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omments6.xml" ContentType="application/vnd.openxmlformats-officedocument.spreadsheetml.comments+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ConCho2\Data\"/>
    </mc:Choice>
  </mc:AlternateContent>
  <xr:revisionPtr revIDLastSave="0" documentId="13_ncr:1_{2F08DCF4-347A-4C6F-99D7-0438CA0AD3B9}" xr6:coauthVersionLast="47" xr6:coauthVersionMax="47" xr10:uidLastSave="{00000000-0000-0000-0000-000000000000}"/>
  <bookViews>
    <workbookView xWindow="-120" yWindow="-120" windowWidth="29040" windowHeight="15720" activeTab="3" xr2:uid="{00000000-000D-0000-FFFF-FFFF00000000}"/>
  </bookViews>
  <sheets>
    <sheet name="DASHBOARD" sheetId="1" r:id="rId1"/>
    <sheet name="STUDENTS" sheetId="2" r:id="rId2"/>
    <sheet name="Log" sheetId="3" state="hidden" r:id="rId3"/>
    <sheet name="ATTENDANCE_INPUT" sheetId="4" r:id="rId4"/>
    <sheet name="DATE_ANOMALIES" sheetId="5" state="hidden" r:id="rId5"/>
    <sheet name="Pivot Table 1" sheetId="6" state="hidden" r:id="rId6"/>
    <sheet name="ATTENDANCE_LOG" sheetId="7" r:id="rId7"/>
    <sheet name="sheet2" sheetId="8" r:id="rId8"/>
    <sheet name="backupsheet2" sheetId="9" state="hidden" r:id="rId9"/>
    <sheet name="Copy of sheet2 1" sheetId="10" state="hidden" r:id="rId10"/>
    <sheet name="Copy of sheet2" sheetId="11" r:id="rId11"/>
    <sheet name="PROGRESS" sheetId="12" r:id="rId12"/>
    <sheet name="LEVEL_HELPER" sheetId="13" state="hidden" r:id="rId13"/>
    <sheet name="CLASS_DATES" sheetId="14" state="hidden" r:id="rId14"/>
    <sheet name="PIC" sheetId="15" state="hidden" r:id="rId15"/>
    <sheet name="COURSE_PLAN" sheetId="16" state="hidden" r:id="rId16"/>
  </sheets>
  <definedNames>
    <definedName name="_xlnm._FilterDatabase" localSheetId="3" hidden="1">ATTENDANCE_INPUT!$A$1:$V$543</definedName>
    <definedName name="_xlnm._FilterDatabase" localSheetId="8" hidden="1">backupsheet2!$A$1:$M$544</definedName>
    <definedName name="_xlnm._FilterDatabase" localSheetId="10" hidden="1">'Copy of sheet2'!$Q$1:$U$1581</definedName>
    <definedName name="_xlnm._FilterDatabase" localSheetId="9" hidden="1">'Copy of sheet2 1'!$A$1:$O$543</definedName>
    <definedName name="_xlnm._FilterDatabase" localSheetId="7" hidden="1">sheet2!$A$1:$R$543</definedName>
    <definedName name="_xlnm._FilterDatabase" localSheetId="1" hidden="1">STUDENTS!$A$2:$Y$306</definedName>
  </definedNames>
  <calcPr calcId="191029"/>
  <pivotCaches>
    <pivotCache cacheId="13" r:id="rId17"/>
    <pivotCache cacheId="18" r:id="rId18"/>
    <pivotCache cacheId="23"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 i="14" l="1"/>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O543" i="11"/>
  <c r="N543" i="11"/>
  <c r="M543" i="11"/>
  <c r="L543" i="11"/>
  <c r="K543" i="11"/>
  <c r="J543" i="11"/>
  <c r="I543" i="11"/>
  <c r="H543" i="11"/>
  <c r="F543" i="11"/>
  <c r="E543" i="11"/>
  <c r="D543" i="11"/>
  <c r="C543" i="11"/>
  <c r="B543" i="11"/>
  <c r="A543" i="11"/>
  <c r="O542" i="11"/>
  <c r="N542" i="11"/>
  <c r="M542" i="11"/>
  <c r="L542" i="11"/>
  <c r="K542" i="11"/>
  <c r="J542" i="11"/>
  <c r="I542" i="11"/>
  <c r="H542" i="11"/>
  <c r="F542" i="11"/>
  <c r="E542" i="11"/>
  <c r="D542" i="11"/>
  <c r="C542" i="11"/>
  <c r="B542" i="11"/>
  <c r="A542" i="11"/>
  <c r="O541" i="11"/>
  <c r="N541" i="11"/>
  <c r="M541" i="11"/>
  <c r="L541" i="11"/>
  <c r="K541" i="11"/>
  <c r="J541" i="11"/>
  <c r="I541" i="11"/>
  <c r="H541" i="11"/>
  <c r="F541" i="11"/>
  <c r="E541" i="11"/>
  <c r="D541" i="11"/>
  <c r="C541" i="11"/>
  <c r="B541" i="11"/>
  <c r="A541" i="11"/>
  <c r="O540" i="11"/>
  <c r="N540" i="11"/>
  <c r="M540" i="11"/>
  <c r="L540" i="11"/>
  <c r="K540" i="11"/>
  <c r="J540" i="11"/>
  <c r="I540" i="11"/>
  <c r="H540" i="11"/>
  <c r="F540" i="11"/>
  <c r="E540" i="11"/>
  <c r="D540" i="11"/>
  <c r="C540" i="11"/>
  <c r="B540" i="11"/>
  <c r="A540" i="11"/>
  <c r="O539" i="11"/>
  <c r="N539" i="11"/>
  <c r="M539" i="11"/>
  <c r="L539" i="11"/>
  <c r="K539" i="11"/>
  <c r="J539" i="11"/>
  <c r="I539" i="11"/>
  <c r="H539" i="11"/>
  <c r="F539" i="11"/>
  <c r="E539" i="11"/>
  <c r="D539" i="11"/>
  <c r="C539" i="11"/>
  <c r="B539" i="11"/>
  <c r="A539" i="11"/>
  <c r="O538" i="11"/>
  <c r="N538" i="11"/>
  <c r="M538" i="11"/>
  <c r="L538" i="11"/>
  <c r="K538" i="11"/>
  <c r="J538" i="11"/>
  <c r="I538" i="11"/>
  <c r="H538" i="11"/>
  <c r="F538" i="11"/>
  <c r="E538" i="11"/>
  <c r="D538" i="11"/>
  <c r="C538" i="11"/>
  <c r="B538" i="11"/>
  <c r="A538" i="11"/>
  <c r="O537" i="11"/>
  <c r="N537" i="11"/>
  <c r="M537" i="11"/>
  <c r="L537" i="11"/>
  <c r="K537" i="11"/>
  <c r="J537" i="11"/>
  <c r="I537" i="11"/>
  <c r="H537" i="11"/>
  <c r="F537" i="11"/>
  <c r="E537" i="11"/>
  <c r="D537" i="11"/>
  <c r="C537" i="11"/>
  <c r="B537" i="11"/>
  <c r="A537" i="11"/>
  <c r="O536" i="11"/>
  <c r="N536" i="11"/>
  <c r="M536" i="11"/>
  <c r="L536" i="11"/>
  <c r="K536" i="11"/>
  <c r="J536" i="11"/>
  <c r="I536" i="11"/>
  <c r="H536" i="11"/>
  <c r="F536" i="11"/>
  <c r="E536" i="11"/>
  <c r="D536" i="11"/>
  <c r="C536" i="11"/>
  <c r="B536" i="11"/>
  <c r="A536" i="11"/>
  <c r="O535" i="11"/>
  <c r="N535" i="11"/>
  <c r="M535" i="11"/>
  <c r="L535" i="11"/>
  <c r="K535" i="11"/>
  <c r="J535" i="11"/>
  <c r="I535" i="11"/>
  <c r="H535" i="11"/>
  <c r="F535" i="11"/>
  <c r="E535" i="11"/>
  <c r="D535" i="11"/>
  <c r="C535" i="11"/>
  <c r="B535" i="11"/>
  <c r="A535" i="11"/>
  <c r="O534" i="11"/>
  <c r="N534" i="11"/>
  <c r="M534" i="11"/>
  <c r="L534" i="11"/>
  <c r="K534" i="11"/>
  <c r="J534" i="11"/>
  <c r="I534" i="11"/>
  <c r="H534" i="11"/>
  <c r="F534" i="11"/>
  <c r="E534" i="11"/>
  <c r="D534" i="11"/>
  <c r="C534" i="11"/>
  <c r="B534" i="11"/>
  <c r="A534" i="11"/>
  <c r="O533" i="11"/>
  <c r="N533" i="11"/>
  <c r="M533" i="11"/>
  <c r="L533" i="11"/>
  <c r="K533" i="11"/>
  <c r="J533" i="11"/>
  <c r="I533" i="11"/>
  <c r="H533" i="11"/>
  <c r="F533" i="11"/>
  <c r="E533" i="11"/>
  <c r="D533" i="11"/>
  <c r="C533" i="11"/>
  <c r="B533" i="11"/>
  <c r="A533" i="11"/>
  <c r="O532" i="11"/>
  <c r="N532" i="11"/>
  <c r="M532" i="11"/>
  <c r="L532" i="11"/>
  <c r="K532" i="11"/>
  <c r="J532" i="11"/>
  <c r="I532" i="11"/>
  <c r="H532" i="11"/>
  <c r="F532" i="11"/>
  <c r="E532" i="11"/>
  <c r="D532" i="11"/>
  <c r="C532" i="11"/>
  <c r="B532" i="11"/>
  <c r="A532" i="11"/>
  <c r="O531" i="11"/>
  <c r="N531" i="11"/>
  <c r="M531" i="11"/>
  <c r="L531" i="11"/>
  <c r="K531" i="11"/>
  <c r="J531" i="11"/>
  <c r="I531" i="11"/>
  <c r="H531" i="11"/>
  <c r="F531" i="11"/>
  <c r="E531" i="11"/>
  <c r="D531" i="11"/>
  <c r="C531" i="11"/>
  <c r="B531" i="11"/>
  <c r="A531" i="11"/>
  <c r="O530" i="11"/>
  <c r="N530" i="11"/>
  <c r="M530" i="11"/>
  <c r="L530" i="11"/>
  <c r="K530" i="11"/>
  <c r="J530" i="11"/>
  <c r="I530" i="11"/>
  <c r="H530" i="11"/>
  <c r="F530" i="11"/>
  <c r="E530" i="11"/>
  <c r="D530" i="11"/>
  <c r="C530" i="11"/>
  <c r="B530" i="11"/>
  <c r="A530" i="11"/>
  <c r="O529" i="11"/>
  <c r="N529" i="11"/>
  <c r="M529" i="11"/>
  <c r="L529" i="11"/>
  <c r="K529" i="11"/>
  <c r="J529" i="11"/>
  <c r="I529" i="11"/>
  <c r="H529" i="11"/>
  <c r="F529" i="11"/>
  <c r="E529" i="11"/>
  <c r="D529" i="11"/>
  <c r="C529" i="11"/>
  <c r="B529" i="11"/>
  <c r="A529" i="11"/>
  <c r="O528" i="11"/>
  <c r="N528" i="11"/>
  <c r="M528" i="11"/>
  <c r="L528" i="11"/>
  <c r="K528" i="11"/>
  <c r="J528" i="11"/>
  <c r="I528" i="11"/>
  <c r="H528" i="11"/>
  <c r="F528" i="11"/>
  <c r="E528" i="11"/>
  <c r="D528" i="11"/>
  <c r="C528" i="11"/>
  <c r="B528" i="11"/>
  <c r="A528" i="11"/>
  <c r="O527" i="11"/>
  <c r="N527" i="11"/>
  <c r="M527" i="11"/>
  <c r="L527" i="11"/>
  <c r="K527" i="11"/>
  <c r="J527" i="11"/>
  <c r="I527" i="11"/>
  <c r="H527" i="11"/>
  <c r="F527" i="11"/>
  <c r="E527" i="11"/>
  <c r="D527" i="11"/>
  <c r="C527" i="11"/>
  <c r="B527" i="11"/>
  <c r="A527" i="11"/>
  <c r="O526" i="11"/>
  <c r="N526" i="11"/>
  <c r="M526" i="11"/>
  <c r="L526" i="11"/>
  <c r="K526" i="11"/>
  <c r="J526" i="11"/>
  <c r="I526" i="11"/>
  <c r="H526" i="11"/>
  <c r="F526" i="11"/>
  <c r="E526" i="11"/>
  <c r="D526" i="11"/>
  <c r="C526" i="11"/>
  <c r="B526" i="11"/>
  <c r="A526" i="11"/>
  <c r="O525" i="11"/>
  <c r="N525" i="11"/>
  <c r="M525" i="11"/>
  <c r="L525" i="11"/>
  <c r="K525" i="11"/>
  <c r="J525" i="11"/>
  <c r="I525" i="11"/>
  <c r="H525" i="11"/>
  <c r="F525" i="11"/>
  <c r="E525" i="11"/>
  <c r="D525" i="11"/>
  <c r="C525" i="11"/>
  <c r="B525" i="11"/>
  <c r="A525" i="11"/>
  <c r="O524" i="11"/>
  <c r="N524" i="11"/>
  <c r="M524" i="11"/>
  <c r="L524" i="11"/>
  <c r="K524" i="11"/>
  <c r="J524" i="11"/>
  <c r="I524" i="11"/>
  <c r="H524" i="11"/>
  <c r="F524" i="11"/>
  <c r="E524" i="11"/>
  <c r="D524" i="11"/>
  <c r="C524" i="11"/>
  <c r="B524" i="11"/>
  <c r="A524" i="11"/>
  <c r="O523" i="11"/>
  <c r="N523" i="11"/>
  <c r="M523" i="11"/>
  <c r="L523" i="11"/>
  <c r="K523" i="11"/>
  <c r="J523" i="11"/>
  <c r="I523" i="11"/>
  <c r="H523" i="11"/>
  <c r="F523" i="11"/>
  <c r="E523" i="11"/>
  <c r="D523" i="11"/>
  <c r="C523" i="11"/>
  <c r="B523" i="11"/>
  <c r="A523" i="11"/>
  <c r="O522" i="11"/>
  <c r="N522" i="11"/>
  <c r="M522" i="11"/>
  <c r="L522" i="11"/>
  <c r="K522" i="11"/>
  <c r="J522" i="11"/>
  <c r="I522" i="11"/>
  <c r="H522" i="11"/>
  <c r="F522" i="11"/>
  <c r="E522" i="11"/>
  <c r="D522" i="11"/>
  <c r="C522" i="11"/>
  <c r="B522" i="11"/>
  <c r="A522" i="11"/>
  <c r="O521" i="11"/>
  <c r="N521" i="11"/>
  <c r="M521" i="11"/>
  <c r="L521" i="11"/>
  <c r="K521" i="11"/>
  <c r="J521" i="11"/>
  <c r="I521" i="11"/>
  <c r="H521" i="11"/>
  <c r="F521" i="11"/>
  <c r="E521" i="11"/>
  <c r="D521" i="11"/>
  <c r="C521" i="11"/>
  <c r="B521" i="11"/>
  <c r="A521" i="11"/>
  <c r="O520" i="11"/>
  <c r="N520" i="11"/>
  <c r="M520" i="11"/>
  <c r="L520" i="11"/>
  <c r="K520" i="11"/>
  <c r="J520" i="11"/>
  <c r="I520" i="11"/>
  <c r="H520" i="11"/>
  <c r="F520" i="11"/>
  <c r="E520" i="11"/>
  <c r="D520" i="11"/>
  <c r="C520" i="11"/>
  <c r="B520" i="11"/>
  <c r="A520" i="11"/>
  <c r="O519" i="11"/>
  <c r="N519" i="11"/>
  <c r="M519" i="11"/>
  <c r="L519" i="11"/>
  <c r="K519" i="11"/>
  <c r="J519" i="11"/>
  <c r="I519" i="11"/>
  <c r="H519" i="11"/>
  <c r="F519" i="11"/>
  <c r="E519" i="11"/>
  <c r="D519" i="11"/>
  <c r="C519" i="11"/>
  <c r="B519" i="11"/>
  <c r="A519" i="11"/>
  <c r="O518" i="11"/>
  <c r="N518" i="11"/>
  <c r="M518" i="11"/>
  <c r="L518" i="11"/>
  <c r="K518" i="11"/>
  <c r="J518" i="11"/>
  <c r="I518" i="11"/>
  <c r="H518" i="11"/>
  <c r="F518" i="11"/>
  <c r="E518" i="11"/>
  <c r="D518" i="11"/>
  <c r="C518" i="11"/>
  <c r="B518" i="11"/>
  <c r="A518" i="11"/>
  <c r="O517" i="11"/>
  <c r="N517" i="11"/>
  <c r="M517" i="11"/>
  <c r="L517" i="11"/>
  <c r="K517" i="11"/>
  <c r="J517" i="11"/>
  <c r="I517" i="11"/>
  <c r="H517" i="11"/>
  <c r="F517" i="11"/>
  <c r="E517" i="11"/>
  <c r="D517" i="11"/>
  <c r="C517" i="11"/>
  <c r="B517" i="11"/>
  <c r="A517" i="11"/>
  <c r="O516" i="11"/>
  <c r="N516" i="11"/>
  <c r="M516" i="11"/>
  <c r="L516" i="11"/>
  <c r="K516" i="11"/>
  <c r="J516" i="11"/>
  <c r="I516" i="11"/>
  <c r="H516" i="11"/>
  <c r="F516" i="11"/>
  <c r="E516" i="11"/>
  <c r="D516" i="11"/>
  <c r="C516" i="11"/>
  <c r="B516" i="11"/>
  <c r="A516" i="11"/>
  <c r="O515" i="11"/>
  <c r="N515" i="11"/>
  <c r="M515" i="11"/>
  <c r="L515" i="11"/>
  <c r="K515" i="11"/>
  <c r="J515" i="11"/>
  <c r="I515" i="11"/>
  <c r="H515" i="11"/>
  <c r="F515" i="11"/>
  <c r="E515" i="11"/>
  <c r="D515" i="11"/>
  <c r="C515" i="11"/>
  <c r="B515" i="11"/>
  <c r="A515" i="11"/>
  <c r="O514" i="11"/>
  <c r="N514" i="11"/>
  <c r="M514" i="11"/>
  <c r="L514" i="11"/>
  <c r="K514" i="11"/>
  <c r="J514" i="11"/>
  <c r="I514" i="11"/>
  <c r="H514" i="11"/>
  <c r="F514" i="11"/>
  <c r="E514" i="11"/>
  <c r="D514" i="11"/>
  <c r="C514" i="11"/>
  <c r="B514" i="11"/>
  <c r="A514" i="11"/>
  <c r="O513" i="11"/>
  <c r="N513" i="11"/>
  <c r="M513" i="11"/>
  <c r="L513" i="11"/>
  <c r="K513" i="11"/>
  <c r="J513" i="11"/>
  <c r="I513" i="11"/>
  <c r="H513" i="11"/>
  <c r="F513" i="11"/>
  <c r="E513" i="11"/>
  <c r="D513" i="11"/>
  <c r="C513" i="11"/>
  <c r="B513" i="11"/>
  <c r="A513" i="11"/>
  <c r="O512" i="11"/>
  <c r="N512" i="11"/>
  <c r="M512" i="11"/>
  <c r="L512" i="11"/>
  <c r="K512" i="11"/>
  <c r="J512" i="11"/>
  <c r="I512" i="11"/>
  <c r="H512" i="11"/>
  <c r="F512" i="11"/>
  <c r="E512" i="11"/>
  <c r="D512" i="11"/>
  <c r="C512" i="11"/>
  <c r="B512" i="11"/>
  <c r="A512" i="11"/>
  <c r="O511" i="11"/>
  <c r="N511" i="11"/>
  <c r="M511" i="11"/>
  <c r="L511" i="11"/>
  <c r="K511" i="11"/>
  <c r="J511" i="11"/>
  <c r="I511" i="11"/>
  <c r="H511" i="11"/>
  <c r="F511" i="11"/>
  <c r="E511" i="11"/>
  <c r="D511" i="11"/>
  <c r="C511" i="11"/>
  <c r="B511" i="11"/>
  <c r="A511" i="11"/>
  <c r="O510" i="11"/>
  <c r="N510" i="11"/>
  <c r="M510" i="11"/>
  <c r="L510" i="11"/>
  <c r="K510" i="11"/>
  <c r="J510" i="11"/>
  <c r="I510" i="11"/>
  <c r="H510" i="11"/>
  <c r="F510" i="11"/>
  <c r="E510" i="11"/>
  <c r="D510" i="11"/>
  <c r="C510" i="11"/>
  <c r="B510" i="11"/>
  <c r="A510" i="11"/>
  <c r="O509" i="11"/>
  <c r="N509" i="11"/>
  <c r="M509" i="11"/>
  <c r="L509" i="11"/>
  <c r="K509" i="11"/>
  <c r="J509" i="11"/>
  <c r="I509" i="11"/>
  <c r="H509" i="11"/>
  <c r="F509" i="11"/>
  <c r="E509" i="11"/>
  <c r="D509" i="11"/>
  <c r="C509" i="11"/>
  <c r="B509" i="11"/>
  <c r="A509" i="11"/>
  <c r="O508" i="11"/>
  <c r="N508" i="11"/>
  <c r="M508" i="11"/>
  <c r="L508" i="11"/>
  <c r="K508" i="11"/>
  <c r="J508" i="11"/>
  <c r="I508" i="11"/>
  <c r="H508" i="11"/>
  <c r="F508" i="11"/>
  <c r="E508" i="11"/>
  <c r="D508" i="11"/>
  <c r="C508" i="11"/>
  <c r="B508" i="11"/>
  <c r="A508" i="11"/>
  <c r="O507" i="11"/>
  <c r="N507" i="11"/>
  <c r="M507" i="11"/>
  <c r="L507" i="11"/>
  <c r="K507" i="11"/>
  <c r="J507" i="11"/>
  <c r="I507" i="11"/>
  <c r="H507" i="11"/>
  <c r="F507" i="11"/>
  <c r="E507" i="11"/>
  <c r="D507" i="11"/>
  <c r="C507" i="11"/>
  <c r="B507" i="11"/>
  <c r="A507" i="11"/>
  <c r="O506" i="11"/>
  <c r="N506" i="11"/>
  <c r="M506" i="11"/>
  <c r="L506" i="11"/>
  <c r="K506" i="11"/>
  <c r="J506" i="11"/>
  <c r="I506" i="11"/>
  <c r="H506" i="11"/>
  <c r="F506" i="11"/>
  <c r="E506" i="11"/>
  <c r="D506" i="11"/>
  <c r="C506" i="11"/>
  <c r="B506" i="11"/>
  <c r="A506" i="11"/>
  <c r="O505" i="11"/>
  <c r="N505" i="11"/>
  <c r="M505" i="11"/>
  <c r="L505" i="11"/>
  <c r="K505" i="11"/>
  <c r="J505" i="11"/>
  <c r="I505" i="11"/>
  <c r="H505" i="11"/>
  <c r="F505" i="11"/>
  <c r="E505" i="11"/>
  <c r="D505" i="11"/>
  <c r="C505" i="11"/>
  <c r="B505" i="11"/>
  <c r="A505" i="11"/>
  <c r="O504" i="11"/>
  <c r="N504" i="11"/>
  <c r="M504" i="11"/>
  <c r="L504" i="11"/>
  <c r="K504" i="11"/>
  <c r="J504" i="11"/>
  <c r="I504" i="11"/>
  <c r="H504" i="11"/>
  <c r="F504" i="11"/>
  <c r="E504" i="11"/>
  <c r="D504" i="11"/>
  <c r="C504" i="11"/>
  <c r="B504" i="11"/>
  <c r="A504" i="11"/>
  <c r="O503" i="11"/>
  <c r="N503" i="11"/>
  <c r="M503" i="11"/>
  <c r="L503" i="11"/>
  <c r="K503" i="11"/>
  <c r="J503" i="11"/>
  <c r="I503" i="11"/>
  <c r="H503" i="11"/>
  <c r="F503" i="11"/>
  <c r="E503" i="11"/>
  <c r="D503" i="11"/>
  <c r="C503" i="11"/>
  <c r="B503" i="11"/>
  <c r="A503" i="11"/>
  <c r="O502" i="11"/>
  <c r="N502" i="11"/>
  <c r="M502" i="11"/>
  <c r="L502" i="11"/>
  <c r="K502" i="11"/>
  <c r="J502" i="11"/>
  <c r="I502" i="11"/>
  <c r="H502" i="11"/>
  <c r="F502" i="11"/>
  <c r="E502" i="11"/>
  <c r="D502" i="11"/>
  <c r="C502" i="11"/>
  <c r="B502" i="11"/>
  <c r="A502" i="11"/>
  <c r="O501" i="11"/>
  <c r="N501" i="11"/>
  <c r="M501" i="11"/>
  <c r="L501" i="11"/>
  <c r="K501" i="11"/>
  <c r="J501" i="11"/>
  <c r="I501" i="11"/>
  <c r="H501" i="11"/>
  <c r="F501" i="11"/>
  <c r="E501" i="11"/>
  <c r="D501" i="11"/>
  <c r="C501" i="11"/>
  <c r="B501" i="11"/>
  <c r="A501" i="11"/>
  <c r="O500" i="11"/>
  <c r="N500" i="11"/>
  <c r="M500" i="11"/>
  <c r="L500" i="11"/>
  <c r="K500" i="11"/>
  <c r="J500" i="11"/>
  <c r="I500" i="11"/>
  <c r="H500" i="11"/>
  <c r="F500" i="11"/>
  <c r="E500" i="11"/>
  <c r="D500" i="11"/>
  <c r="C500" i="11"/>
  <c r="B500" i="11"/>
  <c r="A500" i="11"/>
  <c r="O499" i="11"/>
  <c r="N499" i="11"/>
  <c r="M499" i="11"/>
  <c r="L499" i="11"/>
  <c r="K499" i="11"/>
  <c r="J499" i="11"/>
  <c r="I499" i="11"/>
  <c r="H499" i="11"/>
  <c r="F499" i="11"/>
  <c r="E499" i="11"/>
  <c r="D499" i="11"/>
  <c r="C499" i="11"/>
  <c r="B499" i="11"/>
  <c r="A499" i="11"/>
  <c r="O498" i="11"/>
  <c r="N498" i="11"/>
  <c r="M498" i="11"/>
  <c r="L498" i="11"/>
  <c r="K498" i="11"/>
  <c r="J498" i="11"/>
  <c r="I498" i="11"/>
  <c r="H498" i="11"/>
  <c r="F498" i="11"/>
  <c r="E498" i="11"/>
  <c r="D498" i="11"/>
  <c r="C498" i="11"/>
  <c r="B498" i="11"/>
  <c r="A498" i="11"/>
  <c r="O497" i="11"/>
  <c r="N497" i="11"/>
  <c r="M497" i="11"/>
  <c r="L497" i="11"/>
  <c r="K497" i="11"/>
  <c r="J497" i="11"/>
  <c r="I497" i="11"/>
  <c r="H497" i="11"/>
  <c r="F497" i="11"/>
  <c r="E497" i="11"/>
  <c r="D497" i="11"/>
  <c r="C497" i="11"/>
  <c r="B497" i="11"/>
  <c r="A497" i="11"/>
  <c r="O496" i="11"/>
  <c r="N496" i="11"/>
  <c r="M496" i="11"/>
  <c r="L496" i="11"/>
  <c r="K496" i="11"/>
  <c r="J496" i="11"/>
  <c r="I496" i="11"/>
  <c r="H496" i="11"/>
  <c r="F496" i="11"/>
  <c r="E496" i="11"/>
  <c r="D496" i="11"/>
  <c r="C496" i="11"/>
  <c r="B496" i="11"/>
  <c r="A496" i="11"/>
  <c r="O495" i="11"/>
  <c r="N495" i="11"/>
  <c r="M495" i="11"/>
  <c r="L495" i="11"/>
  <c r="K495" i="11"/>
  <c r="J495" i="11"/>
  <c r="I495" i="11"/>
  <c r="H495" i="11"/>
  <c r="F495" i="11"/>
  <c r="E495" i="11"/>
  <c r="D495" i="11"/>
  <c r="C495" i="11"/>
  <c r="B495" i="11"/>
  <c r="A495" i="11"/>
  <c r="O494" i="11"/>
  <c r="N494" i="11"/>
  <c r="M494" i="11"/>
  <c r="L494" i="11"/>
  <c r="K494" i="11"/>
  <c r="J494" i="11"/>
  <c r="I494" i="11"/>
  <c r="H494" i="11"/>
  <c r="F494" i="11"/>
  <c r="E494" i="11"/>
  <c r="D494" i="11"/>
  <c r="C494" i="11"/>
  <c r="B494" i="11"/>
  <c r="A494" i="11"/>
  <c r="O493" i="11"/>
  <c r="N493" i="11"/>
  <c r="M493" i="11"/>
  <c r="L493" i="11"/>
  <c r="K493" i="11"/>
  <c r="J493" i="11"/>
  <c r="I493" i="11"/>
  <c r="H493" i="11"/>
  <c r="F493" i="11"/>
  <c r="E493" i="11"/>
  <c r="D493" i="11"/>
  <c r="C493" i="11"/>
  <c r="B493" i="11"/>
  <c r="A493" i="11"/>
  <c r="O492" i="11"/>
  <c r="N492" i="11"/>
  <c r="M492" i="11"/>
  <c r="L492" i="11"/>
  <c r="K492" i="11"/>
  <c r="J492" i="11"/>
  <c r="I492" i="11"/>
  <c r="H492" i="11"/>
  <c r="F492" i="11"/>
  <c r="E492" i="11"/>
  <c r="D492" i="11"/>
  <c r="C492" i="11"/>
  <c r="B492" i="11"/>
  <c r="A492" i="11"/>
  <c r="O491" i="11"/>
  <c r="N491" i="11"/>
  <c r="M491" i="11"/>
  <c r="L491" i="11"/>
  <c r="K491" i="11"/>
  <c r="J491" i="11"/>
  <c r="I491" i="11"/>
  <c r="H491" i="11"/>
  <c r="F491" i="11"/>
  <c r="E491" i="11"/>
  <c r="D491" i="11"/>
  <c r="C491" i="11"/>
  <c r="B491" i="11"/>
  <c r="A491" i="11"/>
  <c r="O490" i="11"/>
  <c r="N490" i="11"/>
  <c r="M490" i="11"/>
  <c r="L490" i="11"/>
  <c r="K490" i="11"/>
  <c r="J490" i="11"/>
  <c r="I490" i="11"/>
  <c r="H490" i="11"/>
  <c r="F490" i="11"/>
  <c r="E490" i="11"/>
  <c r="D490" i="11"/>
  <c r="C490" i="11"/>
  <c r="B490" i="11"/>
  <c r="A490" i="11"/>
  <c r="O489" i="11"/>
  <c r="N489" i="11"/>
  <c r="M489" i="11"/>
  <c r="L489" i="11"/>
  <c r="K489" i="11"/>
  <c r="J489" i="11"/>
  <c r="I489" i="11"/>
  <c r="H489" i="11"/>
  <c r="G489" i="11"/>
  <c r="F489" i="11"/>
  <c r="E489" i="11"/>
  <c r="D489" i="11"/>
  <c r="C489" i="11"/>
  <c r="B489" i="11"/>
  <c r="A489" i="11"/>
  <c r="O488" i="11"/>
  <c r="N488" i="11"/>
  <c r="M488" i="11"/>
  <c r="L488" i="11"/>
  <c r="K488" i="11"/>
  <c r="J488" i="11"/>
  <c r="I488" i="11"/>
  <c r="H488" i="11"/>
  <c r="G488" i="11"/>
  <c r="F488" i="11"/>
  <c r="E488" i="11"/>
  <c r="D488" i="11"/>
  <c r="C488" i="11"/>
  <c r="B488" i="11"/>
  <c r="A488" i="11"/>
  <c r="O487" i="11"/>
  <c r="N487" i="11"/>
  <c r="M487" i="11"/>
  <c r="L487" i="11"/>
  <c r="K487" i="11"/>
  <c r="J487" i="11"/>
  <c r="I487" i="11"/>
  <c r="H487" i="11"/>
  <c r="G487" i="11"/>
  <c r="F487" i="11"/>
  <c r="E487" i="11"/>
  <c r="D487" i="11"/>
  <c r="C487" i="11"/>
  <c r="B487" i="11"/>
  <c r="A487" i="11"/>
  <c r="O486" i="11"/>
  <c r="N486" i="11"/>
  <c r="M486" i="11"/>
  <c r="L486" i="11"/>
  <c r="K486" i="11"/>
  <c r="J486" i="11"/>
  <c r="I486" i="11"/>
  <c r="H486" i="11"/>
  <c r="G486" i="11"/>
  <c r="F486" i="11"/>
  <c r="E486" i="11"/>
  <c r="D486" i="11"/>
  <c r="C486" i="11"/>
  <c r="B486" i="11"/>
  <c r="A486" i="11"/>
  <c r="O485" i="11"/>
  <c r="N485" i="11"/>
  <c r="M485" i="11"/>
  <c r="L485" i="11"/>
  <c r="K485" i="11"/>
  <c r="J485" i="11"/>
  <c r="I485" i="11"/>
  <c r="H485" i="11"/>
  <c r="G485" i="11"/>
  <c r="F485" i="11"/>
  <c r="E485" i="11"/>
  <c r="D485" i="11"/>
  <c r="C485" i="11"/>
  <c r="B485" i="11"/>
  <c r="A485" i="11"/>
  <c r="O484" i="11"/>
  <c r="N484" i="11"/>
  <c r="M484" i="11"/>
  <c r="L484" i="11"/>
  <c r="K484" i="11"/>
  <c r="J484" i="11"/>
  <c r="I484" i="11"/>
  <c r="H484" i="11"/>
  <c r="G484" i="11"/>
  <c r="F484" i="11"/>
  <c r="E484" i="11"/>
  <c r="D484" i="11"/>
  <c r="C484" i="11"/>
  <c r="B484" i="11"/>
  <c r="A484" i="11"/>
  <c r="O483" i="11"/>
  <c r="N483" i="11"/>
  <c r="M483" i="11"/>
  <c r="L483" i="11"/>
  <c r="K483" i="11"/>
  <c r="J483" i="11"/>
  <c r="I483" i="11"/>
  <c r="H483" i="11"/>
  <c r="G483" i="11"/>
  <c r="F483" i="11"/>
  <c r="E483" i="11"/>
  <c r="D483" i="11"/>
  <c r="C483" i="11"/>
  <c r="B483" i="11"/>
  <c r="A483" i="11"/>
  <c r="O482" i="11"/>
  <c r="N482" i="11"/>
  <c r="M482" i="11"/>
  <c r="L482" i="11"/>
  <c r="K482" i="11"/>
  <c r="J482" i="11"/>
  <c r="I482" i="11"/>
  <c r="H482" i="11"/>
  <c r="G482" i="11"/>
  <c r="F482" i="11"/>
  <c r="E482" i="11"/>
  <c r="D482" i="11"/>
  <c r="C482" i="11"/>
  <c r="B482" i="11"/>
  <c r="A482" i="11"/>
  <c r="O481" i="11"/>
  <c r="N481" i="11"/>
  <c r="M481" i="11"/>
  <c r="L481" i="11"/>
  <c r="K481" i="11"/>
  <c r="J481" i="11"/>
  <c r="I481" i="11"/>
  <c r="H481" i="11"/>
  <c r="G481" i="11"/>
  <c r="F481" i="11"/>
  <c r="E481" i="11"/>
  <c r="D481" i="11"/>
  <c r="C481" i="11"/>
  <c r="B481" i="11"/>
  <c r="A481" i="11"/>
  <c r="O480" i="11"/>
  <c r="N480" i="11"/>
  <c r="M480" i="11"/>
  <c r="L480" i="11"/>
  <c r="K480" i="11"/>
  <c r="J480" i="11"/>
  <c r="I480" i="11"/>
  <c r="H480" i="11"/>
  <c r="F480" i="11"/>
  <c r="E480" i="11"/>
  <c r="D480" i="11"/>
  <c r="C480" i="11"/>
  <c r="B480" i="11"/>
  <c r="A480" i="11"/>
  <c r="O479" i="11"/>
  <c r="N479" i="11"/>
  <c r="M479" i="11"/>
  <c r="L479" i="11"/>
  <c r="K479" i="11"/>
  <c r="J479" i="11"/>
  <c r="I479" i="11"/>
  <c r="H479" i="11"/>
  <c r="F479" i="11"/>
  <c r="E479" i="11"/>
  <c r="D479" i="11"/>
  <c r="C479" i="11"/>
  <c r="B479" i="11"/>
  <c r="A479" i="11"/>
  <c r="O478" i="11"/>
  <c r="N478" i="11"/>
  <c r="M478" i="11"/>
  <c r="L478" i="11"/>
  <c r="K478" i="11"/>
  <c r="J478" i="11"/>
  <c r="I478" i="11"/>
  <c r="H478" i="11"/>
  <c r="F478" i="11"/>
  <c r="E478" i="11"/>
  <c r="D478" i="11"/>
  <c r="C478" i="11"/>
  <c r="B478" i="11"/>
  <c r="A478" i="11"/>
  <c r="O477" i="11"/>
  <c r="N477" i="11"/>
  <c r="M477" i="11"/>
  <c r="L477" i="11"/>
  <c r="K477" i="11"/>
  <c r="J477" i="11"/>
  <c r="I477" i="11"/>
  <c r="H477" i="11"/>
  <c r="F477" i="11"/>
  <c r="E477" i="11"/>
  <c r="D477" i="11"/>
  <c r="C477" i="11"/>
  <c r="B477" i="11"/>
  <c r="A477" i="11"/>
  <c r="O476" i="11"/>
  <c r="N476" i="11"/>
  <c r="M476" i="11"/>
  <c r="L476" i="11"/>
  <c r="K476" i="11"/>
  <c r="J476" i="11"/>
  <c r="I476" i="11"/>
  <c r="H476" i="11"/>
  <c r="F476" i="11"/>
  <c r="E476" i="11"/>
  <c r="D476" i="11"/>
  <c r="C476" i="11"/>
  <c r="B476" i="11"/>
  <c r="A476" i="11"/>
  <c r="O475" i="11"/>
  <c r="N475" i="11"/>
  <c r="M475" i="11"/>
  <c r="L475" i="11"/>
  <c r="K475" i="11"/>
  <c r="J475" i="11"/>
  <c r="I475" i="11"/>
  <c r="H475" i="11"/>
  <c r="F475" i="11"/>
  <c r="E475" i="11"/>
  <c r="D475" i="11"/>
  <c r="C475" i="11"/>
  <c r="B475" i="11"/>
  <c r="A475" i="11"/>
  <c r="O474" i="11"/>
  <c r="N474" i="11"/>
  <c r="M474" i="11"/>
  <c r="L474" i="11"/>
  <c r="K474" i="11"/>
  <c r="J474" i="11"/>
  <c r="I474" i="11"/>
  <c r="H474" i="11"/>
  <c r="G474" i="11"/>
  <c r="F474" i="11"/>
  <c r="E474" i="11"/>
  <c r="D474" i="11"/>
  <c r="C474" i="11"/>
  <c r="B474" i="11"/>
  <c r="A474" i="11"/>
  <c r="O473" i="11"/>
  <c r="N473" i="11"/>
  <c r="M473" i="11"/>
  <c r="L473" i="11"/>
  <c r="K473" i="11"/>
  <c r="J473" i="11"/>
  <c r="I473" i="11"/>
  <c r="H473" i="11"/>
  <c r="G473" i="11"/>
  <c r="F473" i="11"/>
  <c r="E473" i="11"/>
  <c r="D473" i="11"/>
  <c r="C473" i="11"/>
  <c r="B473" i="11"/>
  <c r="A473" i="11"/>
  <c r="O472" i="11"/>
  <c r="N472" i="11"/>
  <c r="M472" i="11"/>
  <c r="L472" i="11"/>
  <c r="K472" i="11"/>
  <c r="J472" i="11"/>
  <c r="I472" i="11"/>
  <c r="H472" i="11"/>
  <c r="G472" i="11"/>
  <c r="F472" i="11"/>
  <c r="E472" i="11"/>
  <c r="D472" i="11"/>
  <c r="C472" i="11"/>
  <c r="B472" i="11"/>
  <c r="A472" i="11"/>
  <c r="O471" i="11"/>
  <c r="N471" i="11"/>
  <c r="M471" i="11"/>
  <c r="L471" i="11"/>
  <c r="K471" i="11"/>
  <c r="J471" i="11"/>
  <c r="I471" i="11"/>
  <c r="H471" i="11"/>
  <c r="G471" i="11"/>
  <c r="F471" i="11"/>
  <c r="E471" i="11"/>
  <c r="D471" i="11"/>
  <c r="C471" i="11"/>
  <c r="B471" i="11"/>
  <c r="A471" i="11"/>
  <c r="O470" i="11"/>
  <c r="N470" i="11"/>
  <c r="M470" i="11"/>
  <c r="L470" i="11"/>
  <c r="K470" i="11"/>
  <c r="J470" i="11"/>
  <c r="I470" i="11"/>
  <c r="H470" i="11"/>
  <c r="G470" i="11"/>
  <c r="F470" i="11"/>
  <c r="E470" i="11"/>
  <c r="D470" i="11"/>
  <c r="C470" i="11"/>
  <c r="B470" i="11"/>
  <c r="A470" i="11"/>
  <c r="O469" i="11"/>
  <c r="N469" i="11"/>
  <c r="M469" i="11"/>
  <c r="L469" i="11"/>
  <c r="K469" i="11"/>
  <c r="J469" i="11"/>
  <c r="I469" i="11"/>
  <c r="H469" i="11"/>
  <c r="G469" i="11"/>
  <c r="F469" i="11"/>
  <c r="E469" i="11"/>
  <c r="D469" i="11"/>
  <c r="C469" i="11"/>
  <c r="B469" i="11"/>
  <c r="A469" i="11"/>
  <c r="O468" i="11"/>
  <c r="N468" i="11"/>
  <c r="M468" i="11"/>
  <c r="L468" i="11"/>
  <c r="K468" i="11"/>
  <c r="J468" i="11"/>
  <c r="I468" i="11"/>
  <c r="H468" i="11"/>
  <c r="F468" i="11"/>
  <c r="E468" i="11"/>
  <c r="D468" i="11"/>
  <c r="C468" i="11"/>
  <c r="B468" i="11"/>
  <c r="A468" i="11"/>
  <c r="O467" i="11"/>
  <c r="N467" i="11"/>
  <c r="M467" i="11"/>
  <c r="L467" i="11"/>
  <c r="K467" i="11"/>
  <c r="J467" i="11"/>
  <c r="I467" i="11"/>
  <c r="H467" i="11"/>
  <c r="F467" i="11"/>
  <c r="E467" i="11"/>
  <c r="D467" i="11"/>
  <c r="C467" i="11"/>
  <c r="B467" i="11"/>
  <c r="A467" i="11"/>
  <c r="O466" i="11"/>
  <c r="N466" i="11"/>
  <c r="M466" i="11"/>
  <c r="L466" i="11"/>
  <c r="K466" i="11"/>
  <c r="J466" i="11"/>
  <c r="I466" i="11"/>
  <c r="H466" i="11"/>
  <c r="F466" i="11"/>
  <c r="E466" i="11"/>
  <c r="D466" i="11"/>
  <c r="C466" i="11"/>
  <c r="B466" i="11"/>
  <c r="A466" i="11"/>
  <c r="O465" i="11"/>
  <c r="N465" i="11"/>
  <c r="M465" i="11"/>
  <c r="L465" i="11"/>
  <c r="K465" i="11"/>
  <c r="J465" i="11"/>
  <c r="I465" i="11"/>
  <c r="H465" i="11"/>
  <c r="F465" i="11"/>
  <c r="E465" i="11"/>
  <c r="D465" i="11"/>
  <c r="C465" i="11"/>
  <c r="B465" i="11"/>
  <c r="A465" i="11"/>
  <c r="O464" i="11"/>
  <c r="N464" i="11"/>
  <c r="M464" i="11"/>
  <c r="L464" i="11"/>
  <c r="K464" i="11"/>
  <c r="J464" i="11"/>
  <c r="I464" i="11"/>
  <c r="H464" i="11"/>
  <c r="F464" i="11"/>
  <c r="E464" i="11"/>
  <c r="D464" i="11"/>
  <c r="C464" i="11"/>
  <c r="B464" i="11"/>
  <c r="A464" i="11"/>
  <c r="O463" i="11"/>
  <c r="N463" i="11"/>
  <c r="M463" i="11"/>
  <c r="L463" i="11"/>
  <c r="K463" i="11"/>
  <c r="J463" i="11"/>
  <c r="I463" i="11"/>
  <c r="H463" i="11"/>
  <c r="F463" i="11"/>
  <c r="E463" i="11"/>
  <c r="D463" i="11"/>
  <c r="C463" i="11"/>
  <c r="B463" i="11"/>
  <c r="A463" i="11"/>
  <c r="O462" i="11"/>
  <c r="N462" i="11"/>
  <c r="M462" i="11"/>
  <c r="L462" i="11"/>
  <c r="K462" i="11"/>
  <c r="J462" i="11"/>
  <c r="I462" i="11"/>
  <c r="H462" i="11"/>
  <c r="F462" i="11"/>
  <c r="E462" i="11"/>
  <c r="D462" i="11"/>
  <c r="C462" i="11"/>
  <c r="B462" i="11"/>
  <c r="A462" i="11"/>
  <c r="O461" i="11"/>
  <c r="N461" i="11"/>
  <c r="M461" i="11"/>
  <c r="L461" i="11"/>
  <c r="K461" i="11"/>
  <c r="J461" i="11"/>
  <c r="I461" i="11"/>
  <c r="H461" i="11"/>
  <c r="F461" i="11"/>
  <c r="E461" i="11"/>
  <c r="D461" i="11"/>
  <c r="C461" i="11"/>
  <c r="B461" i="11"/>
  <c r="A461" i="11"/>
  <c r="O460" i="11"/>
  <c r="N460" i="11"/>
  <c r="M460" i="11"/>
  <c r="L460" i="11"/>
  <c r="K460" i="11"/>
  <c r="J460" i="11"/>
  <c r="I460" i="11"/>
  <c r="H460" i="11"/>
  <c r="F460" i="11"/>
  <c r="E460" i="11"/>
  <c r="D460" i="11"/>
  <c r="C460" i="11"/>
  <c r="B460" i="11"/>
  <c r="A460" i="11"/>
  <c r="O459" i="11"/>
  <c r="N459" i="11"/>
  <c r="M459" i="11"/>
  <c r="L459" i="11"/>
  <c r="K459" i="11"/>
  <c r="J459" i="11"/>
  <c r="I459" i="11"/>
  <c r="H459" i="11"/>
  <c r="G459" i="11"/>
  <c r="F459" i="11"/>
  <c r="E459" i="11"/>
  <c r="D459" i="11"/>
  <c r="C459" i="11"/>
  <c r="B459" i="11"/>
  <c r="A459" i="11"/>
  <c r="O458" i="11"/>
  <c r="N458" i="11"/>
  <c r="M458" i="11"/>
  <c r="L458" i="11"/>
  <c r="K458" i="11"/>
  <c r="J458" i="11"/>
  <c r="I458" i="11"/>
  <c r="H458" i="11"/>
  <c r="G458" i="11"/>
  <c r="F458" i="11"/>
  <c r="E458" i="11"/>
  <c r="D458" i="11"/>
  <c r="C458" i="11"/>
  <c r="B458" i="11"/>
  <c r="A458" i="11"/>
  <c r="O457" i="11"/>
  <c r="N457" i="11"/>
  <c r="M457" i="11"/>
  <c r="L457" i="11"/>
  <c r="K457" i="11"/>
  <c r="J457" i="11"/>
  <c r="I457" i="11"/>
  <c r="H457" i="11"/>
  <c r="G457" i="11"/>
  <c r="F457" i="11"/>
  <c r="E457" i="11"/>
  <c r="D457" i="11"/>
  <c r="C457" i="11"/>
  <c r="B457" i="11"/>
  <c r="A457" i="11"/>
  <c r="O456" i="11"/>
  <c r="N456" i="11"/>
  <c r="M456" i="11"/>
  <c r="L456" i="11"/>
  <c r="K456" i="11"/>
  <c r="J456" i="11"/>
  <c r="I456" i="11"/>
  <c r="H456" i="11"/>
  <c r="G456" i="11"/>
  <c r="F456" i="11"/>
  <c r="E456" i="11"/>
  <c r="D456" i="11"/>
  <c r="C456" i="11"/>
  <c r="B456" i="11"/>
  <c r="A456" i="11"/>
  <c r="O455" i="11"/>
  <c r="N455" i="11"/>
  <c r="M455" i="11"/>
  <c r="L455" i="11"/>
  <c r="K455" i="11"/>
  <c r="J455" i="11"/>
  <c r="I455" i="11"/>
  <c r="H455" i="11"/>
  <c r="G455" i="11"/>
  <c r="F455" i="11"/>
  <c r="E455" i="11"/>
  <c r="D455" i="11"/>
  <c r="C455" i="11"/>
  <c r="B455" i="11"/>
  <c r="A455" i="11"/>
  <c r="O454" i="11"/>
  <c r="N454" i="11"/>
  <c r="M454" i="11"/>
  <c r="L454" i="11"/>
  <c r="K454" i="11"/>
  <c r="J454" i="11"/>
  <c r="I454" i="11"/>
  <c r="H454" i="11"/>
  <c r="G454" i="11"/>
  <c r="F454" i="11"/>
  <c r="E454" i="11"/>
  <c r="D454" i="11"/>
  <c r="C454" i="11"/>
  <c r="B454" i="11"/>
  <c r="A454" i="11"/>
  <c r="O453" i="11"/>
  <c r="N453" i="11"/>
  <c r="M453" i="11"/>
  <c r="L453" i="11"/>
  <c r="K453" i="11"/>
  <c r="J453" i="11"/>
  <c r="I453" i="11"/>
  <c r="H453" i="11"/>
  <c r="G453" i="11"/>
  <c r="F453" i="11"/>
  <c r="E453" i="11"/>
  <c r="D453" i="11"/>
  <c r="C453" i="11"/>
  <c r="B453" i="11"/>
  <c r="A453" i="11"/>
  <c r="O452" i="11"/>
  <c r="N452" i="11"/>
  <c r="M452" i="11"/>
  <c r="L452" i="11"/>
  <c r="K452" i="11"/>
  <c r="J452" i="11"/>
  <c r="I452" i="11"/>
  <c r="H452" i="11"/>
  <c r="G452" i="11"/>
  <c r="F452" i="11"/>
  <c r="E452" i="11"/>
  <c r="D452" i="11"/>
  <c r="C452" i="11"/>
  <c r="B452" i="11"/>
  <c r="A452" i="11"/>
  <c r="O451" i="11"/>
  <c r="N451" i="11"/>
  <c r="M451" i="11"/>
  <c r="L451" i="11"/>
  <c r="K451" i="11"/>
  <c r="J451" i="11"/>
  <c r="I451" i="11"/>
  <c r="H451" i="11"/>
  <c r="F451" i="11"/>
  <c r="E451" i="11"/>
  <c r="D451" i="11"/>
  <c r="C451" i="11"/>
  <c r="B451" i="11"/>
  <c r="A451" i="11"/>
  <c r="O450" i="11"/>
  <c r="N450" i="11"/>
  <c r="M450" i="11"/>
  <c r="L450" i="11"/>
  <c r="K450" i="11"/>
  <c r="J450" i="11"/>
  <c r="I450" i="11"/>
  <c r="H450" i="11"/>
  <c r="F450" i="11"/>
  <c r="E450" i="11"/>
  <c r="D450" i="11"/>
  <c r="C450" i="11"/>
  <c r="B450" i="11"/>
  <c r="A450" i="11"/>
  <c r="O449" i="11"/>
  <c r="N449" i="11"/>
  <c r="M449" i="11"/>
  <c r="L449" i="11"/>
  <c r="K449" i="11"/>
  <c r="J449" i="11"/>
  <c r="I449" i="11"/>
  <c r="H449" i="11"/>
  <c r="F449" i="11"/>
  <c r="E449" i="11"/>
  <c r="D449" i="11"/>
  <c r="C449" i="11"/>
  <c r="B449" i="11"/>
  <c r="A449" i="11"/>
  <c r="O448" i="11"/>
  <c r="N448" i="11"/>
  <c r="M448" i="11"/>
  <c r="L448" i="11"/>
  <c r="K448" i="11"/>
  <c r="J448" i="11"/>
  <c r="I448" i="11"/>
  <c r="H448" i="11"/>
  <c r="G448" i="11"/>
  <c r="F448" i="11"/>
  <c r="E448" i="11"/>
  <c r="D448" i="11"/>
  <c r="C448" i="11"/>
  <c r="B448" i="11"/>
  <c r="A448" i="11"/>
  <c r="O447" i="11"/>
  <c r="N447" i="11"/>
  <c r="M447" i="11"/>
  <c r="L447" i="11"/>
  <c r="K447" i="11"/>
  <c r="J447" i="11"/>
  <c r="I447" i="11"/>
  <c r="H447" i="11"/>
  <c r="G447" i="11"/>
  <c r="F447" i="11"/>
  <c r="E447" i="11"/>
  <c r="D447" i="11"/>
  <c r="C447" i="11"/>
  <c r="B447" i="11"/>
  <c r="A447" i="11"/>
  <c r="O446" i="11"/>
  <c r="N446" i="11"/>
  <c r="M446" i="11"/>
  <c r="L446" i="11"/>
  <c r="K446" i="11"/>
  <c r="J446" i="11"/>
  <c r="I446" i="11"/>
  <c r="H446" i="11"/>
  <c r="G446" i="11"/>
  <c r="F446" i="11"/>
  <c r="E446" i="11"/>
  <c r="D446" i="11"/>
  <c r="C446" i="11"/>
  <c r="B446" i="11"/>
  <c r="A446" i="11"/>
  <c r="O445" i="11"/>
  <c r="N445" i="11"/>
  <c r="M445" i="11"/>
  <c r="L445" i="11"/>
  <c r="K445" i="11"/>
  <c r="J445" i="11"/>
  <c r="I445" i="11"/>
  <c r="H445" i="11"/>
  <c r="F445" i="11"/>
  <c r="E445" i="11"/>
  <c r="D445" i="11"/>
  <c r="C445" i="11"/>
  <c r="B445" i="11"/>
  <c r="A445" i="11"/>
  <c r="O444" i="11"/>
  <c r="N444" i="11"/>
  <c r="M444" i="11"/>
  <c r="L444" i="11"/>
  <c r="K444" i="11"/>
  <c r="J444" i="11"/>
  <c r="I444" i="11"/>
  <c r="H444" i="11"/>
  <c r="G444" i="11"/>
  <c r="F444" i="11"/>
  <c r="E444" i="11"/>
  <c r="D444" i="11"/>
  <c r="C444" i="11"/>
  <c r="B444" i="11"/>
  <c r="A444" i="11"/>
  <c r="O443" i="11"/>
  <c r="N443" i="11"/>
  <c r="M443" i="11"/>
  <c r="L443" i="11"/>
  <c r="K443" i="11"/>
  <c r="J443" i="11"/>
  <c r="I443" i="11"/>
  <c r="H443" i="11"/>
  <c r="F443" i="11"/>
  <c r="E443" i="11"/>
  <c r="D443" i="11"/>
  <c r="C443" i="11"/>
  <c r="B443" i="11"/>
  <c r="A443" i="11"/>
  <c r="O442" i="11"/>
  <c r="N442" i="11"/>
  <c r="M442" i="11"/>
  <c r="L442" i="11"/>
  <c r="K442" i="11"/>
  <c r="J442" i="11"/>
  <c r="I442" i="11"/>
  <c r="H442" i="11"/>
  <c r="G442" i="11"/>
  <c r="F442" i="11"/>
  <c r="E442" i="11"/>
  <c r="D442" i="11"/>
  <c r="C442" i="11"/>
  <c r="B442" i="11"/>
  <c r="A442" i="11"/>
  <c r="O441" i="11"/>
  <c r="N441" i="11"/>
  <c r="M441" i="11"/>
  <c r="L441" i="11"/>
  <c r="K441" i="11"/>
  <c r="J441" i="11"/>
  <c r="I441" i="11"/>
  <c r="H441" i="11"/>
  <c r="G441" i="11"/>
  <c r="F441" i="11"/>
  <c r="E441" i="11"/>
  <c r="D441" i="11"/>
  <c r="C441" i="11"/>
  <c r="B441" i="11"/>
  <c r="A441" i="11"/>
  <c r="O440" i="11"/>
  <c r="N440" i="11"/>
  <c r="M440" i="11"/>
  <c r="L440" i="11"/>
  <c r="K440" i="11"/>
  <c r="J440" i="11"/>
  <c r="I440" i="11"/>
  <c r="H440" i="11"/>
  <c r="F440" i="11"/>
  <c r="E440" i="11"/>
  <c r="D440" i="11"/>
  <c r="C440" i="11"/>
  <c r="B440" i="11"/>
  <c r="A440" i="11"/>
  <c r="O439" i="11"/>
  <c r="N439" i="11"/>
  <c r="M439" i="11"/>
  <c r="L439" i="11"/>
  <c r="K439" i="11"/>
  <c r="J439" i="11"/>
  <c r="I439" i="11"/>
  <c r="H439" i="11"/>
  <c r="F439" i="11"/>
  <c r="E439" i="11"/>
  <c r="D439" i="11"/>
  <c r="C439" i="11"/>
  <c r="B439" i="11"/>
  <c r="A439" i="11"/>
  <c r="O438" i="11"/>
  <c r="N438" i="11"/>
  <c r="M438" i="11"/>
  <c r="L438" i="11"/>
  <c r="K438" i="11"/>
  <c r="J438" i="11"/>
  <c r="I438" i="11"/>
  <c r="H438" i="11"/>
  <c r="F438" i="11"/>
  <c r="E438" i="11"/>
  <c r="D438" i="11"/>
  <c r="C438" i="11"/>
  <c r="B438" i="11"/>
  <c r="A438" i="11"/>
  <c r="O437" i="11"/>
  <c r="N437" i="11"/>
  <c r="M437" i="11"/>
  <c r="L437" i="11"/>
  <c r="K437" i="11"/>
  <c r="J437" i="11"/>
  <c r="I437" i="11"/>
  <c r="H437" i="11"/>
  <c r="F437" i="11"/>
  <c r="E437" i="11"/>
  <c r="D437" i="11"/>
  <c r="C437" i="11"/>
  <c r="B437" i="11"/>
  <c r="A437" i="11"/>
  <c r="O436" i="11"/>
  <c r="N436" i="11"/>
  <c r="M436" i="11"/>
  <c r="L436" i="11"/>
  <c r="K436" i="11"/>
  <c r="J436" i="11"/>
  <c r="I436" i="11"/>
  <c r="H436" i="11"/>
  <c r="G436" i="11"/>
  <c r="F436" i="11"/>
  <c r="E436" i="11"/>
  <c r="D436" i="11"/>
  <c r="C436" i="11"/>
  <c r="B436" i="11"/>
  <c r="A436" i="11"/>
  <c r="O435" i="11"/>
  <c r="N435" i="11"/>
  <c r="M435" i="11"/>
  <c r="L435" i="11"/>
  <c r="K435" i="11"/>
  <c r="J435" i="11"/>
  <c r="I435" i="11"/>
  <c r="H435" i="11"/>
  <c r="G435" i="11"/>
  <c r="F435" i="11"/>
  <c r="E435" i="11"/>
  <c r="D435" i="11"/>
  <c r="C435" i="11"/>
  <c r="B435" i="11"/>
  <c r="A435" i="11"/>
  <c r="O434" i="11"/>
  <c r="N434" i="11"/>
  <c r="M434" i="11"/>
  <c r="L434" i="11"/>
  <c r="K434" i="11"/>
  <c r="J434" i="11"/>
  <c r="I434" i="11"/>
  <c r="H434" i="11"/>
  <c r="G434" i="11"/>
  <c r="F434" i="11"/>
  <c r="E434" i="11"/>
  <c r="D434" i="11"/>
  <c r="C434" i="11"/>
  <c r="B434" i="11"/>
  <c r="A434" i="11"/>
  <c r="O433" i="11"/>
  <c r="N433" i="11"/>
  <c r="M433" i="11"/>
  <c r="L433" i="11"/>
  <c r="K433" i="11"/>
  <c r="J433" i="11"/>
  <c r="I433" i="11"/>
  <c r="H433" i="11"/>
  <c r="G433" i="11"/>
  <c r="F433" i="11"/>
  <c r="E433" i="11"/>
  <c r="D433" i="11"/>
  <c r="C433" i="11"/>
  <c r="B433" i="11"/>
  <c r="A433" i="11"/>
  <c r="O432" i="11"/>
  <c r="N432" i="11"/>
  <c r="M432" i="11"/>
  <c r="L432" i="11"/>
  <c r="K432" i="11"/>
  <c r="J432" i="11"/>
  <c r="I432" i="11"/>
  <c r="H432" i="11"/>
  <c r="E432" i="11"/>
  <c r="D432" i="11"/>
  <c r="C432" i="11"/>
  <c r="B432" i="11"/>
  <c r="A432" i="11"/>
  <c r="O431" i="11"/>
  <c r="N431" i="11"/>
  <c r="M431" i="11"/>
  <c r="L431" i="11"/>
  <c r="K431" i="11"/>
  <c r="J431" i="11"/>
  <c r="I431" i="11"/>
  <c r="H431" i="11"/>
  <c r="E431" i="11"/>
  <c r="D431" i="11"/>
  <c r="C431" i="11"/>
  <c r="B431" i="11"/>
  <c r="A431" i="11"/>
  <c r="O430" i="11"/>
  <c r="N430" i="11"/>
  <c r="M430" i="11"/>
  <c r="L430" i="11"/>
  <c r="K430" i="11"/>
  <c r="J430" i="11"/>
  <c r="I430" i="11"/>
  <c r="H430" i="11"/>
  <c r="E430" i="11"/>
  <c r="D430" i="11"/>
  <c r="C430" i="11"/>
  <c r="B430" i="11"/>
  <c r="A430" i="11"/>
  <c r="O429" i="11"/>
  <c r="N429" i="11"/>
  <c r="M429" i="11"/>
  <c r="L429" i="11"/>
  <c r="K429" i="11"/>
  <c r="J429" i="11"/>
  <c r="I429" i="11"/>
  <c r="H429" i="11"/>
  <c r="E429" i="11"/>
  <c r="D429" i="11"/>
  <c r="C429" i="11"/>
  <c r="B429" i="11"/>
  <c r="A429" i="11"/>
  <c r="O428" i="11"/>
  <c r="N428" i="11"/>
  <c r="M428" i="11"/>
  <c r="L428" i="11"/>
  <c r="K428" i="11"/>
  <c r="J428" i="11"/>
  <c r="I428" i="11"/>
  <c r="H428" i="11"/>
  <c r="G428" i="11"/>
  <c r="F428" i="11"/>
  <c r="E428" i="11"/>
  <c r="D428" i="11"/>
  <c r="C428" i="11"/>
  <c r="B428" i="11"/>
  <c r="A428" i="11"/>
  <c r="O427" i="11"/>
  <c r="N427" i="11"/>
  <c r="M427" i="11"/>
  <c r="L427" i="11"/>
  <c r="K427" i="11"/>
  <c r="J427" i="11"/>
  <c r="I427" i="11"/>
  <c r="H427" i="11"/>
  <c r="G427" i="11"/>
  <c r="F427" i="11"/>
  <c r="E427" i="11"/>
  <c r="D427" i="11"/>
  <c r="C427" i="11"/>
  <c r="B427" i="11"/>
  <c r="A427" i="11"/>
  <c r="O426" i="11"/>
  <c r="N426" i="11"/>
  <c r="M426" i="11"/>
  <c r="L426" i="11"/>
  <c r="K426" i="11"/>
  <c r="J426" i="11"/>
  <c r="I426" i="11"/>
  <c r="H426" i="11"/>
  <c r="E426" i="11"/>
  <c r="D426" i="11"/>
  <c r="C426" i="11"/>
  <c r="B426" i="11"/>
  <c r="A426" i="11"/>
  <c r="O425" i="11"/>
  <c r="N425" i="11"/>
  <c r="M425" i="11"/>
  <c r="L425" i="11"/>
  <c r="K425" i="11"/>
  <c r="J425" i="11"/>
  <c r="I425" i="11"/>
  <c r="H425" i="11"/>
  <c r="G425" i="11"/>
  <c r="F425" i="11"/>
  <c r="E425" i="11"/>
  <c r="D425" i="11"/>
  <c r="C425" i="11"/>
  <c r="B425" i="11"/>
  <c r="A425" i="11"/>
  <c r="O424" i="11"/>
  <c r="N424" i="11"/>
  <c r="M424" i="11"/>
  <c r="L424" i="11"/>
  <c r="K424" i="11"/>
  <c r="J424" i="11"/>
  <c r="I424" i="11"/>
  <c r="H424" i="11"/>
  <c r="G424" i="11"/>
  <c r="F424" i="11"/>
  <c r="E424" i="11"/>
  <c r="D424" i="11"/>
  <c r="C424" i="11"/>
  <c r="B424" i="11"/>
  <c r="A424" i="11"/>
  <c r="O423" i="11"/>
  <c r="N423" i="11"/>
  <c r="M423" i="11"/>
  <c r="L423" i="11"/>
  <c r="K423" i="11"/>
  <c r="J423" i="11"/>
  <c r="I423" i="11"/>
  <c r="H423" i="11"/>
  <c r="E423" i="11"/>
  <c r="D423" i="11"/>
  <c r="C423" i="11"/>
  <c r="B423" i="11"/>
  <c r="A423" i="11"/>
  <c r="O422" i="11"/>
  <c r="N422" i="11"/>
  <c r="M422" i="11"/>
  <c r="L422" i="11"/>
  <c r="K422" i="11"/>
  <c r="J422" i="11"/>
  <c r="I422" i="11"/>
  <c r="H422" i="11"/>
  <c r="G422" i="11"/>
  <c r="F422" i="11"/>
  <c r="E422" i="11"/>
  <c r="D422" i="11"/>
  <c r="C422" i="11"/>
  <c r="B422" i="11"/>
  <c r="A422" i="11"/>
  <c r="O421" i="11"/>
  <c r="N421" i="11"/>
  <c r="M421" i="11"/>
  <c r="L421" i="11"/>
  <c r="K421" i="11"/>
  <c r="J421" i="11"/>
  <c r="I421" i="11"/>
  <c r="H421" i="11"/>
  <c r="G421" i="11"/>
  <c r="F421" i="11"/>
  <c r="E421" i="11"/>
  <c r="D421" i="11"/>
  <c r="C421" i="11"/>
  <c r="B421" i="11"/>
  <c r="A421" i="11"/>
  <c r="O420" i="11"/>
  <c r="N420" i="11"/>
  <c r="M420" i="11"/>
  <c r="L420" i="11"/>
  <c r="K420" i="11"/>
  <c r="J420" i="11"/>
  <c r="I420" i="11"/>
  <c r="H420" i="11"/>
  <c r="G420" i="11"/>
  <c r="F420" i="11"/>
  <c r="E420" i="11"/>
  <c r="D420" i="11"/>
  <c r="C420" i="11"/>
  <c r="B420" i="11"/>
  <c r="A420" i="11"/>
  <c r="O419" i="11"/>
  <c r="N419" i="11"/>
  <c r="M419" i="11"/>
  <c r="L419" i="11"/>
  <c r="K419" i="11"/>
  <c r="J419" i="11"/>
  <c r="I419" i="11"/>
  <c r="H419" i="11"/>
  <c r="G419" i="11"/>
  <c r="F419" i="11"/>
  <c r="E419" i="11"/>
  <c r="D419" i="11"/>
  <c r="C419" i="11"/>
  <c r="B419" i="11"/>
  <c r="A419" i="11"/>
  <c r="O418" i="11"/>
  <c r="N418" i="11"/>
  <c r="M418" i="11"/>
  <c r="L418" i="11"/>
  <c r="K418" i="11"/>
  <c r="J418" i="11"/>
  <c r="I418" i="11"/>
  <c r="H418" i="11"/>
  <c r="G418" i="11"/>
  <c r="F418" i="11"/>
  <c r="E418" i="11"/>
  <c r="D418" i="11"/>
  <c r="C418" i="11"/>
  <c r="B418" i="11"/>
  <c r="A418" i="11"/>
  <c r="O417" i="11"/>
  <c r="N417" i="11"/>
  <c r="M417" i="11"/>
  <c r="L417" i="11"/>
  <c r="K417" i="11"/>
  <c r="J417" i="11"/>
  <c r="I417" i="11"/>
  <c r="H417" i="11"/>
  <c r="G417" i="11"/>
  <c r="F417" i="11"/>
  <c r="E417" i="11"/>
  <c r="D417" i="11"/>
  <c r="C417" i="11"/>
  <c r="B417" i="11"/>
  <c r="A417" i="11"/>
  <c r="O416" i="11"/>
  <c r="N416" i="11"/>
  <c r="M416" i="11"/>
  <c r="L416" i="11"/>
  <c r="K416" i="11"/>
  <c r="J416" i="11"/>
  <c r="I416" i="11"/>
  <c r="H416" i="11"/>
  <c r="G416" i="11"/>
  <c r="F416" i="11"/>
  <c r="E416" i="11"/>
  <c r="D416" i="11"/>
  <c r="C416" i="11"/>
  <c r="B416" i="11"/>
  <c r="A416" i="11"/>
  <c r="O415" i="11"/>
  <c r="N415" i="11"/>
  <c r="M415" i="11"/>
  <c r="L415" i="11"/>
  <c r="K415" i="11"/>
  <c r="J415" i="11"/>
  <c r="I415" i="11"/>
  <c r="H415" i="11"/>
  <c r="G415" i="11"/>
  <c r="F415" i="11"/>
  <c r="E415" i="11"/>
  <c r="D415" i="11"/>
  <c r="C415" i="11"/>
  <c r="B415" i="11"/>
  <c r="A415" i="11"/>
  <c r="O414" i="11"/>
  <c r="N414" i="11"/>
  <c r="M414" i="11"/>
  <c r="L414" i="11"/>
  <c r="K414" i="11"/>
  <c r="J414" i="11"/>
  <c r="I414" i="11"/>
  <c r="H414" i="11"/>
  <c r="G414" i="11"/>
  <c r="F414" i="11"/>
  <c r="E414" i="11"/>
  <c r="D414" i="11"/>
  <c r="C414" i="11"/>
  <c r="B414" i="11"/>
  <c r="A414" i="11"/>
  <c r="O413" i="11"/>
  <c r="N413" i="11"/>
  <c r="M413" i="11"/>
  <c r="L413" i="11"/>
  <c r="K413" i="11"/>
  <c r="J413" i="11"/>
  <c r="I413" i="11"/>
  <c r="H413" i="11"/>
  <c r="G413" i="11"/>
  <c r="F413" i="11"/>
  <c r="E413" i="11"/>
  <c r="D413" i="11"/>
  <c r="C413" i="11"/>
  <c r="B413" i="11"/>
  <c r="A413" i="11"/>
  <c r="O412" i="11"/>
  <c r="N412" i="11"/>
  <c r="M412" i="11"/>
  <c r="L412" i="11"/>
  <c r="K412" i="11"/>
  <c r="J412" i="11"/>
  <c r="I412" i="11"/>
  <c r="H412" i="11"/>
  <c r="G412" i="11"/>
  <c r="F412" i="11"/>
  <c r="E412" i="11"/>
  <c r="D412" i="11"/>
  <c r="C412" i="11"/>
  <c r="B412" i="11"/>
  <c r="A412" i="11"/>
  <c r="O411" i="11"/>
  <c r="N411" i="11"/>
  <c r="M411" i="11"/>
  <c r="L411" i="11"/>
  <c r="K411" i="11"/>
  <c r="J411" i="11"/>
  <c r="I411" i="11"/>
  <c r="H411" i="11"/>
  <c r="G411" i="11"/>
  <c r="F411" i="11"/>
  <c r="E411" i="11"/>
  <c r="D411" i="11"/>
  <c r="C411" i="11"/>
  <c r="B411" i="11"/>
  <c r="A411" i="11"/>
  <c r="O410" i="11"/>
  <c r="N410" i="11"/>
  <c r="M410" i="11"/>
  <c r="L410" i="11"/>
  <c r="K410" i="11"/>
  <c r="J410" i="11"/>
  <c r="I410" i="11"/>
  <c r="H410" i="11"/>
  <c r="G410" i="11"/>
  <c r="F410" i="11"/>
  <c r="E410" i="11"/>
  <c r="D410" i="11"/>
  <c r="C410" i="11"/>
  <c r="B410" i="11"/>
  <c r="A410" i="11"/>
  <c r="O409" i="11"/>
  <c r="N409" i="11"/>
  <c r="M409" i="11"/>
  <c r="L409" i="11"/>
  <c r="K409" i="11"/>
  <c r="J409" i="11"/>
  <c r="I409" i="11"/>
  <c r="H409" i="11"/>
  <c r="G409" i="11"/>
  <c r="F409" i="11"/>
  <c r="E409" i="11"/>
  <c r="D409" i="11"/>
  <c r="C409" i="11"/>
  <c r="B409" i="11"/>
  <c r="A409" i="11"/>
  <c r="O408" i="11"/>
  <c r="N408" i="11"/>
  <c r="M408" i="11"/>
  <c r="L408" i="11"/>
  <c r="K408" i="11"/>
  <c r="J408" i="11"/>
  <c r="I408" i="11"/>
  <c r="H408" i="11"/>
  <c r="G408" i="11"/>
  <c r="F408" i="11"/>
  <c r="E408" i="11"/>
  <c r="D408" i="11"/>
  <c r="C408" i="11"/>
  <c r="B408" i="11"/>
  <c r="A408" i="11"/>
  <c r="O407" i="11"/>
  <c r="N407" i="11"/>
  <c r="M407" i="11"/>
  <c r="L407" i="11"/>
  <c r="K407" i="11"/>
  <c r="J407" i="11"/>
  <c r="I407" i="11"/>
  <c r="H407" i="11"/>
  <c r="F407" i="11"/>
  <c r="E407" i="11"/>
  <c r="D407" i="11"/>
  <c r="C407" i="11"/>
  <c r="B407" i="11"/>
  <c r="A407" i="11"/>
  <c r="O406" i="11"/>
  <c r="N406" i="11"/>
  <c r="M406" i="11"/>
  <c r="L406" i="11"/>
  <c r="K406" i="11"/>
  <c r="J406" i="11"/>
  <c r="I406" i="11"/>
  <c r="H406" i="11"/>
  <c r="F406" i="11"/>
  <c r="E406" i="11"/>
  <c r="D406" i="11"/>
  <c r="C406" i="11"/>
  <c r="B406" i="11"/>
  <c r="A406" i="11"/>
  <c r="O405" i="11"/>
  <c r="N405" i="11"/>
  <c r="M405" i="11"/>
  <c r="L405" i="11"/>
  <c r="K405" i="11"/>
  <c r="J405" i="11"/>
  <c r="I405" i="11"/>
  <c r="H405" i="11"/>
  <c r="F405" i="11"/>
  <c r="E405" i="11"/>
  <c r="D405" i="11"/>
  <c r="C405" i="11"/>
  <c r="B405" i="11"/>
  <c r="A405" i="11"/>
  <c r="O404" i="11"/>
  <c r="N404" i="11"/>
  <c r="M404" i="11"/>
  <c r="L404" i="11"/>
  <c r="K404" i="11"/>
  <c r="J404" i="11"/>
  <c r="I404" i="11"/>
  <c r="H404" i="11"/>
  <c r="G404" i="11"/>
  <c r="F404" i="11"/>
  <c r="E404" i="11"/>
  <c r="D404" i="11"/>
  <c r="C404" i="11"/>
  <c r="B404" i="11"/>
  <c r="A404" i="11"/>
  <c r="O403" i="11"/>
  <c r="N403" i="11"/>
  <c r="M403" i="11"/>
  <c r="L403" i="11"/>
  <c r="K403" i="11"/>
  <c r="J403" i="11"/>
  <c r="I403" i="11"/>
  <c r="H403" i="11"/>
  <c r="G403" i="11"/>
  <c r="F403" i="11"/>
  <c r="E403" i="11"/>
  <c r="D403" i="11"/>
  <c r="C403" i="11"/>
  <c r="B403" i="11"/>
  <c r="A403" i="11"/>
  <c r="O402" i="11"/>
  <c r="N402" i="11"/>
  <c r="M402" i="11"/>
  <c r="L402" i="11"/>
  <c r="K402" i="11"/>
  <c r="J402" i="11"/>
  <c r="I402" i="11"/>
  <c r="H402" i="11"/>
  <c r="G402" i="11"/>
  <c r="F402" i="11"/>
  <c r="E402" i="11"/>
  <c r="D402" i="11"/>
  <c r="C402" i="11"/>
  <c r="B402" i="11"/>
  <c r="A402" i="11"/>
  <c r="O401" i="11"/>
  <c r="N401" i="11"/>
  <c r="M401" i="11"/>
  <c r="L401" i="11"/>
  <c r="K401" i="11"/>
  <c r="J401" i="11"/>
  <c r="I401" i="11"/>
  <c r="H401" i="11"/>
  <c r="G401" i="11"/>
  <c r="F401" i="11"/>
  <c r="E401" i="11"/>
  <c r="D401" i="11"/>
  <c r="C401" i="11"/>
  <c r="B401" i="11"/>
  <c r="A401" i="11"/>
  <c r="O400" i="11"/>
  <c r="N400" i="11"/>
  <c r="M400" i="11"/>
  <c r="L400" i="11"/>
  <c r="K400" i="11"/>
  <c r="J400" i="11"/>
  <c r="I400" i="11"/>
  <c r="H400" i="11"/>
  <c r="G400" i="11"/>
  <c r="F400" i="11"/>
  <c r="E400" i="11"/>
  <c r="D400" i="11"/>
  <c r="C400" i="11"/>
  <c r="B400" i="11"/>
  <c r="A400" i="11"/>
  <c r="O399" i="11"/>
  <c r="N399" i="11"/>
  <c r="M399" i="11"/>
  <c r="L399" i="11"/>
  <c r="K399" i="11"/>
  <c r="J399" i="11"/>
  <c r="I399" i="11"/>
  <c r="H399" i="11"/>
  <c r="G399" i="11"/>
  <c r="F399" i="11"/>
  <c r="E399" i="11"/>
  <c r="D399" i="11"/>
  <c r="C399" i="11"/>
  <c r="B399" i="11"/>
  <c r="A399" i="11"/>
  <c r="O398" i="11"/>
  <c r="N398" i="11"/>
  <c r="M398" i="11"/>
  <c r="L398" i="11"/>
  <c r="K398" i="11"/>
  <c r="J398" i="11"/>
  <c r="I398" i="11"/>
  <c r="H398" i="11"/>
  <c r="G398" i="11"/>
  <c r="F398" i="11"/>
  <c r="E398" i="11"/>
  <c r="D398" i="11"/>
  <c r="C398" i="11"/>
  <c r="B398" i="11"/>
  <c r="A398" i="11"/>
  <c r="O397" i="11"/>
  <c r="N397" i="11"/>
  <c r="M397" i="11"/>
  <c r="L397" i="11"/>
  <c r="K397" i="11"/>
  <c r="J397" i="11"/>
  <c r="I397" i="11"/>
  <c r="H397" i="11"/>
  <c r="G397" i="11"/>
  <c r="F397" i="11"/>
  <c r="E397" i="11"/>
  <c r="D397" i="11"/>
  <c r="C397" i="11"/>
  <c r="B397" i="11"/>
  <c r="A397" i="11"/>
  <c r="O396" i="11"/>
  <c r="N396" i="11"/>
  <c r="M396" i="11"/>
  <c r="L396" i="11"/>
  <c r="K396" i="11"/>
  <c r="J396" i="11"/>
  <c r="I396" i="11"/>
  <c r="H396" i="11"/>
  <c r="E396" i="11"/>
  <c r="D396" i="11"/>
  <c r="C396" i="11"/>
  <c r="B396" i="11"/>
  <c r="A396" i="11"/>
  <c r="O395" i="11"/>
  <c r="N395" i="11"/>
  <c r="M395" i="11"/>
  <c r="L395" i="11"/>
  <c r="K395" i="11"/>
  <c r="J395" i="11"/>
  <c r="I395" i="11"/>
  <c r="H395" i="11"/>
  <c r="E395" i="11"/>
  <c r="D395" i="11"/>
  <c r="C395" i="11"/>
  <c r="B395" i="11"/>
  <c r="A395" i="11"/>
  <c r="O394" i="11"/>
  <c r="N394" i="11"/>
  <c r="M394" i="11"/>
  <c r="L394" i="11"/>
  <c r="K394" i="11"/>
  <c r="J394" i="11"/>
  <c r="I394" i="11"/>
  <c r="H394" i="11"/>
  <c r="E394" i="11"/>
  <c r="D394" i="11"/>
  <c r="C394" i="11"/>
  <c r="B394" i="11"/>
  <c r="A394" i="11"/>
  <c r="O393" i="11"/>
  <c r="N393" i="11"/>
  <c r="M393" i="11"/>
  <c r="L393" i="11"/>
  <c r="K393" i="11"/>
  <c r="J393" i="11"/>
  <c r="I393" i="11"/>
  <c r="H393" i="11"/>
  <c r="E393" i="11"/>
  <c r="D393" i="11"/>
  <c r="C393" i="11"/>
  <c r="B393" i="11"/>
  <c r="A393" i="11"/>
  <c r="O392" i="11"/>
  <c r="N392" i="11"/>
  <c r="M392" i="11"/>
  <c r="L392" i="11"/>
  <c r="K392" i="11"/>
  <c r="J392" i="11"/>
  <c r="I392" i="11"/>
  <c r="H392" i="11"/>
  <c r="E392" i="11"/>
  <c r="D392" i="11"/>
  <c r="C392" i="11"/>
  <c r="B392" i="11"/>
  <c r="A392" i="11"/>
  <c r="O391" i="11"/>
  <c r="N391" i="11"/>
  <c r="M391" i="11"/>
  <c r="L391" i="11"/>
  <c r="K391" i="11"/>
  <c r="J391" i="11"/>
  <c r="I391" i="11"/>
  <c r="H391" i="11"/>
  <c r="E391" i="11"/>
  <c r="D391" i="11"/>
  <c r="C391" i="11"/>
  <c r="B391" i="11"/>
  <c r="A391" i="11"/>
  <c r="O390" i="11"/>
  <c r="N390" i="11"/>
  <c r="M390" i="11"/>
  <c r="L390" i="11"/>
  <c r="K390" i="11"/>
  <c r="J390" i="11"/>
  <c r="I390" i="11"/>
  <c r="H390" i="11"/>
  <c r="E390" i="11"/>
  <c r="D390" i="11"/>
  <c r="C390" i="11"/>
  <c r="B390" i="11"/>
  <c r="A390" i="11"/>
  <c r="O389" i="11"/>
  <c r="N389" i="11"/>
  <c r="M389" i="11"/>
  <c r="L389" i="11"/>
  <c r="K389" i="11"/>
  <c r="J389" i="11"/>
  <c r="I389" i="11"/>
  <c r="H389" i="11"/>
  <c r="F389" i="11"/>
  <c r="E389" i="11"/>
  <c r="D389" i="11"/>
  <c r="C389" i="11"/>
  <c r="B389" i="11"/>
  <c r="A389" i="11"/>
  <c r="O388" i="11"/>
  <c r="N388" i="11"/>
  <c r="M388" i="11"/>
  <c r="L388" i="11"/>
  <c r="K388" i="11"/>
  <c r="J388" i="11"/>
  <c r="I388" i="11"/>
  <c r="H388" i="11"/>
  <c r="G388" i="11"/>
  <c r="F388" i="11"/>
  <c r="E388" i="11"/>
  <c r="D388" i="11"/>
  <c r="C388" i="11"/>
  <c r="B388" i="11"/>
  <c r="A388" i="11"/>
  <c r="O387" i="11"/>
  <c r="N387" i="11"/>
  <c r="M387" i="11"/>
  <c r="L387" i="11"/>
  <c r="K387" i="11"/>
  <c r="J387" i="11"/>
  <c r="I387" i="11"/>
  <c r="H387" i="11"/>
  <c r="G387" i="11"/>
  <c r="F387" i="11"/>
  <c r="E387" i="11"/>
  <c r="D387" i="11"/>
  <c r="C387" i="11"/>
  <c r="B387" i="11"/>
  <c r="A387" i="11"/>
  <c r="O386" i="11"/>
  <c r="N386" i="11"/>
  <c r="M386" i="11"/>
  <c r="L386" i="11"/>
  <c r="K386" i="11"/>
  <c r="J386" i="11"/>
  <c r="I386" i="11"/>
  <c r="H386" i="11"/>
  <c r="G386" i="11"/>
  <c r="F386" i="11"/>
  <c r="E386" i="11"/>
  <c r="D386" i="11"/>
  <c r="C386" i="11"/>
  <c r="B386" i="11"/>
  <c r="A386" i="11"/>
  <c r="O385" i="11"/>
  <c r="N385" i="11"/>
  <c r="M385" i="11"/>
  <c r="L385" i="11"/>
  <c r="K385" i="11"/>
  <c r="J385" i="11"/>
  <c r="I385" i="11"/>
  <c r="H385" i="11"/>
  <c r="G385" i="11"/>
  <c r="F385" i="11"/>
  <c r="E385" i="11"/>
  <c r="D385" i="11"/>
  <c r="C385" i="11"/>
  <c r="B385" i="11"/>
  <c r="A385" i="11"/>
  <c r="O384" i="11"/>
  <c r="N384" i="11"/>
  <c r="M384" i="11"/>
  <c r="L384" i="11"/>
  <c r="K384" i="11"/>
  <c r="J384" i="11"/>
  <c r="I384" i="11"/>
  <c r="H384" i="11"/>
  <c r="G384" i="11"/>
  <c r="F384" i="11"/>
  <c r="E384" i="11"/>
  <c r="D384" i="11"/>
  <c r="C384" i="11"/>
  <c r="B384" i="11"/>
  <c r="A384" i="11"/>
  <c r="O383" i="11"/>
  <c r="N383" i="11"/>
  <c r="M383" i="11"/>
  <c r="L383" i="11"/>
  <c r="K383" i="11"/>
  <c r="J383" i="11"/>
  <c r="I383" i="11"/>
  <c r="H383" i="11"/>
  <c r="G383" i="11"/>
  <c r="F383" i="11"/>
  <c r="E383" i="11"/>
  <c r="D383" i="11"/>
  <c r="C383" i="11"/>
  <c r="B383" i="11"/>
  <c r="A383" i="11"/>
  <c r="O382" i="11"/>
  <c r="N382" i="11"/>
  <c r="M382" i="11"/>
  <c r="L382" i="11"/>
  <c r="K382" i="11"/>
  <c r="J382" i="11"/>
  <c r="I382" i="11"/>
  <c r="H382" i="11"/>
  <c r="G382" i="11"/>
  <c r="F382" i="11"/>
  <c r="E382" i="11"/>
  <c r="D382" i="11"/>
  <c r="C382" i="11"/>
  <c r="B382" i="11"/>
  <c r="A382" i="11"/>
  <c r="O381" i="11"/>
  <c r="N381" i="11"/>
  <c r="M381" i="11"/>
  <c r="L381" i="11"/>
  <c r="K381" i="11"/>
  <c r="J381" i="11"/>
  <c r="I381" i="11"/>
  <c r="H381" i="11"/>
  <c r="G381" i="11"/>
  <c r="F381" i="11"/>
  <c r="E381" i="11"/>
  <c r="D381" i="11"/>
  <c r="C381" i="11"/>
  <c r="B381" i="11"/>
  <c r="A381" i="11"/>
  <c r="O380" i="11"/>
  <c r="N380" i="11"/>
  <c r="M380" i="11"/>
  <c r="L380" i="11"/>
  <c r="K380" i="11"/>
  <c r="J380" i="11"/>
  <c r="I380" i="11"/>
  <c r="H380" i="11"/>
  <c r="G380" i="11"/>
  <c r="F380" i="11"/>
  <c r="E380" i="11"/>
  <c r="D380" i="11"/>
  <c r="C380" i="11"/>
  <c r="B380" i="11"/>
  <c r="A380" i="11"/>
  <c r="O379" i="11"/>
  <c r="N379" i="11"/>
  <c r="M379" i="11"/>
  <c r="L379" i="11"/>
  <c r="K379" i="11"/>
  <c r="J379" i="11"/>
  <c r="I379" i="11"/>
  <c r="H379" i="11"/>
  <c r="G379" i="11"/>
  <c r="F379" i="11"/>
  <c r="E379" i="11"/>
  <c r="D379" i="11"/>
  <c r="C379" i="11"/>
  <c r="B379" i="11"/>
  <c r="A379" i="11"/>
  <c r="O378" i="11"/>
  <c r="N378" i="11"/>
  <c r="M378" i="11"/>
  <c r="L378" i="11"/>
  <c r="K378" i="11"/>
  <c r="J378" i="11"/>
  <c r="I378" i="11"/>
  <c r="H378" i="11"/>
  <c r="F378" i="11"/>
  <c r="E378" i="11"/>
  <c r="D378" i="11"/>
  <c r="C378" i="11"/>
  <c r="B378" i="11"/>
  <c r="A378" i="11"/>
  <c r="O377" i="11"/>
  <c r="N377" i="11"/>
  <c r="M377" i="11"/>
  <c r="L377" i="11"/>
  <c r="K377" i="11"/>
  <c r="J377" i="11"/>
  <c r="I377" i="11"/>
  <c r="H377" i="11"/>
  <c r="G377" i="11"/>
  <c r="F377" i="11"/>
  <c r="E377" i="11"/>
  <c r="D377" i="11"/>
  <c r="C377" i="11"/>
  <c r="B377" i="11"/>
  <c r="A377" i="11"/>
  <c r="O376" i="11"/>
  <c r="N376" i="11"/>
  <c r="M376" i="11"/>
  <c r="L376" i="11"/>
  <c r="K376" i="11"/>
  <c r="J376" i="11"/>
  <c r="I376" i="11"/>
  <c r="H376" i="11"/>
  <c r="G376" i="11"/>
  <c r="F376" i="11"/>
  <c r="E376" i="11"/>
  <c r="D376" i="11"/>
  <c r="C376" i="11"/>
  <c r="B376" i="11"/>
  <c r="A376" i="11"/>
  <c r="O375" i="11"/>
  <c r="N375" i="11"/>
  <c r="M375" i="11"/>
  <c r="L375" i="11"/>
  <c r="K375" i="11"/>
  <c r="J375" i="11"/>
  <c r="I375" i="11"/>
  <c r="H375" i="11"/>
  <c r="G375" i="11"/>
  <c r="F375" i="11"/>
  <c r="E375" i="11"/>
  <c r="D375" i="11"/>
  <c r="C375" i="11"/>
  <c r="B375" i="11"/>
  <c r="A375" i="11"/>
  <c r="O374" i="11"/>
  <c r="N374" i="11"/>
  <c r="M374" i="11"/>
  <c r="L374" i="11"/>
  <c r="K374" i="11"/>
  <c r="J374" i="11"/>
  <c r="I374" i="11"/>
  <c r="H374" i="11"/>
  <c r="G374" i="11"/>
  <c r="F374" i="11"/>
  <c r="E374" i="11"/>
  <c r="D374" i="11"/>
  <c r="C374" i="11"/>
  <c r="B374" i="11"/>
  <c r="A374" i="11"/>
  <c r="O373" i="11"/>
  <c r="N373" i="11"/>
  <c r="M373" i="11"/>
  <c r="L373" i="11"/>
  <c r="K373" i="11"/>
  <c r="J373" i="11"/>
  <c r="I373" i="11"/>
  <c r="H373" i="11"/>
  <c r="G373" i="11"/>
  <c r="F373" i="11"/>
  <c r="E373" i="11"/>
  <c r="D373" i="11"/>
  <c r="C373" i="11"/>
  <c r="B373" i="11"/>
  <c r="A373" i="11"/>
  <c r="O372" i="11"/>
  <c r="N372" i="11"/>
  <c r="M372" i="11"/>
  <c r="L372" i="11"/>
  <c r="K372" i="11"/>
  <c r="J372" i="11"/>
  <c r="I372" i="11"/>
  <c r="H372" i="11"/>
  <c r="E372" i="11"/>
  <c r="D372" i="11"/>
  <c r="C372" i="11"/>
  <c r="B372" i="11"/>
  <c r="A372" i="11"/>
  <c r="O371" i="11"/>
  <c r="N371" i="11"/>
  <c r="M371" i="11"/>
  <c r="L371" i="11"/>
  <c r="K371" i="11"/>
  <c r="J371" i="11"/>
  <c r="I371" i="11"/>
  <c r="H371" i="11"/>
  <c r="E371" i="11"/>
  <c r="D371" i="11"/>
  <c r="C371" i="11"/>
  <c r="B371" i="11"/>
  <c r="A371" i="11"/>
  <c r="O370" i="11"/>
  <c r="N370" i="11"/>
  <c r="M370" i="11"/>
  <c r="L370" i="11"/>
  <c r="K370" i="11"/>
  <c r="J370" i="11"/>
  <c r="I370" i="11"/>
  <c r="H370" i="11"/>
  <c r="E370" i="11"/>
  <c r="D370" i="11"/>
  <c r="C370" i="11"/>
  <c r="B370" i="11"/>
  <c r="A370" i="11"/>
  <c r="O369" i="11"/>
  <c r="N369" i="11"/>
  <c r="M369" i="11"/>
  <c r="L369" i="11"/>
  <c r="K369" i="11"/>
  <c r="J369" i="11"/>
  <c r="I369" i="11"/>
  <c r="H369" i="11"/>
  <c r="E369" i="11"/>
  <c r="D369" i="11"/>
  <c r="C369" i="11"/>
  <c r="B369" i="11"/>
  <c r="A369" i="11"/>
  <c r="O368" i="11"/>
  <c r="N368" i="11"/>
  <c r="M368" i="11"/>
  <c r="L368" i="11"/>
  <c r="K368" i="11"/>
  <c r="J368" i="11"/>
  <c r="I368" i="11"/>
  <c r="H368" i="11"/>
  <c r="E368" i="11"/>
  <c r="D368" i="11"/>
  <c r="C368" i="11"/>
  <c r="B368" i="11"/>
  <c r="A368" i="11"/>
  <c r="O367" i="11"/>
  <c r="N367" i="11"/>
  <c r="M367" i="11"/>
  <c r="L367" i="11"/>
  <c r="K367" i="11"/>
  <c r="J367" i="11"/>
  <c r="I367" i="11"/>
  <c r="H367" i="11"/>
  <c r="E367" i="11"/>
  <c r="D367" i="11"/>
  <c r="C367" i="11"/>
  <c r="B367" i="11"/>
  <c r="A367" i="11"/>
  <c r="O366" i="11"/>
  <c r="N366" i="11"/>
  <c r="M366" i="11"/>
  <c r="L366" i="11"/>
  <c r="K366" i="11"/>
  <c r="J366" i="11"/>
  <c r="I366" i="11"/>
  <c r="H366" i="11"/>
  <c r="E366" i="11"/>
  <c r="D366" i="11"/>
  <c r="C366" i="11"/>
  <c r="B366" i="11"/>
  <c r="A366" i="11"/>
  <c r="O365" i="11"/>
  <c r="N365" i="11"/>
  <c r="M365" i="11"/>
  <c r="L365" i="11"/>
  <c r="K365" i="11"/>
  <c r="J365" i="11"/>
  <c r="I365" i="11"/>
  <c r="H365" i="11"/>
  <c r="G365" i="11"/>
  <c r="F365" i="11"/>
  <c r="E365" i="11"/>
  <c r="D365" i="11"/>
  <c r="C365" i="11"/>
  <c r="B365" i="11"/>
  <c r="A365" i="11"/>
  <c r="O364" i="11"/>
  <c r="N364" i="11"/>
  <c r="M364" i="11"/>
  <c r="L364" i="11"/>
  <c r="K364" i="11"/>
  <c r="J364" i="11"/>
  <c r="I364" i="11"/>
  <c r="H364" i="11"/>
  <c r="G364" i="11"/>
  <c r="F364" i="11"/>
  <c r="E364" i="11"/>
  <c r="D364" i="11"/>
  <c r="C364" i="11"/>
  <c r="B364" i="11"/>
  <c r="A364" i="11"/>
  <c r="O363" i="11"/>
  <c r="N363" i="11"/>
  <c r="M363" i="11"/>
  <c r="L363" i="11"/>
  <c r="K363" i="11"/>
  <c r="J363" i="11"/>
  <c r="I363" i="11"/>
  <c r="H363" i="11"/>
  <c r="G363" i="11"/>
  <c r="F363" i="11"/>
  <c r="E363" i="11"/>
  <c r="D363" i="11"/>
  <c r="C363" i="11"/>
  <c r="B363" i="11"/>
  <c r="A363" i="11"/>
  <c r="O362" i="11"/>
  <c r="N362" i="11"/>
  <c r="M362" i="11"/>
  <c r="L362" i="11"/>
  <c r="K362" i="11"/>
  <c r="J362" i="11"/>
  <c r="I362" i="11"/>
  <c r="H362" i="11"/>
  <c r="F362" i="11"/>
  <c r="E362" i="11"/>
  <c r="D362" i="11"/>
  <c r="C362" i="11"/>
  <c r="B362" i="11"/>
  <c r="A362" i="11"/>
  <c r="O361" i="11"/>
  <c r="N361" i="11"/>
  <c r="M361" i="11"/>
  <c r="L361" i="11"/>
  <c r="K361" i="11"/>
  <c r="J361" i="11"/>
  <c r="I361" i="11"/>
  <c r="H361" i="11"/>
  <c r="G361" i="11"/>
  <c r="F361" i="11"/>
  <c r="E361" i="11"/>
  <c r="D361" i="11"/>
  <c r="C361" i="11"/>
  <c r="B361" i="11"/>
  <c r="A361" i="11"/>
  <c r="O360" i="11"/>
  <c r="N360" i="11"/>
  <c r="M360" i="11"/>
  <c r="L360" i="11"/>
  <c r="K360" i="11"/>
  <c r="J360" i="11"/>
  <c r="I360" i="11"/>
  <c r="H360" i="11"/>
  <c r="G360" i="11"/>
  <c r="F360" i="11"/>
  <c r="E360" i="11"/>
  <c r="D360" i="11"/>
  <c r="C360" i="11"/>
  <c r="B360" i="11"/>
  <c r="A360" i="11"/>
  <c r="O359" i="11"/>
  <c r="N359" i="11"/>
  <c r="M359" i="11"/>
  <c r="L359" i="11"/>
  <c r="K359" i="11"/>
  <c r="J359" i="11"/>
  <c r="I359" i="11"/>
  <c r="H359" i="11"/>
  <c r="G359" i="11"/>
  <c r="F359" i="11"/>
  <c r="E359" i="11"/>
  <c r="D359" i="11"/>
  <c r="C359" i="11"/>
  <c r="B359" i="11"/>
  <c r="A359" i="11"/>
  <c r="O358" i="11"/>
  <c r="N358" i="11"/>
  <c r="M358" i="11"/>
  <c r="L358" i="11"/>
  <c r="K358" i="11"/>
  <c r="J358" i="11"/>
  <c r="I358" i="11"/>
  <c r="H358" i="11"/>
  <c r="G358" i="11"/>
  <c r="F358" i="11"/>
  <c r="E358" i="11"/>
  <c r="D358" i="11"/>
  <c r="C358" i="11"/>
  <c r="B358" i="11"/>
  <c r="A358" i="11"/>
  <c r="O357" i="11"/>
  <c r="N357" i="11"/>
  <c r="M357" i="11"/>
  <c r="L357" i="11"/>
  <c r="K357" i="11"/>
  <c r="J357" i="11"/>
  <c r="I357" i="11"/>
  <c r="H357" i="11"/>
  <c r="G357" i="11"/>
  <c r="F357" i="11"/>
  <c r="E357" i="11"/>
  <c r="D357" i="11"/>
  <c r="C357" i="11"/>
  <c r="B357" i="11"/>
  <c r="A357" i="11"/>
  <c r="O356" i="11"/>
  <c r="N356" i="11"/>
  <c r="M356" i="11"/>
  <c r="L356" i="11"/>
  <c r="K356" i="11"/>
  <c r="J356" i="11"/>
  <c r="I356" i="11"/>
  <c r="H356" i="11"/>
  <c r="G356" i="11"/>
  <c r="F356" i="11"/>
  <c r="E356" i="11"/>
  <c r="D356" i="11"/>
  <c r="C356" i="11"/>
  <c r="B356" i="11"/>
  <c r="A356" i="11"/>
  <c r="O355" i="11"/>
  <c r="N355" i="11"/>
  <c r="M355" i="11"/>
  <c r="L355" i="11"/>
  <c r="K355" i="11"/>
  <c r="J355" i="11"/>
  <c r="I355" i="11"/>
  <c r="H355" i="11"/>
  <c r="G355" i="11"/>
  <c r="F355" i="11"/>
  <c r="E355" i="11"/>
  <c r="D355" i="11"/>
  <c r="C355" i="11"/>
  <c r="B355" i="11"/>
  <c r="A355" i="11"/>
  <c r="O354" i="11"/>
  <c r="N354" i="11"/>
  <c r="M354" i="11"/>
  <c r="L354" i="11"/>
  <c r="K354" i="11"/>
  <c r="J354" i="11"/>
  <c r="I354" i="11"/>
  <c r="H354" i="11"/>
  <c r="G354" i="11"/>
  <c r="F354" i="11"/>
  <c r="E354" i="11"/>
  <c r="D354" i="11"/>
  <c r="C354" i="11"/>
  <c r="B354" i="11"/>
  <c r="A354" i="11"/>
  <c r="O353" i="11"/>
  <c r="N353" i="11"/>
  <c r="M353" i="11"/>
  <c r="L353" i="11"/>
  <c r="K353" i="11"/>
  <c r="J353" i="11"/>
  <c r="I353" i="11"/>
  <c r="H353" i="11"/>
  <c r="G353" i="11"/>
  <c r="F353" i="11"/>
  <c r="E353" i="11"/>
  <c r="D353" i="11"/>
  <c r="C353" i="11"/>
  <c r="B353" i="11"/>
  <c r="A353" i="11"/>
  <c r="O352" i="11"/>
  <c r="N352" i="11"/>
  <c r="M352" i="11"/>
  <c r="L352" i="11"/>
  <c r="K352" i="11"/>
  <c r="J352" i="11"/>
  <c r="I352" i="11"/>
  <c r="H352" i="11"/>
  <c r="G352" i="11"/>
  <c r="F352" i="11"/>
  <c r="E352" i="11"/>
  <c r="D352" i="11"/>
  <c r="C352" i="11"/>
  <c r="B352" i="11"/>
  <c r="A352" i="11"/>
  <c r="O351" i="11"/>
  <c r="N351" i="11"/>
  <c r="M351" i="11"/>
  <c r="L351" i="11"/>
  <c r="K351" i="11"/>
  <c r="J351" i="11"/>
  <c r="I351" i="11"/>
  <c r="H351" i="11"/>
  <c r="G351" i="11"/>
  <c r="F351" i="11"/>
  <c r="E351" i="11"/>
  <c r="D351" i="11"/>
  <c r="C351" i="11"/>
  <c r="B351" i="11"/>
  <c r="A351" i="11"/>
  <c r="O350" i="11"/>
  <c r="N350" i="11"/>
  <c r="M350" i="11"/>
  <c r="L350" i="11"/>
  <c r="K350" i="11"/>
  <c r="J350" i="11"/>
  <c r="I350" i="11"/>
  <c r="H350" i="11"/>
  <c r="G350" i="11"/>
  <c r="F350" i="11"/>
  <c r="E350" i="11"/>
  <c r="D350" i="11"/>
  <c r="C350" i="11"/>
  <c r="B350" i="11"/>
  <c r="A350" i="11"/>
  <c r="O349" i="11"/>
  <c r="N349" i="11"/>
  <c r="M349" i="11"/>
  <c r="L349" i="11"/>
  <c r="K349" i="11"/>
  <c r="J349" i="11"/>
  <c r="I349" i="11"/>
  <c r="H349" i="11"/>
  <c r="G349" i="11"/>
  <c r="F349" i="11"/>
  <c r="E349" i="11"/>
  <c r="D349" i="11"/>
  <c r="C349" i="11"/>
  <c r="B349" i="11"/>
  <c r="A349" i="11"/>
  <c r="O348" i="11"/>
  <c r="N348" i="11"/>
  <c r="M348" i="11"/>
  <c r="L348" i="11"/>
  <c r="K348" i="11"/>
  <c r="J348" i="11"/>
  <c r="I348" i="11"/>
  <c r="H348" i="11"/>
  <c r="G348" i="11"/>
  <c r="F348" i="11"/>
  <c r="E348" i="11"/>
  <c r="D348" i="11"/>
  <c r="C348" i="11"/>
  <c r="B348" i="11"/>
  <c r="A348" i="11"/>
  <c r="O347" i="11"/>
  <c r="N347" i="11"/>
  <c r="M347" i="11"/>
  <c r="L347" i="11"/>
  <c r="K347" i="11"/>
  <c r="J347" i="11"/>
  <c r="I347" i="11"/>
  <c r="H347" i="11"/>
  <c r="G347" i="11"/>
  <c r="F347" i="11"/>
  <c r="E347" i="11"/>
  <c r="D347" i="11"/>
  <c r="C347" i="11"/>
  <c r="B347" i="11"/>
  <c r="A347" i="11"/>
  <c r="O346" i="11"/>
  <c r="N346" i="11"/>
  <c r="M346" i="11"/>
  <c r="L346" i="11"/>
  <c r="K346" i="11"/>
  <c r="J346" i="11"/>
  <c r="I346" i="11"/>
  <c r="H346" i="11"/>
  <c r="G346" i="11"/>
  <c r="F346" i="11"/>
  <c r="E346" i="11"/>
  <c r="D346" i="11"/>
  <c r="C346" i="11"/>
  <c r="B346" i="11"/>
  <c r="A346" i="11"/>
  <c r="O345" i="11"/>
  <c r="N345" i="11"/>
  <c r="M345" i="11"/>
  <c r="L345" i="11"/>
  <c r="K345" i="11"/>
  <c r="J345" i="11"/>
  <c r="I345" i="11"/>
  <c r="H345" i="11"/>
  <c r="G345" i="11"/>
  <c r="F345" i="11"/>
  <c r="E345" i="11"/>
  <c r="D345" i="11"/>
  <c r="C345" i="11"/>
  <c r="B345" i="11"/>
  <c r="A345" i="11"/>
  <c r="O344" i="11"/>
  <c r="N344" i="11"/>
  <c r="M344" i="11"/>
  <c r="L344" i="11"/>
  <c r="K344" i="11"/>
  <c r="J344" i="11"/>
  <c r="I344" i="11"/>
  <c r="H344" i="11"/>
  <c r="F344" i="11"/>
  <c r="E344" i="11"/>
  <c r="D344" i="11"/>
  <c r="C344" i="11"/>
  <c r="B344" i="11"/>
  <c r="A344" i="11"/>
  <c r="O343" i="11"/>
  <c r="N343" i="11"/>
  <c r="M343" i="11"/>
  <c r="L343" i="11"/>
  <c r="K343" i="11"/>
  <c r="J343" i="11"/>
  <c r="I343" i="11"/>
  <c r="H343" i="11"/>
  <c r="F343" i="11"/>
  <c r="E343" i="11"/>
  <c r="D343" i="11"/>
  <c r="C343" i="11"/>
  <c r="B343" i="11"/>
  <c r="A343" i="11"/>
  <c r="O342" i="11"/>
  <c r="N342" i="11"/>
  <c r="M342" i="11"/>
  <c r="L342" i="11"/>
  <c r="K342" i="11"/>
  <c r="J342" i="11"/>
  <c r="I342" i="11"/>
  <c r="H342" i="11"/>
  <c r="G342" i="11"/>
  <c r="F342" i="11"/>
  <c r="E342" i="11"/>
  <c r="D342" i="11"/>
  <c r="C342" i="11"/>
  <c r="B342" i="11"/>
  <c r="A342" i="11"/>
  <c r="O341" i="11"/>
  <c r="N341" i="11"/>
  <c r="M341" i="11"/>
  <c r="L341" i="11"/>
  <c r="K341" i="11"/>
  <c r="J341" i="11"/>
  <c r="I341" i="11"/>
  <c r="H341" i="11"/>
  <c r="G341" i="11"/>
  <c r="F341" i="11"/>
  <c r="E341" i="11"/>
  <c r="D341" i="11"/>
  <c r="C341" i="11"/>
  <c r="B341" i="11"/>
  <c r="A341" i="11"/>
  <c r="O340" i="11"/>
  <c r="N340" i="11"/>
  <c r="M340" i="11"/>
  <c r="L340" i="11"/>
  <c r="K340" i="11"/>
  <c r="J340" i="11"/>
  <c r="I340" i="11"/>
  <c r="H340" i="11"/>
  <c r="G340" i="11"/>
  <c r="F340" i="11"/>
  <c r="E340" i="11"/>
  <c r="D340" i="11"/>
  <c r="C340" i="11"/>
  <c r="B340" i="11"/>
  <c r="A340" i="11"/>
  <c r="O339" i="11"/>
  <c r="N339" i="11"/>
  <c r="M339" i="11"/>
  <c r="L339" i="11"/>
  <c r="K339" i="11"/>
  <c r="J339" i="11"/>
  <c r="I339" i="11"/>
  <c r="H339" i="11"/>
  <c r="G339" i="11"/>
  <c r="F339" i="11"/>
  <c r="E339" i="11"/>
  <c r="D339" i="11"/>
  <c r="C339" i="11"/>
  <c r="B339" i="11"/>
  <c r="A339" i="11"/>
  <c r="O338" i="11"/>
  <c r="N338" i="11"/>
  <c r="M338" i="11"/>
  <c r="L338" i="11"/>
  <c r="K338" i="11"/>
  <c r="J338" i="11"/>
  <c r="I338" i="11"/>
  <c r="H338" i="11"/>
  <c r="G338" i="11"/>
  <c r="F338" i="11"/>
  <c r="E338" i="11"/>
  <c r="D338" i="11"/>
  <c r="C338" i="11"/>
  <c r="B338" i="11"/>
  <c r="A338" i="11"/>
  <c r="O337" i="11"/>
  <c r="N337" i="11"/>
  <c r="M337" i="11"/>
  <c r="L337" i="11"/>
  <c r="K337" i="11"/>
  <c r="J337" i="11"/>
  <c r="I337" i="11"/>
  <c r="H337" i="11"/>
  <c r="G337" i="11"/>
  <c r="F337" i="11"/>
  <c r="E337" i="11"/>
  <c r="D337" i="11"/>
  <c r="C337" i="11"/>
  <c r="B337" i="11"/>
  <c r="A337" i="11"/>
  <c r="O336" i="11"/>
  <c r="N336" i="11"/>
  <c r="M336" i="11"/>
  <c r="L336" i="11"/>
  <c r="K336" i="11"/>
  <c r="J336" i="11"/>
  <c r="I336" i="11"/>
  <c r="H336" i="11"/>
  <c r="G336" i="11"/>
  <c r="F336" i="11"/>
  <c r="E336" i="11"/>
  <c r="D336" i="11"/>
  <c r="C336" i="11"/>
  <c r="B336" i="11"/>
  <c r="A336" i="11"/>
  <c r="O335" i="11"/>
  <c r="N335" i="11"/>
  <c r="M335" i="11"/>
  <c r="L335" i="11"/>
  <c r="K335" i="11"/>
  <c r="J335" i="11"/>
  <c r="I335" i="11"/>
  <c r="H335" i="11"/>
  <c r="G335" i="11"/>
  <c r="F335" i="11"/>
  <c r="E335" i="11"/>
  <c r="D335" i="11"/>
  <c r="C335" i="11"/>
  <c r="B335" i="11"/>
  <c r="A335" i="11"/>
  <c r="O334" i="11"/>
  <c r="N334" i="11"/>
  <c r="M334" i="11"/>
  <c r="L334" i="11"/>
  <c r="K334" i="11"/>
  <c r="J334" i="11"/>
  <c r="I334" i="11"/>
  <c r="H334" i="11"/>
  <c r="G334" i="11"/>
  <c r="F334" i="11"/>
  <c r="E334" i="11"/>
  <c r="D334" i="11"/>
  <c r="C334" i="11"/>
  <c r="B334" i="11"/>
  <c r="A334" i="11"/>
  <c r="O333" i="11"/>
  <c r="N333" i="11"/>
  <c r="M333" i="11"/>
  <c r="L333" i="11"/>
  <c r="K333" i="11"/>
  <c r="J333" i="11"/>
  <c r="I333" i="11"/>
  <c r="H333" i="11"/>
  <c r="G333" i="11"/>
  <c r="F333" i="11"/>
  <c r="E333" i="11"/>
  <c r="D333" i="11"/>
  <c r="C333" i="11"/>
  <c r="B333" i="11"/>
  <c r="A333" i="11"/>
  <c r="O332" i="11"/>
  <c r="N332" i="11"/>
  <c r="M332" i="11"/>
  <c r="L332" i="11"/>
  <c r="K332" i="11"/>
  <c r="J332" i="11"/>
  <c r="I332" i="11"/>
  <c r="H332" i="11"/>
  <c r="F332" i="11"/>
  <c r="E332" i="11"/>
  <c r="D332" i="11"/>
  <c r="C332" i="11"/>
  <c r="B332" i="11"/>
  <c r="A332" i="11"/>
  <c r="O331" i="11"/>
  <c r="N331" i="11"/>
  <c r="M331" i="11"/>
  <c r="L331" i="11"/>
  <c r="K331" i="11"/>
  <c r="J331" i="11"/>
  <c r="I331" i="11"/>
  <c r="H331" i="11"/>
  <c r="F331" i="11"/>
  <c r="E331" i="11"/>
  <c r="D331" i="11"/>
  <c r="C331" i="11"/>
  <c r="B331" i="11"/>
  <c r="A331" i="11"/>
  <c r="O330" i="11"/>
  <c r="N330" i="11"/>
  <c r="M330" i="11"/>
  <c r="L330" i="11"/>
  <c r="K330" i="11"/>
  <c r="J330" i="11"/>
  <c r="I330" i="11"/>
  <c r="H330" i="11"/>
  <c r="F330" i="11"/>
  <c r="E330" i="11"/>
  <c r="D330" i="11"/>
  <c r="C330" i="11"/>
  <c r="B330" i="11"/>
  <c r="A330" i="11"/>
  <c r="O329" i="11"/>
  <c r="N329" i="11"/>
  <c r="M329" i="11"/>
  <c r="L329" i="11"/>
  <c r="K329" i="11"/>
  <c r="J329" i="11"/>
  <c r="I329" i="11"/>
  <c r="H329" i="11"/>
  <c r="F329" i="11"/>
  <c r="E329" i="11"/>
  <c r="D329" i="11"/>
  <c r="C329" i="11"/>
  <c r="B329" i="11"/>
  <c r="A329" i="11"/>
  <c r="O328" i="11"/>
  <c r="N328" i="11"/>
  <c r="M328" i="11"/>
  <c r="L328" i="11"/>
  <c r="K328" i="11"/>
  <c r="J328" i="11"/>
  <c r="I328" i="11"/>
  <c r="H328" i="11"/>
  <c r="F328" i="11"/>
  <c r="E328" i="11"/>
  <c r="D328" i="11"/>
  <c r="C328" i="11"/>
  <c r="B328" i="11"/>
  <c r="A328" i="11"/>
  <c r="O327" i="11"/>
  <c r="N327" i="11"/>
  <c r="M327" i="11"/>
  <c r="L327" i="11"/>
  <c r="K327" i="11"/>
  <c r="J327" i="11"/>
  <c r="I327" i="11"/>
  <c r="H327" i="11"/>
  <c r="F327" i="11"/>
  <c r="E327" i="11"/>
  <c r="D327" i="11"/>
  <c r="C327" i="11"/>
  <c r="B327" i="11"/>
  <c r="A327" i="11"/>
  <c r="O326" i="11"/>
  <c r="N326" i="11"/>
  <c r="M326" i="11"/>
  <c r="L326" i="11"/>
  <c r="K326" i="11"/>
  <c r="J326" i="11"/>
  <c r="I326" i="11"/>
  <c r="H326" i="11"/>
  <c r="F326" i="11"/>
  <c r="E326" i="11"/>
  <c r="D326" i="11"/>
  <c r="C326" i="11"/>
  <c r="B326" i="11"/>
  <c r="A326" i="11"/>
  <c r="O325" i="11"/>
  <c r="N325" i="11"/>
  <c r="M325" i="11"/>
  <c r="L325" i="11"/>
  <c r="K325" i="11"/>
  <c r="J325" i="11"/>
  <c r="I325" i="11"/>
  <c r="H325" i="11"/>
  <c r="G325" i="11"/>
  <c r="F325" i="11"/>
  <c r="E325" i="11"/>
  <c r="D325" i="11"/>
  <c r="C325" i="11"/>
  <c r="B325" i="11"/>
  <c r="A325" i="11"/>
  <c r="O324" i="11"/>
  <c r="N324" i="11"/>
  <c r="M324" i="11"/>
  <c r="L324" i="11"/>
  <c r="K324" i="11"/>
  <c r="J324" i="11"/>
  <c r="I324" i="11"/>
  <c r="H324" i="11"/>
  <c r="G324" i="11"/>
  <c r="F324" i="11"/>
  <c r="E324" i="11"/>
  <c r="D324" i="11"/>
  <c r="C324" i="11"/>
  <c r="B324" i="11"/>
  <c r="A324" i="11"/>
  <c r="O323" i="11"/>
  <c r="N323" i="11"/>
  <c r="M323" i="11"/>
  <c r="L323" i="11"/>
  <c r="K323" i="11"/>
  <c r="J323" i="11"/>
  <c r="I323" i="11"/>
  <c r="H323" i="11"/>
  <c r="G323" i="11"/>
  <c r="F323" i="11"/>
  <c r="E323" i="11"/>
  <c r="D323" i="11"/>
  <c r="C323" i="11"/>
  <c r="B323" i="11"/>
  <c r="A323" i="11"/>
  <c r="O322" i="11"/>
  <c r="N322" i="11"/>
  <c r="M322" i="11"/>
  <c r="L322" i="11"/>
  <c r="K322" i="11"/>
  <c r="J322" i="11"/>
  <c r="I322" i="11"/>
  <c r="H322" i="11"/>
  <c r="G322" i="11"/>
  <c r="F322" i="11"/>
  <c r="E322" i="11"/>
  <c r="D322" i="11"/>
  <c r="C322" i="11"/>
  <c r="B322" i="11"/>
  <c r="A322" i="11"/>
  <c r="O321" i="11"/>
  <c r="N321" i="11"/>
  <c r="M321" i="11"/>
  <c r="L321" i="11"/>
  <c r="K321" i="11"/>
  <c r="J321" i="11"/>
  <c r="I321" i="11"/>
  <c r="H321" i="11"/>
  <c r="G321" i="11"/>
  <c r="F321" i="11"/>
  <c r="E321" i="11"/>
  <c r="D321" i="11"/>
  <c r="C321" i="11"/>
  <c r="B321" i="11"/>
  <c r="A321" i="11"/>
  <c r="O320" i="11"/>
  <c r="N320" i="11"/>
  <c r="M320" i="11"/>
  <c r="L320" i="11"/>
  <c r="K320" i="11"/>
  <c r="J320" i="11"/>
  <c r="I320" i="11"/>
  <c r="H320" i="11"/>
  <c r="G320" i="11"/>
  <c r="F320" i="11"/>
  <c r="E320" i="11"/>
  <c r="D320" i="11"/>
  <c r="C320" i="11"/>
  <c r="B320" i="11"/>
  <c r="A320" i="11"/>
  <c r="O319" i="11"/>
  <c r="N319" i="11"/>
  <c r="M319" i="11"/>
  <c r="L319" i="11"/>
  <c r="K319" i="11"/>
  <c r="J319" i="11"/>
  <c r="I319" i="11"/>
  <c r="H319" i="11"/>
  <c r="G319" i="11"/>
  <c r="F319" i="11"/>
  <c r="E319" i="11"/>
  <c r="D319" i="11"/>
  <c r="C319" i="11"/>
  <c r="B319" i="11"/>
  <c r="A319" i="11"/>
  <c r="O318" i="11"/>
  <c r="N318" i="11"/>
  <c r="M318" i="11"/>
  <c r="L318" i="11"/>
  <c r="K318" i="11"/>
  <c r="J318" i="11"/>
  <c r="I318" i="11"/>
  <c r="H318" i="11"/>
  <c r="F318" i="11"/>
  <c r="E318" i="11"/>
  <c r="D318" i="11"/>
  <c r="C318" i="11"/>
  <c r="B318" i="11"/>
  <c r="A318" i="11"/>
  <c r="O317" i="11"/>
  <c r="N317" i="11"/>
  <c r="M317" i="11"/>
  <c r="L317" i="11"/>
  <c r="K317" i="11"/>
  <c r="J317" i="11"/>
  <c r="I317" i="11"/>
  <c r="H317" i="11"/>
  <c r="G317" i="11"/>
  <c r="F317" i="11"/>
  <c r="E317" i="11"/>
  <c r="D317" i="11"/>
  <c r="C317" i="11"/>
  <c r="B317" i="11"/>
  <c r="A317" i="11"/>
  <c r="O316" i="11"/>
  <c r="N316" i="11"/>
  <c r="M316" i="11"/>
  <c r="L316" i="11"/>
  <c r="K316" i="11"/>
  <c r="J316" i="11"/>
  <c r="I316" i="11"/>
  <c r="H316" i="11"/>
  <c r="G316" i="11"/>
  <c r="F316" i="11"/>
  <c r="E316" i="11"/>
  <c r="D316" i="11"/>
  <c r="C316" i="11"/>
  <c r="B316" i="11"/>
  <c r="A316" i="11"/>
  <c r="O315" i="11"/>
  <c r="N315" i="11"/>
  <c r="M315" i="11"/>
  <c r="L315" i="11"/>
  <c r="K315" i="11"/>
  <c r="J315" i="11"/>
  <c r="I315" i="11"/>
  <c r="H315" i="11"/>
  <c r="G315" i="11"/>
  <c r="F315" i="11"/>
  <c r="E315" i="11"/>
  <c r="D315" i="11"/>
  <c r="C315" i="11"/>
  <c r="B315" i="11"/>
  <c r="A315" i="11"/>
  <c r="O314" i="11"/>
  <c r="N314" i="11"/>
  <c r="M314" i="11"/>
  <c r="L314" i="11"/>
  <c r="K314" i="11"/>
  <c r="J314" i="11"/>
  <c r="I314" i="11"/>
  <c r="H314" i="11"/>
  <c r="G314" i="11"/>
  <c r="F314" i="11"/>
  <c r="E314" i="11"/>
  <c r="D314" i="11"/>
  <c r="C314" i="11"/>
  <c r="B314" i="11"/>
  <c r="A314" i="11"/>
  <c r="O313" i="11"/>
  <c r="N313" i="11"/>
  <c r="M313" i="11"/>
  <c r="L313" i="11"/>
  <c r="K313" i="11"/>
  <c r="J313" i="11"/>
  <c r="I313" i="11"/>
  <c r="H313" i="11"/>
  <c r="F313" i="11"/>
  <c r="E313" i="11"/>
  <c r="D313" i="11"/>
  <c r="C313" i="11"/>
  <c r="B313" i="11"/>
  <c r="A313" i="11"/>
  <c r="O312" i="11"/>
  <c r="N312" i="11"/>
  <c r="M312" i="11"/>
  <c r="L312" i="11"/>
  <c r="K312" i="11"/>
  <c r="J312" i="11"/>
  <c r="I312" i="11"/>
  <c r="H312" i="11"/>
  <c r="E312" i="11"/>
  <c r="D312" i="11"/>
  <c r="C312" i="11"/>
  <c r="B312" i="11"/>
  <c r="A312" i="11"/>
  <c r="O311" i="11"/>
  <c r="N311" i="11"/>
  <c r="M311" i="11"/>
  <c r="L311" i="11"/>
  <c r="K311" i="11"/>
  <c r="J311" i="11"/>
  <c r="I311" i="11"/>
  <c r="H311" i="11"/>
  <c r="E311" i="11"/>
  <c r="D311" i="11"/>
  <c r="C311" i="11"/>
  <c r="B311" i="11"/>
  <c r="A311" i="11"/>
  <c r="O310" i="11"/>
  <c r="N310" i="11"/>
  <c r="M310" i="11"/>
  <c r="L310" i="11"/>
  <c r="K310" i="11"/>
  <c r="J310" i="11"/>
  <c r="I310" i="11"/>
  <c r="H310" i="11"/>
  <c r="E310" i="11"/>
  <c r="D310" i="11"/>
  <c r="C310" i="11"/>
  <c r="B310" i="11"/>
  <c r="A310" i="11"/>
  <c r="O309" i="11"/>
  <c r="N309" i="11"/>
  <c r="M309" i="11"/>
  <c r="L309" i="11"/>
  <c r="K309" i="11"/>
  <c r="J309" i="11"/>
  <c r="I309" i="11"/>
  <c r="H309" i="11"/>
  <c r="E309" i="11"/>
  <c r="D309" i="11"/>
  <c r="C309" i="11"/>
  <c r="B309" i="11"/>
  <c r="A309" i="11"/>
  <c r="O308" i="11"/>
  <c r="N308" i="11"/>
  <c r="M308" i="11"/>
  <c r="L308" i="11"/>
  <c r="K308" i="11"/>
  <c r="J308" i="11"/>
  <c r="I308" i="11"/>
  <c r="H308" i="11"/>
  <c r="E308" i="11"/>
  <c r="D308" i="11"/>
  <c r="C308" i="11"/>
  <c r="B308" i="11"/>
  <c r="A308" i="11"/>
  <c r="O307" i="11"/>
  <c r="N307" i="11"/>
  <c r="M307" i="11"/>
  <c r="L307" i="11"/>
  <c r="K307" i="11"/>
  <c r="J307" i="11"/>
  <c r="I307" i="11"/>
  <c r="H307" i="11"/>
  <c r="E307" i="11"/>
  <c r="D307" i="11"/>
  <c r="C307" i="11"/>
  <c r="B307" i="11"/>
  <c r="A307" i="11"/>
  <c r="O306" i="11"/>
  <c r="N306" i="11"/>
  <c r="M306" i="11"/>
  <c r="L306" i="11"/>
  <c r="K306" i="11"/>
  <c r="J306" i="11"/>
  <c r="I306" i="11"/>
  <c r="H306" i="11"/>
  <c r="E306" i="11"/>
  <c r="D306" i="11"/>
  <c r="C306" i="11"/>
  <c r="B306" i="11"/>
  <c r="A306" i="11"/>
  <c r="O305" i="11"/>
  <c r="N305" i="11"/>
  <c r="M305" i="11"/>
  <c r="L305" i="11"/>
  <c r="K305" i="11"/>
  <c r="J305" i="11"/>
  <c r="I305" i="11"/>
  <c r="H305" i="11"/>
  <c r="E305" i="11"/>
  <c r="D305" i="11"/>
  <c r="C305" i="11"/>
  <c r="B305" i="11"/>
  <c r="A305" i="11"/>
  <c r="O304" i="11"/>
  <c r="N304" i="11"/>
  <c r="M304" i="11"/>
  <c r="L304" i="11"/>
  <c r="K304" i="11"/>
  <c r="J304" i="11"/>
  <c r="I304" i="11"/>
  <c r="H304" i="11"/>
  <c r="E304" i="11"/>
  <c r="D304" i="11"/>
  <c r="C304" i="11"/>
  <c r="B304" i="11"/>
  <c r="A304" i="11"/>
  <c r="O303" i="11"/>
  <c r="N303" i="11"/>
  <c r="M303" i="11"/>
  <c r="L303" i="11"/>
  <c r="K303" i="11"/>
  <c r="J303" i="11"/>
  <c r="I303" i="11"/>
  <c r="H303" i="11"/>
  <c r="G303" i="11"/>
  <c r="F303" i="11"/>
  <c r="E303" i="11"/>
  <c r="D303" i="11"/>
  <c r="C303" i="11"/>
  <c r="B303" i="11"/>
  <c r="A303" i="11"/>
  <c r="O302" i="11"/>
  <c r="N302" i="11"/>
  <c r="M302" i="11"/>
  <c r="L302" i="11"/>
  <c r="K302" i="11"/>
  <c r="J302" i="11"/>
  <c r="I302" i="11"/>
  <c r="H302" i="11"/>
  <c r="G302" i="11"/>
  <c r="F302" i="11"/>
  <c r="E302" i="11"/>
  <c r="D302" i="11"/>
  <c r="C302" i="11"/>
  <c r="B302" i="11"/>
  <c r="A302" i="11"/>
  <c r="O301" i="11"/>
  <c r="N301" i="11"/>
  <c r="M301" i="11"/>
  <c r="L301" i="11"/>
  <c r="K301" i="11"/>
  <c r="J301" i="11"/>
  <c r="I301" i="11"/>
  <c r="H301" i="11"/>
  <c r="G301" i="11"/>
  <c r="F301" i="11"/>
  <c r="E301" i="11"/>
  <c r="D301" i="11"/>
  <c r="C301" i="11"/>
  <c r="B301" i="11"/>
  <c r="A301" i="11"/>
  <c r="O300" i="11"/>
  <c r="N300" i="11"/>
  <c r="M300" i="11"/>
  <c r="L300" i="11"/>
  <c r="K300" i="11"/>
  <c r="J300" i="11"/>
  <c r="I300" i="11"/>
  <c r="H300" i="11"/>
  <c r="G300" i="11"/>
  <c r="F300" i="11"/>
  <c r="E300" i="11"/>
  <c r="D300" i="11"/>
  <c r="C300" i="11"/>
  <c r="B300" i="11"/>
  <c r="A300" i="11"/>
  <c r="O299" i="11"/>
  <c r="N299" i="11"/>
  <c r="M299" i="11"/>
  <c r="L299" i="11"/>
  <c r="K299" i="11"/>
  <c r="J299" i="11"/>
  <c r="I299" i="11"/>
  <c r="H299" i="11"/>
  <c r="G299" i="11"/>
  <c r="F299" i="11"/>
  <c r="E299" i="11"/>
  <c r="D299" i="11"/>
  <c r="C299" i="11"/>
  <c r="B299" i="11"/>
  <c r="A299" i="11"/>
  <c r="O298" i="11"/>
  <c r="N298" i="11"/>
  <c r="M298" i="11"/>
  <c r="L298" i="11"/>
  <c r="K298" i="11"/>
  <c r="J298" i="11"/>
  <c r="I298" i="11"/>
  <c r="H298" i="11"/>
  <c r="G298" i="11"/>
  <c r="F298" i="11"/>
  <c r="E298" i="11"/>
  <c r="D298" i="11"/>
  <c r="C298" i="11"/>
  <c r="B298" i="11"/>
  <c r="A298" i="11"/>
  <c r="O297" i="11"/>
  <c r="N297" i="11"/>
  <c r="M297" i="11"/>
  <c r="L297" i="11"/>
  <c r="K297" i="11"/>
  <c r="J297" i="11"/>
  <c r="I297" i="11"/>
  <c r="H297" i="11"/>
  <c r="G297" i="11"/>
  <c r="F297" i="11"/>
  <c r="E297" i="11"/>
  <c r="D297" i="11"/>
  <c r="C297" i="11"/>
  <c r="B297" i="11"/>
  <c r="A297" i="11"/>
  <c r="O296" i="11"/>
  <c r="N296" i="11"/>
  <c r="M296" i="11"/>
  <c r="L296" i="11"/>
  <c r="K296" i="11"/>
  <c r="J296" i="11"/>
  <c r="I296" i="11"/>
  <c r="H296" i="11"/>
  <c r="G296" i="11"/>
  <c r="F296" i="11"/>
  <c r="E296" i="11"/>
  <c r="D296" i="11"/>
  <c r="C296" i="11"/>
  <c r="B296" i="11"/>
  <c r="A296" i="11"/>
  <c r="O295" i="11"/>
  <c r="N295" i="11"/>
  <c r="M295" i="11"/>
  <c r="L295" i="11"/>
  <c r="K295" i="11"/>
  <c r="J295" i="11"/>
  <c r="I295" i="11"/>
  <c r="H295" i="11"/>
  <c r="G295" i="11"/>
  <c r="F295" i="11"/>
  <c r="E295" i="11"/>
  <c r="D295" i="11"/>
  <c r="C295" i="11"/>
  <c r="B295" i="11"/>
  <c r="A295" i="11"/>
  <c r="O294" i="11"/>
  <c r="N294" i="11"/>
  <c r="M294" i="11"/>
  <c r="L294" i="11"/>
  <c r="K294" i="11"/>
  <c r="J294" i="11"/>
  <c r="I294" i="11"/>
  <c r="H294" i="11"/>
  <c r="G294" i="11"/>
  <c r="F294" i="11"/>
  <c r="E294" i="11"/>
  <c r="D294" i="11"/>
  <c r="C294" i="11"/>
  <c r="B294" i="11"/>
  <c r="A294" i="11"/>
  <c r="O293" i="11"/>
  <c r="N293" i="11"/>
  <c r="M293" i="11"/>
  <c r="L293" i="11"/>
  <c r="K293" i="11"/>
  <c r="J293" i="11"/>
  <c r="I293" i="11"/>
  <c r="H293" i="11"/>
  <c r="G293" i="11"/>
  <c r="F293" i="11"/>
  <c r="E293" i="11"/>
  <c r="D293" i="11"/>
  <c r="C293" i="11"/>
  <c r="B293" i="11"/>
  <c r="A293" i="11"/>
  <c r="O292" i="11"/>
  <c r="N292" i="11"/>
  <c r="M292" i="11"/>
  <c r="L292" i="11"/>
  <c r="K292" i="11"/>
  <c r="J292" i="11"/>
  <c r="I292" i="11"/>
  <c r="H292" i="11"/>
  <c r="G292" i="11"/>
  <c r="F292" i="11"/>
  <c r="E292" i="11"/>
  <c r="D292" i="11"/>
  <c r="C292" i="11"/>
  <c r="B292" i="11"/>
  <c r="A292" i="11"/>
  <c r="O291" i="11"/>
  <c r="N291" i="11"/>
  <c r="M291" i="11"/>
  <c r="L291" i="11"/>
  <c r="K291" i="11"/>
  <c r="J291" i="11"/>
  <c r="I291" i="11"/>
  <c r="H291" i="11"/>
  <c r="G291" i="11"/>
  <c r="F291" i="11"/>
  <c r="E291" i="11"/>
  <c r="D291" i="11"/>
  <c r="C291" i="11"/>
  <c r="B291" i="11"/>
  <c r="A291" i="11"/>
  <c r="O290" i="11"/>
  <c r="N290" i="11"/>
  <c r="M290" i="11"/>
  <c r="L290" i="11"/>
  <c r="K290" i="11"/>
  <c r="J290" i="11"/>
  <c r="I290" i="11"/>
  <c r="H290" i="11"/>
  <c r="G290" i="11"/>
  <c r="F290" i="11"/>
  <c r="E290" i="11"/>
  <c r="D290" i="11"/>
  <c r="C290" i="11"/>
  <c r="B290" i="11"/>
  <c r="A290" i="11"/>
  <c r="O289" i="11"/>
  <c r="N289" i="11"/>
  <c r="M289" i="11"/>
  <c r="L289" i="11"/>
  <c r="K289" i="11"/>
  <c r="J289" i="11"/>
  <c r="I289" i="11"/>
  <c r="H289" i="11"/>
  <c r="G289" i="11"/>
  <c r="F289" i="11"/>
  <c r="E289" i="11"/>
  <c r="D289" i="11"/>
  <c r="C289" i="11"/>
  <c r="B289" i="11"/>
  <c r="A289" i="11"/>
  <c r="O288" i="11"/>
  <c r="N288" i="11"/>
  <c r="M288" i="11"/>
  <c r="L288" i="11"/>
  <c r="K288" i="11"/>
  <c r="J288" i="11"/>
  <c r="I288" i="11"/>
  <c r="H288" i="11"/>
  <c r="G288" i="11"/>
  <c r="F288" i="11"/>
  <c r="E288" i="11"/>
  <c r="D288" i="11"/>
  <c r="C288" i="11"/>
  <c r="B288" i="11"/>
  <c r="A288" i="11"/>
  <c r="O287" i="11"/>
  <c r="N287" i="11"/>
  <c r="M287" i="11"/>
  <c r="L287" i="11"/>
  <c r="K287" i="11"/>
  <c r="J287" i="11"/>
  <c r="I287" i="11"/>
  <c r="H287" i="11"/>
  <c r="F287" i="11"/>
  <c r="E287" i="11"/>
  <c r="D287" i="11"/>
  <c r="C287" i="11"/>
  <c r="B287" i="11"/>
  <c r="A287" i="11"/>
  <c r="O286" i="11"/>
  <c r="N286" i="11"/>
  <c r="M286" i="11"/>
  <c r="L286" i="11"/>
  <c r="K286" i="11"/>
  <c r="J286" i="11"/>
  <c r="I286" i="11"/>
  <c r="H286" i="11"/>
  <c r="F286" i="11"/>
  <c r="E286" i="11"/>
  <c r="D286" i="11"/>
  <c r="C286" i="11"/>
  <c r="B286" i="11"/>
  <c r="A286" i="11"/>
  <c r="O285" i="11"/>
  <c r="N285" i="11"/>
  <c r="M285" i="11"/>
  <c r="L285" i="11"/>
  <c r="K285" i="11"/>
  <c r="J285" i="11"/>
  <c r="I285" i="11"/>
  <c r="H285" i="11"/>
  <c r="F285" i="11"/>
  <c r="E285" i="11"/>
  <c r="D285" i="11"/>
  <c r="C285" i="11"/>
  <c r="B285" i="11"/>
  <c r="A285" i="11"/>
  <c r="O284" i="11"/>
  <c r="N284" i="11"/>
  <c r="M284" i="11"/>
  <c r="L284" i="11"/>
  <c r="K284" i="11"/>
  <c r="J284" i="11"/>
  <c r="I284" i="11"/>
  <c r="H284" i="11"/>
  <c r="F284" i="11"/>
  <c r="E284" i="11"/>
  <c r="D284" i="11"/>
  <c r="C284" i="11"/>
  <c r="B284" i="11"/>
  <c r="A284" i="11"/>
  <c r="O283" i="11"/>
  <c r="N283" i="11"/>
  <c r="M283" i="11"/>
  <c r="L283" i="11"/>
  <c r="K283" i="11"/>
  <c r="J283" i="11"/>
  <c r="I283" i="11"/>
  <c r="H283" i="11"/>
  <c r="F283" i="11"/>
  <c r="E283" i="11"/>
  <c r="D283" i="11"/>
  <c r="C283" i="11"/>
  <c r="B283" i="11"/>
  <c r="A283" i="11"/>
  <c r="O282" i="11"/>
  <c r="N282" i="11"/>
  <c r="M282" i="11"/>
  <c r="L282" i="11"/>
  <c r="K282" i="11"/>
  <c r="J282" i="11"/>
  <c r="I282" i="11"/>
  <c r="H282" i="11"/>
  <c r="F282" i="11"/>
  <c r="E282" i="11"/>
  <c r="D282" i="11"/>
  <c r="C282" i="11"/>
  <c r="B282" i="11"/>
  <c r="A282" i="11"/>
  <c r="O281" i="11"/>
  <c r="N281" i="11"/>
  <c r="M281" i="11"/>
  <c r="L281" i="11"/>
  <c r="K281" i="11"/>
  <c r="J281" i="11"/>
  <c r="I281" i="11"/>
  <c r="H281" i="11"/>
  <c r="G281" i="11"/>
  <c r="F281" i="11"/>
  <c r="E281" i="11"/>
  <c r="D281" i="11"/>
  <c r="C281" i="11"/>
  <c r="B281" i="11"/>
  <c r="A281" i="11"/>
  <c r="O280" i="11"/>
  <c r="N280" i="11"/>
  <c r="M280" i="11"/>
  <c r="L280" i="11"/>
  <c r="K280" i="11"/>
  <c r="J280" i="11"/>
  <c r="I280" i="11"/>
  <c r="H280" i="11"/>
  <c r="G280" i="11"/>
  <c r="F280" i="11"/>
  <c r="E280" i="11"/>
  <c r="D280" i="11"/>
  <c r="C280" i="11"/>
  <c r="B280" i="11"/>
  <c r="A280" i="11"/>
  <c r="O279" i="11"/>
  <c r="N279" i="11"/>
  <c r="M279" i="11"/>
  <c r="L279" i="11"/>
  <c r="K279" i="11"/>
  <c r="J279" i="11"/>
  <c r="I279" i="11"/>
  <c r="H279" i="11"/>
  <c r="G279" i="11"/>
  <c r="F279" i="11"/>
  <c r="E279" i="11"/>
  <c r="D279" i="11"/>
  <c r="C279" i="11"/>
  <c r="B279" i="11"/>
  <c r="A279" i="11"/>
  <c r="O278" i="11"/>
  <c r="N278" i="11"/>
  <c r="M278" i="11"/>
  <c r="L278" i="11"/>
  <c r="K278" i="11"/>
  <c r="J278" i="11"/>
  <c r="I278" i="11"/>
  <c r="H278" i="11"/>
  <c r="G278" i="11"/>
  <c r="F278" i="11"/>
  <c r="E278" i="11"/>
  <c r="D278" i="11"/>
  <c r="C278" i="11"/>
  <c r="B278" i="11"/>
  <c r="A278" i="11"/>
  <c r="O277" i="11"/>
  <c r="N277" i="11"/>
  <c r="M277" i="11"/>
  <c r="L277" i="11"/>
  <c r="K277" i="11"/>
  <c r="J277" i="11"/>
  <c r="I277" i="11"/>
  <c r="H277" i="11"/>
  <c r="G277" i="11"/>
  <c r="F277" i="11"/>
  <c r="E277" i="11"/>
  <c r="D277" i="11"/>
  <c r="C277" i="11"/>
  <c r="B277" i="11"/>
  <c r="A277" i="11"/>
  <c r="O276" i="11"/>
  <c r="N276" i="11"/>
  <c r="M276" i="11"/>
  <c r="L276" i="11"/>
  <c r="K276" i="11"/>
  <c r="J276" i="11"/>
  <c r="I276" i="11"/>
  <c r="H276" i="11"/>
  <c r="G276" i="11"/>
  <c r="F276" i="11"/>
  <c r="E276" i="11"/>
  <c r="D276" i="11"/>
  <c r="C276" i="11"/>
  <c r="B276" i="11"/>
  <c r="A276" i="11"/>
  <c r="O275" i="11"/>
  <c r="N275" i="11"/>
  <c r="M275" i="11"/>
  <c r="L275" i="11"/>
  <c r="K275" i="11"/>
  <c r="J275" i="11"/>
  <c r="I275" i="11"/>
  <c r="H275" i="11"/>
  <c r="G275" i="11"/>
  <c r="F275" i="11"/>
  <c r="E275" i="11"/>
  <c r="D275" i="11"/>
  <c r="C275" i="11"/>
  <c r="B275" i="11"/>
  <c r="A275" i="11"/>
  <c r="O274" i="11"/>
  <c r="N274" i="11"/>
  <c r="M274" i="11"/>
  <c r="L274" i="11"/>
  <c r="K274" i="11"/>
  <c r="J274" i="11"/>
  <c r="I274" i="11"/>
  <c r="H274" i="11"/>
  <c r="G274" i="11"/>
  <c r="F274" i="11"/>
  <c r="E274" i="11"/>
  <c r="D274" i="11"/>
  <c r="C274" i="11"/>
  <c r="B274" i="11"/>
  <c r="A274" i="11"/>
  <c r="O273" i="11"/>
  <c r="N273" i="11"/>
  <c r="M273" i="11"/>
  <c r="L273" i="11"/>
  <c r="K273" i="11"/>
  <c r="J273" i="11"/>
  <c r="I273" i="11"/>
  <c r="H273" i="11"/>
  <c r="G273" i="11"/>
  <c r="F273" i="11"/>
  <c r="E273" i="11"/>
  <c r="D273" i="11"/>
  <c r="C273" i="11"/>
  <c r="B273" i="11"/>
  <c r="A273" i="11"/>
  <c r="O272" i="11"/>
  <c r="N272" i="11"/>
  <c r="M272" i="11"/>
  <c r="L272" i="11"/>
  <c r="K272" i="11"/>
  <c r="J272" i="11"/>
  <c r="I272" i="11"/>
  <c r="H272" i="11"/>
  <c r="F272" i="11"/>
  <c r="E272" i="11"/>
  <c r="D272" i="11"/>
  <c r="C272" i="11"/>
  <c r="B272" i="11"/>
  <c r="A272" i="11"/>
  <c r="O271" i="11"/>
  <c r="N271" i="11"/>
  <c r="M271" i="11"/>
  <c r="L271" i="11"/>
  <c r="K271" i="11"/>
  <c r="J271" i="11"/>
  <c r="I271" i="11"/>
  <c r="H271" i="11"/>
  <c r="F271" i="11"/>
  <c r="E271" i="11"/>
  <c r="D271" i="11"/>
  <c r="C271" i="11"/>
  <c r="B271" i="11"/>
  <c r="A271" i="11"/>
  <c r="O270" i="11"/>
  <c r="N270" i="11"/>
  <c r="M270" i="11"/>
  <c r="L270" i="11"/>
  <c r="K270" i="11"/>
  <c r="J270" i="11"/>
  <c r="I270" i="11"/>
  <c r="H270" i="11"/>
  <c r="F270" i="11"/>
  <c r="E270" i="11"/>
  <c r="D270" i="11"/>
  <c r="C270" i="11"/>
  <c r="B270" i="11"/>
  <c r="A270" i="11"/>
  <c r="O269" i="11"/>
  <c r="N269" i="11"/>
  <c r="M269" i="11"/>
  <c r="L269" i="11"/>
  <c r="K269" i="11"/>
  <c r="J269" i="11"/>
  <c r="I269" i="11"/>
  <c r="H269" i="11"/>
  <c r="F269" i="11"/>
  <c r="E269" i="11"/>
  <c r="D269" i="11"/>
  <c r="C269" i="11"/>
  <c r="B269" i="11"/>
  <c r="A269" i="11"/>
  <c r="O268" i="11"/>
  <c r="N268" i="11"/>
  <c r="M268" i="11"/>
  <c r="L268" i="11"/>
  <c r="K268" i="11"/>
  <c r="J268" i="11"/>
  <c r="I268" i="11"/>
  <c r="H268" i="11"/>
  <c r="F268" i="11"/>
  <c r="E268" i="11"/>
  <c r="D268" i="11"/>
  <c r="C268" i="11"/>
  <c r="B268" i="11"/>
  <c r="A268" i="11"/>
  <c r="O267" i="11"/>
  <c r="N267" i="11"/>
  <c r="M267" i="11"/>
  <c r="L267" i="11"/>
  <c r="K267" i="11"/>
  <c r="J267" i="11"/>
  <c r="I267" i="11"/>
  <c r="H267" i="11"/>
  <c r="F267" i="11"/>
  <c r="E267" i="11"/>
  <c r="D267" i="11"/>
  <c r="C267" i="11"/>
  <c r="B267" i="11"/>
  <c r="A267" i="11"/>
  <c r="O266" i="11"/>
  <c r="N266" i="11"/>
  <c r="M266" i="11"/>
  <c r="L266" i="11"/>
  <c r="K266" i="11"/>
  <c r="J266" i="11"/>
  <c r="I266" i="11"/>
  <c r="H266" i="11"/>
  <c r="G266" i="11"/>
  <c r="F266" i="11"/>
  <c r="E266" i="11"/>
  <c r="D266" i="11"/>
  <c r="C266" i="11"/>
  <c r="B266" i="11"/>
  <c r="A266" i="11"/>
  <c r="O265" i="11"/>
  <c r="N265" i="11"/>
  <c r="M265" i="11"/>
  <c r="L265" i="11"/>
  <c r="K265" i="11"/>
  <c r="J265" i="11"/>
  <c r="I265" i="11"/>
  <c r="H265" i="11"/>
  <c r="G265" i="11"/>
  <c r="F265" i="11"/>
  <c r="E265" i="11"/>
  <c r="D265" i="11"/>
  <c r="C265" i="11"/>
  <c r="B265" i="11"/>
  <c r="A265" i="11"/>
  <c r="O264" i="11"/>
  <c r="N264" i="11"/>
  <c r="M264" i="11"/>
  <c r="L264" i="11"/>
  <c r="K264" i="11"/>
  <c r="J264" i="11"/>
  <c r="I264" i="11"/>
  <c r="H264" i="11"/>
  <c r="G264" i="11"/>
  <c r="F264" i="11"/>
  <c r="E264" i="11"/>
  <c r="D264" i="11"/>
  <c r="C264" i="11"/>
  <c r="B264" i="11"/>
  <c r="A264" i="11"/>
  <c r="O263" i="11"/>
  <c r="N263" i="11"/>
  <c r="M263" i="11"/>
  <c r="L263" i="11"/>
  <c r="K263" i="11"/>
  <c r="J263" i="11"/>
  <c r="I263" i="11"/>
  <c r="H263" i="11"/>
  <c r="G263" i="11"/>
  <c r="F263" i="11"/>
  <c r="E263" i="11"/>
  <c r="D263" i="11"/>
  <c r="C263" i="11"/>
  <c r="B263" i="11"/>
  <c r="A263" i="11"/>
  <c r="O262" i="11"/>
  <c r="N262" i="11"/>
  <c r="M262" i="11"/>
  <c r="L262" i="11"/>
  <c r="K262" i="11"/>
  <c r="J262" i="11"/>
  <c r="I262" i="11"/>
  <c r="H262" i="11"/>
  <c r="G262" i="11"/>
  <c r="F262" i="11"/>
  <c r="E262" i="11"/>
  <c r="D262" i="11"/>
  <c r="C262" i="11"/>
  <c r="B262" i="11"/>
  <c r="A262" i="11"/>
  <c r="O261" i="11"/>
  <c r="N261" i="11"/>
  <c r="M261" i="11"/>
  <c r="L261" i="11"/>
  <c r="K261" i="11"/>
  <c r="J261" i="11"/>
  <c r="I261" i="11"/>
  <c r="H261" i="11"/>
  <c r="G261" i="11"/>
  <c r="F261" i="11"/>
  <c r="E261" i="11"/>
  <c r="D261" i="11"/>
  <c r="C261" i="11"/>
  <c r="B261" i="11"/>
  <c r="A261" i="11"/>
  <c r="O260" i="11"/>
  <c r="N260" i="11"/>
  <c r="M260" i="11"/>
  <c r="L260" i="11"/>
  <c r="K260" i="11"/>
  <c r="J260" i="11"/>
  <c r="I260" i="11"/>
  <c r="H260" i="11"/>
  <c r="E260" i="11"/>
  <c r="D260" i="11"/>
  <c r="C260" i="11"/>
  <c r="B260" i="11"/>
  <c r="A260" i="11"/>
  <c r="O259" i="11"/>
  <c r="N259" i="11"/>
  <c r="M259" i="11"/>
  <c r="L259" i="11"/>
  <c r="K259" i="11"/>
  <c r="J259" i="11"/>
  <c r="I259" i="11"/>
  <c r="H259" i="11"/>
  <c r="E259" i="11"/>
  <c r="D259" i="11"/>
  <c r="C259" i="11"/>
  <c r="B259" i="11"/>
  <c r="A259" i="11"/>
  <c r="O258" i="11"/>
  <c r="N258" i="11"/>
  <c r="M258" i="11"/>
  <c r="L258" i="11"/>
  <c r="K258" i="11"/>
  <c r="J258" i="11"/>
  <c r="I258" i="11"/>
  <c r="H258" i="11"/>
  <c r="E258" i="11"/>
  <c r="D258" i="11"/>
  <c r="C258" i="11"/>
  <c r="B258" i="11"/>
  <c r="A258" i="11"/>
  <c r="O257" i="11"/>
  <c r="N257" i="11"/>
  <c r="M257" i="11"/>
  <c r="L257" i="11"/>
  <c r="K257" i="11"/>
  <c r="J257" i="11"/>
  <c r="I257" i="11"/>
  <c r="H257" i="11"/>
  <c r="E257" i="11"/>
  <c r="D257" i="11"/>
  <c r="C257" i="11"/>
  <c r="B257" i="11"/>
  <c r="A257" i="11"/>
  <c r="O256" i="11"/>
  <c r="N256" i="11"/>
  <c r="M256" i="11"/>
  <c r="L256" i="11"/>
  <c r="K256" i="11"/>
  <c r="J256" i="11"/>
  <c r="I256" i="11"/>
  <c r="H256" i="11"/>
  <c r="E256" i="11"/>
  <c r="D256" i="11"/>
  <c r="C256" i="11"/>
  <c r="B256" i="11"/>
  <c r="A256" i="11"/>
  <c r="O255" i="11"/>
  <c r="N255" i="11"/>
  <c r="M255" i="11"/>
  <c r="L255" i="11"/>
  <c r="K255" i="11"/>
  <c r="J255" i="11"/>
  <c r="I255" i="11"/>
  <c r="H255" i="11"/>
  <c r="E255" i="11"/>
  <c r="D255" i="11"/>
  <c r="C255" i="11"/>
  <c r="B255" i="11"/>
  <c r="A255" i="11"/>
  <c r="O254" i="11"/>
  <c r="N254" i="11"/>
  <c r="M254" i="11"/>
  <c r="L254" i="11"/>
  <c r="K254" i="11"/>
  <c r="J254" i="11"/>
  <c r="I254" i="11"/>
  <c r="H254" i="11"/>
  <c r="E254" i="11"/>
  <c r="D254" i="11"/>
  <c r="C254" i="11"/>
  <c r="B254" i="11"/>
  <c r="A254" i="11"/>
  <c r="O253" i="11"/>
  <c r="N253" i="11"/>
  <c r="M253" i="11"/>
  <c r="L253" i="11"/>
  <c r="K253" i="11"/>
  <c r="J253" i="11"/>
  <c r="I253" i="11"/>
  <c r="H253" i="11"/>
  <c r="E253" i="11"/>
  <c r="D253" i="11"/>
  <c r="C253" i="11"/>
  <c r="B253" i="11"/>
  <c r="A253" i="11"/>
  <c r="O252" i="11"/>
  <c r="N252" i="11"/>
  <c r="M252" i="11"/>
  <c r="L252" i="11"/>
  <c r="K252" i="11"/>
  <c r="J252" i="11"/>
  <c r="I252" i="11"/>
  <c r="H252" i="11"/>
  <c r="E252" i="11"/>
  <c r="D252" i="11"/>
  <c r="C252" i="11"/>
  <c r="B252" i="11"/>
  <c r="A252" i="11"/>
  <c r="O251" i="11"/>
  <c r="N251" i="11"/>
  <c r="M251" i="11"/>
  <c r="L251" i="11"/>
  <c r="K251" i="11"/>
  <c r="J251" i="11"/>
  <c r="I251" i="11"/>
  <c r="H251" i="11"/>
  <c r="E251" i="11"/>
  <c r="D251" i="11"/>
  <c r="C251" i="11"/>
  <c r="B251" i="11"/>
  <c r="A251" i="11"/>
  <c r="O250" i="11"/>
  <c r="N250" i="11"/>
  <c r="M250" i="11"/>
  <c r="L250" i="11"/>
  <c r="K250" i="11"/>
  <c r="J250" i="11"/>
  <c r="I250" i="11"/>
  <c r="H250" i="11"/>
  <c r="G250" i="11"/>
  <c r="F250" i="11"/>
  <c r="E250" i="11"/>
  <c r="D250" i="11"/>
  <c r="C250" i="11"/>
  <c r="B250" i="11"/>
  <c r="A250" i="11"/>
  <c r="O249" i="11"/>
  <c r="N249" i="11"/>
  <c r="M249" i="11"/>
  <c r="L249" i="11"/>
  <c r="K249" i="11"/>
  <c r="J249" i="11"/>
  <c r="I249" i="11"/>
  <c r="H249" i="11"/>
  <c r="G249" i="11"/>
  <c r="F249" i="11"/>
  <c r="E249" i="11"/>
  <c r="D249" i="11"/>
  <c r="C249" i="11"/>
  <c r="B249" i="11"/>
  <c r="A249" i="11"/>
  <c r="O248" i="11"/>
  <c r="N248" i="11"/>
  <c r="M248" i="11"/>
  <c r="L248" i="11"/>
  <c r="K248" i="11"/>
  <c r="J248" i="11"/>
  <c r="I248" i="11"/>
  <c r="H248" i="11"/>
  <c r="G248" i="11"/>
  <c r="F248" i="11"/>
  <c r="E248" i="11"/>
  <c r="D248" i="11"/>
  <c r="C248" i="11"/>
  <c r="B248" i="11"/>
  <c r="A248" i="11"/>
  <c r="O247" i="11"/>
  <c r="N247" i="11"/>
  <c r="M247" i="11"/>
  <c r="L247" i="11"/>
  <c r="K247" i="11"/>
  <c r="J247" i="11"/>
  <c r="I247" i="11"/>
  <c r="H247" i="11"/>
  <c r="G247" i="11"/>
  <c r="F247" i="11"/>
  <c r="E247" i="11"/>
  <c r="D247" i="11"/>
  <c r="C247" i="11"/>
  <c r="B247" i="11"/>
  <c r="A247" i="11"/>
  <c r="O246" i="11"/>
  <c r="N246" i="11"/>
  <c r="M246" i="11"/>
  <c r="L246" i="11"/>
  <c r="K246" i="11"/>
  <c r="J246" i="11"/>
  <c r="I246" i="11"/>
  <c r="H246" i="11"/>
  <c r="G246" i="11"/>
  <c r="F246" i="11"/>
  <c r="E246" i="11"/>
  <c r="D246" i="11"/>
  <c r="C246" i="11"/>
  <c r="B246" i="11"/>
  <c r="A246" i="11"/>
  <c r="O245" i="11"/>
  <c r="N245" i="11"/>
  <c r="M245" i="11"/>
  <c r="L245" i="11"/>
  <c r="K245" i="11"/>
  <c r="J245" i="11"/>
  <c r="I245" i="11"/>
  <c r="H245" i="11"/>
  <c r="G245" i="11"/>
  <c r="F245" i="11"/>
  <c r="E245" i="11"/>
  <c r="D245" i="11"/>
  <c r="C245" i="11"/>
  <c r="B245" i="11"/>
  <c r="A245" i="11"/>
  <c r="O244" i="11"/>
  <c r="N244" i="11"/>
  <c r="M244" i="11"/>
  <c r="L244" i="11"/>
  <c r="K244" i="11"/>
  <c r="J244" i="11"/>
  <c r="I244" i="11"/>
  <c r="H244" i="11"/>
  <c r="G244" i="11"/>
  <c r="F244" i="11"/>
  <c r="E244" i="11"/>
  <c r="D244" i="11"/>
  <c r="C244" i="11"/>
  <c r="B244" i="11"/>
  <c r="A244" i="11"/>
  <c r="O243" i="11"/>
  <c r="N243" i="11"/>
  <c r="M243" i="11"/>
  <c r="L243" i="11"/>
  <c r="K243" i="11"/>
  <c r="J243" i="11"/>
  <c r="I243" i="11"/>
  <c r="H243" i="11"/>
  <c r="G243" i="11"/>
  <c r="F243" i="11"/>
  <c r="E243" i="11"/>
  <c r="D243" i="11"/>
  <c r="C243" i="11"/>
  <c r="B243" i="11"/>
  <c r="A243" i="11"/>
  <c r="O242" i="11"/>
  <c r="N242" i="11"/>
  <c r="M242" i="11"/>
  <c r="L242" i="11"/>
  <c r="K242" i="11"/>
  <c r="J242" i="11"/>
  <c r="I242" i="11"/>
  <c r="H242" i="11"/>
  <c r="G242" i="11"/>
  <c r="F242" i="11"/>
  <c r="E242" i="11"/>
  <c r="D242" i="11"/>
  <c r="C242" i="11"/>
  <c r="B242" i="11"/>
  <c r="A242" i="11"/>
  <c r="O241" i="11"/>
  <c r="N241" i="11"/>
  <c r="M241" i="11"/>
  <c r="L241" i="11"/>
  <c r="K241" i="11"/>
  <c r="J241" i="11"/>
  <c r="I241" i="11"/>
  <c r="H241" i="11"/>
  <c r="G241" i="11"/>
  <c r="F241" i="11"/>
  <c r="E241" i="11"/>
  <c r="D241" i="11"/>
  <c r="C241" i="11"/>
  <c r="B241" i="11"/>
  <c r="A241" i="11"/>
  <c r="O240" i="11"/>
  <c r="N240" i="11"/>
  <c r="M240" i="11"/>
  <c r="L240" i="11"/>
  <c r="K240" i="11"/>
  <c r="J240" i="11"/>
  <c r="I240" i="11"/>
  <c r="H240" i="11"/>
  <c r="G240" i="11"/>
  <c r="F240" i="11"/>
  <c r="E240" i="11"/>
  <c r="D240" i="11"/>
  <c r="C240" i="11"/>
  <c r="B240" i="11"/>
  <c r="A240" i="11"/>
  <c r="O239" i="11"/>
  <c r="N239" i="11"/>
  <c r="M239" i="11"/>
  <c r="L239" i="11"/>
  <c r="K239" i="11"/>
  <c r="J239" i="11"/>
  <c r="I239" i="11"/>
  <c r="H239" i="11"/>
  <c r="G239" i="11"/>
  <c r="F239" i="11"/>
  <c r="E239" i="11"/>
  <c r="D239" i="11"/>
  <c r="C239" i="11"/>
  <c r="B239" i="11"/>
  <c r="A239" i="11"/>
  <c r="O238" i="11"/>
  <c r="N238" i="11"/>
  <c r="M238" i="11"/>
  <c r="L238" i="11"/>
  <c r="K238" i="11"/>
  <c r="J238" i="11"/>
  <c r="I238" i="11"/>
  <c r="H238" i="11"/>
  <c r="G238" i="11"/>
  <c r="F238" i="11"/>
  <c r="E238" i="11"/>
  <c r="D238" i="11"/>
  <c r="C238" i="11"/>
  <c r="B238" i="11"/>
  <c r="A238" i="11"/>
  <c r="O237" i="11"/>
  <c r="N237" i="11"/>
  <c r="M237" i="11"/>
  <c r="L237" i="11"/>
  <c r="K237" i="11"/>
  <c r="J237" i="11"/>
  <c r="I237" i="11"/>
  <c r="H237" i="11"/>
  <c r="G237" i="11"/>
  <c r="F237" i="11"/>
  <c r="E237" i="11"/>
  <c r="D237" i="11"/>
  <c r="C237" i="11"/>
  <c r="B237" i="11"/>
  <c r="A237" i="11"/>
  <c r="O236" i="11"/>
  <c r="N236" i="11"/>
  <c r="M236" i="11"/>
  <c r="L236" i="11"/>
  <c r="K236" i="11"/>
  <c r="J236" i="11"/>
  <c r="I236" i="11"/>
  <c r="H236" i="11"/>
  <c r="G236" i="11"/>
  <c r="F236" i="11"/>
  <c r="E236" i="11"/>
  <c r="D236" i="11"/>
  <c r="C236" i="11"/>
  <c r="B236" i="11"/>
  <c r="A236" i="11"/>
  <c r="O235" i="11"/>
  <c r="N235" i="11"/>
  <c r="M235" i="11"/>
  <c r="L235" i="11"/>
  <c r="K235" i="11"/>
  <c r="J235" i="11"/>
  <c r="I235" i="11"/>
  <c r="H235" i="11"/>
  <c r="G235" i="11"/>
  <c r="F235" i="11"/>
  <c r="E235" i="11"/>
  <c r="D235" i="11"/>
  <c r="C235" i="11"/>
  <c r="B235" i="11"/>
  <c r="A235" i="11"/>
  <c r="O234" i="11"/>
  <c r="N234" i="11"/>
  <c r="M234" i="11"/>
  <c r="L234" i="11"/>
  <c r="K234" i="11"/>
  <c r="J234" i="11"/>
  <c r="I234" i="11"/>
  <c r="H234" i="11"/>
  <c r="G234" i="11"/>
  <c r="F234" i="11"/>
  <c r="E234" i="11"/>
  <c r="D234" i="11"/>
  <c r="C234" i="11"/>
  <c r="B234" i="11"/>
  <c r="A234" i="11"/>
  <c r="O233" i="11"/>
  <c r="N233" i="11"/>
  <c r="M233" i="11"/>
  <c r="L233" i="11"/>
  <c r="K233" i="11"/>
  <c r="J233" i="11"/>
  <c r="I233" i="11"/>
  <c r="H233" i="11"/>
  <c r="E233" i="11"/>
  <c r="D233" i="11"/>
  <c r="C233" i="11"/>
  <c r="B233" i="11"/>
  <c r="A233" i="11"/>
  <c r="O232" i="11"/>
  <c r="N232" i="11"/>
  <c r="M232" i="11"/>
  <c r="L232" i="11"/>
  <c r="K232" i="11"/>
  <c r="J232" i="11"/>
  <c r="I232" i="11"/>
  <c r="H232" i="11"/>
  <c r="E232" i="11"/>
  <c r="D232" i="11"/>
  <c r="C232" i="11"/>
  <c r="B232" i="11"/>
  <c r="A232" i="11"/>
  <c r="O231" i="11"/>
  <c r="N231" i="11"/>
  <c r="M231" i="11"/>
  <c r="L231" i="11"/>
  <c r="K231" i="11"/>
  <c r="J231" i="11"/>
  <c r="I231" i="11"/>
  <c r="H231" i="11"/>
  <c r="E231" i="11"/>
  <c r="D231" i="11"/>
  <c r="C231" i="11"/>
  <c r="B231" i="11"/>
  <c r="A231" i="11"/>
  <c r="O230" i="11"/>
  <c r="N230" i="11"/>
  <c r="M230" i="11"/>
  <c r="L230" i="11"/>
  <c r="K230" i="11"/>
  <c r="J230" i="11"/>
  <c r="I230" i="11"/>
  <c r="H230" i="11"/>
  <c r="E230" i="11"/>
  <c r="D230" i="11"/>
  <c r="C230" i="11"/>
  <c r="B230" i="11"/>
  <c r="A230" i="11"/>
  <c r="O229" i="11"/>
  <c r="N229" i="11"/>
  <c r="M229" i="11"/>
  <c r="L229" i="11"/>
  <c r="K229" i="11"/>
  <c r="J229" i="11"/>
  <c r="I229" i="11"/>
  <c r="H229" i="11"/>
  <c r="E229" i="11"/>
  <c r="D229" i="11"/>
  <c r="C229" i="11"/>
  <c r="B229" i="11"/>
  <c r="A229" i="11"/>
  <c r="O228" i="11"/>
  <c r="N228" i="11"/>
  <c r="M228" i="11"/>
  <c r="L228" i="11"/>
  <c r="K228" i="11"/>
  <c r="J228" i="11"/>
  <c r="I228" i="11"/>
  <c r="H228" i="11"/>
  <c r="E228" i="11"/>
  <c r="D228" i="11"/>
  <c r="C228" i="11"/>
  <c r="B228" i="11"/>
  <c r="A228" i="11"/>
  <c r="O227" i="11"/>
  <c r="N227" i="11"/>
  <c r="M227" i="11"/>
  <c r="L227" i="11"/>
  <c r="K227" i="11"/>
  <c r="J227" i="11"/>
  <c r="I227" i="11"/>
  <c r="H227" i="11"/>
  <c r="E227" i="11"/>
  <c r="D227" i="11"/>
  <c r="C227" i="11"/>
  <c r="B227" i="11"/>
  <c r="A227" i="11"/>
  <c r="O226" i="11"/>
  <c r="N226" i="11"/>
  <c r="M226" i="11"/>
  <c r="L226" i="11"/>
  <c r="K226" i="11"/>
  <c r="J226" i="11"/>
  <c r="I226" i="11"/>
  <c r="H226" i="11"/>
  <c r="E226" i="11"/>
  <c r="D226" i="11"/>
  <c r="C226" i="11"/>
  <c r="B226" i="11"/>
  <c r="A226" i="11"/>
  <c r="O225" i="11"/>
  <c r="N225" i="11"/>
  <c r="M225" i="11"/>
  <c r="L225" i="11"/>
  <c r="K225" i="11"/>
  <c r="J225" i="11"/>
  <c r="I225" i="11"/>
  <c r="H225" i="11"/>
  <c r="G225" i="11"/>
  <c r="F225" i="11"/>
  <c r="E225" i="11"/>
  <c r="D225" i="11"/>
  <c r="C225" i="11"/>
  <c r="B225" i="11"/>
  <c r="A225" i="11"/>
  <c r="O224" i="11"/>
  <c r="N224" i="11"/>
  <c r="M224" i="11"/>
  <c r="L224" i="11"/>
  <c r="K224" i="11"/>
  <c r="J224" i="11"/>
  <c r="I224" i="11"/>
  <c r="H224" i="11"/>
  <c r="G224" i="11"/>
  <c r="F224" i="11"/>
  <c r="E224" i="11"/>
  <c r="D224" i="11"/>
  <c r="C224" i="11"/>
  <c r="B224" i="11"/>
  <c r="A224" i="11"/>
  <c r="O223" i="11"/>
  <c r="N223" i="11"/>
  <c r="M223" i="11"/>
  <c r="L223" i="11"/>
  <c r="K223" i="11"/>
  <c r="J223" i="11"/>
  <c r="I223" i="11"/>
  <c r="H223" i="11"/>
  <c r="G223" i="11"/>
  <c r="F223" i="11"/>
  <c r="E223" i="11"/>
  <c r="D223" i="11"/>
  <c r="C223" i="11"/>
  <c r="B223" i="11"/>
  <c r="A223" i="11"/>
  <c r="O222" i="11"/>
  <c r="N222" i="11"/>
  <c r="M222" i="11"/>
  <c r="L222" i="11"/>
  <c r="K222" i="11"/>
  <c r="J222" i="11"/>
  <c r="I222" i="11"/>
  <c r="H222" i="11"/>
  <c r="F222" i="11"/>
  <c r="E222" i="11"/>
  <c r="D222" i="11"/>
  <c r="C222" i="11"/>
  <c r="B222" i="11"/>
  <c r="A222" i="11"/>
  <c r="O221" i="11"/>
  <c r="N221" i="11"/>
  <c r="M221" i="11"/>
  <c r="L221" i="11"/>
  <c r="K221" i="11"/>
  <c r="J221" i="11"/>
  <c r="I221" i="11"/>
  <c r="H221" i="11"/>
  <c r="G221" i="11"/>
  <c r="F221" i="11"/>
  <c r="E221" i="11"/>
  <c r="D221" i="11"/>
  <c r="C221" i="11"/>
  <c r="B221" i="11"/>
  <c r="A221" i="11"/>
  <c r="O220" i="11"/>
  <c r="N220" i="11"/>
  <c r="M220" i="11"/>
  <c r="L220" i="11"/>
  <c r="K220" i="11"/>
  <c r="J220" i="11"/>
  <c r="I220" i="11"/>
  <c r="H220" i="11"/>
  <c r="G220" i="11"/>
  <c r="F220" i="11"/>
  <c r="E220" i="11"/>
  <c r="D220" i="11"/>
  <c r="C220" i="11"/>
  <c r="B220" i="11"/>
  <c r="A220" i="11"/>
  <c r="O219" i="11"/>
  <c r="N219" i="11"/>
  <c r="M219" i="11"/>
  <c r="L219" i="11"/>
  <c r="K219" i="11"/>
  <c r="J219" i="11"/>
  <c r="I219" i="11"/>
  <c r="H219" i="11"/>
  <c r="G219" i="11"/>
  <c r="F219" i="11"/>
  <c r="E219" i="11"/>
  <c r="D219" i="11"/>
  <c r="C219" i="11"/>
  <c r="B219" i="11"/>
  <c r="A219" i="11"/>
  <c r="O218" i="11"/>
  <c r="N218" i="11"/>
  <c r="M218" i="11"/>
  <c r="L218" i="11"/>
  <c r="K218" i="11"/>
  <c r="J218" i="11"/>
  <c r="I218" i="11"/>
  <c r="H218" i="11"/>
  <c r="G218" i="11"/>
  <c r="F218" i="11"/>
  <c r="E218" i="11"/>
  <c r="D218" i="11"/>
  <c r="C218" i="11"/>
  <c r="B218" i="11"/>
  <c r="A218" i="11"/>
  <c r="O217" i="11"/>
  <c r="N217" i="11"/>
  <c r="M217" i="11"/>
  <c r="L217" i="11"/>
  <c r="K217" i="11"/>
  <c r="J217" i="11"/>
  <c r="I217" i="11"/>
  <c r="H217" i="11"/>
  <c r="G217" i="11"/>
  <c r="F217" i="11"/>
  <c r="E217" i="11"/>
  <c r="D217" i="11"/>
  <c r="C217" i="11"/>
  <c r="B217" i="11"/>
  <c r="A217" i="11"/>
  <c r="O216" i="11"/>
  <c r="N216" i="11"/>
  <c r="M216" i="11"/>
  <c r="L216" i="11"/>
  <c r="K216" i="11"/>
  <c r="J216" i="11"/>
  <c r="I216" i="11"/>
  <c r="H216" i="11"/>
  <c r="G216" i="11"/>
  <c r="F216" i="11"/>
  <c r="E216" i="11"/>
  <c r="D216" i="11"/>
  <c r="C216" i="11"/>
  <c r="B216" i="11"/>
  <c r="A216" i="11"/>
  <c r="O215" i="11"/>
  <c r="N215" i="11"/>
  <c r="M215" i="11"/>
  <c r="L215" i="11"/>
  <c r="K215" i="11"/>
  <c r="J215" i="11"/>
  <c r="I215" i="11"/>
  <c r="H215" i="11"/>
  <c r="G215" i="11"/>
  <c r="F215" i="11"/>
  <c r="E215" i="11"/>
  <c r="D215" i="11"/>
  <c r="C215" i="11"/>
  <c r="B215" i="11"/>
  <c r="A215" i="11"/>
  <c r="O214" i="11"/>
  <c r="N214" i="11"/>
  <c r="M214" i="11"/>
  <c r="L214" i="11"/>
  <c r="K214" i="11"/>
  <c r="J214" i="11"/>
  <c r="I214" i="11"/>
  <c r="H214" i="11"/>
  <c r="G214" i="11"/>
  <c r="F214" i="11"/>
  <c r="E214" i="11"/>
  <c r="D214" i="11"/>
  <c r="C214" i="11"/>
  <c r="B214" i="11"/>
  <c r="A214" i="11"/>
  <c r="O213" i="11"/>
  <c r="N213" i="11"/>
  <c r="M213" i="11"/>
  <c r="L213" i="11"/>
  <c r="K213" i="11"/>
  <c r="J213" i="11"/>
  <c r="I213" i="11"/>
  <c r="H213" i="11"/>
  <c r="G213" i="11"/>
  <c r="F213" i="11"/>
  <c r="E213" i="11"/>
  <c r="D213" i="11"/>
  <c r="C213" i="11"/>
  <c r="B213" i="11"/>
  <c r="A213" i="11"/>
  <c r="O212" i="11"/>
  <c r="N212" i="11"/>
  <c r="M212" i="11"/>
  <c r="L212" i="11"/>
  <c r="K212" i="11"/>
  <c r="J212" i="11"/>
  <c r="I212" i="11"/>
  <c r="H212" i="11"/>
  <c r="G212" i="11"/>
  <c r="F212" i="11"/>
  <c r="E212" i="11"/>
  <c r="D212" i="11"/>
  <c r="C212" i="11"/>
  <c r="B212" i="11"/>
  <c r="A212" i="11"/>
  <c r="O211" i="11"/>
  <c r="N211" i="11"/>
  <c r="M211" i="11"/>
  <c r="L211" i="11"/>
  <c r="K211" i="11"/>
  <c r="J211" i="11"/>
  <c r="I211" i="11"/>
  <c r="H211" i="11"/>
  <c r="G211" i="11"/>
  <c r="F211" i="11"/>
  <c r="E211" i="11"/>
  <c r="D211" i="11"/>
  <c r="C211" i="11"/>
  <c r="B211" i="11"/>
  <c r="A211" i="11"/>
  <c r="O210" i="11"/>
  <c r="N210" i="11"/>
  <c r="M210" i="11"/>
  <c r="L210" i="11"/>
  <c r="K210" i="11"/>
  <c r="J210" i="11"/>
  <c r="I210" i="11"/>
  <c r="H210" i="11"/>
  <c r="G210" i="11"/>
  <c r="F210" i="11"/>
  <c r="E210" i="11"/>
  <c r="D210" i="11"/>
  <c r="C210" i="11"/>
  <c r="B210" i="11"/>
  <c r="A210" i="11"/>
  <c r="O209" i="11"/>
  <c r="N209" i="11"/>
  <c r="M209" i="11"/>
  <c r="L209" i="11"/>
  <c r="K209" i="11"/>
  <c r="J209" i="11"/>
  <c r="I209" i="11"/>
  <c r="H209" i="11"/>
  <c r="G209" i="11"/>
  <c r="F209" i="11"/>
  <c r="E209" i="11"/>
  <c r="D209" i="11"/>
  <c r="C209" i="11"/>
  <c r="B209" i="11"/>
  <c r="A209" i="11"/>
  <c r="O208" i="11"/>
  <c r="N208" i="11"/>
  <c r="M208" i="11"/>
  <c r="L208" i="11"/>
  <c r="K208" i="11"/>
  <c r="J208" i="11"/>
  <c r="I208" i="11"/>
  <c r="H208" i="11"/>
  <c r="G208" i="11"/>
  <c r="F208" i="11"/>
  <c r="E208" i="11"/>
  <c r="D208" i="11"/>
  <c r="C208" i="11"/>
  <c r="B208" i="11"/>
  <c r="A208" i="11"/>
  <c r="O207" i="11"/>
  <c r="N207" i="11"/>
  <c r="M207" i="11"/>
  <c r="L207" i="11"/>
  <c r="K207" i="11"/>
  <c r="J207" i="11"/>
  <c r="I207" i="11"/>
  <c r="H207" i="11"/>
  <c r="G207" i="11"/>
  <c r="F207" i="11"/>
  <c r="E207" i="11"/>
  <c r="D207" i="11"/>
  <c r="C207" i="11"/>
  <c r="B207" i="11"/>
  <c r="A207" i="11"/>
  <c r="O206" i="11"/>
  <c r="N206" i="11"/>
  <c r="M206" i="11"/>
  <c r="L206" i="11"/>
  <c r="K206" i="11"/>
  <c r="J206" i="11"/>
  <c r="I206" i="11"/>
  <c r="H206" i="11"/>
  <c r="G206" i="11"/>
  <c r="F206" i="11"/>
  <c r="E206" i="11"/>
  <c r="D206" i="11"/>
  <c r="C206" i="11"/>
  <c r="B206" i="11"/>
  <c r="A206" i="11"/>
  <c r="O205" i="11"/>
  <c r="N205" i="11"/>
  <c r="M205" i="11"/>
  <c r="L205" i="11"/>
  <c r="K205" i="11"/>
  <c r="J205" i="11"/>
  <c r="I205" i="11"/>
  <c r="H205" i="11"/>
  <c r="F205" i="11"/>
  <c r="E205" i="11"/>
  <c r="D205" i="11"/>
  <c r="C205" i="11"/>
  <c r="B205" i="11"/>
  <c r="A205" i="11"/>
  <c r="O204" i="11"/>
  <c r="N204" i="11"/>
  <c r="M204" i="11"/>
  <c r="L204" i="11"/>
  <c r="K204" i="11"/>
  <c r="J204" i="11"/>
  <c r="I204" i="11"/>
  <c r="H204" i="11"/>
  <c r="G204" i="11"/>
  <c r="F204" i="11"/>
  <c r="E204" i="11"/>
  <c r="D204" i="11"/>
  <c r="C204" i="11"/>
  <c r="B204" i="11"/>
  <c r="A204" i="11"/>
  <c r="O203" i="11"/>
  <c r="N203" i="11"/>
  <c r="M203" i="11"/>
  <c r="L203" i="11"/>
  <c r="K203" i="11"/>
  <c r="J203" i="11"/>
  <c r="I203" i="11"/>
  <c r="H203" i="11"/>
  <c r="G203" i="11"/>
  <c r="F203" i="11"/>
  <c r="E203" i="11"/>
  <c r="D203" i="11"/>
  <c r="C203" i="11"/>
  <c r="B203" i="11"/>
  <c r="A203" i="11"/>
  <c r="O202" i="11"/>
  <c r="N202" i="11"/>
  <c r="M202" i="11"/>
  <c r="L202" i="11"/>
  <c r="K202" i="11"/>
  <c r="J202" i="11"/>
  <c r="I202" i="11"/>
  <c r="H202" i="11"/>
  <c r="F202" i="11"/>
  <c r="E202" i="11"/>
  <c r="D202" i="11"/>
  <c r="C202" i="11"/>
  <c r="B202" i="11"/>
  <c r="A202" i="11"/>
  <c r="O201" i="11"/>
  <c r="N201" i="11"/>
  <c r="M201" i="11"/>
  <c r="L201" i="11"/>
  <c r="K201" i="11"/>
  <c r="J201" i="11"/>
  <c r="I201" i="11"/>
  <c r="H201" i="11"/>
  <c r="F201" i="11"/>
  <c r="E201" i="11"/>
  <c r="D201" i="11"/>
  <c r="C201" i="11"/>
  <c r="B201" i="11"/>
  <c r="A201" i="11"/>
  <c r="O200" i="11"/>
  <c r="N200" i="11"/>
  <c r="M200" i="11"/>
  <c r="L200" i="11"/>
  <c r="K200" i="11"/>
  <c r="J200" i="11"/>
  <c r="I200" i="11"/>
  <c r="H200" i="11"/>
  <c r="F200" i="11"/>
  <c r="E200" i="11"/>
  <c r="D200" i="11"/>
  <c r="C200" i="11"/>
  <c r="B200" i="11"/>
  <c r="A200" i="11"/>
  <c r="O199" i="11"/>
  <c r="N199" i="11"/>
  <c r="M199" i="11"/>
  <c r="L199" i="11"/>
  <c r="K199" i="11"/>
  <c r="J199" i="11"/>
  <c r="I199" i="11"/>
  <c r="H199" i="11"/>
  <c r="G199" i="11"/>
  <c r="F199" i="11"/>
  <c r="E199" i="11"/>
  <c r="D199" i="11"/>
  <c r="C199" i="11"/>
  <c r="B199" i="11"/>
  <c r="A199" i="11"/>
  <c r="O198" i="11"/>
  <c r="N198" i="11"/>
  <c r="M198" i="11"/>
  <c r="L198" i="11"/>
  <c r="K198" i="11"/>
  <c r="J198" i="11"/>
  <c r="I198" i="11"/>
  <c r="H198" i="11"/>
  <c r="F198" i="11"/>
  <c r="E198" i="11"/>
  <c r="D198" i="11"/>
  <c r="C198" i="11"/>
  <c r="B198" i="11"/>
  <c r="A198" i="11"/>
  <c r="O197" i="11"/>
  <c r="N197" i="11"/>
  <c r="M197" i="11"/>
  <c r="L197" i="11"/>
  <c r="K197" i="11"/>
  <c r="J197" i="11"/>
  <c r="I197" i="11"/>
  <c r="H197" i="11"/>
  <c r="G197" i="11"/>
  <c r="F197" i="11"/>
  <c r="E197" i="11"/>
  <c r="D197" i="11"/>
  <c r="C197" i="11"/>
  <c r="B197" i="11"/>
  <c r="A197" i="11"/>
  <c r="O196" i="11"/>
  <c r="N196" i="11"/>
  <c r="M196" i="11"/>
  <c r="L196" i="11"/>
  <c r="K196" i="11"/>
  <c r="J196" i="11"/>
  <c r="I196" i="11"/>
  <c r="H196" i="11"/>
  <c r="G196" i="11"/>
  <c r="F196" i="11"/>
  <c r="E196" i="11"/>
  <c r="D196" i="11"/>
  <c r="C196" i="11"/>
  <c r="B196" i="11"/>
  <c r="A196" i="11"/>
  <c r="O195" i="11"/>
  <c r="N195" i="11"/>
  <c r="M195" i="11"/>
  <c r="L195" i="11"/>
  <c r="K195" i="11"/>
  <c r="J195" i="11"/>
  <c r="I195" i="11"/>
  <c r="H195" i="11"/>
  <c r="G195" i="11"/>
  <c r="F195" i="11"/>
  <c r="E195" i="11"/>
  <c r="D195" i="11"/>
  <c r="C195" i="11"/>
  <c r="B195" i="11"/>
  <c r="A195" i="11"/>
  <c r="O194" i="11"/>
  <c r="N194" i="11"/>
  <c r="M194" i="11"/>
  <c r="L194" i="11"/>
  <c r="K194" i="11"/>
  <c r="J194" i="11"/>
  <c r="I194" i="11"/>
  <c r="H194" i="11"/>
  <c r="G194" i="11"/>
  <c r="F194" i="11"/>
  <c r="E194" i="11"/>
  <c r="D194" i="11"/>
  <c r="C194" i="11"/>
  <c r="B194" i="11"/>
  <c r="A194" i="11"/>
  <c r="O193" i="11"/>
  <c r="N193" i="11"/>
  <c r="M193" i="11"/>
  <c r="L193" i="11"/>
  <c r="K193" i="11"/>
  <c r="J193" i="11"/>
  <c r="I193" i="11"/>
  <c r="H193" i="11"/>
  <c r="G193" i="11"/>
  <c r="F193" i="11"/>
  <c r="E193" i="11"/>
  <c r="D193" i="11"/>
  <c r="C193" i="11"/>
  <c r="B193" i="11"/>
  <c r="A193" i="11"/>
  <c r="O192" i="11"/>
  <c r="N192" i="11"/>
  <c r="M192" i="11"/>
  <c r="L192" i="11"/>
  <c r="K192" i="11"/>
  <c r="J192" i="11"/>
  <c r="I192" i="11"/>
  <c r="H192" i="11"/>
  <c r="G192" i="11"/>
  <c r="F192" i="11"/>
  <c r="E192" i="11"/>
  <c r="D192" i="11"/>
  <c r="C192" i="11"/>
  <c r="B192" i="11"/>
  <c r="A192" i="11"/>
  <c r="O191" i="11"/>
  <c r="N191" i="11"/>
  <c r="M191" i="11"/>
  <c r="L191" i="11"/>
  <c r="K191" i="11"/>
  <c r="J191" i="11"/>
  <c r="I191" i="11"/>
  <c r="H191" i="11"/>
  <c r="G191" i="11"/>
  <c r="F191" i="11"/>
  <c r="E191" i="11"/>
  <c r="D191" i="11"/>
  <c r="C191" i="11"/>
  <c r="B191" i="11"/>
  <c r="A191" i="11"/>
  <c r="O190" i="11"/>
  <c r="N190" i="11"/>
  <c r="M190" i="11"/>
  <c r="L190" i="11"/>
  <c r="K190" i="11"/>
  <c r="J190" i="11"/>
  <c r="I190" i="11"/>
  <c r="H190" i="11"/>
  <c r="G190" i="11"/>
  <c r="F190" i="11"/>
  <c r="E190" i="11"/>
  <c r="D190" i="11"/>
  <c r="C190" i="11"/>
  <c r="B190" i="11"/>
  <c r="A190" i="11"/>
  <c r="O189" i="11"/>
  <c r="N189" i="11"/>
  <c r="M189" i="11"/>
  <c r="L189" i="11"/>
  <c r="K189" i="11"/>
  <c r="J189" i="11"/>
  <c r="I189" i="11"/>
  <c r="H189" i="11"/>
  <c r="G189" i="11"/>
  <c r="F189" i="11"/>
  <c r="E189" i="11"/>
  <c r="D189" i="11"/>
  <c r="C189" i="11"/>
  <c r="B189" i="11"/>
  <c r="A189" i="11"/>
  <c r="O188" i="11"/>
  <c r="N188" i="11"/>
  <c r="M188" i="11"/>
  <c r="L188" i="11"/>
  <c r="K188" i="11"/>
  <c r="J188" i="11"/>
  <c r="I188" i="11"/>
  <c r="H188" i="11"/>
  <c r="G188" i="11"/>
  <c r="F188" i="11"/>
  <c r="E188" i="11"/>
  <c r="D188" i="11"/>
  <c r="C188" i="11"/>
  <c r="B188" i="11"/>
  <c r="A188" i="11"/>
  <c r="O187" i="11"/>
  <c r="N187" i="11"/>
  <c r="M187" i="11"/>
  <c r="L187" i="11"/>
  <c r="K187" i="11"/>
  <c r="J187" i="11"/>
  <c r="I187" i="11"/>
  <c r="H187" i="11"/>
  <c r="G187" i="11"/>
  <c r="F187" i="11"/>
  <c r="E187" i="11"/>
  <c r="D187" i="11"/>
  <c r="C187" i="11"/>
  <c r="B187" i="11"/>
  <c r="A187" i="11"/>
  <c r="O186" i="11"/>
  <c r="N186" i="11"/>
  <c r="M186" i="11"/>
  <c r="L186" i="11"/>
  <c r="K186" i="11"/>
  <c r="J186" i="11"/>
  <c r="I186" i="11"/>
  <c r="H186" i="11"/>
  <c r="G186" i="11"/>
  <c r="F186" i="11"/>
  <c r="E186" i="11"/>
  <c r="D186" i="11"/>
  <c r="C186" i="11"/>
  <c r="B186" i="11"/>
  <c r="A186" i="11"/>
  <c r="O185" i="11"/>
  <c r="N185" i="11"/>
  <c r="M185" i="11"/>
  <c r="L185" i="11"/>
  <c r="K185" i="11"/>
  <c r="J185" i="11"/>
  <c r="I185" i="11"/>
  <c r="H185" i="11"/>
  <c r="G185" i="11"/>
  <c r="F185" i="11"/>
  <c r="E185" i="11"/>
  <c r="D185" i="11"/>
  <c r="C185" i="11"/>
  <c r="B185" i="11"/>
  <c r="A185" i="11"/>
  <c r="O184" i="11"/>
  <c r="N184" i="11"/>
  <c r="M184" i="11"/>
  <c r="L184" i="11"/>
  <c r="K184" i="11"/>
  <c r="J184" i="11"/>
  <c r="I184" i="11"/>
  <c r="H184" i="11"/>
  <c r="G184" i="11"/>
  <c r="F184" i="11"/>
  <c r="E184" i="11"/>
  <c r="D184" i="11"/>
  <c r="C184" i="11"/>
  <c r="B184" i="11"/>
  <c r="A184" i="11"/>
  <c r="O183" i="11"/>
  <c r="N183" i="11"/>
  <c r="M183" i="11"/>
  <c r="L183" i="11"/>
  <c r="K183" i="11"/>
  <c r="J183" i="11"/>
  <c r="I183" i="11"/>
  <c r="H183" i="11"/>
  <c r="F183" i="11"/>
  <c r="E183" i="11"/>
  <c r="D183" i="11"/>
  <c r="C183" i="11"/>
  <c r="B183" i="11"/>
  <c r="A183" i="11"/>
  <c r="O182" i="11"/>
  <c r="N182" i="11"/>
  <c r="M182" i="11"/>
  <c r="L182" i="11"/>
  <c r="K182" i="11"/>
  <c r="J182" i="11"/>
  <c r="I182" i="11"/>
  <c r="H182" i="11"/>
  <c r="F182" i="11"/>
  <c r="E182" i="11"/>
  <c r="D182" i="11"/>
  <c r="C182" i="11"/>
  <c r="B182" i="11"/>
  <c r="A182" i="11"/>
  <c r="O181" i="11"/>
  <c r="N181" i="11"/>
  <c r="M181" i="11"/>
  <c r="L181" i="11"/>
  <c r="K181" i="11"/>
  <c r="J181" i="11"/>
  <c r="I181" i="11"/>
  <c r="H181" i="11"/>
  <c r="F181" i="11"/>
  <c r="E181" i="11"/>
  <c r="D181" i="11"/>
  <c r="C181" i="11"/>
  <c r="B181" i="11"/>
  <c r="A181" i="11"/>
  <c r="O180" i="11"/>
  <c r="N180" i="11"/>
  <c r="M180" i="11"/>
  <c r="L180" i="11"/>
  <c r="K180" i="11"/>
  <c r="J180" i="11"/>
  <c r="I180" i="11"/>
  <c r="H180" i="11"/>
  <c r="F180" i="11"/>
  <c r="E180" i="11"/>
  <c r="D180" i="11"/>
  <c r="C180" i="11"/>
  <c r="B180" i="11"/>
  <c r="A180" i="11"/>
  <c r="O179" i="11"/>
  <c r="N179" i="11"/>
  <c r="M179" i="11"/>
  <c r="L179" i="11"/>
  <c r="K179" i="11"/>
  <c r="J179" i="11"/>
  <c r="I179" i="11"/>
  <c r="H179" i="11"/>
  <c r="F179" i="11"/>
  <c r="E179" i="11"/>
  <c r="D179" i="11"/>
  <c r="C179" i="11"/>
  <c r="B179" i="11"/>
  <c r="A179" i="11"/>
  <c r="O178" i="11"/>
  <c r="N178" i="11"/>
  <c r="M178" i="11"/>
  <c r="L178" i="11"/>
  <c r="K178" i="11"/>
  <c r="J178" i="11"/>
  <c r="I178" i="11"/>
  <c r="H178" i="11"/>
  <c r="F178" i="11"/>
  <c r="E178" i="11"/>
  <c r="D178" i="11"/>
  <c r="C178" i="11"/>
  <c r="B178" i="11"/>
  <c r="A178" i="11"/>
  <c r="O177" i="11"/>
  <c r="N177" i="11"/>
  <c r="M177" i="11"/>
  <c r="L177" i="11"/>
  <c r="K177" i="11"/>
  <c r="J177" i="11"/>
  <c r="I177" i="11"/>
  <c r="H177" i="11"/>
  <c r="G177" i="11"/>
  <c r="F177" i="11"/>
  <c r="E177" i="11"/>
  <c r="D177" i="11"/>
  <c r="C177" i="11"/>
  <c r="B177" i="11"/>
  <c r="A177" i="11"/>
  <c r="O176" i="11"/>
  <c r="N176" i="11"/>
  <c r="M176" i="11"/>
  <c r="L176" i="11"/>
  <c r="K176" i="11"/>
  <c r="J176" i="11"/>
  <c r="I176" i="11"/>
  <c r="H176" i="11"/>
  <c r="E176" i="11"/>
  <c r="D176" i="11"/>
  <c r="C176" i="11"/>
  <c r="B176" i="11"/>
  <c r="A176" i="11"/>
  <c r="O175" i="11"/>
  <c r="N175" i="11"/>
  <c r="M175" i="11"/>
  <c r="L175" i="11"/>
  <c r="K175" i="11"/>
  <c r="J175" i="11"/>
  <c r="I175" i="11"/>
  <c r="H175" i="11"/>
  <c r="G175" i="11"/>
  <c r="F175" i="11"/>
  <c r="E175" i="11"/>
  <c r="D175" i="11"/>
  <c r="C175" i="11"/>
  <c r="B175" i="11"/>
  <c r="A175" i="11"/>
  <c r="O174" i="11"/>
  <c r="N174" i="11"/>
  <c r="M174" i="11"/>
  <c r="L174" i="11"/>
  <c r="K174" i="11"/>
  <c r="J174" i="11"/>
  <c r="I174" i="11"/>
  <c r="H174" i="11"/>
  <c r="G174" i="11"/>
  <c r="F174" i="11"/>
  <c r="E174" i="11"/>
  <c r="D174" i="11"/>
  <c r="C174" i="11"/>
  <c r="B174" i="11"/>
  <c r="A174" i="11"/>
  <c r="O173" i="11"/>
  <c r="N173" i="11"/>
  <c r="M173" i="11"/>
  <c r="L173" i="11"/>
  <c r="K173" i="11"/>
  <c r="J173" i="11"/>
  <c r="I173" i="11"/>
  <c r="H173" i="11"/>
  <c r="F173" i="11"/>
  <c r="E173" i="11"/>
  <c r="D173" i="11"/>
  <c r="C173" i="11"/>
  <c r="B173" i="11"/>
  <c r="A173" i="11"/>
  <c r="O172" i="11"/>
  <c r="N172" i="11"/>
  <c r="M172" i="11"/>
  <c r="L172" i="11"/>
  <c r="K172" i="11"/>
  <c r="J172" i="11"/>
  <c r="I172" i="11"/>
  <c r="H172" i="11"/>
  <c r="F172" i="11"/>
  <c r="E172" i="11"/>
  <c r="D172" i="11"/>
  <c r="C172" i="11"/>
  <c r="B172" i="11"/>
  <c r="A172" i="11"/>
  <c r="O171" i="11"/>
  <c r="N171" i="11"/>
  <c r="M171" i="11"/>
  <c r="L171" i="11"/>
  <c r="K171" i="11"/>
  <c r="J171" i="11"/>
  <c r="I171" i="11"/>
  <c r="H171" i="11"/>
  <c r="G171" i="11"/>
  <c r="F171" i="11"/>
  <c r="E171" i="11"/>
  <c r="D171" i="11"/>
  <c r="C171" i="11"/>
  <c r="B171" i="11"/>
  <c r="A171" i="11"/>
  <c r="O170" i="11"/>
  <c r="N170" i="11"/>
  <c r="M170" i="11"/>
  <c r="L170" i="11"/>
  <c r="K170" i="11"/>
  <c r="J170" i="11"/>
  <c r="I170" i="11"/>
  <c r="H170" i="11"/>
  <c r="G170" i="11"/>
  <c r="F170" i="11"/>
  <c r="E170" i="11"/>
  <c r="D170" i="11"/>
  <c r="C170" i="11"/>
  <c r="B170" i="11"/>
  <c r="A170" i="11"/>
  <c r="O169" i="11"/>
  <c r="N169" i="11"/>
  <c r="M169" i="11"/>
  <c r="L169" i="11"/>
  <c r="K169" i="11"/>
  <c r="J169" i="11"/>
  <c r="I169" i="11"/>
  <c r="H169" i="11"/>
  <c r="G169" i="11"/>
  <c r="F169" i="11"/>
  <c r="E169" i="11"/>
  <c r="D169" i="11"/>
  <c r="C169" i="11"/>
  <c r="B169" i="11"/>
  <c r="A169" i="11"/>
  <c r="O168" i="11"/>
  <c r="N168" i="11"/>
  <c r="M168" i="11"/>
  <c r="L168" i="11"/>
  <c r="K168" i="11"/>
  <c r="J168" i="11"/>
  <c r="I168" i="11"/>
  <c r="H168" i="11"/>
  <c r="G168" i="11"/>
  <c r="F168" i="11"/>
  <c r="E168" i="11"/>
  <c r="D168" i="11"/>
  <c r="C168" i="11"/>
  <c r="B168" i="11"/>
  <c r="A168" i="11"/>
  <c r="O167" i="11"/>
  <c r="N167" i="11"/>
  <c r="M167" i="11"/>
  <c r="L167" i="11"/>
  <c r="K167" i="11"/>
  <c r="J167" i="11"/>
  <c r="I167" i="11"/>
  <c r="H167" i="11"/>
  <c r="E167" i="11"/>
  <c r="D167" i="11"/>
  <c r="C167" i="11"/>
  <c r="B167" i="11"/>
  <c r="A167" i="11"/>
  <c r="O166" i="11"/>
  <c r="N166" i="11"/>
  <c r="M166" i="11"/>
  <c r="L166" i="11"/>
  <c r="K166" i="11"/>
  <c r="J166" i="11"/>
  <c r="I166" i="11"/>
  <c r="H166" i="11"/>
  <c r="G166" i="11"/>
  <c r="F166" i="11"/>
  <c r="E166" i="11"/>
  <c r="D166" i="11"/>
  <c r="C166" i="11"/>
  <c r="B166" i="11"/>
  <c r="A166" i="11"/>
  <c r="O165" i="11"/>
  <c r="N165" i="11"/>
  <c r="M165" i="11"/>
  <c r="L165" i="11"/>
  <c r="K165" i="11"/>
  <c r="J165" i="11"/>
  <c r="I165" i="11"/>
  <c r="H165" i="11"/>
  <c r="E165" i="11"/>
  <c r="D165" i="11"/>
  <c r="C165" i="11"/>
  <c r="B165" i="11"/>
  <c r="A165" i="11"/>
  <c r="O164" i="11"/>
  <c r="N164" i="11"/>
  <c r="M164" i="11"/>
  <c r="L164" i="11"/>
  <c r="K164" i="11"/>
  <c r="J164" i="11"/>
  <c r="I164" i="11"/>
  <c r="H164" i="11"/>
  <c r="E164" i="11"/>
  <c r="D164" i="11"/>
  <c r="C164" i="11"/>
  <c r="B164" i="11"/>
  <c r="A164" i="11"/>
  <c r="O163" i="11"/>
  <c r="N163" i="11"/>
  <c r="M163" i="11"/>
  <c r="L163" i="11"/>
  <c r="K163" i="11"/>
  <c r="J163" i="11"/>
  <c r="I163" i="11"/>
  <c r="H163" i="11"/>
  <c r="E163" i="11"/>
  <c r="D163" i="11"/>
  <c r="C163" i="11"/>
  <c r="B163" i="11"/>
  <c r="A163" i="11"/>
  <c r="O162" i="11"/>
  <c r="N162" i="11"/>
  <c r="M162" i="11"/>
  <c r="L162" i="11"/>
  <c r="K162" i="11"/>
  <c r="J162" i="11"/>
  <c r="I162" i="11"/>
  <c r="H162" i="11"/>
  <c r="E162" i="11"/>
  <c r="D162" i="11"/>
  <c r="C162" i="11"/>
  <c r="B162" i="11"/>
  <c r="A162" i="11"/>
  <c r="O161" i="11"/>
  <c r="N161" i="11"/>
  <c r="M161" i="11"/>
  <c r="L161" i="11"/>
  <c r="K161" i="11"/>
  <c r="J161" i="11"/>
  <c r="I161" i="11"/>
  <c r="H161" i="11"/>
  <c r="E161" i="11"/>
  <c r="D161" i="11"/>
  <c r="C161" i="11"/>
  <c r="B161" i="11"/>
  <c r="A161" i="11"/>
  <c r="O160" i="11"/>
  <c r="N160" i="11"/>
  <c r="M160" i="11"/>
  <c r="L160" i="11"/>
  <c r="K160" i="11"/>
  <c r="J160" i="11"/>
  <c r="I160" i="11"/>
  <c r="H160" i="11"/>
  <c r="E160" i="11"/>
  <c r="D160" i="11"/>
  <c r="C160" i="11"/>
  <c r="B160" i="11"/>
  <c r="A160" i="11"/>
  <c r="O159" i="11"/>
  <c r="N159" i="11"/>
  <c r="M159" i="11"/>
  <c r="L159" i="11"/>
  <c r="K159" i="11"/>
  <c r="J159" i="11"/>
  <c r="I159" i="11"/>
  <c r="H159" i="11"/>
  <c r="G159" i="11"/>
  <c r="F159" i="11"/>
  <c r="E159" i="11"/>
  <c r="D159" i="11"/>
  <c r="C159" i="11"/>
  <c r="B159" i="11"/>
  <c r="A159" i="11"/>
  <c r="O158" i="11"/>
  <c r="N158" i="11"/>
  <c r="M158" i="11"/>
  <c r="L158" i="11"/>
  <c r="K158" i="11"/>
  <c r="J158" i="11"/>
  <c r="I158" i="11"/>
  <c r="H158" i="11"/>
  <c r="G158" i="11"/>
  <c r="F158" i="11"/>
  <c r="E158" i="11"/>
  <c r="D158" i="11"/>
  <c r="C158" i="11"/>
  <c r="B158" i="11"/>
  <c r="A158" i="11"/>
  <c r="O157" i="11"/>
  <c r="N157" i="11"/>
  <c r="M157" i="11"/>
  <c r="L157" i="11"/>
  <c r="K157" i="11"/>
  <c r="J157" i="11"/>
  <c r="I157" i="11"/>
  <c r="H157" i="11"/>
  <c r="G157" i="11"/>
  <c r="F157" i="11"/>
  <c r="E157" i="11"/>
  <c r="D157" i="11"/>
  <c r="C157" i="11"/>
  <c r="B157" i="11"/>
  <c r="A157" i="11"/>
  <c r="O156" i="11"/>
  <c r="N156" i="11"/>
  <c r="M156" i="11"/>
  <c r="L156" i="11"/>
  <c r="K156" i="11"/>
  <c r="J156" i="11"/>
  <c r="I156" i="11"/>
  <c r="H156" i="11"/>
  <c r="G156" i="11"/>
  <c r="F156" i="11"/>
  <c r="E156" i="11"/>
  <c r="D156" i="11"/>
  <c r="C156" i="11"/>
  <c r="B156" i="11"/>
  <c r="A156" i="11"/>
  <c r="O155" i="11"/>
  <c r="N155" i="11"/>
  <c r="M155" i="11"/>
  <c r="L155" i="11"/>
  <c r="K155" i="11"/>
  <c r="J155" i="11"/>
  <c r="I155" i="11"/>
  <c r="H155" i="11"/>
  <c r="G155" i="11"/>
  <c r="F155" i="11"/>
  <c r="E155" i="11"/>
  <c r="D155" i="11"/>
  <c r="C155" i="11"/>
  <c r="B155" i="11"/>
  <c r="A155" i="11"/>
  <c r="O154" i="11"/>
  <c r="N154" i="11"/>
  <c r="M154" i="11"/>
  <c r="L154" i="11"/>
  <c r="K154" i="11"/>
  <c r="J154" i="11"/>
  <c r="I154" i="11"/>
  <c r="H154" i="11"/>
  <c r="F154" i="11"/>
  <c r="E154" i="11"/>
  <c r="D154" i="11"/>
  <c r="C154" i="11"/>
  <c r="B154" i="11"/>
  <c r="A154" i="11"/>
  <c r="O153" i="11"/>
  <c r="N153" i="11"/>
  <c r="M153" i="11"/>
  <c r="L153" i="11"/>
  <c r="K153" i="11"/>
  <c r="J153" i="11"/>
  <c r="I153" i="11"/>
  <c r="H153" i="11"/>
  <c r="G153" i="11"/>
  <c r="F153" i="11"/>
  <c r="E153" i="11"/>
  <c r="D153" i="11"/>
  <c r="C153" i="11"/>
  <c r="B153" i="11"/>
  <c r="A153" i="11"/>
  <c r="O152" i="11"/>
  <c r="N152" i="11"/>
  <c r="M152" i="11"/>
  <c r="L152" i="11"/>
  <c r="K152" i="11"/>
  <c r="J152" i="11"/>
  <c r="I152" i="11"/>
  <c r="H152" i="11"/>
  <c r="G152" i="11"/>
  <c r="F152" i="11"/>
  <c r="E152" i="11"/>
  <c r="D152" i="11"/>
  <c r="C152" i="11"/>
  <c r="B152" i="11"/>
  <c r="A152" i="11"/>
  <c r="O151" i="11"/>
  <c r="N151" i="11"/>
  <c r="M151" i="11"/>
  <c r="L151" i="11"/>
  <c r="K151" i="11"/>
  <c r="J151" i="11"/>
  <c r="I151" i="11"/>
  <c r="H151" i="11"/>
  <c r="G151" i="11"/>
  <c r="F151" i="11"/>
  <c r="E151" i="11"/>
  <c r="D151" i="11"/>
  <c r="C151" i="11"/>
  <c r="B151" i="11"/>
  <c r="A151" i="11"/>
  <c r="O150" i="11"/>
  <c r="N150" i="11"/>
  <c r="M150" i="11"/>
  <c r="L150" i="11"/>
  <c r="K150" i="11"/>
  <c r="J150" i="11"/>
  <c r="I150" i="11"/>
  <c r="H150" i="11"/>
  <c r="G150" i="11"/>
  <c r="F150" i="11"/>
  <c r="E150" i="11"/>
  <c r="D150" i="11"/>
  <c r="C150" i="11"/>
  <c r="B150" i="11"/>
  <c r="A150" i="11"/>
  <c r="O149" i="11"/>
  <c r="N149" i="11"/>
  <c r="M149" i="11"/>
  <c r="L149" i="11"/>
  <c r="K149" i="11"/>
  <c r="J149" i="11"/>
  <c r="I149" i="11"/>
  <c r="H149" i="11"/>
  <c r="G149" i="11"/>
  <c r="F149" i="11"/>
  <c r="E149" i="11"/>
  <c r="D149" i="11"/>
  <c r="C149" i="11"/>
  <c r="B149" i="11"/>
  <c r="A149" i="11"/>
  <c r="O148" i="11"/>
  <c r="N148" i="11"/>
  <c r="M148" i="11"/>
  <c r="L148" i="11"/>
  <c r="K148" i="11"/>
  <c r="J148" i="11"/>
  <c r="I148" i="11"/>
  <c r="H148" i="11"/>
  <c r="G148" i="11"/>
  <c r="F148" i="11"/>
  <c r="E148" i="11"/>
  <c r="D148" i="11"/>
  <c r="C148" i="11"/>
  <c r="B148" i="11"/>
  <c r="A148" i="11"/>
  <c r="O147" i="11"/>
  <c r="N147" i="11"/>
  <c r="M147" i="11"/>
  <c r="L147" i="11"/>
  <c r="K147" i="11"/>
  <c r="J147" i="11"/>
  <c r="I147" i="11"/>
  <c r="H147" i="11"/>
  <c r="G147" i="11"/>
  <c r="F147" i="11"/>
  <c r="E147" i="11"/>
  <c r="D147" i="11"/>
  <c r="C147" i="11"/>
  <c r="B147" i="11"/>
  <c r="A147" i="11"/>
  <c r="O146" i="11"/>
  <c r="N146" i="11"/>
  <c r="M146" i="11"/>
  <c r="L146" i="11"/>
  <c r="K146" i="11"/>
  <c r="J146" i="11"/>
  <c r="I146" i="11"/>
  <c r="H146" i="11"/>
  <c r="G146" i="11"/>
  <c r="F146" i="11"/>
  <c r="E146" i="11"/>
  <c r="D146" i="11"/>
  <c r="C146" i="11"/>
  <c r="B146" i="11"/>
  <c r="A146" i="11"/>
  <c r="O145" i="11"/>
  <c r="N145" i="11"/>
  <c r="M145" i="11"/>
  <c r="L145" i="11"/>
  <c r="K145" i="11"/>
  <c r="J145" i="11"/>
  <c r="I145" i="11"/>
  <c r="H145" i="11"/>
  <c r="G145" i="11"/>
  <c r="F145" i="11"/>
  <c r="E145" i="11"/>
  <c r="D145" i="11"/>
  <c r="C145" i="11"/>
  <c r="B145" i="11"/>
  <c r="A145" i="11"/>
  <c r="O144" i="11"/>
  <c r="N144" i="11"/>
  <c r="M144" i="11"/>
  <c r="L144" i="11"/>
  <c r="K144" i="11"/>
  <c r="J144" i="11"/>
  <c r="I144" i="11"/>
  <c r="H144" i="11"/>
  <c r="E144" i="11"/>
  <c r="D144" i="11"/>
  <c r="C144" i="11"/>
  <c r="B144" i="11"/>
  <c r="A144" i="11"/>
  <c r="O143" i="11"/>
  <c r="N143" i="11"/>
  <c r="M143" i="11"/>
  <c r="L143" i="11"/>
  <c r="K143" i="11"/>
  <c r="J143" i="11"/>
  <c r="I143" i="11"/>
  <c r="H143" i="11"/>
  <c r="E143" i="11"/>
  <c r="D143" i="11"/>
  <c r="C143" i="11"/>
  <c r="B143" i="11"/>
  <c r="A143" i="11"/>
  <c r="O142" i="11"/>
  <c r="N142" i="11"/>
  <c r="M142" i="11"/>
  <c r="L142" i="11"/>
  <c r="K142" i="11"/>
  <c r="J142" i="11"/>
  <c r="I142" i="11"/>
  <c r="H142" i="11"/>
  <c r="E142" i="11"/>
  <c r="D142" i="11"/>
  <c r="C142" i="11"/>
  <c r="B142" i="11"/>
  <c r="A142" i="11"/>
  <c r="O141" i="11"/>
  <c r="N141" i="11"/>
  <c r="M141" i="11"/>
  <c r="L141" i="11"/>
  <c r="K141" i="11"/>
  <c r="J141" i="11"/>
  <c r="I141" i="11"/>
  <c r="H141" i="11"/>
  <c r="E141" i="11"/>
  <c r="D141" i="11"/>
  <c r="C141" i="11"/>
  <c r="B141" i="11"/>
  <c r="A141" i="11"/>
  <c r="O140" i="11"/>
  <c r="N140" i="11"/>
  <c r="M140" i="11"/>
  <c r="L140" i="11"/>
  <c r="K140" i="11"/>
  <c r="J140" i="11"/>
  <c r="I140" i="11"/>
  <c r="H140" i="11"/>
  <c r="E140" i="11"/>
  <c r="D140" i="11"/>
  <c r="C140" i="11"/>
  <c r="B140" i="11"/>
  <c r="A140" i="11"/>
  <c r="O139" i="11"/>
  <c r="N139" i="11"/>
  <c r="M139" i="11"/>
  <c r="L139" i="11"/>
  <c r="K139" i="11"/>
  <c r="J139" i="11"/>
  <c r="I139" i="11"/>
  <c r="H139" i="11"/>
  <c r="E139" i="11"/>
  <c r="D139" i="11"/>
  <c r="C139" i="11"/>
  <c r="B139" i="11"/>
  <c r="A139" i="11"/>
  <c r="O138" i="11"/>
  <c r="N138" i="11"/>
  <c r="M138" i="11"/>
  <c r="L138" i="11"/>
  <c r="K138" i="11"/>
  <c r="J138" i="11"/>
  <c r="I138" i="11"/>
  <c r="H138" i="11"/>
  <c r="G138" i="11"/>
  <c r="F138" i="11"/>
  <c r="E138" i="11"/>
  <c r="D138" i="11"/>
  <c r="C138" i="11"/>
  <c r="B138" i="11"/>
  <c r="A138" i="11"/>
  <c r="O137" i="11"/>
  <c r="N137" i="11"/>
  <c r="M137" i="11"/>
  <c r="L137" i="11"/>
  <c r="K137" i="11"/>
  <c r="J137" i="11"/>
  <c r="I137" i="11"/>
  <c r="H137" i="11"/>
  <c r="G137" i="11"/>
  <c r="F137" i="11"/>
  <c r="E137" i="11"/>
  <c r="D137" i="11"/>
  <c r="C137" i="11"/>
  <c r="B137" i="11"/>
  <c r="A137" i="11"/>
  <c r="O136" i="11"/>
  <c r="N136" i="11"/>
  <c r="M136" i="11"/>
  <c r="L136" i="11"/>
  <c r="K136" i="11"/>
  <c r="J136" i="11"/>
  <c r="I136" i="11"/>
  <c r="H136" i="11"/>
  <c r="F136" i="11"/>
  <c r="E136" i="11"/>
  <c r="D136" i="11"/>
  <c r="C136" i="11"/>
  <c r="B136" i="11"/>
  <c r="A136" i="11"/>
  <c r="O135" i="11"/>
  <c r="N135" i="11"/>
  <c r="M135" i="11"/>
  <c r="L135" i="11"/>
  <c r="K135" i="11"/>
  <c r="J135" i="11"/>
  <c r="I135" i="11"/>
  <c r="H135" i="11"/>
  <c r="G135" i="11"/>
  <c r="F135" i="11"/>
  <c r="E135" i="11"/>
  <c r="D135" i="11"/>
  <c r="C135" i="11"/>
  <c r="B135" i="11"/>
  <c r="A135" i="11"/>
  <c r="O134" i="11"/>
  <c r="N134" i="11"/>
  <c r="M134" i="11"/>
  <c r="L134" i="11"/>
  <c r="K134" i="11"/>
  <c r="J134" i="11"/>
  <c r="I134" i="11"/>
  <c r="H134" i="11"/>
  <c r="G134" i="11"/>
  <c r="F134" i="11"/>
  <c r="E134" i="11"/>
  <c r="D134" i="11"/>
  <c r="C134" i="11"/>
  <c r="B134" i="11"/>
  <c r="A134" i="11"/>
  <c r="O133" i="11"/>
  <c r="N133" i="11"/>
  <c r="M133" i="11"/>
  <c r="L133" i="11"/>
  <c r="K133" i="11"/>
  <c r="J133" i="11"/>
  <c r="I133" i="11"/>
  <c r="H133" i="11"/>
  <c r="G133" i="11"/>
  <c r="F133" i="11"/>
  <c r="E133" i="11"/>
  <c r="D133" i="11"/>
  <c r="C133" i="11"/>
  <c r="B133" i="11"/>
  <c r="A133" i="11"/>
  <c r="O132" i="11"/>
  <c r="N132" i="11"/>
  <c r="M132" i="11"/>
  <c r="L132" i="11"/>
  <c r="K132" i="11"/>
  <c r="J132" i="11"/>
  <c r="I132" i="11"/>
  <c r="H132" i="11"/>
  <c r="G132" i="11"/>
  <c r="F132" i="11"/>
  <c r="E132" i="11"/>
  <c r="D132" i="11"/>
  <c r="C132" i="11"/>
  <c r="B132" i="11"/>
  <c r="A132" i="11"/>
  <c r="O131" i="11"/>
  <c r="N131" i="11"/>
  <c r="M131" i="11"/>
  <c r="L131" i="11"/>
  <c r="K131" i="11"/>
  <c r="J131" i="11"/>
  <c r="I131" i="11"/>
  <c r="H131" i="11"/>
  <c r="G131" i="11"/>
  <c r="F131" i="11"/>
  <c r="E131" i="11"/>
  <c r="D131" i="11"/>
  <c r="C131" i="11"/>
  <c r="B131" i="11"/>
  <c r="A131" i="11"/>
  <c r="O130" i="11"/>
  <c r="N130" i="11"/>
  <c r="M130" i="11"/>
  <c r="L130" i="11"/>
  <c r="K130" i="11"/>
  <c r="J130" i="11"/>
  <c r="I130" i="11"/>
  <c r="H130" i="11"/>
  <c r="G130" i="11"/>
  <c r="F130" i="11"/>
  <c r="E130" i="11"/>
  <c r="D130" i="11"/>
  <c r="C130" i="11"/>
  <c r="B130" i="11"/>
  <c r="A130" i="11"/>
  <c r="O129" i="11"/>
  <c r="N129" i="11"/>
  <c r="M129" i="11"/>
  <c r="L129" i="11"/>
  <c r="K129" i="11"/>
  <c r="J129" i="11"/>
  <c r="I129" i="11"/>
  <c r="H129" i="11"/>
  <c r="G129" i="11"/>
  <c r="F129" i="11"/>
  <c r="E129" i="11"/>
  <c r="D129" i="11"/>
  <c r="C129" i="11"/>
  <c r="B129" i="11"/>
  <c r="A129" i="11"/>
  <c r="O128" i="11"/>
  <c r="N128" i="11"/>
  <c r="M128" i="11"/>
  <c r="L128" i="11"/>
  <c r="K128" i="11"/>
  <c r="J128" i="11"/>
  <c r="I128" i="11"/>
  <c r="H128" i="11"/>
  <c r="G128" i="11"/>
  <c r="F128" i="11"/>
  <c r="E128" i="11"/>
  <c r="D128" i="11"/>
  <c r="C128" i="11"/>
  <c r="B128" i="11"/>
  <c r="A128" i="11"/>
  <c r="O127" i="11"/>
  <c r="N127" i="11"/>
  <c r="M127" i="11"/>
  <c r="L127" i="11"/>
  <c r="K127" i="11"/>
  <c r="J127" i="11"/>
  <c r="I127" i="11"/>
  <c r="H127" i="11"/>
  <c r="G127" i="11"/>
  <c r="F127" i="11"/>
  <c r="E127" i="11"/>
  <c r="D127" i="11"/>
  <c r="C127" i="11"/>
  <c r="B127" i="11"/>
  <c r="A127" i="11"/>
  <c r="O126" i="11"/>
  <c r="N126" i="11"/>
  <c r="M126" i="11"/>
  <c r="L126" i="11"/>
  <c r="K126" i="11"/>
  <c r="J126" i="11"/>
  <c r="I126" i="11"/>
  <c r="H126" i="11"/>
  <c r="G126" i="11"/>
  <c r="F126" i="11"/>
  <c r="E126" i="11"/>
  <c r="D126" i="11"/>
  <c r="C126" i="11"/>
  <c r="B126" i="11"/>
  <c r="A126" i="11"/>
  <c r="O125" i="11"/>
  <c r="N125" i="11"/>
  <c r="M125" i="11"/>
  <c r="L125" i="11"/>
  <c r="K125" i="11"/>
  <c r="J125" i="11"/>
  <c r="I125" i="11"/>
  <c r="H125" i="11"/>
  <c r="F125" i="11"/>
  <c r="E125" i="11"/>
  <c r="D125" i="11"/>
  <c r="C125" i="11"/>
  <c r="B125" i="11"/>
  <c r="A125" i="11"/>
  <c r="O124" i="11"/>
  <c r="N124" i="11"/>
  <c r="M124" i="11"/>
  <c r="L124" i="11"/>
  <c r="K124" i="11"/>
  <c r="J124" i="11"/>
  <c r="I124" i="11"/>
  <c r="H124" i="11"/>
  <c r="F124" i="11"/>
  <c r="E124" i="11"/>
  <c r="D124" i="11"/>
  <c r="C124" i="11"/>
  <c r="B124" i="11"/>
  <c r="A124" i="11"/>
  <c r="O123" i="11"/>
  <c r="N123" i="11"/>
  <c r="M123" i="11"/>
  <c r="L123" i="11"/>
  <c r="K123" i="11"/>
  <c r="J123" i="11"/>
  <c r="I123" i="11"/>
  <c r="H123" i="11"/>
  <c r="F123" i="11"/>
  <c r="E123" i="11"/>
  <c r="D123" i="11"/>
  <c r="C123" i="11"/>
  <c r="B123" i="11"/>
  <c r="A123" i="11"/>
  <c r="O122" i="11"/>
  <c r="N122" i="11"/>
  <c r="M122" i="11"/>
  <c r="L122" i="11"/>
  <c r="K122" i="11"/>
  <c r="J122" i="11"/>
  <c r="I122" i="11"/>
  <c r="H122" i="11"/>
  <c r="F122" i="11"/>
  <c r="E122" i="11"/>
  <c r="D122" i="11"/>
  <c r="C122" i="11"/>
  <c r="B122" i="11"/>
  <c r="A122" i="11"/>
  <c r="O121" i="11"/>
  <c r="N121" i="11"/>
  <c r="M121" i="11"/>
  <c r="L121" i="11"/>
  <c r="K121" i="11"/>
  <c r="J121" i="11"/>
  <c r="I121" i="11"/>
  <c r="H121" i="11"/>
  <c r="F121" i="11"/>
  <c r="E121" i="11"/>
  <c r="D121" i="11"/>
  <c r="C121" i="11"/>
  <c r="B121" i="11"/>
  <c r="A121" i="11"/>
  <c r="O120" i="11"/>
  <c r="N120" i="11"/>
  <c r="M120" i="11"/>
  <c r="L120" i="11"/>
  <c r="K120" i="11"/>
  <c r="J120" i="11"/>
  <c r="I120" i="11"/>
  <c r="H120" i="11"/>
  <c r="G120" i="11"/>
  <c r="F120" i="11"/>
  <c r="E120" i="11"/>
  <c r="D120" i="11"/>
  <c r="C120" i="11"/>
  <c r="B120" i="11"/>
  <c r="A120" i="11"/>
  <c r="O119" i="11"/>
  <c r="N119" i="11"/>
  <c r="M119" i="11"/>
  <c r="L119" i="11"/>
  <c r="K119" i="11"/>
  <c r="J119" i="11"/>
  <c r="I119" i="11"/>
  <c r="H119" i="11"/>
  <c r="G119" i="11"/>
  <c r="F119" i="11"/>
  <c r="E119" i="11"/>
  <c r="D119" i="11"/>
  <c r="C119" i="11"/>
  <c r="B119" i="11"/>
  <c r="A119" i="11"/>
  <c r="O118" i="11"/>
  <c r="N118" i="11"/>
  <c r="M118" i="11"/>
  <c r="L118" i="11"/>
  <c r="K118" i="11"/>
  <c r="J118" i="11"/>
  <c r="I118" i="11"/>
  <c r="H118" i="11"/>
  <c r="G118" i="11"/>
  <c r="F118" i="11"/>
  <c r="E118" i="11"/>
  <c r="D118" i="11"/>
  <c r="C118" i="11"/>
  <c r="B118" i="11"/>
  <c r="A118" i="11"/>
  <c r="O117" i="11"/>
  <c r="N117" i="11"/>
  <c r="M117" i="11"/>
  <c r="L117" i="11"/>
  <c r="K117" i="11"/>
  <c r="J117" i="11"/>
  <c r="I117" i="11"/>
  <c r="H117" i="11"/>
  <c r="G117" i="11"/>
  <c r="F117" i="11"/>
  <c r="E117" i="11"/>
  <c r="D117" i="11"/>
  <c r="C117" i="11"/>
  <c r="B117" i="11"/>
  <c r="A117" i="11"/>
  <c r="O116" i="11"/>
  <c r="N116" i="11"/>
  <c r="M116" i="11"/>
  <c r="L116" i="11"/>
  <c r="K116" i="11"/>
  <c r="J116" i="11"/>
  <c r="I116" i="11"/>
  <c r="H116" i="11"/>
  <c r="G116" i="11"/>
  <c r="F116" i="11"/>
  <c r="E116" i="11"/>
  <c r="D116" i="11"/>
  <c r="C116" i="11"/>
  <c r="B116" i="11"/>
  <c r="A116" i="11"/>
  <c r="O115" i="11"/>
  <c r="N115" i="11"/>
  <c r="M115" i="11"/>
  <c r="L115" i="11"/>
  <c r="K115" i="11"/>
  <c r="J115" i="11"/>
  <c r="I115" i="11"/>
  <c r="H115" i="11"/>
  <c r="G115" i="11"/>
  <c r="F115" i="11"/>
  <c r="E115" i="11"/>
  <c r="D115" i="11"/>
  <c r="C115" i="11"/>
  <c r="B115" i="11"/>
  <c r="A115" i="11"/>
  <c r="O114" i="11"/>
  <c r="N114" i="11"/>
  <c r="M114" i="11"/>
  <c r="L114" i="11"/>
  <c r="K114" i="11"/>
  <c r="J114" i="11"/>
  <c r="I114" i="11"/>
  <c r="H114" i="11"/>
  <c r="F114" i="11"/>
  <c r="E114" i="11"/>
  <c r="D114" i="11"/>
  <c r="C114" i="11"/>
  <c r="B114" i="11"/>
  <c r="A114" i="11"/>
  <c r="O113" i="11"/>
  <c r="N113" i="11"/>
  <c r="M113" i="11"/>
  <c r="L113" i="11"/>
  <c r="K113" i="11"/>
  <c r="J113" i="11"/>
  <c r="I113" i="11"/>
  <c r="H113" i="11"/>
  <c r="F113" i="11"/>
  <c r="E113" i="11"/>
  <c r="D113" i="11"/>
  <c r="C113" i="11"/>
  <c r="B113" i="11"/>
  <c r="A113" i="11"/>
  <c r="O112" i="11"/>
  <c r="N112" i="11"/>
  <c r="M112" i="11"/>
  <c r="L112" i="11"/>
  <c r="K112" i="11"/>
  <c r="J112" i="11"/>
  <c r="I112" i="11"/>
  <c r="H112" i="11"/>
  <c r="F112" i="11"/>
  <c r="E112" i="11"/>
  <c r="D112" i="11"/>
  <c r="C112" i="11"/>
  <c r="B112" i="11"/>
  <c r="A112" i="11"/>
  <c r="O111" i="11"/>
  <c r="N111" i="11"/>
  <c r="M111" i="11"/>
  <c r="L111" i="11"/>
  <c r="K111" i="11"/>
  <c r="J111" i="11"/>
  <c r="I111" i="11"/>
  <c r="H111" i="11"/>
  <c r="F111" i="11"/>
  <c r="E111" i="11"/>
  <c r="D111" i="11"/>
  <c r="C111" i="11"/>
  <c r="B111" i="11"/>
  <c r="A111" i="11"/>
  <c r="O110" i="11"/>
  <c r="N110" i="11"/>
  <c r="M110" i="11"/>
  <c r="L110" i="11"/>
  <c r="K110" i="11"/>
  <c r="J110" i="11"/>
  <c r="I110" i="11"/>
  <c r="H110" i="11"/>
  <c r="F110" i="11"/>
  <c r="E110" i="11"/>
  <c r="D110" i="11"/>
  <c r="C110" i="11"/>
  <c r="B110" i="11"/>
  <c r="A110" i="11"/>
  <c r="O109" i="11"/>
  <c r="N109" i="11"/>
  <c r="M109" i="11"/>
  <c r="L109" i="11"/>
  <c r="K109" i="11"/>
  <c r="J109" i="11"/>
  <c r="I109" i="11"/>
  <c r="H109" i="11"/>
  <c r="F109" i="11"/>
  <c r="E109" i="11"/>
  <c r="D109" i="11"/>
  <c r="C109" i="11"/>
  <c r="B109" i="11"/>
  <c r="A109" i="11"/>
  <c r="O108" i="11"/>
  <c r="N108" i="11"/>
  <c r="M108" i="11"/>
  <c r="L108" i="11"/>
  <c r="K108" i="11"/>
  <c r="J108" i="11"/>
  <c r="I108" i="11"/>
  <c r="H108" i="11"/>
  <c r="F108" i="11"/>
  <c r="E108" i="11"/>
  <c r="D108" i="11"/>
  <c r="C108" i="11"/>
  <c r="B108" i="11"/>
  <c r="A108" i="11"/>
  <c r="O107" i="11"/>
  <c r="N107" i="11"/>
  <c r="M107" i="11"/>
  <c r="L107" i="11"/>
  <c r="K107" i="11"/>
  <c r="J107" i="11"/>
  <c r="I107" i="11"/>
  <c r="H107" i="11"/>
  <c r="F107" i="11"/>
  <c r="E107" i="11"/>
  <c r="D107" i="11"/>
  <c r="C107" i="11"/>
  <c r="B107" i="11"/>
  <c r="A107" i="11"/>
  <c r="O106" i="11"/>
  <c r="N106" i="11"/>
  <c r="M106" i="11"/>
  <c r="L106" i="11"/>
  <c r="K106" i="11"/>
  <c r="J106" i="11"/>
  <c r="I106" i="11"/>
  <c r="H106" i="11"/>
  <c r="G106" i="11"/>
  <c r="F106" i="11"/>
  <c r="E106" i="11"/>
  <c r="D106" i="11"/>
  <c r="C106" i="11"/>
  <c r="B106" i="11"/>
  <c r="A106" i="11"/>
  <c r="O105" i="11"/>
  <c r="N105" i="11"/>
  <c r="M105" i="11"/>
  <c r="L105" i="11"/>
  <c r="K105" i="11"/>
  <c r="J105" i="11"/>
  <c r="I105" i="11"/>
  <c r="H105" i="11"/>
  <c r="G105" i="11"/>
  <c r="F105" i="11"/>
  <c r="E105" i="11"/>
  <c r="D105" i="11"/>
  <c r="C105" i="11"/>
  <c r="B105" i="11"/>
  <c r="A105" i="11"/>
  <c r="O104" i="11"/>
  <c r="N104" i="11"/>
  <c r="M104" i="11"/>
  <c r="L104" i="11"/>
  <c r="K104" i="11"/>
  <c r="J104" i="11"/>
  <c r="I104" i="11"/>
  <c r="H104" i="11"/>
  <c r="G104" i="11"/>
  <c r="F104" i="11"/>
  <c r="E104" i="11"/>
  <c r="D104" i="11"/>
  <c r="C104" i="11"/>
  <c r="B104" i="11"/>
  <c r="A104" i="11"/>
  <c r="O103" i="11"/>
  <c r="N103" i="11"/>
  <c r="M103" i="11"/>
  <c r="L103" i="11"/>
  <c r="K103" i="11"/>
  <c r="J103" i="11"/>
  <c r="I103" i="11"/>
  <c r="H103" i="11"/>
  <c r="G103" i="11"/>
  <c r="F103" i="11"/>
  <c r="E103" i="11"/>
  <c r="D103" i="11"/>
  <c r="C103" i="11"/>
  <c r="B103" i="11"/>
  <c r="A103" i="11"/>
  <c r="O102" i="11"/>
  <c r="N102" i="11"/>
  <c r="M102" i="11"/>
  <c r="L102" i="11"/>
  <c r="K102" i="11"/>
  <c r="J102" i="11"/>
  <c r="I102" i="11"/>
  <c r="H102" i="11"/>
  <c r="G102" i="11"/>
  <c r="F102" i="11"/>
  <c r="E102" i="11"/>
  <c r="D102" i="11"/>
  <c r="C102" i="11"/>
  <c r="B102" i="11"/>
  <c r="A102" i="11"/>
  <c r="O101" i="11"/>
  <c r="N101" i="11"/>
  <c r="M101" i="11"/>
  <c r="L101" i="11"/>
  <c r="K101" i="11"/>
  <c r="J101" i="11"/>
  <c r="I101" i="11"/>
  <c r="H101" i="11"/>
  <c r="G101" i="11"/>
  <c r="F101" i="11"/>
  <c r="E101" i="11"/>
  <c r="D101" i="11"/>
  <c r="C101" i="11"/>
  <c r="B101" i="11"/>
  <c r="A101" i="11"/>
  <c r="O100" i="11"/>
  <c r="N100" i="11"/>
  <c r="M100" i="11"/>
  <c r="L100" i="11"/>
  <c r="K100" i="11"/>
  <c r="J100" i="11"/>
  <c r="I100" i="11"/>
  <c r="H100" i="11"/>
  <c r="G100" i="11"/>
  <c r="F100" i="11"/>
  <c r="E100" i="11"/>
  <c r="D100" i="11"/>
  <c r="C100" i="11"/>
  <c r="B100" i="11"/>
  <c r="A100" i="11"/>
  <c r="O99" i="11"/>
  <c r="N99" i="11"/>
  <c r="M99" i="11"/>
  <c r="L99" i="11"/>
  <c r="K99" i="11"/>
  <c r="J99" i="11"/>
  <c r="I99" i="11"/>
  <c r="H99" i="11"/>
  <c r="G99" i="11"/>
  <c r="F99" i="11"/>
  <c r="E99" i="11"/>
  <c r="D99" i="11"/>
  <c r="C99" i="11"/>
  <c r="B99" i="11"/>
  <c r="A99" i="11"/>
  <c r="O98" i="11"/>
  <c r="N98" i="11"/>
  <c r="M98" i="11"/>
  <c r="L98" i="11"/>
  <c r="K98" i="11"/>
  <c r="J98" i="11"/>
  <c r="I98" i="11"/>
  <c r="H98" i="11"/>
  <c r="G98" i="11"/>
  <c r="F98" i="11"/>
  <c r="E98" i="11"/>
  <c r="D98" i="11"/>
  <c r="C98" i="11"/>
  <c r="B98" i="11"/>
  <c r="A98" i="11"/>
  <c r="O97" i="11"/>
  <c r="N97" i="11"/>
  <c r="M97" i="11"/>
  <c r="L97" i="11"/>
  <c r="K97" i="11"/>
  <c r="J97" i="11"/>
  <c r="I97" i="11"/>
  <c r="H97" i="11"/>
  <c r="G97" i="11"/>
  <c r="F97" i="11"/>
  <c r="E97" i="11"/>
  <c r="D97" i="11"/>
  <c r="C97" i="11"/>
  <c r="B97" i="11"/>
  <c r="A97" i="11"/>
  <c r="O96" i="11"/>
  <c r="N96" i="11"/>
  <c r="M96" i="11"/>
  <c r="L96" i="11"/>
  <c r="K96" i="11"/>
  <c r="J96" i="11"/>
  <c r="I96" i="11"/>
  <c r="H96" i="11"/>
  <c r="G96" i="11"/>
  <c r="F96" i="11"/>
  <c r="E96" i="11"/>
  <c r="D96" i="11"/>
  <c r="C96" i="11"/>
  <c r="B96" i="11"/>
  <c r="A96" i="11"/>
  <c r="O95" i="11"/>
  <c r="N95" i="11"/>
  <c r="M95" i="11"/>
  <c r="L95" i="11"/>
  <c r="K95" i="11"/>
  <c r="J95" i="11"/>
  <c r="I95" i="11"/>
  <c r="H95" i="11"/>
  <c r="G95" i="11"/>
  <c r="F95" i="11"/>
  <c r="E95" i="11"/>
  <c r="D95" i="11"/>
  <c r="C95" i="11"/>
  <c r="B95" i="11"/>
  <c r="A95" i="11"/>
  <c r="O94" i="11"/>
  <c r="N94" i="11"/>
  <c r="M94" i="11"/>
  <c r="L94" i="11"/>
  <c r="K94" i="11"/>
  <c r="J94" i="11"/>
  <c r="I94" i="11"/>
  <c r="H94" i="11"/>
  <c r="G94" i="11"/>
  <c r="F94" i="11"/>
  <c r="E94" i="11"/>
  <c r="D94" i="11"/>
  <c r="C94" i="11"/>
  <c r="B94" i="11"/>
  <c r="A94" i="11"/>
  <c r="O93" i="11"/>
  <c r="N93" i="11"/>
  <c r="M93" i="11"/>
  <c r="L93" i="11"/>
  <c r="K93" i="11"/>
  <c r="J93" i="11"/>
  <c r="I93" i="11"/>
  <c r="H93" i="11"/>
  <c r="G93" i="11"/>
  <c r="F93" i="11"/>
  <c r="E93" i="11"/>
  <c r="D93" i="11"/>
  <c r="C93" i="11"/>
  <c r="B93" i="11"/>
  <c r="A93" i="11"/>
  <c r="O92" i="11"/>
  <c r="N92" i="11"/>
  <c r="M92" i="11"/>
  <c r="L92" i="11"/>
  <c r="K92" i="11"/>
  <c r="J92" i="11"/>
  <c r="I92" i="11"/>
  <c r="H92" i="11"/>
  <c r="G92" i="11"/>
  <c r="F92" i="11"/>
  <c r="E92" i="11"/>
  <c r="D92" i="11"/>
  <c r="C92" i="11"/>
  <c r="B92" i="11"/>
  <c r="A92" i="11"/>
  <c r="O91" i="11"/>
  <c r="N91" i="11"/>
  <c r="M91" i="11"/>
  <c r="L91" i="11"/>
  <c r="K91" i="11"/>
  <c r="J91" i="11"/>
  <c r="I91" i="11"/>
  <c r="H91" i="11"/>
  <c r="G91" i="11"/>
  <c r="F91" i="11"/>
  <c r="E91" i="11"/>
  <c r="D91" i="11"/>
  <c r="C91" i="11"/>
  <c r="B91" i="11"/>
  <c r="A91" i="11"/>
  <c r="O90" i="11"/>
  <c r="N90" i="11"/>
  <c r="M90" i="11"/>
  <c r="L90" i="11"/>
  <c r="K90" i="11"/>
  <c r="J90" i="11"/>
  <c r="I90" i="11"/>
  <c r="H90" i="11"/>
  <c r="G90" i="11"/>
  <c r="F90" i="11"/>
  <c r="E90" i="11"/>
  <c r="D90" i="11"/>
  <c r="C90" i="11"/>
  <c r="B90" i="11"/>
  <c r="A90" i="11"/>
  <c r="O89" i="11"/>
  <c r="N89" i="11"/>
  <c r="M89" i="11"/>
  <c r="L89" i="11"/>
  <c r="K89" i="11"/>
  <c r="J89" i="11"/>
  <c r="I89" i="11"/>
  <c r="H89" i="11"/>
  <c r="G89" i="11"/>
  <c r="F89" i="11"/>
  <c r="E89" i="11"/>
  <c r="D89" i="11"/>
  <c r="C89" i="11"/>
  <c r="B89" i="11"/>
  <c r="A89" i="11"/>
  <c r="O88" i="11"/>
  <c r="N88" i="11"/>
  <c r="M88" i="11"/>
  <c r="L88" i="11"/>
  <c r="K88" i="11"/>
  <c r="J88" i="11"/>
  <c r="I88" i="11"/>
  <c r="H88" i="11"/>
  <c r="G88" i="11"/>
  <c r="F88" i="11"/>
  <c r="E88" i="11"/>
  <c r="D88" i="11"/>
  <c r="C88" i="11"/>
  <c r="B88" i="11"/>
  <c r="A88" i="11"/>
  <c r="O87" i="11"/>
  <c r="N87" i="11"/>
  <c r="M87" i="11"/>
  <c r="L87" i="11"/>
  <c r="K87" i="11"/>
  <c r="J87" i="11"/>
  <c r="I87" i="11"/>
  <c r="H87" i="11"/>
  <c r="G87" i="11"/>
  <c r="F87" i="11"/>
  <c r="E87" i="11"/>
  <c r="D87" i="11"/>
  <c r="C87" i="11"/>
  <c r="B87" i="11"/>
  <c r="A87" i="11"/>
  <c r="O86" i="11"/>
  <c r="N86" i="11"/>
  <c r="M86" i="11"/>
  <c r="L86" i="11"/>
  <c r="K86" i="11"/>
  <c r="J86" i="11"/>
  <c r="I86" i="11"/>
  <c r="H86" i="11"/>
  <c r="G86" i="11"/>
  <c r="F86" i="11"/>
  <c r="E86" i="11"/>
  <c r="D86" i="11"/>
  <c r="C86" i="11"/>
  <c r="B86" i="11"/>
  <c r="A86" i="11"/>
  <c r="O85" i="11"/>
  <c r="N85" i="11"/>
  <c r="M85" i="11"/>
  <c r="L85" i="11"/>
  <c r="K85" i="11"/>
  <c r="J85" i="11"/>
  <c r="I85" i="11"/>
  <c r="H85" i="11"/>
  <c r="G85" i="11"/>
  <c r="F85" i="11"/>
  <c r="E85" i="11"/>
  <c r="D85" i="11"/>
  <c r="C85" i="11"/>
  <c r="B85" i="11"/>
  <c r="A85" i="11"/>
  <c r="O84" i="11"/>
  <c r="N84" i="11"/>
  <c r="M84" i="11"/>
  <c r="L84" i="11"/>
  <c r="K84" i="11"/>
  <c r="J84" i="11"/>
  <c r="I84" i="11"/>
  <c r="H84" i="11"/>
  <c r="G84" i="11"/>
  <c r="F84" i="11"/>
  <c r="E84" i="11"/>
  <c r="D84" i="11"/>
  <c r="C84" i="11"/>
  <c r="B84" i="11"/>
  <c r="A84" i="11"/>
  <c r="O83" i="11"/>
  <c r="N83" i="11"/>
  <c r="M83" i="11"/>
  <c r="L83" i="11"/>
  <c r="K83" i="11"/>
  <c r="J83" i="11"/>
  <c r="I83" i="11"/>
  <c r="H83" i="11"/>
  <c r="G83" i="11"/>
  <c r="F83" i="11"/>
  <c r="E83" i="11"/>
  <c r="D83" i="11"/>
  <c r="C83" i="11"/>
  <c r="B83" i="11"/>
  <c r="A83" i="11"/>
  <c r="O82" i="11"/>
  <c r="N82" i="11"/>
  <c r="M82" i="11"/>
  <c r="L82" i="11"/>
  <c r="K82" i="11"/>
  <c r="J82" i="11"/>
  <c r="I82" i="11"/>
  <c r="H82" i="11"/>
  <c r="G82" i="11"/>
  <c r="F82" i="11"/>
  <c r="E82" i="11"/>
  <c r="D82" i="11"/>
  <c r="C82" i="11"/>
  <c r="B82" i="11"/>
  <c r="A82" i="11"/>
  <c r="O81" i="11"/>
  <c r="N81" i="11"/>
  <c r="M81" i="11"/>
  <c r="L81" i="11"/>
  <c r="K81" i="11"/>
  <c r="J81" i="11"/>
  <c r="I81" i="11"/>
  <c r="H81" i="11"/>
  <c r="G81" i="11"/>
  <c r="F81" i="11"/>
  <c r="E81" i="11"/>
  <c r="D81" i="11"/>
  <c r="C81" i="11"/>
  <c r="B81" i="11"/>
  <c r="A81" i="11"/>
  <c r="O80" i="11"/>
  <c r="N80" i="11"/>
  <c r="M80" i="11"/>
  <c r="L80" i="11"/>
  <c r="K80" i="11"/>
  <c r="J80" i="11"/>
  <c r="I80" i="11"/>
  <c r="H80" i="11"/>
  <c r="G80" i="11"/>
  <c r="F80" i="11"/>
  <c r="E80" i="11"/>
  <c r="D80" i="11"/>
  <c r="C80" i="11"/>
  <c r="B80" i="11"/>
  <c r="A80" i="11"/>
  <c r="O79" i="11"/>
  <c r="N79" i="11"/>
  <c r="M79" i="11"/>
  <c r="L79" i="11"/>
  <c r="K79" i="11"/>
  <c r="J79" i="11"/>
  <c r="I79" i="11"/>
  <c r="H79" i="11"/>
  <c r="G79" i="11"/>
  <c r="F79" i="11"/>
  <c r="E79" i="11"/>
  <c r="D79" i="11"/>
  <c r="C79" i="11"/>
  <c r="B79" i="11"/>
  <c r="A79" i="11"/>
  <c r="O78" i="11"/>
  <c r="N78" i="11"/>
  <c r="M78" i="11"/>
  <c r="L78" i="11"/>
  <c r="K78" i="11"/>
  <c r="J78" i="11"/>
  <c r="I78" i="11"/>
  <c r="H78" i="11"/>
  <c r="G78" i="11"/>
  <c r="F78" i="11"/>
  <c r="E78" i="11"/>
  <c r="D78" i="11"/>
  <c r="C78" i="11"/>
  <c r="B78" i="11"/>
  <c r="A78" i="11"/>
  <c r="O77" i="11"/>
  <c r="N77" i="11"/>
  <c r="M77" i="11"/>
  <c r="L77" i="11"/>
  <c r="K77" i="11"/>
  <c r="J77" i="11"/>
  <c r="I77" i="11"/>
  <c r="H77" i="11"/>
  <c r="G77" i="11"/>
  <c r="F77" i="11"/>
  <c r="E77" i="11"/>
  <c r="D77" i="11"/>
  <c r="C77" i="11"/>
  <c r="B77" i="11"/>
  <c r="A77" i="11"/>
  <c r="O76" i="11"/>
  <c r="N76" i="11"/>
  <c r="M76" i="11"/>
  <c r="L76" i="11"/>
  <c r="K76" i="11"/>
  <c r="J76" i="11"/>
  <c r="I76" i="11"/>
  <c r="H76" i="11"/>
  <c r="E76" i="11"/>
  <c r="D76" i="11"/>
  <c r="C76" i="11"/>
  <c r="B76" i="11"/>
  <c r="A76" i="11"/>
  <c r="O75" i="11"/>
  <c r="N75" i="11"/>
  <c r="M75" i="11"/>
  <c r="L75" i="11"/>
  <c r="K75" i="11"/>
  <c r="J75" i="11"/>
  <c r="I75" i="11"/>
  <c r="H75" i="11"/>
  <c r="E75" i="11"/>
  <c r="D75" i="11"/>
  <c r="C75" i="11"/>
  <c r="B75" i="11"/>
  <c r="A75" i="11"/>
  <c r="O74" i="11"/>
  <c r="N74" i="11"/>
  <c r="M74" i="11"/>
  <c r="L74" i="11"/>
  <c r="K74" i="11"/>
  <c r="J74" i="11"/>
  <c r="I74" i="11"/>
  <c r="H74" i="11"/>
  <c r="E74" i="11"/>
  <c r="D74" i="11"/>
  <c r="C74" i="11"/>
  <c r="B74" i="11"/>
  <c r="A74" i="11"/>
  <c r="O73" i="11"/>
  <c r="N73" i="11"/>
  <c r="M73" i="11"/>
  <c r="L73" i="11"/>
  <c r="K73" i="11"/>
  <c r="J73" i="11"/>
  <c r="I73" i="11"/>
  <c r="H73" i="11"/>
  <c r="E73" i="11"/>
  <c r="D73" i="11"/>
  <c r="C73" i="11"/>
  <c r="B73" i="11"/>
  <c r="A73" i="11"/>
  <c r="O72" i="11"/>
  <c r="N72" i="11"/>
  <c r="M72" i="11"/>
  <c r="L72" i="11"/>
  <c r="K72" i="11"/>
  <c r="J72" i="11"/>
  <c r="I72" i="11"/>
  <c r="H72" i="11"/>
  <c r="E72" i="11"/>
  <c r="D72" i="11"/>
  <c r="C72" i="11"/>
  <c r="B72" i="11"/>
  <c r="A72" i="11"/>
  <c r="O71" i="11"/>
  <c r="N71" i="11"/>
  <c r="M71" i="11"/>
  <c r="L71" i="11"/>
  <c r="K71" i="11"/>
  <c r="J71" i="11"/>
  <c r="I71" i="11"/>
  <c r="H71" i="11"/>
  <c r="E71" i="11"/>
  <c r="D71" i="11"/>
  <c r="C71" i="11"/>
  <c r="B71" i="11"/>
  <c r="A71" i="11"/>
  <c r="O70" i="11"/>
  <c r="N70" i="11"/>
  <c r="M70" i="11"/>
  <c r="L70" i="11"/>
  <c r="K70" i="11"/>
  <c r="J70" i="11"/>
  <c r="I70" i="11"/>
  <c r="H70" i="11"/>
  <c r="E70" i="11"/>
  <c r="D70" i="11"/>
  <c r="C70" i="11"/>
  <c r="B70" i="11"/>
  <c r="A70" i="11"/>
  <c r="O69" i="11"/>
  <c r="N69" i="11"/>
  <c r="M69" i="11"/>
  <c r="L69" i="11"/>
  <c r="K69" i="11"/>
  <c r="J69" i="11"/>
  <c r="I69" i="11"/>
  <c r="H69" i="11"/>
  <c r="F69" i="11"/>
  <c r="E69" i="11"/>
  <c r="D69" i="11"/>
  <c r="C69" i="11"/>
  <c r="B69" i="11"/>
  <c r="A69" i="11"/>
  <c r="O68" i="11"/>
  <c r="N68" i="11"/>
  <c r="M68" i="11"/>
  <c r="L68" i="11"/>
  <c r="K68" i="11"/>
  <c r="J68" i="11"/>
  <c r="I68" i="11"/>
  <c r="H68" i="11"/>
  <c r="G68" i="11"/>
  <c r="F68" i="11"/>
  <c r="E68" i="11"/>
  <c r="D68" i="11"/>
  <c r="C68" i="11"/>
  <c r="B68" i="11"/>
  <c r="A68" i="11"/>
  <c r="O67" i="11"/>
  <c r="N67" i="11"/>
  <c r="M67" i="11"/>
  <c r="L67" i="11"/>
  <c r="K67" i="11"/>
  <c r="J67" i="11"/>
  <c r="I67" i="11"/>
  <c r="H67" i="11"/>
  <c r="F67" i="11"/>
  <c r="E67" i="11"/>
  <c r="D67" i="11"/>
  <c r="C67" i="11"/>
  <c r="B67" i="11"/>
  <c r="A67" i="11"/>
  <c r="O66" i="11"/>
  <c r="N66" i="11"/>
  <c r="M66" i="11"/>
  <c r="L66" i="11"/>
  <c r="K66" i="11"/>
  <c r="J66" i="11"/>
  <c r="I66" i="11"/>
  <c r="H66" i="11"/>
  <c r="E66" i="11"/>
  <c r="D66" i="11"/>
  <c r="C66" i="11"/>
  <c r="B66" i="11"/>
  <c r="A66" i="11"/>
  <c r="O65" i="11"/>
  <c r="N65" i="11"/>
  <c r="M65" i="11"/>
  <c r="L65" i="11"/>
  <c r="K65" i="11"/>
  <c r="J65" i="11"/>
  <c r="I65" i="11"/>
  <c r="H65" i="11"/>
  <c r="E65" i="11"/>
  <c r="D65" i="11"/>
  <c r="C65" i="11"/>
  <c r="B65" i="11"/>
  <c r="A65" i="11"/>
  <c r="O64" i="11"/>
  <c r="N64" i="11"/>
  <c r="M64" i="11"/>
  <c r="L64" i="11"/>
  <c r="K64" i="11"/>
  <c r="J64" i="11"/>
  <c r="I64" i="11"/>
  <c r="H64" i="11"/>
  <c r="E64" i="11"/>
  <c r="D64" i="11"/>
  <c r="C64" i="11"/>
  <c r="B64" i="11"/>
  <c r="A64" i="11"/>
  <c r="O63" i="11"/>
  <c r="N63" i="11"/>
  <c r="M63" i="11"/>
  <c r="L63" i="11"/>
  <c r="K63" i="11"/>
  <c r="J63" i="11"/>
  <c r="I63" i="11"/>
  <c r="H63" i="11"/>
  <c r="F63" i="11"/>
  <c r="E63" i="11"/>
  <c r="D63" i="11"/>
  <c r="C63" i="11"/>
  <c r="B63" i="11"/>
  <c r="A63" i="11"/>
  <c r="O62" i="11"/>
  <c r="N62" i="11"/>
  <c r="M62" i="11"/>
  <c r="L62" i="11"/>
  <c r="K62" i="11"/>
  <c r="J62" i="11"/>
  <c r="I62" i="11"/>
  <c r="H62" i="11"/>
  <c r="G62" i="11"/>
  <c r="F62" i="11"/>
  <c r="E62" i="11"/>
  <c r="D62" i="11"/>
  <c r="C62" i="11"/>
  <c r="B62" i="11"/>
  <c r="A62" i="11"/>
  <c r="O61" i="11"/>
  <c r="N61" i="11"/>
  <c r="M61" i="11"/>
  <c r="L61" i="11"/>
  <c r="K61" i="11"/>
  <c r="J61" i="11"/>
  <c r="I61" i="11"/>
  <c r="H61" i="11"/>
  <c r="G61" i="11"/>
  <c r="F61" i="11"/>
  <c r="E61" i="11"/>
  <c r="D61" i="11"/>
  <c r="C61" i="11"/>
  <c r="B61" i="11"/>
  <c r="A61" i="11"/>
  <c r="O60" i="11"/>
  <c r="N60" i="11"/>
  <c r="M60" i="11"/>
  <c r="L60" i="11"/>
  <c r="K60" i="11"/>
  <c r="J60" i="11"/>
  <c r="I60" i="11"/>
  <c r="H60" i="11"/>
  <c r="G60" i="11"/>
  <c r="F60" i="11"/>
  <c r="E60" i="11"/>
  <c r="D60" i="11"/>
  <c r="C60" i="11"/>
  <c r="B60" i="11"/>
  <c r="A60" i="11"/>
  <c r="O59" i="11"/>
  <c r="N59" i="11"/>
  <c r="M59" i="11"/>
  <c r="L59" i="11"/>
  <c r="K59" i="11"/>
  <c r="J59" i="11"/>
  <c r="I59" i="11"/>
  <c r="H59" i="11"/>
  <c r="G59" i="11"/>
  <c r="F59" i="11"/>
  <c r="E59" i="11"/>
  <c r="D59" i="11"/>
  <c r="C59" i="11"/>
  <c r="B59" i="11"/>
  <c r="A59" i="11"/>
  <c r="O58" i="11"/>
  <c r="N58" i="11"/>
  <c r="M58" i="11"/>
  <c r="L58" i="11"/>
  <c r="K58" i="11"/>
  <c r="J58" i="11"/>
  <c r="I58" i="11"/>
  <c r="H58" i="11"/>
  <c r="G58" i="11"/>
  <c r="F58" i="11"/>
  <c r="E58" i="11"/>
  <c r="D58" i="11"/>
  <c r="C58" i="11"/>
  <c r="B58" i="11"/>
  <c r="A58" i="11"/>
  <c r="O57" i="11"/>
  <c r="N57" i="11"/>
  <c r="M57" i="11"/>
  <c r="L57" i="11"/>
  <c r="K57" i="11"/>
  <c r="J57" i="11"/>
  <c r="I57" i="11"/>
  <c r="H57" i="11"/>
  <c r="G57" i="11"/>
  <c r="F57" i="11"/>
  <c r="E57" i="11"/>
  <c r="D57" i="11"/>
  <c r="C57" i="11"/>
  <c r="B57" i="11"/>
  <c r="A57" i="11"/>
  <c r="O56" i="11"/>
  <c r="N56" i="11"/>
  <c r="M56" i="11"/>
  <c r="L56" i="11"/>
  <c r="K56" i="11"/>
  <c r="J56" i="11"/>
  <c r="I56" i="11"/>
  <c r="H56" i="11"/>
  <c r="G56" i="11"/>
  <c r="F56" i="11"/>
  <c r="E56" i="11"/>
  <c r="D56" i="11"/>
  <c r="C56" i="11"/>
  <c r="B56" i="11"/>
  <c r="A56" i="11"/>
  <c r="O55" i="11"/>
  <c r="N55" i="11"/>
  <c r="M55" i="11"/>
  <c r="L55" i="11"/>
  <c r="K55" i="11"/>
  <c r="J55" i="11"/>
  <c r="I55" i="11"/>
  <c r="H55" i="11"/>
  <c r="G55" i="11"/>
  <c r="F55" i="11"/>
  <c r="E55" i="11"/>
  <c r="D55" i="11"/>
  <c r="C55" i="11"/>
  <c r="B55" i="11"/>
  <c r="A55" i="11"/>
  <c r="O54" i="11"/>
  <c r="N54" i="11"/>
  <c r="M54" i="11"/>
  <c r="L54" i="11"/>
  <c r="K54" i="11"/>
  <c r="J54" i="11"/>
  <c r="I54" i="11"/>
  <c r="H54" i="11"/>
  <c r="G54" i="11"/>
  <c r="F54" i="11"/>
  <c r="E54" i="11"/>
  <c r="D54" i="11"/>
  <c r="C54" i="11"/>
  <c r="B54" i="11"/>
  <c r="A54" i="11"/>
  <c r="O53" i="11"/>
  <c r="N53" i="11"/>
  <c r="M53" i="11"/>
  <c r="L53" i="11"/>
  <c r="K53" i="11"/>
  <c r="J53" i="11"/>
  <c r="I53" i="11"/>
  <c r="H53" i="11"/>
  <c r="G53" i="11"/>
  <c r="F53" i="11"/>
  <c r="E53" i="11"/>
  <c r="D53" i="11"/>
  <c r="C53" i="11"/>
  <c r="B53" i="11"/>
  <c r="A53" i="11"/>
  <c r="O52" i="11"/>
  <c r="N52" i="11"/>
  <c r="M52" i="11"/>
  <c r="L52" i="11"/>
  <c r="K52" i="11"/>
  <c r="J52" i="11"/>
  <c r="I52" i="11"/>
  <c r="H52" i="11"/>
  <c r="E52" i="11"/>
  <c r="D52" i="11"/>
  <c r="C52" i="11"/>
  <c r="B52" i="11"/>
  <c r="A52" i="11"/>
  <c r="O51" i="11"/>
  <c r="N51" i="11"/>
  <c r="M51" i="11"/>
  <c r="L51" i="11"/>
  <c r="K51" i="11"/>
  <c r="J51" i="11"/>
  <c r="I51" i="11"/>
  <c r="H51" i="11"/>
  <c r="G51" i="11"/>
  <c r="F51" i="11"/>
  <c r="E51" i="11"/>
  <c r="D51" i="11"/>
  <c r="C51" i="11"/>
  <c r="B51" i="11"/>
  <c r="A51" i="11"/>
  <c r="O50" i="11"/>
  <c r="N50" i="11"/>
  <c r="M50" i="11"/>
  <c r="L50" i="11"/>
  <c r="K50" i="11"/>
  <c r="J50" i="11"/>
  <c r="I50" i="11"/>
  <c r="H50" i="11"/>
  <c r="G50" i="11"/>
  <c r="F50" i="11"/>
  <c r="E50" i="11"/>
  <c r="D50" i="11"/>
  <c r="C50" i="11"/>
  <c r="B50" i="11"/>
  <c r="A50" i="11"/>
  <c r="O49" i="11"/>
  <c r="N49" i="11"/>
  <c r="M49" i="11"/>
  <c r="L49" i="11"/>
  <c r="K49" i="11"/>
  <c r="J49" i="11"/>
  <c r="I49" i="11"/>
  <c r="H49" i="11"/>
  <c r="G49" i="11"/>
  <c r="F49" i="11"/>
  <c r="E49" i="11"/>
  <c r="D49" i="11"/>
  <c r="C49" i="11"/>
  <c r="B49" i="11"/>
  <c r="A49" i="11"/>
  <c r="O48" i="11"/>
  <c r="N48" i="11"/>
  <c r="M48" i="11"/>
  <c r="L48" i="11"/>
  <c r="K48" i="11"/>
  <c r="J48" i="11"/>
  <c r="I48" i="11"/>
  <c r="H48" i="11"/>
  <c r="E48" i="11"/>
  <c r="D48" i="11"/>
  <c r="C48" i="11"/>
  <c r="B48" i="11"/>
  <c r="A48" i="11"/>
  <c r="O47" i="11"/>
  <c r="N47" i="11"/>
  <c r="M47" i="11"/>
  <c r="L47" i="11"/>
  <c r="K47" i="11"/>
  <c r="J47" i="11"/>
  <c r="I47" i="11"/>
  <c r="H47" i="11"/>
  <c r="G47" i="11"/>
  <c r="F47" i="11"/>
  <c r="E47" i="11"/>
  <c r="D47" i="11"/>
  <c r="C47" i="11"/>
  <c r="B47" i="11"/>
  <c r="A47" i="11"/>
  <c r="O46" i="11"/>
  <c r="N46" i="11"/>
  <c r="M46" i="11"/>
  <c r="L46" i="11"/>
  <c r="K46" i="11"/>
  <c r="J46" i="11"/>
  <c r="I46" i="11"/>
  <c r="H46" i="11"/>
  <c r="G46" i="11"/>
  <c r="F46" i="11"/>
  <c r="E46" i="11"/>
  <c r="D46" i="11"/>
  <c r="C46" i="11"/>
  <c r="B46" i="11"/>
  <c r="A46" i="11"/>
  <c r="O45" i="11"/>
  <c r="N45" i="11"/>
  <c r="M45" i="11"/>
  <c r="L45" i="11"/>
  <c r="K45" i="11"/>
  <c r="J45" i="11"/>
  <c r="I45" i="11"/>
  <c r="H45" i="11"/>
  <c r="G45" i="11"/>
  <c r="F45" i="11"/>
  <c r="E45" i="11"/>
  <c r="D45" i="11"/>
  <c r="C45" i="11"/>
  <c r="B45" i="11"/>
  <c r="A45" i="11"/>
  <c r="O44" i="11"/>
  <c r="N44" i="11"/>
  <c r="M44" i="11"/>
  <c r="L44" i="11"/>
  <c r="K44" i="11"/>
  <c r="J44" i="11"/>
  <c r="I44" i="11"/>
  <c r="H44" i="11"/>
  <c r="G44" i="11"/>
  <c r="F44" i="11"/>
  <c r="E44" i="11"/>
  <c r="D44" i="11"/>
  <c r="C44" i="11"/>
  <c r="B44" i="11"/>
  <c r="A44" i="11"/>
  <c r="O43" i="11"/>
  <c r="N43" i="11"/>
  <c r="M43" i="11"/>
  <c r="L43" i="11"/>
  <c r="K43" i="11"/>
  <c r="J43" i="11"/>
  <c r="I43" i="11"/>
  <c r="H43" i="11"/>
  <c r="G43" i="11"/>
  <c r="F43" i="11"/>
  <c r="E43" i="11"/>
  <c r="D43" i="11"/>
  <c r="C43" i="11"/>
  <c r="B43" i="11"/>
  <c r="A43" i="11"/>
  <c r="O42" i="11"/>
  <c r="N42" i="11"/>
  <c r="M42" i="11"/>
  <c r="L42" i="11"/>
  <c r="K42" i="11"/>
  <c r="J42" i="11"/>
  <c r="I42" i="11"/>
  <c r="H42" i="11"/>
  <c r="G42" i="11"/>
  <c r="F42" i="11"/>
  <c r="E42" i="11"/>
  <c r="D42" i="11"/>
  <c r="C42" i="11"/>
  <c r="B42" i="11"/>
  <c r="A42" i="11"/>
  <c r="O41" i="11"/>
  <c r="N41" i="11"/>
  <c r="M41" i="11"/>
  <c r="L41" i="11"/>
  <c r="K41" i="11"/>
  <c r="J41" i="11"/>
  <c r="I41" i="11"/>
  <c r="H41" i="11"/>
  <c r="G41" i="11"/>
  <c r="F41" i="11"/>
  <c r="E41" i="11"/>
  <c r="D41" i="11"/>
  <c r="C41" i="11"/>
  <c r="B41" i="11"/>
  <c r="A41" i="11"/>
  <c r="O40" i="11"/>
  <c r="N40" i="11"/>
  <c r="M40" i="11"/>
  <c r="L40" i="11"/>
  <c r="K40" i="11"/>
  <c r="J40" i="11"/>
  <c r="I40" i="11"/>
  <c r="H40" i="11"/>
  <c r="G40" i="11"/>
  <c r="F40" i="11"/>
  <c r="E40" i="11"/>
  <c r="D40" i="11"/>
  <c r="C40" i="11"/>
  <c r="B40" i="11"/>
  <c r="A40" i="11"/>
  <c r="O39" i="11"/>
  <c r="N39" i="11"/>
  <c r="M39" i="11"/>
  <c r="L39" i="11"/>
  <c r="K39" i="11"/>
  <c r="J39" i="11"/>
  <c r="I39" i="11"/>
  <c r="H39" i="11"/>
  <c r="E39" i="11"/>
  <c r="D39" i="11"/>
  <c r="C39" i="11"/>
  <c r="B39" i="11"/>
  <c r="A39" i="11"/>
  <c r="O38" i="11"/>
  <c r="N38" i="11"/>
  <c r="M38" i="11"/>
  <c r="L38" i="11"/>
  <c r="K38" i="11"/>
  <c r="J38" i="11"/>
  <c r="I38" i="11"/>
  <c r="H38" i="11"/>
  <c r="G38" i="11"/>
  <c r="F38" i="11"/>
  <c r="E38" i="11"/>
  <c r="D38" i="11"/>
  <c r="C38" i="11"/>
  <c r="B38" i="11"/>
  <c r="A38" i="11"/>
  <c r="O37" i="11"/>
  <c r="N37" i="11"/>
  <c r="M37" i="11"/>
  <c r="L37" i="11"/>
  <c r="K37" i="11"/>
  <c r="J37" i="11"/>
  <c r="I37" i="11"/>
  <c r="H37" i="11"/>
  <c r="G37" i="11"/>
  <c r="F37" i="11"/>
  <c r="E37" i="11"/>
  <c r="D37" i="11"/>
  <c r="C37" i="11"/>
  <c r="B37" i="11"/>
  <c r="A37" i="11"/>
  <c r="O36" i="11"/>
  <c r="N36" i="11"/>
  <c r="M36" i="11"/>
  <c r="L36" i="11"/>
  <c r="K36" i="11"/>
  <c r="J36" i="11"/>
  <c r="I36" i="11"/>
  <c r="H36" i="11"/>
  <c r="G36" i="11"/>
  <c r="F36" i="11"/>
  <c r="E36" i="11"/>
  <c r="D36" i="11"/>
  <c r="C36" i="11"/>
  <c r="B36" i="11"/>
  <c r="A36" i="11"/>
  <c r="O35" i="11"/>
  <c r="N35" i="11"/>
  <c r="M35" i="11"/>
  <c r="L35" i="11"/>
  <c r="K35" i="11"/>
  <c r="J35" i="11"/>
  <c r="I35" i="11"/>
  <c r="H35" i="11"/>
  <c r="G35" i="11"/>
  <c r="F35" i="11"/>
  <c r="E35" i="11"/>
  <c r="D35" i="11"/>
  <c r="C35" i="11"/>
  <c r="B35" i="11"/>
  <c r="A35" i="11"/>
  <c r="O34" i="11"/>
  <c r="N34" i="11"/>
  <c r="M34" i="11"/>
  <c r="L34" i="11"/>
  <c r="K34" i="11"/>
  <c r="J34" i="11"/>
  <c r="I34" i="11"/>
  <c r="H34" i="11"/>
  <c r="G34" i="11"/>
  <c r="F34" i="11"/>
  <c r="E34" i="11"/>
  <c r="D34" i="11"/>
  <c r="C34" i="11"/>
  <c r="B34" i="11"/>
  <c r="A34" i="11"/>
  <c r="O33" i="11"/>
  <c r="N33" i="11"/>
  <c r="M33" i="11"/>
  <c r="L33" i="11"/>
  <c r="K33" i="11"/>
  <c r="J33" i="11"/>
  <c r="I33" i="11"/>
  <c r="H33" i="11"/>
  <c r="G33" i="11"/>
  <c r="F33" i="11"/>
  <c r="E33" i="11"/>
  <c r="D33" i="11"/>
  <c r="C33" i="11"/>
  <c r="B33" i="11"/>
  <c r="A33" i="11"/>
  <c r="O32" i="11"/>
  <c r="N32" i="11"/>
  <c r="M32" i="11"/>
  <c r="L32" i="11"/>
  <c r="K32" i="11"/>
  <c r="J32" i="11"/>
  <c r="I32" i="11"/>
  <c r="H32" i="11"/>
  <c r="G32" i="11"/>
  <c r="F32" i="11"/>
  <c r="E32" i="11"/>
  <c r="D32" i="11"/>
  <c r="C32" i="11"/>
  <c r="B32" i="11"/>
  <c r="A32" i="11"/>
  <c r="O31" i="11"/>
  <c r="N31" i="11"/>
  <c r="M31" i="11"/>
  <c r="L31" i="11"/>
  <c r="K31" i="11"/>
  <c r="J31" i="11"/>
  <c r="I31" i="11"/>
  <c r="H31" i="11"/>
  <c r="G31" i="11"/>
  <c r="F31" i="11"/>
  <c r="E31" i="11"/>
  <c r="D31" i="11"/>
  <c r="C31" i="11"/>
  <c r="B31" i="11"/>
  <c r="A31" i="11"/>
  <c r="O30" i="11"/>
  <c r="N30" i="11"/>
  <c r="M30" i="11"/>
  <c r="L30" i="11"/>
  <c r="K30" i="11"/>
  <c r="J30" i="11"/>
  <c r="I30" i="11"/>
  <c r="H30" i="11"/>
  <c r="G30" i="11"/>
  <c r="F30" i="11"/>
  <c r="E30" i="11"/>
  <c r="D30" i="11"/>
  <c r="C30" i="11"/>
  <c r="B30" i="11"/>
  <c r="A30" i="11"/>
  <c r="O29" i="11"/>
  <c r="N29" i="11"/>
  <c r="M29" i="11"/>
  <c r="L29" i="11"/>
  <c r="K29" i="11"/>
  <c r="J29" i="11"/>
  <c r="I29" i="11"/>
  <c r="H29" i="11"/>
  <c r="G29" i="11"/>
  <c r="F29" i="11"/>
  <c r="E29" i="11"/>
  <c r="D29" i="11"/>
  <c r="C29" i="11"/>
  <c r="B29" i="11"/>
  <c r="A29" i="11"/>
  <c r="O28" i="11"/>
  <c r="N28" i="11"/>
  <c r="M28" i="11"/>
  <c r="L28" i="11"/>
  <c r="K28" i="11"/>
  <c r="J28" i="11"/>
  <c r="I28" i="11"/>
  <c r="H28" i="11"/>
  <c r="G28" i="11"/>
  <c r="F28" i="11"/>
  <c r="E28" i="11"/>
  <c r="D28" i="11"/>
  <c r="C28" i="11"/>
  <c r="B28" i="11"/>
  <c r="A28" i="11"/>
  <c r="O27" i="11"/>
  <c r="N27" i="11"/>
  <c r="M27" i="11"/>
  <c r="L27" i="11"/>
  <c r="K27" i="11"/>
  <c r="J27" i="11"/>
  <c r="I27" i="11"/>
  <c r="H27" i="11"/>
  <c r="G27" i="11"/>
  <c r="F27" i="11"/>
  <c r="E27" i="11"/>
  <c r="D27" i="11"/>
  <c r="C27" i="11"/>
  <c r="B27" i="11"/>
  <c r="A27" i="11"/>
  <c r="O26" i="11"/>
  <c r="N26" i="11"/>
  <c r="M26" i="11"/>
  <c r="L26" i="11"/>
  <c r="K26" i="11"/>
  <c r="J26" i="11"/>
  <c r="I26" i="11"/>
  <c r="H26" i="11"/>
  <c r="G26" i="11"/>
  <c r="F26" i="11"/>
  <c r="E26" i="11"/>
  <c r="D26" i="11"/>
  <c r="C26" i="11"/>
  <c r="B26" i="11"/>
  <c r="A26" i="11"/>
  <c r="O25" i="11"/>
  <c r="N25" i="11"/>
  <c r="M25" i="11"/>
  <c r="L25" i="11"/>
  <c r="K25" i="11"/>
  <c r="J25" i="11"/>
  <c r="I25" i="11"/>
  <c r="H25" i="11"/>
  <c r="G25" i="11"/>
  <c r="F25" i="11"/>
  <c r="E25" i="11"/>
  <c r="D25" i="11"/>
  <c r="C25" i="11"/>
  <c r="B25" i="11"/>
  <c r="A25" i="11"/>
  <c r="O24" i="11"/>
  <c r="N24" i="11"/>
  <c r="M24" i="11"/>
  <c r="L24" i="11"/>
  <c r="K24" i="11"/>
  <c r="J24" i="11"/>
  <c r="I24" i="11"/>
  <c r="H24" i="11"/>
  <c r="G24" i="11"/>
  <c r="F24" i="11"/>
  <c r="E24" i="11"/>
  <c r="D24" i="11"/>
  <c r="C24" i="11"/>
  <c r="B24" i="11"/>
  <c r="A24" i="11"/>
  <c r="O23" i="11"/>
  <c r="N23" i="11"/>
  <c r="M23" i="11"/>
  <c r="L23" i="11"/>
  <c r="K23" i="11"/>
  <c r="J23" i="11"/>
  <c r="I23" i="11"/>
  <c r="H23" i="11"/>
  <c r="G23" i="11"/>
  <c r="F23" i="11"/>
  <c r="E23" i="11"/>
  <c r="D23" i="11"/>
  <c r="C23" i="11"/>
  <c r="B23" i="11"/>
  <c r="A23" i="11"/>
  <c r="O22" i="11"/>
  <c r="N22" i="11"/>
  <c r="M22" i="11"/>
  <c r="L22" i="11"/>
  <c r="K22" i="11"/>
  <c r="J22" i="11"/>
  <c r="I22" i="11"/>
  <c r="H22" i="11"/>
  <c r="G22" i="11"/>
  <c r="F22" i="11"/>
  <c r="E22" i="11"/>
  <c r="D22" i="11"/>
  <c r="C22" i="11"/>
  <c r="B22" i="11"/>
  <c r="A22" i="11"/>
  <c r="O21" i="11"/>
  <c r="N21" i="11"/>
  <c r="M21" i="11"/>
  <c r="L21" i="11"/>
  <c r="K21" i="11"/>
  <c r="J21" i="11"/>
  <c r="I21" i="11"/>
  <c r="H21" i="11"/>
  <c r="F21" i="11"/>
  <c r="E21" i="11"/>
  <c r="D21" i="11"/>
  <c r="C21" i="11"/>
  <c r="B21" i="11"/>
  <c r="A21" i="11"/>
  <c r="O20" i="11"/>
  <c r="N20" i="11"/>
  <c r="M20" i="11"/>
  <c r="L20" i="11"/>
  <c r="K20" i="11"/>
  <c r="J20" i="11"/>
  <c r="I20" i="11"/>
  <c r="H20" i="11"/>
  <c r="F20" i="11"/>
  <c r="E20" i="11"/>
  <c r="D20" i="11"/>
  <c r="C20" i="11"/>
  <c r="B20" i="11"/>
  <c r="A20" i="11"/>
  <c r="O19" i="11"/>
  <c r="N19" i="11"/>
  <c r="M19" i="11"/>
  <c r="L19" i="11"/>
  <c r="K19" i="11"/>
  <c r="J19" i="11"/>
  <c r="I19" i="11"/>
  <c r="H19" i="11"/>
  <c r="G19" i="11"/>
  <c r="F19" i="11"/>
  <c r="E19" i="11"/>
  <c r="D19" i="11"/>
  <c r="C19" i="11"/>
  <c r="B19" i="11"/>
  <c r="A19" i="11"/>
  <c r="O18" i="11"/>
  <c r="N18" i="11"/>
  <c r="M18" i="11"/>
  <c r="L18" i="11"/>
  <c r="K18" i="11"/>
  <c r="J18" i="11"/>
  <c r="I18" i="11"/>
  <c r="H18" i="11"/>
  <c r="G18" i="11"/>
  <c r="F18" i="11"/>
  <c r="E18" i="11"/>
  <c r="D18" i="11"/>
  <c r="C18" i="11"/>
  <c r="B18" i="11"/>
  <c r="A18" i="11"/>
  <c r="O17" i="11"/>
  <c r="N17" i="11"/>
  <c r="M17" i="11"/>
  <c r="L17" i="11"/>
  <c r="K17" i="11"/>
  <c r="J17" i="11"/>
  <c r="I17" i="11"/>
  <c r="H17" i="11"/>
  <c r="F17" i="11"/>
  <c r="E17" i="11"/>
  <c r="D17" i="11"/>
  <c r="C17" i="11"/>
  <c r="B17" i="11"/>
  <c r="A17" i="11"/>
  <c r="O16" i="11"/>
  <c r="N16" i="11"/>
  <c r="M16" i="11"/>
  <c r="L16" i="11"/>
  <c r="K16" i="11"/>
  <c r="J16" i="11"/>
  <c r="I16" i="11"/>
  <c r="H16" i="11"/>
  <c r="E16" i="11"/>
  <c r="D16" i="11"/>
  <c r="C16" i="11"/>
  <c r="B16" i="11"/>
  <c r="A16" i="11"/>
  <c r="O15" i="11"/>
  <c r="N15" i="11"/>
  <c r="M15" i="11"/>
  <c r="L15" i="11"/>
  <c r="K15" i="11"/>
  <c r="J15" i="11"/>
  <c r="I15" i="11"/>
  <c r="H15" i="11"/>
  <c r="E15" i="11"/>
  <c r="D15" i="11"/>
  <c r="C15" i="11"/>
  <c r="B15" i="11"/>
  <c r="A15" i="11"/>
  <c r="O14" i="11"/>
  <c r="N14" i="11"/>
  <c r="M14" i="11"/>
  <c r="L14" i="11"/>
  <c r="K14" i="11"/>
  <c r="J14" i="11"/>
  <c r="I14" i="11"/>
  <c r="H14" i="11"/>
  <c r="E14" i="11"/>
  <c r="D14" i="11"/>
  <c r="C14" i="11"/>
  <c r="B14" i="11"/>
  <c r="A14" i="11"/>
  <c r="O13" i="11"/>
  <c r="N13" i="11"/>
  <c r="M13" i="11"/>
  <c r="L13" i="11"/>
  <c r="K13" i="11"/>
  <c r="J13" i="11"/>
  <c r="I13" i="11"/>
  <c r="H13" i="11"/>
  <c r="G13" i="11"/>
  <c r="F13" i="11"/>
  <c r="E13" i="11"/>
  <c r="D13" i="11"/>
  <c r="C13" i="11"/>
  <c r="B13" i="11"/>
  <c r="A13" i="11"/>
  <c r="O12" i="11"/>
  <c r="N12" i="11"/>
  <c r="M12" i="11"/>
  <c r="L12" i="11"/>
  <c r="K12" i="11"/>
  <c r="J12" i="11"/>
  <c r="I12" i="11"/>
  <c r="H12" i="11"/>
  <c r="G12" i="11"/>
  <c r="F12" i="11"/>
  <c r="E12" i="11"/>
  <c r="D12" i="11"/>
  <c r="C12" i="11"/>
  <c r="B12" i="11"/>
  <c r="A12" i="11"/>
  <c r="AG11" i="11"/>
  <c r="O11" i="11"/>
  <c r="N11" i="11"/>
  <c r="M11" i="11"/>
  <c r="L11" i="11"/>
  <c r="K11" i="11"/>
  <c r="J11" i="11"/>
  <c r="I11" i="11"/>
  <c r="H11" i="11"/>
  <c r="G11" i="11"/>
  <c r="F11" i="11"/>
  <c r="E11" i="11"/>
  <c r="D11" i="11"/>
  <c r="C11" i="11"/>
  <c r="B11" i="11"/>
  <c r="A11" i="11"/>
  <c r="O10" i="11"/>
  <c r="N10" i="11"/>
  <c r="M10" i="11"/>
  <c r="L10" i="11"/>
  <c r="K10" i="11"/>
  <c r="J10" i="11"/>
  <c r="I10" i="11"/>
  <c r="H10" i="11"/>
  <c r="G10" i="11"/>
  <c r="F10" i="11"/>
  <c r="E10" i="11"/>
  <c r="D10" i="11"/>
  <c r="C10" i="11"/>
  <c r="B10" i="11"/>
  <c r="A10" i="11"/>
  <c r="O9" i="11"/>
  <c r="N9" i="11"/>
  <c r="M9" i="11"/>
  <c r="L9" i="11"/>
  <c r="K9" i="11"/>
  <c r="J9" i="11"/>
  <c r="I9" i="11"/>
  <c r="H9" i="11"/>
  <c r="G9" i="11"/>
  <c r="F9" i="11"/>
  <c r="E9" i="11"/>
  <c r="D9" i="11"/>
  <c r="C9" i="11"/>
  <c r="B9" i="11"/>
  <c r="A9" i="11"/>
  <c r="O8" i="11"/>
  <c r="N8" i="11"/>
  <c r="M8" i="11"/>
  <c r="L8" i="11"/>
  <c r="K8" i="11"/>
  <c r="J8" i="11"/>
  <c r="I8" i="11"/>
  <c r="H8" i="11"/>
  <c r="G8" i="11"/>
  <c r="F8" i="11"/>
  <c r="E8" i="11"/>
  <c r="D8" i="11"/>
  <c r="C8" i="11"/>
  <c r="B8" i="11"/>
  <c r="A8" i="11"/>
  <c r="O7" i="11"/>
  <c r="N7" i="11"/>
  <c r="M7" i="11"/>
  <c r="L7" i="11"/>
  <c r="K7" i="11"/>
  <c r="J7" i="11"/>
  <c r="I7" i="11"/>
  <c r="H7" i="11"/>
  <c r="G7" i="11"/>
  <c r="F7" i="11"/>
  <c r="E7" i="11"/>
  <c r="D7" i="11"/>
  <c r="C7" i="11"/>
  <c r="B7" i="11"/>
  <c r="A7" i="11"/>
  <c r="O6" i="11"/>
  <c r="N6" i="11"/>
  <c r="M6" i="11"/>
  <c r="L6" i="11"/>
  <c r="K6" i="11"/>
  <c r="J6" i="11"/>
  <c r="I6" i="11"/>
  <c r="H6" i="11"/>
  <c r="G6" i="11"/>
  <c r="F6" i="11"/>
  <c r="E6" i="11"/>
  <c r="D6" i="11"/>
  <c r="C6" i="11"/>
  <c r="B6" i="11"/>
  <c r="A6" i="11"/>
  <c r="O5" i="11"/>
  <c r="N5" i="11"/>
  <c r="M5" i="11"/>
  <c r="L5" i="11"/>
  <c r="K5" i="11"/>
  <c r="J5" i="11"/>
  <c r="I5" i="11"/>
  <c r="H5" i="11"/>
  <c r="G5" i="11"/>
  <c r="F5" i="11"/>
  <c r="E5" i="11"/>
  <c r="D5" i="11"/>
  <c r="C5" i="11"/>
  <c r="B5" i="11"/>
  <c r="A5" i="11"/>
  <c r="O4" i="11"/>
  <c r="N4" i="11"/>
  <c r="M4" i="11"/>
  <c r="L4" i="11"/>
  <c r="K4" i="11"/>
  <c r="J4" i="11"/>
  <c r="I4" i="11"/>
  <c r="H4" i="11"/>
  <c r="G4" i="11"/>
  <c r="F4" i="11"/>
  <c r="E4" i="11"/>
  <c r="D4" i="11"/>
  <c r="C4" i="11"/>
  <c r="B4" i="11"/>
  <c r="A4" i="11"/>
  <c r="O3" i="11"/>
  <c r="N3" i="11"/>
  <c r="M3" i="11"/>
  <c r="L3" i="11"/>
  <c r="K3" i="11"/>
  <c r="J3" i="11"/>
  <c r="I3" i="11"/>
  <c r="H3" i="11"/>
  <c r="G3" i="11"/>
  <c r="F3" i="11"/>
  <c r="E3" i="11"/>
  <c r="D3" i="11"/>
  <c r="C3" i="11"/>
  <c r="B3" i="11"/>
  <c r="A3" i="11"/>
  <c r="R2" i="11" a="1"/>
  <c r="R302" i="11" s="1"/>
  <c r="O2" i="11"/>
  <c r="N2" i="11"/>
  <c r="M2" i="11"/>
  <c r="L2" i="11"/>
  <c r="K2" i="11"/>
  <c r="J2" i="11"/>
  <c r="I2" i="11"/>
  <c r="H2" i="11"/>
  <c r="G2" i="11"/>
  <c r="F2" i="11"/>
  <c r="E2" i="11"/>
  <c r="D2" i="11"/>
  <c r="C2" i="11"/>
  <c r="B2" i="11"/>
  <c r="A2" i="11"/>
  <c r="O1" i="11"/>
  <c r="N1" i="11"/>
  <c r="M1" i="11"/>
  <c r="L1" i="11"/>
  <c r="K1" i="11"/>
  <c r="J1" i="11"/>
  <c r="I1" i="11"/>
  <c r="H1" i="11"/>
  <c r="G1" i="11"/>
  <c r="F1" i="11"/>
  <c r="E1" i="11"/>
  <c r="D1" i="11"/>
  <c r="C1" i="11"/>
  <c r="B1" i="11"/>
  <c r="A1" i="11"/>
  <c r="U543" i="10"/>
  <c r="Q543" i="10"/>
  <c r="S543" i="10" s="1"/>
  <c r="P543" i="10"/>
  <c r="R543" i="10" s="1"/>
  <c r="J543" i="10"/>
  <c r="L543" i="10" s="1"/>
  <c r="I543" i="10"/>
  <c r="K543" i="10" s="1"/>
  <c r="M543" i="10" s="1"/>
  <c r="H543" i="10"/>
  <c r="U542" i="10"/>
  <c r="R542" i="10"/>
  <c r="T542" i="10" s="1"/>
  <c r="Q542" i="10"/>
  <c r="S542" i="10" s="1"/>
  <c r="P542" i="10"/>
  <c r="J542" i="10"/>
  <c r="L542" i="10" s="1"/>
  <c r="I542" i="10"/>
  <c r="K542" i="10" s="1"/>
  <c r="M542" i="10" s="1"/>
  <c r="H542" i="10"/>
  <c r="U541" i="10"/>
  <c r="Q541" i="10"/>
  <c r="S541" i="10" s="1"/>
  <c r="P541" i="10"/>
  <c r="R541" i="10" s="1"/>
  <c r="J541" i="10"/>
  <c r="L541" i="10" s="1"/>
  <c r="I541" i="10"/>
  <c r="K541" i="10" s="1"/>
  <c r="M541" i="10" s="1"/>
  <c r="H541" i="10"/>
  <c r="U540" i="10"/>
  <c r="Q540" i="10"/>
  <c r="S540" i="10" s="1"/>
  <c r="P540" i="10"/>
  <c r="R540" i="10" s="1"/>
  <c r="J540" i="10"/>
  <c r="L540" i="10" s="1"/>
  <c r="I540" i="10"/>
  <c r="K540" i="10" s="1"/>
  <c r="H540" i="10"/>
  <c r="U539" i="10"/>
  <c r="Q539" i="10"/>
  <c r="S539" i="10" s="1"/>
  <c r="P539" i="10"/>
  <c r="R539" i="10" s="1"/>
  <c r="J539" i="10"/>
  <c r="L539" i="10" s="1"/>
  <c r="I539" i="10"/>
  <c r="K539" i="10" s="1"/>
  <c r="M539" i="10" s="1"/>
  <c r="H539" i="10"/>
  <c r="U538" i="10"/>
  <c r="Q538" i="10"/>
  <c r="S538" i="10" s="1"/>
  <c r="P538" i="10"/>
  <c r="R538" i="10" s="1"/>
  <c r="J538" i="10"/>
  <c r="L538" i="10" s="1"/>
  <c r="I538" i="10"/>
  <c r="K538" i="10" s="1"/>
  <c r="M538" i="10" s="1"/>
  <c r="H538" i="10"/>
  <c r="U537" i="10"/>
  <c r="Q537" i="10"/>
  <c r="S537" i="10" s="1"/>
  <c r="P537" i="10"/>
  <c r="R537" i="10" s="1"/>
  <c r="J537" i="10"/>
  <c r="L537" i="10" s="1"/>
  <c r="I537" i="10"/>
  <c r="K537" i="10" s="1"/>
  <c r="H537" i="10"/>
  <c r="U536" i="10"/>
  <c r="Q536" i="10"/>
  <c r="S536" i="10" s="1"/>
  <c r="P536" i="10"/>
  <c r="R536" i="10" s="1"/>
  <c r="T536" i="10" s="1"/>
  <c r="J536" i="10"/>
  <c r="L536" i="10" s="1"/>
  <c r="I536" i="10"/>
  <c r="K536" i="10" s="1"/>
  <c r="M536" i="10" s="1"/>
  <c r="H536" i="10"/>
  <c r="U535" i="10"/>
  <c r="Q535" i="10"/>
  <c r="S535" i="10" s="1"/>
  <c r="P535" i="10"/>
  <c r="R535" i="10" s="1"/>
  <c r="J535" i="10"/>
  <c r="L535" i="10" s="1"/>
  <c r="I535" i="10"/>
  <c r="K535" i="10" s="1"/>
  <c r="M535" i="10" s="1"/>
  <c r="H535" i="10"/>
  <c r="U534" i="10"/>
  <c r="Q534" i="10"/>
  <c r="S534" i="10" s="1"/>
  <c r="P534" i="10"/>
  <c r="R534" i="10" s="1"/>
  <c r="J534" i="10"/>
  <c r="L534" i="10" s="1"/>
  <c r="I534" i="10"/>
  <c r="K534" i="10" s="1"/>
  <c r="H534" i="10"/>
  <c r="U533" i="10"/>
  <c r="Q533" i="10"/>
  <c r="S533" i="10" s="1"/>
  <c r="P533" i="10"/>
  <c r="R533" i="10" s="1"/>
  <c r="J533" i="10"/>
  <c r="L533" i="10" s="1"/>
  <c r="I533" i="10"/>
  <c r="K533" i="10" s="1"/>
  <c r="M533" i="10" s="1"/>
  <c r="H533" i="10"/>
  <c r="U532" i="10"/>
  <c r="R532" i="10"/>
  <c r="Q532" i="10"/>
  <c r="S532" i="10" s="1"/>
  <c r="P532" i="10"/>
  <c r="J532" i="10"/>
  <c r="L532" i="10" s="1"/>
  <c r="I532" i="10"/>
  <c r="K532" i="10" s="1"/>
  <c r="M532" i="10" s="1"/>
  <c r="H532" i="10"/>
  <c r="U531" i="10"/>
  <c r="Q531" i="10"/>
  <c r="S531" i="10" s="1"/>
  <c r="P531" i="10"/>
  <c r="R531" i="10" s="1"/>
  <c r="T531" i="10" s="1"/>
  <c r="J531" i="10"/>
  <c r="L531" i="10" s="1"/>
  <c r="I531" i="10"/>
  <c r="K531" i="10" s="1"/>
  <c r="H531" i="10"/>
  <c r="U530" i="10"/>
  <c r="Q530" i="10"/>
  <c r="S530" i="10" s="1"/>
  <c r="P530" i="10"/>
  <c r="R530" i="10" s="1"/>
  <c r="J530" i="10"/>
  <c r="L530" i="10" s="1"/>
  <c r="I530" i="10"/>
  <c r="K530" i="10" s="1"/>
  <c r="M530" i="10" s="1"/>
  <c r="H530" i="10"/>
  <c r="U529" i="10"/>
  <c r="Q529" i="10"/>
  <c r="S529" i="10" s="1"/>
  <c r="P529" i="10"/>
  <c r="R529" i="10" s="1"/>
  <c r="T529" i="10" s="1"/>
  <c r="J529" i="10"/>
  <c r="L529" i="10" s="1"/>
  <c r="I529" i="10"/>
  <c r="K529" i="10" s="1"/>
  <c r="M529" i="10" s="1"/>
  <c r="H529" i="10"/>
  <c r="U528" i="10"/>
  <c r="Q528" i="10"/>
  <c r="S528" i="10" s="1"/>
  <c r="P528" i="10"/>
  <c r="R528" i="10" s="1"/>
  <c r="J528" i="10"/>
  <c r="L528" i="10" s="1"/>
  <c r="I528" i="10"/>
  <c r="K528" i="10" s="1"/>
  <c r="H528" i="10"/>
  <c r="U527" i="10"/>
  <c r="R527" i="10"/>
  <c r="Q527" i="10"/>
  <c r="S527" i="10" s="1"/>
  <c r="P527" i="10"/>
  <c r="J527" i="10"/>
  <c r="L527" i="10" s="1"/>
  <c r="I527" i="10"/>
  <c r="K527" i="10" s="1"/>
  <c r="H527" i="10"/>
  <c r="U526" i="10"/>
  <c r="Q526" i="10"/>
  <c r="S526" i="10" s="1"/>
  <c r="P526" i="10"/>
  <c r="R526" i="10" s="1"/>
  <c r="L526" i="10"/>
  <c r="J526" i="10"/>
  <c r="I526" i="10"/>
  <c r="K526" i="10" s="1"/>
  <c r="H526" i="10"/>
  <c r="U525" i="10"/>
  <c r="Q525" i="10"/>
  <c r="S525" i="10" s="1"/>
  <c r="P525" i="10"/>
  <c r="R525" i="10" s="1"/>
  <c r="T525" i="10" s="1"/>
  <c r="J525" i="10"/>
  <c r="L525" i="10" s="1"/>
  <c r="I525" i="10"/>
  <c r="K525" i="10" s="1"/>
  <c r="M525" i="10" s="1"/>
  <c r="H525" i="10"/>
  <c r="U524" i="10"/>
  <c r="Q524" i="10"/>
  <c r="S524" i="10" s="1"/>
  <c r="P524" i="10"/>
  <c r="R524" i="10" s="1"/>
  <c r="L524" i="10"/>
  <c r="J524" i="10"/>
  <c r="I524" i="10"/>
  <c r="K524" i="10" s="1"/>
  <c r="H524" i="10"/>
  <c r="U523" i="10"/>
  <c r="Q523" i="10"/>
  <c r="S523" i="10" s="1"/>
  <c r="P523" i="10"/>
  <c r="R523" i="10" s="1"/>
  <c r="L523" i="10"/>
  <c r="J523" i="10"/>
  <c r="I523" i="10"/>
  <c r="K523" i="10" s="1"/>
  <c r="H523" i="10"/>
  <c r="U522" i="10"/>
  <c r="Q522" i="10"/>
  <c r="S522" i="10" s="1"/>
  <c r="P522" i="10"/>
  <c r="R522" i="10" s="1"/>
  <c r="L522" i="10"/>
  <c r="J522" i="10"/>
  <c r="I522" i="10"/>
  <c r="K522" i="10" s="1"/>
  <c r="H522" i="10"/>
  <c r="U521" i="10"/>
  <c r="Q521" i="10"/>
  <c r="S521" i="10" s="1"/>
  <c r="P521" i="10"/>
  <c r="R521" i="10" s="1"/>
  <c r="L521" i="10"/>
  <c r="J521" i="10"/>
  <c r="I521" i="10"/>
  <c r="K521" i="10" s="1"/>
  <c r="M521" i="10" s="1"/>
  <c r="H521" i="10"/>
  <c r="U520" i="10"/>
  <c r="Q520" i="10"/>
  <c r="S520" i="10" s="1"/>
  <c r="P520" i="10"/>
  <c r="R520" i="10" s="1"/>
  <c r="L520" i="10"/>
  <c r="J520" i="10"/>
  <c r="I520" i="10"/>
  <c r="K520" i="10" s="1"/>
  <c r="H520" i="10"/>
  <c r="U519" i="10"/>
  <c r="Q519" i="10"/>
  <c r="S519" i="10" s="1"/>
  <c r="P519" i="10"/>
  <c r="R519" i="10" s="1"/>
  <c r="L519" i="10"/>
  <c r="J519" i="10"/>
  <c r="I519" i="10"/>
  <c r="K519" i="10" s="1"/>
  <c r="M519" i="10" s="1"/>
  <c r="H519" i="10"/>
  <c r="U518" i="10"/>
  <c r="Q518" i="10"/>
  <c r="S518" i="10" s="1"/>
  <c r="P518" i="10"/>
  <c r="R518" i="10" s="1"/>
  <c r="L518" i="10"/>
  <c r="J518" i="10"/>
  <c r="I518" i="10"/>
  <c r="K518" i="10" s="1"/>
  <c r="H518" i="10"/>
  <c r="U517" i="10"/>
  <c r="Q517" i="10"/>
  <c r="S517" i="10" s="1"/>
  <c r="P517" i="10"/>
  <c r="R517" i="10" s="1"/>
  <c r="T517" i="10" s="1"/>
  <c r="L517" i="10"/>
  <c r="J517" i="10"/>
  <c r="I517" i="10"/>
  <c r="K517" i="10" s="1"/>
  <c r="H517" i="10"/>
  <c r="U516" i="10"/>
  <c r="Q516" i="10"/>
  <c r="S516" i="10" s="1"/>
  <c r="P516" i="10"/>
  <c r="R516" i="10" s="1"/>
  <c r="T516" i="10" s="1"/>
  <c r="K516" i="10"/>
  <c r="J516" i="10"/>
  <c r="L516" i="10" s="1"/>
  <c r="I516" i="10"/>
  <c r="H516" i="10"/>
  <c r="U515" i="10"/>
  <c r="Q515" i="10"/>
  <c r="S515" i="10" s="1"/>
  <c r="P515" i="10"/>
  <c r="R515" i="10" s="1"/>
  <c r="L515" i="10"/>
  <c r="J515" i="10"/>
  <c r="I515" i="10"/>
  <c r="K515" i="10" s="1"/>
  <c r="M515" i="10" s="1"/>
  <c r="H515" i="10"/>
  <c r="U514" i="10"/>
  <c r="Q514" i="10"/>
  <c r="S514" i="10" s="1"/>
  <c r="P514" i="10"/>
  <c r="R514" i="10" s="1"/>
  <c r="L514" i="10"/>
  <c r="K514" i="10"/>
  <c r="J514" i="10"/>
  <c r="I514" i="10"/>
  <c r="H514" i="10"/>
  <c r="U513" i="10"/>
  <c r="Q513" i="10"/>
  <c r="S513" i="10" s="1"/>
  <c r="P513" i="10"/>
  <c r="R513" i="10" s="1"/>
  <c r="K513" i="10"/>
  <c r="J513" i="10"/>
  <c r="L513" i="10" s="1"/>
  <c r="I513" i="10"/>
  <c r="H513" i="10"/>
  <c r="U512" i="10"/>
  <c r="Q512" i="10"/>
  <c r="S512" i="10" s="1"/>
  <c r="P512" i="10"/>
  <c r="R512" i="10" s="1"/>
  <c r="J512" i="10"/>
  <c r="L512" i="10" s="1"/>
  <c r="I512" i="10"/>
  <c r="K512" i="10" s="1"/>
  <c r="M512" i="10" s="1"/>
  <c r="H512" i="10"/>
  <c r="U511" i="10"/>
  <c r="Q511" i="10"/>
  <c r="S511" i="10" s="1"/>
  <c r="P511" i="10"/>
  <c r="R511" i="10" s="1"/>
  <c r="L511" i="10"/>
  <c r="J511" i="10"/>
  <c r="I511" i="10"/>
  <c r="K511" i="10" s="1"/>
  <c r="M511" i="10" s="1"/>
  <c r="H511" i="10"/>
  <c r="U510" i="10"/>
  <c r="Q510" i="10"/>
  <c r="S510" i="10" s="1"/>
  <c r="P510" i="10"/>
  <c r="R510" i="10" s="1"/>
  <c r="L510" i="10"/>
  <c r="K510" i="10"/>
  <c r="J510" i="10"/>
  <c r="I510" i="10"/>
  <c r="H510" i="10"/>
  <c r="U509" i="10"/>
  <c r="Q509" i="10"/>
  <c r="S509" i="10" s="1"/>
  <c r="P509" i="10"/>
  <c r="R509" i="10" s="1"/>
  <c r="K509" i="10"/>
  <c r="J509" i="10"/>
  <c r="L509" i="10" s="1"/>
  <c r="I509" i="10"/>
  <c r="H509" i="10"/>
  <c r="U508" i="10"/>
  <c r="Q508" i="10"/>
  <c r="S508" i="10" s="1"/>
  <c r="P508" i="10"/>
  <c r="R508" i="10" s="1"/>
  <c r="L508" i="10"/>
  <c r="J508" i="10"/>
  <c r="I508" i="10"/>
  <c r="K508" i="10" s="1"/>
  <c r="M508" i="10" s="1"/>
  <c r="H508" i="10"/>
  <c r="U507" i="10"/>
  <c r="Q507" i="10"/>
  <c r="S507" i="10" s="1"/>
  <c r="P507" i="10"/>
  <c r="R507" i="10" s="1"/>
  <c r="L507" i="10"/>
  <c r="K507" i="10"/>
  <c r="M507" i="10" s="1"/>
  <c r="J507" i="10"/>
  <c r="I507" i="10"/>
  <c r="H507" i="10"/>
  <c r="U506" i="10"/>
  <c r="S506" i="10"/>
  <c r="Q506" i="10"/>
  <c r="P506" i="10"/>
  <c r="R506" i="10" s="1"/>
  <c r="K506" i="10"/>
  <c r="J506" i="10"/>
  <c r="L506" i="10" s="1"/>
  <c r="I506" i="10"/>
  <c r="H506" i="10"/>
  <c r="U505" i="10"/>
  <c r="Q505" i="10"/>
  <c r="S505" i="10" s="1"/>
  <c r="P505" i="10"/>
  <c r="R505" i="10" s="1"/>
  <c r="J505" i="10"/>
  <c r="L505" i="10" s="1"/>
  <c r="I505" i="10"/>
  <c r="K505" i="10" s="1"/>
  <c r="M505" i="10" s="1"/>
  <c r="H505" i="10"/>
  <c r="U504" i="10"/>
  <c r="Q504" i="10"/>
  <c r="S504" i="10" s="1"/>
  <c r="P504" i="10"/>
  <c r="R504" i="10" s="1"/>
  <c r="J504" i="10"/>
  <c r="L504" i="10" s="1"/>
  <c r="I504" i="10"/>
  <c r="K504" i="10" s="1"/>
  <c r="H504" i="10"/>
  <c r="U503" i="10"/>
  <c r="Q503" i="10"/>
  <c r="S503" i="10" s="1"/>
  <c r="P503" i="10"/>
  <c r="R503" i="10" s="1"/>
  <c r="L503" i="10"/>
  <c r="J503" i="10"/>
  <c r="I503" i="10"/>
  <c r="K503" i="10" s="1"/>
  <c r="M503" i="10" s="1"/>
  <c r="H503" i="10"/>
  <c r="U502" i="10"/>
  <c r="Q502" i="10"/>
  <c r="S502" i="10" s="1"/>
  <c r="P502" i="10"/>
  <c r="R502" i="10" s="1"/>
  <c r="L502" i="10"/>
  <c r="K502" i="10"/>
  <c r="J502" i="10"/>
  <c r="I502" i="10"/>
  <c r="H502" i="10"/>
  <c r="U501" i="10"/>
  <c r="Q501" i="10"/>
  <c r="S501" i="10" s="1"/>
  <c r="P501" i="10"/>
  <c r="R501" i="10" s="1"/>
  <c r="K501" i="10"/>
  <c r="J501" i="10"/>
  <c r="L501" i="10" s="1"/>
  <c r="I501" i="10"/>
  <c r="H501" i="10"/>
  <c r="U500" i="10"/>
  <c r="Q500" i="10"/>
  <c r="S500" i="10" s="1"/>
  <c r="P500" i="10"/>
  <c r="R500" i="10" s="1"/>
  <c r="J500" i="10"/>
  <c r="L500" i="10" s="1"/>
  <c r="I500" i="10"/>
  <c r="K500" i="10" s="1"/>
  <c r="M500" i="10" s="1"/>
  <c r="H500" i="10"/>
  <c r="U499" i="10"/>
  <c r="Q499" i="10"/>
  <c r="S499" i="10" s="1"/>
  <c r="P499" i="10"/>
  <c r="R499" i="10" s="1"/>
  <c r="L499" i="10"/>
  <c r="J499" i="10"/>
  <c r="I499" i="10"/>
  <c r="K499" i="10" s="1"/>
  <c r="M499" i="10" s="1"/>
  <c r="H499" i="10"/>
  <c r="U498" i="10"/>
  <c r="Q498" i="10"/>
  <c r="S498" i="10" s="1"/>
  <c r="P498" i="10"/>
  <c r="R498" i="10" s="1"/>
  <c r="L498" i="10"/>
  <c r="K498" i="10"/>
  <c r="J498" i="10"/>
  <c r="I498" i="10"/>
  <c r="H498" i="10"/>
  <c r="U497" i="10"/>
  <c r="Q497" i="10"/>
  <c r="S497" i="10" s="1"/>
  <c r="P497" i="10"/>
  <c r="R497" i="10" s="1"/>
  <c r="K497" i="10"/>
  <c r="J497" i="10"/>
  <c r="L497" i="10" s="1"/>
  <c r="I497" i="10"/>
  <c r="H497" i="10"/>
  <c r="U496" i="10"/>
  <c r="Q496" i="10"/>
  <c r="S496" i="10" s="1"/>
  <c r="P496" i="10"/>
  <c r="R496" i="10" s="1"/>
  <c r="L496" i="10"/>
  <c r="J496" i="10"/>
  <c r="I496" i="10"/>
  <c r="K496" i="10" s="1"/>
  <c r="M496" i="10" s="1"/>
  <c r="H496" i="10"/>
  <c r="U495" i="10"/>
  <c r="Q495" i="10"/>
  <c r="S495" i="10" s="1"/>
  <c r="P495" i="10"/>
  <c r="R495" i="10" s="1"/>
  <c r="L495" i="10"/>
  <c r="K495" i="10"/>
  <c r="M495" i="10" s="1"/>
  <c r="J495" i="10"/>
  <c r="I495" i="10"/>
  <c r="H495" i="10"/>
  <c r="U494" i="10"/>
  <c r="Q494" i="10"/>
  <c r="S494" i="10" s="1"/>
  <c r="P494" i="10"/>
  <c r="R494" i="10" s="1"/>
  <c r="K494" i="10"/>
  <c r="J494" i="10"/>
  <c r="L494" i="10" s="1"/>
  <c r="I494" i="10"/>
  <c r="H494" i="10"/>
  <c r="U493" i="10"/>
  <c r="Q493" i="10"/>
  <c r="S493" i="10" s="1"/>
  <c r="P493" i="10"/>
  <c r="R493" i="10" s="1"/>
  <c r="J493" i="10"/>
  <c r="L493" i="10" s="1"/>
  <c r="I493" i="10"/>
  <c r="K493" i="10" s="1"/>
  <c r="M493" i="10" s="1"/>
  <c r="H493" i="10"/>
  <c r="U492" i="10"/>
  <c r="Q492" i="10"/>
  <c r="S492" i="10" s="1"/>
  <c r="P492" i="10"/>
  <c r="R492" i="10" s="1"/>
  <c r="J492" i="10"/>
  <c r="L492" i="10" s="1"/>
  <c r="I492" i="10"/>
  <c r="K492" i="10" s="1"/>
  <c r="H492" i="10"/>
  <c r="U491" i="10"/>
  <c r="Q491" i="10"/>
  <c r="S491" i="10" s="1"/>
  <c r="P491" i="10"/>
  <c r="R491" i="10" s="1"/>
  <c r="L491" i="10"/>
  <c r="J491" i="10"/>
  <c r="I491" i="10"/>
  <c r="K491" i="10" s="1"/>
  <c r="M491" i="10" s="1"/>
  <c r="H491" i="10"/>
  <c r="U490" i="10"/>
  <c r="Q490" i="10"/>
  <c r="S490" i="10" s="1"/>
  <c r="P490" i="10"/>
  <c r="R490" i="10" s="1"/>
  <c r="L490" i="10"/>
  <c r="K490" i="10"/>
  <c r="J490" i="10"/>
  <c r="I490" i="10"/>
  <c r="H490" i="10"/>
  <c r="U489" i="10"/>
  <c r="Q489" i="10"/>
  <c r="S489" i="10" s="1"/>
  <c r="P489" i="10"/>
  <c r="R489" i="10" s="1"/>
  <c r="K489" i="10"/>
  <c r="J489" i="10"/>
  <c r="L489" i="10" s="1"/>
  <c r="I489" i="10"/>
  <c r="H489" i="10"/>
  <c r="U488" i="10"/>
  <c r="Q488" i="10"/>
  <c r="S488" i="10" s="1"/>
  <c r="P488" i="10"/>
  <c r="R488" i="10" s="1"/>
  <c r="J488" i="10"/>
  <c r="L488" i="10" s="1"/>
  <c r="I488" i="10"/>
  <c r="K488" i="10" s="1"/>
  <c r="M488" i="10" s="1"/>
  <c r="H488" i="10"/>
  <c r="U487" i="10"/>
  <c r="Q487" i="10"/>
  <c r="S487" i="10" s="1"/>
  <c r="P487" i="10"/>
  <c r="R487" i="10" s="1"/>
  <c r="L487" i="10"/>
  <c r="J487" i="10"/>
  <c r="I487" i="10"/>
  <c r="K487" i="10" s="1"/>
  <c r="M487" i="10" s="1"/>
  <c r="H487" i="10"/>
  <c r="U486" i="10"/>
  <c r="Q486" i="10"/>
  <c r="S486" i="10" s="1"/>
  <c r="P486" i="10"/>
  <c r="R486" i="10" s="1"/>
  <c r="L486" i="10"/>
  <c r="K486" i="10"/>
  <c r="J486" i="10"/>
  <c r="I486" i="10"/>
  <c r="H486" i="10"/>
  <c r="U485" i="10"/>
  <c r="Q485" i="10"/>
  <c r="S485" i="10" s="1"/>
  <c r="P485" i="10"/>
  <c r="R485" i="10" s="1"/>
  <c r="K485" i="10"/>
  <c r="J485" i="10"/>
  <c r="L485" i="10" s="1"/>
  <c r="I485" i="10"/>
  <c r="H485" i="10"/>
  <c r="U484" i="10"/>
  <c r="Q484" i="10"/>
  <c r="S484" i="10" s="1"/>
  <c r="P484" i="10"/>
  <c r="R484" i="10" s="1"/>
  <c r="L484" i="10"/>
  <c r="J484" i="10"/>
  <c r="I484" i="10"/>
  <c r="K484" i="10" s="1"/>
  <c r="M484" i="10" s="1"/>
  <c r="H484" i="10"/>
  <c r="U483" i="10"/>
  <c r="Q483" i="10"/>
  <c r="S483" i="10" s="1"/>
  <c r="P483" i="10"/>
  <c r="R483" i="10" s="1"/>
  <c r="L483" i="10"/>
  <c r="K483" i="10"/>
  <c r="M483" i="10" s="1"/>
  <c r="J483" i="10"/>
  <c r="I483" i="10"/>
  <c r="H483" i="10"/>
  <c r="U482" i="10"/>
  <c r="S482" i="10"/>
  <c r="Q482" i="10"/>
  <c r="P482" i="10"/>
  <c r="R482" i="10" s="1"/>
  <c r="K482" i="10"/>
  <c r="J482" i="10"/>
  <c r="L482" i="10" s="1"/>
  <c r="I482" i="10"/>
  <c r="H482" i="10"/>
  <c r="U481" i="10"/>
  <c r="Q481" i="10"/>
  <c r="S481" i="10" s="1"/>
  <c r="P481" i="10"/>
  <c r="R481" i="10" s="1"/>
  <c r="J481" i="10"/>
  <c r="L481" i="10" s="1"/>
  <c r="I481" i="10"/>
  <c r="K481" i="10" s="1"/>
  <c r="M481" i="10" s="1"/>
  <c r="H481" i="10"/>
  <c r="U480" i="10"/>
  <c r="Q480" i="10"/>
  <c r="S480" i="10" s="1"/>
  <c r="P480" i="10"/>
  <c r="R480" i="10" s="1"/>
  <c r="J480" i="10"/>
  <c r="L480" i="10" s="1"/>
  <c r="I480" i="10"/>
  <c r="K480" i="10" s="1"/>
  <c r="H480" i="10"/>
  <c r="U479" i="10"/>
  <c r="Q479" i="10"/>
  <c r="S479" i="10" s="1"/>
  <c r="P479" i="10"/>
  <c r="R479" i="10" s="1"/>
  <c r="L479" i="10"/>
  <c r="J479" i="10"/>
  <c r="I479" i="10"/>
  <c r="K479" i="10" s="1"/>
  <c r="M479" i="10" s="1"/>
  <c r="H479" i="10"/>
  <c r="U478" i="10"/>
  <c r="Q478" i="10"/>
  <c r="S478" i="10" s="1"/>
  <c r="P478" i="10"/>
  <c r="R478" i="10" s="1"/>
  <c r="L478" i="10"/>
  <c r="K478" i="10"/>
  <c r="J478" i="10"/>
  <c r="I478" i="10"/>
  <c r="H478" i="10"/>
  <c r="U477" i="10"/>
  <c r="Q477" i="10"/>
  <c r="S477" i="10" s="1"/>
  <c r="P477" i="10"/>
  <c r="R477" i="10" s="1"/>
  <c r="K477" i="10"/>
  <c r="J477" i="10"/>
  <c r="L477" i="10" s="1"/>
  <c r="I477" i="10"/>
  <c r="H477" i="10"/>
  <c r="U476" i="10"/>
  <c r="Q476" i="10"/>
  <c r="S476" i="10" s="1"/>
  <c r="P476" i="10"/>
  <c r="R476" i="10" s="1"/>
  <c r="J476" i="10"/>
  <c r="L476" i="10" s="1"/>
  <c r="I476" i="10"/>
  <c r="K476" i="10" s="1"/>
  <c r="M476" i="10" s="1"/>
  <c r="H476" i="10"/>
  <c r="U475" i="10"/>
  <c r="Q475" i="10"/>
  <c r="S475" i="10" s="1"/>
  <c r="P475" i="10"/>
  <c r="R475" i="10" s="1"/>
  <c r="L475" i="10"/>
  <c r="J475" i="10"/>
  <c r="I475" i="10"/>
  <c r="K475" i="10" s="1"/>
  <c r="M475" i="10" s="1"/>
  <c r="H475" i="10"/>
  <c r="U474" i="10"/>
  <c r="Q474" i="10"/>
  <c r="S474" i="10" s="1"/>
  <c r="P474" i="10"/>
  <c r="R474" i="10" s="1"/>
  <c r="L474" i="10"/>
  <c r="K474" i="10"/>
  <c r="J474" i="10"/>
  <c r="I474" i="10"/>
  <c r="H474" i="10"/>
  <c r="U473" i="10"/>
  <c r="Q473" i="10"/>
  <c r="S473" i="10" s="1"/>
  <c r="P473" i="10"/>
  <c r="R473" i="10" s="1"/>
  <c r="K473" i="10"/>
  <c r="J473" i="10"/>
  <c r="L473" i="10" s="1"/>
  <c r="I473" i="10"/>
  <c r="H473" i="10"/>
  <c r="U472" i="10"/>
  <c r="Q472" i="10"/>
  <c r="S472" i="10" s="1"/>
  <c r="P472" i="10"/>
  <c r="R472" i="10" s="1"/>
  <c r="L472" i="10"/>
  <c r="J472" i="10"/>
  <c r="I472" i="10"/>
  <c r="K472" i="10" s="1"/>
  <c r="M472" i="10" s="1"/>
  <c r="H472" i="10"/>
  <c r="U471" i="10"/>
  <c r="Q471" i="10"/>
  <c r="S471" i="10" s="1"/>
  <c r="P471" i="10"/>
  <c r="R471" i="10" s="1"/>
  <c r="L471" i="10"/>
  <c r="K471" i="10"/>
  <c r="M471" i="10" s="1"/>
  <c r="J471" i="10"/>
  <c r="I471" i="10"/>
  <c r="H471" i="10"/>
  <c r="U470" i="10"/>
  <c r="Q470" i="10"/>
  <c r="S470" i="10" s="1"/>
  <c r="P470" i="10"/>
  <c r="R470" i="10" s="1"/>
  <c r="K470" i="10"/>
  <c r="J470" i="10"/>
  <c r="L470" i="10" s="1"/>
  <c r="I470" i="10"/>
  <c r="H470" i="10"/>
  <c r="U469" i="10"/>
  <c r="R469" i="10"/>
  <c r="Q469" i="10"/>
  <c r="S469" i="10" s="1"/>
  <c r="P469" i="10"/>
  <c r="J469" i="10"/>
  <c r="L469" i="10" s="1"/>
  <c r="I469" i="10"/>
  <c r="K469" i="10" s="1"/>
  <c r="H469" i="10"/>
  <c r="U468" i="10"/>
  <c r="Q468" i="10"/>
  <c r="S468" i="10" s="1"/>
  <c r="P468" i="10"/>
  <c r="R468" i="10" s="1"/>
  <c r="J468" i="10"/>
  <c r="L468" i="10" s="1"/>
  <c r="I468" i="10"/>
  <c r="K468" i="10" s="1"/>
  <c r="M468" i="10" s="1"/>
  <c r="H468" i="10"/>
  <c r="U467" i="10"/>
  <c r="Q467" i="10"/>
  <c r="S467" i="10" s="1"/>
  <c r="P467" i="10"/>
  <c r="R467" i="10" s="1"/>
  <c r="L467" i="10"/>
  <c r="J467" i="10"/>
  <c r="I467" i="10"/>
  <c r="K467" i="10" s="1"/>
  <c r="M467" i="10" s="1"/>
  <c r="H467" i="10"/>
  <c r="U466" i="10"/>
  <c r="Q466" i="10"/>
  <c r="S466" i="10" s="1"/>
  <c r="P466" i="10"/>
  <c r="R466" i="10" s="1"/>
  <c r="L466" i="10"/>
  <c r="K466" i="10"/>
  <c r="M466" i="10" s="1"/>
  <c r="J466" i="10"/>
  <c r="I466" i="10"/>
  <c r="H466" i="10"/>
  <c r="U465" i="10"/>
  <c r="Q465" i="10"/>
  <c r="S465" i="10" s="1"/>
  <c r="P465" i="10"/>
  <c r="R465" i="10" s="1"/>
  <c r="K465" i="10"/>
  <c r="J465" i="10"/>
  <c r="L465" i="10" s="1"/>
  <c r="I465" i="10"/>
  <c r="H465" i="10"/>
  <c r="U464" i="10"/>
  <c r="Q464" i="10"/>
  <c r="S464" i="10" s="1"/>
  <c r="P464" i="10"/>
  <c r="R464" i="10" s="1"/>
  <c r="J464" i="10"/>
  <c r="L464" i="10" s="1"/>
  <c r="I464" i="10"/>
  <c r="K464" i="10" s="1"/>
  <c r="M464" i="10" s="1"/>
  <c r="H464" i="10"/>
  <c r="U463" i="10"/>
  <c r="Q463" i="10"/>
  <c r="S463" i="10" s="1"/>
  <c r="P463" i="10"/>
  <c r="R463" i="10" s="1"/>
  <c r="L463" i="10"/>
  <c r="J463" i="10"/>
  <c r="I463" i="10"/>
  <c r="K463" i="10" s="1"/>
  <c r="M463" i="10" s="1"/>
  <c r="H463" i="10"/>
  <c r="U462" i="10"/>
  <c r="Q462" i="10"/>
  <c r="S462" i="10" s="1"/>
  <c r="P462" i="10"/>
  <c r="R462" i="10" s="1"/>
  <c r="K462" i="10"/>
  <c r="J462" i="10"/>
  <c r="L462" i="10" s="1"/>
  <c r="I462" i="10"/>
  <c r="H462" i="10"/>
  <c r="U461" i="10"/>
  <c r="Q461" i="10"/>
  <c r="S461" i="10" s="1"/>
  <c r="P461" i="10"/>
  <c r="R461" i="10" s="1"/>
  <c r="J461" i="10"/>
  <c r="L461" i="10" s="1"/>
  <c r="I461" i="10"/>
  <c r="K461" i="10" s="1"/>
  <c r="M461" i="10" s="1"/>
  <c r="H461" i="10"/>
  <c r="U460" i="10"/>
  <c r="Q460" i="10"/>
  <c r="S460" i="10" s="1"/>
  <c r="P460" i="10"/>
  <c r="R460" i="10" s="1"/>
  <c r="L460" i="10"/>
  <c r="J460" i="10"/>
  <c r="I460" i="10"/>
  <c r="K460" i="10" s="1"/>
  <c r="M460" i="10" s="1"/>
  <c r="H460" i="10"/>
  <c r="U459" i="10"/>
  <c r="S459" i="10"/>
  <c r="Q459" i="10"/>
  <c r="P459" i="10"/>
  <c r="R459" i="10" s="1"/>
  <c r="L459" i="10"/>
  <c r="K459" i="10"/>
  <c r="M459" i="10" s="1"/>
  <c r="J459" i="10"/>
  <c r="I459" i="10"/>
  <c r="H459" i="10"/>
  <c r="U458" i="10"/>
  <c r="Q458" i="10"/>
  <c r="S458" i="10" s="1"/>
  <c r="P458" i="10"/>
  <c r="R458" i="10" s="1"/>
  <c r="K458" i="10"/>
  <c r="J458" i="10"/>
  <c r="L458" i="10" s="1"/>
  <c r="I458" i="10"/>
  <c r="H458" i="10"/>
  <c r="U457" i="10"/>
  <c r="Q457" i="10"/>
  <c r="S457" i="10" s="1"/>
  <c r="T457" i="10" s="1"/>
  <c r="P457" i="10"/>
  <c r="R457" i="10" s="1"/>
  <c r="J457" i="10"/>
  <c r="L457" i="10" s="1"/>
  <c r="I457" i="10"/>
  <c r="K457" i="10" s="1"/>
  <c r="H457" i="10"/>
  <c r="U456" i="10"/>
  <c r="Q456" i="10"/>
  <c r="S456" i="10" s="1"/>
  <c r="P456" i="10"/>
  <c r="R456" i="10" s="1"/>
  <c r="J456" i="10"/>
  <c r="L456" i="10" s="1"/>
  <c r="I456" i="10"/>
  <c r="K456" i="10" s="1"/>
  <c r="M456" i="10" s="1"/>
  <c r="H456" i="10"/>
  <c r="U455" i="10"/>
  <c r="S455" i="10"/>
  <c r="Q455" i="10"/>
  <c r="P455" i="10"/>
  <c r="R455" i="10" s="1"/>
  <c r="L455" i="10"/>
  <c r="J455" i="10"/>
  <c r="I455" i="10"/>
  <c r="K455" i="10" s="1"/>
  <c r="M455" i="10" s="1"/>
  <c r="H455" i="10"/>
  <c r="U454" i="10"/>
  <c r="Q454" i="10"/>
  <c r="S454" i="10" s="1"/>
  <c r="P454" i="10"/>
  <c r="R454" i="10" s="1"/>
  <c r="T454" i="10" s="1"/>
  <c r="L454" i="10"/>
  <c r="K454" i="10"/>
  <c r="M454" i="10" s="1"/>
  <c r="J454" i="10"/>
  <c r="I454" i="10"/>
  <c r="H454" i="10"/>
  <c r="U453" i="10"/>
  <c r="Q453" i="10"/>
  <c r="S453" i="10" s="1"/>
  <c r="P453" i="10"/>
  <c r="R453" i="10" s="1"/>
  <c r="T453" i="10" s="1"/>
  <c r="J453" i="10"/>
  <c r="L453" i="10" s="1"/>
  <c r="I453" i="10"/>
  <c r="K453" i="10" s="1"/>
  <c r="M453" i="10" s="1"/>
  <c r="H453" i="10"/>
  <c r="U452" i="10"/>
  <c r="Q452" i="10"/>
  <c r="S452" i="10" s="1"/>
  <c r="P452" i="10"/>
  <c r="R452" i="10" s="1"/>
  <c r="L452" i="10"/>
  <c r="J452" i="10"/>
  <c r="I452" i="10"/>
  <c r="K452" i="10" s="1"/>
  <c r="M452" i="10" s="1"/>
  <c r="H452" i="10"/>
  <c r="U451" i="10"/>
  <c r="S451" i="10"/>
  <c r="Q451" i="10"/>
  <c r="P451" i="10"/>
  <c r="R451" i="10" s="1"/>
  <c r="L451" i="10"/>
  <c r="K451" i="10"/>
  <c r="M451" i="10" s="1"/>
  <c r="J451" i="10"/>
  <c r="I451" i="10"/>
  <c r="H451" i="10"/>
  <c r="U450" i="10"/>
  <c r="Q450" i="10"/>
  <c r="S450" i="10" s="1"/>
  <c r="P450" i="10"/>
  <c r="R450" i="10" s="1"/>
  <c r="K450" i="10"/>
  <c r="J450" i="10"/>
  <c r="L450" i="10" s="1"/>
  <c r="I450" i="10"/>
  <c r="H450" i="10"/>
  <c r="U449" i="10"/>
  <c r="Q449" i="10"/>
  <c r="S449" i="10" s="1"/>
  <c r="P449" i="10"/>
  <c r="R449" i="10" s="1"/>
  <c r="T449" i="10" s="1"/>
  <c r="J449" i="10"/>
  <c r="L449" i="10" s="1"/>
  <c r="I449" i="10"/>
  <c r="K449" i="10" s="1"/>
  <c r="H449" i="10"/>
  <c r="U448" i="10"/>
  <c r="Q448" i="10"/>
  <c r="S448" i="10" s="1"/>
  <c r="P448" i="10"/>
  <c r="R448" i="10" s="1"/>
  <c r="L448" i="10"/>
  <c r="J448" i="10"/>
  <c r="I448" i="10"/>
  <c r="K448" i="10" s="1"/>
  <c r="M448" i="10" s="1"/>
  <c r="H448" i="10"/>
  <c r="U447" i="10"/>
  <c r="R447" i="10"/>
  <c r="Q447" i="10"/>
  <c r="S447" i="10" s="1"/>
  <c r="P447" i="10"/>
  <c r="L447" i="10"/>
  <c r="K447" i="10"/>
  <c r="M447" i="10" s="1"/>
  <c r="J447" i="10"/>
  <c r="I447" i="10"/>
  <c r="H447" i="10"/>
  <c r="U446" i="10"/>
  <c r="Q446" i="10"/>
  <c r="S446" i="10" s="1"/>
  <c r="P446" i="10"/>
  <c r="R446" i="10" s="1"/>
  <c r="K446" i="10"/>
  <c r="J446" i="10"/>
  <c r="L446" i="10" s="1"/>
  <c r="I446" i="10"/>
  <c r="H446" i="10"/>
  <c r="U445" i="10"/>
  <c r="Q445" i="10"/>
  <c r="S445" i="10" s="1"/>
  <c r="P445" i="10"/>
  <c r="R445" i="10" s="1"/>
  <c r="J445" i="10"/>
  <c r="L445" i="10" s="1"/>
  <c r="I445" i="10"/>
  <c r="K445" i="10" s="1"/>
  <c r="H445" i="10"/>
  <c r="U444" i="10"/>
  <c r="Q444" i="10"/>
  <c r="S444" i="10" s="1"/>
  <c r="P444" i="10"/>
  <c r="R444" i="10" s="1"/>
  <c r="L444" i="10"/>
  <c r="J444" i="10"/>
  <c r="I444" i="10"/>
  <c r="K444" i="10" s="1"/>
  <c r="M444" i="10" s="1"/>
  <c r="H444" i="10"/>
  <c r="U443" i="10"/>
  <c r="S443" i="10"/>
  <c r="Q443" i="10"/>
  <c r="P443" i="10"/>
  <c r="R443" i="10" s="1"/>
  <c r="L443" i="10"/>
  <c r="K443" i="10"/>
  <c r="J443" i="10"/>
  <c r="I443" i="10"/>
  <c r="H443" i="10"/>
  <c r="U442" i="10"/>
  <c r="Q442" i="10"/>
  <c r="S442" i="10" s="1"/>
  <c r="P442" i="10"/>
  <c r="R442" i="10" s="1"/>
  <c r="T442" i="10" s="1"/>
  <c r="J442" i="10"/>
  <c r="L442" i="10" s="1"/>
  <c r="I442" i="10"/>
  <c r="K442" i="10" s="1"/>
  <c r="M442" i="10" s="1"/>
  <c r="H442" i="10"/>
  <c r="U441" i="10"/>
  <c r="Q441" i="10"/>
  <c r="S441" i="10" s="1"/>
  <c r="P441" i="10"/>
  <c r="R441" i="10" s="1"/>
  <c r="J441" i="10"/>
  <c r="L441" i="10" s="1"/>
  <c r="I441" i="10"/>
  <c r="K441" i="10" s="1"/>
  <c r="H441" i="10"/>
  <c r="U440" i="10"/>
  <c r="Q440" i="10"/>
  <c r="S440" i="10" s="1"/>
  <c r="P440" i="10"/>
  <c r="R440" i="10" s="1"/>
  <c r="L440" i="10"/>
  <c r="J440" i="10"/>
  <c r="I440" i="10"/>
  <c r="K440" i="10" s="1"/>
  <c r="M440" i="10" s="1"/>
  <c r="H440" i="10"/>
  <c r="U439" i="10"/>
  <c r="Q439" i="10"/>
  <c r="S439" i="10" s="1"/>
  <c r="P439" i="10"/>
  <c r="R439" i="10" s="1"/>
  <c r="L439" i="10"/>
  <c r="J439" i="10"/>
  <c r="I439" i="10"/>
  <c r="K439" i="10" s="1"/>
  <c r="M439" i="10" s="1"/>
  <c r="H439" i="10"/>
  <c r="U438" i="10"/>
  <c r="Q438" i="10"/>
  <c r="S438" i="10" s="1"/>
  <c r="P438" i="10"/>
  <c r="R438" i="10" s="1"/>
  <c r="K438" i="10"/>
  <c r="M438" i="10" s="1"/>
  <c r="J438" i="10"/>
  <c r="L438" i="10" s="1"/>
  <c r="I438" i="10"/>
  <c r="H438" i="10"/>
  <c r="U437" i="10"/>
  <c r="Q437" i="10"/>
  <c r="S437" i="10" s="1"/>
  <c r="P437" i="10"/>
  <c r="R437" i="10" s="1"/>
  <c r="J437" i="10"/>
  <c r="L437" i="10" s="1"/>
  <c r="I437" i="10"/>
  <c r="K437" i="10" s="1"/>
  <c r="M437" i="10" s="1"/>
  <c r="H437" i="10"/>
  <c r="U436" i="10"/>
  <c r="Q436" i="10"/>
  <c r="S436" i="10" s="1"/>
  <c r="P436" i="10"/>
  <c r="R436" i="10" s="1"/>
  <c r="L436" i="10"/>
  <c r="J436" i="10"/>
  <c r="I436" i="10"/>
  <c r="K436" i="10" s="1"/>
  <c r="M436" i="10" s="1"/>
  <c r="H436" i="10"/>
  <c r="U435" i="10"/>
  <c r="Q435" i="10"/>
  <c r="S435" i="10" s="1"/>
  <c r="P435" i="10"/>
  <c r="R435" i="10" s="1"/>
  <c r="L435" i="10"/>
  <c r="K435" i="10"/>
  <c r="M435" i="10" s="1"/>
  <c r="J435" i="10"/>
  <c r="I435" i="10"/>
  <c r="H435" i="10"/>
  <c r="U434" i="10"/>
  <c r="Q434" i="10"/>
  <c r="S434" i="10" s="1"/>
  <c r="P434" i="10"/>
  <c r="R434" i="10" s="1"/>
  <c r="K434" i="10"/>
  <c r="M434" i="10" s="1"/>
  <c r="J434" i="10"/>
  <c r="L434" i="10" s="1"/>
  <c r="I434" i="10"/>
  <c r="H434" i="10"/>
  <c r="U433" i="10"/>
  <c r="Q433" i="10"/>
  <c r="S433" i="10" s="1"/>
  <c r="P433" i="10"/>
  <c r="R433" i="10" s="1"/>
  <c r="L433" i="10"/>
  <c r="J433" i="10"/>
  <c r="I433" i="10"/>
  <c r="K433" i="10" s="1"/>
  <c r="H433" i="10"/>
  <c r="U432" i="10"/>
  <c r="Q432" i="10"/>
  <c r="S432" i="10" s="1"/>
  <c r="P432" i="10"/>
  <c r="R432" i="10" s="1"/>
  <c r="T432" i="10" s="1"/>
  <c r="L432" i="10"/>
  <c r="K432" i="10"/>
  <c r="M432" i="10" s="1"/>
  <c r="J432" i="10"/>
  <c r="I432" i="10"/>
  <c r="H432" i="10"/>
  <c r="U431" i="10"/>
  <c r="Q431" i="10"/>
  <c r="S431" i="10" s="1"/>
  <c r="P431" i="10"/>
  <c r="R431" i="10" s="1"/>
  <c r="K431" i="10"/>
  <c r="J431" i="10"/>
  <c r="L431" i="10" s="1"/>
  <c r="I431" i="10"/>
  <c r="H431" i="10"/>
  <c r="U430" i="10"/>
  <c r="Q430" i="10"/>
  <c r="S430" i="10" s="1"/>
  <c r="P430" i="10"/>
  <c r="R430" i="10" s="1"/>
  <c r="K430" i="10"/>
  <c r="M430" i="10" s="1"/>
  <c r="J430" i="10"/>
  <c r="L430" i="10" s="1"/>
  <c r="I430" i="10"/>
  <c r="H430" i="10"/>
  <c r="U429" i="10"/>
  <c r="Q429" i="10"/>
  <c r="S429" i="10" s="1"/>
  <c r="P429" i="10"/>
  <c r="R429" i="10" s="1"/>
  <c r="J429" i="10"/>
  <c r="L429" i="10" s="1"/>
  <c r="I429" i="10"/>
  <c r="K429" i="10" s="1"/>
  <c r="M429" i="10" s="1"/>
  <c r="H429" i="10"/>
  <c r="U428" i="10"/>
  <c r="Q428" i="10"/>
  <c r="S428" i="10" s="1"/>
  <c r="P428" i="10"/>
  <c r="R428" i="10" s="1"/>
  <c r="J428" i="10"/>
  <c r="L428" i="10" s="1"/>
  <c r="I428" i="10"/>
  <c r="K428" i="10" s="1"/>
  <c r="M428" i="10" s="1"/>
  <c r="H428" i="10"/>
  <c r="U427" i="10"/>
  <c r="Q427" i="10"/>
  <c r="S427" i="10" s="1"/>
  <c r="P427" i="10"/>
  <c r="R427" i="10" s="1"/>
  <c r="L427" i="10"/>
  <c r="J427" i="10"/>
  <c r="I427" i="10"/>
  <c r="K427" i="10" s="1"/>
  <c r="H427" i="10"/>
  <c r="U426" i="10"/>
  <c r="Q426" i="10"/>
  <c r="S426" i="10" s="1"/>
  <c r="P426" i="10"/>
  <c r="R426" i="10" s="1"/>
  <c r="L426" i="10"/>
  <c r="K426" i="10"/>
  <c r="M426" i="10" s="1"/>
  <c r="J426" i="10"/>
  <c r="I426" i="10"/>
  <c r="H426" i="10"/>
  <c r="U425" i="10"/>
  <c r="Q425" i="10"/>
  <c r="S425" i="10" s="1"/>
  <c r="T425" i="10" s="1"/>
  <c r="P425" i="10"/>
  <c r="R425" i="10" s="1"/>
  <c r="K425" i="10"/>
  <c r="M425" i="10" s="1"/>
  <c r="J425" i="10"/>
  <c r="L425" i="10" s="1"/>
  <c r="I425" i="10"/>
  <c r="H425" i="10"/>
  <c r="U424" i="10"/>
  <c r="Q424" i="10"/>
  <c r="S424" i="10" s="1"/>
  <c r="P424" i="10"/>
  <c r="R424" i="10" s="1"/>
  <c r="L424" i="10"/>
  <c r="J424" i="10"/>
  <c r="I424" i="10"/>
  <c r="K424" i="10" s="1"/>
  <c r="M424" i="10" s="1"/>
  <c r="H424" i="10"/>
  <c r="U423" i="10"/>
  <c r="Q423" i="10"/>
  <c r="S423" i="10" s="1"/>
  <c r="P423" i="10"/>
  <c r="R423" i="10" s="1"/>
  <c r="L423" i="10"/>
  <c r="K423" i="10"/>
  <c r="M423" i="10" s="1"/>
  <c r="J423" i="10"/>
  <c r="I423" i="10"/>
  <c r="H423" i="10"/>
  <c r="U422" i="10"/>
  <c r="Q422" i="10"/>
  <c r="S422" i="10" s="1"/>
  <c r="P422" i="10"/>
  <c r="R422" i="10" s="1"/>
  <c r="T422" i="10" s="1"/>
  <c r="K422" i="10"/>
  <c r="J422" i="10"/>
  <c r="L422" i="10" s="1"/>
  <c r="I422" i="10"/>
  <c r="H422" i="10"/>
  <c r="U421" i="10"/>
  <c r="Q421" i="10"/>
  <c r="S421" i="10" s="1"/>
  <c r="P421" i="10"/>
  <c r="R421" i="10" s="1"/>
  <c r="J421" i="10"/>
  <c r="L421" i="10" s="1"/>
  <c r="I421" i="10"/>
  <c r="K421" i="10" s="1"/>
  <c r="H421" i="10"/>
  <c r="U420" i="10"/>
  <c r="Q420" i="10"/>
  <c r="S420" i="10" s="1"/>
  <c r="P420" i="10"/>
  <c r="R420" i="10" s="1"/>
  <c r="L420" i="10"/>
  <c r="K420" i="10"/>
  <c r="J420" i="10"/>
  <c r="I420" i="10"/>
  <c r="H420" i="10"/>
  <c r="U419" i="10"/>
  <c r="Q419" i="10"/>
  <c r="S419" i="10" s="1"/>
  <c r="P419" i="10"/>
  <c r="R419" i="10" s="1"/>
  <c r="K419" i="10"/>
  <c r="J419" i="10"/>
  <c r="L419" i="10" s="1"/>
  <c r="I419" i="10"/>
  <c r="H419" i="10"/>
  <c r="U418" i="10"/>
  <c r="S418" i="10"/>
  <c r="Q418" i="10"/>
  <c r="P418" i="10"/>
  <c r="R418" i="10" s="1"/>
  <c r="J418" i="10"/>
  <c r="L418" i="10" s="1"/>
  <c r="I418" i="10"/>
  <c r="K418" i="10" s="1"/>
  <c r="H418" i="10"/>
  <c r="U417" i="10"/>
  <c r="Q417" i="10"/>
  <c r="S417" i="10" s="1"/>
  <c r="P417" i="10"/>
  <c r="R417" i="10" s="1"/>
  <c r="T417" i="10" s="1"/>
  <c r="K417" i="10"/>
  <c r="M417" i="10" s="1"/>
  <c r="J417" i="10"/>
  <c r="L417" i="10" s="1"/>
  <c r="I417" i="10"/>
  <c r="H417" i="10"/>
  <c r="U416" i="10"/>
  <c r="Q416" i="10"/>
  <c r="S416" i="10" s="1"/>
  <c r="P416" i="10"/>
  <c r="R416" i="10" s="1"/>
  <c r="J416" i="10"/>
  <c r="L416" i="10" s="1"/>
  <c r="I416" i="10"/>
  <c r="K416" i="10" s="1"/>
  <c r="M416" i="10" s="1"/>
  <c r="H416" i="10"/>
  <c r="U415" i="10"/>
  <c r="Q415" i="10"/>
  <c r="S415" i="10" s="1"/>
  <c r="P415" i="10"/>
  <c r="R415" i="10" s="1"/>
  <c r="T415" i="10" s="1"/>
  <c r="L415" i="10"/>
  <c r="J415" i="10"/>
  <c r="I415" i="10"/>
  <c r="K415" i="10" s="1"/>
  <c r="M415" i="10" s="1"/>
  <c r="H415" i="10"/>
  <c r="U414" i="10"/>
  <c r="Q414" i="10"/>
  <c r="S414" i="10" s="1"/>
  <c r="P414" i="10"/>
  <c r="R414" i="10" s="1"/>
  <c r="L414" i="10"/>
  <c r="K414" i="10"/>
  <c r="M414" i="10" s="1"/>
  <c r="J414" i="10"/>
  <c r="I414" i="10"/>
  <c r="H414" i="10"/>
  <c r="U413" i="10"/>
  <c r="R413" i="10"/>
  <c r="Q413" i="10"/>
  <c r="S413" i="10" s="1"/>
  <c r="P413" i="10"/>
  <c r="K413" i="10"/>
  <c r="J413" i="10"/>
  <c r="L413" i="10" s="1"/>
  <c r="I413" i="10"/>
  <c r="H413" i="10"/>
  <c r="U412" i="10"/>
  <c r="Q412" i="10"/>
  <c r="S412" i="10" s="1"/>
  <c r="P412" i="10"/>
  <c r="R412" i="10" s="1"/>
  <c r="J412" i="10"/>
  <c r="L412" i="10" s="1"/>
  <c r="I412" i="10"/>
  <c r="K412" i="10" s="1"/>
  <c r="H412" i="10"/>
  <c r="U411" i="10"/>
  <c r="Q411" i="10"/>
  <c r="S411" i="10" s="1"/>
  <c r="P411" i="10"/>
  <c r="R411" i="10" s="1"/>
  <c r="L411" i="10"/>
  <c r="K411" i="10"/>
  <c r="J411" i="10"/>
  <c r="I411" i="10"/>
  <c r="H411" i="10"/>
  <c r="U410" i="10"/>
  <c r="Q410" i="10"/>
  <c r="S410" i="10" s="1"/>
  <c r="P410" i="10"/>
  <c r="R410" i="10" s="1"/>
  <c r="K410" i="10"/>
  <c r="J410" i="10"/>
  <c r="L410" i="10" s="1"/>
  <c r="I410" i="10"/>
  <c r="H410" i="10"/>
  <c r="U409" i="10"/>
  <c r="Q409" i="10"/>
  <c r="S409" i="10" s="1"/>
  <c r="P409" i="10"/>
  <c r="R409" i="10" s="1"/>
  <c r="L409" i="10"/>
  <c r="K409" i="10"/>
  <c r="M409" i="10" s="1"/>
  <c r="J409" i="10"/>
  <c r="I409" i="10"/>
  <c r="H409" i="10"/>
  <c r="U408" i="10"/>
  <c r="Q408" i="10"/>
  <c r="S408" i="10" s="1"/>
  <c r="P408" i="10"/>
  <c r="R408" i="10" s="1"/>
  <c r="L408" i="10"/>
  <c r="K408" i="10"/>
  <c r="M408" i="10" s="1"/>
  <c r="J408" i="10"/>
  <c r="I408" i="10"/>
  <c r="H408" i="10"/>
  <c r="U407" i="10"/>
  <c r="Q407" i="10"/>
  <c r="S407" i="10" s="1"/>
  <c r="P407" i="10"/>
  <c r="R407" i="10" s="1"/>
  <c r="K407" i="10"/>
  <c r="J407" i="10"/>
  <c r="L407" i="10" s="1"/>
  <c r="I407" i="10"/>
  <c r="H407" i="10"/>
  <c r="U406" i="10"/>
  <c r="R406" i="10"/>
  <c r="Q406" i="10"/>
  <c r="S406" i="10" s="1"/>
  <c r="P406" i="10"/>
  <c r="J406" i="10"/>
  <c r="L406" i="10" s="1"/>
  <c r="I406" i="10"/>
  <c r="K406" i="10" s="1"/>
  <c r="M406" i="10" s="1"/>
  <c r="H406" i="10"/>
  <c r="U405" i="10"/>
  <c r="Q405" i="10"/>
  <c r="S405" i="10" s="1"/>
  <c r="P405" i="10"/>
  <c r="R405" i="10" s="1"/>
  <c r="K405" i="10"/>
  <c r="M405" i="10" s="1"/>
  <c r="J405" i="10"/>
  <c r="L405" i="10" s="1"/>
  <c r="I405" i="10"/>
  <c r="H405" i="10"/>
  <c r="U404" i="10"/>
  <c r="Q404" i="10"/>
  <c r="S404" i="10" s="1"/>
  <c r="P404" i="10"/>
  <c r="R404" i="10" s="1"/>
  <c r="J404" i="10"/>
  <c r="L404" i="10" s="1"/>
  <c r="I404" i="10"/>
  <c r="K404" i="10" s="1"/>
  <c r="M404" i="10" s="1"/>
  <c r="H404" i="10"/>
  <c r="U403" i="10"/>
  <c r="Q403" i="10"/>
  <c r="S403" i="10" s="1"/>
  <c r="P403" i="10"/>
  <c r="R403" i="10" s="1"/>
  <c r="L403" i="10"/>
  <c r="K403" i="10"/>
  <c r="M403" i="10" s="1"/>
  <c r="J403" i="10"/>
  <c r="I403" i="10"/>
  <c r="H403" i="10"/>
  <c r="U402" i="10"/>
  <c r="R402" i="10"/>
  <c r="Q402" i="10"/>
  <c r="S402" i="10" s="1"/>
  <c r="P402" i="10"/>
  <c r="L402" i="10"/>
  <c r="K402" i="10"/>
  <c r="J402" i="10"/>
  <c r="I402" i="10"/>
  <c r="H402" i="10"/>
  <c r="U401" i="10"/>
  <c r="Q401" i="10"/>
  <c r="S401" i="10" s="1"/>
  <c r="P401" i="10"/>
  <c r="R401" i="10" s="1"/>
  <c r="T401" i="10" s="1"/>
  <c r="J401" i="10"/>
  <c r="L401" i="10" s="1"/>
  <c r="I401" i="10"/>
  <c r="K401" i="10" s="1"/>
  <c r="M401" i="10" s="1"/>
  <c r="H401" i="10"/>
  <c r="U400" i="10"/>
  <c r="S400" i="10"/>
  <c r="Q400" i="10"/>
  <c r="P400" i="10"/>
  <c r="R400" i="10" s="1"/>
  <c r="J400" i="10"/>
  <c r="L400" i="10" s="1"/>
  <c r="I400" i="10"/>
  <c r="K400" i="10" s="1"/>
  <c r="H400" i="10"/>
  <c r="U399" i="10"/>
  <c r="Q399" i="10"/>
  <c r="S399" i="10" s="1"/>
  <c r="P399" i="10"/>
  <c r="R399" i="10" s="1"/>
  <c r="L399" i="10"/>
  <c r="J399" i="10"/>
  <c r="I399" i="10"/>
  <c r="K399" i="10" s="1"/>
  <c r="M399" i="10" s="1"/>
  <c r="H399" i="10"/>
  <c r="U398" i="10"/>
  <c r="R398" i="10"/>
  <c r="Q398" i="10"/>
  <c r="S398" i="10" s="1"/>
  <c r="P398" i="10"/>
  <c r="L398" i="10"/>
  <c r="K398" i="10"/>
  <c r="J398" i="10"/>
  <c r="I398" i="10"/>
  <c r="H398" i="10"/>
  <c r="U397" i="10"/>
  <c r="Q397" i="10"/>
  <c r="S397" i="10" s="1"/>
  <c r="P397" i="10"/>
  <c r="R397" i="10" s="1"/>
  <c r="J397" i="10"/>
  <c r="L397" i="10" s="1"/>
  <c r="I397" i="10"/>
  <c r="K397" i="10" s="1"/>
  <c r="H397" i="10"/>
  <c r="U396" i="10"/>
  <c r="Q396" i="10"/>
  <c r="S396" i="10" s="1"/>
  <c r="P396" i="10"/>
  <c r="R396" i="10" s="1"/>
  <c r="L396" i="10"/>
  <c r="K396" i="10"/>
  <c r="M396" i="10" s="1"/>
  <c r="J396" i="10"/>
  <c r="I396" i="10"/>
  <c r="H396" i="10"/>
  <c r="U395" i="10"/>
  <c r="Q395" i="10"/>
  <c r="S395" i="10" s="1"/>
  <c r="P395" i="10"/>
  <c r="R395" i="10" s="1"/>
  <c r="K395" i="10"/>
  <c r="J395" i="10"/>
  <c r="L395" i="10" s="1"/>
  <c r="I395" i="10"/>
  <c r="H395" i="10"/>
  <c r="U394" i="10"/>
  <c r="Q394" i="10"/>
  <c r="S394" i="10" s="1"/>
  <c r="P394" i="10"/>
  <c r="R394" i="10" s="1"/>
  <c r="J394" i="10"/>
  <c r="L394" i="10" s="1"/>
  <c r="I394" i="10"/>
  <c r="K394" i="10" s="1"/>
  <c r="H394" i="10"/>
  <c r="U393" i="10"/>
  <c r="Q393" i="10"/>
  <c r="S393" i="10" s="1"/>
  <c r="P393" i="10"/>
  <c r="R393" i="10" s="1"/>
  <c r="J393" i="10"/>
  <c r="L393" i="10" s="1"/>
  <c r="I393" i="10"/>
  <c r="K393" i="10" s="1"/>
  <c r="M393" i="10" s="1"/>
  <c r="H393" i="10"/>
  <c r="U392" i="10"/>
  <c r="Q392" i="10"/>
  <c r="S392" i="10" s="1"/>
  <c r="P392" i="10"/>
  <c r="R392" i="10" s="1"/>
  <c r="L392" i="10"/>
  <c r="J392" i="10"/>
  <c r="I392" i="10"/>
  <c r="K392" i="10" s="1"/>
  <c r="H392" i="10"/>
  <c r="U391" i="10"/>
  <c r="Q391" i="10"/>
  <c r="S391" i="10" s="1"/>
  <c r="P391" i="10"/>
  <c r="R391" i="10" s="1"/>
  <c r="L391" i="10"/>
  <c r="J391" i="10"/>
  <c r="I391" i="10"/>
  <c r="K391" i="10" s="1"/>
  <c r="M391" i="10" s="1"/>
  <c r="H391" i="10"/>
  <c r="U390" i="10"/>
  <c r="R390" i="10"/>
  <c r="T390" i="10" s="1"/>
  <c r="Q390" i="10"/>
  <c r="S390" i="10" s="1"/>
  <c r="P390" i="10"/>
  <c r="L390" i="10"/>
  <c r="K390" i="10"/>
  <c r="J390" i="10"/>
  <c r="I390" i="10"/>
  <c r="H390" i="10"/>
  <c r="U389" i="10"/>
  <c r="Q389" i="10"/>
  <c r="S389" i="10" s="1"/>
  <c r="P389" i="10"/>
  <c r="R389" i="10" s="1"/>
  <c r="J389" i="10"/>
  <c r="L389" i="10" s="1"/>
  <c r="I389" i="10"/>
  <c r="K389" i="10" s="1"/>
  <c r="M389" i="10" s="1"/>
  <c r="H389" i="10"/>
  <c r="U388" i="10"/>
  <c r="Q388" i="10"/>
  <c r="S388" i="10" s="1"/>
  <c r="P388" i="10"/>
  <c r="R388" i="10" s="1"/>
  <c r="J388" i="10"/>
  <c r="L388" i="10" s="1"/>
  <c r="I388" i="10"/>
  <c r="K388" i="10" s="1"/>
  <c r="H388" i="10"/>
  <c r="U387" i="10"/>
  <c r="S387" i="10"/>
  <c r="Q387" i="10"/>
  <c r="P387" i="10"/>
  <c r="R387" i="10" s="1"/>
  <c r="L387" i="10"/>
  <c r="J387" i="10"/>
  <c r="I387" i="10"/>
  <c r="K387" i="10" s="1"/>
  <c r="M387" i="10" s="1"/>
  <c r="H387" i="10"/>
  <c r="U386" i="10"/>
  <c r="Q386" i="10"/>
  <c r="S386" i="10" s="1"/>
  <c r="P386" i="10"/>
  <c r="R386" i="10" s="1"/>
  <c r="K386" i="10"/>
  <c r="J386" i="10"/>
  <c r="L386" i="10" s="1"/>
  <c r="I386" i="10"/>
  <c r="H386" i="10"/>
  <c r="U385" i="10"/>
  <c r="Q385" i="10"/>
  <c r="S385" i="10" s="1"/>
  <c r="P385" i="10"/>
  <c r="R385" i="10" s="1"/>
  <c r="T385" i="10" s="1"/>
  <c r="L385" i="10"/>
  <c r="K385" i="10"/>
  <c r="J385" i="10"/>
  <c r="I385" i="10"/>
  <c r="H385" i="10"/>
  <c r="U384" i="10"/>
  <c r="Q384" i="10"/>
  <c r="S384" i="10" s="1"/>
  <c r="P384" i="10"/>
  <c r="R384" i="10" s="1"/>
  <c r="T384" i="10" s="1"/>
  <c r="J384" i="10"/>
  <c r="L384" i="10" s="1"/>
  <c r="I384" i="10"/>
  <c r="K384" i="10" s="1"/>
  <c r="M384" i="10" s="1"/>
  <c r="H384" i="10"/>
  <c r="U383" i="10"/>
  <c r="Q383" i="10"/>
  <c r="S383" i="10" s="1"/>
  <c r="P383" i="10"/>
  <c r="R383" i="10" s="1"/>
  <c r="L383" i="10"/>
  <c r="J383" i="10"/>
  <c r="I383" i="10"/>
  <c r="K383" i="10" s="1"/>
  <c r="M383" i="10" s="1"/>
  <c r="H383" i="10"/>
  <c r="U382" i="10"/>
  <c r="Q382" i="10"/>
  <c r="S382" i="10" s="1"/>
  <c r="P382" i="10"/>
  <c r="R382" i="10" s="1"/>
  <c r="J382" i="10"/>
  <c r="L382" i="10" s="1"/>
  <c r="I382" i="10"/>
  <c r="K382" i="10" s="1"/>
  <c r="H382" i="10"/>
  <c r="U381" i="10"/>
  <c r="R381" i="10"/>
  <c r="T381" i="10" s="1"/>
  <c r="Q381" i="10"/>
  <c r="S381" i="10" s="1"/>
  <c r="P381" i="10"/>
  <c r="J381" i="10"/>
  <c r="L381" i="10" s="1"/>
  <c r="I381" i="10"/>
  <c r="K381" i="10" s="1"/>
  <c r="M381" i="10" s="1"/>
  <c r="H381" i="10"/>
  <c r="U380" i="10"/>
  <c r="Q380" i="10"/>
  <c r="S380" i="10" s="1"/>
  <c r="P380" i="10"/>
  <c r="R380" i="10" s="1"/>
  <c r="J380" i="10"/>
  <c r="L380" i="10" s="1"/>
  <c r="I380" i="10"/>
  <c r="K380" i="10" s="1"/>
  <c r="H380" i="10"/>
  <c r="U379" i="10"/>
  <c r="Q379" i="10"/>
  <c r="S379" i="10" s="1"/>
  <c r="P379" i="10"/>
  <c r="R379" i="10" s="1"/>
  <c r="L379" i="10"/>
  <c r="K379" i="10"/>
  <c r="J379" i="10"/>
  <c r="I379" i="10"/>
  <c r="H379" i="10"/>
  <c r="U378" i="10"/>
  <c r="Q378" i="10"/>
  <c r="S378" i="10" s="1"/>
  <c r="P378" i="10"/>
  <c r="R378" i="10" s="1"/>
  <c r="K378" i="10"/>
  <c r="M378" i="10" s="1"/>
  <c r="J378" i="10"/>
  <c r="L378" i="10" s="1"/>
  <c r="I378" i="10"/>
  <c r="H378" i="10"/>
  <c r="U377" i="10"/>
  <c r="Q377" i="10"/>
  <c r="S377" i="10" s="1"/>
  <c r="P377" i="10"/>
  <c r="R377" i="10" s="1"/>
  <c r="J377" i="10"/>
  <c r="L377" i="10" s="1"/>
  <c r="I377" i="10"/>
  <c r="K377" i="10" s="1"/>
  <c r="M377" i="10" s="1"/>
  <c r="H377" i="10"/>
  <c r="U376" i="10"/>
  <c r="Q376" i="10"/>
  <c r="S376" i="10" s="1"/>
  <c r="P376" i="10"/>
  <c r="R376" i="10" s="1"/>
  <c r="T376" i="10" s="1"/>
  <c r="J376" i="10"/>
  <c r="L376" i="10" s="1"/>
  <c r="I376" i="10"/>
  <c r="K376" i="10" s="1"/>
  <c r="H376" i="10"/>
  <c r="U375" i="10"/>
  <c r="Q375" i="10"/>
  <c r="S375" i="10" s="1"/>
  <c r="P375" i="10"/>
  <c r="R375" i="10" s="1"/>
  <c r="L375" i="10"/>
  <c r="K375" i="10"/>
  <c r="M375" i="10" s="1"/>
  <c r="J375" i="10"/>
  <c r="I375" i="10"/>
  <c r="H375" i="10"/>
  <c r="U374" i="10"/>
  <c r="R374" i="10"/>
  <c r="Q374" i="10"/>
  <c r="S374" i="10" s="1"/>
  <c r="P374" i="10"/>
  <c r="K374" i="10"/>
  <c r="J374" i="10"/>
  <c r="L374" i="10" s="1"/>
  <c r="I374" i="10"/>
  <c r="H374" i="10"/>
  <c r="U373" i="10"/>
  <c r="Q373" i="10"/>
  <c r="S373" i="10" s="1"/>
  <c r="P373" i="10"/>
  <c r="R373" i="10" s="1"/>
  <c r="L373" i="10"/>
  <c r="J373" i="10"/>
  <c r="I373" i="10"/>
  <c r="K373" i="10" s="1"/>
  <c r="M373" i="10" s="1"/>
  <c r="H373" i="10"/>
  <c r="U372" i="10"/>
  <c r="Q372" i="10"/>
  <c r="S372" i="10" s="1"/>
  <c r="P372" i="10"/>
  <c r="R372" i="10" s="1"/>
  <c r="L372" i="10"/>
  <c r="K372" i="10"/>
  <c r="J372" i="10"/>
  <c r="I372" i="10"/>
  <c r="H372" i="10"/>
  <c r="U371" i="10"/>
  <c r="Q371" i="10"/>
  <c r="S371" i="10" s="1"/>
  <c r="P371" i="10"/>
  <c r="R371" i="10" s="1"/>
  <c r="K371" i="10"/>
  <c r="M371" i="10" s="1"/>
  <c r="J371" i="10"/>
  <c r="L371" i="10" s="1"/>
  <c r="I371" i="10"/>
  <c r="H371" i="10"/>
  <c r="U370" i="10"/>
  <c r="Q370" i="10"/>
  <c r="S370" i="10" s="1"/>
  <c r="P370" i="10"/>
  <c r="R370" i="10" s="1"/>
  <c r="T370" i="10" s="1"/>
  <c r="J370" i="10"/>
  <c r="L370" i="10" s="1"/>
  <c r="I370" i="10"/>
  <c r="K370" i="10" s="1"/>
  <c r="M370" i="10" s="1"/>
  <c r="H370" i="10"/>
  <c r="U369" i="10"/>
  <c r="Q369" i="10"/>
  <c r="S369" i="10" s="1"/>
  <c r="P369" i="10"/>
  <c r="R369" i="10" s="1"/>
  <c r="K369" i="10"/>
  <c r="M369" i="10" s="1"/>
  <c r="J369" i="10"/>
  <c r="L369" i="10" s="1"/>
  <c r="I369" i="10"/>
  <c r="H369" i="10"/>
  <c r="U368" i="10"/>
  <c r="Q368" i="10"/>
  <c r="S368" i="10" s="1"/>
  <c r="P368" i="10"/>
  <c r="R368" i="10" s="1"/>
  <c r="J368" i="10"/>
  <c r="L368" i="10" s="1"/>
  <c r="M368" i="10" s="1"/>
  <c r="I368" i="10"/>
  <c r="K368" i="10" s="1"/>
  <c r="H368" i="10"/>
  <c r="U367" i="10"/>
  <c r="Q367" i="10"/>
  <c r="S367" i="10" s="1"/>
  <c r="P367" i="10"/>
  <c r="R367" i="10" s="1"/>
  <c r="K367" i="10"/>
  <c r="M367" i="10" s="1"/>
  <c r="J367" i="10"/>
  <c r="L367" i="10" s="1"/>
  <c r="I367" i="10"/>
  <c r="H367" i="10"/>
  <c r="U366" i="10"/>
  <c r="Q366" i="10"/>
  <c r="S366" i="10" s="1"/>
  <c r="P366" i="10"/>
  <c r="R366" i="10" s="1"/>
  <c r="K366" i="10"/>
  <c r="J366" i="10"/>
  <c r="L366" i="10" s="1"/>
  <c r="M366" i="10" s="1"/>
  <c r="I366" i="10"/>
  <c r="H366" i="10"/>
  <c r="U365" i="10"/>
  <c r="S365" i="10"/>
  <c r="Q365" i="10"/>
  <c r="P365" i="10"/>
  <c r="R365" i="10" s="1"/>
  <c r="J365" i="10"/>
  <c r="L365" i="10" s="1"/>
  <c r="I365" i="10"/>
  <c r="K365" i="10" s="1"/>
  <c r="M365" i="10" s="1"/>
  <c r="H365" i="10"/>
  <c r="U364" i="10"/>
  <c r="Q364" i="10"/>
  <c r="S364" i="10" s="1"/>
  <c r="P364" i="10"/>
  <c r="R364" i="10" s="1"/>
  <c r="J364" i="10"/>
  <c r="L364" i="10" s="1"/>
  <c r="I364" i="10"/>
  <c r="K364" i="10" s="1"/>
  <c r="M364" i="10" s="1"/>
  <c r="H364" i="10"/>
  <c r="U363" i="10"/>
  <c r="Q363" i="10"/>
  <c r="S363" i="10" s="1"/>
  <c r="P363" i="10"/>
  <c r="R363" i="10" s="1"/>
  <c r="J363" i="10"/>
  <c r="L363" i="10" s="1"/>
  <c r="I363" i="10"/>
  <c r="K363" i="10" s="1"/>
  <c r="M363" i="10" s="1"/>
  <c r="H363" i="10"/>
  <c r="U362" i="10"/>
  <c r="Q362" i="10"/>
  <c r="S362" i="10" s="1"/>
  <c r="P362" i="10"/>
  <c r="R362" i="10" s="1"/>
  <c r="J362" i="10"/>
  <c r="L362" i="10" s="1"/>
  <c r="I362" i="10"/>
  <c r="K362" i="10" s="1"/>
  <c r="M362" i="10" s="1"/>
  <c r="H362" i="10"/>
  <c r="U361" i="10"/>
  <c r="Q361" i="10"/>
  <c r="S361" i="10" s="1"/>
  <c r="P361" i="10"/>
  <c r="R361" i="10" s="1"/>
  <c r="M361" i="10"/>
  <c r="K361" i="10"/>
  <c r="J361" i="10"/>
  <c r="L361" i="10" s="1"/>
  <c r="I361" i="10"/>
  <c r="H361" i="10"/>
  <c r="U360" i="10"/>
  <c r="Q360" i="10"/>
  <c r="S360" i="10" s="1"/>
  <c r="P360" i="10"/>
  <c r="R360" i="10" s="1"/>
  <c r="K360" i="10"/>
  <c r="M360" i="10" s="1"/>
  <c r="J360" i="10"/>
  <c r="L360" i="10" s="1"/>
  <c r="I360" i="10"/>
  <c r="H360" i="10"/>
  <c r="U359" i="10"/>
  <c r="Q359" i="10"/>
  <c r="S359" i="10" s="1"/>
  <c r="P359" i="10"/>
  <c r="R359" i="10" s="1"/>
  <c r="T359" i="10" s="1"/>
  <c r="J359" i="10"/>
  <c r="L359" i="10" s="1"/>
  <c r="I359" i="10"/>
  <c r="K359" i="10" s="1"/>
  <c r="M359" i="10" s="1"/>
  <c r="H359" i="10"/>
  <c r="U358" i="10"/>
  <c r="Q358" i="10"/>
  <c r="S358" i="10" s="1"/>
  <c r="P358" i="10"/>
  <c r="R358" i="10" s="1"/>
  <c r="M358" i="10"/>
  <c r="J358" i="10"/>
  <c r="L358" i="10" s="1"/>
  <c r="I358" i="10"/>
  <c r="K358" i="10" s="1"/>
  <c r="H358" i="10"/>
  <c r="U357" i="10"/>
  <c r="Q357" i="10"/>
  <c r="S357" i="10" s="1"/>
  <c r="P357" i="10"/>
  <c r="R357" i="10" s="1"/>
  <c r="K357" i="10"/>
  <c r="M357" i="10" s="1"/>
  <c r="J357" i="10"/>
  <c r="L357" i="10" s="1"/>
  <c r="I357" i="10"/>
  <c r="H357" i="10"/>
  <c r="U356" i="10"/>
  <c r="Q356" i="10"/>
  <c r="S356" i="10" s="1"/>
  <c r="P356" i="10"/>
  <c r="R356" i="10" s="1"/>
  <c r="T356" i="10" s="1"/>
  <c r="M356" i="10"/>
  <c r="J356" i="10"/>
  <c r="L356" i="10" s="1"/>
  <c r="I356" i="10"/>
  <c r="K356" i="10" s="1"/>
  <c r="H356" i="10"/>
  <c r="U355" i="10"/>
  <c r="Q355" i="10"/>
  <c r="S355" i="10" s="1"/>
  <c r="P355" i="10"/>
  <c r="R355" i="10" s="1"/>
  <c r="T355" i="10" s="1"/>
  <c r="K355" i="10"/>
  <c r="M355" i="10" s="1"/>
  <c r="J355" i="10"/>
  <c r="L355" i="10" s="1"/>
  <c r="I355" i="10"/>
  <c r="H355" i="10"/>
  <c r="U354" i="10"/>
  <c r="Q354" i="10"/>
  <c r="S354" i="10" s="1"/>
  <c r="P354" i="10"/>
  <c r="R354" i="10" s="1"/>
  <c r="K354" i="10"/>
  <c r="J354" i="10"/>
  <c r="L354" i="10" s="1"/>
  <c r="M354" i="10" s="1"/>
  <c r="I354" i="10"/>
  <c r="H354" i="10"/>
  <c r="U353" i="10"/>
  <c r="Q353" i="10"/>
  <c r="S353" i="10" s="1"/>
  <c r="P353" i="10"/>
  <c r="R353" i="10" s="1"/>
  <c r="J353" i="10"/>
  <c r="L353" i="10" s="1"/>
  <c r="I353" i="10"/>
  <c r="K353" i="10" s="1"/>
  <c r="M353" i="10" s="1"/>
  <c r="H353" i="10"/>
  <c r="U352" i="10"/>
  <c r="Q352" i="10"/>
  <c r="S352" i="10" s="1"/>
  <c r="P352" i="10"/>
  <c r="R352" i="10" s="1"/>
  <c r="J352" i="10"/>
  <c r="L352" i="10" s="1"/>
  <c r="I352" i="10"/>
  <c r="K352" i="10" s="1"/>
  <c r="M352" i="10" s="1"/>
  <c r="H352" i="10"/>
  <c r="U351" i="10"/>
  <c r="Q351" i="10"/>
  <c r="S351" i="10" s="1"/>
  <c r="P351" i="10"/>
  <c r="R351" i="10" s="1"/>
  <c r="T351" i="10" s="1"/>
  <c r="J351" i="10"/>
  <c r="L351" i="10" s="1"/>
  <c r="I351" i="10"/>
  <c r="K351" i="10" s="1"/>
  <c r="M351" i="10" s="1"/>
  <c r="H351" i="10"/>
  <c r="U350" i="10"/>
  <c r="Q350" i="10"/>
  <c r="S350" i="10" s="1"/>
  <c r="P350" i="10"/>
  <c r="R350" i="10" s="1"/>
  <c r="J350" i="10"/>
  <c r="L350" i="10" s="1"/>
  <c r="I350" i="10"/>
  <c r="K350" i="10" s="1"/>
  <c r="M350" i="10" s="1"/>
  <c r="H350" i="10"/>
  <c r="U349" i="10"/>
  <c r="Q349" i="10"/>
  <c r="S349" i="10" s="1"/>
  <c r="P349" i="10"/>
  <c r="R349" i="10" s="1"/>
  <c r="M349" i="10"/>
  <c r="K349" i="10"/>
  <c r="J349" i="10"/>
  <c r="L349" i="10" s="1"/>
  <c r="I349" i="10"/>
  <c r="H349" i="10"/>
  <c r="U348" i="10"/>
  <c r="Q348" i="10"/>
  <c r="S348" i="10" s="1"/>
  <c r="P348" i="10"/>
  <c r="R348" i="10" s="1"/>
  <c r="K348" i="10"/>
  <c r="M348" i="10" s="1"/>
  <c r="J348" i="10"/>
  <c r="L348" i="10" s="1"/>
  <c r="I348" i="10"/>
  <c r="H348" i="10"/>
  <c r="U347" i="10"/>
  <c r="Q347" i="10"/>
  <c r="S347" i="10" s="1"/>
  <c r="P347" i="10"/>
  <c r="R347" i="10" s="1"/>
  <c r="J347" i="10"/>
  <c r="L347" i="10" s="1"/>
  <c r="I347" i="10"/>
  <c r="K347" i="10" s="1"/>
  <c r="H347" i="10"/>
  <c r="U346" i="10"/>
  <c r="Q346" i="10"/>
  <c r="S346" i="10" s="1"/>
  <c r="P346" i="10"/>
  <c r="R346" i="10" s="1"/>
  <c r="M346" i="10"/>
  <c r="J346" i="10"/>
  <c r="L346" i="10" s="1"/>
  <c r="I346" i="10"/>
  <c r="K346" i="10" s="1"/>
  <c r="H346" i="10"/>
  <c r="U345" i="10"/>
  <c r="Q345" i="10"/>
  <c r="S345" i="10" s="1"/>
  <c r="P345" i="10"/>
  <c r="R345" i="10" s="1"/>
  <c r="K345" i="10"/>
  <c r="M345" i="10" s="1"/>
  <c r="J345" i="10"/>
  <c r="L345" i="10" s="1"/>
  <c r="I345" i="10"/>
  <c r="H345" i="10"/>
  <c r="U344" i="10"/>
  <c r="Q344" i="10"/>
  <c r="S344" i="10" s="1"/>
  <c r="P344" i="10"/>
  <c r="R344" i="10" s="1"/>
  <c r="J344" i="10"/>
  <c r="L344" i="10" s="1"/>
  <c r="I344" i="10"/>
  <c r="K344" i="10" s="1"/>
  <c r="M344" i="10" s="1"/>
  <c r="H344" i="10"/>
  <c r="U343" i="10"/>
  <c r="Q343" i="10"/>
  <c r="S343" i="10" s="1"/>
  <c r="P343" i="10"/>
  <c r="R343" i="10" s="1"/>
  <c r="J343" i="10"/>
  <c r="L343" i="10" s="1"/>
  <c r="I343" i="10"/>
  <c r="K343" i="10" s="1"/>
  <c r="M343" i="10" s="1"/>
  <c r="H343" i="10"/>
  <c r="U342" i="10"/>
  <c r="Q342" i="10"/>
  <c r="S342" i="10" s="1"/>
  <c r="P342" i="10"/>
  <c r="R342" i="10" s="1"/>
  <c r="K342" i="10"/>
  <c r="J342" i="10"/>
  <c r="L342" i="10" s="1"/>
  <c r="M342" i="10" s="1"/>
  <c r="I342" i="10"/>
  <c r="H342" i="10"/>
  <c r="U341" i="10"/>
  <c r="Q341" i="10"/>
  <c r="S341" i="10" s="1"/>
  <c r="P341" i="10"/>
  <c r="R341" i="10" s="1"/>
  <c r="J341" i="10"/>
  <c r="L341" i="10" s="1"/>
  <c r="I341" i="10"/>
  <c r="K341" i="10" s="1"/>
  <c r="M341" i="10" s="1"/>
  <c r="H341" i="10"/>
  <c r="U340" i="10"/>
  <c r="Q340" i="10"/>
  <c r="S340" i="10" s="1"/>
  <c r="P340" i="10"/>
  <c r="R340" i="10" s="1"/>
  <c r="J340" i="10"/>
  <c r="L340" i="10" s="1"/>
  <c r="I340" i="10"/>
  <c r="K340" i="10" s="1"/>
  <c r="M340" i="10" s="1"/>
  <c r="H340" i="10"/>
  <c r="U339" i="10"/>
  <c r="Q339" i="10"/>
  <c r="S339" i="10" s="1"/>
  <c r="P339" i="10"/>
  <c r="R339" i="10" s="1"/>
  <c r="J339" i="10"/>
  <c r="L339" i="10" s="1"/>
  <c r="I339" i="10"/>
  <c r="K339" i="10" s="1"/>
  <c r="M339" i="10" s="1"/>
  <c r="H339" i="10"/>
  <c r="U338" i="10"/>
  <c r="Q338" i="10"/>
  <c r="S338" i="10" s="1"/>
  <c r="P338" i="10"/>
  <c r="R338" i="10" s="1"/>
  <c r="J338" i="10"/>
  <c r="L338" i="10" s="1"/>
  <c r="I338" i="10"/>
  <c r="K338" i="10" s="1"/>
  <c r="M338" i="10" s="1"/>
  <c r="H338" i="10"/>
  <c r="U337" i="10"/>
  <c r="R337" i="10"/>
  <c r="Q337" i="10"/>
  <c r="S337" i="10" s="1"/>
  <c r="P337" i="10"/>
  <c r="M337" i="10"/>
  <c r="K337" i="10"/>
  <c r="J337" i="10"/>
  <c r="L337" i="10" s="1"/>
  <c r="I337" i="10"/>
  <c r="H337" i="10"/>
  <c r="U336" i="10"/>
  <c r="Q336" i="10"/>
  <c r="S336" i="10" s="1"/>
  <c r="P336" i="10"/>
  <c r="R336" i="10" s="1"/>
  <c r="K336" i="10"/>
  <c r="M336" i="10" s="1"/>
  <c r="J336" i="10"/>
  <c r="L336" i="10" s="1"/>
  <c r="I336" i="10"/>
  <c r="H336" i="10"/>
  <c r="U335" i="10"/>
  <c r="Q335" i="10"/>
  <c r="S335" i="10" s="1"/>
  <c r="P335" i="10"/>
  <c r="R335" i="10" s="1"/>
  <c r="J335" i="10"/>
  <c r="L335" i="10" s="1"/>
  <c r="I335" i="10"/>
  <c r="K335" i="10" s="1"/>
  <c r="H335" i="10"/>
  <c r="U334" i="10"/>
  <c r="Q334" i="10"/>
  <c r="S334" i="10" s="1"/>
  <c r="P334" i="10"/>
  <c r="R334" i="10" s="1"/>
  <c r="J334" i="10"/>
  <c r="L334" i="10" s="1"/>
  <c r="I334" i="10"/>
  <c r="K334" i="10" s="1"/>
  <c r="M334" i="10" s="1"/>
  <c r="H334" i="10"/>
  <c r="U333" i="10"/>
  <c r="Q333" i="10"/>
  <c r="S333" i="10" s="1"/>
  <c r="P333" i="10"/>
  <c r="R333" i="10" s="1"/>
  <c r="K333" i="10"/>
  <c r="M333" i="10" s="1"/>
  <c r="J333" i="10"/>
  <c r="L333" i="10" s="1"/>
  <c r="I333" i="10"/>
  <c r="H333" i="10"/>
  <c r="U332" i="10"/>
  <c r="Q332" i="10"/>
  <c r="S332" i="10" s="1"/>
  <c r="P332" i="10"/>
  <c r="R332" i="10" s="1"/>
  <c r="M332" i="10"/>
  <c r="J332" i="10"/>
  <c r="L332" i="10" s="1"/>
  <c r="I332" i="10"/>
  <c r="K332" i="10" s="1"/>
  <c r="H332" i="10"/>
  <c r="U331" i="10"/>
  <c r="Q331" i="10"/>
  <c r="S331" i="10" s="1"/>
  <c r="P331" i="10"/>
  <c r="R331" i="10" s="1"/>
  <c r="J331" i="10"/>
  <c r="L331" i="10" s="1"/>
  <c r="I331" i="10"/>
  <c r="K331" i="10" s="1"/>
  <c r="M331" i="10" s="1"/>
  <c r="H331" i="10"/>
  <c r="U330" i="10"/>
  <c r="Q330" i="10"/>
  <c r="S330" i="10" s="1"/>
  <c r="P330" i="10"/>
  <c r="R330" i="10" s="1"/>
  <c r="T330" i="10" s="1"/>
  <c r="K330" i="10"/>
  <c r="J330" i="10"/>
  <c r="L330" i="10" s="1"/>
  <c r="M330" i="10" s="1"/>
  <c r="I330" i="10"/>
  <c r="H330" i="10"/>
  <c r="U329" i="10"/>
  <c r="S329" i="10"/>
  <c r="Q329" i="10"/>
  <c r="P329" i="10"/>
  <c r="R329" i="10" s="1"/>
  <c r="T329" i="10" s="1"/>
  <c r="J329" i="10"/>
  <c r="L329" i="10" s="1"/>
  <c r="I329" i="10"/>
  <c r="K329" i="10" s="1"/>
  <c r="M329" i="10" s="1"/>
  <c r="H329" i="10"/>
  <c r="U328" i="10"/>
  <c r="Q328" i="10"/>
  <c r="S328" i="10" s="1"/>
  <c r="P328" i="10"/>
  <c r="R328" i="10" s="1"/>
  <c r="J328" i="10"/>
  <c r="L328" i="10" s="1"/>
  <c r="I328" i="10"/>
  <c r="K328" i="10" s="1"/>
  <c r="M328" i="10" s="1"/>
  <c r="H328" i="10"/>
  <c r="U327" i="10"/>
  <c r="Q327" i="10"/>
  <c r="S327" i="10" s="1"/>
  <c r="P327" i="10"/>
  <c r="R327" i="10" s="1"/>
  <c r="J327" i="10"/>
  <c r="L327" i="10" s="1"/>
  <c r="I327" i="10"/>
  <c r="K327" i="10" s="1"/>
  <c r="M327" i="10" s="1"/>
  <c r="H327" i="10"/>
  <c r="U326" i="10"/>
  <c r="Q326" i="10"/>
  <c r="S326" i="10" s="1"/>
  <c r="P326" i="10"/>
  <c r="R326" i="10" s="1"/>
  <c r="J326" i="10"/>
  <c r="L326" i="10" s="1"/>
  <c r="I326" i="10"/>
  <c r="K326" i="10" s="1"/>
  <c r="M326" i="10" s="1"/>
  <c r="H326" i="10"/>
  <c r="U325" i="10"/>
  <c r="Q325" i="10"/>
  <c r="S325" i="10" s="1"/>
  <c r="P325" i="10"/>
  <c r="R325" i="10" s="1"/>
  <c r="T325" i="10" s="1"/>
  <c r="M325" i="10"/>
  <c r="K325" i="10"/>
  <c r="J325" i="10"/>
  <c r="L325" i="10" s="1"/>
  <c r="I325" i="10"/>
  <c r="H325" i="10"/>
  <c r="U324" i="10"/>
  <c r="Q324" i="10"/>
  <c r="S324" i="10" s="1"/>
  <c r="P324" i="10"/>
  <c r="R324" i="10" s="1"/>
  <c r="K324" i="10"/>
  <c r="M324" i="10" s="1"/>
  <c r="J324" i="10"/>
  <c r="L324" i="10" s="1"/>
  <c r="I324" i="10"/>
  <c r="H324" i="10"/>
  <c r="U323" i="10"/>
  <c r="Q323" i="10"/>
  <c r="S323" i="10" s="1"/>
  <c r="P323" i="10"/>
  <c r="R323" i="10" s="1"/>
  <c r="J323" i="10"/>
  <c r="L323" i="10" s="1"/>
  <c r="I323" i="10"/>
  <c r="K323" i="10" s="1"/>
  <c r="M323" i="10" s="1"/>
  <c r="H323" i="10"/>
  <c r="U322" i="10"/>
  <c r="Q322" i="10"/>
  <c r="S322" i="10" s="1"/>
  <c r="P322" i="10"/>
  <c r="R322" i="10" s="1"/>
  <c r="J322" i="10"/>
  <c r="L322" i="10" s="1"/>
  <c r="I322" i="10"/>
  <c r="K322" i="10" s="1"/>
  <c r="M322" i="10" s="1"/>
  <c r="H322" i="10"/>
  <c r="U321" i="10"/>
  <c r="Q321" i="10"/>
  <c r="S321" i="10" s="1"/>
  <c r="P321" i="10"/>
  <c r="R321" i="10" s="1"/>
  <c r="T321" i="10" s="1"/>
  <c r="K321" i="10"/>
  <c r="M321" i="10" s="1"/>
  <c r="J321" i="10"/>
  <c r="L321" i="10" s="1"/>
  <c r="I321" i="10"/>
  <c r="H321" i="10"/>
  <c r="U320" i="10"/>
  <c r="Q320" i="10"/>
  <c r="S320" i="10" s="1"/>
  <c r="P320" i="10"/>
  <c r="R320" i="10" s="1"/>
  <c r="J320" i="10"/>
  <c r="L320" i="10" s="1"/>
  <c r="M320" i="10" s="1"/>
  <c r="I320" i="10"/>
  <c r="K320" i="10" s="1"/>
  <c r="H320" i="10"/>
  <c r="U319" i="10"/>
  <c r="Q319" i="10"/>
  <c r="S319" i="10" s="1"/>
  <c r="P319" i="10"/>
  <c r="R319" i="10" s="1"/>
  <c r="K319" i="10"/>
  <c r="M319" i="10" s="1"/>
  <c r="J319" i="10"/>
  <c r="L319" i="10" s="1"/>
  <c r="I319" i="10"/>
  <c r="H319" i="10"/>
  <c r="U318" i="10"/>
  <c r="Q318" i="10"/>
  <c r="S318" i="10" s="1"/>
  <c r="P318" i="10"/>
  <c r="R318" i="10" s="1"/>
  <c r="K318" i="10"/>
  <c r="J318" i="10"/>
  <c r="L318" i="10" s="1"/>
  <c r="M318" i="10" s="1"/>
  <c r="I318" i="10"/>
  <c r="H318" i="10"/>
  <c r="U317" i="10"/>
  <c r="Q317" i="10"/>
  <c r="S317" i="10" s="1"/>
  <c r="P317" i="10"/>
  <c r="R317" i="10" s="1"/>
  <c r="J317" i="10"/>
  <c r="L317" i="10" s="1"/>
  <c r="I317" i="10"/>
  <c r="K317" i="10" s="1"/>
  <c r="M317" i="10" s="1"/>
  <c r="H317" i="10"/>
  <c r="U316" i="10"/>
  <c r="Q316" i="10"/>
  <c r="S316" i="10" s="1"/>
  <c r="P316" i="10"/>
  <c r="R316" i="10" s="1"/>
  <c r="J316" i="10"/>
  <c r="L316" i="10" s="1"/>
  <c r="I316" i="10"/>
  <c r="K316" i="10" s="1"/>
  <c r="M316" i="10" s="1"/>
  <c r="H316" i="10"/>
  <c r="U315" i="10"/>
  <c r="Q315" i="10"/>
  <c r="S315" i="10" s="1"/>
  <c r="P315" i="10"/>
  <c r="R315" i="10" s="1"/>
  <c r="J315" i="10"/>
  <c r="L315" i="10" s="1"/>
  <c r="I315" i="10"/>
  <c r="K315" i="10" s="1"/>
  <c r="M315" i="10" s="1"/>
  <c r="H315" i="10"/>
  <c r="U314" i="10"/>
  <c r="Q314" i="10"/>
  <c r="S314" i="10" s="1"/>
  <c r="P314" i="10"/>
  <c r="R314" i="10" s="1"/>
  <c r="J314" i="10"/>
  <c r="L314" i="10" s="1"/>
  <c r="I314" i="10"/>
  <c r="K314" i="10" s="1"/>
  <c r="M314" i="10" s="1"/>
  <c r="H314" i="10"/>
  <c r="U313" i="10"/>
  <c r="Q313" i="10"/>
  <c r="S313" i="10" s="1"/>
  <c r="P313" i="10"/>
  <c r="R313" i="10" s="1"/>
  <c r="T313" i="10" s="1"/>
  <c r="M313" i="10"/>
  <c r="K313" i="10"/>
  <c r="J313" i="10"/>
  <c r="L313" i="10" s="1"/>
  <c r="I313" i="10"/>
  <c r="H313" i="10"/>
  <c r="U312" i="10"/>
  <c r="Q312" i="10"/>
  <c r="S312" i="10" s="1"/>
  <c r="P312" i="10"/>
  <c r="R312" i="10" s="1"/>
  <c r="K312" i="10"/>
  <c r="M312" i="10" s="1"/>
  <c r="J312" i="10"/>
  <c r="L312" i="10" s="1"/>
  <c r="I312" i="10"/>
  <c r="H312" i="10"/>
  <c r="U311" i="10"/>
  <c r="Q311" i="10"/>
  <c r="S311" i="10" s="1"/>
  <c r="P311" i="10"/>
  <c r="R311" i="10" s="1"/>
  <c r="J311" i="10"/>
  <c r="L311" i="10" s="1"/>
  <c r="I311" i="10"/>
  <c r="K311" i="10" s="1"/>
  <c r="M311" i="10" s="1"/>
  <c r="H311" i="10"/>
  <c r="U310" i="10"/>
  <c r="Q310" i="10"/>
  <c r="S310" i="10" s="1"/>
  <c r="P310" i="10"/>
  <c r="R310" i="10" s="1"/>
  <c r="T310" i="10" s="1"/>
  <c r="M310" i="10"/>
  <c r="J310" i="10"/>
  <c r="L310" i="10" s="1"/>
  <c r="I310" i="10"/>
  <c r="K310" i="10" s="1"/>
  <c r="H310" i="10"/>
  <c r="U309" i="10"/>
  <c r="Q309" i="10"/>
  <c r="S309" i="10" s="1"/>
  <c r="P309" i="10"/>
  <c r="R309" i="10" s="1"/>
  <c r="K309" i="10"/>
  <c r="M309" i="10" s="1"/>
  <c r="J309" i="10"/>
  <c r="L309" i="10" s="1"/>
  <c r="I309" i="10"/>
  <c r="H309" i="10"/>
  <c r="U308" i="10"/>
  <c r="Q308" i="10"/>
  <c r="S308" i="10" s="1"/>
  <c r="P308" i="10"/>
  <c r="R308" i="10" s="1"/>
  <c r="M308" i="10"/>
  <c r="J308" i="10"/>
  <c r="L308" i="10" s="1"/>
  <c r="I308" i="10"/>
  <c r="K308" i="10" s="1"/>
  <c r="H308" i="10"/>
  <c r="U307" i="10"/>
  <c r="Q307" i="10"/>
  <c r="S307" i="10" s="1"/>
  <c r="P307" i="10"/>
  <c r="R307" i="10" s="1"/>
  <c r="K307" i="10"/>
  <c r="M307" i="10" s="1"/>
  <c r="J307" i="10"/>
  <c r="L307" i="10" s="1"/>
  <c r="I307" i="10"/>
  <c r="H307" i="10"/>
  <c r="U306" i="10"/>
  <c r="S306" i="10"/>
  <c r="Q306" i="10"/>
  <c r="P306" i="10"/>
  <c r="R306" i="10" s="1"/>
  <c r="K306" i="10"/>
  <c r="J306" i="10"/>
  <c r="L306" i="10" s="1"/>
  <c r="M306" i="10" s="1"/>
  <c r="I306" i="10"/>
  <c r="H306" i="10"/>
  <c r="U305" i="10"/>
  <c r="Q305" i="10"/>
  <c r="S305" i="10" s="1"/>
  <c r="P305" i="10"/>
  <c r="R305" i="10" s="1"/>
  <c r="J305" i="10"/>
  <c r="L305" i="10" s="1"/>
  <c r="I305" i="10"/>
  <c r="K305" i="10" s="1"/>
  <c r="M305" i="10" s="1"/>
  <c r="H305" i="10"/>
  <c r="U304" i="10"/>
  <c r="R304" i="10"/>
  <c r="Q304" i="10"/>
  <c r="S304" i="10" s="1"/>
  <c r="P304" i="10"/>
  <c r="J304" i="10"/>
  <c r="L304" i="10" s="1"/>
  <c r="I304" i="10"/>
  <c r="K304" i="10" s="1"/>
  <c r="M304" i="10" s="1"/>
  <c r="H304" i="10"/>
  <c r="U303" i="10"/>
  <c r="Q303" i="10"/>
  <c r="S303" i="10" s="1"/>
  <c r="P303" i="10"/>
  <c r="R303" i="10" s="1"/>
  <c r="J303" i="10"/>
  <c r="L303" i="10" s="1"/>
  <c r="I303" i="10"/>
  <c r="K303" i="10" s="1"/>
  <c r="M303" i="10" s="1"/>
  <c r="H303" i="10"/>
  <c r="U302" i="10"/>
  <c r="Q302" i="10"/>
  <c r="S302" i="10" s="1"/>
  <c r="P302" i="10"/>
  <c r="R302" i="10" s="1"/>
  <c r="M302" i="10"/>
  <c r="J302" i="10"/>
  <c r="L302" i="10" s="1"/>
  <c r="I302" i="10"/>
  <c r="K302" i="10" s="1"/>
  <c r="H302" i="10"/>
  <c r="U301" i="10"/>
  <c r="Q301" i="10"/>
  <c r="S301" i="10" s="1"/>
  <c r="T301" i="10" s="1"/>
  <c r="P301" i="10"/>
  <c r="R301" i="10" s="1"/>
  <c r="M301" i="10"/>
  <c r="K301" i="10"/>
  <c r="J301" i="10"/>
  <c r="L301" i="10" s="1"/>
  <c r="I301" i="10"/>
  <c r="H301" i="10"/>
  <c r="U300" i="10"/>
  <c r="Q300" i="10"/>
  <c r="S300" i="10" s="1"/>
  <c r="P300" i="10"/>
  <c r="R300" i="10" s="1"/>
  <c r="K300" i="10"/>
  <c r="J300" i="10"/>
  <c r="L300" i="10" s="1"/>
  <c r="I300" i="10"/>
  <c r="H300" i="10"/>
  <c r="U299" i="10"/>
  <c r="Q299" i="10"/>
  <c r="S299" i="10" s="1"/>
  <c r="P299" i="10"/>
  <c r="R299" i="10" s="1"/>
  <c r="J299" i="10"/>
  <c r="L299" i="10" s="1"/>
  <c r="I299" i="10"/>
  <c r="K299" i="10" s="1"/>
  <c r="M299" i="10" s="1"/>
  <c r="H299" i="10"/>
  <c r="U298" i="10"/>
  <c r="Q298" i="10"/>
  <c r="S298" i="10" s="1"/>
  <c r="P298" i="10"/>
  <c r="R298" i="10" s="1"/>
  <c r="J298" i="10"/>
  <c r="L298" i="10" s="1"/>
  <c r="I298" i="10"/>
  <c r="K298" i="10" s="1"/>
  <c r="M298" i="10" s="1"/>
  <c r="H298" i="10"/>
  <c r="U297" i="10"/>
  <c r="Q297" i="10"/>
  <c r="S297" i="10" s="1"/>
  <c r="P297" i="10"/>
  <c r="R297" i="10" s="1"/>
  <c r="K297" i="10"/>
  <c r="M297" i="10" s="1"/>
  <c r="J297" i="10"/>
  <c r="L297" i="10" s="1"/>
  <c r="I297" i="10"/>
  <c r="H297" i="10"/>
  <c r="U296" i="10"/>
  <c r="Q296" i="10"/>
  <c r="S296" i="10" s="1"/>
  <c r="P296" i="10"/>
  <c r="R296" i="10" s="1"/>
  <c r="M296" i="10"/>
  <c r="J296" i="10"/>
  <c r="L296" i="10" s="1"/>
  <c r="I296" i="10"/>
  <c r="K296" i="10" s="1"/>
  <c r="H296" i="10"/>
  <c r="U295" i="10"/>
  <c r="Q295" i="10"/>
  <c r="S295" i="10" s="1"/>
  <c r="P295" i="10"/>
  <c r="R295" i="10" s="1"/>
  <c r="K295" i="10"/>
  <c r="M295" i="10" s="1"/>
  <c r="J295" i="10"/>
  <c r="L295" i="10" s="1"/>
  <c r="I295" i="10"/>
  <c r="H295" i="10"/>
  <c r="U294" i="10"/>
  <c r="Q294" i="10"/>
  <c r="S294" i="10" s="1"/>
  <c r="P294" i="10"/>
  <c r="R294" i="10" s="1"/>
  <c r="K294" i="10"/>
  <c r="J294" i="10"/>
  <c r="L294" i="10" s="1"/>
  <c r="M294" i="10" s="1"/>
  <c r="I294" i="10"/>
  <c r="H294" i="10"/>
  <c r="U293" i="10"/>
  <c r="Q293" i="10"/>
  <c r="S293" i="10" s="1"/>
  <c r="P293" i="10"/>
  <c r="R293" i="10" s="1"/>
  <c r="J293" i="10"/>
  <c r="L293" i="10" s="1"/>
  <c r="I293" i="10"/>
  <c r="K293" i="10" s="1"/>
  <c r="M293" i="10" s="1"/>
  <c r="H293" i="10"/>
  <c r="U292" i="10"/>
  <c r="Q292" i="10"/>
  <c r="S292" i="10" s="1"/>
  <c r="P292" i="10"/>
  <c r="R292" i="10" s="1"/>
  <c r="J292" i="10"/>
  <c r="L292" i="10" s="1"/>
  <c r="I292" i="10"/>
  <c r="K292" i="10" s="1"/>
  <c r="M292" i="10" s="1"/>
  <c r="H292" i="10"/>
  <c r="U291" i="10"/>
  <c r="Q291" i="10"/>
  <c r="S291" i="10" s="1"/>
  <c r="P291" i="10"/>
  <c r="R291" i="10" s="1"/>
  <c r="J291" i="10"/>
  <c r="L291" i="10" s="1"/>
  <c r="I291" i="10"/>
  <c r="K291" i="10" s="1"/>
  <c r="M291" i="10" s="1"/>
  <c r="H291" i="10"/>
  <c r="U290" i="10"/>
  <c r="Q290" i="10"/>
  <c r="S290" i="10" s="1"/>
  <c r="P290" i="10"/>
  <c r="R290" i="10" s="1"/>
  <c r="M290" i="10"/>
  <c r="J290" i="10"/>
  <c r="L290" i="10" s="1"/>
  <c r="I290" i="10"/>
  <c r="K290" i="10" s="1"/>
  <c r="H290" i="10"/>
  <c r="U289" i="10"/>
  <c r="Q289" i="10"/>
  <c r="S289" i="10" s="1"/>
  <c r="P289" i="10"/>
  <c r="R289" i="10" s="1"/>
  <c r="K289" i="10"/>
  <c r="M289" i="10" s="1"/>
  <c r="J289" i="10"/>
  <c r="L289" i="10" s="1"/>
  <c r="I289" i="10"/>
  <c r="H289" i="10"/>
  <c r="U288" i="10"/>
  <c r="Q288" i="10"/>
  <c r="S288" i="10" s="1"/>
  <c r="P288" i="10"/>
  <c r="R288" i="10" s="1"/>
  <c r="T288" i="10" s="1"/>
  <c r="K288" i="10"/>
  <c r="M288" i="10" s="1"/>
  <c r="J288" i="10"/>
  <c r="L288" i="10" s="1"/>
  <c r="I288" i="10"/>
  <c r="H288" i="10"/>
  <c r="U287" i="10"/>
  <c r="Q287" i="10"/>
  <c r="S287" i="10" s="1"/>
  <c r="P287" i="10"/>
  <c r="R287" i="10" s="1"/>
  <c r="J287" i="10"/>
  <c r="L287" i="10" s="1"/>
  <c r="I287" i="10"/>
  <c r="K287" i="10" s="1"/>
  <c r="H287" i="10"/>
  <c r="U286" i="10"/>
  <c r="Q286" i="10"/>
  <c r="S286" i="10" s="1"/>
  <c r="P286" i="10"/>
  <c r="R286" i="10" s="1"/>
  <c r="M286" i="10"/>
  <c r="J286" i="10"/>
  <c r="L286" i="10" s="1"/>
  <c r="I286" i="10"/>
  <c r="K286" i="10" s="1"/>
  <c r="H286" i="10"/>
  <c r="U285" i="10"/>
  <c r="Q285" i="10"/>
  <c r="S285" i="10" s="1"/>
  <c r="P285" i="10"/>
  <c r="R285" i="10" s="1"/>
  <c r="K285" i="10"/>
  <c r="M285" i="10" s="1"/>
  <c r="J285" i="10"/>
  <c r="L285" i="10" s="1"/>
  <c r="I285" i="10"/>
  <c r="H285" i="10"/>
  <c r="U284" i="10"/>
  <c r="Q284" i="10"/>
  <c r="S284" i="10" s="1"/>
  <c r="P284" i="10"/>
  <c r="R284" i="10" s="1"/>
  <c r="J284" i="10"/>
  <c r="L284" i="10" s="1"/>
  <c r="M284" i="10" s="1"/>
  <c r="I284" i="10"/>
  <c r="K284" i="10" s="1"/>
  <c r="H284" i="10"/>
  <c r="U283" i="10"/>
  <c r="Q283" i="10"/>
  <c r="S283" i="10" s="1"/>
  <c r="P283" i="10"/>
  <c r="R283" i="10" s="1"/>
  <c r="K283" i="10"/>
  <c r="M283" i="10" s="1"/>
  <c r="J283" i="10"/>
  <c r="L283" i="10" s="1"/>
  <c r="I283" i="10"/>
  <c r="H283" i="10"/>
  <c r="U282" i="10"/>
  <c r="S282" i="10"/>
  <c r="Q282" i="10"/>
  <c r="P282" i="10"/>
  <c r="R282" i="10" s="1"/>
  <c r="K282" i="10"/>
  <c r="J282" i="10"/>
  <c r="L282" i="10" s="1"/>
  <c r="M282" i="10" s="1"/>
  <c r="I282" i="10"/>
  <c r="H282" i="10"/>
  <c r="U281" i="10"/>
  <c r="Q281" i="10"/>
  <c r="S281" i="10" s="1"/>
  <c r="P281" i="10"/>
  <c r="R281" i="10" s="1"/>
  <c r="J281" i="10"/>
  <c r="L281" i="10" s="1"/>
  <c r="I281" i="10"/>
  <c r="K281" i="10" s="1"/>
  <c r="M281" i="10" s="1"/>
  <c r="H281" i="10"/>
  <c r="U280" i="10"/>
  <c r="Q280" i="10"/>
  <c r="S280" i="10" s="1"/>
  <c r="P280" i="10"/>
  <c r="R280" i="10" s="1"/>
  <c r="T280" i="10" s="1"/>
  <c r="J280" i="10"/>
  <c r="L280" i="10" s="1"/>
  <c r="I280" i="10"/>
  <c r="K280" i="10" s="1"/>
  <c r="M280" i="10" s="1"/>
  <c r="H280" i="10"/>
  <c r="U279" i="10"/>
  <c r="Q279" i="10"/>
  <c r="S279" i="10" s="1"/>
  <c r="P279" i="10"/>
  <c r="R279" i="10" s="1"/>
  <c r="T279" i="10" s="1"/>
  <c r="J279" i="10"/>
  <c r="L279" i="10" s="1"/>
  <c r="I279" i="10"/>
  <c r="K279" i="10" s="1"/>
  <c r="M279" i="10" s="1"/>
  <c r="H279" i="10"/>
  <c r="U278" i="10"/>
  <c r="Q278" i="10"/>
  <c r="S278" i="10" s="1"/>
  <c r="P278" i="10"/>
  <c r="R278" i="10" s="1"/>
  <c r="J278" i="10"/>
  <c r="L278" i="10" s="1"/>
  <c r="I278" i="10"/>
  <c r="K278" i="10" s="1"/>
  <c r="M278" i="10" s="1"/>
  <c r="H278" i="10"/>
  <c r="U277" i="10"/>
  <c r="Q277" i="10"/>
  <c r="S277" i="10" s="1"/>
  <c r="P277" i="10"/>
  <c r="R277" i="10" s="1"/>
  <c r="M277" i="10"/>
  <c r="K277" i="10"/>
  <c r="J277" i="10"/>
  <c r="L277" i="10" s="1"/>
  <c r="I277" i="10"/>
  <c r="H277" i="10"/>
  <c r="U276" i="10"/>
  <c r="Q276" i="10"/>
  <c r="S276" i="10" s="1"/>
  <c r="P276" i="10"/>
  <c r="R276" i="10" s="1"/>
  <c r="K276" i="10"/>
  <c r="M276" i="10" s="1"/>
  <c r="J276" i="10"/>
  <c r="L276" i="10" s="1"/>
  <c r="I276" i="10"/>
  <c r="H276" i="10"/>
  <c r="U275" i="10"/>
  <c r="Q275" i="10"/>
  <c r="S275" i="10" s="1"/>
  <c r="P275" i="10"/>
  <c r="R275" i="10" s="1"/>
  <c r="J275" i="10"/>
  <c r="L275" i="10" s="1"/>
  <c r="I275" i="10"/>
  <c r="K275" i="10" s="1"/>
  <c r="M275" i="10" s="1"/>
  <c r="H275" i="10"/>
  <c r="U274" i="10"/>
  <c r="Q274" i="10"/>
  <c r="S274" i="10" s="1"/>
  <c r="P274" i="10"/>
  <c r="R274" i="10" s="1"/>
  <c r="M274" i="10"/>
  <c r="J274" i="10"/>
  <c r="L274" i="10" s="1"/>
  <c r="I274" i="10"/>
  <c r="K274" i="10" s="1"/>
  <c r="H274" i="10"/>
  <c r="U273" i="10"/>
  <c r="Q273" i="10"/>
  <c r="S273" i="10" s="1"/>
  <c r="P273" i="10"/>
  <c r="R273" i="10" s="1"/>
  <c r="K273" i="10"/>
  <c r="M273" i="10" s="1"/>
  <c r="J273" i="10"/>
  <c r="L273" i="10" s="1"/>
  <c r="I273" i="10"/>
  <c r="H273" i="10"/>
  <c r="U272" i="10"/>
  <c r="Q272" i="10"/>
  <c r="S272" i="10" s="1"/>
  <c r="P272" i="10"/>
  <c r="R272" i="10" s="1"/>
  <c r="J272" i="10"/>
  <c r="L272" i="10" s="1"/>
  <c r="I272" i="10"/>
  <c r="K272" i="10" s="1"/>
  <c r="M272" i="10" s="1"/>
  <c r="H272" i="10"/>
  <c r="U271" i="10"/>
  <c r="Q271" i="10"/>
  <c r="S271" i="10" s="1"/>
  <c r="P271" i="10"/>
  <c r="R271" i="10" s="1"/>
  <c r="K271" i="10"/>
  <c r="M271" i="10" s="1"/>
  <c r="J271" i="10"/>
  <c r="L271" i="10" s="1"/>
  <c r="I271" i="10"/>
  <c r="H271" i="10"/>
  <c r="U270" i="10"/>
  <c r="Q270" i="10"/>
  <c r="S270" i="10" s="1"/>
  <c r="P270" i="10"/>
  <c r="R270" i="10" s="1"/>
  <c r="M270" i="10"/>
  <c r="K270" i="10"/>
  <c r="J270" i="10"/>
  <c r="L270" i="10" s="1"/>
  <c r="I270" i="10"/>
  <c r="H270" i="10"/>
  <c r="U269" i="10"/>
  <c r="Q269" i="10"/>
  <c r="S269" i="10" s="1"/>
  <c r="P269" i="10"/>
  <c r="R269" i="10" s="1"/>
  <c r="J269" i="10"/>
  <c r="L269" i="10" s="1"/>
  <c r="I269" i="10"/>
  <c r="K269" i="10" s="1"/>
  <c r="H269" i="10"/>
  <c r="U268" i="10"/>
  <c r="Q268" i="10"/>
  <c r="S268" i="10" s="1"/>
  <c r="P268" i="10"/>
  <c r="R268" i="10" s="1"/>
  <c r="J268" i="10"/>
  <c r="L268" i="10" s="1"/>
  <c r="I268" i="10"/>
  <c r="K268" i="10" s="1"/>
  <c r="H268" i="10"/>
  <c r="U267" i="10"/>
  <c r="Q267" i="10"/>
  <c r="S267" i="10" s="1"/>
  <c r="P267" i="10"/>
  <c r="R267" i="10" s="1"/>
  <c r="J267" i="10"/>
  <c r="L267" i="10" s="1"/>
  <c r="I267" i="10"/>
  <c r="K267" i="10" s="1"/>
  <c r="M267" i="10" s="1"/>
  <c r="H267" i="10"/>
  <c r="U266" i="10"/>
  <c r="Q266" i="10"/>
  <c r="S266" i="10" s="1"/>
  <c r="P266" i="10"/>
  <c r="R266" i="10" s="1"/>
  <c r="T266" i="10" s="1"/>
  <c r="J266" i="10"/>
  <c r="L266" i="10" s="1"/>
  <c r="I266" i="10"/>
  <c r="K266" i="10" s="1"/>
  <c r="M266" i="10" s="1"/>
  <c r="H266" i="10"/>
  <c r="U265" i="10"/>
  <c r="Q265" i="10"/>
  <c r="S265" i="10" s="1"/>
  <c r="P265" i="10"/>
  <c r="R265" i="10" s="1"/>
  <c r="K265" i="10"/>
  <c r="M265" i="10" s="1"/>
  <c r="J265" i="10"/>
  <c r="L265" i="10" s="1"/>
  <c r="I265" i="10"/>
  <c r="H265" i="10"/>
  <c r="U264" i="10"/>
  <c r="Q264" i="10"/>
  <c r="S264" i="10" s="1"/>
  <c r="P264" i="10"/>
  <c r="R264" i="10" s="1"/>
  <c r="M264" i="10"/>
  <c r="L264" i="10"/>
  <c r="K264" i="10"/>
  <c r="J264" i="10"/>
  <c r="I264" i="10"/>
  <c r="H264" i="10"/>
  <c r="U263" i="10"/>
  <c r="Q263" i="10"/>
  <c r="S263" i="10" s="1"/>
  <c r="P263" i="10"/>
  <c r="R263" i="10" s="1"/>
  <c r="T263" i="10" s="1"/>
  <c r="L263" i="10"/>
  <c r="M263" i="10" s="1"/>
  <c r="K263" i="10"/>
  <c r="J263" i="10"/>
  <c r="I263" i="10"/>
  <c r="H263" i="10"/>
  <c r="U262" i="10"/>
  <c r="S262" i="10"/>
  <c r="T262" i="10" s="1"/>
  <c r="Q262" i="10"/>
  <c r="P262" i="10"/>
  <c r="R262" i="10" s="1"/>
  <c r="L262" i="10"/>
  <c r="K262" i="10"/>
  <c r="M262" i="10" s="1"/>
  <c r="J262" i="10"/>
  <c r="I262" i="10"/>
  <c r="H262" i="10"/>
  <c r="U261" i="10"/>
  <c r="Q261" i="10"/>
  <c r="S261" i="10" s="1"/>
  <c r="P261" i="10"/>
  <c r="R261" i="10" s="1"/>
  <c r="L261" i="10"/>
  <c r="K261" i="10"/>
  <c r="M261" i="10" s="1"/>
  <c r="J261" i="10"/>
  <c r="I261" i="10"/>
  <c r="H261" i="10"/>
  <c r="U260" i="10"/>
  <c r="Q260" i="10"/>
  <c r="S260" i="10" s="1"/>
  <c r="T260" i="10" s="1"/>
  <c r="P260" i="10"/>
  <c r="R260" i="10" s="1"/>
  <c r="M260" i="10"/>
  <c r="L260" i="10"/>
  <c r="K260" i="10"/>
  <c r="J260" i="10"/>
  <c r="I260" i="10"/>
  <c r="H260" i="10"/>
  <c r="U259" i="10"/>
  <c r="Q259" i="10"/>
  <c r="S259" i="10" s="1"/>
  <c r="P259" i="10"/>
  <c r="R259" i="10" s="1"/>
  <c r="M259" i="10"/>
  <c r="L259" i="10"/>
  <c r="K259" i="10"/>
  <c r="J259" i="10"/>
  <c r="I259" i="10"/>
  <c r="H259" i="10"/>
  <c r="U258" i="10"/>
  <c r="Q258" i="10"/>
  <c r="S258" i="10" s="1"/>
  <c r="P258" i="10"/>
  <c r="R258" i="10" s="1"/>
  <c r="M258" i="10"/>
  <c r="L258" i="10"/>
  <c r="K258" i="10"/>
  <c r="J258" i="10"/>
  <c r="I258" i="10"/>
  <c r="H258" i="10"/>
  <c r="U257" i="10"/>
  <c r="Q257" i="10"/>
  <c r="S257" i="10" s="1"/>
  <c r="P257" i="10"/>
  <c r="R257" i="10" s="1"/>
  <c r="L257" i="10"/>
  <c r="K257" i="10"/>
  <c r="M257" i="10" s="1"/>
  <c r="J257" i="10"/>
  <c r="I257" i="10"/>
  <c r="H257" i="10"/>
  <c r="U256" i="10"/>
  <c r="Q256" i="10"/>
  <c r="S256" i="10" s="1"/>
  <c r="P256" i="10"/>
  <c r="R256" i="10" s="1"/>
  <c r="M256" i="10"/>
  <c r="L256" i="10"/>
  <c r="K256" i="10"/>
  <c r="J256" i="10"/>
  <c r="I256" i="10"/>
  <c r="H256" i="10"/>
  <c r="U255" i="10"/>
  <c r="Q255" i="10"/>
  <c r="S255" i="10" s="1"/>
  <c r="P255" i="10"/>
  <c r="R255" i="10" s="1"/>
  <c r="L255" i="10"/>
  <c r="M255" i="10" s="1"/>
  <c r="K255" i="10"/>
  <c r="J255" i="10"/>
  <c r="I255" i="10"/>
  <c r="H255" i="10"/>
  <c r="U254" i="10"/>
  <c r="Q254" i="10"/>
  <c r="S254" i="10" s="1"/>
  <c r="P254" i="10"/>
  <c r="R254" i="10" s="1"/>
  <c r="L254" i="10"/>
  <c r="K254" i="10"/>
  <c r="M254" i="10" s="1"/>
  <c r="J254" i="10"/>
  <c r="I254" i="10"/>
  <c r="H254" i="10"/>
  <c r="U253" i="10"/>
  <c r="Q253" i="10"/>
  <c r="S253" i="10" s="1"/>
  <c r="P253" i="10"/>
  <c r="R253" i="10" s="1"/>
  <c r="L253" i="10"/>
  <c r="K253" i="10"/>
  <c r="J253" i="10"/>
  <c r="I253" i="10"/>
  <c r="H253" i="10"/>
  <c r="U252" i="10"/>
  <c r="Q252" i="10"/>
  <c r="S252" i="10" s="1"/>
  <c r="P252" i="10"/>
  <c r="R252" i="10" s="1"/>
  <c r="L252" i="10"/>
  <c r="K252" i="10"/>
  <c r="M252" i="10" s="1"/>
  <c r="J252" i="10"/>
  <c r="I252" i="10"/>
  <c r="H252" i="10"/>
  <c r="U251" i="10"/>
  <c r="Q251" i="10"/>
  <c r="S251" i="10" s="1"/>
  <c r="P251" i="10"/>
  <c r="R251" i="10" s="1"/>
  <c r="L251" i="10"/>
  <c r="M251" i="10" s="1"/>
  <c r="K251" i="10"/>
  <c r="J251" i="10"/>
  <c r="I251" i="10"/>
  <c r="H251" i="10"/>
  <c r="U250" i="10"/>
  <c r="Q250" i="10"/>
  <c r="S250" i="10" s="1"/>
  <c r="P250" i="10"/>
  <c r="R250" i="10" s="1"/>
  <c r="T250" i="10" s="1"/>
  <c r="L250" i="10"/>
  <c r="K250" i="10"/>
  <c r="J250" i="10"/>
  <c r="I250" i="10"/>
  <c r="H250" i="10"/>
  <c r="U249" i="10"/>
  <c r="Q249" i="10"/>
  <c r="S249" i="10" s="1"/>
  <c r="P249" i="10"/>
  <c r="R249" i="10" s="1"/>
  <c r="L249" i="10"/>
  <c r="K249" i="10"/>
  <c r="M249" i="10" s="1"/>
  <c r="J249" i="10"/>
  <c r="I249" i="10"/>
  <c r="H249" i="10"/>
  <c r="U248" i="10"/>
  <c r="Q248" i="10"/>
  <c r="S248" i="10" s="1"/>
  <c r="P248" i="10"/>
  <c r="R248" i="10" s="1"/>
  <c r="T248" i="10" s="1"/>
  <c r="M248" i="10"/>
  <c r="L248" i="10"/>
  <c r="K248" i="10"/>
  <c r="J248" i="10"/>
  <c r="I248" i="10"/>
  <c r="H248" i="10"/>
  <c r="U247" i="10"/>
  <c r="Q247" i="10"/>
  <c r="S247" i="10" s="1"/>
  <c r="P247" i="10"/>
  <c r="R247" i="10" s="1"/>
  <c r="M247" i="10"/>
  <c r="L247" i="10"/>
  <c r="K247" i="10"/>
  <c r="J247" i="10"/>
  <c r="I247" i="10"/>
  <c r="H247" i="10"/>
  <c r="U246" i="10"/>
  <c r="Q246" i="10"/>
  <c r="S246" i="10" s="1"/>
  <c r="P246" i="10"/>
  <c r="R246" i="10" s="1"/>
  <c r="L246" i="10"/>
  <c r="M246" i="10" s="1"/>
  <c r="K246" i="10"/>
  <c r="J246" i="10"/>
  <c r="I246" i="10"/>
  <c r="H246" i="10"/>
  <c r="U245" i="10"/>
  <c r="Q245" i="10"/>
  <c r="S245" i="10" s="1"/>
  <c r="P245" i="10"/>
  <c r="R245" i="10" s="1"/>
  <c r="M245" i="10"/>
  <c r="L245" i="10"/>
  <c r="K245" i="10"/>
  <c r="J245" i="10"/>
  <c r="I245" i="10"/>
  <c r="H245" i="10"/>
  <c r="U244" i="10"/>
  <c r="Q244" i="10"/>
  <c r="S244" i="10" s="1"/>
  <c r="P244" i="10"/>
  <c r="R244" i="10" s="1"/>
  <c r="M244" i="10"/>
  <c r="L244" i="10"/>
  <c r="K244" i="10"/>
  <c r="J244" i="10"/>
  <c r="I244" i="10"/>
  <c r="H244" i="10"/>
  <c r="U243" i="10"/>
  <c r="Q243" i="10"/>
  <c r="S243" i="10" s="1"/>
  <c r="P243" i="10"/>
  <c r="R243" i="10" s="1"/>
  <c r="M243" i="10"/>
  <c r="L243" i="10"/>
  <c r="K243" i="10"/>
  <c r="J243" i="10"/>
  <c r="I243" i="10"/>
  <c r="H243" i="10"/>
  <c r="U242" i="10"/>
  <c r="Q242" i="10"/>
  <c r="S242" i="10" s="1"/>
  <c r="P242" i="10"/>
  <c r="R242" i="10" s="1"/>
  <c r="L242" i="10"/>
  <c r="K242" i="10"/>
  <c r="M242" i="10" s="1"/>
  <c r="J242" i="10"/>
  <c r="I242" i="10"/>
  <c r="H242" i="10"/>
  <c r="U241" i="10"/>
  <c r="Q241" i="10"/>
  <c r="S241" i="10" s="1"/>
  <c r="P241" i="10"/>
  <c r="R241" i="10" s="1"/>
  <c r="M241" i="10"/>
  <c r="L241" i="10"/>
  <c r="K241" i="10"/>
  <c r="J241" i="10"/>
  <c r="I241" i="10"/>
  <c r="H241" i="10"/>
  <c r="U240" i="10"/>
  <c r="Q240" i="10"/>
  <c r="S240" i="10" s="1"/>
  <c r="P240" i="10"/>
  <c r="R240" i="10" s="1"/>
  <c r="L240" i="10"/>
  <c r="K240" i="10"/>
  <c r="M240" i="10" s="1"/>
  <c r="J240" i="10"/>
  <c r="I240" i="10"/>
  <c r="H240" i="10"/>
  <c r="U239" i="10"/>
  <c r="Q239" i="10"/>
  <c r="S239" i="10" s="1"/>
  <c r="P239" i="10"/>
  <c r="R239" i="10" s="1"/>
  <c r="L239" i="10"/>
  <c r="M239" i="10" s="1"/>
  <c r="K239" i="10"/>
  <c r="J239" i="10"/>
  <c r="I239" i="10"/>
  <c r="H239" i="10"/>
  <c r="U238" i="10"/>
  <c r="Q238" i="10"/>
  <c r="S238" i="10" s="1"/>
  <c r="P238" i="10"/>
  <c r="R238" i="10" s="1"/>
  <c r="M238" i="10"/>
  <c r="L238" i="10"/>
  <c r="K238" i="10"/>
  <c r="J238" i="10"/>
  <c r="I238" i="10"/>
  <c r="H238" i="10"/>
  <c r="U237" i="10"/>
  <c r="Q237" i="10"/>
  <c r="S237" i="10" s="1"/>
  <c r="P237" i="10"/>
  <c r="R237" i="10" s="1"/>
  <c r="L237" i="10"/>
  <c r="M237" i="10" s="1"/>
  <c r="K237" i="10"/>
  <c r="J237" i="10"/>
  <c r="I237" i="10"/>
  <c r="H237" i="10"/>
  <c r="U236" i="10"/>
  <c r="Q236" i="10"/>
  <c r="S236" i="10" s="1"/>
  <c r="P236" i="10"/>
  <c r="R236" i="10" s="1"/>
  <c r="L236" i="10"/>
  <c r="K236" i="10"/>
  <c r="J236" i="10"/>
  <c r="I236" i="10"/>
  <c r="H236" i="10"/>
  <c r="U235" i="10"/>
  <c r="Q235" i="10"/>
  <c r="S235" i="10" s="1"/>
  <c r="P235" i="10"/>
  <c r="R235" i="10" s="1"/>
  <c r="M235" i="10"/>
  <c r="L235" i="10"/>
  <c r="K235" i="10"/>
  <c r="J235" i="10"/>
  <c r="I235" i="10"/>
  <c r="H235" i="10"/>
  <c r="U234" i="10"/>
  <c r="Q234" i="10"/>
  <c r="S234" i="10" s="1"/>
  <c r="P234" i="10"/>
  <c r="R234" i="10" s="1"/>
  <c r="L234" i="10"/>
  <c r="K234" i="10"/>
  <c r="M234" i="10" s="1"/>
  <c r="J234" i="10"/>
  <c r="I234" i="10"/>
  <c r="H234" i="10"/>
  <c r="U233" i="10"/>
  <c r="Q233" i="10"/>
  <c r="S233" i="10" s="1"/>
  <c r="P233" i="10"/>
  <c r="R233" i="10" s="1"/>
  <c r="T233" i="10" s="1"/>
  <c r="M233" i="10"/>
  <c r="L233" i="10"/>
  <c r="K233" i="10"/>
  <c r="J233" i="10"/>
  <c r="I233" i="10"/>
  <c r="H233" i="10"/>
  <c r="U232" i="10"/>
  <c r="Q232" i="10"/>
  <c r="S232" i="10" s="1"/>
  <c r="P232" i="10"/>
  <c r="R232" i="10" s="1"/>
  <c r="M232" i="10"/>
  <c r="L232" i="10"/>
  <c r="K232" i="10"/>
  <c r="J232" i="10"/>
  <c r="I232" i="10"/>
  <c r="H232" i="10"/>
  <c r="U231" i="10"/>
  <c r="Q231" i="10"/>
  <c r="S231" i="10" s="1"/>
  <c r="P231" i="10"/>
  <c r="R231" i="10" s="1"/>
  <c r="M231" i="10"/>
  <c r="L231" i="10"/>
  <c r="K231" i="10"/>
  <c r="J231" i="10"/>
  <c r="I231" i="10"/>
  <c r="H231" i="10"/>
  <c r="U230" i="10"/>
  <c r="Q230" i="10"/>
  <c r="S230" i="10" s="1"/>
  <c r="P230" i="10"/>
  <c r="R230" i="10" s="1"/>
  <c r="L230" i="10"/>
  <c r="K230" i="10"/>
  <c r="M230" i="10" s="1"/>
  <c r="J230" i="10"/>
  <c r="I230" i="10"/>
  <c r="H230" i="10"/>
  <c r="U229" i="10"/>
  <c r="Q229" i="10"/>
  <c r="S229" i="10" s="1"/>
  <c r="P229" i="10"/>
  <c r="R229" i="10" s="1"/>
  <c r="M229" i="10"/>
  <c r="L229" i="10"/>
  <c r="K229" i="10"/>
  <c r="J229" i="10"/>
  <c r="I229" i="10"/>
  <c r="H229" i="10"/>
  <c r="U228" i="10"/>
  <c r="Q228" i="10"/>
  <c r="S228" i="10" s="1"/>
  <c r="P228" i="10"/>
  <c r="R228" i="10" s="1"/>
  <c r="T228" i="10" s="1"/>
  <c r="L228" i="10"/>
  <c r="K228" i="10"/>
  <c r="M228" i="10" s="1"/>
  <c r="J228" i="10"/>
  <c r="I228" i="10"/>
  <c r="H228" i="10"/>
  <c r="U227" i="10"/>
  <c r="Q227" i="10"/>
  <c r="S227" i="10" s="1"/>
  <c r="P227" i="10"/>
  <c r="R227" i="10" s="1"/>
  <c r="M227" i="10"/>
  <c r="L227" i="10"/>
  <c r="K227" i="10"/>
  <c r="J227" i="10"/>
  <c r="I227" i="10"/>
  <c r="H227" i="10"/>
  <c r="U226" i="10"/>
  <c r="Q226" i="10"/>
  <c r="S226" i="10" s="1"/>
  <c r="P226" i="10"/>
  <c r="R226" i="10" s="1"/>
  <c r="T226" i="10" s="1"/>
  <c r="M226" i="10"/>
  <c r="L226" i="10"/>
  <c r="K226" i="10"/>
  <c r="J226" i="10"/>
  <c r="I226" i="10"/>
  <c r="H226" i="10"/>
  <c r="U225" i="10"/>
  <c r="Q225" i="10"/>
  <c r="S225" i="10" s="1"/>
  <c r="P225" i="10"/>
  <c r="R225" i="10" s="1"/>
  <c r="T225" i="10" s="1"/>
  <c r="M225" i="10"/>
  <c r="L225" i="10"/>
  <c r="K225" i="10"/>
  <c r="J225" i="10"/>
  <c r="I225" i="10"/>
  <c r="H225" i="10"/>
  <c r="U224" i="10"/>
  <c r="Q224" i="10"/>
  <c r="S224" i="10" s="1"/>
  <c r="P224" i="10"/>
  <c r="R224" i="10" s="1"/>
  <c r="L224" i="10"/>
  <c r="K224" i="10"/>
  <c r="M224" i="10" s="1"/>
  <c r="J224" i="10"/>
  <c r="I224" i="10"/>
  <c r="H224" i="10"/>
  <c r="U223" i="10"/>
  <c r="Q223" i="10"/>
  <c r="S223" i="10" s="1"/>
  <c r="P223" i="10"/>
  <c r="R223" i="10" s="1"/>
  <c r="M223" i="10"/>
  <c r="L223" i="10"/>
  <c r="K223" i="10"/>
  <c r="J223" i="10"/>
  <c r="I223" i="10"/>
  <c r="H223" i="10"/>
  <c r="U222" i="10"/>
  <c r="Q222" i="10"/>
  <c r="S222" i="10" s="1"/>
  <c r="P222" i="10"/>
  <c r="R222" i="10" s="1"/>
  <c r="L222" i="10"/>
  <c r="K222" i="10"/>
  <c r="M222" i="10" s="1"/>
  <c r="J222" i="10"/>
  <c r="I222" i="10"/>
  <c r="H222" i="10"/>
  <c r="U221" i="10"/>
  <c r="Q221" i="10"/>
  <c r="S221" i="10" s="1"/>
  <c r="P221" i="10"/>
  <c r="R221" i="10" s="1"/>
  <c r="M221" i="10"/>
  <c r="L221" i="10"/>
  <c r="K221" i="10"/>
  <c r="J221" i="10"/>
  <c r="I221" i="10"/>
  <c r="H221" i="10"/>
  <c r="U220" i="10"/>
  <c r="Q220" i="10"/>
  <c r="S220" i="10" s="1"/>
  <c r="P220" i="10"/>
  <c r="R220" i="10" s="1"/>
  <c r="M220" i="10"/>
  <c r="L220" i="10"/>
  <c r="K220" i="10"/>
  <c r="J220" i="10"/>
  <c r="I220" i="10"/>
  <c r="H220" i="10"/>
  <c r="U219" i="10"/>
  <c r="Q219" i="10"/>
  <c r="S219" i="10" s="1"/>
  <c r="P219" i="10"/>
  <c r="R219" i="10" s="1"/>
  <c r="M219" i="10"/>
  <c r="L219" i="10"/>
  <c r="K219" i="10"/>
  <c r="J219" i="10"/>
  <c r="I219" i="10"/>
  <c r="H219" i="10"/>
  <c r="U218" i="10"/>
  <c r="Q218" i="10"/>
  <c r="S218" i="10" s="1"/>
  <c r="P218" i="10"/>
  <c r="R218" i="10" s="1"/>
  <c r="L218" i="10"/>
  <c r="K218" i="10"/>
  <c r="J218" i="10"/>
  <c r="I218" i="10"/>
  <c r="H218" i="10"/>
  <c r="U217" i="10"/>
  <c r="Q217" i="10"/>
  <c r="S217" i="10" s="1"/>
  <c r="P217" i="10"/>
  <c r="R217" i="10" s="1"/>
  <c r="M217" i="10"/>
  <c r="L217" i="10"/>
  <c r="K217" i="10"/>
  <c r="J217" i="10"/>
  <c r="I217" i="10"/>
  <c r="H217" i="10"/>
  <c r="U216" i="10"/>
  <c r="Q216" i="10"/>
  <c r="S216" i="10" s="1"/>
  <c r="P216" i="10"/>
  <c r="R216" i="10" s="1"/>
  <c r="L216" i="10"/>
  <c r="K216" i="10"/>
  <c r="M216" i="10" s="1"/>
  <c r="J216" i="10"/>
  <c r="I216" i="10"/>
  <c r="H216" i="10"/>
  <c r="U215" i="10"/>
  <c r="Q215" i="10"/>
  <c r="S215" i="10" s="1"/>
  <c r="P215" i="10"/>
  <c r="R215" i="10" s="1"/>
  <c r="M215" i="10"/>
  <c r="L215" i="10"/>
  <c r="K215" i="10"/>
  <c r="J215" i="10"/>
  <c r="I215" i="10"/>
  <c r="H215" i="10"/>
  <c r="U214" i="10"/>
  <c r="Q214" i="10"/>
  <c r="S214" i="10" s="1"/>
  <c r="P214" i="10"/>
  <c r="R214" i="10" s="1"/>
  <c r="T214" i="10" s="1"/>
  <c r="L214" i="10"/>
  <c r="K214" i="10"/>
  <c r="M214" i="10" s="1"/>
  <c r="J214" i="10"/>
  <c r="I214" i="10"/>
  <c r="H214" i="10"/>
  <c r="U213" i="10"/>
  <c r="Q213" i="10"/>
  <c r="S213" i="10" s="1"/>
  <c r="P213" i="10"/>
  <c r="R213" i="10" s="1"/>
  <c r="L213" i="10"/>
  <c r="K213" i="10"/>
  <c r="M213" i="10" s="1"/>
  <c r="J213" i="10"/>
  <c r="I213" i="10"/>
  <c r="H213" i="10"/>
  <c r="U212" i="10"/>
  <c r="Q212" i="10"/>
  <c r="S212" i="10" s="1"/>
  <c r="P212" i="10"/>
  <c r="R212" i="10" s="1"/>
  <c r="L212" i="10"/>
  <c r="K212" i="10"/>
  <c r="M212" i="10" s="1"/>
  <c r="J212" i="10"/>
  <c r="I212" i="10"/>
  <c r="H212" i="10"/>
  <c r="U211" i="10"/>
  <c r="Q211" i="10"/>
  <c r="S211" i="10" s="1"/>
  <c r="P211" i="10"/>
  <c r="R211" i="10" s="1"/>
  <c r="L211" i="10"/>
  <c r="K211" i="10"/>
  <c r="M211" i="10" s="1"/>
  <c r="J211" i="10"/>
  <c r="I211" i="10"/>
  <c r="H211" i="10"/>
  <c r="U210" i="10"/>
  <c r="Q210" i="10"/>
  <c r="S210" i="10" s="1"/>
  <c r="P210" i="10"/>
  <c r="R210" i="10" s="1"/>
  <c r="M210" i="10"/>
  <c r="L210" i="10"/>
  <c r="K210" i="10"/>
  <c r="J210" i="10"/>
  <c r="I210" i="10"/>
  <c r="H210" i="10"/>
  <c r="U209" i="10"/>
  <c r="Q209" i="10"/>
  <c r="S209" i="10" s="1"/>
  <c r="P209" i="10"/>
  <c r="R209" i="10" s="1"/>
  <c r="L209" i="10"/>
  <c r="K209" i="10"/>
  <c r="M209" i="10" s="1"/>
  <c r="J209" i="10"/>
  <c r="I209" i="10"/>
  <c r="H209" i="10"/>
  <c r="U208" i="10"/>
  <c r="Q208" i="10"/>
  <c r="S208" i="10" s="1"/>
  <c r="P208" i="10"/>
  <c r="R208" i="10" s="1"/>
  <c r="L208" i="10"/>
  <c r="K208" i="10"/>
  <c r="M208" i="10" s="1"/>
  <c r="J208" i="10"/>
  <c r="I208" i="10"/>
  <c r="H208" i="10"/>
  <c r="U207" i="10"/>
  <c r="Q207" i="10"/>
  <c r="S207" i="10" s="1"/>
  <c r="P207" i="10"/>
  <c r="R207" i="10" s="1"/>
  <c r="M207" i="10"/>
  <c r="L207" i="10"/>
  <c r="K207" i="10"/>
  <c r="J207" i="10"/>
  <c r="I207" i="10"/>
  <c r="H207" i="10"/>
  <c r="U206" i="10"/>
  <c r="Q206" i="10"/>
  <c r="S206" i="10" s="1"/>
  <c r="P206" i="10"/>
  <c r="R206" i="10" s="1"/>
  <c r="L206" i="10"/>
  <c r="K206" i="10"/>
  <c r="M206" i="10" s="1"/>
  <c r="J206" i="10"/>
  <c r="I206" i="10"/>
  <c r="H206" i="10"/>
  <c r="U205" i="10"/>
  <c r="Q205" i="10"/>
  <c r="S205" i="10" s="1"/>
  <c r="P205" i="10"/>
  <c r="R205" i="10" s="1"/>
  <c r="M205" i="10"/>
  <c r="L205" i="10"/>
  <c r="K205" i="10"/>
  <c r="J205" i="10"/>
  <c r="I205" i="10"/>
  <c r="H205" i="10"/>
  <c r="U204" i="10"/>
  <c r="Q204" i="10"/>
  <c r="S204" i="10" s="1"/>
  <c r="P204" i="10"/>
  <c r="R204" i="10" s="1"/>
  <c r="M204" i="10"/>
  <c r="L204" i="10"/>
  <c r="K204" i="10"/>
  <c r="J204" i="10"/>
  <c r="I204" i="10"/>
  <c r="H204" i="10"/>
  <c r="U203" i="10"/>
  <c r="Q203" i="10"/>
  <c r="S203" i="10" s="1"/>
  <c r="P203" i="10"/>
  <c r="R203" i="10" s="1"/>
  <c r="L203" i="10"/>
  <c r="K203" i="10"/>
  <c r="M203" i="10" s="1"/>
  <c r="J203" i="10"/>
  <c r="I203" i="10"/>
  <c r="H203" i="10"/>
  <c r="U202" i="10"/>
  <c r="Q202" i="10"/>
  <c r="S202" i="10" s="1"/>
  <c r="P202" i="10"/>
  <c r="R202" i="10" s="1"/>
  <c r="M202" i="10"/>
  <c r="L202" i="10"/>
  <c r="K202" i="10"/>
  <c r="J202" i="10"/>
  <c r="I202" i="10"/>
  <c r="H202" i="10"/>
  <c r="U201" i="10"/>
  <c r="Q201" i="10"/>
  <c r="S201" i="10" s="1"/>
  <c r="P201" i="10"/>
  <c r="R201" i="10" s="1"/>
  <c r="M201" i="10"/>
  <c r="L201" i="10"/>
  <c r="K201" i="10"/>
  <c r="J201" i="10"/>
  <c r="I201" i="10"/>
  <c r="H201" i="10"/>
  <c r="U200" i="10"/>
  <c r="Q200" i="10"/>
  <c r="S200" i="10" s="1"/>
  <c r="P200" i="10"/>
  <c r="R200" i="10" s="1"/>
  <c r="M200" i="10"/>
  <c r="L200" i="10"/>
  <c r="K200" i="10"/>
  <c r="J200" i="10"/>
  <c r="I200" i="10"/>
  <c r="H200" i="10"/>
  <c r="U199" i="10"/>
  <c r="Q199" i="10"/>
  <c r="S199" i="10" s="1"/>
  <c r="P199" i="10"/>
  <c r="R199" i="10" s="1"/>
  <c r="M199" i="10"/>
  <c r="L199" i="10"/>
  <c r="K199" i="10"/>
  <c r="J199" i="10"/>
  <c r="I199" i="10"/>
  <c r="H199" i="10"/>
  <c r="U198" i="10"/>
  <c r="Q198" i="10"/>
  <c r="S198" i="10" s="1"/>
  <c r="P198" i="10"/>
  <c r="R198" i="10" s="1"/>
  <c r="M198" i="10"/>
  <c r="L198" i="10"/>
  <c r="K198" i="10"/>
  <c r="J198" i="10"/>
  <c r="I198" i="10"/>
  <c r="H198" i="10"/>
  <c r="U197" i="10"/>
  <c r="Q197" i="10"/>
  <c r="S197" i="10" s="1"/>
  <c r="P197" i="10"/>
  <c r="R197" i="10" s="1"/>
  <c r="L197" i="10"/>
  <c r="K197" i="10"/>
  <c r="M197" i="10" s="1"/>
  <c r="J197" i="10"/>
  <c r="I197" i="10"/>
  <c r="H197" i="10"/>
  <c r="U196" i="10"/>
  <c r="Q196" i="10"/>
  <c r="S196" i="10" s="1"/>
  <c r="P196" i="10"/>
  <c r="R196" i="10" s="1"/>
  <c r="M196" i="10"/>
  <c r="L196" i="10"/>
  <c r="K196" i="10"/>
  <c r="J196" i="10"/>
  <c r="I196" i="10"/>
  <c r="H196" i="10"/>
  <c r="U195" i="10"/>
  <c r="Q195" i="10"/>
  <c r="S195" i="10" s="1"/>
  <c r="P195" i="10"/>
  <c r="R195" i="10" s="1"/>
  <c r="L195" i="10"/>
  <c r="K195" i="10"/>
  <c r="M195" i="10" s="1"/>
  <c r="J195" i="10"/>
  <c r="I195" i="10"/>
  <c r="H195" i="10"/>
  <c r="U194" i="10"/>
  <c r="Q194" i="10"/>
  <c r="S194" i="10" s="1"/>
  <c r="P194" i="10"/>
  <c r="R194" i="10" s="1"/>
  <c r="M194" i="10"/>
  <c r="L194" i="10"/>
  <c r="K194" i="10"/>
  <c r="J194" i="10"/>
  <c r="I194" i="10"/>
  <c r="H194" i="10"/>
  <c r="U193" i="10"/>
  <c r="Q193" i="10"/>
  <c r="S193" i="10" s="1"/>
  <c r="P193" i="10"/>
  <c r="R193" i="10" s="1"/>
  <c r="T193" i="10" s="1"/>
  <c r="L193" i="10"/>
  <c r="K193" i="10"/>
  <c r="M193" i="10" s="1"/>
  <c r="J193" i="10"/>
  <c r="I193" i="10"/>
  <c r="H193" i="10"/>
  <c r="U192" i="10"/>
  <c r="Q192" i="10"/>
  <c r="S192" i="10" s="1"/>
  <c r="P192" i="10"/>
  <c r="R192" i="10" s="1"/>
  <c r="L192" i="10"/>
  <c r="K192" i="10"/>
  <c r="M192" i="10" s="1"/>
  <c r="J192" i="10"/>
  <c r="I192" i="10"/>
  <c r="H192" i="10"/>
  <c r="U191" i="10"/>
  <c r="Q191" i="10"/>
  <c r="S191" i="10" s="1"/>
  <c r="P191" i="10"/>
  <c r="R191" i="10" s="1"/>
  <c r="T191" i="10" s="1"/>
  <c r="M191" i="10"/>
  <c r="L191" i="10"/>
  <c r="K191" i="10"/>
  <c r="J191" i="10"/>
  <c r="I191" i="10"/>
  <c r="H191" i="10"/>
  <c r="U190" i="10"/>
  <c r="Q190" i="10"/>
  <c r="S190" i="10" s="1"/>
  <c r="P190" i="10"/>
  <c r="R190" i="10" s="1"/>
  <c r="L190" i="10"/>
  <c r="K190" i="10"/>
  <c r="M190" i="10" s="1"/>
  <c r="J190" i="10"/>
  <c r="I190" i="10"/>
  <c r="H190" i="10"/>
  <c r="U189" i="10"/>
  <c r="Q189" i="10"/>
  <c r="S189" i="10" s="1"/>
  <c r="P189" i="10"/>
  <c r="R189" i="10" s="1"/>
  <c r="L189" i="10"/>
  <c r="K189" i="10"/>
  <c r="M189" i="10" s="1"/>
  <c r="J189" i="10"/>
  <c r="I189" i="10"/>
  <c r="H189" i="10"/>
  <c r="U188" i="10"/>
  <c r="Q188" i="10"/>
  <c r="S188" i="10" s="1"/>
  <c r="P188" i="10"/>
  <c r="R188" i="10" s="1"/>
  <c r="L188" i="10"/>
  <c r="K188" i="10"/>
  <c r="M188" i="10" s="1"/>
  <c r="J188" i="10"/>
  <c r="I188" i="10"/>
  <c r="H188" i="10"/>
  <c r="U187" i="10"/>
  <c r="Q187" i="10"/>
  <c r="S187" i="10" s="1"/>
  <c r="P187" i="10"/>
  <c r="R187" i="10" s="1"/>
  <c r="L187" i="10"/>
  <c r="K187" i="10"/>
  <c r="M187" i="10" s="1"/>
  <c r="J187" i="10"/>
  <c r="I187" i="10"/>
  <c r="H187" i="10"/>
  <c r="U186" i="10"/>
  <c r="Q186" i="10"/>
  <c r="S186" i="10" s="1"/>
  <c r="P186" i="10"/>
  <c r="R186" i="10" s="1"/>
  <c r="M186" i="10"/>
  <c r="L186" i="10"/>
  <c r="K186" i="10"/>
  <c r="J186" i="10"/>
  <c r="I186" i="10"/>
  <c r="H186" i="10"/>
  <c r="U185" i="10"/>
  <c r="Q185" i="10"/>
  <c r="S185" i="10" s="1"/>
  <c r="P185" i="10"/>
  <c r="R185" i="10" s="1"/>
  <c r="M185" i="10"/>
  <c r="L185" i="10"/>
  <c r="K185" i="10"/>
  <c r="J185" i="10"/>
  <c r="I185" i="10"/>
  <c r="H185" i="10"/>
  <c r="U184" i="10"/>
  <c r="Q184" i="10"/>
  <c r="S184" i="10" s="1"/>
  <c r="P184" i="10"/>
  <c r="R184" i="10" s="1"/>
  <c r="L184" i="10"/>
  <c r="K184" i="10"/>
  <c r="M184" i="10" s="1"/>
  <c r="J184" i="10"/>
  <c r="I184" i="10"/>
  <c r="H184" i="10"/>
  <c r="U183" i="10"/>
  <c r="Q183" i="10"/>
  <c r="S183" i="10" s="1"/>
  <c r="P183" i="10"/>
  <c r="R183" i="10" s="1"/>
  <c r="M183" i="10"/>
  <c r="L183" i="10"/>
  <c r="K183" i="10"/>
  <c r="J183" i="10"/>
  <c r="I183" i="10"/>
  <c r="H183" i="10"/>
  <c r="U182" i="10"/>
  <c r="Q182" i="10"/>
  <c r="S182" i="10" s="1"/>
  <c r="P182" i="10"/>
  <c r="R182" i="10" s="1"/>
  <c r="L182" i="10"/>
  <c r="K182" i="10"/>
  <c r="M182" i="10" s="1"/>
  <c r="J182" i="10"/>
  <c r="I182" i="10"/>
  <c r="H182" i="10"/>
  <c r="U181" i="10"/>
  <c r="Q181" i="10"/>
  <c r="S181" i="10" s="1"/>
  <c r="P181" i="10"/>
  <c r="R181" i="10" s="1"/>
  <c r="M181" i="10"/>
  <c r="L181" i="10"/>
  <c r="K181" i="10"/>
  <c r="J181" i="10"/>
  <c r="I181" i="10"/>
  <c r="H181" i="10"/>
  <c r="U180" i="10"/>
  <c r="Q180" i="10"/>
  <c r="S180" i="10" s="1"/>
  <c r="P180" i="10"/>
  <c r="R180" i="10" s="1"/>
  <c r="T180" i="10" s="1"/>
  <c r="M180" i="10"/>
  <c r="L180" i="10"/>
  <c r="K180" i="10"/>
  <c r="J180" i="10"/>
  <c r="I180" i="10"/>
  <c r="H180" i="10"/>
  <c r="U179" i="10"/>
  <c r="R179" i="10"/>
  <c r="Q179" i="10"/>
  <c r="S179" i="10" s="1"/>
  <c r="P179" i="10"/>
  <c r="K179" i="10"/>
  <c r="J179" i="10"/>
  <c r="L179" i="10" s="1"/>
  <c r="I179" i="10"/>
  <c r="H179" i="10"/>
  <c r="U178" i="10"/>
  <c r="Q178" i="10"/>
  <c r="S178" i="10" s="1"/>
  <c r="P178" i="10"/>
  <c r="R178" i="10" s="1"/>
  <c r="K178" i="10"/>
  <c r="M178" i="10" s="1"/>
  <c r="J178" i="10"/>
  <c r="L178" i="10" s="1"/>
  <c r="I178" i="10"/>
  <c r="H178" i="10"/>
  <c r="U177" i="10"/>
  <c r="Q177" i="10"/>
  <c r="S177" i="10" s="1"/>
  <c r="P177" i="10"/>
  <c r="R177" i="10" s="1"/>
  <c r="M177" i="10"/>
  <c r="L177" i="10"/>
  <c r="K177" i="10"/>
  <c r="J177" i="10"/>
  <c r="I177" i="10"/>
  <c r="H177" i="10"/>
  <c r="U176" i="10"/>
  <c r="R176" i="10"/>
  <c r="Q176" i="10"/>
  <c r="S176" i="10" s="1"/>
  <c r="P176" i="10"/>
  <c r="K176" i="10"/>
  <c r="M176" i="10" s="1"/>
  <c r="J176" i="10"/>
  <c r="L176" i="10" s="1"/>
  <c r="I176" i="10"/>
  <c r="H176" i="10"/>
  <c r="U175" i="10"/>
  <c r="Q175" i="10"/>
  <c r="S175" i="10" s="1"/>
  <c r="P175" i="10"/>
  <c r="R175" i="10" s="1"/>
  <c r="T175" i="10" s="1"/>
  <c r="K175" i="10"/>
  <c r="M175" i="10" s="1"/>
  <c r="J175" i="10"/>
  <c r="L175" i="10" s="1"/>
  <c r="I175" i="10"/>
  <c r="H175" i="10"/>
  <c r="U174" i="10"/>
  <c r="Q174" i="10"/>
  <c r="S174" i="10" s="1"/>
  <c r="P174" i="10"/>
  <c r="R174" i="10" s="1"/>
  <c r="L174" i="10"/>
  <c r="K174" i="10"/>
  <c r="M174" i="10" s="1"/>
  <c r="J174" i="10"/>
  <c r="I174" i="10"/>
  <c r="H174" i="10"/>
  <c r="U173" i="10"/>
  <c r="Q173" i="10"/>
  <c r="S173" i="10" s="1"/>
  <c r="P173" i="10"/>
  <c r="R173" i="10" s="1"/>
  <c r="T173" i="10" s="1"/>
  <c r="L173" i="10"/>
  <c r="K173" i="10"/>
  <c r="J173" i="10"/>
  <c r="I173" i="10"/>
  <c r="H173" i="10"/>
  <c r="U172" i="10"/>
  <c r="Q172" i="10"/>
  <c r="S172" i="10" s="1"/>
  <c r="P172" i="10"/>
  <c r="R172" i="10" s="1"/>
  <c r="M172" i="10"/>
  <c r="K172" i="10"/>
  <c r="J172" i="10"/>
  <c r="L172" i="10" s="1"/>
  <c r="I172" i="10"/>
  <c r="H172" i="10"/>
  <c r="U171" i="10"/>
  <c r="Q171" i="10"/>
  <c r="S171" i="10" s="1"/>
  <c r="P171" i="10"/>
  <c r="R171" i="10" s="1"/>
  <c r="K171" i="10"/>
  <c r="J171" i="10"/>
  <c r="L171" i="10" s="1"/>
  <c r="I171" i="10"/>
  <c r="H171" i="10"/>
  <c r="U170" i="10"/>
  <c r="Q170" i="10"/>
  <c r="S170" i="10" s="1"/>
  <c r="P170" i="10"/>
  <c r="R170" i="10" s="1"/>
  <c r="K170" i="10"/>
  <c r="M170" i="10" s="1"/>
  <c r="J170" i="10"/>
  <c r="L170" i="10" s="1"/>
  <c r="I170" i="10"/>
  <c r="H170" i="10"/>
  <c r="U169" i="10"/>
  <c r="Q169" i="10"/>
  <c r="S169" i="10" s="1"/>
  <c r="P169" i="10"/>
  <c r="R169" i="10" s="1"/>
  <c r="L169" i="10"/>
  <c r="M169" i="10" s="1"/>
  <c r="J169" i="10"/>
  <c r="I169" i="10"/>
  <c r="K169" i="10" s="1"/>
  <c r="H169" i="10"/>
  <c r="U168" i="10"/>
  <c r="Q168" i="10"/>
  <c r="S168" i="10" s="1"/>
  <c r="P168" i="10"/>
  <c r="R168" i="10" s="1"/>
  <c r="L168" i="10"/>
  <c r="J168" i="10"/>
  <c r="I168" i="10"/>
  <c r="K168" i="10" s="1"/>
  <c r="M168" i="10" s="1"/>
  <c r="H168" i="10"/>
  <c r="U167" i="10"/>
  <c r="Q167" i="10"/>
  <c r="S167" i="10" s="1"/>
  <c r="P167" i="10"/>
  <c r="R167" i="10" s="1"/>
  <c r="M167" i="10"/>
  <c r="L167" i="10"/>
  <c r="K167" i="10"/>
  <c r="J167" i="10"/>
  <c r="I167" i="10"/>
  <c r="H167" i="10"/>
  <c r="U166" i="10"/>
  <c r="Q166" i="10"/>
  <c r="S166" i="10" s="1"/>
  <c r="P166" i="10"/>
  <c r="R166" i="10" s="1"/>
  <c r="M166" i="10"/>
  <c r="L166" i="10"/>
  <c r="K166" i="10"/>
  <c r="J166" i="10"/>
  <c r="I166" i="10"/>
  <c r="H166" i="10"/>
  <c r="U165" i="10"/>
  <c r="Q165" i="10"/>
  <c r="S165" i="10" s="1"/>
  <c r="P165" i="10"/>
  <c r="R165" i="10" s="1"/>
  <c r="T165" i="10" s="1"/>
  <c r="J165" i="10"/>
  <c r="L165" i="10" s="1"/>
  <c r="I165" i="10"/>
  <c r="K165" i="10" s="1"/>
  <c r="H165" i="10"/>
  <c r="U164" i="10"/>
  <c r="Q164" i="10"/>
  <c r="S164" i="10" s="1"/>
  <c r="P164" i="10"/>
  <c r="R164" i="10" s="1"/>
  <c r="T164" i="10" s="1"/>
  <c r="J164" i="10"/>
  <c r="L164" i="10" s="1"/>
  <c r="I164" i="10"/>
  <c r="K164" i="10" s="1"/>
  <c r="H164" i="10"/>
  <c r="U163" i="10"/>
  <c r="Q163" i="10"/>
  <c r="S163" i="10" s="1"/>
  <c r="P163" i="10"/>
  <c r="R163" i="10" s="1"/>
  <c r="T163" i="10" s="1"/>
  <c r="J163" i="10"/>
  <c r="L163" i="10" s="1"/>
  <c r="I163" i="10"/>
  <c r="K163" i="10" s="1"/>
  <c r="M163" i="10" s="1"/>
  <c r="H163" i="10"/>
  <c r="U162" i="10"/>
  <c r="Q162" i="10"/>
  <c r="S162" i="10" s="1"/>
  <c r="P162" i="10"/>
  <c r="R162" i="10" s="1"/>
  <c r="T162" i="10" s="1"/>
  <c r="L162" i="10"/>
  <c r="J162" i="10"/>
  <c r="I162" i="10"/>
  <c r="K162" i="10" s="1"/>
  <c r="M162" i="10" s="1"/>
  <c r="H162" i="10"/>
  <c r="U161" i="10"/>
  <c r="Q161" i="10"/>
  <c r="S161" i="10" s="1"/>
  <c r="P161" i="10"/>
  <c r="R161" i="10" s="1"/>
  <c r="L161" i="10"/>
  <c r="K161" i="10"/>
  <c r="J161" i="10"/>
  <c r="I161" i="10"/>
  <c r="H161" i="10"/>
  <c r="U160" i="10"/>
  <c r="R160" i="10"/>
  <c r="Q160" i="10"/>
  <c r="S160" i="10" s="1"/>
  <c r="P160" i="10"/>
  <c r="J160" i="10"/>
  <c r="L160" i="10" s="1"/>
  <c r="I160" i="10"/>
  <c r="K160" i="10" s="1"/>
  <c r="M160" i="10" s="1"/>
  <c r="H160" i="10"/>
  <c r="U159" i="10"/>
  <c r="R159" i="10"/>
  <c r="T159" i="10" s="1"/>
  <c r="Q159" i="10"/>
  <c r="S159" i="10" s="1"/>
  <c r="P159" i="10"/>
  <c r="J159" i="10"/>
  <c r="L159" i="10" s="1"/>
  <c r="I159" i="10"/>
  <c r="K159" i="10" s="1"/>
  <c r="H159" i="10"/>
  <c r="U158" i="10"/>
  <c r="Q158" i="10"/>
  <c r="S158" i="10" s="1"/>
  <c r="P158" i="10"/>
  <c r="R158" i="10" s="1"/>
  <c r="T158" i="10" s="1"/>
  <c r="K158" i="10"/>
  <c r="M158" i="10" s="1"/>
  <c r="J158" i="10"/>
  <c r="L158" i="10" s="1"/>
  <c r="I158" i="10"/>
  <c r="H158" i="10"/>
  <c r="U157" i="10"/>
  <c r="Q157" i="10"/>
  <c r="S157" i="10" s="1"/>
  <c r="P157" i="10"/>
  <c r="R157" i="10" s="1"/>
  <c r="T157" i="10" s="1"/>
  <c r="J157" i="10"/>
  <c r="L157" i="10" s="1"/>
  <c r="I157" i="10"/>
  <c r="K157" i="10" s="1"/>
  <c r="M157" i="10" s="1"/>
  <c r="H157" i="10"/>
  <c r="U156" i="10"/>
  <c r="Q156" i="10"/>
  <c r="S156" i="10" s="1"/>
  <c r="P156" i="10"/>
  <c r="R156" i="10" s="1"/>
  <c r="L156" i="10"/>
  <c r="J156" i="10"/>
  <c r="I156" i="10"/>
  <c r="K156" i="10" s="1"/>
  <c r="M156" i="10" s="1"/>
  <c r="H156" i="10"/>
  <c r="U155" i="10"/>
  <c r="Q155" i="10"/>
  <c r="S155" i="10" s="1"/>
  <c r="P155" i="10"/>
  <c r="R155" i="10" s="1"/>
  <c r="M155" i="10"/>
  <c r="L155" i="10"/>
  <c r="K155" i="10"/>
  <c r="J155" i="10"/>
  <c r="I155" i="10"/>
  <c r="H155" i="10"/>
  <c r="U154" i="10"/>
  <c r="Q154" i="10"/>
  <c r="S154" i="10" s="1"/>
  <c r="P154" i="10"/>
  <c r="R154" i="10" s="1"/>
  <c r="L154" i="10"/>
  <c r="K154" i="10"/>
  <c r="M154" i="10" s="1"/>
  <c r="J154" i="10"/>
  <c r="I154" i="10"/>
  <c r="H154" i="10"/>
  <c r="U153" i="10"/>
  <c r="Q153" i="10"/>
  <c r="S153" i="10" s="1"/>
  <c r="P153" i="10"/>
  <c r="R153" i="10" s="1"/>
  <c r="T153" i="10" s="1"/>
  <c r="J153" i="10"/>
  <c r="L153" i="10" s="1"/>
  <c r="I153" i="10"/>
  <c r="K153" i="10" s="1"/>
  <c r="H153" i="10"/>
  <c r="U152" i="10"/>
  <c r="Q152" i="10"/>
  <c r="S152" i="10" s="1"/>
  <c r="P152" i="10"/>
  <c r="R152" i="10" s="1"/>
  <c r="K152" i="10"/>
  <c r="J152" i="10"/>
  <c r="L152" i="10" s="1"/>
  <c r="I152" i="10"/>
  <c r="H152" i="10"/>
  <c r="U151" i="10"/>
  <c r="Q151" i="10"/>
  <c r="S151" i="10" s="1"/>
  <c r="P151" i="10"/>
  <c r="R151" i="10" s="1"/>
  <c r="L151" i="10"/>
  <c r="J151" i="10"/>
  <c r="I151" i="10"/>
  <c r="K151" i="10" s="1"/>
  <c r="M151" i="10" s="1"/>
  <c r="H151" i="10"/>
  <c r="U150" i="10"/>
  <c r="Q150" i="10"/>
  <c r="S150" i="10" s="1"/>
  <c r="P150" i="10"/>
  <c r="R150" i="10" s="1"/>
  <c r="K150" i="10"/>
  <c r="M150" i="10" s="1"/>
  <c r="J150" i="10"/>
  <c r="L150" i="10" s="1"/>
  <c r="I150" i="10"/>
  <c r="H150" i="10"/>
  <c r="U149" i="10"/>
  <c r="Q149" i="10"/>
  <c r="S149" i="10" s="1"/>
  <c r="P149" i="10"/>
  <c r="R149" i="10" s="1"/>
  <c r="T149" i="10" s="1"/>
  <c r="L149" i="10"/>
  <c r="J149" i="10"/>
  <c r="I149" i="10"/>
  <c r="K149" i="10" s="1"/>
  <c r="M149" i="10" s="1"/>
  <c r="H149" i="10"/>
  <c r="U148" i="10"/>
  <c r="Q148" i="10"/>
  <c r="S148" i="10" s="1"/>
  <c r="P148" i="10"/>
  <c r="R148" i="10" s="1"/>
  <c r="M148" i="10"/>
  <c r="K148" i="10"/>
  <c r="J148" i="10"/>
  <c r="L148" i="10" s="1"/>
  <c r="I148" i="10"/>
  <c r="H148" i="10"/>
  <c r="U147" i="10"/>
  <c r="Q147" i="10"/>
  <c r="S147" i="10" s="1"/>
  <c r="P147" i="10"/>
  <c r="R147" i="10" s="1"/>
  <c r="L147" i="10"/>
  <c r="J147" i="10"/>
  <c r="I147" i="10"/>
  <c r="K147" i="10" s="1"/>
  <c r="M147" i="10" s="1"/>
  <c r="H147" i="10"/>
  <c r="U146" i="10"/>
  <c r="Q146" i="10"/>
  <c r="S146" i="10" s="1"/>
  <c r="P146" i="10"/>
  <c r="R146" i="10" s="1"/>
  <c r="J146" i="10"/>
  <c r="L146" i="10" s="1"/>
  <c r="I146" i="10"/>
  <c r="K146" i="10" s="1"/>
  <c r="M146" i="10" s="1"/>
  <c r="H146" i="10"/>
  <c r="U145" i="10"/>
  <c r="Q145" i="10"/>
  <c r="S145" i="10" s="1"/>
  <c r="P145" i="10"/>
  <c r="R145" i="10" s="1"/>
  <c r="M145" i="10"/>
  <c r="L145" i="10"/>
  <c r="J145" i="10"/>
  <c r="I145" i="10"/>
  <c r="K145" i="10" s="1"/>
  <c r="H145" i="10"/>
  <c r="U144" i="10"/>
  <c r="Q144" i="10"/>
  <c r="S144" i="10" s="1"/>
  <c r="P144" i="10"/>
  <c r="R144" i="10" s="1"/>
  <c r="L144" i="10"/>
  <c r="K144" i="10"/>
  <c r="M144" i="10" s="1"/>
  <c r="J144" i="10"/>
  <c r="I144" i="10"/>
  <c r="H144" i="10"/>
  <c r="U143" i="10"/>
  <c r="Q143" i="10"/>
  <c r="S143" i="10" s="1"/>
  <c r="P143" i="10"/>
  <c r="R143" i="10" s="1"/>
  <c r="K143" i="10"/>
  <c r="J143" i="10"/>
  <c r="L143" i="10" s="1"/>
  <c r="M143" i="10" s="1"/>
  <c r="I143" i="10"/>
  <c r="H143" i="10"/>
  <c r="U142" i="10"/>
  <c r="Q142" i="10"/>
  <c r="S142" i="10" s="1"/>
  <c r="P142" i="10"/>
  <c r="R142" i="10" s="1"/>
  <c r="L142" i="10"/>
  <c r="J142" i="10"/>
  <c r="I142" i="10"/>
  <c r="K142" i="10" s="1"/>
  <c r="M142" i="10" s="1"/>
  <c r="H142" i="10"/>
  <c r="U141" i="10"/>
  <c r="Q141" i="10"/>
  <c r="S141" i="10" s="1"/>
  <c r="P141" i="10"/>
  <c r="R141" i="10" s="1"/>
  <c r="L141" i="10"/>
  <c r="K141" i="10"/>
  <c r="M141" i="10" s="1"/>
  <c r="J141" i="10"/>
  <c r="I141" i="10"/>
  <c r="H141" i="10"/>
  <c r="U140" i="10"/>
  <c r="Q140" i="10"/>
  <c r="S140" i="10" s="1"/>
  <c r="P140" i="10"/>
  <c r="R140" i="10" s="1"/>
  <c r="T140" i="10" s="1"/>
  <c r="M140" i="10"/>
  <c r="K140" i="10"/>
  <c r="J140" i="10"/>
  <c r="L140" i="10" s="1"/>
  <c r="I140" i="10"/>
  <c r="H140" i="10"/>
  <c r="U139" i="10"/>
  <c r="Q139" i="10"/>
  <c r="S139" i="10" s="1"/>
  <c r="P139" i="10"/>
  <c r="R139" i="10" s="1"/>
  <c r="J139" i="10"/>
  <c r="L139" i="10" s="1"/>
  <c r="I139" i="10"/>
  <c r="K139" i="10" s="1"/>
  <c r="M139" i="10" s="1"/>
  <c r="H139" i="10"/>
  <c r="U138" i="10"/>
  <c r="Q138" i="10"/>
  <c r="S138" i="10" s="1"/>
  <c r="P138" i="10"/>
  <c r="R138" i="10" s="1"/>
  <c r="L138" i="10"/>
  <c r="K138" i="10"/>
  <c r="J138" i="10"/>
  <c r="I138" i="10"/>
  <c r="H138" i="10"/>
  <c r="U137" i="10"/>
  <c r="Q137" i="10"/>
  <c r="S137" i="10" s="1"/>
  <c r="P137" i="10"/>
  <c r="R137" i="10" s="1"/>
  <c r="K137" i="10"/>
  <c r="M137" i="10" s="1"/>
  <c r="J137" i="10"/>
  <c r="L137" i="10" s="1"/>
  <c r="I137" i="10"/>
  <c r="H137" i="10"/>
  <c r="U136" i="10"/>
  <c r="Q136" i="10"/>
  <c r="S136" i="10" s="1"/>
  <c r="P136" i="10"/>
  <c r="R136" i="10" s="1"/>
  <c r="J136" i="10"/>
  <c r="L136" i="10" s="1"/>
  <c r="I136" i="10"/>
  <c r="K136" i="10" s="1"/>
  <c r="M136" i="10" s="1"/>
  <c r="H136" i="10"/>
  <c r="U135" i="10"/>
  <c r="Q135" i="10"/>
  <c r="S135" i="10" s="1"/>
  <c r="P135" i="10"/>
  <c r="R135" i="10" s="1"/>
  <c r="T135" i="10" s="1"/>
  <c r="L135" i="10"/>
  <c r="J135" i="10"/>
  <c r="I135" i="10"/>
  <c r="K135" i="10" s="1"/>
  <c r="M135" i="10" s="1"/>
  <c r="H135" i="10"/>
  <c r="U134" i="10"/>
  <c r="Q134" i="10"/>
  <c r="S134" i="10" s="1"/>
  <c r="P134" i="10"/>
  <c r="R134" i="10" s="1"/>
  <c r="T134" i="10" s="1"/>
  <c r="L134" i="10"/>
  <c r="K134" i="10"/>
  <c r="M134" i="10" s="1"/>
  <c r="J134" i="10"/>
  <c r="I134" i="10"/>
  <c r="H134" i="10"/>
  <c r="U133" i="10"/>
  <c r="Q133" i="10"/>
  <c r="S133" i="10" s="1"/>
  <c r="P133" i="10"/>
  <c r="R133" i="10" s="1"/>
  <c r="K133" i="10"/>
  <c r="M133" i="10" s="1"/>
  <c r="J133" i="10"/>
  <c r="L133" i="10" s="1"/>
  <c r="I133" i="10"/>
  <c r="H133" i="10"/>
  <c r="U132" i="10"/>
  <c r="Q132" i="10"/>
  <c r="S132" i="10" s="1"/>
  <c r="T132" i="10" s="1"/>
  <c r="P132" i="10"/>
  <c r="R132" i="10" s="1"/>
  <c r="J132" i="10"/>
  <c r="L132" i="10" s="1"/>
  <c r="I132" i="10"/>
  <c r="K132" i="10" s="1"/>
  <c r="H132" i="10"/>
  <c r="U131" i="10"/>
  <c r="Q131" i="10"/>
  <c r="S131" i="10" s="1"/>
  <c r="P131" i="10"/>
  <c r="R131" i="10" s="1"/>
  <c r="L131" i="10"/>
  <c r="J131" i="10"/>
  <c r="I131" i="10"/>
  <c r="K131" i="10" s="1"/>
  <c r="M131" i="10" s="1"/>
  <c r="H131" i="10"/>
  <c r="U130" i="10"/>
  <c r="R130" i="10"/>
  <c r="Q130" i="10"/>
  <c r="S130" i="10" s="1"/>
  <c r="P130" i="10"/>
  <c r="M130" i="10"/>
  <c r="L130" i="10"/>
  <c r="K130" i="10"/>
  <c r="J130" i="10"/>
  <c r="I130" i="10"/>
  <c r="H130" i="10"/>
  <c r="U129" i="10"/>
  <c r="Q129" i="10"/>
  <c r="S129" i="10" s="1"/>
  <c r="P129" i="10"/>
  <c r="R129" i="10" s="1"/>
  <c r="T129" i="10" s="1"/>
  <c r="L129" i="10"/>
  <c r="K129" i="10"/>
  <c r="M129" i="10" s="1"/>
  <c r="J129" i="10"/>
  <c r="I129" i="10"/>
  <c r="H129" i="10"/>
  <c r="U128" i="10"/>
  <c r="Q128" i="10"/>
  <c r="S128" i="10" s="1"/>
  <c r="P128" i="10"/>
  <c r="R128" i="10" s="1"/>
  <c r="T128" i="10" s="1"/>
  <c r="K128" i="10"/>
  <c r="J128" i="10"/>
  <c r="L128" i="10" s="1"/>
  <c r="M128" i="10" s="1"/>
  <c r="I128" i="10"/>
  <c r="H128" i="10"/>
  <c r="U127" i="10"/>
  <c r="Q127" i="10"/>
  <c r="S127" i="10" s="1"/>
  <c r="P127" i="10"/>
  <c r="R127" i="10" s="1"/>
  <c r="T127" i="10" s="1"/>
  <c r="J127" i="10"/>
  <c r="L127" i="10" s="1"/>
  <c r="I127" i="10"/>
  <c r="K127" i="10" s="1"/>
  <c r="H127" i="10"/>
  <c r="U126" i="10"/>
  <c r="Q126" i="10"/>
  <c r="S126" i="10" s="1"/>
  <c r="P126" i="10"/>
  <c r="R126" i="10" s="1"/>
  <c r="L126" i="10"/>
  <c r="J126" i="10"/>
  <c r="I126" i="10"/>
  <c r="K126" i="10" s="1"/>
  <c r="M126" i="10" s="1"/>
  <c r="H126" i="10"/>
  <c r="U125" i="10"/>
  <c r="Q125" i="10"/>
  <c r="S125" i="10" s="1"/>
  <c r="P125" i="10"/>
  <c r="R125" i="10" s="1"/>
  <c r="K125" i="10"/>
  <c r="J125" i="10"/>
  <c r="L125" i="10" s="1"/>
  <c r="I125" i="10"/>
  <c r="H125" i="10"/>
  <c r="U124" i="10"/>
  <c r="Q124" i="10"/>
  <c r="S124" i="10" s="1"/>
  <c r="P124" i="10"/>
  <c r="R124" i="10" s="1"/>
  <c r="J124" i="10"/>
  <c r="L124" i="10" s="1"/>
  <c r="M124" i="10" s="1"/>
  <c r="I124" i="10"/>
  <c r="K124" i="10" s="1"/>
  <c r="H124" i="10"/>
  <c r="U123" i="10"/>
  <c r="Q123" i="10"/>
  <c r="S123" i="10" s="1"/>
  <c r="P123" i="10"/>
  <c r="R123" i="10" s="1"/>
  <c r="L123" i="10"/>
  <c r="J123" i="10"/>
  <c r="I123" i="10"/>
  <c r="K123" i="10" s="1"/>
  <c r="M123" i="10" s="1"/>
  <c r="H123" i="10"/>
  <c r="U122" i="10"/>
  <c r="Q122" i="10"/>
  <c r="S122" i="10" s="1"/>
  <c r="P122" i="10"/>
  <c r="R122" i="10" s="1"/>
  <c r="T122" i="10" s="1"/>
  <c r="L122" i="10"/>
  <c r="K122" i="10"/>
  <c r="J122" i="10"/>
  <c r="I122" i="10"/>
  <c r="H122" i="10"/>
  <c r="U121" i="10"/>
  <c r="Q121" i="10"/>
  <c r="S121" i="10" s="1"/>
  <c r="P121" i="10"/>
  <c r="R121" i="10" s="1"/>
  <c r="T121" i="10" s="1"/>
  <c r="K121" i="10"/>
  <c r="J121" i="10"/>
  <c r="L121" i="10" s="1"/>
  <c r="I121" i="10"/>
  <c r="H121" i="10"/>
  <c r="U120" i="10"/>
  <c r="Q120" i="10"/>
  <c r="S120" i="10" s="1"/>
  <c r="P120" i="10"/>
  <c r="R120" i="10" s="1"/>
  <c r="J120" i="10"/>
  <c r="L120" i="10" s="1"/>
  <c r="M120" i="10" s="1"/>
  <c r="I120" i="10"/>
  <c r="K120" i="10" s="1"/>
  <c r="H120" i="10"/>
  <c r="U119" i="10"/>
  <c r="Q119" i="10"/>
  <c r="S119" i="10" s="1"/>
  <c r="P119" i="10"/>
  <c r="R119" i="10" s="1"/>
  <c r="L119" i="10"/>
  <c r="J119" i="10"/>
  <c r="I119" i="10"/>
  <c r="K119" i="10" s="1"/>
  <c r="M119" i="10" s="1"/>
  <c r="H119" i="10"/>
  <c r="U118" i="10"/>
  <c r="Q118" i="10"/>
  <c r="S118" i="10" s="1"/>
  <c r="P118" i="10"/>
  <c r="R118" i="10" s="1"/>
  <c r="M118" i="10"/>
  <c r="L118" i="10"/>
  <c r="K118" i="10"/>
  <c r="J118" i="10"/>
  <c r="I118" i="10"/>
  <c r="H118" i="10"/>
  <c r="U117" i="10"/>
  <c r="Q117" i="10"/>
  <c r="S117" i="10" s="1"/>
  <c r="P117" i="10"/>
  <c r="R117" i="10" s="1"/>
  <c r="L117" i="10"/>
  <c r="K117" i="10"/>
  <c r="J117" i="10"/>
  <c r="I117" i="10"/>
  <c r="H117" i="10"/>
  <c r="U116" i="10"/>
  <c r="Q116" i="10"/>
  <c r="S116" i="10" s="1"/>
  <c r="P116" i="10"/>
  <c r="R116" i="10" s="1"/>
  <c r="T116" i="10" s="1"/>
  <c r="J116" i="10"/>
  <c r="L116" i="10" s="1"/>
  <c r="I116" i="10"/>
  <c r="K116" i="10" s="1"/>
  <c r="M116" i="10" s="1"/>
  <c r="H116" i="10"/>
  <c r="U115" i="10"/>
  <c r="Q115" i="10"/>
  <c r="S115" i="10" s="1"/>
  <c r="P115" i="10"/>
  <c r="R115" i="10" s="1"/>
  <c r="J115" i="10"/>
  <c r="L115" i="10" s="1"/>
  <c r="I115" i="10"/>
  <c r="K115" i="10" s="1"/>
  <c r="M115" i="10" s="1"/>
  <c r="H115" i="10"/>
  <c r="U114" i="10"/>
  <c r="Q114" i="10"/>
  <c r="S114" i="10" s="1"/>
  <c r="P114" i="10"/>
  <c r="R114" i="10" s="1"/>
  <c r="L114" i="10"/>
  <c r="K114" i="10"/>
  <c r="J114" i="10"/>
  <c r="I114" i="10"/>
  <c r="H114" i="10"/>
  <c r="U113" i="10"/>
  <c r="Q113" i="10"/>
  <c r="S113" i="10" s="1"/>
  <c r="P113" i="10"/>
  <c r="R113" i="10" s="1"/>
  <c r="K113" i="10"/>
  <c r="M113" i="10" s="1"/>
  <c r="J113" i="10"/>
  <c r="L113" i="10" s="1"/>
  <c r="I113" i="10"/>
  <c r="H113" i="10"/>
  <c r="U112" i="10"/>
  <c r="Q112" i="10"/>
  <c r="S112" i="10" s="1"/>
  <c r="P112" i="10"/>
  <c r="R112" i="10" s="1"/>
  <c r="J112" i="10"/>
  <c r="L112" i="10" s="1"/>
  <c r="I112" i="10"/>
  <c r="K112" i="10" s="1"/>
  <c r="M112" i="10" s="1"/>
  <c r="H112" i="10"/>
  <c r="U111" i="10"/>
  <c r="Q111" i="10"/>
  <c r="S111" i="10" s="1"/>
  <c r="P111" i="10"/>
  <c r="R111" i="10" s="1"/>
  <c r="L111" i="10"/>
  <c r="J111" i="10"/>
  <c r="I111" i="10"/>
  <c r="K111" i="10" s="1"/>
  <c r="M111" i="10" s="1"/>
  <c r="H111" i="10"/>
  <c r="U110" i="10"/>
  <c r="Q110" i="10"/>
  <c r="S110" i="10" s="1"/>
  <c r="P110" i="10"/>
  <c r="R110" i="10" s="1"/>
  <c r="L110" i="10"/>
  <c r="K110" i="10"/>
  <c r="J110" i="10"/>
  <c r="I110" i="10"/>
  <c r="H110" i="10"/>
  <c r="U109" i="10"/>
  <c r="Q109" i="10"/>
  <c r="S109" i="10" s="1"/>
  <c r="P109" i="10"/>
  <c r="R109" i="10" s="1"/>
  <c r="K109" i="10"/>
  <c r="M109" i="10" s="1"/>
  <c r="J109" i="10"/>
  <c r="L109" i="10" s="1"/>
  <c r="I109" i="10"/>
  <c r="H109" i="10"/>
  <c r="U108" i="10"/>
  <c r="Q108" i="10"/>
  <c r="S108" i="10" s="1"/>
  <c r="P108" i="10"/>
  <c r="R108" i="10" s="1"/>
  <c r="T108" i="10" s="1"/>
  <c r="J108" i="10"/>
  <c r="L108" i="10" s="1"/>
  <c r="I108" i="10"/>
  <c r="K108" i="10" s="1"/>
  <c r="M108" i="10" s="1"/>
  <c r="H108" i="10"/>
  <c r="U107" i="10"/>
  <c r="Q107" i="10"/>
  <c r="S107" i="10" s="1"/>
  <c r="P107" i="10"/>
  <c r="R107" i="10" s="1"/>
  <c r="L107" i="10"/>
  <c r="J107" i="10"/>
  <c r="I107" i="10"/>
  <c r="K107" i="10" s="1"/>
  <c r="M107" i="10" s="1"/>
  <c r="H107" i="10"/>
  <c r="U106" i="10"/>
  <c r="Q106" i="10"/>
  <c r="S106" i="10" s="1"/>
  <c r="P106" i="10"/>
  <c r="R106" i="10" s="1"/>
  <c r="T106" i="10" s="1"/>
  <c r="M106" i="10"/>
  <c r="L106" i="10"/>
  <c r="K106" i="10"/>
  <c r="J106" i="10"/>
  <c r="I106" i="10"/>
  <c r="H106" i="10"/>
  <c r="U105" i="10"/>
  <c r="Q105" i="10"/>
  <c r="S105" i="10" s="1"/>
  <c r="P105" i="10"/>
  <c r="R105" i="10" s="1"/>
  <c r="L105" i="10"/>
  <c r="K105" i="10"/>
  <c r="M105" i="10" s="1"/>
  <c r="J105" i="10"/>
  <c r="I105" i="10"/>
  <c r="H105" i="10"/>
  <c r="U104" i="10"/>
  <c r="Q104" i="10"/>
  <c r="S104" i="10" s="1"/>
  <c r="P104" i="10"/>
  <c r="R104" i="10" s="1"/>
  <c r="J104" i="10"/>
  <c r="L104" i="10" s="1"/>
  <c r="I104" i="10"/>
  <c r="K104" i="10" s="1"/>
  <c r="M104" i="10" s="1"/>
  <c r="H104" i="10"/>
  <c r="U103" i="10"/>
  <c r="Q103" i="10"/>
  <c r="S103" i="10" s="1"/>
  <c r="P103" i="10"/>
  <c r="R103" i="10" s="1"/>
  <c r="T103" i="10" s="1"/>
  <c r="J103" i="10"/>
  <c r="L103" i="10" s="1"/>
  <c r="M103" i="10" s="1"/>
  <c r="I103" i="10"/>
  <c r="K103" i="10" s="1"/>
  <c r="H103" i="10"/>
  <c r="U102" i="10"/>
  <c r="Q102" i="10"/>
  <c r="S102" i="10" s="1"/>
  <c r="P102" i="10"/>
  <c r="R102" i="10" s="1"/>
  <c r="L102" i="10"/>
  <c r="K102" i="10"/>
  <c r="M102" i="10" s="1"/>
  <c r="J102" i="10"/>
  <c r="I102" i="10"/>
  <c r="H102" i="10"/>
  <c r="U101" i="10"/>
  <c r="Q101" i="10"/>
  <c r="S101" i="10" s="1"/>
  <c r="P101" i="10"/>
  <c r="R101" i="10" s="1"/>
  <c r="M101" i="10"/>
  <c r="L101" i="10"/>
  <c r="K101" i="10"/>
  <c r="J101" i="10"/>
  <c r="I101" i="10"/>
  <c r="H101" i="10"/>
  <c r="U100" i="10"/>
  <c r="Q100" i="10"/>
  <c r="S100" i="10" s="1"/>
  <c r="P100" i="10"/>
  <c r="R100" i="10" s="1"/>
  <c r="L100" i="10"/>
  <c r="M100" i="10" s="1"/>
  <c r="K100" i="10"/>
  <c r="J100" i="10"/>
  <c r="I100" i="10"/>
  <c r="H100" i="10"/>
  <c r="U99" i="10"/>
  <c r="Q99" i="10"/>
  <c r="S99" i="10" s="1"/>
  <c r="P99" i="10"/>
  <c r="R99" i="10" s="1"/>
  <c r="L99" i="10"/>
  <c r="K99" i="10"/>
  <c r="M99" i="10" s="1"/>
  <c r="J99" i="10"/>
  <c r="I99" i="10"/>
  <c r="H99" i="10"/>
  <c r="U98" i="10"/>
  <c r="Q98" i="10"/>
  <c r="S98" i="10" s="1"/>
  <c r="P98" i="10"/>
  <c r="R98" i="10" s="1"/>
  <c r="T98" i="10" s="1"/>
  <c r="L98" i="10"/>
  <c r="J98" i="10"/>
  <c r="I98" i="10"/>
  <c r="K98" i="10" s="1"/>
  <c r="M98" i="10" s="1"/>
  <c r="H98" i="10"/>
  <c r="U97" i="10"/>
  <c r="Q97" i="10"/>
  <c r="S97" i="10" s="1"/>
  <c r="P97" i="10"/>
  <c r="R97" i="10" s="1"/>
  <c r="K97" i="10"/>
  <c r="M97" i="10" s="1"/>
  <c r="J97" i="10"/>
  <c r="L97" i="10" s="1"/>
  <c r="I97" i="10"/>
  <c r="H97" i="10"/>
  <c r="U96" i="10"/>
  <c r="Q96" i="10"/>
  <c r="S96" i="10" s="1"/>
  <c r="T96" i="10" s="1"/>
  <c r="P96" i="10"/>
  <c r="R96" i="10" s="1"/>
  <c r="M96" i="10"/>
  <c r="J96" i="10"/>
  <c r="L96" i="10" s="1"/>
  <c r="I96" i="10"/>
  <c r="K96" i="10" s="1"/>
  <c r="H96" i="10"/>
  <c r="U95" i="10"/>
  <c r="R95" i="10"/>
  <c r="Q95" i="10"/>
  <c r="S95" i="10" s="1"/>
  <c r="P95" i="10"/>
  <c r="L95" i="10"/>
  <c r="M95" i="10" s="1"/>
  <c r="J95" i="10"/>
  <c r="I95" i="10"/>
  <c r="K95" i="10" s="1"/>
  <c r="H95" i="10"/>
  <c r="U94" i="10"/>
  <c r="Q94" i="10"/>
  <c r="S94" i="10" s="1"/>
  <c r="P94" i="10"/>
  <c r="R94" i="10" s="1"/>
  <c r="M94" i="10"/>
  <c r="L94" i="10"/>
  <c r="K94" i="10"/>
  <c r="J94" i="10"/>
  <c r="I94" i="10"/>
  <c r="H94" i="10"/>
  <c r="U93" i="10"/>
  <c r="Q93" i="10"/>
  <c r="S93" i="10" s="1"/>
  <c r="P93" i="10"/>
  <c r="R93" i="10" s="1"/>
  <c r="L93" i="10"/>
  <c r="K93" i="10"/>
  <c r="M93" i="10" s="1"/>
  <c r="J93" i="10"/>
  <c r="I93" i="10"/>
  <c r="H93" i="10"/>
  <c r="U92" i="10"/>
  <c r="Q92" i="10"/>
  <c r="S92" i="10" s="1"/>
  <c r="P92" i="10"/>
  <c r="R92" i="10" s="1"/>
  <c r="J92" i="10"/>
  <c r="L92" i="10" s="1"/>
  <c r="I92" i="10"/>
  <c r="K92" i="10" s="1"/>
  <c r="M92" i="10" s="1"/>
  <c r="H92" i="10"/>
  <c r="U91" i="10"/>
  <c r="Q91" i="10"/>
  <c r="S91" i="10" s="1"/>
  <c r="P91" i="10"/>
  <c r="R91" i="10" s="1"/>
  <c r="J91" i="10"/>
  <c r="L91" i="10" s="1"/>
  <c r="I91" i="10"/>
  <c r="K91" i="10" s="1"/>
  <c r="M91" i="10" s="1"/>
  <c r="H91" i="10"/>
  <c r="U90" i="10"/>
  <c r="Q90" i="10"/>
  <c r="S90" i="10" s="1"/>
  <c r="P90" i="10"/>
  <c r="R90" i="10" s="1"/>
  <c r="L90" i="10"/>
  <c r="J90" i="10"/>
  <c r="I90" i="10"/>
  <c r="K90" i="10" s="1"/>
  <c r="M90" i="10" s="1"/>
  <c r="H90" i="10"/>
  <c r="U89" i="10"/>
  <c r="Q89" i="10"/>
  <c r="S89" i="10" s="1"/>
  <c r="P89" i="10"/>
  <c r="R89" i="10" s="1"/>
  <c r="L89" i="10"/>
  <c r="K89" i="10"/>
  <c r="M89" i="10" s="1"/>
  <c r="J89" i="10"/>
  <c r="I89" i="10"/>
  <c r="H89" i="10"/>
  <c r="U88" i="10"/>
  <c r="Q88" i="10"/>
  <c r="S88" i="10" s="1"/>
  <c r="P88" i="10"/>
  <c r="R88" i="10" s="1"/>
  <c r="L88" i="10"/>
  <c r="J88" i="10"/>
  <c r="I88" i="10"/>
  <c r="K88" i="10" s="1"/>
  <c r="M88" i="10" s="1"/>
  <c r="H88" i="10"/>
  <c r="U87" i="10"/>
  <c r="Q87" i="10"/>
  <c r="S87" i="10" s="1"/>
  <c r="P87" i="10"/>
  <c r="R87" i="10" s="1"/>
  <c r="L87" i="10"/>
  <c r="K87" i="10"/>
  <c r="M87" i="10" s="1"/>
  <c r="J87" i="10"/>
  <c r="I87" i="10"/>
  <c r="H87" i="10"/>
  <c r="U86" i="10"/>
  <c r="Q86" i="10"/>
  <c r="S86" i="10" s="1"/>
  <c r="P86" i="10"/>
  <c r="R86" i="10" s="1"/>
  <c r="T86" i="10" s="1"/>
  <c r="L86" i="10"/>
  <c r="J86" i="10"/>
  <c r="I86" i="10"/>
  <c r="K86" i="10" s="1"/>
  <c r="M86" i="10" s="1"/>
  <c r="H86" i="10"/>
  <c r="U85" i="10"/>
  <c r="Q85" i="10"/>
  <c r="S85" i="10" s="1"/>
  <c r="P85" i="10"/>
  <c r="R85" i="10" s="1"/>
  <c r="J85" i="10"/>
  <c r="L85" i="10" s="1"/>
  <c r="I85" i="10"/>
  <c r="K85" i="10" s="1"/>
  <c r="M85" i="10" s="1"/>
  <c r="H85" i="10"/>
  <c r="U84" i="10"/>
  <c r="Q84" i="10"/>
  <c r="S84" i="10" s="1"/>
  <c r="P84" i="10"/>
  <c r="R84" i="10" s="1"/>
  <c r="L84" i="10"/>
  <c r="J84" i="10"/>
  <c r="I84" i="10"/>
  <c r="K84" i="10" s="1"/>
  <c r="M84" i="10" s="1"/>
  <c r="H84" i="10"/>
  <c r="U83" i="10"/>
  <c r="Q83" i="10"/>
  <c r="S83" i="10" s="1"/>
  <c r="P83" i="10"/>
  <c r="R83" i="10" s="1"/>
  <c r="L83" i="10"/>
  <c r="K83" i="10"/>
  <c r="J83" i="10"/>
  <c r="I83" i="10"/>
  <c r="H83" i="10"/>
  <c r="U82" i="10"/>
  <c r="Q82" i="10"/>
  <c r="S82" i="10" s="1"/>
  <c r="P82" i="10"/>
  <c r="R82" i="10" s="1"/>
  <c r="T82" i="10" s="1"/>
  <c r="K82" i="10"/>
  <c r="J82" i="10"/>
  <c r="L82" i="10" s="1"/>
  <c r="I82" i="10"/>
  <c r="H82" i="10"/>
  <c r="U81" i="10"/>
  <c r="Q81" i="10"/>
  <c r="S81" i="10" s="1"/>
  <c r="P81" i="10"/>
  <c r="R81" i="10" s="1"/>
  <c r="L81" i="10"/>
  <c r="K81" i="10"/>
  <c r="M81" i="10" s="1"/>
  <c r="J81" i="10"/>
  <c r="I81" i="10"/>
  <c r="H81" i="10"/>
  <c r="U80" i="10"/>
  <c r="Q80" i="10"/>
  <c r="S80" i="10" s="1"/>
  <c r="P80" i="10"/>
  <c r="R80" i="10" s="1"/>
  <c r="L80" i="10"/>
  <c r="J80" i="10"/>
  <c r="I80" i="10"/>
  <c r="K80" i="10" s="1"/>
  <c r="M80" i="10" s="1"/>
  <c r="H80" i="10"/>
  <c r="U79" i="10"/>
  <c r="Q79" i="10"/>
  <c r="S79" i="10" s="1"/>
  <c r="P79" i="10"/>
  <c r="R79" i="10" s="1"/>
  <c r="J79" i="10"/>
  <c r="L79" i="10" s="1"/>
  <c r="I79" i="10"/>
  <c r="K79" i="10" s="1"/>
  <c r="H79" i="10"/>
  <c r="U78" i="10"/>
  <c r="Q78" i="10"/>
  <c r="S78" i="10" s="1"/>
  <c r="P78" i="10"/>
  <c r="R78" i="10" s="1"/>
  <c r="L78" i="10"/>
  <c r="J78" i="10"/>
  <c r="I78" i="10"/>
  <c r="K78" i="10" s="1"/>
  <c r="M78" i="10" s="1"/>
  <c r="H78" i="10"/>
  <c r="U77" i="10"/>
  <c r="Q77" i="10"/>
  <c r="S77" i="10" s="1"/>
  <c r="P77" i="10"/>
  <c r="R77" i="10" s="1"/>
  <c r="T77" i="10" s="1"/>
  <c r="L77" i="10"/>
  <c r="K77" i="10"/>
  <c r="J77" i="10"/>
  <c r="I77" i="10"/>
  <c r="H77" i="10"/>
  <c r="U76" i="10"/>
  <c r="Q76" i="10"/>
  <c r="S76" i="10" s="1"/>
  <c r="P76" i="10"/>
  <c r="R76" i="10" s="1"/>
  <c r="T76" i="10" s="1"/>
  <c r="K76" i="10"/>
  <c r="J76" i="10"/>
  <c r="L76" i="10" s="1"/>
  <c r="I76" i="10"/>
  <c r="H76" i="10"/>
  <c r="U75" i="10"/>
  <c r="Q75" i="10"/>
  <c r="S75" i="10" s="1"/>
  <c r="P75" i="10"/>
  <c r="R75" i="10" s="1"/>
  <c r="L75" i="10"/>
  <c r="K75" i="10"/>
  <c r="M75" i="10" s="1"/>
  <c r="J75" i="10"/>
  <c r="I75" i="10"/>
  <c r="H75" i="10"/>
  <c r="U74" i="10"/>
  <c r="Q74" i="10"/>
  <c r="S74" i="10" s="1"/>
  <c r="P74" i="10"/>
  <c r="R74" i="10" s="1"/>
  <c r="L74" i="10"/>
  <c r="J74" i="10"/>
  <c r="I74" i="10"/>
  <c r="K74" i="10" s="1"/>
  <c r="M74" i="10" s="1"/>
  <c r="H74" i="10"/>
  <c r="U73" i="10"/>
  <c r="Q73" i="10"/>
  <c r="S73" i="10" s="1"/>
  <c r="P73" i="10"/>
  <c r="R73" i="10" s="1"/>
  <c r="J73" i="10"/>
  <c r="L73" i="10" s="1"/>
  <c r="I73" i="10"/>
  <c r="K73" i="10" s="1"/>
  <c r="H73" i="10"/>
  <c r="U72" i="10"/>
  <c r="Q72" i="10"/>
  <c r="S72" i="10" s="1"/>
  <c r="P72" i="10"/>
  <c r="R72" i="10" s="1"/>
  <c r="L72" i="10"/>
  <c r="J72" i="10"/>
  <c r="I72" i="10"/>
  <c r="K72" i="10" s="1"/>
  <c r="M72" i="10" s="1"/>
  <c r="H72" i="10"/>
  <c r="U71" i="10"/>
  <c r="R71" i="10"/>
  <c r="T71" i="10" s="1"/>
  <c r="Q71" i="10"/>
  <c r="S71" i="10" s="1"/>
  <c r="P71" i="10"/>
  <c r="L71" i="10"/>
  <c r="K71" i="10"/>
  <c r="J71" i="10"/>
  <c r="I71" i="10"/>
  <c r="H71" i="10"/>
  <c r="U70" i="10"/>
  <c r="Q70" i="10"/>
  <c r="S70" i="10" s="1"/>
  <c r="P70" i="10"/>
  <c r="R70" i="10" s="1"/>
  <c r="K70" i="10"/>
  <c r="J70" i="10"/>
  <c r="L70" i="10" s="1"/>
  <c r="I70" i="10"/>
  <c r="H70" i="10"/>
  <c r="U69" i="10"/>
  <c r="Q69" i="10"/>
  <c r="S69" i="10" s="1"/>
  <c r="P69" i="10"/>
  <c r="R69" i="10" s="1"/>
  <c r="L69" i="10"/>
  <c r="K69" i="10"/>
  <c r="M69" i="10" s="1"/>
  <c r="J69" i="10"/>
  <c r="I69" i="10"/>
  <c r="H69" i="10"/>
  <c r="U68" i="10"/>
  <c r="Q68" i="10"/>
  <c r="S68" i="10" s="1"/>
  <c r="P68" i="10"/>
  <c r="R68" i="10" s="1"/>
  <c r="T68" i="10" s="1"/>
  <c r="L68" i="10"/>
  <c r="J68" i="10"/>
  <c r="I68" i="10"/>
  <c r="K68" i="10" s="1"/>
  <c r="M68" i="10" s="1"/>
  <c r="H68" i="10"/>
  <c r="U67" i="10"/>
  <c r="Q67" i="10"/>
  <c r="S67" i="10" s="1"/>
  <c r="P67" i="10"/>
  <c r="R67" i="10" s="1"/>
  <c r="J67" i="10"/>
  <c r="L67" i="10" s="1"/>
  <c r="I67" i="10"/>
  <c r="K67" i="10" s="1"/>
  <c r="H67" i="10"/>
  <c r="U66" i="10"/>
  <c r="Q66" i="10"/>
  <c r="S66" i="10" s="1"/>
  <c r="P66" i="10"/>
  <c r="R66" i="10" s="1"/>
  <c r="L66" i="10"/>
  <c r="J66" i="10"/>
  <c r="I66" i="10"/>
  <c r="K66" i="10" s="1"/>
  <c r="M66" i="10" s="1"/>
  <c r="H66" i="10"/>
  <c r="U65" i="10"/>
  <c r="Q65" i="10"/>
  <c r="S65" i="10" s="1"/>
  <c r="P65" i="10"/>
  <c r="R65" i="10" s="1"/>
  <c r="L65" i="10"/>
  <c r="K65" i="10"/>
  <c r="J65" i="10"/>
  <c r="I65" i="10"/>
  <c r="H65" i="10"/>
  <c r="U64" i="10"/>
  <c r="Q64" i="10"/>
  <c r="S64" i="10" s="1"/>
  <c r="P64" i="10"/>
  <c r="R64" i="10" s="1"/>
  <c r="K64" i="10"/>
  <c r="J64" i="10"/>
  <c r="L64" i="10" s="1"/>
  <c r="I64" i="10"/>
  <c r="H64" i="10"/>
  <c r="U63" i="10"/>
  <c r="Q63" i="10"/>
  <c r="S63" i="10" s="1"/>
  <c r="P63" i="10"/>
  <c r="R63" i="10" s="1"/>
  <c r="L63" i="10"/>
  <c r="K63" i="10"/>
  <c r="M63" i="10" s="1"/>
  <c r="J63" i="10"/>
  <c r="I63" i="10"/>
  <c r="H63" i="10"/>
  <c r="U62" i="10"/>
  <c r="R62" i="10"/>
  <c r="Q62" i="10"/>
  <c r="S62" i="10" s="1"/>
  <c r="P62" i="10"/>
  <c r="L62" i="10"/>
  <c r="J62" i="10"/>
  <c r="I62" i="10"/>
  <c r="K62" i="10" s="1"/>
  <c r="M62" i="10" s="1"/>
  <c r="H62" i="10"/>
  <c r="U61" i="10"/>
  <c r="Q61" i="10"/>
  <c r="S61" i="10" s="1"/>
  <c r="P61" i="10"/>
  <c r="R61" i="10" s="1"/>
  <c r="J61" i="10"/>
  <c r="L61" i="10" s="1"/>
  <c r="I61" i="10"/>
  <c r="K61" i="10" s="1"/>
  <c r="H61" i="10"/>
  <c r="U60" i="10"/>
  <c r="Q60" i="10"/>
  <c r="S60" i="10" s="1"/>
  <c r="P60" i="10"/>
  <c r="R60" i="10" s="1"/>
  <c r="L60" i="10"/>
  <c r="J60" i="10"/>
  <c r="I60" i="10"/>
  <c r="K60" i="10" s="1"/>
  <c r="M60" i="10" s="1"/>
  <c r="H60" i="10"/>
  <c r="U59" i="10"/>
  <c r="Q59" i="10"/>
  <c r="S59" i="10" s="1"/>
  <c r="P59" i="10"/>
  <c r="R59" i="10" s="1"/>
  <c r="L59" i="10"/>
  <c r="K59" i="10"/>
  <c r="J59" i="10"/>
  <c r="I59" i="10"/>
  <c r="H59" i="10"/>
  <c r="U58" i="10"/>
  <c r="S58" i="10"/>
  <c r="Q58" i="10"/>
  <c r="P58" i="10"/>
  <c r="R58" i="10" s="1"/>
  <c r="K58" i="10"/>
  <c r="J58" i="10"/>
  <c r="L58" i="10" s="1"/>
  <c r="I58" i="10"/>
  <c r="H58" i="10"/>
  <c r="U57" i="10"/>
  <c r="Q57" i="10"/>
  <c r="S57" i="10" s="1"/>
  <c r="P57" i="10"/>
  <c r="R57" i="10" s="1"/>
  <c r="L57" i="10"/>
  <c r="K57" i="10"/>
  <c r="M57" i="10" s="1"/>
  <c r="J57" i="10"/>
  <c r="I57" i="10"/>
  <c r="H57" i="10"/>
  <c r="U56" i="10"/>
  <c r="S56" i="10"/>
  <c r="Q56" i="10"/>
  <c r="P56" i="10"/>
  <c r="R56" i="10" s="1"/>
  <c r="L56" i="10"/>
  <c r="J56" i="10"/>
  <c r="I56" i="10"/>
  <c r="K56" i="10" s="1"/>
  <c r="M56" i="10" s="1"/>
  <c r="H56" i="10"/>
  <c r="U55" i="10"/>
  <c r="Q55" i="10"/>
  <c r="S55" i="10" s="1"/>
  <c r="P55" i="10"/>
  <c r="R55" i="10" s="1"/>
  <c r="J55" i="10"/>
  <c r="L55" i="10" s="1"/>
  <c r="I55" i="10"/>
  <c r="K55" i="10" s="1"/>
  <c r="H55" i="10"/>
  <c r="U54" i="10"/>
  <c r="Q54" i="10"/>
  <c r="S54" i="10" s="1"/>
  <c r="P54" i="10"/>
  <c r="R54" i="10" s="1"/>
  <c r="L54" i="10"/>
  <c r="J54" i="10"/>
  <c r="I54" i="10"/>
  <c r="K54" i="10" s="1"/>
  <c r="M54" i="10" s="1"/>
  <c r="H54" i="10"/>
  <c r="U53" i="10"/>
  <c r="Q53" i="10"/>
  <c r="S53" i="10" s="1"/>
  <c r="P53" i="10"/>
  <c r="R53" i="10" s="1"/>
  <c r="L53" i="10"/>
  <c r="K53" i="10"/>
  <c r="J53" i="10"/>
  <c r="I53" i="10"/>
  <c r="H53" i="10"/>
  <c r="U52" i="10"/>
  <c r="Q52" i="10"/>
  <c r="S52" i="10" s="1"/>
  <c r="P52" i="10"/>
  <c r="R52" i="10" s="1"/>
  <c r="K52" i="10"/>
  <c r="J52" i="10"/>
  <c r="L52" i="10" s="1"/>
  <c r="I52" i="10"/>
  <c r="H52" i="10"/>
  <c r="U51" i="10"/>
  <c r="Q51" i="10"/>
  <c r="S51" i="10" s="1"/>
  <c r="P51" i="10"/>
  <c r="R51" i="10" s="1"/>
  <c r="L51" i="10"/>
  <c r="K51" i="10"/>
  <c r="M51" i="10" s="1"/>
  <c r="J51" i="10"/>
  <c r="I51" i="10"/>
  <c r="H51" i="10"/>
  <c r="U50" i="10"/>
  <c r="Q50" i="10"/>
  <c r="S50" i="10" s="1"/>
  <c r="P50" i="10"/>
  <c r="R50" i="10" s="1"/>
  <c r="L50" i="10"/>
  <c r="J50" i="10"/>
  <c r="I50" i="10"/>
  <c r="K50" i="10" s="1"/>
  <c r="M50" i="10" s="1"/>
  <c r="H50" i="10"/>
  <c r="U49" i="10"/>
  <c r="Q49" i="10"/>
  <c r="S49" i="10" s="1"/>
  <c r="P49" i="10"/>
  <c r="R49" i="10" s="1"/>
  <c r="J49" i="10"/>
  <c r="L49" i="10" s="1"/>
  <c r="I49" i="10"/>
  <c r="K49" i="10" s="1"/>
  <c r="H49" i="10"/>
  <c r="U48" i="10"/>
  <c r="Q48" i="10"/>
  <c r="S48" i="10" s="1"/>
  <c r="P48" i="10"/>
  <c r="R48" i="10" s="1"/>
  <c r="L48" i="10"/>
  <c r="J48" i="10"/>
  <c r="I48" i="10"/>
  <c r="K48" i="10" s="1"/>
  <c r="M48" i="10" s="1"/>
  <c r="H48" i="10"/>
  <c r="U47" i="10"/>
  <c r="Q47" i="10"/>
  <c r="S47" i="10" s="1"/>
  <c r="P47" i="10"/>
  <c r="R47" i="10" s="1"/>
  <c r="L47" i="10"/>
  <c r="K47" i="10"/>
  <c r="J47" i="10"/>
  <c r="I47" i="10"/>
  <c r="H47" i="10"/>
  <c r="U46" i="10"/>
  <c r="R46" i="10"/>
  <c r="Q46" i="10"/>
  <c r="S46" i="10" s="1"/>
  <c r="P46" i="10"/>
  <c r="L46" i="10"/>
  <c r="K46" i="10"/>
  <c r="M46" i="10" s="1"/>
  <c r="J46" i="10"/>
  <c r="I46" i="10"/>
  <c r="H46" i="10"/>
  <c r="U45" i="10"/>
  <c r="Q45" i="10"/>
  <c r="S45" i="10" s="1"/>
  <c r="P45" i="10"/>
  <c r="R45" i="10" s="1"/>
  <c r="K45" i="10"/>
  <c r="J45" i="10"/>
  <c r="L45" i="10" s="1"/>
  <c r="I45" i="10"/>
  <c r="H45" i="10"/>
  <c r="U44" i="10"/>
  <c r="Q44" i="10"/>
  <c r="S44" i="10" s="1"/>
  <c r="P44" i="10"/>
  <c r="R44" i="10" s="1"/>
  <c r="L44" i="10"/>
  <c r="J44" i="10"/>
  <c r="I44" i="10"/>
  <c r="K44" i="10" s="1"/>
  <c r="M44" i="10" s="1"/>
  <c r="H44" i="10"/>
  <c r="U43" i="10"/>
  <c r="Q43" i="10"/>
  <c r="S43" i="10" s="1"/>
  <c r="P43" i="10"/>
  <c r="R43" i="10" s="1"/>
  <c r="L43" i="10"/>
  <c r="K43" i="10"/>
  <c r="M43" i="10" s="1"/>
  <c r="J43" i="10"/>
  <c r="I43" i="10"/>
  <c r="H43" i="10"/>
  <c r="U42" i="10"/>
  <c r="Q42" i="10"/>
  <c r="S42" i="10" s="1"/>
  <c r="P42" i="10"/>
  <c r="R42" i="10" s="1"/>
  <c r="K42" i="10"/>
  <c r="J42" i="10"/>
  <c r="L42" i="10" s="1"/>
  <c r="I42" i="10"/>
  <c r="H42" i="10"/>
  <c r="U41" i="10"/>
  <c r="Q41" i="10"/>
  <c r="S41" i="10" s="1"/>
  <c r="P41" i="10"/>
  <c r="R41" i="10" s="1"/>
  <c r="L41" i="10"/>
  <c r="J41" i="10"/>
  <c r="I41" i="10"/>
  <c r="K41" i="10" s="1"/>
  <c r="M41" i="10" s="1"/>
  <c r="H41" i="10"/>
  <c r="U40" i="10"/>
  <c r="Q40" i="10"/>
  <c r="S40" i="10" s="1"/>
  <c r="P40" i="10"/>
  <c r="R40" i="10" s="1"/>
  <c r="T40" i="10" s="1"/>
  <c r="K40" i="10"/>
  <c r="J40" i="10"/>
  <c r="L40" i="10" s="1"/>
  <c r="I40" i="10"/>
  <c r="H40" i="10"/>
  <c r="U39" i="10"/>
  <c r="Q39" i="10"/>
  <c r="S39" i="10" s="1"/>
  <c r="P39" i="10"/>
  <c r="R39" i="10" s="1"/>
  <c r="J39" i="10"/>
  <c r="L39" i="10" s="1"/>
  <c r="I39" i="10"/>
  <c r="K39" i="10" s="1"/>
  <c r="M39" i="10" s="1"/>
  <c r="H39" i="10"/>
  <c r="U38" i="10"/>
  <c r="Q38" i="10"/>
  <c r="S38" i="10" s="1"/>
  <c r="P38" i="10"/>
  <c r="R38" i="10" s="1"/>
  <c r="J38" i="10"/>
  <c r="L38" i="10" s="1"/>
  <c r="I38" i="10"/>
  <c r="K38" i="10" s="1"/>
  <c r="H38" i="10"/>
  <c r="U37" i="10"/>
  <c r="Q37" i="10"/>
  <c r="S37" i="10" s="1"/>
  <c r="P37" i="10"/>
  <c r="R37" i="10" s="1"/>
  <c r="L37" i="10"/>
  <c r="J37" i="10"/>
  <c r="I37" i="10"/>
  <c r="K37" i="10" s="1"/>
  <c r="M37" i="10" s="1"/>
  <c r="H37" i="10"/>
  <c r="U36" i="10"/>
  <c r="S36" i="10"/>
  <c r="Q36" i="10"/>
  <c r="P36" i="10"/>
  <c r="R36" i="10" s="1"/>
  <c r="L36" i="10"/>
  <c r="K36" i="10"/>
  <c r="J36" i="10"/>
  <c r="I36" i="10"/>
  <c r="H36" i="10"/>
  <c r="U35" i="10"/>
  <c r="Q35" i="10"/>
  <c r="S35" i="10" s="1"/>
  <c r="P35" i="10"/>
  <c r="R35" i="10" s="1"/>
  <c r="L35" i="10"/>
  <c r="K35" i="10"/>
  <c r="J35" i="10"/>
  <c r="I35" i="10"/>
  <c r="H35" i="10"/>
  <c r="U34" i="10"/>
  <c r="Q34" i="10"/>
  <c r="S34" i="10" s="1"/>
  <c r="P34" i="10"/>
  <c r="R34" i="10" s="1"/>
  <c r="L34" i="10"/>
  <c r="K34" i="10"/>
  <c r="M34" i="10" s="1"/>
  <c r="J34" i="10"/>
  <c r="I34" i="10"/>
  <c r="H34" i="10"/>
  <c r="U33" i="10"/>
  <c r="Q33" i="10"/>
  <c r="S33" i="10" s="1"/>
  <c r="P33" i="10"/>
  <c r="R33" i="10" s="1"/>
  <c r="K33" i="10"/>
  <c r="J33" i="10"/>
  <c r="L33" i="10" s="1"/>
  <c r="I33" i="10"/>
  <c r="H33" i="10"/>
  <c r="U32" i="10"/>
  <c r="Q32" i="10"/>
  <c r="S32" i="10" s="1"/>
  <c r="P32" i="10"/>
  <c r="R32" i="10" s="1"/>
  <c r="L32" i="10"/>
  <c r="J32" i="10"/>
  <c r="I32" i="10"/>
  <c r="K32" i="10" s="1"/>
  <c r="M32" i="10" s="1"/>
  <c r="H32" i="10"/>
  <c r="U31" i="10"/>
  <c r="Q31" i="10"/>
  <c r="S31" i="10" s="1"/>
  <c r="P31" i="10"/>
  <c r="R31" i="10" s="1"/>
  <c r="L31" i="10"/>
  <c r="K31" i="10"/>
  <c r="M31" i="10" s="1"/>
  <c r="J31" i="10"/>
  <c r="I31" i="10"/>
  <c r="H31" i="10"/>
  <c r="U30" i="10"/>
  <c r="Q30" i="10"/>
  <c r="S30" i="10" s="1"/>
  <c r="P30" i="10"/>
  <c r="R30" i="10" s="1"/>
  <c r="K30" i="10"/>
  <c r="J30" i="10"/>
  <c r="L30" i="10" s="1"/>
  <c r="I30" i="10"/>
  <c r="H30" i="10"/>
  <c r="U29" i="10"/>
  <c r="Q29" i="10"/>
  <c r="S29" i="10" s="1"/>
  <c r="P29" i="10"/>
  <c r="R29" i="10" s="1"/>
  <c r="L29" i="10"/>
  <c r="J29" i="10"/>
  <c r="I29" i="10"/>
  <c r="K29" i="10" s="1"/>
  <c r="M29" i="10" s="1"/>
  <c r="H29" i="10"/>
  <c r="U28" i="10"/>
  <c r="Q28" i="10"/>
  <c r="S28" i="10" s="1"/>
  <c r="P28" i="10"/>
  <c r="R28" i="10" s="1"/>
  <c r="K28" i="10"/>
  <c r="J28" i="10"/>
  <c r="L28" i="10" s="1"/>
  <c r="I28" i="10"/>
  <c r="H28" i="10"/>
  <c r="U27" i="10"/>
  <c r="Q27" i="10"/>
  <c r="S27" i="10" s="1"/>
  <c r="P27" i="10"/>
  <c r="R27" i="10" s="1"/>
  <c r="J27" i="10"/>
  <c r="L27" i="10" s="1"/>
  <c r="I27" i="10"/>
  <c r="K27" i="10" s="1"/>
  <c r="M27" i="10" s="1"/>
  <c r="H27" i="10"/>
  <c r="U26" i="10"/>
  <c r="Q26" i="10"/>
  <c r="S26" i="10" s="1"/>
  <c r="P26" i="10"/>
  <c r="R26" i="10" s="1"/>
  <c r="T26" i="10" s="1"/>
  <c r="J26" i="10"/>
  <c r="L26" i="10" s="1"/>
  <c r="I26" i="10"/>
  <c r="K26" i="10" s="1"/>
  <c r="M26" i="10" s="1"/>
  <c r="H26" i="10"/>
  <c r="U25" i="10"/>
  <c r="Q25" i="10"/>
  <c r="S25" i="10" s="1"/>
  <c r="P25" i="10"/>
  <c r="R25" i="10" s="1"/>
  <c r="L25" i="10"/>
  <c r="J25" i="10"/>
  <c r="I25" i="10"/>
  <c r="K25" i="10" s="1"/>
  <c r="M25" i="10" s="1"/>
  <c r="H25" i="10"/>
  <c r="U24" i="10"/>
  <c r="Q24" i="10"/>
  <c r="S24" i="10" s="1"/>
  <c r="P24" i="10"/>
  <c r="R24" i="10" s="1"/>
  <c r="L24" i="10"/>
  <c r="K24" i="10"/>
  <c r="J24" i="10"/>
  <c r="I24" i="10"/>
  <c r="H24" i="10"/>
  <c r="U23" i="10"/>
  <c r="Q23" i="10"/>
  <c r="S23" i="10" s="1"/>
  <c r="P23" i="10"/>
  <c r="R23" i="10" s="1"/>
  <c r="L23" i="10"/>
  <c r="K23" i="10"/>
  <c r="J23" i="10"/>
  <c r="I23" i="10"/>
  <c r="H23" i="10"/>
  <c r="U22" i="10"/>
  <c r="Q22" i="10"/>
  <c r="S22" i="10" s="1"/>
  <c r="P22" i="10"/>
  <c r="R22" i="10" s="1"/>
  <c r="L22" i="10"/>
  <c r="K22" i="10"/>
  <c r="M22" i="10" s="1"/>
  <c r="J22" i="10"/>
  <c r="I22" i="10"/>
  <c r="H22" i="10"/>
  <c r="U21" i="10"/>
  <c r="Q21" i="10"/>
  <c r="S21" i="10" s="1"/>
  <c r="P21" i="10"/>
  <c r="R21" i="10" s="1"/>
  <c r="K21" i="10"/>
  <c r="J21" i="10"/>
  <c r="L21" i="10" s="1"/>
  <c r="I21" i="10"/>
  <c r="H21" i="10"/>
  <c r="U20" i="10"/>
  <c r="Q20" i="10"/>
  <c r="S20" i="10" s="1"/>
  <c r="P20" i="10"/>
  <c r="R20" i="10" s="1"/>
  <c r="L20" i="10"/>
  <c r="J20" i="10"/>
  <c r="I20" i="10"/>
  <c r="K20" i="10" s="1"/>
  <c r="M20" i="10" s="1"/>
  <c r="H20" i="10"/>
  <c r="U19" i="10"/>
  <c r="Q19" i="10"/>
  <c r="S19" i="10" s="1"/>
  <c r="P19" i="10"/>
  <c r="R19" i="10" s="1"/>
  <c r="L19" i="10"/>
  <c r="K19" i="10"/>
  <c r="M19" i="10" s="1"/>
  <c r="J19" i="10"/>
  <c r="I19" i="10"/>
  <c r="H19" i="10"/>
  <c r="U18" i="10"/>
  <c r="Q18" i="10"/>
  <c r="S18" i="10" s="1"/>
  <c r="P18" i="10"/>
  <c r="R18" i="10" s="1"/>
  <c r="K18" i="10"/>
  <c r="J18" i="10"/>
  <c r="L18" i="10" s="1"/>
  <c r="I18" i="10"/>
  <c r="H18" i="10"/>
  <c r="U17" i="10"/>
  <c r="Q17" i="10"/>
  <c r="S17" i="10" s="1"/>
  <c r="P17" i="10"/>
  <c r="R17" i="10" s="1"/>
  <c r="L17" i="10"/>
  <c r="J17" i="10"/>
  <c r="I17" i="10"/>
  <c r="K17" i="10" s="1"/>
  <c r="M17" i="10" s="1"/>
  <c r="H17" i="10"/>
  <c r="U16" i="10"/>
  <c r="Q16" i="10"/>
  <c r="S16" i="10" s="1"/>
  <c r="P16" i="10"/>
  <c r="R16" i="10" s="1"/>
  <c r="K16" i="10"/>
  <c r="J16" i="10"/>
  <c r="L16" i="10" s="1"/>
  <c r="I16" i="10"/>
  <c r="H16" i="10"/>
  <c r="U15" i="10"/>
  <c r="Q15" i="10"/>
  <c r="S15" i="10" s="1"/>
  <c r="P15" i="10"/>
  <c r="R15" i="10" s="1"/>
  <c r="J15" i="10"/>
  <c r="L15" i="10" s="1"/>
  <c r="I15" i="10"/>
  <c r="K15" i="10" s="1"/>
  <c r="M15" i="10" s="1"/>
  <c r="H15" i="10"/>
  <c r="U14" i="10"/>
  <c r="Q14" i="10"/>
  <c r="S14" i="10" s="1"/>
  <c r="P14" i="10"/>
  <c r="R14" i="10" s="1"/>
  <c r="J14" i="10"/>
  <c r="L14" i="10" s="1"/>
  <c r="I14" i="10"/>
  <c r="K14" i="10" s="1"/>
  <c r="H14" i="10"/>
  <c r="U13" i="10"/>
  <c r="Q13" i="10"/>
  <c r="S13" i="10" s="1"/>
  <c r="P13" i="10"/>
  <c r="R13" i="10" s="1"/>
  <c r="L13" i="10"/>
  <c r="J13" i="10"/>
  <c r="I13" i="10"/>
  <c r="K13" i="10" s="1"/>
  <c r="M13" i="10" s="1"/>
  <c r="H13" i="10"/>
  <c r="U12" i="10"/>
  <c r="Q12" i="10"/>
  <c r="S12" i="10" s="1"/>
  <c r="P12" i="10"/>
  <c r="R12" i="10" s="1"/>
  <c r="L12" i="10"/>
  <c r="K12" i="10"/>
  <c r="J12" i="10"/>
  <c r="I12" i="10"/>
  <c r="H12" i="10"/>
  <c r="U11" i="10"/>
  <c r="Q11" i="10"/>
  <c r="S11" i="10" s="1"/>
  <c r="P11" i="10"/>
  <c r="R11" i="10" s="1"/>
  <c r="L11" i="10"/>
  <c r="K11" i="10"/>
  <c r="J11" i="10"/>
  <c r="I11" i="10"/>
  <c r="H11" i="10"/>
  <c r="U10" i="10"/>
  <c r="Q10" i="10"/>
  <c r="S10" i="10" s="1"/>
  <c r="P10" i="10"/>
  <c r="R10" i="10" s="1"/>
  <c r="L10" i="10"/>
  <c r="K10" i="10"/>
  <c r="M10" i="10" s="1"/>
  <c r="J10" i="10"/>
  <c r="I10" i="10"/>
  <c r="H10" i="10"/>
  <c r="U9" i="10"/>
  <c r="Q9" i="10"/>
  <c r="S9" i="10" s="1"/>
  <c r="P9" i="10"/>
  <c r="R9" i="10" s="1"/>
  <c r="K9" i="10"/>
  <c r="J9" i="10"/>
  <c r="L9" i="10" s="1"/>
  <c r="I9" i="10"/>
  <c r="H9" i="10"/>
  <c r="U8" i="10"/>
  <c r="Q8" i="10"/>
  <c r="S8" i="10" s="1"/>
  <c r="P8" i="10"/>
  <c r="R8" i="10" s="1"/>
  <c r="T8" i="10" s="1"/>
  <c r="L8" i="10"/>
  <c r="J8" i="10"/>
  <c r="I8" i="10"/>
  <c r="K8" i="10" s="1"/>
  <c r="M8" i="10" s="1"/>
  <c r="H8" i="10"/>
  <c r="U7" i="10"/>
  <c r="Q7" i="10"/>
  <c r="S7" i="10" s="1"/>
  <c r="P7" i="10"/>
  <c r="R7" i="10" s="1"/>
  <c r="L7" i="10"/>
  <c r="K7" i="10"/>
  <c r="M7" i="10" s="1"/>
  <c r="J7" i="10"/>
  <c r="I7" i="10"/>
  <c r="H7" i="10"/>
  <c r="U6" i="10"/>
  <c r="Q6" i="10"/>
  <c r="S6" i="10" s="1"/>
  <c r="P6" i="10"/>
  <c r="R6" i="10" s="1"/>
  <c r="K6" i="10"/>
  <c r="J6" i="10"/>
  <c r="L6" i="10" s="1"/>
  <c r="I6" i="10"/>
  <c r="H6" i="10"/>
  <c r="U5" i="10"/>
  <c r="Q5" i="10"/>
  <c r="S5" i="10" s="1"/>
  <c r="P5" i="10"/>
  <c r="R5" i="10" s="1"/>
  <c r="L5" i="10"/>
  <c r="J5" i="10"/>
  <c r="I5" i="10"/>
  <c r="K5" i="10" s="1"/>
  <c r="M5" i="10" s="1"/>
  <c r="H5" i="10"/>
  <c r="U4" i="10"/>
  <c r="Q4" i="10"/>
  <c r="S4" i="10" s="1"/>
  <c r="P4" i="10"/>
  <c r="R4" i="10" s="1"/>
  <c r="K4" i="10"/>
  <c r="J4" i="10"/>
  <c r="L4" i="10" s="1"/>
  <c r="I4" i="10"/>
  <c r="H4" i="10"/>
  <c r="U3" i="10"/>
  <c r="Q3" i="10"/>
  <c r="S3" i="10" s="1"/>
  <c r="P3" i="10"/>
  <c r="R3" i="10" s="1"/>
  <c r="J3" i="10"/>
  <c r="L3" i="10" s="1"/>
  <c r="I3" i="10"/>
  <c r="K3" i="10" s="1"/>
  <c r="M3" i="10" s="1"/>
  <c r="H3" i="10"/>
  <c r="V2" i="10" a="1"/>
  <c r="V2" i="10" s="1"/>
  <c r="U2" i="10"/>
  <c r="Q2" i="10"/>
  <c r="S2" i="10" s="1"/>
  <c r="P2" i="10"/>
  <c r="R2" i="10" s="1"/>
  <c r="L2" i="10"/>
  <c r="J2" i="10"/>
  <c r="I2" i="10"/>
  <c r="K2" i="10" s="1"/>
  <c r="M2" i="10" s="1"/>
  <c r="H2" i="10"/>
  <c r="S543" i="9"/>
  <c r="O543" i="9"/>
  <c r="Q543" i="9" s="1"/>
  <c r="K543" i="9"/>
  <c r="J543" i="9"/>
  <c r="I543" i="9"/>
  <c r="H543" i="9"/>
  <c r="S542" i="9"/>
  <c r="O542" i="9"/>
  <c r="Q542" i="9" s="1"/>
  <c r="K542" i="9"/>
  <c r="J542" i="9"/>
  <c r="I542" i="9"/>
  <c r="H542" i="9"/>
  <c r="S541" i="9"/>
  <c r="O541" i="9"/>
  <c r="Q541" i="9" s="1"/>
  <c r="K541" i="9"/>
  <c r="J541" i="9"/>
  <c r="I541" i="9"/>
  <c r="H541" i="9"/>
  <c r="S540" i="9"/>
  <c r="O540" i="9"/>
  <c r="Q540" i="9" s="1"/>
  <c r="K540" i="9"/>
  <c r="J540" i="9"/>
  <c r="I540" i="9"/>
  <c r="H540" i="9"/>
  <c r="S539" i="9"/>
  <c r="O539" i="9"/>
  <c r="Q539" i="9" s="1"/>
  <c r="K539" i="9"/>
  <c r="J539" i="9"/>
  <c r="I539" i="9"/>
  <c r="H539" i="9"/>
  <c r="S538" i="9"/>
  <c r="O538" i="9"/>
  <c r="Q538" i="9" s="1"/>
  <c r="K538" i="9"/>
  <c r="J538" i="9"/>
  <c r="I538" i="9"/>
  <c r="H538" i="9"/>
  <c r="S537" i="9"/>
  <c r="O537" i="9"/>
  <c r="Q537" i="9" s="1"/>
  <c r="K537" i="9"/>
  <c r="J537" i="9"/>
  <c r="I537" i="9"/>
  <c r="H537" i="9"/>
  <c r="S536" i="9"/>
  <c r="O536" i="9"/>
  <c r="Q536" i="9" s="1"/>
  <c r="K536" i="9"/>
  <c r="J536" i="9"/>
  <c r="I536" i="9"/>
  <c r="H536" i="9"/>
  <c r="S535" i="9"/>
  <c r="O535" i="9"/>
  <c r="Q535" i="9" s="1"/>
  <c r="K535" i="9"/>
  <c r="J535" i="9"/>
  <c r="I535" i="9"/>
  <c r="H535" i="9"/>
  <c r="S534" i="9"/>
  <c r="O534" i="9"/>
  <c r="Q534" i="9" s="1"/>
  <c r="K534" i="9"/>
  <c r="J534" i="9"/>
  <c r="I534" i="9"/>
  <c r="H534" i="9"/>
  <c r="S533" i="9"/>
  <c r="O533" i="9"/>
  <c r="Q533" i="9" s="1"/>
  <c r="K533" i="9"/>
  <c r="J533" i="9"/>
  <c r="I533" i="9"/>
  <c r="H533" i="9"/>
  <c r="S532" i="9"/>
  <c r="O532" i="9"/>
  <c r="Q532" i="9" s="1"/>
  <c r="K532" i="9"/>
  <c r="J532" i="9"/>
  <c r="I532" i="9"/>
  <c r="H532" i="9"/>
  <c r="S531" i="9"/>
  <c r="O531" i="9"/>
  <c r="Q531" i="9" s="1"/>
  <c r="K531" i="9"/>
  <c r="J531" i="9"/>
  <c r="I531" i="9"/>
  <c r="H531" i="9"/>
  <c r="S530" i="9"/>
  <c r="Q530" i="9"/>
  <c r="O530" i="9"/>
  <c r="K530" i="9"/>
  <c r="J530" i="9"/>
  <c r="I530" i="9"/>
  <c r="H530" i="9"/>
  <c r="S529" i="9"/>
  <c r="O529" i="9"/>
  <c r="Q529" i="9" s="1"/>
  <c r="K529" i="9"/>
  <c r="J529" i="9"/>
  <c r="I529" i="9"/>
  <c r="H529" i="9"/>
  <c r="S528" i="9"/>
  <c r="O528" i="9"/>
  <c r="Q528" i="9" s="1"/>
  <c r="K528" i="9"/>
  <c r="J528" i="9"/>
  <c r="I528" i="9"/>
  <c r="H528" i="9"/>
  <c r="S527" i="9"/>
  <c r="O527" i="9"/>
  <c r="Q527" i="9" s="1"/>
  <c r="K527" i="9"/>
  <c r="J527" i="9"/>
  <c r="I527" i="9"/>
  <c r="H527" i="9"/>
  <c r="S526" i="9"/>
  <c r="O526" i="9"/>
  <c r="Q526" i="9" s="1"/>
  <c r="K526" i="9"/>
  <c r="J526" i="9"/>
  <c r="I526" i="9"/>
  <c r="H526" i="9"/>
  <c r="S525" i="9"/>
  <c r="O525" i="9"/>
  <c r="Q525" i="9" s="1"/>
  <c r="K525" i="9"/>
  <c r="J525" i="9"/>
  <c r="I525" i="9"/>
  <c r="H525" i="9"/>
  <c r="S524" i="9"/>
  <c r="O524" i="9"/>
  <c r="Q524" i="9" s="1"/>
  <c r="K524" i="9"/>
  <c r="J524" i="9"/>
  <c r="I524" i="9"/>
  <c r="H524" i="9"/>
  <c r="S523" i="9"/>
  <c r="O523" i="9"/>
  <c r="Q523" i="9" s="1"/>
  <c r="K523" i="9"/>
  <c r="J523" i="9"/>
  <c r="I523" i="9"/>
  <c r="H523" i="9"/>
  <c r="S522" i="9"/>
  <c r="Q522" i="9"/>
  <c r="O522" i="9"/>
  <c r="K522" i="9"/>
  <c r="J522" i="9"/>
  <c r="I522" i="9"/>
  <c r="H522" i="9"/>
  <c r="S521" i="9"/>
  <c r="O521" i="9"/>
  <c r="Q521" i="9" s="1"/>
  <c r="K521" i="9"/>
  <c r="J521" i="9"/>
  <c r="I521" i="9"/>
  <c r="H521" i="9"/>
  <c r="S520" i="9"/>
  <c r="O520" i="9"/>
  <c r="Q520" i="9" s="1"/>
  <c r="K520" i="9"/>
  <c r="J520" i="9"/>
  <c r="I520" i="9"/>
  <c r="H520" i="9"/>
  <c r="S519" i="9"/>
  <c r="O519" i="9"/>
  <c r="Q519" i="9" s="1"/>
  <c r="K519" i="9"/>
  <c r="J519" i="9"/>
  <c r="I519" i="9"/>
  <c r="H519" i="9"/>
  <c r="S518" i="9"/>
  <c r="O518" i="9"/>
  <c r="Q518" i="9" s="1"/>
  <c r="K518" i="9"/>
  <c r="J518" i="9"/>
  <c r="I518" i="9"/>
  <c r="H518" i="9"/>
  <c r="S517" i="9"/>
  <c r="O517" i="9"/>
  <c r="Q517" i="9" s="1"/>
  <c r="K517" i="9"/>
  <c r="J517" i="9"/>
  <c r="I517" i="9"/>
  <c r="H517" i="9"/>
  <c r="S516" i="9"/>
  <c r="O516" i="9"/>
  <c r="Q516" i="9" s="1"/>
  <c r="K516" i="9"/>
  <c r="J516" i="9"/>
  <c r="I516" i="9"/>
  <c r="H516" i="9"/>
  <c r="S515" i="9"/>
  <c r="O515" i="9"/>
  <c r="Q515" i="9" s="1"/>
  <c r="K515" i="9"/>
  <c r="J515" i="9"/>
  <c r="I515" i="9"/>
  <c r="H515" i="9"/>
  <c r="S514" i="9"/>
  <c r="O514" i="9"/>
  <c r="Q514" i="9" s="1"/>
  <c r="K514" i="9"/>
  <c r="J514" i="9"/>
  <c r="I514" i="9"/>
  <c r="H514" i="9"/>
  <c r="S513" i="9"/>
  <c r="O513" i="9"/>
  <c r="Q513" i="9" s="1"/>
  <c r="K513" i="9"/>
  <c r="J513" i="9"/>
  <c r="I513" i="9"/>
  <c r="H513" i="9"/>
  <c r="S512" i="9"/>
  <c r="O512" i="9"/>
  <c r="Q512" i="9" s="1"/>
  <c r="K512" i="9"/>
  <c r="J512" i="9"/>
  <c r="I512" i="9"/>
  <c r="H512" i="9"/>
  <c r="S511" i="9"/>
  <c r="O511" i="9"/>
  <c r="Q511" i="9" s="1"/>
  <c r="K511" i="9"/>
  <c r="J511" i="9"/>
  <c r="I511" i="9"/>
  <c r="H511" i="9"/>
  <c r="S510" i="9"/>
  <c r="O510" i="9"/>
  <c r="Q510" i="9" s="1"/>
  <c r="K510" i="9"/>
  <c r="J510" i="9"/>
  <c r="I510" i="9"/>
  <c r="H510" i="9"/>
  <c r="S509" i="9"/>
  <c r="O509" i="9"/>
  <c r="Q509" i="9" s="1"/>
  <c r="K509" i="9"/>
  <c r="J509" i="9"/>
  <c r="I509" i="9"/>
  <c r="H509" i="9"/>
  <c r="S508" i="9"/>
  <c r="O508" i="9"/>
  <c r="Q508" i="9" s="1"/>
  <c r="K508" i="9"/>
  <c r="J508" i="9"/>
  <c r="I508" i="9"/>
  <c r="H508" i="9"/>
  <c r="S507" i="9"/>
  <c r="O507" i="9"/>
  <c r="Q507" i="9" s="1"/>
  <c r="K507" i="9"/>
  <c r="J507" i="9"/>
  <c r="I507" i="9"/>
  <c r="H507" i="9"/>
  <c r="S506" i="9"/>
  <c r="O506" i="9"/>
  <c r="Q506" i="9" s="1"/>
  <c r="K506" i="9"/>
  <c r="J506" i="9"/>
  <c r="I506" i="9"/>
  <c r="H506" i="9"/>
  <c r="S505" i="9"/>
  <c r="O505" i="9"/>
  <c r="Q505" i="9" s="1"/>
  <c r="K505" i="9"/>
  <c r="J505" i="9"/>
  <c r="I505" i="9"/>
  <c r="H505" i="9"/>
  <c r="S504" i="9"/>
  <c r="O504" i="9"/>
  <c r="Q504" i="9" s="1"/>
  <c r="K504" i="9"/>
  <c r="J504" i="9"/>
  <c r="I504" i="9"/>
  <c r="H504" i="9"/>
  <c r="S503" i="9"/>
  <c r="O503" i="9"/>
  <c r="Q503" i="9" s="1"/>
  <c r="K503" i="9"/>
  <c r="J503" i="9"/>
  <c r="I503" i="9"/>
  <c r="H503" i="9"/>
  <c r="S502" i="9"/>
  <c r="Q502" i="9"/>
  <c r="O502" i="9"/>
  <c r="K502" i="9"/>
  <c r="J502" i="9"/>
  <c r="I502" i="9"/>
  <c r="H502" i="9"/>
  <c r="S501" i="9"/>
  <c r="O501" i="9"/>
  <c r="Q501" i="9" s="1"/>
  <c r="K501" i="9"/>
  <c r="J501" i="9"/>
  <c r="I501" i="9"/>
  <c r="H501" i="9"/>
  <c r="S500" i="9"/>
  <c r="O500" i="9"/>
  <c r="Q500" i="9" s="1"/>
  <c r="K500" i="9"/>
  <c r="J500" i="9"/>
  <c r="I500" i="9"/>
  <c r="H500" i="9"/>
  <c r="S499" i="9"/>
  <c r="O499" i="9"/>
  <c r="Q499" i="9" s="1"/>
  <c r="K499" i="9"/>
  <c r="J499" i="9"/>
  <c r="I499" i="9"/>
  <c r="H499" i="9"/>
  <c r="S498" i="9"/>
  <c r="O498" i="9"/>
  <c r="Q498" i="9" s="1"/>
  <c r="K498" i="9"/>
  <c r="J498" i="9"/>
  <c r="I498" i="9"/>
  <c r="H498" i="9"/>
  <c r="S497" i="9"/>
  <c r="O497" i="9"/>
  <c r="Q497" i="9" s="1"/>
  <c r="K497" i="9"/>
  <c r="J497" i="9"/>
  <c r="I497" i="9"/>
  <c r="H497" i="9"/>
  <c r="S496" i="9"/>
  <c r="O496" i="9"/>
  <c r="Q496" i="9" s="1"/>
  <c r="K496" i="9"/>
  <c r="J496" i="9"/>
  <c r="I496" i="9"/>
  <c r="H496" i="9"/>
  <c r="S495" i="9"/>
  <c r="O495" i="9"/>
  <c r="Q495" i="9" s="1"/>
  <c r="K495" i="9"/>
  <c r="J495" i="9"/>
  <c r="I495" i="9"/>
  <c r="H495" i="9"/>
  <c r="S494" i="9"/>
  <c r="O494" i="9"/>
  <c r="Q494" i="9" s="1"/>
  <c r="K494" i="9"/>
  <c r="J494" i="9"/>
  <c r="I494" i="9"/>
  <c r="H494" i="9"/>
  <c r="S493" i="9"/>
  <c r="O493" i="9"/>
  <c r="Q493" i="9" s="1"/>
  <c r="K493" i="9"/>
  <c r="J493" i="9"/>
  <c r="I493" i="9"/>
  <c r="H493" i="9"/>
  <c r="S492" i="9"/>
  <c r="O492" i="9"/>
  <c r="Q492" i="9" s="1"/>
  <c r="K492" i="9"/>
  <c r="J492" i="9"/>
  <c r="I492" i="9"/>
  <c r="H492" i="9"/>
  <c r="S491" i="9"/>
  <c r="O491" i="9"/>
  <c r="Q491" i="9" s="1"/>
  <c r="K491" i="9"/>
  <c r="J491" i="9"/>
  <c r="I491" i="9"/>
  <c r="H491" i="9"/>
  <c r="S490" i="9"/>
  <c r="O490" i="9"/>
  <c r="Q490" i="9" s="1"/>
  <c r="K490" i="9"/>
  <c r="J490" i="9"/>
  <c r="I490" i="9"/>
  <c r="H490" i="9"/>
  <c r="S489" i="9"/>
  <c r="O489" i="9"/>
  <c r="Q489" i="9" s="1"/>
  <c r="K489" i="9"/>
  <c r="J489" i="9"/>
  <c r="I489" i="9"/>
  <c r="H489" i="9"/>
  <c r="S488" i="9"/>
  <c r="O488" i="9"/>
  <c r="Q488" i="9" s="1"/>
  <c r="K488" i="9"/>
  <c r="J488" i="9"/>
  <c r="I488" i="9"/>
  <c r="H488" i="9"/>
  <c r="S487" i="9"/>
  <c r="O487" i="9"/>
  <c r="Q487" i="9" s="1"/>
  <c r="K487" i="9"/>
  <c r="J487" i="9"/>
  <c r="I487" i="9"/>
  <c r="H487" i="9"/>
  <c r="S486" i="9"/>
  <c r="Q486" i="9"/>
  <c r="O486" i="9"/>
  <c r="K486" i="9"/>
  <c r="J486" i="9"/>
  <c r="I486" i="9"/>
  <c r="H486" i="9"/>
  <c r="S485" i="9"/>
  <c r="O485" i="9"/>
  <c r="Q485" i="9" s="1"/>
  <c r="K485" i="9"/>
  <c r="J485" i="9"/>
  <c r="I485" i="9"/>
  <c r="H485" i="9"/>
  <c r="S484" i="9"/>
  <c r="O484" i="9"/>
  <c r="Q484" i="9" s="1"/>
  <c r="K484" i="9"/>
  <c r="J484" i="9"/>
  <c r="I484" i="9"/>
  <c r="H484" i="9"/>
  <c r="S483" i="9"/>
  <c r="O483" i="9"/>
  <c r="Q483" i="9" s="1"/>
  <c r="K483" i="9"/>
  <c r="J483" i="9"/>
  <c r="I483" i="9"/>
  <c r="H483" i="9"/>
  <c r="S482" i="9"/>
  <c r="O482" i="9"/>
  <c r="Q482" i="9" s="1"/>
  <c r="K482" i="9"/>
  <c r="J482" i="9"/>
  <c r="I482" i="9"/>
  <c r="H482" i="9"/>
  <c r="S481" i="9"/>
  <c r="O481" i="9"/>
  <c r="Q481" i="9" s="1"/>
  <c r="K481" i="9"/>
  <c r="J481" i="9"/>
  <c r="I481" i="9"/>
  <c r="H481" i="9"/>
  <c r="S480" i="9"/>
  <c r="O480" i="9"/>
  <c r="Q480" i="9" s="1"/>
  <c r="K480" i="9"/>
  <c r="J480" i="9"/>
  <c r="I480" i="9"/>
  <c r="H480" i="9"/>
  <c r="S479" i="9"/>
  <c r="O479" i="9"/>
  <c r="Q479" i="9" s="1"/>
  <c r="K479" i="9"/>
  <c r="J479" i="9"/>
  <c r="I479" i="9"/>
  <c r="H479" i="9"/>
  <c r="S478" i="9"/>
  <c r="O478" i="9"/>
  <c r="Q478" i="9" s="1"/>
  <c r="K478" i="9"/>
  <c r="J478" i="9"/>
  <c r="I478" i="9"/>
  <c r="H478" i="9"/>
  <c r="S477" i="9"/>
  <c r="O477" i="9"/>
  <c r="Q477" i="9" s="1"/>
  <c r="K477" i="9"/>
  <c r="J477" i="9"/>
  <c r="I477" i="9"/>
  <c r="H477" i="9"/>
  <c r="S476" i="9"/>
  <c r="O476" i="9"/>
  <c r="Q476" i="9" s="1"/>
  <c r="K476" i="9"/>
  <c r="J476" i="9"/>
  <c r="I476" i="9"/>
  <c r="H476" i="9"/>
  <c r="S475" i="9"/>
  <c r="O475" i="9"/>
  <c r="Q475" i="9" s="1"/>
  <c r="K475" i="9"/>
  <c r="J475" i="9"/>
  <c r="I475" i="9"/>
  <c r="H475" i="9"/>
  <c r="S474" i="9"/>
  <c r="O474" i="9"/>
  <c r="Q474" i="9" s="1"/>
  <c r="K474" i="9"/>
  <c r="J474" i="9"/>
  <c r="I474" i="9"/>
  <c r="H474" i="9"/>
  <c r="S473" i="9"/>
  <c r="O473" i="9"/>
  <c r="Q473" i="9" s="1"/>
  <c r="K473" i="9"/>
  <c r="J473" i="9"/>
  <c r="I473" i="9"/>
  <c r="H473" i="9"/>
  <c r="S472" i="9"/>
  <c r="Q472" i="9"/>
  <c r="O472" i="9"/>
  <c r="K472" i="9"/>
  <c r="J472" i="9"/>
  <c r="I472" i="9"/>
  <c r="H472" i="9"/>
  <c r="S471" i="9"/>
  <c r="Q471" i="9"/>
  <c r="O471" i="9"/>
  <c r="K471" i="9"/>
  <c r="J471" i="9"/>
  <c r="I471" i="9"/>
  <c r="H471" i="9"/>
  <c r="S470" i="9"/>
  <c r="O470" i="9"/>
  <c r="Q470" i="9" s="1"/>
  <c r="K470" i="9"/>
  <c r="J470" i="9"/>
  <c r="I470" i="9"/>
  <c r="H470" i="9"/>
  <c r="S469" i="9"/>
  <c r="O469" i="9"/>
  <c r="Q469" i="9" s="1"/>
  <c r="K469" i="9"/>
  <c r="J469" i="9"/>
  <c r="I469" i="9"/>
  <c r="H469" i="9"/>
  <c r="S468" i="9"/>
  <c r="O468" i="9"/>
  <c r="Q468" i="9" s="1"/>
  <c r="K468" i="9"/>
  <c r="J468" i="9"/>
  <c r="I468" i="9"/>
  <c r="H468" i="9"/>
  <c r="S467" i="9"/>
  <c r="O467" i="9"/>
  <c r="Q467" i="9" s="1"/>
  <c r="K467" i="9"/>
  <c r="J467" i="9"/>
  <c r="I467" i="9"/>
  <c r="H467" i="9"/>
  <c r="S466" i="9"/>
  <c r="O466" i="9"/>
  <c r="Q466" i="9" s="1"/>
  <c r="K466" i="9"/>
  <c r="J466" i="9"/>
  <c r="I466" i="9"/>
  <c r="H466" i="9"/>
  <c r="S465" i="9"/>
  <c r="O465" i="9"/>
  <c r="Q465" i="9" s="1"/>
  <c r="K465" i="9"/>
  <c r="J465" i="9"/>
  <c r="I465" i="9"/>
  <c r="H465" i="9"/>
  <c r="S464" i="9"/>
  <c r="O464" i="9"/>
  <c r="Q464" i="9" s="1"/>
  <c r="K464" i="9"/>
  <c r="J464" i="9"/>
  <c r="I464" i="9"/>
  <c r="H464" i="9"/>
  <c r="S463" i="9"/>
  <c r="O463" i="9"/>
  <c r="Q463" i="9" s="1"/>
  <c r="K463" i="9"/>
  <c r="J463" i="9"/>
  <c r="I463" i="9"/>
  <c r="H463" i="9"/>
  <c r="S462" i="9"/>
  <c r="Q462" i="9"/>
  <c r="O462" i="9"/>
  <c r="K462" i="9"/>
  <c r="J462" i="9"/>
  <c r="I462" i="9"/>
  <c r="H462" i="9"/>
  <c r="S461" i="9"/>
  <c r="O461" i="9"/>
  <c r="Q461" i="9" s="1"/>
  <c r="K461" i="9"/>
  <c r="J461" i="9"/>
  <c r="I461" i="9"/>
  <c r="H461" i="9"/>
  <c r="S460" i="9"/>
  <c r="O460" i="9"/>
  <c r="Q460" i="9" s="1"/>
  <c r="K460" i="9"/>
  <c r="J460" i="9"/>
  <c r="I460" i="9"/>
  <c r="H460" i="9"/>
  <c r="S459" i="9"/>
  <c r="O459" i="9"/>
  <c r="Q459" i="9" s="1"/>
  <c r="K459" i="9"/>
  <c r="J459" i="9"/>
  <c r="I459" i="9"/>
  <c r="H459" i="9"/>
  <c r="S458" i="9"/>
  <c r="O458" i="9"/>
  <c r="Q458" i="9" s="1"/>
  <c r="K458" i="9"/>
  <c r="J458" i="9"/>
  <c r="I458" i="9"/>
  <c r="H458" i="9"/>
  <c r="S457" i="9"/>
  <c r="O457" i="9"/>
  <c r="Q457" i="9" s="1"/>
  <c r="K457" i="9"/>
  <c r="J457" i="9"/>
  <c r="I457" i="9"/>
  <c r="H457" i="9"/>
  <c r="S456" i="9"/>
  <c r="O456" i="9"/>
  <c r="Q456" i="9" s="1"/>
  <c r="K456" i="9"/>
  <c r="J456" i="9"/>
  <c r="I456" i="9"/>
  <c r="H456" i="9"/>
  <c r="S455" i="9"/>
  <c r="O455" i="9"/>
  <c r="Q455" i="9" s="1"/>
  <c r="K455" i="9"/>
  <c r="J455" i="9"/>
  <c r="I455" i="9"/>
  <c r="H455" i="9"/>
  <c r="S454" i="9"/>
  <c r="O454" i="9"/>
  <c r="Q454" i="9" s="1"/>
  <c r="K454" i="9"/>
  <c r="J454" i="9"/>
  <c r="I454" i="9"/>
  <c r="H454" i="9"/>
  <c r="S453" i="9"/>
  <c r="O453" i="9"/>
  <c r="Q453" i="9" s="1"/>
  <c r="K453" i="9"/>
  <c r="J453" i="9"/>
  <c r="I453" i="9"/>
  <c r="H453" i="9"/>
  <c r="S452" i="9"/>
  <c r="O452" i="9"/>
  <c r="Q452" i="9" s="1"/>
  <c r="K452" i="9"/>
  <c r="J452" i="9"/>
  <c r="I452" i="9"/>
  <c r="H452" i="9"/>
  <c r="S451" i="9"/>
  <c r="O451" i="9"/>
  <c r="Q451" i="9" s="1"/>
  <c r="K451" i="9"/>
  <c r="J451" i="9"/>
  <c r="I451" i="9"/>
  <c r="H451" i="9"/>
  <c r="S450" i="9"/>
  <c r="O450" i="9"/>
  <c r="Q450" i="9" s="1"/>
  <c r="K450" i="9"/>
  <c r="J450" i="9"/>
  <c r="I450" i="9"/>
  <c r="H450" i="9"/>
  <c r="S449" i="9"/>
  <c r="O449" i="9"/>
  <c r="Q449" i="9" s="1"/>
  <c r="K449" i="9"/>
  <c r="J449" i="9"/>
  <c r="I449" i="9"/>
  <c r="H449" i="9"/>
  <c r="S448" i="9"/>
  <c r="O448" i="9"/>
  <c r="Q448" i="9" s="1"/>
  <c r="K448" i="9"/>
  <c r="J448" i="9"/>
  <c r="I448" i="9"/>
  <c r="H448" i="9"/>
  <c r="S447" i="9"/>
  <c r="O447" i="9"/>
  <c r="Q447" i="9" s="1"/>
  <c r="K447" i="9"/>
  <c r="J447" i="9"/>
  <c r="I447" i="9"/>
  <c r="H447" i="9"/>
  <c r="S446" i="9"/>
  <c r="O446" i="9"/>
  <c r="Q446" i="9" s="1"/>
  <c r="K446" i="9"/>
  <c r="J446" i="9"/>
  <c r="I446" i="9"/>
  <c r="H446" i="9"/>
  <c r="S445" i="9"/>
  <c r="O445" i="9"/>
  <c r="Q445" i="9" s="1"/>
  <c r="K445" i="9"/>
  <c r="J445" i="9"/>
  <c r="I445" i="9"/>
  <c r="H445" i="9"/>
  <c r="S444" i="9"/>
  <c r="O444" i="9"/>
  <c r="Q444" i="9" s="1"/>
  <c r="K444" i="9"/>
  <c r="J444" i="9"/>
  <c r="I444" i="9"/>
  <c r="H444" i="9"/>
  <c r="S443" i="9"/>
  <c r="O443" i="9"/>
  <c r="Q443" i="9" s="1"/>
  <c r="K443" i="9"/>
  <c r="J443" i="9"/>
  <c r="I443" i="9"/>
  <c r="H443" i="9"/>
  <c r="S442" i="9"/>
  <c r="Q442" i="9"/>
  <c r="O442" i="9"/>
  <c r="K442" i="9"/>
  <c r="J442" i="9"/>
  <c r="I442" i="9"/>
  <c r="H442" i="9"/>
  <c r="S441" i="9"/>
  <c r="O441" i="9"/>
  <c r="Q441" i="9" s="1"/>
  <c r="K441" i="9"/>
  <c r="J441" i="9"/>
  <c r="I441" i="9"/>
  <c r="H441" i="9"/>
  <c r="S440" i="9"/>
  <c r="O440" i="9"/>
  <c r="Q440" i="9" s="1"/>
  <c r="K440" i="9"/>
  <c r="J440" i="9"/>
  <c r="I440" i="9"/>
  <c r="H440" i="9"/>
  <c r="S439" i="9"/>
  <c r="O439" i="9"/>
  <c r="Q439" i="9" s="1"/>
  <c r="K439" i="9"/>
  <c r="J439" i="9"/>
  <c r="I439" i="9"/>
  <c r="H439" i="9"/>
  <c r="S438" i="9"/>
  <c r="O438" i="9"/>
  <c r="Q438" i="9" s="1"/>
  <c r="K438" i="9"/>
  <c r="J438" i="9"/>
  <c r="I438" i="9"/>
  <c r="H438" i="9"/>
  <c r="S437" i="9"/>
  <c r="Q437" i="9"/>
  <c r="O437" i="9"/>
  <c r="K437" i="9"/>
  <c r="J437" i="9"/>
  <c r="I437" i="9"/>
  <c r="H437" i="9"/>
  <c r="S436" i="9"/>
  <c r="O436" i="9"/>
  <c r="Q436" i="9" s="1"/>
  <c r="K436" i="9"/>
  <c r="J436" i="9"/>
  <c r="I436" i="9"/>
  <c r="H436" i="9"/>
  <c r="S435" i="9"/>
  <c r="O435" i="9"/>
  <c r="Q435" i="9" s="1"/>
  <c r="K435" i="9"/>
  <c r="J435" i="9"/>
  <c r="I435" i="9"/>
  <c r="H435" i="9"/>
  <c r="S434" i="9"/>
  <c r="O434" i="9"/>
  <c r="Q434" i="9" s="1"/>
  <c r="K434" i="9"/>
  <c r="J434" i="9"/>
  <c r="I434" i="9"/>
  <c r="H434" i="9"/>
  <c r="S433" i="9"/>
  <c r="O433" i="9"/>
  <c r="Q433" i="9" s="1"/>
  <c r="K433" i="9"/>
  <c r="J433" i="9"/>
  <c r="I433" i="9"/>
  <c r="H433" i="9"/>
  <c r="S432" i="9"/>
  <c r="O432" i="9"/>
  <c r="Q432" i="9" s="1"/>
  <c r="K432" i="9"/>
  <c r="J432" i="9"/>
  <c r="I432" i="9"/>
  <c r="H432" i="9"/>
  <c r="S431" i="9"/>
  <c r="O431" i="9"/>
  <c r="Q431" i="9" s="1"/>
  <c r="K431" i="9"/>
  <c r="J431" i="9"/>
  <c r="I431" i="9"/>
  <c r="H431" i="9"/>
  <c r="S430" i="9"/>
  <c r="O430" i="9"/>
  <c r="Q430" i="9" s="1"/>
  <c r="K430" i="9"/>
  <c r="J430" i="9"/>
  <c r="I430" i="9"/>
  <c r="H430" i="9"/>
  <c r="S429" i="9"/>
  <c r="O429" i="9"/>
  <c r="Q429" i="9" s="1"/>
  <c r="K429" i="9"/>
  <c r="J429" i="9"/>
  <c r="I429" i="9"/>
  <c r="H429" i="9"/>
  <c r="S428" i="9"/>
  <c r="O428" i="9"/>
  <c r="Q428" i="9" s="1"/>
  <c r="K428" i="9"/>
  <c r="J428" i="9"/>
  <c r="I428" i="9"/>
  <c r="H428" i="9"/>
  <c r="S427" i="9"/>
  <c r="O427" i="9"/>
  <c r="Q427" i="9" s="1"/>
  <c r="K427" i="9"/>
  <c r="J427" i="9"/>
  <c r="I427" i="9"/>
  <c r="H427" i="9"/>
  <c r="S426" i="9"/>
  <c r="O426" i="9"/>
  <c r="Q426" i="9" s="1"/>
  <c r="K426" i="9"/>
  <c r="J426" i="9"/>
  <c r="I426" i="9"/>
  <c r="H426" i="9"/>
  <c r="S425" i="9"/>
  <c r="O425" i="9"/>
  <c r="Q425" i="9" s="1"/>
  <c r="K425" i="9"/>
  <c r="J425" i="9"/>
  <c r="I425" i="9"/>
  <c r="H425" i="9"/>
  <c r="S424" i="9"/>
  <c r="O424" i="9"/>
  <c r="Q424" i="9" s="1"/>
  <c r="K424" i="9"/>
  <c r="J424" i="9"/>
  <c r="I424" i="9"/>
  <c r="H424" i="9"/>
  <c r="S423" i="9"/>
  <c r="O423" i="9"/>
  <c r="Q423" i="9" s="1"/>
  <c r="K423" i="9"/>
  <c r="J423" i="9"/>
  <c r="I423" i="9"/>
  <c r="H423" i="9"/>
  <c r="S422" i="9"/>
  <c r="Q422" i="9"/>
  <c r="O422" i="9"/>
  <c r="K422" i="9"/>
  <c r="J422" i="9"/>
  <c r="I422" i="9"/>
  <c r="H422" i="9"/>
  <c r="S421" i="9"/>
  <c r="O421" i="9"/>
  <c r="Q421" i="9" s="1"/>
  <c r="K421" i="9"/>
  <c r="J421" i="9"/>
  <c r="I421" i="9"/>
  <c r="H421" i="9"/>
  <c r="S420" i="9"/>
  <c r="O420" i="9"/>
  <c r="Q420" i="9" s="1"/>
  <c r="K420" i="9"/>
  <c r="J420" i="9"/>
  <c r="I420" i="9"/>
  <c r="H420" i="9"/>
  <c r="S419" i="9"/>
  <c r="O419" i="9"/>
  <c r="Q419" i="9" s="1"/>
  <c r="K419" i="9"/>
  <c r="J419" i="9"/>
  <c r="I419" i="9"/>
  <c r="H419" i="9"/>
  <c r="S418" i="9"/>
  <c r="O418" i="9"/>
  <c r="Q418" i="9" s="1"/>
  <c r="K418" i="9"/>
  <c r="J418" i="9"/>
  <c r="I418" i="9"/>
  <c r="H418" i="9"/>
  <c r="S417" i="9"/>
  <c r="O417" i="9"/>
  <c r="Q417" i="9" s="1"/>
  <c r="K417" i="9"/>
  <c r="J417" i="9"/>
  <c r="I417" i="9"/>
  <c r="H417" i="9"/>
  <c r="S416" i="9"/>
  <c r="O416" i="9"/>
  <c r="Q416" i="9" s="1"/>
  <c r="K416" i="9"/>
  <c r="J416" i="9"/>
  <c r="I416" i="9"/>
  <c r="H416" i="9"/>
  <c r="S415" i="9"/>
  <c r="O415" i="9"/>
  <c r="Q415" i="9" s="1"/>
  <c r="K415" i="9"/>
  <c r="J415" i="9"/>
  <c r="I415" i="9"/>
  <c r="H415" i="9"/>
  <c r="S414" i="9"/>
  <c r="O414" i="9"/>
  <c r="Q414" i="9" s="1"/>
  <c r="K414" i="9"/>
  <c r="J414" i="9"/>
  <c r="I414" i="9"/>
  <c r="H414" i="9"/>
  <c r="S413" i="9"/>
  <c r="O413" i="9"/>
  <c r="Q413" i="9" s="1"/>
  <c r="K413" i="9"/>
  <c r="J413" i="9"/>
  <c r="I413" i="9"/>
  <c r="H413" i="9"/>
  <c r="S412" i="9"/>
  <c r="O412" i="9"/>
  <c r="Q412" i="9" s="1"/>
  <c r="K412" i="9"/>
  <c r="J412" i="9"/>
  <c r="I412" i="9"/>
  <c r="H412" i="9"/>
  <c r="S411" i="9"/>
  <c r="O411" i="9"/>
  <c r="Q411" i="9" s="1"/>
  <c r="K411" i="9"/>
  <c r="J411" i="9"/>
  <c r="I411" i="9"/>
  <c r="H411" i="9"/>
  <c r="S410" i="9"/>
  <c r="O410" i="9"/>
  <c r="Q410" i="9" s="1"/>
  <c r="K410" i="9"/>
  <c r="J410" i="9"/>
  <c r="I410" i="9"/>
  <c r="H410" i="9"/>
  <c r="S409" i="9"/>
  <c r="O409" i="9"/>
  <c r="Q409" i="9" s="1"/>
  <c r="K409" i="9"/>
  <c r="J409" i="9"/>
  <c r="I409" i="9"/>
  <c r="H409" i="9"/>
  <c r="S408" i="9"/>
  <c r="Q408" i="9"/>
  <c r="O408" i="9"/>
  <c r="K408" i="9"/>
  <c r="J408" i="9"/>
  <c r="I408" i="9"/>
  <c r="H408" i="9"/>
  <c r="S407" i="9"/>
  <c r="O407" i="9"/>
  <c r="Q407" i="9" s="1"/>
  <c r="K407" i="9"/>
  <c r="J407" i="9"/>
  <c r="I407" i="9"/>
  <c r="H407" i="9"/>
  <c r="S406" i="9"/>
  <c r="O406" i="9"/>
  <c r="Q406" i="9" s="1"/>
  <c r="K406" i="9"/>
  <c r="J406" i="9"/>
  <c r="I406" i="9"/>
  <c r="H406" i="9"/>
  <c r="S405" i="9"/>
  <c r="O405" i="9"/>
  <c r="Q405" i="9" s="1"/>
  <c r="K405" i="9"/>
  <c r="J405" i="9"/>
  <c r="I405" i="9"/>
  <c r="H405" i="9"/>
  <c r="S404" i="9"/>
  <c r="O404" i="9"/>
  <c r="Q404" i="9" s="1"/>
  <c r="K404" i="9"/>
  <c r="J404" i="9"/>
  <c r="I404" i="9"/>
  <c r="H404" i="9"/>
  <c r="S403" i="9"/>
  <c r="O403" i="9"/>
  <c r="Q403" i="9" s="1"/>
  <c r="K403" i="9"/>
  <c r="J403" i="9"/>
  <c r="I403" i="9"/>
  <c r="H403" i="9"/>
  <c r="S402" i="9"/>
  <c r="O402" i="9"/>
  <c r="Q402" i="9" s="1"/>
  <c r="K402" i="9"/>
  <c r="J402" i="9"/>
  <c r="I402" i="9"/>
  <c r="H402" i="9"/>
  <c r="S401" i="9"/>
  <c r="Q401" i="9"/>
  <c r="O401" i="9"/>
  <c r="K401" i="9"/>
  <c r="J401" i="9"/>
  <c r="I401" i="9"/>
  <c r="H401" i="9"/>
  <c r="S400" i="9"/>
  <c r="Q400" i="9"/>
  <c r="O400" i="9"/>
  <c r="K400" i="9"/>
  <c r="J400" i="9"/>
  <c r="I400" i="9"/>
  <c r="H400" i="9"/>
  <c r="S399" i="9"/>
  <c r="O399" i="9"/>
  <c r="Q399" i="9" s="1"/>
  <c r="K399" i="9"/>
  <c r="J399" i="9"/>
  <c r="I399" i="9"/>
  <c r="H399" i="9"/>
  <c r="S398" i="9"/>
  <c r="O398" i="9"/>
  <c r="Q398" i="9" s="1"/>
  <c r="K398" i="9"/>
  <c r="J398" i="9"/>
  <c r="I398" i="9"/>
  <c r="H398" i="9"/>
  <c r="S397" i="9"/>
  <c r="O397" i="9"/>
  <c r="Q397" i="9" s="1"/>
  <c r="K397" i="9"/>
  <c r="J397" i="9"/>
  <c r="I397" i="9"/>
  <c r="H397" i="9"/>
  <c r="S396" i="9"/>
  <c r="O396" i="9"/>
  <c r="Q396" i="9" s="1"/>
  <c r="K396" i="9"/>
  <c r="J396" i="9"/>
  <c r="I396" i="9"/>
  <c r="H396" i="9"/>
  <c r="S395" i="9"/>
  <c r="O395" i="9"/>
  <c r="Q395" i="9" s="1"/>
  <c r="K395" i="9"/>
  <c r="J395" i="9"/>
  <c r="I395" i="9"/>
  <c r="H395" i="9"/>
  <c r="S394" i="9"/>
  <c r="O394" i="9"/>
  <c r="Q394" i="9" s="1"/>
  <c r="K394" i="9"/>
  <c r="J394" i="9"/>
  <c r="I394" i="9"/>
  <c r="H394" i="9"/>
  <c r="S393" i="9"/>
  <c r="O393" i="9"/>
  <c r="Q393" i="9" s="1"/>
  <c r="K393" i="9"/>
  <c r="J393" i="9"/>
  <c r="I393" i="9"/>
  <c r="H393" i="9"/>
  <c r="S392" i="9"/>
  <c r="O392" i="9"/>
  <c r="Q392" i="9" s="1"/>
  <c r="K392" i="9"/>
  <c r="J392" i="9"/>
  <c r="I392" i="9"/>
  <c r="H392" i="9"/>
  <c r="S391" i="9"/>
  <c r="O391" i="9"/>
  <c r="Q391" i="9" s="1"/>
  <c r="K391" i="9"/>
  <c r="J391" i="9"/>
  <c r="I391" i="9"/>
  <c r="H391" i="9"/>
  <c r="S390" i="9"/>
  <c r="O390" i="9"/>
  <c r="Q390" i="9" s="1"/>
  <c r="K390" i="9"/>
  <c r="J390" i="9"/>
  <c r="I390" i="9"/>
  <c r="H390" i="9"/>
  <c r="S389" i="9"/>
  <c r="O389" i="9"/>
  <c r="Q389" i="9" s="1"/>
  <c r="K389" i="9"/>
  <c r="J389" i="9"/>
  <c r="I389" i="9"/>
  <c r="H389" i="9"/>
  <c r="S388" i="9"/>
  <c r="O388" i="9"/>
  <c r="Q388" i="9" s="1"/>
  <c r="K388" i="9"/>
  <c r="J388" i="9"/>
  <c r="I388" i="9"/>
  <c r="H388" i="9"/>
  <c r="S387" i="9"/>
  <c r="O387" i="9"/>
  <c r="Q387" i="9" s="1"/>
  <c r="K387" i="9"/>
  <c r="J387" i="9"/>
  <c r="I387" i="9"/>
  <c r="H387" i="9"/>
  <c r="S386" i="9"/>
  <c r="O386" i="9"/>
  <c r="Q386" i="9" s="1"/>
  <c r="K386" i="9"/>
  <c r="J386" i="9"/>
  <c r="I386" i="9"/>
  <c r="H386" i="9"/>
  <c r="S385" i="9"/>
  <c r="O385" i="9"/>
  <c r="Q385" i="9" s="1"/>
  <c r="K385" i="9"/>
  <c r="J385" i="9"/>
  <c r="I385" i="9"/>
  <c r="H385" i="9"/>
  <c r="S384" i="9"/>
  <c r="O384" i="9"/>
  <c r="Q384" i="9" s="1"/>
  <c r="K384" i="9"/>
  <c r="J384" i="9"/>
  <c r="I384" i="9"/>
  <c r="H384" i="9"/>
  <c r="S383" i="9"/>
  <c r="O383" i="9"/>
  <c r="Q383" i="9" s="1"/>
  <c r="K383" i="9"/>
  <c r="J383" i="9"/>
  <c r="I383" i="9"/>
  <c r="H383" i="9"/>
  <c r="S382" i="9"/>
  <c r="Q382" i="9"/>
  <c r="O382" i="9"/>
  <c r="K382" i="9"/>
  <c r="J382" i="9"/>
  <c r="I382" i="9"/>
  <c r="H382" i="9"/>
  <c r="S381" i="9"/>
  <c r="O381" i="9"/>
  <c r="Q381" i="9" s="1"/>
  <c r="K381" i="9"/>
  <c r="J381" i="9"/>
  <c r="I381" i="9"/>
  <c r="H381" i="9"/>
  <c r="S380" i="9"/>
  <c r="O380" i="9"/>
  <c r="Q380" i="9" s="1"/>
  <c r="K380" i="9"/>
  <c r="J380" i="9"/>
  <c r="I380" i="9"/>
  <c r="H380" i="9"/>
  <c r="S379" i="9"/>
  <c r="O379" i="9"/>
  <c r="Q379" i="9" s="1"/>
  <c r="K379" i="9"/>
  <c r="J379" i="9"/>
  <c r="I379" i="9"/>
  <c r="H379" i="9"/>
  <c r="S378" i="9"/>
  <c r="O378" i="9"/>
  <c r="Q378" i="9" s="1"/>
  <c r="K378" i="9"/>
  <c r="J378" i="9"/>
  <c r="I378" i="9"/>
  <c r="H378" i="9"/>
  <c r="S377" i="9"/>
  <c r="O377" i="9"/>
  <c r="Q377" i="9" s="1"/>
  <c r="K377" i="9"/>
  <c r="J377" i="9"/>
  <c r="I377" i="9"/>
  <c r="H377" i="9"/>
  <c r="S376" i="9"/>
  <c r="O376" i="9"/>
  <c r="Q376" i="9" s="1"/>
  <c r="K376" i="9"/>
  <c r="J376" i="9"/>
  <c r="I376" i="9"/>
  <c r="H376" i="9"/>
  <c r="S375" i="9"/>
  <c r="O375" i="9"/>
  <c r="Q375" i="9" s="1"/>
  <c r="K375" i="9"/>
  <c r="J375" i="9"/>
  <c r="I375" i="9"/>
  <c r="H375" i="9"/>
  <c r="S374" i="9"/>
  <c r="O374" i="9"/>
  <c r="Q374" i="9" s="1"/>
  <c r="K374" i="9"/>
  <c r="J374" i="9"/>
  <c r="I374" i="9"/>
  <c r="H374" i="9"/>
  <c r="S373" i="9"/>
  <c r="O373" i="9"/>
  <c r="Q373" i="9" s="1"/>
  <c r="K373" i="9"/>
  <c r="J373" i="9"/>
  <c r="I373" i="9"/>
  <c r="H373" i="9"/>
  <c r="S372" i="9"/>
  <c r="O372" i="9"/>
  <c r="Q372" i="9" s="1"/>
  <c r="K372" i="9"/>
  <c r="J372" i="9"/>
  <c r="I372" i="9"/>
  <c r="H372" i="9"/>
  <c r="S371" i="9"/>
  <c r="O371" i="9"/>
  <c r="Q371" i="9" s="1"/>
  <c r="K371" i="9"/>
  <c r="J371" i="9"/>
  <c r="I371" i="9"/>
  <c r="H371" i="9"/>
  <c r="S370" i="9"/>
  <c r="O370" i="9"/>
  <c r="Q370" i="9" s="1"/>
  <c r="K370" i="9"/>
  <c r="J370" i="9"/>
  <c r="I370" i="9"/>
  <c r="H370" i="9"/>
  <c r="S369" i="9"/>
  <c r="O369" i="9"/>
  <c r="Q369" i="9" s="1"/>
  <c r="K369" i="9"/>
  <c r="J369" i="9"/>
  <c r="I369" i="9"/>
  <c r="H369" i="9"/>
  <c r="S368" i="9"/>
  <c r="O368" i="9"/>
  <c r="Q368" i="9" s="1"/>
  <c r="K368" i="9"/>
  <c r="J368" i="9"/>
  <c r="I368" i="9"/>
  <c r="H368" i="9"/>
  <c r="S367" i="9"/>
  <c r="Q367" i="9"/>
  <c r="O367" i="9"/>
  <c r="K367" i="9"/>
  <c r="J367" i="9"/>
  <c r="I367" i="9"/>
  <c r="H367" i="9"/>
  <c r="S366" i="9"/>
  <c r="O366" i="9"/>
  <c r="Q366" i="9" s="1"/>
  <c r="K366" i="9"/>
  <c r="J366" i="9"/>
  <c r="I366" i="9"/>
  <c r="H366" i="9"/>
  <c r="S365" i="9"/>
  <c r="O365" i="9"/>
  <c r="Q365" i="9" s="1"/>
  <c r="K365" i="9"/>
  <c r="J365" i="9"/>
  <c r="I365" i="9"/>
  <c r="H365" i="9"/>
  <c r="S364" i="9"/>
  <c r="O364" i="9"/>
  <c r="Q364" i="9" s="1"/>
  <c r="K364" i="9"/>
  <c r="J364" i="9"/>
  <c r="I364" i="9"/>
  <c r="H364" i="9"/>
  <c r="S363" i="9"/>
  <c r="O363" i="9"/>
  <c r="Q363" i="9" s="1"/>
  <c r="K363" i="9"/>
  <c r="J363" i="9"/>
  <c r="I363" i="9"/>
  <c r="H363" i="9"/>
  <c r="S362" i="9"/>
  <c r="O362" i="9"/>
  <c r="Q362" i="9" s="1"/>
  <c r="K362" i="9"/>
  <c r="J362" i="9"/>
  <c r="I362" i="9"/>
  <c r="H362" i="9"/>
  <c r="S361" i="9"/>
  <c r="O361" i="9"/>
  <c r="Q361" i="9" s="1"/>
  <c r="K361" i="9"/>
  <c r="J361" i="9"/>
  <c r="I361" i="9"/>
  <c r="H361" i="9"/>
  <c r="S360" i="9"/>
  <c r="O360" i="9"/>
  <c r="Q360" i="9" s="1"/>
  <c r="K360" i="9"/>
  <c r="J360" i="9"/>
  <c r="I360" i="9"/>
  <c r="H360" i="9"/>
  <c r="S359" i="9"/>
  <c r="O359" i="9"/>
  <c r="Q359" i="9" s="1"/>
  <c r="K359" i="9"/>
  <c r="J359" i="9"/>
  <c r="I359" i="9"/>
  <c r="H359" i="9"/>
  <c r="S358" i="9"/>
  <c r="O358" i="9"/>
  <c r="Q358" i="9" s="1"/>
  <c r="K358" i="9"/>
  <c r="J358" i="9"/>
  <c r="I358" i="9"/>
  <c r="H358" i="9"/>
  <c r="S357" i="9"/>
  <c r="O357" i="9"/>
  <c r="Q357" i="9" s="1"/>
  <c r="K357" i="9"/>
  <c r="J357" i="9"/>
  <c r="I357" i="9"/>
  <c r="H357" i="9"/>
  <c r="S356" i="9"/>
  <c r="O356" i="9"/>
  <c r="Q356" i="9" s="1"/>
  <c r="K356" i="9"/>
  <c r="J356" i="9"/>
  <c r="I356" i="9"/>
  <c r="H356" i="9"/>
  <c r="S355" i="9"/>
  <c r="O355" i="9"/>
  <c r="Q355" i="9" s="1"/>
  <c r="K355" i="9"/>
  <c r="J355" i="9"/>
  <c r="I355" i="9"/>
  <c r="H355" i="9"/>
  <c r="S354" i="9"/>
  <c r="O354" i="9"/>
  <c r="Q354" i="9" s="1"/>
  <c r="K354" i="9"/>
  <c r="J354" i="9"/>
  <c r="I354" i="9"/>
  <c r="H354" i="9"/>
  <c r="S353" i="9"/>
  <c r="O353" i="9"/>
  <c r="Q353" i="9" s="1"/>
  <c r="K353" i="9"/>
  <c r="J353" i="9"/>
  <c r="I353" i="9"/>
  <c r="H353" i="9"/>
  <c r="S352" i="9"/>
  <c r="O352" i="9"/>
  <c r="Q352" i="9" s="1"/>
  <c r="K352" i="9"/>
  <c r="J352" i="9"/>
  <c r="I352" i="9"/>
  <c r="H352" i="9"/>
  <c r="S351" i="9"/>
  <c r="O351" i="9"/>
  <c r="Q351" i="9" s="1"/>
  <c r="K351" i="9"/>
  <c r="J351" i="9"/>
  <c r="I351" i="9"/>
  <c r="H351" i="9"/>
  <c r="S350" i="9"/>
  <c r="O350" i="9"/>
  <c r="Q350" i="9" s="1"/>
  <c r="K350" i="9"/>
  <c r="J350" i="9"/>
  <c r="I350" i="9"/>
  <c r="H350" i="9"/>
  <c r="S349" i="9"/>
  <c r="O349" i="9"/>
  <c r="Q349" i="9" s="1"/>
  <c r="K349" i="9"/>
  <c r="J349" i="9"/>
  <c r="I349" i="9"/>
  <c r="H349" i="9"/>
  <c r="S348" i="9"/>
  <c r="O348" i="9"/>
  <c r="Q348" i="9" s="1"/>
  <c r="K348" i="9"/>
  <c r="J348" i="9"/>
  <c r="I348" i="9"/>
  <c r="H348" i="9"/>
  <c r="S347" i="9"/>
  <c r="O347" i="9"/>
  <c r="Q347" i="9" s="1"/>
  <c r="K347" i="9"/>
  <c r="J347" i="9"/>
  <c r="I347" i="9"/>
  <c r="H347" i="9"/>
  <c r="S346" i="9"/>
  <c r="Q346" i="9"/>
  <c r="O346" i="9"/>
  <c r="K346" i="9"/>
  <c r="J346" i="9"/>
  <c r="I346" i="9"/>
  <c r="H346" i="9"/>
  <c r="S345" i="9"/>
  <c r="O345" i="9"/>
  <c r="Q345" i="9" s="1"/>
  <c r="K345" i="9"/>
  <c r="J345" i="9"/>
  <c r="I345" i="9"/>
  <c r="H345" i="9"/>
  <c r="S344" i="9"/>
  <c r="O344" i="9"/>
  <c r="Q344" i="9" s="1"/>
  <c r="K344" i="9"/>
  <c r="J344" i="9"/>
  <c r="I344" i="9"/>
  <c r="H344" i="9"/>
  <c r="S343" i="9"/>
  <c r="O343" i="9"/>
  <c r="Q343" i="9" s="1"/>
  <c r="K343" i="9"/>
  <c r="J343" i="9"/>
  <c r="I343" i="9"/>
  <c r="H343" i="9"/>
  <c r="S342" i="9"/>
  <c r="O342" i="9"/>
  <c r="Q342" i="9" s="1"/>
  <c r="K342" i="9"/>
  <c r="J342" i="9"/>
  <c r="I342" i="9"/>
  <c r="H342" i="9"/>
  <c r="S341" i="9"/>
  <c r="O341" i="9"/>
  <c r="Q341" i="9" s="1"/>
  <c r="K341" i="9"/>
  <c r="J341" i="9"/>
  <c r="I341" i="9"/>
  <c r="H341" i="9"/>
  <c r="S340" i="9"/>
  <c r="O340" i="9"/>
  <c r="Q340" i="9" s="1"/>
  <c r="K340" i="9"/>
  <c r="J340" i="9"/>
  <c r="I340" i="9"/>
  <c r="H340" i="9"/>
  <c r="S339" i="9"/>
  <c r="O339" i="9"/>
  <c r="Q339" i="9" s="1"/>
  <c r="K339" i="9"/>
  <c r="J339" i="9"/>
  <c r="I339" i="9"/>
  <c r="H339" i="9"/>
  <c r="S338" i="9"/>
  <c r="O338" i="9"/>
  <c r="Q338" i="9" s="1"/>
  <c r="K338" i="9"/>
  <c r="J338" i="9"/>
  <c r="I338" i="9"/>
  <c r="H338" i="9"/>
  <c r="S337" i="9"/>
  <c r="O337" i="9"/>
  <c r="Q337" i="9" s="1"/>
  <c r="K337" i="9"/>
  <c r="J337" i="9"/>
  <c r="I337" i="9"/>
  <c r="H337" i="9"/>
  <c r="S336" i="9"/>
  <c r="O336" i="9"/>
  <c r="Q336" i="9" s="1"/>
  <c r="K336" i="9"/>
  <c r="J336" i="9"/>
  <c r="I336" i="9"/>
  <c r="H336" i="9"/>
  <c r="S335" i="9"/>
  <c r="O335" i="9"/>
  <c r="Q335" i="9" s="1"/>
  <c r="K335" i="9"/>
  <c r="J335" i="9"/>
  <c r="I335" i="9"/>
  <c r="H335" i="9"/>
  <c r="S334" i="9"/>
  <c r="O334" i="9"/>
  <c r="Q334" i="9" s="1"/>
  <c r="K334" i="9"/>
  <c r="J334" i="9"/>
  <c r="I334" i="9"/>
  <c r="H334" i="9"/>
  <c r="S333" i="9"/>
  <c r="O333" i="9"/>
  <c r="Q333" i="9" s="1"/>
  <c r="K333" i="9"/>
  <c r="J333" i="9"/>
  <c r="I333" i="9"/>
  <c r="H333" i="9"/>
  <c r="S332" i="9"/>
  <c r="O332" i="9"/>
  <c r="Q332" i="9" s="1"/>
  <c r="K332" i="9"/>
  <c r="J332" i="9"/>
  <c r="I332" i="9"/>
  <c r="H332" i="9"/>
  <c r="S331" i="9"/>
  <c r="O331" i="9"/>
  <c r="Q331" i="9" s="1"/>
  <c r="K331" i="9"/>
  <c r="J331" i="9"/>
  <c r="I331" i="9"/>
  <c r="H331" i="9"/>
  <c r="S330" i="9"/>
  <c r="O330" i="9"/>
  <c r="Q330" i="9" s="1"/>
  <c r="K330" i="9"/>
  <c r="J330" i="9"/>
  <c r="I330" i="9"/>
  <c r="H330" i="9"/>
  <c r="S329" i="9"/>
  <c r="O329" i="9"/>
  <c r="Q329" i="9" s="1"/>
  <c r="K329" i="9"/>
  <c r="J329" i="9"/>
  <c r="I329" i="9"/>
  <c r="H329" i="9"/>
  <c r="S328" i="9"/>
  <c r="O328" i="9"/>
  <c r="Q328" i="9" s="1"/>
  <c r="K328" i="9"/>
  <c r="J328" i="9"/>
  <c r="I328" i="9"/>
  <c r="H328" i="9"/>
  <c r="S327" i="9"/>
  <c r="O327" i="9"/>
  <c r="Q327" i="9" s="1"/>
  <c r="K327" i="9"/>
  <c r="J327" i="9"/>
  <c r="I327" i="9"/>
  <c r="H327" i="9"/>
  <c r="S326" i="9"/>
  <c r="O326" i="9"/>
  <c r="Q326" i="9" s="1"/>
  <c r="K326" i="9"/>
  <c r="J326" i="9"/>
  <c r="I326" i="9"/>
  <c r="H326" i="9"/>
  <c r="S325" i="9"/>
  <c r="Q325" i="9"/>
  <c r="O325" i="9"/>
  <c r="K325" i="9"/>
  <c r="J325" i="9"/>
  <c r="I325" i="9"/>
  <c r="H325" i="9"/>
  <c r="S324" i="9"/>
  <c r="O324" i="9"/>
  <c r="Q324" i="9" s="1"/>
  <c r="K324" i="9"/>
  <c r="J324" i="9"/>
  <c r="I324" i="9"/>
  <c r="H324" i="9"/>
  <c r="S323" i="9"/>
  <c r="O323" i="9"/>
  <c r="Q323" i="9" s="1"/>
  <c r="K323" i="9"/>
  <c r="J323" i="9"/>
  <c r="I323" i="9"/>
  <c r="H323" i="9"/>
  <c r="S322" i="9"/>
  <c r="O322" i="9"/>
  <c r="Q322" i="9" s="1"/>
  <c r="K322" i="9"/>
  <c r="J322" i="9"/>
  <c r="I322" i="9"/>
  <c r="H322" i="9"/>
  <c r="S321" i="9"/>
  <c r="O321" i="9"/>
  <c r="Q321" i="9" s="1"/>
  <c r="K321" i="9"/>
  <c r="J321" i="9"/>
  <c r="I321" i="9"/>
  <c r="H321" i="9"/>
  <c r="S320" i="9"/>
  <c r="O320" i="9"/>
  <c r="Q320" i="9" s="1"/>
  <c r="K320" i="9"/>
  <c r="J320" i="9"/>
  <c r="I320" i="9"/>
  <c r="H320" i="9"/>
  <c r="S319" i="9"/>
  <c r="O319" i="9"/>
  <c r="Q319" i="9" s="1"/>
  <c r="K319" i="9"/>
  <c r="J319" i="9"/>
  <c r="I319" i="9"/>
  <c r="H319" i="9"/>
  <c r="S318" i="9"/>
  <c r="O318" i="9"/>
  <c r="Q318" i="9" s="1"/>
  <c r="K318" i="9"/>
  <c r="J318" i="9"/>
  <c r="I318" i="9"/>
  <c r="H318" i="9"/>
  <c r="S317" i="9"/>
  <c r="O317" i="9"/>
  <c r="Q317" i="9" s="1"/>
  <c r="K317" i="9"/>
  <c r="J317" i="9"/>
  <c r="I317" i="9"/>
  <c r="H317" i="9"/>
  <c r="S316" i="9"/>
  <c r="O316" i="9"/>
  <c r="Q316" i="9" s="1"/>
  <c r="K316" i="9"/>
  <c r="J316" i="9"/>
  <c r="I316" i="9"/>
  <c r="H316" i="9"/>
  <c r="S315" i="9"/>
  <c r="O315" i="9"/>
  <c r="Q315" i="9" s="1"/>
  <c r="K315" i="9"/>
  <c r="J315" i="9"/>
  <c r="I315" i="9"/>
  <c r="H315" i="9"/>
  <c r="S314" i="9"/>
  <c r="O314" i="9"/>
  <c r="Q314" i="9" s="1"/>
  <c r="K314" i="9"/>
  <c r="J314" i="9"/>
  <c r="I314" i="9"/>
  <c r="H314" i="9"/>
  <c r="S313" i="9"/>
  <c r="O313" i="9"/>
  <c r="Q313" i="9" s="1"/>
  <c r="K313" i="9"/>
  <c r="J313" i="9"/>
  <c r="I313" i="9"/>
  <c r="H313" i="9"/>
  <c r="S312" i="9"/>
  <c r="O312" i="9"/>
  <c r="Q312" i="9" s="1"/>
  <c r="K312" i="9"/>
  <c r="J312" i="9"/>
  <c r="I312" i="9"/>
  <c r="H312" i="9"/>
  <c r="S311" i="9"/>
  <c r="O311" i="9"/>
  <c r="Q311" i="9" s="1"/>
  <c r="K311" i="9"/>
  <c r="J311" i="9"/>
  <c r="I311" i="9"/>
  <c r="H311" i="9"/>
  <c r="S310" i="9"/>
  <c r="O310" i="9"/>
  <c r="Q310" i="9" s="1"/>
  <c r="K310" i="9"/>
  <c r="J310" i="9"/>
  <c r="I310" i="9"/>
  <c r="H310" i="9"/>
  <c r="S309" i="9"/>
  <c r="O309" i="9"/>
  <c r="Q309" i="9" s="1"/>
  <c r="K309" i="9"/>
  <c r="J309" i="9"/>
  <c r="I309" i="9"/>
  <c r="H309" i="9"/>
  <c r="S308" i="9"/>
  <c r="O308" i="9"/>
  <c r="Q308" i="9" s="1"/>
  <c r="K308" i="9"/>
  <c r="J308" i="9"/>
  <c r="I308" i="9"/>
  <c r="H308" i="9"/>
  <c r="S307" i="9"/>
  <c r="O307" i="9"/>
  <c r="Q307" i="9" s="1"/>
  <c r="K307" i="9"/>
  <c r="J307" i="9"/>
  <c r="I307" i="9"/>
  <c r="H307" i="9"/>
  <c r="S306" i="9"/>
  <c r="O306" i="9"/>
  <c r="Q306" i="9" s="1"/>
  <c r="K306" i="9"/>
  <c r="J306" i="9"/>
  <c r="I306" i="9"/>
  <c r="H306" i="9"/>
  <c r="S305" i="9"/>
  <c r="O305" i="9"/>
  <c r="Q305" i="9" s="1"/>
  <c r="K305" i="9"/>
  <c r="J305" i="9"/>
  <c r="I305" i="9"/>
  <c r="H305" i="9"/>
  <c r="S304" i="9"/>
  <c r="O304" i="9"/>
  <c r="Q304" i="9" s="1"/>
  <c r="K304" i="9"/>
  <c r="J304" i="9"/>
  <c r="I304" i="9"/>
  <c r="H304" i="9"/>
  <c r="S303" i="9"/>
  <c r="O303" i="9"/>
  <c r="Q303" i="9" s="1"/>
  <c r="K303" i="9"/>
  <c r="J303" i="9"/>
  <c r="I303" i="9"/>
  <c r="H303" i="9"/>
  <c r="S302" i="9"/>
  <c r="O302" i="9"/>
  <c r="Q302" i="9" s="1"/>
  <c r="K302" i="9"/>
  <c r="J302" i="9"/>
  <c r="I302" i="9"/>
  <c r="H302" i="9"/>
  <c r="S301" i="9"/>
  <c r="Q301" i="9"/>
  <c r="O301" i="9"/>
  <c r="K301" i="9"/>
  <c r="J301" i="9"/>
  <c r="I301" i="9"/>
  <c r="H301" i="9"/>
  <c r="S300" i="9"/>
  <c r="O300" i="9"/>
  <c r="Q300" i="9" s="1"/>
  <c r="K300" i="9"/>
  <c r="J300" i="9"/>
  <c r="I300" i="9"/>
  <c r="H300" i="9"/>
  <c r="S299" i="9"/>
  <c r="O299" i="9"/>
  <c r="Q299" i="9" s="1"/>
  <c r="K299" i="9"/>
  <c r="J299" i="9"/>
  <c r="I299" i="9"/>
  <c r="H299" i="9"/>
  <c r="S298" i="9"/>
  <c r="O298" i="9"/>
  <c r="Q298" i="9" s="1"/>
  <c r="K298" i="9"/>
  <c r="J298" i="9"/>
  <c r="I298" i="9"/>
  <c r="H298" i="9"/>
  <c r="S297" i="9"/>
  <c r="O297" i="9"/>
  <c r="Q297" i="9" s="1"/>
  <c r="K297" i="9"/>
  <c r="J297" i="9"/>
  <c r="I297" i="9"/>
  <c r="H297" i="9"/>
  <c r="S296" i="9"/>
  <c r="O296" i="9"/>
  <c r="Q296" i="9" s="1"/>
  <c r="K296" i="9"/>
  <c r="J296" i="9"/>
  <c r="I296" i="9"/>
  <c r="H296" i="9"/>
  <c r="S295" i="9"/>
  <c r="O295" i="9"/>
  <c r="Q295" i="9" s="1"/>
  <c r="K295" i="9"/>
  <c r="J295" i="9"/>
  <c r="I295" i="9"/>
  <c r="H295" i="9"/>
  <c r="S294" i="9"/>
  <c r="O294" i="9"/>
  <c r="Q294" i="9" s="1"/>
  <c r="K294" i="9"/>
  <c r="J294" i="9"/>
  <c r="I294" i="9"/>
  <c r="H294" i="9"/>
  <c r="S293" i="9"/>
  <c r="O293" i="9"/>
  <c r="Q293" i="9" s="1"/>
  <c r="K293" i="9"/>
  <c r="J293" i="9"/>
  <c r="I293" i="9"/>
  <c r="H293" i="9"/>
  <c r="S292" i="9"/>
  <c r="O292" i="9"/>
  <c r="Q292" i="9" s="1"/>
  <c r="K292" i="9"/>
  <c r="J292" i="9"/>
  <c r="I292" i="9"/>
  <c r="H292" i="9"/>
  <c r="S291" i="9"/>
  <c r="O291" i="9"/>
  <c r="Q291" i="9" s="1"/>
  <c r="K291" i="9"/>
  <c r="J291" i="9"/>
  <c r="I291" i="9"/>
  <c r="H291" i="9"/>
  <c r="S290" i="9"/>
  <c r="Q290" i="9"/>
  <c r="O290" i="9"/>
  <c r="K290" i="9"/>
  <c r="J290" i="9"/>
  <c r="I290" i="9"/>
  <c r="H290" i="9"/>
  <c r="S289" i="9"/>
  <c r="O289" i="9"/>
  <c r="Q289" i="9" s="1"/>
  <c r="K289" i="9"/>
  <c r="J289" i="9"/>
  <c r="I289" i="9"/>
  <c r="H289" i="9"/>
  <c r="S288" i="9"/>
  <c r="O288" i="9"/>
  <c r="Q288" i="9" s="1"/>
  <c r="K288" i="9"/>
  <c r="J288" i="9"/>
  <c r="I288" i="9"/>
  <c r="H288" i="9"/>
  <c r="S287" i="9"/>
  <c r="O287" i="9"/>
  <c r="Q287" i="9" s="1"/>
  <c r="K287" i="9"/>
  <c r="J287" i="9"/>
  <c r="I287" i="9"/>
  <c r="H287" i="9"/>
  <c r="S286" i="9"/>
  <c r="O286" i="9"/>
  <c r="Q286" i="9" s="1"/>
  <c r="K286" i="9"/>
  <c r="J286" i="9"/>
  <c r="I286" i="9"/>
  <c r="H286" i="9"/>
  <c r="S285" i="9"/>
  <c r="O285" i="9"/>
  <c r="Q285" i="9" s="1"/>
  <c r="K285" i="9"/>
  <c r="J285" i="9"/>
  <c r="I285" i="9"/>
  <c r="H285" i="9"/>
  <c r="S284" i="9"/>
  <c r="O284" i="9"/>
  <c r="Q284" i="9" s="1"/>
  <c r="K284" i="9"/>
  <c r="J284" i="9"/>
  <c r="I284" i="9"/>
  <c r="H284" i="9"/>
  <c r="S283" i="9"/>
  <c r="O283" i="9"/>
  <c r="Q283" i="9" s="1"/>
  <c r="K283" i="9"/>
  <c r="J283" i="9"/>
  <c r="I283" i="9"/>
  <c r="H283" i="9"/>
  <c r="S282" i="9"/>
  <c r="O282" i="9"/>
  <c r="Q282" i="9" s="1"/>
  <c r="K282" i="9"/>
  <c r="J282" i="9"/>
  <c r="I282" i="9"/>
  <c r="H282" i="9"/>
  <c r="S281" i="9"/>
  <c r="O281" i="9"/>
  <c r="Q281" i="9" s="1"/>
  <c r="K281" i="9"/>
  <c r="J281" i="9"/>
  <c r="I281" i="9"/>
  <c r="H281" i="9"/>
  <c r="S280" i="9"/>
  <c r="O280" i="9"/>
  <c r="Q280" i="9" s="1"/>
  <c r="K280" i="9"/>
  <c r="J280" i="9"/>
  <c r="I280" i="9"/>
  <c r="H280" i="9"/>
  <c r="S279" i="9"/>
  <c r="O279" i="9"/>
  <c r="Q279" i="9" s="1"/>
  <c r="K279" i="9"/>
  <c r="J279" i="9"/>
  <c r="I279" i="9"/>
  <c r="H279" i="9"/>
  <c r="S278" i="9"/>
  <c r="O278" i="9"/>
  <c r="Q278" i="9" s="1"/>
  <c r="K278" i="9"/>
  <c r="J278" i="9"/>
  <c r="I278" i="9"/>
  <c r="H278" i="9"/>
  <c r="S277" i="9"/>
  <c r="O277" i="9"/>
  <c r="Q277" i="9" s="1"/>
  <c r="K277" i="9"/>
  <c r="J277" i="9"/>
  <c r="I277" i="9"/>
  <c r="H277" i="9"/>
  <c r="S276" i="9"/>
  <c r="O276" i="9"/>
  <c r="Q276" i="9" s="1"/>
  <c r="K276" i="9"/>
  <c r="J276" i="9"/>
  <c r="I276" i="9"/>
  <c r="H276" i="9"/>
  <c r="S275" i="9"/>
  <c r="O275" i="9"/>
  <c r="Q275" i="9" s="1"/>
  <c r="K275" i="9"/>
  <c r="J275" i="9"/>
  <c r="I275" i="9"/>
  <c r="H275" i="9"/>
  <c r="S274" i="9"/>
  <c r="O274" i="9"/>
  <c r="Q274" i="9" s="1"/>
  <c r="K274" i="9"/>
  <c r="J274" i="9"/>
  <c r="I274" i="9"/>
  <c r="H274" i="9"/>
  <c r="S273" i="9"/>
  <c r="O273" i="9"/>
  <c r="Q273" i="9" s="1"/>
  <c r="K273" i="9"/>
  <c r="J273" i="9"/>
  <c r="I273" i="9"/>
  <c r="H273" i="9"/>
  <c r="S272" i="9"/>
  <c r="O272" i="9"/>
  <c r="Q272" i="9" s="1"/>
  <c r="K272" i="9"/>
  <c r="J272" i="9"/>
  <c r="I272" i="9"/>
  <c r="H272" i="9"/>
  <c r="S271" i="9"/>
  <c r="O271" i="9"/>
  <c r="Q271" i="9" s="1"/>
  <c r="K271" i="9"/>
  <c r="J271" i="9"/>
  <c r="I271" i="9"/>
  <c r="H271" i="9"/>
  <c r="S270" i="9"/>
  <c r="Q270" i="9"/>
  <c r="O270" i="9"/>
  <c r="K270" i="9"/>
  <c r="J270" i="9"/>
  <c r="I270" i="9"/>
  <c r="H270" i="9"/>
  <c r="S269" i="9"/>
  <c r="O269" i="9"/>
  <c r="Q269" i="9" s="1"/>
  <c r="K269" i="9"/>
  <c r="J269" i="9"/>
  <c r="I269" i="9"/>
  <c r="H269" i="9"/>
  <c r="S268" i="9"/>
  <c r="O268" i="9"/>
  <c r="Q268" i="9" s="1"/>
  <c r="K268" i="9"/>
  <c r="J268" i="9"/>
  <c r="I268" i="9"/>
  <c r="H268" i="9"/>
  <c r="S267" i="9"/>
  <c r="Q267" i="9"/>
  <c r="O267" i="9"/>
  <c r="K267" i="9"/>
  <c r="J267" i="9"/>
  <c r="I267" i="9"/>
  <c r="H267" i="9"/>
  <c r="S266" i="9"/>
  <c r="O266" i="9"/>
  <c r="Q266" i="9" s="1"/>
  <c r="K266" i="9"/>
  <c r="J266" i="9"/>
  <c r="I266" i="9"/>
  <c r="H266" i="9"/>
  <c r="S265" i="9"/>
  <c r="O265" i="9"/>
  <c r="Q265" i="9" s="1"/>
  <c r="K265" i="9"/>
  <c r="J265" i="9"/>
  <c r="I265" i="9"/>
  <c r="H265" i="9"/>
  <c r="S264" i="9"/>
  <c r="O264" i="9"/>
  <c r="Q264" i="9" s="1"/>
  <c r="K264" i="9"/>
  <c r="J264" i="9"/>
  <c r="I264" i="9"/>
  <c r="H264" i="9"/>
  <c r="S263" i="9"/>
  <c r="O263" i="9"/>
  <c r="Q263" i="9" s="1"/>
  <c r="K263" i="9"/>
  <c r="J263" i="9"/>
  <c r="I263" i="9"/>
  <c r="H263" i="9"/>
  <c r="S262" i="9"/>
  <c r="O262" i="9"/>
  <c r="Q262" i="9" s="1"/>
  <c r="K262" i="9"/>
  <c r="J262" i="9"/>
  <c r="I262" i="9"/>
  <c r="H262" i="9"/>
  <c r="S261" i="9"/>
  <c r="O261" i="9"/>
  <c r="Q261" i="9" s="1"/>
  <c r="K261" i="9"/>
  <c r="J261" i="9"/>
  <c r="I261" i="9"/>
  <c r="H261" i="9"/>
  <c r="S260" i="9"/>
  <c r="O260" i="9"/>
  <c r="Q260" i="9" s="1"/>
  <c r="K260" i="9"/>
  <c r="J260" i="9"/>
  <c r="I260" i="9"/>
  <c r="H260" i="9"/>
  <c r="S259" i="9"/>
  <c r="O259" i="9"/>
  <c r="Q259" i="9" s="1"/>
  <c r="K259" i="9"/>
  <c r="J259" i="9"/>
  <c r="I259" i="9"/>
  <c r="H259" i="9"/>
  <c r="S258" i="9"/>
  <c r="O258" i="9"/>
  <c r="Q258" i="9" s="1"/>
  <c r="K258" i="9"/>
  <c r="J258" i="9"/>
  <c r="I258" i="9"/>
  <c r="H258" i="9"/>
  <c r="S257" i="9"/>
  <c r="O257" i="9"/>
  <c r="Q257" i="9" s="1"/>
  <c r="K257" i="9"/>
  <c r="J257" i="9"/>
  <c r="I257" i="9"/>
  <c r="H257" i="9"/>
  <c r="S256" i="9"/>
  <c r="O256" i="9"/>
  <c r="Q256" i="9" s="1"/>
  <c r="K256" i="9"/>
  <c r="J256" i="9"/>
  <c r="I256" i="9"/>
  <c r="H256" i="9"/>
  <c r="S255" i="9"/>
  <c r="O255" i="9"/>
  <c r="Q255" i="9" s="1"/>
  <c r="K255" i="9"/>
  <c r="J255" i="9"/>
  <c r="I255" i="9"/>
  <c r="H255" i="9"/>
  <c r="S254" i="9"/>
  <c r="O254" i="9"/>
  <c r="Q254" i="9" s="1"/>
  <c r="K254" i="9"/>
  <c r="J254" i="9"/>
  <c r="I254" i="9"/>
  <c r="H254" i="9"/>
  <c r="S253" i="9"/>
  <c r="O253" i="9"/>
  <c r="Q253" i="9" s="1"/>
  <c r="K253" i="9"/>
  <c r="J253" i="9"/>
  <c r="I253" i="9"/>
  <c r="H253" i="9"/>
  <c r="S252" i="9"/>
  <c r="O252" i="9"/>
  <c r="Q252" i="9" s="1"/>
  <c r="K252" i="9"/>
  <c r="J252" i="9"/>
  <c r="I252" i="9"/>
  <c r="H252" i="9"/>
  <c r="S251" i="9"/>
  <c r="O251" i="9"/>
  <c r="Q251" i="9" s="1"/>
  <c r="K251" i="9"/>
  <c r="J251" i="9"/>
  <c r="I251" i="9"/>
  <c r="H251" i="9"/>
  <c r="S250" i="9"/>
  <c r="O250" i="9"/>
  <c r="Q250" i="9" s="1"/>
  <c r="K250" i="9"/>
  <c r="J250" i="9"/>
  <c r="I250" i="9"/>
  <c r="H250" i="9"/>
  <c r="S249" i="9"/>
  <c r="O249" i="9"/>
  <c r="Q249" i="9" s="1"/>
  <c r="K249" i="9"/>
  <c r="J249" i="9"/>
  <c r="I249" i="9"/>
  <c r="H249" i="9"/>
  <c r="S248" i="9"/>
  <c r="O248" i="9"/>
  <c r="Q248" i="9" s="1"/>
  <c r="K248" i="9"/>
  <c r="J248" i="9"/>
  <c r="I248" i="9"/>
  <c r="H248" i="9"/>
  <c r="S247" i="9"/>
  <c r="O247" i="9"/>
  <c r="Q247" i="9" s="1"/>
  <c r="K247" i="9"/>
  <c r="J247" i="9"/>
  <c r="I247" i="9"/>
  <c r="H247" i="9"/>
  <c r="S246" i="9"/>
  <c r="O246" i="9"/>
  <c r="Q246" i="9" s="1"/>
  <c r="K246" i="9"/>
  <c r="J246" i="9"/>
  <c r="I246" i="9"/>
  <c r="H246" i="9"/>
  <c r="S245" i="9"/>
  <c r="O245" i="9"/>
  <c r="Q245" i="9" s="1"/>
  <c r="K245" i="9"/>
  <c r="J245" i="9"/>
  <c r="I245" i="9"/>
  <c r="H245" i="9"/>
  <c r="S244" i="9"/>
  <c r="Q244" i="9"/>
  <c r="O244" i="9"/>
  <c r="K244" i="9"/>
  <c r="J244" i="9"/>
  <c r="I244" i="9"/>
  <c r="H244" i="9"/>
  <c r="S243" i="9"/>
  <c r="O243" i="9"/>
  <c r="Q243" i="9" s="1"/>
  <c r="K243" i="9"/>
  <c r="J243" i="9"/>
  <c r="I243" i="9"/>
  <c r="H243" i="9"/>
  <c r="S242" i="9"/>
  <c r="O242" i="9"/>
  <c r="Q242" i="9" s="1"/>
  <c r="K242" i="9"/>
  <c r="J242" i="9"/>
  <c r="I242" i="9"/>
  <c r="H242" i="9"/>
  <c r="S241" i="9"/>
  <c r="O241" i="9"/>
  <c r="Q241" i="9" s="1"/>
  <c r="K241" i="9"/>
  <c r="J241" i="9"/>
  <c r="I241" i="9"/>
  <c r="H241" i="9"/>
  <c r="AQ240" i="9"/>
  <c r="AP240" i="9"/>
  <c r="AO240" i="9"/>
  <c r="S240" i="9"/>
  <c r="O240" i="9"/>
  <c r="Q240" i="9" s="1"/>
  <c r="K240" i="9"/>
  <c r="J240" i="9"/>
  <c r="I240" i="9"/>
  <c r="H240" i="9"/>
  <c r="AQ239" i="9"/>
  <c r="AP239" i="9"/>
  <c r="AO239" i="9"/>
  <c r="S239" i="9"/>
  <c r="Q239" i="9"/>
  <c r="O239" i="9"/>
  <c r="K239" i="9"/>
  <c r="J239" i="9"/>
  <c r="I239" i="9"/>
  <c r="H239" i="9"/>
  <c r="AQ238" i="9"/>
  <c r="AP238" i="9"/>
  <c r="AO238" i="9"/>
  <c r="S238" i="9"/>
  <c r="O238" i="9"/>
  <c r="Q238" i="9" s="1"/>
  <c r="K238" i="9"/>
  <c r="J238" i="9"/>
  <c r="I238" i="9"/>
  <c r="H238" i="9"/>
  <c r="AQ237" i="9"/>
  <c r="AO237" i="9"/>
  <c r="AP237" i="9" s="1"/>
  <c r="S237" i="9"/>
  <c r="O237" i="9"/>
  <c r="Q237" i="9" s="1"/>
  <c r="K237" i="9"/>
  <c r="J237" i="9"/>
  <c r="I237" i="9"/>
  <c r="H237" i="9"/>
  <c r="AQ236" i="9"/>
  <c r="AO236" i="9"/>
  <c r="AP236" i="9" s="1"/>
  <c r="S236" i="9"/>
  <c r="O236" i="9"/>
  <c r="Q236" i="9" s="1"/>
  <c r="K236" i="9"/>
  <c r="J236" i="9"/>
  <c r="I236" i="9"/>
  <c r="H236" i="9"/>
  <c r="AQ235" i="9"/>
  <c r="AO235" i="9"/>
  <c r="AP235" i="9" s="1"/>
  <c r="S235" i="9"/>
  <c r="O235" i="9"/>
  <c r="Q235" i="9" s="1"/>
  <c r="K235" i="9"/>
  <c r="J235" i="9"/>
  <c r="I235" i="9"/>
  <c r="H235" i="9"/>
  <c r="AQ234" i="9"/>
  <c r="AP234" i="9"/>
  <c r="AO234" i="9"/>
  <c r="S234" i="9"/>
  <c r="O234" i="9"/>
  <c r="Q234" i="9" s="1"/>
  <c r="K234" i="9"/>
  <c r="J234" i="9"/>
  <c r="I234" i="9"/>
  <c r="H234" i="9"/>
  <c r="AQ233" i="9"/>
  <c r="AO233" i="9"/>
  <c r="AP233" i="9" s="1"/>
  <c r="S233" i="9"/>
  <c r="O233" i="9"/>
  <c r="Q233" i="9" s="1"/>
  <c r="K233" i="9"/>
  <c r="J233" i="9"/>
  <c r="I233" i="9"/>
  <c r="H233" i="9"/>
  <c r="AQ232" i="9"/>
  <c r="AP232" i="9"/>
  <c r="AO232" i="9"/>
  <c r="S232" i="9"/>
  <c r="O232" i="9"/>
  <c r="Q232" i="9" s="1"/>
  <c r="K232" i="9"/>
  <c r="J232" i="9"/>
  <c r="I232" i="9"/>
  <c r="H232" i="9"/>
  <c r="AQ231" i="9"/>
  <c r="AO231" i="9"/>
  <c r="AP231" i="9" s="1"/>
  <c r="S231" i="9"/>
  <c r="O231" i="9"/>
  <c r="Q231" i="9" s="1"/>
  <c r="K231" i="9"/>
  <c r="J231" i="9"/>
  <c r="I231" i="9"/>
  <c r="H231" i="9"/>
  <c r="AQ230" i="9"/>
  <c r="AP230" i="9"/>
  <c r="AO230" i="9"/>
  <c r="S230" i="9"/>
  <c r="O230" i="9"/>
  <c r="Q230" i="9" s="1"/>
  <c r="K230" i="9"/>
  <c r="J230" i="9"/>
  <c r="I230" i="9"/>
  <c r="H230" i="9"/>
  <c r="AQ229" i="9"/>
  <c r="AO229" i="9"/>
  <c r="AP229" i="9" s="1"/>
  <c r="S229" i="9"/>
  <c r="O229" i="9"/>
  <c r="Q229" i="9" s="1"/>
  <c r="K229" i="9"/>
  <c r="J229" i="9"/>
  <c r="I229" i="9"/>
  <c r="H229" i="9"/>
  <c r="AQ228" i="9"/>
  <c r="AP228" i="9"/>
  <c r="AO228" i="9"/>
  <c r="S228" i="9"/>
  <c r="O228" i="9"/>
  <c r="Q228" i="9" s="1"/>
  <c r="K228" i="9"/>
  <c r="J228" i="9"/>
  <c r="I228" i="9"/>
  <c r="H228" i="9"/>
  <c r="AQ227" i="9"/>
  <c r="AO227" i="9"/>
  <c r="AP227" i="9" s="1"/>
  <c r="S227" i="9"/>
  <c r="O227" i="9"/>
  <c r="Q227" i="9" s="1"/>
  <c r="K227" i="9"/>
  <c r="J227" i="9"/>
  <c r="I227" i="9"/>
  <c r="H227" i="9"/>
  <c r="AQ226" i="9"/>
  <c r="AP226" i="9"/>
  <c r="AO226" i="9"/>
  <c r="S226" i="9"/>
  <c r="O226" i="9"/>
  <c r="Q226" i="9" s="1"/>
  <c r="K226" i="9"/>
  <c r="J226" i="9"/>
  <c r="I226" i="9"/>
  <c r="H226" i="9"/>
  <c r="AQ225" i="9"/>
  <c r="AO225" i="9"/>
  <c r="AP225" i="9" s="1"/>
  <c r="S225" i="9"/>
  <c r="O225" i="9"/>
  <c r="Q225" i="9" s="1"/>
  <c r="K225" i="9"/>
  <c r="J225" i="9"/>
  <c r="I225" i="9"/>
  <c r="H225" i="9"/>
  <c r="AQ224" i="9"/>
  <c r="AO224" i="9"/>
  <c r="AP224" i="9" s="1"/>
  <c r="S224" i="9"/>
  <c r="O224" i="9"/>
  <c r="Q224" i="9" s="1"/>
  <c r="K224" i="9"/>
  <c r="J224" i="9"/>
  <c r="I224" i="9"/>
  <c r="H224" i="9"/>
  <c r="AQ223" i="9"/>
  <c r="AO223" i="9"/>
  <c r="AP223" i="9" s="1"/>
  <c r="S223" i="9"/>
  <c r="O223" i="9"/>
  <c r="Q223" i="9" s="1"/>
  <c r="K223" i="9"/>
  <c r="J223" i="9"/>
  <c r="I223" i="9"/>
  <c r="H223" i="9"/>
  <c r="AQ222" i="9"/>
  <c r="AP222" i="9"/>
  <c r="AO222" i="9"/>
  <c r="S222" i="9"/>
  <c r="O222" i="9"/>
  <c r="Q222" i="9" s="1"/>
  <c r="K222" i="9"/>
  <c r="J222" i="9"/>
  <c r="I222" i="9"/>
  <c r="H222" i="9"/>
  <c r="AQ221" i="9"/>
  <c r="AP221" i="9"/>
  <c r="AO221" i="9"/>
  <c r="S221" i="9"/>
  <c r="O221" i="9"/>
  <c r="Q221" i="9" s="1"/>
  <c r="K221" i="9"/>
  <c r="J221" i="9"/>
  <c r="I221" i="9"/>
  <c r="H221" i="9"/>
  <c r="AQ220" i="9"/>
  <c r="AO220" i="9"/>
  <c r="AP220" i="9" s="1"/>
  <c r="S220" i="9"/>
  <c r="O220" i="9"/>
  <c r="Q220" i="9" s="1"/>
  <c r="K220" i="9"/>
  <c r="J220" i="9"/>
  <c r="I220" i="9"/>
  <c r="H220" i="9"/>
  <c r="AQ219" i="9"/>
  <c r="AO219" i="9"/>
  <c r="AP219" i="9" s="1"/>
  <c r="S219" i="9"/>
  <c r="O219" i="9"/>
  <c r="Q219" i="9" s="1"/>
  <c r="K219" i="9"/>
  <c r="J219" i="9"/>
  <c r="I219" i="9"/>
  <c r="H219" i="9"/>
  <c r="AQ218" i="9"/>
  <c r="AP218" i="9"/>
  <c r="AO218" i="9"/>
  <c r="S218" i="9"/>
  <c r="O218" i="9"/>
  <c r="Q218" i="9" s="1"/>
  <c r="K218" i="9"/>
  <c r="J218" i="9"/>
  <c r="I218" i="9"/>
  <c r="H218" i="9"/>
  <c r="AQ217" i="9"/>
  <c r="AP217" i="9"/>
  <c r="AO217" i="9"/>
  <c r="S217" i="9"/>
  <c r="O217" i="9"/>
  <c r="Q217" i="9" s="1"/>
  <c r="K217" i="9"/>
  <c r="J217" i="9"/>
  <c r="I217" i="9"/>
  <c r="H217" i="9"/>
  <c r="AQ216" i="9"/>
  <c r="AP216" i="9"/>
  <c r="AO216" i="9"/>
  <c r="S216" i="9"/>
  <c r="O216" i="9"/>
  <c r="Q216" i="9" s="1"/>
  <c r="K216" i="9"/>
  <c r="J216" i="9"/>
  <c r="I216" i="9"/>
  <c r="H216" i="9"/>
  <c r="AQ215" i="9"/>
  <c r="AP215" i="9"/>
  <c r="AO215" i="9"/>
  <c r="S215" i="9"/>
  <c r="O215" i="9"/>
  <c r="Q215" i="9" s="1"/>
  <c r="K215" i="9"/>
  <c r="J215" i="9"/>
  <c r="I215" i="9"/>
  <c r="H215" i="9"/>
  <c r="AQ214" i="9"/>
  <c r="AO214" i="9"/>
  <c r="AP214" i="9" s="1"/>
  <c r="S214" i="9"/>
  <c r="O214" i="9"/>
  <c r="Q214" i="9" s="1"/>
  <c r="K214" i="9"/>
  <c r="J214" i="9"/>
  <c r="I214" i="9"/>
  <c r="H214" i="9"/>
  <c r="AQ213" i="9"/>
  <c r="AO213" i="9"/>
  <c r="AP213" i="9" s="1"/>
  <c r="S213" i="9"/>
  <c r="O213" i="9"/>
  <c r="Q213" i="9" s="1"/>
  <c r="K213" i="9"/>
  <c r="J213" i="9"/>
  <c r="I213" i="9"/>
  <c r="H213" i="9"/>
  <c r="AQ212" i="9"/>
  <c r="AP212" i="9"/>
  <c r="AO212" i="9"/>
  <c r="S212" i="9"/>
  <c r="O212" i="9"/>
  <c r="Q212" i="9" s="1"/>
  <c r="K212" i="9"/>
  <c r="J212" i="9"/>
  <c r="I212" i="9"/>
  <c r="H212" i="9"/>
  <c r="AQ211" i="9"/>
  <c r="AO211" i="9"/>
  <c r="AP211" i="9" s="1"/>
  <c r="S211" i="9"/>
  <c r="O211" i="9"/>
  <c r="Q211" i="9" s="1"/>
  <c r="K211" i="9"/>
  <c r="J211" i="9"/>
  <c r="I211" i="9"/>
  <c r="H211" i="9"/>
  <c r="AQ210" i="9"/>
  <c r="AP210" i="9"/>
  <c r="AO210" i="9"/>
  <c r="S210" i="9"/>
  <c r="O210" i="9"/>
  <c r="Q210" i="9" s="1"/>
  <c r="K210" i="9"/>
  <c r="J210" i="9"/>
  <c r="I210" i="9"/>
  <c r="H210" i="9"/>
  <c r="AQ209" i="9"/>
  <c r="AP209" i="9"/>
  <c r="AO209" i="9"/>
  <c r="S209" i="9"/>
  <c r="O209" i="9"/>
  <c r="Q209" i="9" s="1"/>
  <c r="K209" i="9"/>
  <c r="J209" i="9"/>
  <c r="I209" i="9"/>
  <c r="H209" i="9"/>
  <c r="AQ208" i="9"/>
  <c r="AP208" i="9"/>
  <c r="AO208" i="9"/>
  <c r="S208" i="9"/>
  <c r="O208" i="9"/>
  <c r="Q208" i="9" s="1"/>
  <c r="K208" i="9"/>
  <c r="J208" i="9"/>
  <c r="I208" i="9"/>
  <c r="H208" i="9"/>
  <c r="AQ207" i="9"/>
  <c r="AO207" i="9"/>
  <c r="AP207" i="9" s="1"/>
  <c r="S207" i="9"/>
  <c r="O207" i="9"/>
  <c r="Q207" i="9" s="1"/>
  <c r="K207" i="9"/>
  <c r="J207" i="9"/>
  <c r="I207" i="9"/>
  <c r="H207" i="9"/>
  <c r="AQ206" i="9"/>
  <c r="AP206" i="9"/>
  <c r="AO206" i="9"/>
  <c r="S206" i="9"/>
  <c r="O206" i="9"/>
  <c r="Q206" i="9" s="1"/>
  <c r="K206" i="9"/>
  <c r="J206" i="9"/>
  <c r="I206" i="9"/>
  <c r="H206" i="9"/>
  <c r="AQ205" i="9"/>
  <c r="AP205" i="9"/>
  <c r="AO205" i="9"/>
  <c r="S205" i="9"/>
  <c r="O205" i="9"/>
  <c r="Q205" i="9" s="1"/>
  <c r="K205" i="9"/>
  <c r="J205" i="9"/>
  <c r="I205" i="9"/>
  <c r="H205" i="9"/>
  <c r="AQ204" i="9"/>
  <c r="AP204" i="9"/>
  <c r="AO204" i="9"/>
  <c r="S204" i="9"/>
  <c r="Q204" i="9"/>
  <c r="O204" i="9"/>
  <c r="K204" i="9"/>
  <c r="J204" i="9"/>
  <c r="I204" i="9"/>
  <c r="H204" i="9"/>
  <c r="AQ203" i="9"/>
  <c r="AO203" i="9"/>
  <c r="AP203" i="9" s="1"/>
  <c r="S203" i="9"/>
  <c r="O203" i="9"/>
  <c r="Q203" i="9" s="1"/>
  <c r="K203" i="9"/>
  <c r="J203" i="9"/>
  <c r="I203" i="9"/>
  <c r="H203" i="9"/>
  <c r="AQ202" i="9"/>
  <c r="AP202" i="9"/>
  <c r="AO202" i="9"/>
  <c r="S202" i="9"/>
  <c r="Q202" i="9"/>
  <c r="O202" i="9"/>
  <c r="K202" i="9"/>
  <c r="J202" i="9"/>
  <c r="I202" i="9"/>
  <c r="H202" i="9"/>
  <c r="AQ201" i="9"/>
  <c r="AO201" i="9"/>
  <c r="AP201" i="9" s="1"/>
  <c r="S201" i="9"/>
  <c r="O201" i="9"/>
  <c r="Q201" i="9" s="1"/>
  <c r="K201" i="9"/>
  <c r="J201" i="9"/>
  <c r="I201" i="9"/>
  <c r="H201" i="9"/>
  <c r="AQ200" i="9"/>
  <c r="AO200" i="9"/>
  <c r="AP200" i="9" s="1"/>
  <c r="S200" i="9"/>
  <c r="O200" i="9"/>
  <c r="Q200" i="9" s="1"/>
  <c r="K200" i="9"/>
  <c r="J200" i="9"/>
  <c r="I200" i="9"/>
  <c r="H200" i="9"/>
  <c r="AQ199" i="9"/>
  <c r="AO199" i="9"/>
  <c r="AP199" i="9" s="1"/>
  <c r="S199" i="9"/>
  <c r="O199" i="9"/>
  <c r="Q199" i="9" s="1"/>
  <c r="K199" i="9"/>
  <c r="J199" i="9"/>
  <c r="I199" i="9"/>
  <c r="H199" i="9"/>
  <c r="AQ198" i="9"/>
  <c r="AP198" i="9"/>
  <c r="AO198" i="9"/>
  <c r="S198" i="9"/>
  <c r="O198" i="9"/>
  <c r="Q198" i="9" s="1"/>
  <c r="K198" i="9"/>
  <c r="J198" i="9"/>
  <c r="I198" i="9"/>
  <c r="H198" i="9"/>
  <c r="AQ197" i="9"/>
  <c r="AP197" i="9"/>
  <c r="AO197" i="9"/>
  <c r="S197" i="9"/>
  <c r="O197" i="9"/>
  <c r="Q197" i="9" s="1"/>
  <c r="K197" i="9"/>
  <c r="J197" i="9"/>
  <c r="I197" i="9"/>
  <c r="H197" i="9"/>
  <c r="AQ196" i="9"/>
  <c r="AO196" i="9"/>
  <c r="AP196" i="9" s="1"/>
  <c r="S196" i="9"/>
  <c r="O196" i="9"/>
  <c r="Q196" i="9" s="1"/>
  <c r="K196" i="9"/>
  <c r="J196" i="9"/>
  <c r="I196" i="9"/>
  <c r="H196" i="9"/>
  <c r="AQ195" i="9"/>
  <c r="AO195" i="9"/>
  <c r="AP195" i="9" s="1"/>
  <c r="S195" i="9"/>
  <c r="O195" i="9"/>
  <c r="Q195" i="9" s="1"/>
  <c r="K195" i="9"/>
  <c r="J195" i="9"/>
  <c r="I195" i="9"/>
  <c r="H195" i="9"/>
  <c r="AQ194" i="9"/>
  <c r="AP194" i="9"/>
  <c r="AO194" i="9"/>
  <c r="S194" i="9"/>
  <c r="O194" i="9"/>
  <c r="Q194" i="9" s="1"/>
  <c r="K194" i="9"/>
  <c r="J194" i="9"/>
  <c r="I194" i="9"/>
  <c r="H194" i="9"/>
  <c r="AQ193" i="9"/>
  <c r="AP193" i="9"/>
  <c r="AO193" i="9"/>
  <c r="S193" i="9"/>
  <c r="O193" i="9"/>
  <c r="Q193" i="9" s="1"/>
  <c r="K193" i="9"/>
  <c r="J193" i="9"/>
  <c r="I193" i="9"/>
  <c r="H193" i="9"/>
  <c r="AQ192" i="9"/>
  <c r="AP192" i="9"/>
  <c r="AO192" i="9"/>
  <c r="S192" i="9"/>
  <c r="O192" i="9"/>
  <c r="Q192" i="9" s="1"/>
  <c r="K192" i="9"/>
  <c r="J192" i="9"/>
  <c r="I192" i="9"/>
  <c r="H192" i="9"/>
  <c r="AQ191" i="9"/>
  <c r="AP191" i="9"/>
  <c r="AO191" i="9"/>
  <c r="S191" i="9"/>
  <c r="O191" i="9"/>
  <c r="Q191" i="9" s="1"/>
  <c r="K191" i="9"/>
  <c r="J191" i="9"/>
  <c r="I191" i="9"/>
  <c r="H191" i="9"/>
  <c r="AQ190" i="9"/>
  <c r="AO190" i="9"/>
  <c r="AP190" i="9" s="1"/>
  <c r="S190" i="9"/>
  <c r="O190" i="9"/>
  <c r="Q190" i="9" s="1"/>
  <c r="K190" i="9"/>
  <c r="J190" i="9"/>
  <c r="I190" i="9"/>
  <c r="H190" i="9"/>
  <c r="AQ189" i="9"/>
  <c r="AO189" i="9"/>
  <c r="AP189" i="9" s="1"/>
  <c r="S189" i="9"/>
  <c r="O189" i="9"/>
  <c r="Q189" i="9" s="1"/>
  <c r="K189" i="9"/>
  <c r="J189" i="9"/>
  <c r="I189" i="9"/>
  <c r="H189" i="9"/>
  <c r="AQ188" i="9"/>
  <c r="AO188" i="9"/>
  <c r="AP188" i="9" s="1"/>
  <c r="S188" i="9"/>
  <c r="O188" i="9"/>
  <c r="Q188" i="9" s="1"/>
  <c r="K188" i="9"/>
  <c r="J188" i="9"/>
  <c r="I188" i="9"/>
  <c r="H188" i="9"/>
  <c r="AQ187" i="9"/>
  <c r="AO187" i="9"/>
  <c r="AP187" i="9" s="1"/>
  <c r="S187" i="9"/>
  <c r="O187" i="9"/>
  <c r="Q187" i="9" s="1"/>
  <c r="K187" i="9"/>
  <c r="J187" i="9"/>
  <c r="I187" i="9"/>
  <c r="H187" i="9"/>
  <c r="AQ186" i="9"/>
  <c r="AP186" i="9"/>
  <c r="AO186" i="9"/>
  <c r="S186" i="9"/>
  <c r="O186" i="9"/>
  <c r="Q186" i="9" s="1"/>
  <c r="K186" i="9"/>
  <c r="J186" i="9"/>
  <c r="I186" i="9"/>
  <c r="H186" i="9"/>
  <c r="AQ185" i="9"/>
  <c r="AP185" i="9"/>
  <c r="AO185" i="9"/>
  <c r="S185" i="9"/>
  <c r="O185" i="9"/>
  <c r="Q185" i="9" s="1"/>
  <c r="K185" i="9"/>
  <c r="J185" i="9"/>
  <c r="I185" i="9"/>
  <c r="H185" i="9"/>
  <c r="AQ184" i="9"/>
  <c r="AP184" i="9"/>
  <c r="AO184" i="9"/>
  <c r="S184" i="9"/>
  <c r="O184" i="9"/>
  <c r="Q184" i="9" s="1"/>
  <c r="K184" i="9"/>
  <c r="J184" i="9"/>
  <c r="I184" i="9"/>
  <c r="H184" i="9"/>
  <c r="AQ183" i="9"/>
  <c r="AP183" i="9"/>
  <c r="AO183" i="9"/>
  <c r="S183" i="9"/>
  <c r="O183" i="9"/>
  <c r="Q183" i="9" s="1"/>
  <c r="K183" i="9"/>
  <c r="J183" i="9"/>
  <c r="I183" i="9"/>
  <c r="H183" i="9"/>
  <c r="AQ182" i="9"/>
  <c r="AP182" i="9"/>
  <c r="AO182" i="9"/>
  <c r="S182" i="9"/>
  <c r="O182" i="9"/>
  <c r="Q182" i="9" s="1"/>
  <c r="K182" i="9"/>
  <c r="J182" i="9"/>
  <c r="I182" i="9"/>
  <c r="H182" i="9"/>
  <c r="AQ181" i="9"/>
  <c r="AP181" i="9"/>
  <c r="AO181" i="9"/>
  <c r="S181" i="9"/>
  <c r="O181" i="9"/>
  <c r="Q181" i="9" s="1"/>
  <c r="K181" i="9"/>
  <c r="J181" i="9"/>
  <c r="I181" i="9"/>
  <c r="H181" i="9"/>
  <c r="AQ180" i="9"/>
  <c r="AP180" i="9"/>
  <c r="AO180" i="9"/>
  <c r="S180" i="9"/>
  <c r="O180" i="9"/>
  <c r="Q180" i="9" s="1"/>
  <c r="K180" i="9"/>
  <c r="J180" i="9"/>
  <c r="I180" i="9"/>
  <c r="H180" i="9"/>
  <c r="AQ179" i="9"/>
  <c r="AO179" i="9"/>
  <c r="AP179" i="9" s="1"/>
  <c r="S179" i="9"/>
  <c r="O179" i="9"/>
  <c r="Q179" i="9" s="1"/>
  <c r="K179" i="9"/>
  <c r="J179" i="9"/>
  <c r="I179" i="9"/>
  <c r="H179" i="9"/>
  <c r="AQ178" i="9"/>
  <c r="AO178" i="9"/>
  <c r="AP178" i="9" s="1"/>
  <c r="S178" i="9"/>
  <c r="O178" i="9"/>
  <c r="Q178" i="9" s="1"/>
  <c r="K178" i="9"/>
  <c r="J178" i="9"/>
  <c r="I178" i="9"/>
  <c r="H178" i="9"/>
  <c r="AQ177" i="9"/>
  <c r="AO177" i="9"/>
  <c r="AP177" i="9" s="1"/>
  <c r="S177" i="9"/>
  <c r="O177" i="9"/>
  <c r="Q177" i="9" s="1"/>
  <c r="K177" i="9"/>
  <c r="J177" i="9"/>
  <c r="I177" i="9"/>
  <c r="H177" i="9"/>
  <c r="AQ176" i="9"/>
  <c r="AP176" i="9"/>
  <c r="AO176" i="9"/>
  <c r="S176" i="9"/>
  <c r="O176" i="9"/>
  <c r="Q176" i="9" s="1"/>
  <c r="K176" i="9"/>
  <c r="J176" i="9"/>
  <c r="I176" i="9"/>
  <c r="H176" i="9"/>
  <c r="AQ175" i="9"/>
  <c r="AO175" i="9"/>
  <c r="AP175" i="9" s="1"/>
  <c r="S175" i="9"/>
  <c r="O175" i="9"/>
  <c r="Q175" i="9" s="1"/>
  <c r="K175" i="9"/>
  <c r="J175" i="9"/>
  <c r="I175" i="9"/>
  <c r="H175" i="9"/>
  <c r="AQ174" i="9"/>
  <c r="AP174" i="9"/>
  <c r="AO174" i="9"/>
  <c r="S174" i="9"/>
  <c r="O174" i="9"/>
  <c r="Q174" i="9" s="1"/>
  <c r="K174" i="9"/>
  <c r="J174" i="9"/>
  <c r="I174" i="9"/>
  <c r="H174" i="9"/>
  <c r="AQ173" i="9"/>
  <c r="AO173" i="9"/>
  <c r="AP173" i="9" s="1"/>
  <c r="S173" i="9"/>
  <c r="O173" i="9"/>
  <c r="Q173" i="9" s="1"/>
  <c r="K173" i="9"/>
  <c r="J173" i="9"/>
  <c r="I173" i="9"/>
  <c r="H173" i="9"/>
  <c r="AQ172" i="9"/>
  <c r="AO172" i="9"/>
  <c r="AP172" i="9" s="1"/>
  <c r="S172" i="9"/>
  <c r="O172" i="9"/>
  <c r="Q172" i="9" s="1"/>
  <c r="K172" i="9"/>
  <c r="J172" i="9"/>
  <c r="I172" i="9"/>
  <c r="H172" i="9"/>
  <c r="AQ171" i="9"/>
  <c r="AO171" i="9"/>
  <c r="AP171" i="9" s="1"/>
  <c r="S171" i="9"/>
  <c r="O171" i="9"/>
  <c r="Q171" i="9" s="1"/>
  <c r="K171" i="9"/>
  <c r="J171" i="9"/>
  <c r="I171" i="9"/>
  <c r="H171" i="9"/>
  <c r="AQ170" i="9"/>
  <c r="AO170" i="9"/>
  <c r="AP170" i="9" s="1"/>
  <c r="S170" i="9"/>
  <c r="O170" i="9"/>
  <c r="Q170" i="9" s="1"/>
  <c r="K170" i="9"/>
  <c r="J170" i="9"/>
  <c r="I170" i="9"/>
  <c r="H170" i="9"/>
  <c r="AQ169" i="9"/>
  <c r="AO169" i="9"/>
  <c r="AP169" i="9" s="1"/>
  <c r="S169" i="9"/>
  <c r="O169" i="9"/>
  <c r="Q169" i="9" s="1"/>
  <c r="K169" i="9"/>
  <c r="J169" i="9"/>
  <c r="I169" i="9"/>
  <c r="H169" i="9"/>
  <c r="AQ168" i="9"/>
  <c r="AP168" i="9"/>
  <c r="AO168" i="9"/>
  <c r="S168" i="9"/>
  <c r="O168" i="9"/>
  <c r="Q168" i="9" s="1"/>
  <c r="K168" i="9"/>
  <c r="J168" i="9"/>
  <c r="I168" i="9"/>
  <c r="H168" i="9"/>
  <c r="AQ167" i="9"/>
  <c r="AO167" i="9"/>
  <c r="AP167" i="9" s="1"/>
  <c r="S167" i="9"/>
  <c r="O167" i="9"/>
  <c r="Q167" i="9" s="1"/>
  <c r="K167" i="9"/>
  <c r="J167" i="9"/>
  <c r="I167" i="9"/>
  <c r="H167" i="9"/>
  <c r="AQ166" i="9"/>
  <c r="AO166" i="9"/>
  <c r="AP166" i="9" s="1"/>
  <c r="S166" i="9"/>
  <c r="O166" i="9"/>
  <c r="Q166" i="9" s="1"/>
  <c r="K166" i="9"/>
  <c r="J166" i="9"/>
  <c r="I166" i="9"/>
  <c r="H166" i="9"/>
  <c r="AQ165" i="9"/>
  <c r="AP165" i="9"/>
  <c r="AO165" i="9"/>
  <c r="S165" i="9"/>
  <c r="O165" i="9"/>
  <c r="Q165" i="9" s="1"/>
  <c r="K165" i="9"/>
  <c r="J165" i="9"/>
  <c r="I165" i="9"/>
  <c r="H165" i="9"/>
  <c r="AQ164" i="9"/>
  <c r="AO164" i="9"/>
  <c r="AP164" i="9" s="1"/>
  <c r="S164" i="9"/>
  <c r="O164" i="9"/>
  <c r="Q164" i="9" s="1"/>
  <c r="K164" i="9"/>
  <c r="J164" i="9"/>
  <c r="I164" i="9"/>
  <c r="H164" i="9"/>
  <c r="AQ163" i="9"/>
  <c r="AO163" i="9"/>
  <c r="AP163" i="9" s="1"/>
  <c r="S163" i="9"/>
  <c r="O163" i="9"/>
  <c r="Q163" i="9" s="1"/>
  <c r="K163" i="9"/>
  <c r="J163" i="9"/>
  <c r="I163" i="9"/>
  <c r="H163" i="9"/>
  <c r="AQ162" i="9"/>
  <c r="AO162" i="9"/>
  <c r="AP162" i="9" s="1"/>
  <c r="S162" i="9"/>
  <c r="O162" i="9"/>
  <c r="Q162" i="9" s="1"/>
  <c r="K162" i="9"/>
  <c r="J162" i="9"/>
  <c r="I162" i="9"/>
  <c r="H162" i="9"/>
  <c r="AQ161" i="9"/>
  <c r="AP161" i="9"/>
  <c r="AO161" i="9"/>
  <c r="S161" i="9"/>
  <c r="O161" i="9"/>
  <c r="Q161" i="9" s="1"/>
  <c r="K161" i="9"/>
  <c r="J161" i="9"/>
  <c r="I161" i="9"/>
  <c r="H161" i="9"/>
  <c r="AQ160" i="9"/>
  <c r="AO160" i="9"/>
  <c r="AP160" i="9" s="1"/>
  <c r="S160" i="9"/>
  <c r="O160" i="9"/>
  <c r="Q160" i="9" s="1"/>
  <c r="K160" i="9"/>
  <c r="J160" i="9"/>
  <c r="I160" i="9"/>
  <c r="H160" i="9"/>
  <c r="AQ159" i="9"/>
  <c r="AP159" i="9"/>
  <c r="AO159" i="9"/>
  <c r="S159" i="9"/>
  <c r="O159" i="9"/>
  <c r="Q159" i="9" s="1"/>
  <c r="K159" i="9"/>
  <c r="J159" i="9"/>
  <c r="I159" i="9"/>
  <c r="H159" i="9"/>
  <c r="AQ158" i="9"/>
  <c r="AO158" i="9"/>
  <c r="AP158" i="9" s="1"/>
  <c r="S158" i="9"/>
  <c r="O158" i="9"/>
  <c r="Q158" i="9" s="1"/>
  <c r="K158" i="9"/>
  <c r="J158" i="9"/>
  <c r="I158" i="9"/>
  <c r="H158" i="9"/>
  <c r="AQ157" i="9"/>
  <c r="AP157" i="9"/>
  <c r="AO157" i="9"/>
  <c r="S157" i="9"/>
  <c r="O157" i="9"/>
  <c r="Q157" i="9" s="1"/>
  <c r="K157" i="9"/>
  <c r="J157" i="9"/>
  <c r="I157" i="9"/>
  <c r="H157" i="9"/>
  <c r="AQ156" i="9"/>
  <c r="AP156" i="9"/>
  <c r="AO156" i="9"/>
  <c r="S156" i="9"/>
  <c r="O156" i="9"/>
  <c r="Q156" i="9" s="1"/>
  <c r="K156" i="9"/>
  <c r="J156" i="9"/>
  <c r="I156" i="9"/>
  <c r="H156" i="9"/>
  <c r="AQ155" i="9"/>
  <c r="AP155" i="9"/>
  <c r="AO155" i="9"/>
  <c r="S155" i="9"/>
  <c r="O155" i="9"/>
  <c r="Q155" i="9" s="1"/>
  <c r="K155" i="9"/>
  <c r="J155" i="9"/>
  <c r="I155" i="9"/>
  <c r="H155" i="9"/>
  <c r="AQ154" i="9"/>
  <c r="AP154" i="9"/>
  <c r="AO154" i="9"/>
  <c r="S154" i="9"/>
  <c r="O154" i="9"/>
  <c r="Q154" i="9" s="1"/>
  <c r="K154" i="9"/>
  <c r="J154" i="9"/>
  <c r="I154" i="9"/>
  <c r="H154" i="9"/>
  <c r="AQ153" i="9"/>
  <c r="AP153" i="9"/>
  <c r="AO153" i="9"/>
  <c r="S153" i="9"/>
  <c r="O153" i="9"/>
  <c r="Q153" i="9" s="1"/>
  <c r="K153" i="9"/>
  <c r="J153" i="9"/>
  <c r="I153" i="9"/>
  <c r="H153" i="9"/>
  <c r="AQ152" i="9"/>
  <c r="AO152" i="9"/>
  <c r="AP152" i="9" s="1"/>
  <c r="S152" i="9"/>
  <c r="O152" i="9"/>
  <c r="Q152" i="9" s="1"/>
  <c r="K152" i="9"/>
  <c r="J152" i="9"/>
  <c r="I152" i="9"/>
  <c r="H152" i="9"/>
  <c r="AQ151" i="9"/>
  <c r="AO151" i="9"/>
  <c r="AP151" i="9" s="1"/>
  <c r="S151" i="9"/>
  <c r="O151" i="9"/>
  <c r="Q151" i="9" s="1"/>
  <c r="K151" i="9"/>
  <c r="J151" i="9"/>
  <c r="I151" i="9"/>
  <c r="H151" i="9"/>
  <c r="AQ150" i="9"/>
  <c r="AO150" i="9"/>
  <c r="AP150" i="9" s="1"/>
  <c r="S150" i="9"/>
  <c r="O150" i="9"/>
  <c r="Q150" i="9" s="1"/>
  <c r="K150" i="9"/>
  <c r="J150" i="9"/>
  <c r="I150" i="9"/>
  <c r="H150" i="9"/>
  <c r="AQ149" i="9"/>
  <c r="AO149" i="9"/>
  <c r="AP149" i="9" s="1"/>
  <c r="S149" i="9"/>
  <c r="O149" i="9"/>
  <c r="Q149" i="9" s="1"/>
  <c r="K149" i="9"/>
  <c r="J149" i="9"/>
  <c r="I149" i="9"/>
  <c r="H149" i="9"/>
  <c r="AQ148" i="9"/>
  <c r="AP148" i="9"/>
  <c r="AO148" i="9"/>
  <c r="S148" i="9"/>
  <c r="O148" i="9"/>
  <c r="Q148" i="9" s="1"/>
  <c r="K148" i="9"/>
  <c r="J148" i="9"/>
  <c r="I148" i="9"/>
  <c r="H148" i="9"/>
  <c r="AQ147" i="9"/>
  <c r="AP147" i="9"/>
  <c r="AO147" i="9"/>
  <c r="S147" i="9"/>
  <c r="Q147" i="9"/>
  <c r="O147" i="9"/>
  <c r="K147" i="9"/>
  <c r="J147" i="9"/>
  <c r="I147" i="9"/>
  <c r="H147" i="9"/>
  <c r="AQ146" i="9"/>
  <c r="AP146" i="9"/>
  <c r="AO146" i="9"/>
  <c r="S146" i="9"/>
  <c r="O146" i="9"/>
  <c r="Q146" i="9" s="1"/>
  <c r="K146" i="9"/>
  <c r="J146" i="9"/>
  <c r="I146" i="9"/>
  <c r="H146" i="9"/>
  <c r="AQ145" i="9"/>
  <c r="AP145" i="9"/>
  <c r="AO145" i="9"/>
  <c r="S145" i="9"/>
  <c r="Q145" i="9"/>
  <c r="O145" i="9"/>
  <c r="K145" i="9"/>
  <c r="J145" i="9"/>
  <c r="I145" i="9"/>
  <c r="H145" i="9"/>
  <c r="AQ144" i="9"/>
  <c r="AP144" i="9"/>
  <c r="AO144" i="9"/>
  <c r="S144" i="9"/>
  <c r="Q144" i="9"/>
  <c r="O144" i="9"/>
  <c r="K144" i="9"/>
  <c r="J144" i="9"/>
  <c r="I144" i="9"/>
  <c r="H144" i="9"/>
  <c r="AQ143" i="9"/>
  <c r="AO143" i="9"/>
  <c r="AP143" i="9" s="1"/>
  <c r="S143" i="9"/>
  <c r="O143" i="9"/>
  <c r="Q143" i="9" s="1"/>
  <c r="K143" i="9"/>
  <c r="J143" i="9"/>
  <c r="I143" i="9"/>
  <c r="H143" i="9"/>
  <c r="AQ142" i="9"/>
  <c r="AP142" i="9"/>
  <c r="AO142" i="9"/>
  <c r="S142" i="9"/>
  <c r="Q142" i="9"/>
  <c r="O142" i="9"/>
  <c r="K142" i="9"/>
  <c r="J142" i="9"/>
  <c r="I142" i="9"/>
  <c r="H142" i="9"/>
  <c r="AQ141" i="9"/>
  <c r="AP141" i="9"/>
  <c r="AO141" i="9"/>
  <c r="S141" i="9"/>
  <c r="O141" i="9"/>
  <c r="Q141" i="9" s="1"/>
  <c r="K141" i="9"/>
  <c r="J141" i="9"/>
  <c r="I141" i="9"/>
  <c r="H141" i="9"/>
  <c r="AQ140" i="9"/>
  <c r="AO140" i="9"/>
  <c r="AP140" i="9" s="1"/>
  <c r="S140" i="9"/>
  <c r="O140" i="9"/>
  <c r="Q140" i="9" s="1"/>
  <c r="K140" i="9"/>
  <c r="J140" i="9"/>
  <c r="I140" i="9"/>
  <c r="H140" i="9"/>
  <c r="AQ139" i="9"/>
  <c r="AO139" i="9"/>
  <c r="AP139" i="9" s="1"/>
  <c r="S139" i="9"/>
  <c r="O139" i="9"/>
  <c r="Q139" i="9" s="1"/>
  <c r="K139" i="9"/>
  <c r="J139" i="9"/>
  <c r="I139" i="9"/>
  <c r="H139" i="9"/>
  <c r="AQ138" i="9"/>
  <c r="AP138" i="9"/>
  <c r="AO138" i="9"/>
  <c r="S138" i="9"/>
  <c r="O138" i="9"/>
  <c r="Q138" i="9" s="1"/>
  <c r="K138" i="9"/>
  <c r="J138" i="9"/>
  <c r="I138" i="9"/>
  <c r="H138" i="9"/>
  <c r="AQ137" i="9"/>
  <c r="AO137" i="9"/>
  <c r="AP137" i="9" s="1"/>
  <c r="S137" i="9"/>
  <c r="O137" i="9"/>
  <c r="Q137" i="9" s="1"/>
  <c r="K137" i="9"/>
  <c r="J137" i="9"/>
  <c r="I137" i="9"/>
  <c r="H137" i="9"/>
  <c r="AQ136" i="9"/>
  <c r="AO136" i="9"/>
  <c r="AP136" i="9" s="1"/>
  <c r="S136" i="9"/>
  <c r="O136" i="9"/>
  <c r="Q136" i="9" s="1"/>
  <c r="K136" i="9"/>
  <c r="J136" i="9"/>
  <c r="I136" i="9"/>
  <c r="H136" i="9"/>
  <c r="AQ135" i="9"/>
  <c r="AP135" i="9"/>
  <c r="AO135" i="9"/>
  <c r="S135" i="9"/>
  <c r="O135" i="9"/>
  <c r="Q135" i="9" s="1"/>
  <c r="K135" i="9"/>
  <c r="J135" i="9"/>
  <c r="I135" i="9"/>
  <c r="H135" i="9"/>
  <c r="AQ134" i="9"/>
  <c r="AO134" i="9"/>
  <c r="AP134" i="9" s="1"/>
  <c r="S134" i="9"/>
  <c r="O134" i="9"/>
  <c r="Q134" i="9" s="1"/>
  <c r="K134" i="9"/>
  <c r="J134" i="9"/>
  <c r="I134" i="9"/>
  <c r="H134" i="9"/>
  <c r="AQ133" i="9"/>
  <c r="AP133" i="9"/>
  <c r="AO133" i="9"/>
  <c r="S133" i="9"/>
  <c r="O133" i="9"/>
  <c r="Q133" i="9" s="1"/>
  <c r="K133" i="9"/>
  <c r="J133" i="9"/>
  <c r="I133" i="9"/>
  <c r="H133" i="9"/>
  <c r="AQ132" i="9"/>
  <c r="AP132" i="9"/>
  <c r="AO132" i="9"/>
  <c r="S132" i="9"/>
  <c r="O132" i="9"/>
  <c r="Q132" i="9" s="1"/>
  <c r="K132" i="9"/>
  <c r="J132" i="9"/>
  <c r="I132" i="9"/>
  <c r="H132" i="9"/>
  <c r="AQ131" i="9"/>
  <c r="AP131" i="9"/>
  <c r="AO131" i="9"/>
  <c r="S131" i="9"/>
  <c r="O131" i="9"/>
  <c r="Q131" i="9" s="1"/>
  <c r="K131" i="9"/>
  <c r="J131" i="9"/>
  <c r="I131" i="9"/>
  <c r="H131" i="9"/>
  <c r="AQ130" i="9"/>
  <c r="AP130" i="9"/>
  <c r="AO130" i="9"/>
  <c r="S130" i="9"/>
  <c r="O130" i="9"/>
  <c r="Q130" i="9" s="1"/>
  <c r="K130" i="9"/>
  <c r="J130" i="9"/>
  <c r="I130" i="9"/>
  <c r="H130" i="9"/>
  <c r="AQ129" i="9"/>
  <c r="AP129" i="9"/>
  <c r="AO129" i="9"/>
  <c r="S129" i="9"/>
  <c r="O129" i="9"/>
  <c r="Q129" i="9" s="1"/>
  <c r="K129" i="9"/>
  <c r="J129" i="9"/>
  <c r="I129" i="9"/>
  <c r="H129" i="9"/>
  <c r="AQ128" i="9"/>
  <c r="AP128" i="9"/>
  <c r="AO128" i="9"/>
  <c r="S128" i="9"/>
  <c r="O128" i="9"/>
  <c r="Q128" i="9" s="1"/>
  <c r="K128" i="9"/>
  <c r="J128" i="9"/>
  <c r="I128" i="9"/>
  <c r="H128" i="9"/>
  <c r="AQ127" i="9"/>
  <c r="AP127" i="9"/>
  <c r="AO127" i="9"/>
  <c r="S127" i="9"/>
  <c r="O127" i="9"/>
  <c r="Q127" i="9" s="1"/>
  <c r="K127" i="9"/>
  <c r="J127" i="9"/>
  <c r="I127" i="9"/>
  <c r="H127" i="9"/>
  <c r="AQ126" i="9"/>
  <c r="AO126" i="9"/>
  <c r="AP126" i="9" s="1"/>
  <c r="S126" i="9"/>
  <c r="O126" i="9"/>
  <c r="Q126" i="9" s="1"/>
  <c r="K126" i="9"/>
  <c r="J126" i="9"/>
  <c r="I126" i="9"/>
  <c r="H126" i="9"/>
  <c r="AQ125" i="9"/>
  <c r="AO125" i="9"/>
  <c r="AP125" i="9" s="1"/>
  <c r="S125" i="9"/>
  <c r="O125" i="9"/>
  <c r="Q125" i="9" s="1"/>
  <c r="K125" i="9"/>
  <c r="J125" i="9"/>
  <c r="I125" i="9"/>
  <c r="H125" i="9"/>
  <c r="AQ124" i="9"/>
  <c r="AP124" i="9"/>
  <c r="AO124" i="9"/>
  <c r="S124" i="9"/>
  <c r="O124" i="9"/>
  <c r="Q124" i="9" s="1"/>
  <c r="K124" i="9"/>
  <c r="J124" i="9"/>
  <c r="I124" i="9"/>
  <c r="H124" i="9"/>
  <c r="AQ123" i="9"/>
  <c r="AP123" i="9"/>
  <c r="AO123" i="9"/>
  <c r="S123" i="9"/>
  <c r="Q123" i="9"/>
  <c r="O123" i="9"/>
  <c r="K123" i="9"/>
  <c r="J123" i="9"/>
  <c r="I123" i="9"/>
  <c r="H123" i="9"/>
  <c r="AQ122" i="9"/>
  <c r="AO122" i="9"/>
  <c r="AP122" i="9" s="1"/>
  <c r="S122" i="9"/>
  <c r="O122" i="9"/>
  <c r="Q122" i="9" s="1"/>
  <c r="K122" i="9"/>
  <c r="J122" i="9"/>
  <c r="I122" i="9"/>
  <c r="H122" i="9"/>
  <c r="AQ121" i="9"/>
  <c r="AO121" i="9"/>
  <c r="AP121" i="9" s="1"/>
  <c r="S121" i="9"/>
  <c r="O121" i="9"/>
  <c r="Q121" i="9" s="1"/>
  <c r="K121" i="9"/>
  <c r="J121" i="9"/>
  <c r="I121" i="9"/>
  <c r="H121" i="9"/>
  <c r="AQ120" i="9"/>
  <c r="AO120" i="9"/>
  <c r="AP120" i="9" s="1"/>
  <c r="S120" i="9"/>
  <c r="O120" i="9"/>
  <c r="Q120" i="9" s="1"/>
  <c r="K120" i="9"/>
  <c r="J120" i="9"/>
  <c r="I120" i="9"/>
  <c r="H120" i="9"/>
  <c r="AQ119" i="9"/>
  <c r="AP119" i="9"/>
  <c r="AO119" i="9"/>
  <c r="S119" i="9"/>
  <c r="O119" i="9"/>
  <c r="Q119" i="9" s="1"/>
  <c r="K119" i="9"/>
  <c r="J119" i="9"/>
  <c r="I119" i="9"/>
  <c r="H119" i="9"/>
  <c r="AQ118" i="9"/>
  <c r="AP118" i="9"/>
  <c r="AO118" i="9"/>
  <c r="S118" i="9"/>
  <c r="O118" i="9"/>
  <c r="Q118" i="9" s="1"/>
  <c r="K118" i="9"/>
  <c r="J118" i="9"/>
  <c r="I118" i="9"/>
  <c r="H118" i="9"/>
  <c r="AQ117" i="9"/>
  <c r="AP117" i="9"/>
  <c r="AO117" i="9"/>
  <c r="S117" i="9"/>
  <c r="O117" i="9"/>
  <c r="Q117" i="9" s="1"/>
  <c r="K117" i="9"/>
  <c r="J117" i="9"/>
  <c r="I117" i="9"/>
  <c r="H117" i="9"/>
  <c r="AQ116" i="9"/>
  <c r="AP116" i="9"/>
  <c r="AO116" i="9"/>
  <c r="S116" i="9"/>
  <c r="O116" i="9"/>
  <c r="Q116" i="9" s="1"/>
  <c r="K116" i="9"/>
  <c r="J116" i="9"/>
  <c r="I116" i="9"/>
  <c r="H116" i="9"/>
  <c r="AQ115" i="9"/>
  <c r="AP115" i="9"/>
  <c r="AO115" i="9"/>
  <c r="S115" i="9"/>
  <c r="O115" i="9"/>
  <c r="Q115" i="9" s="1"/>
  <c r="K115" i="9"/>
  <c r="J115" i="9"/>
  <c r="I115" i="9"/>
  <c r="H115" i="9"/>
  <c r="AQ114" i="9"/>
  <c r="AP114" i="9"/>
  <c r="AO114" i="9"/>
  <c r="S114" i="9"/>
  <c r="O114" i="9"/>
  <c r="Q114" i="9" s="1"/>
  <c r="K114" i="9"/>
  <c r="J114" i="9"/>
  <c r="I114" i="9"/>
  <c r="H114" i="9"/>
  <c r="AQ113" i="9"/>
  <c r="AO113" i="9"/>
  <c r="AP113" i="9" s="1"/>
  <c r="S113" i="9"/>
  <c r="O113" i="9"/>
  <c r="Q113" i="9" s="1"/>
  <c r="K113" i="9"/>
  <c r="J113" i="9"/>
  <c r="I113" i="9"/>
  <c r="H113" i="9"/>
  <c r="AQ112" i="9"/>
  <c r="AP112" i="9"/>
  <c r="AO112" i="9"/>
  <c r="S112" i="9"/>
  <c r="O112" i="9"/>
  <c r="Q112" i="9" s="1"/>
  <c r="K112" i="9"/>
  <c r="J112" i="9"/>
  <c r="I112" i="9"/>
  <c r="H112" i="9"/>
  <c r="AQ111" i="9"/>
  <c r="AP111" i="9"/>
  <c r="AO111" i="9"/>
  <c r="S111" i="9"/>
  <c r="O111" i="9"/>
  <c r="Q111" i="9" s="1"/>
  <c r="K111" i="9"/>
  <c r="J111" i="9"/>
  <c r="I111" i="9"/>
  <c r="H111" i="9"/>
  <c r="AQ110" i="9"/>
  <c r="AO110" i="9"/>
  <c r="AP110" i="9" s="1"/>
  <c r="S110" i="9"/>
  <c r="O110" i="9"/>
  <c r="Q110" i="9" s="1"/>
  <c r="K110" i="9"/>
  <c r="J110" i="9"/>
  <c r="I110" i="9"/>
  <c r="H110" i="9"/>
  <c r="AQ109" i="9"/>
  <c r="AO109" i="9"/>
  <c r="AP109" i="9" s="1"/>
  <c r="S109" i="9"/>
  <c r="O109" i="9"/>
  <c r="Q109" i="9" s="1"/>
  <c r="K109" i="9"/>
  <c r="J109" i="9"/>
  <c r="I109" i="9"/>
  <c r="H109" i="9"/>
  <c r="AQ108" i="9"/>
  <c r="AO108" i="9"/>
  <c r="AP108" i="9" s="1"/>
  <c r="S108" i="9"/>
  <c r="Q108" i="9"/>
  <c r="O108" i="9"/>
  <c r="K108" i="9"/>
  <c r="J108" i="9"/>
  <c r="I108" i="9"/>
  <c r="H108" i="9"/>
  <c r="AN107" i="9"/>
  <c r="AQ107" i="9" s="1"/>
  <c r="S107" i="9"/>
  <c r="O107" i="9"/>
  <c r="Q107" i="9" s="1"/>
  <c r="K107" i="9"/>
  <c r="J107" i="9"/>
  <c r="I107" i="9"/>
  <c r="H107" i="9"/>
  <c r="AN106" i="9"/>
  <c r="AO106" i="9" s="1"/>
  <c r="AP106" i="9" s="1"/>
  <c r="S106" i="9"/>
  <c r="O106" i="9"/>
  <c r="Q106" i="9" s="1"/>
  <c r="K106" i="9"/>
  <c r="J106" i="9"/>
  <c r="I106" i="9"/>
  <c r="H106" i="9"/>
  <c r="AN105" i="9"/>
  <c r="S105" i="9"/>
  <c r="Q105" i="9"/>
  <c r="O105" i="9"/>
  <c r="K105" i="9"/>
  <c r="J105" i="9"/>
  <c r="I105" i="9"/>
  <c r="H105" i="9"/>
  <c r="AN104" i="9"/>
  <c r="AO104" i="9" s="1"/>
  <c r="AP104" i="9" s="1"/>
  <c r="S104" i="9"/>
  <c r="O104" i="9"/>
  <c r="Q104" i="9" s="1"/>
  <c r="K104" i="9"/>
  <c r="J104" i="9"/>
  <c r="I104" i="9"/>
  <c r="H104" i="9"/>
  <c r="AN103" i="9"/>
  <c r="AO103" i="9" s="1"/>
  <c r="AP103" i="9" s="1"/>
  <c r="S103" i="9"/>
  <c r="O103" i="9"/>
  <c r="Q103" i="9" s="1"/>
  <c r="K103" i="9"/>
  <c r="J103" i="9"/>
  <c r="I103" i="9"/>
  <c r="H103" i="9"/>
  <c r="AN102" i="9"/>
  <c r="AQ102" i="9" s="1"/>
  <c r="S102" i="9"/>
  <c r="O102" i="9"/>
  <c r="Q102" i="9" s="1"/>
  <c r="K102" i="9"/>
  <c r="J102" i="9"/>
  <c r="I102" i="9"/>
  <c r="H102" i="9"/>
  <c r="AN101" i="9"/>
  <c r="S101" i="9"/>
  <c r="O101" i="9"/>
  <c r="Q101" i="9" s="1"/>
  <c r="K101" i="9"/>
  <c r="J101" i="9"/>
  <c r="I101" i="9"/>
  <c r="H101" i="9"/>
  <c r="AN100" i="9"/>
  <c r="AQ100" i="9" s="1"/>
  <c r="S100" i="9"/>
  <c r="O100" i="9"/>
  <c r="Q100" i="9" s="1"/>
  <c r="K100" i="9"/>
  <c r="J100" i="9"/>
  <c r="I100" i="9"/>
  <c r="H100" i="9"/>
  <c r="AN99" i="9"/>
  <c r="AQ99" i="9" s="1"/>
  <c r="S99" i="9"/>
  <c r="O99" i="9"/>
  <c r="Q99" i="9" s="1"/>
  <c r="K99" i="9"/>
  <c r="J99" i="9"/>
  <c r="I99" i="9"/>
  <c r="H99" i="9"/>
  <c r="AN98" i="9"/>
  <c r="AQ98" i="9" s="1"/>
  <c r="S98" i="9"/>
  <c r="O98" i="9"/>
  <c r="Q98" i="9" s="1"/>
  <c r="K98" i="9"/>
  <c r="J98" i="9"/>
  <c r="I98" i="9"/>
  <c r="H98" i="9"/>
  <c r="AN97" i="9"/>
  <c r="AQ97" i="9" s="1"/>
  <c r="S97" i="9"/>
  <c r="O97" i="9"/>
  <c r="Q97" i="9" s="1"/>
  <c r="K97" i="9"/>
  <c r="J97" i="9"/>
  <c r="I97" i="9"/>
  <c r="H97" i="9"/>
  <c r="AN96" i="9"/>
  <c r="AQ96" i="9" s="1"/>
  <c r="S96" i="9"/>
  <c r="O96" i="9"/>
  <c r="Q96" i="9" s="1"/>
  <c r="K96" i="9"/>
  <c r="J96" i="9"/>
  <c r="I96" i="9"/>
  <c r="H96" i="9"/>
  <c r="AN95" i="9"/>
  <c r="S95" i="9"/>
  <c r="O95" i="9"/>
  <c r="Q95" i="9" s="1"/>
  <c r="K95" i="9"/>
  <c r="J95" i="9"/>
  <c r="I95" i="9"/>
  <c r="H95" i="9"/>
  <c r="AN94" i="9"/>
  <c r="AQ94" i="9" s="1"/>
  <c r="S94" i="9"/>
  <c r="O94" i="9"/>
  <c r="Q94" i="9" s="1"/>
  <c r="K94" i="9"/>
  <c r="J94" i="9"/>
  <c r="I94" i="9"/>
  <c r="H94" i="9"/>
  <c r="AN93" i="9"/>
  <c r="AQ93" i="9" s="1"/>
  <c r="S93" i="9"/>
  <c r="O93" i="9"/>
  <c r="Q93" i="9" s="1"/>
  <c r="K93" i="9"/>
  <c r="J93" i="9"/>
  <c r="I93" i="9"/>
  <c r="H93" i="9"/>
  <c r="AN92" i="9"/>
  <c r="AO92" i="9" s="1"/>
  <c r="AP92" i="9" s="1"/>
  <c r="S92" i="9"/>
  <c r="O92" i="9"/>
  <c r="Q92" i="9" s="1"/>
  <c r="K92" i="9"/>
  <c r="J92" i="9"/>
  <c r="I92" i="9"/>
  <c r="H92" i="9"/>
  <c r="AN91" i="9"/>
  <c r="S91" i="9"/>
  <c r="O91" i="9"/>
  <c r="Q91" i="9" s="1"/>
  <c r="K91" i="9"/>
  <c r="J91" i="9"/>
  <c r="I91" i="9"/>
  <c r="H91" i="9"/>
  <c r="AQ90" i="9"/>
  <c r="AN90" i="9"/>
  <c r="AO90" i="9" s="1"/>
  <c r="AP90" i="9" s="1"/>
  <c r="S90" i="9"/>
  <c r="O90" i="9"/>
  <c r="Q90" i="9" s="1"/>
  <c r="K90" i="9"/>
  <c r="J90" i="9"/>
  <c r="I90" i="9"/>
  <c r="H90" i="9"/>
  <c r="AN89" i="9"/>
  <c r="AQ89" i="9" s="1"/>
  <c r="S89" i="9"/>
  <c r="O89" i="9"/>
  <c r="Q89" i="9" s="1"/>
  <c r="K89" i="9"/>
  <c r="J89" i="9"/>
  <c r="I89" i="9"/>
  <c r="H89" i="9"/>
  <c r="AN88" i="9"/>
  <c r="S88" i="9"/>
  <c r="O88" i="9"/>
  <c r="Q88" i="9" s="1"/>
  <c r="K88" i="9"/>
  <c r="J88" i="9"/>
  <c r="I88" i="9"/>
  <c r="H88" i="9"/>
  <c r="AN87" i="9"/>
  <c r="AQ87" i="9" s="1"/>
  <c r="S87" i="9"/>
  <c r="O87" i="9"/>
  <c r="Q87" i="9" s="1"/>
  <c r="K87" i="9"/>
  <c r="J87" i="9"/>
  <c r="I87" i="9"/>
  <c r="H87" i="9"/>
  <c r="AN86" i="9"/>
  <c r="AQ86" i="9" s="1"/>
  <c r="S86" i="9"/>
  <c r="O86" i="9"/>
  <c r="Q86" i="9" s="1"/>
  <c r="K86" i="9"/>
  <c r="J86" i="9"/>
  <c r="I86" i="9"/>
  <c r="H86" i="9"/>
  <c r="AN85" i="9"/>
  <c r="AQ85" i="9" s="1"/>
  <c r="S85" i="9"/>
  <c r="O85" i="9"/>
  <c r="Q85" i="9" s="1"/>
  <c r="K85" i="9"/>
  <c r="J85" i="9"/>
  <c r="I85" i="9"/>
  <c r="H85" i="9"/>
  <c r="AN84" i="9"/>
  <c r="S84" i="9"/>
  <c r="O84" i="9"/>
  <c r="Q84" i="9" s="1"/>
  <c r="K84" i="9"/>
  <c r="J84" i="9"/>
  <c r="I84" i="9"/>
  <c r="H84" i="9"/>
  <c r="AN83" i="9"/>
  <c r="AO83" i="9" s="1"/>
  <c r="AP83" i="9" s="1"/>
  <c r="S83" i="9"/>
  <c r="O83" i="9"/>
  <c r="Q83" i="9" s="1"/>
  <c r="K83" i="9"/>
  <c r="J83" i="9"/>
  <c r="I83" i="9"/>
  <c r="H83" i="9"/>
  <c r="AN82" i="9"/>
  <c r="S82" i="9"/>
  <c r="O82" i="9"/>
  <c r="Q82" i="9" s="1"/>
  <c r="K82" i="9"/>
  <c r="J82" i="9"/>
  <c r="I82" i="9"/>
  <c r="H82" i="9"/>
  <c r="AN81" i="9"/>
  <c r="S81" i="9"/>
  <c r="O81" i="9"/>
  <c r="Q81" i="9" s="1"/>
  <c r="K81" i="9"/>
  <c r="J81" i="9"/>
  <c r="I81" i="9"/>
  <c r="H81" i="9"/>
  <c r="AN80" i="9"/>
  <c r="AO80" i="9" s="1"/>
  <c r="AP80" i="9" s="1"/>
  <c r="S80" i="9"/>
  <c r="O80" i="9"/>
  <c r="Q80" i="9" s="1"/>
  <c r="K80" i="9"/>
  <c r="J80" i="9"/>
  <c r="I80" i="9"/>
  <c r="H80" i="9"/>
  <c r="AN79" i="9"/>
  <c r="S79" i="9"/>
  <c r="O79" i="9"/>
  <c r="Q79" i="9" s="1"/>
  <c r="K79" i="9"/>
  <c r="J79" i="9"/>
  <c r="I79" i="9"/>
  <c r="H79" i="9"/>
  <c r="AN78" i="9"/>
  <c r="AQ78" i="9" s="1"/>
  <c r="S78" i="9"/>
  <c r="O78" i="9"/>
  <c r="Q78" i="9" s="1"/>
  <c r="K78" i="9"/>
  <c r="J78" i="9"/>
  <c r="I78" i="9"/>
  <c r="H78" i="9"/>
  <c r="AN77" i="9"/>
  <c r="AO77" i="9" s="1"/>
  <c r="AP77" i="9" s="1"/>
  <c r="S77" i="9"/>
  <c r="Q77" i="9"/>
  <c r="O77" i="9"/>
  <c r="K77" i="9"/>
  <c r="J77" i="9"/>
  <c r="I77" i="9"/>
  <c r="H77" i="9"/>
  <c r="AN76" i="9"/>
  <c r="S76" i="9"/>
  <c r="O76" i="9"/>
  <c r="Q76" i="9" s="1"/>
  <c r="K76" i="9"/>
  <c r="J76" i="9"/>
  <c r="I76" i="9"/>
  <c r="H76" i="9"/>
  <c r="AO75" i="9"/>
  <c r="AP75" i="9" s="1"/>
  <c r="AN75" i="9"/>
  <c r="AQ75" i="9" s="1"/>
  <c r="S75" i="9"/>
  <c r="O75" i="9"/>
  <c r="Q75" i="9" s="1"/>
  <c r="K75" i="9"/>
  <c r="J75" i="9"/>
  <c r="I75" i="9"/>
  <c r="H75" i="9"/>
  <c r="AN74" i="9"/>
  <c r="AQ74" i="9" s="1"/>
  <c r="S74" i="9"/>
  <c r="O74" i="9"/>
  <c r="Q74" i="9" s="1"/>
  <c r="K74" i="9"/>
  <c r="J74" i="9"/>
  <c r="I74" i="9"/>
  <c r="H74" i="9"/>
  <c r="AN73" i="9"/>
  <c r="S73" i="9"/>
  <c r="O73" i="9"/>
  <c r="Q73" i="9" s="1"/>
  <c r="K73" i="9"/>
  <c r="J73" i="9"/>
  <c r="I73" i="9"/>
  <c r="H73" i="9"/>
  <c r="AN72" i="9"/>
  <c r="AQ72" i="9" s="1"/>
  <c r="S72" i="9"/>
  <c r="O72" i="9"/>
  <c r="Q72" i="9" s="1"/>
  <c r="K72" i="9"/>
  <c r="J72" i="9"/>
  <c r="I72" i="9"/>
  <c r="H72" i="9"/>
  <c r="AN71" i="9"/>
  <c r="AQ71" i="9" s="1"/>
  <c r="S71" i="9"/>
  <c r="O71" i="9"/>
  <c r="Q71" i="9" s="1"/>
  <c r="K71" i="9"/>
  <c r="J71" i="9"/>
  <c r="I71" i="9"/>
  <c r="H71" i="9"/>
  <c r="AN70" i="9"/>
  <c r="S70" i="9"/>
  <c r="O70" i="9"/>
  <c r="Q70" i="9" s="1"/>
  <c r="K70" i="9"/>
  <c r="J70" i="9"/>
  <c r="I70" i="9"/>
  <c r="H70" i="9"/>
  <c r="AO69" i="9"/>
  <c r="AP69" i="9" s="1"/>
  <c r="AN69" i="9"/>
  <c r="AQ69" i="9" s="1"/>
  <c r="S69" i="9"/>
  <c r="O69" i="9"/>
  <c r="Q69" i="9" s="1"/>
  <c r="K69" i="9"/>
  <c r="J69" i="9"/>
  <c r="I69" i="9"/>
  <c r="H69" i="9"/>
  <c r="AN68" i="9"/>
  <c r="AO68" i="9" s="1"/>
  <c r="AP68" i="9" s="1"/>
  <c r="S68" i="9"/>
  <c r="O68" i="9"/>
  <c r="Q68" i="9" s="1"/>
  <c r="K68" i="9"/>
  <c r="J68" i="9"/>
  <c r="I68" i="9"/>
  <c r="H68" i="9"/>
  <c r="AN67" i="9"/>
  <c r="AO67" i="9" s="1"/>
  <c r="AP67" i="9" s="1"/>
  <c r="S67" i="9"/>
  <c r="O67" i="9"/>
  <c r="Q67" i="9" s="1"/>
  <c r="K67" i="9"/>
  <c r="J67" i="9"/>
  <c r="I67" i="9"/>
  <c r="H67" i="9"/>
  <c r="AN66" i="9"/>
  <c r="S66" i="9"/>
  <c r="O66" i="9"/>
  <c r="Q66" i="9" s="1"/>
  <c r="K66" i="9"/>
  <c r="J66" i="9"/>
  <c r="I66" i="9"/>
  <c r="H66" i="9"/>
  <c r="AN65" i="9"/>
  <c r="AO65" i="9" s="1"/>
  <c r="AP65" i="9" s="1"/>
  <c r="S65" i="9"/>
  <c r="O65" i="9"/>
  <c r="Q65" i="9" s="1"/>
  <c r="K65" i="9"/>
  <c r="J65" i="9"/>
  <c r="I65" i="9"/>
  <c r="H65" i="9"/>
  <c r="AN64" i="9"/>
  <c r="AO64" i="9" s="1"/>
  <c r="AP64" i="9" s="1"/>
  <c r="S64" i="9"/>
  <c r="O64" i="9"/>
  <c r="Q64" i="9" s="1"/>
  <c r="K64" i="9"/>
  <c r="J64" i="9"/>
  <c r="I64" i="9"/>
  <c r="H64" i="9"/>
  <c r="AN63" i="9"/>
  <c r="AQ63" i="9" s="1"/>
  <c r="S63" i="9"/>
  <c r="O63" i="9"/>
  <c r="Q63" i="9" s="1"/>
  <c r="K63" i="9"/>
  <c r="J63" i="9"/>
  <c r="I63" i="9"/>
  <c r="H63" i="9"/>
  <c r="AN62" i="9"/>
  <c r="AO62" i="9" s="1"/>
  <c r="AP62" i="9" s="1"/>
  <c r="S62" i="9"/>
  <c r="O62" i="9"/>
  <c r="Q62" i="9" s="1"/>
  <c r="K62" i="9"/>
  <c r="J62" i="9"/>
  <c r="I62" i="9"/>
  <c r="H62" i="9"/>
  <c r="AN61" i="9"/>
  <c r="AO61" i="9" s="1"/>
  <c r="AP61" i="9" s="1"/>
  <c r="S61" i="9"/>
  <c r="Q61" i="9"/>
  <c r="O61" i="9"/>
  <c r="K61" i="9"/>
  <c r="J61" i="9"/>
  <c r="I61" i="9"/>
  <c r="H61" i="9"/>
  <c r="AN60" i="9"/>
  <c r="AQ60" i="9" s="1"/>
  <c r="S60" i="9"/>
  <c r="O60" i="9"/>
  <c r="Q60" i="9" s="1"/>
  <c r="K60" i="9"/>
  <c r="J60" i="9"/>
  <c r="I60" i="9"/>
  <c r="H60" i="9"/>
  <c r="AN59" i="9"/>
  <c r="AQ59" i="9" s="1"/>
  <c r="S59" i="9"/>
  <c r="O59" i="9"/>
  <c r="Q59" i="9" s="1"/>
  <c r="K59" i="9"/>
  <c r="J59" i="9"/>
  <c r="I59" i="9"/>
  <c r="H59" i="9"/>
  <c r="AN58" i="9"/>
  <c r="AO58" i="9" s="1"/>
  <c r="AP58" i="9" s="1"/>
  <c r="S58" i="9"/>
  <c r="O58" i="9"/>
  <c r="Q58" i="9" s="1"/>
  <c r="K58" i="9"/>
  <c r="J58" i="9"/>
  <c r="I58" i="9"/>
  <c r="H58" i="9"/>
  <c r="AN57" i="9"/>
  <c r="AQ57" i="9" s="1"/>
  <c r="S57" i="9"/>
  <c r="O57" i="9"/>
  <c r="Q57" i="9" s="1"/>
  <c r="K57" i="9"/>
  <c r="J57" i="9"/>
  <c r="I57" i="9"/>
  <c r="H57" i="9"/>
  <c r="AN56" i="9"/>
  <c r="S56" i="9"/>
  <c r="O56" i="9"/>
  <c r="Q56" i="9" s="1"/>
  <c r="K56" i="9"/>
  <c r="J56" i="9"/>
  <c r="I56" i="9"/>
  <c r="H56" i="9"/>
  <c r="AN55" i="9"/>
  <c r="AO55" i="9" s="1"/>
  <c r="AP55" i="9" s="1"/>
  <c r="S55" i="9"/>
  <c r="O55" i="9"/>
  <c r="Q55" i="9" s="1"/>
  <c r="K55" i="9"/>
  <c r="J55" i="9"/>
  <c r="I55" i="9"/>
  <c r="H55" i="9"/>
  <c r="AN54" i="9"/>
  <c r="S54" i="9"/>
  <c r="O54" i="9"/>
  <c r="Q54" i="9" s="1"/>
  <c r="K54" i="9"/>
  <c r="J54" i="9"/>
  <c r="I54" i="9"/>
  <c r="H54" i="9"/>
  <c r="AN53" i="9"/>
  <c r="AQ53" i="9" s="1"/>
  <c r="S53" i="9"/>
  <c r="O53" i="9"/>
  <c r="Q53" i="9" s="1"/>
  <c r="K53" i="9"/>
  <c r="J53" i="9"/>
  <c r="I53" i="9"/>
  <c r="H53" i="9"/>
  <c r="AN52" i="9"/>
  <c r="AQ52" i="9" s="1"/>
  <c r="S52" i="9"/>
  <c r="O52" i="9"/>
  <c r="Q52" i="9" s="1"/>
  <c r="K52" i="9"/>
  <c r="J52" i="9"/>
  <c r="I52" i="9"/>
  <c r="H52" i="9"/>
  <c r="AQ51" i="9"/>
  <c r="AO51" i="9"/>
  <c r="AP51" i="9" s="1"/>
  <c r="AN51" i="9"/>
  <c r="S51" i="9"/>
  <c r="O51" i="9"/>
  <c r="Q51" i="9" s="1"/>
  <c r="K51" i="9"/>
  <c r="J51" i="9"/>
  <c r="I51" i="9"/>
  <c r="H51" i="9"/>
  <c r="AN50" i="9"/>
  <c r="S50" i="9"/>
  <c r="O50" i="9"/>
  <c r="Q50" i="9" s="1"/>
  <c r="K50" i="9"/>
  <c r="J50" i="9"/>
  <c r="I50" i="9"/>
  <c r="H50" i="9"/>
  <c r="AN49" i="9"/>
  <c r="AQ49" i="9" s="1"/>
  <c r="S49" i="9"/>
  <c r="O49" i="9"/>
  <c r="Q49" i="9" s="1"/>
  <c r="K49" i="9"/>
  <c r="J49" i="9"/>
  <c r="I49" i="9"/>
  <c r="H49" i="9"/>
  <c r="AN48" i="9"/>
  <c r="AQ48" i="9" s="1"/>
  <c r="S48" i="9"/>
  <c r="O48" i="9"/>
  <c r="Q48" i="9" s="1"/>
  <c r="K48" i="9"/>
  <c r="J48" i="9"/>
  <c r="I48" i="9"/>
  <c r="H48" i="9"/>
  <c r="AN47" i="9"/>
  <c r="AQ47" i="9" s="1"/>
  <c r="S47" i="9"/>
  <c r="O47" i="9"/>
  <c r="Q47" i="9" s="1"/>
  <c r="K47" i="9"/>
  <c r="J47" i="9"/>
  <c r="I47" i="9"/>
  <c r="H47" i="9"/>
  <c r="AQ46" i="9"/>
  <c r="AN46" i="9"/>
  <c r="AO46" i="9" s="1"/>
  <c r="AP46" i="9" s="1"/>
  <c r="S46" i="9"/>
  <c r="O46" i="9"/>
  <c r="Q46" i="9" s="1"/>
  <c r="K46" i="9"/>
  <c r="J46" i="9"/>
  <c r="I46" i="9"/>
  <c r="H46" i="9"/>
  <c r="AN45" i="9"/>
  <c r="AQ45" i="9" s="1"/>
  <c r="S45" i="9"/>
  <c r="O45" i="9"/>
  <c r="Q45" i="9" s="1"/>
  <c r="K45" i="9"/>
  <c r="J45" i="9"/>
  <c r="I45" i="9"/>
  <c r="H45" i="9"/>
  <c r="AO44" i="9"/>
  <c r="AP44" i="9" s="1"/>
  <c r="AN44" i="9"/>
  <c r="AQ44" i="9" s="1"/>
  <c r="S44" i="9"/>
  <c r="O44" i="9"/>
  <c r="Q44" i="9" s="1"/>
  <c r="K44" i="9"/>
  <c r="J44" i="9"/>
  <c r="I44" i="9"/>
  <c r="H44" i="9"/>
  <c r="AN43" i="9"/>
  <c r="AQ43" i="9" s="1"/>
  <c r="S43" i="9"/>
  <c r="O43" i="9"/>
  <c r="Q43" i="9" s="1"/>
  <c r="K43" i="9"/>
  <c r="J43" i="9"/>
  <c r="I43" i="9"/>
  <c r="H43" i="9"/>
  <c r="AN42" i="9"/>
  <c r="AO42" i="9" s="1"/>
  <c r="AP42" i="9" s="1"/>
  <c r="S42" i="9"/>
  <c r="Q42" i="9"/>
  <c r="O42" i="9"/>
  <c r="K42" i="9"/>
  <c r="J42" i="9"/>
  <c r="I42" i="9"/>
  <c r="H42" i="9"/>
  <c r="AN41" i="9"/>
  <c r="S41" i="9"/>
  <c r="O41" i="9"/>
  <c r="Q41" i="9" s="1"/>
  <c r="K41" i="9"/>
  <c r="J41" i="9"/>
  <c r="I41" i="9"/>
  <c r="H41" i="9"/>
  <c r="AN40" i="9"/>
  <c r="S40" i="9"/>
  <c r="O40" i="9"/>
  <c r="Q40" i="9" s="1"/>
  <c r="K40" i="9"/>
  <c r="J40" i="9"/>
  <c r="I40" i="9"/>
  <c r="H40" i="9"/>
  <c r="AN39" i="9"/>
  <c r="AQ39" i="9" s="1"/>
  <c r="S39" i="9"/>
  <c r="O39" i="9"/>
  <c r="Q39" i="9" s="1"/>
  <c r="K39" i="9"/>
  <c r="J39" i="9"/>
  <c r="I39" i="9"/>
  <c r="H39" i="9"/>
  <c r="AO38" i="9"/>
  <c r="AP38" i="9" s="1"/>
  <c r="AN38" i="9"/>
  <c r="AQ38" i="9" s="1"/>
  <c r="S38" i="9"/>
  <c r="O38" i="9"/>
  <c r="Q38" i="9" s="1"/>
  <c r="K38" i="9"/>
  <c r="J38" i="9"/>
  <c r="I38" i="9"/>
  <c r="H38" i="9"/>
  <c r="AN37" i="9"/>
  <c r="AQ37" i="9" s="1"/>
  <c r="S37" i="9"/>
  <c r="O37" i="9"/>
  <c r="Q37" i="9" s="1"/>
  <c r="K37" i="9"/>
  <c r="J37" i="9"/>
  <c r="I37" i="9"/>
  <c r="H37" i="9"/>
  <c r="AN36" i="9"/>
  <c r="S36" i="9"/>
  <c r="O36" i="9"/>
  <c r="Q36" i="9" s="1"/>
  <c r="K36" i="9"/>
  <c r="J36" i="9"/>
  <c r="I36" i="9"/>
  <c r="H36" i="9"/>
  <c r="AN35" i="9"/>
  <c r="S35" i="9"/>
  <c r="O35" i="9"/>
  <c r="Q35" i="9" s="1"/>
  <c r="K35" i="9"/>
  <c r="J35" i="9"/>
  <c r="I35" i="9"/>
  <c r="H35" i="9"/>
  <c r="AN34" i="9"/>
  <c r="AQ34" i="9" s="1"/>
  <c r="S34" i="9"/>
  <c r="O34" i="9"/>
  <c r="Q34" i="9" s="1"/>
  <c r="K34" i="9"/>
  <c r="J34" i="9"/>
  <c r="I34" i="9"/>
  <c r="H34" i="9"/>
  <c r="AN33" i="9"/>
  <c r="S33" i="9"/>
  <c r="Q33" i="9"/>
  <c r="O33" i="9"/>
  <c r="K33" i="9"/>
  <c r="J33" i="9"/>
  <c r="I33" i="9"/>
  <c r="H33" i="9"/>
  <c r="AN32" i="9"/>
  <c r="S32" i="9"/>
  <c r="O32" i="9"/>
  <c r="Q32" i="9" s="1"/>
  <c r="K32" i="9"/>
  <c r="J32" i="9"/>
  <c r="I32" i="9"/>
  <c r="H32" i="9"/>
  <c r="AN31" i="9"/>
  <c r="AQ31" i="9" s="1"/>
  <c r="S31" i="9"/>
  <c r="O31" i="9"/>
  <c r="Q31" i="9" s="1"/>
  <c r="K31" i="9"/>
  <c r="J31" i="9"/>
  <c r="I31" i="9"/>
  <c r="H31" i="9"/>
  <c r="AN30" i="9"/>
  <c r="AO30" i="9" s="1"/>
  <c r="AP30" i="9" s="1"/>
  <c r="S30" i="9"/>
  <c r="O30" i="9"/>
  <c r="Q30" i="9" s="1"/>
  <c r="K30" i="9"/>
  <c r="J30" i="9"/>
  <c r="I30" i="9"/>
  <c r="H30" i="9"/>
  <c r="AN29" i="9"/>
  <c r="S29" i="9"/>
  <c r="O29" i="9"/>
  <c r="Q29" i="9" s="1"/>
  <c r="K29" i="9"/>
  <c r="J29" i="9"/>
  <c r="I29" i="9"/>
  <c r="H29" i="9"/>
  <c r="AN28" i="9"/>
  <c r="AQ28" i="9" s="1"/>
  <c r="S28" i="9"/>
  <c r="O28" i="9"/>
  <c r="Q28" i="9" s="1"/>
  <c r="K28" i="9"/>
  <c r="J28" i="9"/>
  <c r="I28" i="9"/>
  <c r="H28" i="9"/>
  <c r="AN27" i="9"/>
  <c r="AO27" i="9" s="1"/>
  <c r="AP27" i="9" s="1"/>
  <c r="S27" i="9"/>
  <c r="O27" i="9"/>
  <c r="Q27" i="9" s="1"/>
  <c r="K27" i="9"/>
  <c r="J27" i="9"/>
  <c r="I27" i="9"/>
  <c r="H27" i="9"/>
  <c r="AO26" i="9"/>
  <c r="AP26" i="9" s="1"/>
  <c r="AN26" i="9"/>
  <c r="AQ26" i="9" s="1"/>
  <c r="S26" i="9"/>
  <c r="Q26" i="9"/>
  <c r="O26" i="9"/>
  <c r="K26" i="9"/>
  <c r="J26" i="9"/>
  <c r="I26" i="9"/>
  <c r="H26" i="9"/>
  <c r="AN25" i="9"/>
  <c r="AQ25" i="9" s="1"/>
  <c r="S25" i="9"/>
  <c r="O25" i="9"/>
  <c r="Q25" i="9" s="1"/>
  <c r="K25" i="9"/>
  <c r="J25" i="9"/>
  <c r="I25" i="9"/>
  <c r="H25" i="9"/>
  <c r="AN24" i="9"/>
  <c r="AQ24" i="9" s="1"/>
  <c r="S24" i="9"/>
  <c r="O24" i="9"/>
  <c r="Q24" i="9" s="1"/>
  <c r="K24" i="9"/>
  <c r="J24" i="9"/>
  <c r="I24" i="9"/>
  <c r="H24" i="9"/>
  <c r="AN23" i="9"/>
  <c r="AO23" i="9" s="1"/>
  <c r="AP23" i="9" s="1"/>
  <c r="S23" i="9"/>
  <c r="O23" i="9"/>
  <c r="Q23" i="9" s="1"/>
  <c r="K23" i="9"/>
  <c r="J23" i="9"/>
  <c r="I23" i="9"/>
  <c r="H23" i="9"/>
  <c r="AN22" i="9"/>
  <c r="AQ22" i="9" s="1"/>
  <c r="S22" i="9"/>
  <c r="O22" i="9"/>
  <c r="Q22" i="9" s="1"/>
  <c r="K22" i="9"/>
  <c r="J22" i="9"/>
  <c r="I22" i="9"/>
  <c r="H22" i="9"/>
  <c r="AN21" i="9"/>
  <c r="S21" i="9"/>
  <c r="O21" i="9"/>
  <c r="Q21" i="9" s="1"/>
  <c r="K21" i="9"/>
  <c r="J21" i="9"/>
  <c r="I21" i="9"/>
  <c r="H21" i="9"/>
  <c r="AN20" i="9"/>
  <c r="S20" i="9"/>
  <c r="O20" i="9"/>
  <c r="Q20" i="9" s="1"/>
  <c r="K20" i="9"/>
  <c r="J20" i="9"/>
  <c r="I20" i="9"/>
  <c r="H20" i="9"/>
  <c r="AN19" i="9"/>
  <c r="AO19" i="9" s="1"/>
  <c r="AP19" i="9" s="1"/>
  <c r="S19" i="9"/>
  <c r="O19" i="9"/>
  <c r="Q19" i="9" s="1"/>
  <c r="K19" i="9"/>
  <c r="J19" i="9"/>
  <c r="I19" i="9"/>
  <c r="H19" i="9"/>
  <c r="AN18" i="9"/>
  <c r="S18" i="9"/>
  <c r="O18" i="9"/>
  <c r="Q18" i="9" s="1"/>
  <c r="K18" i="9"/>
  <c r="J18" i="9"/>
  <c r="I18" i="9"/>
  <c r="H18" i="9"/>
  <c r="AN17" i="9"/>
  <c r="S17" i="9"/>
  <c r="O17" i="9"/>
  <c r="Q17" i="9" s="1"/>
  <c r="K17" i="9"/>
  <c r="J17" i="9"/>
  <c r="I17" i="9"/>
  <c r="H17" i="9"/>
  <c r="AN16" i="9"/>
  <c r="S16" i="9"/>
  <c r="O16" i="9"/>
  <c r="Q16" i="9" s="1"/>
  <c r="K16" i="9"/>
  <c r="J16" i="9"/>
  <c r="I16" i="9"/>
  <c r="H16" i="9"/>
  <c r="AO15" i="9"/>
  <c r="AP15" i="9" s="1"/>
  <c r="AN15" i="9"/>
  <c r="AQ15" i="9" s="1"/>
  <c r="S15" i="9"/>
  <c r="O15" i="9"/>
  <c r="Q15" i="9" s="1"/>
  <c r="K15" i="9"/>
  <c r="J15" i="9"/>
  <c r="I15" i="9"/>
  <c r="H15" i="9"/>
  <c r="AN14" i="9"/>
  <c r="AO14" i="9" s="1"/>
  <c r="AP14" i="9" s="1"/>
  <c r="S14" i="9"/>
  <c r="O14" i="9"/>
  <c r="Q14" i="9" s="1"/>
  <c r="K14" i="9"/>
  <c r="J14" i="9"/>
  <c r="I14" i="9"/>
  <c r="H14" i="9"/>
  <c r="AN13" i="9"/>
  <c r="S13" i="9"/>
  <c r="O13" i="9"/>
  <c r="Q13" i="9" s="1"/>
  <c r="K13" i="9"/>
  <c r="J13" i="9"/>
  <c r="I13" i="9"/>
  <c r="H13" i="9"/>
  <c r="AN12" i="9"/>
  <c r="AQ12" i="9" s="1"/>
  <c r="S12" i="9"/>
  <c r="O12" i="9"/>
  <c r="Q12" i="9" s="1"/>
  <c r="K12" i="9"/>
  <c r="J12" i="9"/>
  <c r="I12" i="9"/>
  <c r="H12" i="9"/>
  <c r="AN11" i="9"/>
  <c r="AQ11" i="9" s="1"/>
  <c r="S11" i="9"/>
  <c r="O11" i="9"/>
  <c r="Q11" i="9" s="1"/>
  <c r="K11" i="9"/>
  <c r="J11" i="9"/>
  <c r="I11" i="9"/>
  <c r="H11" i="9"/>
  <c r="BA10" i="9"/>
  <c r="AO10" i="9"/>
  <c r="AP10" i="9" s="1"/>
  <c r="AN10" i="9"/>
  <c r="AQ10" i="9" s="1"/>
  <c r="AI10" i="9"/>
  <c r="AI9" i="9" s="1"/>
  <c r="S10" i="9"/>
  <c r="O10" i="9"/>
  <c r="Q10" i="9" s="1"/>
  <c r="K10" i="9"/>
  <c r="J10" i="9"/>
  <c r="I10" i="9"/>
  <c r="H10" i="9"/>
  <c r="BA9" i="9"/>
  <c r="AN9" i="9"/>
  <c r="AO9" i="9" s="1"/>
  <c r="AP9" i="9" s="1"/>
  <c r="AM9" i="9"/>
  <c r="S9" i="9"/>
  <c r="O9" i="9"/>
  <c r="Q9" i="9" s="1"/>
  <c r="K9" i="9"/>
  <c r="J9" i="9"/>
  <c r="I9" i="9"/>
  <c r="H9" i="9"/>
  <c r="AN8" i="9"/>
  <c r="AQ8" i="9" s="1"/>
  <c r="AM8" i="9"/>
  <c r="S8" i="9"/>
  <c r="O8" i="9"/>
  <c r="Q8" i="9" s="1"/>
  <c r="K8" i="9"/>
  <c r="J8" i="9"/>
  <c r="I8" i="9"/>
  <c r="H8" i="9"/>
  <c r="AN7" i="9"/>
  <c r="AM7" i="9"/>
  <c r="S7" i="9"/>
  <c r="O7" i="9"/>
  <c r="Q7" i="9" s="1"/>
  <c r="K7" i="9"/>
  <c r="J7" i="9"/>
  <c r="I7" i="9"/>
  <c r="H7" i="9"/>
  <c r="AN6" i="9"/>
  <c r="AQ6" i="9" s="1"/>
  <c r="AM6" i="9"/>
  <c r="S6" i="9"/>
  <c r="O6" i="9"/>
  <c r="Q6" i="9" s="1"/>
  <c r="K6" i="9"/>
  <c r="J6" i="9"/>
  <c r="I6" i="9"/>
  <c r="H6" i="9"/>
  <c r="AN5" i="9"/>
  <c r="AQ5" i="9" s="1"/>
  <c r="AM5" i="9"/>
  <c r="S5" i="9"/>
  <c r="O5" i="9"/>
  <c r="Q5" i="9" s="1"/>
  <c r="K5" i="9"/>
  <c r="J5" i="9"/>
  <c r="I5" i="9"/>
  <c r="H5" i="9"/>
  <c r="AQ4" i="9"/>
  <c r="AN4" i="9"/>
  <c r="AO4" i="9" s="1"/>
  <c r="AP4" i="9" s="1"/>
  <c r="AM4" i="9"/>
  <c r="S4" i="9"/>
  <c r="O4" i="9"/>
  <c r="Q4" i="9" s="1"/>
  <c r="K4" i="9"/>
  <c r="J4" i="9"/>
  <c r="I4" i="9"/>
  <c r="H4" i="9"/>
  <c r="AN3" i="9"/>
  <c r="AQ3" i="9" s="1"/>
  <c r="AM3" i="9"/>
  <c r="S3" i="9"/>
  <c r="O3" i="9"/>
  <c r="Q3" i="9" s="1"/>
  <c r="K3" i="9"/>
  <c r="J3" i="9"/>
  <c r="I3" i="9"/>
  <c r="H3" i="9"/>
  <c r="AN2" i="9"/>
  <c r="AQ2" i="9" s="1"/>
  <c r="V295" i="9"/>
  <c r="V271" i="9"/>
  <c r="V230" i="9"/>
  <c r="V224" i="9"/>
  <c r="V176" i="9"/>
  <c r="V159" i="9"/>
  <c r="V154" i="9"/>
  <c r="V111" i="9"/>
  <c r="V82" i="9"/>
  <c r="V59" i="9"/>
  <c r="V42" i="9"/>
  <c r="V41" i="9"/>
  <c r="V35" i="9"/>
  <c r="V2" i="9" a="1"/>
  <c r="V305" i="9" s="1"/>
  <c r="S2" i="9"/>
  <c r="O2" i="9"/>
  <c r="Q2" i="9" s="1"/>
  <c r="K2" i="9"/>
  <c r="J2" i="9"/>
  <c r="I2" i="9"/>
  <c r="H2" i="9"/>
  <c r="S543" i="8"/>
  <c r="Q543" i="8"/>
  <c r="O543" i="8"/>
  <c r="R543" i="8" s="1"/>
  <c r="K543" i="8"/>
  <c r="J543" i="8"/>
  <c r="I543" i="8"/>
  <c r="H543" i="8"/>
  <c r="S542" i="8"/>
  <c r="O542" i="8"/>
  <c r="R542" i="8" s="1"/>
  <c r="K542" i="8"/>
  <c r="J542" i="8"/>
  <c r="I542" i="8"/>
  <c r="H542" i="8"/>
  <c r="S541" i="8"/>
  <c r="O541" i="8"/>
  <c r="Q541" i="8" s="1"/>
  <c r="K541" i="8"/>
  <c r="J541" i="8"/>
  <c r="I541" i="8"/>
  <c r="H541" i="8"/>
  <c r="S540" i="8"/>
  <c r="O540" i="8"/>
  <c r="Q540" i="8" s="1"/>
  <c r="K540" i="8"/>
  <c r="J540" i="8"/>
  <c r="I540" i="8"/>
  <c r="H540" i="8"/>
  <c r="S539" i="8"/>
  <c r="O539" i="8"/>
  <c r="R539" i="8" s="1"/>
  <c r="K539" i="8"/>
  <c r="J539" i="8"/>
  <c r="I539" i="8"/>
  <c r="H539" i="8"/>
  <c r="S538" i="8"/>
  <c r="O538" i="8"/>
  <c r="Q538" i="8" s="1"/>
  <c r="K538" i="8"/>
  <c r="J538" i="8"/>
  <c r="I538" i="8"/>
  <c r="H538" i="8"/>
  <c r="S537" i="8"/>
  <c r="Q537" i="8"/>
  <c r="O537" i="8"/>
  <c r="R537" i="8" s="1"/>
  <c r="K537" i="8"/>
  <c r="J537" i="8"/>
  <c r="I537" i="8"/>
  <c r="H537" i="8"/>
  <c r="S536" i="8"/>
  <c r="O536" i="8"/>
  <c r="K536" i="8"/>
  <c r="J536" i="8"/>
  <c r="I536" i="8"/>
  <c r="H536" i="8"/>
  <c r="S535" i="8"/>
  <c r="O535" i="8"/>
  <c r="K535" i="8"/>
  <c r="J535" i="8"/>
  <c r="I535" i="8"/>
  <c r="H535" i="8"/>
  <c r="S534" i="8"/>
  <c r="O534" i="8"/>
  <c r="R534" i="8" s="1"/>
  <c r="K534" i="8"/>
  <c r="J534" i="8"/>
  <c r="I534" i="8"/>
  <c r="H534" i="8"/>
  <c r="S533" i="8"/>
  <c r="O533" i="8"/>
  <c r="K533" i="8"/>
  <c r="J533" i="8"/>
  <c r="I533" i="8"/>
  <c r="H533" i="8"/>
  <c r="S532" i="8"/>
  <c r="O532" i="8"/>
  <c r="R532" i="8" s="1"/>
  <c r="K532" i="8"/>
  <c r="J532" i="8"/>
  <c r="I532" i="8"/>
  <c r="H532" i="8"/>
  <c r="S531" i="8"/>
  <c r="O531" i="8"/>
  <c r="K531" i="8"/>
  <c r="J531" i="8"/>
  <c r="I531" i="8"/>
  <c r="H531" i="8"/>
  <c r="S530" i="8"/>
  <c r="O530" i="8"/>
  <c r="K530" i="8"/>
  <c r="J530" i="8"/>
  <c r="I530" i="8"/>
  <c r="H530" i="8"/>
  <c r="S529" i="8"/>
  <c r="O529" i="8"/>
  <c r="Q529" i="8" s="1"/>
  <c r="K529" i="8"/>
  <c r="J529" i="8"/>
  <c r="I529" i="8"/>
  <c r="H529" i="8"/>
  <c r="S528" i="8"/>
  <c r="O528" i="8"/>
  <c r="Q528" i="8" s="1"/>
  <c r="K528" i="8"/>
  <c r="J528" i="8"/>
  <c r="I528" i="8"/>
  <c r="H528" i="8"/>
  <c r="S527" i="8"/>
  <c r="O527" i="8"/>
  <c r="K527" i="8"/>
  <c r="J527" i="8"/>
  <c r="I527" i="8"/>
  <c r="H527" i="8"/>
  <c r="S526" i="8"/>
  <c r="O526" i="8"/>
  <c r="Q526" i="8" s="1"/>
  <c r="K526" i="8"/>
  <c r="J526" i="8"/>
  <c r="I526" i="8"/>
  <c r="H526" i="8"/>
  <c r="S525" i="8"/>
  <c r="Q525" i="8"/>
  <c r="O525" i="8"/>
  <c r="R525" i="8" s="1"/>
  <c r="K525" i="8"/>
  <c r="J525" i="8"/>
  <c r="I525" i="8"/>
  <c r="H525" i="8"/>
  <c r="S524" i="8"/>
  <c r="O524" i="8"/>
  <c r="R524" i="8" s="1"/>
  <c r="K524" i="8"/>
  <c r="J524" i="8"/>
  <c r="I524" i="8"/>
  <c r="H524" i="8"/>
  <c r="S523" i="8"/>
  <c r="O523" i="8"/>
  <c r="R523" i="8" s="1"/>
  <c r="K523" i="8"/>
  <c r="J523" i="8"/>
  <c r="I523" i="8"/>
  <c r="H523" i="8"/>
  <c r="S522" i="8"/>
  <c r="O522" i="8"/>
  <c r="K522" i="8"/>
  <c r="J522" i="8"/>
  <c r="I522" i="8"/>
  <c r="H522" i="8"/>
  <c r="S521" i="8"/>
  <c r="O521" i="8"/>
  <c r="Q521" i="8" s="1"/>
  <c r="K521" i="8"/>
  <c r="J521" i="8"/>
  <c r="I521" i="8"/>
  <c r="H521" i="8"/>
  <c r="S520" i="8"/>
  <c r="O520" i="8"/>
  <c r="R520" i="8" s="1"/>
  <c r="K520" i="8"/>
  <c r="J520" i="8"/>
  <c r="I520" i="8"/>
  <c r="H520" i="8"/>
  <c r="S519" i="8"/>
  <c r="O519" i="8"/>
  <c r="R519" i="8" s="1"/>
  <c r="K519" i="8"/>
  <c r="J519" i="8"/>
  <c r="I519" i="8"/>
  <c r="H519" i="8"/>
  <c r="S518" i="8"/>
  <c r="Q518" i="8"/>
  <c r="O518" i="8"/>
  <c r="R518" i="8" s="1"/>
  <c r="K518" i="8"/>
  <c r="J518" i="8"/>
  <c r="I518" i="8"/>
  <c r="H518" i="8"/>
  <c r="S517" i="8"/>
  <c r="O517" i="8"/>
  <c r="Q517" i="8" s="1"/>
  <c r="K517" i="8"/>
  <c r="J517" i="8"/>
  <c r="I517" i="8"/>
  <c r="H517" i="8"/>
  <c r="S516" i="8"/>
  <c r="O516" i="8"/>
  <c r="R516" i="8" s="1"/>
  <c r="K516" i="8"/>
  <c r="J516" i="8"/>
  <c r="I516" i="8"/>
  <c r="H516" i="8"/>
  <c r="S515" i="8"/>
  <c r="O515" i="8"/>
  <c r="K515" i="8"/>
  <c r="J515" i="8"/>
  <c r="I515" i="8"/>
  <c r="H515" i="8"/>
  <c r="S514" i="8"/>
  <c r="O514" i="8"/>
  <c r="R514" i="8" s="1"/>
  <c r="K514" i="8"/>
  <c r="J514" i="8"/>
  <c r="I514" i="8"/>
  <c r="H514" i="8"/>
  <c r="S513" i="8"/>
  <c r="O513" i="8"/>
  <c r="R513" i="8" s="1"/>
  <c r="K513" i="8"/>
  <c r="J513" i="8"/>
  <c r="I513" i="8"/>
  <c r="H513" i="8"/>
  <c r="S512" i="8"/>
  <c r="O512" i="8"/>
  <c r="K512" i="8"/>
  <c r="J512" i="8"/>
  <c r="I512" i="8"/>
  <c r="H512" i="8"/>
  <c r="S511" i="8"/>
  <c r="O511" i="8"/>
  <c r="K511" i="8"/>
  <c r="J511" i="8"/>
  <c r="I511" i="8"/>
  <c r="H511" i="8"/>
  <c r="S510" i="8"/>
  <c r="O510" i="8"/>
  <c r="R510" i="8" s="1"/>
  <c r="K510" i="8"/>
  <c r="J510" i="8"/>
  <c r="I510" i="8"/>
  <c r="H510" i="8"/>
  <c r="S509" i="8"/>
  <c r="O509" i="8"/>
  <c r="Q509" i="8" s="1"/>
  <c r="K509" i="8"/>
  <c r="J509" i="8"/>
  <c r="I509" i="8"/>
  <c r="H509" i="8"/>
  <c r="S508" i="8"/>
  <c r="Q508" i="8"/>
  <c r="O508" i="8"/>
  <c r="R508" i="8" s="1"/>
  <c r="K508" i="8"/>
  <c r="J508" i="8"/>
  <c r="I508" i="8"/>
  <c r="H508" i="8"/>
  <c r="S507" i="8"/>
  <c r="O507" i="8"/>
  <c r="R507" i="8" s="1"/>
  <c r="K507" i="8"/>
  <c r="J507" i="8"/>
  <c r="I507" i="8"/>
  <c r="H507" i="8"/>
  <c r="S506" i="8"/>
  <c r="O506" i="8"/>
  <c r="R506" i="8" s="1"/>
  <c r="K506" i="8"/>
  <c r="J506" i="8"/>
  <c r="I506" i="8"/>
  <c r="H506" i="8"/>
  <c r="S505" i="8"/>
  <c r="O505" i="8"/>
  <c r="K505" i="8"/>
  <c r="J505" i="8"/>
  <c r="I505" i="8"/>
  <c r="H505" i="8"/>
  <c r="S504" i="8"/>
  <c r="O504" i="8"/>
  <c r="K504" i="8"/>
  <c r="J504" i="8"/>
  <c r="I504" i="8"/>
  <c r="H504" i="8"/>
  <c r="S503" i="8"/>
  <c r="O503" i="8"/>
  <c r="R503" i="8" s="1"/>
  <c r="K503" i="8"/>
  <c r="J503" i="8"/>
  <c r="I503" i="8"/>
  <c r="H503" i="8"/>
  <c r="S502" i="8"/>
  <c r="O502" i="8"/>
  <c r="Q502" i="8" s="1"/>
  <c r="K502" i="8"/>
  <c r="J502" i="8"/>
  <c r="I502" i="8"/>
  <c r="H502" i="8"/>
  <c r="S501" i="8"/>
  <c r="O501" i="8"/>
  <c r="K501" i="8"/>
  <c r="J501" i="8"/>
  <c r="I501" i="8"/>
  <c r="H501" i="8"/>
  <c r="S500" i="8"/>
  <c r="O500" i="8"/>
  <c r="R500" i="8" s="1"/>
  <c r="K500" i="8"/>
  <c r="J500" i="8"/>
  <c r="I500" i="8"/>
  <c r="H500" i="8"/>
  <c r="S499" i="8"/>
  <c r="R499" i="8"/>
  <c r="Q499" i="8"/>
  <c r="O499" i="8"/>
  <c r="K499" i="8"/>
  <c r="J499" i="8"/>
  <c r="I499" i="8"/>
  <c r="H499" i="8"/>
  <c r="S498" i="8"/>
  <c r="O498" i="8"/>
  <c r="K498" i="8"/>
  <c r="J498" i="8"/>
  <c r="I498" i="8"/>
  <c r="H498" i="8"/>
  <c r="S497" i="8"/>
  <c r="O497" i="8"/>
  <c r="K497" i="8"/>
  <c r="J497" i="8"/>
  <c r="I497" i="8"/>
  <c r="H497" i="8"/>
  <c r="S496" i="8"/>
  <c r="O496" i="8"/>
  <c r="K496" i="8"/>
  <c r="J496" i="8"/>
  <c r="I496" i="8"/>
  <c r="H496" i="8"/>
  <c r="S495" i="8"/>
  <c r="O495" i="8"/>
  <c r="K495" i="8"/>
  <c r="J495" i="8"/>
  <c r="I495" i="8"/>
  <c r="H495" i="8"/>
  <c r="S494" i="8"/>
  <c r="O494" i="8"/>
  <c r="K494" i="8"/>
  <c r="J494" i="8"/>
  <c r="I494" i="8"/>
  <c r="H494" i="8"/>
  <c r="S493" i="8"/>
  <c r="O493" i="8"/>
  <c r="Q493" i="8" s="1"/>
  <c r="K493" i="8"/>
  <c r="J493" i="8"/>
  <c r="I493" i="8"/>
  <c r="H493" i="8"/>
  <c r="S492" i="8"/>
  <c r="O492" i="8"/>
  <c r="K492" i="8"/>
  <c r="J492" i="8"/>
  <c r="I492" i="8"/>
  <c r="H492" i="8"/>
  <c r="S491" i="8"/>
  <c r="O491" i="8"/>
  <c r="K491" i="8"/>
  <c r="J491" i="8"/>
  <c r="I491" i="8"/>
  <c r="H491" i="8"/>
  <c r="S490" i="8"/>
  <c r="O490" i="8"/>
  <c r="Q490" i="8" s="1"/>
  <c r="K490" i="8"/>
  <c r="J490" i="8"/>
  <c r="I490" i="8"/>
  <c r="H490" i="8"/>
  <c r="S489" i="8"/>
  <c r="R489" i="8"/>
  <c r="O489" i="8"/>
  <c r="Q489" i="8" s="1"/>
  <c r="K489" i="8"/>
  <c r="J489" i="8"/>
  <c r="I489" i="8"/>
  <c r="H489" i="8"/>
  <c r="S488" i="8"/>
  <c r="O488" i="8"/>
  <c r="K488" i="8"/>
  <c r="J488" i="8"/>
  <c r="I488" i="8"/>
  <c r="H488" i="8"/>
  <c r="S487" i="8"/>
  <c r="O487" i="8"/>
  <c r="K487" i="8"/>
  <c r="J487" i="8"/>
  <c r="I487" i="8"/>
  <c r="H487" i="8"/>
  <c r="S486" i="8"/>
  <c r="O486" i="8"/>
  <c r="R486" i="8" s="1"/>
  <c r="K486" i="8"/>
  <c r="J486" i="8"/>
  <c r="I486" i="8"/>
  <c r="H486" i="8"/>
  <c r="S485" i="8"/>
  <c r="O485" i="8"/>
  <c r="Q485" i="8" s="1"/>
  <c r="K485" i="8"/>
  <c r="J485" i="8"/>
  <c r="I485" i="8"/>
  <c r="H485" i="8"/>
  <c r="S484" i="8"/>
  <c r="O484" i="8"/>
  <c r="R484" i="8" s="1"/>
  <c r="K484" i="8"/>
  <c r="J484" i="8"/>
  <c r="I484" i="8"/>
  <c r="H484" i="8"/>
  <c r="S483" i="8"/>
  <c r="O483" i="8"/>
  <c r="K483" i="8"/>
  <c r="J483" i="8"/>
  <c r="I483" i="8"/>
  <c r="H483" i="8"/>
  <c r="S482" i="8"/>
  <c r="O482" i="8"/>
  <c r="R482" i="8" s="1"/>
  <c r="K482" i="8"/>
  <c r="J482" i="8"/>
  <c r="I482" i="8"/>
  <c r="H482" i="8"/>
  <c r="S481" i="8"/>
  <c r="O481" i="8"/>
  <c r="R481" i="8" s="1"/>
  <c r="K481" i="8"/>
  <c r="J481" i="8"/>
  <c r="I481" i="8"/>
  <c r="H481" i="8"/>
  <c r="S480" i="8"/>
  <c r="O480" i="8"/>
  <c r="R480" i="8" s="1"/>
  <c r="K480" i="8"/>
  <c r="J480" i="8"/>
  <c r="I480" i="8"/>
  <c r="H480" i="8"/>
  <c r="S479" i="8"/>
  <c r="O479" i="8"/>
  <c r="K479" i="8"/>
  <c r="J479" i="8"/>
  <c r="I479" i="8"/>
  <c r="H479" i="8"/>
  <c r="S478" i="8"/>
  <c r="O478" i="8"/>
  <c r="K478" i="8"/>
  <c r="J478" i="8"/>
  <c r="I478" i="8"/>
  <c r="H478" i="8"/>
  <c r="S477" i="8"/>
  <c r="O477" i="8"/>
  <c r="K477" i="8"/>
  <c r="J477" i="8"/>
  <c r="I477" i="8"/>
  <c r="H477" i="8"/>
  <c r="S476" i="8"/>
  <c r="O476" i="8"/>
  <c r="R476" i="8" s="1"/>
  <c r="K476" i="8"/>
  <c r="J476" i="8"/>
  <c r="I476" i="8"/>
  <c r="H476" i="8"/>
  <c r="S475" i="8"/>
  <c r="O475" i="8"/>
  <c r="R475" i="8" s="1"/>
  <c r="K475" i="8"/>
  <c r="J475" i="8"/>
  <c r="I475" i="8"/>
  <c r="H475" i="8"/>
  <c r="S474" i="8"/>
  <c r="O474" i="8"/>
  <c r="Q474" i="8" s="1"/>
  <c r="K474" i="8"/>
  <c r="J474" i="8"/>
  <c r="I474" i="8"/>
  <c r="H474" i="8"/>
  <c r="S473" i="8"/>
  <c r="O473" i="8"/>
  <c r="R473" i="8" s="1"/>
  <c r="K473" i="8"/>
  <c r="J473" i="8"/>
  <c r="I473" i="8"/>
  <c r="H473" i="8"/>
  <c r="S472" i="8"/>
  <c r="Q472" i="8"/>
  <c r="O472" i="8"/>
  <c r="R472" i="8" s="1"/>
  <c r="K472" i="8"/>
  <c r="J472" i="8"/>
  <c r="I472" i="8"/>
  <c r="H472" i="8"/>
  <c r="S471" i="8"/>
  <c r="O471" i="8"/>
  <c r="K471" i="8"/>
  <c r="J471" i="8"/>
  <c r="I471" i="8"/>
  <c r="H471" i="8"/>
  <c r="S470" i="8"/>
  <c r="O470" i="8"/>
  <c r="K470" i="8"/>
  <c r="J470" i="8"/>
  <c r="I470" i="8"/>
  <c r="H470" i="8"/>
  <c r="S469" i="8"/>
  <c r="O469" i="8"/>
  <c r="R469" i="8" s="1"/>
  <c r="K469" i="8"/>
  <c r="J469" i="8"/>
  <c r="I469" i="8"/>
  <c r="H469" i="8"/>
  <c r="S468" i="8"/>
  <c r="O468" i="8"/>
  <c r="Q468" i="8" s="1"/>
  <c r="K468" i="8"/>
  <c r="J468" i="8"/>
  <c r="I468" i="8"/>
  <c r="H468" i="8"/>
  <c r="S467" i="8"/>
  <c r="O467" i="8"/>
  <c r="Q467" i="8" s="1"/>
  <c r="K467" i="8"/>
  <c r="J467" i="8"/>
  <c r="I467" i="8"/>
  <c r="H467" i="8"/>
  <c r="S466" i="8"/>
  <c r="O466" i="8"/>
  <c r="R466" i="8" s="1"/>
  <c r="K466" i="8"/>
  <c r="J466" i="8"/>
  <c r="I466" i="8"/>
  <c r="H466" i="8"/>
  <c r="S465" i="8"/>
  <c r="O465" i="8"/>
  <c r="K465" i="8"/>
  <c r="J465" i="8"/>
  <c r="I465" i="8"/>
  <c r="H465" i="8"/>
  <c r="S464" i="8"/>
  <c r="O464" i="8"/>
  <c r="K464" i="8"/>
  <c r="J464" i="8"/>
  <c r="I464" i="8"/>
  <c r="H464" i="8"/>
  <c r="S463" i="8"/>
  <c r="O463" i="8"/>
  <c r="R463" i="8" s="1"/>
  <c r="K463" i="8"/>
  <c r="J463" i="8"/>
  <c r="I463" i="8"/>
  <c r="H463" i="8"/>
  <c r="S462" i="8"/>
  <c r="O462" i="8"/>
  <c r="K462" i="8"/>
  <c r="J462" i="8"/>
  <c r="I462" i="8"/>
  <c r="H462" i="8"/>
  <c r="S461" i="8"/>
  <c r="O461" i="8"/>
  <c r="K461" i="8"/>
  <c r="J461" i="8"/>
  <c r="I461" i="8"/>
  <c r="H461" i="8"/>
  <c r="S460" i="8"/>
  <c r="O460" i="8"/>
  <c r="R460" i="8" s="1"/>
  <c r="K460" i="8"/>
  <c r="J460" i="8"/>
  <c r="I460" i="8"/>
  <c r="H460" i="8"/>
  <c r="S459" i="8"/>
  <c r="O459" i="8"/>
  <c r="K459" i="8"/>
  <c r="J459" i="8"/>
  <c r="I459" i="8"/>
  <c r="H459" i="8"/>
  <c r="S458" i="8"/>
  <c r="O458" i="8"/>
  <c r="Q458" i="8" s="1"/>
  <c r="K458" i="8"/>
  <c r="J458" i="8"/>
  <c r="I458" i="8"/>
  <c r="H458" i="8"/>
  <c r="S457" i="8"/>
  <c r="Q457" i="8"/>
  <c r="O457" i="8"/>
  <c r="R457" i="8" s="1"/>
  <c r="K457" i="8"/>
  <c r="J457" i="8"/>
  <c r="I457" i="8"/>
  <c r="H457" i="8"/>
  <c r="S456" i="8"/>
  <c r="O456" i="8"/>
  <c r="Q456" i="8" s="1"/>
  <c r="K456" i="8"/>
  <c r="J456" i="8"/>
  <c r="I456" i="8"/>
  <c r="H456" i="8"/>
  <c r="S455" i="8"/>
  <c r="O455" i="8"/>
  <c r="K455" i="8"/>
  <c r="J455" i="8"/>
  <c r="I455" i="8"/>
  <c r="H455" i="8"/>
  <c r="S454" i="8"/>
  <c r="Q454" i="8"/>
  <c r="O454" i="8"/>
  <c r="R454" i="8" s="1"/>
  <c r="K454" i="8"/>
  <c r="J454" i="8"/>
  <c r="I454" i="8"/>
  <c r="H454" i="8"/>
  <c r="S453" i="8"/>
  <c r="O453" i="8"/>
  <c r="K453" i="8"/>
  <c r="J453" i="8"/>
  <c r="I453" i="8"/>
  <c r="H453" i="8"/>
  <c r="S452" i="8"/>
  <c r="O452" i="8"/>
  <c r="K452" i="8"/>
  <c r="J452" i="8"/>
  <c r="I452" i="8"/>
  <c r="H452" i="8"/>
  <c r="S451" i="8"/>
  <c r="O451" i="8"/>
  <c r="R451" i="8" s="1"/>
  <c r="K451" i="8"/>
  <c r="J451" i="8"/>
  <c r="I451" i="8"/>
  <c r="H451" i="8"/>
  <c r="S450" i="8"/>
  <c r="O450" i="8"/>
  <c r="R450" i="8" s="1"/>
  <c r="K450" i="8"/>
  <c r="J450" i="8"/>
  <c r="I450" i="8"/>
  <c r="H450" i="8"/>
  <c r="S449" i="8"/>
  <c r="Q449" i="8"/>
  <c r="O449" i="8"/>
  <c r="R449" i="8" s="1"/>
  <c r="K449" i="8"/>
  <c r="J449" i="8"/>
  <c r="I449" i="8"/>
  <c r="H449" i="8"/>
  <c r="S448" i="8"/>
  <c r="O448" i="8"/>
  <c r="K448" i="8"/>
  <c r="J448" i="8"/>
  <c r="I448" i="8"/>
  <c r="H448" i="8"/>
  <c r="S447" i="8"/>
  <c r="O447" i="8"/>
  <c r="R447" i="8" s="1"/>
  <c r="K447" i="8"/>
  <c r="J447" i="8"/>
  <c r="I447" i="8"/>
  <c r="H447" i="8"/>
  <c r="S446" i="8"/>
  <c r="O446" i="8"/>
  <c r="R446" i="8" s="1"/>
  <c r="K446" i="8"/>
  <c r="J446" i="8"/>
  <c r="I446" i="8"/>
  <c r="H446" i="8"/>
  <c r="S445" i="8"/>
  <c r="O445" i="8"/>
  <c r="R445" i="8" s="1"/>
  <c r="K445" i="8"/>
  <c r="J445" i="8"/>
  <c r="I445" i="8"/>
  <c r="H445" i="8"/>
  <c r="S444" i="8"/>
  <c r="O444" i="8"/>
  <c r="K444" i="8"/>
  <c r="J444" i="8"/>
  <c r="I444" i="8"/>
  <c r="H444" i="8"/>
  <c r="S443" i="8"/>
  <c r="O443" i="8"/>
  <c r="K443" i="8"/>
  <c r="J443" i="8"/>
  <c r="I443" i="8"/>
  <c r="H443" i="8"/>
  <c r="S442" i="8"/>
  <c r="O442" i="8"/>
  <c r="K442" i="8"/>
  <c r="J442" i="8"/>
  <c r="I442" i="8"/>
  <c r="H442" i="8"/>
  <c r="S441" i="8"/>
  <c r="O441" i="8"/>
  <c r="K441" i="8"/>
  <c r="J441" i="8"/>
  <c r="I441" i="8"/>
  <c r="H441" i="8"/>
  <c r="S440" i="8"/>
  <c r="O440" i="8"/>
  <c r="R440" i="8" s="1"/>
  <c r="K440" i="8"/>
  <c r="J440" i="8"/>
  <c r="I440" i="8"/>
  <c r="H440" i="8"/>
  <c r="S439" i="8"/>
  <c r="O439" i="8"/>
  <c r="K439" i="8"/>
  <c r="J439" i="8"/>
  <c r="I439" i="8"/>
  <c r="H439" i="8"/>
  <c r="S438" i="8"/>
  <c r="O438" i="8"/>
  <c r="K438" i="8"/>
  <c r="J438" i="8"/>
  <c r="I438" i="8"/>
  <c r="H438" i="8"/>
  <c r="S437" i="8"/>
  <c r="O437" i="8"/>
  <c r="K437" i="8"/>
  <c r="J437" i="8"/>
  <c r="I437" i="8"/>
  <c r="H437" i="8"/>
  <c r="S436" i="8"/>
  <c r="O436" i="8"/>
  <c r="K436" i="8"/>
  <c r="J436" i="8"/>
  <c r="I436" i="8"/>
  <c r="H436" i="8"/>
  <c r="S435" i="8"/>
  <c r="O435" i="8"/>
  <c r="Q435" i="8" s="1"/>
  <c r="K435" i="8"/>
  <c r="J435" i="8"/>
  <c r="I435" i="8"/>
  <c r="H435" i="8"/>
  <c r="S434" i="8"/>
  <c r="O434" i="8"/>
  <c r="R434" i="8" s="1"/>
  <c r="K434" i="8"/>
  <c r="J434" i="8"/>
  <c r="I434" i="8"/>
  <c r="H434" i="8"/>
  <c r="S433" i="8"/>
  <c r="O433" i="8"/>
  <c r="K433" i="8"/>
  <c r="J433" i="8"/>
  <c r="I433" i="8"/>
  <c r="H433" i="8"/>
  <c r="S432" i="8"/>
  <c r="O432" i="8"/>
  <c r="Q432" i="8" s="1"/>
  <c r="K432" i="8"/>
  <c r="J432" i="8"/>
  <c r="I432" i="8"/>
  <c r="H432" i="8"/>
  <c r="S431" i="8"/>
  <c r="O431" i="8"/>
  <c r="K431" i="8"/>
  <c r="J431" i="8"/>
  <c r="I431" i="8"/>
  <c r="H431" i="8"/>
  <c r="S430" i="8"/>
  <c r="O430" i="8"/>
  <c r="R430" i="8" s="1"/>
  <c r="K430" i="8"/>
  <c r="J430" i="8"/>
  <c r="I430" i="8"/>
  <c r="H430" i="8"/>
  <c r="S429" i="8"/>
  <c r="O429" i="8"/>
  <c r="Q429" i="8" s="1"/>
  <c r="K429" i="8"/>
  <c r="J429" i="8"/>
  <c r="I429" i="8"/>
  <c r="H429" i="8"/>
  <c r="S428" i="8"/>
  <c r="O428" i="8"/>
  <c r="K428" i="8"/>
  <c r="J428" i="8"/>
  <c r="I428" i="8"/>
  <c r="H428" i="8"/>
  <c r="S427" i="8"/>
  <c r="Q427" i="8"/>
  <c r="O427" i="8"/>
  <c r="R427" i="8" s="1"/>
  <c r="K427" i="8"/>
  <c r="J427" i="8"/>
  <c r="I427" i="8"/>
  <c r="H427" i="8"/>
  <c r="S426" i="8"/>
  <c r="O426" i="8"/>
  <c r="K426" i="8"/>
  <c r="J426" i="8"/>
  <c r="I426" i="8"/>
  <c r="H426" i="8"/>
  <c r="S425" i="8"/>
  <c r="O425" i="8"/>
  <c r="R425" i="8" s="1"/>
  <c r="K425" i="8"/>
  <c r="J425" i="8"/>
  <c r="I425" i="8"/>
  <c r="H425" i="8"/>
  <c r="S424" i="8"/>
  <c r="O424" i="8"/>
  <c r="R424" i="8" s="1"/>
  <c r="K424" i="8"/>
  <c r="J424" i="8"/>
  <c r="I424" i="8"/>
  <c r="H424" i="8"/>
  <c r="S423" i="8"/>
  <c r="O423" i="8"/>
  <c r="R423" i="8" s="1"/>
  <c r="K423" i="8"/>
  <c r="J423" i="8"/>
  <c r="I423" i="8"/>
  <c r="H423" i="8"/>
  <c r="S422" i="8"/>
  <c r="O422" i="8"/>
  <c r="K422" i="8"/>
  <c r="J422" i="8"/>
  <c r="I422" i="8"/>
  <c r="H422" i="8"/>
  <c r="S421" i="8"/>
  <c r="O421" i="8"/>
  <c r="R421" i="8" s="1"/>
  <c r="K421" i="8"/>
  <c r="J421" i="8"/>
  <c r="I421" i="8"/>
  <c r="H421" i="8"/>
  <c r="S420" i="8"/>
  <c r="O420" i="8"/>
  <c r="K420" i="8"/>
  <c r="J420" i="8"/>
  <c r="I420" i="8"/>
  <c r="H420" i="8"/>
  <c r="S419" i="8"/>
  <c r="O419" i="8"/>
  <c r="K419" i="8"/>
  <c r="J419" i="8"/>
  <c r="I419" i="8"/>
  <c r="H419" i="8"/>
  <c r="S418" i="8"/>
  <c r="O418" i="8"/>
  <c r="R418" i="8" s="1"/>
  <c r="K418" i="8"/>
  <c r="J418" i="8"/>
  <c r="I418" i="8"/>
  <c r="H418" i="8"/>
  <c r="S417" i="8"/>
  <c r="O417" i="8"/>
  <c r="K417" i="8"/>
  <c r="J417" i="8"/>
  <c r="I417" i="8"/>
  <c r="H417" i="8"/>
  <c r="S416" i="8"/>
  <c r="O416" i="8"/>
  <c r="K416" i="8"/>
  <c r="J416" i="8"/>
  <c r="I416" i="8"/>
  <c r="H416" i="8"/>
  <c r="S415" i="8"/>
  <c r="O415" i="8"/>
  <c r="K415" i="8"/>
  <c r="J415" i="8"/>
  <c r="I415" i="8"/>
  <c r="H415" i="8"/>
  <c r="S414" i="8"/>
  <c r="O414" i="8"/>
  <c r="Q414" i="8" s="1"/>
  <c r="K414" i="8"/>
  <c r="J414" i="8"/>
  <c r="I414" i="8"/>
  <c r="H414" i="8"/>
  <c r="S413" i="8"/>
  <c r="R413" i="8"/>
  <c r="O413" i="8"/>
  <c r="Q413" i="8" s="1"/>
  <c r="K413" i="8"/>
  <c r="J413" i="8"/>
  <c r="I413" i="8"/>
  <c r="H413" i="8"/>
  <c r="S412" i="8"/>
  <c r="O412" i="8"/>
  <c r="R412" i="8" s="1"/>
  <c r="K412" i="8"/>
  <c r="J412" i="8"/>
  <c r="I412" i="8"/>
  <c r="H412" i="8"/>
  <c r="S411" i="8"/>
  <c r="O411" i="8"/>
  <c r="Q411" i="8" s="1"/>
  <c r="K411" i="8"/>
  <c r="J411" i="8"/>
  <c r="I411" i="8"/>
  <c r="H411" i="8"/>
  <c r="S410" i="8"/>
  <c r="O410" i="8"/>
  <c r="R410" i="8" s="1"/>
  <c r="K410" i="8"/>
  <c r="J410" i="8"/>
  <c r="I410" i="8"/>
  <c r="H410" i="8"/>
  <c r="S409" i="8"/>
  <c r="O409" i="8"/>
  <c r="K409" i="8"/>
  <c r="J409" i="8"/>
  <c r="I409" i="8"/>
  <c r="H409" i="8"/>
  <c r="S408" i="8"/>
  <c r="R408" i="8"/>
  <c r="O408" i="8"/>
  <c r="Q408" i="8" s="1"/>
  <c r="K408" i="8"/>
  <c r="J408" i="8"/>
  <c r="I408" i="8"/>
  <c r="H408" i="8"/>
  <c r="S407" i="8"/>
  <c r="R407" i="8"/>
  <c r="O407" i="8"/>
  <c r="Q407" i="8" s="1"/>
  <c r="K407" i="8"/>
  <c r="J407" i="8"/>
  <c r="I407" i="8"/>
  <c r="H407" i="8"/>
  <c r="S406" i="8"/>
  <c r="O406" i="8"/>
  <c r="K406" i="8"/>
  <c r="J406" i="8"/>
  <c r="I406" i="8"/>
  <c r="H406" i="8"/>
  <c r="S405" i="8"/>
  <c r="O405" i="8"/>
  <c r="Q405" i="8" s="1"/>
  <c r="K405" i="8"/>
  <c r="J405" i="8"/>
  <c r="I405" i="8"/>
  <c r="H405" i="8"/>
  <c r="S404" i="8"/>
  <c r="O404" i="8"/>
  <c r="K404" i="8"/>
  <c r="J404" i="8"/>
  <c r="I404" i="8"/>
  <c r="H404" i="8"/>
  <c r="S403" i="8"/>
  <c r="Q403" i="8"/>
  <c r="O403" i="8"/>
  <c r="R403" i="8" s="1"/>
  <c r="K403" i="8"/>
  <c r="J403" i="8"/>
  <c r="I403" i="8"/>
  <c r="H403" i="8"/>
  <c r="S402" i="8"/>
  <c r="O402" i="8"/>
  <c r="K402" i="8"/>
  <c r="J402" i="8"/>
  <c r="I402" i="8"/>
  <c r="H402" i="8"/>
  <c r="S401" i="8"/>
  <c r="O401" i="8"/>
  <c r="R401" i="8" s="1"/>
  <c r="K401" i="8"/>
  <c r="J401" i="8"/>
  <c r="I401" i="8"/>
  <c r="H401" i="8"/>
  <c r="S400" i="8"/>
  <c r="O400" i="8"/>
  <c r="Q400" i="8" s="1"/>
  <c r="K400" i="8"/>
  <c r="J400" i="8"/>
  <c r="I400" i="8"/>
  <c r="H400" i="8"/>
  <c r="S399" i="8"/>
  <c r="O399" i="8"/>
  <c r="K399" i="8"/>
  <c r="J399" i="8"/>
  <c r="I399" i="8"/>
  <c r="H399" i="8"/>
  <c r="S398" i="8"/>
  <c r="O398" i="8"/>
  <c r="R398" i="8" s="1"/>
  <c r="K398" i="8"/>
  <c r="J398" i="8"/>
  <c r="I398" i="8"/>
  <c r="H398" i="8"/>
  <c r="S397" i="8"/>
  <c r="O397" i="8"/>
  <c r="Q397" i="8" s="1"/>
  <c r="K397" i="8"/>
  <c r="J397" i="8"/>
  <c r="I397" i="8"/>
  <c r="H397" i="8"/>
  <c r="S396" i="8"/>
  <c r="O396" i="8"/>
  <c r="R396" i="8" s="1"/>
  <c r="K396" i="8"/>
  <c r="J396" i="8"/>
  <c r="I396" i="8"/>
  <c r="H396" i="8"/>
  <c r="S395" i="8"/>
  <c r="O395" i="8"/>
  <c r="K395" i="8"/>
  <c r="J395" i="8"/>
  <c r="I395" i="8"/>
  <c r="H395" i="8"/>
  <c r="S394" i="8"/>
  <c r="O394" i="8"/>
  <c r="K394" i="8"/>
  <c r="J394" i="8"/>
  <c r="I394" i="8"/>
  <c r="H394" i="8"/>
  <c r="S393" i="8"/>
  <c r="R393" i="8"/>
  <c r="O393" i="8"/>
  <c r="Q393" i="8" s="1"/>
  <c r="K393" i="8"/>
  <c r="J393" i="8"/>
  <c r="I393" i="8"/>
  <c r="H393" i="8"/>
  <c r="S392" i="8"/>
  <c r="O392" i="8"/>
  <c r="R392" i="8" s="1"/>
  <c r="K392" i="8"/>
  <c r="J392" i="8"/>
  <c r="I392" i="8"/>
  <c r="H392" i="8"/>
  <c r="S391" i="8"/>
  <c r="O391" i="8"/>
  <c r="K391" i="8"/>
  <c r="J391" i="8"/>
  <c r="I391" i="8"/>
  <c r="H391" i="8"/>
  <c r="S390" i="8"/>
  <c r="O390" i="8"/>
  <c r="R390" i="8" s="1"/>
  <c r="K390" i="8"/>
  <c r="J390" i="8"/>
  <c r="I390" i="8"/>
  <c r="H390" i="8"/>
  <c r="S389" i="8"/>
  <c r="O389" i="8"/>
  <c r="Q389" i="8" s="1"/>
  <c r="K389" i="8"/>
  <c r="J389" i="8"/>
  <c r="I389" i="8"/>
  <c r="H389" i="8"/>
  <c r="S388" i="8"/>
  <c r="O388" i="8"/>
  <c r="Q388" i="8" s="1"/>
  <c r="K388" i="8"/>
  <c r="J388" i="8"/>
  <c r="I388" i="8"/>
  <c r="H388" i="8"/>
  <c r="S387" i="8"/>
  <c r="O387" i="8"/>
  <c r="R387" i="8" s="1"/>
  <c r="K387" i="8"/>
  <c r="J387" i="8"/>
  <c r="I387" i="8"/>
  <c r="H387" i="8"/>
  <c r="S386" i="8"/>
  <c r="O386" i="8"/>
  <c r="R386" i="8" s="1"/>
  <c r="K386" i="8"/>
  <c r="J386" i="8"/>
  <c r="I386" i="8"/>
  <c r="H386" i="8"/>
  <c r="S385" i="8"/>
  <c r="O385" i="8"/>
  <c r="R385" i="8" s="1"/>
  <c r="K385" i="8"/>
  <c r="J385" i="8"/>
  <c r="I385" i="8"/>
  <c r="H385" i="8"/>
  <c r="S384" i="8"/>
  <c r="O384" i="8"/>
  <c r="K384" i="8"/>
  <c r="J384" i="8"/>
  <c r="I384" i="8"/>
  <c r="H384" i="8"/>
  <c r="S383" i="8"/>
  <c r="O383" i="8"/>
  <c r="R383" i="8" s="1"/>
  <c r="K383" i="8"/>
  <c r="J383" i="8"/>
  <c r="I383" i="8"/>
  <c r="H383" i="8"/>
  <c r="S382" i="8"/>
  <c r="O382" i="8"/>
  <c r="K382" i="8"/>
  <c r="J382" i="8"/>
  <c r="I382" i="8"/>
  <c r="H382" i="8"/>
  <c r="S381" i="8"/>
  <c r="O381" i="8"/>
  <c r="K381" i="8"/>
  <c r="J381" i="8"/>
  <c r="I381" i="8"/>
  <c r="H381" i="8"/>
  <c r="S380" i="8"/>
  <c r="Q380" i="8"/>
  <c r="O380" i="8"/>
  <c r="R380" i="8" s="1"/>
  <c r="K380" i="8"/>
  <c r="J380" i="8"/>
  <c r="I380" i="8"/>
  <c r="H380" i="8"/>
  <c r="S379" i="8"/>
  <c r="Q379" i="8"/>
  <c r="O379" i="8"/>
  <c r="R379" i="8" s="1"/>
  <c r="K379" i="8"/>
  <c r="J379" i="8"/>
  <c r="I379" i="8"/>
  <c r="H379" i="8"/>
  <c r="S378" i="8"/>
  <c r="O378" i="8"/>
  <c r="R378" i="8" s="1"/>
  <c r="K378" i="8"/>
  <c r="J378" i="8"/>
  <c r="I378" i="8"/>
  <c r="H378" i="8"/>
  <c r="S377" i="8"/>
  <c r="Q377" i="8"/>
  <c r="O377" i="8"/>
  <c r="R377" i="8" s="1"/>
  <c r="K377" i="8"/>
  <c r="J377" i="8"/>
  <c r="I377" i="8"/>
  <c r="H377" i="8"/>
  <c r="S376" i="8"/>
  <c r="O376" i="8"/>
  <c r="K376" i="8"/>
  <c r="J376" i="8"/>
  <c r="I376" i="8"/>
  <c r="H376" i="8"/>
  <c r="S375" i="8"/>
  <c r="O375" i="8"/>
  <c r="K375" i="8"/>
  <c r="J375" i="8"/>
  <c r="I375" i="8"/>
  <c r="H375" i="8"/>
  <c r="S374" i="8"/>
  <c r="R374" i="8"/>
  <c r="O374" i="8"/>
  <c r="Q374" i="8" s="1"/>
  <c r="K374" i="8"/>
  <c r="J374" i="8"/>
  <c r="I374" i="8"/>
  <c r="H374" i="8"/>
  <c r="S373" i="8"/>
  <c r="R373" i="8"/>
  <c r="O373" i="8"/>
  <c r="Q373" i="8" s="1"/>
  <c r="K373" i="8"/>
  <c r="J373" i="8"/>
  <c r="I373" i="8"/>
  <c r="H373" i="8"/>
  <c r="S372" i="8"/>
  <c r="O372" i="8"/>
  <c r="K372" i="8"/>
  <c r="J372" i="8"/>
  <c r="I372" i="8"/>
  <c r="H372" i="8"/>
  <c r="S371" i="8"/>
  <c r="O371" i="8"/>
  <c r="R371" i="8" s="1"/>
  <c r="K371" i="8"/>
  <c r="J371" i="8"/>
  <c r="I371" i="8"/>
  <c r="H371" i="8"/>
  <c r="S370" i="8"/>
  <c r="O370" i="8"/>
  <c r="R370" i="8" s="1"/>
  <c r="K370" i="8"/>
  <c r="J370" i="8"/>
  <c r="I370" i="8"/>
  <c r="H370" i="8"/>
  <c r="S369" i="8"/>
  <c r="O369" i="8"/>
  <c r="K369" i="8"/>
  <c r="J369" i="8"/>
  <c r="I369" i="8"/>
  <c r="H369" i="8"/>
  <c r="S368" i="8"/>
  <c r="O368" i="8"/>
  <c r="R368" i="8" s="1"/>
  <c r="K368" i="8"/>
  <c r="J368" i="8"/>
  <c r="I368" i="8"/>
  <c r="H368" i="8"/>
  <c r="S367" i="8"/>
  <c r="O367" i="8"/>
  <c r="R367" i="8" s="1"/>
  <c r="K367" i="8"/>
  <c r="J367" i="8"/>
  <c r="I367" i="8"/>
  <c r="H367" i="8"/>
  <c r="S366" i="8"/>
  <c r="O366" i="8"/>
  <c r="Q366" i="8" s="1"/>
  <c r="K366" i="8"/>
  <c r="J366" i="8"/>
  <c r="I366" i="8"/>
  <c r="H366" i="8"/>
  <c r="S365" i="8"/>
  <c r="O365" i="8"/>
  <c r="R365" i="8" s="1"/>
  <c r="K365" i="8"/>
  <c r="J365" i="8"/>
  <c r="I365" i="8"/>
  <c r="H365" i="8"/>
  <c r="S364" i="8"/>
  <c r="O364" i="8"/>
  <c r="Q364" i="8" s="1"/>
  <c r="K364" i="8"/>
  <c r="J364" i="8"/>
  <c r="I364" i="8"/>
  <c r="H364" i="8"/>
  <c r="S363" i="8"/>
  <c r="O363" i="8"/>
  <c r="K363" i="8"/>
  <c r="J363" i="8"/>
  <c r="I363" i="8"/>
  <c r="H363" i="8"/>
  <c r="S362" i="8"/>
  <c r="O362" i="8"/>
  <c r="K362" i="8"/>
  <c r="J362" i="8"/>
  <c r="I362" i="8"/>
  <c r="H362" i="8"/>
  <c r="S361" i="8"/>
  <c r="O361" i="8"/>
  <c r="Q361" i="8" s="1"/>
  <c r="K361" i="8"/>
  <c r="J361" i="8"/>
  <c r="I361" i="8"/>
  <c r="H361" i="8"/>
  <c r="S360" i="8"/>
  <c r="O360" i="8"/>
  <c r="R360" i="8" s="1"/>
  <c r="K360" i="8"/>
  <c r="J360" i="8"/>
  <c r="I360" i="8"/>
  <c r="H360" i="8"/>
  <c r="S359" i="8"/>
  <c r="R359" i="8"/>
  <c r="O359" i="8"/>
  <c r="Q359" i="8" s="1"/>
  <c r="K359" i="8"/>
  <c r="J359" i="8"/>
  <c r="I359" i="8"/>
  <c r="H359" i="8"/>
  <c r="S358" i="8"/>
  <c r="O358" i="8"/>
  <c r="K358" i="8"/>
  <c r="J358" i="8"/>
  <c r="I358" i="8"/>
  <c r="H358" i="8"/>
  <c r="S357" i="8"/>
  <c r="O357" i="8"/>
  <c r="K357" i="8"/>
  <c r="J357" i="8"/>
  <c r="I357" i="8"/>
  <c r="H357" i="8"/>
  <c r="S356" i="8"/>
  <c r="O356" i="8"/>
  <c r="K356" i="8"/>
  <c r="J356" i="8"/>
  <c r="I356" i="8"/>
  <c r="H356" i="8"/>
  <c r="S355" i="8"/>
  <c r="R355" i="8"/>
  <c r="O355" i="8"/>
  <c r="Q355" i="8" s="1"/>
  <c r="K355" i="8"/>
  <c r="J355" i="8"/>
  <c r="I355" i="8"/>
  <c r="H355" i="8"/>
  <c r="S354" i="8"/>
  <c r="O354" i="8"/>
  <c r="R354" i="8" s="1"/>
  <c r="K354" i="8"/>
  <c r="J354" i="8"/>
  <c r="I354" i="8"/>
  <c r="H354" i="8"/>
  <c r="S353" i="8"/>
  <c r="O353" i="8"/>
  <c r="R353" i="8" s="1"/>
  <c r="K353" i="8"/>
  <c r="J353" i="8"/>
  <c r="I353" i="8"/>
  <c r="H353" i="8"/>
  <c r="S352" i="8"/>
  <c r="Q352" i="8"/>
  <c r="O352" i="8"/>
  <c r="R352" i="8" s="1"/>
  <c r="K352" i="8"/>
  <c r="J352" i="8"/>
  <c r="I352" i="8"/>
  <c r="H352" i="8"/>
  <c r="S351" i="8"/>
  <c r="O351" i="8"/>
  <c r="K351" i="8"/>
  <c r="J351" i="8"/>
  <c r="I351" i="8"/>
  <c r="H351" i="8"/>
  <c r="S350" i="8"/>
  <c r="O350" i="8"/>
  <c r="K350" i="8"/>
  <c r="J350" i="8"/>
  <c r="I350" i="8"/>
  <c r="H350" i="8"/>
  <c r="S349" i="8"/>
  <c r="R349" i="8"/>
  <c r="O349" i="8"/>
  <c r="Q349" i="8" s="1"/>
  <c r="K349" i="8"/>
  <c r="J349" i="8"/>
  <c r="I349" i="8"/>
  <c r="H349" i="8"/>
  <c r="S348" i="8"/>
  <c r="O348" i="8"/>
  <c r="K348" i="8"/>
  <c r="J348" i="8"/>
  <c r="I348" i="8"/>
  <c r="H348" i="8"/>
  <c r="S347" i="8"/>
  <c r="O347" i="8"/>
  <c r="R347" i="8" s="1"/>
  <c r="K347" i="8"/>
  <c r="J347" i="8"/>
  <c r="I347" i="8"/>
  <c r="H347" i="8"/>
  <c r="S346" i="8"/>
  <c r="O346" i="8"/>
  <c r="K346" i="8"/>
  <c r="J346" i="8"/>
  <c r="I346" i="8"/>
  <c r="H346" i="8"/>
  <c r="S345" i="8"/>
  <c r="O345" i="8"/>
  <c r="K345" i="8"/>
  <c r="J345" i="8"/>
  <c r="I345" i="8"/>
  <c r="H345" i="8"/>
  <c r="S344" i="8"/>
  <c r="O344" i="8"/>
  <c r="K344" i="8"/>
  <c r="J344" i="8"/>
  <c r="I344" i="8"/>
  <c r="H344" i="8"/>
  <c r="S343" i="8"/>
  <c r="R343" i="8"/>
  <c r="O343" i="8"/>
  <c r="Q343" i="8" s="1"/>
  <c r="K343" i="8"/>
  <c r="J343" i="8"/>
  <c r="I343" i="8"/>
  <c r="H343" i="8"/>
  <c r="S342" i="8"/>
  <c r="O342" i="8"/>
  <c r="R342" i="8" s="1"/>
  <c r="K342" i="8"/>
  <c r="J342" i="8"/>
  <c r="I342" i="8"/>
  <c r="H342" i="8"/>
  <c r="S341" i="8"/>
  <c r="O341" i="8"/>
  <c r="Q341" i="8" s="1"/>
  <c r="K341" i="8"/>
  <c r="J341" i="8"/>
  <c r="I341" i="8"/>
  <c r="H341" i="8"/>
  <c r="S340" i="8"/>
  <c r="O340" i="8"/>
  <c r="K340" i="8"/>
  <c r="J340" i="8"/>
  <c r="I340" i="8"/>
  <c r="H340" i="8"/>
  <c r="S339" i="8"/>
  <c r="O339" i="8"/>
  <c r="K339" i="8"/>
  <c r="J339" i="8"/>
  <c r="I339" i="8"/>
  <c r="H339" i="8"/>
  <c r="S338" i="8"/>
  <c r="R338" i="8"/>
  <c r="O338" i="8"/>
  <c r="Q338" i="8" s="1"/>
  <c r="K338" i="8"/>
  <c r="J338" i="8"/>
  <c r="I338" i="8"/>
  <c r="H338" i="8"/>
  <c r="S337" i="8"/>
  <c r="O337" i="8"/>
  <c r="K337" i="8"/>
  <c r="J337" i="8"/>
  <c r="I337" i="8"/>
  <c r="H337" i="8"/>
  <c r="S336" i="8"/>
  <c r="O336" i="8"/>
  <c r="Q336" i="8" s="1"/>
  <c r="K336" i="8"/>
  <c r="J336" i="8"/>
  <c r="I336" i="8"/>
  <c r="H336" i="8"/>
  <c r="S335" i="8"/>
  <c r="O335" i="8"/>
  <c r="K335" i="8"/>
  <c r="J335" i="8"/>
  <c r="I335" i="8"/>
  <c r="H335" i="8"/>
  <c r="S334" i="8"/>
  <c r="O334" i="8"/>
  <c r="R334" i="8" s="1"/>
  <c r="K334" i="8"/>
  <c r="J334" i="8"/>
  <c r="I334" i="8"/>
  <c r="H334" i="8"/>
  <c r="S333" i="8"/>
  <c r="O333" i="8"/>
  <c r="K333" i="8"/>
  <c r="J333" i="8"/>
  <c r="I333" i="8"/>
  <c r="H333" i="8"/>
  <c r="S332" i="8"/>
  <c r="Q332" i="8"/>
  <c r="O332" i="8"/>
  <c r="R332" i="8" s="1"/>
  <c r="K332" i="8"/>
  <c r="J332" i="8"/>
  <c r="I332" i="8"/>
  <c r="H332" i="8"/>
  <c r="S331" i="8"/>
  <c r="Q331" i="8"/>
  <c r="O331" i="8"/>
  <c r="R331" i="8" s="1"/>
  <c r="K331" i="8"/>
  <c r="J331" i="8"/>
  <c r="I331" i="8"/>
  <c r="H331" i="8"/>
  <c r="S330" i="8"/>
  <c r="O330" i="8"/>
  <c r="K330" i="8"/>
  <c r="J330" i="8"/>
  <c r="I330" i="8"/>
  <c r="H330" i="8"/>
  <c r="S329" i="8"/>
  <c r="O329" i="8"/>
  <c r="K329" i="8"/>
  <c r="J329" i="8"/>
  <c r="I329" i="8"/>
  <c r="H329" i="8"/>
  <c r="S328" i="8"/>
  <c r="O328" i="8"/>
  <c r="Q328" i="8" s="1"/>
  <c r="K328" i="8"/>
  <c r="J328" i="8"/>
  <c r="I328" i="8"/>
  <c r="H328" i="8"/>
  <c r="S327" i="8"/>
  <c r="O327" i="8"/>
  <c r="Q327" i="8" s="1"/>
  <c r="K327" i="8"/>
  <c r="J327" i="8"/>
  <c r="I327" i="8"/>
  <c r="H327" i="8"/>
  <c r="S326" i="8"/>
  <c r="O326" i="8"/>
  <c r="R326" i="8" s="1"/>
  <c r="K326" i="8"/>
  <c r="J326" i="8"/>
  <c r="I326" i="8"/>
  <c r="H326" i="8"/>
  <c r="S325" i="8"/>
  <c r="O325" i="8"/>
  <c r="K325" i="8"/>
  <c r="J325" i="8"/>
  <c r="I325" i="8"/>
  <c r="H325" i="8"/>
  <c r="S324" i="8"/>
  <c r="O324" i="8"/>
  <c r="K324" i="8"/>
  <c r="J324" i="8"/>
  <c r="I324" i="8"/>
  <c r="H324" i="8"/>
  <c r="S323" i="8"/>
  <c r="Q323" i="8"/>
  <c r="O323" i="8"/>
  <c r="R323" i="8" s="1"/>
  <c r="K323" i="8"/>
  <c r="J323" i="8"/>
  <c r="I323" i="8"/>
  <c r="H323" i="8"/>
  <c r="S322" i="8"/>
  <c r="O322" i="8"/>
  <c r="R322" i="8" s="1"/>
  <c r="K322" i="8"/>
  <c r="J322" i="8"/>
  <c r="I322" i="8"/>
  <c r="H322" i="8"/>
  <c r="S321" i="8"/>
  <c r="O321" i="8"/>
  <c r="K321" i="8"/>
  <c r="J321" i="8"/>
  <c r="I321" i="8"/>
  <c r="H321" i="8"/>
  <c r="S320" i="8"/>
  <c r="O320" i="8"/>
  <c r="R320" i="8" s="1"/>
  <c r="K320" i="8"/>
  <c r="J320" i="8"/>
  <c r="I320" i="8"/>
  <c r="H320" i="8"/>
  <c r="S319" i="8"/>
  <c r="R319" i="8"/>
  <c r="O319" i="8"/>
  <c r="Q319" i="8" s="1"/>
  <c r="K319" i="8"/>
  <c r="J319" i="8"/>
  <c r="I319" i="8"/>
  <c r="H319" i="8"/>
  <c r="S318" i="8"/>
  <c r="O318" i="8"/>
  <c r="Q318" i="8" s="1"/>
  <c r="K318" i="8"/>
  <c r="J318" i="8"/>
  <c r="I318" i="8"/>
  <c r="H318" i="8"/>
  <c r="S317" i="8"/>
  <c r="O317" i="8"/>
  <c r="R317" i="8" s="1"/>
  <c r="K317" i="8"/>
  <c r="J317" i="8"/>
  <c r="I317" i="8"/>
  <c r="H317" i="8"/>
  <c r="S316" i="8"/>
  <c r="R316" i="8"/>
  <c r="O316" i="8"/>
  <c r="Q316" i="8" s="1"/>
  <c r="K316" i="8"/>
  <c r="J316" i="8"/>
  <c r="I316" i="8"/>
  <c r="H316" i="8"/>
  <c r="S315" i="8"/>
  <c r="O315" i="8"/>
  <c r="K315" i="8"/>
  <c r="J315" i="8"/>
  <c r="I315" i="8"/>
  <c r="H315" i="8"/>
  <c r="S314" i="8"/>
  <c r="O314" i="8"/>
  <c r="R314" i="8" s="1"/>
  <c r="K314" i="8"/>
  <c r="J314" i="8"/>
  <c r="I314" i="8"/>
  <c r="H314" i="8"/>
  <c r="S313" i="8"/>
  <c r="O313" i="8"/>
  <c r="Q313" i="8" s="1"/>
  <c r="K313" i="8"/>
  <c r="J313" i="8"/>
  <c r="I313" i="8"/>
  <c r="H313" i="8"/>
  <c r="S312" i="8"/>
  <c r="O312" i="8"/>
  <c r="K312" i="8"/>
  <c r="J312" i="8"/>
  <c r="I312" i="8"/>
  <c r="H312" i="8"/>
  <c r="S311" i="8"/>
  <c r="R311" i="8"/>
  <c r="O311" i="8"/>
  <c r="Q311" i="8" s="1"/>
  <c r="K311" i="8"/>
  <c r="J311" i="8"/>
  <c r="I311" i="8"/>
  <c r="H311" i="8"/>
  <c r="S310" i="8"/>
  <c r="O310" i="8"/>
  <c r="K310" i="8"/>
  <c r="J310" i="8"/>
  <c r="I310" i="8"/>
  <c r="H310" i="8"/>
  <c r="S309" i="8"/>
  <c r="O309" i="8"/>
  <c r="K309" i="8"/>
  <c r="J309" i="8"/>
  <c r="I309" i="8"/>
  <c r="H309" i="8"/>
  <c r="S308" i="8"/>
  <c r="Q308" i="8"/>
  <c r="O308" i="8"/>
  <c r="R308" i="8" s="1"/>
  <c r="K308" i="8"/>
  <c r="J308" i="8"/>
  <c r="I308" i="8"/>
  <c r="H308" i="8"/>
  <c r="S307" i="8"/>
  <c r="O307" i="8"/>
  <c r="Q307" i="8" s="1"/>
  <c r="K307" i="8"/>
  <c r="J307" i="8"/>
  <c r="I307" i="8"/>
  <c r="H307" i="8"/>
  <c r="S306" i="8"/>
  <c r="O306" i="8"/>
  <c r="K306" i="8"/>
  <c r="J306" i="8"/>
  <c r="I306" i="8"/>
  <c r="H306" i="8"/>
  <c r="S305" i="8"/>
  <c r="O305" i="8"/>
  <c r="K305" i="8"/>
  <c r="J305" i="8"/>
  <c r="I305" i="8"/>
  <c r="H305" i="8"/>
  <c r="S304" i="8"/>
  <c r="O304" i="8"/>
  <c r="K304" i="8"/>
  <c r="J304" i="8"/>
  <c r="I304" i="8"/>
  <c r="H304" i="8"/>
  <c r="S303" i="8"/>
  <c r="O303" i="8"/>
  <c r="Q303" i="8" s="1"/>
  <c r="K303" i="8"/>
  <c r="J303" i="8"/>
  <c r="I303" i="8"/>
  <c r="H303" i="8"/>
  <c r="S302" i="8"/>
  <c r="O302" i="8"/>
  <c r="R302" i="8" s="1"/>
  <c r="K302" i="8"/>
  <c r="J302" i="8"/>
  <c r="I302" i="8"/>
  <c r="H302" i="8"/>
  <c r="S301" i="8"/>
  <c r="O301" i="8"/>
  <c r="Q301" i="8" s="1"/>
  <c r="K301" i="8"/>
  <c r="J301" i="8"/>
  <c r="I301" i="8"/>
  <c r="H301" i="8"/>
  <c r="S300" i="8"/>
  <c r="O300" i="8"/>
  <c r="K300" i="8"/>
  <c r="J300" i="8"/>
  <c r="I300" i="8"/>
  <c r="H300" i="8"/>
  <c r="S299" i="8"/>
  <c r="O299" i="8"/>
  <c r="K299" i="8"/>
  <c r="J299" i="8"/>
  <c r="I299" i="8"/>
  <c r="H299" i="8"/>
  <c r="S298" i="8"/>
  <c r="O298" i="8"/>
  <c r="R298" i="8" s="1"/>
  <c r="K298" i="8"/>
  <c r="J298" i="8"/>
  <c r="I298" i="8"/>
  <c r="H298" i="8"/>
  <c r="S297" i="8"/>
  <c r="O297" i="8"/>
  <c r="K297" i="8"/>
  <c r="J297" i="8"/>
  <c r="I297" i="8"/>
  <c r="H297" i="8"/>
  <c r="S296" i="8"/>
  <c r="O296" i="8"/>
  <c r="Q296" i="8" s="1"/>
  <c r="K296" i="8"/>
  <c r="J296" i="8"/>
  <c r="I296" i="8"/>
  <c r="H296" i="8"/>
  <c r="S295" i="8"/>
  <c r="R295" i="8"/>
  <c r="O295" i="8"/>
  <c r="Q295" i="8" s="1"/>
  <c r="K295" i="8"/>
  <c r="J295" i="8"/>
  <c r="I295" i="8"/>
  <c r="H295" i="8"/>
  <c r="S294" i="8"/>
  <c r="O294" i="8"/>
  <c r="K294" i="8"/>
  <c r="J294" i="8"/>
  <c r="I294" i="8"/>
  <c r="H294" i="8"/>
  <c r="S293" i="8"/>
  <c r="O293" i="8"/>
  <c r="K293" i="8"/>
  <c r="J293" i="8"/>
  <c r="I293" i="8"/>
  <c r="H293" i="8"/>
  <c r="S292" i="8"/>
  <c r="O292" i="8"/>
  <c r="K292" i="8"/>
  <c r="J292" i="8"/>
  <c r="I292" i="8"/>
  <c r="H292" i="8"/>
  <c r="S291" i="8"/>
  <c r="R291" i="8"/>
  <c r="O291" i="8"/>
  <c r="Q291" i="8" s="1"/>
  <c r="K291" i="8"/>
  <c r="J291" i="8"/>
  <c r="I291" i="8"/>
  <c r="H291" i="8"/>
  <c r="S290" i="8"/>
  <c r="O290" i="8"/>
  <c r="Q290" i="8" s="1"/>
  <c r="K290" i="8"/>
  <c r="J290" i="8"/>
  <c r="I290" i="8"/>
  <c r="H290" i="8"/>
  <c r="S289" i="8"/>
  <c r="O289" i="8"/>
  <c r="K289" i="8"/>
  <c r="J289" i="8"/>
  <c r="I289" i="8"/>
  <c r="H289" i="8"/>
  <c r="S288" i="8"/>
  <c r="Q288" i="8"/>
  <c r="O288" i="8"/>
  <c r="R288" i="8" s="1"/>
  <c r="K288" i="8"/>
  <c r="J288" i="8"/>
  <c r="I288" i="8"/>
  <c r="H288" i="8"/>
  <c r="S287" i="8"/>
  <c r="R287" i="8"/>
  <c r="O287" i="8"/>
  <c r="Q287" i="8" s="1"/>
  <c r="K287" i="8"/>
  <c r="J287" i="8"/>
  <c r="I287" i="8"/>
  <c r="H287" i="8"/>
  <c r="S286" i="8"/>
  <c r="Q286" i="8"/>
  <c r="O286" i="8"/>
  <c r="R286" i="8" s="1"/>
  <c r="K286" i="8"/>
  <c r="J286" i="8"/>
  <c r="I286" i="8"/>
  <c r="H286" i="8"/>
  <c r="S285" i="8"/>
  <c r="O285" i="8"/>
  <c r="Q285" i="8" s="1"/>
  <c r="K285" i="8"/>
  <c r="J285" i="8"/>
  <c r="I285" i="8"/>
  <c r="H285" i="8"/>
  <c r="S284" i="8"/>
  <c r="O284" i="8"/>
  <c r="R284" i="8" s="1"/>
  <c r="K284" i="8"/>
  <c r="J284" i="8"/>
  <c r="I284" i="8"/>
  <c r="H284" i="8"/>
  <c r="S283" i="8"/>
  <c r="O283" i="8"/>
  <c r="K283" i="8"/>
  <c r="J283" i="8"/>
  <c r="I283" i="8"/>
  <c r="H283" i="8"/>
  <c r="S282" i="8"/>
  <c r="O282" i="8"/>
  <c r="K282" i="8"/>
  <c r="J282" i="8"/>
  <c r="I282" i="8"/>
  <c r="H282" i="8"/>
  <c r="S281" i="8"/>
  <c r="Q281" i="8"/>
  <c r="O281" i="8"/>
  <c r="R281" i="8" s="1"/>
  <c r="K281" i="8"/>
  <c r="J281" i="8"/>
  <c r="I281" i="8"/>
  <c r="H281" i="8"/>
  <c r="S280" i="8"/>
  <c r="O280" i="8"/>
  <c r="R280" i="8" s="1"/>
  <c r="K280" i="8"/>
  <c r="J280" i="8"/>
  <c r="I280" i="8"/>
  <c r="H280" i="8"/>
  <c r="S279" i="8"/>
  <c r="O279" i="8"/>
  <c r="R279" i="8" s="1"/>
  <c r="K279" i="8"/>
  <c r="J279" i="8"/>
  <c r="I279" i="8"/>
  <c r="H279" i="8"/>
  <c r="S278" i="8"/>
  <c r="Q278" i="8"/>
  <c r="O278" i="8"/>
  <c r="R278" i="8" s="1"/>
  <c r="K278" i="8"/>
  <c r="J278" i="8"/>
  <c r="I278" i="8"/>
  <c r="H278" i="8"/>
  <c r="S277" i="8"/>
  <c r="O277" i="8"/>
  <c r="Q277" i="8" s="1"/>
  <c r="K277" i="8"/>
  <c r="J277" i="8"/>
  <c r="I277" i="8"/>
  <c r="H277" i="8"/>
  <c r="S276" i="8"/>
  <c r="O276" i="8"/>
  <c r="K276" i="8"/>
  <c r="J276" i="8"/>
  <c r="I276" i="8"/>
  <c r="H276" i="8"/>
  <c r="S275" i="8"/>
  <c r="O275" i="8"/>
  <c r="Q275" i="8" s="1"/>
  <c r="K275" i="8"/>
  <c r="J275" i="8"/>
  <c r="I275" i="8"/>
  <c r="H275" i="8"/>
  <c r="S274" i="8"/>
  <c r="O274" i="8"/>
  <c r="R274" i="8" s="1"/>
  <c r="K274" i="8"/>
  <c r="J274" i="8"/>
  <c r="I274" i="8"/>
  <c r="H274" i="8"/>
  <c r="S273" i="8"/>
  <c r="O273" i="8"/>
  <c r="Q273" i="8" s="1"/>
  <c r="K273" i="8"/>
  <c r="J273" i="8"/>
  <c r="I273" i="8"/>
  <c r="H273" i="8"/>
  <c r="S272" i="8"/>
  <c r="O272" i="8"/>
  <c r="Q272" i="8" s="1"/>
  <c r="K272" i="8"/>
  <c r="J272" i="8"/>
  <c r="I272" i="8"/>
  <c r="H272" i="8"/>
  <c r="S271" i="8"/>
  <c r="O271" i="8"/>
  <c r="R271" i="8" s="1"/>
  <c r="K271" i="8"/>
  <c r="J271" i="8"/>
  <c r="I271" i="8"/>
  <c r="H271" i="8"/>
  <c r="S270" i="8"/>
  <c r="O270" i="8"/>
  <c r="Q270" i="8" s="1"/>
  <c r="K270" i="8"/>
  <c r="J270" i="8"/>
  <c r="I270" i="8"/>
  <c r="H270" i="8"/>
  <c r="S269" i="8"/>
  <c r="O269" i="8"/>
  <c r="K269" i="8"/>
  <c r="J269" i="8"/>
  <c r="I269" i="8"/>
  <c r="H269" i="8"/>
  <c r="S268" i="8"/>
  <c r="O268" i="8"/>
  <c r="R268" i="8" s="1"/>
  <c r="K268" i="8"/>
  <c r="J268" i="8"/>
  <c r="I268" i="8"/>
  <c r="H268" i="8"/>
  <c r="S267" i="8"/>
  <c r="O267" i="8"/>
  <c r="K267" i="8"/>
  <c r="J267" i="8"/>
  <c r="I267" i="8"/>
  <c r="H267" i="8"/>
  <c r="S266" i="8"/>
  <c r="Q266" i="8"/>
  <c r="O266" i="8"/>
  <c r="R266" i="8" s="1"/>
  <c r="K266" i="8"/>
  <c r="J266" i="8"/>
  <c r="I266" i="8"/>
  <c r="H266" i="8"/>
  <c r="S265" i="8"/>
  <c r="O265" i="8"/>
  <c r="Q265" i="8" s="1"/>
  <c r="K265" i="8"/>
  <c r="J265" i="8"/>
  <c r="I265" i="8"/>
  <c r="H265" i="8"/>
  <c r="S264" i="8"/>
  <c r="O264" i="8"/>
  <c r="K264" i="8"/>
  <c r="J264" i="8"/>
  <c r="I264" i="8"/>
  <c r="H264" i="8"/>
  <c r="S263" i="8"/>
  <c r="O263" i="8"/>
  <c r="K263" i="8"/>
  <c r="J263" i="8"/>
  <c r="I263" i="8"/>
  <c r="H263" i="8"/>
  <c r="S262" i="8"/>
  <c r="O262" i="8"/>
  <c r="K262" i="8"/>
  <c r="J262" i="8"/>
  <c r="I262" i="8"/>
  <c r="H262" i="8"/>
  <c r="S261" i="8"/>
  <c r="O261" i="8"/>
  <c r="R261" i="8" s="1"/>
  <c r="K261" i="8"/>
  <c r="J261" i="8"/>
  <c r="I261" i="8"/>
  <c r="H261" i="8"/>
  <c r="S260" i="8"/>
  <c r="O260" i="8"/>
  <c r="K260" i="8"/>
  <c r="J260" i="8"/>
  <c r="I260" i="8"/>
  <c r="H260" i="8"/>
  <c r="S259" i="8"/>
  <c r="Q259" i="8"/>
  <c r="O259" i="8"/>
  <c r="R259" i="8" s="1"/>
  <c r="K259" i="8"/>
  <c r="J259" i="8"/>
  <c r="I259" i="8"/>
  <c r="H259" i="8"/>
  <c r="S258" i="8"/>
  <c r="O258" i="8"/>
  <c r="R258" i="8" s="1"/>
  <c r="K258" i="8"/>
  <c r="J258" i="8"/>
  <c r="I258" i="8"/>
  <c r="H258" i="8"/>
  <c r="S257" i="8"/>
  <c r="O257" i="8"/>
  <c r="K257" i="8"/>
  <c r="J257" i="8"/>
  <c r="I257" i="8"/>
  <c r="H257" i="8"/>
  <c r="S256" i="8"/>
  <c r="O256" i="8"/>
  <c r="K256" i="8"/>
  <c r="J256" i="8"/>
  <c r="I256" i="8"/>
  <c r="H256" i="8"/>
  <c r="S255" i="8"/>
  <c r="O255" i="8"/>
  <c r="R255" i="8" s="1"/>
  <c r="K255" i="8"/>
  <c r="J255" i="8"/>
  <c r="I255" i="8"/>
  <c r="H255" i="8"/>
  <c r="S254" i="8"/>
  <c r="O254" i="8"/>
  <c r="R254" i="8" s="1"/>
  <c r="K254" i="8"/>
  <c r="J254" i="8"/>
  <c r="I254" i="8"/>
  <c r="H254" i="8"/>
  <c r="S253" i="8"/>
  <c r="Q253" i="8"/>
  <c r="O253" i="8"/>
  <c r="R253" i="8" s="1"/>
  <c r="K253" i="8"/>
  <c r="J253" i="8"/>
  <c r="I253" i="8"/>
  <c r="H253" i="8"/>
  <c r="S252" i="8"/>
  <c r="O252" i="8"/>
  <c r="R252" i="8" s="1"/>
  <c r="K252" i="8"/>
  <c r="J252" i="8"/>
  <c r="I252" i="8"/>
  <c r="H252" i="8"/>
  <c r="S251" i="8"/>
  <c r="R251" i="8"/>
  <c r="O251" i="8"/>
  <c r="Q251" i="8" s="1"/>
  <c r="K251" i="8"/>
  <c r="J251" i="8"/>
  <c r="I251" i="8"/>
  <c r="H251" i="8"/>
  <c r="S250" i="8"/>
  <c r="O250" i="8"/>
  <c r="K250" i="8"/>
  <c r="J250" i="8"/>
  <c r="I250" i="8"/>
  <c r="H250" i="8"/>
  <c r="S249" i="8"/>
  <c r="O249" i="8"/>
  <c r="K249" i="8"/>
  <c r="J249" i="8"/>
  <c r="I249" i="8"/>
  <c r="H249" i="8"/>
  <c r="S248" i="8"/>
  <c r="O248" i="8"/>
  <c r="R248" i="8" s="1"/>
  <c r="K248" i="8"/>
  <c r="J248" i="8"/>
  <c r="I248" i="8"/>
  <c r="H248" i="8"/>
  <c r="S247" i="8"/>
  <c r="O247" i="8"/>
  <c r="R247" i="8" s="1"/>
  <c r="K247" i="8"/>
  <c r="J247" i="8"/>
  <c r="I247" i="8"/>
  <c r="H247" i="8"/>
  <c r="S246" i="8"/>
  <c r="O246" i="8"/>
  <c r="R246" i="8" s="1"/>
  <c r="K246" i="8"/>
  <c r="J246" i="8"/>
  <c r="I246" i="8"/>
  <c r="H246" i="8"/>
  <c r="S245" i="8"/>
  <c r="O245" i="8"/>
  <c r="R245" i="8" s="1"/>
  <c r="K245" i="8"/>
  <c r="J245" i="8"/>
  <c r="I245" i="8"/>
  <c r="H245" i="8"/>
  <c r="S244" i="8"/>
  <c r="O244" i="8"/>
  <c r="R244" i="8" s="1"/>
  <c r="K244" i="8"/>
  <c r="J244" i="8"/>
  <c r="I244" i="8"/>
  <c r="H244" i="8"/>
  <c r="S243" i="8"/>
  <c r="O243" i="8"/>
  <c r="K243" i="8"/>
  <c r="J243" i="8"/>
  <c r="I243" i="8"/>
  <c r="H243" i="8"/>
  <c r="S242" i="8"/>
  <c r="O242" i="8"/>
  <c r="R242" i="8" s="1"/>
  <c r="K242" i="8"/>
  <c r="J242" i="8"/>
  <c r="I242" i="8"/>
  <c r="H242" i="8"/>
  <c r="S241" i="8"/>
  <c r="O241" i="8"/>
  <c r="R241" i="8" s="1"/>
  <c r="K241" i="8"/>
  <c r="J241" i="8"/>
  <c r="I241" i="8"/>
  <c r="H241" i="8"/>
  <c r="AQ240" i="8"/>
  <c r="AP240" i="8"/>
  <c r="AO240" i="8"/>
  <c r="S240" i="8"/>
  <c r="O240" i="8"/>
  <c r="Q240" i="8" s="1"/>
  <c r="K240" i="8"/>
  <c r="J240" i="8"/>
  <c r="I240" i="8"/>
  <c r="H240" i="8"/>
  <c r="AQ239" i="8"/>
  <c r="AP239" i="8"/>
  <c r="AO239" i="8"/>
  <c r="S239" i="8"/>
  <c r="Q239" i="8"/>
  <c r="O239" i="8"/>
  <c r="R239" i="8" s="1"/>
  <c r="K239" i="8"/>
  <c r="J239" i="8"/>
  <c r="I239" i="8"/>
  <c r="H239" i="8"/>
  <c r="AQ238" i="8"/>
  <c r="AO238" i="8"/>
  <c r="AP238" i="8" s="1"/>
  <c r="S238" i="8"/>
  <c r="O238" i="8"/>
  <c r="Q238" i="8" s="1"/>
  <c r="K238" i="8"/>
  <c r="J238" i="8"/>
  <c r="I238" i="8"/>
  <c r="H238" i="8"/>
  <c r="AQ237" i="8"/>
  <c r="AO237" i="8"/>
  <c r="AP237" i="8" s="1"/>
  <c r="S237" i="8"/>
  <c r="Q237" i="8"/>
  <c r="O237" i="8"/>
  <c r="R237" i="8" s="1"/>
  <c r="K237" i="8"/>
  <c r="J237" i="8"/>
  <c r="I237" i="8"/>
  <c r="H237" i="8"/>
  <c r="AQ236" i="8"/>
  <c r="AO236" i="8"/>
  <c r="AP236" i="8" s="1"/>
  <c r="S236" i="8"/>
  <c r="Q236" i="8"/>
  <c r="O236" i="8"/>
  <c r="R236" i="8" s="1"/>
  <c r="K236" i="8"/>
  <c r="J236" i="8"/>
  <c r="I236" i="8"/>
  <c r="H236" i="8"/>
  <c r="AQ235" i="8"/>
  <c r="AP235" i="8"/>
  <c r="AO235" i="8"/>
  <c r="S235" i="8"/>
  <c r="O235" i="8"/>
  <c r="K235" i="8"/>
  <c r="J235" i="8"/>
  <c r="I235" i="8"/>
  <c r="H235" i="8"/>
  <c r="AQ234" i="8"/>
  <c r="AP234" i="8"/>
  <c r="AO234" i="8"/>
  <c r="S234" i="8"/>
  <c r="R234" i="8"/>
  <c r="O234" i="8"/>
  <c r="Q234" i="8" s="1"/>
  <c r="K234" i="8"/>
  <c r="J234" i="8"/>
  <c r="I234" i="8"/>
  <c r="H234" i="8"/>
  <c r="AQ233" i="8"/>
  <c r="AP233" i="8"/>
  <c r="AO233" i="8"/>
  <c r="S233" i="8"/>
  <c r="O233" i="8"/>
  <c r="K233" i="8"/>
  <c r="J233" i="8"/>
  <c r="I233" i="8"/>
  <c r="H233" i="8"/>
  <c r="AQ232" i="8"/>
  <c r="AO232" i="8"/>
  <c r="AP232" i="8" s="1"/>
  <c r="S232" i="8"/>
  <c r="O232" i="8"/>
  <c r="K232" i="8"/>
  <c r="J232" i="8"/>
  <c r="I232" i="8"/>
  <c r="H232" i="8"/>
  <c r="AQ231" i="8"/>
  <c r="AP231" i="8"/>
  <c r="AO231" i="8"/>
  <c r="S231" i="8"/>
  <c r="O231" i="8"/>
  <c r="R231" i="8" s="1"/>
  <c r="K231" i="8"/>
  <c r="J231" i="8"/>
  <c r="I231" i="8"/>
  <c r="H231" i="8"/>
  <c r="AQ230" i="8"/>
  <c r="AO230" i="8"/>
  <c r="AP230" i="8" s="1"/>
  <c r="S230" i="8"/>
  <c r="O230" i="8"/>
  <c r="Q230" i="8" s="1"/>
  <c r="K230" i="8"/>
  <c r="J230" i="8"/>
  <c r="I230" i="8"/>
  <c r="H230" i="8"/>
  <c r="AQ229" i="8"/>
  <c r="AO229" i="8"/>
  <c r="AP229" i="8" s="1"/>
  <c r="S229" i="8"/>
  <c r="O229" i="8"/>
  <c r="R229" i="8" s="1"/>
  <c r="K229" i="8"/>
  <c r="J229" i="8"/>
  <c r="I229" i="8"/>
  <c r="H229" i="8"/>
  <c r="AQ228" i="8"/>
  <c r="AO228" i="8"/>
  <c r="AP228" i="8" s="1"/>
  <c r="S228" i="8"/>
  <c r="O228" i="8"/>
  <c r="K228" i="8"/>
  <c r="J228" i="8"/>
  <c r="I228" i="8"/>
  <c r="H228" i="8"/>
  <c r="AQ227" i="8"/>
  <c r="AP227" i="8"/>
  <c r="AO227" i="8"/>
  <c r="S227" i="8"/>
  <c r="O227" i="8"/>
  <c r="Q227" i="8" s="1"/>
  <c r="K227" i="8"/>
  <c r="J227" i="8"/>
  <c r="I227" i="8"/>
  <c r="H227" i="8"/>
  <c r="AQ226" i="8"/>
  <c r="AP226" i="8"/>
  <c r="AO226" i="8"/>
  <c r="S226" i="8"/>
  <c r="O226" i="8"/>
  <c r="R226" i="8" s="1"/>
  <c r="K226" i="8"/>
  <c r="J226" i="8"/>
  <c r="I226" i="8"/>
  <c r="H226" i="8"/>
  <c r="AQ225" i="8"/>
  <c r="AO225" i="8"/>
  <c r="AP225" i="8" s="1"/>
  <c r="S225" i="8"/>
  <c r="R225" i="8"/>
  <c r="O225" i="8"/>
  <c r="Q225" i="8" s="1"/>
  <c r="K225" i="8"/>
  <c r="J225" i="8"/>
  <c r="I225" i="8"/>
  <c r="H225" i="8"/>
  <c r="AQ224" i="8"/>
  <c r="AO224" i="8"/>
  <c r="AP224" i="8" s="1"/>
  <c r="S224" i="8"/>
  <c r="O224" i="8"/>
  <c r="K224" i="8"/>
  <c r="J224" i="8"/>
  <c r="I224" i="8"/>
  <c r="H224" i="8"/>
  <c r="AQ223" i="8"/>
  <c r="AP223" i="8"/>
  <c r="AO223" i="8"/>
  <c r="S223" i="8"/>
  <c r="O223" i="8"/>
  <c r="K223" i="8"/>
  <c r="J223" i="8"/>
  <c r="I223" i="8"/>
  <c r="H223" i="8"/>
  <c r="AQ222" i="8"/>
  <c r="AP222" i="8"/>
  <c r="AO222" i="8"/>
  <c r="S222" i="8"/>
  <c r="O222" i="8"/>
  <c r="K222" i="8"/>
  <c r="J222" i="8"/>
  <c r="I222" i="8"/>
  <c r="H222" i="8"/>
  <c r="AQ221" i="8"/>
  <c r="AO221" i="8"/>
  <c r="AP221" i="8" s="1"/>
  <c r="S221" i="8"/>
  <c r="O221" i="8"/>
  <c r="Q221" i="8" s="1"/>
  <c r="K221" i="8"/>
  <c r="J221" i="8"/>
  <c r="I221" i="8"/>
  <c r="H221" i="8"/>
  <c r="AQ220" i="8"/>
  <c r="AO220" i="8"/>
  <c r="AP220" i="8" s="1"/>
  <c r="S220" i="8"/>
  <c r="O220" i="8"/>
  <c r="K220" i="8"/>
  <c r="J220" i="8"/>
  <c r="I220" i="8"/>
  <c r="H220" i="8"/>
  <c r="AQ219" i="8"/>
  <c r="AP219" i="8"/>
  <c r="AO219" i="8"/>
  <c r="S219" i="8"/>
  <c r="O219" i="8"/>
  <c r="R219" i="8" s="1"/>
  <c r="K219" i="8"/>
  <c r="J219" i="8"/>
  <c r="I219" i="8"/>
  <c r="H219" i="8"/>
  <c r="AQ218" i="8"/>
  <c r="AP218" i="8"/>
  <c r="AO218" i="8"/>
  <c r="S218" i="8"/>
  <c r="O218" i="8"/>
  <c r="R218" i="8" s="1"/>
  <c r="K218" i="8"/>
  <c r="J218" i="8"/>
  <c r="I218" i="8"/>
  <c r="H218" i="8"/>
  <c r="AQ217" i="8"/>
  <c r="AO217" i="8"/>
  <c r="AP217" i="8" s="1"/>
  <c r="S217" i="8"/>
  <c r="R217" i="8"/>
  <c r="O217" i="8"/>
  <c r="Q217" i="8" s="1"/>
  <c r="K217" i="8"/>
  <c r="J217" i="8"/>
  <c r="I217" i="8"/>
  <c r="H217" i="8"/>
  <c r="AQ216" i="8"/>
  <c r="AP216" i="8"/>
  <c r="AO216" i="8"/>
  <c r="S216" i="8"/>
  <c r="O216" i="8"/>
  <c r="K216" i="8"/>
  <c r="J216" i="8"/>
  <c r="I216" i="8"/>
  <c r="H216" i="8"/>
  <c r="AQ215" i="8"/>
  <c r="AO215" i="8"/>
  <c r="AP215" i="8" s="1"/>
  <c r="S215" i="8"/>
  <c r="O215" i="8"/>
  <c r="R215" i="8" s="1"/>
  <c r="K215" i="8"/>
  <c r="J215" i="8"/>
  <c r="I215" i="8"/>
  <c r="H215" i="8"/>
  <c r="AQ214" i="8"/>
  <c r="AP214" i="8"/>
  <c r="AO214" i="8"/>
  <c r="S214" i="8"/>
  <c r="R214" i="8"/>
  <c r="Q214" i="8"/>
  <c r="O214" i="8"/>
  <c r="K214" i="8"/>
  <c r="J214" i="8"/>
  <c r="I214" i="8"/>
  <c r="H214" i="8"/>
  <c r="AQ213" i="8"/>
  <c r="AP213" i="8"/>
  <c r="AO213" i="8"/>
  <c r="S213" i="8"/>
  <c r="O213" i="8"/>
  <c r="Q213" i="8" s="1"/>
  <c r="K213" i="8"/>
  <c r="J213" i="8"/>
  <c r="I213" i="8"/>
  <c r="H213" i="8"/>
  <c r="AQ212" i="8"/>
  <c r="AO212" i="8"/>
  <c r="AP212" i="8" s="1"/>
  <c r="S212" i="8"/>
  <c r="O212" i="8"/>
  <c r="K212" i="8"/>
  <c r="J212" i="8"/>
  <c r="I212" i="8"/>
  <c r="H212" i="8"/>
  <c r="AQ211" i="8"/>
  <c r="AP211" i="8"/>
  <c r="AO211" i="8"/>
  <c r="S211" i="8"/>
  <c r="O211" i="8"/>
  <c r="K211" i="8"/>
  <c r="J211" i="8"/>
  <c r="I211" i="8"/>
  <c r="H211" i="8"/>
  <c r="AQ210" i="8"/>
  <c r="AP210" i="8"/>
  <c r="AO210" i="8"/>
  <c r="S210" i="8"/>
  <c r="O210" i="8"/>
  <c r="R210" i="8" s="1"/>
  <c r="K210" i="8"/>
  <c r="J210" i="8"/>
  <c r="I210" i="8"/>
  <c r="H210" i="8"/>
  <c r="AQ209" i="8"/>
  <c r="AP209" i="8"/>
  <c r="AO209" i="8"/>
  <c r="S209" i="8"/>
  <c r="O209" i="8"/>
  <c r="K209" i="8"/>
  <c r="J209" i="8"/>
  <c r="I209" i="8"/>
  <c r="H209" i="8"/>
  <c r="AQ208" i="8"/>
  <c r="AP208" i="8"/>
  <c r="AO208" i="8"/>
  <c r="S208" i="8"/>
  <c r="O208" i="8"/>
  <c r="R208" i="8" s="1"/>
  <c r="K208" i="8"/>
  <c r="J208" i="8"/>
  <c r="I208" i="8"/>
  <c r="H208" i="8"/>
  <c r="AQ207" i="8"/>
  <c r="AP207" i="8"/>
  <c r="AO207" i="8"/>
  <c r="S207" i="8"/>
  <c r="O207" i="8"/>
  <c r="R207" i="8" s="1"/>
  <c r="K207" i="8"/>
  <c r="J207" i="8"/>
  <c r="I207" i="8"/>
  <c r="H207" i="8"/>
  <c r="AQ206" i="8"/>
  <c r="AP206" i="8"/>
  <c r="AO206" i="8"/>
  <c r="S206" i="8"/>
  <c r="O206" i="8"/>
  <c r="Q206" i="8" s="1"/>
  <c r="K206" i="8"/>
  <c r="J206" i="8"/>
  <c r="I206" i="8"/>
  <c r="H206" i="8"/>
  <c r="AQ205" i="8"/>
  <c r="AP205" i="8"/>
  <c r="AO205" i="8"/>
  <c r="S205" i="8"/>
  <c r="O205" i="8"/>
  <c r="R205" i="8" s="1"/>
  <c r="K205" i="8"/>
  <c r="J205" i="8"/>
  <c r="I205" i="8"/>
  <c r="H205" i="8"/>
  <c r="AQ204" i="8"/>
  <c r="AO204" i="8"/>
  <c r="AP204" i="8" s="1"/>
  <c r="S204" i="8"/>
  <c r="O204" i="8"/>
  <c r="R204" i="8" s="1"/>
  <c r="K204" i="8"/>
  <c r="J204" i="8"/>
  <c r="I204" i="8"/>
  <c r="H204" i="8"/>
  <c r="AQ203" i="8"/>
  <c r="AO203" i="8"/>
  <c r="AP203" i="8" s="1"/>
  <c r="S203" i="8"/>
  <c r="O203" i="8"/>
  <c r="K203" i="8"/>
  <c r="J203" i="8"/>
  <c r="I203" i="8"/>
  <c r="H203" i="8"/>
  <c r="AQ202" i="8"/>
  <c r="AP202" i="8"/>
  <c r="AO202" i="8"/>
  <c r="S202" i="8"/>
  <c r="O202" i="8"/>
  <c r="K202" i="8"/>
  <c r="J202" i="8"/>
  <c r="I202" i="8"/>
  <c r="H202" i="8"/>
  <c r="AQ201" i="8"/>
  <c r="AO201" i="8"/>
  <c r="AP201" i="8" s="1"/>
  <c r="S201" i="8"/>
  <c r="O201" i="8"/>
  <c r="K201" i="8"/>
  <c r="J201" i="8"/>
  <c r="I201" i="8"/>
  <c r="H201" i="8"/>
  <c r="AQ200" i="8"/>
  <c r="AO200" i="8"/>
  <c r="AP200" i="8" s="1"/>
  <c r="S200" i="8"/>
  <c r="O200" i="8"/>
  <c r="K200" i="8"/>
  <c r="J200" i="8"/>
  <c r="I200" i="8"/>
  <c r="H200" i="8"/>
  <c r="AQ199" i="8"/>
  <c r="AP199" i="8"/>
  <c r="AO199" i="8"/>
  <c r="S199" i="8"/>
  <c r="O199" i="8"/>
  <c r="K199" i="8"/>
  <c r="J199" i="8"/>
  <c r="I199" i="8"/>
  <c r="H199" i="8"/>
  <c r="AQ198" i="8"/>
  <c r="AO198" i="8"/>
  <c r="AP198" i="8" s="1"/>
  <c r="S198" i="8"/>
  <c r="Q198" i="8"/>
  <c r="O198" i="8"/>
  <c r="R198" i="8" s="1"/>
  <c r="K198" i="8"/>
  <c r="J198" i="8"/>
  <c r="I198" i="8"/>
  <c r="H198" i="8"/>
  <c r="AQ197" i="8"/>
  <c r="AO197" i="8"/>
  <c r="AP197" i="8" s="1"/>
  <c r="S197" i="8"/>
  <c r="O197" i="8"/>
  <c r="K197" i="8"/>
  <c r="J197" i="8"/>
  <c r="I197" i="8"/>
  <c r="H197" i="8"/>
  <c r="AQ196" i="8"/>
  <c r="AO196" i="8"/>
  <c r="AP196" i="8" s="1"/>
  <c r="S196" i="8"/>
  <c r="Q196" i="8"/>
  <c r="O196" i="8"/>
  <c r="R196" i="8" s="1"/>
  <c r="K196" i="8"/>
  <c r="J196" i="8"/>
  <c r="I196" i="8"/>
  <c r="H196" i="8"/>
  <c r="AQ195" i="8"/>
  <c r="AO195" i="8"/>
  <c r="AP195" i="8" s="1"/>
  <c r="S195" i="8"/>
  <c r="O195" i="8"/>
  <c r="K195" i="8"/>
  <c r="J195" i="8"/>
  <c r="I195" i="8"/>
  <c r="H195" i="8"/>
  <c r="AQ194" i="8"/>
  <c r="AP194" i="8"/>
  <c r="AO194" i="8"/>
  <c r="S194" i="8"/>
  <c r="O194" i="8"/>
  <c r="K194" i="8"/>
  <c r="J194" i="8"/>
  <c r="I194" i="8"/>
  <c r="H194" i="8"/>
  <c r="AQ193" i="8"/>
  <c r="AO193" i="8"/>
  <c r="AP193" i="8" s="1"/>
  <c r="S193" i="8"/>
  <c r="O193" i="8"/>
  <c r="K193" i="8"/>
  <c r="J193" i="8"/>
  <c r="I193" i="8"/>
  <c r="H193" i="8"/>
  <c r="AQ192" i="8"/>
  <c r="AO192" i="8"/>
  <c r="AP192" i="8" s="1"/>
  <c r="S192" i="8"/>
  <c r="O192" i="8"/>
  <c r="R192" i="8" s="1"/>
  <c r="K192" i="8"/>
  <c r="J192" i="8"/>
  <c r="I192" i="8"/>
  <c r="H192" i="8"/>
  <c r="AQ191" i="8"/>
  <c r="AP191" i="8"/>
  <c r="AO191" i="8"/>
  <c r="S191" i="8"/>
  <c r="O191" i="8"/>
  <c r="R191" i="8" s="1"/>
  <c r="K191" i="8"/>
  <c r="J191" i="8"/>
  <c r="I191" i="8"/>
  <c r="H191" i="8"/>
  <c r="AQ190" i="8"/>
  <c r="AP190" i="8"/>
  <c r="AO190" i="8"/>
  <c r="S190" i="8"/>
  <c r="Q190" i="8"/>
  <c r="O190" i="8"/>
  <c r="R190" i="8" s="1"/>
  <c r="K190" i="8"/>
  <c r="J190" i="8"/>
  <c r="I190" i="8"/>
  <c r="H190" i="8"/>
  <c r="AQ189" i="8"/>
  <c r="AO189" i="8"/>
  <c r="AP189" i="8" s="1"/>
  <c r="S189" i="8"/>
  <c r="O189" i="8"/>
  <c r="Q189" i="8" s="1"/>
  <c r="K189" i="8"/>
  <c r="J189" i="8"/>
  <c r="I189" i="8"/>
  <c r="H189" i="8"/>
  <c r="AQ188" i="8"/>
  <c r="AP188" i="8"/>
  <c r="AO188" i="8"/>
  <c r="S188" i="8"/>
  <c r="O188" i="8"/>
  <c r="Q188" i="8" s="1"/>
  <c r="K188" i="8"/>
  <c r="J188" i="8"/>
  <c r="I188" i="8"/>
  <c r="H188" i="8"/>
  <c r="AQ187" i="8"/>
  <c r="AO187" i="8"/>
  <c r="AP187" i="8" s="1"/>
  <c r="S187" i="8"/>
  <c r="O187" i="8"/>
  <c r="K187" i="8"/>
  <c r="J187" i="8"/>
  <c r="I187" i="8"/>
  <c r="H187" i="8"/>
  <c r="AQ186" i="8"/>
  <c r="AP186" i="8"/>
  <c r="AO186" i="8"/>
  <c r="S186" i="8"/>
  <c r="O186" i="8"/>
  <c r="Q186" i="8" s="1"/>
  <c r="K186" i="8"/>
  <c r="J186" i="8"/>
  <c r="I186" i="8"/>
  <c r="H186" i="8"/>
  <c r="AQ185" i="8"/>
  <c r="AP185" i="8"/>
  <c r="AO185" i="8"/>
  <c r="S185" i="8"/>
  <c r="R185" i="8"/>
  <c r="O185" i="8"/>
  <c r="Q185" i="8" s="1"/>
  <c r="K185" i="8"/>
  <c r="J185" i="8"/>
  <c r="I185" i="8"/>
  <c r="H185" i="8"/>
  <c r="AQ184" i="8"/>
  <c r="AP184" i="8"/>
  <c r="AO184" i="8"/>
  <c r="S184" i="8"/>
  <c r="O184" i="8"/>
  <c r="R184" i="8" s="1"/>
  <c r="K184" i="8"/>
  <c r="J184" i="8"/>
  <c r="I184" i="8"/>
  <c r="H184" i="8"/>
  <c r="AQ183" i="8"/>
  <c r="AO183" i="8"/>
  <c r="AP183" i="8" s="1"/>
  <c r="S183" i="8"/>
  <c r="O183" i="8"/>
  <c r="R183" i="8" s="1"/>
  <c r="K183" i="8"/>
  <c r="J183" i="8"/>
  <c r="I183" i="8"/>
  <c r="H183" i="8"/>
  <c r="AQ182" i="8"/>
  <c r="AP182" i="8"/>
  <c r="AO182" i="8"/>
  <c r="S182" i="8"/>
  <c r="R182" i="8"/>
  <c r="Q182" i="8"/>
  <c r="O182" i="8"/>
  <c r="K182" i="8"/>
  <c r="J182" i="8"/>
  <c r="I182" i="8"/>
  <c r="H182" i="8"/>
  <c r="AQ181" i="8"/>
  <c r="AP181" i="8"/>
  <c r="AO181" i="8"/>
  <c r="S181" i="8"/>
  <c r="O181" i="8"/>
  <c r="R181" i="8" s="1"/>
  <c r="K181" i="8"/>
  <c r="J181" i="8"/>
  <c r="I181" i="8"/>
  <c r="H181" i="8"/>
  <c r="AQ180" i="8"/>
  <c r="AP180" i="8"/>
  <c r="AO180" i="8"/>
  <c r="S180" i="8"/>
  <c r="O180" i="8"/>
  <c r="Q180" i="8" s="1"/>
  <c r="K180" i="8"/>
  <c r="J180" i="8"/>
  <c r="I180" i="8"/>
  <c r="H180" i="8"/>
  <c r="AQ179" i="8"/>
  <c r="AO179" i="8"/>
  <c r="AP179" i="8" s="1"/>
  <c r="S179" i="8"/>
  <c r="O179" i="8"/>
  <c r="Q179" i="8" s="1"/>
  <c r="K179" i="8"/>
  <c r="J179" i="8"/>
  <c r="I179" i="8"/>
  <c r="H179" i="8"/>
  <c r="AQ178" i="8"/>
  <c r="AP178" i="8"/>
  <c r="AO178" i="8"/>
  <c r="S178" i="8"/>
  <c r="O178" i="8"/>
  <c r="R178" i="8" s="1"/>
  <c r="K178" i="8"/>
  <c r="J178" i="8"/>
  <c r="I178" i="8"/>
  <c r="H178" i="8"/>
  <c r="AQ177" i="8"/>
  <c r="AO177" i="8"/>
  <c r="AP177" i="8" s="1"/>
  <c r="S177" i="8"/>
  <c r="O177" i="8"/>
  <c r="K177" i="8"/>
  <c r="J177" i="8"/>
  <c r="I177" i="8"/>
  <c r="H177" i="8"/>
  <c r="AQ176" i="8"/>
  <c r="AP176" i="8"/>
  <c r="AO176" i="8"/>
  <c r="S176" i="8"/>
  <c r="O176" i="8"/>
  <c r="K176" i="8"/>
  <c r="J176" i="8"/>
  <c r="I176" i="8"/>
  <c r="H176" i="8"/>
  <c r="AQ175" i="8"/>
  <c r="AP175" i="8"/>
  <c r="AO175" i="8"/>
  <c r="S175" i="8"/>
  <c r="O175" i="8"/>
  <c r="K175" i="8"/>
  <c r="J175" i="8"/>
  <c r="I175" i="8"/>
  <c r="H175" i="8"/>
  <c r="AQ174" i="8"/>
  <c r="AO174" i="8"/>
  <c r="AP174" i="8" s="1"/>
  <c r="S174" i="8"/>
  <c r="O174" i="8"/>
  <c r="Q174" i="8" s="1"/>
  <c r="K174" i="8"/>
  <c r="J174" i="8"/>
  <c r="I174" i="8"/>
  <c r="H174" i="8"/>
  <c r="AQ173" i="8"/>
  <c r="AO173" i="8"/>
  <c r="AP173" i="8" s="1"/>
  <c r="S173" i="8"/>
  <c r="O173" i="8"/>
  <c r="K173" i="8"/>
  <c r="J173" i="8"/>
  <c r="I173" i="8"/>
  <c r="H173" i="8"/>
  <c r="AQ172" i="8"/>
  <c r="AP172" i="8"/>
  <c r="AO172" i="8"/>
  <c r="S172" i="8"/>
  <c r="Q172" i="8"/>
  <c r="O172" i="8"/>
  <c r="R172" i="8" s="1"/>
  <c r="K172" i="8"/>
  <c r="J172" i="8"/>
  <c r="I172" i="8"/>
  <c r="H172" i="8"/>
  <c r="AQ171" i="8"/>
  <c r="AP171" i="8"/>
  <c r="AO171" i="8"/>
  <c r="S171" i="8"/>
  <c r="Q171" i="8"/>
  <c r="O171" i="8"/>
  <c r="R171" i="8" s="1"/>
  <c r="K171" i="8"/>
  <c r="J171" i="8"/>
  <c r="I171" i="8"/>
  <c r="H171" i="8"/>
  <c r="AQ170" i="8"/>
  <c r="AP170" i="8"/>
  <c r="AO170" i="8"/>
  <c r="S170" i="8"/>
  <c r="O170" i="8"/>
  <c r="R170" i="8" s="1"/>
  <c r="K170" i="8"/>
  <c r="J170" i="8"/>
  <c r="I170" i="8"/>
  <c r="H170" i="8"/>
  <c r="AQ169" i="8"/>
  <c r="AP169" i="8"/>
  <c r="AO169" i="8"/>
  <c r="S169" i="8"/>
  <c r="O169" i="8"/>
  <c r="R169" i="8" s="1"/>
  <c r="K169" i="8"/>
  <c r="J169" i="8"/>
  <c r="I169" i="8"/>
  <c r="H169" i="8"/>
  <c r="AQ168" i="8"/>
  <c r="AP168" i="8"/>
  <c r="AO168" i="8"/>
  <c r="S168" i="8"/>
  <c r="O168" i="8"/>
  <c r="R168" i="8" s="1"/>
  <c r="K168" i="8"/>
  <c r="J168" i="8"/>
  <c r="I168" i="8"/>
  <c r="H168" i="8"/>
  <c r="AQ167" i="8"/>
  <c r="AP167" i="8"/>
  <c r="AO167" i="8"/>
  <c r="S167" i="8"/>
  <c r="O167" i="8"/>
  <c r="K167" i="8"/>
  <c r="J167" i="8"/>
  <c r="I167" i="8"/>
  <c r="H167" i="8"/>
  <c r="AQ166" i="8"/>
  <c r="AP166" i="8"/>
  <c r="AO166" i="8"/>
  <c r="S166" i="8"/>
  <c r="O166" i="8"/>
  <c r="K166" i="8"/>
  <c r="J166" i="8"/>
  <c r="I166" i="8"/>
  <c r="H166" i="8"/>
  <c r="AQ165" i="8"/>
  <c r="AO165" i="8"/>
  <c r="AP165" i="8" s="1"/>
  <c r="S165" i="8"/>
  <c r="O165" i="8"/>
  <c r="K165" i="8"/>
  <c r="J165" i="8"/>
  <c r="I165" i="8"/>
  <c r="H165" i="8"/>
  <c r="AQ164" i="8"/>
  <c r="AP164" i="8"/>
  <c r="AO164" i="8"/>
  <c r="S164" i="8"/>
  <c r="O164" i="8"/>
  <c r="K164" i="8"/>
  <c r="J164" i="8"/>
  <c r="I164" i="8"/>
  <c r="H164" i="8"/>
  <c r="AQ163" i="8"/>
  <c r="AO163" i="8"/>
  <c r="AP163" i="8" s="1"/>
  <c r="S163" i="8"/>
  <c r="O163" i="8"/>
  <c r="K163" i="8"/>
  <c r="J163" i="8"/>
  <c r="I163" i="8"/>
  <c r="H163" i="8"/>
  <c r="AQ162" i="8"/>
  <c r="AO162" i="8"/>
  <c r="AP162" i="8" s="1"/>
  <c r="S162" i="8"/>
  <c r="O162" i="8"/>
  <c r="K162" i="8"/>
  <c r="J162" i="8"/>
  <c r="I162" i="8"/>
  <c r="H162" i="8"/>
  <c r="AQ161" i="8"/>
  <c r="AP161" i="8"/>
  <c r="AO161" i="8"/>
  <c r="S161" i="8"/>
  <c r="O161" i="8"/>
  <c r="K161" i="8"/>
  <c r="J161" i="8"/>
  <c r="I161" i="8"/>
  <c r="H161" i="8"/>
  <c r="AQ160" i="8"/>
  <c r="AP160" i="8"/>
  <c r="AO160" i="8"/>
  <c r="S160" i="8"/>
  <c r="O160" i="8"/>
  <c r="R160" i="8" s="1"/>
  <c r="K160" i="8"/>
  <c r="J160" i="8"/>
  <c r="I160" i="8"/>
  <c r="H160" i="8"/>
  <c r="AQ159" i="8"/>
  <c r="AO159" i="8"/>
  <c r="AP159" i="8" s="1"/>
  <c r="S159" i="8"/>
  <c r="Q159" i="8"/>
  <c r="O159" i="8"/>
  <c r="R159" i="8" s="1"/>
  <c r="K159" i="8"/>
  <c r="J159" i="8"/>
  <c r="I159" i="8"/>
  <c r="H159" i="8"/>
  <c r="AQ158" i="8"/>
  <c r="AP158" i="8"/>
  <c r="AO158" i="8"/>
  <c r="S158" i="8"/>
  <c r="O158" i="8"/>
  <c r="K158" i="8"/>
  <c r="J158" i="8"/>
  <c r="I158" i="8"/>
  <c r="H158" i="8"/>
  <c r="AQ157" i="8"/>
  <c r="AO157" i="8"/>
  <c r="AP157" i="8" s="1"/>
  <c r="S157" i="8"/>
  <c r="O157" i="8"/>
  <c r="K157" i="8"/>
  <c r="J157" i="8"/>
  <c r="I157" i="8"/>
  <c r="H157" i="8"/>
  <c r="AQ156" i="8"/>
  <c r="AP156" i="8"/>
  <c r="AO156" i="8"/>
  <c r="S156" i="8"/>
  <c r="O156" i="8"/>
  <c r="R156" i="8" s="1"/>
  <c r="K156" i="8"/>
  <c r="J156" i="8"/>
  <c r="I156" i="8"/>
  <c r="H156" i="8"/>
  <c r="AQ155" i="8"/>
  <c r="AP155" i="8"/>
  <c r="AO155" i="8"/>
  <c r="S155" i="8"/>
  <c r="O155" i="8"/>
  <c r="K155" i="8"/>
  <c r="J155" i="8"/>
  <c r="I155" i="8"/>
  <c r="H155" i="8"/>
  <c r="AQ154" i="8"/>
  <c r="AO154" i="8"/>
  <c r="AP154" i="8" s="1"/>
  <c r="S154" i="8"/>
  <c r="O154" i="8"/>
  <c r="K154" i="8"/>
  <c r="J154" i="8"/>
  <c r="I154" i="8"/>
  <c r="H154" i="8"/>
  <c r="AQ153" i="8"/>
  <c r="AO153" i="8"/>
  <c r="AP153" i="8" s="1"/>
  <c r="S153" i="8"/>
  <c r="O153" i="8"/>
  <c r="R153" i="8" s="1"/>
  <c r="K153" i="8"/>
  <c r="J153" i="8"/>
  <c r="I153" i="8"/>
  <c r="H153" i="8"/>
  <c r="AQ152" i="8"/>
  <c r="AP152" i="8"/>
  <c r="AO152" i="8"/>
  <c r="S152" i="8"/>
  <c r="O152" i="8"/>
  <c r="Q152" i="8" s="1"/>
  <c r="K152" i="8"/>
  <c r="J152" i="8"/>
  <c r="I152" i="8"/>
  <c r="H152" i="8"/>
  <c r="AQ151" i="8"/>
  <c r="AP151" i="8"/>
  <c r="AO151" i="8"/>
  <c r="S151" i="8"/>
  <c r="O151" i="8"/>
  <c r="Q151" i="8" s="1"/>
  <c r="K151" i="8"/>
  <c r="J151" i="8"/>
  <c r="I151" i="8"/>
  <c r="H151" i="8"/>
  <c r="AQ150" i="8"/>
  <c r="AO150" i="8"/>
  <c r="AP150" i="8" s="1"/>
  <c r="S150" i="8"/>
  <c r="O150" i="8"/>
  <c r="R150" i="8" s="1"/>
  <c r="K150" i="8"/>
  <c r="J150" i="8"/>
  <c r="I150" i="8"/>
  <c r="H150" i="8"/>
  <c r="AQ149" i="8"/>
  <c r="AP149" i="8"/>
  <c r="AO149" i="8"/>
  <c r="S149" i="8"/>
  <c r="O149" i="8"/>
  <c r="K149" i="8"/>
  <c r="J149" i="8"/>
  <c r="I149" i="8"/>
  <c r="H149" i="8"/>
  <c r="AQ148" i="8"/>
  <c r="AO148" i="8"/>
  <c r="AP148" i="8" s="1"/>
  <c r="S148" i="8"/>
  <c r="O148" i="8"/>
  <c r="R148" i="8" s="1"/>
  <c r="K148" i="8"/>
  <c r="J148" i="8"/>
  <c r="I148" i="8"/>
  <c r="H148" i="8"/>
  <c r="AQ147" i="8"/>
  <c r="AO147" i="8"/>
  <c r="AP147" i="8" s="1"/>
  <c r="S147" i="8"/>
  <c r="O147" i="8"/>
  <c r="R147" i="8" s="1"/>
  <c r="K147" i="8"/>
  <c r="J147" i="8"/>
  <c r="I147" i="8"/>
  <c r="H147" i="8"/>
  <c r="AQ146" i="8"/>
  <c r="AP146" i="8"/>
  <c r="AO146" i="8"/>
  <c r="S146" i="8"/>
  <c r="O146" i="8"/>
  <c r="R146" i="8" s="1"/>
  <c r="K146" i="8"/>
  <c r="J146" i="8"/>
  <c r="I146" i="8"/>
  <c r="H146" i="8"/>
  <c r="AQ145" i="8"/>
  <c r="AP145" i="8"/>
  <c r="AO145" i="8"/>
  <c r="S145" i="8"/>
  <c r="O145" i="8"/>
  <c r="K145" i="8"/>
  <c r="J145" i="8"/>
  <c r="I145" i="8"/>
  <c r="H145" i="8"/>
  <c r="AQ144" i="8"/>
  <c r="AO144" i="8"/>
  <c r="AP144" i="8" s="1"/>
  <c r="S144" i="8"/>
  <c r="Q144" i="8"/>
  <c r="O144" i="8"/>
  <c r="R144" i="8" s="1"/>
  <c r="K144" i="8"/>
  <c r="J144" i="8"/>
  <c r="I144" i="8"/>
  <c r="H144" i="8"/>
  <c r="AQ143" i="8"/>
  <c r="AO143" i="8"/>
  <c r="AP143" i="8" s="1"/>
  <c r="S143" i="8"/>
  <c r="O143" i="8"/>
  <c r="K143" i="8"/>
  <c r="J143" i="8"/>
  <c r="I143" i="8"/>
  <c r="H143" i="8"/>
  <c r="AQ142" i="8"/>
  <c r="AP142" i="8"/>
  <c r="AO142" i="8"/>
  <c r="S142" i="8"/>
  <c r="O142" i="8"/>
  <c r="K142" i="8"/>
  <c r="J142" i="8"/>
  <c r="I142" i="8"/>
  <c r="H142" i="8"/>
  <c r="AQ141" i="8"/>
  <c r="AO141" i="8"/>
  <c r="AP141" i="8" s="1"/>
  <c r="S141" i="8"/>
  <c r="O141" i="8"/>
  <c r="K141" i="8"/>
  <c r="J141" i="8"/>
  <c r="I141" i="8"/>
  <c r="H141" i="8"/>
  <c r="AQ140" i="8"/>
  <c r="AP140" i="8"/>
  <c r="AO140" i="8"/>
  <c r="S140" i="8"/>
  <c r="O140" i="8"/>
  <c r="K140" i="8"/>
  <c r="J140" i="8"/>
  <c r="I140" i="8"/>
  <c r="H140" i="8"/>
  <c r="AQ139" i="8"/>
  <c r="AP139" i="8"/>
  <c r="AO139" i="8"/>
  <c r="S139" i="8"/>
  <c r="O139" i="8"/>
  <c r="R139" i="8" s="1"/>
  <c r="K139" i="8"/>
  <c r="J139" i="8"/>
  <c r="I139" i="8"/>
  <c r="H139" i="8"/>
  <c r="AQ138" i="8"/>
  <c r="AO138" i="8"/>
  <c r="AP138" i="8" s="1"/>
  <c r="S138" i="8"/>
  <c r="O138" i="8"/>
  <c r="K138" i="8"/>
  <c r="J138" i="8"/>
  <c r="I138" i="8"/>
  <c r="H138" i="8"/>
  <c r="AQ137" i="8"/>
  <c r="AP137" i="8"/>
  <c r="AO137" i="8"/>
  <c r="S137" i="8"/>
  <c r="O137" i="8"/>
  <c r="K137" i="8"/>
  <c r="J137" i="8"/>
  <c r="I137" i="8"/>
  <c r="H137" i="8"/>
  <c r="AQ136" i="8"/>
  <c r="AP136" i="8"/>
  <c r="AO136" i="8"/>
  <c r="S136" i="8"/>
  <c r="O136" i="8"/>
  <c r="K136" i="8"/>
  <c r="J136" i="8"/>
  <c r="I136" i="8"/>
  <c r="H136" i="8"/>
  <c r="AQ135" i="8"/>
  <c r="AO135" i="8"/>
  <c r="AP135" i="8" s="1"/>
  <c r="S135" i="8"/>
  <c r="O135" i="8"/>
  <c r="K135" i="8"/>
  <c r="J135" i="8"/>
  <c r="I135" i="8"/>
  <c r="H135" i="8"/>
  <c r="AQ134" i="8"/>
  <c r="AP134" i="8"/>
  <c r="AO134" i="8"/>
  <c r="S134" i="8"/>
  <c r="O134" i="8"/>
  <c r="R134" i="8" s="1"/>
  <c r="K134" i="8"/>
  <c r="J134" i="8"/>
  <c r="I134" i="8"/>
  <c r="H134" i="8"/>
  <c r="AQ133" i="8"/>
  <c r="AP133" i="8"/>
  <c r="AO133" i="8"/>
  <c r="S133" i="8"/>
  <c r="O133" i="8"/>
  <c r="K133" i="8"/>
  <c r="J133" i="8"/>
  <c r="I133" i="8"/>
  <c r="H133" i="8"/>
  <c r="AQ132" i="8"/>
  <c r="AP132" i="8"/>
  <c r="AO132" i="8"/>
  <c r="S132" i="8"/>
  <c r="O132" i="8"/>
  <c r="K132" i="8"/>
  <c r="J132" i="8"/>
  <c r="I132" i="8"/>
  <c r="H132" i="8"/>
  <c r="AQ131" i="8"/>
  <c r="AP131" i="8"/>
  <c r="AO131" i="8"/>
  <c r="S131" i="8"/>
  <c r="Q131" i="8"/>
  <c r="O131" i="8"/>
  <c r="R131" i="8" s="1"/>
  <c r="K131" i="8"/>
  <c r="J131" i="8"/>
  <c r="I131" i="8"/>
  <c r="H131" i="8"/>
  <c r="AQ130" i="8"/>
  <c r="AP130" i="8"/>
  <c r="AO130" i="8"/>
  <c r="S130" i="8"/>
  <c r="O130" i="8"/>
  <c r="K130" i="8"/>
  <c r="J130" i="8"/>
  <c r="I130" i="8"/>
  <c r="H130" i="8"/>
  <c r="AQ129" i="8"/>
  <c r="AO129" i="8"/>
  <c r="AP129" i="8" s="1"/>
  <c r="S129" i="8"/>
  <c r="O129" i="8"/>
  <c r="K129" i="8"/>
  <c r="J129" i="8"/>
  <c r="I129" i="8"/>
  <c r="H129" i="8"/>
  <c r="AQ128" i="8"/>
  <c r="AP128" i="8"/>
  <c r="AO128" i="8"/>
  <c r="S128" i="8"/>
  <c r="R128" i="8"/>
  <c r="O128" i="8"/>
  <c r="Q128" i="8" s="1"/>
  <c r="K128" i="8"/>
  <c r="J128" i="8"/>
  <c r="I128" i="8"/>
  <c r="H128" i="8"/>
  <c r="AQ127" i="8"/>
  <c r="AO127" i="8"/>
  <c r="AP127" i="8" s="1"/>
  <c r="S127" i="8"/>
  <c r="R127" i="8"/>
  <c r="O127" i="8"/>
  <c r="Q127" i="8" s="1"/>
  <c r="K127" i="8"/>
  <c r="J127" i="8"/>
  <c r="I127" i="8"/>
  <c r="H127" i="8"/>
  <c r="AQ126" i="8"/>
  <c r="AP126" i="8"/>
  <c r="AO126" i="8"/>
  <c r="S126" i="8"/>
  <c r="Q126" i="8"/>
  <c r="O126" i="8"/>
  <c r="R126" i="8" s="1"/>
  <c r="K126" i="8"/>
  <c r="J126" i="8"/>
  <c r="I126" i="8"/>
  <c r="H126" i="8"/>
  <c r="AQ125" i="8"/>
  <c r="AP125" i="8"/>
  <c r="AO125" i="8"/>
  <c r="S125" i="8"/>
  <c r="O125" i="8"/>
  <c r="K125" i="8"/>
  <c r="J125" i="8"/>
  <c r="I125" i="8"/>
  <c r="H125" i="8"/>
  <c r="AQ124" i="8"/>
  <c r="AP124" i="8"/>
  <c r="AO124" i="8"/>
  <c r="S124" i="8"/>
  <c r="O124" i="8"/>
  <c r="K124" i="8"/>
  <c r="J124" i="8"/>
  <c r="I124" i="8"/>
  <c r="H124" i="8"/>
  <c r="AQ123" i="8"/>
  <c r="AP123" i="8"/>
  <c r="AO123" i="8"/>
  <c r="S123" i="8"/>
  <c r="O123" i="8"/>
  <c r="K123" i="8"/>
  <c r="J123" i="8"/>
  <c r="I123" i="8"/>
  <c r="H123" i="8"/>
  <c r="AQ122" i="8"/>
  <c r="AP122" i="8"/>
  <c r="AO122" i="8"/>
  <c r="S122" i="8"/>
  <c r="O122" i="8"/>
  <c r="K122" i="8"/>
  <c r="J122" i="8"/>
  <c r="I122" i="8"/>
  <c r="H122" i="8"/>
  <c r="AQ121" i="8"/>
  <c r="AP121" i="8"/>
  <c r="AO121" i="8"/>
  <c r="S121" i="8"/>
  <c r="O121" i="8"/>
  <c r="R121" i="8" s="1"/>
  <c r="K121" i="8"/>
  <c r="J121" i="8"/>
  <c r="I121" i="8"/>
  <c r="H121" i="8"/>
  <c r="AQ120" i="8"/>
  <c r="AO120" i="8"/>
  <c r="AP120" i="8" s="1"/>
  <c r="S120" i="8"/>
  <c r="O120" i="8"/>
  <c r="K120" i="8"/>
  <c r="J120" i="8"/>
  <c r="I120" i="8"/>
  <c r="H120" i="8"/>
  <c r="AQ119" i="8"/>
  <c r="AP119" i="8"/>
  <c r="AO119" i="8"/>
  <c r="S119" i="8"/>
  <c r="O119" i="8"/>
  <c r="Q119" i="8" s="1"/>
  <c r="K119" i="8"/>
  <c r="J119" i="8"/>
  <c r="I119" i="8"/>
  <c r="H119" i="8"/>
  <c r="AQ118" i="8"/>
  <c r="AO118" i="8"/>
  <c r="AP118" i="8" s="1"/>
  <c r="S118" i="8"/>
  <c r="O118" i="8"/>
  <c r="K118" i="8"/>
  <c r="J118" i="8"/>
  <c r="I118" i="8"/>
  <c r="H118" i="8"/>
  <c r="AQ117" i="8"/>
  <c r="AO117" i="8"/>
  <c r="AP117" i="8" s="1"/>
  <c r="S117" i="8"/>
  <c r="O117" i="8"/>
  <c r="K117" i="8"/>
  <c r="J117" i="8"/>
  <c r="I117" i="8"/>
  <c r="H117" i="8"/>
  <c r="AQ116" i="8"/>
  <c r="AP116" i="8"/>
  <c r="AO116" i="8"/>
  <c r="S116" i="8"/>
  <c r="O116" i="8"/>
  <c r="Q116" i="8" s="1"/>
  <c r="K116" i="8"/>
  <c r="J116" i="8"/>
  <c r="I116" i="8"/>
  <c r="H116" i="8"/>
  <c r="AQ115" i="8"/>
  <c r="AP115" i="8"/>
  <c r="AO115" i="8"/>
  <c r="S115" i="8"/>
  <c r="O115" i="8"/>
  <c r="K115" i="8"/>
  <c r="J115" i="8"/>
  <c r="I115" i="8"/>
  <c r="H115" i="8"/>
  <c r="AQ114" i="8"/>
  <c r="AP114" i="8"/>
  <c r="AO114" i="8"/>
  <c r="S114" i="8"/>
  <c r="O114" i="8"/>
  <c r="R114" i="8" s="1"/>
  <c r="K114" i="8"/>
  <c r="J114" i="8"/>
  <c r="I114" i="8"/>
  <c r="H114" i="8"/>
  <c r="AQ113" i="8"/>
  <c r="AP113" i="8"/>
  <c r="AO113" i="8"/>
  <c r="S113" i="8"/>
  <c r="O113" i="8"/>
  <c r="K113" i="8"/>
  <c r="J113" i="8"/>
  <c r="I113" i="8"/>
  <c r="H113" i="8"/>
  <c r="AQ112" i="8"/>
  <c r="AP112" i="8"/>
  <c r="AO112" i="8"/>
  <c r="S112" i="8"/>
  <c r="O112" i="8"/>
  <c r="K112" i="8"/>
  <c r="J112" i="8"/>
  <c r="I112" i="8"/>
  <c r="H112" i="8"/>
  <c r="AQ111" i="8"/>
  <c r="AO111" i="8"/>
  <c r="AP111" i="8" s="1"/>
  <c r="S111" i="8"/>
  <c r="O111" i="8"/>
  <c r="K111" i="8"/>
  <c r="J111" i="8"/>
  <c r="I111" i="8"/>
  <c r="H111" i="8"/>
  <c r="AQ110" i="8"/>
  <c r="AP110" i="8"/>
  <c r="AO110" i="8"/>
  <c r="S110" i="8"/>
  <c r="O110" i="8"/>
  <c r="K110" i="8"/>
  <c r="J110" i="8"/>
  <c r="I110" i="8"/>
  <c r="H110" i="8"/>
  <c r="AQ109" i="8"/>
  <c r="AP109" i="8"/>
  <c r="AO109" i="8"/>
  <c r="S109" i="8"/>
  <c r="R109" i="8"/>
  <c r="Q109" i="8"/>
  <c r="O109" i="8"/>
  <c r="K109" i="8"/>
  <c r="J109" i="8"/>
  <c r="I109" i="8"/>
  <c r="H109" i="8"/>
  <c r="AQ108" i="8"/>
  <c r="AP108" i="8"/>
  <c r="AO108" i="8"/>
  <c r="S108" i="8"/>
  <c r="O108" i="8"/>
  <c r="K108" i="8"/>
  <c r="J108" i="8"/>
  <c r="I108" i="8"/>
  <c r="H108" i="8"/>
  <c r="AN107" i="8"/>
  <c r="AQ107" i="8" s="1"/>
  <c r="S107" i="8"/>
  <c r="O107" i="8"/>
  <c r="R107" i="8" s="1"/>
  <c r="K107" i="8"/>
  <c r="J107" i="8"/>
  <c r="I107" i="8"/>
  <c r="H107" i="8"/>
  <c r="AN106" i="8"/>
  <c r="AQ106" i="8" s="1"/>
  <c r="S106" i="8"/>
  <c r="O106" i="8"/>
  <c r="K106" i="8"/>
  <c r="J106" i="8"/>
  <c r="I106" i="8"/>
  <c r="H106" i="8"/>
  <c r="AQ105" i="8"/>
  <c r="AN105" i="8"/>
  <c r="AO105" i="8" s="1"/>
  <c r="AP105" i="8" s="1"/>
  <c r="S105" i="8"/>
  <c r="O105" i="8"/>
  <c r="R105" i="8" s="1"/>
  <c r="K105" i="8"/>
  <c r="J105" i="8"/>
  <c r="I105" i="8"/>
  <c r="H105" i="8"/>
  <c r="AN104" i="8"/>
  <c r="S104" i="8"/>
  <c r="Q104" i="8"/>
  <c r="O104" i="8"/>
  <c r="R104" i="8" s="1"/>
  <c r="K104" i="8"/>
  <c r="J104" i="8"/>
  <c r="I104" i="8"/>
  <c r="H104" i="8"/>
  <c r="AN103" i="8"/>
  <c r="AQ103" i="8" s="1"/>
  <c r="S103" i="8"/>
  <c r="Q103" i="8"/>
  <c r="O103" i="8"/>
  <c r="R103" i="8" s="1"/>
  <c r="K103" i="8"/>
  <c r="J103" i="8"/>
  <c r="I103" i="8"/>
  <c r="H103" i="8"/>
  <c r="AN102" i="8"/>
  <c r="S102" i="8"/>
  <c r="O102" i="8"/>
  <c r="R102" i="8" s="1"/>
  <c r="K102" i="8"/>
  <c r="J102" i="8"/>
  <c r="I102" i="8"/>
  <c r="H102" i="8"/>
  <c r="AN101" i="8"/>
  <c r="AQ101" i="8" s="1"/>
  <c r="S101" i="8"/>
  <c r="O101" i="8"/>
  <c r="K101" i="8"/>
  <c r="J101" i="8"/>
  <c r="I101" i="8"/>
  <c r="H101" i="8"/>
  <c r="AQ100" i="8"/>
  <c r="AO100" i="8"/>
  <c r="AP100" i="8" s="1"/>
  <c r="AN100" i="8"/>
  <c r="S100" i="8"/>
  <c r="O100" i="8"/>
  <c r="K100" i="8"/>
  <c r="J100" i="8"/>
  <c r="I100" i="8"/>
  <c r="H100" i="8"/>
  <c r="AO99" i="8"/>
  <c r="AP99" i="8" s="1"/>
  <c r="AN99" i="8"/>
  <c r="AQ99" i="8" s="1"/>
  <c r="S99" i="8"/>
  <c r="O99" i="8"/>
  <c r="K99" i="8"/>
  <c r="J99" i="8"/>
  <c r="I99" i="8"/>
  <c r="H99" i="8"/>
  <c r="AO98" i="8"/>
  <c r="AP98" i="8" s="1"/>
  <c r="AN98" i="8"/>
  <c r="AQ98" i="8" s="1"/>
  <c r="S98" i="8"/>
  <c r="O98" i="8"/>
  <c r="Q98" i="8" s="1"/>
  <c r="K98" i="8"/>
  <c r="J98" i="8"/>
  <c r="I98" i="8"/>
  <c r="H98" i="8"/>
  <c r="AN97" i="8"/>
  <c r="S97" i="8"/>
  <c r="O97" i="8"/>
  <c r="R97" i="8" s="1"/>
  <c r="K97" i="8"/>
  <c r="J97" i="8"/>
  <c r="I97" i="8"/>
  <c r="H97" i="8"/>
  <c r="AN96" i="8"/>
  <c r="AQ96" i="8" s="1"/>
  <c r="S96" i="8"/>
  <c r="O96" i="8"/>
  <c r="R96" i="8" s="1"/>
  <c r="K96" i="8"/>
  <c r="J96" i="8"/>
  <c r="I96" i="8"/>
  <c r="H96" i="8"/>
  <c r="AN95" i="8"/>
  <c r="S95" i="8"/>
  <c r="O95" i="8"/>
  <c r="K95" i="8"/>
  <c r="J95" i="8"/>
  <c r="I95" i="8"/>
  <c r="H95" i="8"/>
  <c r="AQ94" i="8"/>
  <c r="AN94" i="8"/>
  <c r="AO94" i="8" s="1"/>
  <c r="AP94" i="8" s="1"/>
  <c r="S94" i="8"/>
  <c r="O94" i="8"/>
  <c r="Q94" i="8" s="1"/>
  <c r="K94" i="8"/>
  <c r="J94" i="8"/>
  <c r="I94" i="8"/>
  <c r="H94" i="8"/>
  <c r="AQ93" i="8"/>
  <c r="AN93" i="8"/>
  <c r="AO93" i="8" s="1"/>
  <c r="AP93" i="8" s="1"/>
  <c r="S93" i="8"/>
  <c r="O93" i="8"/>
  <c r="Q93" i="8" s="1"/>
  <c r="K93" i="8"/>
  <c r="J93" i="8"/>
  <c r="I93" i="8"/>
  <c r="H93" i="8"/>
  <c r="AN92" i="8"/>
  <c r="AQ92" i="8" s="1"/>
  <c r="S92" i="8"/>
  <c r="Q92" i="8"/>
  <c r="O92" i="8"/>
  <c r="R92" i="8" s="1"/>
  <c r="K92" i="8"/>
  <c r="J92" i="8"/>
  <c r="I92" i="8"/>
  <c r="H92" i="8"/>
  <c r="AN91" i="8"/>
  <c r="S91" i="8"/>
  <c r="O91" i="8"/>
  <c r="Q91" i="8" s="1"/>
  <c r="K91" i="8"/>
  <c r="J91" i="8"/>
  <c r="I91" i="8"/>
  <c r="H91" i="8"/>
  <c r="AN90" i="8"/>
  <c r="S90" i="8"/>
  <c r="O90" i="8"/>
  <c r="K90" i="8"/>
  <c r="J90" i="8"/>
  <c r="I90" i="8"/>
  <c r="H90" i="8"/>
  <c r="AN89" i="8"/>
  <c r="AQ89" i="8" s="1"/>
  <c r="S89" i="8"/>
  <c r="O89" i="8"/>
  <c r="R89" i="8" s="1"/>
  <c r="K89" i="8"/>
  <c r="J89" i="8"/>
  <c r="I89" i="8"/>
  <c r="H89" i="8"/>
  <c r="AN88" i="8"/>
  <c r="AO88" i="8" s="1"/>
  <c r="AP88" i="8" s="1"/>
  <c r="S88" i="8"/>
  <c r="O88" i="8"/>
  <c r="K88" i="8"/>
  <c r="J88" i="8"/>
  <c r="I88" i="8"/>
  <c r="H88" i="8"/>
  <c r="AO87" i="8"/>
  <c r="AP87" i="8" s="1"/>
  <c r="AN87" i="8"/>
  <c r="AQ87" i="8" s="1"/>
  <c r="S87" i="8"/>
  <c r="R87" i="8"/>
  <c r="O87" i="8"/>
  <c r="Q87" i="8" s="1"/>
  <c r="K87" i="8"/>
  <c r="J87" i="8"/>
  <c r="I87" i="8"/>
  <c r="H87" i="8"/>
  <c r="AN86" i="8"/>
  <c r="S86" i="8"/>
  <c r="R86" i="8"/>
  <c r="Q86" i="8"/>
  <c r="O86" i="8"/>
  <c r="K86" i="8"/>
  <c r="J86" i="8"/>
  <c r="I86" i="8"/>
  <c r="H86" i="8"/>
  <c r="AN85" i="8"/>
  <c r="S85" i="8"/>
  <c r="O85" i="8"/>
  <c r="K85" i="8"/>
  <c r="J85" i="8"/>
  <c r="I85" i="8"/>
  <c r="H85" i="8"/>
  <c r="AN84" i="8"/>
  <c r="AO84" i="8" s="1"/>
  <c r="AP84" i="8" s="1"/>
  <c r="S84" i="8"/>
  <c r="O84" i="8"/>
  <c r="Q84" i="8" s="1"/>
  <c r="K84" i="8"/>
  <c r="J84" i="8"/>
  <c r="I84" i="8"/>
  <c r="H84" i="8"/>
  <c r="AN83" i="8"/>
  <c r="AQ83" i="8" s="1"/>
  <c r="S83" i="8"/>
  <c r="O83" i="8"/>
  <c r="K83" i="8"/>
  <c r="J83" i="8"/>
  <c r="I83" i="8"/>
  <c r="H83" i="8"/>
  <c r="AN82" i="8"/>
  <c r="S82" i="8"/>
  <c r="O82" i="8"/>
  <c r="K82" i="8"/>
  <c r="J82" i="8"/>
  <c r="I82" i="8"/>
  <c r="H82" i="8"/>
  <c r="AP81" i="8"/>
  <c r="AN81" i="8"/>
  <c r="AO81" i="8" s="1"/>
  <c r="S81" i="8"/>
  <c r="O81" i="8"/>
  <c r="Q81" i="8" s="1"/>
  <c r="K81" i="8"/>
  <c r="J81" i="8"/>
  <c r="I81" i="8"/>
  <c r="H81" i="8"/>
  <c r="AN80" i="8"/>
  <c r="AQ80" i="8" s="1"/>
  <c r="S80" i="8"/>
  <c r="O80" i="8"/>
  <c r="K80" i="8"/>
  <c r="J80" i="8"/>
  <c r="I80" i="8"/>
  <c r="H80" i="8"/>
  <c r="AO79" i="8"/>
  <c r="AP79" i="8" s="1"/>
  <c r="AN79" i="8"/>
  <c r="AQ79" i="8" s="1"/>
  <c r="S79" i="8"/>
  <c r="Q79" i="8"/>
  <c r="O79" i="8"/>
  <c r="R79" i="8" s="1"/>
  <c r="K79" i="8"/>
  <c r="J79" i="8"/>
  <c r="I79" i="8"/>
  <c r="H79" i="8"/>
  <c r="AN78" i="8"/>
  <c r="S78" i="8"/>
  <c r="O78" i="8"/>
  <c r="K78" i="8"/>
  <c r="J78" i="8"/>
  <c r="I78" i="8"/>
  <c r="H78" i="8"/>
  <c r="AN77" i="8"/>
  <c r="AO77" i="8" s="1"/>
  <c r="AP77" i="8" s="1"/>
  <c r="S77" i="8"/>
  <c r="O77" i="8"/>
  <c r="R77" i="8" s="1"/>
  <c r="K77" i="8"/>
  <c r="J77" i="8"/>
  <c r="I77" i="8"/>
  <c r="H77" i="8"/>
  <c r="AO76" i="8"/>
  <c r="AP76" i="8" s="1"/>
  <c r="AN76" i="8"/>
  <c r="AQ76" i="8" s="1"/>
  <c r="S76" i="8"/>
  <c r="O76" i="8"/>
  <c r="K76" i="8"/>
  <c r="J76" i="8"/>
  <c r="I76" i="8"/>
  <c r="H76" i="8"/>
  <c r="AN75" i="8"/>
  <c r="S75" i="8"/>
  <c r="R75" i="8"/>
  <c r="O75" i="8"/>
  <c r="Q75" i="8" s="1"/>
  <c r="K75" i="8"/>
  <c r="J75" i="8"/>
  <c r="I75" i="8"/>
  <c r="H75" i="8"/>
  <c r="AN74" i="8"/>
  <c r="AO74" i="8" s="1"/>
  <c r="AP74" i="8" s="1"/>
  <c r="S74" i="8"/>
  <c r="O74" i="8"/>
  <c r="Q74" i="8" s="1"/>
  <c r="K74" i="8"/>
  <c r="J74" i="8"/>
  <c r="I74" i="8"/>
  <c r="H74" i="8"/>
  <c r="AN73" i="8"/>
  <c r="S73" i="8"/>
  <c r="O73" i="8"/>
  <c r="K73" i="8"/>
  <c r="J73" i="8"/>
  <c r="I73" i="8"/>
  <c r="H73" i="8"/>
  <c r="AN72" i="8"/>
  <c r="AQ72" i="8" s="1"/>
  <c r="S72" i="8"/>
  <c r="R72" i="8"/>
  <c r="Q72" i="8"/>
  <c r="O72" i="8"/>
  <c r="K72" i="8"/>
  <c r="J72" i="8"/>
  <c r="I72" i="8"/>
  <c r="H72" i="8"/>
  <c r="AN71" i="8"/>
  <c r="S71" i="8"/>
  <c r="O71" i="8"/>
  <c r="K71" i="8"/>
  <c r="J71" i="8"/>
  <c r="I71" i="8"/>
  <c r="H71" i="8"/>
  <c r="AN70" i="8"/>
  <c r="AQ70" i="8" s="1"/>
  <c r="S70" i="8"/>
  <c r="O70" i="8"/>
  <c r="R70" i="8" s="1"/>
  <c r="K70" i="8"/>
  <c r="J70" i="8"/>
  <c r="I70" i="8"/>
  <c r="H70" i="8"/>
  <c r="AN69" i="8"/>
  <c r="AQ69" i="8" s="1"/>
  <c r="S69" i="8"/>
  <c r="O69" i="8"/>
  <c r="R69" i="8" s="1"/>
  <c r="K69" i="8"/>
  <c r="J69" i="8"/>
  <c r="I69" i="8"/>
  <c r="H69" i="8"/>
  <c r="AN68" i="8"/>
  <c r="S68" i="8"/>
  <c r="O68" i="8"/>
  <c r="K68" i="8"/>
  <c r="J68" i="8"/>
  <c r="I68" i="8"/>
  <c r="H68" i="8"/>
  <c r="AQ67" i="8"/>
  <c r="AN67" i="8"/>
  <c r="AO67" i="8" s="1"/>
  <c r="AP67" i="8" s="1"/>
  <c r="S67" i="8"/>
  <c r="O67" i="8"/>
  <c r="R67" i="8" s="1"/>
  <c r="K67" i="8"/>
  <c r="J67" i="8"/>
  <c r="I67" i="8"/>
  <c r="H67" i="8"/>
  <c r="AN66" i="8"/>
  <c r="S66" i="8"/>
  <c r="O66" i="8"/>
  <c r="K66" i="8"/>
  <c r="J66" i="8"/>
  <c r="I66" i="8"/>
  <c r="H66" i="8"/>
  <c r="AQ65" i="8"/>
  <c r="AO65" i="8"/>
  <c r="AP65" i="8" s="1"/>
  <c r="AN65" i="8"/>
  <c r="S65" i="8"/>
  <c r="R65" i="8"/>
  <c r="Q65" i="8"/>
  <c r="O65" i="8"/>
  <c r="K65" i="8"/>
  <c r="J65" i="8"/>
  <c r="I65" i="8"/>
  <c r="H65" i="8"/>
  <c r="AN64" i="8"/>
  <c r="S64" i="8"/>
  <c r="O64" i="8"/>
  <c r="R64" i="8" s="1"/>
  <c r="K64" i="8"/>
  <c r="J64" i="8"/>
  <c r="I64" i="8"/>
  <c r="H64" i="8"/>
  <c r="AN63" i="8"/>
  <c r="AQ63" i="8" s="1"/>
  <c r="S63" i="8"/>
  <c r="O63" i="8"/>
  <c r="R63" i="8" s="1"/>
  <c r="K63" i="8"/>
  <c r="J63" i="8"/>
  <c r="I63" i="8"/>
  <c r="H63" i="8"/>
  <c r="AN62" i="8"/>
  <c r="AQ62" i="8" s="1"/>
  <c r="S62" i="8"/>
  <c r="O62" i="8"/>
  <c r="Q62" i="8" s="1"/>
  <c r="K62" i="8"/>
  <c r="J62" i="8"/>
  <c r="I62" i="8"/>
  <c r="H62" i="8"/>
  <c r="AO61" i="8"/>
  <c r="AP61" i="8" s="1"/>
  <c r="AN61" i="8"/>
  <c r="AQ61" i="8" s="1"/>
  <c r="S61" i="8"/>
  <c r="O61" i="8"/>
  <c r="Q61" i="8" s="1"/>
  <c r="K61" i="8"/>
  <c r="J61" i="8"/>
  <c r="I61" i="8"/>
  <c r="H61" i="8"/>
  <c r="AN60" i="8"/>
  <c r="AQ60" i="8" s="1"/>
  <c r="S60" i="8"/>
  <c r="O60" i="8"/>
  <c r="R60" i="8" s="1"/>
  <c r="K60" i="8"/>
  <c r="J60" i="8"/>
  <c r="I60" i="8"/>
  <c r="H60" i="8"/>
  <c r="AN59" i="8"/>
  <c r="S59" i="8"/>
  <c r="O59" i="8"/>
  <c r="Q59" i="8" s="1"/>
  <c r="K59" i="8"/>
  <c r="J59" i="8"/>
  <c r="I59" i="8"/>
  <c r="H59" i="8"/>
  <c r="AN58" i="8"/>
  <c r="S58" i="8"/>
  <c r="O58" i="8"/>
  <c r="K58" i="8"/>
  <c r="J58" i="8"/>
  <c r="I58" i="8"/>
  <c r="H58" i="8"/>
  <c r="AO57" i="8"/>
  <c r="AP57" i="8" s="1"/>
  <c r="AN57" i="8"/>
  <c r="AQ57" i="8" s="1"/>
  <c r="S57" i="8"/>
  <c r="Q57" i="8"/>
  <c r="O57" i="8"/>
  <c r="R57" i="8" s="1"/>
  <c r="K57" i="8"/>
  <c r="J57" i="8"/>
  <c r="I57" i="8"/>
  <c r="H57" i="8"/>
  <c r="AO56" i="8"/>
  <c r="AP56" i="8" s="1"/>
  <c r="AN56" i="8"/>
  <c r="AQ56" i="8" s="1"/>
  <c r="S56" i="8"/>
  <c r="R56" i="8"/>
  <c r="O56" i="8"/>
  <c r="Q56" i="8" s="1"/>
  <c r="K56" i="8"/>
  <c r="J56" i="8"/>
  <c r="I56" i="8"/>
  <c r="H56" i="8"/>
  <c r="AN55" i="8"/>
  <c r="S55" i="8"/>
  <c r="R55" i="8"/>
  <c r="Q55" i="8"/>
  <c r="O55" i="8"/>
  <c r="K55" i="8"/>
  <c r="J55" i="8"/>
  <c r="I55" i="8"/>
  <c r="H55" i="8"/>
  <c r="AN54" i="8"/>
  <c r="S54" i="8"/>
  <c r="O54" i="8"/>
  <c r="R54" i="8" s="1"/>
  <c r="K54" i="8"/>
  <c r="J54" i="8"/>
  <c r="I54" i="8"/>
  <c r="H54" i="8"/>
  <c r="AN53" i="8"/>
  <c r="S53" i="8"/>
  <c r="O53" i="8"/>
  <c r="R53" i="8" s="1"/>
  <c r="K53" i="8"/>
  <c r="J53" i="8"/>
  <c r="I53" i="8"/>
  <c r="H53" i="8"/>
  <c r="AN52" i="8"/>
  <c r="AQ52" i="8" s="1"/>
  <c r="S52" i="8"/>
  <c r="O52" i="8"/>
  <c r="Q52" i="8" s="1"/>
  <c r="K52" i="8"/>
  <c r="J52" i="8"/>
  <c r="I52" i="8"/>
  <c r="H52" i="8"/>
  <c r="AN51" i="8"/>
  <c r="AQ51" i="8" s="1"/>
  <c r="S51" i="8"/>
  <c r="O51" i="8"/>
  <c r="R51" i="8" s="1"/>
  <c r="K51" i="8"/>
  <c r="J51" i="8"/>
  <c r="I51" i="8"/>
  <c r="H51" i="8"/>
  <c r="AN50" i="8"/>
  <c r="AQ50" i="8" s="1"/>
  <c r="S50" i="8"/>
  <c r="O50" i="8"/>
  <c r="R50" i="8" s="1"/>
  <c r="K50" i="8"/>
  <c r="J50" i="8"/>
  <c r="I50" i="8"/>
  <c r="H50" i="8"/>
  <c r="AN49" i="8"/>
  <c r="S49" i="8"/>
  <c r="O49" i="8"/>
  <c r="K49" i="8"/>
  <c r="J49" i="8"/>
  <c r="I49" i="8"/>
  <c r="H49" i="8"/>
  <c r="AN48" i="8"/>
  <c r="AQ48" i="8" s="1"/>
  <c r="S48" i="8"/>
  <c r="O48" i="8"/>
  <c r="K48" i="8"/>
  <c r="J48" i="8"/>
  <c r="I48" i="8"/>
  <c r="H48" i="8"/>
  <c r="AO47" i="8"/>
  <c r="AP47" i="8" s="1"/>
  <c r="AN47" i="8"/>
  <c r="AQ47" i="8" s="1"/>
  <c r="S47" i="8"/>
  <c r="Q47" i="8"/>
  <c r="O47" i="8"/>
  <c r="R47" i="8" s="1"/>
  <c r="K47" i="8"/>
  <c r="J47" i="8"/>
  <c r="I47" i="8"/>
  <c r="H47" i="8"/>
  <c r="AP46" i="8"/>
  <c r="AO46" i="8"/>
  <c r="AN46" i="8"/>
  <c r="AQ46" i="8" s="1"/>
  <c r="S46" i="8"/>
  <c r="O46" i="8"/>
  <c r="R46" i="8" s="1"/>
  <c r="K46" i="8"/>
  <c r="J46" i="8"/>
  <c r="I46" i="8"/>
  <c r="H46" i="8"/>
  <c r="AN45" i="8"/>
  <c r="S45" i="8"/>
  <c r="O45" i="8"/>
  <c r="R45" i="8" s="1"/>
  <c r="K45" i="8"/>
  <c r="J45" i="8"/>
  <c r="I45" i="8"/>
  <c r="H45" i="8"/>
  <c r="AN44" i="8"/>
  <c r="AO44" i="8" s="1"/>
  <c r="AP44" i="8" s="1"/>
  <c r="S44" i="8"/>
  <c r="O44" i="8"/>
  <c r="K44" i="8"/>
  <c r="J44" i="8"/>
  <c r="I44" i="8"/>
  <c r="H44" i="8"/>
  <c r="AP43" i="8"/>
  <c r="AN43" i="8"/>
  <c r="AO43" i="8" s="1"/>
  <c r="S43" i="8"/>
  <c r="O43" i="8"/>
  <c r="R43" i="8" s="1"/>
  <c r="K43" i="8"/>
  <c r="J43" i="8"/>
  <c r="I43" i="8"/>
  <c r="H43" i="8"/>
  <c r="AN42" i="8"/>
  <c r="AQ42" i="8" s="1"/>
  <c r="S42" i="8"/>
  <c r="O42" i="8"/>
  <c r="Q42" i="8" s="1"/>
  <c r="K42" i="8"/>
  <c r="J42" i="8"/>
  <c r="I42" i="8"/>
  <c r="H42" i="8"/>
  <c r="AN41" i="8"/>
  <c r="AQ41" i="8" s="1"/>
  <c r="S41" i="8"/>
  <c r="O41" i="8"/>
  <c r="R41" i="8" s="1"/>
  <c r="K41" i="8"/>
  <c r="J41" i="8"/>
  <c r="I41" i="8"/>
  <c r="H41" i="8"/>
  <c r="AN40" i="8"/>
  <c r="S40" i="8"/>
  <c r="Q40" i="8"/>
  <c r="O40" i="8"/>
  <c r="R40" i="8" s="1"/>
  <c r="K40" i="8"/>
  <c r="J40" i="8"/>
  <c r="I40" i="8"/>
  <c r="H40" i="8"/>
  <c r="AN39" i="8"/>
  <c r="AQ39" i="8" s="1"/>
  <c r="S39" i="8"/>
  <c r="O39" i="8"/>
  <c r="Q39" i="8" s="1"/>
  <c r="K39" i="8"/>
  <c r="J39" i="8"/>
  <c r="I39" i="8"/>
  <c r="H39" i="8"/>
  <c r="AO38" i="8"/>
  <c r="AP38" i="8" s="1"/>
  <c r="AN38" i="8"/>
  <c r="AQ38" i="8" s="1"/>
  <c r="S38" i="8"/>
  <c r="O38" i="8"/>
  <c r="R38" i="8" s="1"/>
  <c r="K38" i="8"/>
  <c r="J38" i="8"/>
  <c r="I38" i="8"/>
  <c r="H38" i="8"/>
  <c r="AN37" i="8"/>
  <c r="AQ37" i="8" s="1"/>
  <c r="S37" i="8"/>
  <c r="R37" i="8"/>
  <c r="O37" i="8"/>
  <c r="Q37" i="8" s="1"/>
  <c r="K37" i="8"/>
  <c r="J37" i="8"/>
  <c r="I37" i="8"/>
  <c r="H37" i="8"/>
  <c r="AN36" i="8"/>
  <c r="S36" i="8"/>
  <c r="R36" i="8"/>
  <c r="Q36" i="8"/>
  <c r="O36" i="8"/>
  <c r="K36" i="8"/>
  <c r="J36" i="8"/>
  <c r="I36" i="8"/>
  <c r="H36" i="8"/>
  <c r="AN35" i="8"/>
  <c r="AQ35" i="8" s="1"/>
  <c r="S35" i="8"/>
  <c r="O35" i="8"/>
  <c r="R35" i="8" s="1"/>
  <c r="K35" i="8"/>
  <c r="J35" i="8"/>
  <c r="I35" i="8"/>
  <c r="H35" i="8"/>
  <c r="AN34" i="8"/>
  <c r="AQ34" i="8" s="1"/>
  <c r="S34" i="8"/>
  <c r="O34" i="8"/>
  <c r="R34" i="8" s="1"/>
  <c r="K34" i="8"/>
  <c r="J34" i="8"/>
  <c r="I34" i="8"/>
  <c r="H34" i="8"/>
  <c r="AN33" i="8"/>
  <c r="AQ33" i="8" s="1"/>
  <c r="S33" i="8"/>
  <c r="O33" i="8"/>
  <c r="R33" i="8" s="1"/>
  <c r="K33" i="8"/>
  <c r="J33" i="8"/>
  <c r="I33" i="8"/>
  <c r="H33" i="8"/>
  <c r="AN32" i="8"/>
  <c r="S32" i="8"/>
  <c r="O32" i="8"/>
  <c r="R32" i="8" s="1"/>
  <c r="K32" i="8"/>
  <c r="J32" i="8"/>
  <c r="I32" i="8"/>
  <c r="H32" i="8"/>
  <c r="AN31" i="8"/>
  <c r="AO31" i="8" s="1"/>
  <c r="AP31" i="8" s="1"/>
  <c r="S31" i="8"/>
  <c r="O31" i="8"/>
  <c r="R31" i="8" s="1"/>
  <c r="K31" i="8"/>
  <c r="J31" i="8"/>
  <c r="I31" i="8"/>
  <c r="H31" i="8"/>
  <c r="AQ30" i="8"/>
  <c r="AN30" i="8"/>
  <c r="AO30" i="8" s="1"/>
  <c r="AP30" i="8" s="1"/>
  <c r="S30" i="8"/>
  <c r="O30" i="8"/>
  <c r="Q30" i="8" s="1"/>
  <c r="K30" i="8"/>
  <c r="J30" i="8"/>
  <c r="I30" i="8"/>
  <c r="H30" i="8"/>
  <c r="AN29" i="8"/>
  <c r="AQ29" i="8" s="1"/>
  <c r="S29" i="8"/>
  <c r="O29" i="8"/>
  <c r="R29" i="8" s="1"/>
  <c r="K29" i="8"/>
  <c r="J29" i="8"/>
  <c r="I29" i="8"/>
  <c r="H29" i="8"/>
  <c r="AN28" i="8"/>
  <c r="AO28" i="8" s="1"/>
  <c r="AP28" i="8" s="1"/>
  <c r="S28" i="8"/>
  <c r="O28" i="8"/>
  <c r="Q28" i="8" s="1"/>
  <c r="K28" i="8"/>
  <c r="J28" i="8"/>
  <c r="I28" i="8"/>
  <c r="H28" i="8"/>
  <c r="AN27" i="8"/>
  <c r="AQ27" i="8" s="1"/>
  <c r="S27" i="8"/>
  <c r="O27" i="8"/>
  <c r="Q27" i="8" s="1"/>
  <c r="K27" i="8"/>
  <c r="J27" i="8"/>
  <c r="I27" i="8"/>
  <c r="H27" i="8"/>
  <c r="AN26" i="8"/>
  <c r="S26" i="8"/>
  <c r="O26" i="8"/>
  <c r="Q26" i="8" s="1"/>
  <c r="K26" i="8"/>
  <c r="J26" i="8"/>
  <c r="I26" i="8"/>
  <c r="H26" i="8"/>
  <c r="AN25" i="8"/>
  <c r="AQ25" i="8" s="1"/>
  <c r="S25" i="8"/>
  <c r="O25" i="8"/>
  <c r="R25" i="8" s="1"/>
  <c r="K25" i="8"/>
  <c r="J25" i="8"/>
  <c r="I25" i="8"/>
  <c r="H25" i="8"/>
  <c r="AQ24" i="8"/>
  <c r="AN24" i="8"/>
  <c r="AO24" i="8" s="1"/>
  <c r="AP24" i="8" s="1"/>
  <c r="S24" i="8"/>
  <c r="O24" i="8"/>
  <c r="Q24" i="8" s="1"/>
  <c r="K24" i="8"/>
  <c r="J24" i="8"/>
  <c r="I24" i="8"/>
  <c r="H24" i="8"/>
  <c r="AN23" i="8"/>
  <c r="AQ23" i="8" s="1"/>
  <c r="S23" i="8"/>
  <c r="Q23" i="8"/>
  <c r="O23" i="8"/>
  <c r="R23" i="8" s="1"/>
  <c r="K23" i="8"/>
  <c r="J23" i="8"/>
  <c r="I23" i="8"/>
  <c r="H23" i="8"/>
  <c r="AN22" i="8"/>
  <c r="AO22" i="8" s="1"/>
  <c r="AP22" i="8" s="1"/>
  <c r="S22" i="8"/>
  <c r="O22" i="8"/>
  <c r="R22" i="8" s="1"/>
  <c r="K22" i="8"/>
  <c r="J22" i="8"/>
  <c r="I22" i="8"/>
  <c r="H22" i="8"/>
  <c r="AN21" i="8"/>
  <c r="S21" i="8"/>
  <c r="Q21" i="8"/>
  <c r="O21" i="8"/>
  <c r="R21" i="8" s="1"/>
  <c r="K21" i="8"/>
  <c r="J21" i="8"/>
  <c r="I21" i="8"/>
  <c r="H21" i="8"/>
  <c r="AP20" i="8"/>
  <c r="AN20" i="8"/>
  <c r="AO20" i="8" s="1"/>
  <c r="S20" i="8"/>
  <c r="O20" i="8"/>
  <c r="R20" i="8" s="1"/>
  <c r="K20" i="8"/>
  <c r="J20" i="8"/>
  <c r="I20" i="8"/>
  <c r="H20" i="8"/>
  <c r="AN19" i="8"/>
  <c r="AO19" i="8" s="1"/>
  <c r="AP19" i="8" s="1"/>
  <c r="S19" i="8"/>
  <c r="O19" i="8"/>
  <c r="R19" i="8" s="1"/>
  <c r="K19" i="8"/>
  <c r="J19" i="8"/>
  <c r="I19" i="8"/>
  <c r="H19" i="8"/>
  <c r="AO18" i="8"/>
  <c r="AP18" i="8" s="1"/>
  <c r="AN18" i="8"/>
  <c r="AQ18" i="8" s="1"/>
  <c r="S18" i="8"/>
  <c r="O18" i="8"/>
  <c r="Q18" i="8" s="1"/>
  <c r="K18" i="8"/>
  <c r="J18" i="8"/>
  <c r="I18" i="8"/>
  <c r="H18" i="8"/>
  <c r="AN17" i="8"/>
  <c r="AQ17" i="8" s="1"/>
  <c r="S17" i="8"/>
  <c r="O17" i="8"/>
  <c r="R17" i="8" s="1"/>
  <c r="K17" i="8"/>
  <c r="J17" i="8"/>
  <c r="I17" i="8"/>
  <c r="H17" i="8"/>
  <c r="AN16" i="8"/>
  <c r="AO16" i="8" s="1"/>
  <c r="AP16" i="8" s="1"/>
  <c r="S16" i="8"/>
  <c r="O16" i="8"/>
  <c r="R16" i="8" s="1"/>
  <c r="K16" i="8"/>
  <c r="J16" i="8"/>
  <c r="I16" i="8"/>
  <c r="H16" i="8"/>
  <c r="AO15" i="8"/>
  <c r="AP15" i="8" s="1"/>
  <c r="AN15" i="8"/>
  <c r="AQ15" i="8" s="1"/>
  <c r="S15" i="8"/>
  <c r="O15" i="8"/>
  <c r="R15" i="8" s="1"/>
  <c r="K15" i="8"/>
  <c r="J15" i="8"/>
  <c r="I15" i="8"/>
  <c r="H15" i="8"/>
  <c r="AN14" i="8"/>
  <c r="AQ14" i="8" s="1"/>
  <c r="S14" i="8"/>
  <c r="O14" i="8"/>
  <c r="R14" i="8" s="1"/>
  <c r="K14" i="8"/>
  <c r="J14" i="8"/>
  <c r="I14" i="8"/>
  <c r="H14" i="8"/>
  <c r="AN13" i="8"/>
  <c r="AQ13" i="8" s="1"/>
  <c r="S13" i="8"/>
  <c r="Q13" i="8"/>
  <c r="O13" i="8"/>
  <c r="R13" i="8" s="1"/>
  <c r="K13" i="8"/>
  <c r="J13" i="8"/>
  <c r="I13" i="8"/>
  <c r="H13" i="8"/>
  <c r="AN12" i="8"/>
  <c r="AQ12" i="8" s="1"/>
  <c r="S12" i="8"/>
  <c r="Q12" i="8"/>
  <c r="O12" i="8"/>
  <c r="R12" i="8" s="1"/>
  <c r="K12" i="8"/>
  <c r="J12" i="8"/>
  <c r="I12" i="8"/>
  <c r="H12" i="8"/>
  <c r="AN11" i="8"/>
  <c r="AO11" i="8" s="1"/>
  <c r="AP11" i="8" s="1"/>
  <c r="S11" i="8"/>
  <c r="R11" i="8"/>
  <c r="O11" i="8"/>
  <c r="Q11" i="8" s="1"/>
  <c r="K11" i="8"/>
  <c r="J11" i="8"/>
  <c r="I11" i="8"/>
  <c r="H11" i="8"/>
  <c r="BA10" i="8"/>
  <c r="AQ10" i="8"/>
  <c r="AN10" i="8"/>
  <c r="AO10" i="8" s="1"/>
  <c r="AP10" i="8" s="1"/>
  <c r="AI10" i="8"/>
  <c r="S10" i="8"/>
  <c r="O10" i="8"/>
  <c r="K10" i="8"/>
  <c r="J10" i="8"/>
  <c r="I10" i="8"/>
  <c r="H10" i="8"/>
  <c r="BA9" i="8"/>
  <c r="AQ9" i="8"/>
  <c r="AN9" i="8"/>
  <c r="AO9" i="8" s="1"/>
  <c r="AP9" i="8" s="1"/>
  <c r="AM9" i="8"/>
  <c r="AI9" i="8"/>
  <c r="S9" i="8"/>
  <c r="O9" i="8"/>
  <c r="R9" i="8" s="1"/>
  <c r="K9" i="8"/>
  <c r="J9" i="8"/>
  <c r="I9" i="8"/>
  <c r="H9" i="8"/>
  <c r="AN8" i="8"/>
  <c r="AQ8" i="8" s="1"/>
  <c r="AM8" i="8"/>
  <c r="S8" i="8"/>
  <c r="O8" i="8"/>
  <c r="R8" i="8" s="1"/>
  <c r="K8" i="8"/>
  <c r="J8" i="8"/>
  <c r="I8" i="8"/>
  <c r="H8" i="8"/>
  <c r="AN7" i="8"/>
  <c r="AM7" i="8"/>
  <c r="S7" i="8"/>
  <c r="R7" i="8"/>
  <c r="Q7" i="8"/>
  <c r="O7" i="8"/>
  <c r="K7" i="8"/>
  <c r="J7" i="8"/>
  <c r="I7" i="8"/>
  <c r="H7" i="8"/>
  <c r="AQ6" i="8"/>
  <c r="AN6" i="8"/>
  <c r="AO6" i="8" s="1"/>
  <c r="AP6" i="8" s="1"/>
  <c r="AM6" i="8"/>
  <c r="S6" i="8"/>
  <c r="O6" i="8"/>
  <c r="Q6" i="8" s="1"/>
  <c r="K6" i="8"/>
  <c r="J6" i="8"/>
  <c r="I6" i="8"/>
  <c r="H6" i="8"/>
  <c r="AQ5" i="8"/>
  <c r="AN5" i="8"/>
  <c r="AO5" i="8" s="1"/>
  <c r="AP5" i="8" s="1"/>
  <c r="AM5" i="8"/>
  <c r="S5" i="8"/>
  <c r="R5" i="8"/>
  <c r="Q5" i="8"/>
  <c r="O5" i="8"/>
  <c r="K5" i="8"/>
  <c r="J5" i="8"/>
  <c r="I5" i="8"/>
  <c r="H5" i="8"/>
  <c r="AQ4" i="8"/>
  <c r="AN4" i="8"/>
  <c r="AO4" i="8" s="1"/>
  <c r="AP4" i="8" s="1"/>
  <c r="AM4" i="8"/>
  <c r="S4" i="8"/>
  <c r="O4" i="8"/>
  <c r="R4" i="8" s="1"/>
  <c r="K4" i="8"/>
  <c r="J4" i="8"/>
  <c r="I4" i="8"/>
  <c r="H4" i="8"/>
  <c r="AO3" i="8"/>
  <c r="AP3" i="8" s="1"/>
  <c r="AN3" i="8"/>
  <c r="AQ3" i="8" s="1"/>
  <c r="AM3" i="8"/>
  <c r="S3" i="8"/>
  <c r="Q3" i="8"/>
  <c r="O3" i="8"/>
  <c r="R3" i="8" s="1"/>
  <c r="K3" i="8"/>
  <c r="J3" i="8"/>
  <c r="I3" i="8"/>
  <c r="H3" i="8"/>
  <c r="AO2" i="8"/>
  <c r="AP2" i="8" s="1"/>
  <c r="AN2" i="8"/>
  <c r="AQ2" i="8" s="1"/>
  <c r="V282" i="8"/>
  <c r="V275" i="8"/>
  <c r="V270" i="8"/>
  <c r="V248" i="8"/>
  <c r="V241" i="8"/>
  <c r="V236" i="8"/>
  <c r="V213" i="8"/>
  <c r="V206" i="8"/>
  <c r="V203" i="8"/>
  <c r="V179" i="8"/>
  <c r="V172" i="8"/>
  <c r="V168" i="8"/>
  <c r="V145" i="8"/>
  <c r="V138" i="8"/>
  <c r="V133" i="8"/>
  <c r="V111" i="8"/>
  <c r="W111" i="8" s="1"/>
  <c r="X111" i="8" s="1"/>
  <c r="V104" i="8"/>
  <c r="Y104" i="8" s="1"/>
  <c r="V99" i="8"/>
  <c r="V77" i="8"/>
  <c r="W77" i="8" s="1"/>
  <c r="X77" i="8" s="1"/>
  <c r="V70" i="8"/>
  <c r="V66" i="8"/>
  <c r="Y66" i="8" s="1"/>
  <c r="V45" i="8"/>
  <c r="W45" i="8" s="1"/>
  <c r="X45" i="8" s="1"/>
  <c r="V39" i="8"/>
  <c r="V36" i="8"/>
  <c r="W36" i="8" s="1"/>
  <c r="X36" i="8" s="1"/>
  <c r="V14" i="8"/>
  <c r="V8" i="8"/>
  <c r="W8" i="8" s="1"/>
  <c r="X8" i="8" s="1"/>
  <c r="V4" i="8"/>
  <c r="W4" i="8" s="1"/>
  <c r="X4" i="8" s="1"/>
  <c r="V2" i="8" a="1"/>
  <c r="V303" i="8" s="1"/>
  <c r="S2" i="8"/>
  <c r="O2" i="8"/>
  <c r="R2" i="8" s="1"/>
  <c r="K2" i="8"/>
  <c r="J2" i="8"/>
  <c r="I2" i="8"/>
  <c r="H2" i="8"/>
  <c r="N59" i="8" s="1" a="1"/>
  <c r="N59" i="8" s="1"/>
  <c r="P59" i="8" s="1"/>
  <c r="B13" i="6"/>
  <c r="D8" i="6"/>
  <c r="D7" i="6"/>
  <c r="D6" i="6"/>
  <c r="D5" i="6"/>
  <c r="D4" i="6"/>
  <c r="D3" i="6"/>
  <c r="D2" i="6"/>
  <c r="D543" i="4"/>
  <c r="D542" i="4"/>
  <c r="D541" i="4"/>
  <c r="D540" i="4"/>
  <c r="D539" i="4"/>
  <c r="D538" i="4"/>
  <c r="D537" i="4"/>
  <c r="D536" i="4"/>
  <c r="D535" i="4"/>
  <c r="D534" i="4"/>
  <c r="D533" i="4"/>
  <c r="D532" i="4"/>
  <c r="D531" i="4"/>
  <c r="D530" i="4"/>
  <c r="D529" i="4"/>
  <c r="D528" i="4"/>
  <c r="D527" i="4"/>
  <c r="D526" i="4"/>
  <c r="D525" i="4"/>
  <c r="V524" i="4"/>
  <c r="D524" i="4"/>
  <c r="B524" i="4"/>
  <c r="V523" i="4"/>
  <c r="D523" i="4"/>
  <c r="B523" i="4"/>
  <c r="V522" i="4"/>
  <c r="D522" i="4"/>
  <c r="B522" i="4"/>
  <c r="V521" i="4"/>
  <c r="D521" i="4"/>
  <c r="B521" i="4"/>
  <c r="V520" i="4"/>
  <c r="D520" i="4"/>
  <c r="B520" i="4"/>
  <c r="V519" i="4"/>
  <c r="D519" i="4"/>
  <c r="B519" i="4"/>
  <c r="V518" i="4"/>
  <c r="D518" i="4"/>
  <c r="B518" i="4"/>
  <c r="V517" i="4"/>
  <c r="D517" i="4"/>
  <c r="B517" i="4"/>
  <c r="V516" i="4"/>
  <c r="D516" i="4"/>
  <c r="B516" i="4"/>
  <c r="V515" i="4"/>
  <c r="D515" i="4"/>
  <c r="B515" i="4"/>
  <c r="V514" i="4"/>
  <c r="D514" i="4"/>
  <c r="B514" i="4"/>
  <c r="V513" i="4"/>
  <c r="D513" i="4"/>
  <c r="B513" i="4"/>
  <c r="V512" i="4"/>
  <c r="D512" i="4"/>
  <c r="B512" i="4"/>
  <c r="V511" i="4"/>
  <c r="D511" i="4"/>
  <c r="B511" i="4"/>
  <c r="V510" i="4"/>
  <c r="D510" i="4"/>
  <c r="B510" i="4"/>
  <c r="V509" i="4"/>
  <c r="D509" i="4"/>
  <c r="B509" i="4"/>
  <c r="V508" i="4"/>
  <c r="D508" i="4"/>
  <c r="B508" i="4"/>
  <c r="V507" i="4"/>
  <c r="D507" i="4"/>
  <c r="B507" i="4"/>
  <c r="V506" i="4"/>
  <c r="D506" i="4"/>
  <c r="B506" i="4"/>
  <c r="V505" i="4"/>
  <c r="D505" i="4"/>
  <c r="B505" i="4"/>
  <c r="V504" i="4"/>
  <c r="D504" i="4"/>
  <c r="B504" i="4"/>
  <c r="V503" i="4"/>
  <c r="D503" i="4"/>
  <c r="B503" i="4"/>
  <c r="V502" i="4"/>
  <c r="D502" i="4"/>
  <c r="B502" i="4"/>
  <c r="V501" i="4"/>
  <c r="D501" i="4"/>
  <c r="B501" i="4"/>
  <c r="V500" i="4"/>
  <c r="D500" i="4"/>
  <c r="B500" i="4"/>
  <c r="V499" i="4"/>
  <c r="D499" i="4"/>
  <c r="B499" i="4"/>
  <c r="V498" i="4"/>
  <c r="D498" i="4"/>
  <c r="B498" i="4"/>
  <c r="V497" i="4"/>
  <c r="D497" i="4"/>
  <c r="B497" i="4"/>
  <c r="V496" i="4"/>
  <c r="D496" i="4"/>
  <c r="B496" i="4"/>
  <c r="V495" i="4"/>
  <c r="D495" i="4"/>
  <c r="B495" i="4"/>
  <c r="V494" i="4"/>
  <c r="D494" i="4"/>
  <c r="B494" i="4"/>
  <c r="V493" i="4"/>
  <c r="D493" i="4"/>
  <c r="B493" i="4"/>
  <c r="V492" i="4"/>
  <c r="D492" i="4"/>
  <c r="B492" i="4"/>
  <c r="V491" i="4"/>
  <c r="D491" i="4"/>
  <c r="B491" i="4"/>
  <c r="V490" i="4"/>
  <c r="D490" i="4"/>
  <c r="B490" i="4"/>
  <c r="V489" i="4"/>
  <c r="D489" i="4"/>
  <c r="B489" i="4"/>
  <c r="V488" i="4"/>
  <c r="D488" i="4"/>
  <c r="B488" i="4"/>
  <c r="V487" i="4"/>
  <c r="D487" i="4"/>
  <c r="B487" i="4"/>
  <c r="V486" i="4"/>
  <c r="D486" i="4"/>
  <c r="B486" i="4"/>
  <c r="V485" i="4"/>
  <c r="D485" i="4"/>
  <c r="B485" i="4"/>
  <c r="V484" i="4"/>
  <c r="D484" i="4"/>
  <c r="B484" i="4"/>
  <c r="V483" i="4"/>
  <c r="D483" i="4"/>
  <c r="B483" i="4"/>
  <c r="V482" i="4"/>
  <c r="D482" i="4"/>
  <c r="B482" i="4"/>
  <c r="V481" i="4"/>
  <c r="D481" i="4"/>
  <c r="B481" i="4"/>
  <c r="V480" i="4"/>
  <c r="D480" i="4"/>
  <c r="B480" i="4"/>
  <c r="V479" i="4"/>
  <c r="D479" i="4"/>
  <c r="B479" i="4"/>
  <c r="V478" i="4"/>
  <c r="D478" i="4"/>
  <c r="B478" i="4"/>
  <c r="V477" i="4"/>
  <c r="D477" i="4"/>
  <c r="B477" i="4"/>
  <c r="V476" i="4"/>
  <c r="D476" i="4"/>
  <c r="B476" i="4"/>
  <c r="V475" i="4"/>
  <c r="D475" i="4"/>
  <c r="B475" i="4"/>
  <c r="V474" i="4"/>
  <c r="D474" i="4"/>
  <c r="B474" i="4"/>
  <c r="V473" i="4"/>
  <c r="D473" i="4"/>
  <c r="B473" i="4"/>
  <c r="V472" i="4"/>
  <c r="D472" i="4"/>
  <c r="B472" i="4"/>
  <c r="V471" i="4"/>
  <c r="D471" i="4"/>
  <c r="B471" i="4"/>
  <c r="V470" i="4"/>
  <c r="D470" i="4"/>
  <c r="B470" i="4"/>
  <c r="V469" i="4"/>
  <c r="D469" i="4"/>
  <c r="B469" i="4"/>
  <c r="V468" i="4"/>
  <c r="D468" i="4"/>
  <c r="B468" i="4"/>
  <c r="V467" i="4"/>
  <c r="D467" i="4"/>
  <c r="B467" i="4"/>
  <c r="V466" i="4"/>
  <c r="D466" i="4"/>
  <c r="B466" i="4"/>
  <c r="V465" i="4"/>
  <c r="D465" i="4"/>
  <c r="B465" i="4"/>
  <c r="V464" i="4"/>
  <c r="D464" i="4"/>
  <c r="B464" i="4"/>
  <c r="V463" i="4"/>
  <c r="D463" i="4"/>
  <c r="B463" i="4"/>
  <c r="V462" i="4"/>
  <c r="D462" i="4"/>
  <c r="B462" i="4"/>
  <c r="V461" i="4"/>
  <c r="D461" i="4"/>
  <c r="B461" i="4"/>
  <c r="V460" i="4"/>
  <c r="D460" i="4"/>
  <c r="B460" i="4"/>
  <c r="V459" i="4"/>
  <c r="D459" i="4"/>
  <c r="B459" i="4"/>
  <c r="V458" i="4"/>
  <c r="D458" i="4"/>
  <c r="B458" i="4"/>
  <c r="V457" i="4"/>
  <c r="D457" i="4"/>
  <c r="B457" i="4"/>
  <c r="V456" i="4"/>
  <c r="D456" i="4"/>
  <c r="B456" i="4"/>
  <c r="V455" i="4"/>
  <c r="D455" i="4"/>
  <c r="B455" i="4"/>
  <c r="V454" i="4"/>
  <c r="D454" i="4"/>
  <c r="B454" i="4"/>
  <c r="V453" i="4"/>
  <c r="D453" i="4"/>
  <c r="B453" i="4"/>
  <c r="V452" i="4"/>
  <c r="D452" i="4"/>
  <c r="B452" i="4"/>
  <c r="V451" i="4"/>
  <c r="D451" i="4"/>
  <c r="B451" i="4"/>
  <c r="V450" i="4"/>
  <c r="D450" i="4"/>
  <c r="B450" i="4"/>
  <c r="V449" i="4"/>
  <c r="D449" i="4"/>
  <c r="B449" i="4"/>
  <c r="V448" i="4"/>
  <c r="D448" i="4"/>
  <c r="B448" i="4"/>
  <c r="V447" i="4"/>
  <c r="D447" i="4"/>
  <c r="B447" i="4"/>
  <c r="V446" i="4"/>
  <c r="D446" i="4"/>
  <c r="B446" i="4"/>
  <c r="V445" i="4"/>
  <c r="D445" i="4"/>
  <c r="B445" i="4"/>
  <c r="V444" i="4"/>
  <c r="D444" i="4"/>
  <c r="B444" i="4"/>
  <c r="V443" i="4"/>
  <c r="D443" i="4"/>
  <c r="B443" i="4"/>
  <c r="V442" i="4"/>
  <c r="D442" i="4"/>
  <c r="B442" i="4"/>
  <c r="V441" i="4"/>
  <c r="D441" i="4"/>
  <c r="B441" i="4"/>
  <c r="V440" i="4"/>
  <c r="D440" i="4"/>
  <c r="B440" i="4"/>
  <c r="V439" i="4"/>
  <c r="D439" i="4"/>
  <c r="B439" i="4"/>
  <c r="V438" i="4"/>
  <c r="D438" i="4"/>
  <c r="B438" i="4"/>
  <c r="V437" i="4"/>
  <c r="D437" i="4"/>
  <c r="B437" i="4"/>
  <c r="V436" i="4"/>
  <c r="D436" i="4"/>
  <c r="B436" i="4"/>
  <c r="V435" i="4"/>
  <c r="D435" i="4"/>
  <c r="B435" i="4"/>
  <c r="V434" i="4"/>
  <c r="D434" i="4"/>
  <c r="B434" i="4"/>
  <c r="V433" i="4"/>
  <c r="D433" i="4"/>
  <c r="B433" i="4"/>
  <c r="V432" i="4"/>
  <c r="D432" i="4"/>
  <c r="B432" i="4"/>
  <c r="V431" i="4"/>
  <c r="D431" i="4"/>
  <c r="B431" i="4"/>
  <c r="V430" i="4"/>
  <c r="D430" i="4"/>
  <c r="B430" i="4"/>
  <c r="V429" i="4"/>
  <c r="D429" i="4"/>
  <c r="B429" i="4"/>
  <c r="V428" i="4"/>
  <c r="D428" i="4"/>
  <c r="B428" i="4"/>
  <c r="V427" i="4"/>
  <c r="D427" i="4"/>
  <c r="B427" i="4"/>
  <c r="V426" i="4"/>
  <c r="D426" i="4"/>
  <c r="B426" i="4"/>
  <c r="V425" i="4"/>
  <c r="D425" i="4"/>
  <c r="B425" i="4"/>
  <c r="V424" i="4"/>
  <c r="D424" i="4"/>
  <c r="B424" i="4"/>
  <c r="V423" i="4"/>
  <c r="D423" i="4"/>
  <c r="B423" i="4"/>
  <c r="V422" i="4"/>
  <c r="D422" i="4"/>
  <c r="B422" i="4"/>
  <c r="V421" i="4"/>
  <c r="D421" i="4"/>
  <c r="B421" i="4"/>
  <c r="V420" i="4"/>
  <c r="D420" i="4"/>
  <c r="B420" i="4"/>
  <c r="V419" i="4"/>
  <c r="D419" i="4"/>
  <c r="B419" i="4"/>
  <c r="V418" i="4"/>
  <c r="D418" i="4"/>
  <c r="B418" i="4"/>
  <c r="V417" i="4"/>
  <c r="D417" i="4"/>
  <c r="B417" i="4"/>
  <c r="V416" i="4"/>
  <c r="D416" i="4"/>
  <c r="B416" i="4"/>
  <c r="V415" i="4"/>
  <c r="D415" i="4"/>
  <c r="B415" i="4"/>
  <c r="V414" i="4"/>
  <c r="D414" i="4"/>
  <c r="B414" i="4"/>
  <c r="V413" i="4"/>
  <c r="D413" i="4"/>
  <c r="B413" i="4"/>
  <c r="V412" i="4"/>
  <c r="D412" i="4"/>
  <c r="B412" i="4"/>
  <c r="V411" i="4"/>
  <c r="D411" i="4"/>
  <c r="B411" i="4"/>
  <c r="V410" i="4"/>
  <c r="D410" i="4"/>
  <c r="B410" i="4"/>
  <c r="V409" i="4"/>
  <c r="D409" i="4"/>
  <c r="B409" i="4"/>
  <c r="V408" i="4"/>
  <c r="D408" i="4"/>
  <c r="B408" i="4"/>
  <c r="V407" i="4"/>
  <c r="D407" i="4"/>
  <c r="B407" i="4"/>
  <c r="V406" i="4"/>
  <c r="D406" i="4"/>
  <c r="B406" i="4"/>
  <c r="V405" i="4"/>
  <c r="D405" i="4"/>
  <c r="B405" i="4"/>
  <c r="V404" i="4"/>
  <c r="D404" i="4"/>
  <c r="B404" i="4"/>
  <c r="V403" i="4"/>
  <c r="D403" i="4"/>
  <c r="B403" i="4"/>
  <c r="V402" i="4"/>
  <c r="D402" i="4"/>
  <c r="B402" i="4"/>
  <c r="V401" i="4"/>
  <c r="D401" i="4"/>
  <c r="B401" i="4"/>
  <c r="V400" i="4"/>
  <c r="D400" i="4"/>
  <c r="B400" i="4"/>
  <c r="V399" i="4"/>
  <c r="D399" i="4"/>
  <c r="B399" i="4"/>
  <c r="V398" i="4"/>
  <c r="D398" i="4"/>
  <c r="B398" i="4"/>
  <c r="V397" i="4"/>
  <c r="D397" i="4"/>
  <c r="B397" i="4"/>
  <c r="V396" i="4"/>
  <c r="D396" i="4"/>
  <c r="B396" i="4"/>
  <c r="V395" i="4"/>
  <c r="D395" i="4"/>
  <c r="B395" i="4"/>
  <c r="V394" i="4"/>
  <c r="D394" i="4"/>
  <c r="B394" i="4"/>
  <c r="V393" i="4"/>
  <c r="D393" i="4"/>
  <c r="B393" i="4"/>
  <c r="V392" i="4"/>
  <c r="D392" i="4"/>
  <c r="B392" i="4"/>
  <c r="V391" i="4"/>
  <c r="D391" i="4"/>
  <c r="B391" i="4"/>
  <c r="V390" i="4"/>
  <c r="D390" i="4"/>
  <c r="B390" i="4"/>
  <c r="V389" i="4"/>
  <c r="D389" i="4"/>
  <c r="B389" i="4"/>
  <c r="V388" i="4"/>
  <c r="D388" i="4"/>
  <c r="B388" i="4"/>
  <c r="V387" i="4"/>
  <c r="D387" i="4"/>
  <c r="B387" i="4"/>
  <c r="V386" i="4"/>
  <c r="D386" i="4"/>
  <c r="B386" i="4"/>
  <c r="V385" i="4"/>
  <c r="D385" i="4"/>
  <c r="B385" i="4"/>
  <c r="V384" i="4"/>
  <c r="D384" i="4"/>
  <c r="B384" i="4"/>
  <c r="V383" i="4"/>
  <c r="D383" i="4"/>
  <c r="B383" i="4"/>
  <c r="V382" i="4"/>
  <c r="D382" i="4"/>
  <c r="B382" i="4"/>
  <c r="V381" i="4"/>
  <c r="D381" i="4"/>
  <c r="B381" i="4"/>
  <c r="V380" i="4"/>
  <c r="D380" i="4"/>
  <c r="B380" i="4"/>
  <c r="V379" i="4"/>
  <c r="D379" i="4"/>
  <c r="B379" i="4"/>
  <c r="V378" i="4"/>
  <c r="D378" i="4"/>
  <c r="B378" i="4"/>
  <c r="V377" i="4"/>
  <c r="D377" i="4"/>
  <c r="B377" i="4"/>
  <c r="V376" i="4"/>
  <c r="D376" i="4"/>
  <c r="B376" i="4"/>
  <c r="V375" i="4"/>
  <c r="D375" i="4"/>
  <c r="B375" i="4"/>
  <c r="V374" i="4"/>
  <c r="D374" i="4"/>
  <c r="B374" i="4"/>
  <c r="V373" i="4"/>
  <c r="D373" i="4"/>
  <c r="B373" i="4"/>
  <c r="V372" i="4"/>
  <c r="D372" i="4"/>
  <c r="B372" i="4"/>
  <c r="V371" i="4"/>
  <c r="D371" i="4"/>
  <c r="B371" i="4"/>
  <c r="V370" i="4"/>
  <c r="D370" i="4"/>
  <c r="B370" i="4"/>
  <c r="V369" i="4"/>
  <c r="D369" i="4"/>
  <c r="B369" i="4"/>
  <c r="V368" i="4"/>
  <c r="D368" i="4"/>
  <c r="B368" i="4"/>
  <c r="V367" i="4"/>
  <c r="D367" i="4"/>
  <c r="B367" i="4"/>
  <c r="V366" i="4"/>
  <c r="D366" i="4"/>
  <c r="B366" i="4"/>
  <c r="V365" i="4"/>
  <c r="D365" i="4"/>
  <c r="B365" i="4"/>
  <c r="V364" i="4"/>
  <c r="D364" i="4"/>
  <c r="B364" i="4"/>
  <c r="V363" i="4"/>
  <c r="D363" i="4"/>
  <c r="B363" i="4"/>
  <c r="V362" i="4"/>
  <c r="D362" i="4"/>
  <c r="B362" i="4"/>
  <c r="V361" i="4"/>
  <c r="D361" i="4"/>
  <c r="B361" i="4"/>
  <c r="V360" i="4"/>
  <c r="D360" i="4"/>
  <c r="B360" i="4"/>
  <c r="V359" i="4"/>
  <c r="D359" i="4"/>
  <c r="B359" i="4"/>
  <c r="V358" i="4"/>
  <c r="D358" i="4"/>
  <c r="B358" i="4"/>
  <c r="V357" i="4"/>
  <c r="D357" i="4"/>
  <c r="B357" i="4"/>
  <c r="V356" i="4"/>
  <c r="D356" i="4"/>
  <c r="B356" i="4"/>
  <c r="V355" i="4"/>
  <c r="D355" i="4"/>
  <c r="B355" i="4"/>
  <c r="V354" i="4"/>
  <c r="D354" i="4"/>
  <c r="B354" i="4"/>
  <c r="V353" i="4"/>
  <c r="D353" i="4"/>
  <c r="B353" i="4"/>
  <c r="V352" i="4"/>
  <c r="D352" i="4"/>
  <c r="B352" i="4"/>
  <c r="V351" i="4"/>
  <c r="D351" i="4"/>
  <c r="B351" i="4"/>
  <c r="V350" i="4"/>
  <c r="D350" i="4"/>
  <c r="B350" i="4"/>
  <c r="V349" i="4"/>
  <c r="D349" i="4"/>
  <c r="B349" i="4"/>
  <c r="V348" i="4"/>
  <c r="D348" i="4"/>
  <c r="B348" i="4"/>
  <c r="V347" i="4"/>
  <c r="D347" i="4"/>
  <c r="B347" i="4"/>
  <c r="V346" i="4"/>
  <c r="D346" i="4"/>
  <c r="B346" i="4"/>
  <c r="V345" i="4"/>
  <c r="D345" i="4"/>
  <c r="B345" i="4"/>
  <c r="V344" i="4"/>
  <c r="D344" i="4"/>
  <c r="B344" i="4"/>
  <c r="V343" i="4"/>
  <c r="D343" i="4"/>
  <c r="B343" i="4"/>
  <c r="V342" i="4"/>
  <c r="D342" i="4"/>
  <c r="B342" i="4"/>
  <c r="V341" i="4"/>
  <c r="D341" i="4"/>
  <c r="B341" i="4"/>
  <c r="V340" i="4"/>
  <c r="D340" i="4"/>
  <c r="B340" i="4"/>
  <c r="V339" i="4"/>
  <c r="D339" i="4"/>
  <c r="B339" i="4"/>
  <c r="V338" i="4"/>
  <c r="D338" i="4"/>
  <c r="B338" i="4"/>
  <c r="V337" i="4"/>
  <c r="D337" i="4"/>
  <c r="B337" i="4"/>
  <c r="V336" i="4"/>
  <c r="D336" i="4"/>
  <c r="B336" i="4"/>
  <c r="V335" i="4"/>
  <c r="D335" i="4"/>
  <c r="B335" i="4"/>
  <c r="V334" i="4"/>
  <c r="D334" i="4"/>
  <c r="B334" i="4"/>
  <c r="V333" i="4"/>
  <c r="D333" i="4"/>
  <c r="B333" i="4"/>
  <c r="V332" i="4"/>
  <c r="D332" i="4"/>
  <c r="B332" i="4"/>
  <c r="V331" i="4"/>
  <c r="D331" i="4"/>
  <c r="B331" i="4"/>
  <c r="V330" i="4"/>
  <c r="D330" i="4"/>
  <c r="B330" i="4"/>
  <c r="V329" i="4"/>
  <c r="D329" i="4"/>
  <c r="B329" i="4"/>
  <c r="V328" i="4"/>
  <c r="D328" i="4"/>
  <c r="B328" i="4"/>
  <c r="V327" i="4"/>
  <c r="D327" i="4"/>
  <c r="B327" i="4"/>
  <c r="V326" i="4"/>
  <c r="D326" i="4"/>
  <c r="B326" i="4"/>
  <c r="V325" i="4"/>
  <c r="D325" i="4"/>
  <c r="B325" i="4"/>
  <c r="V324" i="4"/>
  <c r="D324" i="4"/>
  <c r="B324" i="4"/>
  <c r="V323" i="4"/>
  <c r="D323" i="4"/>
  <c r="B323" i="4"/>
  <c r="V322" i="4"/>
  <c r="D322" i="4"/>
  <c r="B322" i="4"/>
  <c r="V321" i="4"/>
  <c r="D321" i="4"/>
  <c r="B321" i="4"/>
  <c r="V320" i="4"/>
  <c r="D320" i="4"/>
  <c r="B320" i="4"/>
  <c r="V319" i="4"/>
  <c r="D319" i="4"/>
  <c r="B319" i="4"/>
  <c r="V318" i="4"/>
  <c r="D318" i="4"/>
  <c r="B318" i="4"/>
  <c r="V317" i="4"/>
  <c r="D317" i="4"/>
  <c r="B317" i="4"/>
  <c r="V316" i="4"/>
  <c r="D316" i="4"/>
  <c r="B316" i="4"/>
  <c r="V315" i="4"/>
  <c r="D315" i="4"/>
  <c r="B315" i="4"/>
  <c r="V314" i="4"/>
  <c r="D314" i="4"/>
  <c r="B314" i="4"/>
  <c r="V313" i="4"/>
  <c r="D313" i="4"/>
  <c r="B313" i="4"/>
  <c r="V312" i="4"/>
  <c r="D312" i="4"/>
  <c r="B312" i="4"/>
  <c r="V311" i="4"/>
  <c r="D311" i="4"/>
  <c r="B311" i="4"/>
  <c r="V310" i="4"/>
  <c r="D310" i="4"/>
  <c r="B310" i="4"/>
  <c r="V309" i="4"/>
  <c r="D309" i="4"/>
  <c r="B309" i="4"/>
  <c r="V308" i="4"/>
  <c r="D308" i="4"/>
  <c r="B308" i="4"/>
  <c r="V307" i="4"/>
  <c r="D307" i="4"/>
  <c r="B307" i="4"/>
  <c r="V306" i="4"/>
  <c r="D306" i="4"/>
  <c r="B306" i="4"/>
  <c r="V305" i="4"/>
  <c r="D305" i="4"/>
  <c r="B305" i="4"/>
  <c r="V304" i="4"/>
  <c r="D304" i="4"/>
  <c r="B304" i="4"/>
  <c r="V303" i="4"/>
  <c r="D303" i="4"/>
  <c r="B303" i="4"/>
  <c r="V302" i="4"/>
  <c r="D302" i="4"/>
  <c r="B302" i="4"/>
  <c r="V301" i="4"/>
  <c r="D301" i="4"/>
  <c r="B301" i="4"/>
  <c r="V300" i="4"/>
  <c r="D300" i="4"/>
  <c r="B300" i="4"/>
  <c r="V299" i="4"/>
  <c r="D299" i="4"/>
  <c r="B299" i="4"/>
  <c r="V298" i="4"/>
  <c r="D298" i="4"/>
  <c r="B298" i="4"/>
  <c r="V297" i="4"/>
  <c r="D297" i="4"/>
  <c r="B297" i="4"/>
  <c r="V296" i="4"/>
  <c r="D296" i="4"/>
  <c r="B296" i="4"/>
  <c r="V295" i="4"/>
  <c r="D295" i="4"/>
  <c r="B295" i="4"/>
  <c r="V294" i="4"/>
  <c r="D294" i="4"/>
  <c r="B294" i="4"/>
  <c r="V293" i="4"/>
  <c r="D293" i="4"/>
  <c r="B293" i="4"/>
  <c r="V292" i="4"/>
  <c r="D292" i="4"/>
  <c r="B292" i="4"/>
  <c r="V291" i="4"/>
  <c r="D291" i="4"/>
  <c r="B291" i="4"/>
  <c r="V290" i="4"/>
  <c r="D290" i="4"/>
  <c r="B290" i="4"/>
  <c r="V289" i="4"/>
  <c r="D289" i="4"/>
  <c r="B289" i="4"/>
  <c r="V288" i="4"/>
  <c r="D288" i="4"/>
  <c r="B288" i="4"/>
  <c r="V287" i="4"/>
  <c r="D287" i="4"/>
  <c r="B287" i="4"/>
  <c r="V286" i="4"/>
  <c r="D286" i="4"/>
  <c r="B286" i="4"/>
  <c r="V285" i="4"/>
  <c r="D285" i="4"/>
  <c r="B285" i="4"/>
  <c r="V284" i="4"/>
  <c r="D284" i="4"/>
  <c r="B284" i="4"/>
  <c r="V283" i="4"/>
  <c r="D283" i="4"/>
  <c r="B283" i="4"/>
  <c r="V282" i="4"/>
  <c r="D282" i="4"/>
  <c r="B282" i="4"/>
  <c r="V281" i="4"/>
  <c r="D281" i="4"/>
  <c r="B281" i="4"/>
  <c r="V280" i="4"/>
  <c r="D280" i="4"/>
  <c r="B280" i="4"/>
  <c r="V279" i="4"/>
  <c r="D279" i="4"/>
  <c r="B279" i="4"/>
  <c r="V278" i="4"/>
  <c r="D278" i="4"/>
  <c r="B278" i="4"/>
  <c r="V277" i="4"/>
  <c r="D277" i="4"/>
  <c r="B277" i="4"/>
  <c r="V276" i="4"/>
  <c r="D276" i="4"/>
  <c r="B276" i="4"/>
  <c r="V275" i="4"/>
  <c r="D275" i="4"/>
  <c r="B275" i="4"/>
  <c r="V274" i="4"/>
  <c r="D274" i="4"/>
  <c r="B274" i="4"/>
  <c r="V273" i="4"/>
  <c r="D273" i="4"/>
  <c r="B273" i="4"/>
  <c r="V272" i="4"/>
  <c r="D272" i="4"/>
  <c r="B272" i="4"/>
  <c r="V271" i="4"/>
  <c r="D271" i="4"/>
  <c r="B271" i="4"/>
  <c r="V270" i="4"/>
  <c r="D270" i="4"/>
  <c r="B270" i="4"/>
  <c r="V269" i="4"/>
  <c r="D269" i="4"/>
  <c r="B269" i="4"/>
  <c r="V268" i="4"/>
  <c r="D268" i="4"/>
  <c r="B268" i="4"/>
  <c r="V267" i="4"/>
  <c r="D267" i="4"/>
  <c r="B267" i="4"/>
  <c r="V266" i="4"/>
  <c r="D266" i="4"/>
  <c r="B266" i="4"/>
  <c r="V265" i="4"/>
  <c r="D265" i="4"/>
  <c r="B265" i="4"/>
  <c r="V264" i="4"/>
  <c r="D264" i="4"/>
  <c r="B264" i="4"/>
  <c r="V263" i="4"/>
  <c r="D263" i="4"/>
  <c r="B263" i="4"/>
  <c r="V262" i="4"/>
  <c r="D262" i="4"/>
  <c r="B262" i="4"/>
  <c r="V261" i="4"/>
  <c r="D261" i="4"/>
  <c r="B261" i="4"/>
  <c r="V260" i="4"/>
  <c r="D260" i="4"/>
  <c r="B260" i="4"/>
  <c r="V259" i="4"/>
  <c r="D259" i="4"/>
  <c r="B259" i="4"/>
  <c r="V258" i="4"/>
  <c r="D258" i="4"/>
  <c r="B258" i="4"/>
  <c r="V257" i="4"/>
  <c r="D257" i="4"/>
  <c r="B257" i="4"/>
  <c r="V256" i="4"/>
  <c r="D256" i="4"/>
  <c r="B256" i="4"/>
  <c r="V255" i="4"/>
  <c r="D255" i="4"/>
  <c r="B255" i="4"/>
  <c r="V254" i="4"/>
  <c r="D254" i="4"/>
  <c r="B254" i="4"/>
  <c r="V253" i="4"/>
  <c r="D253" i="4"/>
  <c r="B253" i="4"/>
  <c r="V252" i="4"/>
  <c r="D252" i="4"/>
  <c r="B252" i="4"/>
  <c r="V251" i="4"/>
  <c r="D251" i="4"/>
  <c r="B251" i="4"/>
  <c r="V250" i="4"/>
  <c r="D250" i="4"/>
  <c r="B250" i="4"/>
  <c r="V249" i="4"/>
  <c r="D249" i="4"/>
  <c r="B249" i="4"/>
  <c r="V248" i="4"/>
  <c r="D248" i="4"/>
  <c r="B248" i="4"/>
  <c r="V247" i="4"/>
  <c r="D247" i="4"/>
  <c r="B247" i="4"/>
  <c r="V246" i="4"/>
  <c r="D246" i="4"/>
  <c r="B246" i="4"/>
  <c r="V245" i="4"/>
  <c r="D245" i="4"/>
  <c r="B245" i="4"/>
  <c r="V244" i="4"/>
  <c r="D244" i="4"/>
  <c r="B244" i="4"/>
  <c r="V243" i="4"/>
  <c r="D243" i="4"/>
  <c r="B243" i="4"/>
  <c r="V242" i="4"/>
  <c r="D242" i="4"/>
  <c r="B242" i="4"/>
  <c r="V241" i="4"/>
  <c r="D241" i="4"/>
  <c r="B241" i="4"/>
  <c r="V240" i="4"/>
  <c r="D240" i="4"/>
  <c r="B240" i="4"/>
  <c r="V239" i="4"/>
  <c r="D239" i="4"/>
  <c r="B239" i="4"/>
  <c r="V238" i="4"/>
  <c r="D238" i="4"/>
  <c r="B238" i="4"/>
  <c r="V237" i="4"/>
  <c r="D237" i="4"/>
  <c r="B237" i="4"/>
  <c r="V236" i="4"/>
  <c r="D236" i="4"/>
  <c r="B236" i="4"/>
  <c r="V235" i="4"/>
  <c r="D235" i="4"/>
  <c r="B235" i="4"/>
  <c r="V234" i="4"/>
  <c r="D234" i="4"/>
  <c r="B234" i="4"/>
  <c r="V233" i="4"/>
  <c r="D233" i="4"/>
  <c r="B233" i="4"/>
  <c r="V232" i="4"/>
  <c r="D232" i="4"/>
  <c r="B232" i="4"/>
  <c r="V231" i="4"/>
  <c r="D231" i="4"/>
  <c r="B231" i="4"/>
  <c r="V230" i="4"/>
  <c r="D230" i="4"/>
  <c r="B230" i="4"/>
  <c r="V229" i="4"/>
  <c r="D229" i="4"/>
  <c r="B229" i="4"/>
  <c r="V228" i="4"/>
  <c r="D228" i="4"/>
  <c r="B228" i="4"/>
  <c r="V227" i="4"/>
  <c r="D227" i="4"/>
  <c r="B227" i="4"/>
  <c r="V226" i="4"/>
  <c r="D226" i="4"/>
  <c r="B226" i="4"/>
  <c r="V225" i="4"/>
  <c r="D225" i="4"/>
  <c r="B225" i="4"/>
  <c r="V224" i="4"/>
  <c r="D224" i="4"/>
  <c r="B224" i="4"/>
  <c r="V223" i="4"/>
  <c r="D223" i="4"/>
  <c r="B223" i="4"/>
  <c r="V222" i="4"/>
  <c r="D222" i="4"/>
  <c r="B222" i="4"/>
  <c r="V221" i="4"/>
  <c r="D221" i="4"/>
  <c r="B221" i="4"/>
  <c r="V220" i="4"/>
  <c r="D220" i="4"/>
  <c r="B220" i="4"/>
  <c r="V219" i="4"/>
  <c r="D219" i="4"/>
  <c r="B219" i="4"/>
  <c r="V218" i="4"/>
  <c r="D218" i="4"/>
  <c r="B218" i="4"/>
  <c r="V217" i="4"/>
  <c r="D217" i="4"/>
  <c r="B217" i="4"/>
  <c r="V216" i="4"/>
  <c r="D216" i="4"/>
  <c r="B216" i="4"/>
  <c r="V215" i="4"/>
  <c r="D215" i="4"/>
  <c r="B215" i="4"/>
  <c r="V214" i="4"/>
  <c r="D214" i="4"/>
  <c r="B214" i="4"/>
  <c r="V213" i="4"/>
  <c r="D213" i="4"/>
  <c r="B213" i="4"/>
  <c r="V212" i="4"/>
  <c r="D212" i="4"/>
  <c r="B212" i="4"/>
  <c r="V211" i="4"/>
  <c r="D211" i="4"/>
  <c r="B211" i="4"/>
  <c r="V210" i="4"/>
  <c r="D210" i="4"/>
  <c r="B210" i="4"/>
  <c r="V209" i="4"/>
  <c r="D209" i="4"/>
  <c r="B209" i="4"/>
  <c r="V208" i="4"/>
  <c r="D208" i="4"/>
  <c r="B208" i="4"/>
  <c r="V207" i="4"/>
  <c r="D207" i="4"/>
  <c r="B207" i="4"/>
  <c r="V206" i="4"/>
  <c r="D206" i="4"/>
  <c r="B206" i="4"/>
  <c r="V205" i="4"/>
  <c r="D205" i="4"/>
  <c r="B205" i="4"/>
  <c r="V204" i="4"/>
  <c r="D204" i="4"/>
  <c r="B204" i="4"/>
  <c r="V203" i="4"/>
  <c r="D203" i="4"/>
  <c r="B203" i="4"/>
  <c r="V202" i="4"/>
  <c r="D202" i="4"/>
  <c r="B202" i="4"/>
  <c r="V201" i="4"/>
  <c r="D201" i="4"/>
  <c r="B201" i="4"/>
  <c r="V200" i="4"/>
  <c r="D200" i="4"/>
  <c r="B200" i="4"/>
  <c r="V199" i="4"/>
  <c r="D199" i="4"/>
  <c r="B199" i="4"/>
  <c r="V198" i="4"/>
  <c r="D198" i="4"/>
  <c r="B198" i="4"/>
  <c r="V197" i="4"/>
  <c r="D197" i="4"/>
  <c r="B197" i="4"/>
  <c r="V196" i="4"/>
  <c r="D196" i="4"/>
  <c r="B196" i="4"/>
  <c r="V195" i="4"/>
  <c r="D195" i="4"/>
  <c r="B195" i="4"/>
  <c r="V194" i="4"/>
  <c r="D194" i="4"/>
  <c r="B194" i="4"/>
  <c r="V193" i="4"/>
  <c r="D193" i="4"/>
  <c r="B193" i="4"/>
  <c r="V192" i="4"/>
  <c r="D192" i="4"/>
  <c r="B192" i="4"/>
  <c r="V191" i="4"/>
  <c r="D191" i="4"/>
  <c r="B191" i="4"/>
  <c r="V190" i="4"/>
  <c r="D190" i="4"/>
  <c r="B190" i="4"/>
  <c r="V189" i="4"/>
  <c r="D189" i="4"/>
  <c r="B189" i="4"/>
  <c r="V188" i="4"/>
  <c r="D188" i="4"/>
  <c r="B188" i="4"/>
  <c r="V187" i="4"/>
  <c r="D187" i="4"/>
  <c r="B187" i="4"/>
  <c r="V186" i="4"/>
  <c r="D186" i="4"/>
  <c r="B186" i="4"/>
  <c r="V185" i="4"/>
  <c r="D185" i="4"/>
  <c r="B185" i="4"/>
  <c r="V184" i="4"/>
  <c r="D184" i="4"/>
  <c r="B184" i="4"/>
  <c r="V183" i="4"/>
  <c r="D183" i="4"/>
  <c r="B183" i="4"/>
  <c r="V182" i="4"/>
  <c r="D182" i="4"/>
  <c r="B182" i="4"/>
  <c r="V181" i="4"/>
  <c r="D181" i="4"/>
  <c r="B181" i="4"/>
  <c r="V180" i="4"/>
  <c r="D180" i="4"/>
  <c r="B180" i="4"/>
  <c r="V179" i="4"/>
  <c r="D179" i="4"/>
  <c r="B179" i="4"/>
  <c r="V178" i="4"/>
  <c r="D178" i="4"/>
  <c r="B178" i="4"/>
  <c r="V177" i="4"/>
  <c r="D177" i="4"/>
  <c r="B177" i="4"/>
  <c r="V176" i="4"/>
  <c r="D176" i="4"/>
  <c r="B176" i="4"/>
  <c r="V175" i="4"/>
  <c r="D175" i="4"/>
  <c r="B175" i="4"/>
  <c r="V174" i="4"/>
  <c r="D174" i="4"/>
  <c r="B174" i="4"/>
  <c r="V173" i="4"/>
  <c r="D173" i="4"/>
  <c r="B173" i="4"/>
  <c r="V172" i="4"/>
  <c r="D172" i="4"/>
  <c r="B172" i="4"/>
  <c r="V171" i="4"/>
  <c r="D171" i="4"/>
  <c r="B171" i="4"/>
  <c r="V170" i="4"/>
  <c r="D170" i="4"/>
  <c r="B170" i="4"/>
  <c r="V169" i="4"/>
  <c r="D169" i="4"/>
  <c r="B169" i="4"/>
  <c r="V168" i="4"/>
  <c r="D168" i="4"/>
  <c r="B168" i="4"/>
  <c r="V167" i="4"/>
  <c r="D167" i="4"/>
  <c r="B167" i="4"/>
  <c r="V166" i="4"/>
  <c r="D166" i="4"/>
  <c r="B166" i="4"/>
  <c r="V165" i="4"/>
  <c r="D165" i="4"/>
  <c r="B165" i="4"/>
  <c r="V164" i="4"/>
  <c r="D164" i="4"/>
  <c r="B164" i="4"/>
  <c r="V163" i="4"/>
  <c r="D163" i="4"/>
  <c r="B163" i="4"/>
  <c r="V162" i="4"/>
  <c r="D162" i="4"/>
  <c r="B162" i="4"/>
  <c r="V161" i="4"/>
  <c r="D161" i="4"/>
  <c r="B161" i="4"/>
  <c r="V160" i="4"/>
  <c r="D160" i="4"/>
  <c r="B160" i="4"/>
  <c r="V159" i="4"/>
  <c r="D159" i="4"/>
  <c r="B159" i="4"/>
  <c r="V158" i="4"/>
  <c r="D158" i="4"/>
  <c r="B158" i="4"/>
  <c r="V157" i="4"/>
  <c r="D157" i="4"/>
  <c r="B157" i="4"/>
  <c r="V156" i="4"/>
  <c r="D156" i="4"/>
  <c r="B156" i="4"/>
  <c r="V155" i="4"/>
  <c r="D155" i="4"/>
  <c r="B155" i="4"/>
  <c r="V154" i="4"/>
  <c r="D154" i="4"/>
  <c r="B154" i="4"/>
  <c r="V153" i="4"/>
  <c r="D153" i="4"/>
  <c r="B153" i="4"/>
  <c r="V152" i="4"/>
  <c r="D152" i="4"/>
  <c r="B152" i="4"/>
  <c r="V151" i="4"/>
  <c r="D151" i="4"/>
  <c r="B151" i="4"/>
  <c r="V150" i="4"/>
  <c r="D150" i="4"/>
  <c r="B150" i="4"/>
  <c r="V149" i="4"/>
  <c r="D149" i="4"/>
  <c r="B149" i="4"/>
  <c r="V147" i="4"/>
  <c r="D147" i="4"/>
  <c r="B147" i="4"/>
  <c r="V146" i="4"/>
  <c r="D146" i="4"/>
  <c r="B146" i="4"/>
  <c r="V145" i="4"/>
  <c r="D145" i="4"/>
  <c r="B145" i="4"/>
  <c r="V144" i="4"/>
  <c r="D144" i="4"/>
  <c r="B144" i="4"/>
  <c r="V143" i="4"/>
  <c r="D143" i="4"/>
  <c r="B143" i="4"/>
  <c r="V142" i="4"/>
  <c r="D142" i="4"/>
  <c r="B142" i="4"/>
  <c r="V141" i="4"/>
  <c r="D141" i="4"/>
  <c r="B141" i="4"/>
  <c r="V140" i="4"/>
  <c r="D140" i="4"/>
  <c r="B140" i="4"/>
  <c r="V139" i="4"/>
  <c r="D139" i="4"/>
  <c r="B139" i="4"/>
  <c r="V138" i="4"/>
  <c r="D138" i="4"/>
  <c r="B138" i="4"/>
  <c r="V137" i="4"/>
  <c r="D137" i="4"/>
  <c r="B137" i="4"/>
  <c r="V136" i="4"/>
  <c r="D136" i="4"/>
  <c r="B136" i="4"/>
  <c r="V135" i="4"/>
  <c r="D135" i="4"/>
  <c r="B135" i="4"/>
  <c r="V134" i="4"/>
  <c r="D134" i="4"/>
  <c r="B134" i="4"/>
  <c r="V133" i="4"/>
  <c r="D133" i="4"/>
  <c r="B133" i="4"/>
  <c r="V132" i="4"/>
  <c r="D132" i="4"/>
  <c r="B132" i="4"/>
  <c r="V131" i="4"/>
  <c r="D131" i="4"/>
  <c r="B131" i="4"/>
  <c r="V130" i="4"/>
  <c r="D130" i="4"/>
  <c r="B130" i="4"/>
  <c r="V129" i="4"/>
  <c r="D129" i="4"/>
  <c r="B129" i="4"/>
  <c r="V128" i="4"/>
  <c r="D128" i="4"/>
  <c r="B128" i="4"/>
  <c r="V127" i="4"/>
  <c r="D127" i="4"/>
  <c r="B127" i="4"/>
  <c r="V126" i="4"/>
  <c r="D126" i="4"/>
  <c r="B126" i="4"/>
  <c r="V125" i="4"/>
  <c r="D125" i="4"/>
  <c r="B125" i="4"/>
  <c r="V124" i="4"/>
  <c r="D124" i="4"/>
  <c r="B124" i="4"/>
  <c r="V123" i="4"/>
  <c r="D123" i="4"/>
  <c r="B123" i="4"/>
  <c r="V122" i="4"/>
  <c r="D122" i="4"/>
  <c r="B122" i="4"/>
  <c r="V121" i="4"/>
  <c r="D121" i="4"/>
  <c r="B121" i="4"/>
  <c r="V120" i="4"/>
  <c r="D120" i="4"/>
  <c r="B120" i="4"/>
  <c r="V119" i="4"/>
  <c r="D119" i="4"/>
  <c r="B119" i="4"/>
  <c r="V118" i="4"/>
  <c r="D118" i="4"/>
  <c r="B118" i="4"/>
  <c r="V117" i="4"/>
  <c r="D117" i="4"/>
  <c r="B117" i="4"/>
  <c r="V116" i="4"/>
  <c r="D116" i="4"/>
  <c r="B116" i="4"/>
  <c r="V115" i="4"/>
  <c r="D115" i="4"/>
  <c r="B115" i="4"/>
  <c r="V114" i="4"/>
  <c r="D114" i="4"/>
  <c r="B114" i="4"/>
  <c r="V113" i="4"/>
  <c r="D113" i="4"/>
  <c r="B113" i="4"/>
  <c r="V112" i="4"/>
  <c r="D112" i="4"/>
  <c r="B112" i="4"/>
  <c r="V111" i="4"/>
  <c r="D111" i="4"/>
  <c r="B111" i="4"/>
  <c r="V110" i="4"/>
  <c r="D110" i="4"/>
  <c r="B110" i="4"/>
  <c r="V109" i="4"/>
  <c r="D109" i="4"/>
  <c r="B109" i="4"/>
  <c r="V108" i="4"/>
  <c r="D108" i="4"/>
  <c r="B108" i="4"/>
  <c r="V107" i="4"/>
  <c r="D107" i="4"/>
  <c r="B107" i="4"/>
  <c r="V106" i="4"/>
  <c r="D106" i="4"/>
  <c r="B106" i="4"/>
  <c r="V105" i="4"/>
  <c r="D105" i="4"/>
  <c r="B105" i="4"/>
  <c r="V104" i="4"/>
  <c r="D104" i="4"/>
  <c r="B104" i="4"/>
  <c r="V103" i="4"/>
  <c r="D103" i="4"/>
  <c r="B103" i="4"/>
  <c r="V102" i="4"/>
  <c r="D102" i="4"/>
  <c r="B102" i="4"/>
  <c r="V101" i="4"/>
  <c r="D101" i="4"/>
  <c r="B101" i="4"/>
  <c r="V100" i="4"/>
  <c r="D100" i="4"/>
  <c r="B100" i="4"/>
  <c r="V99" i="4"/>
  <c r="D99" i="4"/>
  <c r="B99" i="4"/>
  <c r="V98" i="4"/>
  <c r="D98" i="4"/>
  <c r="B98" i="4"/>
  <c r="V97" i="4"/>
  <c r="D97" i="4"/>
  <c r="B97" i="4"/>
  <c r="V96" i="4"/>
  <c r="D96" i="4"/>
  <c r="B96" i="4"/>
  <c r="V95" i="4"/>
  <c r="D95" i="4"/>
  <c r="B95" i="4"/>
  <c r="V94" i="4"/>
  <c r="D94" i="4"/>
  <c r="B94" i="4"/>
  <c r="V93" i="4"/>
  <c r="D93" i="4"/>
  <c r="B93" i="4"/>
  <c r="V92" i="4"/>
  <c r="D92" i="4"/>
  <c r="B92" i="4"/>
  <c r="V91" i="4"/>
  <c r="D91" i="4"/>
  <c r="B91" i="4"/>
  <c r="V90" i="4"/>
  <c r="D90" i="4"/>
  <c r="B90" i="4"/>
  <c r="V89" i="4"/>
  <c r="D89" i="4"/>
  <c r="B89" i="4"/>
  <c r="V88" i="4"/>
  <c r="D88" i="4"/>
  <c r="B88" i="4"/>
  <c r="V87" i="4"/>
  <c r="D87" i="4"/>
  <c r="B87" i="4"/>
  <c r="V86" i="4"/>
  <c r="D86" i="4"/>
  <c r="B86" i="4"/>
  <c r="V85" i="4"/>
  <c r="D85" i="4"/>
  <c r="B85" i="4"/>
  <c r="V84" i="4"/>
  <c r="D84" i="4"/>
  <c r="B84" i="4"/>
  <c r="V83" i="4"/>
  <c r="D83" i="4"/>
  <c r="B83" i="4"/>
  <c r="V82" i="4"/>
  <c r="D82" i="4"/>
  <c r="B82" i="4"/>
  <c r="V81" i="4"/>
  <c r="D81" i="4"/>
  <c r="B81" i="4"/>
  <c r="V80" i="4"/>
  <c r="D80" i="4"/>
  <c r="B80" i="4"/>
  <c r="V79" i="4"/>
  <c r="D79" i="4"/>
  <c r="B79" i="4"/>
  <c r="V78" i="4"/>
  <c r="D78" i="4"/>
  <c r="B78" i="4"/>
  <c r="V77" i="4"/>
  <c r="D77" i="4"/>
  <c r="B77" i="4"/>
  <c r="V76" i="4"/>
  <c r="D76" i="4"/>
  <c r="B76" i="4"/>
  <c r="V75" i="4"/>
  <c r="D75" i="4"/>
  <c r="B75" i="4"/>
  <c r="V74" i="4"/>
  <c r="D74" i="4"/>
  <c r="B74" i="4"/>
  <c r="V73" i="4"/>
  <c r="D73" i="4"/>
  <c r="B73" i="4"/>
  <c r="V72" i="4"/>
  <c r="D72" i="4"/>
  <c r="B72" i="4"/>
  <c r="V71" i="4"/>
  <c r="D71" i="4"/>
  <c r="B71" i="4"/>
  <c r="V70" i="4"/>
  <c r="D70" i="4"/>
  <c r="B70" i="4"/>
  <c r="V69" i="4"/>
  <c r="D69" i="4"/>
  <c r="B69" i="4"/>
  <c r="V68" i="4"/>
  <c r="D68" i="4"/>
  <c r="B68" i="4"/>
  <c r="V67" i="4"/>
  <c r="D67" i="4"/>
  <c r="B67" i="4"/>
  <c r="V66" i="4"/>
  <c r="D66" i="4"/>
  <c r="B66" i="4"/>
  <c r="V65" i="4"/>
  <c r="D65" i="4"/>
  <c r="B65" i="4"/>
  <c r="V64" i="4"/>
  <c r="D64" i="4"/>
  <c r="B64" i="4"/>
  <c r="V63" i="4"/>
  <c r="D63" i="4"/>
  <c r="B63" i="4"/>
  <c r="V62" i="4"/>
  <c r="D62" i="4"/>
  <c r="B62" i="4"/>
  <c r="V61" i="4"/>
  <c r="D61" i="4"/>
  <c r="B61" i="4"/>
  <c r="V60" i="4"/>
  <c r="D60" i="4"/>
  <c r="B60" i="4"/>
  <c r="V59" i="4"/>
  <c r="D59" i="4"/>
  <c r="B59" i="4"/>
  <c r="V58" i="4"/>
  <c r="D58" i="4"/>
  <c r="B58" i="4"/>
  <c r="V57" i="4"/>
  <c r="D57" i="4"/>
  <c r="B57" i="4"/>
  <c r="V56" i="4"/>
  <c r="D56" i="4"/>
  <c r="B56" i="4"/>
  <c r="V55" i="4"/>
  <c r="D55" i="4"/>
  <c r="B55" i="4"/>
  <c r="V54" i="4"/>
  <c r="D54" i="4"/>
  <c r="B54" i="4"/>
  <c r="V53" i="4"/>
  <c r="D53" i="4"/>
  <c r="B53" i="4"/>
  <c r="V52" i="4"/>
  <c r="D52" i="4"/>
  <c r="B52" i="4"/>
  <c r="V51" i="4"/>
  <c r="D51" i="4"/>
  <c r="B51" i="4"/>
  <c r="V50" i="4"/>
  <c r="D50" i="4"/>
  <c r="B50" i="4"/>
  <c r="V49" i="4"/>
  <c r="D49" i="4"/>
  <c r="B49" i="4"/>
  <c r="V48" i="4"/>
  <c r="D48" i="4"/>
  <c r="B48" i="4"/>
  <c r="V47" i="4"/>
  <c r="D47" i="4"/>
  <c r="B47" i="4"/>
  <c r="V46" i="4"/>
  <c r="D46" i="4"/>
  <c r="B46" i="4"/>
  <c r="V45" i="4"/>
  <c r="D45" i="4"/>
  <c r="B45" i="4"/>
  <c r="V44" i="4"/>
  <c r="D44" i="4"/>
  <c r="B44" i="4"/>
  <c r="V43" i="4"/>
  <c r="D43" i="4"/>
  <c r="B43" i="4"/>
  <c r="V42" i="4"/>
  <c r="D42" i="4"/>
  <c r="B42" i="4"/>
  <c r="V41" i="4"/>
  <c r="D41" i="4"/>
  <c r="B41" i="4"/>
  <c r="V40" i="4"/>
  <c r="D40" i="4"/>
  <c r="B40" i="4"/>
  <c r="V39" i="4"/>
  <c r="D39" i="4"/>
  <c r="B39" i="4"/>
  <c r="V38" i="4"/>
  <c r="D38" i="4"/>
  <c r="B38" i="4"/>
  <c r="V37" i="4"/>
  <c r="D37" i="4"/>
  <c r="B37" i="4"/>
  <c r="V36" i="4"/>
  <c r="D36" i="4"/>
  <c r="B36" i="4"/>
  <c r="V35" i="4"/>
  <c r="D35" i="4"/>
  <c r="B35" i="4"/>
  <c r="V34" i="4"/>
  <c r="D34" i="4"/>
  <c r="B34" i="4"/>
  <c r="V33" i="4"/>
  <c r="D33" i="4"/>
  <c r="B33" i="4"/>
  <c r="V32" i="4"/>
  <c r="D32" i="4"/>
  <c r="B32" i="4"/>
  <c r="V31" i="4"/>
  <c r="D31" i="4"/>
  <c r="B31" i="4"/>
  <c r="V30" i="4"/>
  <c r="D30" i="4"/>
  <c r="B30" i="4"/>
  <c r="V29" i="4"/>
  <c r="D29" i="4"/>
  <c r="B29" i="4"/>
  <c r="V28" i="4"/>
  <c r="D28" i="4"/>
  <c r="B28" i="4"/>
  <c r="V27" i="4"/>
  <c r="D27" i="4"/>
  <c r="B27" i="4"/>
  <c r="V26" i="4"/>
  <c r="D26" i="4"/>
  <c r="B26" i="4"/>
  <c r="V25" i="4"/>
  <c r="D25" i="4"/>
  <c r="B25" i="4"/>
  <c r="V24" i="4"/>
  <c r="D24" i="4"/>
  <c r="B24" i="4"/>
  <c r="V23" i="4"/>
  <c r="D23" i="4"/>
  <c r="B23" i="4"/>
  <c r="V22" i="4"/>
  <c r="D22" i="4"/>
  <c r="B22" i="4"/>
  <c r="V21" i="4"/>
  <c r="D21" i="4"/>
  <c r="B21" i="4"/>
  <c r="V20" i="4"/>
  <c r="D20" i="4"/>
  <c r="B20" i="4"/>
  <c r="V19" i="4"/>
  <c r="D19" i="4"/>
  <c r="B19" i="4"/>
  <c r="V18" i="4"/>
  <c r="D18" i="4"/>
  <c r="B18" i="4"/>
  <c r="V17" i="4"/>
  <c r="D17" i="4"/>
  <c r="B17" i="4"/>
  <c r="V16" i="4"/>
  <c r="D16" i="4"/>
  <c r="B16" i="4"/>
  <c r="V15" i="4"/>
  <c r="D15" i="4"/>
  <c r="B15" i="4"/>
  <c r="V14" i="4"/>
  <c r="D14" i="4"/>
  <c r="B14" i="4"/>
  <c r="V13" i="4"/>
  <c r="D13" i="4"/>
  <c r="B13" i="4"/>
  <c r="V12" i="4"/>
  <c r="D12" i="4"/>
  <c r="B12" i="4"/>
  <c r="V11" i="4"/>
  <c r="D11" i="4"/>
  <c r="B11" i="4"/>
  <c r="V10" i="4"/>
  <c r="D10" i="4"/>
  <c r="B10" i="4"/>
  <c r="V9" i="4"/>
  <c r="D9" i="4"/>
  <c r="B9" i="4"/>
  <c r="V8" i="4"/>
  <c r="D8" i="4"/>
  <c r="B8" i="4"/>
  <c r="V7" i="4"/>
  <c r="D7" i="4"/>
  <c r="B7" i="4"/>
  <c r="V6" i="4"/>
  <c r="D6" i="4"/>
  <c r="B6" i="4"/>
  <c r="V5" i="4"/>
  <c r="D5" i="4"/>
  <c r="B5" i="4"/>
  <c r="V4" i="4"/>
  <c r="D4" i="4"/>
  <c r="B4" i="4"/>
  <c r="V3" i="4"/>
  <c r="D3" i="4"/>
  <c r="B3" i="4"/>
  <c r="V2" i="4"/>
  <c r="D2" i="4"/>
  <c r="B2" i="4"/>
  <c r="F33" i="3"/>
  <c r="F26" i="3"/>
  <c r="F17" i="3"/>
  <c r="J306" i="2"/>
  <c r="K306" i="2" s="1"/>
  <c r="L306" i="2" s="1"/>
  <c r="E306" i="2" s="1"/>
  <c r="F306" i="2" a="1"/>
  <c r="F306" i="2" s="1"/>
  <c r="D306" i="2"/>
  <c r="C306" i="2"/>
  <c r="J305" i="2"/>
  <c r="K305" i="2" s="1"/>
  <c r="L305" i="2" s="1"/>
  <c r="E305" i="2" s="1"/>
  <c r="G305" i="2" a="1"/>
  <c r="G305" i="2" s="1"/>
  <c r="F305" i="2" a="1"/>
  <c r="F305" i="2" s="1"/>
  <c r="D305" i="2"/>
  <c r="C305" i="2"/>
  <c r="J304" i="2"/>
  <c r="K304" i="2" s="1"/>
  <c r="L304" i="2" s="1"/>
  <c r="E304" i="2" s="1"/>
  <c r="G304" i="2" a="1"/>
  <c r="G304" i="2" s="1"/>
  <c r="F304" i="2" a="1"/>
  <c r="F304" i="2" s="1"/>
  <c r="D304" i="2"/>
  <c r="C304" i="2"/>
  <c r="J303" i="2"/>
  <c r="K303" i="2" s="1"/>
  <c r="L303" i="2" s="1"/>
  <c r="E303" i="2" s="1"/>
  <c r="G303" i="2" a="1"/>
  <c r="G303" i="2"/>
  <c r="F303" i="2" a="1"/>
  <c r="F303" i="2" s="1"/>
  <c r="D303" i="2"/>
  <c r="C303" i="2"/>
  <c r="J302" i="2"/>
  <c r="K302" i="2" s="1"/>
  <c r="L302" i="2" s="1"/>
  <c r="E302" i="2" s="1"/>
  <c r="G302" i="2" a="1"/>
  <c r="G302" i="2" s="1"/>
  <c r="F302" i="2" a="1"/>
  <c r="F302" i="2" s="1"/>
  <c r="D302" i="2"/>
  <c r="C302" i="2"/>
  <c r="J301" i="2"/>
  <c r="K301" i="2" s="1"/>
  <c r="L301" i="2" s="1"/>
  <c r="E301" i="2" s="1"/>
  <c r="G301" i="2" a="1"/>
  <c r="G301" i="2" s="1"/>
  <c r="F301" i="2" a="1"/>
  <c r="F301" i="2" s="1"/>
  <c r="D301" i="2"/>
  <c r="C301" i="2"/>
  <c r="J300" i="2"/>
  <c r="K300" i="2" s="1"/>
  <c r="L300" i="2" s="1"/>
  <c r="E300" i="2" s="1"/>
  <c r="G300" i="2" a="1"/>
  <c r="G300" i="2" s="1"/>
  <c r="F300" i="2" a="1"/>
  <c r="F300" i="2" s="1"/>
  <c r="D300" i="2"/>
  <c r="C300" i="2"/>
  <c r="J299" i="2"/>
  <c r="K299" i="2" s="1"/>
  <c r="L299" i="2" s="1"/>
  <c r="E299" i="2" s="1"/>
  <c r="G299" i="2" a="1"/>
  <c r="G299" i="2" s="1"/>
  <c r="F299" i="2" a="1"/>
  <c r="F299" i="2" s="1"/>
  <c r="D299" i="2"/>
  <c r="C299" i="2"/>
  <c r="J298" i="2"/>
  <c r="K298" i="2" s="1"/>
  <c r="L298" i="2" s="1"/>
  <c r="E298" i="2" s="1"/>
  <c r="G298" i="2" a="1"/>
  <c r="G298" i="2" s="1"/>
  <c r="F298" i="2" a="1"/>
  <c r="F298" i="2" s="1"/>
  <c r="D298" i="2"/>
  <c r="C298" i="2"/>
  <c r="J297" i="2"/>
  <c r="K297" i="2" s="1"/>
  <c r="L297" i="2" s="1"/>
  <c r="E297" i="2" s="1"/>
  <c r="G297" i="2" a="1"/>
  <c r="G297" i="2" s="1"/>
  <c r="F297" i="2" a="1"/>
  <c r="F297" i="2" s="1"/>
  <c r="D297" i="2"/>
  <c r="C297" i="2"/>
  <c r="J296" i="2"/>
  <c r="K296" i="2" s="1"/>
  <c r="L296" i="2" s="1"/>
  <c r="E296" i="2" s="1"/>
  <c r="G296" i="2" a="1"/>
  <c r="G296" i="2" s="1"/>
  <c r="F296" i="2" a="1"/>
  <c r="F296" i="2" s="1"/>
  <c r="D296" i="2"/>
  <c r="C296" i="2"/>
  <c r="J295" i="2"/>
  <c r="K295" i="2" s="1"/>
  <c r="L295" i="2" s="1"/>
  <c r="E295" i="2" s="1"/>
  <c r="G295" i="2" a="1"/>
  <c r="G295" i="2" s="1"/>
  <c r="F295" i="2" a="1"/>
  <c r="F295" i="2" s="1"/>
  <c r="D295" i="2"/>
  <c r="C295" i="2"/>
  <c r="J294" i="2"/>
  <c r="K294" i="2" s="1"/>
  <c r="L294" i="2" s="1"/>
  <c r="E294" i="2" s="1"/>
  <c r="G294" i="2" a="1"/>
  <c r="G294" i="2" s="1"/>
  <c r="F294" i="2" a="1"/>
  <c r="F294" i="2" s="1"/>
  <c r="D294" i="2"/>
  <c r="C294" i="2"/>
  <c r="J293" i="2"/>
  <c r="K293" i="2" s="1"/>
  <c r="L293" i="2" s="1"/>
  <c r="E293" i="2" s="1"/>
  <c r="G293" i="2" a="1"/>
  <c r="G293" i="2" s="1"/>
  <c r="F293" i="2" a="1"/>
  <c r="F293" i="2" s="1"/>
  <c r="D293" i="2"/>
  <c r="C293" i="2"/>
  <c r="J292" i="2"/>
  <c r="K292" i="2" s="1"/>
  <c r="L292" i="2" s="1"/>
  <c r="E292" i="2" s="1"/>
  <c r="G292" i="2" a="1"/>
  <c r="G292" i="2" s="1"/>
  <c r="F292" i="2" a="1"/>
  <c r="F292" i="2" s="1"/>
  <c r="D292" i="2"/>
  <c r="C292" i="2"/>
  <c r="J291" i="2"/>
  <c r="K291" i="2" s="1"/>
  <c r="L291" i="2" s="1"/>
  <c r="E291" i="2" s="1"/>
  <c r="G291" i="2" a="1"/>
  <c r="G291" i="2" s="1"/>
  <c r="F291" i="2" a="1"/>
  <c r="F291" i="2" s="1"/>
  <c r="D291" i="2"/>
  <c r="C291" i="2"/>
  <c r="J290" i="2"/>
  <c r="K290" i="2" s="1"/>
  <c r="L290" i="2" s="1"/>
  <c r="E290" i="2" s="1"/>
  <c r="H290" i="2" a="1"/>
  <c r="H290" i="2" s="1"/>
  <c r="I290" i="2" s="1" a="1"/>
  <c r="I290" i="2" s="1"/>
  <c r="G290" i="2" a="1"/>
  <c r="G290" i="2" s="1"/>
  <c r="F290" i="2" a="1"/>
  <c r="F290" i="2" s="1"/>
  <c r="D290" i="2"/>
  <c r="C290" i="2"/>
  <c r="J289" i="2"/>
  <c r="K289" i="2" s="1"/>
  <c r="L289" i="2" s="1"/>
  <c r="I289" i="2" a="1"/>
  <c r="I289" i="2"/>
  <c r="H289" i="2" a="1"/>
  <c r="H289" i="2" s="1"/>
  <c r="G289" i="2" a="1"/>
  <c r="G289" i="2" s="1"/>
  <c r="F289" i="2" a="1"/>
  <c r="F289" i="2" s="1"/>
  <c r="D289" i="2"/>
  <c r="C289" i="2"/>
  <c r="J288" i="2"/>
  <c r="K288" i="2" s="1"/>
  <c r="L288" i="2" s="1"/>
  <c r="E288" i="2" s="1"/>
  <c r="G288" i="2" a="1"/>
  <c r="G288" i="2" s="1"/>
  <c r="F288" i="2" a="1"/>
  <c r="F288" i="2" s="1"/>
  <c r="D288" i="2"/>
  <c r="C288" i="2"/>
  <c r="J287" i="2"/>
  <c r="K287" i="2" s="1"/>
  <c r="L287" i="2" s="1"/>
  <c r="G287" i="2" a="1"/>
  <c r="G287" i="2" s="1"/>
  <c r="F287" i="2" a="1"/>
  <c r="F287" i="2" s="1"/>
  <c r="D287" i="2"/>
  <c r="C287" i="2"/>
  <c r="J286" i="2"/>
  <c r="K286" i="2" s="1"/>
  <c r="L286" i="2" s="1"/>
  <c r="G286" i="2" a="1"/>
  <c r="G286" i="2" s="1"/>
  <c r="F286" i="2" a="1"/>
  <c r="F286" i="2" s="1"/>
  <c r="D286" i="2"/>
  <c r="C286" i="2"/>
  <c r="J285" i="2"/>
  <c r="K285" i="2" s="1"/>
  <c r="L285" i="2" s="1"/>
  <c r="G285" i="2" a="1"/>
  <c r="G285" i="2" s="1"/>
  <c r="D285" i="2"/>
  <c r="C285" i="2"/>
  <c r="J284" i="2"/>
  <c r="K284" i="2" s="1"/>
  <c r="L284" i="2" s="1"/>
  <c r="E284" i="2" s="1"/>
  <c r="G284" i="2" a="1"/>
  <c r="G284" i="2" s="1"/>
  <c r="F284" i="2" a="1"/>
  <c r="F284" i="2" s="1"/>
  <c r="D284" i="2"/>
  <c r="C284" i="2"/>
  <c r="J283" i="2"/>
  <c r="K283" i="2" s="1"/>
  <c r="L283" i="2" s="1"/>
  <c r="G283" i="2" a="1"/>
  <c r="G283" i="2" s="1"/>
  <c r="F283" i="2" a="1"/>
  <c r="F283" i="2" s="1"/>
  <c r="D283" i="2"/>
  <c r="C283" i="2"/>
  <c r="K282" i="2"/>
  <c r="L282" i="2" s="1"/>
  <c r="J282" i="2"/>
  <c r="G282" i="2" a="1"/>
  <c r="G282" i="2" s="1"/>
  <c r="F282" i="2" a="1"/>
  <c r="F282" i="2" s="1"/>
  <c r="D282" i="2"/>
  <c r="C282" i="2"/>
  <c r="L281" i="2"/>
  <c r="E281" i="2" s="1"/>
  <c r="J281" i="2"/>
  <c r="K281" i="2" s="1"/>
  <c r="G281" i="2" a="1"/>
  <c r="G281" i="2" s="1"/>
  <c r="F281" i="2" a="1"/>
  <c r="F281" i="2"/>
  <c r="D281" i="2"/>
  <c r="C281" i="2"/>
  <c r="K280" i="2"/>
  <c r="L280" i="2" s="1"/>
  <c r="J280" i="2"/>
  <c r="G280" i="2" a="1"/>
  <c r="G280" i="2" s="1"/>
  <c r="F280" i="2" a="1"/>
  <c r="F280" i="2" s="1"/>
  <c r="D280" i="2"/>
  <c r="C280" i="2"/>
  <c r="J279" i="2"/>
  <c r="K279" i="2" s="1"/>
  <c r="L279" i="2" s="1"/>
  <c r="G279" i="2" a="1"/>
  <c r="G279" i="2" s="1"/>
  <c r="F279" i="2" a="1"/>
  <c r="F279" i="2" s="1"/>
  <c r="D279" i="2"/>
  <c r="C279" i="2"/>
  <c r="J278" i="2"/>
  <c r="K278" i="2" s="1"/>
  <c r="L278" i="2" s="1"/>
  <c r="G278" i="2" a="1"/>
  <c r="G278" i="2"/>
  <c r="F278" i="2" a="1"/>
  <c r="F278" i="2" s="1"/>
  <c r="D278" i="2"/>
  <c r="C278" i="2"/>
  <c r="J277" i="2"/>
  <c r="K277" i="2" s="1"/>
  <c r="L277" i="2" s="1"/>
  <c r="G277" i="2" a="1"/>
  <c r="G277" i="2" s="1"/>
  <c r="F277" i="2" a="1"/>
  <c r="F277" i="2" s="1"/>
  <c r="D277" i="2"/>
  <c r="C277" i="2"/>
  <c r="J276" i="2"/>
  <c r="K276" i="2" s="1"/>
  <c r="L276" i="2" s="1"/>
  <c r="E276" i="2" s="1"/>
  <c r="G276" i="2" a="1"/>
  <c r="G276" i="2" s="1"/>
  <c r="F276" i="2" a="1"/>
  <c r="F276" i="2" s="1"/>
  <c r="D276" i="2"/>
  <c r="C276" i="2"/>
  <c r="J275" i="2"/>
  <c r="K275" i="2" s="1"/>
  <c r="L275" i="2" s="1"/>
  <c r="E275" i="2" s="1"/>
  <c r="G275" i="2" a="1"/>
  <c r="G275" i="2" s="1"/>
  <c r="F275" i="2" a="1"/>
  <c r="F275" i="2"/>
  <c r="D275" i="2"/>
  <c r="C275" i="2"/>
  <c r="J274" i="2"/>
  <c r="K274" i="2" s="1"/>
  <c r="L274" i="2" s="1"/>
  <c r="G274" i="2" a="1"/>
  <c r="G274" i="2" s="1"/>
  <c r="F274" i="2" a="1"/>
  <c r="F274" i="2" s="1"/>
  <c r="D274" i="2"/>
  <c r="C274" i="2"/>
  <c r="K273" i="2"/>
  <c r="L273" i="2" s="1"/>
  <c r="E273" i="2" s="1"/>
  <c r="J273" i="2"/>
  <c r="G273" i="2" a="1"/>
  <c r="G273" i="2" s="1"/>
  <c r="F273" i="2" a="1"/>
  <c r="F273" i="2" s="1"/>
  <c r="D273" i="2"/>
  <c r="C273" i="2"/>
  <c r="J272" i="2"/>
  <c r="K272" i="2" s="1"/>
  <c r="L272" i="2" s="1"/>
  <c r="G272" i="2" a="1"/>
  <c r="G272" i="2" s="1"/>
  <c r="F272" i="2" a="1"/>
  <c r="F272" i="2" s="1"/>
  <c r="D272" i="2"/>
  <c r="C272" i="2"/>
  <c r="J271" i="2"/>
  <c r="K271" i="2" s="1"/>
  <c r="L271" i="2" s="1"/>
  <c r="G271" i="2" a="1"/>
  <c r="G271" i="2" s="1"/>
  <c r="F271" i="2" a="1"/>
  <c r="F271" i="2" s="1"/>
  <c r="D271" i="2"/>
  <c r="C271" i="2"/>
  <c r="J270" i="2"/>
  <c r="K270" i="2" s="1"/>
  <c r="L270" i="2" s="1"/>
  <c r="G270" i="2" a="1"/>
  <c r="G270" i="2" s="1"/>
  <c r="F270" i="2" a="1"/>
  <c r="F270" i="2" s="1"/>
  <c r="D270" i="2"/>
  <c r="C270" i="2"/>
  <c r="J269" i="2"/>
  <c r="K269" i="2" s="1"/>
  <c r="L269" i="2" s="1"/>
  <c r="E269" i="2" s="1"/>
  <c r="G269" i="2" a="1"/>
  <c r="G269" i="2" s="1"/>
  <c r="F269" i="2" a="1"/>
  <c r="F269" i="2" s="1"/>
  <c r="D269" i="2"/>
  <c r="C269" i="2"/>
  <c r="J268" i="2"/>
  <c r="K268" i="2" s="1"/>
  <c r="L268" i="2" s="1"/>
  <c r="G268" i="2" a="1"/>
  <c r="G268" i="2"/>
  <c r="F268" i="2" a="1"/>
  <c r="F268" i="2" s="1"/>
  <c r="D268" i="2"/>
  <c r="C268" i="2"/>
  <c r="J267" i="2"/>
  <c r="K267" i="2" s="1"/>
  <c r="L267" i="2" s="1"/>
  <c r="E267" i="2" s="1"/>
  <c r="G267" i="2" a="1"/>
  <c r="G267" i="2" s="1"/>
  <c r="F267" i="2" a="1"/>
  <c r="F267" i="2"/>
  <c r="D267" i="2"/>
  <c r="C267" i="2"/>
  <c r="K266" i="2"/>
  <c r="L266" i="2" s="1"/>
  <c r="J266" i="2"/>
  <c r="G266" i="2" a="1"/>
  <c r="G266" i="2" s="1"/>
  <c r="F266" i="2" a="1"/>
  <c r="F266" i="2" s="1"/>
  <c r="D266" i="2"/>
  <c r="C266" i="2"/>
  <c r="J265" i="2"/>
  <c r="K265" i="2" s="1"/>
  <c r="L265" i="2" s="1"/>
  <c r="E265" i="2" s="1"/>
  <c r="G265" i="2" a="1"/>
  <c r="G265" i="2" s="1"/>
  <c r="F265" i="2" a="1"/>
  <c r="F265" i="2" s="1"/>
  <c r="D265" i="2"/>
  <c r="C265" i="2"/>
  <c r="J264" i="2"/>
  <c r="K264" i="2" s="1"/>
  <c r="L264" i="2" s="1"/>
  <c r="E264" i="2" s="1"/>
  <c r="G264" i="2" a="1"/>
  <c r="G264" i="2" s="1"/>
  <c r="F264" i="2" a="1"/>
  <c r="F264" i="2" s="1"/>
  <c r="D264" i="2"/>
  <c r="C264" i="2"/>
  <c r="U263" i="2"/>
  <c r="L263" i="2"/>
  <c r="J263" i="2"/>
  <c r="K263" i="2" s="1"/>
  <c r="G263" i="2" a="1"/>
  <c r="G263" i="2" s="1"/>
  <c r="F263" i="2" a="1"/>
  <c r="F263" i="2" s="1"/>
  <c r="D263" i="2"/>
  <c r="C263" i="2"/>
  <c r="K262" i="2"/>
  <c r="L262" i="2" s="1"/>
  <c r="J262" i="2"/>
  <c r="G262" i="2" a="1"/>
  <c r="G262" i="2" s="1"/>
  <c r="F262" i="2" a="1"/>
  <c r="F262" i="2" s="1"/>
  <c r="D262" i="2"/>
  <c r="C262" i="2"/>
  <c r="J261" i="2"/>
  <c r="K261" i="2" s="1"/>
  <c r="L261" i="2" s="1"/>
  <c r="G261" i="2" a="1"/>
  <c r="G261" i="2" s="1"/>
  <c r="F261" i="2" a="1"/>
  <c r="F261" i="2" s="1"/>
  <c r="D261" i="2"/>
  <c r="C261" i="2"/>
  <c r="K260" i="2"/>
  <c r="L260" i="2" s="1"/>
  <c r="J260" i="2"/>
  <c r="G260" i="2" a="1"/>
  <c r="G260" i="2" s="1"/>
  <c r="F260" i="2" a="1"/>
  <c r="F260" i="2" s="1"/>
  <c r="D260" i="2"/>
  <c r="C260" i="2"/>
  <c r="K259" i="2"/>
  <c r="L259" i="2" s="1"/>
  <c r="J259" i="2"/>
  <c r="G259" i="2" a="1"/>
  <c r="G259" i="2" s="1"/>
  <c r="F259" i="2" a="1"/>
  <c r="F259" i="2" s="1"/>
  <c r="D259" i="2"/>
  <c r="C259" i="2"/>
  <c r="J258" i="2"/>
  <c r="K258" i="2" s="1"/>
  <c r="L258" i="2" s="1"/>
  <c r="E258" i="2" s="1"/>
  <c r="G258" i="2" a="1"/>
  <c r="G258" i="2" s="1"/>
  <c r="F258" i="2" a="1"/>
  <c r="F258" i="2" s="1"/>
  <c r="D258" i="2"/>
  <c r="C258" i="2"/>
  <c r="J257" i="2"/>
  <c r="K257" i="2" s="1"/>
  <c r="L257" i="2" s="1"/>
  <c r="E257" i="2" s="1"/>
  <c r="G257" i="2" a="1"/>
  <c r="G257" i="2" s="1"/>
  <c r="F257" i="2" a="1"/>
  <c r="F257" i="2" s="1"/>
  <c r="D257" i="2"/>
  <c r="C257" i="2"/>
  <c r="J256" i="2"/>
  <c r="K256" i="2" s="1"/>
  <c r="L256" i="2" s="1"/>
  <c r="E256" i="2" s="1"/>
  <c r="G256" i="2" a="1"/>
  <c r="G256" i="2" s="1"/>
  <c r="F256" i="2" a="1"/>
  <c r="F256" i="2" s="1"/>
  <c r="D256" i="2"/>
  <c r="C256" i="2"/>
  <c r="J255" i="2"/>
  <c r="K255" i="2" s="1"/>
  <c r="L255" i="2" s="1"/>
  <c r="G255" i="2" a="1"/>
  <c r="G255" i="2" s="1"/>
  <c r="F255" i="2" a="1"/>
  <c r="F255" i="2" s="1"/>
  <c r="D255" i="2"/>
  <c r="C255" i="2"/>
  <c r="J254" i="2"/>
  <c r="K254" i="2" s="1"/>
  <c r="L254" i="2" s="1"/>
  <c r="E254" i="2" s="1"/>
  <c r="G254" i="2" a="1"/>
  <c r="G254" i="2"/>
  <c r="F254" i="2" a="1"/>
  <c r="F254" i="2" s="1"/>
  <c r="D254" i="2"/>
  <c r="C254" i="2"/>
  <c r="J253" i="2"/>
  <c r="K253" i="2" s="1"/>
  <c r="L253" i="2" s="1"/>
  <c r="G253" i="2" a="1"/>
  <c r="G253" i="2" s="1"/>
  <c r="F253" i="2" a="1"/>
  <c r="F253" i="2" s="1"/>
  <c r="D253" i="2"/>
  <c r="C253" i="2"/>
  <c r="J252" i="2"/>
  <c r="K252" i="2" s="1"/>
  <c r="L252" i="2" s="1"/>
  <c r="E252" i="2" s="1"/>
  <c r="G252" i="2" a="1"/>
  <c r="G252" i="2"/>
  <c r="F252" i="2" a="1"/>
  <c r="F252" i="2" s="1"/>
  <c r="D252" i="2"/>
  <c r="C252" i="2"/>
  <c r="J251" i="2"/>
  <c r="K251" i="2" s="1"/>
  <c r="L251" i="2" s="1"/>
  <c r="E251" i="2" s="1"/>
  <c r="G251" i="2" a="1"/>
  <c r="G251" i="2" s="1"/>
  <c r="F251" i="2" a="1"/>
  <c r="F251" i="2" s="1"/>
  <c r="D251" i="2"/>
  <c r="C251" i="2"/>
  <c r="J250" i="2"/>
  <c r="K250" i="2" s="1"/>
  <c r="L250" i="2" s="1"/>
  <c r="G250" i="2" a="1"/>
  <c r="G250" i="2" s="1"/>
  <c r="F250" i="2" a="1"/>
  <c r="F250" i="2" s="1"/>
  <c r="D250" i="2"/>
  <c r="C250" i="2"/>
  <c r="K249" i="2"/>
  <c r="L249" i="2" s="1"/>
  <c r="J249" i="2"/>
  <c r="G249" i="2" a="1"/>
  <c r="G249" i="2" s="1"/>
  <c r="F249" i="2" a="1"/>
  <c r="F249" i="2" s="1"/>
  <c r="D249" i="2"/>
  <c r="C249" i="2"/>
  <c r="U248" i="2"/>
  <c r="K248" i="2"/>
  <c r="L248" i="2" s="1"/>
  <c r="J248" i="2"/>
  <c r="G248" i="2" a="1"/>
  <c r="G248" i="2" s="1"/>
  <c r="F248" i="2" a="1"/>
  <c r="F248" i="2" s="1"/>
  <c r="D248" i="2"/>
  <c r="C248" i="2"/>
  <c r="J247" i="2"/>
  <c r="K247" i="2" s="1"/>
  <c r="L247" i="2" s="1"/>
  <c r="G247" i="2" a="1"/>
  <c r="G247" i="2"/>
  <c r="F247" i="2" a="1"/>
  <c r="F247" i="2"/>
  <c r="D247" i="2"/>
  <c r="C247" i="2"/>
  <c r="J246" i="2"/>
  <c r="K246" i="2" s="1"/>
  <c r="L246" i="2" s="1"/>
  <c r="G246" i="2" a="1"/>
  <c r="G246" i="2" s="1"/>
  <c r="F246" i="2" a="1"/>
  <c r="F246" i="2" s="1"/>
  <c r="D246" i="2"/>
  <c r="C246" i="2"/>
  <c r="K245" i="2"/>
  <c r="L245" i="2" s="1"/>
  <c r="J245" i="2"/>
  <c r="G245" i="2" a="1"/>
  <c r="G245" i="2"/>
  <c r="F245" i="2" a="1"/>
  <c r="F245" i="2" s="1"/>
  <c r="D245" i="2"/>
  <c r="C245" i="2"/>
  <c r="U244" i="2"/>
  <c r="J244" i="2"/>
  <c r="K244" i="2" s="1"/>
  <c r="L244" i="2" s="1"/>
  <c r="G244" i="2" a="1"/>
  <c r="G244" i="2"/>
  <c r="F244" i="2" a="1"/>
  <c r="F244" i="2" s="1"/>
  <c r="D244" i="2"/>
  <c r="C244" i="2"/>
  <c r="L243" i="2"/>
  <c r="K243" i="2"/>
  <c r="J243" i="2"/>
  <c r="G243" i="2" a="1"/>
  <c r="G243" i="2" s="1"/>
  <c r="F243" i="2" a="1"/>
  <c r="F243" i="2" s="1"/>
  <c r="D243" i="2"/>
  <c r="C243" i="2"/>
  <c r="J242" i="2"/>
  <c r="K242" i="2" s="1"/>
  <c r="L242" i="2" s="1"/>
  <c r="E242" i="2" s="1"/>
  <c r="G242" i="2" a="1"/>
  <c r="G242" i="2" s="1"/>
  <c r="F242" i="2" a="1"/>
  <c r="F242" i="2" s="1"/>
  <c r="D242" i="2"/>
  <c r="C242" i="2"/>
  <c r="J241" i="2"/>
  <c r="K241" i="2" s="1"/>
  <c r="L241" i="2" s="1"/>
  <c r="G241" i="2" a="1"/>
  <c r="G241" i="2" s="1"/>
  <c r="F241" i="2" a="1"/>
  <c r="F241" i="2" s="1"/>
  <c r="D241" i="2"/>
  <c r="C241" i="2"/>
  <c r="K240" i="2"/>
  <c r="L240" i="2" s="1"/>
  <c r="J240" i="2"/>
  <c r="G240" i="2" a="1"/>
  <c r="G240" i="2" s="1"/>
  <c r="F240" i="2" a="1"/>
  <c r="F240" i="2" s="1"/>
  <c r="D240" i="2"/>
  <c r="C240" i="2"/>
  <c r="J239" i="2"/>
  <c r="K239" i="2" s="1"/>
  <c r="L239" i="2" s="1"/>
  <c r="G239" i="2" a="1"/>
  <c r="G239" i="2" s="1"/>
  <c r="F239" i="2" a="1"/>
  <c r="F239" i="2"/>
  <c r="D239" i="2"/>
  <c r="C239" i="2"/>
  <c r="J238" i="2"/>
  <c r="K238" i="2" s="1"/>
  <c r="L238" i="2" s="1"/>
  <c r="E238" i="2" s="1"/>
  <c r="G238" i="2" a="1"/>
  <c r="G238" i="2" s="1"/>
  <c r="F238" i="2" a="1"/>
  <c r="F238" i="2" s="1"/>
  <c r="D238" i="2"/>
  <c r="C238" i="2"/>
  <c r="J237" i="2"/>
  <c r="K237" i="2" s="1"/>
  <c r="L237" i="2" s="1"/>
  <c r="G237" i="2" a="1"/>
  <c r="G237" i="2" s="1"/>
  <c r="F237" i="2" a="1"/>
  <c r="F237" i="2" s="1"/>
  <c r="D237" i="2"/>
  <c r="C237" i="2"/>
  <c r="J236" i="2"/>
  <c r="K236" i="2" s="1"/>
  <c r="L236" i="2" s="1"/>
  <c r="E236" i="2" s="1"/>
  <c r="G236" i="2" a="1"/>
  <c r="G236" i="2"/>
  <c r="F236" i="2" a="1"/>
  <c r="F236" i="2" s="1"/>
  <c r="D236" i="2"/>
  <c r="C236" i="2"/>
  <c r="J235" i="2"/>
  <c r="K235" i="2" s="1"/>
  <c r="L235" i="2" s="1"/>
  <c r="G235" i="2" a="1"/>
  <c r="G235" i="2"/>
  <c r="F235" i="2" a="1"/>
  <c r="F235" i="2" s="1"/>
  <c r="D235" i="2"/>
  <c r="C235" i="2"/>
  <c r="L234" i="2"/>
  <c r="E234" i="2" s="1"/>
  <c r="K234" i="2"/>
  <c r="J234" i="2"/>
  <c r="G234" i="2" a="1"/>
  <c r="G234" i="2" s="1"/>
  <c r="F234" i="2" a="1"/>
  <c r="F234" i="2" s="1"/>
  <c r="D234" i="2"/>
  <c r="C234" i="2"/>
  <c r="U233" i="2"/>
  <c r="J233" i="2"/>
  <c r="K233" i="2" s="1"/>
  <c r="L233" i="2" s="1"/>
  <c r="G233" i="2" a="1"/>
  <c r="G233" i="2" s="1"/>
  <c r="F233" i="2" a="1"/>
  <c r="F233" i="2" s="1"/>
  <c r="D233" i="2"/>
  <c r="C233" i="2"/>
  <c r="J232" i="2"/>
  <c r="K232" i="2" s="1"/>
  <c r="L232" i="2" s="1"/>
  <c r="E232" i="2" s="1"/>
  <c r="G232" i="2" a="1"/>
  <c r="G232" i="2" s="1"/>
  <c r="F232" i="2" a="1"/>
  <c r="F232" i="2" s="1"/>
  <c r="D232" i="2"/>
  <c r="C232" i="2"/>
  <c r="J231" i="2"/>
  <c r="K231" i="2" s="1"/>
  <c r="L231" i="2" s="1"/>
  <c r="G231" i="2" a="1"/>
  <c r="G231" i="2" s="1"/>
  <c r="F231" i="2" a="1"/>
  <c r="F231" i="2" s="1"/>
  <c r="D231" i="2"/>
  <c r="C231" i="2"/>
  <c r="L230" i="2"/>
  <c r="K230" i="2"/>
  <c r="J230" i="2"/>
  <c r="G230" i="2" a="1"/>
  <c r="G230" i="2" s="1"/>
  <c r="F230" i="2" a="1"/>
  <c r="F230" i="2" s="1"/>
  <c r="D230" i="2"/>
  <c r="C230" i="2"/>
  <c r="J229" i="2"/>
  <c r="K229" i="2" s="1"/>
  <c r="L229" i="2" s="1"/>
  <c r="G229" i="2" a="1"/>
  <c r="G229" i="2" s="1"/>
  <c r="F229" i="2" a="1"/>
  <c r="F229" i="2" s="1"/>
  <c r="D229" i="2"/>
  <c r="C229" i="2"/>
  <c r="J228" i="2"/>
  <c r="K228" i="2" s="1"/>
  <c r="L228" i="2" s="1"/>
  <c r="G228" i="2" a="1"/>
  <c r="G228" i="2"/>
  <c r="F228" i="2" a="1"/>
  <c r="F228" i="2"/>
  <c r="D228" i="2"/>
  <c r="C228" i="2"/>
  <c r="U227" i="2"/>
  <c r="J227" i="2"/>
  <c r="K227" i="2" s="1"/>
  <c r="L227" i="2" s="1"/>
  <c r="G227" i="2" a="1"/>
  <c r="G227" i="2" s="1"/>
  <c r="F227" i="2" a="1"/>
  <c r="F227" i="2" s="1"/>
  <c r="D227" i="2"/>
  <c r="C227" i="2"/>
  <c r="K226" i="2"/>
  <c r="L226" i="2" s="1"/>
  <c r="E226" i="2" s="1"/>
  <c r="J226" i="2"/>
  <c r="G226" i="2" a="1"/>
  <c r="G226" i="2" s="1"/>
  <c r="F226" i="2" a="1"/>
  <c r="F226" i="2"/>
  <c r="D226" i="2"/>
  <c r="C226" i="2"/>
  <c r="J225" i="2"/>
  <c r="K225" i="2" s="1"/>
  <c r="L225" i="2" s="1"/>
  <c r="G225" i="2" a="1"/>
  <c r="G225" i="2" s="1"/>
  <c r="F225" i="2" a="1"/>
  <c r="F225" i="2" s="1"/>
  <c r="D225" i="2"/>
  <c r="C225" i="2"/>
  <c r="U224" i="2"/>
  <c r="J224" i="2"/>
  <c r="K224" i="2" s="1"/>
  <c r="L224" i="2" s="1"/>
  <c r="G224" i="2" a="1"/>
  <c r="G224" i="2" s="1"/>
  <c r="F224" i="2" a="1"/>
  <c r="F224" i="2" s="1"/>
  <c r="D224" i="2"/>
  <c r="C224" i="2"/>
  <c r="U223" i="2"/>
  <c r="K223" i="2"/>
  <c r="L223" i="2" s="1"/>
  <c r="E223" i="2" s="1"/>
  <c r="J223" i="2"/>
  <c r="G223" i="2" a="1"/>
  <c r="G223" i="2" s="1"/>
  <c r="F223" i="2" a="1"/>
  <c r="F223" i="2" s="1"/>
  <c r="D223" i="2"/>
  <c r="C223" i="2"/>
  <c r="J222" i="2"/>
  <c r="K222" i="2" s="1"/>
  <c r="L222" i="2" s="1"/>
  <c r="G222" i="2" a="1"/>
  <c r="G222" i="2" s="1"/>
  <c r="F222" i="2" a="1"/>
  <c r="F222" i="2" s="1"/>
  <c r="D222" i="2"/>
  <c r="C222" i="2"/>
  <c r="U221" i="2"/>
  <c r="J221" i="2"/>
  <c r="K221" i="2" s="1"/>
  <c r="L221" i="2" s="1"/>
  <c r="G221" i="2" a="1"/>
  <c r="G221" i="2" s="1"/>
  <c r="F221" i="2" a="1"/>
  <c r="F221" i="2" s="1"/>
  <c r="D221" i="2"/>
  <c r="C221" i="2"/>
  <c r="J220" i="2"/>
  <c r="K220" i="2" s="1"/>
  <c r="L220" i="2" s="1"/>
  <c r="E220" i="2" s="1"/>
  <c r="G220" i="2" a="1"/>
  <c r="G220" i="2"/>
  <c r="F220" i="2" a="1"/>
  <c r="F220" i="2" s="1"/>
  <c r="D220" i="2"/>
  <c r="C220" i="2"/>
  <c r="J219" i="2"/>
  <c r="K219" i="2" s="1"/>
  <c r="L219" i="2" s="1"/>
  <c r="G219" i="2" a="1"/>
  <c r="G219" i="2" s="1"/>
  <c r="F219" i="2" a="1"/>
  <c r="F219" i="2" s="1"/>
  <c r="D219" i="2"/>
  <c r="C219" i="2"/>
  <c r="K218" i="2"/>
  <c r="L218" i="2" s="1"/>
  <c r="E218" i="2" s="1"/>
  <c r="J218" i="2"/>
  <c r="G218" i="2" a="1"/>
  <c r="G218" i="2"/>
  <c r="F218" i="2" a="1"/>
  <c r="F218" i="2" s="1"/>
  <c r="D218" i="2"/>
  <c r="C218" i="2"/>
  <c r="J217" i="2"/>
  <c r="K217" i="2" s="1"/>
  <c r="L217" i="2" s="1"/>
  <c r="E217" i="2" s="1"/>
  <c r="G217" i="2" a="1"/>
  <c r="G217" i="2" s="1"/>
  <c r="F217" i="2" a="1"/>
  <c r="F217" i="2" s="1"/>
  <c r="D217" i="2"/>
  <c r="C217" i="2"/>
  <c r="J216" i="2"/>
  <c r="K216" i="2" s="1"/>
  <c r="L216" i="2" s="1"/>
  <c r="G216" i="2" a="1"/>
  <c r="G216" i="2" s="1"/>
  <c r="F216" i="2" a="1"/>
  <c r="F216" i="2" s="1"/>
  <c r="D216" i="2"/>
  <c r="C216" i="2"/>
  <c r="K215" i="2"/>
  <c r="L215" i="2" s="1"/>
  <c r="E215" i="2" s="1"/>
  <c r="J215" i="2"/>
  <c r="G215" i="2" a="1"/>
  <c r="G215" i="2" s="1"/>
  <c r="F215" i="2" a="1"/>
  <c r="F215" i="2" s="1"/>
  <c r="D215" i="2"/>
  <c r="C215" i="2"/>
  <c r="K214" i="2"/>
  <c r="L214" i="2" s="1"/>
  <c r="J214" i="2"/>
  <c r="G214" i="2" a="1"/>
  <c r="G214" i="2" s="1"/>
  <c r="F214" i="2" a="1"/>
  <c r="F214" i="2" s="1"/>
  <c r="D214" i="2"/>
  <c r="C214" i="2"/>
  <c r="J213" i="2"/>
  <c r="K213" i="2" s="1"/>
  <c r="L213" i="2" s="1"/>
  <c r="G213" i="2" a="1"/>
  <c r="G213" i="2" s="1"/>
  <c r="F213" i="2" a="1"/>
  <c r="F213" i="2" s="1"/>
  <c r="D213" i="2"/>
  <c r="C213" i="2"/>
  <c r="J212" i="2"/>
  <c r="K212" i="2" s="1"/>
  <c r="L212" i="2" s="1"/>
  <c r="G212" i="2" a="1"/>
  <c r="G212" i="2" s="1"/>
  <c r="F212" i="2" a="1"/>
  <c r="F212" i="2" s="1"/>
  <c r="D212" i="2"/>
  <c r="C212" i="2"/>
  <c r="J211" i="2"/>
  <c r="K211" i="2" s="1"/>
  <c r="L211" i="2" s="1"/>
  <c r="G211" i="2" a="1"/>
  <c r="G211" i="2" s="1"/>
  <c r="F211" i="2" a="1"/>
  <c r="F211" i="2" s="1"/>
  <c r="D211" i="2"/>
  <c r="C211" i="2"/>
  <c r="J210" i="2"/>
  <c r="K210" i="2" s="1"/>
  <c r="L210" i="2" s="1"/>
  <c r="G210" i="2" a="1"/>
  <c r="G210" i="2" s="1"/>
  <c r="F210" i="2" a="1"/>
  <c r="F210" i="2" s="1"/>
  <c r="D210" i="2"/>
  <c r="C210" i="2"/>
  <c r="J209" i="2"/>
  <c r="K209" i="2" s="1"/>
  <c r="L209" i="2" s="1"/>
  <c r="G209" i="2" a="1"/>
  <c r="G209" i="2" s="1"/>
  <c r="F209" i="2" a="1"/>
  <c r="F209" i="2" s="1"/>
  <c r="D209" i="2"/>
  <c r="C209" i="2"/>
  <c r="J208" i="2"/>
  <c r="K208" i="2" s="1"/>
  <c r="L208" i="2" s="1"/>
  <c r="G208" i="2" a="1"/>
  <c r="G208" i="2" s="1"/>
  <c r="F208" i="2" a="1"/>
  <c r="F208" i="2"/>
  <c r="D208" i="2"/>
  <c r="C208" i="2"/>
  <c r="J207" i="2"/>
  <c r="K207" i="2" s="1"/>
  <c r="L207" i="2" s="1"/>
  <c r="E207" i="2" s="1"/>
  <c r="G207" i="2" a="1"/>
  <c r="G207" i="2" s="1"/>
  <c r="F207" i="2" a="1"/>
  <c r="F207" i="2" s="1"/>
  <c r="D207" i="2"/>
  <c r="C207" i="2"/>
  <c r="J206" i="2"/>
  <c r="K206" i="2" s="1"/>
  <c r="L206" i="2" s="1"/>
  <c r="G206" i="2" a="1"/>
  <c r="G206" i="2" s="1"/>
  <c r="F206" i="2" a="1"/>
  <c r="F206" i="2" s="1"/>
  <c r="D206" i="2"/>
  <c r="C206" i="2"/>
  <c r="K205" i="2"/>
  <c r="L205" i="2" s="1"/>
  <c r="J205" i="2"/>
  <c r="G205" i="2" a="1"/>
  <c r="G205" i="2" s="1"/>
  <c r="F205" i="2" a="1"/>
  <c r="F205" i="2" s="1"/>
  <c r="D205" i="2"/>
  <c r="C205" i="2"/>
  <c r="L204" i="2"/>
  <c r="J204" i="2"/>
  <c r="K204" i="2" s="1"/>
  <c r="G204" i="2" a="1"/>
  <c r="G204" i="2" s="1"/>
  <c r="F204" i="2" a="1"/>
  <c r="F204" i="2" s="1"/>
  <c r="D204" i="2"/>
  <c r="C204" i="2"/>
  <c r="K203" i="2"/>
  <c r="L203" i="2" s="1"/>
  <c r="J203" i="2"/>
  <c r="G203" i="2" a="1"/>
  <c r="G203" i="2" s="1"/>
  <c r="F203" i="2" a="1"/>
  <c r="F203" i="2"/>
  <c r="D203" i="2"/>
  <c r="C203" i="2"/>
  <c r="U202" i="2"/>
  <c r="J202" i="2"/>
  <c r="K202" i="2" s="1"/>
  <c r="L202" i="2" s="1"/>
  <c r="E202" i="2" s="1"/>
  <c r="G202" i="2" a="1"/>
  <c r="G202" i="2"/>
  <c r="F202" i="2" a="1"/>
  <c r="F202" i="2" s="1"/>
  <c r="D202" i="2"/>
  <c r="C202" i="2"/>
  <c r="L201" i="2"/>
  <c r="E201" i="2" s="1"/>
  <c r="J201" i="2"/>
  <c r="K201" i="2" s="1"/>
  <c r="G201" i="2" a="1"/>
  <c r="G201" i="2" s="1"/>
  <c r="F201" i="2" a="1"/>
  <c r="F201" i="2" s="1"/>
  <c r="D201" i="2"/>
  <c r="C201" i="2"/>
  <c r="J200" i="2"/>
  <c r="K200" i="2" s="1"/>
  <c r="L200" i="2" s="1"/>
  <c r="E200" i="2" s="1"/>
  <c r="G200" i="2" a="1"/>
  <c r="G200" i="2" s="1"/>
  <c r="F200" i="2" a="1"/>
  <c r="F200" i="2" s="1"/>
  <c r="D200" i="2"/>
  <c r="C200" i="2"/>
  <c r="L199" i="2"/>
  <c r="E199" i="2" s="1"/>
  <c r="J199" i="2"/>
  <c r="K199" i="2" s="1"/>
  <c r="G199" i="2" a="1"/>
  <c r="G199" i="2" s="1"/>
  <c r="F199" i="2" a="1"/>
  <c r="F199" i="2" s="1"/>
  <c r="D199" i="2"/>
  <c r="C199" i="2"/>
  <c r="J198" i="2"/>
  <c r="K198" i="2" s="1"/>
  <c r="L198" i="2" s="1"/>
  <c r="E198" i="2" s="1"/>
  <c r="G198" i="2" a="1"/>
  <c r="G198" i="2"/>
  <c r="F198" i="2" a="1"/>
  <c r="F198" i="2" s="1"/>
  <c r="D198" i="2"/>
  <c r="C198" i="2"/>
  <c r="K197" i="2"/>
  <c r="L197" i="2" s="1"/>
  <c r="E197" i="2" s="1"/>
  <c r="J197" i="2"/>
  <c r="G197" i="2" a="1"/>
  <c r="G197" i="2" s="1"/>
  <c r="F197" i="2" a="1"/>
  <c r="F197" i="2" s="1"/>
  <c r="D197" i="2"/>
  <c r="C197" i="2"/>
  <c r="J196" i="2"/>
  <c r="K196" i="2" s="1"/>
  <c r="L196" i="2" s="1"/>
  <c r="G196" i="2" a="1"/>
  <c r="G196" i="2" s="1"/>
  <c r="F196" i="2" a="1"/>
  <c r="F196" i="2" s="1"/>
  <c r="D196" i="2"/>
  <c r="C196" i="2"/>
  <c r="J195" i="2"/>
  <c r="K195" i="2" s="1"/>
  <c r="L195" i="2" s="1"/>
  <c r="E195" i="2" s="1"/>
  <c r="G195" i="2" a="1"/>
  <c r="G195" i="2"/>
  <c r="F195" i="2" a="1"/>
  <c r="F195" i="2"/>
  <c r="D195" i="2"/>
  <c r="C195" i="2"/>
  <c r="J194" i="2"/>
  <c r="K194" i="2" s="1"/>
  <c r="L194" i="2" s="1"/>
  <c r="E194" i="2" s="1"/>
  <c r="G194" i="2" a="1"/>
  <c r="G194" i="2"/>
  <c r="F194" i="2" a="1"/>
  <c r="F194" i="2" s="1"/>
  <c r="D194" i="2"/>
  <c r="C194" i="2"/>
  <c r="U193" i="2"/>
  <c r="J193" i="2"/>
  <c r="K193" i="2" s="1"/>
  <c r="L193" i="2" s="1"/>
  <c r="G193" i="2" a="1"/>
  <c r="G193" i="2"/>
  <c r="F193" i="2" a="1"/>
  <c r="F193" i="2"/>
  <c r="D193" i="2"/>
  <c r="C193" i="2"/>
  <c r="J192" i="2"/>
  <c r="K192" i="2" s="1"/>
  <c r="L192" i="2" s="1"/>
  <c r="G192" i="2" a="1"/>
  <c r="G192" i="2" s="1"/>
  <c r="F192" i="2" a="1"/>
  <c r="F192" i="2" s="1"/>
  <c r="D192" i="2"/>
  <c r="C192" i="2"/>
  <c r="J191" i="2"/>
  <c r="K191" i="2" s="1"/>
  <c r="L191" i="2" s="1"/>
  <c r="G191" i="2" a="1"/>
  <c r="G191" i="2"/>
  <c r="F191" i="2" a="1"/>
  <c r="F191" i="2" s="1"/>
  <c r="D191" i="2"/>
  <c r="C191" i="2"/>
  <c r="J190" i="2"/>
  <c r="K190" i="2" s="1"/>
  <c r="L190" i="2" s="1"/>
  <c r="G190" i="2" a="1"/>
  <c r="G190" i="2" s="1"/>
  <c r="F190" i="2" a="1"/>
  <c r="F190" i="2" s="1"/>
  <c r="D190" i="2"/>
  <c r="C190" i="2"/>
  <c r="J189" i="2"/>
  <c r="K189" i="2" s="1"/>
  <c r="L189" i="2" s="1"/>
  <c r="G189" i="2" a="1"/>
  <c r="G189" i="2" s="1"/>
  <c r="F189" i="2" a="1"/>
  <c r="F189" i="2" s="1"/>
  <c r="D189" i="2"/>
  <c r="C189" i="2"/>
  <c r="J188" i="2"/>
  <c r="K188" i="2" s="1"/>
  <c r="L188" i="2" s="1"/>
  <c r="G188" i="2" a="1"/>
  <c r="G188" i="2" s="1"/>
  <c r="F188" i="2" a="1"/>
  <c r="F188" i="2" s="1"/>
  <c r="D188" i="2"/>
  <c r="C188" i="2"/>
  <c r="J187" i="2"/>
  <c r="K187" i="2" s="1"/>
  <c r="L187" i="2" s="1"/>
  <c r="E187" i="2" s="1"/>
  <c r="G187" i="2" a="1"/>
  <c r="G187" i="2"/>
  <c r="F187" i="2" a="1"/>
  <c r="F187" i="2" s="1"/>
  <c r="D187" i="2"/>
  <c r="C187" i="2"/>
  <c r="J186" i="2"/>
  <c r="K186" i="2" s="1"/>
  <c r="L186" i="2" s="1"/>
  <c r="G186" i="2" a="1"/>
  <c r="G186" i="2" s="1"/>
  <c r="F186" i="2" a="1"/>
  <c r="F186" i="2" s="1"/>
  <c r="D186" i="2"/>
  <c r="C186" i="2"/>
  <c r="J185" i="2"/>
  <c r="K185" i="2" s="1"/>
  <c r="L185" i="2" s="1"/>
  <c r="G185" i="2" a="1"/>
  <c r="G185" i="2"/>
  <c r="F185" i="2" a="1"/>
  <c r="F185" i="2" s="1"/>
  <c r="D185" i="2"/>
  <c r="C185" i="2"/>
  <c r="J184" i="2"/>
  <c r="K184" i="2" s="1"/>
  <c r="L184" i="2" s="1"/>
  <c r="E184" i="2" s="1"/>
  <c r="G184" i="2" a="1"/>
  <c r="G184" i="2" s="1"/>
  <c r="F184" i="2" a="1"/>
  <c r="F184" i="2" s="1"/>
  <c r="D184" i="2"/>
  <c r="C184" i="2"/>
  <c r="J183" i="2"/>
  <c r="K183" i="2" s="1"/>
  <c r="L183" i="2" s="1"/>
  <c r="G183" i="2" a="1"/>
  <c r="G183" i="2" s="1"/>
  <c r="F183" i="2" a="1"/>
  <c r="F183" i="2" s="1"/>
  <c r="D183" i="2"/>
  <c r="C183" i="2"/>
  <c r="J182" i="2"/>
  <c r="K182" i="2" s="1"/>
  <c r="L182" i="2" s="1"/>
  <c r="G182" i="2" a="1"/>
  <c r="G182" i="2" s="1"/>
  <c r="F182" i="2" a="1"/>
  <c r="F182" i="2" s="1"/>
  <c r="D182" i="2"/>
  <c r="C182" i="2"/>
  <c r="L181" i="2"/>
  <c r="K181" i="2"/>
  <c r="J181" i="2"/>
  <c r="G181" i="2" a="1"/>
  <c r="G181" i="2" s="1"/>
  <c r="F181" i="2" a="1"/>
  <c r="F181" i="2" s="1"/>
  <c r="D181" i="2"/>
  <c r="C181" i="2"/>
  <c r="J180" i="2"/>
  <c r="K180" i="2" s="1"/>
  <c r="L180" i="2" s="1"/>
  <c r="G180" i="2" a="1"/>
  <c r="G180" i="2" s="1"/>
  <c r="F180" i="2" a="1"/>
  <c r="F180" i="2" s="1"/>
  <c r="D180" i="2"/>
  <c r="C180" i="2"/>
  <c r="J179" i="2"/>
  <c r="K179" i="2" s="1"/>
  <c r="L179" i="2" s="1"/>
  <c r="E179" i="2" s="1"/>
  <c r="G179" i="2" a="1"/>
  <c r="G179" i="2" s="1"/>
  <c r="F179" i="2" a="1"/>
  <c r="F179" i="2" s="1"/>
  <c r="D179" i="2"/>
  <c r="C179" i="2"/>
  <c r="J178" i="2"/>
  <c r="K178" i="2" s="1"/>
  <c r="L178" i="2" s="1"/>
  <c r="E178" i="2" s="1"/>
  <c r="G178" i="2" a="1"/>
  <c r="G178" i="2" s="1"/>
  <c r="F178" i="2" a="1"/>
  <c r="F178" i="2" s="1"/>
  <c r="D178" i="2"/>
  <c r="C178" i="2"/>
  <c r="U177" i="2"/>
  <c r="J177" i="2"/>
  <c r="K177" i="2" s="1"/>
  <c r="L177" i="2" s="1"/>
  <c r="E177" i="2" s="1"/>
  <c r="G177" i="2" a="1"/>
  <c r="G177" i="2"/>
  <c r="F177" i="2" a="1"/>
  <c r="F177" i="2"/>
  <c r="D177" i="2"/>
  <c r="C177" i="2"/>
  <c r="J176" i="2"/>
  <c r="K176" i="2" s="1"/>
  <c r="L176" i="2" s="1"/>
  <c r="E176" i="2" s="1"/>
  <c r="G176" i="2" a="1"/>
  <c r="G176" i="2" s="1"/>
  <c r="F176" i="2" a="1"/>
  <c r="F176" i="2" s="1"/>
  <c r="D176" i="2"/>
  <c r="C176" i="2"/>
  <c r="U175" i="2"/>
  <c r="J175" i="2"/>
  <c r="K175" i="2" s="1"/>
  <c r="L175" i="2" s="1"/>
  <c r="G175" i="2" a="1"/>
  <c r="G175" i="2"/>
  <c r="F175" i="2" a="1"/>
  <c r="F175" i="2" s="1"/>
  <c r="D175" i="2"/>
  <c r="C175" i="2"/>
  <c r="L174" i="2"/>
  <c r="J174" i="2"/>
  <c r="K174" i="2" s="1"/>
  <c r="G174" i="2" a="1"/>
  <c r="G174" i="2"/>
  <c r="F174" i="2" a="1"/>
  <c r="F174" i="2"/>
  <c r="D174" i="2"/>
  <c r="C174" i="2"/>
  <c r="K173" i="2"/>
  <c r="L173" i="2" s="1"/>
  <c r="J173" i="2"/>
  <c r="G173" i="2" a="1"/>
  <c r="G173" i="2"/>
  <c r="F173" i="2" a="1"/>
  <c r="F173" i="2" s="1"/>
  <c r="D173" i="2"/>
  <c r="C173" i="2"/>
  <c r="J172" i="2"/>
  <c r="K172" i="2" s="1"/>
  <c r="L172" i="2" s="1"/>
  <c r="E172" i="2" s="1"/>
  <c r="G172" i="2" a="1"/>
  <c r="G172" i="2" s="1"/>
  <c r="F172" i="2" a="1"/>
  <c r="F172" i="2" s="1"/>
  <c r="D172" i="2"/>
  <c r="C172" i="2"/>
  <c r="K171" i="2"/>
  <c r="L171" i="2" s="1"/>
  <c r="J171" i="2"/>
  <c r="G171" i="2" a="1"/>
  <c r="G171" i="2" s="1"/>
  <c r="F171" i="2" a="1"/>
  <c r="F171" i="2" s="1"/>
  <c r="D171" i="2"/>
  <c r="C171" i="2"/>
  <c r="J170" i="2"/>
  <c r="K170" i="2" s="1"/>
  <c r="L170" i="2" s="1"/>
  <c r="G170" i="2" a="1"/>
  <c r="G170" i="2" s="1"/>
  <c r="F170" i="2" a="1"/>
  <c r="F170" i="2" s="1"/>
  <c r="D170" i="2"/>
  <c r="C170" i="2"/>
  <c r="L169" i="2"/>
  <c r="K169" i="2"/>
  <c r="J169" i="2"/>
  <c r="G169" i="2" a="1"/>
  <c r="G169" i="2" s="1"/>
  <c r="F169" i="2" a="1"/>
  <c r="F169" i="2"/>
  <c r="D169" i="2"/>
  <c r="C169" i="2"/>
  <c r="J168" i="2"/>
  <c r="K168" i="2" s="1"/>
  <c r="L168" i="2" s="1"/>
  <c r="G168" i="2" a="1"/>
  <c r="G168" i="2" s="1"/>
  <c r="F168" i="2" a="1"/>
  <c r="F168" i="2"/>
  <c r="D168" i="2"/>
  <c r="C168" i="2"/>
  <c r="J167" i="2"/>
  <c r="K167" i="2" s="1"/>
  <c r="L167" i="2" s="1"/>
  <c r="G167" i="2" a="1"/>
  <c r="G167" i="2" s="1"/>
  <c r="F167" i="2" a="1"/>
  <c r="F167" i="2"/>
  <c r="D167" i="2"/>
  <c r="C167" i="2"/>
  <c r="J166" i="2"/>
  <c r="K166" i="2" s="1"/>
  <c r="L166" i="2" s="1"/>
  <c r="E166" i="2" s="1"/>
  <c r="G166" i="2" a="1"/>
  <c r="G166" i="2" s="1"/>
  <c r="F166" i="2" a="1"/>
  <c r="F166" i="2"/>
  <c r="D166" i="2"/>
  <c r="C166" i="2"/>
  <c r="J165" i="2"/>
  <c r="K165" i="2" s="1"/>
  <c r="L165" i="2" s="1"/>
  <c r="G165" i="2" a="1"/>
  <c r="G165" i="2"/>
  <c r="F165" i="2" a="1"/>
  <c r="F165" i="2" s="1"/>
  <c r="D165" i="2"/>
  <c r="C165" i="2"/>
  <c r="J164" i="2"/>
  <c r="K164" i="2" s="1"/>
  <c r="L164" i="2" s="1"/>
  <c r="E164" i="2" s="1"/>
  <c r="G164" i="2" a="1"/>
  <c r="G164" i="2" s="1"/>
  <c r="F164" i="2" a="1"/>
  <c r="F164" i="2"/>
  <c r="D164" i="2"/>
  <c r="C164" i="2"/>
  <c r="J163" i="2"/>
  <c r="K163" i="2" s="1"/>
  <c r="L163" i="2" s="1"/>
  <c r="E163" i="2" s="1"/>
  <c r="G163" i="2" a="1"/>
  <c r="G163" i="2" s="1"/>
  <c r="F163" i="2" a="1"/>
  <c r="F163" i="2" s="1"/>
  <c r="D163" i="2"/>
  <c r="C163" i="2"/>
  <c r="J162" i="2"/>
  <c r="K162" i="2" s="1"/>
  <c r="L162" i="2" s="1"/>
  <c r="E162" i="2" s="1"/>
  <c r="G162" i="2" a="1"/>
  <c r="G162" i="2" s="1"/>
  <c r="F162" i="2" a="1"/>
  <c r="F162" i="2" s="1"/>
  <c r="D162" i="2"/>
  <c r="C162" i="2"/>
  <c r="U161" i="2"/>
  <c r="J161" i="2"/>
  <c r="K161" i="2" s="1"/>
  <c r="L161" i="2" s="1"/>
  <c r="G161" i="2" a="1"/>
  <c r="G161" i="2" s="1"/>
  <c r="F161" i="2" a="1"/>
  <c r="F161" i="2" s="1"/>
  <c r="D161" i="2"/>
  <c r="C161" i="2"/>
  <c r="J160" i="2"/>
  <c r="K160" i="2" s="1"/>
  <c r="L160" i="2" s="1"/>
  <c r="G160" i="2" a="1"/>
  <c r="G160" i="2"/>
  <c r="F160" i="2" a="1"/>
  <c r="F160" i="2" s="1"/>
  <c r="D160" i="2"/>
  <c r="C160" i="2"/>
  <c r="K159" i="2"/>
  <c r="L159" i="2" s="1"/>
  <c r="E159" i="2" s="1"/>
  <c r="J159" i="2"/>
  <c r="G159" i="2" a="1"/>
  <c r="G159" i="2" s="1"/>
  <c r="F159" i="2" a="1"/>
  <c r="F159" i="2" s="1"/>
  <c r="D159" i="2"/>
  <c r="C159" i="2"/>
  <c r="J158" i="2"/>
  <c r="K158" i="2" s="1"/>
  <c r="L158" i="2" s="1"/>
  <c r="E158" i="2" s="1"/>
  <c r="G158" i="2" a="1"/>
  <c r="G158" i="2" s="1"/>
  <c r="F158" i="2" a="1"/>
  <c r="F158" i="2" s="1"/>
  <c r="D158" i="2"/>
  <c r="C158" i="2"/>
  <c r="L157" i="2"/>
  <c r="K157" i="2"/>
  <c r="J157" i="2"/>
  <c r="G157" i="2" a="1"/>
  <c r="G157" i="2" s="1"/>
  <c r="F157" i="2" a="1"/>
  <c r="F157" i="2" s="1"/>
  <c r="D157" i="2"/>
  <c r="C157" i="2"/>
  <c r="U156" i="2"/>
  <c r="J156" i="2"/>
  <c r="K156" i="2" s="1"/>
  <c r="L156" i="2" s="1"/>
  <c r="E156" i="2" s="1"/>
  <c r="G156" i="2" a="1"/>
  <c r="G156" i="2" s="1"/>
  <c r="F156" i="2" a="1"/>
  <c r="F156" i="2"/>
  <c r="D156" i="2"/>
  <c r="C156" i="2"/>
  <c r="J155" i="2"/>
  <c r="K155" i="2" s="1"/>
  <c r="L155" i="2" s="1"/>
  <c r="E155" i="2" s="1"/>
  <c r="G155" i="2" a="1"/>
  <c r="G155" i="2" s="1"/>
  <c r="F155" i="2" a="1"/>
  <c r="F155" i="2" s="1"/>
  <c r="D155" i="2"/>
  <c r="C155" i="2"/>
  <c r="K154" i="2"/>
  <c r="L154" i="2" s="1"/>
  <c r="J154" i="2"/>
  <c r="G154" i="2" a="1"/>
  <c r="G154" i="2" s="1"/>
  <c r="F154" i="2" a="1"/>
  <c r="F154" i="2" s="1"/>
  <c r="D154" i="2"/>
  <c r="C154" i="2"/>
  <c r="J153" i="2"/>
  <c r="K153" i="2" s="1"/>
  <c r="L153" i="2" s="1"/>
  <c r="E153" i="2" s="1"/>
  <c r="G153" i="2" a="1"/>
  <c r="G153" i="2"/>
  <c r="F153" i="2" a="1"/>
  <c r="F153" i="2"/>
  <c r="D153" i="2"/>
  <c r="C153" i="2"/>
  <c r="J152" i="2"/>
  <c r="K152" i="2" s="1"/>
  <c r="L152" i="2" s="1"/>
  <c r="G152" i="2" a="1"/>
  <c r="G152" i="2"/>
  <c r="F152" i="2" a="1"/>
  <c r="F152" i="2"/>
  <c r="D152" i="2"/>
  <c r="C152" i="2"/>
  <c r="U151" i="2"/>
  <c r="J151" i="2"/>
  <c r="K151" i="2" s="1"/>
  <c r="L151" i="2" s="1"/>
  <c r="G151" i="2" a="1"/>
  <c r="G151" i="2" s="1"/>
  <c r="F151" i="2" a="1"/>
  <c r="F151" i="2"/>
  <c r="D151" i="2"/>
  <c r="C151" i="2"/>
  <c r="J150" i="2"/>
  <c r="K150" i="2" s="1"/>
  <c r="L150" i="2" s="1"/>
  <c r="G150" i="2" a="1"/>
  <c r="G150" i="2" s="1"/>
  <c r="F150" i="2" a="1"/>
  <c r="F150" i="2" s="1"/>
  <c r="D150" i="2"/>
  <c r="C150" i="2"/>
  <c r="J149" i="2"/>
  <c r="K149" i="2" s="1"/>
  <c r="L149" i="2" s="1"/>
  <c r="G149" i="2" a="1"/>
  <c r="G149" i="2" s="1"/>
  <c r="F149" i="2" a="1"/>
  <c r="F149" i="2" s="1"/>
  <c r="D149" i="2"/>
  <c r="C149" i="2"/>
  <c r="J148" i="2"/>
  <c r="K148" i="2" s="1"/>
  <c r="L148" i="2" s="1"/>
  <c r="G148" i="2" a="1"/>
  <c r="G148" i="2" s="1"/>
  <c r="F148" i="2" a="1"/>
  <c r="F148" i="2" s="1"/>
  <c r="D148" i="2"/>
  <c r="C148" i="2"/>
  <c r="J147" i="2"/>
  <c r="K147" i="2" s="1"/>
  <c r="L147" i="2" s="1"/>
  <c r="G147" i="2" a="1"/>
  <c r="G147" i="2" s="1"/>
  <c r="F147" i="2" a="1"/>
  <c r="F147" i="2" s="1"/>
  <c r="D147" i="2"/>
  <c r="C147" i="2"/>
  <c r="J146" i="2"/>
  <c r="K146" i="2" s="1"/>
  <c r="L146" i="2" s="1"/>
  <c r="E146" i="2" s="1"/>
  <c r="G146" i="2" a="1"/>
  <c r="G146" i="2" s="1"/>
  <c r="F146" i="2" a="1"/>
  <c r="F146" i="2" s="1"/>
  <c r="D146" i="2"/>
  <c r="C146" i="2"/>
  <c r="U145" i="2"/>
  <c r="J145" i="2"/>
  <c r="K145" i="2" s="1"/>
  <c r="L145" i="2" s="1"/>
  <c r="E145" i="2" s="1"/>
  <c r="G145" i="2" a="1"/>
  <c r="G145" i="2"/>
  <c r="F145" i="2" a="1"/>
  <c r="F145" i="2" s="1"/>
  <c r="D145" i="2"/>
  <c r="C145" i="2"/>
  <c r="J144" i="2"/>
  <c r="K144" i="2" s="1"/>
  <c r="L144" i="2" s="1"/>
  <c r="E144" i="2" s="1"/>
  <c r="G144" i="2" a="1"/>
  <c r="G144" i="2" s="1"/>
  <c r="F144" i="2" a="1"/>
  <c r="F144" i="2" s="1"/>
  <c r="D144" i="2"/>
  <c r="C144" i="2"/>
  <c r="J143" i="2"/>
  <c r="K143" i="2" s="1"/>
  <c r="L143" i="2" s="1"/>
  <c r="G143" i="2" a="1"/>
  <c r="G143" i="2"/>
  <c r="F143" i="2" a="1"/>
  <c r="F143" i="2"/>
  <c r="D143" i="2"/>
  <c r="C143" i="2"/>
  <c r="U142" i="2"/>
  <c r="J142" i="2"/>
  <c r="K142" i="2" s="1"/>
  <c r="L142" i="2" s="1"/>
  <c r="E142" i="2" s="1"/>
  <c r="G142" i="2" a="1"/>
  <c r="G142" i="2"/>
  <c r="F142" i="2" a="1"/>
  <c r="F142" i="2" s="1"/>
  <c r="D142" i="2"/>
  <c r="C142" i="2"/>
  <c r="J141" i="2"/>
  <c r="K141" i="2" s="1"/>
  <c r="L141" i="2" s="1"/>
  <c r="G141" i="2" a="1"/>
  <c r="G141" i="2" s="1"/>
  <c r="F141" i="2" a="1"/>
  <c r="F141" i="2" s="1"/>
  <c r="D141" i="2"/>
  <c r="C141" i="2"/>
  <c r="J140" i="2"/>
  <c r="K140" i="2" s="1"/>
  <c r="L140" i="2" s="1"/>
  <c r="E140" i="2" s="1"/>
  <c r="G140" i="2" a="1"/>
  <c r="G140" i="2" s="1"/>
  <c r="F140" i="2" a="1"/>
  <c r="F140" i="2" s="1"/>
  <c r="D140" i="2"/>
  <c r="C140" i="2"/>
  <c r="J139" i="2"/>
  <c r="K139" i="2" s="1"/>
  <c r="L139" i="2" s="1"/>
  <c r="G139" i="2" a="1"/>
  <c r="G139" i="2" s="1"/>
  <c r="F139" i="2" a="1"/>
  <c r="F139" i="2"/>
  <c r="D139" i="2"/>
  <c r="C139" i="2"/>
  <c r="U138" i="2"/>
  <c r="J138" i="2"/>
  <c r="K138" i="2" s="1"/>
  <c r="L138" i="2" s="1"/>
  <c r="G138" i="2" a="1"/>
  <c r="G138" i="2"/>
  <c r="F138" i="2" a="1"/>
  <c r="F138" i="2" s="1"/>
  <c r="D138" i="2"/>
  <c r="C138" i="2"/>
  <c r="J137" i="2"/>
  <c r="K137" i="2" s="1"/>
  <c r="L137" i="2" s="1"/>
  <c r="G137" i="2" a="1"/>
  <c r="G137" i="2" s="1"/>
  <c r="F137" i="2" a="1"/>
  <c r="F137" i="2" s="1"/>
  <c r="D137" i="2"/>
  <c r="C137" i="2"/>
  <c r="J136" i="2"/>
  <c r="K136" i="2" s="1"/>
  <c r="L136" i="2" s="1"/>
  <c r="E136" i="2" s="1"/>
  <c r="G136" i="2" a="1"/>
  <c r="G136" i="2" s="1"/>
  <c r="F136" i="2" a="1"/>
  <c r="F136" i="2" s="1"/>
  <c r="D136" i="2"/>
  <c r="C136" i="2"/>
  <c r="K135" i="2"/>
  <c r="L135" i="2" s="1"/>
  <c r="E135" i="2" s="1"/>
  <c r="J135" i="2"/>
  <c r="G135" i="2" a="1"/>
  <c r="G135" i="2" s="1"/>
  <c r="F135" i="2" a="1"/>
  <c r="F135" i="2"/>
  <c r="D135" i="2"/>
  <c r="C135" i="2"/>
  <c r="J134" i="2"/>
  <c r="K134" i="2" s="1"/>
  <c r="L134" i="2" s="1"/>
  <c r="E134" i="2" s="1"/>
  <c r="G134" i="2" a="1"/>
  <c r="G134" i="2" s="1"/>
  <c r="F134" i="2" a="1"/>
  <c r="F134" i="2" s="1"/>
  <c r="D134" i="2"/>
  <c r="C134" i="2"/>
  <c r="J133" i="2"/>
  <c r="K133" i="2" s="1"/>
  <c r="L133" i="2" s="1"/>
  <c r="E133" i="2" s="1"/>
  <c r="G133" i="2" a="1"/>
  <c r="G133" i="2" s="1"/>
  <c r="F133" i="2" a="1"/>
  <c r="F133" i="2" s="1"/>
  <c r="D133" i="2"/>
  <c r="C133" i="2"/>
  <c r="J132" i="2"/>
  <c r="K132" i="2" s="1"/>
  <c r="L132" i="2" s="1"/>
  <c r="E132" i="2" s="1"/>
  <c r="G132" i="2" a="1"/>
  <c r="G132" i="2" s="1"/>
  <c r="F132" i="2" a="1"/>
  <c r="F132" i="2" s="1"/>
  <c r="D132" i="2"/>
  <c r="C132" i="2"/>
  <c r="K131" i="2"/>
  <c r="L131" i="2" s="1"/>
  <c r="J131" i="2"/>
  <c r="G131" i="2" a="1"/>
  <c r="G131" i="2"/>
  <c r="F131" i="2" a="1"/>
  <c r="F131" i="2"/>
  <c r="D131" i="2"/>
  <c r="C131" i="2"/>
  <c r="J130" i="2"/>
  <c r="K130" i="2" s="1"/>
  <c r="L130" i="2" s="1"/>
  <c r="E130" i="2" s="1"/>
  <c r="G130" i="2" a="1"/>
  <c r="G130" i="2"/>
  <c r="F130" i="2" a="1"/>
  <c r="F130" i="2" s="1"/>
  <c r="D130" i="2"/>
  <c r="C130" i="2"/>
  <c r="J129" i="2"/>
  <c r="K129" i="2" s="1"/>
  <c r="L129" i="2" s="1"/>
  <c r="G129" i="2" a="1"/>
  <c r="G129" i="2"/>
  <c r="F129" i="2" a="1"/>
  <c r="F129" i="2"/>
  <c r="D129" i="2"/>
  <c r="C129" i="2"/>
  <c r="J128" i="2"/>
  <c r="K128" i="2" s="1"/>
  <c r="L128" i="2" s="1"/>
  <c r="G128" i="2" a="1"/>
  <c r="G128" i="2" s="1"/>
  <c r="F128" i="2" a="1"/>
  <c r="F128" i="2" s="1"/>
  <c r="D128" i="2"/>
  <c r="C128" i="2"/>
  <c r="J127" i="2"/>
  <c r="K127" i="2" s="1"/>
  <c r="L127" i="2" s="1"/>
  <c r="G127" i="2" a="1"/>
  <c r="G127" i="2"/>
  <c r="F127" i="2" a="1"/>
  <c r="F127" i="2" s="1"/>
  <c r="D127" i="2"/>
  <c r="C127" i="2"/>
  <c r="J126" i="2"/>
  <c r="K126" i="2" s="1"/>
  <c r="L126" i="2" s="1"/>
  <c r="E126" i="2" s="1"/>
  <c r="G126" i="2" a="1"/>
  <c r="G126" i="2" s="1"/>
  <c r="F126" i="2" a="1"/>
  <c r="F126" i="2" s="1"/>
  <c r="D126" i="2"/>
  <c r="C126" i="2"/>
  <c r="J125" i="2"/>
  <c r="K125" i="2" s="1"/>
  <c r="L125" i="2" s="1"/>
  <c r="G125" i="2" a="1"/>
  <c r="G125" i="2" s="1"/>
  <c r="F125" i="2" a="1"/>
  <c r="F125" i="2" s="1"/>
  <c r="D125" i="2"/>
  <c r="C125" i="2"/>
  <c r="K124" i="2"/>
  <c r="L124" i="2" s="1"/>
  <c r="J124" i="2"/>
  <c r="G124" i="2" a="1"/>
  <c r="G124" i="2"/>
  <c r="F124" i="2" a="1"/>
  <c r="F124" i="2" s="1"/>
  <c r="D124" i="2"/>
  <c r="C124" i="2"/>
  <c r="J123" i="2"/>
  <c r="K123" i="2" s="1"/>
  <c r="L123" i="2" s="1"/>
  <c r="E123" i="2" s="1"/>
  <c r="G123" i="2" a="1"/>
  <c r="G123" i="2" s="1"/>
  <c r="F123" i="2" a="1"/>
  <c r="F123" i="2" s="1"/>
  <c r="D123" i="2"/>
  <c r="C123" i="2"/>
  <c r="K122" i="2"/>
  <c r="L122" i="2" s="1"/>
  <c r="E122" i="2" s="1"/>
  <c r="J122" i="2"/>
  <c r="G122" i="2" a="1"/>
  <c r="G122" i="2" s="1"/>
  <c r="F122" i="2" a="1"/>
  <c r="F122" i="2"/>
  <c r="D122" i="2"/>
  <c r="C122" i="2"/>
  <c r="U121" i="2"/>
  <c r="L121" i="2"/>
  <c r="J121" i="2"/>
  <c r="K121" i="2" s="1"/>
  <c r="G121" i="2" a="1"/>
  <c r="G121" i="2"/>
  <c r="F121" i="2" a="1"/>
  <c r="F121" i="2" s="1"/>
  <c r="D121" i="2"/>
  <c r="C121" i="2"/>
  <c r="U120" i="2"/>
  <c r="J120" i="2"/>
  <c r="K120" i="2" s="1"/>
  <c r="L120" i="2" s="1"/>
  <c r="E120" i="2" s="1"/>
  <c r="G120" i="2" a="1"/>
  <c r="G120" i="2" s="1"/>
  <c r="F120" i="2" a="1"/>
  <c r="F120" i="2" s="1"/>
  <c r="D120" i="2"/>
  <c r="C120" i="2"/>
  <c r="J119" i="2"/>
  <c r="K119" i="2" s="1"/>
  <c r="L119" i="2" s="1"/>
  <c r="G119" i="2" a="1"/>
  <c r="G119" i="2" s="1"/>
  <c r="F119" i="2" a="1"/>
  <c r="F119" i="2"/>
  <c r="D119" i="2"/>
  <c r="C119" i="2"/>
  <c r="U118" i="2"/>
  <c r="J118" i="2"/>
  <c r="K118" i="2" s="1"/>
  <c r="L118" i="2" s="1"/>
  <c r="E118" i="2" s="1"/>
  <c r="G118" i="2" a="1"/>
  <c r="G118" i="2"/>
  <c r="F118" i="2" a="1"/>
  <c r="F118" i="2" s="1"/>
  <c r="D118" i="2"/>
  <c r="C118" i="2"/>
  <c r="J117" i="2"/>
  <c r="K117" i="2" s="1"/>
  <c r="L117" i="2" s="1"/>
  <c r="E117" i="2" s="1"/>
  <c r="G117" i="2" a="1"/>
  <c r="G117" i="2"/>
  <c r="F117" i="2" a="1"/>
  <c r="F117" i="2" s="1"/>
  <c r="D117" i="2"/>
  <c r="C117" i="2"/>
  <c r="J116" i="2"/>
  <c r="K116" i="2" s="1"/>
  <c r="L116" i="2" s="1"/>
  <c r="E116" i="2" s="1"/>
  <c r="G116" i="2" a="1"/>
  <c r="G116" i="2" s="1"/>
  <c r="F116" i="2" a="1"/>
  <c r="F116" i="2" s="1"/>
  <c r="D116" i="2"/>
  <c r="C116" i="2"/>
  <c r="J115" i="2"/>
  <c r="K115" i="2" s="1"/>
  <c r="L115" i="2" s="1"/>
  <c r="E115" i="2" s="1"/>
  <c r="G115" i="2" a="1"/>
  <c r="G115" i="2" s="1"/>
  <c r="F115" i="2" a="1"/>
  <c r="F115" i="2" s="1"/>
  <c r="D115" i="2"/>
  <c r="C115" i="2"/>
  <c r="J114" i="2"/>
  <c r="K114" i="2" s="1"/>
  <c r="L114" i="2" s="1"/>
  <c r="E114" i="2" s="1"/>
  <c r="G114" i="2" a="1"/>
  <c r="G114" i="2" s="1"/>
  <c r="F114" i="2" a="1"/>
  <c r="F114" i="2" s="1"/>
  <c r="D114" i="2"/>
  <c r="C114" i="2"/>
  <c r="J113" i="2"/>
  <c r="K113" i="2" s="1"/>
  <c r="L113" i="2" s="1"/>
  <c r="E113" i="2" s="1"/>
  <c r="G113" i="2" a="1"/>
  <c r="G113" i="2" s="1"/>
  <c r="F113" i="2" a="1"/>
  <c r="F113" i="2" s="1"/>
  <c r="D113" i="2"/>
  <c r="C113" i="2"/>
  <c r="K112" i="2"/>
  <c r="L112" i="2" s="1"/>
  <c r="J112" i="2"/>
  <c r="G112" i="2" a="1"/>
  <c r="G112" i="2" s="1"/>
  <c r="F112" i="2" a="1"/>
  <c r="F112" i="2"/>
  <c r="D112" i="2"/>
  <c r="C112" i="2"/>
  <c r="U111" i="2"/>
  <c r="L111" i="2"/>
  <c r="E111" i="2" s="1"/>
  <c r="J111" i="2"/>
  <c r="K111" i="2" s="1"/>
  <c r="G111" i="2" a="1"/>
  <c r="G111" i="2"/>
  <c r="F111" i="2" a="1"/>
  <c r="F111" i="2" s="1"/>
  <c r="D111" i="2"/>
  <c r="C111" i="2"/>
  <c r="J110" i="2"/>
  <c r="K110" i="2" s="1"/>
  <c r="L110" i="2" s="1"/>
  <c r="E110" i="2" s="1"/>
  <c r="G110" i="2" a="1"/>
  <c r="G110" i="2" s="1"/>
  <c r="F110" i="2" a="1"/>
  <c r="F110" i="2" s="1"/>
  <c r="D110" i="2"/>
  <c r="C110" i="2"/>
  <c r="J109" i="2"/>
  <c r="K109" i="2" s="1"/>
  <c r="L109" i="2" s="1"/>
  <c r="G109" i="2" a="1"/>
  <c r="G109" i="2" s="1"/>
  <c r="F109" i="2" a="1"/>
  <c r="F109" i="2" s="1"/>
  <c r="D109" i="2"/>
  <c r="C109" i="2"/>
  <c r="K108" i="2"/>
  <c r="L108" i="2" s="1"/>
  <c r="E108" i="2" s="1"/>
  <c r="J108" i="2"/>
  <c r="G108" i="2" a="1"/>
  <c r="G108" i="2" s="1"/>
  <c r="F108" i="2" a="1"/>
  <c r="F108" i="2" s="1"/>
  <c r="D108" i="2"/>
  <c r="C108" i="2"/>
  <c r="J107" i="2"/>
  <c r="K107" i="2" s="1"/>
  <c r="L107" i="2" s="1"/>
  <c r="G107" i="2" a="1"/>
  <c r="G107" i="2" s="1"/>
  <c r="F107" i="2" a="1"/>
  <c r="F107" i="2" s="1"/>
  <c r="E107" i="2"/>
  <c r="D107" i="2"/>
  <c r="C107" i="2"/>
  <c r="J106" i="2"/>
  <c r="K106" i="2" s="1"/>
  <c r="L106" i="2" s="1"/>
  <c r="G106" i="2" a="1"/>
  <c r="G106" i="2" s="1"/>
  <c r="F106" i="2" a="1"/>
  <c r="F106" i="2" s="1"/>
  <c r="D106" i="2"/>
  <c r="C106" i="2"/>
  <c r="J105" i="2"/>
  <c r="K105" i="2" s="1"/>
  <c r="L105" i="2" s="1"/>
  <c r="G105" i="2" a="1"/>
  <c r="G105" i="2" s="1"/>
  <c r="F105" i="2" a="1"/>
  <c r="F105" i="2"/>
  <c r="D105" i="2"/>
  <c r="C105" i="2"/>
  <c r="L104" i="2"/>
  <c r="K104" i="2"/>
  <c r="J104" i="2"/>
  <c r="G104" i="2" a="1"/>
  <c r="G104" i="2" s="1"/>
  <c r="F104" i="2" a="1"/>
  <c r="F104" i="2"/>
  <c r="D104" i="2"/>
  <c r="C104" i="2"/>
  <c r="J103" i="2"/>
  <c r="K103" i="2" s="1"/>
  <c r="L103" i="2" s="1"/>
  <c r="E103" i="2" s="1"/>
  <c r="G103" i="2" a="1"/>
  <c r="G103" i="2"/>
  <c r="F103" i="2" a="1"/>
  <c r="F103" i="2" s="1"/>
  <c r="D103" i="2"/>
  <c r="C103" i="2"/>
  <c r="J102" i="2"/>
  <c r="K102" i="2" s="1"/>
  <c r="L102" i="2" s="1"/>
  <c r="G102" i="2" a="1"/>
  <c r="G102" i="2" s="1"/>
  <c r="F102" i="2" a="1"/>
  <c r="F102" i="2" s="1"/>
  <c r="D102" i="2"/>
  <c r="C102" i="2"/>
  <c r="J101" i="2"/>
  <c r="K101" i="2" s="1"/>
  <c r="L101" i="2" s="1"/>
  <c r="G101" i="2" a="1"/>
  <c r="G101" i="2"/>
  <c r="F101" i="2" a="1"/>
  <c r="F101" i="2" s="1"/>
  <c r="D101" i="2"/>
  <c r="C101" i="2"/>
  <c r="J100" i="2"/>
  <c r="K100" i="2" s="1"/>
  <c r="L100" i="2" s="1"/>
  <c r="G100" i="2" a="1"/>
  <c r="G100" i="2"/>
  <c r="F100" i="2" a="1"/>
  <c r="F100" i="2" s="1"/>
  <c r="D100" i="2"/>
  <c r="C100" i="2"/>
  <c r="U99" i="2"/>
  <c r="L99" i="2"/>
  <c r="J99" i="2"/>
  <c r="K99" i="2" s="1"/>
  <c r="G99" i="2" a="1"/>
  <c r="G99" i="2" s="1"/>
  <c r="F99" i="2" a="1"/>
  <c r="F99" i="2" s="1"/>
  <c r="D99" i="2"/>
  <c r="C99" i="2"/>
  <c r="J98" i="2"/>
  <c r="K98" i="2" s="1"/>
  <c r="L98" i="2" s="1"/>
  <c r="G98" i="2" a="1"/>
  <c r="G98" i="2"/>
  <c r="F98" i="2" a="1"/>
  <c r="F98" i="2"/>
  <c r="D98" i="2"/>
  <c r="C98" i="2"/>
  <c r="J97" i="2"/>
  <c r="K97" i="2" s="1"/>
  <c r="L97" i="2" s="1"/>
  <c r="G97" i="2" a="1"/>
  <c r="G97" i="2" s="1"/>
  <c r="F97" i="2" a="1"/>
  <c r="F97" i="2" s="1"/>
  <c r="D97" i="2"/>
  <c r="C97" i="2"/>
  <c r="K96" i="2"/>
  <c r="L96" i="2" s="1"/>
  <c r="E96" i="2" s="1"/>
  <c r="J96" i="2"/>
  <c r="G96" i="2" a="1"/>
  <c r="G96" i="2"/>
  <c r="F96" i="2" a="1"/>
  <c r="F96" i="2" s="1"/>
  <c r="D96" i="2"/>
  <c r="C96" i="2"/>
  <c r="K95" i="2"/>
  <c r="L95" i="2" s="1"/>
  <c r="J95" i="2"/>
  <c r="G95" i="2" a="1"/>
  <c r="G95" i="2" s="1"/>
  <c r="F95" i="2" a="1"/>
  <c r="F95" i="2"/>
  <c r="D95" i="2"/>
  <c r="C95" i="2"/>
  <c r="J94" i="2"/>
  <c r="K94" i="2" s="1"/>
  <c r="L94" i="2" s="1"/>
  <c r="G94" i="2" a="1"/>
  <c r="G94" i="2" s="1"/>
  <c r="F94" i="2" a="1"/>
  <c r="F94" i="2" s="1"/>
  <c r="D94" i="2"/>
  <c r="C94" i="2"/>
  <c r="J93" i="2"/>
  <c r="K93" i="2" s="1"/>
  <c r="L93" i="2" s="1"/>
  <c r="G93" i="2" a="1"/>
  <c r="G93" i="2"/>
  <c r="F93" i="2" a="1"/>
  <c r="F93" i="2" s="1"/>
  <c r="D93" i="2"/>
  <c r="C93" i="2"/>
  <c r="J92" i="2"/>
  <c r="K92" i="2" s="1"/>
  <c r="L92" i="2" s="1"/>
  <c r="G92" i="2" a="1"/>
  <c r="G92" i="2" s="1"/>
  <c r="F92" i="2" a="1"/>
  <c r="F92" i="2"/>
  <c r="D92" i="2"/>
  <c r="C92" i="2"/>
  <c r="J91" i="2"/>
  <c r="K91" i="2" s="1"/>
  <c r="L91" i="2" s="1"/>
  <c r="E91" i="2" s="1"/>
  <c r="G91" i="2" a="1"/>
  <c r="G91" i="2" s="1"/>
  <c r="F91" i="2" a="1"/>
  <c r="F91" i="2" s="1"/>
  <c r="D91" i="2"/>
  <c r="C91" i="2"/>
  <c r="L90" i="2"/>
  <c r="K90" i="2"/>
  <c r="J90" i="2"/>
  <c r="G90" i="2" a="1"/>
  <c r="G90" i="2"/>
  <c r="F90" i="2" a="1"/>
  <c r="F90" i="2" s="1"/>
  <c r="D90" i="2"/>
  <c r="C90" i="2"/>
  <c r="L89" i="2"/>
  <c r="E89" i="2" s="1"/>
  <c r="J89" i="2"/>
  <c r="K89" i="2" s="1"/>
  <c r="G89" i="2" a="1"/>
  <c r="G89" i="2"/>
  <c r="F89" i="2" a="1"/>
  <c r="F89" i="2" s="1"/>
  <c r="D89" i="2"/>
  <c r="C89" i="2"/>
  <c r="J88" i="2"/>
  <c r="K88" i="2" s="1"/>
  <c r="L88" i="2" s="1"/>
  <c r="E88" i="2" s="1"/>
  <c r="G88" i="2" a="1"/>
  <c r="G88" i="2"/>
  <c r="F88" i="2" a="1"/>
  <c r="F88" i="2" s="1"/>
  <c r="D88" i="2"/>
  <c r="C88" i="2"/>
  <c r="J87" i="2"/>
  <c r="K87" i="2" s="1"/>
  <c r="L87" i="2" s="1"/>
  <c r="G87" i="2" a="1"/>
  <c r="G87" i="2" s="1"/>
  <c r="F87" i="2" a="1"/>
  <c r="F87" i="2" s="1"/>
  <c r="D87" i="2"/>
  <c r="C87" i="2"/>
  <c r="J86" i="2"/>
  <c r="K86" i="2" s="1"/>
  <c r="L86" i="2" s="1"/>
  <c r="E86" i="2" s="1"/>
  <c r="G86" i="2" a="1"/>
  <c r="G86" i="2" s="1"/>
  <c r="F86" i="2" a="1"/>
  <c r="F86" i="2" s="1"/>
  <c r="D86" i="2"/>
  <c r="C86" i="2"/>
  <c r="U85" i="2"/>
  <c r="J85" i="2"/>
  <c r="K85" i="2" s="1"/>
  <c r="L85" i="2" s="1"/>
  <c r="E85" i="2" s="1"/>
  <c r="G85" i="2" a="1"/>
  <c r="G85" i="2" s="1"/>
  <c r="F85" i="2" a="1"/>
  <c r="F85" i="2" s="1"/>
  <c r="D85" i="2"/>
  <c r="C85" i="2"/>
  <c r="U84" i="2"/>
  <c r="J84" i="2"/>
  <c r="K84" i="2" s="1"/>
  <c r="L84" i="2" s="1"/>
  <c r="G84" i="2" a="1"/>
  <c r="G84" i="2"/>
  <c r="F84" i="2" a="1"/>
  <c r="F84" i="2" s="1"/>
  <c r="D84" i="2"/>
  <c r="C84" i="2"/>
  <c r="U83" i="2"/>
  <c r="J83" i="2"/>
  <c r="K83" i="2" s="1"/>
  <c r="L83" i="2" s="1"/>
  <c r="E83" i="2" s="1"/>
  <c r="G83" i="2" a="1"/>
  <c r="G83" i="2" s="1"/>
  <c r="F83" i="2" a="1"/>
  <c r="F83" i="2" s="1"/>
  <c r="D83" i="2"/>
  <c r="C83" i="2"/>
  <c r="J82" i="2"/>
  <c r="K82" i="2" s="1"/>
  <c r="L82" i="2" s="1"/>
  <c r="E82" i="2" s="1"/>
  <c r="G82" i="2" a="1"/>
  <c r="G82" i="2" s="1"/>
  <c r="F82" i="2" a="1"/>
  <c r="F82" i="2" s="1"/>
  <c r="D82" i="2"/>
  <c r="C82" i="2"/>
  <c r="J81" i="2"/>
  <c r="K81" i="2" s="1"/>
  <c r="L81" i="2" s="1"/>
  <c r="G81" i="2" a="1"/>
  <c r="G81" i="2" s="1"/>
  <c r="F81" i="2" a="1"/>
  <c r="F81" i="2"/>
  <c r="D81" i="2"/>
  <c r="C81" i="2"/>
  <c r="J80" i="2"/>
  <c r="K80" i="2" s="1"/>
  <c r="L80" i="2" s="1"/>
  <c r="E80" i="2" s="1"/>
  <c r="G80" i="2" a="1"/>
  <c r="G80" i="2"/>
  <c r="F80" i="2" a="1"/>
  <c r="F80" i="2"/>
  <c r="D80" i="2"/>
  <c r="C80" i="2"/>
  <c r="J79" i="2"/>
  <c r="K79" i="2" s="1"/>
  <c r="L79" i="2" s="1"/>
  <c r="E79" i="2" s="1"/>
  <c r="G79" i="2" a="1"/>
  <c r="G79" i="2"/>
  <c r="F79" i="2" a="1"/>
  <c r="F79" i="2" s="1"/>
  <c r="D79" i="2"/>
  <c r="C79" i="2"/>
  <c r="J78" i="2"/>
  <c r="K78" i="2" s="1"/>
  <c r="L78" i="2" s="1"/>
  <c r="G78" i="2" a="1"/>
  <c r="G78" i="2"/>
  <c r="F78" i="2" a="1"/>
  <c r="F78" i="2" s="1"/>
  <c r="D78" i="2"/>
  <c r="C78" i="2"/>
  <c r="J77" i="2"/>
  <c r="K77" i="2" s="1"/>
  <c r="L77" i="2" s="1"/>
  <c r="E77" i="2" s="1"/>
  <c r="G77" i="2" a="1"/>
  <c r="G77" i="2" s="1"/>
  <c r="F77" i="2" a="1"/>
  <c r="F77" i="2" s="1"/>
  <c r="D77" i="2"/>
  <c r="C77" i="2"/>
  <c r="J76" i="2"/>
  <c r="K76" i="2" s="1"/>
  <c r="L76" i="2" s="1"/>
  <c r="G76" i="2" a="1"/>
  <c r="G76" i="2" s="1"/>
  <c r="F76" i="2" a="1"/>
  <c r="F76" i="2"/>
  <c r="D76" i="2"/>
  <c r="C76" i="2"/>
  <c r="J75" i="2"/>
  <c r="K75" i="2" s="1"/>
  <c r="L75" i="2" s="1"/>
  <c r="E75" i="2" s="1"/>
  <c r="G75" i="2" a="1"/>
  <c r="G75" i="2" s="1"/>
  <c r="F75" i="2" a="1"/>
  <c r="F75" i="2" s="1"/>
  <c r="D75" i="2"/>
  <c r="C75" i="2"/>
  <c r="J74" i="2"/>
  <c r="K74" i="2" s="1"/>
  <c r="L74" i="2" s="1"/>
  <c r="E74" i="2" s="1"/>
  <c r="G74" i="2" a="1"/>
  <c r="G74" i="2"/>
  <c r="F74" i="2" a="1"/>
  <c r="F74" i="2"/>
  <c r="D74" i="2"/>
  <c r="C74" i="2"/>
  <c r="J73" i="2"/>
  <c r="K73" i="2" s="1"/>
  <c r="L73" i="2" s="1"/>
  <c r="E73" i="2" s="1"/>
  <c r="B125" i="1" s="1"/>
  <c r="G73" i="2" a="1"/>
  <c r="G73" i="2"/>
  <c r="B127" i="1" s="1"/>
  <c r="F73" i="2" a="1"/>
  <c r="F73" i="2" s="1"/>
  <c r="B126" i="1" s="1"/>
  <c r="D73" i="2"/>
  <c r="C73" i="2"/>
  <c r="U72" i="2"/>
  <c r="J72" i="2"/>
  <c r="K72" i="2" s="1"/>
  <c r="L72" i="2" s="1"/>
  <c r="G72" i="2" a="1"/>
  <c r="G72" i="2" s="1"/>
  <c r="F72" i="2" a="1"/>
  <c r="F72" i="2" s="1"/>
  <c r="D72" i="2"/>
  <c r="C72" i="2"/>
  <c r="L71" i="2"/>
  <c r="E71" i="2" s="1"/>
  <c r="K71" i="2"/>
  <c r="J71" i="2"/>
  <c r="G71" i="2" a="1"/>
  <c r="G71" i="2"/>
  <c r="F71" i="2" a="1"/>
  <c r="F71" i="2"/>
  <c r="D71" i="2"/>
  <c r="C71" i="2"/>
  <c r="J70" i="2"/>
  <c r="K70" i="2" s="1"/>
  <c r="L70" i="2" s="1"/>
  <c r="E70" i="2" s="1"/>
  <c r="G70" i="2" a="1"/>
  <c r="G70" i="2" s="1"/>
  <c r="F70" i="2" a="1"/>
  <c r="F70" i="2" s="1"/>
  <c r="D70" i="2"/>
  <c r="C70" i="2"/>
  <c r="J69" i="2"/>
  <c r="K69" i="2" s="1"/>
  <c r="L69" i="2" s="1"/>
  <c r="G69" i="2" a="1"/>
  <c r="G69" i="2" s="1"/>
  <c r="F69" i="2" a="1"/>
  <c r="F69" i="2" s="1"/>
  <c r="D69" i="2"/>
  <c r="C69" i="2"/>
  <c r="K68" i="2"/>
  <c r="L68" i="2" s="1"/>
  <c r="J68" i="2"/>
  <c r="G68" i="2" a="1"/>
  <c r="G68" i="2" s="1"/>
  <c r="F68" i="2" a="1"/>
  <c r="F68" i="2"/>
  <c r="D68" i="2"/>
  <c r="C68" i="2"/>
  <c r="J67" i="2"/>
  <c r="K67" i="2" s="1"/>
  <c r="L67" i="2" s="1"/>
  <c r="E67" i="2" s="1"/>
  <c r="G67" i="2" a="1"/>
  <c r="G67" i="2" s="1"/>
  <c r="F67" i="2" a="1"/>
  <c r="F67" i="2" s="1"/>
  <c r="D67" i="2"/>
  <c r="C67" i="2"/>
  <c r="U66" i="2"/>
  <c r="J66" i="2"/>
  <c r="K66" i="2" s="1"/>
  <c r="L66" i="2" s="1"/>
  <c r="E66" i="2" s="1"/>
  <c r="G66" i="2" a="1"/>
  <c r="G66" i="2" s="1"/>
  <c r="F66" i="2" a="1"/>
  <c r="F66" i="2" s="1"/>
  <c r="D66" i="2"/>
  <c r="C66" i="2"/>
  <c r="J65" i="2"/>
  <c r="K65" i="2" s="1"/>
  <c r="L65" i="2" s="1"/>
  <c r="E65" i="2" s="1"/>
  <c r="G65" i="2" a="1"/>
  <c r="G65" i="2" s="1"/>
  <c r="F65" i="2" a="1"/>
  <c r="F65" i="2"/>
  <c r="D65" i="2"/>
  <c r="C65" i="2"/>
  <c r="J64" i="2"/>
  <c r="K64" i="2" s="1"/>
  <c r="L64" i="2" s="1"/>
  <c r="E64" i="2" s="1"/>
  <c r="G64" i="2" a="1"/>
  <c r="G64" i="2"/>
  <c r="F64" i="2" a="1"/>
  <c r="F64" i="2"/>
  <c r="D64" i="2"/>
  <c r="C64" i="2"/>
  <c r="U63" i="2"/>
  <c r="J63" i="2"/>
  <c r="K63" i="2" s="1"/>
  <c r="L63" i="2" s="1"/>
  <c r="G63" i="2" a="1"/>
  <c r="G63" i="2" s="1"/>
  <c r="F63" i="2" a="1"/>
  <c r="F63" i="2" s="1"/>
  <c r="D63" i="2"/>
  <c r="C63" i="2"/>
  <c r="L62" i="2"/>
  <c r="E62" i="2" s="1"/>
  <c r="J62" i="2"/>
  <c r="K62" i="2" s="1"/>
  <c r="G62" i="2" a="1"/>
  <c r="G62" i="2" s="1"/>
  <c r="F62" i="2" a="1"/>
  <c r="F62" i="2"/>
  <c r="D62" i="2"/>
  <c r="C62" i="2"/>
  <c r="J61" i="2"/>
  <c r="K61" i="2" s="1"/>
  <c r="L61" i="2" s="1"/>
  <c r="G61" i="2" a="1"/>
  <c r="G61" i="2"/>
  <c r="F61" i="2" a="1"/>
  <c r="F61" i="2"/>
  <c r="D61" i="2"/>
  <c r="C61" i="2"/>
  <c r="J60" i="2"/>
  <c r="K60" i="2" s="1"/>
  <c r="L60" i="2" s="1"/>
  <c r="G60" i="2" a="1"/>
  <c r="G60" i="2" s="1"/>
  <c r="F60" i="2" a="1"/>
  <c r="F60" i="2" s="1"/>
  <c r="D60" i="2"/>
  <c r="C60" i="2"/>
  <c r="J59" i="2"/>
  <c r="K59" i="2" s="1"/>
  <c r="L59" i="2" s="1"/>
  <c r="E59" i="2" s="1"/>
  <c r="G59" i="2" a="1"/>
  <c r="G59" i="2" s="1"/>
  <c r="F59" i="2" a="1"/>
  <c r="F59" i="2" s="1"/>
  <c r="D59" i="2"/>
  <c r="C59" i="2"/>
  <c r="J58" i="2"/>
  <c r="K58" i="2" s="1"/>
  <c r="L58" i="2" s="1"/>
  <c r="E58" i="2" s="1"/>
  <c r="G58" i="2" a="1"/>
  <c r="G58" i="2" s="1"/>
  <c r="F58" i="2" a="1"/>
  <c r="F58" i="2" s="1"/>
  <c r="D58" i="2"/>
  <c r="C58" i="2"/>
  <c r="J57" i="2"/>
  <c r="K57" i="2" s="1"/>
  <c r="L57" i="2" s="1"/>
  <c r="E57" i="2" s="1"/>
  <c r="G57" i="2" a="1"/>
  <c r="G57" i="2"/>
  <c r="F57" i="2" a="1"/>
  <c r="F57" i="2"/>
  <c r="D57" i="2"/>
  <c r="C57" i="2"/>
  <c r="J56" i="2"/>
  <c r="K56" i="2" s="1"/>
  <c r="L56" i="2" s="1"/>
  <c r="E56" i="2" s="1"/>
  <c r="G56" i="2" a="1"/>
  <c r="G56" i="2" s="1"/>
  <c r="F56" i="2" a="1"/>
  <c r="F56" i="2" s="1"/>
  <c r="D56" i="2"/>
  <c r="C56" i="2"/>
  <c r="K55" i="2"/>
  <c r="L55" i="2" s="1"/>
  <c r="E55" i="2" s="1"/>
  <c r="J55" i="2"/>
  <c r="G55" i="2" a="1"/>
  <c r="G55" i="2" s="1"/>
  <c r="F55" i="2" a="1"/>
  <c r="F55" i="2"/>
  <c r="D55" i="2"/>
  <c r="C55" i="2"/>
  <c r="J54" i="2"/>
  <c r="K54" i="2" s="1"/>
  <c r="L54" i="2" s="1"/>
  <c r="E54" i="2" s="1"/>
  <c r="G54" i="2" a="1"/>
  <c r="G54" i="2"/>
  <c r="F54" i="2" a="1"/>
  <c r="F54" i="2"/>
  <c r="D54" i="2"/>
  <c r="C54" i="2"/>
  <c r="J53" i="2"/>
  <c r="K53" i="2" s="1"/>
  <c r="L53" i="2" s="1"/>
  <c r="G53" i="2" a="1"/>
  <c r="G53" i="2" s="1"/>
  <c r="F53" i="2" a="1"/>
  <c r="F53" i="2" s="1"/>
  <c r="D53" i="2"/>
  <c r="C53" i="2"/>
  <c r="K52" i="2"/>
  <c r="L52" i="2" s="1"/>
  <c r="J52" i="2"/>
  <c r="G52" i="2" a="1"/>
  <c r="G52" i="2" s="1"/>
  <c r="F52" i="2" a="1"/>
  <c r="F52" i="2"/>
  <c r="D52" i="2"/>
  <c r="C52" i="2"/>
  <c r="U51" i="2"/>
  <c r="J51" i="2"/>
  <c r="K51" i="2" s="1"/>
  <c r="L51" i="2" s="1"/>
  <c r="G51" i="2" a="1"/>
  <c r="G51" i="2" s="1"/>
  <c r="F51" i="2" a="1"/>
  <c r="F51" i="2"/>
  <c r="D51" i="2"/>
  <c r="C51" i="2"/>
  <c r="J50" i="2"/>
  <c r="K50" i="2" s="1"/>
  <c r="L50" i="2" s="1"/>
  <c r="E50" i="2" s="1"/>
  <c r="G50" i="2" a="1"/>
  <c r="G50" i="2"/>
  <c r="F50" i="2" a="1"/>
  <c r="F50" i="2" s="1"/>
  <c r="D50" i="2"/>
  <c r="C50" i="2"/>
  <c r="J49" i="2"/>
  <c r="K49" i="2" s="1"/>
  <c r="L49" i="2" s="1"/>
  <c r="G49" i="2" a="1"/>
  <c r="G49" i="2" s="1"/>
  <c r="F49" i="2" a="1"/>
  <c r="F49" i="2" s="1"/>
  <c r="D49" i="2"/>
  <c r="C49" i="2"/>
  <c r="J48" i="2"/>
  <c r="K48" i="2" s="1"/>
  <c r="L48" i="2" s="1"/>
  <c r="G48" i="2" a="1"/>
  <c r="G48" i="2" s="1"/>
  <c r="F48" i="2" a="1"/>
  <c r="F48" i="2" s="1"/>
  <c r="D48" i="2"/>
  <c r="C48" i="2"/>
  <c r="J47" i="2"/>
  <c r="K47" i="2" s="1"/>
  <c r="L47" i="2" s="1"/>
  <c r="H47" i="2" a="1"/>
  <c r="H47" i="2"/>
  <c r="I47" i="2" s="1" a="1"/>
  <c r="I47" i="2" s="1"/>
  <c r="G47" i="2" a="1"/>
  <c r="G47" i="2" s="1"/>
  <c r="F47" i="2" a="1"/>
  <c r="F47" i="2" s="1"/>
  <c r="D47" i="2"/>
  <c r="C47" i="2"/>
  <c r="J46" i="2"/>
  <c r="K46" i="2" s="1"/>
  <c r="L46" i="2" s="1"/>
  <c r="G46" i="2" a="1"/>
  <c r="G46" i="2" s="1"/>
  <c r="F46" i="2" a="1"/>
  <c r="F46" i="2" s="1"/>
  <c r="D46" i="2"/>
  <c r="C46" i="2"/>
  <c r="J45" i="2"/>
  <c r="K45" i="2" s="1"/>
  <c r="L45" i="2" s="1"/>
  <c r="E45" i="2" s="1"/>
  <c r="G45" i="2" a="1"/>
  <c r="G45" i="2" s="1"/>
  <c r="F45" i="2" a="1"/>
  <c r="F45" i="2" s="1"/>
  <c r="D45" i="2"/>
  <c r="C45" i="2"/>
  <c r="U44" i="2"/>
  <c r="J44" i="2"/>
  <c r="K44" i="2" s="1"/>
  <c r="L44" i="2" s="1"/>
  <c r="E44" i="2" s="1"/>
  <c r="G44" i="2" a="1"/>
  <c r="G44" i="2" s="1"/>
  <c r="F44" i="2" a="1"/>
  <c r="F44" i="2" s="1"/>
  <c r="D44" i="2"/>
  <c r="C44" i="2"/>
  <c r="K43" i="2"/>
  <c r="L43" i="2" s="1"/>
  <c r="J43" i="2"/>
  <c r="G43" i="2" a="1"/>
  <c r="G43" i="2" s="1"/>
  <c r="F43" i="2" a="1"/>
  <c r="F43" i="2"/>
  <c r="D43" i="2"/>
  <c r="C43" i="2"/>
  <c r="J42" i="2"/>
  <c r="K42" i="2" s="1"/>
  <c r="L42" i="2" s="1"/>
  <c r="G42" i="2" a="1"/>
  <c r="G42" i="2"/>
  <c r="F42" i="2" a="1"/>
  <c r="F42" i="2" s="1"/>
  <c r="D42" i="2"/>
  <c r="C42" i="2"/>
  <c r="J41" i="2"/>
  <c r="K41" i="2" s="1"/>
  <c r="L41" i="2" s="1"/>
  <c r="G41" i="2" a="1"/>
  <c r="G41" i="2" s="1"/>
  <c r="F41" i="2" a="1"/>
  <c r="F41" i="2" s="1"/>
  <c r="D41" i="2"/>
  <c r="C41" i="2"/>
  <c r="J40" i="2"/>
  <c r="K40" i="2" s="1"/>
  <c r="L40" i="2" s="1"/>
  <c r="G40" i="2" a="1"/>
  <c r="G40" i="2"/>
  <c r="F40" i="2" a="1"/>
  <c r="F40" i="2" s="1"/>
  <c r="D40" i="2"/>
  <c r="C40" i="2"/>
  <c r="J39" i="2"/>
  <c r="K39" i="2" s="1"/>
  <c r="L39" i="2" s="1"/>
  <c r="G39" i="2" a="1"/>
  <c r="G39" i="2" s="1"/>
  <c r="F39" i="2" a="1"/>
  <c r="F39" i="2" s="1"/>
  <c r="D39" i="2"/>
  <c r="C39" i="2"/>
  <c r="J38" i="2"/>
  <c r="K38" i="2" s="1"/>
  <c r="L38" i="2" s="1"/>
  <c r="G38" i="2" a="1"/>
  <c r="G38" i="2" s="1"/>
  <c r="F38" i="2" a="1"/>
  <c r="F38" i="2" s="1"/>
  <c r="D38" i="2"/>
  <c r="C38" i="2"/>
  <c r="J37" i="2"/>
  <c r="K37" i="2" s="1"/>
  <c r="L37" i="2" s="1"/>
  <c r="G37" i="2" a="1"/>
  <c r="G37" i="2" s="1"/>
  <c r="F37" i="2" a="1"/>
  <c r="F37" i="2" s="1"/>
  <c r="D37" i="2"/>
  <c r="C37" i="2"/>
  <c r="J36" i="2"/>
  <c r="K36" i="2" s="1"/>
  <c r="L36" i="2" s="1"/>
  <c r="E36" i="2" s="1"/>
  <c r="G36" i="2" a="1"/>
  <c r="G36" i="2" s="1"/>
  <c r="F36" i="2" a="1"/>
  <c r="F36" i="2" s="1"/>
  <c r="D36" i="2"/>
  <c r="C36" i="2"/>
  <c r="J35" i="2"/>
  <c r="K35" i="2" s="1"/>
  <c r="L35" i="2" s="1"/>
  <c r="E35" i="2" s="1"/>
  <c r="G35" i="2" a="1"/>
  <c r="G35" i="2" s="1"/>
  <c r="F35" i="2" a="1"/>
  <c r="F35" i="2" s="1"/>
  <c r="D35" i="2"/>
  <c r="C35" i="2"/>
  <c r="J34" i="2"/>
  <c r="K34" i="2" s="1"/>
  <c r="L34" i="2" s="1"/>
  <c r="G34" i="2" a="1"/>
  <c r="G34" i="2" s="1"/>
  <c r="F34" i="2" a="1"/>
  <c r="F34" i="2" s="1"/>
  <c r="D34" i="2"/>
  <c r="C34" i="2"/>
  <c r="K33" i="2"/>
  <c r="L33" i="2" s="1"/>
  <c r="J33" i="2"/>
  <c r="G33" i="2" a="1"/>
  <c r="G33" i="2"/>
  <c r="F33" i="2" a="1"/>
  <c r="F33" i="2"/>
  <c r="D33" i="2"/>
  <c r="C33" i="2"/>
  <c r="J32" i="2"/>
  <c r="K32" i="2" s="1"/>
  <c r="L32" i="2" s="1"/>
  <c r="G32" i="2" a="1"/>
  <c r="G32" i="2" s="1"/>
  <c r="F32" i="2" a="1"/>
  <c r="F32" i="2" s="1"/>
  <c r="D32" i="2"/>
  <c r="C32" i="2"/>
  <c r="J31" i="2"/>
  <c r="K31" i="2" s="1"/>
  <c r="L31" i="2" s="1"/>
  <c r="E31" i="2" s="1"/>
  <c r="G31" i="2" a="1"/>
  <c r="G31" i="2"/>
  <c r="F31" i="2" a="1"/>
  <c r="F31" i="2" s="1"/>
  <c r="D31" i="2"/>
  <c r="C31" i="2"/>
  <c r="J30" i="2"/>
  <c r="K30" i="2" s="1"/>
  <c r="L30" i="2" s="1"/>
  <c r="G30" i="2" a="1"/>
  <c r="G30" i="2" s="1"/>
  <c r="F30" i="2" a="1"/>
  <c r="F30" i="2" s="1"/>
  <c r="D30" i="2"/>
  <c r="C30" i="2"/>
  <c r="L29" i="2"/>
  <c r="K29" i="2"/>
  <c r="J29" i="2"/>
  <c r="G29" i="2" a="1"/>
  <c r="G29" i="2" s="1"/>
  <c r="F29" i="2" a="1"/>
  <c r="F29" i="2" s="1"/>
  <c r="E29" i="2"/>
  <c r="D29" i="2"/>
  <c r="C29" i="2"/>
  <c r="J28" i="2"/>
  <c r="K28" i="2" s="1"/>
  <c r="L28" i="2" s="1"/>
  <c r="G28" i="2" a="1"/>
  <c r="G28" i="2" s="1"/>
  <c r="F28" i="2" a="1"/>
  <c r="F28" i="2" s="1"/>
  <c r="D28" i="2"/>
  <c r="C28" i="2"/>
  <c r="J27" i="2"/>
  <c r="K27" i="2" s="1"/>
  <c r="L27" i="2" s="1"/>
  <c r="E27" i="2" s="1"/>
  <c r="G27" i="2" a="1"/>
  <c r="G27" i="2"/>
  <c r="F27" i="2" a="1"/>
  <c r="F27" i="2" s="1"/>
  <c r="D27" i="2"/>
  <c r="C27" i="2"/>
  <c r="J26" i="2"/>
  <c r="K26" i="2" s="1"/>
  <c r="L26" i="2" s="1"/>
  <c r="G26" i="2" a="1"/>
  <c r="G26" i="2" s="1"/>
  <c r="F26" i="2" a="1"/>
  <c r="F26" i="2" s="1"/>
  <c r="D26" i="2"/>
  <c r="C26" i="2"/>
  <c r="U25" i="2"/>
  <c r="J25" i="2"/>
  <c r="K25" i="2" s="1"/>
  <c r="L25" i="2" s="1"/>
  <c r="E25" i="2" s="1"/>
  <c r="G25" i="2" a="1"/>
  <c r="G25" i="2" s="1"/>
  <c r="F25" i="2" a="1"/>
  <c r="F25" i="2"/>
  <c r="D25" i="2"/>
  <c r="C25" i="2"/>
  <c r="J24" i="2"/>
  <c r="K24" i="2" s="1"/>
  <c r="L24" i="2" s="1"/>
  <c r="G24" i="2" a="1"/>
  <c r="G24" i="2" s="1"/>
  <c r="F24" i="2" a="1"/>
  <c r="F24" i="2" s="1"/>
  <c r="D24" i="2"/>
  <c r="C24" i="2"/>
  <c r="J23" i="2"/>
  <c r="K23" i="2" s="1"/>
  <c r="L23" i="2" s="1"/>
  <c r="G23" i="2" a="1"/>
  <c r="G23" i="2" s="1"/>
  <c r="F23" i="2" a="1"/>
  <c r="F23" i="2" s="1"/>
  <c r="D23" i="2"/>
  <c r="C23" i="2"/>
  <c r="K22" i="2"/>
  <c r="L22" i="2" s="1"/>
  <c r="E22" i="2" s="1"/>
  <c r="J22" i="2"/>
  <c r="G22" i="2" a="1"/>
  <c r="G22" i="2" s="1"/>
  <c r="F22" i="2" a="1"/>
  <c r="F22" i="2"/>
  <c r="D22" i="2"/>
  <c r="C22" i="2"/>
  <c r="J21" i="2"/>
  <c r="K21" i="2" s="1"/>
  <c r="L21" i="2" s="1"/>
  <c r="G21" i="2" a="1"/>
  <c r="G21" i="2" s="1"/>
  <c r="F21" i="2" a="1"/>
  <c r="F21" i="2"/>
  <c r="D21" i="2"/>
  <c r="C21" i="2"/>
  <c r="U20" i="2"/>
  <c r="J20" i="2"/>
  <c r="K20" i="2" s="1"/>
  <c r="L20" i="2" s="1"/>
  <c r="G20" i="2" a="1"/>
  <c r="G20" i="2"/>
  <c r="F20" i="2" a="1"/>
  <c r="F20" i="2" s="1"/>
  <c r="D20" i="2"/>
  <c r="C20" i="2"/>
  <c r="J19" i="2"/>
  <c r="K19" i="2" s="1"/>
  <c r="L19" i="2" s="1"/>
  <c r="G19" i="2" a="1"/>
  <c r="G19" i="2" s="1"/>
  <c r="F19" i="2" a="1"/>
  <c r="F19" i="2" s="1"/>
  <c r="D19" i="2"/>
  <c r="C19" i="2"/>
  <c r="J18" i="2"/>
  <c r="K18" i="2" s="1"/>
  <c r="L18" i="2" s="1"/>
  <c r="E18" i="2" s="1"/>
  <c r="G18" i="2" a="1"/>
  <c r="G18" i="2" s="1"/>
  <c r="F18" i="2" a="1"/>
  <c r="F18" i="2" s="1"/>
  <c r="D18" i="2"/>
  <c r="C18" i="2"/>
  <c r="L17" i="2"/>
  <c r="E17" i="2" s="1"/>
  <c r="K17" i="2"/>
  <c r="J17" i="2"/>
  <c r="G17" i="2" a="1"/>
  <c r="G17" i="2" s="1"/>
  <c r="F17" i="2" a="1"/>
  <c r="F17" i="2"/>
  <c r="D17" i="2"/>
  <c r="C17" i="2"/>
  <c r="J16" i="2"/>
  <c r="K16" i="2" s="1"/>
  <c r="L16" i="2" s="1"/>
  <c r="E16" i="2" s="1"/>
  <c r="G16" i="2" a="1"/>
  <c r="G16" i="2" s="1"/>
  <c r="F16" i="2" a="1"/>
  <c r="F16" i="2" s="1"/>
  <c r="D16" i="2"/>
  <c r="C16" i="2"/>
  <c r="K15" i="2"/>
  <c r="L15" i="2" s="1"/>
  <c r="E15" i="2" s="1"/>
  <c r="J15" i="2"/>
  <c r="G15" i="2" a="1"/>
  <c r="G15" i="2" s="1"/>
  <c r="F15" i="2" a="1"/>
  <c r="F15" i="2" s="1"/>
  <c r="D15" i="2"/>
  <c r="C15" i="2"/>
  <c r="J14" i="2"/>
  <c r="K14" i="2" s="1"/>
  <c r="L14" i="2" s="1"/>
  <c r="E14" i="2" s="1"/>
  <c r="G14" i="2" a="1"/>
  <c r="G14" i="2" s="1"/>
  <c r="F14" i="2" a="1"/>
  <c r="F14" i="2"/>
  <c r="D14" i="2"/>
  <c r="C14" i="2"/>
  <c r="J13" i="2"/>
  <c r="K13" i="2" s="1"/>
  <c r="L13" i="2" s="1"/>
  <c r="E13" i="2" s="1"/>
  <c r="G13" i="2" a="1"/>
  <c r="G13" i="2"/>
  <c r="F13" i="2" a="1"/>
  <c r="F13" i="2" s="1"/>
  <c r="D13" i="2"/>
  <c r="C13" i="2"/>
  <c r="J12" i="2"/>
  <c r="K12" i="2" s="1"/>
  <c r="L12" i="2" s="1"/>
  <c r="E12" i="2" s="1"/>
  <c r="G12" i="2" a="1"/>
  <c r="G12" i="2" s="1"/>
  <c r="F12" i="2" a="1"/>
  <c r="F12" i="2" s="1"/>
  <c r="D12" i="2"/>
  <c r="C12" i="2"/>
  <c r="J11" i="2"/>
  <c r="K11" i="2" s="1"/>
  <c r="L11" i="2" s="1"/>
  <c r="E11" i="2" s="1"/>
  <c r="G11" i="2" a="1"/>
  <c r="G11" i="2" s="1"/>
  <c r="F11" i="2" a="1"/>
  <c r="F11" i="2" s="1"/>
  <c r="D11" i="2"/>
  <c r="C11" i="2"/>
  <c r="J10" i="2"/>
  <c r="K10" i="2" s="1"/>
  <c r="L10" i="2" s="1"/>
  <c r="E10" i="2" s="1"/>
  <c r="G10" i="2" a="1"/>
  <c r="G10" i="2" s="1"/>
  <c r="F10" i="2" a="1"/>
  <c r="F10" i="2" s="1"/>
  <c r="D10" i="2"/>
  <c r="C10" i="2"/>
  <c r="J9" i="2"/>
  <c r="K9" i="2" s="1"/>
  <c r="L9" i="2" s="1"/>
  <c r="E9" i="2" s="1"/>
  <c r="G9" i="2" a="1"/>
  <c r="G9" i="2" s="1"/>
  <c r="F9" i="2" a="1"/>
  <c r="F9" i="2" s="1"/>
  <c r="D9" i="2"/>
  <c r="C9" i="2"/>
  <c r="J8" i="2"/>
  <c r="K8" i="2" s="1"/>
  <c r="L8" i="2" s="1"/>
  <c r="E8" i="2" s="1"/>
  <c r="G8" i="2" a="1"/>
  <c r="G8" i="2" s="1"/>
  <c r="F8" i="2" a="1"/>
  <c r="F8" i="2" s="1"/>
  <c r="D8" i="2"/>
  <c r="C8" i="2"/>
  <c r="J7" i="2"/>
  <c r="K7" i="2" s="1"/>
  <c r="L7" i="2" s="1"/>
  <c r="E7" i="2" s="1"/>
  <c r="G7" i="2" a="1"/>
  <c r="G7" i="2" s="1"/>
  <c r="F7" i="2" a="1"/>
  <c r="F7" i="2" s="1"/>
  <c r="D7" i="2"/>
  <c r="C7" i="2"/>
  <c r="J6" i="2"/>
  <c r="K6" i="2" s="1"/>
  <c r="L6" i="2" s="1"/>
  <c r="G6" i="2" a="1"/>
  <c r="G6" i="2" s="1"/>
  <c r="F6" i="2" a="1"/>
  <c r="F6" i="2"/>
  <c r="D6" i="2"/>
  <c r="C6" i="2"/>
  <c r="L5" i="2"/>
  <c r="J5" i="2"/>
  <c r="K5" i="2" s="1"/>
  <c r="G5" i="2" a="1"/>
  <c r="G5" i="2"/>
  <c r="F5" i="2" a="1"/>
  <c r="F5" i="2" s="1"/>
  <c r="D5" i="2"/>
  <c r="C5" i="2"/>
  <c r="J4" i="2"/>
  <c r="K4" i="2" s="1"/>
  <c r="L4" i="2" s="1"/>
  <c r="E4" i="2" s="1"/>
  <c r="G4" i="2" a="1"/>
  <c r="G4" i="2" s="1"/>
  <c r="F4" i="2" a="1"/>
  <c r="F4" i="2" s="1"/>
  <c r="D4" i="2"/>
  <c r="C4" i="2"/>
  <c r="J3" i="2"/>
  <c r="K3" i="2" s="1"/>
  <c r="L3" i="2" s="1"/>
  <c r="G3" i="2" a="1"/>
  <c r="G3" i="2"/>
  <c r="F3" i="2" a="1"/>
  <c r="F3" i="2" s="1"/>
  <c r="D3" i="2"/>
  <c r="C3" i="2"/>
  <c r="U1" i="2"/>
  <c r="B135" i="1"/>
  <c r="B134" i="1"/>
  <c r="B133" i="1"/>
  <c r="B132" i="1"/>
  <c r="B131" i="1"/>
  <c r="B130" i="1"/>
  <c r="B129" i="1"/>
  <c r="B128" i="1"/>
  <c r="B124" i="1"/>
  <c r="B120" i="1"/>
  <c r="B119" i="1"/>
  <c r="B118" i="1"/>
  <c r="B117" i="1"/>
  <c r="B116" i="1"/>
  <c r="B115" i="1"/>
  <c r="E111" i="1"/>
  <c r="D111" i="1"/>
  <c r="C111" i="1"/>
  <c r="E110" i="1"/>
  <c r="D110" i="1"/>
  <c r="F110" i="1" s="1"/>
  <c r="C110" i="1"/>
  <c r="E109" i="1"/>
  <c r="D109" i="1"/>
  <c r="C109" i="1"/>
  <c r="E108" i="1"/>
  <c r="D108" i="1"/>
  <c r="F108" i="1" s="1"/>
  <c r="H108" i="1" s="1"/>
  <c r="C108" i="1"/>
  <c r="E107" i="1"/>
  <c r="D107" i="1"/>
  <c r="C107" i="1"/>
  <c r="E106" i="1"/>
  <c r="D106" i="1"/>
  <c r="F106" i="1" s="1"/>
  <c r="H106" i="1" s="1"/>
  <c r="C106" i="1"/>
  <c r="E105" i="1"/>
  <c r="D105" i="1"/>
  <c r="C105" i="1"/>
  <c r="E104" i="1"/>
  <c r="D104" i="1"/>
  <c r="F104" i="1" s="1"/>
  <c r="C104" i="1"/>
  <c r="E103" i="1"/>
  <c r="F103" i="1" s="1"/>
  <c r="D103" i="1"/>
  <c r="C103" i="1"/>
  <c r="G102" i="1"/>
  <c r="E102" i="1"/>
  <c r="D102" i="1"/>
  <c r="F102" i="1" s="1"/>
  <c r="H102" i="1" s="1"/>
  <c r="C102" i="1"/>
  <c r="E101" i="1"/>
  <c r="D101" i="1"/>
  <c r="C101" i="1"/>
  <c r="H100" i="1"/>
  <c r="E100" i="1"/>
  <c r="D100" i="1"/>
  <c r="F100" i="1" s="1"/>
  <c r="G100" i="1" s="1"/>
  <c r="C100" i="1"/>
  <c r="E99" i="1"/>
  <c r="D99" i="1"/>
  <c r="C99" i="1"/>
  <c r="H98" i="1"/>
  <c r="E98" i="1"/>
  <c r="D98" i="1"/>
  <c r="F98" i="1" s="1"/>
  <c r="G98" i="1" s="1"/>
  <c r="C98" i="1"/>
  <c r="E97" i="1"/>
  <c r="D97" i="1"/>
  <c r="C97" i="1"/>
  <c r="E96" i="1"/>
  <c r="D96" i="1"/>
  <c r="F96" i="1" s="1"/>
  <c r="H96" i="1" s="1"/>
  <c r="C96" i="1"/>
  <c r="E95" i="1"/>
  <c r="D95" i="1"/>
  <c r="C95" i="1"/>
  <c r="E94" i="1"/>
  <c r="D94" i="1"/>
  <c r="F94" i="1" s="1"/>
  <c r="H94" i="1" s="1"/>
  <c r="C94" i="1"/>
  <c r="E93" i="1"/>
  <c r="F93" i="1" s="1"/>
  <c r="D93" i="1"/>
  <c r="C93" i="1"/>
  <c r="E92" i="1"/>
  <c r="D92" i="1"/>
  <c r="F92" i="1" s="1"/>
  <c r="G92" i="1" s="1"/>
  <c r="C92" i="1"/>
  <c r="E91" i="1"/>
  <c r="F91" i="1" s="1"/>
  <c r="D91" i="1"/>
  <c r="C91" i="1"/>
  <c r="E90" i="1"/>
  <c r="D90" i="1"/>
  <c r="F90" i="1" s="1"/>
  <c r="C90" i="1"/>
  <c r="E89" i="1"/>
  <c r="F89" i="1" s="1"/>
  <c r="D89" i="1"/>
  <c r="C89" i="1"/>
  <c r="H88" i="1"/>
  <c r="E88" i="1"/>
  <c r="D88" i="1"/>
  <c r="F88" i="1" s="1"/>
  <c r="G88" i="1" s="1"/>
  <c r="C88" i="1"/>
  <c r="E87" i="1"/>
  <c r="D87" i="1"/>
  <c r="C87" i="1"/>
  <c r="H86" i="1"/>
  <c r="G86" i="1"/>
  <c r="E86" i="1"/>
  <c r="D86" i="1"/>
  <c r="F86" i="1" s="1"/>
  <c r="C86" i="1"/>
  <c r="H85" i="1"/>
  <c r="G85" i="1"/>
  <c r="E85" i="1"/>
  <c r="F85" i="1" s="1"/>
  <c r="D85" i="1"/>
  <c r="C85" i="1"/>
  <c r="E84" i="1"/>
  <c r="D84" i="1"/>
  <c r="F84" i="1" s="1"/>
  <c r="H84" i="1" s="1"/>
  <c r="C84" i="1"/>
  <c r="G83" i="1"/>
  <c r="E83" i="1"/>
  <c r="F83" i="1" s="1"/>
  <c r="D83" i="1"/>
  <c r="C83" i="1"/>
  <c r="E82" i="1"/>
  <c r="D82" i="1"/>
  <c r="F82" i="1" s="1"/>
  <c r="H82" i="1" s="1"/>
  <c r="C82" i="1"/>
  <c r="E81" i="1"/>
  <c r="D81" i="1"/>
  <c r="C81" i="1"/>
  <c r="H80" i="1"/>
  <c r="E80" i="1"/>
  <c r="D80" i="1"/>
  <c r="F80" i="1" s="1"/>
  <c r="G80" i="1" s="1"/>
  <c r="C80" i="1"/>
  <c r="E79" i="1"/>
  <c r="D79" i="1"/>
  <c r="C79" i="1"/>
  <c r="E78" i="1"/>
  <c r="D78" i="1"/>
  <c r="F78" i="1" s="1"/>
  <c r="C78" i="1"/>
  <c r="E77" i="1"/>
  <c r="D77" i="1"/>
  <c r="C77" i="1"/>
  <c r="E76" i="1"/>
  <c r="D76" i="1"/>
  <c r="F76" i="1" s="1"/>
  <c r="G76" i="1" s="1"/>
  <c r="C76" i="1"/>
  <c r="E75" i="1"/>
  <c r="D75" i="1"/>
  <c r="C75" i="1"/>
  <c r="E74" i="1"/>
  <c r="D74" i="1"/>
  <c r="F74" i="1" s="1"/>
  <c r="C74" i="1"/>
  <c r="E73" i="1"/>
  <c r="D73" i="1"/>
  <c r="C73" i="1"/>
  <c r="E72" i="1"/>
  <c r="D72" i="1"/>
  <c r="F72" i="1" s="1"/>
  <c r="G72" i="1" s="1"/>
  <c r="C72" i="1"/>
  <c r="E71" i="1"/>
  <c r="D71" i="1"/>
  <c r="C71" i="1"/>
  <c r="H70" i="1"/>
  <c r="G70" i="1"/>
  <c r="E70" i="1"/>
  <c r="D70" i="1"/>
  <c r="F70" i="1" s="1"/>
  <c r="C70" i="1"/>
  <c r="E69" i="1"/>
  <c r="D69" i="1"/>
  <c r="C69" i="1"/>
  <c r="E68" i="1"/>
  <c r="D68" i="1"/>
  <c r="F68" i="1" s="1"/>
  <c r="H68" i="1" s="1"/>
  <c r="C68" i="1"/>
  <c r="E67" i="1"/>
  <c r="D67" i="1"/>
  <c r="F67" i="1" s="1"/>
  <c r="H67" i="1" s="1"/>
  <c r="C67" i="1"/>
  <c r="E66" i="1"/>
  <c r="D66" i="1"/>
  <c r="F66" i="1" s="1"/>
  <c r="H66" i="1" s="1"/>
  <c r="C66" i="1"/>
  <c r="E65" i="1"/>
  <c r="D65" i="1"/>
  <c r="C65" i="1"/>
  <c r="E64" i="1"/>
  <c r="D64" i="1"/>
  <c r="F64" i="1" s="1"/>
  <c r="H64" i="1" s="1"/>
  <c r="C64" i="1"/>
  <c r="E63" i="1"/>
  <c r="D63" i="1"/>
  <c r="F63" i="1" s="1"/>
  <c r="H63" i="1" s="1"/>
  <c r="C63" i="1"/>
  <c r="E62" i="1"/>
  <c r="D62" i="1"/>
  <c r="F62" i="1" s="1"/>
  <c r="H62" i="1" s="1"/>
  <c r="C62" i="1"/>
  <c r="E61" i="1"/>
  <c r="D61" i="1"/>
  <c r="C61" i="1"/>
  <c r="E60" i="1"/>
  <c r="D60" i="1"/>
  <c r="F60" i="1" s="1"/>
  <c r="H60" i="1" s="1"/>
  <c r="C60" i="1"/>
  <c r="F59" i="1"/>
  <c r="H59" i="1" s="1"/>
  <c r="E59" i="1"/>
  <c r="D59" i="1"/>
  <c r="C59" i="1"/>
  <c r="E58" i="1"/>
  <c r="D58" i="1"/>
  <c r="F58" i="1" s="1"/>
  <c r="C58" i="1"/>
  <c r="E57" i="1"/>
  <c r="D57" i="1"/>
  <c r="C57" i="1"/>
  <c r="H56" i="1"/>
  <c r="G56" i="1"/>
  <c r="E56" i="1"/>
  <c r="D56" i="1"/>
  <c r="F56" i="1" s="1"/>
  <c r="C56" i="1"/>
  <c r="E55" i="1"/>
  <c r="D55" i="1"/>
  <c r="C55" i="1"/>
  <c r="H54" i="1"/>
  <c r="E54" i="1"/>
  <c r="D54" i="1"/>
  <c r="F54" i="1" s="1"/>
  <c r="G54" i="1" s="1"/>
  <c r="C54" i="1"/>
  <c r="E53" i="1"/>
  <c r="D53" i="1"/>
  <c r="C53" i="1"/>
  <c r="E52" i="1"/>
  <c r="D52" i="1"/>
  <c r="F52" i="1" s="1"/>
  <c r="G52" i="1" s="1"/>
  <c r="C52" i="1"/>
  <c r="E51" i="1"/>
  <c r="D51" i="1"/>
  <c r="C51" i="1"/>
  <c r="E50" i="1"/>
  <c r="D50" i="1"/>
  <c r="F50" i="1" s="1"/>
  <c r="C50" i="1"/>
  <c r="E49" i="1"/>
  <c r="D49" i="1"/>
  <c r="C49" i="1"/>
  <c r="E48" i="1"/>
  <c r="D48" i="1"/>
  <c r="F48" i="1" s="1"/>
  <c r="G48" i="1" s="1"/>
  <c r="C48" i="1"/>
  <c r="E47" i="1"/>
  <c r="D47" i="1"/>
  <c r="C47" i="1"/>
  <c r="G46" i="1"/>
  <c r="E46" i="1"/>
  <c r="D46" i="1"/>
  <c r="F46" i="1" s="1"/>
  <c r="H46" i="1" s="1"/>
  <c r="C46" i="1"/>
  <c r="E45" i="1"/>
  <c r="D45" i="1"/>
  <c r="C45" i="1"/>
  <c r="E44" i="1"/>
  <c r="D44" i="1"/>
  <c r="F44" i="1" s="1"/>
  <c r="H44" i="1" s="1"/>
  <c r="C44" i="1"/>
  <c r="E43" i="1"/>
  <c r="D43" i="1"/>
  <c r="F43" i="1" s="1"/>
  <c r="H43" i="1" s="1"/>
  <c r="C43" i="1"/>
  <c r="E42" i="1"/>
  <c r="D42" i="1"/>
  <c r="F42" i="1" s="1"/>
  <c r="H42" i="1" s="1"/>
  <c r="C42" i="1"/>
  <c r="E41" i="1"/>
  <c r="D41" i="1"/>
  <c r="C41" i="1"/>
  <c r="E40" i="1"/>
  <c r="D40" i="1"/>
  <c r="F40" i="1" s="1"/>
  <c r="H40" i="1" s="1"/>
  <c r="C40" i="1"/>
  <c r="E39" i="1"/>
  <c r="D39" i="1"/>
  <c r="F39" i="1" s="1"/>
  <c r="H39" i="1" s="1"/>
  <c r="C39" i="1"/>
  <c r="E38" i="1"/>
  <c r="D38" i="1"/>
  <c r="F38" i="1" s="1"/>
  <c r="H38" i="1" s="1"/>
  <c r="C38" i="1"/>
  <c r="E37" i="1"/>
  <c r="D37" i="1"/>
  <c r="C37" i="1"/>
  <c r="E36" i="1"/>
  <c r="D36" i="1"/>
  <c r="F36" i="1" s="1"/>
  <c r="H36" i="1" s="1"/>
  <c r="C36" i="1"/>
  <c r="E35" i="1"/>
  <c r="D35" i="1"/>
  <c r="F35" i="1" s="1"/>
  <c r="H35" i="1" s="1"/>
  <c r="C35" i="1"/>
  <c r="E34" i="1"/>
  <c r="D34" i="1"/>
  <c r="F34" i="1" s="1"/>
  <c r="C34" i="1"/>
  <c r="F30" i="1"/>
  <c r="B29" i="1"/>
  <c r="B28" i="1"/>
  <c r="G27" i="1"/>
  <c r="F27" i="1"/>
  <c r="B27" i="1"/>
  <c r="F26" i="1"/>
  <c r="G26" i="1" s="1"/>
  <c r="B26" i="1"/>
  <c r="C26" i="1" s="1"/>
  <c r="G25" i="1"/>
  <c r="F25" i="1"/>
  <c r="B25" i="1"/>
  <c r="C29" i="1" s="1"/>
  <c r="G24" i="1"/>
  <c r="F24" i="1"/>
  <c r="B24" i="1"/>
  <c r="J14" i="1"/>
  <c r="K14" i="1" s="1"/>
  <c r="K13" i="1"/>
  <c r="K12" i="1"/>
  <c r="C7" i="1"/>
  <c r="E6" i="1"/>
  <c r="C6" i="1"/>
  <c r="G50" i="1" l="1"/>
  <c r="H50" i="1"/>
  <c r="H93" i="1"/>
  <c r="G93" i="1"/>
  <c r="G104" i="1"/>
  <c r="H104" i="1"/>
  <c r="G34" i="1"/>
  <c r="H34" i="1"/>
  <c r="F105" i="1"/>
  <c r="G39" i="1"/>
  <c r="G58" i="1"/>
  <c r="H58" i="1"/>
  <c r="A7" i="1"/>
  <c r="H90" i="1"/>
  <c r="G90" i="1"/>
  <c r="G74" i="1"/>
  <c r="H74" i="1"/>
  <c r="H78" i="1"/>
  <c r="G78" i="1"/>
  <c r="H110" i="1"/>
  <c r="G110" i="1"/>
  <c r="G63" i="1"/>
  <c r="G6" i="1"/>
  <c r="F79" i="1"/>
  <c r="F111" i="1"/>
  <c r="N10" i="8" a="1"/>
  <c r="N10" i="8" s="1"/>
  <c r="P10" i="8" s="1"/>
  <c r="N14" i="8" a="1"/>
  <c r="N14" i="8" s="1"/>
  <c r="P14" i="8" s="1"/>
  <c r="N17" i="8" a="1"/>
  <c r="N17" i="8" s="1"/>
  <c r="Q19" i="8"/>
  <c r="AQ20" i="8"/>
  <c r="Q35" i="8"/>
  <c r="R39" i="8"/>
  <c r="AO52" i="8"/>
  <c r="AP52" i="8" s="1"/>
  <c r="R61" i="8"/>
  <c r="AO62" i="8"/>
  <c r="AP62" i="8" s="1"/>
  <c r="N73" i="8" a="1"/>
  <c r="N73" i="8" s="1"/>
  <c r="N87" i="8" a="1"/>
  <c r="N87" i="8" s="1"/>
  <c r="R179" i="8"/>
  <c r="Q184" i="8"/>
  <c r="T141" i="10"/>
  <c r="T151" i="10"/>
  <c r="T540" i="10"/>
  <c r="R126" i="11"/>
  <c r="V10" i="8"/>
  <c r="Y10" i="8" s="1"/>
  <c r="V42" i="8"/>
  <c r="V74" i="8"/>
  <c r="Y74" i="8" s="1"/>
  <c r="V106" i="8"/>
  <c r="W106" i="8" s="1"/>
  <c r="X106" i="8" s="1"/>
  <c r="V141" i="8"/>
  <c r="V176" i="8"/>
  <c r="V209" i="8"/>
  <c r="V244" i="8"/>
  <c r="W244" i="8" s="1"/>
  <c r="X244" i="8" s="1"/>
  <c r="V277" i="8"/>
  <c r="N7" i="8" a="1"/>
  <c r="N7" i="8" s="1"/>
  <c r="Q9" i="8"/>
  <c r="R18" i="8"/>
  <c r="AO23" i="8"/>
  <c r="AP23" i="8" s="1"/>
  <c r="R28" i="8"/>
  <c r="AO29" i="8"/>
  <c r="AP29" i="8" s="1"/>
  <c r="Q32" i="8"/>
  <c r="R42" i="8"/>
  <c r="Q51" i="8"/>
  <c r="AQ74" i="8"/>
  <c r="AQ77" i="8"/>
  <c r="Q97" i="8"/>
  <c r="Q114" i="8"/>
  <c r="Q210" i="8"/>
  <c r="R307" i="8"/>
  <c r="Q353" i="8"/>
  <c r="V201" i="9"/>
  <c r="AO60" i="9"/>
  <c r="AP60" i="9" s="1"/>
  <c r="AO86" i="9"/>
  <c r="AP86" i="9" s="1"/>
  <c r="T2" i="10"/>
  <c r="T90" i="10"/>
  <c r="T92" i="10"/>
  <c r="T232" i="10"/>
  <c r="T532" i="10"/>
  <c r="R141" i="11"/>
  <c r="V13" i="8"/>
  <c r="W13" i="8" s="1"/>
  <c r="X13" i="8" s="1"/>
  <c r="V44" i="8"/>
  <c r="Y44" i="8" s="1"/>
  <c r="V76" i="8"/>
  <c r="V110" i="8"/>
  <c r="V144" i="8"/>
  <c r="Y144" i="8" s="1"/>
  <c r="V178" i="8"/>
  <c r="V212" i="8"/>
  <c r="V246" i="8"/>
  <c r="V281" i="8"/>
  <c r="N4" i="8" a="1"/>
  <c r="N4" i="8" s="1"/>
  <c r="N27" i="8" a="1"/>
  <c r="N27" i="8" s="1"/>
  <c r="T138" i="10"/>
  <c r="T221" i="10"/>
  <c r="T419" i="10"/>
  <c r="R165" i="11"/>
  <c r="F69" i="1"/>
  <c r="F107" i="1"/>
  <c r="G107" i="1" s="1"/>
  <c r="N38" i="8" a="1"/>
  <c r="N38" i="8" s="1"/>
  <c r="N37" i="8" a="1"/>
  <c r="N37" i="8" s="1"/>
  <c r="N75" i="8" a="1"/>
  <c r="N75" i="8" s="1"/>
  <c r="Q121" i="8"/>
  <c r="T118" i="10"/>
  <c r="T340" i="10"/>
  <c r="T424" i="10"/>
  <c r="T466" i="10"/>
  <c r="T510" i="10"/>
  <c r="R181" i="11"/>
  <c r="F45" i="1"/>
  <c r="F95" i="1"/>
  <c r="G95" i="1" s="1"/>
  <c r="F101" i="1"/>
  <c r="N2" i="8" a="1"/>
  <c r="N2" i="8" s="1"/>
  <c r="V18" i="8"/>
  <c r="V50" i="8"/>
  <c r="V81" i="8"/>
  <c r="Y81" i="8" s="1"/>
  <c r="V116" i="8"/>
  <c r="V149" i="8"/>
  <c r="V183" i="8"/>
  <c r="V218" i="8"/>
  <c r="V252" i="8"/>
  <c r="V287" i="8"/>
  <c r="Y287" i="8" s="1"/>
  <c r="Y8" i="8"/>
  <c r="N16" i="8" a="1"/>
  <c r="N16" i="8" s="1"/>
  <c r="P16" i="8" s="1"/>
  <c r="AQ22" i="8"/>
  <c r="Q31" i="8"/>
  <c r="AO35" i="8"/>
  <c r="AP35" i="8" s="1"/>
  <c r="Q41" i="8"/>
  <c r="AO48" i="8"/>
  <c r="AP48" i="8" s="1"/>
  <c r="R174" i="8"/>
  <c r="R277" i="8"/>
  <c r="T4" i="10"/>
  <c r="T213" i="10"/>
  <c r="T238" i="10"/>
  <c r="T393" i="10"/>
  <c r="T414" i="10"/>
  <c r="T431" i="10"/>
  <c r="T458" i="10"/>
  <c r="T495" i="10"/>
  <c r="R2" i="11"/>
  <c r="R205" i="11"/>
  <c r="H92" i="1"/>
  <c r="V19" i="8"/>
  <c r="W19" i="8" s="1"/>
  <c r="X19" i="8" s="1"/>
  <c r="V51" i="8"/>
  <c r="Y51" i="8" s="1"/>
  <c r="V82" i="8"/>
  <c r="W82" i="8" s="1"/>
  <c r="X82" i="8" s="1"/>
  <c r="V117" i="8"/>
  <c r="V150" i="8"/>
  <c r="V184" i="8"/>
  <c r="V219" i="8"/>
  <c r="V254" i="8"/>
  <c r="V289" i="8"/>
  <c r="N20" i="8" a="1"/>
  <c r="N20" i="8" s="1"/>
  <c r="AQ28" i="8"/>
  <c r="N62" i="8" a="1"/>
  <c r="N62" i="8" s="1"/>
  <c r="T150" i="10"/>
  <c r="T160" i="10"/>
  <c r="T220" i="10"/>
  <c r="T241" i="10"/>
  <c r="T258" i="10"/>
  <c r="T287" i="10"/>
  <c r="R220" i="11"/>
  <c r="V24" i="8"/>
  <c r="W24" i="8" s="1"/>
  <c r="X24" i="8" s="1"/>
  <c r="V55" i="8"/>
  <c r="V87" i="8"/>
  <c r="Y87" i="8" s="1"/>
  <c r="V120" i="8"/>
  <c r="V155" i="8"/>
  <c r="V190" i="8"/>
  <c r="V224" i="8"/>
  <c r="V258" i="8"/>
  <c r="W258" i="8" s="1"/>
  <c r="X258" i="8" s="1"/>
  <c r="V293" i="8"/>
  <c r="R6" i="8"/>
  <c r="AO14" i="8"/>
  <c r="AP14" i="8" s="1"/>
  <c r="AO17" i="8"/>
  <c r="AP17" i="8" s="1"/>
  <c r="N52" i="8" a="1"/>
  <c r="N52" i="8" s="1"/>
  <c r="Q53" i="8"/>
  <c r="AO60" i="8"/>
  <c r="AP60" i="8" s="1"/>
  <c r="AO96" i="8"/>
  <c r="AP96" i="8" s="1"/>
  <c r="Q102" i="8"/>
  <c r="AO103" i="8"/>
  <c r="AP103" i="8" s="1"/>
  <c r="Q181" i="8"/>
  <c r="Q484" i="8"/>
  <c r="Q507" i="8"/>
  <c r="Q534" i="8"/>
  <c r="V64" i="9"/>
  <c r="V299" i="9"/>
  <c r="AO6" i="9"/>
  <c r="AP6" i="9" s="1"/>
  <c r="AQ23" i="9"/>
  <c r="T145" i="10"/>
  <c r="T234" i="10"/>
  <c r="T296" i="10"/>
  <c r="T480" i="10"/>
  <c r="T527" i="10"/>
  <c r="T537" i="10"/>
  <c r="R16" i="11"/>
  <c r="S16" i="11" s="1"/>
  <c r="T16" i="11" s="1"/>
  <c r="R245" i="11"/>
  <c r="V26" i="8"/>
  <c r="Y26" i="8" s="1"/>
  <c r="V57" i="8"/>
  <c r="V89" i="8"/>
  <c r="V124" i="8"/>
  <c r="V158" i="8"/>
  <c r="W158" i="8" s="1"/>
  <c r="X158" i="8" s="1"/>
  <c r="V192" i="8"/>
  <c r="V226" i="8"/>
  <c r="V261" i="8"/>
  <c r="V297" i="8"/>
  <c r="AO8" i="8"/>
  <c r="AP8" i="8" s="1"/>
  <c r="R24" i="8"/>
  <c r="N26" i="8" a="1"/>
  <c r="N26" i="8" s="1"/>
  <c r="AQ44" i="8"/>
  <c r="AO50" i="8"/>
  <c r="AP50" i="8" s="1"/>
  <c r="Q63" i="8"/>
  <c r="T99" i="10"/>
  <c r="T112" i="10"/>
  <c r="T152" i="10"/>
  <c r="T223" i="10"/>
  <c r="T237" i="10"/>
  <c r="R30" i="11"/>
  <c r="R261" i="11"/>
  <c r="V29" i="8"/>
  <c r="Y29" i="8" s="1"/>
  <c r="V61" i="8"/>
  <c r="V92" i="8"/>
  <c r="V126" i="8"/>
  <c r="V160" i="8"/>
  <c r="V195" i="8"/>
  <c r="V230" i="8"/>
  <c r="V263" i="8"/>
  <c r="V299" i="8"/>
  <c r="N15" i="8" a="1"/>
  <c r="N15" i="8" s="1"/>
  <c r="P15" i="8" s="1"/>
  <c r="N61" i="8" a="1"/>
  <c r="N61" i="8" s="1"/>
  <c r="N104" i="8" a="1"/>
  <c r="N104" i="8" s="1"/>
  <c r="T124" i="10"/>
  <c r="T139" i="10"/>
  <c r="T373" i="10"/>
  <c r="T423" i="10"/>
  <c r="R52" i="11"/>
  <c r="R287" i="11"/>
  <c r="F81" i="1"/>
  <c r="F99" i="1"/>
  <c r="V30" i="8"/>
  <c r="Y30" i="8" s="1"/>
  <c r="V62" i="8"/>
  <c r="W62" i="8" s="1"/>
  <c r="X62" i="8" s="1"/>
  <c r="V93" i="8"/>
  <c r="V128" i="8"/>
  <c r="V162" i="8"/>
  <c r="V196" i="8"/>
  <c r="V231" i="8"/>
  <c r="V264" i="8"/>
  <c r="V301" i="8"/>
  <c r="N18" i="8" a="1"/>
  <c r="N18" i="8" s="1"/>
  <c r="N28" i="8" a="1"/>
  <c r="N28" i="8" s="1"/>
  <c r="N32" i="8" a="1"/>
  <c r="N32" i="8" s="1"/>
  <c r="Q33" i="8"/>
  <c r="R62" i="8"/>
  <c r="Q69" i="8"/>
  <c r="R98" i="8"/>
  <c r="R119" i="8"/>
  <c r="R186" i="8"/>
  <c r="Q274" i="8"/>
  <c r="R389" i="8"/>
  <c r="Q473" i="8"/>
  <c r="Q519" i="8"/>
  <c r="R538" i="8"/>
  <c r="T11" i="10"/>
  <c r="T93" i="10"/>
  <c r="T104" i="10"/>
  <c r="T337" i="10"/>
  <c r="T339" i="10"/>
  <c r="T341" i="10"/>
  <c r="T460" i="10"/>
  <c r="T487" i="10"/>
  <c r="R66" i="11"/>
  <c r="R305" i="11"/>
  <c r="F87" i="1"/>
  <c r="F109" i="1"/>
  <c r="V3" i="8"/>
  <c r="W3" i="8" s="1"/>
  <c r="X3" i="8" s="1"/>
  <c r="V34" i="8"/>
  <c r="Y34" i="8" s="1"/>
  <c r="V65" i="8"/>
  <c r="V98" i="8"/>
  <c r="V132" i="8"/>
  <c r="V167" i="8"/>
  <c r="V202" i="8"/>
  <c r="Y202" i="8" s="1"/>
  <c r="V234" i="8"/>
  <c r="V269" i="8"/>
  <c r="V306" i="8"/>
  <c r="AQ16" i="8"/>
  <c r="N48" i="8" a="1"/>
  <c r="N48" i="8" s="1"/>
  <c r="P48" i="8" s="1"/>
  <c r="N58" i="8" a="1"/>
  <c r="N58" i="8" s="1"/>
  <c r="AO63" i="8"/>
  <c r="AP63" i="8" s="1"/>
  <c r="AO89" i="8"/>
  <c r="AP89" i="8" s="1"/>
  <c r="AO92" i="8"/>
  <c r="AP92" i="8" s="1"/>
  <c r="Q430" i="8"/>
  <c r="Q475" i="8"/>
  <c r="Q500" i="8"/>
  <c r="R540" i="8"/>
  <c r="AQ58" i="9"/>
  <c r="AQ61" i="9"/>
  <c r="T28" i="10"/>
  <c r="T119" i="10"/>
  <c r="T144" i="10"/>
  <c r="T526" i="10"/>
  <c r="R88" i="11"/>
  <c r="F97" i="1"/>
  <c r="N8" i="8" a="1"/>
  <c r="N8" i="8" s="1"/>
  <c r="P8" i="8" s="1"/>
  <c r="N54" i="8" a="1"/>
  <c r="N54" i="8" s="1"/>
  <c r="N76" i="8" a="1"/>
  <c r="N76" i="8" s="1"/>
  <c r="AO83" i="8"/>
  <c r="AP83" i="8" s="1"/>
  <c r="R91" i="8"/>
  <c r="V160" i="9"/>
  <c r="AQ14" i="9"/>
  <c r="T171" i="10"/>
  <c r="T208" i="10"/>
  <c r="T354" i="10"/>
  <c r="T501" i="10"/>
  <c r="R102" i="11"/>
  <c r="G69" i="1"/>
  <c r="H69" i="1"/>
  <c r="H51" i="1"/>
  <c r="G41" i="1"/>
  <c r="G45" i="1"/>
  <c r="H45" i="1"/>
  <c r="D17" i="1"/>
  <c r="D19" i="1"/>
  <c r="F41" i="1"/>
  <c r="G43" i="1"/>
  <c r="F65" i="1"/>
  <c r="G65" i="1" s="1"/>
  <c r="G67" i="1"/>
  <c r="C25" i="1"/>
  <c r="F37" i="1"/>
  <c r="G37" i="1" s="1"/>
  <c r="H41" i="1"/>
  <c r="H52" i="1"/>
  <c r="F61" i="1"/>
  <c r="G61" i="1" s="1"/>
  <c r="H76" i="1"/>
  <c r="H83" i="1"/>
  <c r="H95" i="1"/>
  <c r="H107" i="1"/>
  <c r="C9" i="1"/>
  <c r="A9" i="1"/>
  <c r="B30" i="1"/>
  <c r="G35" i="1"/>
  <c r="H48" i="1"/>
  <c r="F57" i="1"/>
  <c r="H57" i="1" s="1"/>
  <c r="G59" i="1"/>
  <c r="H61" i="1"/>
  <c r="H72" i="1"/>
  <c r="D18" i="1"/>
  <c r="C28" i="1"/>
  <c r="D16" i="1"/>
  <c r="G44" i="1"/>
  <c r="F55" i="1"/>
  <c r="H55" i="1" s="1"/>
  <c r="G68" i="1"/>
  <c r="G79" i="1"/>
  <c r="G91" i="1"/>
  <c r="G103" i="1"/>
  <c r="G42" i="1"/>
  <c r="F53" i="1"/>
  <c r="H53" i="1" s="1"/>
  <c r="G55" i="1"/>
  <c r="G66" i="1"/>
  <c r="F77" i="1"/>
  <c r="H77" i="1" s="1"/>
  <c r="H79" i="1"/>
  <c r="G84" i="1"/>
  <c r="H91" i="1"/>
  <c r="G96" i="1"/>
  <c r="F51" i="1"/>
  <c r="G51" i="1" s="1"/>
  <c r="G64" i="1"/>
  <c r="F75" i="1"/>
  <c r="H75" i="1" s="1"/>
  <c r="G89" i="1"/>
  <c r="H103" i="1"/>
  <c r="G108" i="1"/>
  <c r="G40" i="1"/>
  <c r="G101" i="1"/>
  <c r="A6" i="1"/>
  <c r="G38" i="1"/>
  <c r="F49" i="1"/>
  <c r="H49" i="1" s="1"/>
  <c r="G62" i="1"/>
  <c r="F73" i="1"/>
  <c r="H73" i="1" s="1"/>
  <c r="G82" i="1"/>
  <c r="H89" i="1"/>
  <c r="G94" i="1"/>
  <c r="H101" i="1"/>
  <c r="G106" i="1"/>
  <c r="C14" i="1"/>
  <c r="C17" i="1"/>
  <c r="C27" i="1"/>
  <c r="G36" i="1"/>
  <c r="F47" i="1"/>
  <c r="H47" i="1" s="1"/>
  <c r="G49" i="1"/>
  <c r="G60" i="1"/>
  <c r="F71" i="1"/>
  <c r="H71" i="1" s="1"/>
  <c r="G87" i="1"/>
  <c r="G99" i="1"/>
  <c r="G111" i="1"/>
  <c r="D15" i="1"/>
  <c r="C18" i="1"/>
  <c r="C24" i="1"/>
  <c r="C30" i="1" s="1"/>
  <c r="H87" i="1"/>
  <c r="H99" i="1"/>
  <c r="H111" i="1"/>
  <c r="V5" i="8"/>
  <c r="V21" i="8"/>
  <c r="V37" i="8"/>
  <c r="V52" i="8"/>
  <c r="V68" i="8"/>
  <c r="V84" i="8"/>
  <c r="V101" i="8"/>
  <c r="V118" i="8"/>
  <c r="V134" i="8"/>
  <c r="V153" i="8"/>
  <c r="V169" i="8"/>
  <c r="V186" i="8"/>
  <c r="V204" i="8"/>
  <c r="V220" i="8"/>
  <c r="V238" i="8"/>
  <c r="V255" i="8"/>
  <c r="V273" i="8"/>
  <c r="V290" i="8"/>
  <c r="Q4" i="8"/>
  <c r="Q8" i="8"/>
  <c r="Q17" i="8"/>
  <c r="Y24" i="8"/>
  <c r="R26" i="8"/>
  <c r="R27" i="8"/>
  <c r="AQ31" i="8"/>
  <c r="AO33" i="8"/>
  <c r="AP33" i="8" s="1"/>
  <c r="AO34" i="8"/>
  <c r="AP34" i="8" s="1"/>
  <c r="Q38" i="8"/>
  <c r="AQ43" i="8"/>
  <c r="Y62" i="8"/>
  <c r="N67" i="8" a="1"/>
  <c r="N67" i="8" s="1"/>
  <c r="P67" i="8" s="1"/>
  <c r="N91" i="8" a="1"/>
  <c r="N91" i="8" s="1"/>
  <c r="R93" i="8"/>
  <c r="N115" i="8" a="1"/>
  <c r="N115" i="8" s="1"/>
  <c r="P115" i="8" s="1"/>
  <c r="N134" i="8" a="1"/>
  <c r="N134" i="8" s="1"/>
  <c r="P134" i="8" s="1"/>
  <c r="R299" i="8"/>
  <c r="Q299" i="8"/>
  <c r="V6" i="8"/>
  <c r="V22" i="8"/>
  <c r="V38" i="8"/>
  <c r="V53" i="8"/>
  <c r="V69" i="8"/>
  <c r="V85" i="8"/>
  <c r="V102" i="8"/>
  <c r="V119" i="8"/>
  <c r="V136" i="8"/>
  <c r="V154" i="8"/>
  <c r="V170" i="8"/>
  <c r="V189" i="8"/>
  <c r="V205" i="8"/>
  <c r="V221" i="8"/>
  <c r="V239" i="8"/>
  <c r="V256" i="8"/>
  <c r="V274" i="8"/>
  <c r="V291" i="8"/>
  <c r="Y3" i="8"/>
  <c r="N29" i="8" a="1"/>
  <c r="N29" i="8" s="1"/>
  <c r="N33" i="8" a="1"/>
  <c r="N33" i="8" s="1"/>
  <c r="Y36" i="8"/>
  <c r="N46" i="8" a="1"/>
  <c r="N46" i="8" s="1"/>
  <c r="P46" i="8" s="1"/>
  <c r="N49" i="8" a="1"/>
  <c r="N49" i="8" s="1"/>
  <c r="R59" i="8"/>
  <c r="R74" i="8"/>
  <c r="Y77" i="8"/>
  <c r="AQ88" i="8"/>
  <c r="Y111" i="8"/>
  <c r="R116" i="8"/>
  <c r="R512" i="8"/>
  <c r="Q512" i="8"/>
  <c r="N22" i="8" a="1"/>
  <c r="N22" i="8" s="1"/>
  <c r="W26" i="8"/>
  <c r="X26" i="8" s="1"/>
  <c r="N31" i="8" a="1"/>
  <c r="N31" i="8" s="1"/>
  <c r="N40" i="8" a="1"/>
  <c r="N40" i="8" s="1"/>
  <c r="P40" i="8" s="1"/>
  <c r="N44" i="8" a="1"/>
  <c r="N44" i="8" s="1"/>
  <c r="P44" i="8" s="1"/>
  <c r="N53" i="8" a="1"/>
  <c r="N53" i="8" s="1"/>
  <c r="N57" i="8" a="1"/>
  <c r="N57" i="8" s="1"/>
  <c r="N66" i="8" a="1"/>
  <c r="N66" i="8" s="1"/>
  <c r="N79" i="8" a="1"/>
  <c r="N79" i="8" s="1"/>
  <c r="P79" i="8" s="1"/>
  <c r="N85" i="8" a="1"/>
  <c r="N85" i="8" s="1"/>
  <c r="P85" i="8" s="1"/>
  <c r="N97" i="8" a="1"/>
  <c r="N97" i="8" s="1"/>
  <c r="P97" i="8" s="1"/>
  <c r="W104" i="8"/>
  <c r="X104" i="8" s="1"/>
  <c r="Q120" i="8"/>
  <c r="R120" i="8"/>
  <c r="N137" i="8" a="1"/>
  <c r="N137" i="8" s="1"/>
  <c r="P137" i="8" s="1"/>
  <c r="AO16" i="9"/>
  <c r="AP16" i="9" s="1"/>
  <c r="AQ16" i="9"/>
  <c r="V9" i="8"/>
  <c r="V25" i="8"/>
  <c r="V40" i="8"/>
  <c r="V56" i="8"/>
  <c r="V72" i="8"/>
  <c r="V88" i="8"/>
  <c r="V105" i="8"/>
  <c r="V121" i="8"/>
  <c r="V140" i="8"/>
  <c r="V156" i="8"/>
  <c r="V173" i="8"/>
  <c r="V191" i="8"/>
  <c r="V207" i="8"/>
  <c r="V225" i="8"/>
  <c r="V242" i="8"/>
  <c r="V260" i="8"/>
  <c r="V276" i="8"/>
  <c r="V296" i="8"/>
  <c r="Y4" i="8"/>
  <c r="AO25" i="8"/>
  <c r="AP25" i="8" s="1"/>
  <c r="AO27" i="8"/>
  <c r="AP27" i="8" s="1"/>
  <c r="N30" i="8" a="1"/>
  <c r="N30" i="8" s="1"/>
  <c r="AO37" i="8"/>
  <c r="AP37" i="8" s="1"/>
  <c r="Q50" i="8"/>
  <c r="N68" i="8" a="1"/>
  <c r="N68" i="8" s="1"/>
  <c r="P68" i="8" s="1"/>
  <c r="Q70" i="8"/>
  <c r="W74" i="8"/>
  <c r="X74" i="8" s="1"/>
  <c r="N81" i="8" a="1"/>
  <c r="N81" i="8" s="1"/>
  <c r="P81" i="8" s="1"/>
  <c r="R84" i="8"/>
  <c r="N89" i="8" a="1"/>
  <c r="N89" i="8" s="1"/>
  <c r="Q96" i="8"/>
  <c r="R195" i="8"/>
  <c r="Q195" i="8"/>
  <c r="Q340" i="8"/>
  <c r="R340" i="8"/>
  <c r="N6" i="8" a="1"/>
  <c r="N6" i="8" s="1"/>
  <c r="N21" i="8" a="1"/>
  <c r="N21" i="8" s="1"/>
  <c r="N24" i="8" a="1"/>
  <c r="N24" i="8" s="1"/>
  <c r="N25" i="8" a="1"/>
  <c r="N25" i="8" s="1"/>
  <c r="Q29" i="8"/>
  <c r="N43" i="8" a="1"/>
  <c r="N43" i="8" s="1"/>
  <c r="P43" i="8" s="1"/>
  <c r="N64" i="8" a="1"/>
  <c r="N64" i="8" s="1"/>
  <c r="N65" i="8" a="1"/>
  <c r="N65" i="8" s="1"/>
  <c r="Q67" i="8"/>
  <c r="N80" i="8" a="1"/>
  <c r="N80" i="8" s="1"/>
  <c r="P80" i="8" s="1"/>
  <c r="N82" i="8" a="1"/>
  <c r="N82" i="8" s="1"/>
  <c r="P82" i="8" s="1"/>
  <c r="AQ104" i="8"/>
  <c r="AO104" i="8"/>
  <c r="AP104" i="8" s="1"/>
  <c r="N118" i="8" a="1"/>
  <c r="N118" i="8" s="1"/>
  <c r="P118" i="8" s="1"/>
  <c r="N154" i="8" a="1"/>
  <c r="N154" i="8" s="1"/>
  <c r="Q441" i="8"/>
  <c r="R441" i="8"/>
  <c r="V12" i="8"/>
  <c r="V27" i="8"/>
  <c r="V43" i="8"/>
  <c r="V58" i="8"/>
  <c r="V75" i="8"/>
  <c r="V90" i="8"/>
  <c r="V107" i="8"/>
  <c r="V125" i="8"/>
  <c r="V142" i="8"/>
  <c r="Y142" i="8" s="1"/>
  <c r="V159" i="8"/>
  <c r="V177" i="8"/>
  <c r="V193" i="8"/>
  <c r="V210" i="8"/>
  <c r="V228" i="8"/>
  <c r="V245" i="8"/>
  <c r="V262" i="8"/>
  <c r="V278" i="8"/>
  <c r="V298" i="8"/>
  <c r="Q20" i="8"/>
  <c r="R30" i="8"/>
  <c r="W51" i="8"/>
  <c r="X51" i="8" s="1"/>
  <c r="R52" i="8"/>
  <c r="Q54" i="8"/>
  <c r="N63" i="8" a="1"/>
  <c r="N63" i="8" s="1"/>
  <c r="P63" i="8" s="1"/>
  <c r="N78" i="8" a="1"/>
  <c r="N78" i="8" s="1"/>
  <c r="P78" i="8" s="1"/>
  <c r="R81" i="8"/>
  <c r="AQ86" i="8"/>
  <c r="AO86" i="8"/>
  <c r="AP86" i="8" s="1"/>
  <c r="N94" i="8" a="1"/>
  <c r="N94" i="8" s="1"/>
  <c r="Q95" i="8"/>
  <c r="R95" i="8"/>
  <c r="N100" i="8" a="1"/>
  <c r="N100" i="8" s="1"/>
  <c r="P100" i="8" s="1"/>
  <c r="Q107" i="8"/>
  <c r="R124" i="8"/>
  <c r="Q124" i="8"/>
  <c r="R129" i="8"/>
  <c r="Q129" i="8"/>
  <c r="Q501" i="8"/>
  <c r="R501" i="8"/>
  <c r="Q2" i="8"/>
  <c r="W230" i="8"/>
  <c r="X230" i="8" s="1"/>
  <c r="Y230" i="8"/>
  <c r="Y13" i="8"/>
  <c r="Q14" i="8"/>
  <c r="Y19" i="8"/>
  <c r="W29" i="8"/>
  <c r="X29" i="8" s="1"/>
  <c r="N34" i="8" a="1"/>
  <c r="N34" i="8" s="1"/>
  <c r="N36" i="8" a="1"/>
  <c r="N36" i="8" s="1"/>
  <c r="AO39" i="8"/>
  <c r="AP39" i="8" s="1"/>
  <c r="Q43" i="8"/>
  <c r="Q45" i="8"/>
  <c r="Q46" i="8"/>
  <c r="N77" i="8" a="1"/>
  <c r="N77" i="8" s="1"/>
  <c r="P77" i="8" s="1"/>
  <c r="N99" i="8" a="1"/>
  <c r="N99" i="8" s="1"/>
  <c r="P99" i="8" s="1"/>
  <c r="N122" i="8" a="1"/>
  <c r="N122" i="8" s="1"/>
  <c r="N132" i="8" a="1"/>
  <c r="N132" i="8" s="1"/>
  <c r="Q133" i="8"/>
  <c r="R133" i="8"/>
  <c r="Q187" i="8"/>
  <c r="R187" i="8"/>
  <c r="W30" i="8"/>
  <c r="X30" i="8" s="1"/>
  <c r="N35" i="8" a="1"/>
  <c r="N35" i="8" s="1"/>
  <c r="N39" i="8" a="1"/>
  <c r="N39" i="8" s="1"/>
  <c r="N60" i="8" a="1"/>
  <c r="N60" i="8" s="1"/>
  <c r="W66" i="8"/>
  <c r="X66" i="8" s="1"/>
  <c r="AO70" i="8"/>
  <c r="AP70" i="8" s="1"/>
  <c r="AO72" i="8"/>
  <c r="AP72" i="8" s="1"/>
  <c r="W81" i="8"/>
  <c r="X81" i="8" s="1"/>
  <c r="N93" i="8" a="1"/>
  <c r="N93" i="8" s="1"/>
  <c r="P93" i="8" s="1"/>
  <c r="N113" i="8" a="1"/>
  <c r="N113" i="8" s="1"/>
  <c r="R118" i="8"/>
  <c r="Q118" i="8"/>
  <c r="N121" i="8" a="1"/>
  <c r="N121" i="8" s="1"/>
  <c r="N139" i="8" a="1"/>
  <c r="N139" i="8" s="1"/>
  <c r="P139" i="8" s="1"/>
  <c r="Q220" i="8"/>
  <c r="R220" i="8"/>
  <c r="R498" i="8"/>
  <c r="Q498" i="8"/>
  <c r="V2" i="8"/>
  <c r="V16" i="8"/>
  <c r="V31" i="8"/>
  <c r="V48" i="8"/>
  <c r="V63" i="8"/>
  <c r="V78" i="8"/>
  <c r="V95" i="8"/>
  <c r="V112" i="8"/>
  <c r="V130" i="8"/>
  <c r="V146" i="8"/>
  <c r="V164" i="8"/>
  <c r="V181" i="8"/>
  <c r="W181" i="8" s="1"/>
  <c r="X181" i="8" s="1"/>
  <c r="V197" i="8"/>
  <c r="V216" i="8"/>
  <c r="Y216" i="8" s="1"/>
  <c r="V232" i="8"/>
  <c r="V249" i="8"/>
  <c r="V267" i="8"/>
  <c r="V284" i="8"/>
  <c r="V302" i="8"/>
  <c r="AQ11" i="8"/>
  <c r="AO12" i="8"/>
  <c r="AP12" i="8" s="1"/>
  <c r="AO13" i="8"/>
  <c r="AP13" i="8" s="1"/>
  <c r="Q15" i="8"/>
  <c r="Q22" i="8"/>
  <c r="Q34" i="8"/>
  <c r="AO41" i="8"/>
  <c r="AP41" i="8" s="1"/>
  <c r="AO42" i="8"/>
  <c r="AP42" i="8" s="1"/>
  <c r="W44" i="8"/>
  <c r="X44" i="8" s="1"/>
  <c r="AO51" i="8"/>
  <c r="AP51" i="8" s="1"/>
  <c r="AO53" i="8"/>
  <c r="AP53" i="8" s="1"/>
  <c r="AQ53" i="8"/>
  <c r="Q64" i="8"/>
  <c r="AO69" i="8"/>
  <c r="AP69" i="8" s="1"/>
  <c r="AO80" i="8"/>
  <c r="AP80" i="8" s="1"/>
  <c r="Y82" i="8"/>
  <c r="Q89" i="8"/>
  <c r="N111" i="8" a="1"/>
  <c r="N111" i="8" s="1"/>
  <c r="P111" i="8" s="1"/>
  <c r="N112" i="8" a="1"/>
  <c r="N112" i="8" s="1"/>
  <c r="R136" i="8"/>
  <c r="Q136" i="8"/>
  <c r="V17" i="8"/>
  <c r="V32" i="8"/>
  <c r="V49" i="8"/>
  <c r="V64" i="8"/>
  <c r="V79" i="8"/>
  <c r="V97" i="8"/>
  <c r="V113" i="8"/>
  <c r="V131" i="8"/>
  <c r="W131" i="8" s="1"/>
  <c r="X131" i="8" s="1"/>
  <c r="V147" i="8"/>
  <c r="V165" i="8"/>
  <c r="V182" i="8"/>
  <c r="W182" i="8" s="1"/>
  <c r="X182" i="8" s="1"/>
  <c r="V198" i="8"/>
  <c r="Y198" i="8" s="1"/>
  <c r="V217" i="8"/>
  <c r="V233" i="8"/>
  <c r="V250" i="8"/>
  <c r="V268" i="8"/>
  <c r="V285" i="8"/>
  <c r="N5" i="8" a="1"/>
  <c r="N5" i="8" s="1"/>
  <c r="N9" i="8" a="1"/>
  <c r="N9" i="8" s="1"/>
  <c r="P9" i="8" s="1"/>
  <c r="W10" i="8"/>
  <c r="X10" i="8" s="1"/>
  <c r="N19" i="8" a="1"/>
  <c r="N19" i="8" s="1"/>
  <c r="AQ19" i="8"/>
  <c r="Q25" i="8"/>
  <c r="N74" i="8" a="1"/>
  <c r="N74" i="8" s="1"/>
  <c r="AQ84" i="8"/>
  <c r="N86" i="8" a="1"/>
  <c r="N86" i="8" s="1"/>
  <c r="P86" i="8" s="1"/>
  <c r="R94" i="8"/>
  <c r="N98" i="8" a="1"/>
  <c r="N98" i="8" s="1"/>
  <c r="P98" i="8" s="1"/>
  <c r="R99" i="8"/>
  <c r="Q99" i="8"/>
  <c r="Y106" i="8"/>
  <c r="AO107" i="8"/>
  <c r="AP107" i="8" s="1"/>
  <c r="R372" i="8"/>
  <c r="Q372" i="8"/>
  <c r="N11" i="8" a="1"/>
  <c r="N11" i="8" s="1"/>
  <c r="P11" i="8" s="1"/>
  <c r="N12" i="8" a="1"/>
  <c r="N12" i="8" s="1"/>
  <c r="P12" i="8" s="1"/>
  <c r="W34" i="8"/>
  <c r="X34" i="8" s="1"/>
  <c r="N41" i="8" a="1"/>
  <c r="N41" i="8" s="1"/>
  <c r="P41" i="8" s="1"/>
  <c r="Y45" i="8"/>
  <c r="N56" i="8" a="1"/>
  <c r="N56" i="8" s="1"/>
  <c r="N72" i="8" a="1"/>
  <c r="N72" i="8" s="1"/>
  <c r="Q88" i="8"/>
  <c r="R88" i="8"/>
  <c r="N102" i="8" a="1"/>
  <c r="N102" i="8" s="1"/>
  <c r="R117" i="8"/>
  <c r="Q117" i="8"/>
  <c r="R211" i="8"/>
  <c r="Q211" i="8"/>
  <c r="R399" i="8"/>
  <c r="Q399" i="8"/>
  <c r="N21" i="9" a="1"/>
  <c r="N21" i="9" s="1"/>
  <c r="P21" i="9" s="1"/>
  <c r="R21" i="9" s="1"/>
  <c r="N13" i="8" a="1"/>
  <c r="N13" i="8" s="1"/>
  <c r="P13" i="8" s="1"/>
  <c r="Q16" i="8"/>
  <c r="N42" i="8" a="1"/>
  <c r="N42" i="8" s="1"/>
  <c r="P42" i="8" s="1"/>
  <c r="Q60" i="8"/>
  <c r="N69" i="8" a="1"/>
  <c r="N69" i="8" s="1"/>
  <c r="P69" i="8" s="1"/>
  <c r="N70" i="8" a="1"/>
  <c r="N70" i="8" s="1"/>
  <c r="Q77" i="8"/>
  <c r="AQ81" i="8"/>
  <c r="Q105" i="8"/>
  <c r="AO106" i="8"/>
  <c r="AP106" i="8" s="1"/>
  <c r="T521" i="10"/>
  <c r="N36" i="9" a="1"/>
  <c r="N36" i="9" s="1"/>
  <c r="P36" i="9" s="1"/>
  <c r="R36" i="9" s="1"/>
  <c r="T398" i="10"/>
  <c r="N159" i="8" a="1"/>
  <c r="N159" i="8" s="1"/>
  <c r="P159" i="8" s="1"/>
  <c r="T36" i="10"/>
  <c r="T41" i="10"/>
  <c r="T100" i="10"/>
  <c r="T161" i="10"/>
  <c r="T247" i="10"/>
  <c r="T387" i="10"/>
  <c r="T400" i="10"/>
  <c r="T416" i="10"/>
  <c r="T471" i="10"/>
  <c r="T504" i="10"/>
  <c r="R17" i="11"/>
  <c r="R53" i="11"/>
  <c r="R89" i="11"/>
  <c r="R127" i="11"/>
  <c r="R166" i="11"/>
  <c r="R206" i="11"/>
  <c r="R246" i="11"/>
  <c r="S246" i="11" s="1"/>
  <c r="T246" i="11" s="1"/>
  <c r="R290" i="11"/>
  <c r="N88" i="8" a="1"/>
  <c r="N88" i="8" s="1"/>
  <c r="AO101" i="8"/>
  <c r="AP101" i="8" s="1"/>
  <c r="N103" i="8" a="1"/>
  <c r="N103" i="8" s="1"/>
  <c r="Q156" i="8"/>
  <c r="Q160" i="8"/>
  <c r="Q191" i="8"/>
  <c r="R272" i="8"/>
  <c r="R290" i="8"/>
  <c r="R388" i="8"/>
  <c r="Q445" i="8"/>
  <c r="R468" i="8"/>
  <c r="Q503" i="8"/>
  <c r="R529" i="8"/>
  <c r="V65" i="9"/>
  <c r="V206" i="9"/>
  <c r="AQ19" i="9"/>
  <c r="AO22" i="9"/>
  <c r="AP22" i="9" s="1"/>
  <c r="AO37" i="9"/>
  <c r="AP37" i="9" s="1"/>
  <c r="AO49" i="9"/>
  <c r="AP49" i="9" s="1"/>
  <c r="AO52" i="9"/>
  <c r="AP52" i="9" s="1"/>
  <c r="AO102" i="9"/>
  <c r="AP102" i="9" s="1"/>
  <c r="T16" i="10"/>
  <c r="T91" i="10"/>
  <c r="T392" i="10"/>
  <c r="T397" i="10"/>
  <c r="T506" i="10"/>
  <c r="T514" i="10"/>
  <c r="R18" i="11"/>
  <c r="R54" i="11"/>
  <c r="U54" i="11" s="1"/>
  <c r="R90" i="11"/>
  <c r="R128" i="11"/>
  <c r="R167" i="11"/>
  <c r="R207" i="11"/>
  <c r="R247" i="11"/>
  <c r="R291" i="11"/>
  <c r="N124" i="8" a="1"/>
  <c r="N124" i="8" s="1"/>
  <c r="T38" i="10"/>
  <c r="T83" i="10"/>
  <c r="T261" i="10"/>
  <c r="T342" i="10"/>
  <c r="T463" i="10"/>
  <c r="T468" i="10"/>
  <c r="T491" i="10"/>
  <c r="T522" i="10"/>
  <c r="R24" i="11"/>
  <c r="R61" i="11"/>
  <c r="R96" i="11"/>
  <c r="R136" i="11"/>
  <c r="R174" i="11"/>
  <c r="R214" i="11"/>
  <c r="R255" i="11"/>
  <c r="R298" i="11"/>
  <c r="N105" i="8" a="1"/>
  <c r="N105" i="8" s="1"/>
  <c r="N123" i="8" a="1"/>
  <c r="N123" i="8" s="1"/>
  <c r="Q134" i="8"/>
  <c r="Q205" i="8"/>
  <c r="Q215" i="8"/>
  <c r="R227" i="8"/>
  <c r="Q242" i="8"/>
  <c r="R265" i="8"/>
  <c r="Q322" i="8"/>
  <c r="Q392" i="8"/>
  <c r="R485" i="8"/>
  <c r="V107" i="9"/>
  <c r="V228" i="9"/>
  <c r="AO8" i="9"/>
  <c r="AP8" i="9" s="1"/>
  <c r="AO28" i="9"/>
  <c r="AP28" i="9" s="1"/>
  <c r="T478" i="10"/>
  <c r="R28" i="11"/>
  <c r="R64" i="11"/>
  <c r="R100" i="11"/>
  <c r="R139" i="11"/>
  <c r="R178" i="11"/>
  <c r="R218" i="11"/>
  <c r="R259" i="11"/>
  <c r="R303" i="11"/>
  <c r="T18" i="10"/>
  <c r="T32" i="10"/>
  <c r="T65" i="10"/>
  <c r="T136" i="10"/>
  <c r="T197" i="10"/>
  <c r="T246" i="10"/>
  <c r="T271" i="10"/>
  <c r="T295" i="10"/>
  <c r="T307" i="10"/>
  <c r="T465" i="10"/>
  <c r="T470" i="10"/>
  <c r="T533" i="10"/>
  <c r="T535" i="10"/>
  <c r="R29" i="11"/>
  <c r="S29" i="11" s="1"/>
  <c r="T29" i="11" s="1"/>
  <c r="R65" i="11"/>
  <c r="R101" i="11"/>
  <c r="R140" i="11"/>
  <c r="R179" i="11"/>
  <c r="R219" i="11"/>
  <c r="R260" i="11"/>
  <c r="R304" i="11"/>
  <c r="N130" i="8" a="1"/>
  <c r="N130" i="8" s="1"/>
  <c r="N165" i="8" a="1"/>
  <c r="N165" i="8" s="1"/>
  <c r="Q226" i="8"/>
  <c r="R238" i="8"/>
  <c r="Q271" i="8"/>
  <c r="Q298" i="8"/>
  <c r="Q326" i="8"/>
  <c r="Q371" i="8"/>
  <c r="Q387" i="8"/>
  <c r="Q396" i="8"/>
  <c r="Q434" i="8"/>
  <c r="Q463" i="8"/>
  <c r="R493" i="8"/>
  <c r="R509" i="8"/>
  <c r="V129" i="9"/>
  <c r="V248" i="9"/>
  <c r="AO48" i="9"/>
  <c r="AP48" i="9" s="1"/>
  <c r="AQ104" i="9"/>
  <c r="T27" i="10"/>
  <c r="T59" i="10"/>
  <c r="N51" i="8" a="1"/>
  <c r="N51" i="8" s="1"/>
  <c r="N92" i="8" a="1"/>
  <c r="N92" i="8" s="1"/>
  <c r="Q147" i="8"/>
  <c r="Q170" i="8"/>
  <c r="Q204" i="8"/>
  <c r="R213" i="8"/>
  <c r="Q317" i="8"/>
  <c r="Q378" i="8"/>
  <c r="R411" i="8"/>
  <c r="R467" i="8"/>
  <c r="Q480" i="8"/>
  <c r="Q539" i="8"/>
  <c r="V12" i="9"/>
  <c r="V135" i="9"/>
  <c r="V252" i="9"/>
  <c r="AO24" i="9"/>
  <c r="AP24" i="9" s="1"/>
  <c r="AO39" i="9"/>
  <c r="AP39" i="9" s="1"/>
  <c r="AO45" i="9"/>
  <c r="AP45" i="9" s="1"/>
  <c r="AQ65" i="9"/>
  <c r="AQ68" i="9"/>
  <c r="AO71" i="9"/>
  <c r="AP71" i="9" s="1"/>
  <c r="AO74" i="9"/>
  <c r="AP74" i="9" s="1"/>
  <c r="AO85" i="9"/>
  <c r="AP85" i="9" s="1"/>
  <c r="T9" i="10"/>
  <c r="T15" i="10"/>
  <c r="T43" i="10"/>
  <c r="T70" i="10"/>
  <c r="T383" i="10"/>
  <c r="R37" i="11"/>
  <c r="R72" i="11"/>
  <c r="R110" i="11"/>
  <c r="R148" i="11"/>
  <c r="R188" i="11"/>
  <c r="R226" i="11"/>
  <c r="R270" i="11"/>
  <c r="N157" i="8" a="1"/>
  <c r="N157" i="8" s="1"/>
  <c r="P157" i="8" s="1"/>
  <c r="N161" i="8" a="1"/>
  <c r="N161" i="8" s="1"/>
  <c r="Q208" i="8"/>
  <c r="Q254" i="8"/>
  <c r="Q284" i="8"/>
  <c r="R328" i="8"/>
  <c r="R341" i="8"/>
  <c r="Q354" i="8"/>
  <c r="Q482" i="8"/>
  <c r="Q513" i="8"/>
  <c r="V17" i="9"/>
  <c r="W17" i="9" s="1"/>
  <c r="X17" i="9" s="1"/>
  <c r="V136" i="9"/>
  <c r="V254" i="9"/>
  <c r="AQ42" i="9"/>
  <c r="AQ77" i="9"/>
  <c r="T23" i="10"/>
  <c r="T45" i="10"/>
  <c r="T115" i="10"/>
  <c r="T311" i="10"/>
  <c r="T378" i="10"/>
  <c r="T441" i="10"/>
  <c r="T472" i="10"/>
  <c r="R4" i="11"/>
  <c r="R40" i="11"/>
  <c r="R76" i="11"/>
  <c r="R113" i="11"/>
  <c r="R152" i="11"/>
  <c r="R191" i="11"/>
  <c r="S191" i="11" s="1"/>
  <c r="T191" i="11" s="1"/>
  <c r="R231" i="11"/>
  <c r="R273" i="11"/>
  <c r="N120" i="8" a="1"/>
  <c r="N120" i="8" s="1"/>
  <c r="N129" i="8" a="1"/>
  <c r="N129" i="8" s="1"/>
  <c r="T58" i="10"/>
  <c r="T249" i="10"/>
  <c r="T306" i="10"/>
  <c r="T363" i="10"/>
  <c r="R5" i="11"/>
  <c r="U5" i="11" s="1"/>
  <c r="R41" i="11"/>
  <c r="U41" i="11" s="1"/>
  <c r="R77" i="11"/>
  <c r="R114" i="11"/>
  <c r="R153" i="11"/>
  <c r="R193" i="11"/>
  <c r="S193" i="11" s="1"/>
  <c r="T193" i="11" s="1"/>
  <c r="R232" i="11"/>
  <c r="R274" i="11"/>
  <c r="N156" i="8" a="1"/>
  <c r="N156" i="8" s="1"/>
  <c r="P156" i="8" s="1"/>
  <c r="AO53" i="9"/>
  <c r="AP53" i="9" s="1"/>
  <c r="AQ64" i="9"/>
  <c r="AQ106" i="9"/>
  <c r="T87" i="10"/>
  <c r="T95" i="10"/>
  <c r="T109" i="10"/>
  <c r="T143" i="10"/>
  <c r="T154" i="10"/>
  <c r="T328" i="10"/>
  <c r="T409" i="10"/>
  <c r="T492" i="10"/>
  <c r="T523" i="10"/>
  <c r="T530" i="10"/>
  <c r="R6" i="11"/>
  <c r="R42" i="11"/>
  <c r="R78" i="11"/>
  <c r="R115" i="11"/>
  <c r="R154" i="11"/>
  <c r="R194" i="11"/>
  <c r="R233" i="11"/>
  <c r="R275" i="11"/>
  <c r="N128" i="8" a="1"/>
  <c r="N128" i="8" s="1"/>
  <c r="T39" i="10"/>
  <c r="T169" i="10"/>
  <c r="T199" i="10"/>
  <c r="T217" i="10"/>
  <c r="T303" i="10"/>
  <c r="T372" i="10"/>
  <c r="T375" i="10"/>
  <c r="T494" i="10"/>
  <c r="T502" i="10"/>
  <c r="T534" i="10"/>
  <c r="R13" i="11"/>
  <c r="R48" i="11"/>
  <c r="R85" i="11"/>
  <c r="R122" i="11"/>
  <c r="U122" i="11" s="1"/>
  <c r="R162" i="11"/>
  <c r="R200" i="11"/>
  <c r="R242" i="11"/>
  <c r="R283" i="11"/>
  <c r="N304" i="8" a="1"/>
  <c r="N304" i="8" s="1"/>
  <c r="P304" i="8" s="1"/>
  <c r="N187" i="8" a="1"/>
  <c r="N187" i="8" s="1"/>
  <c r="N253" i="8" a="1"/>
  <c r="N253" i="8" s="1"/>
  <c r="P253" i="8" s="1"/>
  <c r="N263" i="8" a="1"/>
  <c r="N263" i="8" s="1"/>
  <c r="N181" i="8" a="1"/>
  <c r="N181" i="8" s="1"/>
  <c r="N163" i="8" a="1"/>
  <c r="N163" i="8" s="1"/>
  <c r="N195" i="8" a="1"/>
  <c r="N195" i="8" s="1"/>
  <c r="N185" i="8" a="1"/>
  <c r="N185" i="8" s="1"/>
  <c r="N147" i="8" a="1"/>
  <c r="N147" i="8" s="1"/>
  <c r="N197" i="8" a="1"/>
  <c r="N197" i="8" s="1"/>
  <c r="P197" i="8" s="1"/>
  <c r="N151" i="8" a="1"/>
  <c r="N151" i="8" s="1"/>
  <c r="N149" i="8" a="1"/>
  <c r="N149" i="8" s="1"/>
  <c r="N145" i="8" a="1"/>
  <c r="N145" i="8" s="1"/>
  <c r="P145" i="8" s="1"/>
  <c r="N168" i="8" a="1"/>
  <c r="N168" i="8" s="1"/>
  <c r="N152" i="8" a="1"/>
  <c r="N152" i="8" s="1"/>
  <c r="N117" i="8" a="1"/>
  <c r="N117" i="8" s="1"/>
  <c r="P117" i="8" s="1"/>
  <c r="N90" i="8" a="1"/>
  <c r="N90" i="8" s="1"/>
  <c r="N140" i="8" a="1"/>
  <c r="N140" i="8" s="1"/>
  <c r="P140" i="8" s="1"/>
  <c r="V300" i="8"/>
  <c r="V304" i="8"/>
  <c r="V288" i="8"/>
  <c r="W22" i="8"/>
  <c r="X22" i="8" s="1"/>
  <c r="Y22" i="8"/>
  <c r="Y27" i="8"/>
  <c r="W27" i="8"/>
  <c r="X27" i="8" s="1"/>
  <c r="Y39" i="8"/>
  <c r="W39" i="8"/>
  <c r="X39" i="8" s="1"/>
  <c r="W55" i="8"/>
  <c r="X55" i="8" s="1"/>
  <c r="Y55" i="8"/>
  <c r="W56" i="8"/>
  <c r="X56" i="8" s="1"/>
  <c r="Y56" i="8"/>
  <c r="Y57" i="8"/>
  <c r="W57" i="8"/>
  <c r="X57" i="8" s="1"/>
  <c r="Y61" i="8"/>
  <c r="W61" i="8"/>
  <c r="X61" i="8" s="1"/>
  <c r="Y63" i="8"/>
  <c r="W63" i="8"/>
  <c r="X63" i="8" s="1"/>
  <c r="W65" i="8"/>
  <c r="X65" i="8" s="1"/>
  <c r="Y65" i="8"/>
  <c r="Y70" i="8"/>
  <c r="W70" i="8"/>
  <c r="X70" i="8" s="1"/>
  <c r="W72" i="8"/>
  <c r="X72" i="8" s="1"/>
  <c r="Y72" i="8"/>
  <c r="Y76" i="8"/>
  <c r="W76" i="8"/>
  <c r="X76" i="8" s="1"/>
  <c r="Y89" i="8"/>
  <c r="W89" i="8"/>
  <c r="X89" i="8" s="1"/>
  <c r="Y93" i="8"/>
  <c r="W93" i="8"/>
  <c r="X93" i="8" s="1"/>
  <c r="Y98" i="8"/>
  <c r="W98" i="8"/>
  <c r="X98" i="8" s="1"/>
  <c r="Y99" i="8"/>
  <c r="W99" i="8"/>
  <c r="X99" i="8" s="1"/>
  <c r="Y105" i="8"/>
  <c r="W105" i="8"/>
  <c r="X105" i="8" s="1"/>
  <c r="Y110" i="8"/>
  <c r="W110" i="8"/>
  <c r="X110" i="8" s="1"/>
  <c r="W113" i="8"/>
  <c r="X113" i="8" s="1"/>
  <c r="Y113" i="8"/>
  <c r="W116" i="8"/>
  <c r="X116" i="8" s="1"/>
  <c r="Y116" i="8"/>
  <c r="Y117" i="8"/>
  <c r="W117" i="8"/>
  <c r="X117" i="8" s="1"/>
  <c r="W118" i="8"/>
  <c r="X118" i="8" s="1"/>
  <c r="Y118" i="8"/>
  <c r="Y119" i="8"/>
  <c r="W119" i="8"/>
  <c r="X119" i="8" s="1"/>
  <c r="Y120" i="8"/>
  <c r="W120" i="8"/>
  <c r="X120" i="8" s="1"/>
  <c r="Y124" i="8"/>
  <c r="W124" i="8"/>
  <c r="X124" i="8" s="1"/>
  <c r="W125" i="8"/>
  <c r="X125" i="8" s="1"/>
  <c r="Y125" i="8"/>
  <c r="Y126" i="8"/>
  <c r="W126" i="8"/>
  <c r="X126" i="8" s="1"/>
  <c r="W128" i="8"/>
  <c r="X128" i="8" s="1"/>
  <c r="Y128" i="8"/>
  <c r="Y130" i="8"/>
  <c r="W130" i="8"/>
  <c r="X130" i="8" s="1"/>
  <c r="Y131" i="8"/>
  <c r="W132" i="8"/>
  <c r="X132" i="8" s="1"/>
  <c r="Y132" i="8"/>
  <c r="Y134" i="8"/>
  <c r="W134" i="8"/>
  <c r="X134" i="8" s="1"/>
  <c r="Y136" i="8"/>
  <c r="W136" i="8"/>
  <c r="X136" i="8" s="1"/>
  <c r="W138" i="8"/>
  <c r="X138" i="8" s="1"/>
  <c r="Y138" i="8"/>
  <c r="Y140" i="8"/>
  <c r="W140" i="8"/>
  <c r="X140" i="8" s="1"/>
  <c r="Y141" i="8"/>
  <c r="W141" i="8"/>
  <c r="X141" i="8" s="1"/>
  <c r="W142" i="8"/>
  <c r="X142" i="8" s="1"/>
  <c r="W145" i="8"/>
  <c r="X145" i="8" s="1"/>
  <c r="Y145" i="8"/>
  <c r="W149" i="8"/>
  <c r="X149" i="8" s="1"/>
  <c r="Y149" i="8"/>
  <c r="W150" i="8"/>
  <c r="X150" i="8" s="1"/>
  <c r="Y150" i="8"/>
  <c r="Y153" i="8"/>
  <c r="W153" i="8"/>
  <c r="X153" i="8" s="1"/>
  <c r="Y155" i="8"/>
  <c r="W155" i="8"/>
  <c r="X155" i="8" s="1"/>
  <c r="W159" i="8"/>
  <c r="X159" i="8" s="1"/>
  <c r="Y159" i="8"/>
  <c r="W162" i="8"/>
  <c r="X162" i="8" s="1"/>
  <c r="Y162" i="8"/>
  <c r="Y167" i="8"/>
  <c r="W167" i="8"/>
  <c r="X167" i="8" s="1"/>
  <c r="W168" i="8"/>
  <c r="X168" i="8" s="1"/>
  <c r="Y168" i="8"/>
  <c r="Y169" i="8"/>
  <c r="W169" i="8"/>
  <c r="X169" i="8" s="1"/>
  <c r="Y170" i="8"/>
  <c r="W170" i="8"/>
  <c r="X170" i="8" s="1"/>
  <c r="Y172" i="8"/>
  <c r="W172" i="8"/>
  <c r="X172" i="8" s="1"/>
  <c r="W173" i="8"/>
  <c r="X173" i="8" s="1"/>
  <c r="Y173" i="8"/>
  <c r="Y176" i="8"/>
  <c r="W176" i="8"/>
  <c r="X176" i="8" s="1"/>
  <c r="W177" i="8"/>
  <c r="X177" i="8" s="1"/>
  <c r="Y177" i="8"/>
  <c r="W178" i="8"/>
  <c r="X178" i="8" s="1"/>
  <c r="Y178" i="8"/>
  <c r="Y179" i="8"/>
  <c r="W179" i="8"/>
  <c r="X179" i="8" s="1"/>
  <c r="Y181" i="8"/>
  <c r="Y182" i="8"/>
  <c r="W186" i="8"/>
  <c r="X186" i="8" s="1"/>
  <c r="Y186" i="8"/>
  <c r="Y189" i="8"/>
  <c r="W189" i="8"/>
  <c r="X189" i="8" s="1"/>
  <c r="W192" i="8"/>
  <c r="X192" i="8" s="1"/>
  <c r="Y192" i="8"/>
  <c r="Y195" i="8"/>
  <c r="W195" i="8"/>
  <c r="X195" i="8" s="1"/>
  <c r="W197" i="8"/>
  <c r="X197" i="8" s="1"/>
  <c r="Y197" i="8"/>
  <c r="W198" i="8"/>
  <c r="X198" i="8" s="1"/>
  <c r="Y206" i="8"/>
  <c r="W206" i="8"/>
  <c r="X206" i="8" s="1"/>
  <c r="W220" i="8"/>
  <c r="X220" i="8" s="1"/>
  <c r="Y220" i="8"/>
  <c r="W231" i="8"/>
  <c r="X231" i="8" s="1"/>
  <c r="Y231" i="8"/>
  <c r="W233" i="8"/>
  <c r="X233" i="8" s="1"/>
  <c r="Y233" i="8"/>
  <c r="W241" i="8"/>
  <c r="X241" i="8" s="1"/>
  <c r="Y241" i="8"/>
  <c r="W250" i="8"/>
  <c r="X250" i="8" s="1"/>
  <c r="Y250" i="8"/>
  <c r="Y256" i="8"/>
  <c r="W256" i="8"/>
  <c r="X256" i="8" s="1"/>
  <c r="Y284" i="8"/>
  <c r="W284" i="8"/>
  <c r="X284" i="8" s="1"/>
  <c r="Y299" i="8"/>
  <c r="W299" i="8"/>
  <c r="X299" i="8" s="1"/>
  <c r="R10" i="8"/>
  <c r="Q10" i="8"/>
  <c r="AQ26" i="8"/>
  <c r="AO26" i="8"/>
  <c r="AP26" i="8" s="1"/>
  <c r="AO32" i="8"/>
  <c r="AP32" i="8" s="1"/>
  <c r="AQ32" i="8"/>
  <c r="AQ36" i="8"/>
  <c r="AO36" i="8"/>
  <c r="AP36" i="8" s="1"/>
  <c r="AQ40" i="8"/>
  <c r="AO40" i="8"/>
  <c r="AP40" i="8" s="1"/>
  <c r="AQ45" i="8"/>
  <c r="AO45" i="8"/>
  <c r="AP45" i="8" s="1"/>
  <c r="R49" i="8"/>
  <c r="Q49" i="8"/>
  <c r="AQ49" i="8"/>
  <c r="AO49" i="8"/>
  <c r="AP49" i="8" s="1"/>
  <c r="AQ55" i="8"/>
  <c r="AO55" i="8"/>
  <c r="AP55" i="8" s="1"/>
  <c r="AQ59" i="8"/>
  <c r="AO59" i="8"/>
  <c r="AP59" i="8" s="1"/>
  <c r="AQ64" i="8"/>
  <c r="AO64" i="8"/>
  <c r="AP64" i="8" s="1"/>
  <c r="Q66" i="8"/>
  <c r="R66" i="8"/>
  <c r="AQ66" i="8"/>
  <c r="AO66" i="8"/>
  <c r="AP66" i="8" s="1"/>
  <c r="AQ68" i="8"/>
  <c r="AO68" i="8"/>
  <c r="AP68" i="8" s="1"/>
  <c r="R71" i="8"/>
  <c r="Q71" i="8"/>
  <c r="R73" i="8"/>
  <c r="Q73" i="8"/>
  <c r="AO73" i="8"/>
  <c r="AP73" i="8" s="1"/>
  <c r="AQ73" i="8"/>
  <c r="AQ75" i="8"/>
  <c r="AO75" i="8"/>
  <c r="AP75" i="8" s="1"/>
  <c r="R78" i="8"/>
  <c r="Q78" i="8"/>
  <c r="AO78" i="8"/>
  <c r="AP78" i="8" s="1"/>
  <c r="AQ78" i="8"/>
  <c r="R80" i="8"/>
  <c r="Q80" i="8"/>
  <c r="R82" i="8"/>
  <c r="Q82" i="8"/>
  <c r="R83" i="8"/>
  <c r="Q83" i="8"/>
  <c r="R85" i="8"/>
  <c r="Q85" i="8"/>
  <c r="AO85" i="8"/>
  <c r="AP85" i="8" s="1"/>
  <c r="AQ85" i="8"/>
  <c r="AQ90" i="8"/>
  <c r="AO90" i="8"/>
  <c r="AP90" i="8" s="1"/>
  <c r="AQ97" i="8"/>
  <c r="AO97" i="8"/>
  <c r="AP97" i="8" s="1"/>
  <c r="R100" i="8"/>
  <c r="Q100" i="8"/>
  <c r="R101" i="8"/>
  <c r="Q101" i="8"/>
  <c r="AO102" i="8"/>
  <c r="AP102" i="8" s="1"/>
  <c r="AQ102" i="8"/>
  <c r="R106" i="8"/>
  <c r="Q106" i="8"/>
  <c r="R110" i="8"/>
  <c r="Q110" i="8"/>
  <c r="R111" i="8"/>
  <c r="Q111" i="8"/>
  <c r="Q112" i="8"/>
  <c r="R112" i="8"/>
  <c r="Q115" i="8"/>
  <c r="R115" i="8"/>
  <c r="R122" i="8"/>
  <c r="Q122" i="8"/>
  <c r="R138" i="8"/>
  <c r="Q138" i="8"/>
  <c r="Q141" i="8"/>
  <c r="R141" i="8"/>
  <c r="R142" i="8"/>
  <c r="Q142" i="8"/>
  <c r="R437" i="8"/>
  <c r="Q437" i="8"/>
  <c r="R477" i="8"/>
  <c r="Q477" i="8"/>
  <c r="Q496" i="8"/>
  <c r="R496" i="8"/>
  <c r="N95" i="8" a="1"/>
  <c r="N95" i="8" s="1"/>
  <c r="P95" i="8" s="1"/>
  <c r="N96" i="8" a="1"/>
  <c r="N96" i="8" s="1"/>
  <c r="P96" i="8" s="1"/>
  <c r="Q132" i="8"/>
  <c r="R132" i="8"/>
  <c r="N155" i="8" a="1"/>
  <c r="N155" i="8" s="1"/>
  <c r="R162" i="8"/>
  <c r="Q162" i="8"/>
  <c r="R175" i="8"/>
  <c r="Q175" i="8"/>
  <c r="N188" i="8" a="1"/>
  <c r="N188" i="8" s="1"/>
  <c r="P188" i="8" s="1"/>
  <c r="R203" i="8"/>
  <c r="Q203" i="8"/>
  <c r="R527" i="8"/>
  <c r="Q527" i="8"/>
  <c r="Q58" i="8"/>
  <c r="R58" i="8"/>
  <c r="N110" i="8" a="1"/>
  <c r="N110" i="8" s="1"/>
  <c r="P110" i="8" s="1"/>
  <c r="Q139" i="8"/>
  <c r="Q158" i="8"/>
  <c r="R158" i="8"/>
  <c r="N171" i="8" a="1"/>
  <c r="N171" i="8" s="1"/>
  <c r="R212" i="8"/>
  <c r="Q212" i="8"/>
  <c r="R470" i="8"/>
  <c r="Q470" i="8"/>
  <c r="R533" i="8"/>
  <c r="Q533" i="8"/>
  <c r="N71" i="8" a="1"/>
  <c r="N71" i="8" s="1"/>
  <c r="N114" i="8" a="1"/>
  <c r="N114" i="8" s="1"/>
  <c r="N116" i="8" a="1"/>
  <c r="N116" i="8" s="1"/>
  <c r="P116" i="8" s="1"/>
  <c r="N146" i="8" a="1"/>
  <c r="N146" i="8" s="1"/>
  <c r="Q161" i="8"/>
  <c r="R161" i="8"/>
  <c r="N210" i="8" a="1"/>
  <c r="N210" i="8" s="1"/>
  <c r="Q357" i="8"/>
  <c r="R357" i="8"/>
  <c r="R416" i="8"/>
  <c r="Q416" i="8"/>
  <c r="N50" i="8" a="1"/>
  <c r="N50" i="8" s="1"/>
  <c r="N153" i="8" a="1"/>
  <c r="N153" i="8" s="1"/>
  <c r="Q157" i="8"/>
  <c r="R157" i="8"/>
  <c r="N192" i="8" a="1"/>
  <c r="N192" i="8" s="1"/>
  <c r="P192" i="8" s="1"/>
  <c r="R193" i="8"/>
  <c r="Q193" i="8"/>
  <c r="N235" i="8" a="1"/>
  <c r="N235" i="8" s="1"/>
  <c r="R243" i="8"/>
  <c r="Q243" i="8"/>
  <c r="R315" i="8"/>
  <c r="Q315" i="8"/>
  <c r="R335" i="8"/>
  <c r="Q335" i="8"/>
  <c r="R455" i="8"/>
  <c r="Q455" i="8"/>
  <c r="N119" i="8" a="1"/>
  <c r="N119" i="8" s="1"/>
  <c r="P119" i="8" s="1"/>
  <c r="N166" i="8" a="1"/>
  <c r="N166" i="8" s="1"/>
  <c r="R282" i="8"/>
  <c r="Q282" i="8"/>
  <c r="N186" i="8" a="1"/>
  <c r="N186" i="8" s="1"/>
  <c r="P186" i="8" s="1"/>
  <c r="R306" i="8"/>
  <c r="Q306" i="8"/>
  <c r="Q465" i="8"/>
  <c r="R465" i="8"/>
  <c r="R511" i="8"/>
  <c r="Q511" i="8"/>
  <c r="N131" i="8" a="1"/>
  <c r="N131" i="8" s="1"/>
  <c r="N164" i="8" a="1"/>
  <c r="N164" i="8" s="1"/>
  <c r="R167" i="8"/>
  <c r="Q167" i="8"/>
  <c r="N190" i="8" a="1"/>
  <c r="N190" i="8" s="1"/>
  <c r="N213" i="8" a="1"/>
  <c r="N213" i="8" s="1"/>
  <c r="Q330" i="8"/>
  <c r="R330" i="8"/>
  <c r="R442" i="8"/>
  <c r="Q442" i="8"/>
  <c r="AO7" i="9"/>
  <c r="AP7" i="9" s="1"/>
  <c r="AQ7" i="9"/>
  <c r="N23" i="8" a="1"/>
  <c r="N23" i="8" s="1"/>
  <c r="N83" i="8" a="1"/>
  <c r="N83" i="8" s="1"/>
  <c r="P83" i="8" s="1"/>
  <c r="N101" i="8" a="1"/>
  <c r="N101" i="8" s="1"/>
  <c r="P101" i="8" s="1"/>
  <c r="N135" i="8" a="1"/>
  <c r="N135" i="8" s="1"/>
  <c r="P135" i="8" s="1"/>
  <c r="N136" i="8" a="1"/>
  <c r="N136" i="8" s="1"/>
  <c r="P136" i="8" s="1"/>
  <c r="Q146" i="8"/>
  <c r="Q148" i="8"/>
  <c r="Q150" i="8"/>
  <c r="R151" i="8"/>
  <c r="R152" i="8"/>
  <c r="Q153" i="8"/>
  <c r="R166" i="8"/>
  <c r="Q166" i="8"/>
  <c r="R504" i="8"/>
  <c r="Q504" i="8"/>
  <c r="R515" i="8"/>
  <c r="Q515" i="8"/>
  <c r="N45" i="8" a="1"/>
  <c r="N45" i="8" s="1"/>
  <c r="P45" i="8" s="1"/>
  <c r="N106" i="8" a="1"/>
  <c r="N106" i="8" s="1"/>
  <c r="N138" i="8" a="1"/>
  <c r="N138" i="8" s="1"/>
  <c r="P138" i="8" s="1"/>
  <c r="N141" i="8" a="1"/>
  <c r="N141" i="8" s="1"/>
  <c r="P141" i="8" s="1"/>
  <c r="N183" i="8" a="1"/>
  <c r="N183" i="8" s="1"/>
  <c r="R209" i="8"/>
  <c r="Q209" i="8"/>
  <c r="R391" i="8"/>
  <c r="Q391" i="8"/>
  <c r="N107" i="8" a="1"/>
  <c r="N107" i="8" s="1"/>
  <c r="N162" i="8" a="1"/>
  <c r="N162" i="8" s="1"/>
  <c r="Q164" i="8"/>
  <c r="R164" i="8"/>
  <c r="Q165" i="8"/>
  <c r="R165" i="8"/>
  <c r="N287" i="8" a="1"/>
  <c r="N287" i="8" s="1"/>
  <c r="P287" i="8" s="1"/>
  <c r="R297" i="8"/>
  <c r="Q297" i="8"/>
  <c r="R325" i="8"/>
  <c r="Q325" i="8"/>
  <c r="N158" i="8" a="1"/>
  <c r="N158" i="8" s="1"/>
  <c r="P158" i="8" s="1"/>
  <c r="N160" i="8" a="1"/>
  <c r="N160" i="8" s="1"/>
  <c r="N189" i="8" a="1"/>
  <c r="N189" i="8" s="1"/>
  <c r="P189" i="8" s="1"/>
  <c r="R362" i="8"/>
  <c r="Q362" i="8"/>
  <c r="Q384" i="8"/>
  <c r="R384" i="8"/>
  <c r="N193" i="8" a="1"/>
  <c r="N193" i="8" s="1"/>
  <c r="P193" i="8" s="1"/>
  <c r="N194" i="8" a="1"/>
  <c r="N194" i="8" s="1"/>
  <c r="N196" i="8" a="1"/>
  <c r="N196" i="8" s="1"/>
  <c r="Q245" i="8"/>
  <c r="Q268" i="8"/>
  <c r="R273" i="8"/>
  <c r="R438" i="8"/>
  <c r="Q438" i="8"/>
  <c r="N286" i="8" a="1"/>
  <c r="N286" i="8" s="1"/>
  <c r="P286" i="8" s="1"/>
  <c r="N291" i="8" a="1"/>
  <c r="N291" i="8" s="1"/>
  <c r="R337" i="8"/>
  <c r="Q337" i="8"/>
  <c r="N30" i="9" a="1"/>
  <c r="N30" i="9" s="1"/>
  <c r="P30" i="9" s="1"/>
  <c r="R30" i="9" s="1"/>
  <c r="AQ67" i="9"/>
  <c r="N178" i="8" a="1"/>
  <c r="N178" i="8" s="1"/>
  <c r="P178" i="8" s="1"/>
  <c r="N179" i="8" a="1"/>
  <c r="N179" i="8" s="1"/>
  <c r="P179" i="8" s="1"/>
  <c r="N237" i="8" a="1"/>
  <c r="N237" i="8" s="1"/>
  <c r="Q418" i="8"/>
  <c r="Q422" i="8"/>
  <c r="R422" i="8"/>
  <c r="Q520" i="8"/>
  <c r="R522" i="8"/>
  <c r="Q522" i="8"/>
  <c r="R531" i="8"/>
  <c r="Q531" i="8"/>
  <c r="AQ29" i="9"/>
  <c r="AO29" i="9"/>
  <c r="AP29" i="9" s="1"/>
  <c r="AQ70" i="9"/>
  <c r="AO70" i="9"/>
  <c r="AP70" i="9" s="1"/>
  <c r="AQ73" i="9"/>
  <c r="AO73" i="9"/>
  <c r="AP73" i="9" s="1"/>
  <c r="N60" i="9" a="1"/>
  <c r="N60" i="9" s="1"/>
  <c r="P60" i="9" s="1"/>
  <c r="R60" i="9" s="1"/>
  <c r="AQ76" i="9"/>
  <c r="AO76" i="9"/>
  <c r="AP76" i="9" s="1"/>
  <c r="AQ95" i="9"/>
  <c r="AO95" i="9"/>
  <c r="AP95" i="9" s="1"/>
  <c r="N177" i="8" a="1"/>
  <c r="N177" i="8" s="1"/>
  <c r="N205" i="8" a="1"/>
  <c r="N205" i="8" s="1"/>
  <c r="P205" i="8" s="1"/>
  <c r="N262" i="8" a="1"/>
  <c r="N262" i="8" s="1"/>
  <c r="R402" i="8"/>
  <c r="Q402" i="8"/>
  <c r="Q483" i="8"/>
  <c r="R483" i="8"/>
  <c r="AO2" i="9"/>
  <c r="AP2" i="9" s="1"/>
  <c r="AO34" i="9"/>
  <c r="AP34" i="9" s="1"/>
  <c r="AO54" i="9"/>
  <c r="AP54" i="9" s="1"/>
  <c r="AQ54" i="9"/>
  <c r="AO63" i="9"/>
  <c r="AP63" i="9" s="1"/>
  <c r="N133" i="8" a="1"/>
  <c r="N133" i="8" s="1"/>
  <c r="P133" i="8" s="1"/>
  <c r="N169" i="8" a="1"/>
  <c r="N169" i="8" s="1"/>
  <c r="N175" i="8" a="1"/>
  <c r="N175" i="8" s="1"/>
  <c r="R180" i="8"/>
  <c r="Q183" i="8"/>
  <c r="Q192" i="8"/>
  <c r="Q207" i="8"/>
  <c r="Q258" i="8"/>
  <c r="R395" i="8"/>
  <c r="Q395" i="8"/>
  <c r="R439" i="8"/>
  <c r="Q439" i="8"/>
  <c r="AO81" i="9"/>
  <c r="AP81" i="9" s="1"/>
  <c r="AQ81" i="9"/>
  <c r="T275" i="10"/>
  <c r="N174" i="8" a="1"/>
  <c r="N174" i="8" s="1"/>
  <c r="R188" i="8"/>
  <c r="Q201" i="8"/>
  <c r="R201" i="8"/>
  <c r="R232" i="8"/>
  <c r="Q232" i="8"/>
  <c r="R269" i="8"/>
  <c r="Q269" i="8"/>
  <c r="R415" i="8"/>
  <c r="Q415" i="8"/>
  <c r="N3" i="9" a="1"/>
  <c r="N3" i="9" s="1"/>
  <c r="P3" i="9" s="1"/>
  <c r="R3" i="9" s="1"/>
  <c r="AO17" i="9"/>
  <c r="AP17" i="9" s="1"/>
  <c r="AQ17" i="9"/>
  <c r="AO56" i="9"/>
  <c r="AP56" i="9" s="1"/>
  <c r="AQ56" i="9"/>
  <c r="AQ105" i="9"/>
  <c r="AO105" i="9"/>
  <c r="AP105" i="9" s="1"/>
  <c r="N173" i="8" a="1"/>
  <c r="N173" i="8" s="1"/>
  <c r="N204" i="8" a="1"/>
  <c r="N204" i="8" s="1"/>
  <c r="Q228" i="8"/>
  <c r="R228" i="8"/>
  <c r="Q248" i="8"/>
  <c r="N280" i="8" a="1"/>
  <c r="N280" i="8" s="1"/>
  <c r="Q302" i="8"/>
  <c r="Q365" i="8"/>
  <c r="R432" i="8"/>
  <c r="R443" i="8"/>
  <c r="Q443" i="8"/>
  <c r="R456" i="8"/>
  <c r="R528" i="8"/>
  <c r="AQ50" i="9"/>
  <c r="AO50" i="9"/>
  <c r="AP50" i="9" s="1"/>
  <c r="AO59" i="9"/>
  <c r="AP59" i="9" s="1"/>
  <c r="AO72" i="9"/>
  <c r="AP72" i="9" s="1"/>
  <c r="Q419" i="8"/>
  <c r="R419" i="8"/>
  <c r="R491" i="8"/>
  <c r="Q491" i="8"/>
  <c r="N7" i="9" a="1"/>
  <c r="N7" i="9" s="1"/>
  <c r="P7" i="9" s="1"/>
  <c r="R7" i="9" s="1"/>
  <c r="AQ27" i="9"/>
  <c r="T251" i="10"/>
  <c r="N148" i="8" a="1"/>
  <c r="N148" i="8" s="1"/>
  <c r="N150" i="8" a="1"/>
  <c r="N150" i="8" s="1"/>
  <c r="N221" i="8" a="1"/>
  <c r="N221" i="8" s="1"/>
  <c r="P221" i="8" s="1"/>
  <c r="R222" i="8"/>
  <c r="Q222" i="8"/>
  <c r="N275" i="8" a="1"/>
  <c r="N275" i="8" s="1"/>
  <c r="R329" i="8"/>
  <c r="Q329" i="8"/>
  <c r="Q347" i="8"/>
  <c r="Q401" i="8"/>
  <c r="Q410" i="8"/>
  <c r="Q425" i="8"/>
  <c r="R436" i="8"/>
  <c r="Q436" i="8"/>
  <c r="Q447" i="8"/>
  <c r="Q523" i="8"/>
  <c r="Q532" i="8"/>
  <c r="AQ9" i="9"/>
  <c r="T35" i="10"/>
  <c r="T53" i="10"/>
  <c r="N55" i="8" a="1"/>
  <c r="N55" i="8" s="1"/>
  <c r="N142" i="8" a="1"/>
  <c r="N142" i="8" s="1"/>
  <c r="P142" i="8" s="1"/>
  <c r="Q168" i="8"/>
  <c r="Q169" i="8"/>
  <c r="Q257" i="8"/>
  <c r="R257" i="8"/>
  <c r="N277" i="8" a="1"/>
  <c r="N277" i="8" s="1"/>
  <c r="R351" i="8"/>
  <c r="Q351" i="8"/>
  <c r="AQ101" i="9"/>
  <c r="AO101" i="9"/>
  <c r="AP101" i="9" s="1"/>
  <c r="T411" i="10"/>
  <c r="T17" i="10"/>
  <c r="T47" i="10"/>
  <c r="T120" i="10"/>
  <c r="T243" i="10"/>
  <c r="T294" i="10"/>
  <c r="T327" i="10"/>
  <c r="T404" i="10"/>
  <c r="T448" i="10"/>
  <c r="T456" i="10"/>
  <c r="T503" i="10"/>
  <c r="T538" i="10"/>
  <c r="T10" i="10"/>
  <c r="T46" i="10"/>
  <c r="T56" i="10"/>
  <c r="T105" i="10"/>
  <c r="T133" i="10"/>
  <c r="T147" i="10"/>
  <c r="T156" i="10"/>
  <c r="T167" i="10"/>
  <c r="T170" i="10"/>
  <c r="T255" i="10"/>
  <c r="T289" i="10"/>
  <c r="T291" i="10"/>
  <c r="T418" i="10"/>
  <c r="T429" i="10"/>
  <c r="T479" i="10"/>
  <c r="T513" i="10"/>
  <c r="T524" i="10"/>
  <c r="N184" i="8" a="1"/>
  <c r="N184" i="8" s="1"/>
  <c r="T111" i="10"/>
  <c r="T268" i="10"/>
  <c r="T364" i="10"/>
  <c r="T489" i="10"/>
  <c r="N211" i="8" a="1"/>
  <c r="N211" i="8" s="1"/>
  <c r="R221" i="8"/>
  <c r="Q247" i="8"/>
  <c r="Q252" i="8"/>
  <c r="Q255" i="8"/>
  <c r="R275" i="8"/>
  <c r="Q280" i="8"/>
  <c r="R296" i="8"/>
  <c r="Q342" i="8"/>
  <c r="Q367" i="8"/>
  <c r="R405" i="8"/>
  <c r="Q412" i="8"/>
  <c r="Q424" i="8"/>
  <c r="Q446" i="8"/>
  <c r="Q451" i="8"/>
  <c r="R458" i="8"/>
  <c r="Q469" i="8"/>
  <c r="R474" i="8"/>
  <c r="Q481" i="8"/>
  <c r="Q486" i="8"/>
  <c r="Q510" i="8"/>
  <c r="R517" i="8"/>
  <c r="V88" i="9"/>
  <c r="V182" i="9"/>
  <c r="V276" i="9"/>
  <c r="AO5" i="9"/>
  <c r="AP5" i="9" s="1"/>
  <c r="AO25" i="9"/>
  <c r="AP25" i="9" s="1"/>
  <c r="AO94" i="9"/>
  <c r="AP94" i="9" s="1"/>
  <c r="AO97" i="9"/>
  <c r="AP97" i="9" s="1"/>
  <c r="T3" i="10"/>
  <c r="T42" i="10"/>
  <c r="T52" i="10"/>
  <c r="T102" i="10"/>
  <c r="T293" i="10"/>
  <c r="T298" i="10"/>
  <c r="T326" i="10"/>
  <c r="T336" i="10"/>
  <c r="T349" i="10"/>
  <c r="T515" i="10"/>
  <c r="T518" i="10"/>
  <c r="N271" i="8" a="1"/>
  <c r="N271" i="8" s="1"/>
  <c r="P271" i="8" s="1"/>
  <c r="R301" i="8"/>
  <c r="V89" i="9"/>
  <c r="V183" i="9"/>
  <c r="V278" i="9"/>
  <c r="T89" i="10"/>
  <c r="T207" i="10"/>
  <c r="T222" i="10"/>
  <c r="T270" i="10"/>
  <c r="T305" i="10"/>
  <c r="T318" i="10"/>
  <c r="T323" i="10"/>
  <c r="T346" i="10"/>
  <c r="T379" i="10"/>
  <c r="T420" i="10"/>
  <c r="T436" i="10"/>
  <c r="T444" i="10"/>
  <c r="T447" i="10"/>
  <c r="T452" i="10"/>
  <c r="T455" i="10"/>
  <c r="T499" i="10"/>
  <c r="T507" i="10"/>
  <c r="T520" i="10"/>
  <c r="T528" i="10"/>
  <c r="T539" i="10"/>
  <c r="AO87" i="9"/>
  <c r="AP87" i="9" s="1"/>
  <c r="AO100" i="9"/>
  <c r="AP100" i="9" s="1"/>
  <c r="T12" i="10"/>
  <c r="T21" i="10"/>
  <c r="T25" i="10"/>
  <c r="AO107" i="9"/>
  <c r="AP107" i="9" s="1"/>
  <c r="T34" i="10"/>
  <c r="T475" i="10"/>
  <c r="T483" i="10"/>
  <c r="N243" i="8" a="1"/>
  <c r="N243" i="8" s="1"/>
  <c r="Q314" i="8"/>
  <c r="R336" i="8"/>
  <c r="Q390" i="8"/>
  <c r="R414" i="8"/>
  <c r="Q421" i="8"/>
  <c r="R435" i="8"/>
  <c r="R490" i="8"/>
  <c r="R526" i="8"/>
  <c r="R541" i="8"/>
  <c r="V18" i="9"/>
  <c r="V112" i="9"/>
  <c r="V207" i="9"/>
  <c r="V300" i="9"/>
  <c r="AO3" i="9"/>
  <c r="AP3" i="9" s="1"/>
  <c r="AO11" i="9"/>
  <c r="AP11" i="9" s="1"/>
  <c r="AO57" i="9"/>
  <c r="AP57" i="9" s="1"/>
  <c r="AQ83" i="9"/>
  <c r="T5" i="10"/>
  <c r="T44" i="10"/>
  <c r="T407" i="10"/>
  <c r="T14" i="10"/>
  <c r="T33" i="10"/>
  <c r="T37" i="10"/>
  <c r="T64" i="10"/>
  <c r="T198" i="10"/>
  <c r="T202" i="10"/>
  <c r="T240" i="10"/>
  <c r="T244" i="10"/>
  <c r="T264" i="10"/>
  <c r="T269" i="10"/>
  <c r="T282" i="10"/>
  <c r="T402" i="10"/>
  <c r="T410" i="10"/>
  <c r="T451" i="10"/>
  <c r="U309" i="11"/>
  <c r="T30" i="10"/>
  <c r="T50" i="10"/>
  <c r="T123" i="10"/>
  <c r="T142" i="10"/>
  <c r="T297" i="10"/>
  <c r="T299" i="10"/>
  <c r="T309" i="10"/>
  <c r="T357" i="10"/>
  <c r="T396" i="10"/>
  <c r="T399" i="10"/>
  <c r="T413" i="10"/>
  <c r="T427" i="10"/>
  <c r="T477" i="10"/>
  <c r="T482" i="10"/>
  <c r="T490" i="10"/>
  <c r="T511" i="10"/>
  <c r="T254" i="10"/>
  <c r="T283" i="10"/>
  <c r="T315" i="10"/>
  <c r="T335" i="10"/>
  <c r="T395" i="10"/>
  <c r="R25" i="11"/>
  <c r="R49" i="11"/>
  <c r="R73" i="11"/>
  <c r="R97" i="11"/>
  <c r="R123" i="11"/>
  <c r="R149" i="11"/>
  <c r="R175" i="11"/>
  <c r="R201" i="11"/>
  <c r="R227" i="11"/>
  <c r="R256" i="11"/>
  <c r="R284" i="11"/>
  <c r="T24" i="10"/>
  <c r="T125" i="10"/>
  <c r="T131" i="10"/>
  <c r="T146" i="10"/>
  <c r="T229" i="10"/>
  <c r="T338" i="10"/>
  <c r="T389" i="10"/>
  <c r="T541" i="10"/>
  <c r="R3" i="11"/>
  <c r="U3" i="11" s="1"/>
  <c r="R27" i="11"/>
  <c r="R51" i="11"/>
  <c r="R75" i="11"/>
  <c r="R99" i="11"/>
  <c r="U99" i="11" s="1"/>
  <c r="R125" i="11"/>
  <c r="S125" i="11" s="1"/>
  <c r="T125" i="11" s="1"/>
  <c r="R151" i="11"/>
  <c r="R177" i="11"/>
  <c r="R203" i="11"/>
  <c r="R230" i="11"/>
  <c r="R258" i="11"/>
  <c r="R286" i="11"/>
  <c r="T403" i="10"/>
  <c r="T426" i="10"/>
  <c r="T459" i="10"/>
  <c r="T519" i="10"/>
  <c r="T6" i="10"/>
  <c r="T13" i="10"/>
  <c r="T97" i="10"/>
  <c r="T101" i="10"/>
  <c r="T168" i="10"/>
  <c r="T174" i="10"/>
  <c r="T204" i="10"/>
  <c r="T219" i="10"/>
  <c r="T347" i="10"/>
  <c r="T366" i="10"/>
  <c r="T377" i="10"/>
  <c r="T391" i="10"/>
  <c r="T412" i="10"/>
  <c r="T464" i="10"/>
  <c r="R12" i="11"/>
  <c r="R36" i="11"/>
  <c r="S36" i="11" s="1"/>
  <c r="T36" i="11" s="1"/>
  <c r="R60" i="11"/>
  <c r="R84" i="11"/>
  <c r="R109" i="11"/>
  <c r="R135" i="11"/>
  <c r="R161" i="11"/>
  <c r="R187" i="11"/>
  <c r="R213" i="11"/>
  <c r="R239" i="11"/>
  <c r="R269" i="11"/>
  <c r="R297" i="11"/>
  <c r="T371" i="10"/>
  <c r="T408" i="10"/>
  <c r="T428" i="10"/>
  <c r="T440" i="10"/>
  <c r="T476" i="10"/>
  <c r="T488" i="10"/>
  <c r="T500" i="10"/>
  <c r="T512" i="10"/>
  <c r="T22" i="10"/>
  <c r="T29" i="10"/>
  <c r="T62" i="10"/>
  <c r="T88" i="10"/>
  <c r="T94" i="10"/>
  <c r="T107" i="10"/>
  <c r="T110" i="10"/>
  <c r="T184" i="10"/>
  <c r="T215" i="10"/>
  <c r="T231" i="10"/>
  <c r="T235" i="10"/>
  <c r="T239" i="10"/>
  <c r="T252" i="10"/>
  <c r="T256" i="10"/>
  <c r="T267" i="10"/>
  <c r="T300" i="10"/>
  <c r="T308" i="10"/>
  <c r="T316" i="10"/>
  <c r="T334" i="10"/>
  <c r="T368" i="10"/>
  <c r="T405" i="10"/>
  <c r="T437" i="10"/>
  <c r="T467" i="10"/>
  <c r="R15" i="11"/>
  <c r="R39" i="11"/>
  <c r="U39" i="11" s="1"/>
  <c r="R63" i="11"/>
  <c r="U63" i="11" s="1"/>
  <c r="R87" i="11"/>
  <c r="R112" i="11"/>
  <c r="R138" i="11"/>
  <c r="R164" i="11"/>
  <c r="R190" i="11"/>
  <c r="R217" i="11"/>
  <c r="R244" i="11"/>
  <c r="R272" i="11"/>
  <c r="F285" i="2" a="1"/>
  <c r="F285" i="2" s="1"/>
  <c r="G306" i="2" a="1"/>
  <c r="G306" i="2" s="1"/>
  <c r="B18" i="1" s="1"/>
  <c r="N476" i="8" a="1"/>
  <c r="N476" i="8" s="1"/>
  <c r="P476" i="8" s="1"/>
  <c r="N533" i="8" a="1"/>
  <c r="N533" i="8" s="1"/>
  <c r="P533" i="8" s="1"/>
  <c r="N521" i="8" a="1"/>
  <c r="N521" i="8" s="1"/>
  <c r="N488" i="8" a="1"/>
  <c r="N488" i="8" s="1"/>
  <c r="N493" i="8" a="1"/>
  <c r="N493" i="8" s="1"/>
  <c r="N475" i="8" a="1"/>
  <c r="N475" i="8" s="1"/>
  <c r="P475" i="8" s="1"/>
  <c r="N465" i="8" a="1"/>
  <c r="N465" i="8" s="1"/>
  <c r="N456" i="8" a="1"/>
  <c r="N456" i="8" s="1"/>
  <c r="N451" i="8" a="1"/>
  <c r="N451" i="8" s="1"/>
  <c r="N445" i="8" a="1"/>
  <c r="N445" i="8" s="1"/>
  <c r="N440" i="8" a="1"/>
  <c r="N440" i="8" s="1"/>
  <c r="P440" i="8" s="1"/>
  <c r="N434" i="8" a="1"/>
  <c r="N434" i="8" s="1"/>
  <c r="N423" i="8" a="1"/>
  <c r="N423" i="8" s="1"/>
  <c r="P423" i="8" s="1"/>
  <c r="N391" i="8" a="1"/>
  <c r="N391" i="8" s="1"/>
  <c r="N537" i="8" a="1"/>
  <c r="N537" i="8" s="1"/>
  <c r="N534" i="8" a="1"/>
  <c r="N534" i="8" s="1"/>
  <c r="N524" i="8" a="1"/>
  <c r="N524" i="8" s="1"/>
  <c r="N503" i="8" a="1"/>
  <c r="N503" i="8" s="1"/>
  <c r="N446" i="8" a="1"/>
  <c r="N446" i="8" s="1"/>
  <c r="P446" i="8" s="1"/>
  <c r="N413" i="8" a="1"/>
  <c r="N413" i="8" s="1"/>
  <c r="N372" i="8" a="1"/>
  <c r="N372" i="8" s="1"/>
  <c r="N530" i="8" a="1"/>
  <c r="N530" i="8" s="1"/>
  <c r="N477" i="8" a="1"/>
  <c r="N477" i="8" s="1"/>
  <c r="P477" i="8" s="1"/>
  <c r="N458" i="8" a="1"/>
  <c r="N458" i="8" s="1"/>
  <c r="P458" i="8" s="1"/>
  <c r="N425" i="8" a="1"/>
  <c r="N425" i="8" s="1"/>
  <c r="P425" i="8" s="1"/>
  <c r="N254" i="8" a="1"/>
  <c r="N254" i="8" s="1"/>
  <c r="P254" i="8" s="1"/>
  <c r="N239" i="8" a="1"/>
  <c r="N239" i="8" s="1"/>
  <c r="N495" i="8" a="1"/>
  <c r="N495" i="8" s="1"/>
  <c r="N517" i="8" a="1"/>
  <c r="N517" i="8" s="1"/>
  <c r="N497" i="8" a="1"/>
  <c r="N497" i="8" s="1"/>
  <c r="N431" i="8" a="1"/>
  <c r="N431" i="8" s="1"/>
  <c r="P431" i="8" s="1"/>
  <c r="N408" i="8" a="1"/>
  <c r="N408" i="8" s="1"/>
  <c r="P408" i="8" s="1"/>
  <c r="N439" i="8" a="1"/>
  <c r="N439" i="8" s="1"/>
  <c r="P439" i="8" s="1"/>
  <c r="N421" i="8" a="1"/>
  <c r="N421" i="8" s="1"/>
  <c r="P421" i="8" s="1"/>
  <c r="N370" i="8" a="1"/>
  <c r="N370" i="8" s="1"/>
  <c r="N337" i="8" a="1"/>
  <c r="N337" i="8" s="1"/>
  <c r="N322" i="8" a="1"/>
  <c r="N322" i="8" s="1"/>
  <c r="N313" i="8" a="1"/>
  <c r="N313" i="8" s="1"/>
  <c r="N307" i="8" a="1"/>
  <c r="N307" i="8" s="1"/>
  <c r="P307" i="8" s="1"/>
  <c r="N523" i="8" a="1"/>
  <c r="N523" i="8" s="1"/>
  <c r="N509" i="8" a="1"/>
  <c r="N509" i="8" s="1"/>
  <c r="N449" i="8" a="1"/>
  <c r="N449" i="8" s="1"/>
  <c r="N401" i="8" a="1"/>
  <c r="N401" i="8" s="1"/>
  <c r="N383" i="8" a="1"/>
  <c r="N383" i="8" s="1"/>
  <c r="P383" i="8" s="1"/>
  <c r="N362" i="8" a="1"/>
  <c r="N362" i="8" s="1"/>
  <c r="N338" i="8" a="1"/>
  <c r="N338" i="8" s="1"/>
  <c r="N248" i="8" a="1"/>
  <c r="N248" i="8" s="1"/>
  <c r="P248" i="8" s="1"/>
  <c r="N422" i="8" a="1"/>
  <c r="N422" i="8" s="1"/>
  <c r="P422" i="8" s="1"/>
  <c r="N482" i="8" a="1"/>
  <c r="N482" i="8" s="1"/>
  <c r="P482" i="8" s="1"/>
  <c r="N443" i="8" a="1"/>
  <c r="N443" i="8" s="1"/>
  <c r="P443" i="8" s="1"/>
  <c r="N432" i="8" a="1"/>
  <c r="N432" i="8" s="1"/>
  <c r="P432" i="8" s="1"/>
  <c r="N384" i="8" a="1"/>
  <c r="N384" i="8" s="1"/>
  <c r="P384" i="8" s="1"/>
  <c r="N479" i="8" a="1"/>
  <c r="N479" i="8" s="1"/>
  <c r="P479" i="8" s="1"/>
  <c r="N472" i="8" a="1"/>
  <c r="N472" i="8" s="1"/>
  <c r="P472" i="8" s="1"/>
  <c r="N398" i="8" a="1"/>
  <c r="N398" i="8" s="1"/>
  <c r="P398" i="8" s="1"/>
  <c r="N385" i="8" a="1"/>
  <c r="N385" i="8" s="1"/>
  <c r="P385" i="8" s="1"/>
  <c r="N358" i="8" a="1"/>
  <c r="N358" i="8" s="1"/>
  <c r="N324" i="8" a="1"/>
  <c r="N324" i="8" s="1"/>
  <c r="N309" i="8" a="1"/>
  <c r="N309" i="8" s="1"/>
  <c r="P309" i="8" s="1"/>
  <c r="N267" i="8" a="1"/>
  <c r="N267" i="8" s="1"/>
  <c r="P267" i="8" s="1"/>
  <c r="N510" i="8" a="1"/>
  <c r="N510" i="8" s="1"/>
  <c r="N489" i="8" a="1"/>
  <c r="N489" i="8" s="1"/>
  <c r="N444" i="8" a="1"/>
  <c r="N444" i="8" s="1"/>
  <c r="P444" i="8" s="1"/>
  <c r="N433" i="8" a="1"/>
  <c r="N433" i="8" s="1"/>
  <c r="P433" i="8" s="1"/>
  <c r="N394" i="8" a="1"/>
  <c r="N394" i="8" s="1"/>
  <c r="P394" i="8" s="1"/>
  <c r="N315" i="8" a="1"/>
  <c r="N315" i="8" s="1"/>
  <c r="N536" i="8" a="1"/>
  <c r="N536" i="8" s="1"/>
  <c r="N518" i="8" a="1"/>
  <c r="N518" i="8" s="1"/>
  <c r="N498" i="8" a="1"/>
  <c r="N498" i="8" s="1"/>
  <c r="N470" i="8" a="1"/>
  <c r="N470" i="8" s="1"/>
  <c r="N463" i="8" a="1"/>
  <c r="N463" i="8" s="1"/>
  <c r="N427" i="8" a="1"/>
  <c r="N427" i="8" s="1"/>
  <c r="P427" i="8" s="1"/>
  <c r="N420" i="8" a="1"/>
  <c r="N420" i="8" s="1"/>
  <c r="N374" i="8" a="1"/>
  <c r="N374" i="8" s="1"/>
  <c r="P374" i="8" s="1"/>
  <c r="N360" i="8" a="1"/>
  <c r="N360" i="8" s="1"/>
  <c r="P360" i="8" s="1"/>
  <c r="N299" i="8" a="1"/>
  <c r="N299" i="8" s="1"/>
  <c r="P299" i="8" s="1"/>
  <c r="N496" i="8" a="1"/>
  <c r="N496" i="8" s="1"/>
  <c r="P496" i="8" s="1"/>
  <c r="N467" i="8" a="1"/>
  <c r="N467" i="8" s="1"/>
  <c r="N464" i="8" a="1"/>
  <c r="N464" i="8" s="1"/>
  <c r="N351" i="8" a="1"/>
  <c r="N351" i="8" s="1"/>
  <c r="N312" i="8" a="1"/>
  <c r="N312" i="8" s="1"/>
  <c r="P312" i="8" s="1"/>
  <c r="N519" i="8" a="1"/>
  <c r="N519" i="8" s="1"/>
  <c r="N454" i="8" a="1"/>
  <c r="N454" i="8" s="1"/>
  <c r="N228" i="8" a="1"/>
  <c r="N228" i="8" s="1"/>
  <c r="P228" i="8" s="1"/>
  <c r="N522" i="8" a="1"/>
  <c r="N522" i="8" s="1"/>
  <c r="N474" i="8" a="1"/>
  <c r="N474" i="8" s="1"/>
  <c r="N410" i="8" a="1"/>
  <c r="N410" i="8" s="1"/>
  <c r="P410" i="8" s="1"/>
  <c r="N399" i="8" a="1"/>
  <c r="N399" i="8" s="1"/>
  <c r="N371" i="8" a="1"/>
  <c r="N371" i="8" s="1"/>
  <c r="N350" i="8" a="1"/>
  <c r="N350" i="8" s="1"/>
  <c r="N377" i="8" a="1"/>
  <c r="N377" i="8" s="1"/>
  <c r="P377" i="8" s="1"/>
  <c r="N365" i="8" a="1"/>
  <c r="N365" i="8" s="1"/>
  <c r="P365" i="8" s="1"/>
  <c r="N359" i="8" a="1"/>
  <c r="N359" i="8" s="1"/>
  <c r="P359" i="8" s="1"/>
  <c r="N341" i="8" a="1"/>
  <c r="N341" i="8" s="1"/>
  <c r="N227" i="8" a="1"/>
  <c r="N227" i="8" s="1"/>
  <c r="P227" i="8" s="1"/>
  <c r="N223" i="8" a="1"/>
  <c r="N223" i="8" s="1"/>
  <c r="P223" i="8" s="1"/>
  <c r="N528" i="8" a="1"/>
  <c r="N528" i="8" s="1"/>
  <c r="N525" i="8" a="1"/>
  <c r="N525" i="8" s="1"/>
  <c r="N353" i="8" a="1"/>
  <c r="N353" i="8" s="1"/>
  <c r="N302" i="8" a="1"/>
  <c r="N302" i="8" s="1"/>
  <c r="P302" i="8" s="1"/>
  <c r="N273" i="8" a="1"/>
  <c r="N273" i="8" s="1"/>
  <c r="N245" i="8" a="1"/>
  <c r="N245" i="8" s="1"/>
  <c r="P245" i="8" s="1"/>
  <c r="N455" i="8" a="1"/>
  <c r="N455" i="8" s="1"/>
  <c r="N335" i="8" a="1"/>
  <c r="N335" i="8" s="1"/>
  <c r="N295" i="8" a="1"/>
  <c r="N295" i="8" s="1"/>
  <c r="N483" i="8" a="1"/>
  <c r="N483" i="8" s="1"/>
  <c r="N411" i="8" a="1"/>
  <c r="N411" i="8" s="1"/>
  <c r="P411" i="8" s="1"/>
  <c r="N386" i="8" a="1"/>
  <c r="N386" i="8" s="1"/>
  <c r="P386" i="8" s="1"/>
  <c r="N369" i="8" a="1"/>
  <c r="N369" i="8" s="1"/>
  <c r="N348" i="8" a="1"/>
  <c r="N348" i="8" s="1"/>
  <c r="P348" i="8" s="1"/>
  <c r="N531" i="8" a="1"/>
  <c r="N531" i="8" s="1"/>
  <c r="P531" i="8" s="1"/>
  <c r="N437" i="8" a="1"/>
  <c r="N437" i="8" s="1"/>
  <c r="P437" i="8" s="1"/>
  <c r="N326" i="8" a="1"/>
  <c r="N326" i="8" s="1"/>
  <c r="N323" i="8" a="1"/>
  <c r="N323" i="8" s="1"/>
  <c r="N310" i="8" a="1"/>
  <c r="N310" i="8" s="1"/>
  <c r="P310" i="8" s="1"/>
  <c r="N290" i="8" a="1"/>
  <c r="N290" i="8" s="1"/>
  <c r="P290" i="8" s="1"/>
  <c r="N395" i="8" a="1"/>
  <c r="N395" i="8" s="1"/>
  <c r="P395" i="8" s="1"/>
  <c r="N343" i="8" a="1"/>
  <c r="N343" i="8" s="1"/>
  <c r="P343" i="8" s="1"/>
  <c r="N336" i="8" a="1"/>
  <c r="N336" i="8" s="1"/>
  <c r="N314" i="8" a="1"/>
  <c r="N314" i="8" s="1"/>
  <c r="N473" i="8" a="1"/>
  <c r="N473" i="8" s="1"/>
  <c r="N367" i="8" a="1"/>
  <c r="N367" i="8" s="1"/>
  <c r="N298" i="8" a="1"/>
  <c r="N298" i="8" s="1"/>
  <c r="P298" i="8" s="1"/>
  <c r="N396" i="8" a="1"/>
  <c r="N396" i="8" s="1"/>
  <c r="P396" i="8" s="1"/>
  <c r="N321" i="8" a="1"/>
  <c r="N321" i="8" s="1"/>
  <c r="N311" i="8" a="1"/>
  <c r="N311" i="8" s="1"/>
  <c r="P311" i="8" s="1"/>
  <c r="N293" i="8" a="1"/>
  <c r="N293" i="8" s="1"/>
  <c r="N272" i="8" a="1"/>
  <c r="N272" i="8" s="1"/>
  <c r="P272" i="8" s="1"/>
  <c r="N222" i="8" a="1"/>
  <c r="N222" i="8" s="1"/>
  <c r="P222" i="8" s="1"/>
  <c r="N209" i="8" a="1"/>
  <c r="N209" i="8" s="1"/>
  <c r="N202" i="8" a="1"/>
  <c r="N202" i="8" s="1"/>
  <c r="P202" i="8" s="1"/>
  <c r="N317" i="8" a="1"/>
  <c r="N317" i="8" s="1"/>
  <c r="N214" i="8" a="1"/>
  <c r="N214" i="8" s="1"/>
  <c r="N144" i="8" a="1"/>
  <c r="N144" i="8" s="1"/>
  <c r="P144" i="8" s="1"/>
  <c r="N126" i="8" a="1"/>
  <c r="N126" i="8" s="1"/>
  <c r="N109" i="8" a="1"/>
  <c r="N109" i="8" s="1"/>
  <c r="P109" i="8" s="1"/>
  <c r="N260" i="8" a="1"/>
  <c r="N260" i="8" s="1"/>
  <c r="P260" i="8" s="1"/>
  <c r="N296" i="8" a="1"/>
  <c r="N296" i="8" s="1"/>
  <c r="N289" i="8" a="1"/>
  <c r="N289" i="8" s="1"/>
  <c r="N278" i="8" a="1"/>
  <c r="N278" i="8" s="1"/>
  <c r="N268" i="8" a="1"/>
  <c r="N268" i="8" s="1"/>
  <c r="P268" i="8" s="1"/>
  <c r="N241" i="8" a="1"/>
  <c r="N241" i="8" s="1"/>
  <c r="N200" i="8" a="1"/>
  <c r="N200" i="8" s="1"/>
  <c r="P200" i="8" s="1"/>
  <c r="N305" i="8" a="1"/>
  <c r="N305" i="8" s="1"/>
  <c r="P305" i="8" s="1"/>
  <c r="N284" i="8" a="1"/>
  <c r="N284" i="8" s="1"/>
  <c r="P284" i="8" s="1"/>
  <c r="N261" i="8" a="1"/>
  <c r="N261" i="8" s="1"/>
  <c r="N240" i="8" a="1"/>
  <c r="N240" i="8" s="1"/>
  <c r="N230" i="8" a="1"/>
  <c r="N230" i="8" s="1"/>
  <c r="P230" i="8" s="1"/>
  <c r="N206" i="8" a="1"/>
  <c r="N206" i="8" s="1"/>
  <c r="N334" i="8" a="1"/>
  <c r="N334" i="8" s="1"/>
  <c r="N331" i="8" a="1"/>
  <c r="N331" i="8" s="1"/>
  <c r="N257" i="8" a="1"/>
  <c r="N257" i="8" s="1"/>
  <c r="P257" i="8" s="1"/>
  <c r="N242" i="8" a="1"/>
  <c r="N242" i="8" s="1"/>
  <c r="N274" i="8" a="1"/>
  <c r="N274" i="8" s="1"/>
  <c r="N218" i="8" a="1"/>
  <c r="N218" i="8" s="1"/>
  <c r="P218" i="8" s="1"/>
  <c r="N212" i="8" a="1"/>
  <c r="N212" i="8" s="1"/>
  <c r="N199" i="8" a="1"/>
  <c r="N199" i="8" s="1"/>
  <c r="P199" i="8" s="1"/>
  <c r="N180" i="8" a="1"/>
  <c r="N180" i="8" s="1"/>
  <c r="N303" i="8" a="1"/>
  <c r="N303" i="8" s="1"/>
  <c r="P303" i="8" s="1"/>
  <c r="N226" i="8" a="1"/>
  <c r="N226" i="8" s="1"/>
  <c r="P226" i="8" s="1"/>
  <c r="N266" i="8" a="1"/>
  <c r="N266" i="8" s="1"/>
  <c r="N215" i="8" a="1"/>
  <c r="N215" i="8" s="1"/>
  <c r="N127" i="8" a="1"/>
  <c r="N127" i="8" s="1"/>
  <c r="L6" i="12"/>
  <c r="W2" i="8"/>
  <c r="X2" i="8" s="1"/>
  <c r="Y2" i="8"/>
  <c r="Y300" i="8"/>
  <c r="W300" i="8"/>
  <c r="X300" i="8" s="1"/>
  <c r="Y14" i="8"/>
  <c r="W14" i="8"/>
  <c r="X14" i="8" s="1"/>
  <c r="Y37" i="8"/>
  <c r="W37" i="8"/>
  <c r="X37" i="8" s="1"/>
  <c r="Y42" i="8"/>
  <c r="W42" i="8"/>
  <c r="X42" i="8" s="1"/>
  <c r="Y50" i="8"/>
  <c r="W50" i="8"/>
  <c r="X50" i="8" s="1"/>
  <c r="Y88" i="8"/>
  <c r="W88" i="8"/>
  <c r="X88" i="8" s="1"/>
  <c r="Y92" i="8"/>
  <c r="W92" i="8"/>
  <c r="X92" i="8" s="1"/>
  <c r="Y102" i="8"/>
  <c r="W102" i="8"/>
  <c r="X102" i="8" s="1"/>
  <c r="W107" i="8"/>
  <c r="X107" i="8" s="1"/>
  <c r="Y107" i="8"/>
  <c r="Y112" i="8"/>
  <c r="W112" i="8"/>
  <c r="X112" i="8" s="1"/>
  <c r="W121" i="8"/>
  <c r="X121" i="8" s="1"/>
  <c r="Y121" i="8"/>
  <c r="Y133" i="8"/>
  <c r="W133" i="8"/>
  <c r="X133" i="8" s="1"/>
  <c r="W146" i="8"/>
  <c r="X146" i="8" s="1"/>
  <c r="Y146" i="8"/>
  <c r="Y154" i="8"/>
  <c r="W154" i="8"/>
  <c r="X154" i="8" s="1"/>
  <c r="Y156" i="8"/>
  <c r="W156" i="8"/>
  <c r="X156" i="8" s="1"/>
  <c r="Y160" i="8"/>
  <c r="W160" i="8"/>
  <c r="X160" i="8" s="1"/>
  <c r="Y164" i="8"/>
  <c r="W164" i="8"/>
  <c r="X164" i="8" s="1"/>
  <c r="Y183" i="8"/>
  <c r="W183" i="8"/>
  <c r="X183" i="8" s="1"/>
  <c r="W184" i="8"/>
  <c r="X184" i="8" s="1"/>
  <c r="Y184" i="8"/>
  <c r="W190" i="8"/>
  <c r="X190" i="8" s="1"/>
  <c r="Y190" i="8"/>
  <c r="Y191" i="8"/>
  <c r="W191" i="8"/>
  <c r="X191" i="8" s="1"/>
  <c r="Y193" i="8"/>
  <c r="W193" i="8"/>
  <c r="X193" i="8" s="1"/>
  <c r="Y196" i="8"/>
  <c r="W196" i="8"/>
  <c r="X196" i="8" s="1"/>
  <c r="W203" i="8"/>
  <c r="X203" i="8" s="1"/>
  <c r="Y203" i="8"/>
  <c r="Y204" i="8"/>
  <c r="W204" i="8"/>
  <c r="X204" i="8" s="1"/>
  <c r="Y205" i="8"/>
  <c r="W205" i="8"/>
  <c r="X205" i="8" s="1"/>
  <c r="W207" i="8"/>
  <c r="X207" i="8" s="1"/>
  <c r="Y207" i="8"/>
  <c r="Y209" i="8"/>
  <c r="W209" i="8"/>
  <c r="X209" i="8" s="1"/>
  <c r="Y210" i="8"/>
  <c r="W210" i="8"/>
  <c r="X210" i="8" s="1"/>
  <c r="Y212" i="8"/>
  <c r="W212" i="8"/>
  <c r="X212" i="8" s="1"/>
  <c r="W213" i="8"/>
  <c r="X213" i="8" s="1"/>
  <c r="Y213" i="8"/>
  <c r="Y217" i="8"/>
  <c r="W217" i="8"/>
  <c r="X217" i="8" s="1"/>
  <c r="W218" i="8"/>
  <c r="X218" i="8" s="1"/>
  <c r="Y218" i="8"/>
  <c r="W219" i="8"/>
  <c r="X219" i="8" s="1"/>
  <c r="Y219" i="8"/>
  <c r="W221" i="8"/>
  <c r="X221" i="8" s="1"/>
  <c r="Y221" i="8"/>
  <c r="Y224" i="8"/>
  <c r="W224" i="8"/>
  <c r="X224" i="8" s="1"/>
  <c r="W225" i="8"/>
  <c r="X225" i="8" s="1"/>
  <c r="Y225" i="8"/>
  <c r="Y226" i="8"/>
  <c r="W226" i="8"/>
  <c r="X226" i="8" s="1"/>
  <c r="Y228" i="8"/>
  <c r="W228" i="8"/>
  <c r="X228" i="8" s="1"/>
  <c r="W232" i="8"/>
  <c r="X232" i="8" s="1"/>
  <c r="Y232" i="8"/>
  <c r="Y234" i="8"/>
  <c r="W234" i="8"/>
  <c r="X234" i="8" s="1"/>
  <c r="W236" i="8"/>
  <c r="X236" i="8" s="1"/>
  <c r="Y236" i="8"/>
  <c r="Y238" i="8"/>
  <c r="W238" i="8"/>
  <c r="X238" i="8" s="1"/>
  <c r="Y239" i="8"/>
  <c r="W239" i="8"/>
  <c r="X239" i="8" s="1"/>
  <c r="Y242" i="8"/>
  <c r="W242" i="8"/>
  <c r="X242" i="8" s="1"/>
  <c r="W245" i="8"/>
  <c r="X245" i="8" s="1"/>
  <c r="Y245" i="8"/>
  <c r="W246" i="8"/>
  <c r="X246" i="8" s="1"/>
  <c r="Y246" i="8"/>
  <c r="Y248" i="8"/>
  <c r="W248" i="8"/>
  <c r="X248" i="8" s="1"/>
  <c r="W249" i="8"/>
  <c r="X249" i="8" s="1"/>
  <c r="Y249" i="8"/>
  <c r="W252" i="8"/>
  <c r="X252" i="8" s="1"/>
  <c r="Y252" i="8"/>
  <c r="Y254" i="8"/>
  <c r="W254" i="8"/>
  <c r="X254" i="8" s="1"/>
  <c r="W255" i="8"/>
  <c r="X255" i="8" s="1"/>
  <c r="Y255" i="8"/>
  <c r="Y260" i="8"/>
  <c r="W260" i="8"/>
  <c r="X260" i="8" s="1"/>
  <c r="W261" i="8"/>
  <c r="X261" i="8" s="1"/>
  <c r="Y261" i="8"/>
  <c r="Y262" i="8"/>
  <c r="W262" i="8"/>
  <c r="X262" i="8" s="1"/>
  <c r="Y263" i="8"/>
  <c r="W263" i="8"/>
  <c r="X263" i="8" s="1"/>
  <c r="W264" i="8"/>
  <c r="X264" i="8" s="1"/>
  <c r="Y264" i="8"/>
  <c r="W267" i="8"/>
  <c r="X267" i="8" s="1"/>
  <c r="Y267" i="8"/>
  <c r="Y268" i="8"/>
  <c r="W268" i="8"/>
  <c r="X268" i="8" s="1"/>
  <c r="Y269" i="8"/>
  <c r="W269" i="8"/>
  <c r="X269" i="8" s="1"/>
  <c r="Y270" i="8"/>
  <c r="W270" i="8"/>
  <c r="X270" i="8" s="1"/>
  <c r="Y274" i="8"/>
  <c r="W274" i="8"/>
  <c r="X274" i="8" s="1"/>
  <c r="Y275" i="8"/>
  <c r="W275" i="8"/>
  <c r="X275" i="8" s="1"/>
  <c r="W276" i="8"/>
  <c r="X276" i="8" s="1"/>
  <c r="Y276" i="8"/>
  <c r="W277" i="8"/>
  <c r="X277" i="8" s="1"/>
  <c r="Y277" i="8"/>
  <c r="Y278" i="8"/>
  <c r="W278" i="8"/>
  <c r="X278" i="8" s="1"/>
  <c r="W281" i="8"/>
  <c r="X281" i="8" s="1"/>
  <c r="Y281" i="8"/>
  <c r="Y282" i="8"/>
  <c r="W282" i="8"/>
  <c r="X282" i="8" s="1"/>
  <c r="W285" i="8"/>
  <c r="X285" i="8" s="1"/>
  <c r="Y285" i="8"/>
  <c r="Y288" i="8"/>
  <c r="W288" i="8"/>
  <c r="X288" i="8" s="1"/>
  <c r="Y289" i="8"/>
  <c r="W289" i="8"/>
  <c r="X289" i="8" s="1"/>
  <c r="Y290" i="8"/>
  <c r="W290" i="8"/>
  <c r="X290" i="8" s="1"/>
  <c r="W291" i="8"/>
  <c r="X291" i="8" s="1"/>
  <c r="Y291" i="8"/>
  <c r="W293" i="8"/>
  <c r="X293" i="8" s="1"/>
  <c r="Y293" i="8"/>
  <c r="Y296" i="8"/>
  <c r="W296" i="8"/>
  <c r="X296" i="8" s="1"/>
  <c r="W297" i="8"/>
  <c r="X297" i="8" s="1"/>
  <c r="Y297" i="8"/>
  <c r="W298" i="8"/>
  <c r="X298" i="8" s="1"/>
  <c r="Y298" i="8"/>
  <c r="Y302" i="8"/>
  <c r="W302" i="8"/>
  <c r="X302" i="8" s="1"/>
  <c r="W303" i="8"/>
  <c r="X303" i="8" s="1"/>
  <c r="Y303" i="8"/>
  <c r="W304" i="8"/>
  <c r="X304" i="8" s="1"/>
  <c r="Y304" i="8"/>
  <c r="AO7" i="8"/>
  <c r="AP7" i="8" s="1"/>
  <c r="AQ7" i="8"/>
  <c r="AQ21" i="8"/>
  <c r="AO21" i="8"/>
  <c r="AP21" i="8" s="1"/>
  <c r="R44" i="8"/>
  <c r="Q44" i="8"/>
  <c r="R48" i="8"/>
  <c r="Q48" i="8"/>
  <c r="AO54" i="8"/>
  <c r="AP54" i="8" s="1"/>
  <c r="AQ54" i="8"/>
  <c r="AQ58" i="8"/>
  <c r="AO58" i="8"/>
  <c r="AP58" i="8" s="1"/>
  <c r="L4" i="12"/>
  <c r="R68" i="8"/>
  <c r="Q68" i="8"/>
  <c r="AQ71" i="8"/>
  <c r="AO71" i="8"/>
  <c r="AP71" i="8" s="1"/>
  <c r="R76" i="8"/>
  <c r="Q76" i="8"/>
  <c r="AQ82" i="8"/>
  <c r="AO82" i="8"/>
  <c r="AP82" i="8" s="1"/>
  <c r="Q90" i="8"/>
  <c r="R90" i="8"/>
  <c r="AO91" i="8"/>
  <c r="AP91" i="8" s="1"/>
  <c r="AQ91" i="8"/>
  <c r="AQ95" i="8"/>
  <c r="AO95" i="8"/>
  <c r="AP95" i="8" s="1"/>
  <c r="R108" i="8"/>
  <c r="Q108" i="8"/>
  <c r="Q113" i="8"/>
  <c r="R113" i="8"/>
  <c r="R123" i="8"/>
  <c r="Q123" i="8"/>
  <c r="R125" i="8"/>
  <c r="Q125" i="8"/>
  <c r="Q130" i="8"/>
  <c r="R130" i="8"/>
  <c r="C5" i="12" s="1"/>
  <c r="R135" i="8"/>
  <c r="Q135" i="8"/>
  <c r="R137" i="8"/>
  <c r="Q137" i="8"/>
  <c r="Q140" i="8"/>
  <c r="R140" i="8"/>
  <c r="R143" i="8"/>
  <c r="Q143" i="8"/>
  <c r="R145" i="8"/>
  <c r="Q145" i="8"/>
  <c r="R149" i="8"/>
  <c r="Q149" i="8"/>
  <c r="R154" i="8"/>
  <c r="Q154" i="8"/>
  <c r="R163" i="8"/>
  <c r="Q163" i="8"/>
  <c r="R173" i="8"/>
  <c r="I8" i="12" s="1"/>
  <c r="Q173" i="8"/>
  <c r="Q176" i="8"/>
  <c r="R176" i="8"/>
  <c r="R177" i="8"/>
  <c r="Q177" i="8"/>
  <c r="Q194" i="8"/>
  <c r="R194" i="8"/>
  <c r="R197" i="8"/>
  <c r="Q197" i="8"/>
  <c r="R199" i="8"/>
  <c r="Q199" i="8"/>
  <c r="R202" i="8"/>
  <c r="Q202" i="8"/>
  <c r="R224" i="8"/>
  <c r="Q224" i="8"/>
  <c r="R235" i="8"/>
  <c r="Q235" i="8"/>
  <c r="Q249" i="8"/>
  <c r="R249" i="8"/>
  <c r="Q267" i="8"/>
  <c r="R267" i="8"/>
  <c r="Q276" i="8"/>
  <c r="R276" i="8"/>
  <c r="V7" i="8"/>
  <c r="V20" i="8"/>
  <c r="V33" i="8"/>
  <c r="V46" i="8"/>
  <c r="V60" i="8"/>
  <c r="V73" i="8"/>
  <c r="V86" i="8"/>
  <c r="V100" i="8"/>
  <c r="V114" i="8"/>
  <c r="V129" i="8"/>
  <c r="V143" i="8"/>
  <c r="V157" i="8"/>
  <c r="V171" i="8"/>
  <c r="V185" i="8"/>
  <c r="V200" i="8"/>
  <c r="V215" i="8"/>
  <c r="V229" i="8"/>
  <c r="V243" i="8"/>
  <c r="V257" i="8"/>
  <c r="V272" i="8"/>
  <c r="V286" i="8"/>
  <c r="Q216" i="8"/>
  <c r="R216" i="8"/>
  <c r="R223" i="8"/>
  <c r="Q223" i="8"/>
  <c r="N229" i="8" a="1"/>
  <c r="N229" i="8" s="1"/>
  <c r="P229" i="8" s="1"/>
  <c r="N269" i="8" a="1"/>
  <c r="N269" i="8" s="1"/>
  <c r="P269" i="8" s="1"/>
  <c r="R292" i="8"/>
  <c r="Q292" i="8"/>
  <c r="Q309" i="8"/>
  <c r="R309" i="8"/>
  <c r="W273" i="8"/>
  <c r="X273" i="8" s="1"/>
  <c r="Y273" i="8"/>
  <c r="W301" i="8"/>
  <c r="X301" i="8" s="1"/>
  <c r="Y301" i="8"/>
  <c r="N3" i="8" a="1"/>
  <c r="N3" i="8" s="1"/>
  <c r="L2" i="12"/>
  <c r="N47" i="8" a="1"/>
  <c r="N47" i="8" s="1"/>
  <c r="P47" i="8" s="1"/>
  <c r="N108" i="8" a="1"/>
  <c r="N108" i="8" s="1"/>
  <c r="N125" i="8" a="1"/>
  <c r="N125" i="8" s="1"/>
  <c r="W144" i="8"/>
  <c r="X144" i="8" s="1"/>
  <c r="Q178" i="8"/>
  <c r="N251" i="8" a="1"/>
  <c r="N251" i="8" s="1"/>
  <c r="N285" i="8" a="1"/>
  <c r="N285" i="8" s="1"/>
  <c r="P285" i="8" s="1"/>
  <c r="N143" i="8" a="1"/>
  <c r="N143" i="8" s="1"/>
  <c r="P143" i="8" s="1"/>
  <c r="N167" i="8" a="1"/>
  <c r="N167" i="8" s="1"/>
  <c r="N176" i="8" a="1"/>
  <c r="N176" i="8" s="1"/>
  <c r="W216" i="8"/>
  <c r="X216" i="8" s="1"/>
  <c r="N219" i="8" a="1"/>
  <c r="N219" i="8" s="1"/>
  <c r="P219" i="8" s="1"/>
  <c r="N220" i="8" a="1"/>
  <c r="N220" i="8" s="1"/>
  <c r="P220" i="8" s="1"/>
  <c r="N231" i="8" a="1"/>
  <c r="N231" i="8" s="1"/>
  <c r="P231" i="8" s="1"/>
  <c r="R262" i="8"/>
  <c r="Q262" i="8"/>
  <c r="R270" i="8"/>
  <c r="N279" i="8" a="1"/>
  <c r="N279" i="8" s="1"/>
  <c r="Q294" i="8"/>
  <c r="R294" i="8"/>
  <c r="N308" i="8" a="1"/>
  <c r="N308" i="8" s="1"/>
  <c r="P308" i="8" s="1"/>
  <c r="W202" i="8"/>
  <c r="X202" i="8" s="1"/>
  <c r="N232" i="8" a="1"/>
  <c r="N232" i="8" s="1"/>
  <c r="P232" i="8" s="1"/>
  <c r="N233" i="8" a="1"/>
  <c r="N233" i="8" s="1"/>
  <c r="P233" i="8" s="1"/>
  <c r="N247" i="8" a="1"/>
  <c r="N247" i="8" s="1"/>
  <c r="P247" i="8" s="1"/>
  <c r="W287" i="8"/>
  <c r="X287" i="8" s="1"/>
  <c r="R300" i="8"/>
  <c r="Q300" i="8"/>
  <c r="N344" i="8" a="1"/>
  <c r="N344" i="8" s="1"/>
  <c r="P344" i="8" s="1"/>
  <c r="N346" i="8" a="1"/>
  <c r="N346" i="8" s="1"/>
  <c r="P346" i="8" s="1"/>
  <c r="N379" i="8" a="1"/>
  <c r="N379" i="8" s="1"/>
  <c r="P379" i="8" s="1"/>
  <c r="N201" i="8" a="1"/>
  <c r="N201" i="8" s="1"/>
  <c r="P201" i="8" s="1"/>
  <c r="N207" i="8" a="1"/>
  <c r="N207" i="8" s="1"/>
  <c r="N234" i="8" a="1"/>
  <c r="N234" i="8" s="1"/>
  <c r="N250" i="8" a="1"/>
  <c r="N250" i="8" s="1"/>
  <c r="P250" i="8" s="1"/>
  <c r="N256" i="8" a="1"/>
  <c r="N256" i="8" s="1"/>
  <c r="P256" i="8" s="1"/>
  <c r="N264" i="8" a="1"/>
  <c r="N264" i="8" s="1"/>
  <c r="N172" i="8" a="1"/>
  <c r="N172" i="8" s="1"/>
  <c r="N182" i="8" a="1"/>
  <c r="N182" i="8" s="1"/>
  <c r="P182" i="8" s="1"/>
  <c r="N191" i="8" a="1"/>
  <c r="N191" i="8" s="1"/>
  <c r="P191" i="8" s="1"/>
  <c r="Q229" i="8"/>
  <c r="Y258" i="8"/>
  <c r="R285" i="8"/>
  <c r="N376" i="8" a="1"/>
  <c r="N376" i="8" s="1"/>
  <c r="P376" i="8" s="1"/>
  <c r="N208" i="8" a="1"/>
  <c r="N208" i="8" s="1"/>
  <c r="Q218" i="8"/>
  <c r="N283" i="8" a="1"/>
  <c r="N283" i="8" s="1"/>
  <c r="P283" i="8" s="1"/>
  <c r="R310" i="8"/>
  <c r="Q310" i="8"/>
  <c r="R339" i="8"/>
  <c r="Q339" i="8"/>
  <c r="V295" i="8"/>
  <c r="V283" i="8"/>
  <c r="V271" i="8"/>
  <c r="V259" i="8"/>
  <c r="V247" i="8"/>
  <c r="V235" i="8"/>
  <c r="V223" i="8"/>
  <c r="V211" i="8"/>
  <c r="V199" i="8"/>
  <c r="V187" i="8"/>
  <c r="V175" i="8"/>
  <c r="V163" i="8"/>
  <c r="V151" i="8"/>
  <c r="V139" i="8"/>
  <c r="V127" i="8"/>
  <c r="V115" i="8"/>
  <c r="V103" i="8"/>
  <c r="V91" i="8"/>
  <c r="V305" i="8"/>
  <c r="V292" i="8"/>
  <c r="V279" i="8"/>
  <c r="V266" i="8"/>
  <c r="V253" i="8"/>
  <c r="V240" i="8"/>
  <c r="V227" i="8"/>
  <c r="V214" i="8"/>
  <c r="V201" i="8"/>
  <c r="V188" i="8"/>
  <c r="V174" i="8"/>
  <c r="V161" i="8"/>
  <c r="V148" i="8"/>
  <c r="V135" i="8"/>
  <c r="V122" i="8"/>
  <c r="V109" i="8"/>
  <c r="V96" i="8"/>
  <c r="V83" i="8"/>
  <c r="V71" i="8"/>
  <c r="V59" i="8"/>
  <c r="V47" i="8"/>
  <c r="V35" i="8"/>
  <c r="V23" i="8"/>
  <c r="V11" i="8"/>
  <c r="V15" i="8"/>
  <c r="V28" i="8"/>
  <c r="V41" i="8"/>
  <c r="V54" i="8"/>
  <c r="V67" i="8"/>
  <c r="V80" i="8"/>
  <c r="V94" i="8"/>
  <c r="V108" i="8"/>
  <c r="V123" i="8"/>
  <c r="V137" i="8"/>
  <c r="V152" i="8"/>
  <c r="V166" i="8"/>
  <c r="V180" i="8"/>
  <c r="V194" i="8"/>
  <c r="V208" i="8"/>
  <c r="V222" i="8"/>
  <c r="V237" i="8"/>
  <c r="V251" i="8"/>
  <c r="V265" i="8"/>
  <c r="V280" i="8"/>
  <c r="V294" i="8"/>
  <c r="L3" i="12"/>
  <c r="L5" i="12"/>
  <c r="R155" i="8"/>
  <c r="Q155" i="8"/>
  <c r="Y158" i="8"/>
  <c r="R189" i="8"/>
  <c r="Q200" i="8"/>
  <c r="R200" i="8"/>
  <c r="Q219" i="8"/>
  <c r="R230" i="8"/>
  <c r="Q233" i="8"/>
  <c r="R233" i="8"/>
  <c r="N236" i="8" a="1"/>
  <c r="N236" i="8" s="1"/>
  <c r="R240" i="8"/>
  <c r="Y244" i="8"/>
  <c r="N249" i="8" a="1"/>
  <c r="N249" i="8" s="1"/>
  <c r="P249" i="8" s="1"/>
  <c r="N255" i="8" a="1"/>
  <c r="N255" i="8" s="1"/>
  <c r="P255" i="8" s="1"/>
  <c r="N259" i="8" a="1"/>
  <c r="N259" i="8" s="1"/>
  <c r="P259" i="8" s="1"/>
  <c r="Q261" i="8"/>
  <c r="R264" i="8"/>
  <c r="Q264" i="8"/>
  <c r="R289" i="8"/>
  <c r="Q289" i="8"/>
  <c r="R293" i="8"/>
  <c r="Q293" i="8"/>
  <c r="N301" i="8" a="1"/>
  <c r="N301" i="8" s="1"/>
  <c r="P301" i="8" s="1"/>
  <c r="N84" i="8" a="1"/>
  <c r="N84" i="8" s="1"/>
  <c r="P84" i="8" s="1"/>
  <c r="W87" i="8"/>
  <c r="X87" i="8" s="1"/>
  <c r="N198" i="8" a="1"/>
  <c r="N198" i="8" s="1"/>
  <c r="P198" i="8" s="1"/>
  <c r="R206" i="8"/>
  <c r="I2" i="12" s="1"/>
  <c r="N216" i="8" a="1"/>
  <c r="N216" i="8" s="1"/>
  <c r="N224" i="8" a="1"/>
  <c r="N224" i="8" s="1"/>
  <c r="P224" i="8" s="1"/>
  <c r="Q231" i="8"/>
  <c r="R250" i="8"/>
  <c r="Q250" i="8"/>
  <c r="R256" i="8"/>
  <c r="Q256" i="8"/>
  <c r="Q260" i="8"/>
  <c r="R260" i="8"/>
  <c r="Q279" i="8"/>
  <c r="N292" i="8" a="1"/>
  <c r="N292" i="8" s="1"/>
  <c r="N203" i="8" a="1"/>
  <c r="N203" i="8" s="1"/>
  <c r="N217" i="8" a="1"/>
  <c r="N217" i="8" s="1"/>
  <c r="N225" i="8" a="1"/>
  <c r="N225" i="8" s="1"/>
  <c r="P225" i="8" s="1"/>
  <c r="N238" i="8" a="1"/>
  <c r="N238" i="8" s="1"/>
  <c r="Q283" i="8"/>
  <c r="R283" i="8"/>
  <c r="Q312" i="8"/>
  <c r="R312" i="8"/>
  <c r="N319" i="8" a="1"/>
  <c r="N319" i="8" s="1"/>
  <c r="P319" i="8" s="1"/>
  <c r="N340" i="8" a="1"/>
  <c r="N340" i="8" s="1"/>
  <c r="N347" i="8" a="1"/>
  <c r="N347" i="8" s="1"/>
  <c r="P347" i="8" s="1"/>
  <c r="N170" i="8" a="1"/>
  <c r="N170" i="8" s="1"/>
  <c r="Q263" i="8"/>
  <c r="R263" i="8"/>
  <c r="N276" i="8" a="1"/>
  <c r="N276" i="8" s="1"/>
  <c r="N297" i="8" a="1"/>
  <c r="N297" i="8" s="1"/>
  <c r="P297" i="8" s="1"/>
  <c r="R305" i="8"/>
  <c r="Q305" i="8"/>
  <c r="R324" i="8"/>
  <c r="Q324" i="8"/>
  <c r="N333" i="8" a="1"/>
  <c r="N333" i="8" s="1"/>
  <c r="N357" i="8" a="1"/>
  <c r="N357" i="8" s="1"/>
  <c r="P357" i="8" s="1"/>
  <c r="R358" i="8"/>
  <c r="Q358" i="8"/>
  <c r="Y59" i="9"/>
  <c r="W59" i="9"/>
  <c r="X59" i="9" s="1"/>
  <c r="W154" i="9"/>
  <c r="X154" i="9" s="1"/>
  <c r="Y154" i="9"/>
  <c r="Y248" i="9"/>
  <c r="W248" i="9"/>
  <c r="X248" i="9" s="1"/>
  <c r="N329" i="8" a="1"/>
  <c r="N329" i="8" s="1"/>
  <c r="R344" i="8"/>
  <c r="Q344" i="8"/>
  <c r="N354" i="8" a="1"/>
  <c r="N354" i="8" s="1"/>
  <c r="N403" i="8" a="1"/>
  <c r="N403" i="8" s="1"/>
  <c r="P403" i="8" s="1"/>
  <c r="N406" i="8" a="1"/>
  <c r="N406" i="8" s="1"/>
  <c r="P406" i="8" s="1"/>
  <c r="Q420" i="8"/>
  <c r="R420" i="8"/>
  <c r="N453" i="8" a="1"/>
  <c r="N453" i="8" s="1"/>
  <c r="R487" i="8"/>
  <c r="Q487" i="8"/>
  <c r="R318" i="8"/>
  <c r="N320" i="8" a="1"/>
  <c r="N320" i="8" s="1"/>
  <c r="R327" i="8"/>
  <c r="N339" i="8" a="1"/>
  <c r="N339" i="8" s="1"/>
  <c r="R346" i="8"/>
  <c r="Q346" i="8"/>
  <c r="N363" i="8" a="1"/>
  <c r="N363" i="8" s="1"/>
  <c r="P363" i="8" s="1"/>
  <c r="R364" i="8"/>
  <c r="Q370" i="8"/>
  <c r="R376" i="8"/>
  <c r="Q376" i="8"/>
  <c r="N389" i="8" a="1"/>
  <c r="N389" i="8" s="1"/>
  <c r="P389" i="8" s="1"/>
  <c r="R404" i="8"/>
  <c r="Q404" i="8"/>
  <c r="N501" i="8" a="1"/>
  <c r="N501" i="8" s="1"/>
  <c r="N513" i="8" a="1"/>
  <c r="N513" i="8" s="1"/>
  <c r="P513" i="8" s="1"/>
  <c r="Y65" i="9"/>
  <c r="W65" i="9"/>
  <c r="X65" i="9" s="1"/>
  <c r="W160" i="9"/>
  <c r="X160" i="9" s="1"/>
  <c r="Y160" i="9"/>
  <c r="W254" i="9"/>
  <c r="X254" i="9" s="1"/>
  <c r="Y254" i="9"/>
  <c r="N342" i="8" a="1"/>
  <c r="N342" i="8" s="1"/>
  <c r="P342" i="8" s="1"/>
  <c r="R382" i="8"/>
  <c r="Q382" i="8"/>
  <c r="N392" i="8" a="1"/>
  <c r="N392" i="8" s="1"/>
  <c r="P392" i="8" s="1"/>
  <c r="N419" i="8" a="1"/>
  <c r="N419" i="8" s="1"/>
  <c r="N442" i="8" a="1"/>
  <c r="N442" i="8" s="1"/>
  <c r="P442" i="8" s="1"/>
  <c r="N460" i="8" a="1"/>
  <c r="N460" i="8" s="1"/>
  <c r="N515" i="8" a="1"/>
  <c r="N515" i="8" s="1"/>
  <c r="R304" i="8"/>
  <c r="Q304" i="8"/>
  <c r="N325" i="8" a="1"/>
  <c r="N325" i="8" s="1"/>
  <c r="N332" i="8" a="1"/>
  <c r="N332" i="8" s="1"/>
  <c r="Q333" i="8"/>
  <c r="R333" i="8"/>
  <c r="Q417" i="8"/>
  <c r="R417" i="8"/>
  <c r="N426" i="8" a="1"/>
  <c r="N426" i="8" s="1"/>
  <c r="P426" i="8" s="1"/>
  <c r="N450" i="8" a="1"/>
  <c r="N450" i="8" s="1"/>
  <c r="N462" i="8" a="1"/>
  <c r="N462" i="8" s="1"/>
  <c r="N356" i="8" a="1"/>
  <c r="N356" i="8" s="1"/>
  <c r="Q363" i="8"/>
  <c r="R363" i="8"/>
  <c r="N397" i="8" a="1"/>
  <c r="N397" i="8" s="1"/>
  <c r="P397" i="8" s="1"/>
  <c r="N405" i="8" a="1"/>
  <c r="N405" i="8" s="1"/>
  <c r="P405" i="8" s="1"/>
  <c r="R448" i="8"/>
  <c r="Q448" i="8"/>
  <c r="R348" i="8"/>
  <c r="Q348" i="8"/>
  <c r="Q360" i="8"/>
  <c r="N402" i="8" a="1"/>
  <c r="N402" i="8" s="1"/>
  <c r="N416" i="8" a="1"/>
  <c r="N416" i="8" s="1"/>
  <c r="N447" i="8" a="1"/>
  <c r="N447" i="8" s="1"/>
  <c r="P447" i="8" s="1"/>
  <c r="N457" i="8" a="1"/>
  <c r="N457" i="8" s="1"/>
  <c r="N270" i="8" a="1"/>
  <c r="N270" i="8" s="1"/>
  <c r="P270" i="8" s="1"/>
  <c r="N282" i="8" a="1"/>
  <c r="N282" i="8" s="1"/>
  <c r="P282" i="8" s="1"/>
  <c r="R303" i="8"/>
  <c r="R313" i="8"/>
  <c r="R366" i="8"/>
  <c r="N368" i="8" a="1"/>
  <c r="N368" i="8" s="1"/>
  <c r="R400" i="8"/>
  <c r="N407" i="8" a="1"/>
  <c r="N407" i="8" s="1"/>
  <c r="P407" i="8" s="1"/>
  <c r="N507" i="8" a="1"/>
  <c r="N507" i="8" s="1"/>
  <c r="N281" i="8" a="1"/>
  <c r="N281" i="8" s="1"/>
  <c r="P281" i="8" s="1"/>
  <c r="N300" i="8" a="1"/>
  <c r="N300" i="8" s="1"/>
  <c r="P300" i="8" s="1"/>
  <c r="Q345" i="8"/>
  <c r="R345" i="8"/>
  <c r="N355" i="8" a="1"/>
  <c r="N355" i="8" s="1"/>
  <c r="R375" i="8"/>
  <c r="Q375" i="8"/>
  <c r="N380" i="8" a="1"/>
  <c r="N380" i="8" s="1"/>
  <c r="P380" i="8" s="1"/>
  <c r="Q381" i="8"/>
  <c r="R381" i="8"/>
  <c r="N428" i="8" a="1"/>
  <c r="N428" i="8" s="1"/>
  <c r="P428" i="8" s="1"/>
  <c r="N527" i="8" a="1"/>
  <c r="N527" i="8" s="1"/>
  <c r="N349" i="8" a="1"/>
  <c r="N349" i="8" s="1"/>
  <c r="P349" i="8" s="1"/>
  <c r="N352" i="8" a="1"/>
  <c r="N352" i="8" s="1"/>
  <c r="R356" i="8"/>
  <c r="Q356" i="8"/>
  <c r="N361" i="8" a="1"/>
  <c r="N361" i="8" s="1"/>
  <c r="P361" i="8" s="1"/>
  <c r="N387" i="8" a="1"/>
  <c r="N387" i="8" s="1"/>
  <c r="P387" i="8" s="1"/>
  <c r="L7" i="12"/>
  <c r="Q241" i="8"/>
  <c r="Q244" i="8"/>
  <c r="Q246" i="8"/>
  <c r="R350" i="8"/>
  <c r="Q350" i="8"/>
  <c r="N404" i="8" a="1"/>
  <c r="N404" i="8" s="1"/>
  <c r="P404" i="8" s="1"/>
  <c r="N415" i="8" a="1"/>
  <c r="N415" i="8" s="1"/>
  <c r="R452" i="8"/>
  <c r="Q452" i="8"/>
  <c r="R464" i="8"/>
  <c r="Q464" i="8"/>
  <c r="N487" i="8" a="1"/>
  <c r="N487" i="8" s="1"/>
  <c r="Q505" i="8"/>
  <c r="R505" i="8"/>
  <c r="N382" i="8" a="1"/>
  <c r="N382" i="8" s="1"/>
  <c r="P382" i="8" s="1"/>
  <c r="N409" i="8" a="1"/>
  <c r="N409" i="8" s="1"/>
  <c r="P409" i="8" s="1"/>
  <c r="R428" i="8"/>
  <c r="Q428" i="8"/>
  <c r="N265" i="8" a="1"/>
  <c r="N265" i="8" s="1"/>
  <c r="N316" i="8" a="1"/>
  <c r="N316" i="8" s="1"/>
  <c r="N345" i="8" a="1"/>
  <c r="N345" i="8" s="1"/>
  <c r="P345" i="8" s="1"/>
  <c r="N364" i="8" a="1"/>
  <c r="N364" i="8" s="1"/>
  <c r="P364" i="8" s="1"/>
  <c r="N373" i="8" a="1"/>
  <c r="N373" i="8" s="1"/>
  <c r="P373" i="8" s="1"/>
  <c r="N381" i="8" a="1"/>
  <c r="N381" i="8" s="1"/>
  <c r="P381" i="8" s="1"/>
  <c r="Q383" i="8"/>
  <c r="R397" i="8"/>
  <c r="N430" i="8" a="1"/>
  <c r="N430" i="8" s="1"/>
  <c r="P430" i="8" s="1"/>
  <c r="R431" i="8"/>
  <c r="Q431" i="8"/>
  <c r="R461" i="8"/>
  <c r="H6" i="12" s="1"/>
  <c r="Q461" i="8"/>
  <c r="R478" i="8"/>
  <c r="Q478" i="8"/>
  <c r="N505" i="8" a="1"/>
  <c r="N505" i="8" s="1"/>
  <c r="Q514" i="8"/>
  <c r="N539" i="8" a="1"/>
  <c r="N539" i="8" s="1"/>
  <c r="P539" i="8" s="1"/>
  <c r="Y42" i="9"/>
  <c r="W42" i="9"/>
  <c r="X42" i="9" s="1"/>
  <c r="W136" i="9"/>
  <c r="X136" i="9" s="1"/>
  <c r="Y136" i="9"/>
  <c r="Y230" i="9"/>
  <c r="W230" i="9"/>
  <c r="X230" i="9" s="1"/>
  <c r="N52" i="9" a="1"/>
  <c r="N52" i="9" s="1"/>
  <c r="P52" i="9" s="1"/>
  <c r="R52" i="9" s="1"/>
  <c r="N14" i="9" a="1"/>
  <c r="N14" i="9" s="1"/>
  <c r="P14" i="9" s="1"/>
  <c r="R14" i="9" s="1"/>
  <c r="AQ18" i="9"/>
  <c r="AO18" i="9"/>
  <c r="AP18" i="9" s="1"/>
  <c r="N244" i="8" a="1"/>
  <c r="N244" i="8" s="1"/>
  <c r="N246" i="8" a="1"/>
  <c r="N246" i="8" s="1"/>
  <c r="P246" i="8" s="1"/>
  <c r="N288" i="8" a="1"/>
  <c r="N288" i="8" s="1"/>
  <c r="Q321" i="8"/>
  <c r="R321" i="8"/>
  <c r="R361" i="8"/>
  <c r="Q369" i="8"/>
  <c r="R369" i="8"/>
  <c r="N390" i="8" a="1"/>
  <c r="N390" i="8" s="1"/>
  <c r="N466" i="8" a="1"/>
  <c r="N466" i="8" s="1"/>
  <c r="N486" i="8" a="1"/>
  <c r="N486" i="8" s="1"/>
  <c r="W64" i="9"/>
  <c r="X64" i="9" s="1"/>
  <c r="Y64" i="9"/>
  <c r="W159" i="9"/>
  <c r="X159" i="9" s="1"/>
  <c r="Y159" i="9"/>
  <c r="W252" i="9"/>
  <c r="X252" i="9" s="1"/>
  <c r="Y252" i="9"/>
  <c r="Y17" i="9"/>
  <c r="N504" i="8" a="1"/>
  <c r="N504" i="8" s="1"/>
  <c r="W82" i="9"/>
  <c r="X82" i="9" s="1"/>
  <c r="Y82" i="9"/>
  <c r="Y176" i="9"/>
  <c r="W176" i="9"/>
  <c r="X176" i="9" s="1"/>
  <c r="Y271" i="9"/>
  <c r="W271" i="9"/>
  <c r="X271" i="9" s="1"/>
  <c r="N393" i="8" a="1"/>
  <c r="N393" i="8" s="1"/>
  <c r="P393" i="8" s="1"/>
  <c r="N429" i="8" a="1"/>
  <c r="N429" i="8" s="1"/>
  <c r="P429" i="8" s="1"/>
  <c r="N468" i="8" a="1"/>
  <c r="N468" i="8" s="1"/>
  <c r="R495" i="8"/>
  <c r="Q495" i="8"/>
  <c r="R502" i="8"/>
  <c r="R536" i="8"/>
  <c r="Q536" i="8"/>
  <c r="N543" i="8" a="1"/>
  <c r="N543" i="8" s="1"/>
  <c r="P543" i="8" s="1"/>
  <c r="W88" i="9"/>
  <c r="X88" i="9" s="1"/>
  <c r="Y88" i="9"/>
  <c r="W182" i="9"/>
  <c r="X182" i="9" s="1"/>
  <c r="Y182" i="9"/>
  <c r="W276" i="9"/>
  <c r="X276" i="9" s="1"/>
  <c r="Y276" i="9"/>
  <c r="N24" i="9" a="1"/>
  <c r="N24" i="9" s="1"/>
  <c r="P24" i="9" s="1"/>
  <c r="R24" i="9" s="1"/>
  <c r="N40" i="9" a="1"/>
  <c r="N40" i="9" s="1"/>
  <c r="P40" i="9" s="1"/>
  <c r="R40" i="9" s="1"/>
  <c r="N252" i="8" a="1"/>
  <c r="N252" i="8" s="1"/>
  <c r="N294" i="8" a="1"/>
  <c r="N294" i="8" s="1"/>
  <c r="Q320" i="8"/>
  <c r="N328" i="8" a="1"/>
  <c r="N328" i="8" s="1"/>
  <c r="Q334" i="8"/>
  <c r="Q368" i="8"/>
  <c r="R394" i="8"/>
  <c r="Q394" i="8"/>
  <c r="R406" i="8"/>
  <c r="Q406" i="8"/>
  <c r="R433" i="8"/>
  <c r="Q433" i="8"/>
  <c r="Q444" i="8"/>
  <c r="R444" i="8"/>
  <c r="N459" i="8" a="1"/>
  <c r="N459" i="8" s="1"/>
  <c r="P459" i="8" s="1"/>
  <c r="Q460" i="8"/>
  <c r="Q466" i="8"/>
  <c r="N491" i="8" a="1"/>
  <c r="N491" i="8" s="1"/>
  <c r="P491" i="8" s="1"/>
  <c r="Y305" i="9"/>
  <c r="W305" i="9"/>
  <c r="X305" i="9" s="1"/>
  <c r="W89" i="9"/>
  <c r="X89" i="9" s="1"/>
  <c r="Y89" i="9"/>
  <c r="W183" i="9"/>
  <c r="X183" i="9" s="1"/>
  <c r="Y183" i="9"/>
  <c r="W278" i="9"/>
  <c r="X278" i="9" s="1"/>
  <c r="Y278" i="9"/>
  <c r="N43" i="9" a="1"/>
  <c r="N43" i="9" s="1"/>
  <c r="P43" i="9" s="1"/>
  <c r="R43" i="9" s="1"/>
  <c r="Q386" i="8"/>
  <c r="Q423" i="8"/>
  <c r="R426" i="8"/>
  <c r="Q426" i="8"/>
  <c r="Q462" i="8"/>
  <c r="R462" i="8"/>
  <c r="R479" i="8"/>
  <c r="Q479" i="8"/>
  <c r="N481" i="8" a="1"/>
  <c r="N481" i="8" s="1"/>
  <c r="N485" i="8" a="1"/>
  <c r="N485" i="8" s="1"/>
  <c r="P485" i="8" s="1"/>
  <c r="Q492" i="8"/>
  <c r="R492" i="8"/>
  <c r="Q524" i="8"/>
  <c r="N535" i="8" a="1"/>
  <c r="N535" i="8" s="1"/>
  <c r="P535" i="8" s="1"/>
  <c r="Y12" i="9"/>
  <c r="W12" i="9"/>
  <c r="X12" i="9" s="1"/>
  <c r="W107" i="9"/>
  <c r="X107" i="9" s="1"/>
  <c r="Y107" i="9"/>
  <c r="Y201" i="9"/>
  <c r="W201" i="9"/>
  <c r="X201" i="9" s="1"/>
  <c r="Y295" i="9"/>
  <c r="W295" i="9"/>
  <c r="X295" i="9" s="1"/>
  <c r="N375" i="8" a="1"/>
  <c r="N375" i="8" s="1"/>
  <c r="P375" i="8" s="1"/>
  <c r="N388" i="8" a="1"/>
  <c r="N388" i="8" s="1"/>
  <c r="P388" i="8" s="1"/>
  <c r="R409" i="8"/>
  <c r="Q409" i="8"/>
  <c r="N418" i="8" a="1"/>
  <c r="N418" i="8" s="1"/>
  <c r="N435" i="8" a="1"/>
  <c r="N435" i="8" s="1"/>
  <c r="Q453" i="8"/>
  <c r="R453" i="8"/>
  <c r="N471" i="8" a="1"/>
  <c r="N471" i="8" s="1"/>
  <c r="Q476" i="8"/>
  <c r="N478" i="8" a="1"/>
  <c r="N478" i="8" s="1"/>
  <c r="P478" i="8" s="1"/>
  <c r="N500" i="8" a="1"/>
  <c r="N500" i="8" s="1"/>
  <c r="N514" i="8" a="1"/>
  <c r="N514" i="8" s="1"/>
  <c r="N520" i="8" a="1"/>
  <c r="N520" i="8" s="1"/>
  <c r="N529" i="8" a="1"/>
  <c r="N529" i="8" s="1"/>
  <c r="P529" i="8" s="1"/>
  <c r="N540" i="8" a="1"/>
  <c r="N540" i="8" s="1"/>
  <c r="P540" i="8" s="1"/>
  <c r="Y111" i="9"/>
  <c r="W111" i="9"/>
  <c r="X111" i="9" s="1"/>
  <c r="Y206" i="9"/>
  <c r="W206" i="9"/>
  <c r="X206" i="9" s="1"/>
  <c r="Y299" i="9"/>
  <c r="W299" i="9"/>
  <c r="X299" i="9" s="1"/>
  <c r="N72" i="9" a="1"/>
  <c r="N72" i="9" s="1"/>
  <c r="P72" i="9" s="1"/>
  <c r="R72" i="9" s="1"/>
  <c r="Q385" i="8"/>
  <c r="Q398" i="8"/>
  <c r="R429" i="8"/>
  <c r="N438" i="8" a="1"/>
  <c r="N438" i="8" s="1"/>
  <c r="P438" i="8" s="1"/>
  <c r="Q440" i="8"/>
  <c r="Q450" i="8"/>
  <c r="Q459" i="8"/>
  <c r="R459" i="8"/>
  <c r="N461" i="8" a="1"/>
  <c r="N461" i="8" s="1"/>
  <c r="R497" i="8"/>
  <c r="Q497" i="8"/>
  <c r="N508" i="8" a="1"/>
  <c r="N508" i="8" s="1"/>
  <c r="Y18" i="9"/>
  <c r="W18" i="9"/>
  <c r="X18" i="9" s="1"/>
  <c r="Y112" i="9"/>
  <c r="W112" i="9"/>
  <c r="X112" i="9" s="1"/>
  <c r="W207" i="9"/>
  <c r="X207" i="9" s="1"/>
  <c r="Y207" i="9"/>
  <c r="W300" i="9"/>
  <c r="X300" i="9" s="1"/>
  <c r="Y300" i="9"/>
  <c r="N5" i="9" a="1"/>
  <c r="N5" i="9" s="1"/>
  <c r="P5" i="9" s="1"/>
  <c r="R5" i="9" s="1"/>
  <c r="N17" i="9" a="1"/>
  <c r="N17" i="9" s="1"/>
  <c r="P17" i="9" s="1"/>
  <c r="R17" i="9" s="1"/>
  <c r="N306" i="8" a="1"/>
  <c r="N306" i="8" s="1"/>
  <c r="P306" i="8" s="1"/>
  <c r="N327" i="8" a="1"/>
  <c r="N327" i="8" s="1"/>
  <c r="N400" i="8" a="1"/>
  <c r="N400" i="8" s="1"/>
  <c r="N452" i="8" a="1"/>
  <c r="N452" i="8" s="1"/>
  <c r="P452" i="8" s="1"/>
  <c r="Q488" i="8"/>
  <c r="R488" i="8"/>
  <c r="Q506" i="8"/>
  <c r="W35" i="9"/>
  <c r="X35" i="9" s="1"/>
  <c r="Y35" i="9"/>
  <c r="W129" i="9"/>
  <c r="X129" i="9" s="1"/>
  <c r="Y129" i="9"/>
  <c r="Y224" i="9"/>
  <c r="W224" i="9"/>
  <c r="X224" i="9" s="1"/>
  <c r="N37" i="9" a="1"/>
  <c r="N37" i="9" s="1"/>
  <c r="P37" i="9" s="1"/>
  <c r="R37" i="9" s="1"/>
  <c r="N45" i="9" a="1"/>
  <c r="N45" i="9" s="1"/>
  <c r="P45" i="9" s="1"/>
  <c r="R45" i="9" s="1"/>
  <c r="N424" i="8" a="1"/>
  <c r="N424" i="8" s="1"/>
  <c r="P424" i="8" s="1"/>
  <c r="N448" i="8" a="1"/>
  <c r="N448" i="8" s="1"/>
  <c r="P448" i="8" s="1"/>
  <c r="Q471" i="8"/>
  <c r="R471" i="8"/>
  <c r="G6" i="12" s="1"/>
  <c r="N511" i="8" a="1"/>
  <c r="N511" i="8" s="1"/>
  <c r="N542" i="8" a="1"/>
  <c r="N542" i="8" s="1"/>
  <c r="P542" i="8" s="1"/>
  <c r="Y41" i="9"/>
  <c r="W41" i="9"/>
  <c r="X41" i="9" s="1"/>
  <c r="Y135" i="9"/>
  <c r="W135" i="9"/>
  <c r="X135" i="9" s="1"/>
  <c r="Y228" i="9"/>
  <c r="W228" i="9"/>
  <c r="X228" i="9" s="1"/>
  <c r="N8" i="9" a="1"/>
  <c r="N8" i="9" s="1"/>
  <c r="P8" i="9" s="1"/>
  <c r="R8" i="9" s="1"/>
  <c r="N11" i="9" a="1"/>
  <c r="N11" i="9" s="1"/>
  <c r="P11" i="9" s="1"/>
  <c r="R11" i="9" s="1"/>
  <c r="N56" i="9" a="1"/>
  <c r="N56" i="9" s="1"/>
  <c r="P56" i="9" s="1"/>
  <c r="R56" i="9" s="1"/>
  <c r="N73" i="9" a="1"/>
  <c r="N73" i="9" s="1"/>
  <c r="P73" i="9" s="1"/>
  <c r="R73" i="9" s="1"/>
  <c r="N77" i="9" a="1"/>
  <c r="N77" i="9" s="1"/>
  <c r="P77" i="9" s="1"/>
  <c r="R77" i="9" s="1"/>
  <c r="N89" i="9" a="1"/>
  <c r="N89" i="9" s="1"/>
  <c r="P89" i="9" s="1"/>
  <c r="R89" i="9" s="1"/>
  <c r="N108" i="9" a="1"/>
  <c r="N108" i="9" s="1"/>
  <c r="P108" i="9" s="1"/>
  <c r="R108" i="9" s="1"/>
  <c r="N113" i="9" a="1"/>
  <c r="N113" i="9" s="1"/>
  <c r="P113" i="9" s="1"/>
  <c r="R113" i="9" s="1"/>
  <c r="N145" i="9" a="1"/>
  <c r="N145" i="9" s="1"/>
  <c r="P145" i="9" s="1"/>
  <c r="R145" i="9" s="1"/>
  <c r="N526" i="8" a="1"/>
  <c r="N526" i="8" s="1"/>
  <c r="V16" i="9"/>
  <c r="V38" i="9"/>
  <c r="V63" i="9"/>
  <c r="V84" i="9"/>
  <c r="V110" i="9"/>
  <c r="V132" i="9"/>
  <c r="V156" i="9"/>
  <c r="V179" i="9"/>
  <c r="V203" i="9"/>
  <c r="V226" i="9"/>
  <c r="V251" i="9"/>
  <c r="V273" i="9"/>
  <c r="V298" i="9"/>
  <c r="N4" i="9" a="1"/>
  <c r="N4" i="9" s="1"/>
  <c r="P4" i="9" s="1"/>
  <c r="R4" i="9" s="1"/>
  <c r="N29" i="9" a="1"/>
  <c r="N29" i="9" s="1"/>
  <c r="P29" i="9" s="1"/>
  <c r="R29" i="9" s="1"/>
  <c r="N38" i="9" a="1"/>
  <c r="N38" i="9" s="1"/>
  <c r="P38" i="9" s="1"/>
  <c r="R38" i="9" s="1"/>
  <c r="N54" i="9" a="1"/>
  <c r="N54" i="9" s="1"/>
  <c r="P54" i="9" s="1"/>
  <c r="R54" i="9" s="1"/>
  <c r="N65" i="9" a="1"/>
  <c r="N65" i="9" s="1"/>
  <c r="P65" i="9" s="1"/>
  <c r="R65" i="9" s="1"/>
  <c r="N75" i="9" a="1"/>
  <c r="N75" i="9" s="1"/>
  <c r="P75" i="9" s="1"/>
  <c r="R75" i="9" s="1"/>
  <c r="N82" i="9" a="1"/>
  <c r="N82" i="9" s="1"/>
  <c r="P82" i="9" s="1"/>
  <c r="R82" i="9" s="1"/>
  <c r="AO96" i="9"/>
  <c r="AP96" i="9" s="1"/>
  <c r="N120" i="9" a="1"/>
  <c r="N120" i="9" s="1"/>
  <c r="P120" i="9" s="1"/>
  <c r="R120" i="9" s="1"/>
  <c r="N144" i="9" a="1"/>
  <c r="N144" i="9" s="1"/>
  <c r="P144" i="9" s="1"/>
  <c r="R144" i="9" s="1"/>
  <c r="N47" i="9" a="1"/>
  <c r="N47" i="9" s="1"/>
  <c r="P47" i="9" s="1"/>
  <c r="R47" i="9" s="1"/>
  <c r="N48" i="9" a="1"/>
  <c r="N48" i="9" s="1"/>
  <c r="P48" i="9" s="1"/>
  <c r="R48" i="9" s="1"/>
  <c r="N49" i="9" a="1"/>
  <c r="N49" i="9" s="1"/>
  <c r="P49" i="9" s="1"/>
  <c r="R49" i="9" s="1"/>
  <c r="N51" i="9" a="1"/>
  <c r="N51" i="9" s="1"/>
  <c r="P51" i="9" s="1"/>
  <c r="R51" i="9" s="1"/>
  <c r="N68" i="9" a="1"/>
  <c r="N68" i="9" s="1"/>
  <c r="P68" i="9" s="1"/>
  <c r="R68" i="9" s="1"/>
  <c r="N71" i="9" a="1"/>
  <c r="N71" i="9" s="1"/>
  <c r="P71" i="9" s="1"/>
  <c r="R71" i="9" s="1"/>
  <c r="AQ79" i="9"/>
  <c r="AO79" i="9"/>
  <c r="AP79" i="9" s="1"/>
  <c r="AO84" i="9"/>
  <c r="AP84" i="9" s="1"/>
  <c r="AQ84" i="9"/>
  <c r="N16" i="9" a="1"/>
  <c r="N16" i="9" s="1"/>
  <c r="P16" i="9" s="1"/>
  <c r="R16" i="9" s="1"/>
  <c r="N42" i="9" a="1"/>
  <c r="N42" i="9" s="1"/>
  <c r="P42" i="9" s="1"/>
  <c r="R42" i="9" s="1"/>
  <c r="N74" i="9" a="1"/>
  <c r="N74" i="9" s="1"/>
  <c r="P74" i="9" s="1"/>
  <c r="R74" i="9" s="1"/>
  <c r="N107" i="9" a="1"/>
  <c r="N107" i="9" s="1"/>
  <c r="P107" i="9" s="1"/>
  <c r="R107" i="9" s="1"/>
  <c r="N112" i="9" a="1"/>
  <c r="N112" i="9" s="1"/>
  <c r="P112" i="9" s="1"/>
  <c r="R112" i="9" s="1"/>
  <c r="N119" i="9" a="1"/>
  <c r="N119" i="9" s="1"/>
  <c r="P119" i="9" s="1"/>
  <c r="R119" i="9" s="1"/>
  <c r="N318" i="8" a="1"/>
  <c r="N318" i="8" s="1"/>
  <c r="N366" i="8" a="1"/>
  <c r="N366" i="8" s="1"/>
  <c r="N414" i="8" a="1"/>
  <c r="N414" i="8" s="1"/>
  <c r="N436" i="8" a="1"/>
  <c r="N436" i="8" s="1"/>
  <c r="N441" i="8" a="1"/>
  <c r="N441" i="8" s="1"/>
  <c r="P441" i="8" s="1"/>
  <c r="N512" i="8" a="1"/>
  <c r="N512" i="8" s="1"/>
  <c r="N516" i="8" a="1"/>
  <c r="N516" i="8" s="1"/>
  <c r="V19" i="9"/>
  <c r="V44" i="9"/>
  <c r="V67" i="9"/>
  <c r="V91" i="9"/>
  <c r="V114" i="9"/>
  <c r="V138" i="9"/>
  <c r="V161" i="9"/>
  <c r="V186" i="9"/>
  <c r="V208" i="9"/>
  <c r="V233" i="9"/>
  <c r="V255" i="9"/>
  <c r="V280" i="9"/>
  <c r="V303" i="9"/>
  <c r="N15" i="9" a="1"/>
  <c r="N15" i="9" s="1"/>
  <c r="P15" i="9" s="1"/>
  <c r="R15" i="9" s="1"/>
  <c r="N39" i="9" a="1"/>
  <c r="N39" i="9" s="1"/>
  <c r="P39" i="9" s="1"/>
  <c r="R39" i="9" s="1"/>
  <c r="N41" i="9" a="1"/>
  <c r="N41" i="9" s="1"/>
  <c r="P41" i="9" s="1"/>
  <c r="R41" i="9" s="1"/>
  <c r="N494" i="8" a="1"/>
  <c r="N494" i="8" s="1"/>
  <c r="N499" i="8" a="1"/>
  <c r="N499" i="8" s="1"/>
  <c r="N538" i="8" a="1"/>
  <c r="N538" i="8" s="1"/>
  <c r="P538" i="8" s="1"/>
  <c r="V22" i="9"/>
  <c r="V46" i="9"/>
  <c r="V69" i="9"/>
  <c r="V94" i="9"/>
  <c r="V116" i="9"/>
  <c r="V141" i="9"/>
  <c r="V163" i="9"/>
  <c r="V188" i="9"/>
  <c r="V211" i="9"/>
  <c r="V235" i="9"/>
  <c r="V258" i="9"/>
  <c r="V282" i="9"/>
  <c r="AQ33" i="9"/>
  <c r="AO33" i="9"/>
  <c r="AP33" i="9" s="1"/>
  <c r="AQ36" i="9"/>
  <c r="AO36" i="9"/>
  <c r="AP36" i="9" s="1"/>
  <c r="N46" i="9" a="1"/>
  <c r="N46" i="9" s="1"/>
  <c r="P46" i="9" s="1"/>
  <c r="R46" i="9" s="1"/>
  <c r="N50" i="9" a="1"/>
  <c r="N50" i="9" s="1"/>
  <c r="P50" i="9" s="1"/>
  <c r="R50" i="9" s="1"/>
  <c r="N61" i="9" a="1"/>
  <c r="N61" i="9" s="1"/>
  <c r="P61" i="9" s="1"/>
  <c r="R61" i="9" s="1"/>
  <c r="N63" i="9" a="1"/>
  <c r="N63" i="9" s="1"/>
  <c r="P63" i="9" s="1"/>
  <c r="R63" i="9" s="1"/>
  <c r="AO78" i="9"/>
  <c r="AP78" i="9" s="1"/>
  <c r="N81" i="9" a="1"/>
  <c r="N81" i="9" s="1"/>
  <c r="P81" i="9" s="1"/>
  <c r="R81" i="9" s="1"/>
  <c r="V301" i="9"/>
  <c r="V289" i="9"/>
  <c r="V277" i="9"/>
  <c r="V265" i="9"/>
  <c r="V253" i="9"/>
  <c r="V241" i="9"/>
  <c r="V229" i="9"/>
  <c r="V217" i="9"/>
  <c r="V205" i="9"/>
  <c r="V193" i="9"/>
  <c r="V181" i="9"/>
  <c r="V169" i="9"/>
  <c r="V157" i="9"/>
  <c r="V145" i="9"/>
  <c r="V133" i="9"/>
  <c r="V121" i="9"/>
  <c r="V109" i="9"/>
  <c r="V97" i="9"/>
  <c r="V85" i="9"/>
  <c r="V73" i="9"/>
  <c r="V61" i="9"/>
  <c r="V49" i="9"/>
  <c r="V37" i="9"/>
  <c r="V25" i="9"/>
  <c r="V13" i="9"/>
  <c r="V2" i="9"/>
  <c r="V296" i="9"/>
  <c r="V283" i="9"/>
  <c r="V270" i="9"/>
  <c r="V257" i="9"/>
  <c r="V244" i="9"/>
  <c r="V231" i="9"/>
  <c r="V218" i="9"/>
  <c r="V204" i="9"/>
  <c r="V191" i="9"/>
  <c r="V178" i="9"/>
  <c r="V165" i="9"/>
  <c r="V152" i="9"/>
  <c r="V139" i="9"/>
  <c r="V126" i="9"/>
  <c r="V113" i="9"/>
  <c r="V100" i="9"/>
  <c r="V87" i="9"/>
  <c r="V74" i="9"/>
  <c r="V60" i="9"/>
  <c r="V47" i="9"/>
  <c r="V34" i="9"/>
  <c r="V21" i="9"/>
  <c r="V8" i="9"/>
  <c r="V302" i="9"/>
  <c r="V288" i="9"/>
  <c r="V275" i="9"/>
  <c r="V262" i="9"/>
  <c r="V249" i="9"/>
  <c r="V236" i="9"/>
  <c r="V223" i="9"/>
  <c r="V210" i="9"/>
  <c r="V197" i="9"/>
  <c r="V184" i="9"/>
  <c r="V171" i="9"/>
  <c r="V158" i="9"/>
  <c r="V144" i="9"/>
  <c r="V131" i="9"/>
  <c r="V118" i="9"/>
  <c r="V105" i="9"/>
  <c r="V92" i="9"/>
  <c r="V79" i="9"/>
  <c r="V66" i="9"/>
  <c r="V53" i="9"/>
  <c r="V40" i="9"/>
  <c r="V27" i="9"/>
  <c r="V14" i="9"/>
  <c r="V297" i="9"/>
  <c r="V281" i="9"/>
  <c r="V266" i="9"/>
  <c r="V250" i="9"/>
  <c r="V234" i="9"/>
  <c r="V219" i="9"/>
  <c r="V202" i="9"/>
  <c r="V187" i="9"/>
  <c r="V172" i="9"/>
  <c r="V155" i="9"/>
  <c r="V140" i="9"/>
  <c r="V124" i="9"/>
  <c r="V108" i="9"/>
  <c r="V93" i="9"/>
  <c r="V77" i="9"/>
  <c r="V62" i="9"/>
  <c r="V45" i="9"/>
  <c r="V30" i="9"/>
  <c r="V15" i="9"/>
  <c r="V294" i="9"/>
  <c r="V279" i="9"/>
  <c r="V263" i="9"/>
  <c r="V247" i="9"/>
  <c r="V232" i="9"/>
  <c r="V215" i="9"/>
  <c r="V200" i="9"/>
  <c r="V185" i="9"/>
  <c r="V168" i="9"/>
  <c r="V153" i="9"/>
  <c r="V137" i="9"/>
  <c r="V122" i="9"/>
  <c r="V106" i="9"/>
  <c r="V90" i="9"/>
  <c r="V75" i="9"/>
  <c r="V58" i="9"/>
  <c r="V43" i="9"/>
  <c r="V28" i="9"/>
  <c r="V11" i="9"/>
  <c r="V306" i="9"/>
  <c r="V291" i="9"/>
  <c r="V274" i="9"/>
  <c r="V259" i="9"/>
  <c r="V243" i="9"/>
  <c r="V227" i="9"/>
  <c r="V212" i="9"/>
  <c r="V196" i="9"/>
  <c r="V180" i="9"/>
  <c r="V164" i="9"/>
  <c r="V149" i="9"/>
  <c r="V134" i="9"/>
  <c r="V117" i="9"/>
  <c r="V102" i="9"/>
  <c r="V86" i="9"/>
  <c r="V70" i="9"/>
  <c r="V55" i="9"/>
  <c r="V39" i="9"/>
  <c r="V23" i="9"/>
  <c r="V7" i="9"/>
  <c r="V304" i="9"/>
  <c r="V287" i="9"/>
  <c r="V272" i="9"/>
  <c r="V256" i="9"/>
  <c r="V240" i="9"/>
  <c r="V225" i="9"/>
  <c r="V209" i="9"/>
  <c r="V194" i="9"/>
  <c r="V177" i="9"/>
  <c r="V162" i="9"/>
  <c r="V147" i="9"/>
  <c r="V130" i="9"/>
  <c r="V115" i="9"/>
  <c r="V99" i="9"/>
  <c r="V83" i="9"/>
  <c r="V68" i="9"/>
  <c r="V52" i="9"/>
  <c r="V36" i="9"/>
  <c r="V20" i="9"/>
  <c r="V5" i="9"/>
  <c r="V24" i="9"/>
  <c r="V48" i="9"/>
  <c r="V71" i="9"/>
  <c r="V95" i="9"/>
  <c r="V119" i="9"/>
  <c r="V142" i="9"/>
  <c r="V166" i="9"/>
  <c r="V189" i="9"/>
  <c r="V213" i="9"/>
  <c r="V237" i="9"/>
  <c r="V260" i="9"/>
  <c r="V284" i="9"/>
  <c r="AQ35" i="9"/>
  <c r="AO35" i="9"/>
  <c r="AP35" i="9" s="1"/>
  <c r="N59" i="9" a="1"/>
  <c r="N59" i="9" s="1"/>
  <c r="P59" i="9" s="1"/>
  <c r="R59" i="9" s="1"/>
  <c r="N64" i="9" a="1"/>
  <c r="N64" i="9" s="1"/>
  <c r="P64" i="9" s="1"/>
  <c r="R64" i="9" s="1"/>
  <c r="AQ82" i="9"/>
  <c r="AO82" i="9"/>
  <c r="AP82" i="9" s="1"/>
  <c r="N91" i="9" a="1"/>
  <c r="N91" i="9" s="1"/>
  <c r="P91" i="9" s="1"/>
  <c r="R91" i="9" s="1"/>
  <c r="N97" i="9" a="1"/>
  <c r="N97" i="9" s="1"/>
  <c r="P97" i="9" s="1"/>
  <c r="R97" i="9" s="1"/>
  <c r="N101" i="9" a="1"/>
  <c r="N101" i="9" s="1"/>
  <c r="P101" i="9" s="1"/>
  <c r="R101" i="9" s="1"/>
  <c r="L8" i="12"/>
  <c r="N258" i="8" a="1"/>
  <c r="N258" i="8" s="1"/>
  <c r="P258" i="8" s="1"/>
  <c r="N330" i="8" a="1"/>
  <c r="N330" i="8" s="1"/>
  <c r="N378" i="8" a="1"/>
  <c r="N378" i="8" s="1"/>
  <c r="N480" i="8" a="1"/>
  <c r="N480" i="8" s="1"/>
  <c r="P480" i="8" s="1"/>
  <c r="R521" i="8"/>
  <c r="Q535" i="8"/>
  <c r="R535" i="8"/>
  <c r="V3" i="9"/>
  <c r="V26" i="9"/>
  <c r="V50" i="9"/>
  <c r="V72" i="9"/>
  <c r="V96" i="9"/>
  <c r="V120" i="9"/>
  <c r="V143" i="9"/>
  <c r="V167" i="9"/>
  <c r="V190" i="9"/>
  <c r="V214" i="9"/>
  <c r="V238" i="9"/>
  <c r="V261" i="9"/>
  <c r="V285" i="9"/>
  <c r="AO12" i="9"/>
  <c r="AP12" i="9" s="1"/>
  <c r="AQ13" i="9"/>
  <c r="AO13" i="9"/>
  <c r="AP13" i="9" s="1"/>
  <c r="N18" i="9" a="1"/>
  <c r="N18" i="9" s="1"/>
  <c r="P18" i="9" s="1"/>
  <c r="R18" i="9" s="1"/>
  <c r="AQ32" i="9"/>
  <c r="AO32" i="9"/>
  <c r="AP32" i="9" s="1"/>
  <c r="AQ55" i="9"/>
  <c r="N80" i="9" a="1"/>
  <c r="N80" i="9" s="1"/>
  <c r="P80" i="9" s="1"/>
  <c r="R80" i="9" s="1"/>
  <c r="N85" i="9" a="1"/>
  <c r="N85" i="9" s="1"/>
  <c r="P85" i="9" s="1"/>
  <c r="R85" i="9" s="1"/>
  <c r="AQ88" i="9"/>
  <c r="AO88" i="9"/>
  <c r="AP88" i="9" s="1"/>
  <c r="N111" i="9" a="1"/>
  <c r="N111" i="9" s="1"/>
  <c r="P111" i="9" s="1"/>
  <c r="R111" i="9" s="1"/>
  <c r="N122" i="9" a="1"/>
  <c r="N122" i="9" s="1"/>
  <c r="P122" i="9" s="1"/>
  <c r="R122" i="9" s="1"/>
  <c r="N412" i="8" a="1"/>
  <c r="N412" i="8" s="1"/>
  <c r="N417" i="8" a="1"/>
  <c r="N417" i="8" s="1"/>
  <c r="N502" i="8" a="1"/>
  <c r="N502" i="8" s="1"/>
  <c r="P502" i="8" s="1"/>
  <c r="R530" i="8"/>
  <c r="Q530" i="8"/>
  <c r="V4" i="9"/>
  <c r="V29" i="9"/>
  <c r="V51" i="9"/>
  <c r="V76" i="9"/>
  <c r="V98" i="9"/>
  <c r="V123" i="9"/>
  <c r="V146" i="9"/>
  <c r="V170" i="9"/>
  <c r="V192" i="9"/>
  <c r="V216" i="9"/>
  <c r="V239" i="9"/>
  <c r="V264" i="9"/>
  <c r="V286" i="9"/>
  <c r="N10" i="9" a="1"/>
  <c r="N10" i="9" s="1"/>
  <c r="P10" i="9" s="1"/>
  <c r="R10" i="9" s="1"/>
  <c r="AQ20" i="9"/>
  <c r="AO20" i="9"/>
  <c r="AP20" i="9" s="1"/>
  <c r="AQ21" i="9"/>
  <c r="AO21" i="9"/>
  <c r="AP21" i="9" s="1"/>
  <c r="N28" i="9" a="1"/>
  <c r="N28" i="9" s="1"/>
  <c r="P28" i="9" s="1"/>
  <c r="R28" i="9" s="1"/>
  <c r="N34" i="9" a="1"/>
  <c r="N34" i="9" s="1"/>
  <c r="P34" i="9" s="1"/>
  <c r="R34" i="9" s="1"/>
  <c r="N57" i="9" a="1"/>
  <c r="N57" i="9" s="1"/>
  <c r="P57" i="9" s="1"/>
  <c r="R57" i="9" s="1"/>
  <c r="N83" i="9" a="1"/>
  <c r="N83" i="9" s="1"/>
  <c r="P83" i="9" s="1"/>
  <c r="R83" i="9" s="1"/>
  <c r="N100" i="9" a="1"/>
  <c r="N100" i="9" s="1"/>
  <c r="P100" i="9" s="1"/>
  <c r="R100" i="9" s="1"/>
  <c r="N484" i="8" a="1"/>
  <c r="N484" i="8" s="1"/>
  <c r="P484" i="8" s="1"/>
  <c r="R494" i="8"/>
  <c r="Q494" i="8"/>
  <c r="Q516" i="8"/>
  <c r="N541" i="8" a="1"/>
  <c r="N541" i="8" s="1"/>
  <c r="P541" i="8" s="1"/>
  <c r="V6" i="9"/>
  <c r="V31" i="9"/>
  <c r="V54" i="9"/>
  <c r="V78" i="9"/>
  <c r="V101" i="9"/>
  <c r="V125" i="9"/>
  <c r="V148" i="9"/>
  <c r="V173" i="9"/>
  <c r="V195" i="9"/>
  <c r="V220" i="9"/>
  <c r="V242" i="9"/>
  <c r="V267" i="9"/>
  <c r="V290" i="9"/>
  <c r="N27" i="9" a="1"/>
  <c r="N27" i="9" s="1"/>
  <c r="P27" i="9" s="1"/>
  <c r="R27" i="9" s="1"/>
  <c r="AO31" i="9"/>
  <c r="AP31" i="9" s="1"/>
  <c r="AO43" i="9"/>
  <c r="AP43" i="9" s="1"/>
  <c r="N95" i="9" a="1"/>
  <c r="N95" i="9" s="1"/>
  <c r="P95" i="9" s="1"/>
  <c r="R95" i="9" s="1"/>
  <c r="N109" i="9" a="1"/>
  <c r="N109" i="9" s="1"/>
  <c r="P109" i="9" s="1"/>
  <c r="R109" i="9" s="1"/>
  <c r="N532" i="8" a="1"/>
  <c r="N532" i="8" s="1"/>
  <c r="N541" i="9" a="1"/>
  <c r="N541" i="9" s="1"/>
  <c r="P541" i="9" s="1"/>
  <c r="R541" i="9" s="1"/>
  <c r="N538" i="9" a="1"/>
  <c r="N538" i="9" s="1"/>
  <c r="P538" i="9" s="1"/>
  <c r="R538" i="9" s="1"/>
  <c r="N539" i="9" a="1"/>
  <c r="N539" i="9" s="1"/>
  <c r="P539" i="9" s="1"/>
  <c r="R539" i="9" s="1"/>
  <c r="N527" i="9" a="1"/>
  <c r="N527" i="9" s="1"/>
  <c r="P527" i="9" s="1"/>
  <c r="R527" i="9" s="1"/>
  <c r="N515" i="9" a="1"/>
  <c r="N515" i="9" s="1"/>
  <c r="P515" i="9" s="1"/>
  <c r="R515" i="9" s="1"/>
  <c r="N503" i="9" a="1"/>
  <c r="N503" i="9" s="1"/>
  <c r="P503" i="9" s="1"/>
  <c r="R503" i="9" s="1"/>
  <c r="N540" i="9" a="1"/>
  <c r="N540" i="9" s="1"/>
  <c r="P540" i="9" s="1"/>
  <c r="R540" i="9" s="1"/>
  <c r="N528" i="9" a="1"/>
  <c r="N528" i="9" s="1"/>
  <c r="P528" i="9" s="1"/>
  <c r="R528" i="9" s="1"/>
  <c r="N516" i="9" a="1"/>
  <c r="N516" i="9" s="1"/>
  <c r="P516" i="9" s="1"/>
  <c r="R516" i="9" s="1"/>
  <c r="N529" i="9" a="1"/>
  <c r="N529" i="9" s="1"/>
  <c r="P529" i="9" s="1"/>
  <c r="R529" i="9" s="1"/>
  <c r="N517" i="9" a="1"/>
  <c r="N517" i="9" s="1"/>
  <c r="P517" i="9" s="1"/>
  <c r="R517" i="9" s="1"/>
  <c r="N505" i="9" a="1"/>
  <c r="N505" i="9" s="1"/>
  <c r="P505" i="9" s="1"/>
  <c r="R505" i="9" s="1"/>
  <c r="N491" i="9" a="1"/>
  <c r="N491" i="9" s="1"/>
  <c r="P491" i="9" s="1"/>
  <c r="R491" i="9" s="1"/>
  <c r="N444" i="9" a="1"/>
  <c r="N444" i="9" s="1"/>
  <c r="P444" i="9" s="1"/>
  <c r="R444" i="9" s="1"/>
  <c r="N434" i="9" a="1"/>
  <c r="N434" i="9" s="1"/>
  <c r="P434" i="9" s="1"/>
  <c r="R434" i="9" s="1"/>
  <c r="N430" i="9" a="1"/>
  <c r="N430" i="9" s="1"/>
  <c r="P430" i="9" s="1"/>
  <c r="R430" i="9" s="1"/>
  <c r="N420" i="9" a="1"/>
  <c r="N420" i="9" s="1"/>
  <c r="P420" i="9" s="1"/>
  <c r="R420" i="9" s="1"/>
  <c r="N506" i="9" a="1"/>
  <c r="N506" i="9" s="1"/>
  <c r="P506" i="9" s="1"/>
  <c r="R506" i="9" s="1"/>
  <c r="N482" i="9" a="1"/>
  <c r="N482" i="9" s="1"/>
  <c r="P482" i="9" s="1"/>
  <c r="R482" i="9" s="1"/>
  <c r="N469" i="9" a="1"/>
  <c r="N469" i="9" s="1"/>
  <c r="P469" i="9" s="1"/>
  <c r="R469" i="9" s="1"/>
  <c r="N409" i="9" a="1"/>
  <c r="N409" i="9" s="1"/>
  <c r="P409" i="9" s="1"/>
  <c r="R409" i="9" s="1"/>
  <c r="N479" i="9" a="1"/>
  <c r="N479" i="9" s="1"/>
  <c r="P479" i="9" s="1"/>
  <c r="R479" i="9" s="1"/>
  <c r="N504" i="9" a="1"/>
  <c r="N504" i="9" s="1"/>
  <c r="P504" i="9" s="1"/>
  <c r="R504" i="9" s="1"/>
  <c r="N499" i="9" a="1"/>
  <c r="N499" i="9" s="1"/>
  <c r="P499" i="9" s="1"/>
  <c r="R499" i="9" s="1"/>
  <c r="N492" i="9" a="1"/>
  <c r="N492" i="9" s="1"/>
  <c r="P492" i="9" s="1"/>
  <c r="R492" i="9" s="1"/>
  <c r="N445" i="9" a="1"/>
  <c r="N445" i="9" s="1"/>
  <c r="P445" i="9" s="1"/>
  <c r="R445" i="9" s="1"/>
  <c r="N470" i="9" a="1"/>
  <c r="N470" i="9" s="1"/>
  <c r="P470" i="9" s="1"/>
  <c r="R470" i="9" s="1"/>
  <c r="N396" i="9" a="1"/>
  <c r="N396" i="9" s="1"/>
  <c r="P396" i="9" s="1"/>
  <c r="R396" i="9" s="1"/>
  <c r="N535" i="9" a="1"/>
  <c r="N535" i="9" s="1"/>
  <c r="P535" i="9" s="1"/>
  <c r="R535" i="9" s="1"/>
  <c r="N480" i="9" a="1"/>
  <c r="N480" i="9" s="1"/>
  <c r="P480" i="9" s="1"/>
  <c r="R480" i="9" s="1"/>
  <c r="N456" i="9" a="1"/>
  <c r="N456" i="9" s="1"/>
  <c r="P456" i="9" s="1"/>
  <c r="R456" i="9" s="1"/>
  <c r="N446" i="9" a="1"/>
  <c r="N446" i="9" s="1"/>
  <c r="P446" i="9" s="1"/>
  <c r="R446" i="9" s="1"/>
  <c r="N432" i="9" a="1"/>
  <c r="N432" i="9" s="1"/>
  <c r="P432" i="9" s="1"/>
  <c r="R432" i="9" s="1"/>
  <c r="N422" i="9" a="1"/>
  <c r="N422" i="9" s="1"/>
  <c r="P422" i="9" s="1"/>
  <c r="R422" i="9" s="1"/>
  <c r="N530" i="9" a="1"/>
  <c r="N530" i="9" s="1"/>
  <c r="P530" i="9" s="1"/>
  <c r="R530" i="9" s="1"/>
  <c r="N523" i="9" a="1"/>
  <c r="N523" i="9" s="1"/>
  <c r="P523" i="9" s="1"/>
  <c r="R523" i="9" s="1"/>
  <c r="N493" i="9" a="1"/>
  <c r="N493" i="9" s="1"/>
  <c r="P493" i="9" s="1"/>
  <c r="R493" i="9" s="1"/>
  <c r="N511" i="9" a="1"/>
  <c r="N511" i="9" s="1"/>
  <c r="P511" i="9" s="1"/>
  <c r="R511" i="9" s="1"/>
  <c r="N518" i="9" a="1"/>
  <c r="N518" i="9" s="1"/>
  <c r="P518" i="9" s="1"/>
  <c r="R518" i="9" s="1"/>
  <c r="N481" i="9" a="1"/>
  <c r="N481" i="9" s="1"/>
  <c r="P481" i="9" s="1"/>
  <c r="R481" i="9" s="1"/>
  <c r="N451" i="9" a="1"/>
  <c r="N451" i="9" s="1"/>
  <c r="P451" i="9" s="1"/>
  <c r="R451" i="9" s="1"/>
  <c r="N468" i="9" a="1"/>
  <c r="N468" i="9" s="1"/>
  <c r="P468" i="9" s="1"/>
  <c r="R468" i="9" s="1"/>
  <c r="N427" i="9" a="1"/>
  <c r="N427" i="9" s="1"/>
  <c r="P427" i="9" s="1"/>
  <c r="R427" i="9" s="1"/>
  <c r="N494" i="9" a="1"/>
  <c r="N494" i="9" s="1"/>
  <c r="P494" i="9" s="1"/>
  <c r="R494" i="9" s="1"/>
  <c r="N458" i="9" a="1"/>
  <c r="N458" i="9" s="1"/>
  <c r="P458" i="9" s="1"/>
  <c r="R458" i="9" s="1"/>
  <c r="N407" i="9" a="1"/>
  <c r="N407" i="9" s="1"/>
  <c r="P407" i="9" s="1"/>
  <c r="R407" i="9" s="1"/>
  <c r="N475" i="9" a="1"/>
  <c r="N475" i="9" s="1"/>
  <c r="P475" i="9" s="1"/>
  <c r="R475" i="9" s="1"/>
  <c r="N281" i="9" a="1"/>
  <c r="N281" i="9" s="1"/>
  <c r="P281" i="9" s="1"/>
  <c r="R281" i="9" s="1"/>
  <c r="N280" i="9" a="1"/>
  <c r="N280" i="9" s="1"/>
  <c r="P280" i="9" s="1"/>
  <c r="R280" i="9" s="1"/>
  <c r="N268" i="9" a="1"/>
  <c r="N268" i="9" s="1"/>
  <c r="P268" i="9" s="1"/>
  <c r="R268" i="9" s="1"/>
  <c r="N223" i="9" a="1"/>
  <c r="N223" i="9" s="1"/>
  <c r="P223" i="9" s="1"/>
  <c r="R223" i="9" s="1"/>
  <c r="N433" i="9" a="1"/>
  <c r="N433" i="9" s="1"/>
  <c r="P433" i="9" s="1"/>
  <c r="R433" i="9" s="1"/>
  <c r="N418" i="9" a="1"/>
  <c r="N418" i="9" s="1"/>
  <c r="P418" i="9" s="1"/>
  <c r="R418" i="9" s="1"/>
  <c r="N406" i="9" a="1"/>
  <c r="N406" i="9" s="1"/>
  <c r="P406" i="9" s="1"/>
  <c r="R406" i="9" s="1"/>
  <c r="N394" i="9" a="1"/>
  <c r="N394" i="9" s="1"/>
  <c r="P394" i="9" s="1"/>
  <c r="R394" i="9" s="1"/>
  <c r="N382" i="9" a="1"/>
  <c r="N382" i="9" s="1"/>
  <c r="P382" i="9" s="1"/>
  <c r="R382" i="9" s="1"/>
  <c r="N421" i="9" a="1"/>
  <c r="N421" i="9" s="1"/>
  <c r="P421" i="9" s="1"/>
  <c r="R421" i="9" s="1"/>
  <c r="N410" i="9" a="1"/>
  <c r="N410" i="9" s="1"/>
  <c r="P410" i="9" s="1"/>
  <c r="R410" i="9" s="1"/>
  <c r="N398" i="9" a="1"/>
  <c r="N398" i="9" s="1"/>
  <c r="P398" i="9" s="1"/>
  <c r="R398" i="9" s="1"/>
  <c r="N334" i="9" a="1"/>
  <c r="N334" i="9" s="1"/>
  <c r="P334" i="9" s="1"/>
  <c r="R334" i="9" s="1"/>
  <c r="N329" i="9" a="1"/>
  <c r="N329" i="9" s="1"/>
  <c r="P329" i="9" s="1"/>
  <c r="R329" i="9" s="1"/>
  <c r="N293" i="9" a="1"/>
  <c r="N293" i="9" s="1"/>
  <c r="P293" i="9" s="1"/>
  <c r="R293" i="9" s="1"/>
  <c r="N292" i="9" a="1"/>
  <c r="N292" i="9" s="1"/>
  <c r="P292" i="9" s="1"/>
  <c r="R292" i="9" s="1"/>
  <c r="N262" i="9" a="1"/>
  <c r="N262" i="9" s="1"/>
  <c r="P262" i="9" s="1"/>
  <c r="R262" i="9" s="1"/>
  <c r="N431" i="9" a="1"/>
  <c r="N431" i="9" s="1"/>
  <c r="P431" i="9" s="1"/>
  <c r="R431" i="9" s="1"/>
  <c r="N443" i="9" a="1"/>
  <c r="N443" i="9" s="1"/>
  <c r="P443" i="9" s="1"/>
  <c r="R443" i="9" s="1"/>
  <c r="N419" i="9" a="1"/>
  <c r="N419" i="9" s="1"/>
  <c r="P419" i="9" s="1"/>
  <c r="R419" i="9" s="1"/>
  <c r="N395" i="9" a="1"/>
  <c r="N395" i="9" s="1"/>
  <c r="P395" i="9" s="1"/>
  <c r="R395" i="9" s="1"/>
  <c r="N387" i="9" a="1"/>
  <c r="N387" i="9" s="1"/>
  <c r="P387" i="9" s="1"/>
  <c r="R387" i="9" s="1"/>
  <c r="N375" i="9" a="1"/>
  <c r="N375" i="9" s="1"/>
  <c r="P375" i="9" s="1"/>
  <c r="R375" i="9" s="1"/>
  <c r="N363" i="9" a="1"/>
  <c r="N363" i="9" s="1"/>
  <c r="P363" i="9" s="1"/>
  <c r="R363" i="9" s="1"/>
  <c r="N351" i="9" a="1"/>
  <c r="N351" i="9" s="1"/>
  <c r="P351" i="9" s="1"/>
  <c r="R351" i="9" s="1"/>
  <c r="N339" i="9" a="1"/>
  <c r="N339" i="9" s="1"/>
  <c r="P339" i="9" s="1"/>
  <c r="R339" i="9" s="1"/>
  <c r="N306" i="9" a="1"/>
  <c r="N306" i="9" s="1"/>
  <c r="P306" i="9" s="1"/>
  <c r="R306" i="9" s="1"/>
  <c r="N457" i="9" a="1"/>
  <c r="N457" i="9" s="1"/>
  <c r="P457" i="9" s="1"/>
  <c r="R457" i="9" s="1"/>
  <c r="N335" i="9" a="1"/>
  <c r="N335" i="9" s="1"/>
  <c r="P335" i="9" s="1"/>
  <c r="R335" i="9" s="1"/>
  <c r="N455" i="9" a="1"/>
  <c r="N455" i="9" s="1"/>
  <c r="P455" i="9" s="1"/>
  <c r="R455" i="9" s="1"/>
  <c r="N388" i="9" a="1"/>
  <c r="N388" i="9" s="1"/>
  <c r="P388" i="9" s="1"/>
  <c r="R388" i="9" s="1"/>
  <c r="N467" i="9" a="1"/>
  <c r="N467" i="9" s="1"/>
  <c r="P467" i="9" s="1"/>
  <c r="R467" i="9" s="1"/>
  <c r="N327" i="9" a="1"/>
  <c r="N327" i="9" s="1"/>
  <c r="P327" i="9" s="1"/>
  <c r="R327" i="9" s="1"/>
  <c r="N308" i="9" a="1"/>
  <c r="N308" i="9" s="1"/>
  <c r="P308" i="9" s="1"/>
  <c r="R308" i="9" s="1"/>
  <c r="N244" i="9" a="1"/>
  <c r="N244" i="9" s="1"/>
  <c r="P244" i="9" s="1"/>
  <c r="R244" i="9" s="1"/>
  <c r="N332" i="9" a="1"/>
  <c r="N332" i="9" s="1"/>
  <c r="P332" i="9" s="1"/>
  <c r="R332" i="9" s="1"/>
  <c r="N389" i="9" a="1"/>
  <c r="N389" i="9" s="1"/>
  <c r="P389" i="9" s="1"/>
  <c r="R389" i="9" s="1"/>
  <c r="N377" i="9" a="1"/>
  <c r="N377" i="9" s="1"/>
  <c r="P377" i="9" s="1"/>
  <c r="R377" i="9" s="1"/>
  <c r="N365" i="9" a="1"/>
  <c r="N365" i="9" s="1"/>
  <c r="P365" i="9" s="1"/>
  <c r="R365" i="9" s="1"/>
  <c r="N353" i="9" a="1"/>
  <c r="N353" i="9" s="1"/>
  <c r="P353" i="9" s="1"/>
  <c r="R353" i="9" s="1"/>
  <c r="N341" i="9" a="1"/>
  <c r="N341" i="9" s="1"/>
  <c r="P341" i="9" s="1"/>
  <c r="R341" i="9" s="1"/>
  <c r="N328" i="9" a="1"/>
  <c r="N328" i="9" s="1"/>
  <c r="P328" i="9" s="1"/>
  <c r="R328" i="9" s="1"/>
  <c r="N234" i="9" a="1"/>
  <c r="N234" i="9" s="1"/>
  <c r="P234" i="9" s="1"/>
  <c r="R234" i="9" s="1"/>
  <c r="N210" i="9" a="1"/>
  <c r="N210" i="9" s="1"/>
  <c r="P210" i="9" s="1"/>
  <c r="R210" i="9" s="1"/>
  <c r="N186" i="9" a="1"/>
  <c r="N186" i="9" s="1"/>
  <c r="P186" i="9" s="1"/>
  <c r="R186" i="9" s="1"/>
  <c r="N397" i="9" a="1"/>
  <c r="N397" i="9" s="1"/>
  <c r="P397" i="9" s="1"/>
  <c r="R397" i="9" s="1"/>
  <c r="N385" i="9" a="1"/>
  <c r="N385" i="9" s="1"/>
  <c r="P385" i="9" s="1"/>
  <c r="R385" i="9" s="1"/>
  <c r="N361" i="9" a="1"/>
  <c r="N361" i="9" s="1"/>
  <c r="P361" i="9" s="1"/>
  <c r="R361" i="9" s="1"/>
  <c r="N356" i="9" a="1"/>
  <c r="N356" i="9" s="1"/>
  <c r="P356" i="9" s="1"/>
  <c r="R356" i="9" s="1"/>
  <c r="N340" i="9" a="1"/>
  <c r="N340" i="9" s="1"/>
  <c r="P340" i="9" s="1"/>
  <c r="R340" i="9" s="1"/>
  <c r="N299" i="9" a="1"/>
  <c r="N299" i="9" s="1"/>
  <c r="P299" i="9" s="1"/>
  <c r="R299" i="9" s="1"/>
  <c r="N289" i="9" a="1"/>
  <c r="N289" i="9" s="1"/>
  <c r="P289" i="9" s="1"/>
  <c r="R289" i="9" s="1"/>
  <c r="N251" i="9" a="1"/>
  <c r="N251" i="9" s="1"/>
  <c r="P251" i="9" s="1"/>
  <c r="R251" i="9" s="1"/>
  <c r="N235" i="9" a="1"/>
  <c r="N235" i="9" s="1"/>
  <c r="P235" i="9" s="1"/>
  <c r="R235" i="9" s="1"/>
  <c r="N218" i="9" a="1"/>
  <c r="N218" i="9" s="1"/>
  <c r="P218" i="9" s="1"/>
  <c r="R218" i="9" s="1"/>
  <c r="N147" i="9" a="1"/>
  <c r="N147" i="9" s="1"/>
  <c r="P147" i="9" s="1"/>
  <c r="R147" i="9" s="1"/>
  <c r="N364" i="9" a="1"/>
  <c r="N364" i="9" s="1"/>
  <c r="P364" i="9" s="1"/>
  <c r="R364" i="9" s="1"/>
  <c r="N252" i="9" a="1"/>
  <c r="N252" i="9" s="1"/>
  <c r="P252" i="9" s="1"/>
  <c r="R252" i="9" s="1"/>
  <c r="N209" i="9" a="1"/>
  <c r="N209" i="9" s="1"/>
  <c r="P209" i="9" s="1"/>
  <c r="R209" i="9" s="1"/>
  <c r="N187" i="9" a="1"/>
  <c r="N187" i="9" s="1"/>
  <c r="P187" i="9" s="1"/>
  <c r="R187" i="9" s="1"/>
  <c r="N380" i="9" a="1"/>
  <c r="N380" i="9" s="1"/>
  <c r="P380" i="9" s="1"/>
  <c r="R380" i="9" s="1"/>
  <c r="N307" i="9" a="1"/>
  <c r="N307" i="9" s="1"/>
  <c r="P307" i="9" s="1"/>
  <c r="R307" i="9" s="1"/>
  <c r="N304" i="9" a="1"/>
  <c r="N304" i="9" s="1"/>
  <c r="P304" i="9" s="1"/>
  <c r="R304" i="9" s="1"/>
  <c r="N277" i="9" a="1"/>
  <c r="N277" i="9" s="1"/>
  <c r="P277" i="9" s="1"/>
  <c r="R277" i="9" s="1"/>
  <c r="N263" i="9" a="1"/>
  <c r="N263" i="9" s="1"/>
  <c r="P263" i="9" s="1"/>
  <c r="R263" i="9" s="1"/>
  <c r="N346" i="9" a="1"/>
  <c r="N346" i="9" s="1"/>
  <c r="P346" i="9" s="1"/>
  <c r="R346" i="9" s="1"/>
  <c r="N313" i="9" a="1"/>
  <c r="N313" i="9" s="1"/>
  <c r="P313" i="9" s="1"/>
  <c r="R313" i="9" s="1"/>
  <c r="N310" i="9" a="1"/>
  <c r="N310" i="9" s="1"/>
  <c r="P310" i="9" s="1"/>
  <c r="R310" i="9" s="1"/>
  <c r="N301" i="9" a="1"/>
  <c r="N301" i="9" s="1"/>
  <c r="P301" i="9" s="1"/>
  <c r="R301" i="9" s="1"/>
  <c r="N253" i="9" a="1"/>
  <c r="N253" i="9" s="1"/>
  <c r="P253" i="9" s="1"/>
  <c r="R253" i="9" s="1"/>
  <c r="N245" i="9" a="1"/>
  <c r="N245" i="9" s="1"/>
  <c r="P245" i="9" s="1"/>
  <c r="R245" i="9" s="1"/>
  <c r="N208" i="9" a="1"/>
  <c r="N208" i="9" s="1"/>
  <c r="P208" i="9" s="1"/>
  <c r="R208" i="9" s="1"/>
  <c r="N392" i="9" a="1"/>
  <c r="N392" i="9" s="1"/>
  <c r="P392" i="9" s="1"/>
  <c r="R392" i="9" s="1"/>
  <c r="N322" i="9" a="1"/>
  <c r="N322" i="9" s="1"/>
  <c r="P322" i="9" s="1"/>
  <c r="R322" i="9" s="1"/>
  <c r="N233" i="9" a="1"/>
  <c r="N233" i="9" s="1"/>
  <c r="P233" i="9" s="1"/>
  <c r="R233" i="9" s="1"/>
  <c r="N221" i="9" a="1"/>
  <c r="N221" i="9" s="1"/>
  <c r="P221" i="9" s="1"/>
  <c r="R221" i="9" s="1"/>
  <c r="N199" i="9" a="1"/>
  <c r="N199" i="9" s="1"/>
  <c r="P199" i="9" s="1"/>
  <c r="R199" i="9" s="1"/>
  <c r="N194" i="9" a="1"/>
  <c r="N194" i="9" s="1"/>
  <c r="P194" i="9" s="1"/>
  <c r="R194" i="9" s="1"/>
  <c r="N175" i="9" a="1"/>
  <c r="N175" i="9" s="1"/>
  <c r="P175" i="9" s="1"/>
  <c r="R175" i="9" s="1"/>
  <c r="N408" i="9" a="1"/>
  <c r="N408" i="9" s="1"/>
  <c r="P408" i="9" s="1"/>
  <c r="R408" i="9" s="1"/>
  <c r="N370" i="9" a="1"/>
  <c r="N370" i="9" s="1"/>
  <c r="P370" i="9" s="1"/>
  <c r="R370" i="9" s="1"/>
  <c r="N349" i="9" a="1"/>
  <c r="N349" i="9" s="1"/>
  <c r="P349" i="9" s="1"/>
  <c r="R349" i="9" s="1"/>
  <c r="N344" i="9" a="1"/>
  <c r="N344" i="9" s="1"/>
  <c r="P344" i="9" s="1"/>
  <c r="R344" i="9" s="1"/>
  <c r="N319" i="9" a="1"/>
  <c r="N319" i="9" s="1"/>
  <c r="P319" i="9" s="1"/>
  <c r="R319" i="9" s="1"/>
  <c r="N232" i="9" a="1"/>
  <c r="N232" i="9" s="1"/>
  <c r="P232" i="9" s="1"/>
  <c r="R232" i="9" s="1"/>
  <c r="N231" i="9" a="1"/>
  <c r="N231" i="9" s="1"/>
  <c r="P231" i="9" s="1"/>
  <c r="R231" i="9" s="1"/>
  <c r="N214" i="9" a="1"/>
  <c r="N214" i="9" s="1"/>
  <c r="P214" i="9" s="1"/>
  <c r="R214" i="9" s="1"/>
  <c r="N198" i="9" a="1"/>
  <c r="N198" i="9" s="1"/>
  <c r="P198" i="9" s="1"/>
  <c r="R198" i="9" s="1"/>
  <c r="N373" i="9" a="1"/>
  <c r="N373" i="9" s="1"/>
  <c r="P373" i="9" s="1"/>
  <c r="R373" i="9" s="1"/>
  <c r="N368" i="9" a="1"/>
  <c r="N368" i="9" s="1"/>
  <c r="P368" i="9" s="1"/>
  <c r="R368" i="9" s="1"/>
  <c r="N286" i="9" a="1"/>
  <c r="N286" i="9" s="1"/>
  <c r="P286" i="9" s="1"/>
  <c r="R286" i="9" s="1"/>
  <c r="N256" i="9" a="1"/>
  <c r="N256" i="9" s="1"/>
  <c r="P256" i="9" s="1"/>
  <c r="R256" i="9" s="1"/>
  <c r="N404" i="9" a="1"/>
  <c r="N404" i="9" s="1"/>
  <c r="P404" i="9" s="1"/>
  <c r="R404" i="9" s="1"/>
  <c r="N376" i="9" a="1"/>
  <c r="N376" i="9" s="1"/>
  <c r="P376" i="9" s="1"/>
  <c r="R376" i="9" s="1"/>
  <c r="N320" i="9" a="1"/>
  <c r="N320" i="9" s="1"/>
  <c r="P320" i="9" s="1"/>
  <c r="R320" i="9" s="1"/>
  <c r="N287" i="9" a="1"/>
  <c r="N287" i="9" s="1"/>
  <c r="P287" i="9" s="1"/>
  <c r="R287" i="9" s="1"/>
  <c r="N197" i="9" a="1"/>
  <c r="N197" i="9" s="1"/>
  <c r="P197" i="9" s="1"/>
  <c r="R197" i="9" s="1"/>
  <c r="N169" i="9" a="1"/>
  <c r="N169" i="9" s="1"/>
  <c r="P169" i="9" s="1"/>
  <c r="R169" i="9" s="1"/>
  <c r="N148" i="9" a="1"/>
  <c r="N148" i="9" s="1"/>
  <c r="P148" i="9" s="1"/>
  <c r="R148" i="9" s="1"/>
  <c r="N317" i="9" a="1"/>
  <c r="N317" i="9" s="1"/>
  <c r="P317" i="9" s="1"/>
  <c r="R317" i="9" s="1"/>
  <c r="N274" i="9" a="1"/>
  <c r="N274" i="9" s="1"/>
  <c r="P274" i="9" s="1"/>
  <c r="R274" i="9" s="1"/>
  <c r="N269" i="9" a="1"/>
  <c r="N269" i="9" s="1"/>
  <c r="P269" i="9" s="1"/>
  <c r="R269" i="9" s="1"/>
  <c r="N211" i="9" a="1"/>
  <c r="N211" i="9" s="1"/>
  <c r="P211" i="9" s="1"/>
  <c r="R211" i="9" s="1"/>
  <c r="N184" i="9" a="1"/>
  <c r="N184" i="9" s="1"/>
  <c r="P184" i="9" s="1"/>
  <c r="R184" i="9" s="1"/>
  <c r="N173" i="9" a="1"/>
  <c r="N173" i="9" s="1"/>
  <c r="P173" i="9" s="1"/>
  <c r="R173" i="9" s="1"/>
  <c r="N358" i="9" a="1"/>
  <c r="N358" i="9" s="1"/>
  <c r="P358" i="9" s="1"/>
  <c r="R358" i="9" s="1"/>
  <c r="N298" i="9" a="1"/>
  <c r="N298" i="9" s="1"/>
  <c r="P298" i="9" s="1"/>
  <c r="R298" i="9" s="1"/>
  <c r="N288" i="9" a="1"/>
  <c r="N288" i="9" s="1"/>
  <c r="P288" i="9" s="1"/>
  <c r="R288" i="9" s="1"/>
  <c r="N275" i="9" a="1"/>
  <c r="N275" i="9" s="1"/>
  <c r="P275" i="9" s="1"/>
  <c r="R275" i="9" s="1"/>
  <c r="N257" i="9" a="1"/>
  <c r="N257" i="9" s="1"/>
  <c r="P257" i="9" s="1"/>
  <c r="R257" i="9" s="1"/>
  <c r="N216" i="9" a="1"/>
  <c r="N216" i="9" s="1"/>
  <c r="P216" i="9" s="1"/>
  <c r="R216" i="9" s="1"/>
  <c r="N238" i="9" a="1"/>
  <c r="N238" i="9" s="1"/>
  <c r="P238" i="9" s="1"/>
  <c r="R238" i="9" s="1"/>
  <c r="N180" i="9" a="1"/>
  <c r="N180" i="9" s="1"/>
  <c r="P180" i="9" s="1"/>
  <c r="R180" i="9" s="1"/>
  <c r="N352" i="9" a="1"/>
  <c r="N352" i="9" s="1"/>
  <c r="P352" i="9" s="1"/>
  <c r="R352" i="9" s="1"/>
  <c r="N325" i="9" a="1"/>
  <c r="N325" i="9" s="1"/>
  <c r="P325" i="9" s="1"/>
  <c r="R325" i="9" s="1"/>
  <c r="N311" i="9" a="1"/>
  <c r="N311" i="9" s="1"/>
  <c r="P311" i="9" s="1"/>
  <c r="R311" i="9" s="1"/>
  <c r="N250" i="9" a="1"/>
  <c r="N250" i="9" s="1"/>
  <c r="P250" i="9" s="1"/>
  <c r="R250" i="9" s="1"/>
  <c r="N206" i="9" a="1"/>
  <c r="N206" i="9" s="1"/>
  <c r="P206" i="9" s="1"/>
  <c r="R206" i="9" s="1"/>
  <c r="N205" i="9" a="1"/>
  <c r="N205" i="9" s="1"/>
  <c r="P205" i="9" s="1"/>
  <c r="R205" i="9" s="1"/>
  <c r="N258" i="9" a="1"/>
  <c r="N258" i="9" s="1"/>
  <c r="P258" i="9" s="1"/>
  <c r="R258" i="9" s="1"/>
  <c r="N337" i="9" a="1"/>
  <c r="N337" i="9" s="1"/>
  <c r="P337" i="9" s="1"/>
  <c r="R337" i="9" s="1"/>
  <c r="N305" i="9" a="1"/>
  <c r="N305" i="9" s="1"/>
  <c r="P305" i="9" s="1"/>
  <c r="R305" i="9" s="1"/>
  <c r="N236" i="9" a="1"/>
  <c r="N236" i="9" s="1"/>
  <c r="P236" i="9" s="1"/>
  <c r="R236" i="9" s="1"/>
  <c r="N161" i="9" a="1"/>
  <c r="N161" i="9" s="1"/>
  <c r="P161" i="9" s="1"/>
  <c r="R161" i="9" s="1"/>
  <c r="N162" i="9" a="1"/>
  <c r="N162" i="9" s="1"/>
  <c r="P162" i="9" s="1"/>
  <c r="R162" i="9" s="1"/>
  <c r="N143" i="9" a="1"/>
  <c r="N143" i="9" s="1"/>
  <c r="P143" i="9" s="1"/>
  <c r="R143" i="9" s="1"/>
  <c r="N247" i="9" a="1"/>
  <c r="N247" i="9" s="1"/>
  <c r="P247" i="9" s="1"/>
  <c r="R247" i="9" s="1"/>
  <c r="N164" i="9" a="1"/>
  <c r="N164" i="9" s="1"/>
  <c r="P164" i="9" s="1"/>
  <c r="R164" i="9" s="1"/>
  <c r="N149" i="9" a="1"/>
  <c r="N149" i="9" s="1"/>
  <c r="P149" i="9" s="1"/>
  <c r="R149" i="9" s="1"/>
  <c r="N134" i="9" a="1"/>
  <c r="N134" i="9" s="1"/>
  <c r="P134" i="9" s="1"/>
  <c r="R134" i="9" s="1"/>
  <c r="N192" i="9" a="1"/>
  <c r="N192" i="9" s="1"/>
  <c r="P192" i="9" s="1"/>
  <c r="R192" i="9" s="1"/>
  <c r="N168" i="9" a="1"/>
  <c r="N168" i="9" s="1"/>
  <c r="P168" i="9" s="1"/>
  <c r="R168" i="9" s="1"/>
  <c r="N185" i="9" a="1"/>
  <c r="N185" i="9" s="1"/>
  <c r="P185" i="9" s="1"/>
  <c r="R185" i="9" s="1"/>
  <c r="N183" i="9" a="1"/>
  <c r="N183" i="9" s="1"/>
  <c r="P183" i="9" s="1"/>
  <c r="R183" i="9" s="1"/>
  <c r="N158" i="9" a="1"/>
  <c r="N158" i="9" s="1"/>
  <c r="P158" i="9" s="1"/>
  <c r="R158" i="9" s="1"/>
  <c r="N160" i="9" a="1"/>
  <c r="N160" i="9" s="1"/>
  <c r="P160" i="9" s="1"/>
  <c r="R160" i="9" s="1"/>
  <c r="N131" i="9" a="1"/>
  <c r="N131" i="9" s="1"/>
  <c r="P131" i="9" s="1"/>
  <c r="R131" i="9" s="1"/>
  <c r="N135" i="9" a="1"/>
  <c r="N135" i="9" s="1"/>
  <c r="P135" i="9" s="1"/>
  <c r="R135" i="9" s="1"/>
  <c r="N166" i="9" a="1"/>
  <c r="N166" i="9" s="1"/>
  <c r="P166" i="9" s="1"/>
  <c r="R166" i="9" s="1"/>
  <c r="N155" i="9" a="1"/>
  <c r="N155" i="9" s="1"/>
  <c r="P155" i="9" s="1"/>
  <c r="R155" i="9" s="1"/>
  <c r="N128" i="9" a="1"/>
  <c r="N128" i="9" s="1"/>
  <c r="P128" i="9" s="1"/>
  <c r="R128" i="9" s="1"/>
  <c r="N104" i="9" a="1"/>
  <c r="N104" i="9" s="1"/>
  <c r="P104" i="9" s="1"/>
  <c r="R104" i="9" s="1"/>
  <c r="N93" i="9" a="1"/>
  <c r="N93" i="9" s="1"/>
  <c r="P93" i="9" s="1"/>
  <c r="R93" i="9" s="1"/>
  <c r="N103" i="9" a="1"/>
  <c r="N103" i="9" s="1"/>
  <c r="P103" i="9" s="1"/>
  <c r="R103" i="9" s="1"/>
  <c r="N67" i="9" a="1"/>
  <c r="N67" i="9" s="1"/>
  <c r="P67" i="9" s="1"/>
  <c r="R67" i="9" s="1"/>
  <c r="N26" i="9" a="1"/>
  <c r="N26" i="9" s="1"/>
  <c r="P26" i="9" s="1"/>
  <c r="R26" i="9" s="1"/>
  <c r="N116" i="9" a="1"/>
  <c r="N116" i="9" s="1"/>
  <c r="P116" i="9" s="1"/>
  <c r="R116" i="9" s="1"/>
  <c r="N110" i="9" a="1"/>
  <c r="N110" i="9" s="1"/>
  <c r="P110" i="9" s="1"/>
  <c r="R110" i="9" s="1"/>
  <c r="N126" i="9" a="1"/>
  <c r="N126" i="9" s="1"/>
  <c r="P126" i="9" s="1"/>
  <c r="R126" i="9" s="1"/>
  <c r="N62" i="9" a="1"/>
  <c r="N62" i="9" s="1"/>
  <c r="P62" i="9" s="1"/>
  <c r="R62" i="9" s="1"/>
  <c r="N125" i="9" a="1"/>
  <c r="N125" i="9" s="1"/>
  <c r="P125" i="9" s="1"/>
  <c r="R125" i="9" s="1"/>
  <c r="N84" i="9" a="1"/>
  <c r="N84" i="9" s="1"/>
  <c r="P84" i="9" s="1"/>
  <c r="R84" i="9" s="1"/>
  <c r="N79" i="9" a="1"/>
  <c r="N79" i="9" s="1"/>
  <c r="P79" i="9" s="1"/>
  <c r="R79" i="9" s="1"/>
  <c r="N124" i="9" a="1"/>
  <c r="N124" i="9" s="1"/>
  <c r="P124" i="9" s="1"/>
  <c r="R124" i="9" s="1"/>
  <c r="N88" i="9" a="1"/>
  <c r="N88" i="9" s="1"/>
  <c r="P88" i="9" s="1"/>
  <c r="R88" i="9" s="1"/>
  <c r="N78" i="9" a="1"/>
  <c r="N78" i="9" s="1"/>
  <c r="P78" i="9" s="1"/>
  <c r="R78" i="9" s="1"/>
  <c r="N31" i="9" a="1"/>
  <c r="N31" i="9" s="1"/>
  <c r="P31" i="9" s="1"/>
  <c r="R31" i="9" s="1"/>
  <c r="N270" i="9" a="1"/>
  <c r="N270" i="9" s="1"/>
  <c r="P270" i="9" s="1"/>
  <c r="R270" i="9" s="1"/>
  <c r="N114" i="9" a="1"/>
  <c r="N114" i="9" s="1"/>
  <c r="P114" i="9" s="1"/>
  <c r="R114" i="9" s="1"/>
  <c r="N25" i="9" a="1"/>
  <c r="N25" i="9" s="1"/>
  <c r="P25" i="9" s="1"/>
  <c r="R25" i="9" s="1"/>
  <c r="N123" i="9" a="1"/>
  <c r="N123" i="9" s="1"/>
  <c r="P123" i="9" s="1"/>
  <c r="R123" i="9" s="1"/>
  <c r="N121" i="9" a="1"/>
  <c r="N121" i="9" s="1"/>
  <c r="P121" i="9" s="1"/>
  <c r="R121" i="9" s="1"/>
  <c r="N87" i="9" a="1"/>
  <c r="N87" i="9" s="1"/>
  <c r="P87" i="9" s="1"/>
  <c r="R87" i="9" s="1"/>
  <c r="N12" i="9" a="1"/>
  <c r="N12" i="9" s="1"/>
  <c r="P12" i="9" s="1"/>
  <c r="R12" i="9" s="1"/>
  <c r="N188" i="9" a="1"/>
  <c r="N188" i="9" s="1"/>
  <c r="P188" i="9" s="1"/>
  <c r="R188" i="9" s="1"/>
  <c r="N137" i="9" a="1"/>
  <c r="N137" i="9" s="1"/>
  <c r="P137" i="9" s="1"/>
  <c r="R137" i="9" s="1"/>
  <c r="N118" i="9" a="1"/>
  <c r="N118" i="9" s="1"/>
  <c r="P118" i="9" s="1"/>
  <c r="R118" i="9" s="1"/>
  <c r="N55" i="9" a="1"/>
  <c r="N55" i="9" s="1"/>
  <c r="P55" i="9" s="1"/>
  <c r="R55" i="9" s="1"/>
  <c r="V9" i="9"/>
  <c r="V32" i="9"/>
  <c r="V56" i="9"/>
  <c r="V80" i="9"/>
  <c r="V103" i="9"/>
  <c r="V127" i="9"/>
  <c r="V150" i="9"/>
  <c r="V174" i="9"/>
  <c r="V198" i="9"/>
  <c r="V221" i="9"/>
  <c r="V245" i="9"/>
  <c r="V268" i="9"/>
  <c r="V292" i="9"/>
  <c r="N6" i="9" a="1"/>
  <c r="N6" i="9" s="1"/>
  <c r="P6" i="9" s="1"/>
  <c r="R6" i="9" s="1"/>
  <c r="N19" i="9" a="1"/>
  <c r="N19" i="9" s="1"/>
  <c r="P19" i="9" s="1"/>
  <c r="R19" i="9" s="1"/>
  <c r="N20" i="9" a="1"/>
  <c r="N20" i="9" s="1"/>
  <c r="P20" i="9" s="1"/>
  <c r="R20" i="9" s="1"/>
  <c r="AQ30" i="9"/>
  <c r="AO40" i="9"/>
  <c r="AP40" i="9" s="1"/>
  <c r="AQ40" i="9"/>
  <c r="AO41" i="9"/>
  <c r="AP41" i="9" s="1"/>
  <c r="AQ41" i="9"/>
  <c r="AQ66" i="9"/>
  <c r="AO66" i="9"/>
  <c r="AP66" i="9" s="1"/>
  <c r="N76" i="9" a="1"/>
  <c r="N76" i="9" s="1"/>
  <c r="P76" i="9" s="1"/>
  <c r="R76" i="9" s="1"/>
  <c r="N90" i="9" a="1"/>
  <c r="N90" i="9" s="1"/>
  <c r="P90" i="9" s="1"/>
  <c r="R90" i="9" s="1"/>
  <c r="N140" i="9" a="1"/>
  <c r="N140" i="9" s="1"/>
  <c r="P140" i="9" s="1"/>
  <c r="R140" i="9" s="1"/>
  <c r="N469" i="8" a="1"/>
  <c r="N469" i="8" s="1"/>
  <c r="N492" i="8" a="1"/>
  <c r="N492" i="8" s="1"/>
  <c r="N506" i="8" a="1"/>
  <c r="N506" i="8" s="1"/>
  <c r="Q542" i="8"/>
  <c r="V10" i="9"/>
  <c r="V33" i="9"/>
  <c r="V57" i="9"/>
  <c r="V81" i="9"/>
  <c r="V104" i="9"/>
  <c r="V128" i="9"/>
  <c r="V151" i="9"/>
  <c r="V175" i="9"/>
  <c r="V199" i="9"/>
  <c r="V222" i="9"/>
  <c r="V246" i="9"/>
  <c r="V269" i="9"/>
  <c r="V293" i="9"/>
  <c r="N13" i="9" a="1"/>
  <c r="N13" i="9" s="1"/>
  <c r="P13" i="9" s="1"/>
  <c r="R13" i="9" s="1"/>
  <c r="N22" i="9" a="1"/>
  <c r="N22" i="9" s="1"/>
  <c r="P22" i="9" s="1"/>
  <c r="R22" i="9" s="1"/>
  <c r="N32" i="9" a="1"/>
  <c r="N32" i="9" s="1"/>
  <c r="P32" i="9" s="1"/>
  <c r="R32" i="9" s="1"/>
  <c r="N35" i="9" a="1"/>
  <c r="N35" i="9" s="1"/>
  <c r="P35" i="9" s="1"/>
  <c r="R35" i="9" s="1"/>
  <c r="AO47" i="9"/>
  <c r="AP47" i="9" s="1"/>
  <c r="N69" i="9" a="1"/>
  <c r="N69" i="9" s="1"/>
  <c r="P69" i="9" s="1"/>
  <c r="R69" i="9" s="1"/>
  <c r="AO91" i="9"/>
  <c r="AP91" i="9" s="1"/>
  <c r="AQ91" i="9"/>
  <c r="N132" i="9" a="1"/>
  <c r="N132" i="9" s="1"/>
  <c r="P132" i="9" s="1"/>
  <c r="R132" i="9" s="1"/>
  <c r="N94" i="9" a="1"/>
  <c r="N94" i="9" s="1"/>
  <c r="P94" i="9" s="1"/>
  <c r="R94" i="9" s="1"/>
  <c r="N136" i="9" a="1"/>
  <c r="N136" i="9" s="1"/>
  <c r="P136" i="9" s="1"/>
  <c r="R136" i="9" s="1"/>
  <c r="N178" i="9" a="1"/>
  <c r="N178" i="9" s="1"/>
  <c r="P178" i="9" s="1"/>
  <c r="R178" i="9" s="1"/>
  <c r="N152" i="9" a="1"/>
  <c r="N152" i="9" s="1"/>
  <c r="P152" i="9" s="1"/>
  <c r="R152" i="9" s="1"/>
  <c r="N159" i="9" a="1"/>
  <c r="N159" i="9" s="1"/>
  <c r="P159" i="9" s="1"/>
  <c r="R159" i="9" s="1"/>
  <c r="N2" i="9" a="1"/>
  <c r="N2" i="9" s="1"/>
  <c r="P2" i="9" s="1"/>
  <c r="R2" i="9" s="1"/>
  <c r="N44" i="9" a="1"/>
  <c r="N44" i="9" s="1"/>
  <c r="P44" i="9" s="1"/>
  <c r="R44" i="9" s="1"/>
  <c r="N141" i="9" a="1"/>
  <c r="N141" i="9" s="1"/>
  <c r="P141" i="9" s="1"/>
  <c r="R141" i="9" s="1"/>
  <c r="N53" i="9" a="1"/>
  <c r="N53" i="9" s="1"/>
  <c r="P53" i="9" s="1"/>
  <c r="R53" i="9" s="1"/>
  <c r="N66" i="9" a="1"/>
  <c r="N66" i="9" s="1"/>
  <c r="P66" i="9" s="1"/>
  <c r="R66" i="9" s="1"/>
  <c r="N96" i="9" a="1"/>
  <c r="N96" i="9" s="1"/>
  <c r="P96" i="9" s="1"/>
  <c r="R96" i="9" s="1"/>
  <c r="N151" i="9" a="1"/>
  <c r="N151" i="9" s="1"/>
  <c r="P151" i="9" s="1"/>
  <c r="R151" i="9" s="1"/>
  <c r="N163" i="9" a="1"/>
  <c r="N163" i="9" s="1"/>
  <c r="P163" i="9" s="1"/>
  <c r="R163" i="9" s="1"/>
  <c r="AQ62" i="9"/>
  <c r="N70" i="9" a="1"/>
  <c r="N70" i="9" s="1"/>
  <c r="P70" i="9" s="1"/>
  <c r="R70" i="9" s="1"/>
  <c r="AQ80" i="9"/>
  <c r="N92" i="9" a="1"/>
  <c r="N92" i="9" s="1"/>
  <c r="P92" i="9" s="1"/>
  <c r="R92" i="9" s="1"/>
  <c r="AQ92" i="9"/>
  <c r="N127" i="9" a="1"/>
  <c r="N127" i="9" s="1"/>
  <c r="P127" i="9" s="1"/>
  <c r="R127" i="9" s="1"/>
  <c r="N23" i="9" a="1"/>
  <c r="N23" i="9" s="1"/>
  <c r="P23" i="9" s="1"/>
  <c r="R23" i="9" s="1"/>
  <c r="AO89" i="9"/>
  <c r="AP89" i="9" s="1"/>
  <c r="N102" i="9" a="1"/>
  <c r="N102" i="9" s="1"/>
  <c r="P102" i="9" s="1"/>
  <c r="R102" i="9" s="1"/>
  <c r="AQ103" i="9"/>
  <c r="N167" i="9" a="1"/>
  <c r="N167" i="9" s="1"/>
  <c r="P167" i="9" s="1"/>
  <c r="R167" i="9" s="1"/>
  <c r="N117" i="9" a="1"/>
  <c r="N117" i="9" s="1"/>
  <c r="P117" i="9" s="1"/>
  <c r="R117" i="9" s="1"/>
  <c r="N150" i="9" a="1"/>
  <c r="N150" i="9" s="1"/>
  <c r="P150" i="9" s="1"/>
  <c r="R150" i="9" s="1"/>
  <c r="N171" i="9" a="1"/>
  <c r="N171" i="9" s="1"/>
  <c r="P171" i="9" s="1"/>
  <c r="R171" i="9" s="1"/>
  <c r="N33" i="9" a="1"/>
  <c r="N33" i="9" s="1"/>
  <c r="P33" i="9" s="1"/>
  <c r="R33" i="9" s="1"/>
  <c r="AO93" i="9"/>
  <c r="AP93" i="9" s="1"/>
  <c r="AO98" i="9"/>
  <c r="AP98" i="9" s="1"/>
  <c r="AO99" i="9"/>
  <c r="AP99" i="9" s="1"/>
  <c r="N138" i="9" a="1"/>
  <c r="N138" i="9" s="1"/>
  <c r="P138" i="9" s="1"/>
  <c r="R138" i="9" s="1"/>
  <c r="N98" i="9" a="1"/>
  <c r="N98" i="9" s="1"/>
  <c r="P98" i="9" s="1"/>
  <c r="R98" i="9" s="1"/>
  <c r="N105" i="9" a="1"/>
  <c r="N105" i="9" s="1"/>
  <c r="P105" i="9" s="1"/>
  <c r="R105" i="9" s="1"/>
  <c r="N130" i="9" a="1"/>
  <c r="N130" i="9" s="1"/>
  <c r="P130" i="9" s="1"/>
  <c r="R130" i="9" s="1"/>
  <c r="N156" i="9" a="1"/>
  <c r="N156" i="9" s="1"/>
  <c r="P156" i="9" s="1"/>
  <c r="R156" i="9" s="1"/>
  <c r="N174" i="9" a="1"/>
  <c r="N174" i="9" s="1"/>
  <c r="P174" i="9" s="1"/>
  <c r="R174" i="9" s="1"/>
  <c r="N490" i="8" a="1"/>
  <c r="N490" i="8" s="1"/>
  <c r="N99" i="9" a="1"/>
  <c r="N99" i="9" s="1"/>
  <c r="P99" i="9" s="1"/>
  <c r="R99" i="9" s="1"/>
  <c r="N153" i="9" a="1"/>
  <c r="N153" i="9" s="1"/>
  <c r="P153" i="9" s="1"/>
  <c r="R153" i="9" s="1"/>
  <c r="N86" i="9" a="1"/>
  <c r="N86" i="9" s="1"/>
  <c r="P86" i="9" s="1"/>
  <c r="R86" i="9" s="1"/>
  <c r="N106" i="9" a="1"/>
  <c r="N106" i="9" s="1"/>
  <c r="P106" i="9" s="1"/>
  <c r="R106" i="9" s="1"/>
  <c r="N146" i="9" a="1"/>
  <c r="N146" i="9" s="1"/>
  <c r="P146" i="9" s="1"/>
  <c r="R146" i="9" s="1"/>
  <c r="N9" i="9" a="1"/>
  <c r="N9" i="9" s="1"/>
  <c r="P9" i="9" s="1"/>
  <c r="R9" i="9" s="1"/>
  <c r="N248" i="9" a="1"/>
  <c r="N248" i="9" s="1"/>
  <c r="P248" i="9" s="1"/>
  <c r="R248" i="9" s="1"/>
  <c r="N181" i="9" a="1"/>
  <c r="N181" i="9" s="1"/>
  <c r="P181" i="9" s="1"/>
  <c r="R181" i="9" s="1"/>
  <c r="N182" i="9" a="1"/>
  <c r="N182" i="9" s="1"/>
  <c r="P182" i="9" s="1"/>
  <c r="R182" i="9" s="1"/>
  <c r="N115" i="9" a="1"/>
  <c r="N115" i="9" s="1"/>
  <c r="P115" i="9" s="1"/>
  <c r="R115" i="9" s="1"/>
  <c r="N133" i="9" a="1"/>
  <c r="N133" i="9" s="1"/>
  <c r="P133" i="9" s="1"/>
  <c r="R133" i="9" s="1"/>
  <c r="N129" i="9" a="1"/>
  <c r="N129" i="9" s="1"/>
  <c r="P129" i="9" s="1"/>
  <c r="R129" i="9" s="1"/>
  <c r="N142" i="9" a="1"/>
  <c r="N142" i="9" s="1"/>
  <c r="P142" i="9" s="1"/>
  <c r="R142" i="9" s="1"/>
  <c r="N240" i="9" a="1"/>
  <c r="N240" i="9" s="1"/>
  <c r="P240" i="9" s="1"/>
  <c r="R240" i="9" s="1"/>
  <c r="N154" i="9" a="1"/>
  <c r="N154" i="9" s="1"/>
  <c r="P154" i="9" s="1"/>
  <c r="R154" i="9" s="1"/>
  <c r="N176" i="9" a="1"/>
  <c r="N176" i="9" s="1"/>
  <c r="P176" i="9" s="1"/>
  <c r="R176" i="9" s="1"/>
  <c r="N58" i="9" a="1"/>
  <c r="N58" i="9" s="1"/>
  <c r="P58" i="9" s="1"/>
  <c r="R58" i="9" s="1"/>
  <c r="N196" i="9" a="1"/>
  <c r="N196" i="9" s="1"/>
  <c r="P196" i="9" s="1"/>
  <c r="R196" i="9" s="1"/>
  <c r="N172" i="9" a="1"/>
  <c r="N172" i="9" s="1"/>
  <c r="P172" i="9" s="1"/>
  <c r="R172" i="9" s="1"/>
  <c r="N204" i="9" a="1"/>
  <c r="N204" i="9" s="1"/>
  <c r="P204" i="9" s="1"/>
  <c r="R204" i="9" s="1"/>
  <c r="N265" i="9" a="1"/>
  <c r="N265" i="9" s="1"/>
  <c r="P265" i="9" s="1"/>
  <c r="R265" i="9" s="1"/>
  <c r="N267" i="9" a="1"/>
  <c r="N267" i="9" s="1"/>
  <c r="P267" i="9" s="1"/>
  <c r="R267" i="9" s="1"/>
  <c r="N300" i="9" a="1"/>
  <c r="N300" i="9" s="1"/>
  <c r="P300" i="9" s="1"/>
  <c r="R300" i="9" s="1"/>
  <c r="N207" i="9" a="1"/>
  <c r="N207" i="9" s="1"/>
  <c r="P207" i="9" s="1"/>
  <c r="R207" i="9" s="1"/>
  <c r="N219" i="9" a="1"/>
  <c r="N219" i="9" s="1"/>
  <c r="P219" i="9" s="1"/>
  <c r="R219" i="9" s="1"/>
  <c r="N230" i="9" a="1"/>
  <c r="N230" i="9" s="1"/>
  <c r="P230" i="9" s="1"/>
  <c r="R230" i="9" s="1"/>
  <c r="N297" i="9" a="1"/>
  <c r="N297" i="9" s="1"/>
  <c r="P297" i="9" s="1"/>
  <c r="R297" i="9" s="1"/>
  <c r="N323" i="9" a="1"/>
  <c r="N323" i="9" s="1"/>
  <c r="P323" i="9" s="1"/>
  <c r="R323" i="9" s="1"/>
  <c r="N272" i="9" a="1"/>
  <c r="N272" i="9" s="1"/>
  <c r="P272" i="9" s="1"/>
  <c r="R272" i="9" s="1"/>
  <c r="N190" i="9" a="1"/>
  <c r="N190" i="9" s="1"/>
  <c r="P190" i="9" s="1"/>
  <c r="R190" i="9" s="1"/>
  <c r="N212" i="9" a="1"/>
  <c r="N212" i="9" s="1"/>
  <c r="P212" i="9" s="1"/>
  <c r="R212" i="9" s="1"/>
  <c r="N139" i="9" a="1"/>
  <c r="N139" i="9" s="1"/>
  <c r="P139" i="9" s="1"/>
  <c r="R139" i="9" s="1"/>
  <c r="N165" i="9" a="1"/>
  <c r="N165" i="9" s="1"/>
  <c r="P165" i="9" s="1"/>
  <c r="R165" i="9" s="1"/>
  <c r="N228" i="9" a="1"/>
  <c r="N228" i="9" s="1"/>
  <c r="P228" i="9" s="1"/>
  <c r="R228" i="9" s="1"/>
  <c r="N229" i="9" a="1"/>
  <c r="N229" i="9" s="1"/>
  <c r="P229" i="9" s="1"/>
  <c r="R229" i="9" s="1"/>
  <c r="N264" i="9" a="1"/>
  <c r="N264" i="9" s="1"/>
  <c r="P264" i="9" s="1"/>
  <c r="R264" i="9" s="1"/>
  <c r="N222" i="9" a="1"/>
  <c r="N222" i="9" s="1"/>
  <c r="P222" i="9" s="1"/>
  <c r="R222" i="9" s="1"/>
  <c r="N276" i="9" a="1"/>
  <c r="N276" i="9" s="1"/>
  <c r="P276" i="9" s="1"/>
  <c r="R276" i="9" s="1"/>
  <c r="N294" i="9" a="1"/>
  <c r="N294" i="9" s="1"/>
  <c r="P294" i="9" s="1"/>
  <c r="R294" i="9" s="1"/>
  <c r="N331" i="9" a="1"/>
  <c r="N331" i="9" s="1"/>
  <c r="P331" i="9" s="1"/>
  <c r="R331" i="9" s="1"/>
  <c r="N371" i="9" a="1"/>
  <c r="N371" i="9" s="1"/>
  <c r="P371" i="9" s="1"/>
  <c r="R371" i="9" s="1"/>
  <c r="N271" i="9" a="1"/>
  <c r="N271" i="9" s="1"/>
  <c r="P271" i="9" s="1"/>
  <c r="R271" i="9" s="1"/>
  <c r="N157" i="9" a="1"/>
  <c r="N157" i="9" s="1"/>
  <c r="P157" i="9" s="1"/>
  <c r="R157" i="9" s="1"/>
  <c r="N215" i="9" a="1"/>
  <c r="N215" i="9" s="1"/>
  <c r="P215" i="9" s="1"/>
  <c r="R215" i="9" s="1"/>
  <c r="N241" i="9" a="1"/>
  <c r="N241" i="9" s="1"/>
  <c r="P241" i="9" s="1"/>
  <c r="R241" i="9" s="1"/>
  <c r="N259" i="9" a="1"/>
  <c r="N259" i="9" s="1"/>
  <c r="P259" i="9" s="1"/>
  <c r="R259" i="9" s="1"/>
  <c r="N333" i="9" a="1"/>
  <c r="N333" i="9" s="1"/>
  <c r="P333" i="9" s="1"/>
  <c r="R333" i="9" s="1"/>
  <c r="N220" i="9" a="1"/>
  <c r="N220" i="9" s="1"/>
  <c r="P220" i="9" s="1"/>
  <c r="R220" i="9" s="1"/>
  <c r="N246" i="9" a="1"/>
  <c r="N246" i="9" s="1"/>
  <c r="P246" i="9" s="1"/>
  <c r="R246" i="9" s="1"/>
  <c r="N291" i="9" a="1"/>
  <c r="N291" i="9" s="1"/>
  <c r="P291" i="9" s="1"/>
  <c r="R291" i="9" s="1"/>
  <c r="N191" i="9" a="1"/>
  <c r="N191" i="9" s="1"/>
  <c r="P191" i="9" s="1"/>
  <c r="R191" i="9" s="1"/>
  <c r="N261" i="9" a="1"/>
  <c r="N261" i="9" s="1"/>
  <c r="P261" i="9" s="1"/>
  <c r="R261" i="9" s="1"/>
  <c r="N279" i="9" a="1"/>
  <c r="N279" i="9" s="1"/>
  <c r="P279" i="9" s="1"/>
  <c r="R279" i="9" s="1"/>
  <c r="N283" i="9" a="1"/>
  <c r="N283" i="9" s="1"/>
  <c r="P283" i="9" s="1"/>
  <c r="R283" i="9" s="1"/>
  <c r="N314" i="9" a="1"/>
  <c r="N314" i="9" s="1"/>
  <c r="P314" i="9" s="1"/>
  <c r="R314" i="9" s="1"/>
  <c r="N360" i="9" a="1"/>
  <c r="N360" i="9" s="1"/>
  <c r="P360" i="9" s="1"/>
  <c r="R360" i="9" s="1"/>
  <c r="N426" i="9" a="1"/>
  <c r="N426" i="9" s="1"/>
  <c r="P426" i="9" s="1"/>
  <c r="R426" i="9" s="1"/>
  <c r="N170" i="9" a="1"/>
  <c r="N170" i="9" s="1"/>
  <c r="P170" i="9" s="1"/>
  <c r="R170" i="9" s="1"/>
  <c r="N213" i="9" a="1"/>
  <c r="N213" i="9" s="1"/>
  <c r="P213" i="9" s="1"/>
  <c r="R213" i="9" s="1"/>
  <c r="N273" i="9" a="1"/>
  <c r="N273" i="9" s="1"/>
  <c r="P273" i="9" s="1"/>
  <c r="R273" i="9" s="1"/>
  <c r="N336" i="9" a="1"/>
  <c r="N336" i="9" s="1"/>
  <c r="P336" i="9" s="1"/>
  <c r="R336" i="9" s="1"/>
  <c r="N347" i="9" a="1"/>
  <c r="N347" i="9" s="1"/>
  <c r="P347" i="9" s="1"/>
  <c r="R347" i="9" s="1"/>
  <c r="N193" i="9" a="1"/>
  <c r="N193" i="9" s="1"/>
  <c r="P193" i="9" s="1"/>
  <c r="R193" i="9" s="1"/>
  <c r="N278" i="9" a="1"/>
  <c r="N278" i="9" s="1"/>
  <c r="P278" i="9" s="1"/>
  <c r="R278" i="9" s="1"/>
  <c r="N296" i="9" a="1"/>
  <c r="N296" i="9" s="1"/>
  <c r="P296" i="9" s="1"/>
  <c r="R296" i="9" s="1"/>
  <c r="N200" i="9" a="1"/>
  <c r="N200" i="9" s="1"/>
  <c r="P200" i="9" s="1"/>
  <c r="R200" i="9" s="1"/>
  <c r="N260" i="9" a="1"/>
  <c r="N260" i="9" s="1"/>
  <c r="P260" i="9" s="1"/>
  <c r="R260" i="9" s="1"/>
  <c r="N282" i="9" a="1"/>
  <c r="N282" i="9" s="1"/>
  <c r="P282" i="9" s="1"/>
  <c r="R282" i="9" s="1"/>
  <c r="N290" i="9" a="1"/>
  <c r="N290" i="9" s="1"/>
  <c r="P290" i="9" s="1"/>
  <c r="R290" i="9" s="1"/>
  <c r="N316" i="9" a="1"/>
  <c r="N316" i="9" s="1"/>
  <c r="P316" i="9" s="1"/>
  <c r="R316" i="9" s="1"/>
  <c r="N357" i="9" a="1"/>
  <c r="N357" i="9" s="1"/>
  <c r="P357" i="9" s="1"/>
  <c r="R357" i="9" s="1"/>
  <c r="N383" i="9" a="1"/>
  <c r="N383" i="9" s="1"/>
  <c r="P383" i="9" s="1"/>
  <c r="R383" i="9" s="1"/>
  <c r="N202" i="9" a="1"/>
  <c r="N202" i="9" s="1"/>
  <c r="P202" i="9" s="1"/>
  <c r="R202" i="9" s="1"/>
  <c r="N372" i="9" a="1"/>
  <c r="N372" i="9" s="1"/>
  <c r="P372" i="9" s="1"/>
  <c r="R372" i="9" s="1"/>
  <c r="N217" i="9" a="1"/>
  <c r="N217" i="9" s="1"/>
  <c r="P217" i="9" s="1"/>
  <c r="R217" i="9" s="1"/>
  <c r="N224" i="9" a="1"/>
  <c r="N224" i="9" s="1"/>
  <c r="P224" i="9" s="1"/>
  <c r="R224" i="9" s="1"/>
  <c r="N226" i="9" a="1"/>
  <c r="N226" i="9" s="1"/>
  <c r="P226" i="9" s="1"/>
  <c r="R226" i="9" s="1"/>
  <c r="N359" i="9" a="1"/>
  <c r="N359" i="9" s="1"/>
  <c r="P359" i="9" s="1"/>
  <c r="R359" i="9" s="1"/>
  <c r="N195" i="9" a="1"/>
  <c r="N195" i="9" s="1"/>
  <c r="P195" i="9" s="1"/>
  <c r="R195" i="9" s="1"/>
  <c r="N295" i="9" a="1"/>
  <c r="N295" i="9" s="1"/>
  <c r="P295" i="9" s="1"/>
  <c r="R295" i="9" s="1"/>
  <c r="N321" i="9" a="1"/>
  <c r="N321" i="9" s="1"/>
  <c r="P321" i="9" s="1"/>
  <c r="R321" i="9" s="1"/>
  <c r="N324" i="9" a="1"/>
  <c r="N324" i="9" s="1"/>
  <c r="P324" i="9" s="1"/>
  <c r="R324" i="9" s="1"/>
  <c r="N348" i="9" a="1"/>
  <c r="N348" i="9" s="1"/>
  <c r="P348" i="9" s="1"/>
  <c r="R348" i="9" s="1"/>
  <c r="N237" i="9" a="1"/>
  <c r="N237" i="9" s="1"/>
  <c r="P237" i="9" s="1"/>
  <c r="R237" i="9" s="1"/>
  <c r="N243" i="9" a="1"/>
  <c r="N243" i="9" s="1"/>
  <c r="P243" i="9" s="1"/>
  <c r="R243" i="9" s="1"/>
  <c r="N266" i="9" a="1"/>
  <c r="N266" i="9" s="1"/>
  <c r="P266" i="9" s="1"/>
  <c r="R266" i="9" s="1"/>
  <c r="N284" i="9" a="1"/>
  <c r="N284" i="9" s="1"/>
  <c r="P284" i="9" s="1"/>
  <c r="R284" i="9" s="1"/>
  <c r="N309" i="9" a="1"/>
  <c r="N309" i="9" s="1"/>
  <c r="P309" i="9" s="1"/>
  <c r="R309" i="9" s="1"/>
  <c r="N315" i="9" a="1"/>
  <c r="N315" i="9" s="1"/>
  <c r="P315" i="9" s="1"/>
  <c r="R315" i="9" s="1"/>
  <c r="N369" i="9" a="1"/>
  <c r="N369" i="9" s="1"/>
  <c r="P369" i="9" s="1"/>
  <c r="R369" i="9" s="1"/>
  <c r="N189" i="9" a="1"/>
  <c r="N189" i="9" s="1"/>
  <c r="P189" i="9" s="1"/>
  <c r="R189" i="9" s="1"/>
  <c r="N242" i="9" a="1"/>
  <c r="N242" i="9" s="1"/>
  <c r="P242" i="9" s="1"/>
  <c r="R242" i="9" s="1"/>
  <c r="N249" i="9" a="1"/>
  <c r="N249" i="9" s="1"/>
  <c r="P249" i="9" s="1"/>
  <c r="R249" i="9" s="1"/>
  <c r="N312" i="9" a="1"/>
  <c r="N312" i="9" s="1"/>
  <c r="P312" i="9" s="1"/>
  <c r="R312" i="9" s="1"/>
  <c r="N384" i="9" a="1"/>
  <c r="N384" i="9" s="1"/>
  <c r="P384" i="9" s="1"/>
  <c r="R384" i="9" s="1"/>
  <c r="N345" i="9" a="1"/>
  <c r="N345" i="9" s="1"/>
  <c r="P345" i="9" s="1"/>
  <c r="R345" i="9" s="1"/>
  <c r="N405" i="9" a="1"/>
  <c r="N405" i="9" s="1"/>
  <c r="P405" i="9" s="1"/>
  <c r="R405" i="9" s="1"/>
  <c r="N460" i="9" a="1"/>
  <c r="N460" i="9" s="1"/>
  <c r="P460" i="9" s="1"/>
  <c r="R460" i="9" s="1"/>
  <c r="N425" i="9" a="1"/>
  <c r="N425" i="9" s="1"/>
  <c r="P425" i="9" s="1"/>
  <c r="R425" i="9" s="1"/>
  <c r="N474" i="9" a="1"/>
  <c r="N474" i="9" s="1"/>
  <c r="P474" i="9" s="1"/>
  <c r="R474" i="9" s="1"/>
  <c r="N177" i="9" a="1"/>
  <c r="N177" i="9" s="1"/>
  <c r="P177" i="9" s="1"/>
  <c r="R177" i="9" s="1"/>
  <c r="N201" i="9" a="1"/>
  <c r="N201" i="9" s="1"/>
  <c r="P201" i="9" s="1"/>
  <c r="R201" i="9" s="1"/>
  <c r="N225" i="9" a="1"/>
  <c r="N225" i="9" s="1"/>
  <c r="P225" i="9" s="1"/>
  <c r="R225" i="9" s="1"/>
  <c r="N254" i="9" a="1"/>
  <c r="N254" i="9" s="1"/>
  <c r="P254" i="9" s="1"/>
  <c r="R254" i="9" s="1"/>
  <c r="N255" i="9" a="1"/>
  <c r="N255" i="9" s="1"/>
  <c r="P255" i="9" s="1"/>
  <c r="R255" i="9" s="1"/>
  <c r="N326" i="9" a="1"/>
  <c r="N326" i="9" s="1"/>
  <c r="P326" i="9" s="1"/>
  <c r="R326" i="9" s="1"/>
  <c r="N411" i="9" a="1"/>
  <c r="N411" i="9" s="1"/>
  <c r="P411" i="9" s="1"/>
  <c r="R411" i="9" s="1"/>
  <c r="N439" i="9" a="1"/>
  <c r="N439" i="9" s="1"/>
  <c r="P439" i="9" s="1"/>
  <c r="R439" i="9" s="1"/>
  <c r="N448" i="9" a="1"/>
  <c r="N448" i="9" s="1"/>
  <c r="P448" i="9" s="1"/>
  <c r="R448" i="9" s="1"/>
  <c r="N496" i="9" a="1"/>
  <c r="N496" i="9" s="1"/>
  <c r="P496" i="9" s="1"/>
  <c r="R496" i="9" s="1"/>
  <c r="N239" i="9" a="1"/>
  <c r="N239" i="9" s="1"/>
  <c r="P239" i="9" s="1"/>
  <c r="R239" i="9" s="1"/>
  <c r="N302" i="9" a="1"/>
  <c r="N302" i="9" s="1"/>
  <c r="P302" i="9" s="1"/>
  <c r="R302" i="9" s="1"/>
  <c r="N303" i="9" a="1"/>
  <c r="N303" i="9" s="1"/>
  <c r="P303" i="9" s="1"/>
  <c r="R303" i="9" s="1"/>
  <c r="N330" i="9" a="1"/>
  <c r="N330" i="9" s="1"/>
  <c r="P330" i="9" s="1"/>
  <c r="R330" i="9" s="1"/>
  <c r="N343" i="9" a="1"/>
  <c r="N343" i="9" s="1"/>
  <c r="P343" i="9" s="1"/>
  <c r="R343" i="9" s="1"/>
  <c r="N355" i="9" a="1"/>
  <c r="N355" i="9" s="1"/>
  <c r="P355" i="9" s="1"/>
  <c r="R355" i="9" s="1"/>
  <c r="N367" i="9" a="1"/>
  <c r="N367" i="9" s="1"/>
  <c r="P367" i="9" s="1"/>
  <c r="R367" i="9" s="1"/>
  <c r="N379" i="9" a="1"/>
  <c r="N379" i="9" s="1"/>
  <c r="P379" i="9" s="1"/>
  <c r="R379" i="9" s="1"/>
  <c r="N391" i="9" a="1"/>
  <c r="N391" i="9" s="1"/>
  <c r="P391" i="9" s="1"/>
  <c r="R391" i="9" s="1"/>
  <c r="N399" i="9" a="1"/>
  <c r="N399" i="9" s="1"/>
  <c r="P399" i="9" s="1"/>
  <c r="R399" i="9" s="1"/>
  <c r="N466" i="9" a="1"/>
  <c r="N466" i="9" s="1"/>
  <c r="P466" i="9" s="1"/>
  <c r="R466" i="9" s="1"/>
  <c r="N416" i="9" a="1"/>
  <c r="N416" i="9" s="1"/>
  <c r="P416" i="9" s="1"/>
  <c r="R416" i="9" s="1"/>
  <c r="N424" i="9" a="1"/>
  <c r="N424" i="9" s="1"/>
  <c r="P424" i="9" s="1"/>
  <c r="R424" i="9" s="1"/>
  <c r="N436" i="9" a="1"/>
  <c r="N436" i="9" s="1"/>
  <c r="P436" i="9" s="1"/>
  <c r="R436" i="9" s="1"/>
  <c r="N450" i="9" a="1"/>
  <c r="N450" i="9" s="1"/>
  <c r="P450" i="9" s="1"/>
  <c r="R450" i="9" s="1"/>
  <c r="N487" i="9" a="1"/>
  <c r="N487" i="9" s="1"/>
  <c r="P487" i="9" s="1"/>
  <c r="R487" i="9" s="1"/>
  <c r="N285" i="9" a="1"/>
  <c r="N285" i="9" s="1"/>
  <c r="P285" i="9" s="1"/>
  <c r="R285" i="9" s="1"/>
  <c r="N338" i="9" a="1"/>
  <c r="N338" i="9" s="1"/>
  <c r="P338" i="9" s="1"/>
  <c r="R338" i="9" s="1"/>
  <c r="N350" i="9" a="1"/>
  <c r="N350" i="9" s="1"/>
  <c r="P350" i="9" s="1"/>
  <c r="R350" i="9" s="1"/>
  <c r="N362" i="9" a="1"/>
  <c r="N362" i="9" s="1"/>
  <c r="P362" i="9" s="1"/>
  <c r="R362" i="9" s="1"/>
  <c r="N374" i="9" a="1"/>
  <c r="N374" i="9" s="1"/>
  <c r="P374" i="9" s="1"/>
  <c r="R374" i="9" s="1"/>
  <c r="N386" i="9" a="1"/>
  <c r="N386" i="9" s="1"/>
  <c r="P386" i="9" s="1"/>
  <c r="R386" i="9" s="1"/>
  <c r="N342" i="9" a="1"/>
  <c r="N342" i="9" s="1"/>
  <c r="P342" i="9" s="1"/>
  <c r="R342" i="9" s="1"/>
  <c r="N354" i="9" a="1"/>
  <c r="N354" i="9" s="1"/>
  <c r="P354" i="9" s="1"/>
  <c r="R354" i="9" s="1"/>
  <c r="N366" i="9" a="1"/>
  <c r="N366" i="9" s="1"/>
  <c r="P366" i="9" s="1"/>
  <c r="R366" i="9" s="1"/>
  <c r="N378" i="9" a="1"/>
  <c r="N378" i="9" s="1"/>
  <c r="P378" i="9" s="1"/>
  <c r="R378" i="9" s="1"/>
  <c r="N390" i="9" a="1"/>
  <c r="N390" i="9" s="1"/>
  <c r="P390" i="9" s="1"/>
  <c r="R390" i="9" s="1"/>
  <c r="N413" i="9" a="1"/>
  <c r="N413" i="9" s="1"/>
  <c r="P413" i="9" s="1"/>
  <c r="R413" i="9" s="1"/>
  <c r="N454" i="9" a="1"/>
  <c r="N454" i="9" s="1"/>
  <c r="P454" i="9" s="1"/>
  <c r="R454" i="9" s="1"/>
  <c r="N442" i="9" a="1"/>
  <c r="N442" i="9" s="1"/>
  <c r="P442" i="9" s="1"/>
  <c r="R442" i="9" s="1"/>
  <c r="N179" i="9" a="1"/>
  <c r="N179" i="9" s="1"/>
  <c r="P179" i="9" s="1"/>
  <c r="R179" i="9" s="1"/>
  <c r="N203" i="9" a="1"/>
  <c r="N203" i="9" s="1"/>
  <c r="P203" i="9" s="1"/>
  <c r="R203" i="9" s="1"/>
  <c r="N227" i="9" a="1"/>
  <c r="N227" i="9" s="1"/>
  <c r="P227" i="9" s="1"/>
  <c r="R227" i="9" s="1"/>
  <c r="N381" i="9" a="1"/>
  <c r="N381" i="9" s="1"/>
  <c r="P381" i="9" s="1"/>
  <c r="R381" i="9" s="1"/>
  <c r="N393" i="9" a="1"/>
  <c r="N393" i="9" s="1"/>
  <c r="P393" i="9" s="1"/>
  <c r="R393" i="9" s="1"/>
  <c r="N403" i="9" a="1"/>
  <c r="N403" i="9" s="1"/>
  <c r="P403" i="9" s="1"/>
  <c r="R403" i="9" s="1"/>
  <c r="N415" i="9" a="1"/>
  <c r="N415" i="9" s="1"/>
  <c r="P415" i="9" s="1"/>
  <c r="R415" i="9" s="1"/>
  <c r="N463" i="9" a="1"/>
  <c r="N463" i="9" s="1"/>
  <c r="P463" i="9" s="1"/>
  <c r="R463" i="9" s="1"/>
  <c r="N318" i="9" a="1"/>
  <c r="N318" i="9" s="1"/>
  <c r="P318" i="9" s="1"/>
  <c r="R318" i="9" s="1"/>
  <c r="N400" i="9" a="1"/>
  <c r="N400" i="9" s="1"/>
  <c r="P400" i="9" s="1"/>
  <c r="R400" i="9" s="1"/>
  <c r="N417" i="9" a="1"/>
  <c r="N417" i="9" s="1"/>
  <c r="P417" i="9" s="1"/>
  <c r="R417" i="9" s="1"/>
  <c r="N412" i="9" a="1"/>
  <c r="N412" i="9" s="1"/>
  <c r="P412" i="9" s="1"/>
  <c r="R412" i="9" s="1"/>
  <c r="N423" i="9" a="1"/>
  <c r="N423" i="9" s="1"/>
  <c r="P423" i="9" s="1"/>
  <c r="R423" i="9" s="1"/>
  <c r="N437" i="9" a="1"/>
  <c r="N437" i="9" s="1"/>
  <c r="P437" i="9" s="1"/>
  <c r="R437" i="9" s="1"/>
  <c r="N447" i="9" a="1"/>
  <c r="N447" i="9" s="1"/>
  <c r="P447" i="9" s="1"/>
  <c r="R447" i="9" s="1"/>
  <c r="N453" i="9" a="1"/>
  <c r="N453" i="9" s="1"/>
  <c r="P453" i="9" s="1"/>
  <c r="R453" i="9" s="1"/>
  <c r="N497" i="9" a="1"/>
  <c r="N497" i="9" s="1"/>
  <c r="P497" i="9" s="1"/>
  <c r="R497" i="9" s="1"/>
  <c r="N500" i="9" a="1"/>
  <c r="N500" i="9" s="1"/>
  <c r="P500" i="9" s="1"/>
  <c r="R500" i="9" s="1"/>
  <c r="M14" i="10"/>
  <c r="M79" i="10"/>
  <c r="N402" i="9" a="1"/>
  <c r="N402" i="9" s="1"/>
  <c r="P402" i="9" s="1"/>
  <c r="R402" i="9" s="1"/>
  <c r="N461" i="9" a="1"/>
  <c r="N461" i="9" s="1"/>
  <c r="P461" i="9" s="1"/>
  <c r="R461" i="9" s="1"/>
  <c r="N464" i="9" a="1"/>
  <c r="N464" i="9" s="1"/>
  <c r="P464" i="9" s="1"/>
  <c r="R464" i="9" s="1"/>
  <c r="N484" i="9" a="1"/>
  <c r="N484" i="9" s="1"/>
  <c r="P484" i="9" s="1"/>
  <c r="R484" i="9" s="1"/>
  <c r="N502" i="9" a="1"/>
  <c r="N502" i="9" s="1"/>
  <c r="P502" i="9" s="1"/>
  <c r="R502" i="9" s="1"/>
  <c r="N513" i="9" a="1"/>
  <c r="N513" i="9" s="1"/>
  <c r="P513" i="9" s="1"/>
  <c r="R513" i="9" s="1"/>
  <c r="N520" i="9" a="1"/>
  <c r="N520" i="9" s="1"/>
  <c r="P520" i="9" s="1"/>
  <c r="R520" i="9" s="1"/>
  <c r="N471" i="9" a="1"/>
  <c r="N471" i="9" s="1"/>
  <c r="P471" i="9" s="1"/>
  <c r="R471" i="9" s="1"/>
  <c r="N477" i="9" a="1"/>
  <c r="N477" i="9" s="1"/>
  <c r="P477" i="9" s="1"/>
  <c r="R477" i="9" s="1"/>
  <c r="N525" i="9" a="1"/>
  <c r="N525" i="9" s="1"/>
  <c r="P525" i="9" s="1"/>
  <c r="R525" i="9" s="1"/>
  <c r="T31" i="10"/>
  <c r="M67" i="10"/>
  <c r="N510" i="9" a="1"/>
  <c r="N510" i="9" s="1"/>
  <c r="P510" i="9" s="1"/>
  <c r="R510" i="9" s="1"/>
  <c r="N532" i="9" a="1"/>
  <c r="N532" i="9" s="1"/>
  <c r="P532" i="9" s="1"/>
  <c r="R532" i="9" s="1"/>
  <c r="N483" i="9" a="1"/>
  <c r="N483" i="9" s="1"/>
  <c r="P483" i="9" s="1"/>
  <c r="R483" i="9" s="1"/>
  <c r="N489" i="9" a="1"/>
  <c r="N489" i="9" s="1"/>
  <c r="P489" i="9" s="1"/>
  <c r="R489" i="9" s="1"/>
  <c r="N507" i="9" a="1"/>
  <c r="N507" i="9" s="1"/>
  <c r="P507" i="9" s="1"/>
  <c r="R507" i="9" s="1"/>
  <c r="N522" i="9" a="1"/>
  <c r="N522" i="9" s="1"/>
  <c r="P522" i="9" s="1"/>
  <c r="R522" i="9" s="1"/>
  <c r="N537" i="9" a="1"/>
  <c r="N537" i="9" s="1"/>
  <c r="P537" i="9" s="1"/>
  <c r="R537" i="9" s="1"/>
  <c r="T7" i="10"/>
  <c r="M55" i="10"/>
  <c r="M127" i="10"/>
  <c r="N401" i="9" a="1"/>
  <c r="N401" i="9" s="1"/>
  <c r="P401" i="9" s="1"/>
  <c r="R401" i="9" s="1"/>
  <c r="N414" i="9" a="1"/>
  <c r="N414" i="9" s="1"/>
  <c r="P414" i="9" s="1"/>
  <c r="R414" i="9" s="1"/>
  <c r="N428" i="9" a="1"/>
  <c r="N428" i="9" s="1"/>
  <c r="P428" i="9" s="1"/>
  <c r="R428" i="9" s="1"/>
  <c r="N441" i="9" a="1"/>
  <c r="N441" i="9" s="1"/>
  <c r="P441" i="9" s="1"/>
  <c r="R441" i="9" s="1"/>
  <c r="N435" i="9" a="1"/>
  <c r="N435" i="9" s="1"/>
  <c r="P435" i="9" s="1"/>
  <c r="R435" i="9" s="1"/>
  <c r="N449" i="9" a="1"/>
  <c r="N449" i="9" s="1"/>
  <c r="P449" i="9" s="1"/>
  <c r="R449" i="9" s="1"/>
  <c r="N452" i="9" a="1"/>
  <c r="N452" i="9" s="1"/>
  <c r="P452" i="9" s="1"/>
  <c r="R452" i="9" s="1"/>
  <c r="N486" i="9" a="1"/>
  <c r="N486" i="9" s="1"/>
  <c r="P486" i="9" s="1"/>
  <c r="R486" i="9" s="1"/>
  <c r="N495" i="9" a="1"/>
  <c r="N495" i="9" s="1"/>
  <c r="P495" i="9" s="1"/>
  <c r="R495" i="9" s="1"/>
  <c r="N501" i="9" a="1"/>
  <c r="N501" i="9" s="1"/>
  <c r="P501" i="9" s="1"/>
  <c r="R501" i="9" s="1"/>
  <c r="N534" i="9" a="1"/>
  <c r="N534" i="9" s="1"/>
  <c r="P534" i="9" s="1"/>
  <c r="R534" i="9" s="1"/>
  <c r="T20" i="10"/>
  <c r="N459" i="9" a="1"/>
  <c r="N459" i="9" s="1"/>
  <c r="P459" i="9" s="1"/>
  <c r="R459" i="9" s="1"/>
  <c r="N465" i="9" a="1"/>
  <c r="N465" i="9" s="1"/>
  <c r="P465" i="9" s="1"/>
  <c r="R465" i="9" s="1"/>
  <c r="N512" i="9" a="1"/>
  <c r="N512" i="9" s="1"/>
  <c r="P512" i="9" s="1"/>
  <c r="R512" i="9" s="1"/>
  <c r="N519" i="9" a="1"/>
  <c r="N519" i="9" s="1"/>
  <c r="P519" i="9" s="1"/>
  <c r="R519" i="9" s="1"/>
  <c r="M73" i="10"/>
  <c r="M153" i="10"/>
  <c r="N438" i="9" a="1"/>
  <c r="N438" i="9" s="1"/>
  <c r="P438" i="9" s="1"/>
  <c r="R438" i="9" s="1"/>
  <c r="N473" i="9" a="1"/>
  <c r="N473" i="9" s="1"/>
  <c r="P473" i="9" s="1"/>
  <c r="R473" i="9" s="1"/>
  <c r="N476" i="9" a="1"/>
  <c r="N476" i="9" s="1"/>
  <c r="P476" i="9" s="1"/>
  <c r="R476" i="9" s="1"/>
  <c r="N498" i="9" a="1"/>
  <c r="N498" i="9" s="1"/>
  <c r="P498" i="9" s="1"/>
  <c r="R498" i="9" s="1"/>
  <c r="N509" i="9" a="1"/>
  <c r="N509" i="9" s="1"/>
  <c r="P509" i="9" s="1"/>
  <c r="R509" i="9" s="1"/>
  <c r="N514" i="9" a="1"/>
  <c r="N514" i="9" s="1"/>
  <c r="P514" i="9" s="1"/>
  <c r="R514" i="9" s="1"/>
  <c r="N524" i="9" a="1"/>
  <c r="N524" i="9" s="1"/>
  <c r="P524" i="9" s="1"/>
  <c r="R524" i="9" s="1"/>
  <c r="N462" i="9" a="1"/>
  <c r="N462" i="9" s="1"/>
  <c r="P462" i="9" s="1"/>
  <c r="R462" i="9" s="1"/>
  <c r="N478" i="9" a="1"/>
  <c r="N478" i="9" s="1"/>
  <c r="P478" i="9" s="1"/>
  <c r="R478" i="9" s="1"/>
  <c r="N521" i="9" a="1"/>
  <c r="N521" i="9" s="1"/>
  <c r="P521" i="9" s="1"/>
  <c r="R521" i="9" s="1"/>
  <c r="N526" i="9" a="1"/>
  <c r="N526" i="9" s="1"/>
  <c r="P526" i="9" s="1"/>
  <c r="R526" i="9" s="1"/>
  <c r="N531" i="9" a="1"/>
  <c r="N531" i="9" s="1"/>
  <c r="P531" i="9" s="1"/>
  <c r="R531" i="9" s="1"/>
  <c r="N543" i="9" a="1"/>
  <c r="N543" i="9" s="1"/>
  <c r="P543" i="9" s="1"/>
  <c r="R543" i="9" s="1"/>
  <c r="T19" i="10"/>
  <c r="M61" i="10"/>
  <c r="N485" i="9" a="1"/>
  <c r="N485" i="9" s="1"/>
  <c r="P485" i="9" s="1"/>
  <c r="R485" i="9" s="1"/>
  <c r="N488" i="9" a="1"/>
  <c r="N488" i="9" s="1"/>
  <c r="P488" i="9" s="1"/>
  <c r="R488" i="9" s="1"/>
  <c r="N536" i="9" a="1"/>
  <c r="N536" i="9" s="1"/>
  <c r="P536" i="9" s="1"/>
  <c r="R536" i="9" s="1"/>
  <c r="M38" i="10"/>
  <c r="N429" i="9" a="1"/>
  <c r="N429" i="9" s="1"/>
  <c r="P429" i="9" s="1"/>
  <c r="R429" i="9" s="1"/>
  <c r="N440" i="9" a="1"/>
  <c r="N440" i="9" s="1"/>
  <c r="P440" i="9" s="1"/>
  <c r="R440" i="9" s="1"/>
  <c r="N472" i="9" a="1"/>
  <c r="N472" i="9" s="1"/>
  <c r="P472" i="9" s="1"/>
  <c r="R472" i="9" s="1"/>
  <c r="N490" i="9" a="1"/>
  <c r="N490" i="9" s="1"/>
  <c r="P490" i="9" s="1"/>
  <c r="R490" i="9" s="1"/>
  <c r="N508" i="9" a="1"/>
  <c r="N508" i="9" s="1"/>
  <c r="P508" i="9" s="1"/>
  <c r="R508" i="9" s="1"/>
  <c r="N533" i="9" a="1"/>
  <c r="N533" i="9" s="1"/>
  <c r="P533" i="9" s="1"/>
  <c r="R533" i="9" s="1"/>
  <c r="M49" i="10"/>
  <c r="M9" i="10"/>
  <c r="M21" i="10"/>
  <c r="M33" i="10"/>
  <c r="M45" i="10"/>
  <c r="T48" i="10"/>
  <c r="M52" i="10"/>
  <c r="T54" i="10"/>
  <c r="M58" i="10"/>
  <c r="T60" i="10"/>
  <c r="M64" i="10"/>
  <c r="T66" i="10"/>
  <c r="M70" i="10"/>
  <c r="T72" i="10"/>
  <c r="M76" i="10"/>
  <c r="T78" i="10"/>
  <c r="M82" i="10"/>
  <c r="T84" i="10"/>
  <c r="T126" i="10"/>
  <c r="M152" i="10"/>
  <c r="T172" i="10"/>
  <c r="T259" i="10"/>
  <c r="T114" i="10"/>
  <c r="M117" i="10"/>
  <c r="M121" i="10"/>
  <c r="M125" i="10"/>
  <c r="T130" i="10"/>
  <c r="M132" i="10"/>
  <c r="M164" i="10"/>
  <c r="M6" i="10"/>
  <c r="M18" i="10"/>
  <c r="M30" i="10"/>
  <c r="M42" i="10"/>
  <c r="T113" i="10"/>
  <c r="T117" i="10"/>
  <c r="M138" i="10"/>
  <c r="T196" i="10"/>
  <c r="N542" i="9" a="1"/>
  <c r="N542" i="9" s="1"/>
  <c r="P542" i="9" s="1"/>
  <c r="R542" i="9" s="1"/>
  <c r="M4" i="10"/>
  <c r="M16" i="10"/>
  <c r="M28" i="10"/>
  <c r="M40" i="10"/>
  <c r="T155" i="10"/>
  <c r="T51" i="10"/>
  <c r="T57" i="10"/>
  <c r="T63" i="10"/>
  <c r="T69" i="10"/>
  <c r="T75" i="10"/>
  <c r="T81" i="10"/>
  <c r="T195" i="10"/>
  <c r="T148" i="10"/>
  <c r="M165" i="10"/>
  <c r="M179" i="10"/>
  <c r="T74" i="10"/>
  <c r="T80" i="10"/>
  <c r="M12" i="10"/>
  <c r="M24" i="10"/>
  <c r="M36" i="10"/>
  <c r="M114" i="10"/>
  <c r="M122" i="10"/>
  <c r="T137" i="10"/>
  <c r="M159" i="10"/>
  <c r="T166" i="10"/>
  <c r="M11" i="10"/>
  <c r="M23" i="10"/>
  <c r="M35" i="10"/>
  <c r="M47" i="10"/>
  <c r="T49" i="10"/>
  <c r="M53" i="10"/>
  <c r="T55" i="10"/>
  <c r="M59" i="10"/>
  <c r="T61" i="10"/>
  <c r="M65" i="10"/>
  <c r="T67" i="10"/>
  <c r="M71" i="10"/>
  <c r="T73" i="10"/>
  <c r="M77" i="10"/>
  <c r="T79" i="10"/>
  <c r="M83" i="10"/>
  <c r="T85" i="10"/>
  <c r="M110" i="10"/>
  <c r="T190" i="10"/>
  <c r="M161" i="10"/>
  <c r="T178" i="10"/>
  <c r="T201" i="10"/>
  <c r="T245" i="10"/>
  <c r="M171" i="10"/>
  <c r="T177" i="10"/>
  <c r="T181" i="10"/>
  <c r="T186" i="10"/>
  <c r="T205" i="10"/>
  <c r="T210" i="10"/>
  <c r="M218" i="10"/>
  <c r="T185" i="10"/>
  <c r="T189" i="10"/>
  <c r="T209" i="10"/>
  <c r="T227" i="10"/>
  <c r="T274" i="10"/>
  <c r="T253" i="10"/>
  <c r="T179" i="10"/>
  <c r="T183" i="10"/>
  <c r="T203" i="10"/>
  <c r="M173" i="10"/>
  <c r="T265" i="10"/>
  <c r="T187" i="10"/>
  <c r="T192" i="10"/>
  <c r="T211" i="10"/>
  <c r="T216" i="10"/>
  <c r="M236" i="10"/>
  <c r="M269" i="10"/>
  <c r="T277" i="10"/>
  <c r="T304" i="10"/>
  <c r="M250" i="10"/>
  <c r="T257" i="10"/>
  <c r="T242" i="10"/>
  <c r="T276" i="10"/>
  <c r="T324" i="10"/>
  <c r="T176" i="10"/>
  <c r="T182" i="10"/>
  <c r="T188" i="10"/>
  <c r="T194" i="10"/>
  <c r="T200" i="10"/>
  <c r="T206" i="10"/>
  <c r="T212" i="10"/>
  <c r="T218" i="10"/>
  <c r="T224" i="10"/>
  <c r="T230" i="10"/>
  <c r="T236" i="10"/>
  <c r="T278" i="10"/>
  <c r="M253" i="10"/>
  <c r="T358" i="10"/>
  <c r="T361" i="10"/>
  <c r="T344" i="10"/>
  <c r="T302" i="10"/>
  <c r="T322" i="10"/>
  <c r="T333" i="10"/>
  <c r="M335" i="10"/>
  <c r="T353" i="10"/>
  <c r="T388" i="10"/>
  <c r="T281" i="10"/>
  <c r="T284" i="10"/>
  <c r="T290" i="10"/>
  <c r="T319" i="10"/>
  <c r="T350" i="10"/>
  <c r="T367" i="10"/>
  <c r="T406" i="10"/>
  <c r="M268" i="10"/>
  <c r="T286" i="10"/>
  <c r="T292" i="10"/>
  <c r="M300" i="10"/>
  <c r="T312" i="10"/>
  <c r="T332" i="10"/>
  <c r="T352" i="10"/>
  <c r="T360" i="10"/>
  <c r="T369" i="10"/>
  <c r="M418" i="10"/>
  <c r="T438" i="10"/>
  <c r="T273" i="10"/>
  <c r="T343" i="10"/>
  <c r="M394" i="10"/>
  <c r="T434" i="10"/>
  <c r="T285" i="10"/>
  <c r="M287" i="10"/>
  <c r="T320" i="10"/>
  <c r="T348" i="10"/>
  <c r="T317" i="10"/>
  <c r="T345" i="10"/>
  <c r="M347" i="10"/>
  <c r="T365" i="10"/>
  <c r="T386" i="10"/>
  <c r="M397" i="10"/>
  <c r="T272" i="10"/>
  <c r="T314" i="10"/>
  <c r="T331" i="10"/>
  <c r="T362" i="10"/>
  <c r="T380" i="10"/>
  <c r="M382" i="10"/>
  <c r="M410" i="10"/>
  <c r="M433" i="10"/>
  <c r="T469" i="10"/>
  <c r="M376" i="10"/>
  <c r="M390" i="10"/>
  <c r="T430" i="10"/>
  <c r="T481" i="10"/>
  <c r="T484" i="10"/>
  <c r="T493" i="10"/>
  <c r="T496" i="10"/>
  <c r="T505" i="10"/>
  <c r="T508" i="10"/>
  <c r="M388" i="10"/>
  <c r="M395" i="10"/>
  <c r="M402" i="10"/>
  <c r="M420" i="10"/>
  <c r="T421" i="10"/>
  <c r="T433" i="10"/>
  <c r="M443" i="10"/>
  <c r="M480" i="10"/>
  <c r="M492" i="10"/>
  <c r="M504" i="10"/>
  <c r="M400" i="10"/>
  <c r="M407" i="10"/>
  <c r="M419" i="10"/>
  <c r="M449" i="10"/>
  <c r="T450" i="10"/>
  <c r="T462" i="10"/>
  <c r="M374" i="10"/>
  <c r="T474" i="10"/>
  <c r="T486" i="10"/>
  <c r="T498" i="10"/>
  <c r="M380" i="10"/>
  <c r="T382" i="10"/>
  <c r="M412" i="10"/>
  <c r="M413" i="10"/>
  <c r="M427" i="10"/>
  <c r="M431" i="10"/>
  <c r="T443" i="10"/>
  <c r="T446" i="10"/>
  <c r="M386" i="10"/>
  <c r="M422" i="10"/>
  <c r="M445" i="10"/>
  <c r="T461" i="10"/>
  <c r="M469" i="10"/>
  <c r="T473" i="10"/>
  <c r="T485" i="10"/>
  <c r="T497" i="10"/>
  <c r="T509" i="10"/>
  <c r="M392" i="10"/>
  <c r="T394" i="10"/>
  <c r="T435" i="10"/>
  <c r="T439" i="10"/>
  <c r="M457" i="10"/>
  <c r="M372" i="10"/>
  <c r="T374" i="10"/>
  <c r="M379" i="10"/>
  <c r="M385" i="10"/>
  <c r="M398" i="10"/>
  <c r="M411" i="10"/>
  <c r="M421" i="10"/>
  <c r="M441" i="10"/>
  <c r="T445" i="10"/>
  <c r="M446" i="10"/>
  <c r="M458" i="10"/>
  <c r="M470" i="10"/>
  <c r="M482" i="10"/>
  <c r="M494" i="10"/>
  <c r="M506" i="10"/>
  <c r="M516" i="10"/>
  <c r="M520" i="10"/>
  <c r="M524" i="10"/>
  <c r="M528" i="10"/>
  <c r="M531" i="10"/>
  <c r="M534" i="10"/>
  <c r="M537" i="10"/>
  <c r="M540" i="10"/>
  <c r="M478" i="10"/>
  <c r="M490" i="10"/>
  <c r="M502" i="10"/>
  <c r="M514" i="10"/>
  <c r="T543" i="10"/>
  <c r="M465" i="10"/>
  <c r="M477" i="10"/>
  <c r="M489" i="10"/>
  <c r="M501" i="10"/>
  <c r="M513" i="10"/>
  <c r="M523" i="10"/>
  <c r="M527" i="10"/>
  <c r="M518" i="10"/>
  <c r="M450" i="10"/>
  <c r="M462" i="10"/>
  <c r="M474" i="10"/>
  <c r="M486" i="10"/>
  <c r="M498" i="10"/>
  <c r="M510" i="10"/>
  <c r="M473" i="10"/>
  <c r="M485" i="10"/>
  <c r="M497" i="10"/>
  <c r="M509" i="10"/>
  <c r="M522" i="10"/>
  <c r="M526" i="10"/>
  <c r="M517" i="10"/>
  <c r="U2" i="11"/>
  <c r="S2" i="11"/>
  <c r="T2" i="11" s="1"/>
  <c r="U24" i="11"/>
  <c r="S48" i="11"/>
  <c r="T48" i="11" s="1"/>
  <c r="U72" i="11"/>
  <c r="S72" i="11"/>
  <c r="T72" i="11" s="1"/>
  <c r="U96" i="11"/>
  <c r="S96" i="11"/>
  <c r="T96" i="11" s="1"/>
  <c r="U148" i="11"/>
  <c r="S148" i="11"/>
  <c r="T148" i="11" s="1"/>
  <c r="U174" i="11"/>
  <c r="S174" i="11"/>
  <c r="T174" i="11" s="1"/>
  <c r="U200" i="11"/>
  <c r="S200" i="11"/>
  <c r="T200" i="11" s="1"/>
  <c r="U226" i="11"/>
  <c r="S226" i="11"/>
  <c r="T226" i="11" s="1"/>
  <c r="S255" i="11"/>
  <c r="T255" i="11" s="1"/>
  <c r="U283" i="11"/>
  <c r="S283" i="11"/>
  <c r="T283" i="11" s="1"/>
  <c r="U25" i="11"/>
  <c r="S25" i="11"/>
  <c r="T25" i="11" s="1"/>
  <c r="U49" i="11"/>
  <c r="S49" i="11"/>
  <c r="T49" i="11" s="1"/>
  <c r="U73" i="11"/>
  <c r="S97" i="11"/>
  <c r="T97" i="11" s="1"/>
  <c r="U97" i="11"/>
  <c r="U123" i="11"/>
  <c r="S123" i="11"/>
  <c r="T123" i="11" s="1"/>
  <c r="S149" i="11"/>
  <c r="T149" i="11" s="1"/>
  <c r="U149" i="11"/>
  <c r="S175" i="11"/>
  <c r="T175" i="11" s="1"/>
  <c r="U175" i="11"/>
  <c r="U201" i="11"/>
  <c r="S201" i="11"/>
  <c r="T201" i="11" s="1"/>
  <c r="U227" i="11"/>
  <c r="S227" i="11"/>
  <c r="T227" i="11" s="1"/>
  <c r="S256" i="11"/>
  <c r="T256" i="11" s="1"/>
  <c r="U256" i="11"/>
  <c r="S284" i="11"/>
  <c r="T284" i="11" s="1"/>
  <c r="U284" i="11"/>
  <c r="S3" i="11"/>
  <c r="T3" i="11" s="1"/>
  <c r="Q3" i="11"/>
  <c r="U27" i="11"/>
  <c r="S27" i="11"/>
  <c r="T27" i="11" s="1"/>
  <c r="S51" i="11"/>
  <c r="T51" i="11" s="1"/>
  <c r="U51" i="11"/>
  <c r="S75" i="11"/>
  <c r="T75" i="11" s="1"/>
  <c r="U75" i="11"/>
  <c r="S99" i="11"/>
  <c r="T99" i="11" s="1"/>
  <c r="U125" i="11"/>
  <c r="U151" i="11"/>
  <c r="S151" i="11"/>
  <c r="T151" i="11" s="1"/>
  <c r="U177" i="11"/>
  <c r="S177" i="11"/>
  <c r="T177" i="11" s="1"/>
  <c r="U203" i="11"/>
  <c r="S203" i="11"/>
  <c r="T203" i="11" s="1"/>
  <c r="U230" i="11"/>
  <c r="S230" i="11"/>
  <c r="T230" i="11" s="1"/>
  <c r="S258" i="11"/>
  <c r="T258" i="11" s="1"/>
  <c r="U258" i="11"/>
  <c r="S286" i="11"/>
  <c r="T286" i="11" s="1"/>
  <c r="U255" i="11"/>
  <c r="U4" i="11"/>
  <c r="S4" i="11"/>
  <c r="T4" i="11" s="1"/>
  <c r="Q4" i="11"/>
  <c r="S28" i="11"/>
  <c r="T28" i="11" s="1"/>
  <c r="U28" i="11"/>
  <c r="S52" i="11"/>
  <c r="T52" i="11" s="1"/>
  <c r="U76" i="11"/>
  <c r="S100" i="11"/>
  <c r="T100" i="11" s="1"/>
  <c r="U100" i="11"/>
  <c r="U126" i="11"/>
  <c r="S126" i="11"/>
  <c r="T126" i="11" s="1"/>
  <c r="S152" i="11"/>
  <c r="T152" i="11" s="1"/>
  <c r="U152" i="11"/>
  <c r="U178" i="11"/>
  <c r="S178" i="11"/>
  <c r="T178" i="11" s="1"/>
  <c r="U205" i="11"/>
  <c r="S205" i="11"/>
  <c r="T205" i="11" s="1"/>
  <c r="U231" i="11"/>
  <c r="S231" i="11"/>
  <c r="T231" i="11" s="1"/>
  <c r="U259" i="11"/>
  <c r="S259" i="11"/>
  <c r="T259" i="11" s="1"/>
  <c r="S287" i="11"/>
  <c r="T287" i="11" s="1"/>
  <c r="U287" i="11"/>
  <c r="S76" i="11"/>
  <c r="T76" i="11" s="1"/>
  <c r="Q5" i="11"/>
  <c r="U29" i="11"/>
  <c r="S53" i="11"/>
  <c r="T53" i="11" s="1"/>
  <c r="U53" i="11"/>
  <c r="S77" i="11"/>
  <c r="T77" i="11" s="1"/>
  <c r="U77" i="11"/>
  <c r="U101" i="11"/>
  <c r="S101" i="11"/>
  <c r="T101" i="11" s="1"/>
  <c r="S127" i="11"/>
  <c r="T127" i="11" s="1"/>
  <c r="U127" i="11"/>
  <c r="S153" i="11"/>
  <c r="T153" i="11" s="1"/>
  <c r="U153" i="11"/>
  <c r="U179" i="11"/>
  <c r="S179" i="11"/>
  <c r="T179" i="11" s="1"/>
  <c r="U206" i="11"/>
  <c r="S206" i="11"/>
  <c r="T206" i="11" s="1"/>
  <c r="U232" i="11"/>
  <c r="S232" i="11"/>
  <c r="T232" i="11" s="1"/>
  <c r="U260" i="11"/>
  <c r="S260" i="11"/>
  <c r="T260" i="11" s="1"/>
  <c r="U290" i="11"/>
  <c r="S290" i="11"/>
  <c r="T290" i="11" s="1"/>
  <c r="U6" i="11"/>
  <c r="S6" i="11"/>
  <c r="T6" i="11" s="1"/>
  <c r="Q6" i="11"/>
  <c r="U30" i="11"/>
  <c r="S30" i="11"/>
  <c r="T30" i="11" s="1"/>
  <c r="S54" i="11"/>
  <c r="T54" i="11" s="1"/>
  <c r="U78" i="11"/>
  <c r="S78" i="11"/>
  <c r="T78" i="11" s="1"/>
  <c r="U102" i="11"/>
  <c r="S102" i="11"/>
  <c r="T102" i="11" s="1"/>
  <c r="U128" i="11"/>
  <c r="S128" i="11"/>
  <c r="T128" i="11" s="1"/>
  <c r="S154" i="11"/>
  <c r="T154" i="11" s="1"/>
  <c r="U154" i="11"/>
  <c r="S181" i="11"/>
  <c r="T181" i="11" s="1"/>
  <c r="U181" i="11"/>
  <c r="S207" i="11"/>
  <c r="T207" i="11" s="1"/>
  <c r="U207" i="11"/>
  <c r="U233" i="11"/>
  <c r="S233" i="11"/>
  <c r="T233" i="11" s="1"/>
  <c r="U261" i="11"/>
  <c r="S261" i="11"/>
  <c r="T261" i="11" s="1"/>
  <c r="U291" i="11"/>
  <c r="S291" i="11"/>
  <c r="T291" i="11" s="1"/>
  <c r="S122" i="11"/>
  <c r="T122" i="11" s="1"/>
  <c r="U12" i="11"/>
  <c r="S12" i="11"/>
  <c r="T12" i="11" s="1"/>
  <c r="U36" i="11"/>
  <c r="S60" i="11"/>
  <c r="T60" i="11" s="1"/>
  <c r="U60" i="11"/>
  <c r="U84" i="11"/>
  <c r="U109" i="11"/>
  <c r="S109" i="11"/>
  <c r="T109" i="11" s="1"/>
  <c r="S135" i="11"/>
  <c r="T135" i="11" s="1"/>
  <c r="U161" i="11"/>
  <c r="S161" i="11"/>
  <c r="T161" i="11" s="1"/>
  <c r="U187" i="11"/>
  <c r="S187" i="11"/>
  <c r="T187" i="11" s="1"/>
  <c r="S213" i="11"/>
  <c r="T213" i="11" s="1"/>
  <c r="U213" i="11"/>
  <c r="S239" i="11"/>
  <c r="T239" i="11" s="1"/>
  <c r="U239" i="11"/>
  <c r="U269" i="11"/>
  <c r="S269" i="11"/>
  <c r="T269" i="11" s="1"/>
  <c r="U297" i="11"/>
  <c r="S297" i="11"/>
  <c r="T297" i="11" s="1"/>
  <c r="S13" i="11"/>
  <c r="T13" i="11" s="1"/>
  <c r="U13" i="11"/>
  <c r="U37" i="11"/>
  <c r="S37" i="11"/>
  <c r="T37" i="11" s="1"/>
  <c r="U61" i="11"/>
  <c r="S61" i="11"/>
  <c r="T61" i="11" s="1"/>
  <c r="U85" i="11"/>
  <c r="S85" i="11"/>
  <c r="T85" i="11" s="1"/>
  <c r="U110" i="11"/>
  <c r="S110" i="11"/>
  <c r="T110" i="11" s="1"/>
  <c r="U136" i="11"/>
  <c r="S136" i="11"/>
  <c r="T136" i="11" s="1"/>
  <c r="S162" i="11"/>
  <c r="T162" i="11" s="1"/>
  <c r="U162" i="11"/>
  <c r="U188" i="11"/>
  <c r="S188" i="11"/>
  <c r="T188" i="11" s="1"/>
  <c r="U214" i="11"/>
  <c r="S214" i="11"/>
  <c r="T214" i="11" s="1"/>
  <c r="S242" i="11"/>
  <c r="T242" i="11" s="1"/>
  <c r="U242" i="11"/>
  <c r="U270" i="11"/>
  <c r="S270" i="11"/>
  <c r="T270" i="11" s="1"/>
  <c r="U298" i="11"/>
  <c r="S24" i="11"/>
  <c r="T24" i="11" s="1"/>
  <c r="U48" i="11"/>
  <c r="U52" i="11"/>
  <c r="S84" i="11"/>
  <c r="T84" i="11" s="1"/>
  <c r="U286" i="11"/>
  <c r="U320" i="11"/>
  <c r="U15" i="11"/>
  <c r="S15" i="11"/>
  <c r="T15" i="11" s="1"/>
  <c r="S63" i="11"/>
  <c r="T63" i="11" s="1"/>
  <c r="U87" i="11"/>
  <c r="S87" i="11"/>
  <c r="T87" i="11" s="1"/>
  <c r="S112" i="11"/>
  <c r="T112" i="11" s="1"/>
  <c r="U112" i="11"/>
  <c r="S138" i="11"/>
  <c r="T138" i="11" s="1"/>
  <c r="U138" i="11"/>
  <c r="S164" i="11"/>
  <c r="T164" i="11" s="1"/>
  <c r="U164" i="11"/>
  <c r="U190" i="11"/>
  <c r="S190" i="11"/>
  <c r="T190" i="11" s="1"/>
  <c r="U217" i="11"/>
  <c r="S217" i="11"/>
  <c r="T217" i="11" s="1"/>
  <c r="S244" i="11"/>
  <c r="T244" i="11" s="1"/>
  <c r="U244" i="11"/>
  <c r="S272" i="11"/>
  <c r="T272" i="11" s="1"/>
  <c r="U272" i="11"/>
  <c r="U302" i="11"/>
  <c r="S302" i="11"/>
  <c r="T302" i="11" s="1"/>
  <c r="S298" i="11"/>
  <c r="T298" i="11" s="1"/>
  <c r="Q16" i="11"/>
  <c r="U16" i="11"/>
  <c r="U40" i="11"/>
  <c r="S40" i="11"/>
  <c r="T40" i="11" s="1"/>
  <c r="U64" i="11"/>
  <c r="S64" i="11"/>
  <c r="T64" i="11" s="1"/>
  <c r="U88" i="11"/>
  <c r="U113" i="11"/>
  <c r="S113" i="11"/>
  <c r="T113" i="11" s="1"/>
  <c r="U139" i="11"/>
  <c r="S139" i="11"/>
  <c r="T139" i="11" s="1"/>
  <c r="U165" i="11"/>
  <c r="S165" i="11"/>
  <c r="T165" i="11" s="1"/>
  <c r="U191" i="11"/>
  <c r="S218" i="11"/>
  <c r="T218" i="11" s="1"/>
  <c r="U218" i="11"/>
  <c r="U245" i="11"/>
  <c r="S245" i="11"/>
  <c r="T245" i="11" s="1"/>
  <c r="S273" i="11"/>
  <c r="T273" i="11" s="1"/>
  <c r="U303" i="11"/>
  <c r="S303" i="11"/>
  <c r="T303" i="11" s="1"/>
  <c r="U17" i="11"/>
  <c r="S17" i="11"/>
  <c r="T17" i="11" s="1"/>
  <c r="S41" i="11"/>
  <c r="T41" i="11" s="1"/>
  <c r="U65" i="11"/>
  <c r="S65" i="11"/>
  <c r="T65" i="11" s="1"/>
  <c r="U89" i="11"/>
  <c r="S89" i="11"/>
  <c r="T89" i="11" s="1"/>
  <c r="U114" i="11"/>
  <c r="S114" i="11"/>
  <c r="T114" i="11" s="1"/>
  <c r="S140" i="11"/>
  <c r="T140" i="11" s="1"/>
  <c r="U140" i="11"/>
  <c r="U166" i="11"/>
  <c r="U193" i="11"/>
  <c r="S219" i="11"/>
  <c r="T219" i="11" s="1"/>
  <c r="U219" i="11"/>
  <c r="U246" i="11"/>
  <c r="U274" i="11"/>
  <c r="S274" i="11"/>
  <c r="T274" i="11" s="1"/>
  <c r="S304" i="11"/>
  <c r="T304" i="11" s="1"/>
  <c r="U304" i="11"/>
  <c r="S5" i="11"/>
  <c r="T5" i="11" s="1"/>
  <c r="S88" i="11"/>
  <c r="T88" i="11" s="1"/>
  <c r="U135" i="11"/>
  <c r="Q2" i="11"/>
  <c r="S18" i="11"/>
  <c r="T18" i="11" s="1"/>
  <c r="Q18" i="11"/>
  <c r="S42" i="11"/>
  <c r="T42" i="11" s="1"/>
  <c r="U42" i="11"/>
  <c r="S66" i="11"/>
  <c r="T66" i="11" s="1"/>
  <c r="U66" i="11"/>
  <c r="S90" i="11"/>
  <c r="T90" i="11" s="1"/>
  <c r="U90" i="11"/>
  <c r="S115" i="11"/>
  <c r="T115" i="11" s="1"/>
  <c r="U115" i="11"/>
  <c r="U141" i="11"/>
  <c r="S167" i="11"/>
  <c r="T167" i="11" s="1"/>
  <c r="U167" i="11"/>
  <c r="U194" i="11"/>
  <c r="S194" i="11"/>
  <c r="T194" i="11" s="1"/>
  <c r="S220" i="11"/>
  <c r="T220" i="11" s="1"/>
  <c r="U220" i="11"/>
  <c r="S247" i="11"/>
  <c r="T247" i="11" s="1"/>
  <c r="U247" i="11"/>
  <c r="S275" i="11"/>
  <c r="T275" i="11" s="1"/>
  <c r="U275" i="11"/>
  <c r="U305" i="11"/>
  <c r="S305" i="11"/>
  <c r="T305" i="11" s="1"/>
  <c r="U18" i="11"/>
  <c r="S39" i="11"/>
  <c r="T39" i="11" s="1"/>
  <c r="S73" i="11"/>
  <c r="T73" i="11" s="1"/>
  <c r="S141" i="11"/>
  <c r="T141" i="11" s="1"/>
  <c r="S166" i="11"/>
  <c r="T166" i="11" s="1"/>
  <c r="R301" i="11"/>
  <c r="R289" i="11"/>
  <c r="R277" i="11"/>
  <c r="R265" i="11"/>
  <c r="R253" i="11"/>
  <c r="R241" i="11"/>
  <c r="R300" i="11"/>
  <c r="R288" i="11"/>
  <c r="R276" i="11"/>
  <c r="R264" i="11"/>
  <c r="R252" i="11"/>
  <c r="R240" i="11"/>
  <c r="R228" i="11"/>
  <c r="R216" i="11"/>
  <c r="R204" i="11"/>
  <c r="R192" i="11"/>
  <c r="R180" i="11"/>
  <c r="R168" i="11"/>
  <c r="R156" i="11"/>
  <c r="R144" i="11"/>
  <c r="R132" i="11"/>
  <c r="R120" i="11"/>
  <c r="R108" i="11"/>
  <c r="R14" i="11"/>
  <c r="R26" i="11"/>
  <c r="R38" i="11"/>
  <c r="R50" i="11"/>
  <c r="R62" i="11"/>
  <c r="R74" i="11"/>
  <c r="R86" i="11"/>
  <c r="R98" i="11"/>
  <c r="R111" i="11"/>
  <c r="R124" i="11"/>
  <c r="R137" i="11"/>
  <c r="R150" i="11"/>
  <c r="R163" i="11"/>
  <c r="R176" i="11"/>
  <c r="R189" i="11"/>
  <c r="R202" i="11"/>
  <c r="R215" i="11"/>
  <c r="R229" i="11"/>
  <c r="R243" i="11"/>
  <c r="R257" i="11"/>
  <c r="R271" i="11"/>
  <c r="R285" i="11"/>
  <c r="R299" i="11"/>
  <c r="S315" i="11"/>
  <c r="T315" i="11" s="1"/>
  <c r="U310" i="11"/>
  <c r="R7" i="11"/>
  <c r="Q15" i="11" s="1"/>
  <c r="R19" i="11"/>
  <c r="R31" i="11"/>
  <c r="R43" i="11"/>
  <c r="R55" i="11"/>
  <c r="R67" i="11"/>
  <c r="R79" i="11"/>
  <c r="R91" i="11"/>
  <c r="R103" i="11"/>
  <c r="R116" i="11"/>
  <c r="R129" i="11"/>
  <c r="R142" i="11"/>
  <c r="R155" i="11"/>
  <c r="R169" i="11"/>
  <c r="R182" i="11"/>
  <c r="R195" i="11"/>
  <c r="R208" i="11"/>
  <c r="R221" i="11"/>
  <c r="R234" i="11"/>
  <c r="R248" i="11"/>
  <c r="R262" i="11"/>
  <c r="R278" i="11"/>
  <c r="R292" i="11"/>
  <c r="R306" i="11"/>
  <c r="R8" i="11"/>
  <c r="R20" i="11"/>
  <c r="R32" i="11"/>
  <c r="R44" i="11"/>
  <c r="R56" i="11"/>
  <c r="R68" i="11"/>
  <c r="R80" i="11"/>
  <c r="R92" i="11"/>
  <c r="R104" i="11"/>
  <c r="R117" i="11"/>
  <c r="R130" i="11"/>
  <c r="R143" i="11"/>
  <c r="R157" i="11"/>
  <c r="R170" i="11"/>
  <c r="R183" i="11"/>
  <c r="R196" i="11"/>
  <c r="R209" i="11"/>
  <c r="R222" i="11"/>
  <c r="R235" i="11"/>
  <c r="R249" i="11"/>
  <c r="R263" i="11"/>
  <c r="R279" i="11"/>
  <c r="R293" i="11"/>
  <c r="U317" i="11"/>
  <c r="S317" i="11"/>
  <c r="T317" i="11" s="1"/>
  <c r="S323" i="11"/>
  <c r="T323" i="11" s="1"/>
  <c r="S307" i="11"/>
  <c r="T307" i="11" s="1"/>
  <c r="U312" i="11"/>
  <c r="U316" i="11"/>
  <c r="U324" i="11"/>
  <c r="S316" i="11"/>
  <c r="T316" i="11" s="1"/>
  <c r="S324" i="11"/>
  <c r="T324" i="11" s="1"/>
  <c r="S311" i="11"/>
  <c r="T311" i="11" s="1"/>
  <c r="S320" i="11"/>
  <c r="T320" i="11" s="1"/>
  <c r="U322" i="11"/>
  <c r="S309" i="11"/>
  <c r="T309" i="11" s="1"/>
  <c r="S322" i="11"/>
  <c r="T322" i="11" s="1"/>
  <c r="U314" i="11"/>
  <c r="S312" i="11"/>
  <c r="T312" i="11" s="1"/>
  <c r="U308" i="11"/>
  <c r="U319" i="11"/>
  <c r="S308" i="11"/>
  <c r="T308" i="11" s="1"/>
  <c r="S319" i="11"/>
  <c r="T319" i="11" s="1"/>
  <c r="S314" i="11"/>
  <c r="T314" i="11" s="1"/>
  <c r="U311" i="11"/>
  <c r="U321" i="11"/>
  <c r="U323" i="11"/>
  <c r="U318" i="11"/>
  <c r="U315" i="11"/>
  <c r="U313" i="11"/>
  <c r="S310" i="11"/>
  <c r="T310" i="11" s="1"/>
  <c r="S318" i="11"/>
  <c r="T318" i="11" s="1"/>
  <c r="S321" i="11"/>
  <c r="T321" i="11" s="1"/>
  <c r="U307" i="11"/>
  <c r="S313" i="11"/>
  <c r="T313" i="11" s="1"/>
  <c r="R9" i="11"/>
  <c r="R21" i="11"/>
  <c r="R33" i="11"/>
  <c r="R45" i="11"/>
  <c r="R57" i="11"/>
  <c r="R69" i="11"/>
  <c r="R81" i="11"/>
  <c r="R93" i="11"/>
  <c r="R105" i="11"/>
  <c r="R118" i="11"/>
  <c r="R131" i="11"/>
  <c r="R145" i="11"/>
  <c r="R158" i="11"/>
  <c r="R171" i="11"/>
  <c r="R184" i="11"/>
  <c r="R197" i="11"/>
  <c r="R210" i="11"/>
  <c r="R223" i="11"/>
  <c r="R236" i="11"/>
  <c r="R250" i="11"/>
  <c r="R266" i="11"/>
  <c r="R280" i="11"/>
  <c r="R294" i="11"/>
  <c r="R10" i="11"/>
  <c r="R22" i="11"/>
  <c r="R34" i="11"/>
  <c r="R46" i="11"/>
  <c r="R58" i="11"/>
  <c r="R70" i="11"/>
  <c r="R82" i="11"/>
  <c r="R94" i="11"/>
  <c r="R106" i="11"/>
  <c r="R119" i="11"/>
  <c r="R133" i="11"/>
  <c r="R146" i="11"/>
  <c r="R159" i="11"/>
  <c r="R172" i="11"/>
  <c r="R185" i="11"/>
  <c r="R198" i="11"/>
  <c r="R211" i="11"/>
  <c r="R224" i="11"/>
  <c r="R237" i="11"/>
  <c r="R251" i="11"/>
  <c r="R267" i="11"/>
  <c r="R281" i="11"/>
  <c r="R295" i="11"/>
  <c r="R11" i="11"/>
  <c r="R23" i="11"/>
  <c r="R35" i="11"/>
  <c r="R47" i="11"/>
  <c r="R59" i="11"/>
  <c r="R71" i="11"/>
  <c r="R83" i="11"/>
  <c r="R95" i="11"/>
  <c r="R107" i="11"/>
  <c r="R121" i="11"/>
  <c r="R134" i="11"/>
  <c r="R147" i="11"/>
  <c r="R160" i="11"/>
  <c r="R173" i="11"/>
  <c r="R186" i="11"/>
  <c r="R199" i="11"/>
  <c r="R212" i="11"/>
  <c r="R225" i="11"/>
  <c r="R238" i="11"/>
  <c r="R254" i="11"/>
  <c r="R268" i="11"/>
  <c r="R282" i="11"/>
  <c r="R296" i="11"/>
  <c r="P2" i="8" l="1"/>
  <c r="H288" i="2" a="1"/>
  <c r="H288" i="2" s="1"/>
  <c r="I288" i="2" s="1" a="1"/>
  <c r="I288" i="2" s="1"/>
  <c r="P37" i="8"/>
  <c r="H205" i="2" a="1"/>
  <c r="H205" i="2" s="1"/>
  <c r="I205" i="2" s="1" a="1"/>
  <c r="I205" i="2" s="1"/>
  <c r="P73" i="8"/>
  <c r="H63" i="2" a="1"/>
  <c r="H63" i="2" s="1"/>
  <c r="I63" i="2" s="1" a="1"/>
  <c r="I63" i="2" s="1"/>
  <c r="P38" i="8"/>
  <c r="H236" i="2" a="1"/>
  <c r="H236" i="2" s="1"/>
  <c r="I236" i="2" s="1" a="1"/>
  <c r="I236" i="2" s="1"/>
  <c r="H3" i="12"/>
  <c r="H5" i="12"/>
  <c r="P76" i="8"/>
  <c r="H260" i="2" a="1"/>
  <c r="H260" i="2" s="1"/>
  <c r="I260" i="2" s="1" a="1"/>
  <c r="I260" i="2" s="1"/>
  <c r="P26" i="8"/>
  <c r="H94" i="2" a="1"/>
  <c r="H94" i="2" s="1"/>
  <c r="I94" i="2" s="1" a="1"/>
  <c r="I94" i="2" s="1"/>
  <c r="Q12" i="11"/>
  <c r="Q53" i="11"/>
  <c r="D5" i="12"/>
  <c r="C15" i="1"/>
  <c r="C16" i="1"/>
  <c r="P54" i="8"/>
  <c r="H152" i="2" a="1"/>
  <c r="H152" i="2" s="1"/>
  <c r="I152" i="2" s="1" a="1"/>
  <c r="I152" i="2" s="1"/>
  <c r="H105" i="1"/>
  <c r="G105" i="1"/>
  <c r="Q151" i="11"/>
  <c r="Q36" i="11"/>
  <c r="I3" i="12"/>
  <c r="P104" i="8"/>
  <c r="H48" i="2" a="1"/>
  <c r="H48" i="2" s="1"/>
  <c r="I48" i="2" s="1" a="1"/>
  <c r="I48" i="2" s="1"/>
  <c r="Q13" i="11"/>
  <c r="Q29" i="11"/>
  <c r="G4" i="12"/>
  <c r="C19" i="1"/>
  <c r="D14" i="1"/>
  <c r="G97" i="1"/>
  <c r="H97" i="1"/>
  <c r="P61" i="8"/>
  <c r="H240" i="2" a="1"/>
  <c r="H240" i="2" s="1"/>
  <c r="I240" i="2" s="1" a="1"/>
  <c r="I240" i="2" s="1"/>
  <c r="E4" i="12"/>
  <c r="Q193" i="11"/>
  <c r="E7" i="12"/>
  <c r="Q194" i="11"/>
  <c r="Q226" i="11"/>
  <c r="Q39" i="11"/>
  <c r="Q27" i="11"/>
  <c r="Q24" i="11"/>
  <c r="C8" i="12"/>
  <c r="P62" i="8"/>
  <c r="H265" i="2" a="1"/>
  <c r="H265" i="2" s="1"/>
  <c r="I265" i="2" s="1" a="1"/>
  <c r="I265" i="2" s="1"/>
  <c r="P7" i="8"/>
  <c r="H257" i="2" a="1"/>
  <c r="H257" i="2" s="1"/>
  <c r="I257" i="2" s="1" a="1"/>
  <c r="I257" i="2" s="1"/>
  <c r="P58" i="8"/>
  <c r="H109" i="2" a="1"/>
  <c r="H109" i="2" s="1"/>
  <c r="I109" i="2" s="1" a="1"/>
  <c r="I109" i="2" s="1"/>
  <c r="P32" i="8"/>
  <c r="H7" i="2" a="1"/>
  <c r="H7" i="2" s="1"/>
  <c r="I7" i="2" s="1" a="1"/>
  <c r="I7" i="2" s="1"/>
  <c r="P27" i="8"/>
  <c r="H137" i="2" a="1"/>
  <c r="H137" i="2" s="1"/>
  <c r="I137" i="2" s="1" a="1"/>
  <c r="I137" i="2" s="1"/>
  <c r="P17" i="8"/>
  <c r="H19" i="2" a="1"/>
  <c r="H19" i="2" s="1"/>
  <c r="I19" i="2" s="1" a="1"/>
  <c r="I19" i="2" s="1"/>
  <c r="G109" i="1"/>
  <c r="H109" i="1"/>
  <c r="P28" i="8"/>
  <c r="H160" i="2" a="1"/>
  <c r="H160" i="2" s="1"/>
  <c r="I160" i="2" s="1" a="1"/>
  <c r="I160" i="2" s="1"/>
  <c r="H81" i="1"/>
  <c r="G81" i="1"/>
  <c r="P20" i="8"/>
  <c r="H182" i="2" a="1"/>
  <c r="H182" i="2" s="1"/>
  <c r="I182" i="2" s="1" a="1"/>
  <c r="I182" i="2" s="1"/>
  <c r="P4" i="8"/>
  <c r="H91" i="2" a="1"/>
  <c r="H91" i="2" s="1"/>
  <c r="I91" i="2" s="1" a="1"/>
  <c r="I91" i="2" s="1"/>
  <c r="E3" i="12"/>
  <c r="G77" i="1"/>
  <c r="P18" i="8"/>
  <c r="H30" i="2" a="1"/>
  <c r="H30" i="2" s="1"/>
  <c r="I30" i="2" s="1" a="1"/>
  <c r="I30" i="2" s="1"/>
  <c r="G2" i="12"/>
  <c r="Q307" i="11"/>
  <c r="E6" i="12"/>
  <c r="C3" i="12"/>
  <c r="B2" i="12"/>
  <c r="I6" i="12"/>
  <c r="P52" i="8"/>
  <c r="H177" i="2" a="1"/>
  <c r="H177" i="2" s="1"/>
  <c r="I177" i="2" s="1" a="1"/>
  <c r="I177" i="2" s="1"/>
  <c r="W18" i="8"/>
  <c r="X18" i="8" s="1"/>
  <c r="Y18" i="8"/>
  <c r="P75" i="8"/>
  <c r="H193" i="2" a="1"/>
  <c r="H193" i="2" s="1"/>
  <c r="I193" i="2" s="1" a="1"/>
  <c r="I193" i="2" s="1"/>
  <c r="P87" i="8"/>
  <c r="H171" i="2" a="1"/>
  <c r="H171" i="2" s="1"/>
  <c r="I171" i="2" s="1" a="1"/>
  <c r="I171" i="2" s="1"/>
  <c r="E18" i="1"/>
  <c r="Q64" i="11"/>
  <c r="Q272" i="11"/>
  <c r="Q203" i="11"/>
  <c r="Q175" i="11"/>
  <c r="Q72" i="11"/>
  <c r="P461" i="8"/>
  <c r="H57" i="2" a="1"/>
  <c r="H57" i="2" s="1"/>
  <c r="I57" i="2" s="1" a="1"/>
  <c r="I57" i="2" s="1"/>
  <c r="D8" i="12"/>
  <c r="Q220" i="11"/>
  <c r="Q246" i="11"/>
  <c r="Q188" i="11"/>
  <c r="Q190" i="11"/>
  <c r="Q181" i="11"/>
  <c r="Q78" i="11"/>
  <c r="Q77" i="11"/>
  <c r="Q283" i="11"/>
  <c r="Q148" i="11"/>
  <c r="Q90" i="11"/>
  <c r="Q89" i="11"/>
  <c r="Q303" i="11"/>
  <c r="Q191" i="11"/>
  <c r="Q164" i="11"/>
  <c r="Q63" i="11"/>
  <c r="Q298" i="11"/>
  <c r="Q162" i="11"/>
  <c r="Q61" i="11"/>
  <c r="Q269" i="11"/>
  <c r="Q261" i="11"/>
  <c r="Q54" i="11"/>
  <c r="Q260" i="11"/>
  <c r="Q153" i="11"/>
  <c r="Q28" i="11"/>
  <c r="Q201" i="11"/>
  <c r="Q96" i="11"/>
  <c r="Q308" i="11"/>
  <c r="P526" i="8"/>
  <c r="H113" i="2" a="1"/>
  <c r="H113" i="2" s="1"/>
  <c r="I113" i="2" s="1" a="1"/>
  <c r="I113" i="2" s="1"/>
  <c r="P332" i="8"/>
  <c r="H281" i="2" a="1"/>
  <c r="H281" i="2" s="1"/>
  <c r="I281" i="2" s="1" a="1"/>
  <c r="I281" i="2" s="1"/>
  <c r="P453" i="8"/>
  <c r="H15" i="2" a="1"/>
  <c r="H15" i="2" s="1"/>
  <c r="I15" i="2" s="1" a="1"/>
  <c r="I15" i="2" s="1"/>
  <c r="P276" i="8"/>
  <c r="H189" i="2" a="1"/>
  <c r="H189" i="2" s="1"/>
  <c r="I189" i="2" s="1" a="1"/>
  <c r="I189" i="2" s="1"/>
  <c r="I5" i="12"/>
  <c r="W123" i="8"/>
  <c r="X123" i="8" s="1"/>
  <c r="Y123" i="8"/>
  <c r="Y47" i="8"/>
  <c r="W47" i="8"/>
  <c r="X47" i="8" s="1"/>
  <c r="Y127" i="8"/>
  <c r="W127" i="8"/>
  <c r="X127" i="8" s="1"/>
  <c r="P279" i="8"/>
  <c r="H270" i="2" a="1"/>
  <c r="H270" i="2" s="1"/>
  <c r="I270" i="2" s="1" a="1"/>
  <c r="I270" i="2" s="1"/>
  <c r="P251" i="8"/>
  <c r="H175" i="2" a="1"/>
  <c r="H175" i="2" s="1"/>
  <c r="I175" i="2" s="1" a="1"/>
  <c r="I175" i="2" s="1"/>
  <c r="H2" i="12"/>
  <c r="W33" i="8"/>
  <c r="X33" i="8" s="1"/>
  <c r="Y33" i="8"/>
  <c r="H4" i="12"/>
  <c r="F6" i="12"/>
  <c r="P180" i="8"/>
  <c r="H93" i="2" a="1"/>
  <c r="H93" i="2" s="1"/>
  <c r="I93" i="2" s="1" a="1"/>
  <c r="I93" i="2" s="1"/>
  <c r="P261" i="8"/>
  <c r="H224" i="2" a="1"/>
  <c r="H224" i="2" s="1"/>
  <c r="I224" i="2" s="1" a="1"/>
  <c r="I224" i="2" s="1"/>
  <c r="P367" i="8"/>
  <c r="H58" i="2" a="1"/>
  <c r="H58" i="2" s="1"/>
  <c r="I58" i="2" s="1" a="1"/>
  <c r="I58" i="2" s="1"/>
  <c r="P525" i="8"/>
  <c r="H110" i="2" a="1"/>
  <c r="H110" i="2" s="1"/>
  <c r="I110" i="2" s="1" a="1"/>
  <c r="I110" i="2" s="1"/>
  <c r="P474" i="8"/>
  <c r="H197" i="2" a="1"/>
  <c r="H197" i="2" s="1"/>
  <c r="I197" i="2" s="1" a="1"/>
  <c r="I197" i="2" s="1"/>
  <c r="P489" i="8"/>
  <c r="H195" i="2" a="1"/>
  <c r="H195" i="2" s="1"/>
  <c r="I195" i="2" s="1" a="1"/>
  <c r="I195" i="2" s="1"/>
  <c r="P313" i="8"/>
  <c r="H62" i="2" a="1"/>
  <c r="H62" i="2" s="1"/>
  <c r="I62" i="2" s="1" a="1"/>
  <c r="I62" i="2" s="1"/>
  <c r="P391" i="8"/>
  <c r="H3" i="2" a="1"/>
  <c r="H3" i="2" s="1"/>
  <c r="I3" i="2" s="1" a="1"/>
  <c r="I3" i="2" s="1"/>
  <c r="P277" i="8"/>
  <c r="H225" i="2" a="1"/>
  <c r="H225" i="2" s="1"/>
  <c r="I225" i="2" s="1" a="1"/>
  <c r="I225" i="2" s="1"/>
  <c r="P106" i="8"/>
  <c r="H272" i="2" a="1"/>
  <c r="H272" i="2" s="1"/>
  <c r="I272" i="2" s="1" a="1"/>
  <c r="I272" i="2" s="1"/>
  <c r="P195" i="8"/>
  <c r="H33" i="2" a="1"/>
  <c r="H33" i="2" s="1"/>
  <c r="I33" i="2" s="1" a="1"/>
  <c r="I33" i="2" s="1"/>
  <c r="P129" i="8"/>
  <c r="H49" i="2" a="1"/>
  <c r="H49" i="2" s="1"/>
  <c r="I49" i="2" s="1" a="1"/>
  <c r="I49" i="2" s="1"/>
  <c r="W49" i="8"/>
  <c r="X49" i="8" s="1"/>
  <c r="Y49" i="8"/>
  <c r="W95" i="8"/>
  <c r="X95" i="8" s="1"/>
  <c r="Y95" i="8"/>
  <c r="P121" i="8"/>
  <c r="H27" i="2" a="1"/>
  <c r="H27" i="2" s="1"/>
  <c r="I27" i="2" s="1" a="1"/>
  <c r="I27" i="2" s="1"/>
  <c r="W12" i="8"/>
  <c r="X12" i="8" s="1"/>
  <c r="Y12" i="8"/>
  <c r="Y85" i="8"/>
  <c r="W85" i="8"/>
  <c r="X85" i="8" s="1"/>
  <c r="W101" i="8"/>
  <c r="X101" i="8" s="1"/>
  <c r="Y101" i="8"/>
  <c r="B15" i="1"/>
  <c r="G75" i="1"/>
  <c r="B8" i="12"/>
  <c r="P471" i="8"/>
  <c r="H116" i="2" a="1"/>
  <c r="H116" i="2" s="1"/>
  <c r="I116" i="2" s="1" a="1"/>
  <c r="I116" i="2" s="1"/>
  <c r="P468" i="8"/>
  <c r="H204" i="2" a="1"/>
  <c r="H204" i="2" s="1"/>
  <c r="I204" i="2" s="1" a="1"/>
  <c r="I204" i="2" s="1"/>
  <c r="P355" i="8"/>
  <c r="H248" i="2" a="1"/>
  <c r="H248" i="2" s="1"/>
  <c r="I248" i="2" s="1" a="1"/>
  <c r="I248" i="2" s="1"/>
  <c r="P325" i="8"/>
  <c r="H173" i="2" a="1"/>
  <c r="H173" i="2" s="1"/>
  <c r="I173" i="2" s="1" a="1"/>
  <c r="I173" i="2" s="1"/>
  <c r="P217" i="8"/>
  <c r="H216" i="2" a="1"/>
  <c r="H216" i="2" s="1"/>
  <c r="I216" i="2" s="1" a="1"/>
  <c r="I216" i="2" s="1"/>
  <c r="P216" i="8"/>
  <c r="H214" i="2" a="1"/>
  <c r="H214" i="2" s="1"/>
  <c r="I214" i="2" s="1" a="1"/>
  <c r="I214" i="2" s="1"/>
  <c r="Y108" i="8"/>
  <c r="W108" i="8"/>
  <c r="X108" i="8" s="1"/>
  <c r="W59" i="8"/>
  <c r="X59" i="8" s="1"/>
  <c r="Y59" i="8"/>
  <c r="Y20" i="8"/>
  <c r="W20" i="8"/>
  <c r="X20" i="8" s="1"/>
  <c r="I4" i="12"/>
  <c r="P214" i="8"/>
  <c r="H98" i="2" a="1"/>
  <c r="H98" i="2" s="1"/>
  <c r="I98" i="2" s="1" a="1"/>
  <c r="I98" i="2" s="1"/>
  <c r="P473" i="8"/>
  <c r="H159" i="2" a="1"/>
  <c r="H159" i="2" s="1"/>
  <c r="I159" i="2" s="1" a="1"/>
  <c r="I159" i="2" s="1"/>
  <c r="P369" i="8"/>
  <c r="H172" i="2" a="1"/>
  <c r="H172" i="2" s="1"/>
  <c r="I172" i="2" s="1" a="1"/>
  <c r="I172" i="2" s="1"/>
  <c r="P528" i="8"/>
  <c r="H134" i="2" a="1"/>
  <c r="H134" i="2" s="1"/>
  <c r="I134" i="2" s="1" a="1"/>
  <c r="I134" i="2" s="1"/>
  <c r="P522" i="8"/>
  <c r="H16" i="2" a="1"/>
  <c r="H16" i="2" s="1"/>
  <c r="I16" i="2" s="1" a="1"/>
  <c r="I16" i="2" s="1"/>
  <c r="P420" i="8"/>
  <c r="H273" i="2" a="1"/>
  <c r="H273" i="2" s="1"/>
  <c r="I273" i="2" s="1" a="1"/>
  <c r="I273" i="2" s="1"/>
  <c r="P510" i="8"/>
  <c r="H298" i="2" a="1"/>
  <c r="H298" i="2" s="1"/>
  <c r="I298" i="2" s="1" a="1"/>
  <c r="I298" i="2" s="1"/>
  <c r="P322" i="8"/>
  <c r="H39" i="2" a="1"/>
  <c r="H39" i="2" s="1"/>
  <c r="I39" i="2" s="1" a="1"/>
  <c r="I39" i="2" s="1"/>
  <c r="P150" i="8"/>
  <c r="H9" i="2" a="1"/>
  <c r="H9" i="2" s="1"/>
  <c r="I9" i="2" s="1" a="1"/>
  <c r="I9" i="2" s="1"/>
  <c r="P204" i="8"/>
  <c r="H76" i="2" a="1"/>
  <c r="H76" i="2" s="1"/>
  <c r="I76" i="2" s="1" a="1"/>
  <c r="I76" i="2" s="1"/>
  <c r="P291" i="8"/>
  <c r="H59" i="2" a="1"/>
  <c r="H59" i="2" s="1"/>
  <c r="I59" i="2" s="1" a="1"/>
  <c r="I59" i="2" s="1"/>
  <c r="P213" i="8"/>
  <c r="H89" i="2" a="1"/>
  <c r="H89" i="2" s="1"/>
  <c r="I89" i="2" s="1" a="1"/>
  <c r="I89" i="2" s="1"/>
  <c r="P163" i="8"/>
  <c r="H190" i="2" a="1"/>
  <c r="H190" i="2" s="1"/>
  <c r="I190" i="2" s="1" a="1"/>
  <c r="I190" i="2" s="1"/>
  <c r="P128" i="8"/>
  <c r="H42" i="2" a="1"/>
  <c r="H42" i="2" s="1"/>
  <c r="I42" i="2" s="1" a="1"/>
  <c r="I42" i="2" s="1"/>
  <c r="P120" i="8"/>
  <c r="H85" i="2" a="1"/>
  <c r="H85" i="2" s="1"/>
  <c r="I85" i="2" s="1" a="1"/>
  <c r="I85" i="2" s="1"/>
  <c r="P165" i="8"/>
  <c r="H250" i="2" a="1"/>
  <c r="H250" i="2" s="1"/>
  <c r="I250" i="2" s="1" a="1"/>
  <c r="I250" i="2" s="1"/>
  <c r="P103" i="8"/>
  <c r="H40" i="2" a="1"/>
  <c r="H40" i="2" s="1"/>
  <c r="I40" i="2" s="1" a="1"/>
  <c r="I40" i="2" s="1"/>
  <c r="Y32" i="8"/>
  <c r="W32" i="8"/>
  <c r="X32" i="8" s="1"/>
  <c r="Y78" i="8"/>
  <c r="W78" i="8"/>
  <c r="X78" i="8" s="1"/>
  <c r="P36" i="8"/>
  <c r="H107" i="2" a="1"/>
  <c r="H107" i="2" s="1"/>
  <c r="I107" i="2" s="1" a="1"/>
  <c r="I107" i="2" s="1"/>
  <c r="Y69" i="8"/>
  <c r="W69" i="8"/>
  <c r="X69" i="8" s="1"/>
  <c r="Y84" i="8"/>
  <c r="W84" i="8"/>
  <c r="X84" i="8" s="1"/>
  <c r="B17" i="1"/>
  <c r="B16" i="1"/>
  <c r="P184" i="8"/>
  <c r="H60" i="2" a="1"/>
  <c r="H60" i="2" s="1"/>
  <c r="I60" i="2" s="1" a="1"/>
  <c r="I60" i="2" s="1"/>
  <c r="P148" i="8"/>
  <c r="H115" i="2" a="1"/>
  <c r="H115" i="2" s="1"/>
  <c r="I115" i="2" s="1" a="1"/>
  <c r="I115" i="2" s="1"/>
  <c r="P173" i="8"/>
  <c r="H251" i="2" a="1"/>
  <c r="H251" i="2" s="1"/>
  <c r="I251" i="2" s="1" a="1"/>
  <c r="I251" i="2" s="1"/>
  <c r="P190" i="8"/>
  <c r="H147" i="2" a="1"/>
  <c r="H147" i="2" s="1"/>
  <c r="I147" i="2" s="1" a="1"/>
  <c r="I147" i="2" s="1"/>
  <c r="P235" i="8"/>
  <c r="H97" i="2" a="1"/>
  <c r="H97" i="2" s="1"/>
  <c r="I97" i="2" s="1" a="1"/>
  <c r="I97" i="2" s="1"/>
  <c r="P210" i="8"/>
  <c r="H269" i="2" a="1"/>
  <c r="H269" i="2" s="1"/>
  <c r="I269" i="2" s="1" a="1"/>
  <c r="I269" i="2" s="1"/>
  <c r="P90" i="8"/>
  <c r="H146" i="2" a="1"/>
  <c r="H146" i="2" s="1"/>
  <c r="I146" i="2" s="1" a="1"/>
  <c r="I146" i="2" s="1"/>
  <c r="P181" i="8"/>
  <c r="H247" i="2" a="1"/>
  <c r="H247" i="2" s="1"/>
  <c r="I247" i="2" s="1" a="1"/>
  <c r="I247" i="2" s="1"/>
  <c r="P130" i="8"/>
  <c r="H149" i="2" a="1"/>
  <c r="H149" i="2" s="1"/>
  <c r="I149" i="2" s="1" a="1"/>
  <c r="I149" i="2" s="1"/>
  <c r="W17" i="8"/>
  <c r="X17" i="8" s="1"/>
  <c r="Y17" i="8"/>
  <c r="P34" i="8"/>
  <c r="H45" i="2" a="1"/>
  <c r="H45" i="2" s="1"/>
  <c r="I45" i="2" s="1" a="1"/>
  <c r="I45" i="2" s="1"/>
  <c r="P25" i="8"/>
  <c r="H196" i="2" a="1"/>
  <c r="H196" i="2" s="1"/>
  <c r="I196" i="2" s="1" a="1"/>
  <c r="I196" i="2" s="1"/>
  <c r="Y40" i="8"/>
  <c r="W40" i="8"/>
  <c r="X40" i="8" s="1"/>
  <c r="P66" i="8"/>
  <c r="H26" i="2" a="1"/>
  <c r="H26" i="2" s="1"/>
  <c r="I26" i="2" s="1" a="1"/>
  <c r="I26" i="2" s="1"/>
  <c r="W53" i="8"/>
  <c r="X53" i="8" s="1"/>
  <c r="Y53" i="8"/>
  <c r="Y68" i="8"/>
  <c r="W68" i="8"/>
  <c r="X68" i="8" s="1"/>
  <c r="B19" i="1"/>
  <c r="P162" i="8"/>
  <c r="H188" i="2" a="1"/>
  <c r="H188" i="2" s="1"/>
  <c r="I188" i="2" s="1" a="1"/>
  <c r="I188" i="2" s="1"/>
  <c r="P171" i="8"/>
  <c r="H169" i="2" a="1"/>
  <c r="H169" i="2" s="1"/>
  <c r="I169" i="2" s="1" a="1"/>
  <c r="I169" i="2" s="1"/>
  <c r="P263" i="8"/>
  <c r="H72" i="2" a="1"/>
  <c r="H72" i="2" s="1"/>
  <c r="I72" i="2" s="1" a="1"/>
  <c r="I72" i="2" s="1"/>
  <c r="P88" i="8"/>
  <c r="H14" i="2" a="1"/>
  <c r="H14" i="2" s="1"/>
  <c r="I14" i="2" s="1" a="1"/>
  <c r="I14" i="2" s="1"/>
  <c r="P74" i="8"/>
  <c r="H121" i="2" a="1"/>
  <c r="H121" i="2" s="1"/>
  <c r="I121" i="2" s="1" a="1"/>
  <c r="I121" i="2" s="1"/>
  <c r="W48" i="8"/>
  <c r="X48" i="8" s="1"/>
  <c r="Y48" i="8"/>
  <c r="P113" i="8"/>
  <c r="H127" i="2" a="1"/>
  <c r="H127" i="2" s="1"/>
  <c r="I127" i="2" s="1" a="1"/>
  <c r="I127" i="2" s="1"/>
  <c r="P154" i="8"/>
  <c r="H228" i="2" a="1"/>
  <c r="H228" i="2" s="1"/>
  <c r="I228" i="2" s="1" a="1"/>
  <c r="I228" i="2" s="1"/>
  <c r="P24" i="8"/>
  <c r="H278" i="2" a="1"/>
  <c r="H278" i="2" s="1"/>
  <c r="I278" i="2" s="1" a="1"/>
  <c r="I278" i="2" s="1"/>
  <c r="W25" i="8"/>
  <c r="X25" i="8" s="1"/>
  <c r="Y25" i="8"/>
  <c r="P57" i="8"/>
  <c r="H170" i="2" a="1"/>
  <c r="H170" i="2" s="1"/>
  <c r="I170" i="2" s="1" a="1"/>
  <c r="I170" i="2" s="1"/>
  <c r="W38" i="8"/>
  <c r="X38" i="8" s="1"/>
  <c r="Y38" i="8"/>
  <c r="Y52" i="8"/>
  <c r="W52" i="8"/>
  <c r="X52" i="8" s="1"/>
  <c r="G53" i="1"/>
  <c r="Q305" i="11"/>
  <c r="Q270" i="11"/>
  <c r="Q161" i="11"/>
  <c r="Q154" i="11"/>
  <c r="Q126" i="11"/>
  <c r="Q99" i="11"/>
  <c r="Q284" i="11"/>
  <c r="Q73" i="11"/>
  <c r="P317" i="8"/>
  <c r="H283" i="2" a="1"/>
  <c r="H283" i="2" s="1"/>
  <c r="I283" i="2" s="1" a="1"/>
  <c r="I283" i="2" s="1"/>
  <c r="P434" i="8"/>
  <c r="H124" i="2" a="1"/>
  <c r="H124" i="2" s="1"/>
  <c r="I124" i="2" s="1" a="1"/>
  <c r="I124" i="2" s="1"/>
  <c r="P490" i="8"/>
  <c r="H180" i="2" a="1"/>
  <c r="H180" i="2" s="1"/>
  <c r="I180" i="2" s="1" a="1"/>
  <c r="I180" i="2" s="1"/>
  <c r="P3" i="8"/>
  <c r="H80" i="2" a="1"/>
  <c r="H80" i="2" s="1"/>
  <c r="I80" i="2" s="1" a="1"/>
  <c r="I80" i="2" s="1"/>
  <c r="B4" i="12"/>
  <c r="P463" i="8"/>
  <c r="H119" i="2" a="1"/>
  <c r="H119" i="2" s="1"/>
  <c r="I119" i="2" s="1" a="1"/>
  <c r="I119" i="2" s="1"/>
  <c r="P370" i="8"/>
  <c r="H183" i="2" a="1"/>
  <c r="H183" i="2" s="1"/>
  <c r="I183" i="2" s="1" a="1"/>
  <c r="I183" i="2" s="1"/>
  <c r="Q167" i="11"/>
  <c r="Q166" i="11"/>
  <c r="Q139" i="11"/>
  <c r="Q244" i="11"/>
  <c r="Q242" i="11"/>
  <c r="Q239" i="11"/>
  <c r="Q135" i="11"/>
  <c r="Q128" i="11"/>
  <c r="Q30" i="11"/>
  <c r="Q75" i="11"/>
  <c r="Q256" i="11"/>
  <c r="Q25" i="11"/>
  <c r="P506" i="8"/>
  <c r="H294" i="2" a="1"/>
  <c r="H294" i="2" s="1"/>
  <c r="I294" i="2" s="1" a="1"/>
  <c r="I294" i="2" s="1"/>
  <c r="E8" i="12"/>
  <c r="P435" i="8"/>
  <c r="H246" i="2" a="1"/>
  <c r="H246" i="2" s="1"/>
  <c r="I246" i="2" s="1" a="1"/>
  <c r="I246" i="2" s="1"/>
  <c r="P244" i="8"/>
  <c r="H156" i="2" a="1"/>
  <c r="H156" i="2" s="1"/>
  <c r="I156" i="2" s="1" a="1"/>
  <c r="I156" i="2" s="1"/>
  <c r="G7" i="12"/>
  <c r="P352" i="8"/>
  <c r="H84" i="2" a="1"/>
  <c r="H84" i="2" s="1"/>
  <c r="I84" i="2" s="1" a="1"/>
  <c r="I84" i="2" s="1"/>
  <c r="P356" i="8"/>
  <c r="H263" i="2" a="1"/>
  <c r="H263" i="2" s="1"/>
  <c r="I263" i="2" s="1" a="1"/>
  <c r="I263" i="2" s="1"/>
  <c r="P515" i="8"/>
  <c r="H302" i="2" a="1"/>
  <c r="H302" i="2" s="1"/>
  <c r="I302" i="2" s="1" a="1"/>
  <c r="I302" i="2" s="1"/>
  <c r="B3" i="12"/>
  <c r="Y67" i="8"/>
  <c r="W67" i="8"/>
  <c r="X67" i="8" s="1"/>
  <c r="P172" i="8"/>
  <c r="H210" i="2" a="1"/>
  <c r="H210" i="2" s="1"/>
  <c r="I210" i="2" s="1" a="1"/>
  <c r="I210" i="2" s="1"/>
  <c r="P108" i="8"/>
  <c r="H5" i="2" a="1"/>
  <c r="H5" i="2" s="1"/>
  <c r="I5" i="2" s="1" a="1"/>
  <c r="I5" i="2" s="1"/>
  <c r="P274" i="8"/>
  <c r="H37" i="2" a="1"/>
  <c r="H37" i="2" s="1"/>
  <c r="I37" i="2" s="1" a="1"/>
  <c r="I37" i="2" s="1"/>
  <c r="P241" i="8"/>
  <c r="H120" i="2" a="1"/>
  <c r="H120" i="2" s="1"/>
  <c r="I120" i="2" s="1" a="1"/>
  <c r="I120" i="2" s="1"/>
  <c r="P209" i="8"/>
  <c r="H261" i="2" a="1"/>
  <c r="H261" i="2" s="1"/>
  <c r="I261" i="2" s="1" a="1"/>
  <c r="I261" i="2" s="1"/>
  <c r="P483" i="8"/>
  <c r="H66" i="2" a="1"/>
  <c r="H66" i="2" s="1"/>
  <c r="I66" i="2" s="1" a="1"/>
  <c r="I66" i="2" s="1"/>
  <c r="P341" i="8"/>
  <c r="H106" i="2" a="1"/>
  <c r="H106" i="2" s="1"/>
  <c r="I106" i="2" s="1" a="1"/>
  <c r="I106" i="2" s="1"/>
  <c r="P519" i="8"/>
  <c r="H306" i="2" a="1"/>
  <c r="H306" i="2" s="1"/>
  <c r="I306" i="2" s="1" a="1"/>
  <c r="I306" i="2" s="1"/>
  <c r="P470" i="8"/>
  <c r="H35" i="2" a="1"/>
  <c r="H35" i="2" s="1"/>
  <c r="I35" i="2" s="1" a="1"/>
  <c r="I35" i="2" s="1"/>
  <c r="P324" i="8"/>
  <c r="H167" i="2" a="1"/>
  <c r="H167" i="2" s="1"/>
  <c r="I167" i="2" s="1" a="1"/>
  <c r="I167" i="2" s="1"/>
  <c r="P338" i="8"/>
  <c r="H67" i="2" a="1"/>
  <c r="H67" i="2" s="1"/>
  <c r="I67" i="2" s="1" a="1"/>
  <c r="I67" i="2" s="1"/>
  <c r="P530" i="8"/>
  <c r="H220" i="2" a="1"/>
  <c r="H220" i="2" s="1"/>
  <c r="I220" i="2" s="1" a="1"/>
  <c r="I220" i="2" s="1"/>
  <c r="P445" i="8"/>
  <c r="H262" i="2" a="1"/>
  <c r="H262" i="2" s="1"/>
  <c r="I262" i="2" s="1" a="1"/>
  <c r="I262" i="2" s="1"/>
  <c r="P160" i="8"/>
  <c r="H104" i="2" a="1"/>
  <c r="H104" i="2" s="1"/>
  <c r="I104" i="2" s="1" a="1"/>
  <c r="I104" i="2" s="1"/>
  <c r="P107" i="8"/>
  <c r="H181" i="2" a="1"/>
  <c r="H181" i="2" s="1"/>
  <c r="I181" i="2" s="1" a="1"/>
  <c r="I181" i="2" s="1"/>
  <c r="P166" i="8"/>
  <c r="H6" i="2" a="1"/>
  <c r="H6" i="2" s="1"/>
  <c r="I6" i="2" s="1" a="1"/>
  <c r="I6" i="2" s="1"/>
  <c r="P152" i="8"/>
  <c r="H65" i="2" a="1"/>
  <c r="H65" i="2" s="1"/>
  <c r="I65" i="2" s="1" a="1"/>
  <c r="I65" i="2" s="1"/>
  <c r="P124" i="8"/>
  <c r="H56" i="2" a="1"/>
  <c r="H56" i="2" s="1"/>
  <c r="I56" i="2" s="1" a="1"/>
  <c r="I56" i="2" s="1"/>
  <c r="Y31" i="8"/>
  <c r="W31" i="8"/>
  <c r="X31" i="8" s="1"/>
  <c r="P21" i="8"/>
  <c r="H230" i="2" a="1"/>
  <c r="H230" i="2" s="1"/>
  <c r="I230" i="2" s="1" a="1"/>
  <c r="I230" i="2" s="1"/>
  <c r="W9" i="8"/>
  <c r="X9" i="8" s="1"/>
  <c r="Y9" i="8"/>
  <c r="P53" i="8"/>
  <c r="H202" i="2" a="1"/>
  <c r="H202" i="2" s="1"/>
  <c r="I202" i="2" s="1" a="1"/>
  <c r="I202" i="2" s="1"/>
  <c r="G73" i="1"/>
  <c r="P516" i="8"/>
  <c r="H303" i="2" a="1"/>
  <c r="H303" i="2" s="1"/>
  <c r="I303" i="2" s="1" a="1"/>
  <c r="I303" i="2" s="1"/>
  <c r="P125" i="8"/>
  <c r="H118" i="2" a="1"/>
  <c r="H118" i="2" s="1"/>
  <c r="I118" i="2" s="1" a="1"/>
  <c r="I118" i="2" s="1"/>
  <c r="Q65" i="11"/>
  <c r="Q245" i="11"/>
  <c r="Q136" i="11"/>
  <c r="Q232" i="11"/>
  <c r="Q127" i="11"/>
  <c r="Q205" i="11"/>
  <c r="Q100" i="11"/>
  <c r="Q177" i="11"/>
  <c r="Q17" i="11"/>
  <c r="P492" i="8"/>
  <c r="H143" i="2" a="1"/>
  <c r="H143" i="2" s="1"/>
  <c r="I143" i="2" s="1" a="1"/>
  <c r="I143" i="2" s="1"/>
  <c r="F8" i="12"/>
  <c r="P436" i="8"/>
  <c r="H259" i="2" a="1"/>
  <c r="H259" i="2" s="1"/>
  <c r="I259" i="2" s="1" a="1"/>
  <c r="I259" i="2" s="1"/>
  <c r="P511" i="8"/>
  <c r="H299" i="2" a="1"/>
  <c r="H299" i="2" s="1"/>
  <c r="I299" i="2" s="1" a="1"/>
  <c r="I299" i="2" s="1"/>
  <c r="P418" i="8"/>
  <c r="H242" i="2" a="1"/>
  <c r="H242" i="2" s="1"/>
  <c r="I242" i="2" s="1" a="1"/>
  <c r="I242" i="2" s="1"/>
  <c r="P505" i="8"/>
  <c r="H293" i="2" a="1"/>
  <c r="H293" i="2" s="1"/>
  <c r="I293" i="2" s="1" a="1"/>
  <c r="I293" i="2" s="1"/>
  <c r="H7" i="12"/>
  <c r="P416" i="8"/>
  <c r="H144" i="2" a="1"/>
  <c r="H144" i="2" s="1"/>
  <c r="I144" i="2" s="1" a="1"/>
  <c r="I144" i="2" s="1"/>
  <c r="P462" i="8"/>
  <c r="H100" i="2" a="1"/>
  <c r="H100" i="2" s="1"/>
  <c r="I100" i="2" s="1" a="1"/>
  <c r="I100" i="2" s="1"/>
  <c r="P460" i="8"/>
  <c r="H112" i="2" a="1"/>
  <c r="H112" i="2" s="1"/>
  <c r="I112" i="2" s="1" a="1"/>
  <c r="I112" i="2" s="1"/>
  <c r="P354" i="8"/>
  <c r="H244" i="2" a="1"/>
  <c r="H244" i="2" s="1"/>
  <c r="I244" i="2" s="1" a="1"/>
  <c r="I244" i="2" s="1"/>
  <c r="P340" i="8"/>
  <c r="H82" i="2" a="1"/>
  <c r="H82" i="2" s="1"/>
  <c r="I82" i="2" s="1" a="1"/>
  <c r="I82" i="2" s="1"/>
  <c r="Y54" i="8"/>
  <c r="W54" i="8"/>
  <c r="X54" i="8" s="1"/>
  <c r="P264" i="8"/>
  <c r="H99" i="2" a="1"/>
  <c r="H99" i="2" s="1"/>
  <c r="I99" i="2" s="1" a="1"/>
  <c r="I99" i="2" s="1"/>
  <c r="B6" i="12"/>
  <c r="P242" i="8"/>
  <c r="H142" i="2" a="1"/>
  <c r="H142" i="2" s="1"/>
  <c r="I142" i="2" s="1" a="1"/>
  <c r="I142" i="2" s="1"/>
  <c r="P295" i="8"/>
  <c r="H178" i="2" a="1"/>
  <c r="H178" i="2" s="1"/>
  <c r="I178" i="2" s="1" a="1"/>
  <c r="I178" i="2" s="1"/>
  <c r="P498" i="8"/>
  <c r="H114" i="2" a="1"/>
  <c r="H114" i="2" s="1"/>
  <c r="I114" i="2" s="1" a="1"/>
  <c r="I114" i="2" s="1"/>
  <c r="P358" i="8"/>
  <c r="H52" i="2" a="1"/>
  <c r="H52" i="2" s="1"/>
  <c r="I52" i="2" s="1" a="1"/>
  <c r="I52" i="2" s="1"/>
  <c r="P362" i="8"/>
  <c r="H161" i="2" a="1"/>
  <c r="H161" i="2" s="1"/>
  <c r="I161" i="2" s="1" a="1"/>
  <c r="I161" i="2" s="1"/>
  <c r="P372" i="8"/>
  <c r="H239" i="2" a="1"/>
  <c r="H239" i="2" s="1"/>
  <c r="I239" i="2" s="1" a="1"/>
  <c r="I239" i="2" s="1"/>
  <c r="P451" i="8"/>
  <c r="H207" i="2" a="1"/>
  <c r="H207" i="2" s="1"/>
  <c r="I207" i="2" s="1" a="1"/>
  <c r="I207" i="2" s="1"/>
  <c r="P164" i="8"/>
  <c r="H222" i="2" a="1"/>
  <c r="H222" i="2" s="1"/>
  <c r="I222" i="2" s="1" a="1"/>
  <c r="I222" i="2" s="1"/>
  <c r="P146" i="8"/>
  <c r="H90" i="2" a="1"/>
  <c r="H90" i="2" s="1"/>
  <c r="I90" i="2" s="1" a="1"/>
  <c r="I90" i="2" s="1"/>
  <c r="P168" i="8"/>
  <c r="H43" i="2" a="1"/>
  <c r="H43" i="2" s="1"/>
  <c r="I43" i="2" s="1" a="1"/>
  <c r="I43" i="2" s="1"/>
  <c r="P187" i="8"/>
  <c r="H131" i="2" a="1"/>
  <c r="H131" i="2" s="1"/>
  <c r="I131" i="2" s="1" a="1"/>
  <c r="I131" i="2" s="1"/>
  <c r="P92" i="8"/>
  <c r="H162" i="2" a="1"/>
  <c r="H162" i="2" s="1"/>
  <c r="I162" i="2" s="1" a="1"/>
  <c r="I162" i="2" s="1"/>
  <c r="Y165" i="8"/>
  <c r="W165" i="8"/>
  <c r="X165" i="8" s="1"/>
  <c r="P112" i="8"/>
  <c r="H101" i="2" a="1"/>
  <c r="H101" i="2" s="1"/>
  <c r="I101" i="2" s="1" a="1"/>
  <c r="I101" i="2" s="1"/>
  <c r="Y16" i="8"/>
  <c r="W16" i="8"/>
  <c r="X16" i="8" s="1"/>
  <c r="P132" i="8"/>
  <c r="H233" i="2" a="1"/>
  <c r="H233" i="2" s="1"/>
  <c r="I233" i="2" s="1" a="1"/>
  <c r="I233" i="2" s="1"/>
  <c r="P6" i="8"/>
  <c r="H256" i="2" a="1"/>
  <c r="H256" i="2" s="1"/>
  <c r="I256" i="2" s="1" a="1"/>
  <c r="I256" i="2" s="1"/>
  <c r="W6" i="8"/>
  <c r="X6" i="8" s="1"/>
  <c r="Y6" i="8"/>
  <c r="Y21" i="8"/>
  <c r="W21" i="8"/>
  <c r="X21" i="8" s="1"/>
  <c r="H65" i="1"/>
  <c r="P212" i="8"/>
  <c r="H73" i="2" a="1"/>
  <c r="H73" i="2" s="1"/>
  <c r="I73" i="2" s="1" a="1"/>
  <c r="I73" i="2" s="1"/>
  <c r="P512" i="8"/>
  <c r="H300" i="2" a="1"/>
  <c r="H300" i="2" s="1"/>
  <c r="I300" i="2" s="1" a="1"/>
  <c r="I300" i="2" s="1"/>
  <c r="P336" i="8"/>
  <c r="H238" i="2" a="1"/>
  <c r="H238" i="2" s="1"/>
  <c r="I238" i="2" s="1" a="1"/>
  <c r="I238" i="2" s="1"/>
  <c r="P454" i="8"/>
  <c r="H77" i="2" a="1"/>
  <c r="H77" i="2" s="1"/>
  <c r="I77" i="2" s="1" a="1"/>
  <c r="I77" i="2" s="1"/>
  <c r="Q247" i="11"/>
  <c r="Q42" i="11"/>
  <c r="Q41" i="11"/>
  <c r="Q110" i="11"/>
  <c r="Q213" i="11"/>
  <c r="Q109" i="11"/>
  <c r="Q207" i="11"/>
  <c r="Q101" i="11"/>
  <c r="Q286" i="11"/>
  <c r="Q51" i="11"/>
  <c r="Q149" i="11"/>
  <c r="Q48" i="11"/>
  <c r="P469" i="8"/>
  <c r="H232" i="2" a="1"/>
  <c r="H232" i="2" s="1"/>
  <c r="I232" i="2" s="1" a="1"/>
  <c r="I232" i="2" s="1"/>
  <c r="P378" i="8"/>
  <c r="H165" i="2" a="1"/>
  <c r="H165" i="2" s="1"/>
  <c r="I165" i="2" s="1" a="1"/>
  <c r="I165" i="2" s="1"/>
  <c r="P414" i="8"/>
  <c r="H70" i="2" a="1"/>
  <c r="H70" i="2" s="1"/>
  <c r="I70" i="2" s="1" a="1"/>
  <c r="I70" i="2" s="1"/>
  <c r="P486" i="8"/>
  <c r="H111" i="2" a="1"/>
  <c r="H111" i="2" s="1"/>
  <c r="I111" i="2" s="1" a="1"/>
  <c r="I111" i="2" s="1"/>
  <c r="I7" i="12"/>
  <c r="P527" i="8"/>
  <c r="H126" i="2" a="1"/>
  <c r="H126" i="2" s="1"/>
  <c r="I126" i="2" s="1" a="1"/>
  <c r="I126" i="2" s="1"/>
  <c r="P507" i="8"/>
  <c r="H295" i="2" a="1"/>
  <c r="H295" i="2" s="1"/>
  <c r="I295" i="2" s="1" a="1"/>
  <c r="I295" i="2" s="1"/>
  <c r="P402" i="8"/>
  <c r="H287" i="2" a="1"/>
  <c r="H287" i="2" s="1"/>
  <c r="I287" i="2" s="1" a="1"/>
  <c r="I287" i="2" s="1"/>
  <c r="P450" i="8"/>
  <c r="H201" i="2" a="1"/>
  <c r="H201" i="2" s="1"/>
  <c r="I201" i="2" s="1" a="1"/>
  <c r="I201" i="2" s="1"/>
  <c r="P339" i="8"/>
  <c r="H71" i="2" a="1"/>
  <c r="H71" i="2" s="1"/>
  <c r="I71" i="2" s="1" a="1"/>
  <c r="I71" i="2" s="1"/>
  <c r="P333" i="8"/>
  <c r="H185" i="2" a="1"/>
  <c r="H185" i="2" s="1"/>
  <c r="I185" i="2" s="1" a="1"/>
  <c r="I185" i="2" s="1"/>
  <c r="B5" i="12"/>
  <c r="D3" i="12"/>
  <c r="W41" i="8"/>
  <c r="X41" i="8" s="1"/>
  <c r="Y41" i="8"/>
  <c r="D6" i="12"/>
  <c r="P278" i="8"/>
  <c r="H235" i="2" a="1"/>
  <c r="H235" i="2" s="1"/>
  <c r="I235" i="2" s="1" a="1"/>
  <c r="I235" i="2" s="1"/>
  <c r="P335" i="8"/>
  <c r="H194" i="2" a="1"/>
  <c r="H194" i="2" s="1"/>
  <c r="I194" i="2" s="1" a="1"/>
  <c r="I194" i="2" s="1"/>
  <c r="P351" i="8"/>
  <c r="H53" i="2" a="1"/>
  <c r="H53" i="2" s="1"/>
  <c r="I53" i="2" s="1" a="1"/>
  <c r="I53" i="2" s="1"/>
  <c r="P518" i="8"/>
  <c r="H305" i="2" a="1"/>
  <c r="H305" i="2" s="1"/>
  <c r="I305" i="2" s="1" a="1"/>
  <c r="I305" i="2" s="1"/>
  <c r="P413" i="8"/>
  <c r="H11" i="2" a="1"/>
  <c r="H11" i="2" s="1"/>
  <c r="I11" i="2" s="1" a="1"/>
  <c r="I11" i="2" s="1"/>
  <c r="P456" i="8"/>
  <c r="H163" i="2" a="1"/>
  <c r="H163" i="2" s="1"/>
  <c r="I163" i="2" s="1" a="1"/>
  <c r="I163" i="2" s="1"/>
  <c r="P55" i="8"/>
  <c r="H21" i="2" a="1"/>
  <c r="H21" i="2" s="1"/>
  <c r="I21" i="2" s="1" a="1"/>
  <c r="I21" i="2" s="1"/>
  <c r="P237" i="8"/>
  <c r="H209" i="2" a="1"/>
  <c r="H209" i="2" s="1"/>
  <c r="I209" i="2" s="1" a="1"/>
  <c r="I209" i="2" s="1"/>
  <c r="P23" i="8"/>
  <c r="H271" i="2" a="1"/>
  <c r="H271" i="2" s="1"/>
  <c r="I271" i="2" s="1" a="1"/>
  <c r="I271" i="2" s="1"/>
  <c r="P131" i="8"/>
  <c r="H227" i="2" a="1"/>
  <c r="H227" i="2" s="1"/>
  <c r="I227" i="2" s="1" a="1"/>
  <c r="I227" i="2" s="1"/>
  <c r="P161" i="8"/>
  <c r="H186" i="2" a="1"/>
  <c r="H186" i="2" s="1"/>
  <c r="I186" i="2" s="1" a="1"/>
  <c r="I186" i="2" s="1"/>
  <c r="P51" i="8"/>
  <c r="H135" i="2" a="1"/>
  <c r="H135" i="2" s="1"/>
  <c r="I135" i="2" s="1" a="1"/>
  <c r="I135" i="2" s="1"/>
  <c r="P70" i="8"/>
  <c r="H276" i="2" a="1"/>
  <c r="H276" i="2" s="1"/>
  <c r="I276" i="2" s="1" a="1"/>
  <c r="I276" i="2" s="1"/>
  <c r="P19" i="8"/>
  <c r="H95" i="2" a="1"/>
  <c r="H95" i="2" s="1"/>
  <c r="I95" i="2" s="1" a="1"/>
  <c r="I95" i="2" s="1"/>
  <c r="Y147" i="8"/>
  <c r="W147" i="8"/>
  <c r="X147" i="8" s="1"/>
  <c r="P122" i="8"/>
  <c r="H31" i="2" a="1"/>
  <c r="H31" i="2" s="1"/>
  <c r="I31" i="2" s="1" a="1"/>
  <c r="I31" i="2" s="1"/>
  <c r="P49" i="8"/>
  <c r="H96" i="2" a="1"/>
  <c r="H96" i="2" s="1"/>
  <c r="I96" i="2" s="1" a="1"/>
  <c r="I96" i="2" s="1"/>
  <c r="W5" i="8"/>
  <c r="X5" i="8" s="1"/>
  <c r="Y5" i="8"/>
  <c r="C20" i="1"/>
  <c r="G57" i="1"/>
  <c r="P337" i="8"/>
  <c r="H192" i="2" a="1"/>
  <c r="H192" i="2" s="1"/>
  <c r="I192" i="2" s="1" a="1"/>
  <c r="I192" i="2" s="1"/>
  <c r="Q275" i="11"/>
  <c r="Q66" i="11"/>
  <c r="Q304" i="11"/>
  <c r="Q273" i="11"/>
  <c r="Q165" i="11"/>
  <c r="Q40" i="11"/>
  <c r="Q138" i="11"/>
  <c r="Q37" i="11"/>
  <c r="Q233" i="11"/>
  <c r="Q231" i="11"/>
  <c r="P457" i="8"/>
  <c r="H187" i="2" a="1"/>
  <c r="H187" i="2" s="1"/>
  <c r="I187" i="2" s="1" a="1"/>
  <c r="I187" i="2" s="1"/>
  <c r="P330" i="8"/>
  <c r="H199" i="2" a="1"/>
  <c r="H199" i="2" s="1"/>
  <c r="I199" i="2" s="1" a="1"/>
  <c r="I199" i="2" s="1"/>
  <c r="P366" i="8"/>
  <c r="H252" i="2" a="1"/>
  <c r="H252" i="2" s="1"/>
  <c r="I252" i="2" s="1" a="1"/>
  <c r="I252" i="2" s="1"/>
  <c r="P328" i="8"/>
  <c r="H29" i="2" a="1"/>
  <c r="H29" i="2" s="1"/>
  <c r="I29" i="2" s="1" a="1"/>
  <c r="I29" i="2" s="1"/>
  <c r="P466" i="8"/>
  <c r="H174" i="2" a="1"/>
  <c r="H174" i="2" s="1"/>
  <c r="I174" i="2" s="1" a="1"/>
  <c r="I174" i="2" s="1"/>
  <c r="P316" i="8"/>
  <c r="H141" i="2" a="1"/>
  <c r="H141" i="2" s="1"/>
  <c r="I141" i="2" s="1" a="1"/>
  <c r="I141" i="2" s="1"/>
  <c r="P419" i="8"/>
  <c r="H267" i="2" a="1"/>
  <c r="H267" i="2" s="1"/>
  <c r="I267" i="2" s="1" a="1"/>
  <c r="I267" i="2" s="1"/>
  <c r="P501" i="8"/>
  <c r="H234" i="2" a="1"/>
  <c r="H234" i="2" s="1"/>
  <c r="I234" i="2" s="1" a="1"/>
  <c r="I234" i="2" s="1"/>
  <c r="P236" i="8"/>
  <c r="H139" i="2" a="1"/>
  <c r="H139" i="2" s="1"/>
  <c r="I139" i="2" s="1" a="1"/>
  <c r="I139" i="2" s="1"/>
  <c r="Y28" i="8"/>
  <c r="W28" i="8"/>
  <c r="X28" i="8" s="1"/>
  <c r="C2" i="12"/>
  <c r="C4" i="12"/>
  <c r="K4" i="12" s="1"/>
  <c r="P127" i="8"/>
  <c r="H81" i="2" a="1"/>
  <c r="H81" i="2" s="1"/>
  <c r="I81" i="2" s="1" a="1"/>
  <c r="I81" i="2" s="1"/>
  <c r="P331" i="8"/>
  <c r="H279" i="2" a="1"/>
  <c r="H279" i="2" s="1"/>
  <c r="I279" i="2" s="1" a="1"/>
  <c r="I279" i="2" s="1"/>
  <c r="P289" i="8"/>
  <c r="H8" i="2" a="1"/>
  <c r="H8" i="2" s="1"/>
  <c r="I8" i="2" s="1" a="1"/>
  <c r="I8" i="2" s="1"/>
  <c r="P293" i="8"/>
  <c r="H83" i="2" a="1"/>
  <c r="H83" i="2" s="1"/>
  <c r="I83" i="2" s="1" a="1"/>
  <c r="I83" i="2" s="1"/>
  <c r="P455" i="8"/>
  <c r="H125" i="2" a="1"/>
  <c r="H125" i="2" s="1"/>
  <c r="I125" i="2" s="1" a="1"/>
  <c r="I125" i="2" s="1"/>
  <c r="P464" i="8"/>
  <c r="H154" i="2" a="1"/>
  <c r="H154" i="2" s="1"/>
  <c r="I154" i="2" s="1" a="1"/>
  <c r="I154" i="2" s="1"/>
  <c r="P536" i="8"/>
  <c r="H254" i="2" a="1"/>
  <c r="H254" i="2" s="1"/>
  <c r="I254" i="2" s="1" a="1"/>
  <c r="I254" i="2" s="1"/>
  <c r="P401" i="8"/>
  <c r="H268" i="2" a="1"/>
  <c r="H268" i="2" s="1"/>
  <c r="I268" i="2" s="1" a="1"/>
  <c r="I268" i="2" s="1"/>
  <c r="P465" i="8"/>
  <c r="H157" i="2" a="1"/>
  <c r="H157" i="2" s="1"/>
  <c r="I157" i="2" s="1" a="1"/>
  <c r="I157" i="2" s="1"/>
  <c r="P243" i="8"/>
  <c r="H145" i="2" a="1"/>
  <c r="H145" i="2" s="1"/>
  <c r="I145" i="2" s="1" a="1"/>
  <c r="I145" i="2" s="1"/>
  <c r="P174" i="8"/>
  <c r="H206" i="2" a="1"/>
  <c r="H206" i="2" s="1"/>
  <c r="I206" i="2" s="1" a="1"/>
  <c r="I206" i="2" s="1"/>
  <c r="P114" i="8"/>
  <c r="H219" i="2" a="1"/>
  <c r="H219" i="2" s="1"/>
  <c r="I219" i="2" s="1" a="1"/>
  <c r="I219" i="2" s="1"/>
  <c r="P155" i="8"/>
  <c r="H277" i="2" a="1"/>
  <c r="H277" i="2" s="1"/>
  <c r="I277" i="2" s="1" a="1"/>
  <c r="I277" i="2" s="1"/>
  <c r="P149" i="8"/>
  <c r="H286" i="2" a="1"/>
  <c r="H286" i="2" s="1"/>
  <c r="I286" i="2" s="1" a="1"/>
  <c r="I286" i="2" s="1"/>
  <c r="P102" i="8"/>
  <c r="H241" i="2" a="1"/>
  <c r="H241" i="2" s="1"/>
  <c r="I241" i="2" s="1" a="1"/>
  <c r="I241" i="2" s="1"/>
  <c r="Y90" i="8"/>
  <c r="W90" i="8"/>
  <c r="X90" i="8" s="1"/>
  <c r="P30" i="8"/>
  <c r="H129" i="2" a="1"/>
  <c r="H129" i="2" s="1"/>
  <c r="I129" i="2" s="1" a="1"/>
  <c r="I129" i="2" s="1"/>
  <c r="P31" i="8"/>
  <c r="H184" i="2" a="1"/>
  <c r="H184" i="2" s="1"/>
  <c r="I184" i="2" s="1" a="1"/>
  <c r="I184" i="2" s="1"/>
  <c r="H37" i="1"/>
  <c r="P203" i="8"/>
  <c r="H243" i="2" a="1"/>
  <c r="H243" i="2" s="1"/>
  <c r="I243" i="2" s="1" a="1"/>
  <c r="I243" i="2" s="1"/>
  <c r="P532" i="8"/>
  <c r="H4" i="2" a="1"/>
  <c r="H4" i="2" s="1"/>
  <c r="I4" i="2" s="1" a="1"/>
  <c r="I4" i="2" s="1"/>
  <c r="P499" i="8"/>
  <c r="H200" i="2" a="1"/>
  <c r="H200" i="2" s="1"/>
  <c r="I200" i="2" s="1" a="1"/>
  <c r="I200" i="2" s="1"/>
  <c r="P318" i="8"/>
  <c r="H284" i="2" a="1"/>
  <c r="H284" i="2" s="1"/>
  <c r="I284" i="2" s="1" a="1"/>
  <c r="I284" i="2" s="1"/>
  <c r="P520" i="8"/>
  <c r="H168" i="2" a="1"/>
  <c r="H168" i="2" s="1"/>
  <c r="I168" i="2" s="1" a="1"/>
  <c r="I168" i="2" s="1"/>
  <c r="P390" i="8"/>
  <c r="H128" i="2" a="1"/>
  <c r="H128" i="2" s="1"/>
  <c r="I128" i="2" s="1" a="1"/>
  <c r="I128" i="2" s="1"/>
  <c r="P265" i="8"/>
  <c r="H138" i="2" a="1"/>
  <c r="H138" i="2" s="1"/>
  <c r="I138" i="2" s="1" a="1"/>
  <c r="I138" i="2" s="1"/>
  <c r="P415" i="8"/>
  <c r="H108" i="2" a="1"/>
  <c r="H108" i="2" s="1"/>
  <c r="I108" i="2" s="1" a="1"/>
  <c r="I108" i="2" s="1"/>
  <c r="B7" i="12"/>
  <c r="P320" i="8"/>
  <c r="H203" i="2" a="1"/>
  <c r="H203" i="2" s="1"/>
  <c r="I203" i="2" s="1" a="1"/>
  <c r="I203" i="2" s="1"/>
  <c r="P329" i="8"/>
  <c r="H158" i="2" a="1"/>
  <c r="H158" i="2" s="1"/>
  <c r="I158" i="2" s="1" a="1"/>
  <c r="I158" i="2" s="1"/>
  <c r="E5" i="12"/>
  <c r="F3" i="12"/>
  <c r="K3" i="12" s="1"/>
  <c r="Y15" i="8"/>
  <c r="W15" i="8"/>
  <c r="X15" i="8" s="1"/>
  <c r="P234" i="8"/>
  <c r="H86" i="2" a="1"/>
  <c r="H86" i="2" s="1"/>
  <c r="I86" i="2" s="1" a="1"/>
  <c r="I86" i="2" s="1"/>
  <c r="P176" i="8"/>
  <c r="H117" i="2" a="1"/>
  <c r="H117" i="2" s="1"/>
  <c r="I117" i="2" s="1" a="1"/>
  <c r="I117" i="2" s="1"/>
  <c r="D2" i="12"/>
  <c r="D9" i="12" s="1"/>
  <c r="D4" i="12"/>
  <c r="P215" i="8"/>
  <c r="H130" i="2" a="1"/>
  <c r="H130" i="2" s="1"/>
  <c r="I130" i="2" s="1" a="1"/>
  <c r="I130" i="2" s="1"/>
  <c r="P334" i="8"/>
  <c r="H191" i="2" a="1"/>
  <c r="H191" i="2" s="1"/>
  <c r="I191" i="2" s="1" a="1"/>
  <c r="I191" i="2" s="1"/>
  <c r="P296" i="8"/>
  <c r="H211" i="2" a="1"/>
  <c r="H211" i="2" s="1"/>
  <c r="I211" i="2" s="1" a="1"/>
  <c r="I211" i="2" s="1"/>
  <c r="P323" i="8"/>
  <c r="H148" i="2" a="1"/>
  <c r="H148" i="2" s="1"/>
  <c r="I148" i="2" s="1" a="1"/>
  <c r="I148" i="2" s="1"/>
  <c r="P350" i="8"/>
  <c r="H36" i="2" a="1"/>
  <c r="H36" i="2" s="1"/>
  <c r="I36" i="2" s="1" a="1"/>
  <c r="I36" i="2" s="1"/>
  <c r="P467" i="8"/>
  <c r="H179" i="2" a="1"/>
  <c r="H179" i="2" s="1"/>
  <c r="I179" i="2" s="1" a="1"/>
  <c r="I179" i="2" s="1"/>
  <c r="P315" i="8"/>
  <c r="H61" i="2" a="1"/>
  <c r="H61" i="2" s="1"/>
  <c r="I61" i="2" s="1" a="1"/>
  <c r="I61" i="2" s="1"/>
  <c r="P449" i="8"/>
  <c r="H215" i="2" a="1"/>
  <c r="H215" i="2" s="1"/>
  <c r="I215" i="2" s="1" a="1"/>
  <c r="I215" i="2" s="1"/>
  <c r="P497" i="8"/>
  <c r="H103" i="2" a="1"/>
  <c r="H103" i="2" s="1"/>
  <c r="I103" i="2" s="1" a="1"/>
  <c r="I103" i="2" s="1"/>
  <c r="P503" i="8"/>
  <c r="H291" i="2" a="1"/>
  <c r="H291" i="2" s="1"/>
  <c r="I291" i="2" s="1" a="1"/>
  <c r="I291" i="2" s="1"/>
  <c r="P175" i="8"/>
  <c r="H41" i="2" a="1"/>
  <c r="H41" i="2" s="1"/>
  <c r="I41" i="2" s="1" a="1"/>
  <c r="I41" i="2" s="1"/>
  <c r="P262" i="8"/>
  <c r="H20" i="2" a="1"/>
  <c r="H20" i="2" s="1"/>
  <c r="I20" i="2" s="1" a="1"/>
  <c r="I20" i="2" s="1"/>
  <c r="P196" i="8"/>
  <c r="H231" i="2" a="1"/>
  <c r="H231" i="2" s="1"/>
  <c r="I231" i="2" s="1" a="1"/>
  <c r="I231" i="2" s="1"/>
  <c r="P153" i="8"/>
  <c r="H136" i="2" a="1"/>
  <c r="H136" i="2" s="1"/>
  <c r="I136" i="2" s="1" a="1"/>
  <c r="I136" i="2" s="1"/>
  <c r="P71" i="8"/>
  <c r="H229" i="2" a="1"/>
  <c r="H229" i="2" s="1"/>
  <c r="I229" i="2" s="1" a="1"/>
  <c r="I229" i="2" s="1"/>
  <c r="P151" i="8"/>
  <c r="H38" i="2" a="1"/>
  <c r="H38" i="2" s="1"/>
  <c r="I38" i="2" s="1" a="1"/>
  <c r="I38" i="2" s="1"/>
  <c r="P94" i="8"/>
  <c r="H55" i="2" a="1"/>
  <c r="H55" i="2" s="1"/>
  <c r="I55" i="2" s="1" a="1"/>
  <c r="I55" i="2" s="1"/>
  <c r="W75" i="8"/>
  <c r="X75" i="8" s="1"/>
  <c r="Y75" i="8"/>
  <c r="Y7" i="8"/>
  <c r="W7" i="8"/>
  <c r="X7" i="8" s="1"/>
  <c r="P292" i="8"/>
  <c r="H68" i="2" a="1"/>
  <c r="H68" i="2" s="1"/>
  <c r="I68" i="2" s="1" a="1"/>
  <c r="I68" i="2" s="1"/>
  <c r="Q141" i="11"/>
  <c r="Q217" i="11"/>
  <c r="Q112" i="11"/>
  <c r="Q97" i="11"/>
  <c r="Q178" i="11"/>
  <c r="Q227" i="11"/>
  <c r="Q123" i="11"/>
  <c r="Q200" i="11"/>
  <c r="G8" i="12"/>
  <c r="P494" i="8"/>
  <c r="H280" i="2" a="1"/>
  <c r="H280" i="2" s="1"/>
  <c r="I280" i="2" s="1" a="1"/>
  <c r="I280" i="2" s="1"/>
  <c r="P514" i="8"/>
  <c r="H301" i="2" a="1"/>
  <c r="H301" i="2" s="1"/>
  <c r="I301" i="2" s="1" a="1"/>
  <c r="I301" i="2" s="1"/>
  <c r="P294" i="8"/>
  <c r="H176" i="2" a="1"/>
  <c r="H176" i="2" s="1"/>
  <c r="I176" i="2" s="1" a="1"/>
  <c r="I176" i="2" s="1"/>
  <c r="C7" i="12"/>
  <c r="P368" i="8"/>
  <c r="H153" i="2" a="1"/>
  <c r="H153" i="2" s="1"/>
  <c r="I153" i="2" s="1" a="1"/>
  <c r="I153" i="2" s="1"/>
  <c r="F5" i="12"/>
  <c r="K5" i="12" s="1"/>
  <c r="G3" i="12"/>
  <c r="W11" i="8"/>
  <c r="X11" i="8" s="1"/>
  <c r="Y11" i="8"/>
  <c r="P208" i="8"/>
  <c r="H245" i="2" a="1"/>
  <c r="H245" i="2" s="1"/>
  <c r="I245" i="2" s="1" a="1"/>
  <c r="I245" i="2" s="1"/>
  <c r="P207" i="8"/>
  <c r="H237" i="2" a="1"/>
  <c r="H237" i="2" s="1"/>
  <c r="I237" i="2" s="1" a="1"/>
  <c r="I237" i="2" s="1"/>
  <c r="P167" i="8"/>
  <c r="H34" i="2" a="1"/>
  <c r="H34" i="2" s="1"/>
  <c r="I34" i="2" s="1" a="1"/>
  <c r="I34" i="2" s="1"/>
  <c r="E2" i="12"/>
  <c r="E9" i="12" s="1"/>
  <c r="W73" i="8"/>
  <c r="X73" i="8" s="1"/>
  <c r="Y73" i="8"/>
  <c r="P266" i="8"/>
  <c r="H221" i="2" a="1"/>
  <c r="H221" i="2" s="1"/>
  <c r="I221" i="2" s="1" a="1"/>
  <c r="I221" i="2" s="1"/>
  <c r="P206" i="8"/>
  <c r="H213" i="2" a="1"/>
  <c r="H213" i="2" s="1"/>
  <c r="I213" i="2" s="1" a="1"/>
  <c r="I213" i="2" s="1"/>
  <c r="P321" i="8"/>
  <c r="H32" i="2" a="1"/>
  <c r="H32" i="2" s="1"/>
  <c r="I32" i="2" s="1" a="1"/>
  <c r="I32" i="2" s="1"/>
  <c r="P326" i="8"/>
  <c r="H258" i="2" a="1"/>
  <c r="H258" i="2" s="1"/>
  <c r="I258" i="2" s="1" a="1"/>
  <c r="I258" i="2" s="1"/>
  <c r="P273" i="8"/>
  <c r="H253" i="2" a="1"/>
  <c r="H253" i="2" s="1"/>
  <c r="I253" i="2" s="1" a="1"/>
  <c r="I253" i="2" s="1"/>
  <c r="P371" i="8"/>
  <c r="H226" i="2" a="1"/>
  <c r="H226" i="2" s="1"/>
  <c r="I226" i="2" s="1" a="1"/>
  <c r="I226" i="2" s="1"/>
  <c r="P509" i="8"/>
  <c r="H297" i="2" a="1"/>
  <c r="H297" i="2" s="1"/>
  <c r="I297" i="2" s="1" a="1"/>
  <c r="I297" i="2" s="1"/>
  <c r="P517" i="8"/>
  <c r="H304" i="2" a="1"/>
  <c r="H304" i="2" s="1"/>
  <c r="I304" i="2" s="1" a="1"/>
  <c r="I304" i="2" s="1"/>
  <c r="P524" i="8"/>
  <c r="H74" i="2" a="1"/>
  <c r="H74" i="2" s="1"/>
  <c r="I74" i="2" s="1" a="1"/>
  <c r="I74" i="2" s="1"/>
  <c r="P493" i="8"/>
  <c r="H255" i="2" a="1"/>
  <c r="H255" i="2" s="1"/>
  <c r="I255" i="2" s="1" a="1"/>
  <c r="I255" i="2" s="1"/>
  <c r="P211" i="8"/>
  <c r="H64" i="2" a="1"/>
  <c r="H64" i="2" s="1"/>
  <c r="I64" i="2" s="1" a="1"/>
  <c r="I64" i="2" s="1"/>
  <c r="P275" i="8"/>
  <c r="H150" i="2" a="1"/>
  <c r="H150" i="2" s="1"/>
  <c r="I150" i="2" s="1" a="1"/>
  <c r="I150" i="2" s="1"/>
  <c r="P280" i="8"/>
  <c r="H282" i="2" a="1"/>
  <c r="H282" i="2" s="1"/>
  <c r="I282" i="2" s="1" a="1"/>
  <c r="I282" i="2" s="1"/>
  <c r="P169" i="8"/>
  <c r="H78" i="2" a="1"/>
  <c r="H78" i="2" s="1"/>
  <c r="I78" i="2" s="1" a="1"/>
  <c r="I78" i="2" s="1"/>
  <c r="P194" i="8"/>
  <c r="H28" i="2" a="1"/>
  <c r="H28" i="2" s="1"/>
  <c r="I28" i="2" s="1" a="1"/>
  <c r="I28" i="2" s="1"/>
  <c r="P183" i="8"/>
  <c r="H285" i="2" a="1"/>
  <c r="H285" i="2" s="1"/>
  <c r="I285" i="2" s="1" a="1"/>
  <c r="I285" i="2" s="1"/>
  <c r="P50" i="8"/>
  <c r="H79" i="2" a="1"/>
  <c r="H79" i="2" s="1"/>
  <c r="I79" i="2" s="1" a="1"/>
  <c r="I79" i="2" s="1"/>
  <c r="P5" i="8"/>
  <c r="H166" i="2" a="1"/>
  <c r="H166" i="2" s="1"/>
  <c r="I166" i="2" s="1" a="1"/>
  <c r="I166" i="2" s="1"/>
  <c r="Y97" i="8"/>
  <c r="W97" i="8"/>
  <c r="X97" i="8" s="1"/>
  <c r="P60" i="8"/>
  <c r="H212" i="2" a="1"/>
  <c r="H212" i="2" s="1"/>
  <c r="I212" i="2" s="1" a="1"/>
  <c r="I212" i="2" s="1"/>
  <c r="W58" i="8"/>
  <c r="X58" i="8" s="1"/>
  <c r="Y58" i="8"/>
  <c r="P22" i="8"/>
  <c r="H266" i="2" a="1"/>
  <c r="H266" i="2" s="1"/>
  <c r="I266" i="2" s="1" a="1"/>
  <c r="I266" i="2" s="1"/>
  <c r="P33" i="8"/>
  <c r="H12" i="2" a="1"/>
  <c r="H12" i="2" s="1"/>
  <c r="I12" i="2" s="1" a="1"/>
  <c r="I12" i="2" s="1"/>
  <c r="D20" i="1"/>
  <c r="G47" i="1"/>
  <c r="Y71" i="8"/>
  <c r="W71" i="8"/>
  <c r="X71" i="8" s="1"/>
  <c r="P487" i="8"/>
  <c r="H122" i="2" a="1"/>
  <c r="H122" i="2" s="1"/>
  <c r="I122" i="2" s="1" a="1"/>
  <c r="I122" i="2" s="1"/>
  <c r="F7" i="12"/>
  <c r="P417" i="8"/>
  <c r="H198" i="2" a="1"/>
  <c r="H198" i="2" s="1"/>
  <c r="I198" i="2" s="1" a="1"/>
  <c r="I198" i="2" s="1"/>
  <c r="H8" i="12"/>
  <c r="K8" i="12" s="1"/>
  <c r="P400" i="8"/>
  <c r="H69" i="2" a="1"/>
  <c r="H69" i="2" s="1"/>
  <c r="I69" i="2" s="1" a="1"/>
  <c r="I69" i="2" s="1"/>
  <c r="P500" i="8"/>
  <c r="H217" i="2" a="1"/>
  <c r="H217" i="2" s="1"/>
  <c r="I217" i="2" s="1" a="1"/>
  <c r="I217" i="2" s="1"/>
  <c r="P252" i="8"/>
  <c r="H223" i="2" a="1"/>
  <c r="H223" i="2" s="1"/>
  <c r="I223" i="2" s="1" a="1"/>
  <c r="I223" i="2" s="1"/>
  <c r="P504" i="8"/>
  <c r="H292" i="2" a="1"/>
  <c r="H292" i="2" s="1"/>
  <c r="I292" i="2" s="1" a="1"/>
  <c r="I292" i="2" s="1"/>
  <c r="D7" i="12"/>
  <c r="G5" i="12"/>
  <c r="W152" i="8"/>
  <c r="X152" i="8" s="1"/>
  <c r="Y152" i="8"/>
  <c r="Y23" i="8"/>
  <c r="W23" i="8"/>
  <c r="X23" i="8" s="1"/>
  <c r="Y103" i="8"/>
  <c r="W103" i="8"/>
  <c r="X103" i="8" s="1"/>
  <c r="F2" i="12"/>
  <c r="F4" i="12"/>
  <c r="C6" i="12"/>
  <c r="P399" i="8"/>
  <c r="H17" i="2" a="1"/>
  <c r="H17" i="2" s="1"/>
  <c r="I17" i="2" s="1" a="1"/>
  <c r="I17" i="2" s="1"/>
  <c r="P523" i="8"/>
  <c r="H22" i="2" a="1"/>
  <c r="H22" i="2" s="1"/>
  <c r="I22" i="2" s="1" a="1"/>
  <c r="I22" i="2" s="1"/>
  <c r="P495" i="8"/>
  <c r="H218" i="2" a="1"/>
  <c r="H218" i="2" s="1"/>
  <c r="I218" i="2" s="1" a="1"/>
  <c r="I218" i="2" s="1"/>
  <c r="P534" i="8"/>
  <c r="H75" i="2" a="1"/>
  <c r="H75" i="2" s="1"/>
  <c r="I75" i="2" s="1" a="1"/>
  <c r="I75" i="2" s="1"/>
  <c r="P488" i="8"/>
  <c r="H164" i="2" a="1"/>
  <c r="H164" i="2" s="1"/>
  <c r="I164" i="2" s="1" a="1"/>
  <c r="I164" i="2" s="1"/>
  <c r="P177" i="8"/>
  <c r="H249" i="2" a="1"/>
  <c r="H249" i="2" s="1"/>
  <c r="I249" i="2" s="1" a="1"/>
  <c r="I249" i="2" s="1"/>
  <c r="P147" i="8"/>
  <c r="H102" i="2" a="1"/>
  <c r="H102" i="2" s="1"/>
  <c r="I102" i="2" s="1" a="1"/>
  <c r="I102" i="2" s="1"/>
  <c r="P123" i="8"/>
  <c r="H50" i="2" a="1"/>
  <c r="H50" i="2" s="1"/>
  <c r="I50" i="2" s="1" a="1"/>
  <c r="I50" i="2" s="1"/>
  <c r="P72" i="8"/>
  <c r="H51" i="2" a="1"/>
  <c r="H51" i="2" s="1"/>
  <c r="I51" i="2" s="1" a="1"/>
  <c r="I51" i="2" s="1"/>
  <c r="Y79" i="8"/>
  <c r="W79" i="8"/>
  <c r="X79" i="8" s="1"/>
  <c r="H275" i="2" a="1"/>
  <c r="H275" i="2" s="1"/>
  <c r="I275" i="2" s="1" a="1"/>
  <c r="I275" i="2" s="1"/>
  <c r="P39" i="8"/>
  <c r="Y43" i="8"/>
  <c r="W43" i="8"/>
  <c r="X43" i="8" s="1"/>
  <c r="P65" i="8"/>
  <c r="H24" i="2" a="1"/>
  <c r="H24" i="2" s="1"/>
  <c r="I24" i="2" s="1" a="1"/>
  <c r="I24" i="2" s="1"/>
  <c r="P29" i="8"/>
  <c r="H208" i="2" a="1"/>
  <c r="H208" i="2" s="1"/>
  <c r="I208" i="2" s="1" a="1"/>
  <c r="I208" i="2" s="1"/>
  <c r="B14" i="1"/>
  <c r="G71" i="1"/>
  <c r="P288" i="8"/>
  <c r="H140" i="2" a="1"/>
  <c r="H140" i="2" s="1"/>
  <c r="I140" i="2" s="1" a="1"/>
  <c r="I140" i="2" s="1"/>
  <c r="P314" i="8"/>
  <c r="H23" i="2" a="1"/>
  <c r="H23" i="2" s="1"/>
  <c r="I23" i="2" s="1" a="1"/>
  <c r="I23" i="2" s="1"/>
  <c r="P170" i="8"/>
  <c r="H105" i="2" a="1"/>
  <c r="H105" i="2" s="1"/>
  <c r="I105" i="2" s="1" a="1"/>
  <c r="I105" i="2" s="1"/>
  <c r="Q115" i="11"/>
  <c r="Q274" i="11"/>
  <c r="Q140" i="11"/>
  <c r="Q113" i="11"/>
  <c r="Q102" i="11"/>
  <c r="Q122" i="11"/>
  <c r="Q206" i="11"/>
  <c r="Q287" i="11"/>
  <c r="Q76" i="11"/>
  <c r="Q258" i="11"/>
  <c r="Q49" i="11"/>
  <c r="Q218" i="11"/>
  <c r="Q87" i="11"/>
  <c r="Q214" i="11"/>
  <c r="Q85" i="11"/>
  <c r="Q297" i="11"/>
  <c r="Q187" i="11"/>
  <c r="Q84" i="11"/>
  <c r="Q291" i="11"/>
  <c r="Q52" i="11"/>
  <c r="Q219" i="11"/>
  <c r="Q114" i="11"/>
  <c r="Q174" i="11"/>
  <c r="Q88" i="11"/>
  <c r="Q302" i="11"/>
  <c r="Q60" i="11"/>
  <c r="Q290" i="11"/>
  <c r="Q179" i="11"/>
  <c r="Q259" i="11"/>
  <c r="Q152" i="11"/>
  <c r="Q230" i="11"/>
  <c r="Q125" i="11"/>
  <c r="Q255" i="11"/>
  <c r="P412" i="8"/>
  <c r="H133" i="2" a="1"/>
  <c r="H133" i="2" s="1"/>
  <c r="I133" i="2" s="1" a="1"/>
  <c r="I133" i="2" s="1"/>
  <c r="P327" i="8"/>
  <c r="H13" i="2" a="1"/>
  <c r="H13" i="2" s="1"/>
  <c r="I13" i="2" s="1" a="1"/>
  <c r="I13" i="2" s="1"/>
  <c r="P508" i="8"/>
  <c r="H296" i="2" a="1"/>
  <c r="H296" i="2" s="1"/>
  <c r="I296" i="2" s="1" a="1"/>
  <c r="I296" i="2" s="1"/>
  <c r="P481" i="8"/>
  <c r="H132" i="2" a="1"/>
  <c r="H132" i="2" s="1"/>
  <c r="I132" i="2" s="1" a="1"/>
  <c r="I132" i="2" s="1"/>
  <c r="P238" i="8"/>
  <c r="H274" i="2" a="1"/>
  <c r="H274" i="2" s="1"/>
  <c r="I274" i="2" s="1" a="1"/>
  <c r="I274" i="2" s="1"/>
  <c r="W35" i="8"/>
  <c r="X35" i="8" s="1"/>
  <c r="Y35" i="8"/>
  <c r="P240" i="8"/>
  <c r="H25" i="2" a="1"/>
  <c r="H25" i="2" s="1"/>
  <c r="I25" i="2" s="1" a="1"/>
  <c r="I25" i="2" s="1"/>
  <c r="P126" i="8"/>
  <c r="H123" i="2" a="1"/>
  <c r="H123" i="2" s="1"/>
  <c r="I123" i="2" s="1" a="1"/>
  <c r="I123" i="2" s="1"/>
  <c r="P353" i="8"/>
  <c r="H151" i="2" a="1"/>
  <c r="H151" i="2" s="1"/>
  <c r="I151" i="2" s="1" a="1"/>
  <c r="I151" i="2" s="1"/>
  <c r="P239" i="8"/>
  <c r="H44" i="2" a="1"/>
  <c r="H44" i="2" s="1"/>
  <c r="I44" i="2" s="1" a="1"/>
  <c r="I44" i="2" s="1"/>
  <c r="P537" i="8"/>
  <c r="H264" i="2" a="1"/>
  <c r="H264" i="2" s="1"/>
  <c r="I264" i="2" s="1" a="1"/>
  <c r="I264" i="2" s="1"/>
  <c r="P521" i="8"/>
  <c r="H10" i="2" a="1"/>
  <c r="H10" i="2" s="1"/>
  <c r="I10" i="2" s="1" a="1"/>
  <c r="I10" i="2" s="1"/>
  <c r="P185" i="8"/>
  <c r="H87" i="2" a="1"/>
  <c r="H87" i="2" s="1"/>
  <c r="I87" i="2" s="1" a="1"/>
  <c r="I87" i="2" s="1"/>
  <c r="P105" i="8"/>
  <c r="H92" i="2" a="1"/>
  <c r="H92" i="2" s="1"/>
  <c r="I92" i="2" s="1" a="1"/>
  <c r="I92" i="2" s="1"/>
  <c r="P56" i="8"/>
  <c r="H46" i="2" a="1"/>
  <c r="H46" i="2" s="1"/>
  <c r="I46" i="2" s="1" a="1"/>
  <c r="I46" i="2" s="1"/>
  <c r="W64" i="8"/>
  <c r="X64" i="8" s="1"/>
  <c r="Y64" i="8"/>
  <c r="P35" i="8"/>
  <c r="H54" i="2" a="1"/>
  <c r="H54" i="2" s="1"/>
  <c r="I54" i="2" s="1" a="1"/>
  <c r="I54" i="2" s="1"/>
  <c r="P64" i="8"/>
  <c r="H18" i="2" a="1"/>
  <c r="H18" i="2" s="1"/>
  <c r="I18" i="2" s="1" a="1"/>
  <c r="I18" i="2" s="1"/>
  <c r="P89" i="8"/>
  <c r="H88" i="2" a="1"/>
  <c r="H88" i="2" s="1"/>
  <c r="I88" i="2" s="1" a="1"/>
  <c r="I88" i="2" s="1"/>
  <c r="P91" i="8"/>
  <c r="H155" i="2" a="1"/>
  <c r="H155" i="2" s="1"/>
  <c r="I155" i="2" s="1" a="1"/>
  <c r="I155" i="2" s="1"/>
  <c r="W180" i="8"/>
  <c r="X180" i="8" s="1"/>
  <c r="Y180" i="8"/>
  <c r="W166" i="8"/>
  <c r="X166" i="8" s="1"/>
  <c r="Y166" i="8"/>
  <c r="W137" i="8"/>
  <c r="X137" i="8" s="1"/>
  <c r="Y137" i="8"/>
  <c r="Y94" i="8"/>
  <c r="W94" i="8"/>
  <c r="X94" i="8" s="1"/>
  <c r="W83" i="8"/>
  <c r="X83" i="8" s="1"/>
  <c r="Y83" i="8"/>
  <c r="W109" i="8"/>
  <c r="X109" i="8" s="1"/>
  <c r="Y109" i="8"/>
  <c r="Y122" i="8"/>
  <c r="W122" i="8"/>
  <c r="X122" i="8" s="1"/>
  <c r="W135" i="8"/>
  <c r="X135" i="8" s="1"/>
  <c r="Y135" i="8"/>
  <c r="Y174" i="8"/>
  <c r="W174" i="8"/>
  <c r="X174" i="8" s="1"/>
  <c r="Y188" i="8"/>
  <c r="W188" i="8"/>
  <c r="X188" i="8" s="1"/>
  <c r="Y201" i="8"/>
  <c r="W201" i="8"/>
  <c r="X201" i="8" s="1"/>
  <c r="Y91" i="8"/>
  <c r="W91" i="8"/>
  <c r="X91" i="8" s="1"/>
  <c r="Y151" i="8"/>
  <c r="W151" i="8"/>
  <c r="X151" i="8" s="1"/>
  <c r="Y163" i="8"/>
  <c r="W163" i="8"/>
  <c r="X163" i="8" s="1"/>
  <c r="Y187" i="8"/>
  <c r="W187" i="8"/>
  <c r="X187" i="8" s="1"/>
  <c r="Y199" i="8"/>
  <c r="W199" i="8"/>
  <c r="X199" i="8" s="1"/>
  <c r="Y283" i="8"/>
  <c r="W283" i="8"/>
  <c r="X283" i="8" s="1"/>
  <c r="W200" i="8"/>
  <c r="X200" i="8" s="1"/>
  <c r="Y200" i="8"/>
  <c r="W185" i="8"/>
  <c r="X185" i="8" s="1"/>
  <c r="Y185" i="8"/>
  <c r="Y171" i="8"/>
  <c r="W171" i="8"/>
  <c r="X171" i="8" s="1"/>
  <c r="Y157" i="8"/>
  <c r="W157" i="8"/>
  <c r="X157" i="8" s="1"/>
  <c r="Y143" i="8"/>
  <c r="W143" i="8"/>
  <c r="X143" i="8" s="1"/>
  <c r="Y114" i="8"/>
  <c r="W114" i="8"/>
  <c r="X114" i="8" s="1"/>
  <c r="W100" i="8"/>
  <c r="X100" i="8" s="1"/>
  <c r="Y100" i="8"/>
  <c r="Y86" i="8"/>
  <c r="W86" i="8"/>
  <c r="X86" i="8" s="1"/>
  <c r="Y46" i="8"/>
  <c r="W46" i="8"/>
  <c r="X46" i="8" s="1"/>
  <c r="S296" i="11"/>
  <c r="T296" i="11" s="1"/>
  <c r="Q296" i="11"/>
  <c r="U296" i="11"/>
  <c r="S282" i="11"/>
  <c r="T282" i="11" s="1"/>
  <c r="Q282" i="11"/>
  <c r="U282" i="11"/>
  <c r="U268" i="11"/>
  <c r="S268" i="11"/>
  <c r="T268" i="11" s="1"/>
  <c r="Q268" i="11"/>
  <c r="U254" i="11"/>
  <c r="Q254" i="11"/>
  <c r="S254" i="11"/>
  <c r="T254" i="11" s="1"/>
  <c r="U238" i="11"/>
  <c r="S238" i="11"/>
  <c r="T238" i="11" s="1"/>
  <c r="Q238" i="11"/>
  <c r="U225" i="11"/>
  <c r="Q225" i="11"/>
  <c r="S225" i="11"/>
  <c r="T225" i="11" s="1"/>
  <c r="S212" i="11"/>
  <c r="T212" i="11" s="1"/>
  <c r="U212" i="11"/>
  <c r="Q212" i="11"/>
  <c r="S199" i="11"/>
  <c r="T199" i="11" s="1"/>
  <c r="U199" i="11"/>
  <c r="Q199" i="11"/>
  <c r="U186" i="11"/>
  <c r="S186" i="11"/>
  <c r="T186" i="11" s="1"/>
  <c r="Q186" i="11"/>
  <c r="U173" i="11"/>
  <c r="Q173" i="11"/>
  <c r="S173" i="11"/>
  <c r="T173" i="11" s="1"/>
  <c r="U160" i="11"/>
  <c r="S160" i="11"/>
  <c r="T160" i="11" s="1"/>
  <c r="Q160" i="11"/>
  <c r="S147" i="11"/>
  <c r="T147" i="11" s="1"/>
  <c r="U147" i="11"/>
  <c r="Q147" i="11"/>
  <c r="S134" i="11"/>
  <c r="T134" i="11" s="1"/>
  <c r="U134" i="11"/>
  <c r="Q134" i="11"/>
  <c r="U121" i="11"/>
  <c r="S121" i="11"/>
  <c r="T121" i="11" s="1"/>
  <c r="Q121" i="11"/>
  <c r="U107" i="11"/>
  <c r="Q107" i="11"/>
  <c r="S107" i="11"/>
  <c r="T107" i="11" s="1"/>
  <c r="U95" i="11"/>
  <c r="Q95" i="11"/>
  <c r="S95" i="11"/>
  <c r="T95" i="11" s="1"/>
  <c r="U83" i="11"/>
  <c r="Q83" i="11"/>
  <c r="S83" i="11"/>
  <c r="T83" i="11" s="1"/>
  <c r="S71" i="11"/>
  <c r="T71" i="11" s="1"/>
  <c r="Q71" i="11"/>
  <c r="U71" i="11"/>
  <c r="S59" i="11"/>
  <c r="T59" i="11" s="1"/>
  <c r="U59" i="11"/>
  <c r="Q59" i="11"/>
  <c r="U47" i="11"/>
  <c r="S47" i="11"/>
  <c r="T47" i="11" s="1"/>
  <c r="Q47" i="11"/>
  <c r="S35" i="11"/>
  <c r="T35" i="11" s="1"/>
  <c r="Q35" i="11"/>
  <c r="U35" i="11"/>
  <c r="S23" i="11"/>
  <c r="T23" i="11" s="1"/>
  <c r="Q23" i="11"/>
  <c r="U23" i="11"/>
  <c r="U11" i="11"/>
  <c r="S11" i="11"/>
  <c r="T11" i="11" s="1"/>
  <c r="Q11" i="11"/>
  <c r="U295" i="11"/>
  <c r="S295" i="11"/>
  <c r="T295" i="11" s="1"/>
  <c r="Q295" i="11"/>
  <c r="S281" i="11"/>
  <c r="T281" i="11" s="1"/>
  <c r="U281" i="11"/>
  <c r="Q281" i="11"/>
  <c r="U267" i="11"/>
  <c r="S267" i="11"/>
  <c r="T267" i="11" s="1"/>
  <c r="Q267" i="11"/>
  <c r="Q251" i="11"/>
  <c r="U251" i="11"/>
  <c r="S251" i="11"/>
  <c r="T251" i="11" s="1"/>
  <c r="Q237" i="11"/>
  <c r="S237" i="11"/>
  <c r="T237" i="11" s="1"/>
  <c r="U237" i="11"/>
  <c r="U224" i="11"/>
  <c r="Q224" i="11"/>
  <c r="S224" i="11"/>
  <c r="T224" i="11" s="1"/>
  <c r="Q211" i="11"/>
  <c r="U211" i="11"/>
  <c r="S211" i="11"/>
  <c r="T211" i="11" s="1"/>
  <c r="Q198" i="11"/>
  <c r="U198" i="11"/>
  <c r="S198" i="11"/>
  <c r="T198" i="11" s="1"/>
  <c r="S185" i="11"/>
  <c r="T185" i="11" s="1"/>
  <c r="Q185" i="11"/>
  <c r="U185" i="11"/>
  <c r="U172" i="11"/>
  <c r="S172" i="11"/>
  <c r="T172" i="11" s="1"/>
  <c r="Q172" i="11"/>
  <c r="U159" i="11"/>
  <c r="S159" i="11"/>
  <c r="T159" i="11" s="1"/>
  <c r="Q159" i="11"/>
  <c r="S146" i="11"/>
  <c r="T146" i="11" s="1"/>
  <c r="U146" i="11"/>
  <c r="Q146" i="11"/>
  <c r="U133" i="11"/>
  <c r="S133" i="11"/>
  <c r="T133" i="11" s="1"/>
  <c r="Q133" i="11"/>
  <c r="Q119" i="11"/>
  <c r="U119" i="11"/>
  <c r="S119" i="11"/>
  <c r="T119" i="11" s="1"/>
  <c r="U106" i="11"/>
  <c r="S106" i="11"/>
  <c r="T106" i="11" s="1"/>
  <c r="Q106" i="11"/>
  <c r="S94" i="11"/>
  <c r="T94" i="11" s="1"/>
  <c r="Q94" i="11"/>
  <c r="U94" i="11"/>
  <c r="S82" i="11"/>
  <c r="T82" i="11" s="1"/>
  <c r="U82" i="11"/>
  <c r="Q82" i="11"/>
  <c r="S70" i="11"/>
  <c r="T70" i="11" s="1"/>
  <c r="U70" i="11"/>
  <c r="Q70" i="11"/>
  <c r="U58" i="11"/>
  <c r="Q58" i="11"/>
  <c r="S58" i="11"/>
  <c r="T58" i="11" s="1"/>
  <c r="U46" i="11"/>
  <c r="Q46" i="11"/>
  <c r="S46" i="11"/>
  <c r="T46" i="11" s="1"/>
  <c r="S34" i="11"/>
  <c r="T34" i="11" s="1"/>
  <c r="U34" i="11"/>
  <c r="Q34" i="11"/>
  <c r="S22" i="11"/>
  <c r="T22" i="11" s="1"/>
  <c r="Q22" i="11"/>
  <c r="U22" i="11"/>
  <c r="Q10" i="11"/>
  <c r="U10" i="11"/>
  <c r="S10" i="11"/>
  <c r="T10" i="11" s="1"/>
  <c r="U294" i="11"/>
  <c r="Q294" i="11"/>
  <c r="S294" i="11"/>
  <c r="T294" i="11" s="1"/>
  <c r="S280" i="11"/>
  <c r="T280" i="11" s="1"/>
  <c r="Q280" i="11"/>
  <c r="U280" i="11"/>
  <c r="U266" i="11"/>
  <c r="S266" i="11"/>
  <c r="T266" i="11" s="1"/>
  <c r="Q266" i="11"/>
  <c r="Q250" i="11"/>
  <c r="U250" i="11"/>
  <c r="S250" i="11"/>
  <c r="T250" i="11" s="1"/>
  <c r="U236" i="11"/>
  <c r="S236" i="11"/>
  <c r="T236" i="11" s="1"/>
  <c r="Q236" i="11"/>
  <c r="U223" i="11"/>
  <c r="S223" i="11"/>
  <c r="T223" i="11" s="1"/>
  <c r="Q223" i="11"/>
  <c r="U210" i="11"/>
  <c r="S210" i="11"/>
  <c r="T210" i="11" s="1"/>
  <c r="Q210" i="11"/>
  <c r="S197" i="11"/>
  <c r="T197" i="11" s="1"/>
  <c r="U197" i="11"/>
  <c r="Q197" i="11"/>
  <c r="S184" i="11"/>
  <c r="T184" i="11" s="1"/>
  <c r="Q184" i="11"/>
  <c r="U184" i="11"/>
  <c r="U171" i="11"/>
  <c r="Q171" i="11"/>
  <c r="S171" i="11"/>
  <c r="T171" i="11" s="1"/>
  <c r="U158" i="11"/>
  <c r="S158" i="11"/>
  <c r="T158" i="11" s="1"/>
  <c r="Q158" i="11"/>
  <c r="U145" i="11"/>
  <c r="S145" i="11"/>
  <c r="T145" i="11" s="1"/>
  <c r="Q145" i="11"/>
  <c r="U131" i="11"/>
  <c r="S131" i="11"/>
  <c r="T131" i="11" s="1"/>
  <c r="Q131" i="11"/>
  <c r="Q118" i="11"/>
  <c r="U118" i="11"/>
  <c r="S118" i="11"/>
  <c r="T118" i="11" s="1"/>
  <c r="U105" i="11"/>
  <c r="S105" i="11"/>
  <c r="T105" i="11" s="1"/>
  <c r="Q105" i="11"/>
  <c r="Q93" i="11"/>
  <c r="S93" i="11"/>
  <c r="T93" i="11" s="1"/>
  <c r="U93" i="11"/>
  <c r="U81" i="11"/>
  <c r="S81" i="11"/>
  <c r="T81" i="11" s="1"/>
  <c r="Q81" i="11"/>
  <c r="U69" i="11"/>
  <c r="S69" i="11"/>
  <c r="T69" i="11" s="1"/>
  <c r="Q69" i="11"/>
  <c r="U57" i="11"/>
  <c r="Q57" i="11"/>
  <c r="S57" i="11"/>
  <c r="T57" i="11" s="1"/>
  <c r="U45" i="11"/>
  <c r="S45" i="11"/>
  <c r="T45" i="11" s="1"/>
  <c r="Q45" i="11"/>
  <c r="U33" i="11"/>
  <c r="S33" i="11"/>
  <c r="T33" i="11" s="1"/>
  <c r="Q33" i="11"/>
  <c r="U21" i="11"/>
  <c r="S21" i="11"/>
  <c r="T21" i="11" s="1"/>
  <c r="Q21" i="11"/>
  <c r="U9" i="11"/>
  <c r="S9" i="11"/>
  <c r="T9" i="11" s="1"/>
  <c r="Q9" i="11"/>
  <c r="S293" i="11"/>
  <c r="T293" i="11" s="1"/>
  <c r="Q293" i="11"/>
  <c r="U293" i="11"/>
  <c r="Q279" i="11"/>
  <c r="S279" i="11"/>
  <c r="T279" i="11" s="1"/>
  <c r="U279" i="11"/>
  <c r="U263" i="11"/>
  <c r="Q263" i="11"/>
  <c r="S263" i="11"/>
  <c r="T263" i="11" s="1"/>
  <c r="Q249" i="11"/>
  <c r="U249" i="11"/>
  <c r="S249" i="11"/>
  <c r="T249" i="11" s="1"/>
  <c r="S235" i="11"/>
  <c r="T235" i="11" s="1"/>
  <c r="Q235" i="11"/>
  <c r="U235" i="11"/>
  <c r="Q222" i="11"/>
  <c r="U222" i="11"/>
  <c r="S222" i="11"/>
  <c r="T222" i="11" s="1"/>
  <c r="S209" i="11"/>
  <c r="T209" i="11" s="1"/>
  <c r="Q209" i="11"/>
  <c r="U209" i="11"/>
  <c r="S196" i="11"/>
  <c r="T196" i="11" s="1"/>
  <c r="U196" i="11"/>
  <c r="Q196" i="11"/>
  <c r="S183" i="11"/>
  <c r="T183" i="11" s="1"/>
  <c r="Q183" i="11"/>
  <c r="U183" i="11"/>
  <c r="U170" i="11"/>
  <c r="S170" i="11"/>
  <c r="T170" i="11" s="1"/>
  <c r="Q170" i="11"/>
  <c r="Q157" i="11"/>
  <c r="U157" i="11"/>
  <c r="S157" i="11"/>
  <c r="T157" i="11" s="1"/>
  <c r="U143" i="11"/>
  <c r="S143" i="11"/>
  <c r="T143" i="11" s="1"/>
  <c r="Q143" i="11"/>
  <c r="S130" i="11"/>
  <c r="T130" i="11" s="1"/>
  <c r="U130" i="11"/>
  <c r="Q130" i="11"/>
  <c r="S117" i="11"/>
  <c r="T117" i="11" s="1"/>
  <c r="Q117" i="11"/>
  <c r="U117" i="11"/>
  <c r="U104" i="11"/>
  <c r="S104" i="11"/>
  <c r="T104" i="11" s="1"/>
  <c r="Q104" i="11"/>
  <c r="S92" i="11"/>
  <c r="T92" i="11" s="1"/>
  <c r="Q92" i="11"/>
  <c r="U92" i="11"/>
  <c r="U80" i="11"/>
  <c r="S80" i="11"/>
  <c r="T80" i="11" s="1"/>
  <c r="Q80" i="11"/>
  <c r="S68" i="11"/>
  <c r="T68" i="11" s="1"/>
  <c r="Q68" i="11"/>
  <c r="U68" i="11"/>
  <c r="S56" i="11"/>
  <c r="T56" i="11" s="1"/>
  <c r="Q56" i="11"/>
  <c r="U56" i="11"/>
  <c r="S44" i="11"/>
  <c r="T44" i="11" s="1"/>
  <c r="Q44" i="11"/>
  <c r="U44" i="11"/>
  <c r="U32" i="11"/>
  <c r="S32" i="11"/>
  <c r="T32" i="11" s="1"/>
  <c r="Q32" i="11"/>
  <c r="U20" i="11"/>
  <c r="S20" i="11"/>
  <c r="T20" i="11" s="1"/>
  <c r="Q20" i="11"/>
  <c r="S8" i="11"/>
  <c r="T8" i="11" s="1"/>
  <c r="Q8" i="11"/>
  <c r="U8" i="11"/>
  <c r="Q306" i="11"/>
  <c r="S306" i="11"/>
  <c r="T306" i="11" s="1"/>
  <c r="U306" i="11"/>
  <c r="U292" i="11"/>
  <c r="S292" i="11"/>
  <c r="T292" i="11" s="1"/>
  <c r="Q292" i="11"/>
  <c r="U278" i="11"/>
  <c r="Q278" i="11"/>
  <c r="S278" i="11"/>
  <c r="T278" i="11" s="1"/>
  <c r="S262" i="11"/>
  <c r="T262" i="11" s="1"/>
  <c r="Q262" i="11"/>
  <c r="U262" i="11"/>
  <c r="S248" i="11"/>
  <c r="T248" i="11" s="1"/>
  <c r="Q248" i="11"/>
  <c r="U248" i="11"/>
  <c r="U234" i="11"/>
  <c r="S234" i="11"/>
  <c r="T234" i="11" s="1"/>
  <c r="Q234" i="11"/>
  <c r="U221" i="11"/>
  <c r="S221" i="11"/>
  <c r="T221" i="11" s="1"/>
  <c r="Q221" i="11"/>
  <c r="S208" i="11"/>
  <c r="T208" i="11" s="1"/>
  <c r="Q208" i="11"/>
  <c r="U208" i="11"/>
  <c r="U195" i="11"/>
  <c r="Q195" i="11"/>
  <c r="S195" i="11"/>
  <c r="T195" i="11" s="1"/>
  <c r="U182" i="11"/>
  <c r="S182" i="11"/>
  <c r="T182" i="11" s="1"/>
  <c r="Q182" i="11"/>
  <c r="Q169" i="11"/>
  <c r="S169" i="11"/>
  <c r="T169" i="11" s="1"/>
  <c r="U169" i="11"/>
  <c r="Q155" i="11"/>
  <c r="U155" i="11"/>
  <c r="S155" i="11"/>
  <c r="T155" i="11" s="1"/>
  <c r="U142" i="11"/>
  <c r="Q142" i="11"/>
  <c r="S142" i="11"/>
  <c r="T142" i="11" s="1"/>
  <c r="Q129" i="11"/>
  <c r="U129" i="11"/>
  <c r="S129" i="11"/>
  <c r="T129" i="11" s="1"/>
  <c r="U116" i="11"/>
  <c r="S116" i="11"/>
  <c r="T116" i="11" s="1"/>
  <c r="Q116" i="11"/>
  <c r="S103" i="11"/>
  <c r="T103" i="11" s="1"/>
  <c r="U103" i="11"/>
  <c r="Q103" i="11"/>
  <c r="S91" i="11"/>
  <c r="T91" i="11" s="1"/>
  <c r="Q91" i="11"/>
  <c r="U91" i="11"/>
  <c r="U79" i="11"/>
  <c r="S79" i="11"/>
  <c r="T79" i="11" s="1"/>
  <c r="Q79" i="11"/>
  <c r="U67" i="11"/>
  <c r="S67" i="11"/>
  <c r="T67" i="11" s="1"/>
  <c r="Q67" i="11"/>
  <c r="Q55" i="11"/>
  <c r="S55" i="11"/>
  <c r="T55" i="11" s="1"/>
  <c r="U55" i="11"/>
  <c r="U43" i="11"/>
  <c r="Q43" i="11"/>
  <c r="S43" i="11"/>
  <c r="T43" i="11" s="1"/>
  <c r="U31" i="11"/>
  <c r="S31" i="11"/>
  <c r="T31" i="11" s="1"/>
  <c r="Q31" i="11"/>
  <c r="U19" i="11"/>
  <c r="S19" i="11"/>
  <c r="T19" i="11" s="1"/>
  <c r="Q19" i="11"/>
  <c r="S7" i="11"/>
  <c r="T7" i="11" s="1"/>
  <c r="U7" i="11"/>
  <c r="Q7" i="11"/>
  <c r="U299" i="11"/>
  <c r="Q299" i="11"/>
  <c r="S299" i="11"/>
  <c r="T299" i="11" s="1"/>
  <c r="S285" i="11"/>
  <c r="T285" i="11" s="1"/>
  <c r="Q285" i="11"/>
  <c r="U285" i="11"/>
  <c r="U271" i="11"/>
  <c r="S271" i="11"/>
  <c r="T271" i="11" s="1"/>
  <c r="Q271" i="11"/>
  <c r="S257" i="11"/>
  <c r="T257" i="11" s="1"/>
  <c r="Q257" i="11"/>
  <c r="U257" i="11"/>
  <c r="U243" i="11"/>
  <c r="S243" i="11"/>
  <c r="T243" i="11" s="1"/>
  <c r="Q243" i="11"/>
  <c r="Q229" i="11"/>
  <c r="U229" i="11"/>
  <c r="S229" i="11"/>
  <c r="T229" i="11" s="1"/>
  <c r="Q215" i="11"/>
  <c r="U215" i="11"/>
  <c r="S215" i="11"/>
  <c r="T215" i="11" s="1"/>
  <c r="Q202" i="11"/>
  <c r="S202" i="11"/>
  <c r="T202" i="11" s="1"/>
  <c r="U202" i="11"/>
  <c r="Q189" i="11"/>
  <c r="U189" i="11"/>
  <c r="S189" i="11"/>
  <c r="T189" i="11" s="1"/>
  <c r="U176" i="11"/>
  <c r="S176" i="11"/>
  <c r="T176" i="11" s="1"/>
  <c r="Q176" i="11"/>
  <c r="Q163" i="11"/>
  <c r="S163" i="11"/>
  <c r="T163" i="11" s="1"/>
  <c r="U163" i="11"/>
  <c r="S150" i="11"/>
  <c r="T150" i="11" s="1"/>
  <c r="U150" i="11"/>
  <c r="Q150" i="11"/>
  <c r="U137" i="11"/>
  <c r="S137" i="11"/>
  <c r="T137" i="11" s="1"/>
  <c r="Q137" i="11"/>
  <c r="U124" i="11"/>
  <c r="S124" i="11"/>
  <c r="T124" i="11" s="1"/>
  <c r="Q124" i="11"/>
  <c r="U111" i="11"/>
  <c r="Q111" i="11"/>
  <c r="S111" i="11"/>
  <c r="T111" i="11" s="1"/>
  <c r="Q98" i="11"/>
  <c r="U98" i="11"/>
  <c r="S98" i="11"/>
  <c r="T98" i="11" s="1"/>
  <c r="Q86" i="11"/>
  <c r="S86" i="11"/>
  <c r="T86" i="11" s="1"/>
  <c r="U86" i="11"/>
  <c r="U74" i="11"/>
  <c r="Q74" i="11"/>
  <c r="S74" i="11"/>
  <c r="T74" i="11" s="1"/>
  <c r="S62" i="11"/>
  <c r="T62" i="11" s="1"/>
  <c r="Q62" i="11"/>
  <c r="U62" i="11"/>
  <c r="Q50" i="11"/>
  <c r="U50" i="11"/>
  <c r="S50" i="11"/>
  <c r="T50" i="11" s="1"/>
  <c r="U38" i="11"/>
  <c r="S38" i="11"/>
  <c r="T38" i="11" s="1"/>
  <c r="Q38" i="11"/>
  <c r="U26" i="11"/>
  <c r="S26" i="11"/>
  <c r="T26" i="11" s="1"/>
  <c r="Q26" i="11"/>
  <c r="U14" i="11"/>
  <c r="S14" i="11"/>
  <c r="T14" i="11" s="1"/>
  <c r="Q14" i="11"/>
  <c r="U108" i="11"/>
  <c r="Q108" i="11"/>
  <c r="S108" i="11"/>
  <c r="T108" i="11" s="1"/>
  <c r="Q120" i="11"/>
  <c r="U120" i="11"/>
  <c r="S120" i="11"/>
  <c r="T120" i="11" s="1"/>
  <c r="U132" i="11"/>
  <c r="Q132" i="11"/>
  <c r="S132" i="11"/>
  <c r="T132" i="11" s="1"/>
  <c r="U144" i="11"/>
  <c r="S144" i="11"/>
  <c r="T144" i="11" s="1"/>
  <c r="Q144" i="11"/>
  <c r="Q156" i="11"/>
  <c r="U156" i="11"/>
  <c r="S156" i="11"/>
  <c r="T156" i="11" s="1"/>
  <c r="U168" i="11"/>
  <c r="S168" i="11"/>
  <c r="T168" i="11" s="1"/>
  <c r="Q168" i="11"/>
  <c r="U180" i="11"/>
  <c r="S180" i="11"/>
  <c r="T180" i="11" s="1"/>
  <c r="Q180" i="11"/>
  <c r="S192" i="11"/>
  <c r="T192" i="11" s="1"/>
  <c r="Q192" i="11"/>
  <c r="U192" i="11"/>
  <c r="Q204" i="11"/>
  <c r="U204" i="11"/>
  <c r="S204" i="11"/>
  <c r="T204" i="11" s="1"/>
  <c r="U216" i="11"/>
  <c r="S216" i="11"/>
  <c r="T216" i="11" s="1"/>
  <c r="Q216" i="11"/>
  <c r="S228" i="11"/>
  <c r="T228" i="11" s="1"/>
  <c r="Q228" i="11"/>
  <c r="U228" i="11"/>
  <c r="U240" i="11"/>
  <c r="Q240" i="11"/>
  <c r="S240" i="11"/>
  <c r="T240" i="11" s="1"/>
  <c r="S252" i="11"/>
  <c r="T252" i="11" s="1"/>
  <c r="Q252" i="11"/>
  <c r="U252" i="11"/>
  <c r="S264" i="11"/>
  <c r="T264" i="11" s="1"/>
  <c r="Q264" i="11"/>
  <c r="U264" i="11"/>
  <c r="U276" i="11"/>
  <c r="S276" i="11"/>
  <c r="T276" i="11" s="1"/>
  <c r="Q276" i="11"/>
  <c r="Q288" i="11"/>
  <c r="U288" i="11"/>
  <c r="S288" i="11"/>
  <c r="T288" i="11" s="1"/>
  <c r="Q300" i="11"/>
  <c r="U300" i="11"/>
  <c r="S300" i="11"/>
  <c r="T300" i="11" s="1"/>
  <c r="Q241" i="11"/>
  <c r="U241" i="11"/>
  <c r="S241" i="11"/>
  <c r="T241" i="11" s="1"/>
  <c r="U253" i="11"/>
  <c r="Q253" i="11"/>
  <c r="S253" i="11"/>
  <c r="T253" i="11" s="1"/>
  <c r="S265" i="11"/>
  <c r="T265" i="11" s="1"/>
  <c r="Q265" i="11"/>
  <c r="U265" i="11"/>
  <c r="S277" i="11"/>
  <c r="T277" i="11" s="1"/>
  <c r="Q277" i="11"/>
  <c r="U277" i="11"/>
  <c r="S289" i="11"/>
  <c r="T289" i="11" s="1"/>
  <c r="Q289" i="11"/>
  <c r="U289" i="11"/>
  <c r="U301" i="11"/>
  <c r="S301" i="11"/>
  <c r="T301" i="11" s="1"/>
  <c r="Q301" i="11"/>
  <c r="Y293" i="9"/>
  <c r="W293" i="9"/>
  <c r="X293" i="9" s="1"/>
  <c r="Y269" i="9"/>
  <c r="W269" i="9"/>
  <c r="X269" i="9" s="1"/>
  <c r="W246" i="9"/>
  <c r="X246" i="9" s="1"/>
  <c r="Y246" i="9"/>
  <c r="Y222" i="9"/>
  <c r="W222" i="9"/>
  <c r="X222" i="9" s="1"/>
  <c r="Y199" i="9"/>
  <c r="W199" i="9"/>
  <c r="X199" i="9" s="1"/>
  <c r="Y175" i="9"/>
  <c r="W175" i="9"/>
  <c r="X175" i="9" s="1"/>
  <c r="Y151" i="9"/>
  <c r="W151" i="9"/>
  <c r="X151" i="9" s="1"/>
  <c r="Y128" i="9"/>
  <c r="W128" i="9"/>
  <c r="X128" i="9" s="1"/>
  <c r="W104" i="9"/>
  <c r="X104" i="9" s="1"/>
  <c r="Y104" i="9"/>
  <c r="Y81" i="9"/>
  <c r="W81" i="9"/>
  <c r="X81" i="9" s="1"/>
  <c r="W57" i="9"/>
  <c r="X57" i="9" s="1"/>
  <c r="Y57" i="9"/>
  <c r="Y33" i="9"/>
  <c r="W33" i="9"/>
  <c r="X33" i="9" s="1"/>
  <c r="W10" i="9"/>
  <c r="X10" i="9" s="1"/>
  <c r="Y10" i="9"/>
  <c r="Y292" i="9"/>
  <c r="W292" i="9"/>
  <c r="X292" i="9" s="1"/>
  <c r="Y268" i="9"/>
  <c r="W268" i="9"/>
  <c r="X268" i="9" s="1"/>
  <c r="Y245" i="9"/>
  <c r="W245" i="9"/>
  <c r="X245" i="9" s="1"/>
  <c r="Y221" i="9"/>
  <c r="W221" i="9"/>
  <c r="X221" i="9" s="1"/>
  <c r="Y198" i="9"/>
  <c r="W198" i="9"/>
  <c r="X198" i="9" s="1"/>
  <c r="Y174" i="9"/>
  <c r="W174" i="9"/>
  <c r="X174" i="9" s="1"/>
  <c r="Y150" i="9"/>
  <c r="W150" i="9"/>
  <c r="X150" i="9" s="1"/>
  <c r="Y127" i="9"/>
  <c r="W127" i="9"/>
  <c r="X127" i="9" s="1"/>
  <c r="Y103" i="9"/>
  <c r="W103" i="9"/>
  <c r="X103" i="9" s="1"/>
  <c r="Y80" i="9"/>
  <c r="W80" i="9"/>
  <c r="X80" i="9" s="1"/>
  <c r="W56" i="9"/>
  <c r="X56" i="9" s="1"/>
  <c r="Y56" i="9"/>
  <c r="W32" i="9"/>
  <c r="X32" i="9" s="1"/>
  <c r="Y32" i="9"/>
  <c r="Y9" i="9"/>
  <c r="W9" i="9"/>
  <c r="X9" i="9" s="1"/>
  <c r="Y290" i="9"/>
  <c r="W290" i="9"/>
  <c r="X290" i="9" s="1"/>
  <c r="W267" i="9"/>
  <c r="X267" i="9" s="1"/>
  <c r="Y267" i="9"/>
  <c r="Y242" i="9"/>
  <c r="W242" i="9"/>
  <c r="X242" i="9" s="1"/>
  <c r="Y220" i="9"/>
  <c r="W220" i="9"/>
  <c r="X220" i="9" s="1"/>
  <c r="W195" i="9"/>
  <c r="X195" i="9" s="1"/>
  <c r="Y195" i="9"/>
  <c r="Y173" i="9"/>
  <c r="W173" i="9"/>
  <c r="X173" i="9" s="1"/>
  <c r="Y148" i="9"/>
  <c r="W148" i="9"/>
  <c r="X148" i="9" s="1"/>
  <c r="W125" i="9"/>
  <c r="X125" i="9" s="1"/>
  <c r="Y125" i="9"/>
  <c r="W101" i="9"/>
  <c r="X101" i="9" s="1"/>
  <c r="Y101" i="9"/>
  <c r="Y78" i="9"/>
  <c r="W78" i="9"/>
  <c r="X78" i="9" s="1"/>
  <c r="Y54" i="9"/>
  <c r="W54" i="9"/>
  <c r="X54" i="9" s="1"/>
  <c r="Y31" i="9"/>
  <c r="W31" i="9"/>
  <c r="X31" i="9" s="1"/>
  <c r="Y6" i="9"/>
  <c r="W6" i="9"/>
  <c r="X6" i="9" s="1"/>
  <c r="Y286" i="9"/>
  <c r="W286" i="9"/>
  <c r="X286" i="9" s="1"/>
  <c r="W264" i="9"/>
  <c r="X264" i="9" s="1"/>
  <c r="Y264" i="9"/>
  <c r="W239" i="9"/>
  <c r="X239" i="9" s="1"/>
  <c r="Y239" i="9"/>
  <c r="Y216" i="9"/>
  <c r="W216" i="9"/>
  <c r="X216" i="9" s="1"/>
  <c r="Y192" i="9"/>
  <c r="W192" i="9"/>
  <c r="X192" i="9" s="1"/>
  <c r="Y170" i="9"/>
  <c r="W170" i="9"/>
  <c r="X170" i="9" s="1"/>
  <c r="Y146" i="9"/>
  <c r="W146" i="9"/>
  <c r="X146" i="9" s="1"/>
  <c r="Y123" i="9"/>
  <c r="W123" i="9"/>
  <c r="X123" i="9" s="1"/>
  <c r="Y98" i="9"/>
  <c r="W98" i="9"/>
  <c r="X98" i="9" s="1"/>
  <c r="W76" i="9"/>
  <c r="X76" i="9" s="1"/>
  <c r="Y76" i="9"/>
  <c r="Y51" i="9"/>
  <c r="W51" i="9"/>
  <c r="X51" i="9" s="1"/>
  <c r="Y29" i="9"/>
  <c r="W29" i="9"/>
  <c r="X29" i="9" s="1"/>
  <c r="Y4" i="9"/>
  <c r="W4" i="9"/>
  <c r="X4" i="9" s="1"/>
  <c r="W285" i="9"/>
  <c r="X285" i="9" s="1"/>
  <c r="Y285" i="9"/>
  <c r="Y261" i="9"/>
  <c r="W261" i="9"/>
  <c r="X261" i="9" s="1"/>
  <c r="W238" i="9"/>
  <c r="X238" i="9" s="1"/>
  <c r="Y238" i="9"/>
  <c r="W214" i="9"/>
  <c r="X214" i="9" s="1"/>
  <c r="Y214" i="9"/>
  <c r="W190" i="9"/>
  <c r="X190" i="9" s="1"/>
  <c r="Y190" i="9"/>
  <c r="Y167" i="9"/>
  <c r="W167" i="9"/>
  <c r="X167" i="9" s="1"/>
  <c r="W143" i="9"/>
  <c r="X143" i="9" s="1"/>
  <c r="Y143" i="9"/>
  <c r="Y120" i="9"/>
  <c r="W120" i="9"/>
  <c r="X120" i="9" s="1"/>
  <c r="Y96" i="9"/>
  <c r="W96" i="9"/>
  <c r="X96" i="9" s="1"/>
  <c r="Y72" i="9"/>
  <c r="W72" i="9"/>
  <c r="X72" i="9" s="1"/>
  <c r="W50" i="9"/>
  <c r="X50" i="9" s="1"/>
  <c r="Y50" i="9"/>
  <c r="Y26" i="9"/>
  <c r="W26" i="9"/>
  <c r="X26" i="9" s="1"/>
  <c r="W3" i="9"/>
  <c r="X3" i="9" s="1"/>
  <c r="Y3" i="9"/>
  <c r="J8" i="12"/>
  <c r="W284" i="9"/>
  <c r="X284" i="9" s="1"/>
  <c r="Y284" i="9"/>
  <c r="Y260" i="9"/>
  <c r="W260" i="9"/>
  <c r="X260" i="9" s="1"/>
  <c r="W237" i="9"/>
  <c r="X237" i="9" s="1"/>
  <c r="Y237" i="9"/>
  <c r="Y213" i="9"/>
  <c r="W213" i="9"/>
  <c r="X213" i="9" s="1"/>
  <c r="Y189" i="9"/>
  <c r="W189" i="9"/>
  <c r="X189" i="9" s="1"/>
  <c r="Y166" i="9"/>
  <c r="W166" i="9"/>
  <c r="X166" i="9" s="1"/>
  <c r="W142" i="9"/>
  <c r="X142" i="9" s="1"/>
  <c r="Y142" i="9"/>
  <c r="Y119" i="9"/>
  <c r="W119" i="9"/>
  <c r="X119" i="9" s="1"/>
  <c r="Y95" i="9"/>
  <c r="W95" i="9"/>
  <c r="X95" i="9" s="1"/>
  <c r="Y71" i="9"/>
  <c r="W71" i="9"/>
  <c r="X71" i="9" s="1"/>
  <c r="Y48" i="9"/>
  <c r="W48" i="9"/>
  <c r="X48" i="9" s="1"/>
  <c r="W24" i="9"/>
  <c r="X24" i="9" s="1"/>
  <c r="Y24" i="9"/>
  <c r="Y5" i="9"/>
  <c r="W5" i="9"/>
  <c r="X5" i="9" s="1"/>
  <c r="Y20" i="9"/>
  <c r="W20" i="9"/>
  <c r="X20" i="9" s="1"/>
  <c r="Y36" i="9"/>
  <c r="W36" i="9"/>
  <c r="X36" i="9" s="1"/>
  <c r="W52" i="9"/>
  <c r="X52" i="9" s="1"/>
  <c r="Y52" i="9"/>
  <c r="Y68" i="9"/>
  <c r="W68" i="9"/>
  <c r="X68" i="9" s="1"/>
  <c r="W83" i="9"/>
  <c r="X83" i="9" s="1"/>
  <c r="Y83" i="9"/>
  <c r="Y99" i="9"/>
  <c r="W99" i="9"/>
  <c r="X99" i="9" s="1"/>
  <c r="Y115" i="9"/>
  <c r="W115" i="9"/>
  <c r="X115" i="9" s="1"/>
  <c r="Y130" i="9"/>
  <c r="W130" i="9"/>
  <c r="X130" i="9" s="1"/>
  <c r="W147" i="9"/>
  <c r="X147" i="9" s="1"/>
  <c r="Y147" i="9"/>
  <c r="W162" i="9"/>
  <c r="X162" i="9" s="1"/>
  <c r="Y162" i="9"/>
  <c r="W177" i="9"/>
  <c r="X177" i="9" s="1"/>
  <c r="Y177" i="9"/>
  <c r="Y194" i="9"/>
  <c r="W194" i="9"/>
  <c r="X194" i="9" s="1"/>
  <c r="Y209" i="9"/>
  <c r="W209" i="9"/>
  <c r="X209" i="9" s="1"/>
  <c r="W225" i="9"/>
  <c r="X225" i="9" s="1"/>
  <c r="Y225" i="9"/>
  <c r="Y240" i="9"/>
  <c r="W240" i="9"/>
  <c r="X240" i="9" s="1"/>
  <c r="Y256" i="9"/>
  <c r="W256" i="9"/>
  <c r="X256" i="9" s="1"/>
  <c r="W272" i="9"/>
  <c r="X272" i="9" s="1"/>
  <c r="Y272" i="9"/>
  <c r="Y287" i="9"/>
  <c r="W287" i="9"/>
  <c r="X287" i="9" s="1"/>
  <c r="Y304" i="9"/>
  <c r="W304" i="9"/>
  <c r="X304" i="9" s="1"/>
  <c r="W7" i="9"/>
  <c r="X7" i="9" s="1"/>
  <c r="Y7" i="9"/>
  <c r="Y23" i="9"/>
  <c r="W23" i="9"/>
  <c r="X23" i="9" s="1"/>
  <c r="Y39" i="9"/>
  <c r="W39" i="9"/>
  <c r="X39" i="9" s="1"/>
  <c r="Y55" i="9"/>
  <c r="W55" i="9"/>
  <c r="X55" i="9" s="1"/>
  <c r="Y70" i="9"/>
  <c r="W70" i="9"/>
  <c r="X70" i="9" s="1"/>
  <c r="W86" i="9"/>
  <c r="X86" i="9" s="1"/>
  <c r="Y86" i="9"/>
  <c r="Y102" i="9"/>
  <c r="W102" i="9"/>
  <c r="X102" i="9" s="1"/>
  <c r="Y117" i="9"/>
  <c r="W117" i="9"/>
  <c r="X117" i="9" s="1"/>
  <c r="Y134" i="9"/>
  <c r="W134" i="9"/>
  <c r="X134" i="9" s="1"/>
  <c r="Y149" i="9"/>
  <c r="W149" i="9"/>
  <c r="X149" i="9" s="1"/>
  <c r="Y164" i="9"/>
  <c r="W164" i="9"/>
  <c r="X164" i="9" s="1"/>
  <c r="W180" i="9"/>
  <c r="X180" i="9" s="1"/>
  <c r="Y180" i="9"/>
  <c r="Y196" i="9"/>
  <c r="W196" i="9"/>
  <c r="X196" i="9" s="1"/>
  <c r="W212" i="9"/>
  <c r="X212" i="9" s="1"/>
  <c r="Y212" i="9"/>
  <c r="W227" i="9"/>
  <c r="X227" i="9" s="1"/>
  <c r="Y227" i="9"/>
  <c r="Y243" i="9"/>
  <c r="W243" i="9"/>
  <c r="X243" i="9" s="1"/>
  <c r="Y259" i="9"/>
  <c r="W259" i="9"/>
  <c r="X259" i="9" s="1"/>
  <c r="Y274" i="9"/>
  <c r="W274" i="9"/>
  <c r="X274" i="9" s="1"/>
  <c r="Y291" i="9"/>
  <c r="W291" i="9"/>
  <c r="X291" i="9" s="1"/>
  <c r="W11" i="9"/>
  <c r="X11" i="9" s="1"/>
  <c r="Y11" i="9"/>
  <c r="Y28" i="9"/>
  <c r="W28" i="9"/>
  <c r="X28" i="9" s="1"/>
  <c r="Y43" i="9"/>
  <c r="W43" i="9"/>
  <c r="X43" i="9" s="1"/>
  <c r="W58" i="9"/>
  <c r="X58" i="9" s="1"/>
  <c r="Y58" i="9"/>
  <c r="Y75" i="9"/>
  <c r="W75" i="9"/>
  <c r="X75" i="9" s="1"/>
  <c r="Y90" i="9"/>
  <c r="W90" i="9"/>
  <c r="X90" i="9" s="1"/>
  <c r="Y106" i="9"/>
  <c r="W106" i="9"/>
  <c r="X106" i="9" s="1"/>
  <c r="Y122" i="9"/>
  <c r="W122" i="9"/>
  <c r="X122" i="9" s="1"/>
  <c r="W137" i="9"/>
  <c r="X137" i="9" s="1"/>
  <c r="Y137" i="9"/>
  <c r="W153" i="9"/>
  <c r="X153" i="9" s="1"/>
  <c r="Y153" i="9"/>
  <c r="Y168" i="9"/>
  <c r="W168" i="9"/>
  <c r="X168" i="9" s="1"/>
  <c r="Y185" i="9"/>
  <c r="W185" i="9"/>
  <c r="X185" i="9" s="1"/>
  <c r="Y200" i="9"/>
  <c r="W200" i="9"/>
  <c r="X200" i="9" s="1"/>
  <c r="Y215" i="9"/>
  <c r="W215" i="9"/>
  <c r="X215" i="9" s="1"/>
  <c r="W232" i="9"/>
  <c r="X232" i="9" s="1"/>
  <c r="Y232" i="9"/>
  <c r="Y247" i="9"/>
  <c r="W247" i="9"/>
  <c r="X247" i="9" s="1"/>
  <c r="Y263" i="9"/>
  <c r="W263" i="9"/>
  <c r="X263" i="9" s="1"/>
  <c r="W279" i="9"/>
  <c r="X279" i="9" s="1"/>
  <c r="Y279" i="9"/>
  <c r="W294" i="9"/>
  <c r="X294" i="9" s="1"/>
  <c r="Y294" i="9"/>
  <c r="Y15" i="9"/>
  <c r="W15" i="9"/>
  <c r="X15" i="9" s="1"/>
  <c r="Y30" i="9"/>
  <c r="W30" i="9"/>
  <c r="X30" i="9" s="1"/>
  <c r="W45" i="9"/>
  <c r="X45" i="9" s="1"/>
  <c r="Y45" i="9"/>
  <c r="Y62" i="9"/>
  <c r="W62" i="9"/>
  <c r="X62" i="9" s="1"/>
  <c r="Y77" i="9"/>
  <c r="W77" i="9"/>
  <c r="X77" i="9" s="1"/>
  <c r="Y93" i="9"/>
  <c r="W93" i="9"/>
  <c r="X93" i="9" s="1"/>
  <c r="W108" i="9"/>
  <c r="X108" i="9" s="1"/>
  <c r="Y108" i="9"/>
  <c r="Y124" i="9"/>
  <c r="W124" i="9"/>
  <c r="X124" i="9" s="1"/>
  <c r="W140" i="9"/>
  <c r="X140" i="9" s="1"/>
  <c r="Y140" i="9"/>
  <c r="Y155" i="9"/>
  <c r="W155" i="9"/>
  <c r="X155" i="9" s="1"/>
  <c r="Y172" i="9"/>
  <c r="W172" i="9"/>
  <c r="X172" i="9" s="1"/>
  <c r="Y187" i="9"/>
  <c r="W187" i="9"/>
  <c r="X187" i="9" s="1"/>
  <c r="Y202" i="9"/>
  <c r="W202" i="9"/>
  <c r="X202" i="9" s="1"/>
  <c r="W219" i="9"/>
  <c r="X219" i="9" s="1"/>
  <c r="Y219" i="9"/>
  <c r="Y234" i="9"/>
  <c r="W234" i="9"/>
  <c r="X234" i="9" s="1"/>
  <c r="Y250" i="9"/>
  <c r="W250" i="9"/>
  <c r="X250" i="9" s="1"/>
  <c r="W266" i="9"/>
  <c r="X266" i="9" s="1"/>
  <c r="Y266" i="9"/>
  <c r="Y281" i="9"/>
  <c r="W281" i="9"/>
  <c r="X281" i="9" s="1"/>
  <c r="Y297" i="9"/>
  <c r="W297" i="9"/>
  <c r="X297" i="9" s="1"/>
  <c r="Y14" i="9"/>
  <c r="W14" i="9"/>
  <c r="X14" i="9" s="1"/>
  <c r="W27" i="9"/>
  <c r="X27" i="9" s="1"/>
  <c r="Y27" i="9"/>
  <c r="W40" i="9"/>
  <c r="X40" i="9" s="1"/>
  <c r="Y40" i="9"/>
  <c r="Y53" i="9"/>
  <c r="W53" i="9"/>
  <c r="X53" i="9" s="1"/>
  <c r="Y66" i="9"/>
  <c r="W66" i="9"/>
  <c r="X66" i="9" s="1"/>
  <c r="W79" i="9"/>
  <c r="X79" i="9" s="1"/>
  <c r="Y79" i="9"/>
  <c r="Y92" i="9"/>
  <c r="W92" i="9"/>
  <c r="X92" i="9" s="1"/>
  <c r="Y105" i="9"/>
  <c r="W105" i="9"/>
  <c r="X105" i="9" s="1"/>
  <c r="W118" i="9"/>
  <c r="X118" i="9" s="1"/>
  <c r="Y118" i="9"/>
  <c r="Y131" i="9"/>
  <c r="W131" i="9"/>
  <c r="X131" i="9" s="1"/>
  <c r="W144" i="9"/>
  <c r="X144" i="9" s="1"/>
  <c r="Y144" i="9"/>
  <c r="Y158" i="9"/>
  <c r="W158" i="9"/>
  <c r="X158" i="9" s="1"/>
  <c r="W171" i="9"/>
  <c r="X171" i="9" s="1"/>
  <c r="Y171" i="9"/>
  <c r="W184" i="9"/>
  <c r="X184" i="9" s="1"/>
  <c r="Y184" i="9"/>
  <c r="Y197" i="9"/>
  <c r="W197" i="9"/>
  <c r="X197" i="9" s="1"/>
  <c r="W210" i="9"/>
  <c r="X210" i="9" s="1"/>
  <c r="Y210" i="9"/>
  <c r="Y223" i="9"/>
  <c r="W223" i="9"/>
  <c r="X223" i="9" s="1"/>
  <c r="W236" i="9"/>
  <c r="X236" i="9" s="1"/>
  <c r="Y236" i="9"/>
  <c r="Y249" i="9"/>
  <c r="W249" i="9"/>
  <c r="X249" i="9" s="1"/>
  <c r="Y262" i="9"/>
  <c r="W262" i="9"/>
  <c r="X262" i="9" s="1"/>
  <c r="Y275" i="9"/>
  <c r="W275" i="9"/>
  <c r="X275" i="9" s="1"/>
  <c r="W288" i="9"/>
  <c r="X288" i="9" s="1"/>
  <c r="Y288" i="9"/>
  <c r="W302" i="9"/>
  <c r="X302" i="9" s="1"/>
  <c r="Y302" i="9"/>
  <c r="Y8" i="9"/>
  <c r="W8" i="9"/>
  <c r="X8" i="9" s="1"/>
  <c r="W21" i="9"/>
  <c r="X21" i="9" s="1"/>
  <c r="Y21" i="9"/>
  <c r="Y34" i="9"/>
  <c r="W34" i="9"/>
  <c r="X34" i="9" s="1"/>
  <c r="Y47" i="9"/>
  <c r="W47" i="9"/>
  <c r="X47" i="9" s="1"/>
  <c r="W60" i="9"/>
  <c r="X60" i="9" s="1"/>
  <c r="Y60" i="9"/>
  <c r="Y74" i="9"/>
  <c r="W74" i="9"/>
  <c r="X74" i="9" s="1"/>
  <c r="Y87" i="9"/>
  <c r="W87" i="9"/>
  <c r="X87" i="9" s="1"/>
  <c r="Y100" i="9"/>
  <c r="W100" i="9"/>
  <c r="X100" i="9" s="1"/>
  <c r="Y113" i="9"/>
  <c r="W113" i="9"/>
  <c r="X113" i="9" s="1"/>
  <c r="W126" i="9"/>
  <c r="X126" i="9" s="1"/>
  <c r="Y126" i="9"/>
  <c r="W139" i="9"/>
  <c r="X139" i="9" s="1"/>
  <c r="Y139" i="9"/>
  <c r="Y152" i="9"/>
  <c r="W152" i="9"/>
  <c r="X152" i="9" s="1"/>
  <c r="Y165" i="9"/>
  <c r="W165" i="9"/>
  <c r="X165" i="9" s="1"/>
  <c r="Y178" i="9"/>
  <c r="W178" i="9"/>
  <c r="X178" i="9" s="1"/>
  <c r="Y191" i="9"/>
  <c r="W191" i="9"/>
  <c r="X191" i="9" s="1"/>
  <c r="Y204" i="9"/>
  <c r="W204" i="9"/>
  <c r="X204" i="9" s="1"/>
  <c r="Y218" i="9"/>
  <c r="W218" i="9"/>
  <c r="X218" i="9" s="1"/>
  <c r="W231" i="9"/>
  <c r="X231" i="9" s="1"/>
  <c r="Y231" i="9"/>
  <c r="Y244" i="9"/>
  <c r="W244" i="9"/>
  <c r="X244" i="9" s="1"/>
  <c r="Y257" i="9"/>
  <c r="W257" i="9"/>
  <c r="X257" i="9" s="1"/>
  <c r="W270" i="9"/>
  <c r="X270" i="9" s="1"/>
  <c r="Y270" i="9"/>
  <c r="W283" i="9"/>
  <c r="X283" i="9" s="1"/>
  <c r="Y283" i="9"/>
  <c r="Y296" i="9"/>
  <c r="W296" i="9"/>
  <c r="X296" i="9" s="1"/>
  <c r="Y2" i="9"/>
  <c r="W2" i="9"/>
  <c r="X2" i="9" s="1"/>
  <c r="Y13" i="9"/>
  <c r="W13" i="9"/>
  <c r="X13" i="9" s="1"/>
  <c r="W25" i="9"/>
  <c r="X25" i="9" s="1"/>
  <c r="Y25" i="9"/>
  <c r="Y37" i="9"/>
  <c r="W37" i="9"/>
  <c r="X37" i="9" s="1"/>
  <c r="Y49" i="9"/>
  <c r="W49" i="9"/>
  <c r="X49" i="9" s="1"/>
  <c r="Y61" i="9"/>
  <c r="W61" i="9"/>
  <c r="X61" i="9" s="1"/>
  <c r="Y73" i="9"/>
  <c r="W73" i="9"/>
  <c r="X73" i="9" s="1"/>
  <c r="Y85" i="9"/>
  <c r="W85" i="9"/>
  <c r="X85" i="9" s="1"/>
  <c r="Y97" i="9"/>
  <c r="W97" i="9"/>
  <c r="X97" i="9" s="1"/>
  <c r="W109" i="9"/>
  <c r="X109" i="9" s="1"/>
  <c r="Y109" i="9"/>
  <c r="W121" i="9"/>
  <c r="X121" i="9" s="1"/>
  <c r="Y121" i="9"/>
  <c r="W133" i="9"/>
  <c r="X133" i="9" s="1"/>
  <c r="Y133" i="9"/>
  <c r="W145" i="9"/>
  <c r="X145" i="9" s="1"/>
  <c r="Y145" i="9"/>
  <c r="W157" i="9"/>
  <c r="X157" i="9" s="1"/>
  <c r="Y157" i="9"/>
  <c r="Y169" i="9"/>
  <c r="W169" i="9"/>
  <c r="X169" i="9" s="1"/>
  <c r="Y181" i="9"/>
  <c r="W181" i="9"/>
  <c r="X181" i="9" s="1"/>
  <c r="Y193" i="9"/>
  <c r="W193" i="9"/>
  <c r="X193" i="9" s="1"/>
  <c r="Y205" i="9"/>
  <c r="W205" i="9"/>
  <c r="X205" i="9" s="1"/>
  <c r="Y217" i="9"/>
  <c r="W217" i="9"/>
  <c r="X217" i="9" s="1"/>
  <c r="Y229" i="9"/>
  <c r="W229" i="9"/>
  <c r="X229" i="9" s="1"/>
  <c r="Y241" i="9"/>
  <c r="W241" i="9"/>
  <c r="X241" i="9" s="1"/>
  <c r="Y253" i="9"/>
  <c r="W253" i="9"/>
  <c r="X253" i="9" s="1"/>
  <c r="W265" i="9"/>
  <c r="X265" i="9" s="1"/>
  <c r="Y265" i="9"/>
  <c r="Y277" i="9"/>
  <c r="W277" i="9"/>
  <c r="X277" i="9" s="1"/>
  <c r="Y289" i="9"/>
  <c r="W289" i="9"/>
  <c r="X289" i="9" s="1"/>
  <c r="Y301" i="9"/>
  <c r="W301" i="9"/>
  <c r="X301" i="9" s="1"/>
  <c r="W282" i="9"/>
  <c r="X282" i="9" s="1"/>
  <c r="Y282" i="9"/>
  <c r="W258" i="9"/>
  <c r="X258" i="9" s="1"/>
  <c r="Y258" i="9"/>
  <c r="Y235" i="9"/>
  <c r="W235" i="9"/>
  <c r="X235" i="9" s="1"/>
  <c r="Y211" i="9"/>
  <c r="W211" i="9"/>
  <c r="X211" i="9" s="1"/>
  <c r="W188" i="9"/>
  <c r="X188" i="9" s="1"/>
  <c r="Y188" i="9"/>
  <c r="W163" i="9"/>
  <c r="X163" i="9" s="1"/>
  <c r="Y163" i="9"/>
  <c r="Y141" i="9"/>
  <c r="W141" i="9"/>
  <c r="X141" i="9" s="1"/>
  <c r="W116" i="9"/>
  <c r="X116" i="9" s="1"/>
  <c r="Y116" i="9"/>
  <c r="W94" i="9"/>
  <c r="X94" i="9" s="1"/>
  <c r="Y94" i="9"/>
  <c r="W69" i="9"/>
  <c r="X69" i="9" s="1"/>
  <c r="Y69" i="9"/>
  <c r="W46" i="9"/>
  <c r="X46" i="9" s="1"/>
  <c r="Y46" i="9"/>
  <c r="W22" i="9"/>
  <c r="X22" i="9" s="1"/>
  <c r="Y22" i="9"/>
  <c r="W303" i="9"/>
  <c r="X303" i="9" s="1"/>
  <c r="Y303" i="9"/>
  <c r="Y280" i="9"/>
  <c r="W280" i="9"/>
  <c r="X280" i="9" s="1"/>
  <c r="W255" i="9"/>
  <c r="X255" i="9" s="1"/>
  <c r="Y255" i="9"/>
  <c r="Y233" i="9"/>
  <c r="W233" i="9"/>
  <c r="X233" i="9" s="1"/>
  <c r="Y208" i="9"/>
  <c r="W208" i="9"/>
  <c r="X208" i="9" s="1"/>
  <c r="W186" i="9"/>
  <c r="X186" i="9" s="1"/>
  <c r="Y186" i="9"/>
  <c r="Y161" i="9"/>
  <c r="W161" i="9"/>
  <c r="X161" i="9" s="1"/>
  <c r="Y138" i="9"/>
  <c r="W138" i="9"/>
  <c r="X138" i="9" s="1"/>
  <c r="Y114" i="9"/>
  <c r="W114" i="9"/>
  <c r="X114" i="9" s="1"/>
  <c r="W91" i="9"/>
  <c r="X91" i="9" s="1"/>
  <c r="Y91" i="9"/>
  <c r="Y67" i="9"/>
  <c r="W67" i="9"/>
  <c r="X67" i="9" s="1"/>
  <c r="Y44" i="9"/>
  <c r="W44" i="9"/>
  <c r="X44" i="9" s="1"/>
  <c r="Y19" i="9"/>
  <c r="W19" i="9"/>
  <c r="X19" i="9" s="1"/>
  <c r="Y298" i="9"/>
  <c r="W298" i="9"/>
  <c r="X298" i="9" s="1"/>
  <c r="Y273" i="9"/>
  <c r="W273" i="9"/>
  <c r="X273" i="9" s="1"/>
  <c r="Y251" i="9"/>
  <c r="W251" i="9"/>
  <c r="X251" i="9" s="1"/>
  <c r="Y226" i="9"/>
  <c r="W226" i="9"/>
  <c r="X226" i="9" s="1"/>
  <c r="W203" i="9"/>
  <c r="X203" i="9" s="1"/>
  <c r="Y203" i="9"/>
  <c r="W179" i="9"/>
  <c r="X179" i="9" s="1"/>
  <c r="Y179" i="9"/>
  <c r="W156" i="9"/>
  <c r="X156" i="9" s="1"/>
  <c r="Y156" i="9"/>
  <c r="W132" i="9"/>
  <c r="X132" i="9" s="1"/>
  <c r="Y132" i="9"/>
  <c r="W110" i="9"/>
  <c r="X110" i="9" s="1"/>
  <c r="Y110" i="9"/>
  <c r="Y84" i="9"/>
  <c r="W84" i="9"/>
  <c r="X84" i="9" s="1"/>
  <c r="W63" i="9"/>
  <c r="X63" i="9" s="1"/>
  <c r="Y63" i="9"/>
  <c r="Y38" i="9"/>
  <c r="W38" i="9"/>
  <c r="X38" i="9" s="1"/>
  <c r="W16" i="9"/>
  <c r="X16" i="9" s="1"/>
  <c r="Y16" i="9"/>
  <c r="J7" i="12"/>
  <c r="J5" i="12"/>
  <c r="J3" i="12"/>
  <c r="W294" i="8"/>
  <c r="X294" i="8" s="1"/>
  <c r="Y294" i="8"/>
  <c r="Y280" i="8"/>
  <c r="W280" i="8"/>
  <c r="X280" i="8" s="1"/>
  <c r="W265" i="8"/>
  <c r="X265" i="8" s="1"/>
  <c r="Y265" i="8"/>
  <c r="W251" i="8"/>
  <c r="X251" i="8" s="1"/>
  <c r="Y251" i="8"/>
  <c r="W237" i="8"/>
  <c r="X237" i="8" s="1"/>
  <c r="Y237" i="8"/>
  <c r="W222" i="8"/>
  <c r="X222" i="8" s="1"/>
  <c r="Y222" i="8"/>
  <c r="Y208" i="8"/>
  <c r="W208" i="8"/>
  <c r="X208" i="8" s="1"/>
  <c r="W194" i="8"/>
  <c r="X194" i="8" s="1"/>
  <c r="Y194" i="8"/>
  <c r="Y80" i="8"/>
  <c r="W80" i="8"/>
  <c r="X80" i="8" s="1"/>
  <c r="W96" i="8"/>
  <c r="X96" i="8" s="1"/>
  <c r="Y96" i="8"/>
  <c r="W148" i="8"/>
  <c r="X148" i="8" s="1"/>
  <c r="Y148" i="8"/>
  <c r="W161" i="8"/>
  <c r="X161" i="8" s="1"/>
  <c r="Y161" i="8"/>
  <c r="Y214" i="8"/>
  <c r="W214" i="8"/>
  <c r="X214" i="8" s="1"/>
  <c r="Y227" i="8"/>
  <c r="W227" i="8"/>
  <c r="X227" i="8" s="1"/>
  <c r="Y240" i="8"/>
  <c r="W240" i="8"/>
  <c r="X240" i="8" s="1"/>
  <c r="Y253" i="8"/>
  <c r="W253" i="8"/>
  <c r="X253" i="8" s="1"/>
  <c r="Y266" i="8"/>
  <c r="W266" i="8"/>
  <c r="X266" i="8" s="1"/>
  <c r="W279" i="8"/>
  <c r="X279" i="8" s="1"/>
  <c r="Y279" i="8"/>
  <c r="W292" i="8"/>
  <c r="X292" i="8" s="1"/>
  <c r="Y292" i="8"/>
  <c r="W305" i="8"/>
  <c r="X305" i="8" s="1"/>
  <c r="Y305" i="8"/>
  <c r="Y115" i="8"/>
  <c r="W115" i="8"/>
  <c r="X115" i="8" s="1"/>
  <c r="Y139" i="8"/>
  <c r="W139" i="8"/>
  <c r="X139" i="8" s="1"/>
  <c r="Y175" i="8"/>
  <c r="W175" i="8"/>
  <c r="X175" i="8" s="1"/>
  <c r="Y211" i="8"/>
  <c r="W211" i="8"/>
  <c r="X211" i="8" s="1"/>
  <c r="W223" i="8"/>
  <c r="X223" i="8" s="1"/>
  <c r="Y223" i="8"/>
  <c r="W235" i="8"/>
  <c r="X235" i="8" s="1"/>
  <c r="Y235" i="8"/>
  <c r="W247" i="8"/>
  <c r="X247" i="8" s="1"/>
  <c r="Y247" i="8"/>
  <c r="Y259" i="8"/>
  <c r="W259" i="8"/>
  <c r="X259" i="8" s="1"/>
  <c r="W271" i="8"/>
  <c r="X271" i="8" s="1"/>
  <c r="Y271" i="8"/>
  <c r="Y295" i="8"/>
  <c r="W295" i="8"/>
  <c r="X295" i="8" s="1"/>
  <c r="J2" i="12"/>
  <c r="J9" i="12" s="1"/>
  <c r="L9" i="12"/>
  <c r="W286" i="8"/>
  <c r="X286" i="8" s="1"/>
  <c r="Y286" i="8"/>
  <c r="Y272" i="8"/>
  <c r="W272" i="8"/>
  <c r="X272" i="8" s="1"/>
  <c r="Y257" i="8"/>
  <c r="W257" i="8"/>
  <c r="X257" i="8" s="1"/>
  <c r="W243" i="8"/>
  <c r="X243" i="8" s="1"/>
  <c r="Y243" i="8"/>
  <c r="Y229" i="8"/>
  <c r="W229" i="8"/>
  <c r="X229" i="8" s="1"/>
  <c r="Y215" i="8"/>
  <c r="W215" i="8"/>
  <c r="X215" i="8" s="1"/>
  <c r="Y129" i="8"/>
  <c r="W129" i="8"/>
  <c r="X129" i="8" s="1"/>
  <c r="Y60" i="8"/>
  <c r="W60" i="8"/>
  <c r="X60" i="8" s="1"/>
  <c r="J4" i="12"/>
  <c r="K6" i="12"/>
  <c r="J6" i="12"/>
  <c r="I9" i="12" l="1"/>
  <c r="G9" i="12"/>
  <c r="B9" i="12"/>
  <c r="K7" i="12"/>
  <c r="K2" i="12"/>
  <c r="K9" i="12" s="1"/>
  <c r="F9" i="12"/>
  <c r="E16" i="1"/>
  <c r="H9" i="12"/>
  <c r="E17" i="1"/>
  <c r="E14" i="1"/>
  <c r="B20" i="1"/>
  <c r="F17" i="1" s="1"/>
  <c r="E19" i="1"/>
  <c r="E15" i="1"/>
  <c r="C9" i="12"/>
  <c r="E20" i="1" l="1"/>
  <c r="G19" i="1"/>
  <c r="G17" i="1"/>
  <c r="G15" i="1"/>
  <c r="G18" i="1"/>
  <c r="G16" i="1"/>
  <c r="F20" i="1"/>
  <c r="G14" i="1"/>
  <c r="F18" i="1"/>
  <c r="F19" i="1"/>
  <c r="F14" i="1"/>
  <c r="F16" i="1"/>
  <c r="F15" i="1"/>
  <c r="L1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tc={eff83310-ebb8-445c-9150-5cc617264e0f}</author>
  </authors>
  <commentList>
    <comment ref="A1" authorId="0" shapeId="0" xr:uid="{EFF83310-EBB8-445C-9150-5CC617264E0F}">
      <text>
        <t>[Threaded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100-000001000000}">
      <text>
        <r>
          <rPr>
            <sz val="11"/>
            <color theme="1"/>
            <rFont val="Calibri"/>
            <scheme val="minor"/>
          </rPr>
          <t>Lay course cua buoi hoc Present gan nhat trong ATTENDANCE_LOG
Cong thuc: =IFERROR(INDEX(ATTENDANCE_LOG!B:B, MATCH(1, (A2=ATTENDANCE_LOG!C:C)*(H2=ATTENDANCE_LOG!F:F), 0)), "")</t>
        </r>
      </text>
    </comment>
    <comment ref="J2" authorId="0" shapeId="0" xr:uid="{00000000-0006-0000-0100-000002000000}">
      <text>
        <r>
          <rPr>
            <sz val="11"/>
            <color theme="1"/>
            <rFont val="Calibri"/>
            <scheme val="minor"/>
          </rPr>
          <t>Ngay Present gan nhat trong ATTENDANCE_LOG
Cong thuc: =IFERROR(MAXIFS(ATTENDANCE_LOG!F:F, ATTENDANCE_LOG!C:C, A2, ATTENDANCE_LOG!G:G, "Present"), "")</t>
        </r>
      </text>
    </comment>
    <comment ref="K2" authorId="0" shapeId="0" xr:uid="{00000000-0006-0000-0100-000003000000}">
      <text>
        <r>
          <rPr>
            <sz val="11"/>
            <color theme="1"/>
            <rFont val="Calibri"/>
            <scheme val="minor"/>
          </rPr>
          <t>So ngay ke tu Last Active
Cong thuc: =IF(H2="", "", TODAY()-H2)</t>
        </r>
      </text>
    </comment>
    <comment ref="L2" authorId="0" shapeId="0" xr:uid="{00000000-0006-0000-0100-000004000000}">
      <text>
        <r>
          <rPr>
            <sz val="11"/>
            <color theme="1"/>
            <rFont val="Calibri"/>
            <scheme val="minor"/>
          </rPr>
          <t>Flag "Possibly Dropped" neu &gt; 20 ngay khong di hoc
Cong thuc: =IF(AND(ISNUMBER(I2), I2&gt;20), "⚠ Possibly Dropped",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
</t>
        </r>
      </text>
    </comment>
    <comment ref="F18" authorId="0" shapeId="0" xr:uid="{00000000-0006-0000-0200-000002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Chị giúp e fill EMP CODE của các bạn nì nha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11"/>
            <color theme="1"/>
            <rFont val="Calibri"/>
            <scheme val="minor"/>
          </rPr>
          <t>Tu dong lookup Full Name tu STUDENTS theo Emp Code
Cong thuc: =IFERROR(VLOOKUP(A2&amp;"", STUDENTS!A:B, 2, 0), "")</t>
        </r>
      </text>
    </comment>
    <comment ref="D1" authorId="0" shapeId="0" xr:uid="{00000000-0006-0000-0300-000002000000}">
      <text>
        <r>
          <rPr>
            <sz val="11"/>
            <color theme="1"/>
            <rFont val="Calibri"/>
            <scheme val="minor"/>
          </rPr>
          <t>Tu dong lookup PIC tu PIC sheet theo Class Code
Cong thuc: =IFERROR(VLOOKUP(C2, PIC!A:B, 2, 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theme="1"/>
            <rFont val="Calibri"/>
            <scheme val="minor"/>
          </rPr>
          <t>AUTO-GENERATED by Apps Script.
Khong nhap tay vao sheet nay.
Data tu ATTENDANCE_INPUT duoc unpivot bang script.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900-000001000000}">
      <text>
        <r>
          <rPr>
            <sz val="11"/>
            <color theme="1"/>
            <rFont val="Calibri"/>
            <scheme val="minor"/>
          </rPr>
          <t>Level Gain = Final Level - Entrance Level (so)
Vi du: Pre-Intermediate (2.5) -&gt; Intermediate (4.0) = +1.5
Cong thuc: =IFERROR(VLOOKUP(I2, LEVEL_HELPER!A:B, 2, 0) - VLOOKUP(H2, LEVEL_HELPER!A:B, 2, 0), "")</t>
        </r>
      </text>
    </comment>
  </commentList>
</comments>
</file>

<file path=xl/sharedStrings.xml><?xml version="1.0" encoding="utf-8"?>
<sst xmlns="http://schemas.openxmlformats.org/spreadsheetml/2006/main" count="51182" uniqueCount="1002">
  <si>
    <t>📊  ENGLISH CLASS MANAGEMENT — DASHBOARD</t>
  </si>
  <si>
    <t>All metrics auto-calculate from STUDENTS, ENROLLMENTS &amp; ATTENDANCE_LOG.  Yellow cells = inputs you can change.</t>
  </si>
  <si>
    <t xml:space="preserve">  ▎  SECTION 1 — OVERVIEW</t>
  </si>
  <si>
    <t>ACTIVE STUDENTS</t>
  </si>
  <si>
    <t>OVERALL ATTENDANCE RATE</t>
  </si>
  <si>
    <t>AT RISK</t>
  </si>
  <si>
    <t>POSSIBLY DROPPED</t>
  </si>
  <si>
    <t>flagged for follow-up</t>
  </si>
  <si>
    <t>inactive &gt; 30 days</t>
  </si>
  <si>
    <t>INACTIVE</t>
  </si>
  <si>
    <t>WAITING FOR CLASS</t>
  </si>
  <si>
    <t>completed or stopped</t>
  </si>
  <si>
    <t>pending placement</t>
  </si>
  <si>
    <t xml:space="preserve">  ▎  SECTION 2 — ACTIVE STUDENTS BY COURSE</t>
  </si>
  <si>
    <t>Course Name</t>
  </si>
  <si>
    <t>Active</t>
  </si>
  <si>
    <t>Inactive</t>
  </si>
  <si>
    <t>Waiting</t>
  </si>
  <si>
    <t>Total</t>
  </si>
  <si>
    <t>% of Active</t>
  </si>
  <si>
    <t>Bar</t>
  </si>
  <si>
    <t>Communication 1</t>
  </si>
  <si>
    <t>Communication 2</t>
  </si>
  <si>
    <t>Communication 3</t>
  </si>
  <si>
    <t>Business English</t>
  </si>
  <si>
    <t>Foundation</t>
  </si>
  <si>
    <t>Extension of Foundation</t>
  </si>
  <si>
    <t>TOTAL</t>
  </si>
  <si>
    <t xml:space="preserve">  ▎  SECTION 3 — WHY STUDENTS GO INACTIVE</t>
  </si>
  <si>
    <t>Drop Reason</t>
  </si>
  <si>
    <t>Count</t>
  </si>
  <si>
    <t>%</t>
  </si>
  <si>
    <t>Inactive Classification</t>
  </si>
  <si>
    <t>High workload</t>
  </si>
  <si>
    <t>Completed (no continuation)</t>
  </si>
  <si>
    <t>Prefer different learning format</t>
  </si>
  <si>
    <t>Discontinued mid-course</t>
  </si>
  <si>
    <t>Learning goal achieved</t>
  </si>
  <si>
    <t>Business EL, chờ xếp lớp</t>
  </si>
  <si>
    <t>Team restructuring</t>
  </si>
  <si>
    <t>BE, chờ xếp lớp</t>
  </si>
  <si>
    <t>Maternity leave</t>
  </si>
  <si>
    <t>Resign</t>
  </si>
  <si>
    <t xml:space="preserve">  ▎  SECTION 4 — CLASS PROGRESS</t>
  </si>
  <si>
    <t>Class Code</t>
  </si>
  <si>
    <t>PIC</t>
  </si>
  <si>
    <t>Sessions Done</t>
  </si>
  <si>
    <t>Expected</t>
  </si>
  <si>
    <t>Progress %</t>
  </si>
  <si>
    <t>Progress Bar</t>
  </si>
  <si>
    <t>Status</t>
  </si>
  <si>
    <t>EL001</t>
  </si>
  <si>
    <t>EL002</t>
  </si>
  <si>
    <t>EL003</t>
  </si>
  <si>
    <t>EL004</t>
  </si>
  <si>
    <t>EL005</t>
  </si>
  <si>
    <t>EL006</t>
  </si>
  <si>
    <t>EL007</t>
  </si>
  <si>
    <t>EL008</t>
  </si>
  <si>
    <t>EL009</t>
  </si>
  <si>
    <t>EL010</t>
  </si>
  <si>
    <t>EL011</t>
  </si>
  <si>
    <t>EL012</t>
  </si>
  <si>
    <t>EL013</t>
  </si>
  <si>
    <t>EL014</t>
  </si>
  <si>
    <t>EL015</t>
  </si>
  <si>
    <t>EL016</t>
  </si>
  <si>
    <t>EL017</t>
  </si>
  <si>
    <t>EL018</t>
  </si>
  <si>
    <t>EL019</t>
  </si>
  <si>
    <t>EL020</t>
  </si>
  <si>
    <t>EL021</t>
  </si>
  <si>
    <t>EL022</t>
  </si>
  <si>
    <t>EL023</t>
  </si>
  <si>
    <t>EL024</t>
  </si>
  <si>
    <t>EL025</t>
  </si>
  <si>
    <t>EL026</t>
  </si>
  <si>
    <t>EL027</t>
  </si>
  <si>
    <t>EL028</t>
  </si>
  <si>
    <t>EL029</t>
  </si>
  <si>
    <t>EL030</t>
  </si>
  <si>
    <t>EL031</t>
  </si>
  <si>
    <t>EL032</t>
  </si>
  <si>
    <t>EL033</t>
  </si>
  <si>
    <t>EL034</t>
  </si>
  <si>
    <t>EL035</t>
  </si>
  <si>
    <t>EL037</t>
  </si>
  <si>
    <t>EL038</t>
  </si>
  <si>
    <t>EL039</t>
  </si>
  <si>
    <t>EL040</t>
  </si>
  <si>
    <t>EL041</t>
  </si>
  <si>
    <t>EL042</t>
  </si>
  <si>
    <t>EL043</t>
  </si>
  <si>
    <t>EL044</t>
  </si>
  <si>
    <t>EL045</t>
  </si>
  <si>
    <t>EL049</t>
  </si>
  <si>
    <t>EL050</t>
  </si>
  <si>
    <t>EL051</t>
  </si>
  <si>
    <t xml:space="preserve">  ▎  SECTION 5 — LOOK UP A CLASS</t>
  </si>
  <si>
    <t xml:space="preserve">  Enter Class Code →</t>
  </si>
  <si>
    <t xml:space="preserve">  PIC</t>
  </si>
  <si>
    <t xml:space="preserve">  Total Enrollments</t>
  </si>
  <si>
    <t xml:space="preserve">  Sessions Logged</t>
  </si>
  <si>
    <t xml:space="preserve">  Sessions Present</t>
  </si>
  <si>
    <t xml:space="preserve">  Sessions Absent</t>
  </si>
  <si>
    <t xml:space="preserve">  Class Attendance Rate</t>
  </si>
  <si>
    <t xml:space="preserve">  ▎  SECTION 6 — LOOK UP A STUDENT</t>
  </si>
  <si>
    <t xml:space="preserve">  Enter Emp Code →</t>
  </si>
  <si>
    <t>227047</t>
  </si>
  <si>
    <t xml:space="preserve">  Full Name</t>
  </si>
  <si>
    <t xml:space="preserve">  Status</t>
  </si>
  <si>
    <t xml:space="preserve">  Current Course</t>
  </si>
  <si>
    <t xml:space="preserve">  Last Active Date</t>
  </si>
  <si>
    <t xml:space="preserve">  Days Since Active</t>
  </si>
  <si>
    <t xml:space="preserve">  Drop Flag</t>
  </si>
  <si>
    <t xml:space="preserve">  At Risk Flag</t>
  </si>
  <si>
    <t xml:space="preserve">  Sessions Attended</t>
  </si>
  <si>
    <t xml:space="preserve">  Sessions Missed</t>
  </si>
  <si>
    <t xml:space="preserve">  Personal Attendance Rate</t>
  </si>
  <si>
    <t>Input</t>
  </si>
  <si>
    <t>Formula</t>
  </si>
  <si>
    <t>Left</t>
  </si>
  <si>
    <t>Resgined</t>
  </si>
  <si>
    <t>Emp Code</t>
  </si>
  <si>
    <t>Full Name</t>
  </si>
  <si>
    <t>BU</t>
  </si>
  <si>
    <t>ROLE</t>
  </si>
  <si>
    <t>Current Course</t>
  </si>
  <si>
    <t>Entrance Level</t>
  </si>
  <si>
    <t>Current Level</t>
  </si>
  <si>
    <t>Last Active Date</t>
  </si>
  <si>
    <t>Days Since Active</t>
  </si>
  <si>
    <t>Drop Flag
(&lt;30 days is safe)</t>
  </si>
  <si>
    <t>Define of drop
(not inc. resign)</t>
  </si>
  <si>
    <t>Drop reason</t>
  </si>
  <si>
    <t>Remark</t>
  </si>
  <si>
    <t>203746</t>
  </si>
  <si>
    <t>BẠCH NAM MINH TRÍ</t>
  </si>
  <si>
    <t>213817</t>
  </si>
  <si>
    <t>Bui Duy Tan</t>
  </si>
  <si>
    <t>247037</t>
  </si>
  <si>
    <t>BÙI HUỲNH TRUNG TÍN</t>
  </si>
  <si>
    <t>212007</t>
  </si>
  <si>
    <t>BÙI MINH NHẬT</t>
  </si>
  <si>
    <t>193479</t>
  </si>
  <si>
    <t>BÙI NGỌC QUỐC</t>
  </si>
  <si>
    <t>High workload / Can't arrange time</t>
  </si>
  <si>
    <t>237226</t>
  </si>
  <si>
    <t>CHU KHÁNH LINH</t>
  </si>
  <si>
    <t>213856</t>
  </si>
  <si>
    <t>Chu Thị Lệ Quỳnh</t>
  </si>
  <si>
    <t>247423</t>
  </si>
  <si>
    <t>CHUNG QUANG PHƯƠNG</t>
  </si>
  <si>
    <t>213881</t>
  </si>
  <si>
    <t>ĐẶNG GIA LỘC</t>
  </si>
  <si>
    <t>213811</t>
  </si>
  <si>
    <t>ĐẶNG QUỐC MẠNH</t>
  </si>
  <si>
    <t>227125</t>
  </si>
  <si>
    <t>ĐẶNG QUỐC VIỆT</t>
  </si>
  <si>
    <t>173272</t>
  </si>
  <si>
    <t>ĐÀO SỸ THỜI</t>
  </si>
  <si>
    <t>183322</t>
  </si>
  <si>
    <t>ĐÀO TRUNG HIẾU</t>
  </si>
  <si>
    <t>257134</t>
  </si>
  <si>
    <t>ĐINH QUỐC HUẤN</t>
  </si>
  <si>
    <t>213863</t>
  </si>
  <si>
    <t>ĐINH TIẾN ĐẠT</t>
  </si>
  <si>
    <t>247389</t>
  </si>
  <si>
    <t>ĐINH TRƯƠNG THANH TUYỀN</t>
  </si>
  <si>
    <t>4/2026: Chờ khóa Com3</t>
  </si>
  <si>
    <t>247300</t>
  </si>
  <si>
    <t>ĐỖ CHÂU BỬU</t>
  </si>
  <si>
    <t>Ungroup team</t>
  </si>
  <si>
    <t>203765</t>
  </si>
  <si>
    <t>ĐỖ GIA KHÁNH</t>
  </si>
  <si>
    <t>Waiting for class</t>
  </si>
  <si>
    <t>247026</t>
  </si>
  <si>
    <t>ĐỖ HOÀNG MINH HUY</t>
  </si>
  <si>
    <t>Attend English center / 1-1 course</t>
  </si>
  <si>
    <t>Prefer other learning methods</t>
  </si>
  <si>
    <t>237239</t>
  </si>
  <si>
    <t>ĐỖ NGỌC THÀNH</t>
  </si>
  <si>
    <t>237006</t>
  </si>
  <si>
    <t>ĐỖ THANH TÙNG</t>
  </si>
  <si>
    <t>227183</t>
  </si>
  <si>
    <t>ĐỖ VŨ GIA LONG</t>
  </si>
  <si>
    <t>213835</t>
  </si>
  <si>
    <t>ĐOÀN ANH MINH</t>
  </si>
  <si>
    <t>247390</t>
  </si>
  <si>
    <t>ĐOÀN KHÁNH NGUYÊN</t>
  </si>
  <si>
    <t>237222</t>
  </si>
  <si>
    <t>ĐOÀN NHẬT QUANG</t>
  </si>
  <si>
    <t>213954</t>
  </si>
  <si>
    <t>ĐOÀN QUANG TUẤN</t>
  </si>
  <si>
    <t>183332</t>
  </si>
  <si>
    <t>ĐOÀN QUỐC HẢI</t>
  </si>
  <si>
    <t>247196</t>
  </si>
  <si>
    <t>ĐOÀN TRẦN BÁ ĐẠT</t>
  </si>
  <si>
    <t>237227</t>
  </si>
  <si>
    <t>DƯƠNG HOÀNG LONG</t>
  </si>
  <si>
    <t>247230</t>
  </si>
  <si>
    <t>DƯƠNG LÊ XUÂN KHANG</t>
  </si>
  <si>
    <t>193579</t>
  </si>
  <si>
    <t>ĐƯỜNG QUANG HUY</t>
  </si>
  <si>
    <t>242009</t>
  </si>
  <si>
    <t>DƯƠNG THỊ HƯƠNG LAN</t>
  </si>
  <si>
    <t>247063</t>
  </si>
  <si>
    <t>GIANG KHIẾT ĐÌNH</t>
  </si>
  <si>
    <t>193588</t>
  </si>
  <si>
    <t>HÀ TRẦN TUẤN ANH</t>
  </si>
  <si>
    <t>247359</t>
  </si>
  <si>
    <t>HỒ HUỲNH THÔNG</t>
  </si>
  <si>
    <t>227130</t>
  </si>
  <si>
    <t>HỒ MẠNH DŨNG</t>
  </si>
  <si>
    <t>227224</t>
  </si>
  <si>
    <t>HOÀNG ĐĂNG TRIỆU</t>
  </si>
  <si>
    <t>247184</t>
  </si>
  <si>
    <t>HOÀNG MINH DUY</t>
  </si>
  <si>
    <t>227023</t>
  </si>
  <si>
    <t>HOÀNG NAM VƯƠNG</t>
  </si>
  <si>
    <t>213893</t>
  </si>
  <si>
    <t>HOÀNG NGỌC THẲNG</t>
  </si>
  <si>
    <t>232002</t>
  </si>
  <si>
    <t>HOÀNG NHƯ QUỲNH</t>
  </si>
  <si>
    <t>213901</t>
  </si>
  <si>
    <t>HOÀNG TIẾN DŨNG</t>
  </si>
  <si>
    <t>183431</t>
  </si>
  <si>
    <t>HOÀNG XUÂN MẪN</t>
  </si>
  <si>
    <t>237043</t>
  </si>
  <si>
    <t>HUỲNH BỬU BỬU</t>
  </si>
  <si>
    <t>247190</t>
  </si>
  <si>
    <t>HUỲNH NGUYÊN KHANG</t>
  </si>
  <si>
    <t>247161</t>
  </si>
  <si>
    <t>HUỲNH NHẬT DUY</t>
  </si>
  <si>
    <t>227244</t>
  </si>
  <si>
    <t>HUỲNH PHÚC TRƯỜNG</t>
  </si>
  <si>
    <t>Final test on Apr 24, need to ask if they'll continue</t>
  </si>
  <si>
    <t>237235</t>
  </si>
  <si>
    <t>HUỲNH TẤN LỘC</t>
  </si>
  <si>
    <t>237117</t>
  </si>
  <si>
    <t>HUỲNH TẤN PHÁT</t>
  </si>
  <si>
    <t>193445</t>
  </si>
  <si>
    <t>HUỲNH THỊ BẢO YẾN</t>
  </si>
  <si>
    <t>213815</t>
  </si>
  <si>
    <t>HUỲNH TRẦN HẢI LONG</t>
  </si>
  <si>
    <t>193499</t>
  </si>
  <si>
    <t>HUỲNH TUẤN KHANH</t>
  </si>
  <si>
    <t>237008</t>
  </si>
  <si>
    <t>LẠC MINH HOÀNG</t>
  </si>
  <si>
    <t>237238</t>
  </si>
  <si>
    <t>LẠI MINH HIẾU</t>
  </si>
  <si>
    <t>203748</t>
  </si>
  <si>
    <t>LÂM MINH HOÀNG</t>
  </si>
  <si>
    <t>213859</t>
  </si>
  <si>
    <t>LÂM THỊ YẾN NHI</t>
  </si>
  <si>
    <t>193584</t>
  </si>
  <si>
    <t>LÂM VĂN TIẾN</t>
  </si>
  <si>
    <t>173286</t>
  </si>
  <si>
    <t>LÊ ANH TIẾN</t>
  </si>
  <si>
    <t>227200</t>
  </si>
  <si>
    <t>LÊ CÔNG DUY</t>
  </si>
  <si>
    <t>143071</t>
  </si>
  <si>
    <t>LÊ ĐẮC CƯỜNG</t>
  </si>
  <si>
    <t>203780</t>
  </si>
  <si>
    <t>LÊ HOÀNG NGUYỄN</t>
  </si>
  <si>
    <t>193534</t>
  </si>
  <si>
    <t>LÊ HỒNG QUÂN</t>
  </si>
  <si>
    <t>247185</t>
  </si>
  <si>
    <t>LÊ MINH DUY</t>
  </si>
  <si>
    <t>213844</t>
  </si>
  <si>
    <t>LÊ MINH HY</t>
  </si>
  <si>
    <t>193536</t>
  </si>
  <si>
    <t>LÊ MINH PHƯỚC</t>
  </si>
  <si>
    <t>213929</t>
  </si>
  <si>
    <t>LE MINH TRUONG</t>
  </si>
  <si>
    <t>213898</t>
  </si>
  <si>
    <t>LÊ NGỌC TRUNG HIẾU</t>
  </si>
  <si>
    <t>213854</t>
  </si>
  <si>
    <t>LÊ NHẬT</t>
  </si>
  <si>
    <t>213975</t>
  </si>
  <si>
    <t>LÊ NHẬT LINH</t>
  </si>
  <si>
    <t>247225</t>
  </si>
  <si>
    <t>LÊ PHƯỚC THIỆN</t>
  </si>
  <si>
    <t>LÊ THANH SƠN</t>
  </si>
  <si>
    <t>227116</t>
  </si>
  <si>
    <t>LÊ THẾ PHƯƠNG</t>
  </si>
  <si>
    <t>257133</t>
  </si>
  <si>
    <t>Le Thi Diem Phuong</t>
  </si>
  <si>
    <t>237056</t>
  </si>
  <si>
    <t>LÊ THỊ DIỄM QUYÊN</t>
  </si>
  <si>
    <t>173246</t>
  </si>
  <si>
    <t>LÊ THỊ HOÀNG KIM</t>
  </si>
  <si>
    <t>222010</t>
  </si>
  <si>
    <t>LÊ THỊ LAN ANH</t>
  </si>
  <si>
    <t>227160</t>
  </si>
  <si>
    <t>LÊ THỊ LAN HƯƠNG</t>
  </si>
  <si>
    <t>173230</t>
  </si>
  <si>
    <t>LÊ THỊ THU HIỀN</t>
  </si>
  <si>
    <t>183422</t>
  </si>
  <si>
    <t>LÊ TRẦN XUÂN LÃNH</t>
  </si>
  <si>
    <t>213889</t>
  </si>
  <si>
    <t>LÊ TRIỆU HUẤN</t>
  </si>
  <si>
    <t>227058</t>
  </si>
  <si>
    <t>LE VAN DONG TAM</t>
  </si>
  <si>
    <t>No further need to continue the course</t>
  </si>
  <si>
    <t>113024</t>
  </si>
  <si>
    <t>LÊ VĂN SƠN</t>
  </si>
  <si>
    <t>237169</t>
  </si>
  <si>
    <t>LƯƠNG ANH TUẤN</t>
  </si>
  <si>
    <t>163188</t>
  </si>
  <si>
    <t>LƯƠNG CÔNG KỲ</t>
  </si>
  <si>
    <t>193519</t>
  </si>
  <si>
    <t>LƯƠNG MINH QUÂN</t>
  </si>
  <si>
    <t>237206</t>
  </si>
  <si>
    <t>LƯƠNG TRÀ VY</t>
  </si>
  <si>
    <t>133051</t>
  </si>
  <si>
    <t>LÝ KHÁNH LONG</t>
  </si>
  <si>
    <t>193443</t>
  </si>
  <si>
    <t>LÝ THỊ BÉ XÍU</t>
  </si>
  <si>
    <t>143079</t>
  </si>
  <si>
    <t>LÝ THỊ DIỄM MY</t>
  </si>
  <si>
    <t>247080</t>
  </si>
  <si>
    <t>MAI THỊ THÙY TRANG</t>
  </si>
  <si>
    <t>247357</t>
  </si>
  <si>
    <t>NGÔ MINH HIẾU</t>
  </si>
  <si>
    <t>247265</t>
  </si>
  <si>
    <t>NGÔ THỤY THANH NHƯ</t>
  </si>
  <si>
    <t>Above the team's level</t>
  </si>
  <si>
    <t>247200</t>
  </si>
  <si>
    <t>NGÔ TRỌNG NGHĨA</t>
  </si>
  <si>
    <t>193447</t>
  </si>
  <si>
    <t>NGUYỄN ANH ĐỨC</t>
  </si>
  <si>
    <t>237157</t>
  </si>
  <si>
    <t>NGUYỄN BÁ NGỌC</t>
  </si>
  <si>
    <t>227080</t>
  </si>
  <si>
    <t>NGUYỄN BÁ PHI NHẬT</t>
  </si>
  <si>
    <t>247378</t>
  </si>
  <si>
    <t>NGUYỄN BẢO ĐẠT</t>
  </si>
  <si>
    <t>257045</t>
  </si>
  <si>
    <t>NGUYỄN BẢO DUY</t>
  </si>
  <si>
    <t>247078</t>
  </si>
  <si>
    <t>NGUYỄN CÔNG ĐOÀN</t>
  </si>
  <si>
    <t>193451</t>
  </si>
  <si>
    <t>NGUYỄN CÔNG HẬU</t>
  </si>
  <si>
    <t>237035</t>
  </si>
  <si>
    <t>Nguyễn Đặng Khương Duy (Dustin)</t>
  </si>
  <si>
    <t>237237</t>
  </si>
  <si>
    <t>NGUYỄN ĐẶNG NGỌC MINH</t>
  </si>
  <si>
    <t>242001</t>
  </si>
  <si>
    <t>NGUYỄN ĐẠT THỊNH</t>
  </si>
  <si>
    <t>247054</t>
  </si>
  <si>
    <t>NGUYỄN DOÃN NAM</t>
  </si>
  <si>
    <t>227141</t>
  </si>
  <si>
    <t>NGUYỄN ĐÔNG HỒ</t>
  </si>
  <si>
    <t>Prefer different format</t>
  </si>
  <si>
    <t>213805</t>
  </si>
  <si>
    <t>NGUYỄN ĐỨC ANH</t>
  </si>
  <si>
    <t>247198</t>
  </si>
  <si>
    <t>NGUYỄN ĐỨC NHẬT</t>
  </si>
  <si>
    <t>247413</t>
  </si>
  <si>
    <t>NGUYỄN ĐỨC TIẾN</t>
  </si>
  <si>
    <t>153116</t>
  </si>
  <si>
    <t>NGUYEN DUY PHONG</t>
  </si>
  <si>
    <t>133067</t>
  </si>
  <si>
    <t>NGUYEN DUY PHU</t>
  </si>
  <si>
    <t>183382</t>
  </si>
  <si>
    <t>NGUYỄN DUY PHÚ</t>
  </si>
  <si>
    <t>4/2025: Chờ ghép lớp BE</t>
  </si>
  <si>
    <t>203664</t>
  </si>
  <si>
    <t>Nguyễn Hà Vi (V)</t>
  </si>
  <si>
    <t>193633</t>
  </si>
  <si>
    <t>Nguyen Hoai Nam</t>
  </si>
  <si>
    <t>227218</t>
  </si>
  <si>
    <t>NGUYỄN HOÀNG BẢO TRÂN</t>
  </si>
  <si>
    <t>183440</t>
  </si>
  <si>
    <t>NGUYỄN HOÀNG GIANG</t>
  </si>
  <si>
    <t>227153</t>
  </si>
  <si>
    <t>NGUYỄN HOÀNG HẠ UYÊN</t>
  </si>
  <si>
    <t>Đã re-study 2 lần nhưng vẫn ở level Foundation</t>
  </si>
  <si>
    <t>227055</t>
  </si>
  <si>
    <t>NGUYỄN HOÀNG PHÚC</t>
  </si>
  <si>
    <t>Vợ sinh ngay ngày thi Final nên không có kết quả =&gt; không join Com2 được cùng team</t>
  </si>
  <si>
    <t>227081</t>
  </si>
  <si>
    <t>247313</t>
  </si>
  <si>
    <t>Nguyễn Hồng Mỹ</t>
  </si>
  <si>
    <t>247082</t>
  </si>
  <si>
    <t>NGUYEN HUU DUY</t>
  </si>
  <si>
    <t>247379</t>
  </si>
  <si>
    <t>NGUYỄN HỮU NGHỊ</t>
  </si>
  <si>
    <t>237110</t>
  </si>
  <si>
    <t>Nguyễn Hữu Phước</t>
  </si>
  <si>
    <t>217001</t>
  </si>
  <si>
    <t>NGUYỄN HỮU TRƯỜNG</t>
  </si>
  <si>
    <t>227103</t>
  </si>
  <si>
    <t>NGUYỄN HUỲNH SƠN</t>
  </si>
  <si>
    <t>247106</t>
  </si>
  <si>
    <t>NGUYỄN KHÁNH UYÊN</t>
  </si>
  <si>
    <t>237183</t>
  </si>
  <si>
    <t>NGUYỄN LÊ HOÀNG VĂN</t>
  </si>
  <si>
    <t>247298</t>
  </si>
  <si>
    <t>NGUYỄN LÊ KHOA</t>
  </si>
  <si>
    <t>227048</t>
  </si>
  <si>
    <t>NGUYỄN LÝ KHÁNH HUY</t>
  </si>
  <si>
    <t>213810</t>
  </si>
  <si>
    <t>NGUYỄN MINH DUY</t>
  </si>
  <si>
    <t>237072</t>
  </si>
  <si>
    <t>NGUYỄN MINH LIÊN</t>
  </si>
  <si>
    <t>247172</t>
  </si>
  <si>
    <t>NGUYỄN MINH QUÂN</t>
  </si>
  <si>
    <t>237201</t>
  </si>
  <si>
    <t>NGUYỄN MINH QUANG</t>
  </si>
  <si>
    <t>247187</t>
  </si>
  <si>
    <t>NGUYỄN MINH THƯ</t>
  </si>
  <si>
    <t>227177</t>
  </si>
  <si>
    <t>NGUYỄN NGỌC HOÀNG BẢO TRÂN</t>
  </si>
  <si>
    <t>247264</t>
  </si>
  <si>
    <t>NGUYỄN NGỌC NGUYỆT NGÂN</t>
  </si>
  <si>
    <t>213947</t>
  </si>
  <si>
    <t>NGUYỄN NGỌC PHƯƠNG NHI</t>
  </si>
  <si>
    <t>227035</t>
  </si>
  <si>
    <t>NGUYỄN NHẬT HÀO</t>
  </si>
  <si>
    <t>227214</t>
  </si>
  <si>
    <t>NGUYỄN PHAN THẾ VINH</t>
  </si>
  <si>
    <t>227225</t>
  </si>
  <si>
    <t>NGUYỄN PHI LONG</t>
  </si>
  <si>
    <t>247332</t>
  </si>
  <si>
    <t>NGUYỄN PHÚC THANH TOÀN</t>
  </si>
  <si>
    <t>257036</t>
  </si>
  <si>
    <t>NGUYỄN PHÚC VINH</t>
  </si>
  <si>
    <t>173232</t>
  </si>
  <si>
    <t>NGUYỄN QUANG ĐỨC</t>
  </si>
  <si>
    <t>193613</t>
  </si>
  <si>
    <t>NGUYỄN QUANG TRUNG</t>
  </si>
  <si>
    <t>203790</t>
  </si>
  <si>
    <t>213974</t>
  </si>
  <si>
    <t>NGUYỄN QUÍ EM</t>
  </si>
  <si>
    <t>247114</t>
  </si>
  <si>
    <t>NGUYỄN QUỐC DUY</t>
  </si>
  <si>
    <t>213936</t>
  </si>
  <si>
    <t>NGUYỄN QUỐC TUẤN</t>
  </si>
  <si>
    <t>237061</t>
  </si>
  <si>
    <t>NGUYỄN TẤN HUY</t>
  </si>
  <si>
    <t>213914</t>
  </si>
  <si>
    <t>NGUYỄN TẤN PHÁT</t>
  </si>
  <si>
    <t>Đã complete Com1, stop 5/2025 và giờ quay lại học</t>
  </si>
  <si>
    <t>183421</t>
  </si>
  <si>
    <t>NGUYỄN TẤT ĐẠT</t>
  </si>
  <si>
    <t>193632</t>
  </si>
  <si>
    <t>NGUYỄN THÁI SƠN</t>
  </si>
  <si>
    <t>213857</t>
  </si>
  <si>
    <t>NGUYỄN THÀNH NHÂN</t>
  </si>
  <si>
    <t>237158</t>
  </si>
  <si>
    <t>NGUYỄN THÀNH PHI</t>
  </si>
  <si>
    <t>247097</t>
  </si>
  <si>
    <t>NGUYỄN THÀNH PHƯỚC</t>
  </si>
  <si>
    <t>173231</t>
  </si>
  <si>
    <t>NGUYỄN THANH TÙNG</t>
  </si>
  <si>
    <t>237049</t>
  </si>
  <si>
    <t>NGUYỄN THẢO QUỲNH NHƯ</t>
  </si>
  <si>
    <t>247062</t>
  </si>
  <si>
    <t>NGUYỄN THẾ ANH</t>
  </si>
  <si>
    <t>247415</t>
  </si>
  <si>
    <t>NGUYỄN THỊ HIỀN NI</t>
  </si>
  <si>
    <t>213968</t>
  </si>
  <si>
    <t>NGUYỄN THỊ HOÀNG OANH</t>
  </si>
  <si>
    <t>Class rule violation</t>
  </si>
  <si>
    <t>247043</t>
  </si>
  <si>
    <t>NGUYỄN THỊ HỒNG ĐÀO</t>
  </si>
  <si>
    <t>247064</t>
  </si>
  <si>
    <t>NGUYỄN THỊ KIM OANH</t>
  </si>
  <si>
    <t>183330</t>
  </si>
  <si>
    <t>NGUYỄN THỊ KIM TRANG</t>
  </si>
  <si>
    <t>247416</t>
  </si>
  <si>
    <t>NGUYỄN THỊ LOAN</t>
  </si>
  <si>
    <t>227122</t>
  </si>
  <si>
    <t>NGUYỄN THỊ NGỌC DUNG</t>
  </si>
  <si>
    <t>237023</t>
  </si>
  <si>
    <t>NGUYỄN THỊ NGỌC LỮ</t>
  </si>
  <si>
    <t>237103</t>
  </si>
  <si>
    <t>NGUYỄN THỊ THÙY LINH</t>
  </si>
  <si>
    <t>222014</t>
  </si>
  <si>
    <t>NGUYỄN THỊ THÙY TRANG</t>
  </si>
  <si>
    <t>193548</t>
  </si>
  <si>
    <t>NGUYỄN THIÊN ÂN</t>
  </si>
  <si>
    <t>237207</t>
  </si>
  <si>
    <t>NGUYỄN THÙY GIANG</t>
  </si>
  <si>
    <t>247263</t>
  </si>
  <si>
    <t>NGUYỄN TRẦN HOÀI MỸ</t>
  </si>
  <si>
    <t>227170</t>
  </si>
  <si>
    <t>NGUYỄN TRẦN LỆ DUYÊN</t>
  </si>
  <si>
    <t>193607</t>
  </si>
  <si>
    <t>NGUYỄN TRẦN MINH NGHĨA</t>
  </si>
  <si>
    <t>247085</t>
  </si>
  <si>
    <t>NGUYỄN TRẦN NGỌC HƯNG</t>
  </si>
  <si>
    <t>247083</t>
  </si>
  <si>
    <t>NGUYỄN TRANG QUỲNH NHƯ</t>
  </si>
  <si>
    <t>237182</t>
  </si>
  <si>
    <t>NGUYỄN TRỌNG BÌNH NGUYÊN</t>
  </si>
  <si>
    <t>247178</t>
  </si>
  <si>
    <t>NGUYỄN TRÚC DUYÊN</t>
  </si>
  <si>
    <t>153139</t>
  </si>
  <si>
    <t>NGUYEN TRUNG NGHIA</t>
  </si>
  <si>
    <t>227131</t>
  </si>
  <si>
    <t>NGUYỄN TRƯƠNG BẢO QUYÊN</t>
  </si>
  <si>
    <t>247207</t>
  </si>
  <si>
    <t>NGUYỄN VĂN ĐỨC</t>
  </si>
  <si>
    <t>247156</t>
  </si>
  <si>
    <t>NGUYỄN VĂN HOÀNG</t>
  </si>
  <si>
    <t>247088</t>
  </si>
  <si>
    <t>NGUYỄN VĂN HÙNG</t>
  </si>
  <si>
    <t>193529</t>
  </si>
  <si>
    <t>NGUYỄN VĂN MẠNH CƯỜNG</t>
  </si>
  <si>
    <t>247098</t>
  </si>
  <si>
    <t>NGUYỄN VĂN TÀI</t>
  </si>
  <si>
    <t>213895</t>
  </si>
  <si>
    <t>NGUYỄN VĂN THÁI</t>
  </si>
  <si>
    <t>227091</t>
  </si>
  <si>
    <t>NGUYỄN VŨ LUÂN</t>
  </si>
  <si>
    <t>213991</t>
  </si>
  <si>
    <t>ÔNG HOÀI THỊNH</t>
  </si>
  <si>
    <t>227008</t>
  </si>
  <si>
    <t>PHẠM ĐỨC ÁO</t>
  </si>
  <si>
    <t>247036</t>
  </si>
  <si>
    <t>PHẠM HỒ LƯỢNG</t>
  </si>
  <si>
    <t>237156</t>
  </si>
  <si>
    <t>PHẠM HOÀNG THÁI SƠN</t>
  </si>
  <si>
    <t>213808</t>
  </si>
  <si>
    <t>PHẠM HỒNG THIÊN TÀI</t>
  </si>
  <si>
    <t>193523</t>
  </si>
  <si>
    <t>PHẠM HỮU TUẤN</t>
  </si>
  <si>
    <t>247119</t>
  </si>
  <si>
    <t>PHẠM HUY HOÀNG</t>
  </si>
  <si>
    <t>237129</t>
  </si>
  <si>
    <t>PHẠM HUỲNH TÂN</t>
  </si>
  <si>
    <t>247405</t>
  </si>
  <si>
    <t>PHẠM LÊ HOÀI PHƯƠNG</t>
  </si>
  <si>
    <t>247147</t>
  </si>
  <si>
    <t>PHẠM LÊ QUỲNH HƯƠNG</t>
  </si>
  <si>
    <t>203701</t>
  </si>
  <si>
    <t>PHẠM MAI NHẬT</t>
  </si>
  <si>
    <t>5/2025: Chờ lớp Business English</t>
  </si>
  <si>
    <t>227220</t>
  </si>
  <si>
    <t>PHẠM NGỌC ANH DUYÊN</t>
  </si>
  <si>
    <t>247065</t>
  </si>
  <si>
    <t>Phạm Ngọc Hưng (Zero)</t>
  </si>
  <si>
    <t>193496</t>
  </si>
  <si>
    <t>PHẠM NGUYỄN TRƯỜNG BẢO</t>
  </si>
  <si>
    <t>227092</t>
  </si>
  <si>
    <t>PHẠM THỊ BÍCH THÚY</t>
  </si>
  <si>
    <t>183324</t>
  </si>
  <si>
    <t>PHẠM THỊ OANH THƠ</t>
  </si>
  <si>
    <t>193550</t>
  </si>
  <si>
    <t>PHẠM TƯỜNG NHÂN</t>
  </si>
  <si>
    <t>183427</t>
  </si>
  <si>
    <t>PHAN CÔNG TOẠI</t>
  </si>
  <si>
    <t>3/2026: Chờ ghép lớp Com 3</t>
  </si>
  <si>
    <t>183432</t>
  </si>
  <si>
    <t>PHAN ĐÌNH MINH NHẬT</t>
  </si>
  <si>
    <t>193490</t>
  </si>
  <si>
    <t>PHAN GIA LỘC</t>
  </si>
  <si>
    <t>247360</t>
  </si>
  <si>
    <t>PHAN HỮU CƯỜNG</t>
  </si>
  <si>
    <t>247203</t>
  </si>
  <si>
    <t>PHAN HUY NHÂN</t>
  </si>
  <si>
    <t>242006</t>
  </si>
  <si>
    <t>PHAN LÊ HỒNG LEL</t>
  </si>
  <si>
    <t>143084</t>
  </si>
  <si>
    <t>PHAN QUỐC BÌNH</t>
  </si>
  <si>
    <t>203759</t>
  </si>
  <si>
    <t>PHAN THẾ AN</t>
  </si>
  <si>
    <t>247183</t>
  </si>
  <si>
    <t>PHAN THU THẢO</t>
  </si>
  <si>
    <t>227064</t>
  </si>
  <si>
    <t>PHÙNG ĐÌNH HUY</t>
  </si>
  <si>
    <t>173268</t>
  </si>
  <si>
    <t>PHÙNG QUANG THÀNH</t>
  </si>
  <si>
    <t>203693</t>
  </si>
  <si>
    <t>QUÁCH NHẬT TRUNG</t>
  </si>
  <si>
    <t>Chờ xếp lớp BE</t>
  </si>
  <si>
    <t>183379</t>
  </si>
  <si>
    <t>Tạ Phạm Minh Chương (Chivas)</t>
  </si>
  <si>
    <t>227101</t>
  </si>
  <si>
    <t>Tạ Thiên Phước (Noah)</t>
  </si>
  <si>
    <t>247038</t>
  </si>
  <si>
    <t>TĂNG HOÀNG YẾN</t>
  </si>
  <si>
    <t>193495</t>
  </si>
  <si>
    <t>THẠCH THÁI HUY</t>
  </si>
  <si>
    <t>247245</t>
  </si>
  <si>
    <t>THÁI NHẬT TÂN</t>
  </si>
  <si>
    <t>247127</t>
  </si>
  <si>
    <t>THÁI TRẦN HỒNG PHÚC</t>
  </si>
  <si>
    <t>247086</t>
  </si>
  <si>
    <t>THỚI PHI LONG</t>
  </si>
  <si>
    <t>213876</t>
  </si>
  <si>
    <t>TÔ DIỆP THIÊN ANH</t>
  </si>
  <si>
    <t>227069</t>
  </si>
  <si>
    <t>TÔ PHƯỚC THÁI</t>
  </si>
  <si>
    <t>247262</t>
  </si>
  <si>
    <t>TÔN THÀNH AN</t>
  </si>
  <si>
    <t>193516</t>
  </si>
  <si>
    <t>TRẦN ANH DUY</t>
  </si>
  <si>
    <t>247163</t>
  </si>
  <si>
    <t>TRẦN ĐÌNH AN</t>
  </si>
  <si>
    <t>193526</t>
  </si>
  <si>
    <t>TRẦN ĐÌNH CHIẾN</t>
  </si>
  <si>
    <t>247192</t>
  </si>
  <si>
    <t>TRẦN ĐỨC LỢI</t>
  </si>
  <si>
    <t>227112</t>
  </si>
  <si>
    <t>TRẦN ĐỨC NAM</t>
  </si>
  <si>
    <t>247102</t>
  </si>
  <si>
    <t>TRẦN ĐỨC VINH</t>
  </si>
  <si>
    <t>247234</t>
  </si>
  <si>
    <t>TRẦN DƯƠNG HOÀN MỸ</t>
  </si>
  <si>
    <t>193530</t>
  </si>
  <si>
    <t>Trần Hùng Cường (Ethan)</t>
  </si>
  <si>
    <t>237246</t>
  </si>
  <si>
    <t>TRẦN HƯƠNG QUỲNH</t>
  </si>
  <si>
    <t>237130</t>
  </si>
  <si>
    <t>TRẦN KHANG</t>
  </si>
  <si>
    <t>237230</t>
  </si>
  <si>
    <t>TRẦN KIM HẰNG</t>
  </si>
  <si>
    <t>203764</t>
  </si>
  <si>
    <t>TRẦN MINH TRIẾT</t>
  </si>
  <si>
    <t>227097</t>
  </si>
  <si>
    <t>TRẦN MINH TRUNG</t>
  </si>
  <si>
    <t>247191</t>
  </si>
  <si>
    <t>TRẦN NGỌC PHƯỚC HOÀNG</t>
  </si>
  <si>
    <t>247260</t>
  </si>
  <si>
    <t>TRẦN NHƯ TRÂM ANH</t>
  </si>
  <si>
    <t>213935</t>
  </si>
  <si>
    <t>TRẦN NHỰT DUY</t>
  </si>
  <si>
    <t>247377</t>
  </si>
  <si>
    <t>TRẦN NHỰT TÂN</t>
  </si>
  <si>
    <t>213861</t>
  </si>
  <si>
    <t>TRẦN QUANG ĐẠO</t>
  </si>
  <si>
    <t>247412</t>
  </si>
  <si>
    <t>TRẦN QUANG TỐNG</t>
  </si>
  <si>
    <t>213870</t>
  </si>
  <si>
    <t>Trần Quốc Hiệp</t>
  </si>
  <si>
    <t>227024</t>
  </si>
  <si>
    <t>TRẦN QUỐC VIỆT</t>
  </si>
  <si>
    <t>213851</t>
  </si>
  <si>
    <t>TRẦN THANH ĐIỀN</t>
  </si>
  <si>
    <t>183400</t>
  </si>
  <si>
    <t>TRẦN THANH HIẾU</t>
  </si>
  <si>
    <t>247076</t>
  </si>
  <si>
    <t>TRẦN THẾ ANH</t>
  </si>
  <si>
    <t>242003</t>
  </si>
  <si>
    <t>TRẦN THỊ ÁNH NGUYỆT</t>
  </si>
  <si>
    <t>237147</t>
  </si>
  <si>
    <t>TRẦN THỊ HOÀI THƯƠNG</t>
  </si>
  <si>
    <t>227144</t>
  </si>
  <si>
    <t>TRẦN THỊ HOÀN MỸ</t>
  </si>
  <si>
    <t>257132</t>
  </si>
  <si>
    <t>Tran Thi Huyen Tran</t>
  </si>
  <si>
    <t>193620</t>
  </si>
  <si>
    <t>TRẦN THỊ HUỲNH NHƯ</t>
  </si>
  <si>
    <t>237050</t>
  </si>
  <si>
    <t>TRẦN THỊ THANH NGA</t>
  </si>
  <si>
    <t>227148</t>
  </si>
  <si>
    <t>TRẦN THỊ THÙY DUNG</t>
  </si>
  <si>
    <t>247122</t>
  </si>
  <si>
    <t>TRẦN THỊ YẾN</t>
  </si>
  <si>
    <t>237160</t>
  </si>
  <si>
    <t>Trần Tuấn Kiệt</t>
  </si>
  <si>
    <t>237161</t>
  </si>
  <si>
    <t>TRẦN VĂN HÀ</t>
  </si>
  <si>
    <t>247358</t>
  </si>
  <si>
    <t>TRẦN VĨNH PHÚC</t>
  </si>
  <si>
    <t>183423</t>
  </si>
  <si>
    <t>TRẦN VĨNH THUẬN</t>
  </si>
  <si>
    <t>247223</t>
  </si>
  <si>
    <t>TRẦN XUÂN KHOA</t>
  </si>
  <si>
    <t>193511</t>
  </si>
  <si>
    <t>Trang Duy Thông</t>
  </si>
  <si>
    <t>247388</t>
  </si>
  <si>
    <t>TRANG KỲ ANH</t>
  </si>
  <si>
    <t>247195</t>
  </si>
  <si>
    <t>TRƯƠNG ĐĂNG QUANG</t>
  </si>
  <si>
    <t>227063</t>
  </si>
  <si>
    <t>TRƯƠNG ĐÌNH ÁNH</t>
  </si>
  <si>
    <t>213946</t>
  </si>
  <si>
    <t>TRƯƠNG NHỰT MINH THƯ</t>
  </si>
  <si>
    <t>183340</t>
  </si>
  <si>
    <t>TRƯƠNG TRUNG THIÊN</t>
  </si>
  <si>
    <t>237245</t>
  </si>
  <si>
    <t>TỪ NGUYỄN MINH NHẬT</t>
  </si>
  <si>
    <t>193547</t>
  </si>
  <si>
    <t>VĂN TÂN LỢI</t>
  </si>
  <si>
    <t>247079</t>
  </si>
  <si>
    <t>VÕ CAO TRÍ</t>
  </si>
  <si>
    <t>213916</t>
  </si>
  <si>
    <t>VÕ CHÍ ĐẠI</t>
  </si>
  <si>
    <t>237196</t>
  </si>
  <si>
    <t>VÕ CHÍ THIỆN</t>
  </si>
  <si>
    <t>237097</t>
  </si>
  <si>
    <t>VÕ ĐỒNG ĐỨC DUY</t>
  </si>
  <si>
    <t>213891</t>
  </si>
  <si>
    <t>VÕ DUY KIỆT</t>
  </si>
  <si>
    <t>247384</t>
  </si>
  <si>
    <t>VÕ NGUYỄN DUY ANH</t>
  </si>
  <si>
    <t>247199</t>
  </si>
  <si>
    <t>VÕ PHÚ PHÁT</t>
  </si>
  <si>
    <t>247146</t>
  </si>
  <si>
    <t>VÕ QUỐC THIÊN</t>
  </si>
  <si>
    <t>163215</t>
  </si>
  <si>
    <t>VÕ THỊ HƯƠNG GIANG</t>
  </si>
  <si>
    <t>237101</t>
  </si>
  <si>
    <t>VÕ THỊ THU HƯƠNG</t>
  </si>
  <si>
    <t>227188</t>
  </si>
  <si>
    <t>VÕ THỊ TUYẾT HỒNG</t>
  </si>
  <si>
    <t>193544</t>
  </si>
  <si>
    <t>VŨ ANH THƯ</t>
  </si>
  <si>
    <t>227240</t>
  </si>
  <si>
    <t>VŨ ANH TÚ</t>
  </si>
  <si>
    <t>227032</t>
  </si>
  <si>
    <t>VŨ NHẬT MINH TRƯỜNG</t>
  </si>
  <si>
    <t>213938</t>
  </si>
  <si>
    <t>VŨ THANH THẢO</t>
  </si>
  <si>
    <t>227104</t>
  </si>
  <si>
    <t>VŨ THỊ HỒNG LIÊN</t>
  </si>
  <si>
    <t>227155</t>
  </si>
  <si>
    <t>VŨ TÚ ANH</t>
  </si>
  <si>
    <t>TRẦN THỊ NI NA</t>
  </si>
  <si>
    <t>Nguyễn Quốc Thái</t>
  </si>
  <si>
    <t>153138</t>
  </si>
  <si>
    <t>Nguyễn Đình Mạnh</t>
  </si>
  <si>
    <t>193522</t>
  </si>
  <si>
    <t>Đinh Bộ Lĩnh</t>
  </si>
  <si>
    <t>237070</t>
  </si>
  <si>
    <t>Cao Ngọc Nguyên</t>
  </si>
  <si>
    <t>203757</t>
  </si>
  <si>
    <t>Trần Hoàng Tuấn</t>
  </si>
  <si>
    <t>213911</t>
  </si>
  <si>
    <t>Hồ Phạm Sĩ Hùng</t>
  </si>
  <si>
    <t>203791</t>
  </si>
  <si>
    <t>Trương Quốc Quy</t>
  </si>
  <si>
    <t>237031</t>
  </si>
  <si>
    <t>Nguyễn Ngọc Thạch</t>
  </si>
  <si>
    <t>203713</t>
  </si>
  <si>
    <t>Bùi Quang Khôi</t>
  </si>
  <si>
    <t>213874</t>
  </si>
  <si>
    <t>Nguyễn Hoàng Hải</t>
  </si>
  <si>
    <t>203725</t>
  </si>
  <si>
    <t>Đặng Thanh Túc</t>
  </si>
  <si>
    <t>227005</t>
  </si>
  <si>
    <t>Ngô Thị Huyền Trang (Joyce)</t>
  </si>
  <si>
    <t>213813</t>
  </si>
  <si>
    <t>Lê Trọng Ân</t>
  </si>
  <si>
    <t>203786</t>
  </si>
  <si>
    <t>Trần Ánh Tuyết (Taylor)</t>
  </si>
  <si>
    <t>257121</t>
  </si>
  <si>
    <t>Nguyễn Kim Khánh (Annie)</t>
  </si>
  <si>
    <t>257135</t>
  </si>
  <si>
    <t>Lê Tuyết Ngân</t>
  </si>
  <si>
    <t>257059</t>
  </si>
  <si>
    <t>Nguyễn Ngọc Hào</t>
  </si>
  <si>
    <t>Sheet</t>
  </si>
  <si>
    <t>Column</t>
  </si>
  <si>
    <t>Row</t>
  </si>
  <si>
    <t xml:space="preserve">Phúc's </t>
  </si>
  <si>
    <t>Hào's</t>
  </si>
  <si>
    <t>Solved</t>
  </si>
  <si>
    <t>Hao Note</t>
  </si>
  <si>
    <t>Student</t>
  </si>
  <si>
    <t>Row 145, tên "Vũ Tú Anh"</t>
  </si>
  <si>
    <t>Suppose: đang học bth, và học lớp Business EL
As in file: at risk of dropping &amp; học Communication 2
=&gt; check thử xem trong data đổ qua có vde hay là công thức có vde he</t>
  </si>
  <si>
    <t>Đã update nha c. Nhập liệu sai ở Sheet Attendance_input về năm (2025 và 2026)</t>
  </si>
  <si>
    <t>x</t>
  </si>
  <si>
    <t>Lam sao de xac dinh 3 criteria nay</t>
  </si>
  <si>
    <t>Status gồm 3 loại: Active, Inactive, Waiting for class
1. Active = những bạn vẫn đang theo học
2. Inactive = những bạn Resigned (col O) + đã Dropped (col M)
3. Waiting for class = đang chờ xếp lớp (gồm: chưa join lần nào + đã join vài lớp &amp; chưa có lớp phù hợp)
=&gt; Ý completed có thể nằm ở cả 2 cột: Active (đã complete khóa trước &amp; đang join khóa sau) &amp; Inactive (complete khóa và ko học tiếp)</t>
  </si>
  <si>
    <t>needs to add some more columns for tracking (inactive status, level &amp; course)</t>
  </si>
  <si>
    <t>Nhóm columns về Inactive status:
Col L: record who dropped
col M: record drop reason
col N: record member who resigned
Nhóm columns về ghi nhận level &amp; các khóa đã join:</t>
  </si>
  <si>
    <t>Completed</t>
  </si>
  <si>
    <t>missing information of trainees (row 205 - 326 of Eng Training_Editing \ Master data)</t>
  </si>
  <si>
    <t>từ row 205 - 326, những data nào trùng với ds của H, c đã add các dữ liệu l/quan inactive rồi. Những cái nào ko trùng để T3 c làm tiếp</t>
  </si>
  <si>
    <t xml:space="preserve">Dropped </t>
  </si>
  <si>
    <t>Không thể Vlookup giữa 2 sheet "Students" &amp; "Left"; vì có thể bạn dừng học trước khi bạn resign (data left chỉ gồm emp. code &amp; full name, ko biết chính xác tgian bạn nghỉ) =&gt; prefer nhập tay</t>
  </si>
  <si>
    <t>212007        BÙI MINH NHẬT</t>
  </si>
  <si>
    <t>212007        BÙI MINH NHẬT đã ngừng join từ 2025 nhưng trong data 2026 vẫn còn
=&gt; Suggest: Cột A &amp; B của "Student" là cố định ko đổi. Cách sắp xếp trong sheet nên cấu trúc như sau để dễ track bugs: 
- Chia là 2 phần: Active &amp; Inactive (VD: Active từ row 2 -&gt; xx, Inactive từ row xx+1 -&gt; yy)
- Trong phần Active, xếp các bạn đang active có cùng Class code lại sát nhau để tiện theo dõi
=&gt; Chị chỉnh tay các dòng của Nhật, e add công thức vào sau nhé
=&gt; Structure như c suggest c tạm xếp; e recheck</t>
  </si>
  <si>
    <t>Update ve entrance level va current level</t>
  </si>
  <si>
    <t xml:space="preserve">Status, PIC, Last Active date </t>
  </si>
  <si>
    <t>183427        PHAN CÔNG TOẠI bạn này trc thuộc lớp của Cường Nguyễn. Sau khi lớp thi final ngày 3 Mar &amp; ngưng ko học tiếp thì chỉ có mình bạn join cùng lớp anh Lãnh Lê (last join của bạn là 1 Apr nhưng công thức dừng ở 3 Mar 
=&gt; Chị chỉnh tay các dòng của Toại, e add công thức vào sau nhé</t>
  </si>
  <si>
    <t>EL046</t>
  </si>
  <si>
    <t>thai nguyen 1</t>
  </si>
  <si>
    <t>Row 90</t>
  </si>
  <si>
    <t>213881        ĐẶNG GIA LỘC last update của bạn là ở PIC Liên Nguyễn nhưng vẫn record là Quân Nguyên
=&gt; Chị chỉnh tay các dòng của bạn, e add công thức vào sau nhé</t>
  </si>
  <si>
    <t>Row 141</t>
  </si>
  <si>
    <t>227058        LE VAN DONG TAM (giống Đặng Gia Lộc)</t>
  </si>
  <si>
    <t>Lanh Le Lớp này vẫn đang học; ngày học gần nhất là 1/4 (ở file attendance check) nhưng mà file đang ghi nhận là Inactive và last active day là 23/1 
=&gt; Chị đã chỉnh tay lại, em add công thức vào sau nhé</t>
  </si>
  <si>
    <t>All row</t>
  </si>
  <si>
    <t xml:space="preserve">Vlookup_value bị nhảy 1 dòng =&gt; Data ko chính xác
=&gt; Chị đã chỉnh để tiện add thông tin về Inactived </t>
  </si>
  <si>
    <t>capnhat lop</t>
  </si>
  <si>
    <t>Có 2 lớp phải check tay, nếu xài công thức như hiện tại sẽ khó theo dõi:
1. Anh To: Vừa thi xong hôm t6 tuần rồi =&gt; phải note lại để nhớ mà check kết quả level các bạn để còn xếp lớp &amp; hỏi xem các bạn có muốn tiếp tục ko. Đồng thời recheck những người đang chờ ráp lớp xem có ai phù hợp ghép chung lớp Anh To ko
2. Hùng Nguyễn: Thi xong từ cuối háng 3 nhưng muốn nghỉ 1 tháng 4 &amp; đầu tháng 5 mới bắt đầu học tiếp</t>
  </si>
  <si>
    <t>EL047</t>
  </si>
  <si>
    <t>thai nguyen 2</t>
  </si>
  <si>
    <t>At risk</t>
  </si>
  <si>
    <t>Chưa thấy đc sự tương quan giữa 2 sheet "At Risk" &amp; "Drop Flag"</t>
  </si>
  <si>
    <t>"Dashboard" &amp; "Data_Quality_Check"</t>
  </si>
  <si>
    <t xml:space="preserve">Có vẻ cấu trúc của 2 sheet này giống nhau nhưng số liệu lệch nhiều </t>
  </si>
  <si>
    <t>EL048</t>
  </si>
  <si>
    <t xml:space="preserve">Trang ngo 6th </t>
  </si>
  <si>
    <t>PIC, Course_Plan, Level_Helper</t>
  </si>
  <si>
    <t>Đ/v các sheet có ít dữ liệu như 3 sheet này thì có thể ráp vào 1 sheet không? Để đỡ chuyển qua/lại giữa các sheet</t>
  </si>
  <si>
    <t>Attendance Log</t>
  </si>
  <si>
    <t>C hiểu cách lấy data của Attendance_Log; nhưng c chưa rõ mục tiêu của sheet này có thể giúp gì cho mình nhiều lắm</t>
  </si>
  <si>
    <t>1st</t>
  </si>
  <si>
    <t>2nd</t>
  </si>
  <si>
    <t>3rd</t>
  </si>
  <si>
    <t>4th</t>
  </si>
  <si>
    <t>5th</t>
  </si>
  <si>
    <t>6th</t>
  </si>
  <si>
    <t>All</t>
  </si>
  <si>
    <t>C cần 1 sheet tổng hợp mô tả linkage giữa các sheet với nhau trong file; để lỡ có vde gì thì còn cross-check nhanh đc
Gợi ý 1 số cột: 
Op1: Sheet name | Purpose | Main content | Input from | Output to | Key logic / link field | Owner
Op2: Sheet name | Purpose | Input | Output | Key link</t>
  </si>
  <si>
    <t>Trần Thị Kiều Anh</t>
  </si>
  <si>
    <t>A</t>
  </si>
  <si>
    <t>Nguyễn Thị Thùy Linh</t>
  </si>
  <si>
    <t>7th</t>
  </si>
  <si>
    <t>8th</t>
  </si>
  <si>
    <t>Nguyen Tran Minh Nghia</t>
  </si>
  <si>
    <t>9th</t>
  </si>
  <si>
    <t>10th</t>
  </si>
  <si>
    <t>11th</t>
  </si>
  <si>
    <t>12th</t>
  </si>
  <si>
    <t>13th</t>
  </si>
  <si>
    <t>14th</t>
  </si>
  <si>
    <t>15th</t>
  </si>
  <si>
    <t>16th_Final</t>
  </si>
  <si>
    <t xml:space="preserve"> </t>
  </si>
  <si>
    <t>Thao Vu 1</t>
  </si>
  <si>
    <t>Loại</t>
  </si>
  <si>
    <t>Cell</t>
  </si>
  <si>
    <t>Class/Course</t>
  </si>
  <si>
    <t>Chi tiết</t>
  </si>
  <si>
    <t>B - Typo năm</t>
  </si>
  <si>
    <t>G144</t>
  </si>
  <si>
    <t>EL014/Communication 1</t>
  </si>
  <si>
    <t>Ghi 12/30/2024 (năm 2024) — đa số bạn cùng buổi ghi năm 2025</t>
  </si>
  <si>
    <t>COUNTUNIQUE của Class Code</t>
  </si>
  <si>
    <t>COUNTUNIQUE của Emp Code</t>
  </si>
  <si>
    <t>Tổng cộng</t>
  </si>
  <si>
    <t>Session Order</t>
  </si>
  <si>
    <t>Date</t>
  </si>
  <si>
    <t>Absent</t>
  </si>
  <si>
    <t>Anh Vu</t>
  </si>
  <si>
    <t>Present</t>
  </si>
  <si>
    <t>Buu Do 1</t>
  </si>
  <si>
    <t>Buu Do 2</t>
  </si>
  <si>
    <t>Cuong Nguyen</t>
  </si>
  <si>
    <t>Duc Nguyen</t>
  </si>
  <si>
    <t>Dat Nguyen</t>
  </si>
  <si>
    <t>Nhat Nguyen</t>
  </si>
  <si>
    <t>Hung Nguyen</t>
  </si>
  <si>
    <t>Huong Le</t>
  </si>
  <si>
    <t>Huy Tran 1</t>
  </si>
  <si>
    <t>Huy Tran 2</t>
  </si>
  <si>
    <t>Huyen Vo</t>
  </si>
  <si>
    <t>Lanh Le</t>
  </si>
  <si>
    <t>Thao Vu 2</t>
  </si>
  <si>
    <t>Minh Nguyen</t>
  </si>
  <si>
    <t>Nhat Bui</t>
  </si>
  <si>
    <t>Nhat Phan 1</t>
  </si>
  <si>
    <t>Nhat Phan 2</t>
  </si>
  <si>
    <t>Qui Em</t>
  </si>
  <si>
    <t>Tan Tran</t>
  </si>
  <si>
    <t>Thien Truong</t>
  </si>
  <si>
    <t>Ky Luong</t>
  </si>
  <si>
    <t>Dung Hoang</t>
  </si>
  <si>
    <t>Anh To</t>
  </si>
  <si>
    <t>My Tran</t>
  </si>
  <si>
    <t>Vinh Nguyen</t>
  </si>
  <si>
    <t>Yen Tran 1</t>
  </si>
  <si>
    <t>Yen Tran 2</t>
  </si>
  <si>
    <t>Yen Tran 3</t>
  </si>
  <si>
    <t>Tai Nguyen</t>
  </si>
  <si>
    <t>Tai Pham</t>
  </si>
  <si>
    <t>Anh Ha</t>
  </si>
  <si>
    <t>Thuong Tran</t>
  </si>
  <si>
    <t>Van Nguyen</t>
  </si>
  <si>
    <t>Quan Nguyen</t>
  </si>
  <si>
    <t>My Nguyen</t>
  </si>
  <si>
    <t>Huy Nguyen</t>
  </si>
  <si>
    <t>Thanh Phung</t>
  </si>
  <si>
    <t>Phu Nguyen</t>
  </si>
  <si>
    <t>Vinh Tran</t>
  </si>
  <si>
    <t>Liên Nguyễn</t>
  </si>
  <si>
    <t>Quyen Nguyen</t>
  </si>
  <si>
    <t>Phuoc Ta</t>
  </si>
  <si>
    <t>Phung Nguyen</t>
  </si>
  <si>
    <t>Nam Nguyen</t>
  </si>
  <si>
    <t>Trang Nguyen</t>
  </si>
  <si>
    <t>Thai Nguyen 1</t>
  </si>
  <si>
    <t>Thai Nguyen 2</t>
  </si>
  <si>
    <t>Trang Ngo</t>
  </si>
  <si>
    <t>Final Level</t>
  </si>
  <si>
    <t>start date</t>
  </si>
  <si>
    <t>First Class Start Date</t>
  </si>
  <si>
    <t xml:space="preserve">Entrance Numeric </t>
  </si>
  <si>
    <t>Final Numeric</t>
  </si>
  <si>
    <t>Role</t>
  </si>
  <si>
    <t>First Entrance Numeric</t>
  </si>
  <si>
    <t>Best Final Numeric</t>
  </si>
  <si>
    <t>Entrance Group (Overall)</t>
  </si>
  <si>
    <t>Final Group (Overall)</t>
  </si>
  <si>
    <t>Progress Category Overall</t>
  </si>
  <si>
    <t>Is_Unique_Row</t>
  </si>
  <si>
    <t>Emp Code
(unique)</t>
  </si>
  <si>
    <r>
      <rPr>
        <b/>
        <sz val="11"/>
        <color rgb="FFFFFFFF"/>
        <rFont val="Arial"/>
        <family val="2"/>
      </rPr>
      <t xml:space="preserve">Role
</t>
    </r>
    <r>
      <rPr>
        <sz val="11"/>
        <color rgb="FFFFFFFF"/>
        <rFont val="Arial"/>
        <family val="2"/>
      </rPr>
      <t>(unique)</t>
    </r>
  </si>
  <si>
    <t>Group Role</t>
  </si>
  <si>
    <r>
      <rPr>
        <b/>
        <sz val="11"/>
        <color rgb="FFFFFFFF"/>
        <rFont val="Arial"/>
        <family val="2"/>
      </rPr>
      <t xml:space="preserve">BU
</t>
    </r>
    <r>
      <rPr>
        <sz val="11"/>
        <color rgb="FFFFFFFF"/>
        <rFont val="Arial"/>
        <family val="2"/>
      </rPr>
      <t>(unique)</t>
    </r>
  </si>
  <si>
    <t>COUNTA của Emp Code
(unique)</t>
  </si>
  <si>
    <t>BU
(unique)</t>
  </si>
  <si>
    <t>COUNTUNIQUE của Full Name</t>
  </si>
  <si>
    <r>
      <rPr>
        <sz val="11"/>
        <color rgb="FFFFFFFF"/>
        <rFont val="Arial"/>
        <family val="2"/>
      </rPr>
      <t xml:space="preserve">Emp Code
</t>
    </r>
    <r>
      <rPr>
        <sz val="9"/>
        <color rgb="FFFFFFFF"/>
        <rFont val="Arial"/>
        <family val="2"/>
      </rPr>
      <t>(Active, uniques)</t>
    </r>
  </si>
  <si>
    <r>
      <rPr>
        <b/>
        <sz val="11"/>
        <color rgb="FFFFFFFF"/>
        <rFont val="Arial"/>
        <family val="2"/>
      </rPr>
      <t xml:space="preserve">Role
</t>
    </r>
    <r>
      <rPr>
        <sz val="11"/>
        <color rgb="FFFFFFFF"/>
        <rFont val="Arial"/>
        <family val="2"/>
      </rPr>
      <t>(unique)</t>
    </r>
  </si>
  <si>
    <r>
      <rPr>
        <b/>
        <sz val="11"/>
        <color rgb="FFFFFFFF"/>
        <rFont val="Arial"/>
        <family val="2"/>
      </rPr>
      <t xml:space="preserve">BU
</t>
    </r>
    <r>
      <rPr>
        <sz val="11"/>
        <color rgb="FFFFFFFF"/>
        <rFont val="Arial"/>
        <family val="2"/>
      </rPr>
      <t>(unique)</t>
    </r>
  </si>
  <si>
    <t>Pre-Intermediate</t>
  </si>
  <si>
    <t>Pre-Intermediate 1</t>
  </si>
  <si>
    <t>QC</t>
  </si>
  <si>
    <t>POC</t>
  </si>
  <si>
    <t>BSG</t>
  </si>
  <si>
    <t>CHORUS</t>
  </si>
  <si>
    <t>LBU</t>
  </si>
  <si>
    <t>MOC</t>
  </si>
  <si>
    <t>ONC</t>
  </si>
  <si>
    <t>TBU</t>
  </si>
  <si>
    <t>Beginner</t>
  </si>
  <si>
    <t>BA, BC</t>
  </si>
  <si>
    <t>Beginner 2</t>
  </si>
  <si>
    <t>DEV, TA</t>
  </si>
  <si>
    <t>GSD</t>
  </si>
  <si>
    <t>Intermediate</t>
  </si>
  <si>
    <t>HR, GA, Mgt</t>
  </si>
  <si>
    <t xml:space="preserve">PPO, SM, IM </t>
  </si>
  <si>
    <t>Pre-Intermediate 2</t>
  </si>
  <si>
    <t>UI/UX, Des</t>
  </si>
  <si>
    <t>Beginner 3</t>
  </si>
  <si>
    <t>Intermediate 2</t>
  </si>
  <si>
    <t>All participants</t>
  </si>
  <si>
    <t>Active participants</t>
  </si>
  <si>
    <t>Intermediate 1</t>
  </si>
  <si>
    <t>SM</t>
  </si>
  <si>
    <t>DEV</t>
  </si>
  <si>
    <t>TA</t>
  </si>
  <si>
    <t>UI/UX</t>
  </si>
  <si>
    <t>213820</t>
  </si>
  <si>
    <t>BA</t>
  </si>
  <si>
    <t>HR</t>
  </si>
  <si>
    <t>Admin</t>
  </si>
  <si>
    <t>Upper-Intermediate</t>
  </si>
  <si>
    <t>Designer</t>
  </si>
  <si>
    <t>-</t>
  </si>
  <si>
    <t>Pre-Intermediate 3</t>
  </si>
  <si>
    <t>193470</t>
  </si>
  <si>
    <t>Management</t>
  </si>
  <si>
    <t>PPO</t>
  </si>
  <si>
    <t>BC</t>
  </si>
  <si>
    <t>Not Placement</t>
  </si>
  <si>
    <t>IM</t>
  </si>
  <si>
    <r>
      <rPr>
        <b/>
        <sz val="11"/>
        <color rgb="FFFFFFFF"/>
        <rFont val="Arial"/>
        <family val="2"/>
      </rPr>
      <t xml:space="preserve">Role
</t>
    </r>
    <r>
      <rPr>
        <sz val="11"/>
        <color rgb="FFFFFFFF"/>
        <rFont val="Arial"/>
        <family val="2"/>
      </rPr>
      <t>(unique)</t>
    </r>
  </si>
  <si>
    <r>
      <rPr>
        <b/>
        <sz val="11"/>
        <color rgb="FFFFFFFF"/>
        <rFont val="Arial"/>
        <family val="2"/>
      </rPr>
      <t xml:space="preserve">BU
</t>
    </r>
    <r>
      <rPr>
        <sz val="11"/>
        <color rgb="FFFFFFFF"/>
        <rFont val="Arial"/>
        <family val="2"/>
      </rPr>
      <t>(unique)</t>
    </r>
  </si>
  <si>
    <r>
      <rPr>
        <sz val="11"/>
        <color rgb="FFFFFFFF"/>
        <rFont val="Arial"/>
        <family val="2"/>
      </rPr>
      <t xml:space="preserve">Emp Code
</t>
    </r>
    <r>
      <rPr>
        <sz val="9"/>
        <color rgb="FFFFFFFF"/>
        <rFont val="Arial"/>
        <family val="2"/>
      </rPr>
      <t>(Active, uniques)</t>
    </r>
  </si>
  <si>
    <r>
      <rPr>
        <b/>
        <sz val="11"/>
        <color rgb="FFFFFFFF"/>
        <rFont val="Arial"/>
        <family val="2"/>
      </rPr>
      <t xml:space="preserve">Role
</t>
    </r>
    <r>
      <rPr>
        <sz val="11"/>
        <color rgb="FFFFFFFF"/>
        <rFont val="Arial"/>
        <family val="2"/>
      </rPr>
      <t>(unique)</t>
    </r>
  </si>
  <si>
    <r>
      <rPr>
        <b/>
        <sz val="11"/>
        <color rgb="FFFFFFFF"/>
        <rFont val="Arial"/>
        <family val="2"/>
      </rPr>
      <t xml:space="preserve">BU
</t>
    </r>
    <r>
      <rPr>
        <sz val="11"/>
        <color rgb="FFFFFFFF"/>
        <rFont val="Arial"/>
        <family val="2"/>
      </rPr>
      <t>(unique)</t>
    </r>
  </si>
  <si>
    <t>Level Gain</t>
  </si>
  <si>
    <t>Entrance Group</t>
  </si>
  <si>
    <t>Final Group</t>
  </si>
  <si>
    <t>Progress Category</t>
  </si>
  <si>
    <t>CFS</t>
  </si>
  <si>
    <t>CHC</t>
  </si>
  <si>
    <t>--</t>
  </si>
  <si>
    <r>
      <rPr>
        <b/>
        <sz val="11"/>
        <color rgb="FFFFFFFF"/>
        <rFont val="Arial"/>
        <family val="2"/>
      </rPr>
      <t xml:space="preserve">Role
</t>
    </r>
    <r>
      <rPr>
        <sz val="11"/>
        <color rgb="FFFFFFFF"/>
        <rFont val="Arial"/>
        <family val="2"/>
      </rPr>
      <t>(unique)</t>
    </r>
  </si>
  <si>
    <r>
      <rPr>
        <b/>
        <sz val="11"/>
        <color rgb="FFFFFFFF"/>
        <rFont val="Arial"/>
        <family val="2"/>
      </rPr>
      <t xml:space="preserve">BU
</t>
    </r>
    <r>
      <rPr>
        <sz val="11"/>
        <color rgb="FFFFFFFF"/>
        <rFont val="Arial"/>
        <family val="2"/>
      </rPr>
      <t>(unique)</t>
    </r>
  </si>
  <si>
    <t>Not tested yet</t>
  </si>
  <si>
    <t>Regressed</t>
  </si>
  <si>
    <t>No Progress</t>
  </si>
  <si>
    <t>Minor Improvement</t>
  </si>
  <si>
    <t>Lv1→Lv2</t>
  </si>
  <si>
    <t>Lv2→Lv3</t>
  </si>
  <si>
    <t>Lv3→Lv4</t>
  </si>
  <si>
    <t>Lv1→Lv3</t>
  </si>
  <si>
    <t>% of Total</t>
  </si>
  <si>
    <t>Validation</t>
  </si>
  <si>
    <t>Total Emp</t>
  </si>
  <si>
    <t>Level Name</t>
  </si>
  <si>
    <t>Numeric Value</t>
  </si>
  <si>
    <t>lv1</t>
  </si>
  <si>
    <t>&lt;=2</t>
  </si>
  <si>
    <t>lv2</t>
  </si>
  <si>
    <t>&lt;=4</t>
  </si>
  <si>
    <t>lv3</t>
  </si>
  <si>
    <t>&lt;=5.5</t>
  </si>
  <si>
    <t>lv4</t>
  </si>
  <si>
    <t>Advanced</t>
  </si>
  <si>
    <t>&gt;5.5</t>
  </si>
  <si>
    <t>EL036</t>
  </si>
  <si>
    <t>Ky Phuc</t>
  </si>
  <si>
    <t>Expected Sessions</t>
  </si>
  <si>
    <t>COUNTA of Emp Code
(unique)</t>
  </si>
  <si>
    <t>Grand Total</t>
  </si>
  <si>
    <t>(Multiple Items)</t>
  </si>
  <si>
    <t>COUNTA of Emp Code
(Active, uniques)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</si>
</sst>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yyyy\-mm\-dd\ hh:mm"/>
    <numFmt numFmtId="167" formatCode="m/d/yyyy"/>
    <numFmt numFmtId="168" formatCode="d\ mmm\ h:mm"/>
    <numFmt numFmtId="169" formatCode="yyyy&quot;-&quot;mm&quot;-&quot;dd&quot; &quot;hh&quot;:&quot;mm"/>
  </numFmts>
  <fonts count="45">
    <font>
      <sz val="11"/>
      <color theme="1"/>
      <name val="Calibri"/>
      <scheme val="minor"/>
    </font>
    <font>
      <b/>
      <sz val="18"/>
      <color rgb="FFFFFFFF"/>
      <name val="Arial"/>
      <family val="2"/>
    </font>
    <font>
      <i/>
      <sz val="11"/>
      <color rgb="FF666666"/>
      <name val="Arial"/>
      <family val="2"/>
    </font>
    <font>
      <sz val="11"/>
      <color theme="1"/>
      <name val="Calibri"/>
      <family val="2"/>
    </font>
    <font>
      <b/>
      <sz val="12"/>
      <color rgb="FFFFFFFF"/>
      <name val="Arial"/>
      <family val="2"/>
    </font>
    <font>
      <sz val="11"/>
      <color rgb="FF666666"/>
      <name val="Arial"/>
      <family val="2"/>
    </font>
    <font>
      <b/>
      <sz val="20"/>
      <color rgb="FF1F4E79"/>
      <name val="Arial"/>
      <family val="2"/>
    </font>
    <font>
      <b/>
      <sz val="20"/>
      <color rgb="FF1D9E75"/>
      <name val="Arial"/>
      <family val="2"/>
    </font>
    <font>
      <b/>
      <sz val="20"/>
      <color rgb="FFBA7517"/>
      <name val="Arial"/>
      <family val="2"/>
    </font>
    <font>
      <b/>
      <sz val="20"/>
      <color rgb="FFC00000"/>
      <name val="Arial"/>
      <family val="2"/>
    </font>
    <font>
      <sz val="11"/>
      <color theme="1"/>
      <name val="Calibri"/>
      <family val="2"/>
      <scheme val="minor"/>
    </font>
    <font>
      <b/>
      <sz val="11"/>
      <color rgb="FFFFFFFF"/>
      <name val="Arial"/>
      <family val="2"/>
    </font>
    <font>
      <sz val="11"/>
      <name val="Calibri"/>
      <family val="2"/>
    </font>
    <font>
      <sz val="11"/>
      <color theme="1"/>
      <name val="Arial"/>
      <family val="2"/>
    </font>
    <font>
      <b/>
      <sz val="11"/>
      <color rgb="FF2E75B6"/>
      <name val="Arial"/>
      <family val="2"/>
    </font>
    <font>
      <b/>
      <sz val="11"/>
      <color theme="1"/>
      <name val="Arial"/>
      <family val="2"/>
    </font>
    <font>
      <b/>
      <sz val="11"/>
      <color rgb="FF7030A0"/>
      <name val="Arial"/>
      <family val="2"/>
    </font>
    <font>
      <b/>
      <sz val="11"/>
      <color rgb="FF1F4E79"/>
      <name val="Arial"/>
      <family val="2"/>
    </font>
    <font>
      <i/>
      <sz val="9"/>
      <color rgb="FF999999"/>
      <name val="Arial"/>
      <family val="2"/>
    </font>
    <font>
      <i/>
      <sz val="10"/>
      <color rgb="FF999999"/>
      <name val="Arial"/>
      <family val="2"/>
    </font>
    <font>
      <sz val="10"/>
      <color theme="1"/>
      <name val="Arial"/>
      <family val="2"/>
    </font>
    <font>
      <sz val="10"/>
      <color rgb="FFFF0000"/>
      <name val="Var(--font-mono)"/>
    </font>
    <font>
      <sz val="11"/>
      <color theme="1"/>
      <name val="Calibri"/>
      <family val="2"/>
    </font>
    <font>
      <sz val="10"/>
      <color rgb="FFFF0000"/>
      <name val="Calibri"/>
      <family val="2"/>
    </font>
    <font>
      <b/>
      <sz val="11"/>
      <color rgb="FF0000FF"/>
      <name val="Calibri"/>
      <family val="2"/>
    </font>
    <font>
      <b/>
      <sz val="11"/>
      <color theme="1"/>
      <name val="Calibri"/>
      <family val="2"/>
    </font>
    <font>
      <b/>
      <sz val="11"/>
      <color theme="1"/>
      <name val="Calibri"/>
      <family val="2"/>
    </font>
    <font>
      <sz val="11"/>
      <color rgb="FF0000FF"/>
      <name val="Calibri"/>
      <family val="2"/>
    </font>
    <font>
      <sz val="11"/>
      <color rgb="FFCC0000"/>
      <name val="Calibri"/>
      <family val="2"/>
    </font>
    <font>
      <b/>
      <sz val="11"/>
      <color rgb="FFFFFFFF"/>
      <name val="Arial"/>
      <family val="2"/>
    </font>
    <font>
      <b/>
      <sz val="9"/>
      <color theme="1"/>
      <name val="Arial"/>
      <family val="2"/>
    </font>
    <font>
      <b/>
      <sz val="11"/>
      <color rgb="FFDE1873"/>
      <name val="Calibri"/>
      <family val="2"/>
    </font>
    <font>
      <sz val="11"/>
      <color rgb="FFDE1873"/>
      <name val="Calibri"/>
      <family val="2"/>
    </font>
    <font>
      <sz val="9"/>
      <color theme="1"/>
      <name val="Arial"/>
      <family val="2"/>
    </font>
    <font>
      <b/>
      <sz val="10"/>
      <color theme="1"/>
      <name val="Arial"/>
      <family val="2"/>
    </font>
    <font>
      <b/>
      <sz val="11"/>
      <color theme="1"/>
      <name val="Calibri"/>
      <family val="2"/>
      <scheme val="minor"/>
    </font>
    <font>
      <sz val="11"/>
      <color rgb="FFFFFFFF"/>
      <name val="Arial"/>
      <family val="2"/>
    </font>
    <font>
      <b/>
      <sz val="11"/>
      <color rgb="FF0000FF"/>
      <name val="Calibri"/>
      <family val="2"/>
      <scheme val="minor"/>
    </font>
    <font>
      <b/>
      <sz val="12"/>
      <color rgb="FF0000FF"/>
      <name val="Calibri"/>
      <family val="2"/>
      <scheme val="minor"/>
    </font>
    <font>
      <sz val="11"/>
      <color rgb="FF0000FF"/>
      <name val="Calibri"/>
      <family val="2"/>
      <scheme val="minor"/>
    </font>
    <font>
      <b/>
      <sz val="11"/>
      <color rgb="FF1F1F1F"/>
      <name val="&quot;Google Sans Text&quot;"/>
    </font>
    <font>
      <sz val="11"/>
      <color rgb="FF000000"/>
      <name val="Calibri"/>
      <family val="2"/>
      <scheme val="minor"/>
    </font>
    <font>
      <sz val="11"/>
      <color rgb="FF000000"/>
      <name val="&quot;Google Sans Text&quot;"/>
    </font>
    <font>
      <sz val="11"/>
      <color rgb="FF1F1F1F"/>
      <name val="&quot;Google Sans Text&quot;"/>
    </font>
    <font>
      <sz val="9"/>
      <color rgb="FFFFFFFF"/>
      <name val="Arial"/>
      <family val="2"/>
    </font>
  </fonts>
  <fills count="28">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rgb="FF2E75B6"/>
        <bgColor rgb="FF2E75B6"/>
      </patternFill>
    </fill>
    <fill>
      <patternFill patternType="solid">
        <fgColor rgb="FF548235"/>
        <bgColor rgb="FF548235"/>
      </patternFill>
    </fill>
    <fill>
      <patternFill patternType="solid">
        <fgColor rgb="FF305496"/>
        <bgColor rgb="FF305496"/>
      </patternFill>
    </fill>
    <fill>
      <patternFill patternType="solid">
        <fgColor rgb="FFF8F8F8"/>
        <bgColor rgb="FFF8F8F8"/>
      </patternFill>
    </fill>
    <fill>
      <patternFill patternType="solid">
        <fgColor rgb="FFD9E1F2"/>
        <bgColor rgb="FFD9E1F2"/>
      </patternFill>
    </fill>
    <fill>
      <patternFill patternType="solid">
        <fgColor rgb="FFC55A11"/>
        <bgColor rgb="FFC55A11"/>
      </patternFill>
    </fill>
    <fill>
      <patternFill patternType="solid">
        <fgColor rgb="FFFCE4D6"/>
        <bgColor rgb="FFFCE4D6"/>
      </patternFill>
    </fill>
    <fill>
      <patternFill patternType="solid">
        <fgColor rgb="FF7030A0"/>
        <bgColor rgb="FF7030A0"/>
      </patternFill>
    </fill>
    <fill>
      <patternFill patternType="solid">
        <fgColor rgb="FFDDEBF7"/>
        <bgColor rgb="FFDDEBF7"/>
      </patternFill>
    </fill>
    <fill>
      <patternFill patternType="solid">
        <fgColor rgb="FFC6EFCE"/>
        <bgColor rgb="FFC6EFCE"/>
      </patternFill>
    </fill>
    <fill>
      <patternFill patternType="solid">
        <fgColor rgb="FFFFEB9C"/>
        <bgColor rgb="FFFFEB9C"/>
      </patternFill>
    </fill>
    <fill>
      <patternFill patternType="solid">
        <fgColor rgb="FFFFF2CC"/>
        <bgColor rgb="FFFFF2CC"/>
      </patternFill>
    </fill>
    <fill>
      <patternFill patternType="solid">
        <fgColor rgb="FFFAFAFA"/>
        <bgColor rgb="FFFAFAFA"/>
      </patternFill>
    </fill>
    <fill>
      <patternFill patternType="solid">
        <fgColor rgb="FFF6F8F9"/>
        <bgColor rgb="FFF6F8F9"/>
      </patternFill>
    </fill>
    <fill>
      <patternFill patternType="solid">
        <fgColor rgb="FFFFFFFF"/>
        <bgColor rgb="FFFFFFFF"/>
      </patternFill>
    </fill>
    <fill>
      <patternFill patternType="solid">
        <fgColor rgb="FF6AA84F"/>
        <bgColor rgb="FF6AA84F"/>
      </patternFill>
    </fill>
    <fill>
      <patternFill patternType="solid">
        <fgColor rgb="FF000000"/>
        <bgColor rgb="FF000000"/>
      </patternFill>
    </fill>
    <fill>
      <patternFill patternType="solid">
        <fgColor rgb="FFD5A6BD"/>
        <bgColor rgb="FFD5A6BD"/>
      </patternFill>
    </fill>
    <fill>
      <patternFill patternType="solid">
        <fgColor rgb="FFC27BA0"/>
        <bgColor rgb="FFC27BA0"/>
      </patternFill>
    </fill>
    <fill>
      <patternFill patternType="solid">
        <fgColor rgb="FF0000FF"/>
        <bgColor rgb="FF0000FF"/>
      </patternFill>
    </fill>
    <fill>
      <patternFill patternType="solid">
        <fgColor rgb="FF4472C4"/>
        <bgColor rgb="FF4472C4"/>
      </patternFill>
    </fill>
    <fill>
      <patternFill patternType="solid">
        <fgColor rgb="FFDEEBF7"/>
        <bgColor rgb="FFDEEBF7"/>
      </patternFill>
    </fill>
    <fill>
      <patternFill patternType="solid">
        <fgColor rgb="FFF4CCCC"/>
        <bgColor rgb="FFF4CCCC"/>
      </patternFill>
    </fill>
    <fill>
      <patternFill patternType="solid">
        <fgColor rgb="FFFCE4EC"/>
        <bgColor rgb="FFFCE4EC"/>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B7B7B7"/>
      </left>
      <right style="thin">
        <color rgb="FFB7B7B7"/>
      </right>
      <top style="thin">
        <color rgb="FFB7B7B7"/>
      </top>
      <bottom style="thin">
        <color rgb="FFB7B7B7"/>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s>
  <cellStyleXfs count="1">
    <xf numFmtId="0" fontId="0" fillId="0" borderId="0"/>
  </cellStyleXfs>
  <cellXfs count="251">
    <xf numFmtId="0" fontId="0" fillId="0" borderId="0" xfId="0"/>
    <xf numFmtId="0" fontId="3" fillId="0" borderId="0" xfId="0" applyFont="1" applyAlignment="1">
      <alignment horizontal="left"/>
    </xf>
    <xf numFmtId="0" fontId="3" fillId="0" borderId="0" xfId="0" applyFont="1"/>
    <xf numFmtId="0" fontId="10" fillId="0" borderId="0" xfId="0" applyFont="1"/>
    <xf numFmtId="9" fontId="10" fillId="0" borderId="0" xfId="0" applyNumberFormat="1" applyFont="1"/>
    <xf numFmtId="0" fontId="11" fillId="6" borderId="1" xfId="0" applyFont="1" applyFill="1" applyBorder="1" applyAlignment="1">
      <alignment horizontal="center" wrapText="1"/>
    </xf>
    <xf numFmtId="0" fontId="13" fillId="0" borderId="1" xfId="0" applyFont="1" applyBorder="1" applyAlignment="1">
      <alignment wrapText="1"/>
    </xf>
    <xf numFmtId="165" fontId="13" fillId="0" borderId="1" xfId="0" applyNumberFormat="1" applyFont="1" applyBorder="1" applyAlignment="1">
      <alignment horizontal="center" wrapText="1"/>
    </xf>
    <xf numFmtId="164" fontId="13" fillId="0" borderId="1" xfId="0" applyNumberFormat="1" applyFont="1" applyBorder="1" applyAlignment="1">
      <alignment horizontal="center" wrapText="1"/>
    </xf>
    <xf numFmtId="0" fontId="13" fillId="7" borderId="1" xfId="0" applyFont="1" applyFill="1" applyBorder="1" applyAlignment="1">
      <alignment wrapText="1"/>
    </xf>
    <xf numFmtId="165" fontId="13" fillId="7" borderId="1" xfId="0" applyNumberFormat="1" applyFont="1" applyFill="1" applyBorder="1" applyAlignment="1">
      <alignment horizontal="center" wrapText="1"/>
    </xf>
    <xf numFmtId="164" fontId="13" fillId="7" borderId="1" xfId="0" applyNumberFormat="1" applyFont="1" applyFill="1" applyBorder="1" applyAlignment="1">
      <alignment horizontal="center" wrapText="1"/>
    </xf>
    <xf numFmtId="0" fontId="15" fillId="8" borderId="1" xfId="0" applyFont="1" applyFill="1" applyBorder="1" applyAlignment="1">
      <alignment wrapText="1"/>
    </xf>
    <xf numFmtId="165" fontId="15" fillId="8" borderId="1" xfId="0" applyNumberFormat="1" applyFont="1" applyFill="1" applyBorder="1" applyAlignment="1">
      <alignment horizontal="center" wrapText="1"/>
    </xf>
    <xf numFmtId="164" fontId="15" fillId="8" borderId="1" xfId="0" applyNumberFormat="1" applyFont="1" applyFill="1" applyBorder="1" applyAlignment="1">
      <alignment horizontal="center" wrapText="1"/>
    </xf>
    <xf numFmtId="0" fontId="3" fillId="0" borderId="1" xfId="0" applyFont="1" applyBorder="1"/>
    <xf numFmtId="0" fontId="15" fillId="10" borderId="1" xfId="0" applyFont="1" applyFill="1" applyBorder="1" applyAlignment="1">
      <alignment wrapText="1"/>
    </xf>
    <xf numFmtId="165" fontId="15" fillId="10" borderId="1" xfId="0" applyNumberFormat="1" applyFont="1" applyFill="1" applyBorder="1" applyAlignment="1">
      <alignment horizontal="center" wrapText="1"/>
    </xf>
    <xf numFmtId="0" fontId="13" fillId="0" borderId="1" xfId="0" applyFont="1" applyBorder="1" applyAlignment="1">
      <alignment horizontal="center" wrapText="1"/>
    </xf>
    <xf numFmtId="0" fontId="16" fillId="0" borderId="1" xfId="0" applyFont="1" applyBorder="1"/>
    <xf numFmtId="0" fontId="13" fillId="12" borderId="1" xfId="0" applyFont="1" applyFill="1" applyBorder="1" applyAlignment="1">
      <alignment wrapText="1"/>
    </xf>
    <xf numFmtId="0" fontId="13" fillId="7" borderId="1" xfId="0" applyFont="1" applyFill="1" applyBorder="1" applyAlignment="1">
      <alignment horizontal="center" wrapText="1"/>
    </xf>
    <xf numFmtId="0" fontId="16" fillId="7" borderId="1" xfId="0" applyFont="1" applyFill="1" applyBorder="1"/>
    <xf numFmtId="0" fontId="13" fillId="13" borderId="1" xfId="0" applyFont="1" applyFill="1" applyBorder="1" applyAlignment="1">
      <alignment wrapText="1"/>
    </xf>
    <xf numFmtId="0" fontId="13" fillId="14" borderId="1" xfId="0" applyFont="1" applyFill="1" applyBorder="1" applyAlignment="1">
      <alignment wrapText="1"/>
    </xf>
    <xf numFmtId="0" fontId="15" fillId="0" borderId="0" xfId="0" applyFont="1" applyAlignment="1">
      <alignment horizontal="right"/>
    </xf>
    <xf numFmtId="0" fontId="17" fillId="15" borderId="1" xfId="0" applyFont="1" applyFill="1" applyBorder="1" applyAlignment="1">
      <alignment horizontal="center" wrapText="1"/>
    </xf>
    <xf numFmtId="0" fontId="13" fillId="16" borderId="1" xfId="0" applyFont="1" applyFill="1" applyBorder="1" applyAlignment="1">
      <alignment wrapText="1"/>
    </xf>
    <xf numFmtId="0" fontId="15" fillId="0" borderId="1" xfId="0" applyFont="1" applyBorder="1" applyAlignment="1">
      <alignment horizontal="center" wrapText="1"/>
    </xf>
    <xf numFmtId="165" fontId="15" fillId="0" borderId="1" xfId="0" applyNumberFormat="1" applyFont="1" applyBorder="1" applyAlignment="1">
      <alignment horizontal="center" wrapText="1"/>
    </xf>
    <xf numFmtId="164" fontId="15" fillId="0" borderId="1" xfId="0" applyNumberFormat="1" applyFont="1" applyBorder="1" applyAlignment="1">
      <alignment horizontal="center" wrapText="1"/>
    </xf>
    <xf numFmtId="166" fontId="15" fillId="0" borderId="1" xfId="0" applyNumberFormat="1" applyFont="1" applyBorder="1" applyAlignment="1">
      <alignment horizontal="center" wrapText="1"/>
    </xf>
    <xf numFmtId="0" fontId="3" fillId="0" borderId="1" xfId="0" applyFont="1" applyBorder="1" applyAlignment="1">
      <alignment horizontal="center"/>
    </xf>
    <xf numFmtId="49" fontId="18" fillId="17" borderId="4" xfId="0" applyNumberFormat="1" applyFont="1" applyFill="1" applyBorder="1" applyAlignment="1">
      <alignment horizontal="center" vertical="center" wrapText="1"/>
    </xf>
    <xf numFmtId="0" fontId="18" fillId="17" borderId="4" xfId="0" applyFont="1" applyFill="1" applyBorder="1" applyAlignment="1">
      <alignment horizontal="center" vertical="center" wrapText="1"/>
    </xf>
    <xf numFmtId="49" fontId="19" fillId="17" borderId="4" xfId="0" applyNumberFormat="1" applyFont="1" applyFill="1" applyBorder="1" applyAlignment="1">
      <alignment horizontal="center" vertical="center" wrapText="1"/>
    </xf>
    <xf numFmtId="0" fontId="3" fillId="18" borderId="4" xfId="0" applyFont="1" applyFill="1" applyBorder="1" applyAlignment="1">
      <alignment horizontal="center" vertical="center"/>
    </xf>
    <xf numFmtId="0" fontId="10" fillId="0" borderId="4" xfId="0" applyFont="1" applyBorder="1"/>
    <xf numFmtId="49" fontId="11" fillId="19" borderId="4" xfId="0" applyNumberFormat="1" applyFont="1" applyFill="1" applyBorder="1" applyAlignment="1">
      <alignment horizontal="center" vertical="center" wrapText="1"/>
    </xf>
    <xf numFmtId="0" fontId="11" fillId="19" borderId="4" xfId="0" applyFont="1" applyFill="1" applyBorder="1" applyAlignment="1">
      <alignment horizontal="center" vertical="center" wrapText="1"/>
    </xf>
    <xf numFmtId="0" fontId="11" fillId="20" borderId="4" xfId="0" applyFont="1" applyFill="1" applyBorder="1" applyAlignment="1">
      <alignment horizontal="center" vertical="center" wrapText="1"/>
    </xf>
    <xf numFmtId="1" fontId="11" fillId="20" borderId="4" xfId="0" applyNumberFormat="1" applyFont="1" applyFill="1" applyBorder="1" applyAlignment="1">
      <alignment horizontal="center" vertical="center" wrapText="1"/>
    </xf>
    <xf numFmtId="49" fontId="20" fillId="18" borderId="4" xfId="0" applyNumberFormat="1" applyFont="1" applyFill="1" applyBorder="1" applyAlignment="1">
      <alignment vertical="center"/>
    </xf>
    <xf numFmtId="0" fontId="20" fillId="18" borderId="4" xfId="0" applyFont="1" applyFill="1" applyBorder="1" applyAlignment="1">
      <alignment vertical="center"/>
    </xf>
    <xf numFmtId="0" fontId="20" fillId="18" borderId="4" xfId="0" applyFont="1" applyFill="1" applyBorder="1" applyAlignment="1">
      <alignment horizontal="center" vertical="center"/>
    </xf>
    <xf numFmtId="49" fontId="20" fillId="18" borderId="4" xfId="0" applyNumberFormat="1" applyFont="1" applyFill="1" applyBorder="1" applyAlignment="1">
      <alignment horizontal="center" vertical="center"/>
    </xf>
    <xf numFmtId="49" fontId="3" fillId="18" borderId="4" xfId="0" applyNumberFormat="1" applyFont="1" applyFill="1" applyBorder="1" applyAlignment="1">
      <alignment vertical="center"/>
    </xf>
    <xf numFmtId="167" fontId="3" fillId="18" borderId="4" xfId="0" applyNumberFormat="1" applyFont="1" applyFill="1" applyBorder="1" applyAlignment="1">
      <alignment vertical="center"/>
    </xf>
    <xf numFmtId="1" fontId="3" fillId="18" borderId="4" xfId="0" applyNumberFormat="1" applyFont="1" applyFill="1" applyBorder="1" applyAlignment="1">
      <alignment vertical="center"/>
    </xf>
    <xf numFmtId="0" fontId="21" fillId="18" borderId="4" xfId="0" applyFont="1" applyFill="1" applyBorder="1" applyAlignment="1">
      <alignment vertical="center"/>
    </xf>
    <xf numFmtId="0" fontId="22" fillId="18" borderId="4" xfId="0" applyFont="1" applyFill="1" applyBorder="1"/>
    <xf numFmtId="0" fontId="3" fillId="17" borderId="4" xfId="0" applyFont="1" applyFill="1" applyBorder="1" applyAlignment="1">
      <alignment horizontal="center" vertical="center"/>
    </xf>
    <xf numFmtId="0" fontId="3" fillId="0" borderId="4" xfId="0" applyFont="1" applyBorder="1"/>
    <xf numFmtId="49" fontId="20" fillId="17" borderId="4" xfId="0" applyNumberFormat="1" applyFont="1" applyFill="1" applyBorder="1" applyAlignment="1">
      <alignment vertical="center"/>
    </xf>
    <xf numFmtId="0" fontId="20" fillId="17" borderId="4" xfId="0" applyFont="1" applyFill="1" applyBorder="1" applyAlignment="1">
      <alignment vertical="center"/>
    </xf>
    <xf numFmtId="167" fontId="3" fillId="17" borderId="4" xfId="0" applyNumberFormat="1" applyFont="1" applyFill="1" applyBorder="1" applyAlignment="1">
      <alignment vertical="center"/>
    </xf>
    <xf numFmtId="1" fontId="3" fillId="17" borderId="4" xfId="0" applyNumberFormat="1" applyFont="1" applyFill="1" applyBorder="1" applyAlignment="1">
      <alignment vertical="center"/>
    </xf>
    <xf numFmtId="0" fontId="21" fillId="17" borderId="4" xfId="0" applyFont="1" applyFill="1" applyBorder="1" applyAlignment="1">
      <alignment vertical="center"/>
    </xf>
    <xf numFmtId="0" fontId="3" fillId="17" borderId="4" xfId="0" applyFont="1" applyFill="1" applyBorder="1" applyAlignment="1">
      <alignment horizontal="center" vertical="center" wrapText="1"/>
    </xf>
    <xf numFmtId="0" fontId="10" fillId="18" borderId="4" xfId="0" applyFont="1" applyFill="1" applyBorder="1"/>
    <xf numFmtId="0" fontId="3" fillId="21" borderId="4" xfId="0" applyFont="1" applyFill="1" applyBorder="1" applyAlignment="1">
      <alignment horizontal="center" vertical="center"/>
    </xf>
    <xf numFmtId="0" fontId="3" fillId="18" borderId="4" xfId="0" applyFont="1" applyFill="1" applyBorder="1"/>
    <xf numFmtId="0" fontId="3" fillId="18" borderId="4" xfId="0" applyFont="1" applyFill="1" applyBorder="1" applyAlignment="1">
      <alignment horizontal="left" vertical="center"/>
    </xf>
    <xf numFmtId="0" fontId="3" fillId="18" borderId="4" xfId="0" applyFont="1" applyFill="1" applyBorder="1" applyAlignment="1">
      <alignment vertical="center"/>
    </xf>
    <xf numFmtId="0" fontId="3" fillId="18" borderId="4" xfId="0" applyFont="1" applyFill="1" applyBorder="1" applyAlignment="1">
      <alignment horizontal="center" vertical="center" wrapText="1"/>
    </xf>
    <xf numFmtId="0" fontId="3" fillId="17" borderId="4" xfId="0" applyFont="1" applyFill="1" applyBorder="1"/>
    <xf numFmtId="0" fontId="3" fillId="17" borderId="4" xfId="0" applyFont="1" applyFill="1" applyBorder="1" applyAlignment="1">
      <alignment horizontal="center"/>
    </xf>
    <xf numFmtId="49" fontId="3" fillId="18" borderId="4" xfId="0" applyNumberFormat="1" applyFont="1" applyFill="1" applyBorder="1"/>
    <xf numFmtId="0" fontId="3" fillId="18" borderId="4" xfId="0" applyFont="1" applyFill="1" applyBorder="1" applyAlignment="1">
      <alignment horizontal="center"/>
    </xf>
    <xf numFmtId="49" fontId="3" fillId="17" borderId="4" xfId="0" applyNumberFormat="1" applyFont="1" applyFill="1" applyBorder="1"/>
    <xf numFmtId="49" fontId="3" fillId="18" borderId="4" xfId="0" applyNumberFormat="1" applyFont="1" applyFill="1" applyBorder="1" applyAlignment="1">
      <alignment horizontal="center"/>
    </xf>
    <xf numFmtId="1" fontId="3" fillId="18" borderId="4" xfId="0" applyNumberFormat="1" applyFont="1" applyFill="1" applyBorder="1"/>
    <xf numFmtId="0" fontId="23" fillId="18" borderId="4" xfId="0" applyFont="1" applyFill="1" applyBorder="1"/>
    <xf numFmtId="49" fontId="3" fillId="17" borderId="4" xfId="0" applyNumberFormat="1" applyFont="1" applyFill="1" applyBorder="1" applyAlignment="1">
      <alignment horizontal="center"/>
    </xf>
    <xf numFmtId="1" fontId="3" fillId="17" borderId="4" xfId="0" applyNumberFormat="1" applyFont="1" applyFill="1" applyBorder="1"/>
    <xf numFmtId="0" fontId="23" fillId="17" borderId="4" xfId="0" applyFont="1" applyFill="1" applyBorder="1"/>
    <xf numFmtId="0" fontId="24" fillId="0" borderId="0" xfId="0" applyFont="1" applyAlignment="1">
      <alignment horizontal="center" vertical="center"/>
    </xf>
    <xf numFmtId="0" fontId="24" fillId="0" borderId="0" xfId="0" applyFont="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2" fillId="0" borderId="0" xfId="0" applyFont="1" applyAlignment="1">
      <alignment vertical="center"/>
    </xf>
    <xf numFmtId="0" fontId="24" fillId="0" borderId="0" xfId="0" applyFont="1" applyAlignment="1">
      <alignment horizontal="left" vertical="center" wrapText="1"/>
    </xf>
    <xf numFmtId="0" fontId="27" fillId="0" borderId="0" xfId="0" applyFont="1" applyAlignment="1">
      <alignment horizontal="left" vertical="center" wrapText="1"/>
    </xf>
    <xf numFmtId="0" fontId="27"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center" vertical="center"/>
    </xf>
    <xf numFmtId="0" fontId="3" fillId="0" borderId="0" xfId="0" applyFont="1" applyAlignment="1">
      <alignment vertical="center"/>
    </xf>
    <xf numFmtId="0" fontId="28" fillId="0" borderId="0" xfId="0" applyFont="1" applyAlignment="1">
      <alignment horizontal="left" vertical="center" wrapText="1"/>
    </xf>
    <xf numFmtId="0" fontId="24" fillId="0" borderId="0" xfId="0" applyFont="1" applyAlignment="1">
      <alignment horizontal="left" vertical="center"/>
    </xf>
    <xf numFmtId="0" fontId="13" fillId="18" borderId="0" xfId="0" applyFont="1" applyFill="1" applyAlignment="1">
      <alignment vertical="center"/>
    </xf>
    <xf numFmtId="0" fontId="29" fillId="22" borderId="0" xfId="0" applyFont="1" applyFill="1" applyAlignment="1">
      <alignment horizontal="center" vertical="center"/>
    </xf>
    <xf numFmtId="168" fontId="30" fillId="0" borderId="0" xfId="0" applyNumberFormat="1"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left" vertical="center"/>
    </xf>
    <xf numFmtId="0" fontId="32" fillId="0" borderId="0" xfId="0" applyFont="1" applyAlignment="1">
      <alignment horizontal="left" vertical="center" wrapText="1"/>
    </xf>
    <xf numFmtId="0" fontId="33" fillId="18" borderId="0" xfId="0" applyFont="1" applyFill="1" applyAlignment="1">
      <alignment horizontal="center" vertical="center"/>
    </xf>
    <xf numFmtId="0" fontId="13" fillId="18" borderId="0" xfId="0" applyFont="1" applyFill="1" applyAlignment="1">
      <alignment horizontal="center" vertical="center"/>
    </xf>
    <xf numFmtId="0" fontId="33" fillId="18" borderId="0" xfId="0" applyFont="1" applyFill="1" applyAlignment="1">
      <alignment vertical="center"/>
    </xf>
    <xf numFmtId="168" fontId="13" fillId="0" borderId="0" xfId="0" applyNumberFormat="1" applyFont="1" applyAlignment="1">
      <alignment vertical="center"/>
    </xf>
    <xf numFmtId="168" fontId="33" fillId="0" borderId="0" xfId="0" applyNumberFormat="1" applyFont="1" applyAlignment="1">
      <alignment horizontal="center" vertical="center"/>
    </xf>
    <xf numFmtId="0" fontId="33" fillId="0" borderId="0" xfId="0" applyFont="1" applyAlignment="1">
      <alignment horizontal="center" vertical="center"/>
    </xf>
    <xf numFmtId="0" fontId="33" fillId="18" borderId="0" xfId="0" applyFont="1" applyFill="1" applyAlignment="1">
      <alignment vertical="center" wrapText="1"/>
    </xf>
    <xf numFmtId="0" fontId="13" fillId="0" borderId="0" xfId="0" applyFont="1" applyAlignment="1">
      <alignment vertical="center"/>
    </xf>
    <xf numFmtId="0" fontId="11" fillId="23" borderId="4" xfId="0" applyFont="1" applyFill="1" applyBorder="1" applyAlignment="1">
      <alignment horizontal="center" vertical="center" wrapText="1"/>
    </xf>
    <xf numFmtId="49" fontId="11" fillId="23" borderId="4" xfId="0" applyNumberFormat="1" applyFont="1" applyFill="1" applyBorder="1" applyAlignment="1">
      <alignment horizontal="center" vertical="center" wrapText="1"/>
    </xf>
    <xf numFmtId="169" fontId="11" fillId="23" borderId="4" xfId="0" applyNumberFormat="1" applyFont="1" applyFill="1" applyBorder="1" applyAlignment="1">
      <alignment horizontal="center" vertical="center" wrapText="1"/>
    </xf>
    <xf numFmtId="0" fontId="3" fillId="23" borderId="0" xfId="0" applyFont="1" applyFill="1"/>
    <xf numFmtId="0" fontId="22" fillId="23" borderId="0" xfId="0" applyFont="1" applyFill="1"/>
    <xf numFmtId="0" fontId="20" fillId="18" borderId="4" xfId="0" applyFont="1" applyFill="1" applyBorder="1" applyAlignment="1">
      <alignment horizontal="left"/>
    </xf>
    <xf numFmtId="49" fontId="20" fillId="18" borderId="4" xfId="0" applyNumberFormat="1" applyFont="1" applyFill="1" applyBorder="1"/>
    <xf numFmtId="0" fontId="20" fillId="18" borderId="4" xfId="0" applyFont="1" applyFill="1" applyBorder="1"/>
    <xf numFmtId="169" fontId="20" fillId="18" borderId="4" xfId="0" applyNumberFormat="1" applyFont="1" applyFill="1" applyBorder="1" applyAlignment="1">
      <alignment horizontal="left"/>
    </xf>
    <xf numFmtId="169" fontId="20" fillId="18" borderId="4" xfId="0" applyNumberFormat="1" applyFont="1" applyFill="1" applyBorder="1"/>
    <xf numFmtId="169" fontId="3" fillId="18" borderId="0" xfId="0" applyNumberFormat="1" applyFont="1" applyFill="1"/>
    <xf numFmtId="0" fontId="3" fillId="18" borderId="0" xfId="0" applyFont="1" applyFill="1"/>
    <xf numFmtId="0" fontId="22" fillId="18" borderId="0" xfId="0" applyFont="1" applyFill="1"/>
    <xf numFmtId="0" fontId="20" fillId="17" borderId="4" xfId="0" applyFont="1" applyFill="1" applyBorder="1" applyAlignment="1">
      <alignment horizontal="left"/>
    </xf>
    <xf numFmtId="49" fontId="20" fillId="17" borderId="4" xfId="0" applyNumberFormat="1" applyFont="1" applyFill="1" applyBorder="1"/>
    <xf numFmtId="0" fontId="20" fillId="17" borderId="4" xfId="0" applyFont="1" applyFill="1" applyBorder="1"/>
    <xf numFmtId="169" fontId="20" fillId="17" borderId="4" xfId="0" applyNumberFormat="1" applyFont="1" applyFill="1" applyBorder="1" applyAlignment="1">
      <alignment horizontal="left"/>
    </xf>
    <xf numFmtId="169" fontId="20" fillId="17" borderId="4" xfId="0" applyNumberFormat="1" applyFont="1" applyFill="1" applyBorder="1"/>
    <xf numFmtId="169" fontId="3" fillId="17" borderId="0" xfId="0" applyNumberFormat="1" applyFont="1" applyFill="1"/>
    <xf numFmtId="0" fontId="3" fillId="17" borderId="0" xfId="0" applyFont="1" applyFill="1"/>
    <xf numFmtId="49" fontId="34" fillId="17" borderId="4" xfId="0" applyNumberFormat="1" applyFont="1" applyFill="1" applyBorder="1"/>
    <xf numFmtId="169" fontId="20" fillId="18" borderId="0" xfId="0" applyNumberFormat="1" applyFont="1" applyFill="1"/>
    <xf numFmtId="169" fontId="3" fillId="17" borderId="4" xfId="0" applyNumberFormat="1" applyFont="1" applyFill="1" applyBorder="1"/>
    <xf numFmtId="49" fontId="3" fillId="18" borderId="0" xfId="0" applyNumberFormat="1" applyFont="1" applyFill="1"/>
    <xf numFmtId="49" fontId="20" fillId="17" borderId="0" xfId="0" applyNumberFormat="1" applyFont="1" applyFill="1"/>
    <xf numFmtId="0" fontId="20" fillId="17" borderId="0" xfId="0" applyFont="1" applyFill="1"/>
    <xf numFmtId="169" fontId="20" fillId="17" borderId="0" xfId="0" applyNumberFormat="1" applyFont="1" applyFill="1"/>
    <xf numFmtId="49" fontId="3" fillId="17" borderId="0" xfId="0" applyNumberFormat="1" applyFont="1" applyFill="1"/>
    <xf numFmtId="49" fontId="20" fillId="18" borderId="0" xfId="0" applyNumberFormat="1" applyFont="1" applyFill="1"/>
    <xf numFmtId="0" fontId="20" fillId="18" borderId="0" xfId="0" applyFont="1" applyFill="1"/>
    <xf numFmtId="49" fontId="20" fillId="18" borderId="5" xfId="0" applyNumberFormat="1" applyFont="1" applyFill="1" applyBorder="1" applyAlignment="1">
      <alignment vertical="center"/>
    </xf>
    <xf numFmtId="0" fontId="35" fillId="15" borderId="0" xfId="0" applyFont="1" applyFill="1"/>
    <xf numFmtId="0" fontId="10" fillId="0" borderId="0" xfId="0" applyFont="1" applyAlignment="1">
      <alignment wrapText="1"/>
    </xf>
    <xf numFmtId="3" fontId="10" fillId="0" borderId="0" xfId="0" applyNumberFormat="1" applyFont="1" applyAlignment="1">
      <alignment wrapText="1"/>
    </xf>
    <xf numFmtId="3" fontId="10" fillId="0" borderId="0" xfId="0" applyNumberFormat="1" applyFont="1"/>
    <xf numFmtId="0" fontId="11" fillId="24" borderId="4" xfId="0" applyFont="1" applyFill="1" applyBorder="1" applyAlignment="1">
      <alignment horizontal="center" vertical="center" wrapText="1"/>
    </xf>
    <xf numFmtId="49" fontId="11" fillId="24" borderId="4" xfId="0" applyNumberFormat="1" applyFont="1" applyFill="1" applyBorder="1" applyAlignment="1">
      <alignment horizontal="center" vertical="center" wrapText="1"/>
    </xf>
    <xf numFmtId="0" fontId="3" fillId="25" borderId="0" xfId="0" applyFont="1" applyFill="1"/>
    <xf numFmtId="49" fontId="3" fillId="25" borderId="0" xfId="0" applyNumberFormat="1" applyFont="1" applyFill="1"/>
    <xf numFmtId="166" fontId="3" fillId="25" borderId="0" xfId="0" applyNumberFormat="1" applyFont="1" applyFill="1"/>
    <xf numFmtId="49" fontId="3" fillId="0" borderId="0" xfId="0" applyNumberFormat="1" applyFont="1"/>
    <xf numFmtId="166" fontId="3" fillId="0" borderId="0" xfId="0" applyNumberFormat="1" applyFont="1"/>
    <xf numFmtId="0" fontId="11" fillId="24" borderId="0" xfId="0" applyFont="1" applyFill="1" applyAlignment="1">
      <alignment horizontal="center" vertical="center" wrapText="1"/>
    </xf>
    <xf numFmtId="49" fontId="11" fillId="19" borderId="0" xfId="0" applyNumberFormat="1" applyFont="1" applyFill="1" applyAlignment="1">
      <alignment horizontal="center" vertical="center" wrapText="1"/>
    </xf>
    <xf numFmtId="0" fontId="10" fillId="0" borderId="0" xfId="0" applyFont="1" applyAlignment="1">
      <alignment horizontal="center" vertical="center"/>
    </xf>
    <xf numFmtId="49" fontId="10" fillId="0" borderId="0" xfId="0" applyNumberFormat="1" applyFont="1" applyAlignment="1">
      <alignment horizontal="center" vertical="center"/>
    </xf>
    <xf numFmtId="0" fontId="10" fillId="0" borderId="0" xfId="0" applyFont="1" applyAlignment="1">
      <alignment horizontal="center" wrapText="1"/>
    </xf>
    <xf numFmtId="0" fontId="10" fillId="0" borderId="0" xfId="0" applyFont="1" applyAlignment="1">
      <alignment horizontal="center" vertical="center" wrapText="1"/>
    </xf>
    <xf numFmtId="3" fontId="10" fillId="0" borderId="0" xfId="0" applyNumberFormat="1" applyFont="1" applyAlignment="1">
      <alignment horizontal="center" vertical="center"/>
    </xf>
    <xf numFmtId="49" fontId="36" fillId="19" borderId="4" xfId="0" applyNumberFormat="1" applyFont="1" applyFill="1" applyBorder="1" applyAlignment="1">
      <alignment horizontal="center" vertical="center" wrapText="1"/>
    </xf>
    <xf numFmtId="49" fontId="37" fillId="0" borderId="0" xfId="0" applyNumberFormat="1" applyFont="1" applyAlignment="1">
      <alignment horizontal="center"/>
    </xf>
    <xf numFmtId="0" fontId="37" fillId="0" borderId="0" xfId="0" applyFont="1"/>
    <xf numFmtId="49" fontId="37" fillId="0" borderId="0" xfId="0" applyNumberFormat="1" applyFont="1"/>
    <xf numFmtId="167" fontId="10" fillId="0" borderId="0" xfId="0" applyNumberFormat="1" applyFont="1"/>
    <xf numFmtId="0" fontId="10" fillId="0" borderId="0" xfId="0" applyFont="1" applyAlignment="1">
      <alignment horizontal="center"/>
    </xf>
    <xf numFmtId="0" fontId="10" fillId="0" borderId="0" xfId="0" applyFont="1" applyAlignment="1">
      <alignment horizontal="right" vertical="center"/>
    </xf>
    <xf numFmtId="49" fontId="10" fillId="0" borderId="0" xfId="0" applyNumberFormat="1" applyFont="1" applyAlignment="1">
      <alignment horizontal="center"/>
    </xf>
    <xf numFmtId="49" fontId="10" fillId="0" borderId="0" xfId="0" applyNumberFormat="1" applyFont="1"/>
    <xf numFmtId="10" fontId="10" fillId="0" borderId="0" xfId="0" applyNumberFormat="1" applyFont="1" applyAlignment="1">
      <alignment horizontal="center" vertical="center"/>
    </xf>
    <xf numFmtId="3" fontId="10" fillId="0" borderId="0" xfId="0" applyNumberFormat="1" applyFont="1" applyAlignment="1">
      <alignment horizontal="center" vertical="center" wrapText="1"/>
    </xf>
    <xf numFmtId="0" fontId="35" fillId="0" borderId="0" xfId="0" applyFont="1" applyAlignment="1">
      <alignment horizontal="center" vertical="center"/>
    </xf>
    <xf numFmtId="0" fontId="38" fillId="0" borderId="0" xfId="0" applyFont="1" applyAlignment="1">
      <alignment horizontal="left" vertical="center"/>
    </xf>
    <xf numFmtId="49" fontId="10" fillId="18" borderId="0" xfId="0" applyNumberFormat="1" applyFont="1" applyFill="1" applyAlignment="1">
      <alignment horizontal="center"/>
    </xf>
    <xf numFmtId="0" fontId="10" fillId="18" borderId="0" xfId="0" applyFont="1" applyFill="1"/>
    <xf numFmtId="49" fontId="10" fillId="18" borderId="0" xfId="0" applyNumberFormat="1" applyFont="1" applyFill="1"/>
    <xf numFmtId="167" fontId="10" fillId="18" borderId="0" xfId="0" applyNumberFormat="1" applyFont="1" applyFill="1"/>
    <xf numFmtId="0" fontId="10" fillId="18" borderId="0" xfId="0" applyFont="1" applyFill="1" applyAlignment="1">
      <alignment horizontal="center"/>
    </xf>
    <xf numFmtId="0" fontId="10" fillId="18" borderId="0" xfId="0" applyFont="1" applyFill="1" applyAlignment="1">
      <alignment horizontal="center" vertical="center"/>
    </xf>
    <xf numFmtId="49" fontId="10" fillId="18" borderId="0" xfId="0" applyNumberFormat="1" applyFont="1" applyFill="1" applyAlignment="1">
      <alignment horizontal="center" vertical="center"/>
    </xf>
    <xf numFmtId="3" fontId="10" fillId="18" borderId="0" xfId="0" applyNumberFormat="1" applyFont="1" applyFill="1" applyAlignment="1">
      <alignment horizontal="center" vertical="center"/>
    </xf>
    <xf numFmtId="0" fontId="39" fillId="0" borderId="0" xfId="0" applyFont="1"/>
    <xf numFmtId="0" fontId="39" fillId="0" borderId="0" xfId="0" applyFont="1" applyAlignment="1">
      <alignment horizontal="center"/>
    </xf>
    <xf numFmtId="0" fontId="39" fillId="0" borderId="0" xfId="0" applyFont="1" applyAlignment="1">
      <alignment horizontal="center" vertical="center"/>
    </xf>
    <xf numFmtId="0" fontId="37" fillId="0" borderId="0" xfId="0" applyFont="1" applyAlignment="1">
      <alignment horizontal="center"/>
    </xf>
    <xf numFmtId="0" fontId="37" fillId="0" borderId="0" xfId="0" applyFont="1" applyAlignment="1">
      <alignment horizontal="center" vertical="center"/>
    </xf>
    <xf numFmtId="49" fontId="37" fillId="18" borderId="0" xfId="0" applyNumberFormat="1" applyFont="1" applyFill="1" applyAlignment="1">
      <alignment horizontal="center"/>
    </xf>
    <xf numFmtId="0" fontId="37" fillId="18" borderId="0" xfId="0" applyFont="1" applyFill="1"/>
    <xf numFmtId="49" fontId="37" fillId="18" borderId="0" xfId="0" applyNumberFormat="1" applyFont="1" applyFill="1"/>
    <xf numFmtId="0" fontId="37" fillId="18" borderId="0" xfId="0" applyFont="1" applyFill="1" applyAlignment="1">
      <alignment horizontal="center"/>
    </xf>
    <xf numFmtId="0" fontId="37" fillId="18" borderId="0" xfId="0" applyFont="1" applyFill="1" applyAlignment="1">
      <alignment horizontal="center" vertical="center"/>
    </xf>
    <xf numFmtId="0" fontId="10" fillId="26" borderId="0" xfId="0" applyFont="1" applyFill="1" applyAlignment="1">
      <alignment horizontal="center"/>
    </xf>
    <xf numFmtId="0" fontId="40" fillId="0" borderId="0" xfId="0" applyFont="1"/>
    <xf numFmtId="0" fontId="35" fillId="0" borderId="0" xfId="0" applyFont="1" applyAlignment="1">
      <alignment horizontal="center"/>
    </xf>
    <xf numFmtId="0" fontId="35" fillId="0" borderId="0" xfId="0" applyFont="1"/>
    <xf numFmtId="0" fontId="41" fillId="0" borderId="0" xfId="0" applyFont="1"/>
    <xf numFmtId="0" fontId="42" fillId="0" borderId="0" xfId="0" applyFont="1" applyAlignment="1">
      <alignment horizontal="center"/>
    </xf>
    <xf numFmtId="0" fontId="41" fillId="0" borderId="0" xfId="0" applyFont="1" applyAlignment="1">
      <alignment horizontal="center"/>
    </xf>
    <xf numFmtId="10" fontId="41" fillId="0" borderId="0" xfId="0" applyNumberFormat="1" applyFont="1"/>
    <xf numFmtId="0" fontId="42" fillId="0" borderId="0" xfId="0" applyFont="1"/>
    <xf numFmtId="0" fontId="43" fillId="0" borderId="0" xfId="0" applyFont="1" applyAlignment="1">
      <alignment horizontal="center"/>
    </xf>
    <xf numFmtId="10" fontId="10" fillId="0" borderId="0" xfId="0" applyNumberFormat="1" applyFont="1"/>
    <xf numFmtId="0" fontId="43" fillId="0" borderId="0" xfId="0" applyFont="1"/>
    <xf numFmtId="0" fontId="43" fillId="18" borderId="0" xfId="0" applyFont="1" applyFill="1" applyAlignment="1">
      <alignment horizontal="center"/>
    </xf>
    <xf numFmtId="10" fontId="10" fillId="18" borderId="0" xfId="0" applyNumberFormat="1" applyFont="1" applyFill="1"/>
    <xf numFmtId="0" fontId="43" fillId="18" borderId="0" xfId="0" applyFont="1" applyFill="1"/>
    <xf numFmtId="10" fontId="43" fillId="0" borderId="0" xfId="0" applyNumberFormat="1" applyFont="1"/>
    <xf numFmtId="0" fontId="20" fillId="0" borderId="4" xfId="0" applyFont="1" applyBorder="1"/>
    <xf numFmtId="49" fontId="13" fillId="27" borderId="0" xfId="0" applyNumberFormat="1" applyFont="1" applyFill="1" applyAlignment="1">
      <alignment horizontal="left"/>
    </xf>
    <xf numFmtId="49" fontId="13" fillId="0" borderId="0" xfId="0" applyNumberFormat="1" applyFont="1" applyAlignment="1">
      <alignment horizontal="left"/>
    </xf>
    <xf numFmtId="49" fontId="22" fillId="0" borderId="0" xfId="0" applyNumberFormat="1" applyFont="1" applyAlignment="1">
      <alignment horizontal="left"/>
    </xf>
    <xf numFmtId="49" fontId="22" fillId="0" borderId="0" xfId="0" applyNumberFormat="1" applyFont="1"/>
    <xf numFmtId="0" fontId="14" fillId="7" borderId="2" xfId="0" applyFont="1" applyFill="1" applyBorder="1"/>
    <xf numFmtId="0" fontId="12" fillId="0" borderId="3" xfId="0" applyFont="1" applyBorder="1"/>
    <xf numFmtId="0" fontId="14" fillId="0" borderId="2" xfId="0" applyFont="1" applyBorder="1"/>
    <xf numFmtId="0" fontId="3" fillId="8" borderId="2" xfId="0" applyFont="1" applyFill="1" applyBorder="1"/>
    <xf numFmtId="0" fontId="4" fillId="9" borderId="0" xfId="0" applyFont="1" applyFill="1"/>
    <xf numFmtId="0" fontId="0" fillId="0" borderId="0" xfId="0"/>
    <xf numFmtId="0" fontId="11" fillId="6" borderId="2" xfId="0" applyFont="1" applyFill="1" applyBorder="1" applyAlignment="1">
      <alignment horizontal="center" wrapText="1"/>
    </xf>
    <xf numFmtId="164" fontId="13" fillId="0" borderId="2" xfId="0" applyNumberFormat="1" applyFont="1" applyBorder="1" applyAlignment="1">
      <alignment horizontal="center" wrapText="1"/>
    </xf>
    <xf numFmtId="164" fontId="13" fillId="7" borderId="2" xfId="0" applyNumberFormat="1" applyFont="1" applyFill="1" applyBorder="1" applyAlignment="1">
      <alignment horizontal="center" wrapText="1"/>
    </xf>
    <xf numFmtId="0" fontId="1" fillId="2" borderId="0" xfId="0" applyFont="1" applyFill="1"/>
    <xf numFmtId="0" fontId="2" fillId="3" borderId="0" xfId="0" applyFont="1" applyFill="1"/>
    <xf numFmtId="0" fontId="4" fillId="4" borderId="0" xfId="0" applyFont="1" applyFill="1" applyAlignment="1">
      <alignment horizontal="left"/>
    </xf>
    <xf numFmtId="0" fontId="5" fillId="3" borderId="0" xfId="0" applyFont="1" applyFill="1" applyAlignment="1">
      <alignment horizontal="left"/>
    </xf>
    <xf numFmtId="3" fontId="6" fillId="3" borderId="0" xfId="0" applyNumberFormat="1" applyFont="1" applyFill="1" applyAlignment="1">
      <alignment horizontal="left"/>
    </xf>
    <xf numFmtId="164" fontId="7" fillId="3" borderId="0" xfId="0" applyNumberFormat="1" applyFont="1" applyFill="1" applyAlignment="1">
      <alignment horizontal="left"/>
    </xf>
    <xf numFmtId="3" fontId="8" fillId="3" borderId="0" xfId="0" applyNumberFormat="1" applyFont="1" applyFill="1" applyAlignment="1">
      <alignment horizontal="left"/>
    </xf>
    <xf numFmtId="3" fontId="9" fillId="3" borderId="0" xfId="0" applyNumberFormat="1" applyFont="1" applyFill="1" applyAlignment="1">
      <alignment horizontal="left"/>
    </xf>
    <xf numFmtId="0" fontId="2" fillId="3" borderId="0" xfId="0" applyFont="1" applyFill="1" applyAlignment="1">
      <alignment horizontal="left"/>
    </xf>
    <xf numFmtId="0" fontId="4" fillId="5" borderId="0" xfId="0" applyFont="1" applyFill="1"/>
    <xf numFmtId="164" fontId="15" fillId="10" borderId="2" xfId="0" applyNumberFormat="1" applyFont="1" applyFill="1" applyBorder="1" applyAlignment="1">
      <alignment horizontal="center" wrapText="1"/>
    </xf>
    <xf numFmtId="0" fontId="4" fillId="11" borderId="0" xfId="0" applyFont="1" applyFill="1"/>
    <xf numFmtId="0" fontId="4" fillId="4" borderId="0" xfId="0" applyFont="1" applyFill="1"/>
    <xf numFmtId="0" fontId="27" fillId="0" borderId="0" xfId="0" applyFont="1" applyAlignment="1">
      <alignment vertical="center" wrapText="1"/>
    </xf>
    <xf numFmtId="0" fontId="24" fillId="0" borderId="0" xfId="0" applyFont="1" applyAlignment="1">
      <alignment horizontal="left" vertical="center" wrapText="1"/>
    </xf>
    <xf numFmtId="0" fontId="27" fillId="0" borderId="0" xfId="0" applyFont="1" applyAlignment="1">
      <alignment horizontal="left" vertical="center" wrapText="1"/>
    </xf>
    <xf numFmtId="0" fontId="3" fillId="0" borderId="0" xfId="0" applyFont="1" applyAlignment="1">
      <alignment horizontal="center" vertical="center"/>
    </xf>
    <xf numFmtId="0" fontId="0" fillId="0" borderId="6" xfId="0" pivotButton="1" applyBorder="1"/>
    <xf numFmtId="0" fontId="0" fillId="0" borderId="7" xfId="0" pivotButton="1" applyBorder="1"/>
    <xf numFmtId="0" fontId="0" fillId="0" borderId="8" xfId="0" applyBorder="1"/>
    <xf numFmtId="0" fontId="0" fillId="0" borderId="9" xfId="0" applyBorder="1"/>
    <xf numFmtId="0" fontId="0" fillId="0" borderId="10" xfId="0" applyBorder="1"/>
    <xf numFmtId="0" fontId="0" fillId="0" borderId="10" xfId="0" pivotButton="1" applyBorder="1"/>
    <xf numFmtId="0" fontId="0" fillId="0" borderId="11" xfId="0" applyBorder="1"/>
    <xf numFmtId="0" fontId="0" fillId="0" borderId="12" xfId="0" applyBorder="1"/>
    <xf numFmtId="0" fontId="0" fillId="0" borderId="6" xfId="0" applyBorder="1"/>
    <xf numFmtId="0" fontId="0" fillId="0" borderId="13" xfId="0" applyBorder="1"/>
    <xf numFmtId="0" fontId="0" fillId="0" borderId="14" xfId="0" applyBorder="1"/>
    <xf numFmtId="0" fontId="0" fillId="0" borderId="6" xfId="0" applyNumberFormat="1" applyBorder="1"/>
    <xf numFmtId="0" fontId="0" fillId="0" borderId="13" xfId="0" applyNumberFormat="1" applyBorder="1"/>
    <xf numFmtId="0" fontId="0" fillId="0" borderId="14" xfId="0" applyNumberFormat="1" applyBorder="1"/>
    <xf numFmtId="0" fontId="0" fillId="0" borderId="15" xfId="0" applyBorder="1"/>
    <xf numFmtId="0" fontId="0" fillId="0" borderId="15" xfId="0" applyNumberFormat="1" applyBorder="1"/>
    <xf numFmtId="0" fontId="0" fillId="0" borderId="0" xfId="0" applyNumberFormat="1"/>
    <xf numFmtId="0" fontId="0" fillId="0" borderId="16" xfId="0" applyNumberFormat="1" applyBorder="1"/>
    <xf numFmtId="0" fontId="0" fillId="0" borderId="9" xfId="0" applyNumberFormat="1" applyBorder="1"/>
    <xf numFmtId="0" fontId="0" fillId="0" borderId="17" xfId="0" applyNumberFormat="1" applyBorder="1"/>
    <xf numFmtId="0" fontId="0" fillId="0" borderId="18" xfId="0" applyNumberFormat="1" applyBorder="1"/>
  </cellXfs>
  <cellStyles count="1">
    <cellStyle name="Normal" xfId="0" builtinId="0"/>
  </cellStyles>
  <dxfs count="6">
    <dxf>
      <fill>
        <patternFill patternType="solid">
          <fgColor rgb="FFEFEFEF"/>
          <bgColor rgb="FFEFEFEF"/>
        </patternFill>
      </fill>
    </dxf>
    <dxf>
      <fill>
        <patternFill patternType="solid">
          <fgColor rgb="FFFF0000"/>
          <bgColor rgb="FFFF0000"/>
        </patternFill>
      </fill>
    </dxf>
    <dxf>
      <fill>
        <patternFill patternType="solid">
          <fgColor rgb="FFF4CCCC"/>
          <bgColor rgb="FFF4CCCC"/>
        </patternFill>
      </fill>
    </dxf>
    <dxf>
      <fill>
        <patternFill patternType="solid">
          <fgColor rgb="FFFFF2CC"/>
          <bgColor rgb="FFFFF2CC"/>
        </patternFill>
      </fill>
    </dxf>
    <dxf>
      <fill>
        <patternFill patternType="solid">
          <fgColor rgb="FFEFEFEF"/>
          <bgColor rgb="FFEFEFEF"/>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0"/>
          <c:y val="0"/>
          <c:w val="1"/>
          <c:h val="0.99460916442048519"/>
        </c:manualLayout>
      </c:layout>
      <c:pie3DChart>
        <c:varyColors val="1"/>
        <c:ser>
          <c:idx val="0"/>
          <c:order val="0"/>
          <c:tx>
            <c:strRef>
              <c:f>DASHBOARD!$B$22:$B$23</c:f>
              <c:strCache>
                <c:ptCount val="2"/>
                <c:pt idx="0">
                  <c:v>  ▎  SECTION 3 — WHY STUDENTS GO INACTIVE</c:v>
                </c:pt>
                <c:pt idx="1">
                  <c:v>Count</c:v>
                </c:pt>
              </c:strCache>
            </c:strRef>
          </c:tx>
          <c:dPt>
            <c:idx val="0"/>
            <c:bubble3D val="0"/>
            <c:spPr>
              <a:solidFill>
                <a:srgbClr val="013C58"/>
              </a:solidFill>
            </c:spPr>
            <c:extLst>
              <c:ext xmlns:c16="http://schemas.microsoft.com/office/drawing/2014/chart" uri="{C3380CC4-5D6E-409C-BE32-E72D297353CC}">
                <c16:uniqueId val="{00000001-89B1-45F9-BBA2-828E444A7DD1}"/>
              </c:ext>
            </c:extLst>
          </c:dPt>
          <c:dPt>
            <c:idx val="1"/>
            <c:bubble3D val="0"/>
            <c:spPr>
              <a:solidFill>
                <a:srgbClr val="A8E8F9"/>
              </a:solidFill>
            </c:spPr>
            <c:extLst>
              <c:ext xmlns:c16="http://schemas.microsoft.com/office/drawing/2014/chart" uri="{C3380CC4-5D6E-409C-BE32-E72D297353CC}">
                <c16:uniqueId val="{00000003-89B1-45F9-BBA2-828E444A7DD1}"/>
              </c:ext>
            </c:extLst>
          </c:dPt>
          <c:dPt>
            <c:idx val="2"/>
            <c:bubble3D val="0"/>
            <c:spPr>
              <a:solidFill>
                <a:srgbClr val="9BBB59"/>
              </a:solidFill>
            </c:spPr>
            <c:extLst>
              <c:ext xmlns:c16="http://schemas.microsoft.com/office/drawing/2014/chart" uri="{C3380CC4-5D6E-409C-BE32-E72D297353CC}">
                <c16:uniqueId val="{00000005-89B1-45F9-BBA2-828E444A7DD1}"/>
              </c:ext>
            </c:extLst>
          </c:dPt>
          <c:dPt>
            <c:idx val="3"/>
            <c:bubble3D val="0"/>
            <c:spPr>
              <a:solidFill>
                <a:srgbClr val="8064A2"/>
              </a:solidFill>
            </c:spPr>
            <c:extLst>
              <c:ext xmlns:c16="http://schemas.microsoft.com/office/drawing/2014/chart" uri="{C3380CC4-5D6E-409C-BE32-E72D297353CC}">
                <c16:uniqueId val="{00000007-89B1-45F9-BBA2-828E444A7DD1}"/>
              </c:ext>
            </c:extLst>
          </c:dPt>
          <c:dPt>
            <c:idx val="4"/>
            <c:bubble3D val="0"/>
            <c:spPr>
              <a:solidFill>
                <a:srgbClr val="4BACC6"/>
              </a:solidFill>
            </c:spPr>
            <c:extLst>
              <c:ext xmlns:c16="http://schemas.microsoft.com/office/drawing/2014/chart" uri="{C3380CC4-5D6E-409C-BE32-E72D297353CC}">
                <c16:uniqueId val="{00000009-89B1-45F9-BBA2-828E444A7DD1}"/>
              </c:ext>
            </c:extLst>
          </c:dPt>
          <c:dPt>
            <c:idx val="5"/>
            <c:bubble3D val="0"/>
            <c:spPr>
              <a:solidFill>
                <a:srgbClr val="F79646"/>
              </a:solidFill>
            </c:spPr>
            <c:extLst>
              <c:ext xmlns:c16="http://schemas.microsoft.com/office/drawing/2014/chart" uri="{C3380CC4-5D6E-409C-BE32-E72D297353CC}">
                <c16:uniqueId val="{0000000B-89B1-45F9-BBA2-828E444A7DD1}"/>
              </c:ext>
            </c:extLst>
          </c:dPt>
          <c:dLbls>
            <c:dLbl>
              <c:idx val="0"/>
              <c:spPr/>
              <c:txPr>
                <a:bodyPr/>
                <a:lstStyle/>
                <a:p>
                  <a:pPr lvl="0">
                    <a:defRPr>
                      <a:solidFill>
                        <a:srgbClr val="FFFFFF"/>
                      </a:solidFill>
                    </a:defRPr>
                  </a:pPr>
                  <a:endParaRPr lang="vi-VN"/>
                </a:p>
              </c:txPr>
              <c:showLegendKey val="0"/>
              <c:showVal val="0"/>
              <c:showCatName val="0"/>
              <c:showSerName val="0"/>
              <c:showPercent val="1"/>
              <c:showBubbleSize val="0"/>
              <c:extLst>
                <c:ext xmlns:c16="http://schemas.microsoft.com/office/drawing/2014/chart" uri="{C3380CC4-5D6E-409C-BE32-E72D297353CC}">
                  <c16:uniqueId val="{00000001-89B1-45F9-BBA2-828E444A7DD1}"/>
                </c:ext>
              </c:extLst>
            </c:dLbl>
            <c:dLbl>
              <c:idx val="1"/>
              <c:spPr/>
              <c:txPr>
                <a:bodyPr/>
                <a:lstStyle/>
                <a:p>
                  <a:pPr lvl="0">
                    <a:defRPr>
                      <a:solidFill>
                        <a:srgbClr val="000000"/>
                      </a:solidFill>
                    </a:defRPr>
                  </a:pPr>
                  <a:endParaRPr lang="vi-VN"/>
                </a:p>
              </c:txPr>
              <c:showLegendKey val="0"/>
              <c:showVal val="0"/>
              <c:showCatName val="0"/>
              <c:showSerName val="0"/>
              <c:showPercent val="1"/>
              <c:showBubbleSize val="0"/>
              <c:extLst>
                <c:ext xmlns:c16="http://schemas.microsoft.com/office/drawing/2014/chart" uri="{C3380CC4-5D6E-409C-BE32-E72D297353CC}">
                  <c16:uniqueId val="{00000003-89B1-45F9-BBA2-828E444A7DD1}"/>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DASHBOARD!$A$24:$A$29</c:f>
              <c:strCache>
                <c:ptCount val="6"/>
                <c:pt idx="0">
                  <c:v>High workload</c:v>
                </c:pt>
                <c:pt idx="1">
                  <c:v>Prefer different learning format</c:v>
                </c:pt>
                <c:pt idx="2">
                  <c:v>Learning goal achieved</c:v>
                </c:pt>
                <c:pt idx="3">
                  <c:v>Team restructuring</c:v>
                </c:pt>
                <c:pt idx="4">
                  <c:v>Maternity leave</c:v>
                </c:pt>
                <c:pt idx="5">
                  <c:v>Resign</c:v>
                </c:pt>
              </c:strCache>
            </c:strRef>
          </c:cat>
          <c:val>
            <c:numRef>
              <c:f>DASHBOARD!$B$24:$B$29</c:f>
              <c:numCache>
                <c:formatCode>#,##0;\(#,##0\);\-</c:formatCode>
                <c:ptCount val="6"/>
                <c:pt idx="0">
                  <c:v>101</c:v>
                </c:pt>
                <c:pt idx="1">
                  <c:v>21</c:v>
                </c:pt>
                <c:pt idx="2">
                  <c:v>33</c:v>
                </c:pt>
                <c:pt idx="3">
                  <c:v>5</c:v>
                </c:pt>
                <c:pt idx="4">
                  <c:v>3</c:v>
                </c:pt>
                <c:pt idx="5">
                  <c:v>16</c:v>
                </c:pt>
              </c:numCache>
            </c:numRef>
          </c:val>
          <c:extLst>
            <c:ext xmlns:c16="http://schemas.microsoft.com/office/drawing/2014/chart" uri="{C3380CC4-5D6E-409C-BE32-E72D297353CC}">
              <c16:uniqueId val="{0000000C-89B1-45F9-BBA2-828E444A7DD1}"/>
            </c:ext>
          </c:extLst>
        </c:ser>
        <c:dLbls>
          <c:showLegendKey val="0"/>
          <c:showVal val="0"/>
          <c:showCatName val="0"/>
          <c:showSerName val="0"/>
          <c:showPercent val="0"/>
          <c:showBubbleSize val="0"/>
          <c:showLeaderLines val="1"/>
        </c:dLbls>
      </c:pie3DChart>
    </c:plotArea>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sheet2!$AA$3</c:f>
              <c:strCache>
                <c:ptCount val="1"/>
                <c:pt idx="0">
                  <c:v>BA, BC</c:v>
                </c:pt>
              </c:strCache>
            </c:strRef>
          </c:tx>
          <c:spPr>
            <a:solidFill>
              <a:srgbClr val="264653"/>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sheet2!$AB$3:$AH$3</c:f>
              <c:numCache>
                <c:formatCode>General</c:formatCode>
                <c:ptCount val="7"/>
                <c:pt idx="2">
                  <c:v>4</c:v>
                </c:pt>
                <c:pt idx="3">
                  <c:v>2</c:v>
                </c:pt>
                <c:pt idx="5">
                  <c:v>1</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C6-45C1-AE4D-C7C1059D1F11}"/>
            </c:ext>
          </c:extLst>
        </c:ser>
        <c:ser>
          <c:idx val="1"/>
          <c:order val="1"/>
          <c:tx>
            <c:strRef>
              <c:f>sheet2!$AA$4</c:f>
              <c:strCache>
                <c:ptCount val="1"/>
                <c:pt idx="0">
                  <c:v>DEV, TA</c:v>
                </c:pt>
              </c:strCache>
            </c:strRef>
          </c:tx>
          <c:spPr>
            <a:solidFill>
              <a:srgbClr val="287271"/>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sheet2!$AB$4:$AH$4</c:f>
              <c:numCache>
                <c:formatCode>General</c:formatCode>
                <c:ptCount val="7"/>
                <c:pt idx="1">
                  <c:v>36</c:v>
                </c:pt>
                <c:pt idx="2">
                  <c:v>19</c:v>
                </c:pt>
                <c:pt idx="3">
                  <c:v>42</c:v>
                </c:pt>
                <c:pt idx="4">
                  <c:v>42</c:v>
                </c:pt>
                <c:pt idx="5">
                  <c:v>5</c:v>
                </c:pt>
                <c:pt idx="6">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1C6-45C1-AE4D-C7C1059D1F11}"/>
            </c:ext>
          </c:extLst>
        </c:ser>
        <c:ser>
          <c:idx val="2"/>
          <c:order val="2"/>
          <c:tx>
            <c:strRef>
              <c:f>sheet2!$AA$5</c:f>
              <c:strCache>
                <c:ptCount val="1"/>
                <c:pt idx="0">
                  <c:v>GSD</c:v>
                </c:pt>
              </c:strCache>
            </c:strRef>
          </c:tx>
          <c:spPr>
            <a:solidFill>
              <a:srgbClr val="2A9D8F"/>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sheet2!$AB$5:$AH$5</c:f>
              <c:numCache>
                <c:formatCode>General</c:formatCode>
                <c:ptCount val="7"/>
                <c:pt idx="1">
                  <c:v>1</c:v>
                </c:pt>
                <c:pt idx="2">
                  <c:v>20</c:v>
                </c:pt>
                <c:pt idx="3">
                  <c:v>7</c:v>
                </c:pt>
                <c:pt idx="4">
                  <c:v>2</c:v>
                </c:pt>
                <c:pt idx="5">
                  <c:v>16</c:v>
                </c:pt>
                <c:pt idx="6">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1C6-45C1-AE4D-C7C1059D1F11}"/>
            </c:ext>
          </c:extLst>
        </c:ser>
        <c:ser>
          <c:idx val="3"/>
          <c:order val="3"/>
          <c:tx>
            <c:strRef>
              <c:f>sheet2!$AA$6</c:f>
              <c:strCache>
                <c:ptCount val="1"/>
                <c:pt idx="0">
                  <c:v>HR, GA, Mgt</c:v>
                </c:pt>
              </c:strCache>
            </c:strRef>
          </c:tx>
          <c:spPr>
            <a:solidFill>
              <a:srgbClr val="8AB17D"/>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sheet2!$AB$6:$AH$6</c:f>
              <c:numCache>
                <c:formatCode>General</c:formatCode>
                <c:ptCount val="7"/>
                <c:pt idx="0">
                  <c:v>7</c:v>
                </c:pt>
                <c:pt idx="1">
                  <c:v>1</c:v>
                </c:pt>
                <c:pt idx="2">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1C6-45C1-AE4D-C7C1059D1F11}"/>
            </c:ext>
          </c:extLst>
        </c:ser>
        <c:ser>
          <c:idx val="4"/>
          <c:order val="4"/>
          <c:tx>
            <c:strRef>
              <c:f>sheet2!$AA$7</c:f>
              <c:strCache>
                <c:ptCount val="1"/>
                <c:pt idx="0">
                  <c:v>PPO, SM, IM </c:v>
                </c:pt>
              </c:strCache>
            </c:strRef>
          </c:tx>
          <c:spPr>
            <a:solidFill>
              <a:srgbClr val="E9C46A"/>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sheet2!$AB$7:$AH$7</c:f>
              <c:numCache>
                <c:formatCode>General</c:formatCode>
                <c:ptCount val="7"/>
                <c:pt idx="1">
                  <c:v>6</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1C6-45C1-AE4D-C7C1059D1F11}"/>
            </c:ext>
          </c:extLst>
        </c:ser>
        <c:ser>
          <c:idx val="5"/>
          <c:order val="5"/>
          <c:tx>
            <c:strRef>
              <c:f>sheet2!$AA$8</c:f>
              <c:strCache>
                <c:ptCount val="1"/>
                <c:pt idx="0">
                  <c:v>QC</c:v>
                </c:pt>
              </c:strCache>
            </c:strRef>
          </c:tx>
          <c:spPr>
            <a:solidFill>
              <a:srgbClr val="F4A261"/>
            </a:solidFill>
            <a:ln cmpd="sng">
              <a:solidFill>
                <a:srgbClr val="000000"/>
              </a:solidFill>
            </a:ln>
          </c:spPr>
          <c:invertIfNegative val="1"/>
          <c:dPt>
            <c:idx val="5"/>
            <c:invertIfNegative val="1"/>
            <c:bubble3D val="0"/>
            <c:extLst>
              <c:ext xmlns:c16="http://schemas.microsoft.com/office/drawing/2014/chart" uri="{C3380CC4-5D6E-409C-BE32-E72D297353CC}">
                <c16:uniqueId val="{00000005-71C6-45C1-AE4D-C7C1059D1F11}"/>
              </c:ext>
            </c:extLst>
          </c:dPt>
          <c:cat>
            <c:strRef>
              <c:f>sheet2!$AB$2:$AH$2</c:f>
              <c:strCache>
                <c:ptCount val="7"/>
                <c:pt idx="0">
                  <c:v>BSG</c:v>
                </c:pt>
                <c:pt idx="1">
                  <c:v>CHORUS</c:v>
                </c:pt>
                <c:pt idx="2">
                  <c:v>LBU</c:v>
                </c:pt>
                <c:pt idx="3">
                  <c:v>MOC</c:v>
                </c:pt>
                <c:pt idx="4">
                  <c:v>ONC</c:v>
                </c:pt>
                <c:pt idx="5">
                  <c:v>POC</c:v>
                </c:pt>
                <c:pt idx="6">
                  <c:v>TBU</c:v>
                </c:pt>
              </c:strCache>
            </c:strRef>
          </c:cat>
          <c:val>
            <c:numRef>
              <c:f>sheet2!$AB$8:$AH$8</c:f>
              <c:numCache>
                <c:formatCode>General</c:formatCode>
                <c:ptCount val="7"/>
                <c:pt idx="1">
                  <c:v>11</c:v>
                </c:pt>
                <c:pt idx="2">
                  <c:v>12</c:v>
                </c:pt>
                <c:pt idx="3">
                  <c:v>6</c:v>
                </c:pt>
                <c:pt idx="4">
                  <c:v>10</c:v>
                </c:pt>
                <c:pt idx="5">
                  <c:v>6</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1C6-45C1-AE4D-C7C1059D1F11}"/>
            </c:ext>
          </c:extLst>
        </c:ser>
        <c:ser>
          <c:idx val="6"/>
          <c:order val="6"/>
          <c:tx>
            <c:strRef>
              <c:f>sheet2!$AA$9</c:f>
              <c:strCache>
                <c:ptCount val="1"/>
                <c:pt idx="0">
                  <c:v>UI/UX, Des</c:v>
                </c:pt>
              </c:strCache>
            </c:strRef>
          </c:tx>
          <c:spPr>
            <a:solidFill>
              <a:srgbClr val="E76F51"/>
            </a:solidFill>
            <a:ln cmpd="sng">
              <a:solidFill>
                <a:srgbClr val="000000"/>
              </a:solidFill>
            </a:ln>
          </c:spPr>
          <c:invertIfNegative val="1"/>
          <c:cat>
            <c:strRef>
              <c:f>sheet2!$AB$2:$AH$2</c:f>
              <c:strCache>
                <c:ptCount val="7"/>
                <c:pt idx="0">
                  <c:v>BSG</c:v>
                </c:pt>
                <c:pt idx="1">
                  <c:v>CHORUS</c:v>
                </c:pt>
                <c:pt idx="2">
                  <c:v>LBU</c:v>
                </c:pt>
                <c:pt idx="3">
                  <c:v>MOC</c:v>
                </c:pt>
                <c:pt idx="4">
                  <c:v>ONC</c:v>
                </c:pt>
                <c:pt idx="5">
                  <c:v>POC</c:v>
                </c:pt>
                <c:pt idx="6">
                  <c:v>TBU</c:v>
                </c:pt>
              </c:strCache>
            </c:strRef>
          </c:cat>
          <c:val>
            <c:numRef>
              <c:f>sheet2!$AB$9:$AH$9</c:f>
              <c:numCache>
                <c:formatCode>General</c:formatCode>
                <c:ptCount val="7"/>
                <c:pt idx="1">
                  <c:v>6</c:v>
                </c:pt>
                <c:pt idx="2">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71C6-45C1-AE4D-C7C1059D1F11}"/>
            </c:ext>
          </c:extLst>
        </c:ser>
        <c:dLbls>
          <c:showLegendKey val="0"/>
          <c:showVal val="0"/>
          <c:showCatName val="0"/>
          <c:showSerName val="0"/>
          <c:showPercent val="0"/>
          <c:showBubbleSize val="0"/>
        </c:dLbls>
        <c:gapWidth val="150"/>
        <c:overlap val="100"/>
        <c:axId val="1882017839"/>
        <c:axId val="40776401"/>
      </c:barChart>
      <c:catAx>
        <c:axId val="1882017839"/>
        <c:scaling>
          <c:orientation val="minMax"/>
        </c:scaling>
        <c:delete val="0"/>
        <c:axPos val="b"/>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40776401"/>
        <c:crosses val="autoZero"/>
        <c:auto val="1"/>
        <c:lblAlgn val="ctr"/>
        <c:lblOffset val="100"/>
        <c:noMultiLvlLbl val="1"/>
      </c:catAx>
      <c:valAx>
        <c:axId val="40776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vi-VN"/>
          </a:p>
        </c:txPr>
        <c:crossAx val="1882017839"/>
        <c:crosses val="autoZero"/>
        <c:crossBetween val="between"/>
      </c:valAx>
    </c:plotArea>
    <c:legend>
      <c:legendPos val="b"/>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sheet2!$AS$3</c:f>
              <c:strCache>
                <c:ptCount val="1"/>
                <c:pt idx="0">
                  <c:v>DEV, TA</c:v>
                </c:pt>
              </c:strCache>
            </c:strRef>
          </c:tx>
          <c:spPr>
            <a:solidFill>
              <a:srgbClr val="264653"/>
            </a:solidFill>
            <a:ln cmpd="sng">
              <a:solidFill>
                <a:srgbClr val="000000"/>
              </a:solidFill>
            </a:ln>
          </c:spPr>
          <c:invertIfNegative val="1"/>
          <c:cat>
            <c:strRef>
              <c:f>sheet2!$AT$2:$AZ$2</c:f>
              <c:strCache>
                <c:ptCount val="6"/>
                <c:pt idx="0">
                  <c:v>CHORUS</c:v>
                </c:pt>
                <c:pt idx="1">
                  <c:v>LBU</c:v>
                </c:pt>
                <c:pt idx="2">
                  <c:v>MOC</c:v>
                </c:pt>
                <c:pt idx="3">
                  <c:v>ONC</c:v>
                </c:pt>
                <c:pt idx="4">
                  <c:v>POC</c:v>
                </c:pt>
                <c:pt idx="5">
                  <c:v>TBU</c:v>
                </c:pt>
              </c:strCache>
            </c:strRef>
          </c:cat>
          <c:val>
            <c:numRef>
              <c:f>sheet2!$AT$3:$AZ$3</c:f>
              <c:numCache>
                <c:formatCode>General</c:formatCode>
                <c:ptCount val="7"/>
                <c:pt idx="0">
                  <c:v>4</c:v>
                </c:pt>
                <c:pt idx="1">
                  <c:v>3</c:v>
                </c:pt>
                <c:pt idx="2">
                  <c:v>9</c:v>
                </c:pt>
                <c:pt idx="3">
                  <c:v>12</c:v>
                </c:pt>
                <c:pt idx="4">
                  <c:v>2</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7B-41E0-9005-E04505F4EEB8}"/>
            </c:ext>
          </c:extLst>
        </c:ser>
        <c:ser>
          <c:idx val="1"/>
          <c:order val="1"/>
          <c:tx>
            <c:strRef>
              <c:f>sheet2!$AS$4</c:f>
              <c:strCache>
                <c:ptCount val="1"/>
                <c:pt idx="0">
                  <c:v>GSD</c:v>
                </c:pt>
              </c:strCache>
            </c:strRef>
          </c:tx>
          <c:spPr>
            <a:solidFill>
              <a:srgbClr val="287271"/>
            </a:solidFill>
            <a:ln cmpd="sng">
              <a:solidFill>
                <a:srgbClr val="000000"/>
              </a:solidFill>
            </a:ln>
          </c:spPr>
          <c:invertIfNegative val="1"/>
          <c:cat>
            <c:strRef>
              <c:f>sheet2!$AT$2:$AZ$2</c:f>
              <c:strCache>
                <c:ptCount val="6"/>
                <c:pt idx="0">
                  <c:v>CHORUS</c:v>
                </c:pt>
                <c:pt idx="1">
                  <c:v>LBU</c:v>
                </c:pt>
                <c:pt idx="2">
                  <c:v>MOC</c:v>
                </c:pt>
                <c:pt idx="3">
                  <c:v>ONC</c:v>
                </c:pt>
                <c:pt idx="4">
                  <c:v>POC</c:v>
                </c:pt>
                <c:pt idx="5">
                  <c:v>TBU</c:v>
                </c:pt>
              </c:strCache>
            </c:strRef>
          </c:cat>
          <c:val>
            <c:numRef>
              <c:f>sheet2!$AT$4:$AZ$4</c:f>
              <c:numCache>
                <c:formatCode>General</c:formatCode>
                <c:ptCount val="7"/>
                <c:pt idx="1">
                  <c:v>2</c:v>
                </c:pt>
                <c:pt idx="2">
                  <c:v>2</c:v>
                </c:pt>
                <c:pt idx="4">
                  <c:v>5</c:v>
                </c:pt>
                <c:pt idx="5">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E7B-41E0-9005-E04505F4EEB8}"/>
            </c:ext>
          </c:extLst>
        </c:ser>
        <c:ser>
          <c:idx val="2"/>
          <c:order val="2"/>
          <c:tx>
            <c:strRef>
              <c:f>sheet2!$AS$5</c:f>
              <c:strCache>
                <c:ptCount val="1"/>
                <c:pt idx="0">
                  <c:v>QC</c:v>
                </c:pt>
              </c:strCache>
            </c:strRef>
          </c:tx>
          <c:spPr>
            <a:solidFill>
              <a:srgbClr val="2A9D8F"/>
            </a:solidFill>
            <a:ln cmpd="sng">
              <a:solidFill>
                <a:srgbClr val="000000"/>
              </a:solidFill>
            </a:ln>
          </c:spPr>
          <c:invertIfNegative val="1"/>
          <c:cat>
            <c:strRef>
              <c:f>sheet2!$AT$2:$AZ$2</c:f>
              <c:strCache>
                <c:ptCount val="6"/>
                <c:pt idx="0">
                  <c:v>CHORUS</c:v>
                </c:pt>
                <c:pt idx="1">
                  <c:v>LBU</c:v>
                </c:pt>
                <c:pt idx="2">
                  <c:v>MOC</c:v>
                </c:pt>
                <c:pt idx="3">
                  <c:v>ONC</c:v>
                </c:pt>
                <c:pt idx="4">
                  <c:v>POC</c:v>
                </c:pt>
                <c:pt idx="5">
                  <c:v>TBU</c:v>
                </c:pt>
              </c:strCache>
            </c:strRef>
          </c:cat>
          <c:val>
            <c:numRef>
              <c:f>sheet2!$AT$5:$AZ$5</c:f>
              <c:numCache>
                <c:formatCode>General</c:formatCode>
                <c:ptCount val="7"/>
                <c:pt idx="1">
                  <c:v>1</c:v>
                </c:pt>
                <c:pt idx="3">
                  <c:v>3</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7B-41E0-9005-E04505F4EEB8}"/>
            </c:ext>
          </c:extLst>
        </c:ser>
        <c:ser>
          <c:idx val="3"/>
          <c:order val="3"/>
          <c:tx>
            <c:strRef>
              <c:f>sheet2!$AS$6</c:f>
              <c:strCache>
                <c:ptCount val="1"/>
                <c:pt idx="0">
                  <c:v>UI/UX, Des</c:v>
                </c:pt>
              </c:strCache>
            </c:strRef>
          </c:tx>
          <c:spPr>
            <a:solidFill>
              <a:srgbClr val="8AB17D"/>
            </a:solidFill>
            <a:ln cmpd="sng">
              <a:solidFill>
                <a:srgbClr val="000000"/>
              </a:solidFill>
            </a:ln>
          </c:spPr>
          <c:invertIfNegative val="1"/>
          <c:cat>
            <c:strRef>
              <c:f>sheet2!$AT$2:$AZ$2</c:f>
              <c:strCache>
                <c:ptCount val="6"/>
                <c:pt idx="0">
                  <c:v>CHORUS</c:v>
                </c:pt>
                <c:pt idx="1">
                  <c:v>LBU</c:v>
                </c:pt>
                <c:pt idx="2">
                  <c:v>MOC</c:v>
                </c:pt>
                <c:pt idx="3">
                  <c:v>ONC</c:v>
                </c:pt>
                <c:pt idx="4">
                  <c:v>POC</c:v>
                </c:pt>
                <c:pt idx="5">
                  <c:v>TBU</c:v>
                </c:pt>
              </c:strCache>
            </c:strRef>
          </c:cat>
          <c:val>
            <c:numRef>
              <c:f>sheet2!$AT$6:$AZ$6</c:f>
              <c:numCache>
                <c:formatCode>General</c:formatCode>
                <c:ptCount val="7"/>
                <c:pt idx="1">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E7B-41E0-9005-E04505F4EEB8}"/>
            </c:ext>
          </c:extLst>
        </c:ser>
        <c:ser>
          <c:idx val="4"/>
          <c:order val="4"/>
          <c:tx>
            <c:strRef>
              <c:f>sheet2!$AS$7</c:f>
              <c:strCache>
                <c:ptCount val="1"/>
                <c:pt idx="0">
                  <c:v>Grand Total</c:v>
                </c:pt>
              </c:strCache>
            </c:strRef>
          </c:tx>
          <c:spPr>
            <a:solidFill>
              <a:srgbClr val="E9C46A"/>
            </a:solidFill>
            <a:ln cmpd="sng">
              <a:solidFill>
                <a:srgbClr val="000000"/>
              </a:solidFill>
            </a:ln>
          </c:spPr>
          <c:invertIfNegative val="1"/>
          <c:cat>
            <c:strRef>
              <c:f>sheet2!$AT$2:$AZ$2</c:f>
              <c:strCache>
                <c:ptCount val="6"/>
                <c:pt idx="0">
                  <c:v>CHORUS</c:v>
                </c:pt>
                <c:pt idx="1">
                  <c:v>LBU</c:v>
                </c:pt>
                <c:pt idx="2">
                  <c:v>MOC</c:v>
                </c:pt>
                <c:pt idx="3">
                  <c:v>ONC</c:v>
                </c:pt>
                <c:pt idx="4">
                  <c:v>POC</c:v>
                </c:pt>
                <c:pt idx="5">
                  <c:v>TBU</c:v>
                </c:pt>
              </c:strCache>
            </c:strRef>
          </c:cat>
          <c:val>
            <c:numRef>
              <c:f>sheet2!$AT$7:$AZ$7</c:f>
              <c:numCache>
                <c:formatCode>General</c:formatCode>
                <c:ptCount val="7"/>
                <c:pt idx="0">
                  <c:v>4</c:v>
                </c:pt>
                <c:pt idx="1">
                  <c:v>8</c:v>
                </c:pt>
                <c:pt idx="2">
                  <c:v>11</c:v>
                </c:pt>
                <c:pt idx="3">
                  <c:v>15</c:v>
                </c:pt>
                <c:pt idx="4">
                  <c:v>8</c:v>
                </c:pt>
                <c:pt idx="5">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E7B-41E0-9005-E04505F4EEB8}"/>
            </c:ext>
          </c:extLst>
        </c:ser>
        <c:ser>
          <c:idx val="5"/>
          <c:order val="5"/>
          <c:tx>
            <c:strRef>
              <c:f>sheet2!$AS$8</c:f>
              <c:strCache>
                <c:ptCount val="1"/>
              </c:strCache>
            </c:strRef>
          </c:tx>
          <c:spPr>
            <a:solidFill>
              <a:srgbClr val="F4A261"/>
            </a:solidFill>
            <a:ln cmpd="sng">
              <a:solidFill>
                <a:srgbClr val="000000"/>
              </a:solidFill>
            </a:ln>
          </c:spPr>
          <c:invertIfNegative val="1"/>
          <c:dPt>
            <c:idx val="5"/>
            <c:invertIfNegative val="1"/>
            <c:bubble3D val="0"/>
            <c:extLst>
              <c:ext xmlns:c16="http://schemas.microsoft.com/office/drawing/2014/chart" uri="{C3380CC4-5D6E-409C-BE32-E72D297353CC}">
                <c16:uniqueId val="{00000005-FE7B-41E0-9005-E04505F4EEB8}"/>
              </c:ext>
            </c:extLst>
          </c:dPt>
          <c:cat>
            <c:strRef>
              <c:f>sheet2!$AT$2:$AZ$2</c:f>
              <c:strCache>
                <c:ptCount val="6"/>
                <c:pt idx="0">
                  <c:v>CHORUS</c:v>
                </c:pt>
                <c:pt idx="1">
                  <c:v>LBU</c:v>
                </c:pt>
                <c:pt idx="2">
                  <c:v>MOC</c:v>
                </c:pt>
                <c:pt idx="3">
                  <c:v>ONC</c:v>
                </c:pt>
                <c:pt idx="4">
                  <c:v>POC</c:v>
                </c:pt>
                <c:pt idx="5">
                  <c:v>TBU</c:v>
                </c:pt>
              </c:strCache>
            </c:strRef>
          </c:cat>
          <c:val>
            <c:numRef>
              <c:f>sheet2!$AT$8:$AZ$8</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E7B-41E0-9005-E04505F4EEB8}"/>
            </c:ext>
          </c:extLst>
        </c:ser>
        <c:dLbls>
          <c:showLegendKey val="0"/>
          <c:showVal val="0"/>
          <c:showCatName val="0"/>
          <c:showSerName val="0"/>
          <c:showPercent val="0"/>
          <c:showBubbleSize val="0"/>
        </c:dLbls>
        <c:gapWidth val="150"/>
        <c:overlap val="100"/>
        <c:axId val="2104093189"/>
        <c:axId val="745471464"/>
      </c:barChart>
      <c:catAx>
        <c:axId val="21040931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745471464"/>
        <c:crosses val="autoZero"/>
        <c:auto val="1"/>
        <c:lblAlgn val="ctr"/>
        <c:lblOffset val="100"/>
        <c:noMultiLvlLbl val="1"/>
      </c:catAx>
      <c:valAx>
        <c:axId val="745471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vi-VN"/>
          </a:p>
        </c:txPr>
        <c:crossAx val="2104093189"/>
        <c:crosses val="autoZero"/>
        <c:crossBetween val="between"/>
      </c:valAx>
    </c:plotArea>
    <c:legend>
      <c:legendPos val="b"/>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backupsheet2!$AA$3</c:f>
              <c:strCache>
                <c:ptCount val="1"/>
                <c:pt idx="0">
                  <c:v>BA, BC</c:v>
                </c:pt>
              </c:strCache>
            </c:strRef>
          </c:tx>
          <c:spPr>
            <a:solidFill>
              <a:srgbClr val="264653"/>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backupsheet2!$AB$3:$AH$3</c:f>
              <c:numCache>
                <c:formatCode>General</c:formatCode>
                <c:ptCount val="7"/>
                <c:pt idx="2">
                  <c:v>4</c:v>
                </c:pt>
                <c:pt idx="3">
                  <c:v>2</c:v>
                </c:pt>
                <c:pt idx="5">
                  <c:v>1</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60-4BE0-851B-972D480D776F}"/>
            </c:ext>
          </c:extLst>
        </c:ser>
        <c:ser>
          <c:idx val="1"/>
          <c:order val="1"/>
          <c:tx>
            <c:strRef>
              <c:f>backupsheet2!$AA$4</c:f>
              <c:strCache>
                <c:ptCount val="1"/>
                <c:pt idx="0">
                  <c:v>DEV, TA</c:v>
                </c:pt>
              </c:strCache>
            </c:strRef>
          </c:tx>
          <c:spPr>
            <a:solidFill>
              <a:srgbClr val="287271"/>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backupsheet2!$AB$4:$AH$4</c:f>
              <c:numCache>
                <c:formatCode>General</c:formatCode>
                <c:ptCount val="7"/>
                <c:pt idx="1">
                  <c:v>36</c:v>
                </c:pt>
                <c:pt idx="2">
                  <c:v>19</c:v>
                </c:pt>
                <c:pt idx="3">
                  <c:v>42</c:v>
                </c:pt>
                <c:pt idx="4">
                  <c:v>42</c:v>
                </c:pt>
                <c:pt idx="5">
                  <c:v>5</c:v>
                </c:pt>
                <c:pt idx="6">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60-4BE0-851B-972D480D776F}"/>
            </c:ext>
          </c:extLst>
        </c:ser>
        <c:ser>
          <c:idx val="2"/>
          <c:order val="2"/>
          <c:tx>
            <c:strRef>
              <c:f>backupsheet2!$AA$5</c:f>
              <c:strCache>
                <c:ptCount val="1"/>
                <c:pt idx="0">
                  <c:v>GSD</c:v>
                </c:pt>
              </c:strCache>
            </c:strRef>
          </c:tx>
          <c:spPr>
            <a:solidFill>
              <a:srgbClr val="2A9D8F"/>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backupsheet2!$AB$5:$AH$5</c:f>
              <c:numCache>
                <c:formatCode>General</c:formatCode>
                <c:ptCount val="7"/>
                <c:pt idx="1">
                  <c:v>1</c:v>
                </c:pt>
                <c:pt idx="2">
                  <c:v>20</c:v>
                </c:pt>
                <c:pt idx="3">
                  <c:v>7</c:v>
                </c:pt>
                <c:pt idx="4">
                  <c:v>2</c:v>
                </c:pt>
                <c:pt idx="5">
                  <c:v>16</c:v>
                </c:pt>
                <c:pt idx="6">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60-4BE0-851B-972D480D776F}"/>
            </c:ext>
          </c:extLst>
        </c:ser>
        <c:ser>
          <c:idx val="3"/>
          <c:order val="3"/>
          <c:tx>
            <c:strRef>
              <c:f>backupsheet2!$AA$6</c:f>
              <c:strCache>
                <c:ptCount val="1"/>
                <c:pt idx="0">
                  <c:v>HR, GA, Mgt</c:v>
                </c:pt>
              </c:strCache>
            </c:strRef>
          </c:tx>
          <c:spPr>
            <a:solidFill>
              <a:srgbClr val="8AB17D"/>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backupsheet2!$AB$6:$AH$6</c:f>
              <c:numCache>
                <c:formatCode>General</c:formatCode>
                <c:ptCount val="7"/>
                <c:pt idx="0">
                  <c:v>7</c:v>
                </c:pt>
                <c:pt idx="1">
                  <c:v>1</c:v>
                </c:pt>
                <c:pt idx="2">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860-4BE0-851B-972D480D776F}"/>
            </c:ext>
          </c:extLst>
        </c:ser>
        <c:ser>
          <c:idx val="4"/>
          <c:order val="4"/>
          <c:tx>
            <c:strRef>
              <c:f>backupsheet2!$AA$7</c:f>
              <c:strCache>
                <c:ptCount val="1"/>
                <c:pt idx="0">
                  <c:v>PPO, SM, IM </c:v>
                </c:pt>
              </c:strCache>
            </c:strRef>
          </c:tx>
          <c:spPr>
            <a:solidFill>
              <a:srgbClr val="E9C46A"/>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backupsheet2!$AB$7:$AH$7</c:f>
              <c:numCache>
                <c:formatCode>General</c:formatCode>
                <c:ptCount val="7"/>
                <c:pt idx="1">
                  <c:v>6</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860-4BE0-851B-972D480D776F}"/>
            </c:ext>
          </c:extLst>
        </c:ser>
        <c:ser>
          <c:idx val="5"/>
          <c:order val="5"/>
          <c:tx>
            <c:strRef>
              <c:f>backupsheet2!$AA$8</c:f>
              <c:strCache>
                <c:ptCount val="1"/>
                <c:pt idx="0">
                  <c:v>QC</c:v>
                </c:pt>
              </c:strCache>
            </c:strRef>
          </c:tx>
          <c:spPr>
            <a:solidFill>
              <a:srgbClr val="F4A261"/>
            </a:solidFill>
            <a:ln cmpd="sng">
              <a:solidFill>
                <a:srgbClr val="000000"/>
              </a:solidFill>
            </a:ln>
          </c:spPr>
          <c:invertIfNegative val="1"/>
          <c:dPt>
            <c:idx val="5"/>
            <c:invertIfNegative val="1"/>
            <c:bubble3D val="0"/>
            <c:extLst>
              <c:ext xmlns:c16="http://schemas.microsoft.com/office/drawing/2014/chart" uri="{C3380CC4-5D6E-409C-BE32-E72D297353CC}">
                <c16:uniqueId val="{00000005-9860-4BE0-851B-972D480D776F}"/>
              </c:ext>
            </c:extLst>
          </c:dPt>
          <c:cat>
            <c:strRef>
              <c:f>backupsheet2!$AB$2:$AH$2</c:f>
              <c:strCache>
                <c:ptCount val="7"/>
                <c:pt idx="0">
                  <c:v>BSG</c:v>
                </c:pt>
                <c:pt idx="1">
                  <c:v>CHORUS</c:v>
                </c:pt>
                <c:pt idx="2">
                  <c:v>LBU</c:v>
                </c:pt>
                <c:pt idx="3">
                  <c:v>MOC</c:v>
                </c:pt>
                <c:pt idx="4">
                  <c:v>ONC</c:v>
                </c:pt>
                <c:pt idx="5">
                  <c:v>POC</c:v>
                </c:pt>
                <c:pt idx="6">
                  <c:v>TBU</c:v>
                </c:pt>
              </c:strCache>
            </c:strRef>
          </c:cat>
          <c:val>
            <c:numRef>
              <c:f>backupsheet2!$AB$8:$AH$8</c:f>
              <c:numCache>
                <c:formatCode>General</c:formatCode>
                <c:ptCount val="7"/>
                <c:pt idx="1">
                  <c:v>11</c:v>
                </c:pt>
                <c:pt idx="2">
                  <c:v>12</c:v>
                </c:pt>
                <c:pt idx="3">
                  <c:v>6</c:v>
                </c:pt>
                <c:pt idx="4">
                  <c:v>10</c:v>
                </c:pt>
                <c:pt idx="5">
                  <c:v>6</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860-4BE0-851B-972D480D776F}"/>
            </c:ext>
          </c:extLst>
        </c:ser>
        <c:ser>
          <c:idx val="6"/>
          <c:order val="6"/>
          <c:tx>
            <c:strRef>
              <c:f>backupsheet2!$AA$9</c:f>
              <c:strCache>
                <c:ptCount val="1"/>
                <c:pt idx="0">
                  <c:v>UI/UX, Des</c:v>
                </c:pt>
              </c:strCache>
            </c:strRef>
          </c:tx>
          <c:spPr>
            <a:solidFill>
              <a:srgbClr val="E76F51"/>
            </a:solidFill>
            <a:ln cmpd="sng">
              <a:solidFill>
                <a:srgbClr val="000000"/>
              </a:solidFill>
            </a:ln>
          </c:spPr>
          <c:invertIfNegative val="1"/>
          <c:cat>
            <c:strRef>
              <c:f>backupsheet2!$AB$2:$AH$2</c:f>
              <c:strCache>
                <c:ptCount val="7"/>
                <c:pt idx="0">
                  <c:v>BSG</c:v>
                </c:pt>
                <c:pt idx="1">
                  <c:v>CHORUS</c:v>
                </c:pt>
                <c:pt idx="2">
                  <c:v>LBU</c:v>
                </c:pt>
                <c:pt idx="3">
                  <c:v>MOC</c:v>
                </c:pt>
                <c:pt idx="4">
                  <c:v>ONC</c:v>
                </c:pt>
                <c:pt idx="5">
                  <c:v>POC</c:v>
                </c:pt>
                <c:pt idx="6">
                  <c:v>TBU</c:v>
                </c:pt>
              </c:strCache>
            </c:strRef>
          </c:cat>
          <c:val>
            <c:numRef>
              <c:f>backupsheet2!$AB$9:$AH$9</c:f>
              <c:numCache>
                <c:formatCode>General</c:formatCode>
                <c:ptCount val="7"/>
                <c:pt idx="1">
                  <c:v>6</c:v>
                </c:pt>
                <c:pt idx="2">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860-4BE0-851B-972D480D776F}"/>
            </c:ext>
          </c:extLst>
        </c:ser>
        <c:dLbls>
          <c:showLegendKey val="0"/>
          <c:showVal val="0"/>
          <c:showCatName val="0"/>
          <c:showSerName val="0"/>
          <c:showPercent val="0"/>
          <c:showBubbleSize val="0"/>
        </c:dLbls>
        <c:gapWidth val="150"/>
        <c:overlap val="100"/>
        <c:axId val="219746289"/>
        <c:axId val="1176316450"/>
      </c:barChart>
      <c:catAx>
        <c:axId val="2197462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1176316450"/>
        <c:crosses val="autoZero"/>
        <c:auto val="1"/>
        <c:lblAlgn val="ctr"/>
        <c:lblOffset val="100"/>
        <c:noMultiLvlLbl val="1"/>
      </c:catAx>
      <c:valAx>
        <c:axId val="1176316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vi-VN"/>
          </a:p>
        </c:txPr>
        <c:crossAx val="219746289"/>
        <c:crosses val="autoZero"/>
        <c:crossBetween val="between"/>
      </c:valAx>
    </c:plotArea>
    <c:legend>
      <c:legendPos val="b"/>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backupsheet2!$AS$3</c:f>
              <c:strCache>
                <c:ptCount val="1"/>
                <c:pt idx="0">
                  <c:v>DEV, TA</c:v>
                </c:pt>
              </c:strCache>
            </c:strRef>
          </c:tx>
          <c:spPr>
            <a:solidFill>
              <a:srgbClr val="264653"/>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backupsheet2!$AT$3:$AZ$3</c:f>
              <c:numCache>
                <c:formatCode>General</c:formatCode>
                <c:ptCount val="7"/>
                <c:pt idx="0">
                  <c:v>3</c:v>
                </c:pt>
                <c:pt idx="1">
                  <c:v>1</c:v>
                </c:pt>
                <c:pt idx="2">
                  <c:v>4</c:v>
                </c:pt>
                <c:pt idx="3">
                  <c:v>7</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467-4094-9D2D-CFB8EB41F89C}"/>
            </c:ext>
          </c:extLst>
        </c:ser>
        <c:ser>
          <c:idx val="1"/>
          <c:order val="1"/>
          <c:tx>
            <c:strRef>
              <c:f>backupsheet2!$AS$4</c:f>
              <c:strCache>
                <c:ptCount val="1"/>
                <c:pt idx="0">
                  <c:v>GSD</c:v>
                </c:pt>
              </c:strCache>
            </c:strRef>
          </c:tx>
          <c:spPr>
            <a:solidFill>
              <a:srgbClr val="287271"/>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backupsheet2!$AT$4:$AZ$4</c:f>
              <c:numCache>
                <c:formatCode>General</c:formatCode>
                <c:ptCount val="7"/>
                <c:pt idx="1">
                  <c:v>1</c:v>
                </c:pt>
                <c:pt idx="2">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467-4094-9D2D-CFB8EB41F89C}"/>
            </c:ext>
          </c:extLst>
        </c:ser>
        <c:ser>
          <c:idx val="2"/>
          <c:order val="2"/>
          <c:tx>
            <c:strRef>
              <c:f>backupsheet2!$AS$5</c:f>
              <c:strCache>
                <c:ptCount val="1"/>
                <c:pt idx="0">
                  <c:v>QC</c:v>
                </c:pt>
              </c:strCache>
            </c:strRef>
          </c:tx>
          <c:spPr>
            <a:solidFill>
              <a:srgbClr val="2A9D8F"/>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backupsheet2!$AT$5:$AZ$5</c:f>
              <c:numCache>
                <c:formatCode>General</c:formatCode>
                <c:ptCount val="7"/>
                <c:pt idx="1">
                  <c:v>1</c:v>
                </c:pt>
                <c:pt idx="3">
                  <c:v>1</c:v>
                </c:pt>
                <c:pt idx="4">
                  <c:v>2</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467-4094-9D2D-CFB8EB41F89C}"/>
            </c:ext>
          </c:extLst>
        </c:ser>
        <c:ser>
          <c:idx val="3"/>
          <c:order val="3"/>
          <c:tx>
            <c:strRef>
              <c:f>backupsheet2!$AS$6</c:f>
              <c:strCache>
                <c:ptCount val="1"/>
                <c:pt idx="0">
                  <c:v>Grand Total</c:v>
                </c:pt>
              </c:strCache>
            </c:strRef>
          </c:tx>
          <c:spPr>
            <a:solidFill>
              <a:srgbClr val="8AB17D"/>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backupsheet2!$AT$6:$AZ$6</c:f>
              <c:numCache>
                <c:formatCode>General</c:formatCode>
                <c:ptCount val="7"/>
                <c:pt idx="0">
                  <c:v>3</c:v>
                </c:pt>
                <c:pt idx="1">
                  <c:v>3</c:v>
                </c:pt>
                <c:pt idx="2">
                  <c:v>5</c:v>
                </c:pt>
                <c:pt idx="3">
                  <c:v>8</c:v>
                </c:pt>
                <c:pt idx="4">
                  <c:v>4</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467-4094-9D2D-CFB8EB41F89C}"/>
            </c:ext>
          </c:extLst>
        </c:ser>
        <c:ser>
          <c:idx val="4"/>
          <c:order val="4"/>
          <c:tx>
            <c:strRef>
              <c:f>backupsheet2!$AS$7</c:f>
              <c:strCache>
                <c:ptCount val="1"/>
              </c:strCache>
            </c:strRef>
          </c:tx>
          <c:spPr>
            <a:solidFill>
              <a:srgbClr val="E9C46A"/>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backupsheet2!$AT$7:$AZ$7</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467-4094-9D2D-CFB8EB41F89C}"/>
            </c:ext>
          </c:extLst>
        </c:ser>
        <c:ser>
          <c:idx val="5"/>
          <c:order val="5"/>
          <c:tx>
            <c:strRef>
              <c:f>backupsheet2!$AS$8</c:f>
              <c:strCache>
                <c:ptCount val="1"/>
              </c:strCache>
            </c:strRef>
          </c:tx>
          <c:spPr>
            <a:solidFill>
              <a:srgbClr val="F4A261"/>
            </a:solidFill>
            <a:ln cmpd="sng">
              <a:solidFill>
                <a:srgbClr val="000000"/>
              </a:solidFill>
            </a:ln>
          </c:spPr>
          <c:invertIfNegative val="1"/>
          <c:dPt>
            <c:idx val="5"/>
            <c:invertIfNegative val="1"/>
            <c:bubble3D val="0"/>
            <c:extLst>
              <c:ext xmlns:c16="http://schemas.microsoft.com/office/drawing/2014/chart" uri="{C3380CC4-5D6E-409C-BE32-E72D297353CC}">
                <c16:uniqueId val="{00000005-F467-4094-9D2D-CFB8EB41F89C}"/>
              </c:ext>
            </c:extLst>
          </c:dPt>
          <c:cat>
            <c:strRef>
              <c:f>backupsheet2!$AT$2:$AZ$2</c:f>
              <c:strCache>
                <c:ptCount val="6"/>
                <c:pt idx="0">
                  <c:v>CHORUS</c:v>
                </c:pt>
                <c:pt idx="1">
                  <c:v>LBU</c:v>
                </c:pt>
                <c:pt idx="2">
                  <c:v>MOC</c:v>
                </c:pt>
                <c:pt idx="3">
                  <c:v>ONC</c:v>
                </c:pt>
                <c:pt idx="4">
                  <c:v>POC</c:v>
                </c:pt>
                <c:pt idx="5">
                  <c:v>TBU</c:v>
                </c:pt>
              </c:strCache>
            </c:strRef>
          </c:cat>
          <c:val>
            <c:numRef>
              <c:f>backupsheet2!$AT$8:$AZ$8</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467-4094-9D2D-CFB8EB41F89C}"/>
            </c:ext>
          </c:extLst>
        </c:ser>
        <c:ser>
          <c:idx val="6"/>
          <c:order val="6"/>
          <c:tx>
            <c:strRef>
              <c:f>backupsheet2!$AS$9</c:f>
              <c:strCache>
                <c:ptCount val="1"/>
              </c:strCache>
            </c:strRef>
          </c:tx>
          <c:spPr>
            <a:solidFill>
              <a:srgbClr val="E76F51"/>
            </a:solidFill>
            <a:ln cmpd="sng">
              <a:solidFill>
                <a:srgbClr val="000000"/>
              </a:solidFill>
            </a:ln>
          </c:spPr>
          <c:invertIfNegative val="1"/>
          <c:cat>
            <c:strRef>
              <c:f>backupsheet2!$AT$2:$AZ$2</c:f>
              <c:strCache>
                <c:ptCount val="6"/>
                <c:pt idx="0">
                  <c:v>CHORUS</c:v>
                </c:pt>
                <c:pt idx="1">
                  <c:v>LBU</c:v>
                </c:pt>
                <c:pt idx="2">
                  <c:v>MOC</c:v>
                </c:pt>
                <c:pt idx="3">
                  <c:v>ONC</c:v>
                </c:pt>
                <c:pt idx="4">
                  <c:v>POC</c:v>
                </c:pt>
                <c:pt idx="5">
                  <c:v>TBU</c:v>
                </c:pt>
              </c:strCache>
            </c:strRef>
          </c:cat>
          <c:val>
            <c:numRef>
              <c:f>backupsheet2!$AT$9:$AZ$9</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F467-4094-9D2D-CFB8EB41F89C}"/>
            </c:ext>
          </c:extLst>
        </c:ser>
        <c:dLbls>
          <c:showLegendKey val="0"/>
          <c:showVal val="0"/>
          <c:showCatName val="0"/>
          <c:showSerName val="0"/>
          <c:showPercent val="0"/>
          <c:showBubbleSize val="0"/>
        </c:dLbls>
        <c:gapWidth val="150"/>
        <c:overlap val="100"/>
        <c:axId val="2124910567"/>
        <c:axId val="1708032895"/>
      </c:barChart>
      <c:catAx>
        <c:axId val="212491056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1708032895"/>
        <c:crosses val="autoZero"/>
        <c:auto val="1"/>
        <c:lblAlgn val="ctr"/>
        <c:lblOffset val="100"/>
        <c:noMultiLvlLbl val="1"/>
      </c:catAx>
      <c:valAx>
        <c:axId val="1708032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vi-VN"/>
          </a:p>
        </c:txPr>
        <c:crossAx val="2124910567"/>
        <c:crosses val="autoZero"/>
        <c:crossBetween val="between"/>
      </c:valAx>
    </c:plotArea>
    <c:legend>
      <c:legendPos val="b"/>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'Copy of sheet2'!$W$4</c:f>
              <c:strCache>
                <c:ptCount val="1"/>
                <c:pt idx="0">
                  <c:v>COUNTA of Emp Code
(unique)</c:v>
                </c:pt>
              </c:strCache>
            </c:strRef>
          </c:tx>
          <c:spPr>
            <a:solidFill>
              <a:srgbClr val="264653"/>
            </a:solidFill>
            <a:ln cmpd="sng">
              <a:solidFill>
                <a:srgbClr val="000000"/>
              </a:solidFill>
            </a:ln>
          </c:spPr>
          <c:invertIfNegative val="1"/>
          <c:cat>
            <c:numRef>
              <c:f>'Copy of sheet2'!$X$3:$AD$3</c:f>
              <c:numCache>
                <c:formatCode>General</c:formatCode>
                <c:ptCount val="7"/>
              </c:numCache>
            </c:numRef>
          </c:cat>
          <c:val>
            <c:numRef>
              <c:f>'Copy of sheet2'!$X$4:$AD$4</c:f>
              <c:numCache>
                <c:formatCode>General</c:formatCode>
                <c:ptCount val="7"/>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F98-4B47-AD6D-C654DC7257D2}"/>
            </c:ext>
          </c:extLst>
        </c:ser>
        <c:ser>
          <c:idx val="1"/>
          <c:order val="1"/>
          <c:tx>
            <c:strRef>
              <c:f>'Copy of sheet2'!$W$5</c:f>
              <c:strCache>
                <c:ptCount val="1"/>
                <c:pt idx="0">
                  <c:v>Group Role</c:v>
                </c:pt>
              </c:strCache>
            </c:strRef>
          </c:tx>
          <c:spPr>
            <a:solidFill>
              <a:srgbClr val="287271"/>
            </a:solidFill>
            <a:ln cmpd="sng">
              <a:solidFill>
                <a:srgbClr val="000000"/>
              </a:solidFill>
            </a:ln>
          </c:spPr>
          <c:invertIfNegative val="1"/>
          <c:cat>
            <c:numRef>
              <c:f>'Copy of sheet2'!$X$3:$AD$3</c:f>
              <c:numCache>
                <c:formatCode>General</c:formatCode>
                <c:ptCount val="7"/>
              </c:numCache>
            </c:numRef>
          </c:cat>
          <c:val>
            <c:numRef>
              <c:f>'Copy of sheet2'!$X$5:$AD$5</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F98-4B47-AD6D-C654DC7257D2}"/>
            </c:ext>
          </c:extLst>
        </c:ser>
        <c:ser>
          <c:idx val="2"/>
          <c:order val="2"/>
          <c:tx>
            <c:strRef>
              <c:f>'Copy of sheet2'!$W$6</c:f>
              <c:strCache>
                <c:ptCount val="1"/>
                <c:pt idx="0">
                  <c:v>Grand Total</c:v>
                </c:pt>
              </c:strCache>
            </c:strRef>
          </c:tx>
          <c:spPr>
            <a:solidFill>
              <a:srgbClr val="2A9D8F"/>
            </a:solidFill>
            <a:ln cmpd="sng">
              <a:solidFill>
                <a:srgbClr val="000000"/>
              </a:solidFill>
            </a:ln>
          </c:spPr>
          <c:invertIfNegative val="1"/>
          <c:cat>
            <c:numRef>
              <c:f>'Copy of sheet2'!$X$3:$AD$3</c:f>
              <c:numCache>
                <c:formatCode>General</c:formatCode>
                <c:ptCount val="7"/>
              </c:numCache>
            </c:numRef>
          </c:cat>
          <c:val>
            <c:numRef>
              <c:f>'Copy of sheet2'!$X$6:$AD$6</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F98-4B47-AD6D-C654DC7257D2}"/>
            </c:ext>
          </c:extLst>
        </c:ser>
        <c:ser>
          <c:idx val="3"/>
          <c:order val="3"/>
          <c:tx>
            <c:strRef>
              <c:f>'Copy of sheet2'!$W$7</c:f>
              <c:strCache>
                <c:ptCount val="1"/>
              </c:strCache>
            </c:strRef>
          </c:tx>
          <c:spPr>
            <a:solidFill>
              <a:srgbClr val="8AB17D"/>
            </a:solidFill>
            <a:ln cmpd="sng">
              <a:solidFill>
                <a:srgbClr val="000000"/>
              </a:solidFill>
            </a:ln>
          </c:spPr>
          <c:invertIfNegative val="1"/>
          <c:cat>
            <c:numRef>
              <c:f>'Copy of sheet2'!$X$3:$AD$3</c:f>
              <c:numCache>
                <c:formatCode>General</c:formatCode>
                <c:ptCount val="7"/>
              </c:numCache>
            </c:numRef>
          </c:cat>
          <c:val>
            <c:numRef>
              <c:f>'Copy of sheet2'!$X$7:$AD$7</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F98-4B47-AD6D-C654DC7257D2}"/>
            </c:ext>
          </c:extLst>
        </c:ser>
        <c:ser>
          <c:idx val="4"/>
          <c:order val="4"/>
          <c:tx>
            <c:strRef>
              <c:f>'Copy of sheet2'!$W$8</c:f>
              <c:strCache>
                <c:ptCount val="1"/>
              </c:strCache>
            </c:strRef>
          </c:tx>
          <c:spPr>
            <a:solidFill>
              <a:srgbClr val="E9C46A"/>
            </a:solidFill>
            <a:ln cmpd="sng">
              <a:solidFill>
                <a:srgbClr val="000000"/>
              </a:solidFill>
            </a:ln>
          </c:spPr>
          <c:invertIfNegative val="1"/>
          <c:cat>
            <c:numRef>
              <c:f>'Copy of sheet2'!$X$3:$AD$3</c:f>
              <c:numCache>
                <c:formatCode>General</c:formatCode>
                <c:ptCount val="7"/>
              </c:numCache>
            </c:numRef>
          </c:cat>
          <c:val>
            <c:numRef>
              <c:f>'Copy of sheet2'!$X$8:$AD$8</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F98-4B47-AD6D-C654DC7257D2}"/>
            </c:ext>
          </c:extLst>
        </c:ser>
        <c:ser>
          <c:idx val="5"/>
          <c:order val="5"/>
          <c:tx>
            <c:strRef>
              <c:f>'Copy of sheet2'!$W$9</c:f>
              <c:strCache>
                <c:ptCount val="1"/>
              </c:strCache>
            </c:strRef>
          </c:tx>
          <c:spPr>
            <a:solidFill>
              <a:srgbClr val="F4A261"/>
            </a:solidFill>
            <a:ln cmpd="sng">
              <a:solidFill>
                <a:srgbClr val="000000"/>
              </a:solidFill>
            </a:ln>
          </c:spPr>
          <c:invertIfNegative val="1"/>
          <c:dPt>
            <c:idx val="5"/>
            <c:invertIfNegative val="1"/>
            <c:bubble3D val="0"/>
            <c:extLst>
              <c:ext xmlns:c16="http://schemas.microsoft.com/office/drawing/2014/chart" uri="{C3380CC4-5D6E-409C-BE32-E72D297353CC}">
                <c16:uniqueId val="{00000005-6F98-4B47-AD6D-C654DC7257D2}"/>
              </c:ext>
            </c:extLst>
          </c:dPt>
          <c:cat>
            <c:numRef>
              <c:f>'Copy of sheet2'!$X$3:$AD$3</c:f>
              <c:numCache>
                <c:formatCode>General</c:formatCode>
                <c:ptCount val="7"/>
              </c:numCache>
            </c:numRef>
          </c:cat>
          <c:val>
            <c:numRef>
              <c:f>'Copy of sheet2'!$X$9:$AD$9</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6F98-4B47-AD6D-C654DC7257D2}"/>
            </c:ext>
          </c:extLst>
        </c:ser>
        <c:ser>
          <c:idx val="6"/>
          <c:order val="6"/>
          <c:tx>
            <c:strRef>
              <c:f>'Copy of sheet2'!$W$10</c:f>
              <c:strCache>
                <c:ptCount val="1"/>
              </c:strCache>
            </c:strRef>
          </c:tx>
          <c:spPr>
            <a:solidFill>
              <a:srgbClr val="E76F51"/>
            </a:solidFill>
            <a:ln cmpd="sng">
              <a:solidFill>
                <a:srgbClr val="000000"/>
              </a:solidFill>
            </a:ln>
          </c:spPr>
          <c:invertIfNegative val="1"/>
          <c:cat>
            <c:numRef>
              <c:f>'Copy of sheet2'!$X$3:$AD$3</c:f>
              <c:numCache>
                <c:formatCode>General</c:formatCode>
                <c:ptCount val="7"/>
              </c:numCache>
            </c:numRef>
          </c:cat>
          <c:val>
            <c:numRef>
              <c:f>'Copy of sheet2'!$X$10:$AD$10</c:f>
              <c:numCache>
                <c:formatCode>General</c:formatCode>
                <c:ptCount val="7"/>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6F98-4B47-AD6D-C654DC7257D2}"/>
            </c:ext>
          </c:extLst>
        </c:ser>
        <c:dLbls>
          <c:showLegendKey val="0"/>
          <c:showVal val="0"/>
          <c:showCatName val="0"/>
          <c:showSerName val="0"/>
          <c:showPercent val="0"/>
          <c:showBubbleSize val="0"/>
        </c:dLbls>
        <c:gapWidth val="150"/>
        <c:overlap val="100"/>
        <c:axId val="1557669817"/>
        <c:axId val="544636628"/>
      </c:barChart>
      <c:catAx>
        <c:axId val="1557669817"/>
        <c:scaling>
          <c:orientation val="minMax"/>
        </c:scaling>
        <c:delete val="0"/>
        <c:axPos val="b"/>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544636628"/>
        <c:crosses val="autoZero"/>
        <c:auto val="1"/>
        <c:lblAlgn val="ctr"/>
        <c:lblOffset val="100"/>
        <c:noMultiLvlLbl val="1"/>
      </c:catAx>
      <c:valAx>
        <c:axId val="5446366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vi-VN"/>
          </a:p>
        </c:txPr>
        <c:crossAx val="1557669817"/>
        <c:crosses val="autoZero"/>
        <c:crossBetween val="between"/>
      </c:valAx>
    </c:plotArea>
    <c:legend>
      <c:legendPos val="r"/>
      <c:overlay val="0"/>
      <c:txPr>
        <a:bodyPr/>
        <a:lstStyle/>
        <a:p>
          <a:pPr lvl="0">
            <a:defRPr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strRef>
              <c:f>PROGRESS!$A$2</c:f>
              <c:strCache>
                <c:ptCount val="1"/>
                <c:pt idx="0">
                  <c:v>CHORUS</c:v>
                </c:pt>
              </c:strCache>
            </c:strRef>
          </c:tx>
          <c:spPr>
            <a:solidFill>
              <a:srgbClr val="BD0F72"/>
            </a:solidFill>
            <a:ln cmpd="sng">
              <a:solidFill>
                <a:srgbClr val="000000"/>
              </a:solidFill>
            </a:ln>
          </c:spPr>
          <c:invertIfNegative val="1"/>
          <c:dPt>
            <c:idx val="2"/>
            <c:invertIfNegative val="1"/>
            <c:bubble3D val="0"/>
            <c:extLst>
              <c:ext xmlns:c16="http://schemas.microsoft.com/office/drawing/2014/chart" uri="{C3380CC4-5D6E-409C-BE32-E72D297353CC}">
                <c16:uniqueId val="{00000000-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PROGRESS!$B$2:$I$2</c:f>
              <c:numCache>
                <c:formatCode>General</c:formatCode>
                <c:ptCount val="8"/>
                <c:pt idx="0">
                  <c:v>61</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E60-4CF6-B456-C4A14CEC0FE7}"/>
            </c:ext>
          </c:extLst>
        </c:ser>
        <c:ser>
          <c:idx val="1"/>
          <c:order val="1"/>
          <c:tx>
            <c:strRef>
              <c:f>PROGRESS!$A$3</c:f>
              <c:strCache>
                <c:ptCount val="1"/>
                <c:pt idx="0">
                  <c:v>LBU</c:v>
                </c:pt>
              </c:strCache>
            </c:strRef>
          </c:tx>
          <c:spPr>
            <a:solidFill>
              <a:srgbClr val="FDC42D"/>
            </a:solidFill>
            <a:ln cmpd="sng">
              <a:solidFill>
                <a:srgbClr val="000000"/>
              </a:solidFill>
            </a:ln>
          </c:spPr>
          <c:invertIfNegative val="1"/>
          <c:dPt>
            <c:idx val="1"/>
            <c:invertIfNegative val="1"/>
            <c:bubble3D val="0"/>
            <c:extLst>
              <c:ext xmlns:c16="http://schemas.microsoft.com/office/drawing/2014/chart" uri="{C3380CC4-5D6E-409C-BE32-E72D297353CC}">
                <c16:uniqueId val="{00000002-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PROGRESS!$B$3:$I$3</c:f>
              <c:numCache>
                <c:formatCode>General</c:formatCode>
                <c:ptCount val="8"/>
                <c:pt idx="0">
                  <c:v>63</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E60-4CF6-B456-C4A14CEC0FE7}"/>
            </c:ext>
          </c:extLst>
        </c:ser>
        <c:ser>
          <c:idx val="2"/>
          <c:order val="2"/>
          <c:tx>
            <c:strRef>
              <c:f>PROGRESS!$A$4</c:f>
              <c:strCache>
                <c:ptCount val="1"/>
                <c:pt idx="0">
                  <c:v>MOC</c:v>
                </c:pt>
              </c:strCache>
            </c:strRef>
          </c:tx>
          <c:spPr>
            <a:solidFill>
              <a:srgbClr val="F3722C"/>
            </a:solidFill>
            <a:ln cmpd="sng">
              <a:solidFill>
                <a:srgbClr val="000000"/>
              </a:solidFill>
            </a:ln>
          </c:spPr>
          <c:invertIfNegative val="1"/>
          <c:dPt>
            <c:idx val="1"/>
            <c:invertIfNegative val="1"/>
            <c:bubble3D val="0"/>
            <c:extLst>
              <c:ext xmlns:c16="http://schemas.microsoft.com/office/drawing/2014/chart" uri="{C3380CC4-5D6E-409C-BE32-E72D297353CC}">
                <c16:uniqueId val="{00000004-9E60-4CF6-B456-C4A14CEC0FE7}"/>
              </c:ext>
            </c:extLst>
          </c:dPt>
          <c:dPt>
            <c:idx val="6"/>
            <c:invertIfNegative val="1"/>
            <c:bubble3D val="0"/>
            <c:extLst>
              <c:ext xmlns:c16="http://schemas.microsoft.com/office/drawing/2014/chart" uri="{C3380CC4-5D6E-409C-BE32-E72D297353CC}">
                <c16:uniqueId val="{00000005-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PROGRESS!$B$4:$I$4</c:f>
              <c:numCache>
                <c:formatCode>General</c:formatCode>
                <c:ptCount val="8"/>
                <c:pt idx="0">
                  <c:v>57</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E60-4CF6-B456-C4A14CEC0FE7}"/>
            </c:ext>
          </c:extLst>
        </c:ser>
        <c:ser>
          <c:idx val="3"/>
          <c:order val="3"/>
          <c:tx>
            <c:strRef>
              <c:f>PROGRESS!$A$5</c:f>
              <c:strCache>
                <c:ptCount val="1"/>
                <c:pt idx="0">
                  <c:v>ONC</c:v>
                </c:pt>
              </c:strCache>
            </c:strRef>
          </c:tx>
          <c:spPr>
            <a:solidFill>
              <a:srgbClr val="007E87"/>
            </a:solidFill>
            <a:ln cmpd="sng">
              <a:solidFill>
                <a:srgbClr val="000000"/>
              </a:solidFill>
            </a:ln>
          </c:spPr>
          <c:invertIfNegative val="1"/>
          <c:dPt>
            <c:idx val="6"/>
            <c:invertIfNegative val="1"/>
            <c:bubble3D val="0"/>
            <c:extLst>
              <c:ext xmlns:c16="http://schemas.microsoft.com/office/drawing/2014/chart" uri="{C3380CC4-5D6E-409C-BE32-E72D297353CC}">
                <c16:uniqueId val="{00000007-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PROGRESS!$B$5:$I$5</c:f>
              <c:numCache>
                <c:formatCode>General</c:formatCode>
                <c:ptCount val="8"/>
                <c:pt idx="0">
                  <c:v>55</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9E60-4CF6-B456-C4A14CEC0FE7}"/>
            </c:ext>
          </c:extLst>
        </c:ser>
        <c:ser>
          <c:idx val="4"/>
          <c:order val="4"/>
          <c:tx>
            <c:strRef>
              <c:f>PROGRESS!$A$6</c:f>
              <c:strCache>
                <c:ptCount val="1"/>
                <c:pt idx="0">
                  <c:v>POC</c:v>
                </c:pt>
              </c:strCache>
            </c:strRef>
          </c:tx>
          <c:spPr>
            <a:solidFill>
              <a:srgbClr val="C1D3FE"/>
            </a:solidFill>
            <a:ln cmpd="sng">
              <a:solidFill>
                <a:srgbClr val="000000"/>
              </a:solidFill>
            </a:ln>
          </c:spPr>
          <c:invertIfNegative val="1"/>
          <c:dPt>
            <c:idx val="1"/>
            <c:invertIfNegative val="1"/>
            <c:bubble3D val="0"/>
            <c:extLst>
              <c:ext xmlns:c16="http://schemas.microsoft.com/office/drawing/2014/chart" uri="{C3380CC4-5D6E-409C-BE32-E72D297353CC}">
                <c16:uniqueId val="{00000009-9E60-4CF6-B456-C4A14CEC0FE7}"/>
              </c:ext>
            </c:extLst>
          </c:dPt>
          <c:dPt>
            <c:idx val="5"/>
            <c:invertIfNegative val="1"/>
            <c:bubble3D val="0"/>
            <c:extLst>
              <c:ext xmlns:c16="http://schemas.microsoft.com/office/drawing/2014/chart" uri="{C3380CC4-5D6E-409C-BE32-E72D297353CC}">
                <c16:uniqueId val="{0000000A-9E60-4CF6-B456-C4A14CEC0FE7}"/>
              </c:ext>
            </c:extLst>
          </c:dPt>
          <c:dPt>
            <c:idx val="6"/>
            <c:invertIfNegative val="1"/>
            <c:bubble3D val="0"/>
            <c:extLst>
              <c:ext xmlns:c16="http://schemas.microsoft.com/office/drawing/2014/chart" uri="{C3380CC4-5D6E-409C-BE32-E72D297353CC}">
                <c16:uniqueId val="{0000000B-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PROGRESS!$B$6:$I$6</c:f>
              <c:numCache>
                <c:formatCode>General</c:formatCode>
                <c:ptCount val="8"/>
                <c:pt idx="0">
                  <c:v>28</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9E60-4CF6-B456-C4A14CEC0FE7}"/>
            </c:ext>
          </c:extLst>
        </c:ser>
        <c:ser>
          <c:idx val="5"/>
          <c:order val="5"/>
          <c:tx>
            <c:strRef>
              <c:f>PROGRESS!$A$7</c:f>
              <c:strCache>
                <c:ptCount val="1"/>
                <c:pt idx="0">
                  <c:v>TBU</c:v>
                </c:pt>
              </c:strCache>
            </c:strRef>
          </c:tx>
          <c:spPr>
            <a:solidFill>
              <a:srgbClr val="3C78D8"/>
            </a:solidFill>
            <a:ln cmpd="sng">
              <a:solidFill>
                <a:srgbClr val="000000"/>
              </a:solidFill>
            </a:ln>
          </c:spPr>
          <c:invertIfNegative val="1"/>
          <c:dPt>
            <c:idx val="1"/>
            <c:invertIfNegative val="1"/>
            <c:bubble3D val="0"/>
            <c:extLst>
              <c:ext xmlns:c16="http://schemas.microsoft.com/office/drawing/2014/chart" uri="{C3380CC4-5D6E-409C-BE32-E72D297353CC}">
                <c16:uniqueId val="{0000000D-9E60-4CF6-B456-C4A14CEC0FE7}"/>
              </c:ext>
            </c:extLst>
          </c:dPt>
          <c:dPt>
            <c:idx val="6"/>
            <c:invertIfNegative val="1"/>
            <c:bubble3D val="0"/>
            <c:extLst>
              <c:ext xmlns:c16="http://schemas.microsoft.com/office/drawing/2014/chart" uri="{C3380CC4-5D6E-409C-BE32-E72D297353CC}">
                <c16:uniqueId val="{0000000E-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PROGRESS!$B$7:$I$7</c:f>
              <c:numCache>
                <c:formatCode>General</c:formatCode>
                <c:ptCount val="8"/>
                <c:pt idx="0">
                  <c:v>33</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9E60-4CF6-B456-C4A14CEC0FE7}"/>
            </c:ext>
          </c:extLst>
        </c:ser>
        <c:ser>
          <c:idx val="6"/>
          <c:order val="6"/>
          <c:tx>
            <c:strRef>
              <c:f>PROGRESS!$A$8</c:f>
              <c:strCache>
                <c:ptCount val="1"/>
                <c:pt idx="0">
                  <c:v>BSG</c:v>
                </c:pt>
              </c:strCache>
            </c:strRef>
          </c:tx>
          <c:spPr>
            <a:solidFill>
              <a:srgbClr val="C27BA0"/>
            </a:solidFill>
            <a:ln cmpd="sng">
              <a:solidFill>
                <a:srgbClr val="000000"/>
              </a:solidFill>
            </a:ln>
          </c:spPr>
          <c:invertIfNegative val="1"/>
          <c:dPt>
            <c:idx val="1"/>
            <c:invertIfNegative val="1"/>
            <c:bubble3D val="0"/>
            <c:extLst>
              <c:ext xmlns:c16="http://schemas.microsoft.com/office/drawing/2014/chart" uri="{C3380CC4-5D6E-409C-BE32-E72D297353CC}">
                <c16:uniqueId val="{00000010-9E60-4CF6-B456-C4A14CEC0FE7}"/>
              </c:ext>
            </c:extLst>
          </c:dPt>
          <c:dPt>
            <c:idx val="3"/>
            <c:invertIfNegative val="1"/>
            <c:bubble3D val="0"/>
            <c:extLst>
              <c:ext xmlns:c16="http://schemas.microsoft.com/office/drawing/2014/chart" uri="{C3380CC4-5D6E-409C-BE32-E72D297353CC}">
                <c16:uniqueId val="{00000011-9E60-4CF6-B456-C4A14CEC0FE7}"/>
              </c:ext>
            </c:extLst>
          </c:dPt>
          <c:dPt>
            <c:idx val="6"/>
            <c:invertIfNegative val="1"/>
            <c:bubble3D val="0"/>
            <c:extLst>
              <c:ext xmlns:c16="http://schemas.microsoft.com/office/drawing/2014/chart" uri="{C3380CC4-5D6E-409C-BE32-E72D297353CC}">
                <c16:uniqueId val="{00000012-9E60-4CF6-B456-C4A14CEC0FE7}"/>
              </c:ext>
            </c:extLst>
          </c:dPt>
          <c:dPt>
            <c:idx val="7"/>
            <c:invertIfNegative val="1"/>
            <c:bubble3D val="0"/>
            <c:extLst>
              <c:ext xmlns:c16="http://schemas.microsoft.com/office/drawing/2014/chart" uri="{C3380CC4-5D6E-409C-BE32-E72D297353CC}">
                <c16:uniqueId val="{00000013-9E60-4CF6-B456-C4A14CEC0FE7}"/>
              </c:ext>
            </c:extLst>
          </c:dPt>
          <c:dLbls>
            <c:spPr>
              <a:noFill/>
              <a:ln>
                <a:noFill/>
              </a:ln>
              <a:effectLst/>
            </c:spPr>
            <c:txPr>
              <a:bodyPr/>
              <a:lstStyle/>
              <a:p>
                <a:pPr lvl="0">
                  <a:defRPr sz="1200"/>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PROGRESS!$B$1:$I$1</c:f>
              <c:strCache>
                <c:ptCount val="8"/>
                <c:pt idx="0">
                  <c:v>Not tested yet</c:v>
                </c:pt>
                <c:pt idx="1">
                  <c:v>Regressed</c:v>
                </c:pt>
                <c:pt idx="2">
                  <c:v>No Progress</c:v>
                </c:pt>
                <c:pt idx="3">
                  <c:v>Minor Improvement</c:v>
                </c:pt>
                <c:pt idx="4">
                  <c:v>Lv1→Lv2</c:v>
                </c:pt>
                <c:pt idx="5">
                  <c:v>Lv2→Lv3</c:v>
                </c:pt>
                <c:pt idx="6">
                  <c:v>Lv3→Lv4</c:v>
                </c:pt>
                <c:pt idx="7">
                  <c:v>Lv1→Lv3</c:v>
                </c:pt>
              </c:strCache>
            </c:strRef>
          </c:cat>
          <c:val>
            <c:numRef>
              <c:f>PROGRESS!$B$8:$I$8</c:f>
              <c:numCache>
                <c:formatCode>General</c:formatCode>
                <c:ptCount val="8"/>
                <c:pt idx="0">
                  <c:v>7</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9E60-4CF6-B456-C4A14CEC0FE7}"/>
            </c:ext>
          </c:extLst>
        </c:ser>
        <c:dLbls>
          <c:showLegendKey val="0"/>
          <c:showVal val="0"/>
          <c:showCatName val="0"/>
          <c:showSerName val="0"/>
          <c:showPercent val="0"/>
          <c:showBubbleSize val="0"/>
        </c:dLbls>
        <c:gapWidth val="150"/>
        <c:overlap val="100"/>
        <c:axId val="1519315420"/>
        <c:axId val="2055399414"/>
      </c:barChart>
      <c:catAx>
        <c:axId val="1519315420"/>
        <c:scaling>
          <c:orientation val="maxMin"/>
        </c:scaling>
        <c:delete val="0"/>
        <c:axPos val="l"/>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vi-VN"/>
          </a:p>
        </c:txPr>
        <c:crossAx val="2055399414"/>
        <c:crosses val="autoZero"/>
        <c:auto val="1"/>
        <c:lblAlgn val="ctr"/>
        <c:lblOffset val="100"/>
        <c:noMultiLvlLbl val="1"/>
      </c:catAx>
      <c:valAx>
        <c:axId val="20553994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vi-V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vi-VN"/>
          </a:p>
        </c:txPr>
        <c:crossAx val="1519315420"/>
        <c:crosses val="max"/>
        <c:crossBetween val="between"/>
      </c:valAx>
    </c:plotArea>
    <c:legend>
      <c:legendPos val="b"/>
      <c:overlay val="0"/>
      <c:txPr>
        <a:bodyPr/>
        <a:lstStyle/>
        <a:p>
          <a:pPr lvl="0">
            <a:defRPr sz="1400" b="0">
              <a:solidFill>
                <a:srgbClr val="1A1A1A"/>
              </a:solidFill>
              <a:latin typeface="+mn-lt"/>
            </a:defRPr>
          </a:pPr>
          <a:endParaRPr lang="vi-VN"/>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8</xdr:col>
      <xdr:colOff>190500</xdr:colOff>
      <xdr:row>19</xdr:row>
      <xdr:rowOff>190500</xdr:rowOff>
    </xdr:from>
    <xdr:ext cx="3924300" cy="24288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10</xdr:row>
      <xdr:rowOff>0</xdr:rowOff>
    </xdr:from>
    <xdr:ext cx="5019675" cy="10191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25</xdr:col>
      <xdr:colOff>714375</xdr:colOff>
      <xdr:row>12</xdr:row>
      <xdr:rowOff>19050</xdr:rowOff>
    </xdr:from>
    <xdr:ext cx="5391150" cy="3390900"/>
    <xdr:graphicFrame macro="">
      <xdr:nvGraphicFramePr>
        <xdr:cNvPr id="2" name="Chart 2" titl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44</xdr:col>
      <xdr:colOff>76200</xdr:colOff>
      <xdr:row>12</xdr:row>
      <xdr:rowOff>19050</xdr:rowOff>
    </xdr:from>
    <xdr:ext cx="5276850" cy="3390900"/>
    <xdr:graphicFrame macro="">
      <xdr:nvGraphicFramePr>
        <xdr:cNvPr id="3" name="Chart 3" titl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25</xdr:col>
      <xdr:colOff>714375</xdr:colOff>
      <xdr:row>12</xdr:row>
      <xdr:rowOff>19050</xdr:rowOff>
    </xdr:from>
    <xdr:ext cx="5391150" cy="3390900"/>
    <xdr:graphicFrame macro="">
      <xdr:nvGraphicFramePr>
        <xdr:cNvPr id="4" name="Chart 4" titl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44</xdr:col>
      <xdr:colOff>76200</xdr:colOff>
      <xdr:row>12</xdr:row>
      <xdr:rowOff>19050</xdr:rowOff>
    </xdr:from>
    <xdr:ext cx="5276850" cy="3390900"/>
    <xdr:graphicFrame macro="">
      <xdr:nvGraphicFramePr>
        <xdr:cNvPr id="5" name="Chart 5"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200025</xdr:colOff>
      <xdr:row>12</xdr:row>
      <xdr:rowOff>161925</xdr:rowOff>
    </xdr:from>
    <xdr:ext cx="5133975" cy="3390900"/>
    <xdr:graphicFrame macro="">
      <xdr:nvGraphicFramePr>
        <xdr:cNvPr id="6" name="Chart 6" title="Chart">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38100</xdr:colOff>
      <xdr:row>10</xdr:row>
      <xdr:rowOff>85725</xdr:rowOff>
    </xdr:from>
    <xdr:ext cx="12011025" cy="3533775"/>
    <xdr:graphicFrame macro="">
      <xdr:nvGraphicFramePr>
        <xdr:cNvPr id="7" name="Chart 7" title="Chart">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Hao Anh" id="{433A9F2B-6C29-4164-8501-07124125042E}" userId="" providerId="google-sheets"/>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h Hao" refreshedDate="46145.601418518519" refreshedVersion="8" recordCount="1580" xr:uid="{00000000-000A-0000-FFFF-FFFF07000000}">
  <cacheSource type="worksheet">
    <worksheetSource ref="R1:U1581" sheet="Copy of sheet2"/>
  </cacheSource>
  <cacheFields count="4">
    <cacheField name="Emp Code_x000a_(unique)" numFmtId="0">
      <sharedItems containsBlank="1" count="306">
        <e v="#NAME?"/>
        <m/>
        <s v="227155" u="1"/>
        <s v="173230" u="1"/>
        <s v="143079" u="1"/>
        <s v="227122" u="1"/>
        <s v="237050" u="1"/>
        <s v="227148" u="1"/>
        <s v="247300" u="1"/>
        <s v="247196" u="1"/>
        <s v="247200" u="1"/>
        <s v="247156" u="1"/>
        <s v="247192" u="1"/>
        <s v="247195" u="1"/>
        <s v="193547" u="1"/>
        <s v="247199" u="1"/>
        <s v="247405" u="1"/>
        <s v="247265" u="1"/>
        <s v="247264" u="1"/>
        <s v="247415" u="1"/>
        <s v="247360" u="1"/>
        <s v="247298" u="1"/>
        <s v="193529" u="1"/>
        <s v="193479" u="1"/>
        <s v="213811" u="1"/>
        <s v="183431" u="1"/>
        <s v="193499" u="1"/>
        <s v="227141" u="1"/>
        <s v="183427" u="1"/>
        <s v="237130" u="1"/>
        <s v="237097" u="1"/>
        <s v="193447" u="1"/>
        <s v="227160" u="1"/>
        <s v="247187" u="1"/>
        <s v="237182" u="1"/>
        <s v="227092" u="1"/>
        <s v="183421" u="1"/>
        <s v="247026" u="1"/>
        <s v="237043" u="1"/>
        <s v="193548" u="1"/>
        <s v="247198" u="1"/>
        <s v="247190" u="1"/>
        <s v="203759" u="1"/>
        <s v="247191" u="1"/>
        <s v="247388" u="1"/>
        <s v="247389" u="1"/>
        <s v="227183" u="1"/>
        <s v="247390" u="1"/>
        <s v="213891" u="1"/>
        <s v="193526" u="1"/>
        <s v="237117" u="1"/>
        <s v="203780" u="1"/>
        <s v="247313" u="1"/>
        <s v="193523" u="1"/>
        <s v="237161" u="1"/>
        <s v="237207" u="1"/>
        <s v="173272" u="1"/>
        <s v="237206" u="1"/>
        <s v="203790" u="1"/>
        <s v="237158" u="1"/>
        <s v="247043" u="1"/>
        <s v="237008" u="1"/>
        <s v="247260" u="1"/>
        <s v="247184" u="1"/>
        <s v="247161" u="1"/>
        <s v="247080" u="1"/>
        <s v="247079" u="1"/>
        <s v="247207" u="1"/>
        <s v="247037" u="1"/>
        <s v="247078" u="1"/>
        <s v="247106" u="1"/>
        <s v="247038" u="1"/>
        <s v="237169" u="1"/>
        <s v="237222" u="1"/>
        <s v="237227" u="1"/>
        <s v="237235" u="1"/>
        <s v="237238" u="1"/>
        <s v="227153" u="1"/>
        <s v="247379" u="1"/>
        <s v="183422" u="1"/>
        <s v="213893" u="1"/>
        <s v="227244" u="1"/>
        <s v="213936" u="1"/>
        <s v="193516" u="1"/>
        <s v="247234" u="1"/>
        <s v="213820" u="1"/>
        <s v="193443" u="1"/>
        <s v="193451" u="1"/>
        <s v="193633" u="1"/>
        <s v="213938" u="1"/>
        <s v="213856" u="1"/>
        <s v="227130" u="1"/>
        <s v="247185" u="1"/>
        <s v="227177" u="1"/>
        <s v="247163" u="1"/>
        <s v="247384" u="1"/>
        <s v="237237" u="1"/>
        <s v="213895" u="1"/>
        <s v="213991" u="1"/>
        <s v="247036" u="1"/>
        <s v="247127" u="1"/>
        <s v="247076" u="1"/>
        <s v="212007" u="1"/>
        <s v="242009" u="1"/>
        <s v="232002" u="1"/>
        <s v="222010" u="1"/>
        <s v="242001" u="1"/>
        <s v="222014" u="1"/>
        <s v="242006" u="1"/>
        <s v="242003" u="1"/>
        <s v="183432" u="1"/>
        <s v="227023" u="1"/>
        <s v="183440" u="1"/>
        <s v="183400" u="1"/>
        <s v="247357" u="1"/>
        <s v="227024" u="1"/>
        <s v="227032" u="1"/>
        <s v="173286" u="1"/>
        <s v="193519" u="1"/>
        <s v="213810" u="1"/>
        <s v="213974" u="1"/>
        <s v="213954" u="1"/>
        <s v="193579" u="1"/>
        <s v="227112" u="1"/>
        <s v="247377" u="1"/>
        <s v="237056" u="1"/>
        <s v="247183" u="1"/>
        <s v="237230" u="1"/>
        <s v="247412" u="1"/>
        <s v="247358" u="1"/>
        <s v="183340" u="1"/>
        <s v="193534" u="1"/>
        <s v="227047" u="1"/>
        <s v="133051" u="1"/>
        <s v="227080" u="1"/>
        <s v="227048" u="1"/>
        <s v="227064" u="1"/>
        <s v="203693" u="1"/>
        <s v="163188" u="1"/>
        <s v="237157" u="1"/>
        <s v="227035" u="1"/>
        <s v="247203" u="1"/>
        <s v="237196" u="1"/>
        <s v="213901" u="1"/>
        <s v="213835" u="1"/>
        <s v="227081" u="1"/>
        <s v="247332" u="1"/>
        <s v="193613" u="1"/>
        <s v="247097" u="1"/>
        <s v="247085" u="1"/>
        <s v="247086" u="1"/>
        <s v="213876" u="1"/>
        <s v="203765" u="1"/>
        <s v="247225" u="1"/>
        <s v="247378" u="1"/>
        <s v="213947" u="1"/>
        <s v="247245" u="1"/>
        <s v="227144" u="1"/>
        <s v="247359" u="1"/>
        <s v="237061" u="1"/>
        <s v="227008" u="1"/>
        <s v="227069" u="1"/>
        <s v="237246" u="1"/>
        <s v="237245" u="1"/>
        <s v="227188" u="1"/>
        <s v="227214" u="1"/>
        <s v="237226" u="1"/>
        <s v="193584" u="1"/>
        <s v="213929" u="1"/>
        <s v="227058" u="1"/>
        <s v="247083" u="1"/>
        <s v="247178" u="1"/>
        <s v="143084" u="1"/>
        <s v="143071" u="1"/>
        <s v="237006" u="1"/>
        <s v="227200" u="1"/>
        <s v="227225" u="1"/>
        <s v="193544" u="1"/>
        <s v="227240" u="1"/>
        <s v="183324" u="1"/>
        <s v="247230" u="1"/>
        <s v="227224" u="1"/>
        <s v="247114" u="1"/>
        <s v="237023" u="1"/>
        <s v="227170" u="1"/>
        <s v="247122" u="1"/>
        <s v="227125" u="1"/>
        <s v="183332" u="1"/>
        <s v="237049" u="1"/>
        <s v="227220" u="1"/>
        <s v="247146" u="1"/>
        <s v="237101" u="1"/>
        <s v="247098" u="1"/>
        <s v="237156" u="1"/>
        <s v="247119" u="1"/>
        <s v="203764" u="1"/>
        <s v="213808" u="1"/>
        <s v="193536" u="1"/>
        <s v="213975" u="1"/>
        <s v="213889" u="1"/>
        <s v="247054" u="1"/>
        <s v="193588" u="1"/>
        <s v="213815" u="1"/>
        <s v="113024" u="1"/>
        <s v="213914" u="1"/>
        <s v="213861" u="1"/>
        <s v="213851" u="1"/>
        <s v="247223" u="1"/>
        <s v="193445" u="1"/>
        <s v="213968" u="1"/>
        <s v="237147" u="1"/>
        <s v="213859" u="1"/>
        <s v="193632" u="1"/>
        <s v="247263" u="1"/>
        <s v="247088" u="1"/>
        <s v="247262" u="1"/>
        <s v="227097" u="1"/>
        <s v="247416" u="1"/>
        <s v="237183" u="1"/>
        <s v="203746" u="1"/>
        <s v="213863" u="1"/>
        <s v="213898" u="1"/>
        <s v="213946" u="1"/>
        <s v="227104" u="1"/>
        <s v="247172" u="1"/>
        <s v="213881" u="1"/>
        <s v="213854" u="1"/>
        <s v="213805" u="1"/>
        <s v="173232" u="1"/>
        <s v="203701" u="1"/>
        <s v="213935" u="1"/>
        <s v="227063" u="1"/>
        <s v="213916" u="1"/>
        <s v="237110" u="1"/>
        <s v="213870" u="1"/>
        <s v="237160" u="1"/>
        <s v="183423" u="1"/>
        <s v="173268" u="1"/>
        <s v="193496" u="1"/>
        <s v="193490" u="1"/>
        <s v="183322" u="1"/>
        <s v="173246" u="1"/>
        <s v="217001" u="1"/>
        <s v="247064" u="1"/>
        <s v="227091" u="1"/>
        <s v="133067" u="1"/>
        <s v="203748" u="1"/>
        <s v="257045" u="1"/>
        <s v="227055" u="1"/>
        <s v="213857" u="1"/>
        <s v="173231" u="1"/>
        <s v="193607" u="1"/>
        <s v="153139" u="1"/>
        <s v="193550" u="1"/>
        <s v="247102" u="1"/>
        <s v="247063" u="1"/>
        <s v="227218" u="1"/>
        <s v="247062" u="1"/>
        <s v="247147" u="1"/>
        <s v="237072" u="1"/>
        <s v="213844" u="1"/>
        <s v="153116" u="1"/>
        <s v="247082" u="1"/>
        <s v="183330" u="1"/>
        <s v="237129" u="1"/>
        <s v="227131" u="1"/>
        <s v="257036" u="1"/>
        <s v="193620" u="1"/>
        <s v="163215" u="1"/>
        <s v="227101" u="1"/>
        <s v="237035" u="1"/>
        <s v="203664" u="1"/>
        <s v="247065" u="1"/>
        <s v="183379" u="1"/>
        <s v="193530" u="1"/>
        <s v="193470" u="1"/>
        <s v="153138" u="1"/>
        <s v="193522" u="1"/>
        <s v="237070" u="1"/>
        <s v="203757" u="1"/>
        <s v="213911" u="1"/>
        <s v="203791" u="1"/>
        <s v="237031" u="1"/>
        <s v="203713" u="1"/>
        <s v="213874" u="1"/>
        <s v="203725" u="1"/>
        <s v="227005" u="1"/>
        <s v="213813" u="1"/>
        <s v="203786" u="1"/>
        <s v="257121" u="1"/>
        <s v="257135" u="1"/>
        <s v="257059" u="1"/>
        <s v="237103" u="1"/>
        <s v="247423" u="1"/>
        <s v="257134" u="1"/>
        <s v="237239" u="1"/>
        <s v="227116" u="1"/>
        <s v="247413" u="1"/>
        <s v="183382" u="1"/>
        <s v="227103" u="1"/>
        <s v="237201" u="1"/>
        <s v="193495" u="1"/>
        <s v="213817" u="1"/>
        <s v="257133" u="1"/>
        <s v="257132" u="1"/>
        <s v="193511" u="1"/>
      </sharedItems>
    </cacheField>
    <cacheField name="Role_x000a_(unique)" numFmtId="0">
      <sharedItems containsBlank="1"/>
    </cacheField>
    <cacheField name="Group Role" numFmtId="0">
      <sharedItems containsBlank="1" count="12">
        <s v="QC"/>
        <s v="PPO, SM, IM"/>
        <s v="DEV, TA"/>
        <e v="#NAME?"/>
        <s v="UI/UX, Des"/>
        <s v="GSD"/>
        <s v="BA, BC"/>
        <s v="HR, GA, Mgt"/>
        <s v="#N/A"/>
        <m/>
        <s v="PPO, SM, IM " u="1"/>
        <e v="#N/A" u="1"/>
      </sharedItems>
    </cacheField>
    <cacheField name="BU_x000a_(unique)" numFmtId="0">
      <sharedItems containsBlank="1" count="11">
        <s v="POC"/>
        <e v="#NAME?"/>
        <s v="CHORUS"/>
        <s v="LBU"/>
        <s v="ONC"/>
        <s v="MOC"/>
        <s v="TBU"/>
        <s v="BSG"/>
        <s v="#N/A"/>
        <e v="#N/A"/>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h Hao" refreshedDate="46145.601418865743" refreshedVersion="8" recordCount="1598" xr:uid="{00000000-000A-0000-FFFF-FFFF06000000}">
  <cacheSource type="worksheet">
    <worksheetSource ref="AN1:AQ1599" sheet="backupsheet2"/>
  </cacheSource>
  <cacheFields count="4">
    <cacheField name="Emp Code_x000a_(Active, uniques)" numFmtId="0">
      <sharedItems containsBlank="1" containsMixedTypes="1" containsNumber="1" containsInteger="1" minValue="193470" maxValue="193470"/>
    </cacheField>
    <cacheField name="Role_x000a_(unique)" numFmtId="0">
      <sharedItems containsBlank="1"/>
    </cacheField>
    <cacheField name="Group Role" numFmtId="0">
      <sharedItems containsBlank="1" count="11">
        <e v="#NAME?"/>
        <s v="DEV, TA"/>
        <s v="QC"/>
        <s v="PPO, SM, IM"/>
        <s v="GSD"/>
        <s v="#N/A"/>
        <m/>
        <s v="UI/UX, Des" u="1"/>
        <s v="PPO, SM, IM " u="1"/>
        <s v="BA, BC" u="1"/>
        <e v="#N/A" u="1"/>
      </sharedItems>
    </cacheField>
    <cacheField name="BU_x000a_(unique)" numFmtId="0">
      <sharedItems containsBlank="1" count="9">
        <s v="ONC"/>
        <s v="LBU"/>
        <s v="MOC"/>
        <s v="CHORUS"/>
        <s v="POC"/>
        <s v="TBU"/>
        <s v="#N/A"/>
        <e v="#N/A"/>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h Hao" refreshedDate="46145.60141909722" refreshedVersion="8" recordCount="1598" xr:uid="{00000000-000A-0000-FFFF-FFFF03000000}">
  <cacheSource type="worksheet">
    <worksheetSource ref="AN1:AQ1599" sheet="sheet2"/>
  </cacheSource>
  <cacheFields count="4">
    <cacheField name="Emp Code_x000a_(Active, uniques)" numFmtId="0">
      <sharedItems containsBlank="1" containsMixedTypes="1" containsNumber="1" containsInteger="1" minValue="193470" maxValue="193470"/>
    </cacheField>
    <cacheField name="Role_x000a_(unique)" numFmtId="0">
      <sharedItems containsBlank="1"/>
    </cacheField>
    <cacheField name="Group Role" numFmtId="0">
      <sharedItems containsBlank="1" count="11">
        <s v="QC"/>
        <e v="#NAME?"/>
        <s v="DEV, TA"/>
        <s v="UI/UX, Des"/>
        <s v="GSD"/>
        <s v="PPO, SM, IM"/>
        <s v="#N/A"/>
        <m/>
        <s v="PPO, SM, IM " u="1"/>
        <s v="BA, BC" u="1"/>
        <e v="#N/A" u="1"/>
      </sharedItems>
    </cacheField>
    <cacheField name="BU_x000a_(unique)" numFmtId="0">
      <sharedItems containsBlank="1" count="9">
        <s v="ONC"/>
        <s v="LBU"/>
        <s v="MOC"/>
        <s v="CHORUS"/>
        <s v="POC"/>
        <s v="TBU"/>
        <s v="#N/A"/>
        <e v="#N/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0">
  <r>
    <x v="0"/>
    <s v="QC"/>
    <x v="0"/>
    <x v="0"/>
  </r>
  <r>
    <x v="0"/>
    <s v="QC"/>
    <x v="0"/>
    <x v="1"/>
  </r>
  <r>
    <x v="0"/>
    <s v="QC"/>
    <x v="0"/>
    <x v="0"/>
  </r>
  <r>
    <x v="0"/>
    <s v="QC"/>
    <x v="0"/>
    <x v="1"/>
  </r>
  <r>
    <x v="0"/>
    <s v="QC"/>
    <x v="0"/>
    <x v="0"/>
  </r>
  <r>
    <x v="0"/>
    <s v="QC"/>
    <x v="0"/>
    <x v="0"/>
  </r>
  <r>
    <x v="0"/>
    <s v="SM"/>
    <x v="1"/>
    <x v="2"/>
  </r>
  <r>
    <x v="0"/>
    <s v="DEV"/>
    <x v="2"/>
    <x v="2"/>
  </r>
  <r>
    <x v="0"/>
    <s v="DEV"/>
    <x v="2"/>
    <x v="2"/>
  </r>
  <r>
    <x v="0"/>
    <s v="TA"/>
    <x v="2"/>
    <x v="2"/>
  </r>
  <r>
    <x v="0"/>
    <s v="DEV"/>
    <x v="2"/>
    <x v="3"/>
  </r>
  <r>
    <x v="0"/>
    <s v="DEV"/>
    <x v="2"/>
    <x v="2"/>
  </r>
  <r>
    <x v="0"/>
    <s v="DEV"/>
    <x v="2"/>
    <x v="2"/>
  </r>
  <r>
    <x v="0"/>
    <s v="DEV"/>
    <x v="2"/>
    <x v="2"/>
  </r>
  <r>
    <x v="0"/>
    <e v="#NAME?"/>
    <x v="3"/>
    <x v="3"/>
  </r>
  <r>
    <x v="0"/>
    <s v="UI/UX"/>
    <x v="4"/>
    <x v="2"/>
  </r>
  <r>
    <x v="0"/>
    <s v="QC"/>
    <x v="0"/>
    <x v="2"/>
  </r>
  <r>
    <x v="0"/>
    <s v="QC"/>
    <x v="0"/>
    <x v="3"/>
  </r>
  <r>
    <x v="0"/>
    <s v="QC"/>
    <x v="0"/>
    <x v="2"/>
  </r>
  <r>
    <x v="0"/>
    <s v="UI/UX"/>
    <x v="4"/>
    <x v="3"/>
  </r>
  <r>
    <x v="0"/>
    <s v="DEV"/>
    <x v="2"/>
    <x v="4"/>
  </r>
  <r>
    <x v="0"/>
    <s v="DEV"/>
    <x v="2"/>
    <x v="4"/>
  </r>
  <r>
    <x v="0"/>
    <s v="DEV"/>
    <x v="2"/>
    <x v="4"/>
  </r>
  <r>
    <x v="0"/>
    <s v="DEV"/>
    <x v="2"/>
    <x v="4"/>
  </r>
  <r>
    <x v="0"/>
    <s v="DEV"/>
    <x v="2"/>
    <x v="4"/>
  </r>
  <r>
    <x v="0"/>
    <s v="DEV"/>
    <x v="2"/>
    <x v="4"/>
  </r>
  <r>
    <x v="0"/>
    <s v="DEV"/>
    <x v="2"/>
    <x v="4"/>
  </r>
  <r>
    <x v="0"/>
    <e v="#NAME?"/>
    <x v="3"/>
    <x v="4"/>
  </r>
  <r>
    <x v="0"/>
    <s v="DEV"/>
    <x v="2"/>
    <x v="4"/>
  </r>
  <r>
    <x v="0"/>
    <s v="DEV"/>
    <x v="2"/>
    <x v="3"/>
  </r>
  <r>
    <x v="0"/>
    <s v="GSD"/>
    <x v="5"/>
    <x v="3"/>
  </r>
  <r>
    <x v="0"/>
    <s v="GSD"/>
    <x v="5"/>
    <x v="3"/>
  </r>
  <r>
    <x v="0"/>
    <s v="GSD"/>
    <x v="5"/>
    <x v="4"/>
  </r>
  <r>
    <x v="0"/>
    <s v="GSD"/>
    <x v="5"/>
    <x v="3"/>
  </r>
  <r>
    <x v="0"/>
    <e v="#NAME?"/>
    <x v="3"/>
    <x v="3"/>
  </r>
  <r>
    <x v="0"/>
    <s v="GSD"/>
    <x v="5"/>
    <x v="3"/>
  </r>
  <r>
    <x v="0"/>
    <s v="DEV"/>
    <x v="2"/>
    <x v="3"/>
  </r>
  <r>
    <x v="0"/>
    <s v="QC"/>
    <x v="0"/>
    <x v="1"/>
  </r>
  <r>
    <x v="0"/>
    <s v="DEV"/>
    <x v="2"/>
    <x v="2"/>
  </r>
  <r>
    <x v="0"/>
    <s v="DEV"/>
    <x v="2"/>
    <x v="1"/>
  </r>
  <r>
    <x v="0"/>
    <s v="DEV"/>
    <x v="2"/>
    <x v="3"/>
  </r>
  <r>
    <x v="0"/>
    <s v="DEV"/>
    <x v="2"/>
    <x v="2"/>
  </r>
  <r>
    <x v="0"/>
    <s v="QC"/>
    <x v="0"/>
    <x v="5"/>
  </r>
  <r>
    <x v="0"/>
    <s v="QC"/>
    <x v="0"/>
    <x v="3"/>
  </r>
  <r>
    <x v="0"/>
    <s v="DEV"/>
    <x v="2"/>
    <x v="6"/>
  </r>
  <r>
    <x v="0"/>
    <s v="QC"/>
    <x v="0"/>
    <x v="3"/>
  </r>
  <r>
    <x v="0"/>
    <s v="DEV"/>
    <x v="2"/>
    <x v="6"/>
  </r>
  <r>
    <x v="0"/>
    <s v="DEV"/>
    <x v="2"/>
    <x v="6"/>
  </r>
  <r>
    <x v="0"/>
    <s v="DEV"/>
    <x v="2"/>
    <x v="6"/>
  </r>
  <r>
    <x v="0"/>
    <s v="QC"/>
    <x v="0"/>
    <x v="6"/>
  </r>
  <r>
    <x v="0"/>
    <s v="SM"/>
    <x v="1"/>
    <x v="6"/>
  </r>
  <r>
    <x v="0"/>
    <s v="DEV"/>
    <x v="2"/>
    <x v="6"/>
  </r>
  <r>
    <x v="0"/>
    <s v="DEV"/>
    <x v="2"/>
    <x v="1"/>
  </r>
  <r>
    <x v="0"/>
    <s v="GSD"/>
    <x v="5"/>
    <x v="4"/>
  </r>
  <r>
    <x v="0"/>
    <s v="GSD"/>
    <x v="5"/>
    <x v="3"/>
  </r>
  <r>
    <x v="0"/>
    <s v="GSD"/>
    <x v="5"/>
    <x v="3"/>
  </r>
  <r>
    <x v="0"/>
    <s v="GSD"/>
    <x v="5"/>
    <x v="3"/>
  </r>
  <r>
    <x v="0"/>
    <s v="GSD"/>
    <x v="5"/>
    <x v="3"/>
  </r>
  <r>
    <x v="0"/>
    <s v="GSD"/>
    <x v="5"/>
    <x v="3"/>
  </r>
  <r>
    <x v="0"/>
    <s v="GSD"/>
    <x v="5"/>
    <x v="3"/>
  </r>
  <r>
    <x v="0"/>
    <s v="UI/UX"/>
    <x v="4"/>
    <x v="2"/>
  </r>
  <r>
    <x v="0"/>
    <s v="DEV"/>
    <x v="2"/>
    <x v="1"/>
  </r>
  <r>
    <x v="0"/>
    <s v="DEV"/>
    <x v="2"/>
    <x v="2"/>
  </r>
  <r>
    <x v="0"/>
    <s v="QC"/>
    <x v="0"/>
    <x v="2"/>
  </r>
  <r>
    <x v="0"/>
    <s v="TA"/>
    <x v="2"/>
    <x v="2"/>
  </r>
  <r>
    <x v="0"/>
    <s v="DEV"/>
    <x v="2"/>
    <x v="2"/>
  </r>
  <r>
    <x v="0"/>
    <s v="DEV"/>
    <x v="2"/>
    <x v="2"/>
  </r>
  <r>
    <x v="0"/>
    <s v="DEV"/>
    <x v="2"/>
    <x v="2"/>
  </r>
  <r>
    <x v="0"/>
    <s v="QC"/>
    <x v="0"/>
    <x v="2"/>
  </r>
  <r>
    <x v="0"/>
    <s v="DEV"/>
    <x v="2"/>
    <x v="2"/>
  </r>
  <r>
    <x v="0"/>
    <s v="DEV"/>
    <x v="2"/>
    <x v="2"/>
  </r>
  <r>
    <x v="0"/>
    <s v="TA"/>
    <x v="2"/>
    <x v="2"/>
  </r>
  <r>
    <x v="0"/>
    <s v="DEV"/>
    <x v="2"/>
    <x v="6"/>
  </r>
  <r>
    <x v="0"/>
    <s v="QC"/>
    <x v="0"/>
    <x v="2"/>
  </r>
  <r>
    <x v="0"/>
    <s v="DEV"/>
    <x v="2"/>
    <x v="2"/>
  </r>
  <r>
    <x v="0"/>
    <s v="QC"/>
    <x v="0"/>
    <x v="2"/>
  </r>
  <r>
    <x v="0"/>
    <s v="DEV"/>
    <x v="2"/>
    <x v="2"/>
  </r>
  <r>
    <x v="0"/>
    <s v="DEV"/>
    <x v="2"/>
    <x v="4"/>
  </r>
  <r>
    <x v="0"/>
    <s v="DEV"/>
    <x v="2"/>
    <x v="4"/>
  </r>
  <r>
    <x v="0"/>
    <s v="DEV"/>
    <x v="2"/>
    <x v="4"/>
  </r>
  <r>
    <x v="0"/>
    <s v="DEV"/>
    <x v="2"/>
    <x v="4"/>
  </r>
  <r>
    <x v="0"/>
    <s v="DEV"/>
    <x v="2"/>
    <x v="4"/>
  </r>
  <r>
    <x v="0"/>
    <s v="QC"/>
    <x v="0"/>
    <x v="3"/>
  </r>
  <r>
    <x v="0"/>
    <s v="QC"/>
    <x v="0"/>
    <x v="3"/>
  </r>
  <r>
    <x v="0"/>
    <s v="QC"/>
    <x v="0"/>
    <x v="4"/>
  </r>
  <r>
    <x v="0"/>
    <s v="QC"/>
    <x v="0"/>
    <x v="5"/>
  </r>
  <r>
    <x v="0"/>
    <s v="QC"/>
    <x v="0"/>
    <x v="4"/>
  </r>
  <r>
    <x v="0"/>
    <s v="QC"/>
    <x v="0"/>
    <x v="4"/>
  </r>
  <r>
    <x v="0"/>
    <s v="QC"/>
    <x v="0"/>
    <x v="4"/>
  </r>
  <r>
    <x v="0"/>
    <s v="QC"/>
    <x v="0"/>
    <x v="4"/>
  </r>
  <r>
    <x v="0"/>
    <s v="QC"/>
    <x v="0"/>
    <x v="4"/>
  </r>
  <r>
    <x v="0"/>
    <s v="QC"/>
    <x v="0"/>
    <x v="4"/>
  </r>
  <r>
    <x v="0"/>
    <s v="QC"/>
    <x v="0"/>
    <x v="3"/>
  </r>
  <r>
    <x v="0"/>
    <s v="QC"/>
    <x v="0"/>
    <x v="3"/>
  </r>
  <r>
    <x v="0"/>
    <s v="BA"/>
    <x v="6"/>
    <x v="6"/>
  </r>
  <r>
    <x v="0"/>
    <s v="DEV"/>
    <x v="2"/>
    <x v="6"/>
  </r>
  <r>
    <x v="0"/>
    <s v="DEV"/>
    <x v="2"/>
    <x v="6"/>
  </r>
  <r>
    <x v="0"/>
    <s v="DEV"/>
    <x v="2"/>
    <x v="1"/>
  </r>
  <r>
    <x v="0"/>
    <s v="DEV"/>
    <x v="2"/>
    <x v="6"/>
  </r>
  <r>
    <x v="0"/>
    <s v="DEV"/>
    <x v="2"/>
    <x v="6"/>
  </r>
  <r>
    <x v="0"/>
    <s v="HR"/>
    <x v="7"/>
    <x v="7"/>
  </r>
  <r>
    <x v="0"/>
    <s v="HR"/>
    <x v="7"/>
    <x v="3"/>
  </r>
  <r>
    <x v="0"/>
    <s v="HR"/>
    <x v="7"/>
    <x v="7"/>
  </r>
  <r>
    <x v="0"/>
    <s v="HR"/>
    <x v="7"/>
    <x v="7"/>
  </r>
  <r>
    <x v="0"/>
    <s v="HR"/>
    <x v="7"/>
    <x v="7"/>
  </r>
  <r>
    <x v="0"/>
    <s v="HR"/>
    <x v="7"/>
    <x v="7"/>
  </r>
  <r>
    <x v="0"/>
    <s v="Admin"/>
    <x v="7"/>
    <x v="7"/>
  </r>
  <r>
    <x v="0"/>
    <s v="Admin"/>
    <x v="7"/>
    <x v="7"/>
  </r>
  <r>
    <x v="0"/>
    <s v="DEV"/>
    <x v="2"/>
    <x v="4"/>
  </r>
  <r>
    <x v="0"/>
    <s v="DEV"/>
    <x v="2"/>
    <x v="4"/>
  </r>
  <r>
    <x v="0"/>
    <s v="DEV"/>
    <x v="2"/>
    <x v="4"/>
  </r>
  <r>
    <x v="0"/>
    <s v="DEV"/>
    <x v="2"/>
    <x v="4"/>
  </r>
  <r>
    <x v="0"/>
    <s v="DEV"/>
    <x v="2"/>
    <x v="4"/>
  </r>
  <r>
    <x v="0"/>
    <s v="DEV"/>
    <x v="2"/>
    <x v="4"/>
  </r>
  <r>
    <x v="0"/>
    <s v="DEV"/>
    <x v="2"/>
    <x v="4"/>
  </r>
  <r>
    <x v="0"/>
    <s v="DEV"/>
    <x v="2"/>
    <x v="4"/>
  </r>
  <r>
    <x v="0"/>
    <s v="DEV"/>
    <x v="2"/>
    <x v="4"/>
  </r>
  <r>
    <x v="0"/>
    <s v="DEV"/>
    <x v="2"/>
    <x v="4"/>
  </r>
  <r>
    <x v="0"/>
    <s v="DEV"/>
    <x v="2"/>
    <x v="6"/>
  </r>
  <r>
    <x v="0"/>
    <s v="DEV"/>
    <x v="2"/>
    <x v="3"/>
  </r>
  <r>
    <x v="0"/>
    <s v="DEV"/>
    <x v="2"/>
    <x v="1"/>
  </r>
  <r>
    <x v="0"/>
    <s v="DEV"/>
    <x v="2"/>
    <x v="2"/>
  </r>
  <r>
    <x v="0"/>
    <s v="Designer"/>
    <x v="4"/>
    <x v="3"/>
  </r>
  <r>
    <x v="0"/>
    <e v="#NAME?"/>
    <x v="3"/>
    <x v="3"/>
  </r>
  <r>
    <x v="0"/>
    <s v="Designer"/>
    <x v="4"/>
    <x v="2"/>
  </r>
  <r>
    <x v="0"/>
    <s v="Designer"/>
    <x v="4"/>
    <x v="3"/>
  </r>
  <r>
    <x v="0"/>
    <s v="QC"/>
    <x v="0"/>
    <x v="3"/>
  </r>
  <r>
    <x v="0"/>
    <s v="UI/UX"/>
    <x v="4"/>
    <x v="2"/>
  </r>
  <r>
    <x v="0"/>
    <s v="DEV"/>
    <x v="2"/>
    <x v="0"/>
  </r>
  <r>
    <x v="0"/>
    <s v="DEV"/>
    <x v="2"/>
    <x v="0"/>
  </r>
  <r>
    <x v="0"/>
    <s v="DEV"/>
    <x v="2"/>
    <x v="0"/>
  </r>
  <r>
    <x v="0"/>
    <s v="DEV"/>
    <x v="2"/>
    <x v="6"/>
  </r>
  <r>
    <x v="0"/>
    <s v="DEV"/>
    <x v="2"/>
    <x v="6"/>
  </r>
  <r>
    <x v="0"/>
    <s v="DEV"/>
    <x v="2"/>
    <x v="0"/>
  </r>
  <r>
    <x v="0"/>
    <s v="DEV"/>
    <x v="2"/>
    <x v="6"/>
  </r>
  <r>
    <x v="0"/>
    <s v="DEV"/>
    <x v="2"/>
    <x v="0"/>
  </r>
  <r>
    <x v="0"/>
    <s v="DEV"/>
    <x v="2"/>
    <x v="5"/>
  </r>
  <r>
    <x v="0"/>
    <s v="DEV"/>
    <x v="2"/>
    <x v="5"/>
  </r>
  <r>
    <x v="0"/>
    <s v="DEV"/>
    <x v="2"/>
    <x v="3"/>
  </r>
  <r>
    <x v="0"/>
    <s v="DEV"/>
    <x v="2"/>
    <x v="5"/>
  </r>
  <r>
    <x v="0"/>
    <s v="DEV"/>
    <x v="2"/>
    <x v="5"/>
  </r>
  <r>
    <x v="0"/>
    <s v="DEV"/>
    <x v="2"/>
    <x v="3"/>
  </r>
  <r>
    <x v="0"/>
    <s v="DEV"/>
    <x v="2"/>
    <x v="5"/>
  </r>
  <r>
    <x v="0"/>
    <s v="DEV"/>
    <x v="2"/>
    <x v="5"/>
  </r>
  <r>
    <x v="0"/>
    <s v="DEV"/>
    <x v="2"/>
    <x v="3"/>
  </r>
  <r>
    <x v="0"/>
    <s v="DEV"/>
    <x v="2"/>
    <x v="5"/>
  </r>
  <r>
    <x v="0"/>
    <s v="DEV"/>
    <x v="2"/>
    <x v="5"/>
  </r>
  <r>
    <x v="0"/>
    <s v="DEV"/>
    <x v="2"/>
    <x v="3"/>
  </r>
  <r>
    <x v="0"/>
    <s v="DEV"/>
    <x v="2"/>
    <x v="3"/>
  </r>
  <r>
    <x v="0"/>
    <s v="DEV"/>
    <x v="2"/>
    <x v="5"/>
  </r>
  <r>
    <x v="0"/>
    <s v="DEV"/>
    <x v="2"/>
    <x v="5"/>
  </r>
  <r>
    <x v="0"/>
    <s v="DEV"/>
    <x v="2"/>
    <x v="5"/>
  </r>
  <r>
    <x v="0"/>
    <s v="QC"/>
    <x v="0"/>
    <x v="5"/>
  </r>
  <r>
    <x v="0"/>
    <s v="QC"/>
    <x v="0"/>
    <x v="5"/>
  </r>
  <r>
    <x v="0"/>
    <s v="DEV"/>
    <x v="2"/>
    <x v="3"/>
  </r>
  <r>
    <x v="0"/>
    <s v="QC"/>
    <x v="0"/>
    <x v="3"/>
  </r>
  <r>
    <x v="0"/>
    <s v="DEV"/>
    <x v="2"/>
    <x v="3"/>
  </r>
  <r>
    <x v="0"/>
    <s v="DEV"/>
    <x v="2"/>
    <x v="3"/>
  </r>
  <r>
    <x v="0"/>
    <s v="DEV"/>
    <x v="2"/>
    <x v="3"/>
  </r>
  <r>
    <x v="0"/>
    <s v="DEV"/>
    <x v="2"/>
    <x v="3"/>
  </r>
  <r>
    <x v="0"/>
    <s v="QC"/>
    <x v="0"/>
    <x v="3"/>
  </r>
  <r>
    <x v="0"/>
    <s v="DEV"/>
    <x v="2"/>
    <x v="3"/>
  </r>
  <r>
    <x v="0"/>
    <s v="DEV"/>
    <x v="2"/>
    <x v="3"/>
  </r>
  <r>
    <x v="0"/>
    <s v="GSD"/>
    <x v="5"/>
    <x v="3"/>
  </r>
  <r>
    <x v="0"/>
    <s v="GSD"/>
    <x v="5"/>
    <x v="3"/>
  </r>
  <r>
    <x v="0"/>
    <s v="GSD"/>
    <x v="5"/>
    <x v="3"/>
  </r>
  <r>
    <x v="0"/>
    <s v="GSD"/>
    <x v="5"/>
    <x v="3"/>
  </r>
  <r>
    <x v="0"/>
    <s v="BA"/>
    <x v="6"/>
    <x v="3"/>
  </r>
  <r>
    <x v="0"/>
    <s v="GSD"/>
    <x v="5"/>
    <x v="3"/>
  </r>
  <r>
    <x v="0"/>
    <s v="GSD"/>
    <x v="5"/>
    <x v="3"/>
  </r>
  <r>
    <x v="0"/>
    <s v="BA"/>
    <x v="6"/>
    <x v="3"/>
  </r>
  <r>
    <x v="0"/>
    <s v="Management"/>
    <x v="7"/>
    <x v="2"/>
  </r>
  <r>
    <x v="0"/>
    <s v="QC"/>
    <x v="0"/>
    <x v="2"/>
  </r>
  <r>
    <x v="0"/>
    <s v="UI/UX"/>
    <x v="4"/>
    <x v="2"/>
  </r>
  <r>
    <x v="0"/>
    <s v="DEV"/>
    <x v="2"/>
    <x v="2"/>
  </r>
  <r>
    <x v="0"/>
    <s v="PPO"/>
    <x v="1"/>
    <x v="2"/>
  </r>
  <r>
    <x v="0"/>
    <s v="DEV"/>
    <x v="2"/>
    <x v="2"/>
  </r>
  <r>
    <x v="0"/>
    <s v="DEV"/>
    <x v="2"/>
    <x v="2"/>
  </r>
  <r>
    <x v="0"/>
    <s v="DEV"/>
    <x v="2"/>
    <x v="2"/>
  </r>
  <r>
    <x v="0"/>
    <s v="DEV"/>
    <x v="2"/>
    <x v="2"/>
  </r>
  <r>
    <x v="0"/>
    <s v="DEV"/>
    <x v="2"/>
    <x v="2"/>
  </r>
  <r>
    <x v="0"/>
    <s v="DEV"/>
    <x v="2"/>
    <x v="2"/>
  </r>
  <r>
    <x v="0"/>
    <s v="QC"/>
    <x v="0"/>
    <x v="2"/>
  </r>
  <r>
    <x v="0"/>
    <s v="SM"/>
    <x v="1"/>
    <x v="2"/>
  </r>
  <r>
    <x v="0"/>
    <s v="QC"/>
    <x v="0"/>
    <x v="2"/>
  </r>
  <r>
    <x v="0"/>
    <s v="DEV"/>
    <x v="2"/>
    <x v="2"/>
  </r>
  <r>
    <x v="0"/>
    <s v="QC"/>
    <x v="0"/>
    <x v="2"/>
  </r>
  <r>
    <x v="0"/>
    <s v="SM"/>
    <x v="1"/>
    <x v="2"/>
  </r>
  <r>
    <x v="0"/>
    <s v="DEV"/>
    <x v="2"/>
    <x v="2"/>
  </r>
  <r>
    <x v="0"/>
    <e v="#NAME?"/>
    <x v="3"/>
    <x v="2"/>
  </r>
  <r>
    <x v="0"/>
    <s v="DEV"/>
    <x v="2"/>
    <x v="5"/>
  </r>
  <r>
    <x v="0"/>
    <e v="#NAME?"/>
    <x v="3"/>
    <x v="5"/>
  </r>
  <r>
    <x v="0"/>
    <s v="DEV"/>
    <x v="2"/>
    <x v="5"/>
  </r>
  <r>
    <x v="0"/>
    <s v="DEV"/>
    <x v="2"/>
    <x v="5"/>
  </r>
  <r>
    <x v="0"/>
    <s v="DEV"/>
    <x v="2"/>
    <x v="5"/>
  </r>
  <r>
    <x v="0"/>
    <s v="DEV"/>
    <x v="2"/>
    <x v="6"/>
  </r>
  <r>
    <x v="0"/>
    <s v="DEV"/>
    <x v="2"/>
    <x v="5"/>
  </r>
  <r>
    <x v="0"/>
    <s v="DEV"/>
    <x v="2"/>
    <x v="5"/>
  </r>
  <r>
    <x v="0"/>
    <s v="DEV"/>
    <x v="2"/>
    <x v="5"/>
  </r>
  <r>
    <x v="0"/>
    <s v="DEV"/>
    <x v="2"/>
    <x v="5"/>
  </r>
  <r>
    <x v="0"/>
    <s v="DEV"/>
    <x v="2"/>
    <x v="5"/>
  </r>
  <r>
    <x v="0"/>
    <s v="DEV"/>
    <x v="2"/>
    <x v="5"/>
  </r>
  <r>
    <x v="0"/>
    <s v="DEV"/>
    <x v="2"/>
    <x v="5"/>
  </r>
  <r>
    <x v="0"/>
    <s v="DEV"/>
    <x v="2"/>
    <x v="5"/>
  </r>
  <r>
    <x v="0"/>
    <s v="DEV"/>
    <x v="2"/>
    <x v="5"/>
  </r>
  <r>
    <x v="0"/>
    <s v="DEV"/>
    <x v="2"/>
    <x v="5"/>
  </r>
  <r>
    <x v="0"/>
    <s v="QC"/>
    <x v="0"/>
    <x v="5"/>
  </r>
  <r>
    <x v="0"/>
    <s v="QC"/>
    <x v="0"/>
    <x v="5"/>
  </r>
  <r>
    <x v="0"/>
    <s v="GSD"/>
    <x v="5"/>
    <x v="5"/>
  </r>
  <r>
    <x v="0"/>
    <s v="GSD"/>
    <x v="5"/>
    <x v="5"/>
  </r>
  <r>
    <x v="0"/>
    <s v="GSD"/>
    <x v="5"/>
    <x v="5"/>
  </r>
  <r>
    <x v="0"/>
    <s v="GSD"/>
    <x v="5"/>
    <x v="5"/>
  </r>
  <r>
    <x v="0"/>
    <s v="GSD"/>
    <x v="5"/>
    <x v="5"/>
  </r>
  <r>
    <x v="0"/>
    <s v="GSD"/>
    <x v="5"/>
    <x v="5"/>
  </r>
  <r>
    <x v="0"/>
    <s v="GSD"/>
    <x v="5"/>
    <x v="5"/>
  </r>
  <r>
    <x v="0"/>
    <s v="QC"/>
    <x v="0"/>
    <x v="3"/>
  </r>
  <r>
    <x v="0"/>
    <s v="BC"/>
    <x v="6"/>
    <x v="5"/>
  </r>
  <r>
    <x v="0"/>
    <s v="DEV"/>
    <x v="2"/>
    <x v="5"/>
  </r>
  <r>
    <x v="0"/>
    <s v="DEV"/>
    <x v="2"/>
    <x v="5"/>
  </r>
  <r>
    <x v="0"/>
    <s v="DEV"/>
    <x v="2"/>
    <x v="5"/>
  </r>
  <r>
    <x v="0"/>
    <s v="DEV"/>
    <x v="2"/>
    <x v="5"/>
  </r>
  <r>
    <x v="0"/>
    <s v="BC"/>
    <x v="6"/>
    <x v="5"/>
  </r>
  <r>
    <x v="0"/>
    <s v="DEV"/>
    <x v="2"/>
    <x v="5"/>
  </r>
  <r>
    <x v="0"/>
    <s v="DEV"/>
    <x v="2"/>
    <x v="5"/>
  </r>
  <r>
    <x v="0"/>
    <s v="DEV"/>
    <x v="2"/>
    <x v="5"/>
  </r>
  <r>
    <x v="0"/>
    <s v="DEV"/>
    <x v="2"/>
    <x v="5"/>
  </r>
  <r>
    <x v="0"/>
    <s v="TA"/>
    <x v="2"/>
    <x v="5"/>
  </r>
  <r>
    <x v="0"/>
    <s v="DEV"/>
    <x v="2"/>
    <x v="5"/>
  </r>
  <r>
    <x v="0"/>
    <s v="DEV"/>
    <x v="2"/>
    <x v="5"/>
  </r>
  <r>
    <x v="0"/>
    <s v="DEV"/>
    <x v="2"/>
    <x v="5"/>
  </r>
  <r>
    <x v="0"/>
    <s v="DEV"/>
    <x v="2"/>
    <x v="5"/>
  </r>
  <r>
    <x v="0"/>
    <s v="BA"/>
    <x v="6"/>
    <x v="6"/>
  </r>
  <r>
    <x v="0"/>
    <s v="DEV"/>
    <x v="2"/>
    <x v="6"/>
  </r>
  <r>
    <x v="0"/>
    <s v="DEV"/>
    <x v="2"/>
    <x v="6"/>
  </r>
  <r>
    <x v="0"/>
    <s v="Management"/>
    <x v="7"/>
    <x v="4"/>
  </r>
  <r>
    <x v="0"/>
    <s v="GSD"/>
    <x v="5"/>
    <x v="6"/>
  </r>
  <r>
    <x v="0"/>
    <s v="GSD"/>
    <x v="5"/>
    <x v="0"/>
  </r>
  <r>
    <x v="0"/>
    <s v="GSD"/>
    <x v="5"/>
    <x v="0"/>
  </r>
  <r>
    <x v="0"/>
    <s v="DEV"/>
    <x v="2"/>
    <x v="5"/>
  </r>
  <r>
    <x v="0"/>
    <s v="GSD"/>
    <x v="5"/>
    <x v="0"/>
  </r>
  <r>
    <x v="0"/>
    <s v="GSD"/>
    <x v="5"/>
    <x v="2"/>
  </r>
  <r>
    <x v="0"/>
    <s v="GSD"/>
    <x v="5"/>
    <x v="0"/>
  </r>
  <r>
    <x v="0"/>
    <s v="GSD"/>
    <x v="5"/>
    <x v="0"/>
  </r>
  <r>
    <x v="0"/>
    <s v="GSD"/>
    <x v="5"/>
    <x v="0"/>
  </r>
  <r>
    <x v="0"/>
    <e v="#NAME?"/>
    <x v="3"/>
    <x v="0"/>
  </r>
  <r>
    <x v="0"/>
    <s v="GSD"/>
    <x v="5"/>
    <x v="6"/>
  </r>
  <r>
    <x v="0"/>
    <s v="GSD"/>
    <x v="5"/>
    <x v="6"/>
  </r>
  <r>
    <x v="0"/>
    <s v="GSD"/>
    <x v="5"/>
    <x v="0"/>
  </r>
  <r>
    <x v="0"/>
    <s v="GSD"/>
    <x v="5"/>
    <x v="0"/>
  </r>
  <r>
    <x v="0"/>
    <s v="GSD"/>
    <x v="5"/>
    <x v="6"/>
  </r>
  <r>
    <x v="0"/>
    <s v="BA"/>
    <x v="6"/>
    <x v="0"/>
  </r>
  <r>
    <x v="0"/>
    <s v="GSD"/>
    <x v="5"/>
    <x v="6"/>
  </r>
  <r>
    <x v="0"/>
    <s v="GSD"/>
    <x v="5"/>
    <x v="0"/>
  </r>
  <r>
    <x v="0"/>
    <s v="GSD"/>
    <x v="5"/>
    <x v="0"/>
  </r>
  <r>
    <x v="0"/>
    <s v="GSD"/>
    <x v="5"/>
    <x v="0"/>
  </r>
  <r>
    <x v="0"/>
    <s v="GSD"/>
    <x v="5"/>
    <x v="0"/>
  </r>
  <r>
    <x v="0"/>
    <s v="GSD"/>
    <x v="5"/>
    <x v="0"/>
  </r>
  <r>
    <x v="0"/>
    <s v="GSD"/>
    <x v="5"/>
    <x v="6"/>
  </r>
  <r>
    <x v="0"/>
    <s v="DEV"/>
    <x v="2"/>
    <x v="5"/>
  </r>
  <r>
    <x v="0"/>
    <s v="GSD"/>
    <x v="5"/>
    <x v="0"/>
  </r>
  <r>
    <x v="0"/>
    <s v="GSD"/>
    <x v="5"/>
    <x v="3"/>
  </r>
  <r>
    <x v="0"/>
    <s v="GSD"/>
    <x v="5"/>
    <x v="6"/>
  </r>
  <r>
    <x v="0"/>
    <s v="GSD"/>
    <x v="5"/>
    <x v="6"/>
  </r>
  <r>
    <x v="0"/>
    <s v="GSD"/>
    <x v="5"/>
    <x v="3"/>
  </r>
  <r>
    <x v="0"/>
    <s v="GSD"/>
    <x v="5"/>
    <x v="3"/>
  </r>
  <r>
    <x v="0"/>
    <s v="GSD"/>
    <x v="5"/>
    <x v="3"/>
  </r>
  <r>
    <x v="0"/>
    <s v="BC"/>
    <x v="6"/>
    <x v="3"/>
  </r>
  <r>
    <x v="0"/>
    <s v="DEV"/>
    <x v="2"/>
    <x v="4"/>
  </r>
  <r>
    <x v="0"/>
    <s v="DEV"/>
    <x v="2"/>
    <x v="4"/>
  </r>
  <r>
    <x v="0"/>
    <s v="DEV"/>
    <x v="2"/>
    <x v="4"/>
  </r>
  <r>
    <x v="0"/>
    <s v="DEV"/>
    <x v="2"/>
    <x v="4"/>
  </r>
  <r>
    <x v="0"/>
    <s v="DEV"/>
    <x v="2"/>
    <x v="3"/>
  </r>
  <r>
    <x v="0"/>
    <s v="DEV"/>
    <x v="2"/>
    <x v="4"/>
  </r>
  <r>
    <x v="0"/>
    <s v="DEV"/>
    <x v="2"/>
    <x v="4"/>
  </r>
  <r>
    <x v="0"/>
    <s v="DEV"/>
    <x v="2"/>
    <x v="4"/>
  </r>
  <r>
    <x v="0"/>
    <s v="DEV"/>
    <x v="2"/>
    <x v="4"/>
  </r>
  <r>
    <x v="0"/>
    <s v="DEV"/>
    <x v="2"/>
    <x v="4"/>
  </r>
  <r>
    <x v="0"/>
    <s v="DEV"/>
    <x v="2"/>
    <x v="4"/>
  </r>
  <r>
    <x v="0"/>
    <s v="DEV"/>
    <x v="2"/>
    <x v="4"/>
  </r>
  <r>
    <x v="0"/>
    <s v="DEV"/>
    <x v="2"/>
    <x v="4"/>
  </r>
  <r>
    <x v="0"/>
    <s v="DEV"/>
    <x v="2"/>
    <x v="4"/>
  </r>
  <r>
    <x v="0"/>
    <s v="DEV"/>
    <x v="2"/>
    <x v="4"/>
  </r>
  <r>
    <x v="0"/>
    <s v="DEV"/>
    <x v="2"/>
    <x v="4"/>
  </r>
  <r>
    <x v="0"/>
    <s v="DEV"/>
    <x v="2"/>
    <x v="4"/>
  </r>
  <r>
    <x v="0"/>
    <s v="IM"/>
    <x v="1"/>
    <x v="2"/>
  </r>
  <r>
    <x v="0"/>
    <s v="DEV"/>
    <x v="2"/>
    <x v="3"/>
  </r>
  <r>
    <x v="0"/>
    <s v="BA"/>
    <x v="6"/>
    <x v="3"/>
  </r>
  <r>
    <x v="0"/>
    <s v="GSD"/>
    <x v="5"/>
    <x v="0"/>
  </r>
  <r>
    <x v="0"/>
    <s v="Designer"/>
    <x v="4"/>
    <x v="3"/>
  </r>
  <r>
    <x v="0"/>
    <s v="Designer"/>
    <x v="4"/>
    <x v="3"/>
  </r>
  <r>
    <x v="0"/>
    <s v="UI/UX"/>
    <x v="4"/>
    <x v="2"/>
  </r>
  <r>
    <x v="0"/>
    <s v="DEV"/>
    <x v="2"/>
    <x v="5"/>
  </r>
  <r>
    <x v="0"/>
    <s v="Designer"/>
    <x v="4"/>
    <x v="3"/>
  </r>
  <r>
    <x v="0"/>
    <s v="DEV"/>
    <x v="2"/>
    <x v="2"/>
  </r>
  <r>
    <x v="0"/>
    <s v="DEV"/>
    <x v="2"/>
    <x v="2"/>
  </r>
  <r>
    <x v="0"/>
    <s v="DEV"/>
    <x v="2"/>
    <x v="2"/>
  </r>
  <r>
    <x v="0"/>
    <s v="DEV"/>
    <x v="2"/>
    <x v="2"/>
  </r>
  <r>
    <x v="0"/>
    <s v="DEV"/>
    <x v="2"/>
    <x v="2"/>
  </r>
  <r>
    <x v="0"/>
    <s v="QC"/>
    <x v="0"/>
    <x v="2"/>
  </r>
  <r>
    <x v="0"/>
    <s v="DEV"/>
    <x v="2"/>
    <x v="2"/>
  </r>
  <r>
    <x v="0"/>
    <s v="QC"/>
    <x v="0"/>
    <x v="4"/>
  </r>
  <r>
    <x v="0"/>
    <s v="QC"/>
    <x v="0"/>
    <x v="4"/>
  </r>
  <r>
    <x v="0"/>
    <s v="QC"/>
    <x v="0"/>
    <x v="4"/>
  </r>
  <r>
    <x v="0"/>
    <s v="DEV"/>
    <x v="2"/>
    <x v="4"/>
  </r>
  <r>
    <x v="0"/>
    <s v="#N/A"/>
    <x v="8"/>
    <x v="8"/>
  </r>
  <r>
    <x v="1"/>
    <s v="#N/A"/>
    <x v="8"/>
    <x v="8"/>
  </r>
  <r>
    <x v="1"/>
    <s v="#N/A"/>
    <x v="8"/>
    <x v="8"/>
  </r>
  <r>
    <x v="1"/>
    <s v="#N/A"/>
    <x v="8"/>
    <x v="9"/>
  </r>
  <r>
    <x v="1"/>
    <s v="#N/A"/>
    <x v="8"/>
    <x v="8"/>
  </r>
  <r>
    <x v="1"/>
    <s v="#N/A"/>
    <x v="8"/>
    <x v="8"/>
  </r>
  <r>
    <x v="1"/>
    <s v="#N/A"/>
    <x v="8"/>
    <x v="8"/>
  </r>
  <r>
    <x v="1"/>
    <s v="#N/A"/>
    <x v="8"/>
    <x v="8"/>
  </r>
  <r>
    <x v="1"/>
    <s v="#N/A"/>
    <x v="8"/>
    <x v="8"/>
  </r>
  <r>
    <x v="1"/>
    <s v="#N/A"/>
    <x v="8"/>
    <x v="8"/>
  </r>
  <r>
    <x v="1"/>
    <s v="#N/A"/>
    <x v="8"/>
    <x v="8"/>
  </r>
  <r>
    <x v="1"/>
    <s v="#N/A"/>
    <x v="8"/>
    <x v="8"/>
  </r>
  <r>
    <x v="1"/>
    <s v="#N/A"/>
    <x v="8"/>
    <x v="8"/>
  </r>
  <r>
    <x v="1"/>
    <s v="#N/A"/>
    <x v="8"/>
    <x v="8"/>
  </r>
  <r>
    <x v="1"/>
    <s v="#N/A"/>
    <x v="8"/>
    <x v="8"/>
  </r>
  <r>
    <x v="1"/>
    <s v="#N/A"/>
    <x v="8"/>
    <x v="8"/>
  </r>
  <r>
    <x v="1"/>
    <s v="#N/A"/>
    <x v="8"/>
    <x v="8"/>
  </r>
  <r>
    <x v="1"/>
    <s v="#N/A"/>
    <x v="8"/>
    <x v="8"/>
  </r>
  <r>
    <x v="1"/>
    <s v="#N/A"/>
    <x v="8"/>
    <x v="8"/>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r>
    <x v="1"/>
    <m/>
    <x v="9"/>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8">
  <r>
    <s v="213817"/>
    <s v="QC"/>
    <x v="0"/>
    <x v="0"/>
  </r>
  <r>
    <s v="237226"/>
    <s v="GSD"/>
    <x v="0"/>
    <x v="1"/>
  </r>
  <r>
    <s v="213856"/>
    <s v="QC"/>
    <x v="0"/>
    <x v="0"/>
  </r>
  <r>
    <s v="247423"/>
    <s v="DEV"/>
    <x v="0"/>
    <x v="2"/>
  </r>
  <r>
    <s v="183322"/>
    <s v="DEV"/>
    <x v="0"/>
    <x v="2"/>
  </r>
  <r>
    <s v="257134"/>
    <s v="Designer"/>
    <x v="0"/>
    <x v="1"/>
  </r>
  <r>
    <s v="237239"/>
    <s v="DEV"/>
    <x v="0"/>
    <x v="3"/>
  </r>
  <r>
    <s v="213835"/>
    <s v="DEV"/>
    <x v="0"/>
    <x v="2"/>
  </r>
  <r>
    <s v="247063"/>
    <s v="GSD"/>
    <x v="0"/>
    <x v="4"/>
  </r>
  <r>
    <s v="193588"/>
    <s v="DEV"/>
    <x v="0"/>
    <x v="2"/>
  </r>
  <r>
    <s v="213893"/>
    <s v="DEV"/>
    <x v="1"/>
    <x v="0"/>
  </r>
  <r>
    <s v="213901"/>
    <s v="DEV"/>
    <x v="1"/>
    <x v="1"/>
  </r>
  <r>
    <s v="227244"/>
    <s v="DEV"/>
    <x v="0"/>
    <x v="0"/>
  </r>
  <r>
    <s v="237117"/>
    <s v="DEV"/>
    <x v="0"/>
    <x v="5"/>
  </r>
  <r>
    <s v="213859"/>
    <s v="GSD"/>
    <x v="0"/>
    <x v="2"/>
  </r>
  <r>
    <s v="193584"/>
    <s v="GSD"/>
    <x v="0"/>
    <x v="1"/>
  </r>
  <r>
    <s v="203780"/>
    <s v="QC"/>
    <x v="2"/>
    <x v="5"/>
  </r>
  <r>
    <s v="193534"/>
    <s v="DEV"/>
    <x v="0"/>
    <x v="4"/>
  </r>
  <r>
    <s v="247185"/>
    <s v="QC"/>
    <x v="2"/>
    <x v="0"/>
  </r>
  <r>
    <s v="213844"/>
    <s v="DEV"/>
    <x v="1"/>
    <x v="2"/>
  </r>
  <r>
    <s v="227047"/>
    <s v="DEV"/>
    <x v="0"/>
    <x v="4"/>
  </r>
  <r>
    <s v="227116"/>
    <s v="DEV"/>
    <x v="0"/>
    <x v="3"/>
  </r>
  <r>
    <s v="257133"/>
    <s v="QC"/>
    <x v="0"/>
    <x v="0"/>
  </r>
  <r>
    <s v="173246"/>
    <s v="GSD"/>
    <x v="0"/>
    <x v="4"/>
  </r>
  <r>
    <s v="173230"/>
    <s v="QC"/>
    <x v="0"/>
    <x v="4"/>
  </r>
  <r>
    <s v="183422"/>
    <s v="DEV"/>
    <x v="0"/>
    <x v="0"/>
  </r>
  <r>
    <s v="213889"/>
    <s v="DEV"/>
    <x v="0"/>
    <x v="2"/>
  </r>
  <r>
    <s v="163188"/>
    <s v="DEV"/>
    <x v="0"/>
    <x v="2"/>
  </r>
  <r>
    <s v="133051"/>
    <s v="DEV"/>
    <x v="0"/>
    <x v="5"/>
  </r>
  <r>
    <s v="143079"/>
    <s v="QC"/>
    <x v="2"/>
    <x v="4"/>
  </r>
  <r>
    <s v="237035"/>
    <s v="DEV"/>
    <x v="1"/>
    <x v="0"/>
  </r>
  <r>
    <s v="247413"/>
    <s v="DEV"/>
    <x v="1"/>
    <x v="3"/>
  </r>
  <r>
    <s v="153116"/>
    <s v="GSD"/>
    <x v="0"/>
    <x v="4"/>
  </r>
  <r>
    <s v="183382"/>
    <s v="DEV"/>
    <x v="1"/>
    <x v="3"/>
  </r>
  <r>
    <s v="203664"/>
    <s v="DEV"/>
    <x v="1"/>
    <x v="0"/>
  </r>
  <r>
    <s v="193633"/>
    <s v="QC"/>
    <x v="0"/>
    <x v="0"/>
  </r>
  <r>
    <s v="227218"/>
    <s v="GSD"/>
    <x v="0"/>
    <x v="4"/>
  </r>
  <r>
    <s v="227081"/>
    <s v="DEV"/>
    <x v="0"/>
    <x v="2"/>
  </r>
  <r>
    <s v="247313"/>
    <s v="SM"/>
    <x v="3"/>
    <x v="5"/>
  </r>
  <r>
    <s v="227103"/>
    <s v="DEV"/>
    <x v="1"/>
    <x v="3"/>
  </r>
  <r>
    <s v="227048"/>
    <s v="DEV"/>
    <x v="0"/>
    <x v="4"/>
  </r>
  <r>
    <s v="247172"/>
    <s v="DEV"/>
    <x v="1"/>
    <x v="2"/>
  </r>
  <r>
    <s v="237201"/>
    <s v="QC"/>
    <x v="0"/>
    <x v="3"/>
  </r>
  <r>
    <s v="227177"/>
    <s v="QC"/>
    <x v="0"/>
    <x v="0"/>
  </r>
  <r>
    <s v="227035"/>
    <s v="DEV"/>
    <x v="0"/>
    <x v="1"/>
  </r>
  <r>
    <s v="227214"/>
    <s v="GSD"/>
    <x v="4"/>
    <x v="1"/>
  </r>
  <r>
    <s v="247332"/>
    <s v="DEV"/>
    <x v="0"/>
    <x v="1"/>
  </r>
  <r>
    <s v="173232"/>
    <s v="TA"/>
    <x v="0"/>
    <x v="2"/>
  </r>
  <r>
    <s v="193613"/>
    <s v="DEV"/>
    <x v="0"/>
    <x v="2"/>
  </r>
  <r>
    <s v="203790"/>
    <s v="GSD"/>
    <x v="0"/>
    <x v="1"/>
  </r>
  <r>
    <s v="193632"/>
    <s v="GSD"/>
    <x v="0"/>
    <x v="2"/>
  </r>
  <r>
    <s v="247097"/>
    <s v="DEV"/>
    <x v="0"/>
    <x v="2"/>
  </r>
  <r>
    <s v="247062"/>
    <s v="GSD"/>
    <x v="0"/>
    <x v="4"/>
  </r>
  <r>
    <s v="247064"/>
    <s v="GSD"/>
    <x v="0"/>
    <x v="4"/>
  </r>
  <r>
    <s v="183330"/>
    <s v="GSD"/>
    <x v="0"/>
    <x v="5"/>
  </r>
  <r>
    <s v="227122"/>
    <s v="QC"/>
    <x v="0"/>
    <x v="4"/>
  </r>
  <r>
    <s v="247263"/>
    <s v="GSD"/>
    <x v="0"/>
    <x v="2"/>
  </r>
  <r>
    <s v="247083"/>
    <s v="GSD"/>
    <x v="0"/>
    <x v="1"/>
  </r>
  <r>
    <s v="247178"/>
    <s v="GSD"/>
    <x v="0"/>
    <x v="1"/>
  </r>
  <r>
    <s v="153139"/>
    <s v="BA"/>
    <x v="0"/>
    <x v="4"/>
  </r>
  <r>
    <s v="227091"/>
    <s v="GSD"/>
    <x v="0"/>
    <x v="4"/>
  </r>
  <r>
    <s v="193523"/>
    <s v="DEV"/>
    <x v="0"/>
    <x v="5"/>
  </r>
  <r>
    <s v="247119"/>
    <s v="DEV"/>
    <x v="0"/>
    <x v="2"/>
  </r>
  <r>
    <s v="247147"/>
    <s v="GSD"/>
    <x v="0"/>
    <x v="4"/>
  </r>
  <r>
    <s v="203701"/>
    <s v="DEV"/>
    <x v="1"/>
    <x v="2"/>
  </r>
  <r>
    <s v="247065"/>
    <s v="DEV"/>
    <x v="0"/>
    <x v="0"/>
  </r>
  <r>
    <s v="193496"/>
    <s v="GSD"/>
    <x v="0"/>
    <x v="4"/>
  </r>
  <r>
    <s v="183427"/>
    <s v="DEV"/>
    <x v="0"/>
    <x v="0"/>
  </r>
  <r>
    <s v="193490"/>
    <s v="GSD"/>
    <x v="0"/>
    <x v="4"/>
  </r>
  <r>
    <s v="173268"/>
    <s v="GSD"/>
    <x v="0"/>
    <x v="5"/>
  </r>
  <r>
    <s v="183379"/>
    <s v="DEV"/>
    <x v="0"/>
    <x v="0"/>
  </r>
  <r>
    <s v="227101"/>
    <s v="DEV"/>
    <x v="0"/>
    <x v="0"/>
  </r>
  <r>
    <s v="193495"/>
    <s v="DEV"/>
    <x v="0"/>
    <x v="3"/>
  </r>
  <r>
    <s v="247262"/>
    <s v="GSD"/>
    <x v="0"/>
    <x v="2"/>
  </r>
  <r>
    <s v="193516"/>
    <s v="DEV"/>
    <x v="0"/>
    <x v="0"/>
  </r>
  <r>
    <s v="193526"/>
    <s v="DEV"/>
    <x v="0"/>
    <x v="5"/>
  </r>
  <r>
    <s v="247102"/>
    <s v="GSD"/>
    <x v="4"/>
    <x v="4"/>
  </r>
  <r>
    <s v="247234"/>
    <s v="QC"/>
    <x v="2"/>
    <x v="1"/>
  </r>
  <r>
    <s v="193530"/>
    <s v="DEV"/>
    <x v="0"/>
    <x v="0"/>
  </r>
  <r>
    <s v="203764"/>
    <s v="DEV"/>
    <x v="0"/>
    <x v="2"/>
  </r>
  <r>
    <s v="237147"/>
    <s v="GSD"/>
    <x v="4"/>
    <x v="2"/>
  </r>
  <r>
    <s v="257132"/>
    <s v="QC"/>
    <x v="0"/>
    <x v="0"/>
  </r>
  <r>
    <s v="237050"/>
    <s v="QC"/>
    <x v="2"/>
    <x v="4"/>
  </r>
  <r>
    <s v="227148"/>
    <s v="QC"/>
    <x v="0"/>
    <x v="4"/>
  </r>
  <r>
    <s v="237161"/>
    <s v="DEV"/>
    <x v="0"/>
    <x v="5"/>
  </r>
  <r>
    <s v="193511"/>
    <s v="DEV"/>
    <x v="0"/>
    <x v="0"/>
  </r>
  <r>
    <s v="183340"/>
    <s v="DEV"/>
    <x v="1"/>
    <x v="4"/>
  </r>
  <r>
    <s v="213916"/>
    <s v="DEV"/>
    <x v="1"/>
    <x v="2"/>
  </r>
  <r>
    <s v="227155"/>
    <s v="QC"/>
    <x v="0"/>
    <x v="4"/>
  </r>
  <r>
    <n v="193470"/>
    <s v="#N/A"/>
    <x v="5"/>
    <x v="6"/>
  </r>
  <r>
    <s v="153138"/>
    <s v="DEV"/>
    <x v="0"/>
    <x v="0"/>
  </r>
  <r>
    <s v="193522"/>
    <s v="DEV"/>
    <x v="1"/>
    <x v="0"/>
  </r>
  <r>
    <s v="237070"/>
    <s v="DEV"/>
    <x v="0"/>
    <x v="0"/>
  </r>
  <r>
    <s v="203757"/>
    <s v="DEV"/>
    <x v="0"/>
    <x v="0"/>
  </r>
  <r>
    <s v="213911"/>
    <s v="DEV"/>
    <x v="1"/>
    <x v="0"/>
  </r>
  <r>
    <s v="203791"/>
    <s v="DEV"/>
    <x v="0"/>
    <x v="0"/>
  </r>
  <r>
    <s v="237031"/>
    <s v="DEV"/>
    <x v="1"/>
    <x v="0"/>
  </r>
  <r>
    <s v="203713"/>
    <s v="DEV"/>
    <x v="1"/>
    <x v="0"/>
  </r>
  <r>
    <s v="213874"/>
    <s v="DEV"/>
    <x v="0"/>
    <x v="0"/>
  </r>
  <r>
    <s v="203725"/>
    <s v="DEV"/>
    <x v="0"/>
    <x v="0"/>
  </r>
  <r>
    <s v="227005"/>
    <s v="IM"/>
    <x v="0"/>
    <x v="3"/>
  </r>
  <r>
    <s v="213813"/>
    <s v="DEV"/>
    <x v="0"/>
    <x v="1"/>
  </r>
  <r>
    <s v="203786"/>
    <s v="BA"/>
    <x v="0"/>
    <x v="1"/>
  </r>
  <r>
    <s v="257121"/>
    <s v="GSD"/>
    <x v="0"/>
    <x v="4"/>
  </r>
  <r>
    <s v="257135"/>
    <s v="Designer"/>
    <x v="0"/>
    <x v="1"/>
  </r>
  <r>
    <s v="257059"/>
    <s v="Designer"/>
    <x v="0"/>
    <x v="1"/>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e v="#N/A"/>
    <x v="0"/>
    <x v="7"/>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r>
    <m/>
    <m/>
    <x v="6"/>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8">
  <r>
    <s v="213817"/>
    <s v="QC"/>
    <x v="0"/>
    <x v="0"/>
  </r>
  <r>
    <s v="237226"/>
    <s v="GSD"/>
    <x v="1"/>
    <x v="1"/>
  </r>
  <r>
    <s v="213856"/>
    <s v="QC"/>
    <x v="1"/>
    <x v="0"/>
  </r>
  <r>
    <s v="247423"/>
    <s v="DEV"/>
    <x v="1"/>
    <x v="2"/>
  </r>
  <r>
    <s v="183322"/>
    <s v="DEV"/>
    <x v="2"/>
    <x v="2"/>
  </r>
  <r>
    <s v="257134"/>
    <s v="Designer"/>
    <x v="3"/>
    <x v="1"/>
  </r>
  <r>
    <s v="237239"/>
    <s v="DEV"/>
    <x v="2"/>
    <x v="3"/>
  </r>
  <r>
    <s v="213835"/>
    <s v="DEV"/>
    <x v="1"/>
    <x v="2"/>
  </r>
  <r>
    <s v="247063"/>
    <s v="GSD"/>
    <x v="4"/>
    <x v="4"/>
  </r>
  <r>
    <s v="193588"/>
    <s v="DEV"/>
    <x v="1"/>
    <x v="2"/>
  </r>
  <r>
    <s v="213893"/>
    <s v="DEV"/>
    <x v="2"/>
    <x v="0"/>
  </r>
  <r>
    <s v="213901"/>
    <s v="DEV"/>
    <x v="2"/>
    <x v="1"/>
  </r>
  <r>
    <s v="227244"/>
    <s v="DEV"/>
    <x v="2"/>
    <x v="0"/>
  </r>
  <r>
    <s v="237117"/>
    <s v="DEV"/>
    <x v="2"/>
    <x v="5"/>
  </r>
  <r>
    <s v="213859"/>
    <s v="GSD"/>
    <x v="1"/>
    <x v="2"/>
  </r>
  <r>
    <s v="193584"/>
    <s v="GSD"/>
    <x v="1"/>
    <x v="1"/>
  </r>
  <r>
    <s v="203780"/>
    <s v="QC"/>
    <x v="0"/>
    <x v="5"/>
  </r>
  <r>
    <s v="193534"/>
    <s v="DEV"/>
    <x v="1"/>
    <x v="4"/>
  </r>
  <r>
    <s v="247185"/>
    <s v="QC"/>
    <x v="1"/>
    <x v="0"/>
  </r>
  <r>
    <s v="213844"/>
    <s v="DEV"/>
    <x v="2"/>
    <x v="2"/>
  </r>
  <r>
    <s v="227047"/>
    <s v="DEV"/>
    <x v="1"/>
    <x v="4"/>
  </r>
  <r>
    <s v="227116"/>
    <s v="DEV"/>
    <x v="2"/>
    <x v="3"/>
  </r>
  <r>
    <s v="257133"/>
    <s v="QC"/>
    <x v="1"/>
    <x v="0"/>
  </r>
  <r>
    <s v="173246"/>
    <s v="GSD"/>
    <x v="1"/>
    <x v="4"/>
  </r>
  <r>
    <s v="173230"/>
    <s v="QC"/>
    <x v="1"/>
    <x v="4"/>
  </r>
  <r>
    <s v="183422"/>
    <s v="DEV"/>
    <x v="1"/>
    <x v="0"/>
  </r>
  <r>
    <s v="213889"/>
    <s v="DEV"/>
    <x v="2"/>
    <x v="2"/>
  </r>
  <r>
    <s v="163188"/>
    <s v="DEV"/>
    <x v="1"/>
    <x v="2"/>
  </r>
  <r>
    <s v="133051"/>
    <s v="DEV"/>
    <x v="1"/>
    <x v="5"/>
  </r>
  <r>
    <s v="143079"/>
    <s v="QC"/>
    <x v="1"/>
    <x v="4"/>
  </r>
  <r>
    <s v="237035"/>
    <s v="DEV"/>
    <x v="1"/>
    <x v="0"/>
  </r>
  <r>
    <s v="247413"/>
    <s v="DEV"/>
    <x v="2"/>
    <x v="3"/>
  </r>
  <r>
    <s v="153116"/>
    <s v="GSD"/>
    <x v="4"/>
    <x v="4"/>
  </r>
  <r>
    <s v="183382"/>
    <s v="DEV"/>
    <x v="2"/>
    <x v="3"/>
  </r>
  <r>
    <s v="203664"/>
    <s v="DEV"/>
    <x v="2"/>
    <x v="0"/>
  </r>
  <r>
    <s v="193633"/>
    <s v="QC"/>
    <x v="0"/>
    <x v="0"/>
  </r>
  <r>
    <s v="227218"/>
    <s v="GSD"/>
    <x v="1"/>
    <x v="4"/>
  </r>
  <r>
    <s v="227081"/>
    <s v="DEV"/>
    <x v="1"/>
    <x v="2"/>
  </r>
  <r>
    <s v="247313"/>
    <s v="SM"/>
    <x v="5"/>
    <x v="5"/>
  </r>
  <r>
    <s v="227103"/>
    <s v="DEV"/>
    <x v="1"/>
    <x v="3"/>
  </r>
  <r>
    <s v="227048"/>
    <s v="DEV"/>
    <x v="2"/>
    <x v="4"/>
  </r>
  <r>
    <s v="247172"/>
    <s v="DEV"/>
    <x v="2"/>
    <x v="2"/>
  </r>
  <r>
    <s v="237201"/>
    <s v="QC"/>
    <x v="1"/>
    <x v="3"/>
  </r>
  <r>
    <s v="227177"/>
    <s v="QC"/>
    <x v="1"/>
    <x v="0"/>
  </r>
  <r>
    <s v="227035"/>
    <s v="DEV"/>
    <x v="2"/>
    <x v="1"/>
  </r>
  <r>
    <s v="227214"/>
    <s v="GSD"/>
    <x v="4"/>
    <x v="1"/>
  </r>
  <r>
    <s v="247332"/>
    <s v="DEV"/>
    <x v="2"/>
    <x v="1"/>
  </r>
  <r>
    <s v="173232"/>
    <s v="TA"/>
    <x v="2"/>
    <x v="2"/>
  </r>
  <r>
    <s v="193613"/>
    <s v="DEV"/>
    <x v="2"/>
    <x v="2"/>
  </r>
  <r>
    <s v="203790"/>
    <s v="GSD"/>
    <x v="4"/>
    <x v="1"/>
  </r>
  <r>
    <s v="193632"/>
    <s v="GSD"/>
    <x v="1"/>
    <x v="2"/>
  </r>
  <r>
    <s v="247097"/>
    <s v="DEV"/>
    <x v="1"/>
    <x v="2"/>
  </r>
  <r>
    <s v="247062"/>
    <s v="GSD"/>
    <x v="4"/>
    <x v="4"/>
  </r>
  <r>
    <s v="247064"/>
    <s v="GSD"/>
    <x v="4"/>
    <x v="4"/>
  </r>
  <r>
    <s v="183330"/>
    <s v="GSD"/>
    <x v="4"/>
    <x v="5"/>
  </r>
  <r>
    <s v="227122"/>
    <s v="QC"/>
    <x v="0"/>
    <x v="4"/>
  </r>
  <r>
    <s v="247263"/>
    <s v="GSD"/>
    <x v="4"/>
    <x v="2"/>
  </r>
  <r>
    <s v="247083"/>
    <s v="GSD"/>
    <x v="1"/>
    <x v="1"/>
  </r>
  <r>
    <s v="247178"/>
    <s v="GSD"/>
    <x v="1"/>
    <x v="1"/>
  </r>
  <r>
    <s v="153139"/>
    <s v="BA"/>
    <x v="1"/>
    <x v="4"/>
  </r>
  <r>
    <s v="227091"/>
    <s v="GSD"/>
    <x v="1"/>
    <x v="4"/>
  </r>
  <r>
    <s v="193523"/>
    <s v="DEV"/>
    <x v="1"/>
    <x v="5"/>
  </r>
  <r>
    <s v="247119"/>
    <s v="DEV"/>
    <x v="2"/>
    <x v="2"/>
  </r>
  <r>
    <s v="247147"/>
    <s v="GSD"/>
    <x v="1"/>
    <x v="4"/>
  </r>
  <r>
    <s v="203701"/>
    <s v="DEV"/>
    <x v="2"/>
    <x v="2"/>
  </r>
  <r>
    <s v="247065"/>
    <s v="DEV"/>
    <x v="1"/>
    <x v="0"/>
  </r>
  <r>
    <s v="193496"/>
    <s v="GSD"/>
    <x v="4"/>
    <x v="4"/>
  </r>
  <r>
    <s v="183427"/>
    <s v="DEV"/>
    <x v="1"/>
    <x v="0"/>
  </r>
  <r>
    <s v="193490"/>
    <s v="GSD"/>
    <x v="1"/>
    <x v="4"/>
  </r>
  <r>
    <s v="173268"/>
    <s v="GSD"/>
    <x v="4"/>
    <x v="5"/>
  </r>
  <r>
    <s v="183379"/>
    <s v="DEV"/>
    <x v="2"/>
    <x v="0"/>
  </r>
  <r>
    <s v="227101"/>
    <s v="DEV"/>
    <x v="2"/>
    <x v="0"/>
  </r>
  <r>
    <s v="193495"/>
    <s v="DEV"/>
    <x v="1"/>
    <x v="3"/>
  </r>
  <r>
    <s v="247262"/>
    <s v="GSD"/>
    <x v="1"/>
    <x v="2"/>
  </r>
  <r>
    <s v="193516"/>
    <s v="DEV"/>
    <x v="1"/>
    <x v="0"/>
  </r>
  <r>
    <s v="193526"/>
    <s v="DEV"/>
    <x v="1"/>
    <x v="5"/>
  </r>
  <r>
    <s v="247102"/>
    <s v="GSD"/>
    <x v="1"/>
    <x v="4"/>
  </r>
  <r>
    <s v="247234"/>
    <s v="QC"/>
    <x v="0"/>
    <x v="1"/>
  </r>
  <r>
    <s v="193530"/>
    <s v="DEV"/>
    <x v="1"/>
    <x v="0"/>
  </r>
  <r>
    <s v="203764"/>
    <s v="DEV"/>
    <x v="2"/>
    <x v="2"/>
  </r>
  <r>
    <s v="237147"/>
    <s v="GSD"/>
    <x v="4"/>
    <x v="2"/>
  </r>
  <r>
    <s v="257132"/>
    <s v="QC"/>
    <x v="0"/>
    <x v="0"/>
  </r>
  <r>
    <s v="237050"/>
    <s v="QC"/>
    <x v="1"/>
    <x v="4"/>
  </r>
  <r>
    <s v="227148"/>
    <s v="QC"/>
    <x v="1"/>
    <x v="4"/>
  </r>
  <r>
    <s v="237161"/>
    <s v="DEV"/>
    <x v="1"/>
    <x v="5"/>
  </r>
  <r>
    <s v="193511"/>
    <s v="DEV"/>
    <x v="2"/>
    <x v="0"/>
  </r>
  <r>
    <s v="183340"/>
    <s v="DEV"/>
    <x v="2"/>
    <x v="4"/>
  </r>
  <r>
    <s v="213916"/>
    <s v="DEV"/>
    <x v="1"/>
    <x v="2"/>
  </r>
  <r>
    <s v="227155"/>
    <s v="QC"/>
    <x v="1"/>
    <x v="4"/>
  </r>
  <r>
    <n v="193470"/>
    <s v="#N/A"/>
    <x v="6"/>
    <x v="6"/>
  </r>
  <r>
    <s v="153138"/>
    <s v="DEV"/>
    <x v="2"/>
    <x v="0"/>
  </r>
  <r>
    <s v="193522"/>
    <s v="DEV"/>
    <x v="2"/>
    <x v="0"/>
  </r>
  <r>
    <s v="237070"/>
    <s v="DEV"/>
    <x v="1"/>
    <x v="0"/>
  </r>
  <r>
    <s v="203757"/>
    <s v="DEV"/>
    <x v="2"/>
    <x v="0"/>
  </r>
  <r>
    <s v="213911"/>
    <s v="DEV"/>
    <x v="2"/>
    <x v="0"/>
  </r>
  <r>
    <s v="203791"/>
    <s v="DEV"/>
    <x v="1"/>
    <x v="0"/>
  </r>
  <r>
    <s v="237031"/>
    <s v="DEV"/>
    <x v="1"/>
    <x v="0"/>
  </r>
  <r>
    <s v="203713"/>
    <s v="DEV"/>
    <x v="2"/>
    <x v="0"/>
  </r>
  <r>
    <s v="213874"/>
    <s v="DEV"/>
    <x v="1"/>
    <x v="0"/>
  </r>
  <r>
    <s v="203725"/>
    <s v="DEV"/>
    <x v="2"/>
    <x v="0"/>
  </r>
  <r>
    <s v="227005"/>
    <s v="IM"/>
    <x v="5"/>
    <x v="3"/>
  </r>
  <r>
    <s v="213813"/>
    <s v="DEV"/>
    <x v="1"/>
    <x v="1"/>
  </r>
  <r>
    <s v="203786"/>
    <s v="BA"/>
    <x v="1"/>
    <x v="1"/>
  </r>
  <r>
    <s v="257121"/>
    <s v="GSD"/>
    <x v="1"/>
    <x v="4"/>
  </r>
  <r>
    <s v="257135"/>
    <s v="Designer"/>
    <x v="1"/>
    <x v="1"/>
  </r>
  <r>
    <s v="257059"/>
    <s v="Designer"/>
    <x v="3"/>
    <x v="1"/>
  </r>
  <r>
    <m/>
    <e v="#N/A"/>
    <x v="1"/>
    <x v="7"/>
  </r>
  <r>
    <m/>
    <e v="#N/A"/>
    <x v="1"/>
    <x v="7"/>
  </r>
  <r>
    <m/>
    <e v="#N/A"/>
    <x v="1"/>
    <x v="7"/>
  </r>
  <r>
    <m/>
    <e v="#N/A"/>
    <x v="1"/>
    <x v="7"/>
  </r>
  <r>
    <m/>
    <e v="#N/A"/>
    <x v="1"/>
    <x v="7"/>
  </r>
  <r>
    <m/>
    <e v="#N/A"/>
    <x v="6"/>
    <x v="7"/>
  </r>
  <r>
    <m/>
    <e v="#N/A"/>
    <x v="1"/>
    <x v="7"/>
  </r>
  <r>
    <m/>
    <e v="#N/A"/>
    <x v="1"/>
    <x v="7"/>
  </r>
  <r>
    <m/>
    <e v="#N/A"/>
    <x v="1"/>
    <x v="7"/>
  </r>
  <r>
    <m/>
    <e v="#N/A"/>
    <x v="1"/>
    <x v="7"/>
  </r>
  <r>
    <m/>
    <e v="#N/A"/>
    <x v="1"/>
    <x v="7"/>
  </r>
  <r>
    <m/>
    <e v="#N/A"/>
    <x v="6"/>
    <x v="7"/>
  </r>
  <r>
    <m/>
    <e v="#N/A"/>
    <x v="1"/>
    <x v="7"/>
  </r>
  <r>
    <m/>
    <e v="#N/A"/>
    <x v="1"/>
    <x v="7"/>
  </r>
  <r>
    <m/>
    <e v="#N/A"/>
    <x v="1"/>
    <x v="7"/>
  </r>
  <r>
    <m/>
    <e v="#N/A"/>
    <x v="1"/>
    <x v="7"/>
  </r>
  <r>
    <m/>
    <e v="#N/A"/>
    <x v="6"/>
    <x v="7"/>
  </r>
  <r>
    <m/>
    <e v="#N/A"/>
    <x v="1"/>
    <x v="7"/>
  </r>
  <r>
    <m/>
    <e v="#N/A"/>
    <x v="6"/>
    <x v="7"/>
  </r>
  <r>
    <m/>
    <e v="#N/A"/>
    <x v="1"/>
    <x v="7"/>
  </r>
  <r>
    <m/>
    <e v="#N/A"/>
    <x v="1"/>
    <x v="7"/>
  </r>
  <r>
    <m/>
    <e v="#N/A"/>
    <x v="1"/>
    <x v="7"/>
  </r>
  <r>
    <m/>
    <e v="#N/A"/>
    <x v="1"/>
    <x v="7"/>
  </r>
  <r>
    <m/>
    <e v="#N/A"/>
    <x v="6"/>
    <x v="7"/>
  </r>
  <r>
    <m/>
    <e v="#N/A"/>
    <x v="1"/>
    <x v="7"/>
  </r>
  <r>
    <m/>
    <e v="#N/A"/>
    <x v="1"/>
    <x v="7"/>
  </r>
  <r>
    <m/>
    <e v="#N/A"/>
    <x v="1"/>
    <x v="7"/>
  </r>
  <r>
    <m/>
    <e v="#N/A"/>
    <x v="1"/>
    <x v="7"/>
  </r>
  <r>
    <m/>
    <e v="#N/A"/>
    <x v="1"/>
    <x v="7"/>
  </r>
  <r>
    <m/>
    <e v="#N/A"/>
    <x v="1"/>
    <x v="7"/>
  </r>
  <r>
    <m/>
    <e v="#N/A"/>
    <x v="1"/>
    <x v="7"/>
  </r>
  <r>
    <m/>
    <e v="#N/A"/>
    <x v="1"/>
    <x v="7"/>
  </r>
  <r>
    <m/>
    <e v="#N/A"/>
    <x v="6"/>
    <x v="7"/>
  </r>
  <r>
    <m/>
    <e v="#N/A"/>
    <x v="1"/>
    <x v="7"/>
  </r>
  <r>
    <m/>
    <e v="#N/A"/>
    <x v="1"/>
    <x v="7"/>
  </r>
  <r>
    <m/>
    <e v="#N/A"/>
    <x v="1"/>
    <x v="7"/>
  </r>
  <r>
    <m/>
    <e v="#N/A"/>
    <x v="1"/>
    <x v="7"/>
  </r>
  <r>
    <m/>
    <e v="#N/A"/>
    <x v="6"/>
    <x v="7"/>
  </r>
  <r>
    <m/>
    <e v="#N/A"/>
    <x v="1"/>
    <x v="7"/>
  </r>
  <r>
    <m/>
    <e v="#N/A"/>
    <x v="1"/>
    <x v="7"/>
  </r>
  <r>
    <m/>
    <e v="#N/A"/>
    <x v="1"/>
    <x v="7"/>
  </r>
  <r>
    <m/>
    <e v="#N/A"/>
    <x v="1"/>
    <x v="7"/>
  </r>
  <r>
    <m/>
    <e v="#N/A"/>
    <x v="1"/>
    <x v="7"/>
  </r>
  <r>
    <m/>
    <e v="#N/A"/>
    <x v="1"/>
    <x v="7"/>
  </r>
  <r>
    <m/>
    <e v="#N/A"/>
    <x v="6"/>
    <x v="7"/>
  </r>
  <r>
    <m/>
    <e v="#N/A"/>
    <x v="1"/>
    <x v="7"/>
  </r>
  <r>
    <m/>
    <e v="#N/A"/>
    <x v="1"/>
    <x v="7"/>
  </r>
  <r>
    <m/>
    <e v="#N/A"/>
    <x v="1"/>
    <x v="7"/>
  </r>
  <r>
    <m/>
    <e v="#N/A"/>
    <x v="6"/>
    <x v="7"/>
  </r>
  <r>
    <m/>
    <e v="#N/A"/>
    <x v="1"/>
    <x v="7"/>
  </r>
  <r>
    <m/>
    <e v="#N/A"/>
    <x v="1"/>
    <x v="7"/>
  </r>
  <r>
    <m/>
    <e v="#N/A"/>
    <x v="1"/>
    <x v="7"/>
  </r>
  <r>
    <m/>
    <e v="#N/A"/>
    <x v="1"/>
    <x v="7"/>
  </r>
  <r>
    <m/>
    <e v="#N/A"/>
    <x v="6"/>
    <x v="7"/>
  </r>
  <r>
    <m/>
    <e v="#N/A"/>
    <x v="1"/>
    <x v="7"/>
  </r>
  <r>
    <m/>
    <e v="#N/A"/>
    <x v="1"/>
    <x v="7"/>
  </r>
  <r>
    <m/>
    <e v="#N/A"/>
    <x v="1"/>
    <x v="7"/>
  </r>
  <r>
    <m/>
    <e v="#N/A"/>
    <x v="1"/>
    <x v="7"/>
  </r>
  <r>
    <m/>
    <e v="#N/A"/>
    <x v="6"/>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6"/>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e v="#N/A"/>
    <x v="1"/>
    <x v="7"/>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r>
    <m/>
    <m/>
    <x v="7"/>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sheet2" cacheId="23" applyNumberFormats="0" applyBorderFormats="0" applyFontFormats="0" applyPatternFormats="0" applyAlignmentFormats="0" applyWidthHeightFormats="0" dataCaption="" updatedVersion="8" colGrandTotals="0" compact="0" compactData="0">
  <location ref="AS1:AY7" firstHeaderRow="1" firstDataRow="2" firstDataCol="1"/>
  <pivotFields count="4">
    <pivotField name="Emp Code_x000a_(Active, uniques)" dataField="1" compact="0" outline="0" multipleItemSelectionAllowed="1" showAll="0"/>
    <pivotField name="Role_x000a_(unique)" compact="0" outline="0" multipleItemSelectionAllowed="1" showAll="0"/>
    <pivotField name="Group Role" axis="axisRow" compact="0" outline="0" multipleItemSelectionAllowed="1" showAll="0" sortType="ascending">
      <items count="12">
        <item h="1" x="6"/>
        <item m="1" x="9"/>
        <item x="2"/>
        <item x="4"/>
        <item h="1" x="5"/>
        <item m="1" x="8"/>
        <item x="0"/>
        <item x="3"/>
        <item h="1" x="1"/>
        <item h="1" m="1" x="10"/>
        <item h="1" x="7"/>
        <item t="default"/>
      </items>
    </pivotField>
    <pivotField name="BU_x000a_(unique)" axis="axisCol" compact="0" outline="0" multipleItemSelectionAllowed="1" showAll="0" sortType="ascending">
      <items count="10">
        <item x="6"/>
        <item x="3"/>
        <item x="1"/>
        <item x="2"/>
        <item x="0"/>
        <item x="4"/>
        <item x="5"/>
        <item x="7"/>
        <item x="8"/>
        <item t="default"/>
      </items>
    </pivotField>
  </pivotFields>
  <rowFields count="1">
    <field x="2"/>
  </rowFields>
  <rowItems count="5">
    <i>
      <x v="2"/>
    </i>
    <i>
      <x v="3"/>
    </i>
    <i>
      <x v="6"/>
    </i>
    <i>
      <x v="7"/>
    </i>
    <i t="grand">
      <x/>
    </i>
  </rowItems>
  <colFields count="1">
    <field x="3"/>
  </colFields>
  <colItems count="6">
    <i>
      <x v="1"/>
    </i>
    <i>
      <x v="2"/>
    </i>
    <i>
      <x v="3"/>
    </i>
    <i>
      <x v="4"/>
    </i>
    <i>
      <x v="5"/>
    </i>
    <i>
      <x v="6"/>
    </i>
  </colItems>
  <dataFields count="1">
    <dataField name="COUNTA of Emp Code_x000a_(Active, unique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backupsheet2" cacheId="18" applyNumberFormats="0" applyBorderFormats="0" applyFontFormats="0" applyPatternFormats="0" applyAlignmentFormats="0" applyWidthHeightFormats="0" dataCaption="" updatedVersion="8" colGrandTotals="0" compact="0" compactData="0">
  <location ref="AS1:AY6" firstHeaderRow="1" firstDataRow="2" firstDataCol="1"/>
  <pivotFields count="4">
    <pivotField name="Emp Code_x000a_(Active, uniques)" dataField="1" compact="0" outline="0" multipleItemSelectionAllowed="1" showAll="0"/>
    <pivotField name="Role_x000a_(unique)" compact="0" outline="0" multipleItemSelectionAllowed="1" showAll="0"/>
    <pivotField name="Group Role" axis="axisRow" compact="0" outline="0" multipleItemSelectionAllowed="1" showAll="0" sortType="ascending">
      <items count="12">
        <item h="1" x="5"/>
        <item m="1" x="9"/>
        <item x="1"/>
        <item x="4"/>
        <item h="1" x="3"/>
        <item m="1" x="8"/>
        <item x="2"/>
        <item m="1" x="7"/>
        <item h="1" x="0"/>
        <item h="1" m="1" x="10"/>
        <item h="1" x="6"/>
        <item t="default"/>
      </items>
    </pivotField>
    <pivotField name="BU_x000a_(unique)" axis="axisCol" compact="0" outline="0" multipleItemSelectionAllowed="1" showAll="0" sortType="ascending">
      <items count="10">
        <item x="6"/>
        <item x="3"/>
        <item x="1"/>
        <item x="2"/>
        <item x="0"/>
        <item x="4"/>
        <item x="5"/>
        <item x="7"/>
        <item x="8"/>
        <item t="default"/>
      </items>
    </pivotField>
  </pivotFields>
  <rowFields count="1">
    <field x="2"/>
  </rowFields>
  <rowItems count="4">
    <i>
      <x v="2"/>
    </i>
    <i>
      <x v="3"/>
    </i>
    <i>
      <x v="6"/>
    </i>
    <i t="grand">
      <x/>
    </i>
  </rowItems>
  <colFields count="1">
    <field x="3"/>
  </colFields>
  <colItems count="6">
    <i>
      <x v="1"/>
    </i>
    <i>
      <x v="2"/>
    </i>
    <i>
      <x v="3"/>
    </i>
    <i>
      <x v="4"/>
    </i>
    <i>
      <x v="5"/>
    </i>
    <i>
      <x v="6"/>
    </i>
  </colItems>
  <dataFields count="1">
    <dataField name="COUNTA of Emp Code_x000a_(Active, unique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Copy of sheet2" cacheId="13" applyNumberFormats="0" applyBorderFormats="0" applyFontFormats="0" applyPatternFormats="0" applyAlignmentFormats="0" applyWidthHeightFormats="0" dataCaption="" updatedVersion="8" colGrandTotals="0" compact="0" compactData="0">
  <location ref="W4:X6" firstHeaderRow="1" firstDataRow="2" firstDataCol="1" rowPageCount="1" colPageCount="1"/>
  <pivotFields count="4">
    <pivotField name="Emp Code_x000a_(unique)" axis="axisPage" dataField="1" compact="0" numFmtId="49" outline="0" multipleItemSelectionAllowed="1" showAll="0">
      <items count="307">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h="1"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h="1" m="1" x="275"/>
        <item h="1" m="1" x="276"/>
        <item h="1" m="1" x="277"/>
        <item h="1" m="1" x="278"/>
        <item h="1" m="1" x="279"/>
        <item h="1" m="1" x="280"/>
        <item h="1" m="1" x="281"/>
        <item h="1" m="1" x="282"/>
        <item h="1" m="1" x="283"/>
        <item h="1" m="1" x="284"/>
        <item h="1" m="1" x="285"/>
        <item h="1" m="1" x="286"/>
        <item h="1" m="1" x="287"/>
        <item h="1" m="1" x="288"/>
        <item h="1" m="1" x="289"/>
        <item h="1" m="1" x="290"/>
        <item h="1" m="1" x="291"/>
        <item m="1" x="292"/>
        <item m="1" x="293"/>
        <item m="1" x="294"/>
        <item m="1" x="295"/>
        <item m="1" x="296"/>
        <item m="1" x="297"/>
        <item m="1" x="298"/>
        <item m="1" x="299"/>
        <item m="1" x="300"/>
        <item m="1" x="301"/>
        <item m="1" x="302"/>
        <item m="1" x="303"/>
        <item m="1" x="304"/>
        <item m="1" x="305"/>
        <item h="1" x="1"/>
        <item h="1" x="0"/>
        <item t="default"/>
      </items>
    </pivotField>
    <pivotField name="Role_x000a_(unique)" compact="0" outline="0" multipleItemSelectionAllowed="1" showAll="0"/>
    <pivotField name="Group Role" axis="axisRow" compact="0" outline="0" multipleItemSelectionAllowed="1" showAll="0" sortType="ascending">
      <items count="13">
        <item x="8"/>
        <item x="6"/>
        <item x="2"/>
        <item x="5"/>
        <item x="7"/>
        <item x="1"/>
        <item m="1" x="10"/>
        <item x="0"/>
        <item x="4"/>
        <item x="3"/>
        <item m="1" x="11"/>
        <item x="9"/>
        <item t="default"/>
      </items>
    </pivotField>
    <pivotField name="BU_x000a_(unique)" axis="axisCol" compact="0" outline="0" multipleItemSelectionAllowed="1" showAll="0" sortType="ascending">
      <items count="12">
        <item x="8"/>
        <item x="7"/>
        <item x="2"/>
        <item x="3"/>
        <item x="5"/>
        <item x="4"/>
        <item x="0"/>
        <item x="6"/>
        <item x="1"/>
        <item x="9"/>
        <item x="10"/>
        <item t="default"/>
      </items>
    </pivotField>
  </pivotFields>
  <rowFields count="1">
    <field x="2"/>
  </rowFields>
  <rowItems count="1">
    <i t="grand">
      <x/>
    </i>
  </rowItems>
  <colFields count="1">
    <field x="3"/>
  </colFields>
  <pageFields count="1">
    <pageField fld="0" hier="0"/>
  </pageFields>
  <dataFields count="1">
    <dataField name="COUNTA of Emp Code_x000a_(unique)"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4-24T09:29:50.00" personId="{433A9F2B-6C29-4164-8501-07124125042E}" id="{EFF83310-EBB8-445C-9150-5CC617264E0F}">
    <text>Chị giúp e fill EMP CODE của các bạn nì nha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5"/>
  <sheetViews>
    <sheetView topLeftCell="A19" workbookViewId="0">
      <selection sqref="A1:H1"/>
    </sheetView>
  </sheetViews>
  <sheetFormatPr defaultColWidth="14.42578125" defaultRowHeight="15" customHeight="1"/>
  <cols>
    <col min="1" max="1" width="32.42578125" customWidth="1"/>
    <col min="2" max="2" width="26.5703125" customWidth="1"/>
    <col min="3" max="3" width="18.5703125" customWidth="1"/>
    <col min="5" max="5" width="32.28515625" customWidth="1"/>
    <col min="7" max="7" width="28.140625" customWidth="1"/>
    <col min="8" max="8" width="26.140625" customWidth="1"/>
  </cols>
  <sheetData>
    <row r="1" spans="1:11" ht="15" customHeight="1">
      <c r="A1" s="213" t="s">
        <v>0</v>
      </c>
      <c r="B1" s="209"/>
      <c r="C1" s="209"/>
      <c r="D1" s="209"/>
      <c r="E1" s="209"/>
      <c r="F1" s="209"/>
      <c r="G1" s="209"/>
      <c r="H1" s="209"/>
    </row>
    <row r="2" spans="1:11">
      <c r="A2" s="214" t="s">
        <v>1</v>
      </c>
      <c r="B2" s="209"/>
      <c r="C2" s="209"/>
      <c r="D2" s="209"/>
      <c r="E2" s="209"/>
      <c r="F2" s="209"/>
      <c r="G2" s="209"/>
      <c r="H2" s="209"/>
    </row>
    <row r="3" spans="1:11">
      <c r="A3" s="1"/>
      <c r="B3" s="1"/>
      <c r="C3" s="1"/>
      <c r="D3" s="1"/>
      <c r="E3" s="1"/>
      <c r="F3" s="1"/>
      <c r="G3" s="1"/>
      <c r="H3" s="1"/>
    </row>
    <row r="4" spans="1:11">
      <c r="A4" s="215" t="s">
        <v>2</v>
      </c>
      <c r="B4" s="209"/>
      <c r="C4" s="209"/>
      <c r="D4" s="209"/>
      <c r="E4" s="209"/>
      <c r="F4" s="209"/>
      <c r="G4" s="209"/>
      <c r="H4" s="209"/>
    </row>
    <row r="5" spans="1:11">
      <c r="A5" s="216" t="s">
        <v>3</v>
      </c>
      <c r="B5" s="209"/>
      <c r="C5" s="216" t="s">
        <v>4</v>
      </c>
      <c r="D5" s="209"/>
      <c r="E5" s="216" t="s">
        <v>5</v>
      </c>
      <c r="F5" s="209"/>
      <c r="G5" s="216" t="s">
        <v>6</v>
      </c>
      <c r="H5" s="209"/>
    </row>
    <row r="6" spans="1:11" ht="15" customHeight="1">
      <c r="A6" s="217">
        <f ca="1">COUNTIF(STUDENTS!E:E,"Active")</f>
        <v>158</v>
      </c>
      <c r="B6" s="209"/>
      <c r="C6" s="218">
        <f>IFERROR(COUNTIF(ATTENDANCE_LOG!G:G,"Present")/(COUNTIF(ATTENDANCE_LOG!G:G,"Present")+COUNTIF(ATTENDANCE_LOG!G:G,"Absent")),0)</f>
        <v>0.86467262447565196</v>
      </c>
      <c r="D6" s="209"/>
      <c r="E6" s="219" t="e">
        <f>COUNTIF(#REF!,"⚠ At Risk")</f>
        <v>#REF!</v>
      </c>
      <c r="F6" s="209"/>
      <c r="G6" s="220">
        <f ca="1">COUNTIF(STUDENTS!L:L,"⚠ Possibly Dropped")</f>
        <v>0</v>
      </c>
      <c r="H6" s="209"/>
    </row>
    <row r="7" spans="1:11">
      <c r="A7" s="221" t="str">
        <f ca="1">" out of "&amp;(COUNTIF(STUDENTS!E:E,"Active")+COUNTIF(STUDENTS!E:E,"Inactive")+COUNTIF(STUDENTS!E:E,"Waiting for class"))&amp;" total"</f>
        <v xml:space="preserve"> out of 304 total</v>
      </c>
      <c r="B7" s="209"/>
      <c r="C7" s="221" t="str">
        <f>COUNTIF(ATTENDANCE_LOG!G:G,"Present")&amp;" / "&amp;(COUNTIF(ATTENDANCE_LOG!G:G,"Present")+COUNTIF(ATTENDANCE_LOG!G:G,"Absent"))&amp;" sessions"</f>
        <v>4741 / 5483 sessions</v>
      </c>
      <c r="D7" s="209"/>
      <c r="E7" s="221" t="s">
        <v>7</v>
      </c>
      <c r="F7" s="209"/>
      <c r="G7" s="221" t="s">
        <v>8</v>
      </c>
      <c r="H7" s="209"/>
    </row>
    <row r="8" spans="1:11">
      <c r="A8" s="216" t="s">
        <v>9</v>
      </c>
      <c r="B8" s="209"/>
      <c r="C8" s="216" t="s">
        <v>10</v>
      </c>
      <c r="D8" s="209"/>
      <c r="E8" s="216"/>
      <c r="F8" s="209"/>
      <c r="G8" s="216"/>
      <c r="H8" s="209"/>
    </row>
    <row r="9" spans="1:11" ht="15" customHeight="1">
      <c r="A9" s="217">
        <f ca="1">COUNTIF(STUDENTS!E:E,"Inactive")</f>
        <v>133</v>
      </c>
      <c r="B9" s="209"/>
      <c r="C9" s="217">
        <f ca="1">COUNTIF(STUDENTS!E:E,"Waiting for class")</f>
        <v>13</v>
      </c>
      <c r="D9" s="209"/>
      <c r="E9" s="217"/>
      <c r="F9" s="209"/>
      <c r="G9" s="217"/>
      <c r="H9" s="209"/>
    </row>
    <row r="10" spans="1:11">
      <c r="A10" s="221" t="s">
        <v>11</v>
      </c>
      <c r="B10" s="209"/>
      <c r="C10" s="221" t="s">
        <v>12</v>
      </c>
      <c r="D10" s="209"/>
      <c r="E10" s="221"/>
      <c r="F10" s="209"/>
      <c r="G10" s="221"/>
      <c r="H10" s="209"/>
    </row>
    <row r="11" spans="1:11">
      <c r="A11" s="2"/>
      <c r="B11" s="2"/>
      <c r="C11" s="2"/>
      <c r="D11" s="2"/>
      <c r="E11" s="2"/>
      <c r="F11" s="2"/>
      <c r="G11" s="2"/>
      <c r="H11" s="2"/>
    </row>
    <row r="12" spans="1:11">
      <c r="A12" s="222" t="s">
        <v>13</v>
      </c>
      <c r="B12" s="209"/>
      <c r="C12" s="209"/>
      <c r="D12" s="209"/>
      <c r="E12" s="209"/>
      <c r="F12" s="209"/>
      <c r="G12" s="209"/>
      <c r="H12" s="209"/>
      <c r="J12" s="3">
        <v>304</v>
      </c>
      <c r="K12" s="4">
        <f t="shared" ref="K12:K14" si="0">J12/1200</f>
        <v>0.25333333333333335</v>
      </c>
    </row>
    <row r="13" spans="1:11">
      <c r="A13" s="5" t="s">
        <v>14</v>
      </c>
      <c r="B13" s="5" t="s">
        <v>15</v>
      </c>
      <c r="C13" s="5" t="s">
        <v>16</v>
      </c>
      <c r="D13" s="5" t="s">
        <v>17</v>
      </c>
      <c r="E13" s="5" t="s">
        <v>18</v>
      </c>
      <c r="F13" s="5" t="s">
        <v>19</v>
      </c>
      <c r="G13" s="210" t="s">
        <v>20</v>
      </c>
      <c r="H13" s="205"/>
      <c r="J13" s="3">
        <v>105</v>
      </c>
      <c r="K13" s="4">
        <f t="shared" si="0"/>
        <v>8.7499999999999994E-2</v>
      </c>
    </row>
    <row r="14" spans="1:11">
      <c r="A14" s="6" t="s">
        <v>21</v>
      </c>
      <c r="B14" s="7">
        <f ca="1">COUNTIFS(STUDENTS!G:G,A14,STUDENTS!E:E,"Active")</f>
        <v>0</v>
      </c>
      <c r="C14" s="7">
        <f ca="1">COUNTIFS(STUDENTS!G:G,A14,STUDENTS!E:E,"Inactive")</f>
        <v>0</v>
      </c>
      <c r="D14" s="7">
        <f ca="1">COUNTIFS(STUDENTS!G:G,A14,STUDENTS!E:E,"Waiting for class")</f>
        <v>0</v>
      </c>
      <c r="E14" s="7">
        <f t="shared" ref="E14:E19" ca="1" si="1">B14+C14+D14</f>
        <v>0</v>
      </c>
      <c r="F14" s="8">
        <f t="shared" ref="F14:F19" ca="1" si="2">IFERROR(B14/$B$20,0)</f>
        <v>0</v>
      </c>
      <c r="G14" s="206" t="str">
        <f t="shared" ref="G14:G19" ca="1" si="3">IF($B$20=0,"",REPT("█",ROUND(B14/MAX($B$14:$B$19)*20,0)))</f>
        <v/>
      </c>
      <c r="H14" s="205"/>
      <c r="J14" s="3">
        <f>J12-J13</f>
        <v>199</v>
      </c>
      <c r="K14" s="4">
        <f t="shared" si="0"/>
        <v>0.16583333333333333</v>
      </c>
    </row>
    <row r="15" spans="1:11">
      <c r="A15" s="9" t="s">
        <v>22</v>
      </c>
      <c r="B15" s="10">
        <f ca="1">COUNTIFS(STUDENTS!G:G,A15,STUDENTS!E:E,"Active")</f>
        <v>0</v>
      </c>
      <c r="C15" s="10">
        <f ca="1">COUNTIFS(STUDENTS!G:G,A15,STUDENTS!E:E,"Inactive")</f>
        <v>0</v>
      </c>
      <c r="D15" s="10">
        <f ca="1">COUNTIFS(STUDENTS!G:G,A15,STUDENTS!E:E,"Waiting for class")</f>
        <v>0</v>
      </c>
      <c r="E15" s="10">
        <f t="shared" ca="1" si="1"/>
        <v>0</v>
      </c>
      <c r="F15" s="11">
        <f t="shared" ca="1" si="2"/>
        <v>0</v>
      </c>
      <c r="G15" s="204" t="str">
        <f t="shared" ca="1" si="3"/>
        <v/>
      </c>
      <c r="H15" s="205"/>
    </row>
    <row r="16" spans="1:11">
      <c r="A16" s="6" t="s">
        <v>23</v>
      </c>
      <c r="B16" s="7">
        <f ca="1">COUNTIFS(STUDENTS!G:G,A16,STUDENTS!E:E,"Active")</f>
        <v>0</v>
      </c>
      <c r="C16" s="7">
        <f ca="1">COUNTIFS(STUDENTS!G:G,A16,STUDENTS!E:E,"Inactive")</f>
        <v>0</v>
      </c>
      <c r="D16" s="7">
        <f ca="1">COUNTIFS(STUDENTS!G:G,A16,STUDENTS!E:E,"Waiting for class")</f>
        <v>0</v>
      </c>
      <c r="E16" s="7">
        <f t="shared" ca="1" si="1"/>
        <v>0</v>
      </c>
      <c r="F16" s="8">
        <f t="shared" ca="1" si="2"/>
        <v>0</v>
      </c>
      <c r="G16" s="206" t="str">
        <f t="shared" ca="1" si="3"/>
        <v/>
      </c>
      <c r="H16" s="205"/>
    </row>
    <row r="17" spans="1:8">
      <c r="A17" s="9" t="s">
        <v>24</v>
      </c>
      <c r="B17" s="10">
        <f ca="1">COUNTIFS(STUDENTS!G:G,A17,STUDENTS!E:E,"Active")</f>
        <v>0</v>
      </c>
      <c r="C17" s="10">
        <f ca="1">COUNTIFS(STUDENTS!G:G,A17,STUDENTS!E:E,"Inactive")</f>
        <v>0</v>
      </c>
      <c r="D17" s="10">
        <f ca="1">COUNTIFS(STUDENTS!G:G,A17,STUDENTS!E:E,"Waiting for class")</f>
        <v>0</v>
      </c>
      <c r="E17" s="10">
        <f t="shared" ca="1" si="1"/>
        <v>0</v>
      </c>
      <c r="F17" s="11">
        <f t="shared" ca="1" si="2"/>
        <v>0</v>
      </c>
      <c r="G17" s="204" t="str">
        <f t="shared" ca="1" si="3"/>
        <v/>
      </c>
      <c r="H17" s="205"/>
    </row>
    <row r="18" spans="1:8">
      <c r="A18" s="6" t="s">
        <v>25</v>
      </c>
      <c r="B18" s="7">
        <f ca="1">COUNTIFS(STUDENTS!G:G,A18,STUDENTS!E:E,"Active")</f>
        <v>0</v>
      </c>
      <c r="C18" s="7">
        <f ca="1">COUNTIFS(STUDENTS!G:G,A18,STUDENTS!E:E,"Inactive")</f>
        <v>0</v>
      </c>
      <c r="D18" s="7">
        <f ca="1">COUNTIFS(STUDENTS!G:G,A18,STUDENTS!E:E,"Waiting for class")</f>
        <v>0</v>
      </c>
      <c r="E18" s="7">
        <f t="shared" ca="1" si="1"/>
        <v>0</v>
      </c>
      <c r="F18" s="8">
        <f t="shared" ca="1" si="2"/>
        <v>0</v>
      </c>
      <c r="G18" s="206" t="str">
        <f t="shared" ca="1" si="3"/>
        <v/>
      </c>
      <c r="H18" s="205"/>
    </row>
    <row r="19" spans="1:8">
      <c r="A19" s="9" t="s">
        <v>26</v>
      </c>
      <c r="B19" s="10">
        <f ca="1">COUNTIFS(STUDENTS!G:G,A19,STUDENTS!E:E,"Active")</f>
        <v>0</v>
      </c>
      <c r="C19" s="10">
        <f ca="1">COUNTIFS(STUDENTS!G:G,A19,STUDENTS!E:E,"Inactive")</f>
        <v>0</v>
      </c>
      <c r="D19" s="10">
        <f ca="1">COUNTIFS(STUDENTS!G:G,A19,STUDENTS!E:E,"Waiting for class")</f>
        <v>0</v>
      </c>
      <c r="E19" s="10">
        <f t="shared" ca="1" si="1"/>
        <v>0</v>
      </c>
      <c r="F19" s="11">
        <f t="shared" ca="1" si="2"/>
        <v>0</v>
      </c>
      <c r="G19" s="204" t="str">
        <f t="shared" ca="1" si="3"/>
        <v/>
      </c>
      <c r="H19" s="205"/>
    </row>
    <row r="20" spans="1:8">
      <c r="A20" s="12" t="s">
        <v>27</v>
      </c>
      <c r="B20" s="13">
        <f t="shared" ref="B20:E20" ca="1" si="4">SUM(B14:B19)</f>
        <v>0</v>
      </c>
      <c r="C20" s="13">
        <f t="shared" ca="1" si="4"/>
        <v>0</v>
      </c>
      <c r="D20" s="13">
        <f t="shared" ca="1" si="4"/>
        <v>0</v>
      </c>
      <c r="E20" s="13">
        <f t="shared" ca="1" si="4"/>
        <v>0</v>
      </c>
      <c r="F20" s="14">
        <f ca="1">IFERROR(B20/E20,0)</f>
        <v>0</v>
      </c>
      <c r="G20" s="207"/>
      <c r="H20" s="205"/>
    </row>
    <row r="21" spans="1:8">
      <c r="A21" s="2"/>
      <c r="B21" s="2"/>
      <c r="C21" s="2"/>
      <c r="D21" s="2"/>
      <c r="E21" s="2"/>
      <c r="F21" s="2"/>
      <c r="G21" s="2"/>
      <c r="H21" s="2"/>
    </row>
    <row r="22" spans="1:8">
      <c r="A22" s="208" t="s">
        <v>28</v>
      </c>
      <c r="B22" s="209"/>
      <c r="C22" s="209"/>
      <c r="D22" s="209"/>
      <c r="E22" s="209"/>
      <c r="F22" s="209"/>
      <c r="G22" s="209"/>
      <c r="H22" s="209"/>
    </row>
    <row r="23" spans="1:8">
      <c r="A23" s="5" t="s">
        <v>29</v>
      </c>
      <c r="B23" s="5" t="s">
        <v>30</v>
      </c>
      <c r="C23" s="210" t="s">
        <v>31</v>
      </c>
      <c r="D23" s="205"/>
      <c r="E23" s="5" t="s">
        <v>32</v>
      </c>
      <c r="F23" s="5" t="s">
        <v>30</v>
      </c>
      <c r="G23" s="210" t="s">
        <v>31</v>
      </c>
      <c r="H23" s="205"/>
    </row>
    <row r="24" spans="1:8">
      <c r="A24" s="6" t="s">
        <v>33</v>
      </c>
      <c r="B24" s="7">
        <f>COUNTIF(STUDENTS!N:N,A24)</f>
        <v>101</v>
      </c>
      <c r="C24" s="211">
        <f t="shared" ref="C24:C29" si="5">IFERROR(B24/SUM($B$24:$B$29),0)</f>
        <v>0.56424581005586594</v>
      </c>
      <c r="D24" s="205"/>
      <c r="E24" s="6" t="s">
        <v>34</v>
      </c>
      <c r="F24" s="7">
        <f>COUNTIF(STUDENTS!M:M,E24)</f>
        <v>95</v>
      </c>
      <c r="G24" s="211">
        <f t="shared" ref="G24:G27" si="6">IFERROR(F24/SUM($F$24:$F$27),0)</f>
        <v>0.53072625698324027</v>
      </c>
      <c r="H24" s="205"/>
    </row>
    <row r="25" spans="1:8">
      <c r="A25" s="9" t="s">
        <v>35</v>
      </c>
      <c r="B25" s="10">
        <f>COUNTIF(STUDENTS!N:N,A25)</f>
        <v>21</v>
      </c>
      <c r="C25" s="211">
        <f t="shared" si="5"/>
        <v>0.11731843575418995</v>
      </c>
      <c r="D25" s="205"/>
      <c r="E25" s="9" t="s">
        <v>36</v>
      </c>
      <c r="F25" s="10">
        <f>COUNTIF(STUDENTS!M:M,E25)</f>
        <v>82</v>
      </c>
      <c r="G25" s="212">
        <f t="shared" si="6"/>
        <v>0.45810055865921789</v>
      </c>
      <c r="H25" s="205"/>
    </row>
    <row r="26" spans="1:8">
      <c r="A26" s="6" t="s">
        <v>37</v>
      </c>
      <c r="B26" s="7">
        <f>COUNTIF(STUDENTS!N:N,A26)</f>
        <v>33</v>
      </c>
      <c r="C26" s="211">
        <f t="shared" si="5"/>
        <v>0.18435754189944134</v>
      </c>
      <c r="D26" s="205"/>
      <c r="E26" s="6" t="s">
        <v>38</v>
      </c>
      <c r="F26" s="7">
        <f>COUNTIF(STUDENTS!M:M,E26)</f>
        <v>1</v>
      </c>
      <c r="G26" s="211">
        <f t="shared" si="6"/>
        <v>5.5865921787709499E-3</v>
      </c>
      <c r="H26" s="205"/>
    </row>
    <row r="27" spans="1:8">
      <c r="A27" s="9" t="s">
        <v>39</v>
      </c>
      <c r="B27" s="10">
        <f>COUNTIF(STUDENTS!N:N,A27)</f>
        <v>5</v>
      </c>
      <c r="C27" s="211">
        <f t="shared" si="5"/>
        <v>2.7932960893854747E-2</v>
      </c>
      <c r="D27" s="205"/>
      <c r="E27" s="9" t="s">
        <v>40</v>
      </c>
      <c r="F27" s="10">
        <f>COUNTIF(STUDENTS!M:M,E27)</f>
        <v>1</v>
      </c>
      <c r="G27" s="212">
        <f t="shared" si="6"/>
        <v>5.5865921787709499E-3</v>
      </c>
      <c r="H27" s="205"/>
    </row>
    <row r="28" spans="1:8">
      <c r="A28" s="6" t="s">
        <v>41</v>
      </c>
      <c r="B28" s="7">
        <f>COUNTIF(STUDENTS!N:N,A28)</f>
        <v>3</v>
      </c>
      <c r="C28" s="211">
        <f t="shared" si="5"/>
        <v>1.6759776536312849E-2</v>
      </c>
      <c r="D28" s="205"/>
      <c r="E28" s="15"/>
      <c r="F28" s="15"/>
      <c r="G28" s="15"/>
      <c r="H28" s="15"/>
    </row>
    <row r="29" spans="1:8">
      <c r="A29" s="6" t="s">
        <v>42</v>
      </c>
      <c r="B29" s="7">
        <f>COUNTIF(STUDENTS!N:N,A29)</f>
        <v>16</v>
      </c>
      <c r="C29" s="211">
        <f t="shared" si="5"/>
        <v>8.9385474860335198E-2</v>
      </c>
      <c r="D29" s="205"/>
      <c r="E29" s="15"/>
      <c r="F29" s="15"/>
      <c r="G29" s="15"/>
      <c r="H29" s="15"/>
    </row>
    <row r="30" spans="1:8">
      <c r="A30" s="16" t="s">
        <v>27</v>
      </c>
      <c r="B30" s="17">
        <f>SUM(B24:B29)</f>
        <v>179</v>
      </c>
      <c r="C30" s="223">
        <f>SUM(C24:D29)</f>
        <v>1</v>
      </c>
      <c r="D30" s="205"/>
      <c r="E30" s="16" t="s">
        <v>27</v>
      </c>
      <c r="F30" s="17">
        <f>SUM(F24:F28)</f>
        <v>179</v>
      </c>
      <c r="G30" s="223"/>
      <c r="H30" s="205"/>
    </row>
    <row r="31" spans="1:8">
      <c r="A31" s="2"/>
      <c r="B31" s="2"/>
      <c r="C31" s="2"/>
      <c r="D31" s="2"/>
      <c r="E31" s="2"/>
      <c r="F31" s="2"/>
      <c r="G31" s="2"/>
      <c r="H31" s="2"/>
    </row>
    <row r="32" spans="1:8">
      <c r="A32" s="224" t="s">
        <v>43</v>
      </c>
      <c r="B32" s="209"/>
      <c r="C32" s="209"/>
      <c r="D32" s="209"/>
      <c r="E32" s="209"/>
      <c r="F32" s="209"/>
      <c r="G32" s="209"/>
      <c r="H32" s="209"/>
    </row>
    <row r="33" spans="1:8">
      <c r="A33" s="5" t="s">
        <v>44</v>
      </c>
      <c r="B33" s="5" t="s">
        <v>14</v>
      </c>
      <c r="C33" s="5" t="s">
        <v>45</v>
      </c>
      <c r="D33" s="5" t="s">
        <v>46</v>
      </c>
      <c r="E33" s="5" t="s">
        <v>47</v>
      </c>
      <c r="F33" s="5" t="s">
        <v>48</v>
      </c>
      <c r="G33" s="5" t="s">
        <v>49</v>
      </c>
      <c r="H33" s="5" t="s">
        <v>50</v>
      </c>
    </row>
    <row r="34" spans="1:8">
      <c r="A34" s="18" t="s">
        <v>51</v>
      </c>
      <c r="B34" s="6" t="s">
        <v>24</v>
      </c>
      <c r="C34" s="6" t="str">
        <f>IFERROR(VLOOKUP(A34,PIC!A:B,2,0),"")</f>
        <v>Anh Vu</v>
      </c>
      <c r="D34" s="7">
        <f ca="1">IFERROR(_xludf.MAXIFS(ATTENDANCE_LOG!E:E,ATTENDANCE_LOG!A:A,A34,ATTENDANCE_LOG!B:B,B34),0)</f>
        <v>0</v>
      </c>
      <c r="E34" s="7">
        <f>IFERROR(VLOOKUP(B34,COURSE_PLAN!A:B,2,0),0)</f>
        <v>16</v>
      </c>
      <c r="F34" s="8">
        <f t="shared" ref="F34:F111" ca="1" si="7">IFERROR(MIN(D34/E34,1),0)</f>
        <v>0</v>
      </c>
      <c r="G34" s="19" t="str">
        <f t="shared" ref="G34:G111" ca="1" si="8">IF(E34=0,"—",REPT("█",ROUND(F34*20,0))&amp;REPT("░",20-ROUND(F34*20,0)))</f>
        <v>░░░░░░░░░░░░░░░░░░░░</v>
      </c>
      <c r="H34" s="20" t="str">
        <f t="shared" ref="H34:H111" ca="1" si="9">IF(E34=0,"No plan",IF(F34&gt;=1,"✅ Done",IF(F34&gt;=0.75,"🟢 Almost",IF(F34&gt;=0.25,"🔄 In progress",IF(F34&gt;0,"🟡 Just started","⚪ Not started")))))</f>
        <v>⚪ Not started</v>
      </c>
    </row>
    <row r="35" spans="1:8">
      <c r="A35" s="21" t="s">
        <v>51</v>
      </c>
      <c r="B35" s="9" t="s">
        <v>21</v>
      </c>
      <c r="C35" s="9" t="str">
        <f>IFERROR(VLOOKUP(A35,PIC!A:B,2,0),"")</f>
        <v>Anh Vu</v>
      </c>
      <c r="D35" s="10">
        <f ca="1">IFERROR(_xludf.MAXIFS(ATTENDANCE_LOG!E:E,ATTENDANCE_LOG!A:A,A35,ATTENDANCE_LOG!B:B,B35),0)</f>
        <v>0</v>
      </c>
      <c r="E35" s="10">
        <f>IFERROR(VLOOKUP(B35,COURSE_PLAN!A:B,2,0),0)</f>
        <v>10</v>
      </c>
      <c r="F35" s="11">
        <f t="shared" ca="1" si="7"/>
        <v>0</v>
      </c>
      <c r="G35" s="22" t="str">
        <f t="shared" ca="1" si="8"/>
        <v>░░░░░░░░░░░░░░░░░░░░</v>
      </c>
      <c r="H35" s="23" t="str">
        <f t="shared" ca="1" si="9"/>
        <v>⚪ Not started</v>
      </c>
    </row>
    <row r="36" spans="1:8">
      <c r="A36" s="18" t="s">
        <v>51</v>
      </c>
      <c r="B36" s="6" t="s">
        <v>22</v>
      </c>
      <c r="C36" s="6" t="str">
        <f>IFERROR(VLOOKUP(A36,PIC!A:B,2,0),"")</f>
        <v>Anh Vu</v>
      </c>
      <c r="D36" s="7">
        <f ca="1">IFERROR(_xludf.MAXIFS(ATTENDANCE_LOG!E:E,ATTENDANCE_LOG!A:A,A36,ATTENDANCE_LOG!B:B,B36),0)</f>
        <v>0</v>
      </c>
      <c r="E36" s="7">
        <f>IFERROR(VLOOKUP(B36,COURSE_PLAN!A:B,2,0),0)</f>
        <v>16</v>
      </c>
      <c r="F36" s="8">
        <f t="shared" ca="1" si="7"/>
        <v>0</v>
      </c>
      <c r="G36" s="19" t="str">
        <f t="shared" ca="1" si="8"/>
        <v>░░░░░░░░░░░░░░░░░░░░</v>
      </c>
      <c r="H36" s="23" t="str">
        <f t="shared" ca="1" si="9"/>
        <v>⚪ Not started</v>
      </c>
    </row>
    <row r="37" spans="1:8">
      <c r="A37" s="21" t="s">
        <v>52</v>
      </c>
      <c r="B37" s="9" t="s">
        <v>21</v>
      </c>
      <c r="C37" s="9" t="str">
        <f>IFERROR(VLOOKUP(A37,PIC!A:B,2,0),"")</f>
        <v>Buu Do 1</v>
      </c>
      <c r="D37" s="10">
        <f ca="1">IFERROR(_xludf.MAXIFS(ATTENDANCE_LOG!E:E,ATTENDANCE_LOG!A:A,A37,ATTENDANCE_LOG!B:B,B37),0)</f>
        <v>0</v>
      </c>
      <c r="E37" s="10">
        <f>IFERROR(VLOOKUP(B37,COURSE_PLAN!A:B,2,0),0)</f>
        <v>10</v>
      </c>
      <c r="F37" s="11">
        <f t="shared" ca="1" si="7"/>
        <v>0</v>
      </c>
      <c r="G37" s="22" t="str">
        <f t="shared" ca="1" si="8"/>
        <v>░░░░░░░░░░░░░░░░░░░░</v>
      </c>
      <c r="H37" s="23" t="str">
        <f t="shared" ca="1" si="9"/>
        <v>⚪ Not started</v>
      </c>
    </row>
    <row r="38" spans="1:8">
      <c r="A38" s="18" t="s">
        <v>53</v>
      </c>
      <c r="B38" s="6" t="s">
        <v>21</v>
      </c>
      <c r="C38" s="6" t="str">
        <f>IFERROR(VLOOKUP(A38,PIC!A:B,2,0),"")</f>
        <v>Buu Do 2</v>
      </c>
      <c r="D38" s="7">
        <f ca="1">IFERROR(_xludf.MAXIFS(ATTENDANCE_LOG!E:E,ATTENDANCE_LOG!A:A,A38,ATTENDANCE_LOG!B:B,B38),0)</f>
        <v>0</v>
      </c>
      <c r="E38" s="7">
        <f>IFERROR(VLOOKUP(B38,COURSE_PLAN!A:B,2,0),0)</f>
        <v>10</v>
      </c>
      <c r="F38" s="8">
        <f t="shared" ca="1" si="7"/>
        <v>0</v>
      </c>
      <c r="G38" s="19" t="str">
        <f t="shared" ca="1" si="8"/>
        <v>░░░░░░░░░░░░░░░░░░░░</v>
      </c>
      <c r="H38" s="23" t="str">
        <f t="shared" ca="1" si="9"/>
        <v>⚪ Not started</v>
      </c>
    </row>
    <row r="39" spans="1:8">
      <c r="A39" s="21" t="s">
        <v>54</v>
      </c>
      <c r="B39" s="9" t="s">
        <v>21</v>
      </c>
      <c r="C39" s="9" t="str">
        <f>IFERROR(VLOOKUP(A39,PIC!A:B,2,0),"")</f>
        <v>Cuong Nguyen</v>
      </c>
      <c r="D39" s="10">
        <f ca="1">IFERROR(_xludf.MAXIFS(ATTENDANCE_LOG!E:E,ATTENDANCE_LOG!A:A,A39,ATTENDANCE_LOG!B:B,B39),0)</f>
        <v>0</v>
      </c>
      <c r="E39" s="10">
        <f>IFERROR(VLOOKUP(B39,COURSE_PLAN!A:B,2,0),0)</f>
        <v>10</v>
      </c>
      <c r="F39" s="11">
        <f t="shared" ca="1" si="7"/>
        <v>0</v>
      </c>
      <c r="G39" s="22" t="str">
        <f t="shared" ca="1" si="8"/>
        <v>░░░░░░░░░░░░░░░░░░░░</v>
      </c>
      <c r="H39" s="23" t="str">
        <f t="shared" ca="1" si="9"/>
        <v>⚪ Not started</v>
      </c>
    </row>
    <row r="40" spans="1:8">
      <c r="A40" s="18" t="s">
        <v>54</v>
      </c>
      <c r="B40" s="6" t="s">
        <v>22</v>
      </c>
      <c r="C40" s="6" t="str">
        <f>IFERROR(VLOOKUP(A40,PIC!A:B,2,0),"")</f>
        <v>Cuong Nguyen</v>
      </c>
      <c r="D40" s="7">
        <f ca="1">IFERROR(_xludf.MAXIFS(ATTENDANCE_LOG!E:E,ATTENDANCE_LOG!A:A,A40,ATTENDANCE_LOG!B:B,B40),0)</f>
        <v>0</v>
      </c>
      <c r="E40" s="7">
        <f>IFERROR(VLOOKUP(B40,COURSE_PLAN!A:B,2,0),0)</f>
        <v>16</v>
      </c>
      <c r="F40" s="8">
        <f t="shared" ca="1" si="7"/>
        <v>0</v>
      </c>
      <c r="G40" s="19" t="str">
        <f t="shared" ca="1" si="8"/>
        <v>░░░░░░░░░░░░░░░░░░░░</v>
      </c>
      <c r="H40" s="23" t="str">
        <f t="shared" ca="1" si="9"/>
        <v>⚪ Not started</v>
      </c>
    </row>
    <row r="41" spans="1:8">
      <c r="A41" s="21" t="s">
        <v>55</v>
      </c>
      <c r="B41" s="9" t="s">
        <v>21</v>
      </c>
      <c r="C41" s="9" t="str">
        <f>IFERROR(VLOOKUP(A41,PIC!A:B,2,0),"")</f>
        <v>Duc Nguyen</v>
      </c>
      <c r="D41" s="10">
        <f ca="1">IFERROR(_xludf.MAXIFS(ATTENDANCE_LOG!E:E,ATTENDANCE_LOG!A:A,A41,ATTENDANCE_LOG!B:B,B41),0)</f>
        <v>0</v>
      </c>
      <c r="E41" s="10">
        <f>IFERROR(VLOOKUP(B41,COURSE_PLAN!A:B,2,0),0)</f>
        <v>10</v>
      </c>
      <c r="F41" s="11">
        <f t="shared" ca="1" si="7"/>
        <v>0</v>
      </c>
      <c r="G41" s="22" t="str">
        <f t="shared" ca="1" si="8"/>
        <v>░░░░░░░░░░░░░░░░░░░░</v>
      </c>
      <c r="H41" s="23" t="str">
        <f t="shared" ca="1" si="9"/>
        <v>⚪ Not started</v>
      </c>
    </row>
    <row r="42" spans="1:8">
      <c r="A42" s="18" t="s">
        <v>56</v>
      </c>
      <c r="B42" s="6" t="s">
        <v>21</v>
      </c>
      <c r="C42" s="6" t="str">
        <f>IFERROR(VLOOKUP(A42,PIC!A:B,2,0),"")</f>
        <v>Dat Nguyen</v>
      </c>
      <c r="D42" s="7">
        <f ca="1">IFERROR(_xludf.MAXIFS(ATTENDANCE_LOG!E:E,ATTENDANCE_LOG!A:A,A42,ATTENDANCE_LOG!B:B,B42),0)</f>
        <v>0</v>
      </c>
      <c r="E42" s="7">
        <f>IFERROR(VLOOKUP(B42,COURSE_PLAN!A:B,2,0),0)</f>
        <v>10</v>
      </c>
      <c r="F42" s="8">
        <f t="shared" ca="1" si="7"/>
        <v>0</v>
      </c>
      <c r="G42" s="19" t="str">
        <f t="shared" ca="1" si="8"/>
        <v>░░░░░░░░░░░░░░░░░░░░</v>
      </c>
      <c r="H42" s="23" t="str">
        <f t="shared" ca="1" si="9"/>
        <v>⚪ Not started</v>
      </c>
    </row>
    <row r="43" spans="1:8">
      <c r="A43" s="21" t="s">
        <v>57</v>
      </c>
      <c r="B43" s="9" t="s">
        <v>21</v>
      </c>
      <c r="C43" s="9" t="str">
        <f>IFERROR(VLOOKUP(A43,PIC!A:B,2,0),"")</f>
        <v>Nhat Nguyen</v>
      </c>
      <c r="D43" s="10">
        <f ca="1">IFERROR(_xludf.MAXIFS(ATTENDANCE_LOG!E:E,ATTENDANCE_LOG!A:A,A43,ATTENDANCE_LOG!B:B,B43),0)</f>
        <v>0</v>
      </c>
      <c r="E43" s="10">
        <f>IFERROR(VLOOKUP(B43,COURSE_PLAN!A:B,2,0),0)</f>
        <v>10</v>
      </c>
      <c r="F43" s="11">
        <f t="shared" ca="1" si="7"/>
        <v>0</v>
      </c>
      <c r="G43" s="22" t="str">
        <f t="shared" ca="1" si="8"/>
        <v>░░░░░░░░░░░░░░░░░░░░</v>
      </c>
      <c r="H43" s="23" t="str">
        <f t="shared" ca="1" si="9"/>
        <v>⚪ Not started</v>
      </c>
    </row>
    <row r="44" spans="1:8">
      <c r="A44" s="18" t="s">
        <v>57</v>
      </c>
      <c r="B44" s="6" t="s">
        <v>22</v>
      </c>
      <c r="C44" s="6" t="str">
        <f>IFERROR(VLOOKUP(A44,PIC!A:B,2,0),"")</f>
        <v>Nhat Nguyen</v>
      </c>
      <c r="D44" s="7">
        <f ca="1">IFERROR(_xludf.MAXIFS(ATTENDANCE_LOG!E:E,ATTENDANCE_LOG!A:A,A44,ATTENDANCE_LOG!B:B,B44),0)</f>
        <v>0</v>
      </c>
      <c r="E44" s="7">
        <f>IFERROR(VLOOKUP(B44,COURSE_PLAN!A:B,2,0),0)</f>
        <v>16</v>
      </c>
      <c r="F44" s="8">
        <f t="shared" ca="1" si="7"/>
        <v>0</v>
      </c>
      <c r="G44" s="19" t="str">
        <f t="shared" ca="1" si="8"/>
        <v>░░░░░░░░░░░░░░░░░░░░</v>
      </c>
      <c r="H44" s="23" t="str">
        <f t="shared" ca="1" si="9"/>
        <v>⚪ Not started</v>
      </c>
    </row>
    <row r="45" spans="1:8">
      <c r="A45" s="21" t="s">
        <v>58</v>
      </c>
      <c r="B45" s="9" t="s">
        <v>21</v>
      </c>
      <c r="C45" s="9" t="str">
        <f>IFERROR(VLOOKUP(A45,PIC!A:B,2,0),"")</f>
        <v>Hung Nguyen</v>
      </c>
      <c r="D45" s="10">
        <f ca="1">IFERROR(_xludf.MAXIFS(ATTENDANCE_LOG!E:E,ATTENDANCE_LOG!A:A,A45,ATTENDANCE_LOG!B:B,B45),0)</f>
        <v>0</v>
      </c>
      <c r="E45" s="10">
        <f>IFERROR(VLOOKUP(B45,COURSE_PLAN!A:B,2,0),0)</f>
        <v>10</v>
      </c>
      <c r="F45" s="11">
        <f t="shared" ca="1" si="7"/>
        <v>0</v>
      </c>
      <c r="G45" s="22" t="str">
        <f t="shared" ca="1" si="8"/>
        <v>░░░░░░░░░░░░░░░░░░░░</v>
      </c>
      <c r="H45" s="23" t="str">
        <f t="shared" ca="1" si="9"/>
        <v>⚪ Not started</v>
      </c>
    </row>
    <row r="46" spans="1:8">
      <c r="A46" s="18" t="s">
        <v>58</v>
      </c>
      <c r="B46" s="6" t="s">
        <v>22</v>
      </c>
      <c r="C46" s="6" t="str">
        <f>IFERROR(VLOOKUP(A46,PIC!A:B,2,0),"")</f>
        <v>Hung Nguyen</v>
      </c>
      <c r="D46" s="7">
        <f ca="1">IFERROR(_xludf.MAXIFS(ATTENDANCE_LOG!E:E,ATTENDANCE_LOG!A:A,A46,ATTENDANCE_LOG!B:B,B46),0)</f>
        <v>0</v>
      </c>
      <c r="E46" s="7">
        <f>IFERROR(VLOOKUP(B46,COURSE_PLAN!A:B,2,0),0)</f>
        <v>16</v>
      </c>
      <c r="F46" s="8">
        <f t="shared" ca="1" si="7"/>
        <v>0</v>
      </c>
      <c r="G46" s="19" t="str">
        <f t="shared" ca="1" si="8"/>
        <v>░░░░░░░░░░░░░░░░░░░░</v>
      </c>
      <c r="H46" s="23" t="str">
        <f t="shared" ca="1" si="9"/>
        <v>⚪ Not started</v>
      </c>
    </row>
    <row r="47" spans="1:8">
      <c r="A47" s="21" t="s">
        <v>59</v>
      </c>
      <c r="B47" s="9" t="s">
        <v>21</v>
      </c>
      <c r="C47" s="9" t="str">
        <f>IFERROR(VLOOKUP(A47,PIC!A:B,2,0),"")</f>
        <v>Huong Le</v>
      </c>
      <c r="D47" s="10">
        <f ca="1">IFERROR(_xludf.MAXIFS(ATTENDANCE_LOG!E:E,ATTENDANCE_LOG!A:A,A47,ATTENDANCE_LOG!B:B,B47),0)</f>
        <v>0</v>
      </c>
      <c r="E47" s="10">
        <f>IFERROR(VLOOKUP(B47,COURSE_PLAN!A:B,2,0),0)</f>
        <v>10</v>
      </c>
      <c r="F47" s="11">
        <f t="shared" ca="1" si="7"/>
        <v>0</v>
      </c>
      <c r="G47" s="22" t="str">
        <f t="shared" ca="1" si="8"/>
        <v>░░░░░░░░░░░░░░░░░░░░</v>
      </c>
      <c r="H47" s="23" t="str">
        <f t="shared" ca="1" si="9"/>
        <v>⚪ Not started</v>
      </c>
    </row>
    <row r="48" spans="1:8">
      <c r="A48" s="18" t="s">
        <v>59</v>
      </c>
      <c r="B48" s="6" t="s">
        <v>22</v>
      </c>
      <c r="C48" s="6" t="str">
        <f>IFERROR(VLOOKUP(A48,PIC!A:B,2,0),"")</f>
        <v>Huong Le</v>
      </c>
      <c r="D48" s="7">
        <f ca="1">IFERROR(_xludf.MAXIFS(ATTENDANCE_LOG!E:E,ATTENDANCE_LOG!A:A,A48,ATTENDANCE_LOG!B:B,B48),0)</f>
        <v>0</v>
      </c>
      <c r="E48" s="7">
        <f>IFERROR(VLOOKUP(B48,COURSE_PLAN!A:B,2,0),0)</f>
        <v>16</v>
      </c>
      <c r="F48" s="8">
        <f t="shared" ca="1" si="7"/>
        <v>0</v>
      </c>
      <c r="G48" s="19" t="str">
        <f t="shared" ca="1" si="8"/>
        <v>░░░░░░░░░░░░░░░░░░░░</v>
      </c>
      <c r="H48" s="23" t="str">
        <f t="shared" ca="1" si="9"/>
        <v>⚪ Not started</v>
      </c>
    </row>
    <row r="49" spans="1:8">
      <c r="A49" s="21" t="s">
        <v>60</v>
      </c>
      <c r="B49" s="9" t="s">
        <v>21</v>
      </c>
      <c r="C49" s="9" t="str">
        <f>IFERROR(VLOOKUP(A49,PIC!A:B,2,0),"")</f>
        <v>Huy Tran 1</v>
      </c>
      <c r="D49" s="10">
        <f ca="1">IFERROR(_xludf.MAXIFS(ATTENDANCE_LOG!E:E,ATTENDANCE_LOG!A:A,A49,ATTENDANCE_LOG!B:B,B49),0)</f>
        <v>0</v>
      </c>
      <c r="E49" s="10">
        <f>IFERROR(VLOOKUP(B49,COURSE_PLAN!A:B,2,0),0)</f>
        <v>10</v>
      </c>
      <c r="F49" s="11">
        <f t="shared" ca="1" si="7"/>
        <v>0</v>
      </c>
      <c r="G49" s="22" t="str">
        <f t="shared" ca="1" si="8"/>
        <v>░░░░░░░░░░░░░░░░░░░░</v>
      </c>
      <c r="H49" s="23" t="str">
        <f t="shared" ca="1" si="9"/>
        <v>⚪ Not started</v>
      </c>
    </row>
    <row r="50" spans="1:8">
      <c r="A50" s="18" t="s">
        <v>60</v>
      </c>
      <c r="B50" s="6" t="s">
        <v>22</v>
      </c>
      <c r="C50" s="6" t="str">
        <f>IFERROR(VLOOKUP(A50,PIC!A:B,2,0),"")</f>
        <v>Huy Tran 1</v>
      </c>
      <c r="D50" s="7">
        <f ca="1">IFERROR(_xludf.MAXIFS(ATTENDANCE_LOG!E:E,ATTENDANCE_LOG!A:A,A50,ATTENDANCE_LOG!B:B,B50),0)</f>
        <v>0</v>
      </c>
      <c r="E50" s="7">
        <f>IFERROR(VLOOKUP(B50,COURSE_PLAN!A:B,2,0),0)</f>
        <v>16</v>
      </c>
      <c r="F50" s="8">
        <f t="shared" ca="1" si="7"/>
        <v>0</v>
      </c>
      <c r="G50" s="19" t="str">
        <f t="shared" ca="1" si="8"/>
        <v>░░░░░░░░░░░░░░░░░░░░</v>
      </c>
      <c r="H50" s="20" t="str">
        <f t="shared" ca="1" si="9"/>
        <v>⚪ Not started</v>
      </c>
    </row>
    <row r="51" spans="1:8">
      <c r="A51" s="21" t="s">
        <v>61</v>
      </c>
      <c r="B51" s="9" t="s">
        <v>21</v>
      </c>
      <c r="C51" s="9" t="str">
        <f>IFERROR(VLOOKUP(A51,PIC!A:B,2,0),"")</f>
        <v>Huy Tran 2</v>
      </c>
      <c r="D51" s="10">
        <f ca="1">IFERROR(_xludf.MAXIFS(ATTENDANCE_LOG!E:E,ATTENDANCE_LOG!A:A,A51,ATTENDANCE_LOG!B:B,B51),0)</f>
        <v>0</v>
      </c>
      <c r="E51" s="10">
        <f>IFERROR(VLOOKUP(B51,COURSE_PLAN!A:B,2,0),0)</f>
        <v>10</v>
      </c>
      <c r="F51" s="11">
        <f t="shared" ca="1" si="7"/>
        <v>0</v>
      </c>
      <c r="G51" s="22" t="str">
        <f t="shared" ca="1" si="8"/>
        <v>░░░░░░░░░░░░░░░░░░░░</v>
      </c>
      <c r="H51" s="23" t="str">
        <f t="shared" ca="1" si="9"/>
        <v>⚪ Not started</v>
      </c>
    </row>
    <row r="52" spans="1:8">
      <c r="A52" s="18" t="s">
        <v>62</v>
      </c>
      <c r="B52" s="6" t="s">
        <v>21</v>
      </c>
      <c r="C52" s="6" t="str">
        <f>IFERROR(VLOOKUP(A52,PIC!A:B,2,0),"")</f>
        <v>Huyen Vo</v>
      </c>
      <c r="D52" s="7">
        <f ca="1">IFERROR(_xludf.MAXIFS(ATTENDANCE_LOG!E:E,ATTENDANCE_LOG!A:A,A52,ATTENDANCE_LOG!B:B,B52),0)</f>
        <v>0</v>
      </c>
      <c r="E52" s="7">
        <f>IFERROR(VLOOKUP(B52,COURSE_PLAN!A:B,2,0),0)</f>
        <v>10</v>
      </c>
      <c r="F52" s="8">
        <f t="shared" ca="1" si="7"/>
        <v>0</v>
      </c>
      <c r="G52" s="19" t="str">
        <f t="shared" ca="1" si="8"/>
        <v>░░░░░░░░░░░░░░░░░░░░</v>
      </c>
      <c r="H52" s="24" t="str">
        <f t="shared" ca="1" si="9"/>
        <v>⚪ Not started</v>
      </c>
    </row>
    <row r="53" spans="1:8">
      <c r="A53" s="21" t="s">
        <v>63</v>
      </c>
      <c r="B53" s="9" t="s">
        <v>21</v>
      </c>
      <c r="C53" s="9" t="str">
        <f>IFERROR(VLOOKUP(A53,PIC!A:B,2,0),"")</f>
        <v>Lanh Le</v>
      </c>
      <c r="D53" s="10">
        <f ca="1">IFERROR(_xludf.MAXIFS(ATTENDANCE_LOG!E:E,ATTENDANCE_LOG!A:A,A53,ATTENDANCE_LOG!B:B,B53),0)</f>
        <v>0</v>
      </c>
      <c r="E53" s="10">
        <f>IFERROR(VLOOKUP(B53,COURSE_PLAN!A:B,2,0),0)</f>
        <v>10</v>
      </c>
      <c r="F53" s="11">
        <f t="shared" ca="1" si="7"/>
        <v>0</v>
      </c>
      <c r="G53" s="22" t="str">
        <f t="shared" ca="1" si="8"/>
        <v>░░░░░░░░░░░░░░░░░░░░</v>
      </c>
      <c r="H53" s="23" t="str">
        <f t="shared" ca="1" si="9"/>
        <v>⚪ Not started</v>
      </c>
    </row>
    <row r="54" spans="1:8">
      <c r="A54" s="18" t="s">
        <v>63</v>
      </c>
      <c r="B54" s="6" t="s">
        <v>22</v>
      </c>
      <c r="C54" s="6" t="str">
        <f>IFERROR(VLOOKUP(A54,PIC!A:B,2,0),"")</f>
        <v>Lanh Le</v>
      </c>
      <c r="D54" s="7">
        <f ca="1">IFERROR(_xludf.MAXIFS(ATTENDANCE_LOG!E:E,ATTENDANCE_LOG!A:A,A54,ATTENDANCE_LOG!B:B,B54),0)</f>
        <v>0</v>
      </c>
      <c r="E54" s="7">
        <f>IFERROR(VLOOKUP(B54,COURSE_PLAN!A:B,2,0),0)</f>
        <v>16</v>
      </c>
      <c r="F54" s="8">
        <f t="shared" ca="1" si="7"/>
        <v>0</v>
      </c>
      <c r="G54" s="19" t="str">
        <f t="shared" ca="1" si="8"/>
        <v>░░░░░░░░░░░░░░░░░░░░</v>
      </c>
      <c r="H54" s="23" t="str">
        <f t="shared" ca="1" si="9"/>
        <v>⚪ Not started</v>
      </c>
    </row>
    <row r="55" spans="1:8">
      <c r="A55" s="21" t="s">
        <v>63</v>
      </c>
      <c r="B55" s="9" t="s">
        <v>23</v>
      </c>
      <c r="C55" s="9" t="str">
        <f>IFERROR(VLOOKUP(A55,PIC!A:B,2,0),"")</f>
        <v>Lanh Le</v>
      </c>
      <c r="D55" s="10">
        <f ca="1">IFERROR(_xludf.MAXIFS(ATTENDANCE_LOG!E:E,ATTENDANCE_LOG!A:A,A55,ATTENDANCE_LOG!B:B,B55),0)</f>
        <v>0</v>
      </c>
      <c r="E55" s="10">
        <f>IFERROR(VLOOKUP(B55,COURSE_PLAN!A:B,2,0),0)</f>
        <v>16</v>
      </c>
      <c r="F55" s="11">
        <f t="shared" ca="1" si="7"/>
        <v>0</v>
      </c>
      <c r="G55" s="22" t="str">
        <f t="shared" ca="1" si="8"/>
        <v>░░░░░░░░░░░░░░░░░░░░</v>
      </c>
      <c r="H55" s="9" t="str">
        <f t="shared" ca="1" si="9"/>
        <v>⚪ Not started</v>
      </c>
    </row>
    <row r="56" spans="1:8">
      <c r="A56" s="18" t="s">
        <v>64</v>
      </c>
      <c r="B56" s="6" t="s">
        <v>21</v>
      </c>
      <c r="C56" s="6" t="str">
        <f>IFERROR(VLOOKUP(A56,PIC!A:B,2,0),"")</f>
        <v>Thao Vu 1</v>
      </c>
      <c r="D56" s="7">
        <f ca="1">IFERROR(_xludf.MAXIFS(ATTENDANCE_LOG!E:E,ATTENDANCE_LOG!A:A,A56,ATTENDANCE_LOG!B:B,B56),0)</f>
        <v>0</v>
      </c>
      <c r="E56" s="7">
        <f>IFERROR(VLOOKUP(B56,COURSE_PLAN!A:B,2,0),0)</f>
        <v>10</v>
      </c>
      <c r="F56" s="8">
        <f t="shared" ca="1" si="7"/>
        <v>0</v>
      </c>
      <c r="G56" s="19" t="str">
        <f t="shared" ca="1" si="8"/>
        <v>░░░░░░░░░░░░░░░░░░░░</v>
      </c>
      <c r="H56" s="23" t="str">
        <f t="shared" ca="1" si="9"/>
        <v>⚪ Not started</v>
      </c>
    </row>
    <row r="57" spans="1:8">
      <c r="A57" s="21" t="s">
        <v>65</v>
      </c>
      <c r="B57" s="9" t="s">
        <v>21</v>
      </c>
      <c r="C57" s="9" t="str">
        <f>IFERROR(VLOOKUP(A57,PIC!A:B,2,0),"")</f>
        <v>Thao Vu 2</v>
      </c>
      <c r="D57" s="10">
        <f ca="1">IFERROR(_xludf.MAXIFS(ATTENDANCE_LOG!E:E,ATTENDANCE_LOG!A:A,A57,ATTENDANCE_LOG!B:B,B57),0)</f>
        <v>0</v>
      </c>
      <c r="E57" s="10">
        <f>IFERROR(VLOOKUP(B57,COURSE_PLAN!A:B,2,0),0)</f>
        <v>10</v>
      </c>
      <c r="F57" s="11">
        <f t="shared" ca="1" si="7"/>
        <v>0</v>
      </c>
      <c r="G57" s="22" t="str">
        <f t="shared" ca="1" si="8"/>
        <v>░░░░░░░░░░░░░░░░░░░░</v>
      </c>
      <c r="H57" s="23" t="str">
        <f t="shared" ca="1" si="9"/>
        <v>⚪ Not started</v>
      </c>
    </row>
    <row r="58" spans="1:8">
      <c r="A58" s="18" t="s">
        <v>65</v>
      </c>
      <c r="B58" s="6" t="s">
        <v>22</v>
      </c>
      <c r="C58" s="6" t="str">
        <f>IFERROR(VLOOKUP(A58,PIC!A:B,2,0),"")</f>
        <v>Thao Vu 2</v>
      </c>
      <c r="D58" s="7">
        <f ca="1">IFERROR(_xludf.MAXIFS(ATTENDANCE_LOG!E:E,ATTENDANCE_LOG!A:A,A58,ATTENDANCE_LOG!B:B,B58),0)</f>
        <v>0</v>
      </c>
      <c r="E58" s="7">
        <f>IFERROR(VLOOKUP(B58,COURSE_PLAN!A:B,2,0),0)</f>
        <v>16</v>
      </c>
      <c r="F58" s="8">
        <f t="shared" ca="1" si="7"/>
        <v>0</v>
      </c>
      <c r="G58" s="19" t="str">
        <f t="shared" ca="1" si="8"/>
        <v>░░░░░░░░░░░░░░░░░░░░</v>
      </c>
      <c r="H58" s="20" t="str">
        <f t="shared" ca="1" si="9"/>
        <v>⚪ Not started</v>
      </c>
    </row>
    <row r="59" spans="1:8">
      <c r="A59" s="21" t="s">
        <v>66</v>
      </c>
      <c r="B59" s="9" t="s">
        <v>21</v>
      </c>
      <c r="C59" s="9" t="str">
        <f>IFERROR(VLOOKUP(A59,PIC!A:B,2,0),"")</f>
        <v>Minh Nguyen</v>
      </c>
      <c r="D59" s="10">
        <f ca="1">IFERROR(_xludf.MAXIFS(ATTENDANCE_LOG!E:E,ATTENDANCE_LOG!A:A,A59,ATTENDANCE_LOG!B:B,B59),0)</f>
        <v>0</v>
      </c>
      <c r="E59" s="10">
        <f>IFERROR(VLOOKUP(B59,COURSE_PLAN!A:B,2,0),0)</f>
        <v>10</v>
      </c>
      <c r="F59" s="11">
        <f t="shared" ca="1" si="7"/>
        <v>0</v>
      </c>
      <c r="G59" s="22" t="str">
        <f t="shared" ca="1" si="8"/>
        <v>░░░░░░░░░░░░░░░░░░░░</v>
      </c>
      <c r="H59" s="20" t="str">
        <f t="shared" ca="1" si="9"/>
        <v>⚪ Not started</v>
      </c>
    </row>
    <row r="60" spans="1:8">
      <c r="A60" s="18" t="s">
        <v>67</v>
      </c>
      <c r="B60" s="6" t="s">
        <v>21</v>
      </c>
      <c r="C60" s="6" t="str">
        <f>IFERROR(VLOOKUP(A60,PIC!A:B,2,0),"")</f>
        <v>Nhat Bui</v>
      </c>
      <c r="D60" s="7">
        <f ca="1">IFERROR(_xludf.MAXIFS(ATTENDANCE_LOG!E:E,ATTENDANCE_LOG!A:A,A60,ATTENDANCE_LOG!B:B,B60),0)</f>
        <v>0</v>
      </c>
      <c r="E60" s="7">
        <f>IFERROR(VLOOKUP(B60,COURSE_PLAN!A:B,2,0),0)</f>
        <v>10</v>
      </c>
      <c r="F60" s="8">
        <f t="shared" ca="1" si="7"/>
        <v>0</v>
      </c>
      <c r="G60" s="19" t="str">
        <f t="shared" ca="1" si="8"/>
        <v>░░░░░░░░░░░░░░░░░░░░</v>
      </c>
      <c r="H60" s="23" t="str">
        <f t="shared" ca="1" si="9"/>
        <v>⚪ Not started</v>
      </c>
    </row>
    <row r="61" spans="1:8">
      <c r="A61" s="21" t="s">
        <v>68</v>
      </c>
      <c r="B61" s="9" t="s">
        <v>21</v>
      </c>
      <c r="C61" s="9" t="str">
        <f>IFERROR(VLOOKUP(A61,PIC!A:B,2,0),"")</f>
        <v>Nhat Phan 1</v>
      </c>
      <c r="D61" s="10">
        <f ca="1">IFERROR(_xludf.MAXIFS(ATTENDANCE_LOG!E:E,ATTENDANCE_LOG!A:A,A61,ATTENDANCE_LOG!B:B,B61),0)</f>
        <v>0</v>
      </c>
      <c r="E61" s="10">
        <f>IFERROR(VLOOKUP(B61,COURSE_PLAN!A:B,2,0),0)</f>
        <v>10</v>
      </c>
      <c r="F61" s="11">
        <f t="shared" ca="1" si="7"/>
        <v>0</v>
      </c>
      <c r="G61" s="22" t="str">
        <f t="shared" ca="1" si="8"/>
        <v>░░░░░░░░░░░░░░░░░░░░</v>
      </c>
      <c r="H61" s="23" t="str">
        <f t="shared" ca="1" si="9"/>
        <v>⚪ Not started</v>
      </c>
    </row>
    <row r="62" spans="1:8">
      <c r="A62" s="18" t="s">
        <v>68</v>
      </c>
      <c r="B62" s="6" t="s">
        <v>22</v>
      </c>
      <c r="C62" s="6" t="str">
        <f>IFERROR(VLOOKUP(A62,PIC!A:B,2,0),"")</f>
        <v>Nhat Phan 1</v>
      </c>
      <c r="D62" s="7">
        <f ca="1">IFERROR(_xludf.MAXIFS(ATTENDANCE_LOG!E:E,ATTENDANCE_LOG!A:A,A62,ATTENDANCE_LOG!B:B,B62),0)</f>
        <v>0</v>
      </c>
      <c r="E62" s="7">
        <f>IFERROR(VLOOKUP(B62,COURSE_PLAN!A:B,2,0),0)</f>
        <v>16</v>
      </c>
      <c r="F62" s="8">
        <f t="shared" ca="1" si="7"/>
        <v>0</v>
      </c>
      <c r="G62" s="19" t="str">
        <f t="shared" ca="1" si="8"/>
        <v>░░░░░░░░░░░░░░░░░░░░</v>
      </c>
      <c r="H62" s="24" t="str">
        <f t="shared" ca="1" si="9"/>
        <v>⚪ Not started</v>
      </c>
    </row>
    <row r="63" spans="1:8">
      <c r="A63" s="21" t="s">
        <v>69</v>
      </c>
      <c r="B63" s="9" t="s">
        <v>21</v>
      </c>
      <c r="C63" s="9" t="str">
        <f>IFERROR(VLOOKUP(A63,PIC!A:B,2,0),"")</f>
        <v>Nhat Phan 2</v>
      </c>
      <c r="D63" s="10">
        <f ca="1">IFERROR(_xludf.MAXIFS(ATTENDANCE_LOG!E:E,ATTENDANCE_LOG!A:A,A63,ATTENDANCE_LOG!B:B,B63),0)</f>
        <v>0</v>
      </c>
      <c r="E63" s="10">
        <f>IFERROR(VLOOKUP(B63,COURSE_PLAN!A:B,2,0),0)</f>
        <v>10</v>
      </c>
      <c r="F63" s="11">
        <f t="shared" ca="1" si="7"/>
        <v>0</v>
      </c>
      <c r="G63" s="22" t="str">
        <f t="shared" ca="1" si="8"/>
        <v>░░░░░░░░░░░░░░░░░░░░</v>
      </c>
      <c r="H63" s="23" t="str">
        <f t="shared" ca="1" si="9"/>
        <v>⚪ Not started</v>
      </c>
    </row>
    <row r="64" spans="1:8">
      <c r="A64" s="18" t="s">
        <v>70</v>
      </c>
      <c r="B64" s="6" t="s">
        <v>21</v>
      </c>
      <c r="C64" s="6" t="str">
        <f>IFERROR(VLOOKUP(A64,PIC!A:B,2,0),"")</f>
        <v>Qui Em</v>
      </c>
      <c r="D64" s="7">
        <f ca="1">IFERROR(_xludf.MAXIFS(ATTENDANCE_LOG!E:E,ATTENDANCE_LOG!A:A,A64,ATTENDANCE_LOG!B:B,B64),0)</f>
        <v>0</v>
      </c>
      <c r="E64" s="7">
        <f>IFERROR(VLOOKUP(B64,COURSE_PLAN!A:B,2,0),0)</f>
        <v>10</v>
      </c>
      <c r="F64" s="8">
        <f t="shared" ca="1" si="7"/>
        <v>0</v>
      </c>
      <c r="G64" s="19" t="str">
        <f t="shared" ca="1" si="8"/>
        <v>░░░░░░░░░░░░░░░░░░░░</v>
      </c>
      <c r="H64" s="23" t="str">
        <f t="shared" ca="1" si="9"/>
        <v>⚪ Not started</v>
      </c>
    </row>
    <row r="65" spans="1:8">
      <c r="A65" s="21" t="s">
        <v>70</v>
      </c>
      <c r="B65" s="9" t="s">
        <v>22</v>
      </c>
      <c r="C65" s="9" t="str">
        <f>IFERROR(VLOOKUP(A65,PIC!A:B,2,0),"")</f>
        <v>Qui Em</v>
      </c>
      <c r="D65" s="10">
        <f ca="1">IFERROR(_xludf.MAXIFS(ATTENDANCE_LOG!E:E,ATTENDANCE_LOG!A:A,A65,ATTENDANCE_LOG!B:B,B65),0)</f>
        <v>0</v>
      </c>
      <c r="E65" s="10">
        <f>IFERROR(VLOOKUP(B65,COURSE_PLAN!A:B,2,0),0)</f>
        <v>16</v>
      </c>
      <c r="F65" s="11">
        <f t="shared" ca="1" si="7"/>
        <v>0</v>
      </c>
      <c r="G65" s="22" t="str">
        <f t="shared" ca="1" si="8"/>
        <v>░░░░░░░░░░░░░░░░░░░░</v>
      </c>
      <c r="H65" s="20" t="str">
        <f t="shared" ca="1" si="9"/>
        <v>⚪ Not started</v>
      </c>
    </row>
    <row r="66" spans="1:8">
      <c r="A66" s="18" t="s">
        <v>71</v>
      </c>
      <c r="B66" s="6" t="s">
        <v>24</v>
      </c>
      <c r="C66" s="6" t="str">
        <f>IFERROR(VLOOKUP(A66,PIC!A:B,2,0),"")</f>
        <v>Tan Tran</v>
      </c>
      <c r="D66" s="7">
        <f ca="1">IFERROR(_xludf.MAXIFS(ATTENDANCE_LOG!E:E,ATTENDANCE_LOG!A:A,A66,ATTENDANCE_LOG!B:B,B66),0)</f>
        <v>0</v>
      </c>
      <c r="E66" s="7">
        <f>IFERROR(VLOOKUP(B66,COURSE_PLAN!A:B,2,0),0)</f>
        <v>16</v>
      </c>
      <c r="F66" s="8">
        <f t="shared" ca="1" si="7"/>
        <v>0</v>
      </c>
      <c r="G66" s="19" t="str">
        <f t="shared" ca="1" si="8"/>
        <v>░░░░░░░░░░░░░░░░░░░░</v>
      </c>
      <c r="H66" s="24" t="str">
        <f t="shared" ca="1" si="9"/>
        <v>⚪ Not started</v>
      </c>
    </row>
    <row r="67" spans="1:8">
      <c r="A67" s="21" t="s">
        <v>72</v>
      </c>
      <c r="B67" s="9" t="s">
        <v>21</v>
      </c>
      <c r="C67" s="9" t="str">
        <f>IFERROR(VLOOKUP(A67,PIC!A:B,2,0),"")</f>
        <v>Thien Truong</v>
      </c>
      <c r="D67" s="10">
        <f ca="1">IFERROR(_xludf.MAXIFS(ATTENDANCE_LOG!E:E,ATTENDANCE_LOG!A:A,A67,ATTENDANCE_LOG!B:B,B67),0)</f>
        <v>0</v>
      </c>
      <c r="E67" s="10">
        <f>IFERROR(VLOOKUP(B67,COURSE_PLAN!A:B,2,0),0)</f>
        <v>10</v>
      </c>
      <c r="F67" s="11">
        <f t="shared" ca="1" si="7"/>
        <v>0</v>
      </c>
      <c r="G67" s="22" t="str">
        <f t="shared" ca="1" si="8"/>
        <v>░░░░░░░░░░░░░░░░░░░░</v>
      </c>
      <c r="H67" s="23" t="str">
        <f t="shared" ca="1" si="9"/>
        <v>⚪ Not started</v>
      </c>
    </row>
    <row r="68" spans="1:8">
      <c r="A68" s="18" t="s">
        <v>72</v>
      </c>
      <c r="B68" s="6" t="s">
        <v>22</v>
      </c>
      <c r="C68" s="6" t="str">
        <f>IFERROR(VLOOKUP(A68,PIC!A:B,2,0),"")</f>
        <v>Thien Truong</v>
      </c>
      <c r="D68" s="7">
        <f ca="1">IFERROR(_xludf.MAXIFS(ATTENDANCE_LOG!E:E,ATTENDANCE_LOG!A:A,A68,ATTENDANCE_LOG!B:B,B68),0)</f>
        <v>0</v>
      </c>
      <c r="E68" s="7">
        <f>IFERROR(VLOOKUP(B68,COURSE_PLAN!A:B,2,0),0)</f>
        <v>16</v>
      </c>
      <c r="F68" s="8">
        <f t="shared" ca="1" si="7"/>
        <v>0</v>
      </c>
      <c r="G68" s="19" t="str">
        <f t="shared" ca="1" si="8"/>
        <v>░░░░░░░░░░░░░░░░░░░░</v>
      </c>
      <c r="H68" s="23" t="str">
        <f t="shared" ca="1" si="9"/>
        <v>⚪ Not started</v>
      </c>
    </row>
    <row r="69" spans="1:8">
      <c r="A69" s="21" t="s">
        <v>72</v>
      </c>
      <c r="B69" s="9" t="s">
        <v>23</v>
      </c>
      <c r="C69" s="9" t="str">
        <f>IFERROR(VLOOKUP(A69,PIC!A:B,2,0),"")</f>
        <v>Thien Truong</v>
      </c>
      <c r="D69" s="10">
        <f ca="1">IFERROR(_xludf.MAXIFS(ATTENDANCE_LOG!E:E,ATTENDANCE_LOG!A:A,A69,ATTENDANCE_LOG!B:B,B69),0)</f>
        <v>0</v>
      </c>
      <c r="E69" s="10">
        <f>IFERROR(VLOOKUP(B69,COURSE_PLAN!A:B,2,0),0)</f>
        <v>16</v>
      </c>
      <c r="F69" s="11">
        <f t="shared" ca="1" si="7"/>
        <v>0</v>
      </c>
      <c r="G69" s="22" t="str">
        <f t="shared" ca="1" si="8"/>
        <v>░░░░░░░░░░░░░░░░░░░░</v>
      </c>
      <c r="H69" s="20" t="str">
        <f t="shared" ca="1" si="9"/>
        <v>⚪ Not started</v>
      </c>
    </row>
    <row r="70" spans="1:8">
      <c r="A70" s="18" t="s">
        <v>73</v>
      </c>
      <c r="B70" s="6" t="s">
        <v>21</v>
      </c>
      <c r="C70" s="6" t="str">
        <f>IFERROR(VLOOKUP(A70,PIC!A:B,2,0),"")</f>
        <v>Ky Luong</v>
      </c>
      <c r="D70" s="7">
        <f ca="1">IFERROR(_xludf.MAXIFS(ATTENDANCE_LOG!E:E,ATTENDANCE_LOG!A:A,A70,ATTENDANCE_LOG!B:B,B70),0)</f>
        <v>0</v>
      </c>
      <c r="E70" s="7">
        <f>IFERROR(VLOOKUP(B70,COURSE_PLAN!A:B,2,0),0)</f>
        <v>10</v>
      </c>
      <c r="F70" s="8">
        <f t="shared" ca="1" si="7"/>
        <v>0</v>
      </c>
      <c r="G70" s="19" t="str">
        <f t="shared" ca="1" si="8"/>
        <v>░░░░░░░░░░░░░░░░░░░░</v>
      </c>
      <c r="H70" s="23" t="str">
        <f t="shared" ca="1" si="9"/>
        <v>⚪ Not started</v>
      </c>
    </row>
    <row r="71" spans="1:8">
      <c r="A71" s="21" t="s">
        <v>74</v>
      </c>
      <c r="B71" s="9" t="s">
        <v>21</v>
      </c>
      <c r="C71" s="9" t="str">
        <f>IFERROR(VLOOKUP(A71,PIC!A:B,2,0),"")</f>
        <v>Dung Hoang</v>
      </c>
      <c r="D71" s="10">
        <f ca="1">IFERROR(_xludf.MAXIFS(ATTENDANCE_LOG!E:E,ATTENDANCE_LOG!A:A,A71,ATTENDANCE_LOG!B:B,B71),0)</f>
        <v>0</v>
      </c>
      <c r="E71" s="10">
        <f>IFERROR(VLOOKUP(B71,COURSE_PLAN!A:B,2,0),0)</f>
        <v>10</v>
      </c>
      <c r="F71" s="11">
        <f t="shared" ca="1" si="7"/>
        <v>0</v>
      </c>
      <c r="G71" s="22" t="str">
        <f t="shared" ca="1" si="8"/>
        <v>░░░░░░░░░░░░░░░░░░░░</v>
      </c>
      <c r="H71" s="23" t="str">
        <f t="shared" ca="1" si="9"/>
        <v>⚪ Not started</v>
      </c>
    </row>
    <row r="72" spans="1:8">
      <c r="A72" s="18" t="s">
        <v>74</v>
      </c>
      <c r="B72" s="6" t="s">
        <v>22</v>
      </c>
      <c r="C72" s="6" t="str">
        <f>IFERROR(VLOOKUP(A72,PIC!A:B,2,0),"")</f>
        <v>Dung Hoang</v>
      </c>
      <c r="D72" s="7">
        <f ca="1">IFERROR(_xludf.MAXIFS(ATTENDANCE_LOG!E:E,ATTENDANCE_LOG!A:A,A72,ATTENDANCE_LOG!B:B,B72),0)</f>
        <v>0</v>
      </c>
      <c r="E72" s="7">
        <f>IFERROR(VLOOKUP(B72,COURSE_PLAN!A:B,2,0),0)</f>
        <v>16</v>
      </c>
      <c r="F72" s="8">
        <f t="shared" ca="1" si="7"/>
        <v>0</v>
      </c>
      <c r="G72" s="19" t="str">
        <f t="shared" ca="1" si="8"/>
        <v>░░░░░░░░░░░░░░░░░░░░</v>
      </c>
      <c r="H72" s="20" t="str">
        <f t="shared" ca="1" si="9"/>
        <v>⚪ Not started</v>
      </c>
    </row>
    <row r="73" spans="1:8">
      <c r="A73" s="21" t="s">
        <v>74</v>
      </c>
      <c r="B73" s="9" t="s">
        <v>25</v>
      </c>
      <c r="C73" s="9" t="str">
        <f>IFERROR(VLOOKUP(A73,PIC!A:B,2,0),"")</f>
        <v>Dung Hoang</v>
      </c>
      <c r="D73" s="10">
        <f ca="1">IFERROR(_xludf.MAXIFS(ATTENDANCE_LOG!E:E,ATTENDANCE_LOG!A:A,A73,ATTENDANCE_LOG!B:B,B73),0)</f>
        <v>0</v>
      </c>
      <c r="E73" s="10">
        <f>IFERROR(VLOOKUP(B73,COURSE_PLAN!A:B,2,0),0)</f>
        <v>16</v>
      </c>
      <c r="F73" s="11">
        <f t="shared" ca="1" si="7"/>
        <v>0</v>
      </c>
      <c r="G73" s="22" t="str">
        <f t="shared" ca="1" si="8"/>
        <v>░░░░░░░░░░░░░░░░░░░░</v>
      </c>
      <c r="H73" s="23" t="str">
        <f t="shared" ca="1" si="9"/>
        <v>⚪ Not started</v>
      </c>
    </row>
    <row r="74" spans="1:8">
      <c r="A74" s="18" t="s">
        <v>75</v>
      </c>
      <c r="B74" s="6" t="s">
        <v>21</v>
      </c>
      <c r="C74" s="6" t="str">
        <f>IFERROR(VLOOKUP(A74,PIC!A:B,2,0),"")</f>
        <v>Anh To</v>
      </c>
      <c r="D74" s="7">
        <f ca="1">IFERROR(_xludf.MAXIFS(ATTENDANCE_LOG!E:E,ATTENDANCE_LOG!A:A,A74,ATTENDANCE_LOG!B:B,B74),0)</f>
        <v>0</v>
      </c>
      <c r="E74" s="7">
        <f>IFERROR(VLOOKUP(B74,COURSE_PLAN!A:B,2,0),0)</f>
        <v>10</v>
      </c>
      <c r="F74" s="8">
        <f t="shared" ca="1" si="7"/>
        <v>0</v>
      </c>
      <c r="G74" s="19" t="str">
        <f t="shared" ca="1" si="8"/>
        <v>░░░░░░░░░░░░░░░░░░░░</v>
      </c>
      <c r="H74" s="23" t="str">
        <f t="shared" ca="1" si="9"/>
        <v>⚪ Not started</v>
      </c>
    </row>
    <row r="75" spans="1:8">
      <c r="A75" s="21" t="s">
        <v>75</v>
      </c>
      <c r="B75" s="9" t="s">
        <v>22</v>
      </c>
      <c r="C75" s="9" t="str">
        <f>IFERROR(VLOOKUP(A75,PIC!A:B,2,0),"")</f>
        <v>Anh To</v>
      </c>
      <c r="D75" s="10">
        <f ca="1">IFERROR(_xludf.MAXIFS(ATTENDANCE_LOG!E:E,ATTENDANCE_LOG!A:A,A75,ATTENDANCE_LOG!B:B,B75),0)</f>
        <v>0</v>
      </c>
      <c r="E75" s="10">
        <f>IFERROR(VLOOKUP(B75,COURSE_PLAN!A:B,2,0),0)</f>
        <v>16</v>
      </c>
      <c r="F75" s="11">
        <f t="shared" ca="1" si="7"/>
        <v>0</v>
      </c>
      <c r="G75" s="22" t="str">
        <f t="shared" ca="1" si="8"/>
        <v>░░░░░░░░░░░░░░░░░░░░</v>
      </c>
      <c r="H75" s="24" t="str">
        <f t="shared" ca="1" si="9"/>
        <v>⚪ Not started</v>
      </c>
    </row>
    <row r="76" spans="1:8">
      <c r="A76" s="18" t="s">
        <v>76</v>
      </c>
      <c r="B76" s="6" t="s">
        <v>21</v>
      </c>
      <c r="C76" s="6" t="str">
        <f>IFERROR(VLOOKUP(A76,PIC!A:B,2,0),"")</f>
        <v>My Tran</v>
      </c>
      <c r="D76" s="7">
        <f ca="1">IFERROR(_xludf.MAXIFS(ATTENDANCE_LOG!E:E,ATTENDANCE_LOG!A:A,A76,ATTENDANCE_LOG!B:B,B76),0)</f>
        <v>0</v>
      </c>
      <c r="E76" s="7">
        <f>IFERROR(VLOOKUP(B76,COURSE_PLAN!A:B,2,0),0)</f>
        <v>10</v>
      </c>
      <c r="F76" s="8">
        <f t="shared" ca="1" si="7"/>
        <v>0</v>
      </c>
      <c r="G76" s="19" t="str">
        <f t="shared" ca="1" si="8"/>
        <v>░░░░░░░░░░░░░░░░░░░░</v>
      </c>
      <c r="H76" s="23" t="str">
        <f t="shared" ca="1" si="9"/>
        <v>⚪ Not started</v>
      </c>
    </row>
    <row r="77" spans="1:8">
      <c r="A77" s="21" t="s">
        <v>76</v>
      </c>
      <c r="B77" s="9" t="s">
        <v>22</v>
      </c>
      <c r="C77" s="9" t="str">
        <f>IFERROR(VLOOKUP(A77,PIC!A:B,2,0),"")</f>
        <v>My Tran</v>
      </c>
      <c r="D77" s="10">
        <f ca="1">IFERROR(_xludf.MAXIFS(ATTENDANCE_LOG!E:E,ATTENDANCE_LOG!A:A,A77,ATTENDANCE_LOG!B:B,B77),0)</f>
        <v>0</v>
      </c>
      <c r="E77" s="10">
        <f>IFERROR(VLOOKUP(B77,COURSE_PLAN!A:B,2,0),0)</f>
        <v>16</v>
      </c>
      <c r="F77" s="11">
        <f t="shared" ca="1" si="7"/>
        <v>0</v>
      </c>
      <c r="G77" s="22" t="str">
        <f t="shared" ca="1" si="8"/>
        <v>░░░░░░░░░░░░░░░░░░░░</v>
      </c>
      <c r="H77" s="20" t="str">
        <f t="shared" ca="1" si="9"/>
        <v>⚪ Not started</v>
      </c>
    </row>
    <row r="78" spans="1:8">
      <c r="A78" s="18" t="s">
        <v>77</v>
      </c>
      <c r="B78" s="6" t="s">
        <v>21</v>
      </c>
      <c r="C78" s="6" t="str">
        <f>IFERROR(VLOOKUP(A78,PIC!A:B,2,0),"")</f>
        <v>Vinh Nguyen</v>
      </c>
      <c r="D78" s="7">
        <f ca="1">IFERROR(_xludf.MAXIFS(ATTENDANCE_LOG!E:E,ATTENDANCE_LOG!A:A,A78,ATTENDANCE_LOG!B:B,B78),0)</f>
        <v>0</v>
      </c>
      <c r="E78" s="7">
        <f>IFERROR(VLOOKUP(B78,COURSE_PLAN!A:B,2,0),0)</f>
        <v>10</v>
      </c>
      <c r="F78" s="8">
        <f t="shared" ca="1" si="7"/>
        <v>0</v>
      </c>
      <c r="G78" s="19" t="str">
        <f t="shared" ca="1" si="8"/>
        <v>░░░░░░░░░░░░░░░░░░░░</v>
      </c>
      <c r="H78" s="23" t="str">
        <f t="shared" ca="1" si="9"/>
        <v>⚪ Not started</v>
      </c>
    </row>
    <row r="79" spans="1:8">
      <c r="A79" s="21" t="s">
        <v>77</v>
      </c>
      <c r="B79" s="9" t="s">
        <v>22</v>
      </c>
      <c r="C79" s="9" t="str">
        <f>IFERROR(VLOOKUP(A79,PIC!A:B,2,0),"")</f>
        <v>Vinh Nguyen</v>
      </c>
      <c r="D79" s="10">
        <f ca="1">IFERROR(_xludf.MAXIFS(ATTENDANCE_LOG!E:E,ATTENDANCE_LOG!A:A,A79,ATTENDANCE_LOG!B:B,B79),0)</f>
        <v>0</v>
      </c>
      <c r="E79" s="10">
        <f>IFERROR(VLOOKUP(B79,COURSE_PLAN!A:B,2,0),0)</f>
        <v>16</v>
      </c>
      <c r="F79" s="11">
        <f t="shared" ca="1" si="7"/>
        <v>0</v>
      </c>
      <c r="G79" s="22" t="str">
        <f t="shared" ca="1" si="8"/>
        <v>░░░░░░░░░░░░░░░░░░░░</v>
      </c>
      <c r="H79" s="23" t="str">
        <f t="shared" ca="1" si="9"/>
        <v>⚪ Not started</v>
      </c>
    </row>
    <row r="80" spans="1:8">
      <c r="A80" s="18" t="s">
        <v>77</v>
      </c>
      <c r="B80" s="6" t="s">
        <v>23</v>
      </c>
      <c r="C80" s="6" t="str">
        <f>IFERROR(VLOOKUP(A80,PIC!A:B,2,0),"")</f>
        <v>Vinh Nguyen</v>
      </c>
      <c r="D80" s="7">
        <f ca="1">IFERROR(_xludf.MAXIFS(ATTENDANCE_LOG!E:E,ATTENDANCE_LOG!A:A,A80,ATTENDANCE_LOG!B:B,B80),0)</f>
        <v>0</v>
      </c>
      <c r="E80" s="7">
        <f>IFERROR(VLOOKUP(B80,COURSE_PLAN!A:B,2,0),0)</f>
        <v>16</v>
      </c>
      <c r="F80" s="8">
        <f t="shared" ca="1" si="7"/>
        <v>0</v>
      </c>
      <c r="G80" s="19" t="str">
        <f t="shared" ca="1" si="8"/>
        <v>░░░░░░░░░░░░░░░░░░░░</v>
      </c>
      <c r="H80" s="20" t="str">
        <f t="shared" ca="1" si="9"/>
        <v>⚪ Not started</v>
      </c>
    </row>
    <row r="81" spans="1:8">
      <c r="A81" s="21" t="s">
        <v>78</v>
      </c>
      <c r="B81" s="9" t="s">
        <v>21</v>
      </c>
      <c r="C81" s="9" t="str">
        <f>IFERROR(VLOOKUP(A81,PIC!A:B,2,0),"")</f>
        <v>Yen Tran 1</v>
      </c>
      <c r="D81" s="10">
        <f ca="1">IFERROR(_xludf.MAXIFS(ATTENDANCE_LOG!E:E,ATTENDANCE_LOG!A:A,A81,ATTENDANCE_LOG!B:B,B81),0)</f>
        <v>0</v>
      </c>
      <c r="E81" s="10">
        <f>IFERROR(VLOOKUP(B81,COURSE_PLAN!A:B,2,0),0)</f>
        <v>10</v>
      </c>
      <c r="F81" s="11">
        <f t="shared" ca="1" si="7"/>
        <v>0</v>
      </c>
      <c r="G81" s="22" t="str">
        <f t="shared" ca="1" si="8"/>
        <v>░░░░░░░░░░░░░░░░░░░░</v>
      </c>
      <c r="H81" s="23" t="str">
        <f t="shared" ca="1" si="9"/>
        <v>⚪ Not started</v>
      </c>
    </row>
    <row r="82" spans="1:8">
      <c r="A82" s="18" t="s">
        <v>79</v>
      </c>
      <c r="B82" s="6" t="s">
        <v>21</v>
      </c>
      <c r="C82" s="6" t="str">
        <f>IFERROR(VLOOKUP(A82,PIC!A:B,2,0),"")</f>
        <v>Yen Tran 2</v>
      </c>
      <c r="D82" s="7">
        <f ca="1">IFERROR(_xludf.MAXIFS(ATTENDANCE_LOG!E:E,ATTENDANCE_LOG!A:A,A82,ATTENDANCE_LOG!B:B,B82),0)</f>
        <v>0</v>
      </c>
      <c r="E82" s="7">
        <f>IFERROR(VLOOKUP(B82,COURSE_PLAN!A:B,2,0),0)</f>
        <v>10</v>
      </c>
      <c r="F82" s="8">
        <f t="shared" ca="1" si="7"/>
        <v>0</v>
      </c>
      <c r="G82" s="19" t="str">
        <f t="shared" ca="1" si="8"/>
        <v>░░░░░░░░░░░░░░░░░░░░</v>
      </c>
      <c r="H82" s="23" t="str">
        <f t="shared" ca="1" si="9"/>
        <v>⚪ Not started</v>
      </c>
    </row>
    <row r="83" spans="1:8">
      <c r="A83" s="21" t="s">
        <v>80</v>
      </c>
      <c r="B83" s="9" t="s">
        <v>21</v>
      </c>
      <c r="C83" s="9" t="str">
        <f>IFERROR(VLOOKUP(A83,PIC!A:B,2,0),"")</f>
        <v>Yen Tran 3</v>
      </c>
      <c r="D83" s="10">
        <f ca="1">IFERROR(_xludf.MAXIFS(ATTENDANCE_LOG!E:E,ATTENDANCE_LOG!A:A,A83,ATTENDANCE_LOG!B:B,B83),0)</f>
        <v>0</v>
      </c>
      <c r="E83" s="10">
        <f>IFERROR(VLOOKUP(B83,COURSE_PLAN!A:B,2,0),0)</f>
        <v>10</v>
      </c>
      <c r="F83" s="11">
        <f t="shared" ca="1" si="7"/>
        <v>0</v>
      </c>
      <c r="G83" s="22" t="str">
        <f t="shared" ca="1" si="8"/>
        <v>░░░░░░░░░░░░░░░░░░░░</v>
      </c>
      <c r="H83" s="24" t="str">
        <f t="shared" ca="1" si="9"/>
        <v>⚪ Not started</v>
      </c>
    </row>
    <row r="84" spans="1:8">
      <c r="A84" s="18" t="s">
        <v>81</v>
      </c>
      <c r="B84" s="6" t="s">
        <v>21</v>
      </c>
      <c r="C84" s="6" t="str">
        <f>IFERROR(VLOOKUP(A84,PIC!A:B,2,0),"")</f>
        <v>Tai Nguyen</v>
      </c>
      <c r="D84" s="7">
        <f ca="1">IFERROR(_xludf.MAXIFS(ATTENDANCE_LOG!E:E,ATTENDANCE_LOG!A:A,A84,ATTENDANCE_LOG!B:B,B84),0)</f>
        <v>0</v>
      </c>
      <c r="E84" s="7">
        <f>IFERROR(VLOOKUP(B84,COURSE_PLAN!A:B,2,0),0)</f>
        <v>10</v>
      </c>
      <c r="F84" s="8">
        <f t="shared" ca="1" si="7"/>
        <v>0</v>
      </c>
      <c r="G84" s="19" t="str">
        <f t="shared" ca="1" si="8"/>
        <v>░░░░░░░░░░░░░░░░░░░░</v>
      </c>
      <c r="H84" s="23" t="str">
        <f t="shared" ca="1" si="9"/>
        <v>⚪ Not started</v>
      </c>
    </row>
    <row r="85" spans="1:8">
      <c r="A85" s="21" t="s">
        <v>82</v>
      </c>
      <c r="B85" s="9" t="s">
        <v>21</v>
      </c>
      <c r="C85" s="9" t="str">
        <f>IFERROR(VLOOKUP(A85,PIC!A:B,2,0),"")</f>
        <v>Tai Pham</v>
      </c>
      <c r="D85" s="10">
        <f ca="1">IFERROR(_xludf.MAXIFS(ATTENDANCE_LOG!E:E,ATTENDANCE_LOG!A:A,A85,ATTENDANCE_LOG!B:B,B85),0)</f>
        <v>0</v>
      </c>
      <c r="E85" s="10">
        <f>IFERROR(VLOOKUP(B85,COURSE_PLAN!A:B,2,0),0)</f>
        <v>10</v>
      </c>
      <c r="F85" s="11">
        <f t="shared" ca="1" si="7"/>
        <v>0</v>
      </c>
      <c r="G85" s="22" t="str">
        <f t="shared" ca="1" si="8"/>
        <v>░░░░░░░░░░░░░░░░░░░░</v>
      </c>
      <c r="H85" s="23" t="str">
        <f t="shared" ca="1" si="9"/>
        <v>⚪ Not started</v>
      </c>
    </row>
    <row r="86" spans="1:8">
      <c r="A86" s="18" t="s">
        <v>82</v>
      </c>
      <c r="B86" s="6" t="s">
        <v>22</v>
      </c>
      <c r="C86" s="6" t="str">
        <f>IFERROR(VLOOKUP(A86,PIC!A:B,2,0),"")</f>
        <v>Tai Pham</v>
      </c>
      <c r="D86" s="7">
        <f ca="1">IFERROR(_xludf.MAXIFS(ATTENDANCE_LOG!E:E,ATTENDANCE_LOG!A:A,A86,ATTENDANCE_LOG!B:B,B86),0)</f>
        <v>0</v>
      </c>
      <c r="E86" s="7">
        <f>IFERROR(VLOOKUP(B86,COURSE_PLAN!A:B,2,0),0)</f>
        <v>16</v>
      </c>
      <c r="F86" s="8">
        <f t="shared" ca="1" si="7"/>
        <v>0</v>
      </c>
      <c r="G86" s="19" t="str">
        <f t="shared" ca="1" si="8"/>
        <v>░░░░░░░░░░░░░░░░░░░░</v>
      </c>
      <c r="H86" s="23" t="str">
        <f t="shared" ca="1" si="9"/>
        <v>⚪ Not started</v>
      </c>
    </row>
    <row r="87" spans="1:8">
      <c r="A87" s="21" t="s">
        <v>83</v>
      </c>
      <c r="B87" s="9" t="s">
        <v>21</v>
      </c>
      <c r="C87" s="9" t="str">
        <f>IFERROR(VLOOKUP(A87,PIC!A:B,2,0),"")</f>
        <v>Anh Ha</v>
      </c>
      <c r="D87" s="10">
        <f ca="1">IFERROR(_xludf.MAXIFS(ATTENDANCE_LOG!E:E,ATTENDANCE_LOG!A:A,A87,ATTENDANCE_LOG!B:B,B87),0)</f>
        <v>0</v>
      </c>
      <c r="E87" s="10">
        <f>IFERROR(VLOOKUP(B87,COURSE_PLAN!A:B,2,0),0)</f>
        <v>10</v>
      </c>
      <c r="F87" s="11">
        <f t="shared" ca="1" si="7"/>
        <v>0</v>
      </c>
      <c r="G87" s="22" t="str">
        <f t="shared" ca="1" si="8"/>
        <v>░░░░░░░░░░░░░░░░░░░░</v>
      </c>
      <c r="H87" s="23" t="str">
        <f t="shared" ca="1" si="9"/>
        <v>⚪ Not started</v>
      </c>
    </row>
    <row r="88" spans="1:8">
      <c r="A88" s="18" t="s">
        <v>83</v>
      </c>
      <c r="B88" s="6" t="s">
        <v>22</v>
      </c>
      <c r="C88" s="6" t="str">
        <f>IFERROR(VLOOKUP(A88,PIC!A:B,2,0),"")</f>
        <v>Anh Ha</v>
      </c>
      <c r="D88" s="7">
        <f ca="1">IFERROR(_xludf.MAXIFS(ATTENDANCE_LOG!E:E,ATTENDANCE_LOG!A:A,A88,ATTENDANCE_LOG!B:B,B88),0)</f>
        <v>0</v>
      </c>
      <c r="E88" s="7">
        <f>IFERROR(VLOOKUP(B88,COURSE_PLAN!A:B,2,0),0)</f>
        <v>16</v>
      </c>
      <c r="F88" s="8">
        <f t="shared" ca="1" si="7"/>
        <v>0</v>
      </c>
      <c r="G88" s="19" t="str">
        <f t="shared" ca="1" si="8"/>
        <v>░░░░░░░░░░░░░░░░░░░░</v>
      </c>
      <c r="H88" s="23" t="str">
        <f t="shared" ca="1" si="9"/>
        <v>⚪ Not started</v>
      </c>
    </row>
    <row r="89" spans="1:8">
      <c r="A89" s="21" t="s">
        <v>84</v>
      </c>
      <c r="B89" s="9" t="s">
        <v>24</v>
      </c>
      <c r="C89" s="9" t="str">
        <f>IFERROR(VLOOKUP(A89,PIC!A:B,2,0),"")</f>
        <v>Thuong Tran</v>
      </c>
      <c r="D89" s="10">
        <f ca="1">IFERROR(_xludf.MAXIFS(ATTENDANCE_LOG!E:E,ATTENDANCE_LOG!A:A,A89,ATTENDANCE_LOG!B:B,B89),0)</f>
        <v>0</v>
      </c>
      <c r="E89" s="10">
        <f>IFERROR(VLOOKUP(B89,COURSE_PLAN!A:B,2,0),0)</f>
        <v>16</v>
      </c>
      <c r="F89" s="11">
        <f t="shared" ca="1" si="7"/>
        <v>0</v>
      </c>
      <c r="G89" s="22" t="str">
        <f t="shared" ca="1" si="8"/>
        <v>░░░░░░░░░░░░░░░░░░░░</v>
      </c>
      <c r="H89" s="20" t="str">
        <f t="shared" ca="1" si="9"/>
        <v>⚪ Not started</v>
      </c>
    </row>
    <row r="90" spans="1:8">
      <c r="A90" s="18" t="s">
        <v>84</v>
      </c>
      <c r="B90" s="6" t="s">
        <v>21</v>
      </c>
      <c r="C90" s="6" t="str">
        <f>IFERROR(VLOOKUP(A90,PIC!A:B,2,0),"")</f>
        <v>Thuong Tran</v>
      </c>
      <c r="D90" s="7">
        <f ca="1">IFERROR(_xludf.MAXIFS(ATTENDANCE_LOG!E:E,ATTENDANCE_LOG!A:A,A90,ATTENDANCE_LOG!B:B,B90),0)</f>
        <v>0</v>
      </c>
      <c r="E90" s="7">
        <f>IFERROR(VLOOKUP(B90,COURSE_PLAN!A:B,2,0),0)</f>
        <v>10</v>
      </c>
      <c r="F90" s="8">
        <f t="shared" ca="1" si="7"/>
        <v>0</v>
      </c>
      <c r="G90" s="19" t="str">
        <f t="shared" ca="1" si="8"/>
        <v>░░░░░░░░░░░░░░░░░░░░</v>
      </c>
      <c r="H90" s="23" t="str">
        <f t="shared" ca="1" si="9"/>
        <v>⚪ Not started</v>
      </c>
    </row>
    <row r="91" spans="1:8">
      <c r="A91" s="21" t="s">
        <v>84</v>
      </c>
      <c r="B91" s="9" t="s">
        <v>22</v>
      </c>
      <c r="C91" s="9" t="str">
        <f>IFERROR(VLOOKUP(A91,PIC!A:B,2,0),"")</f>
        <v>Thuong Tran</v>
      </c>
      <c r="D91" s="10">
        <f ca="1">IFERROR(_xludf.MAXIFS(ATTENDANCE_LOG!E:E,ATTENDANCE_LOG!A:A,A91,ATTENDANCE_LOG!B:B,B91),0)</f>
        <v>0</v>
      </c>
      <c r="E91" s="10">
        <f>IFERROR(VLOOKUP(B91,COURSE_PLAN!A:B,2,0),0)</f>
        <v>16</v>
      </c>
      <c r="F91" s="11">
        <f t="shared" ca="1" si="7"/>
        <v>0</v>
      </c>
      <c r="G91" s="22" t="str">
        <f t="shared" ca="1" si="8"/>
        <v>░░░░░░░░░░░░░░░░░░░░</v>
      </c>
      <c r="H91" s="23" t="str">
        <f t="shared" ca="1" si="9"/>
        <v>⚪ Not started</v>
      </c>
    </row>
    <row r="92" spans="1:8">
      <c r="A92" s="18" t="s">
        <v>85</v>
      </c>
      <c r="B92" s="6" t="s">
        <v>24</v>
      </c>
      <c r="C92" s="6" t="str">
        <f>IFERROR(VLOOKUP(A92,PIC!A:B,2,0),"")</f>
        <v>Van Nguyen</v>
      </c>
      <c r="D92" s="7">
        <f ca="1">IFERROR(_xludf.MAXIFS(ATTENDANCE_LOG!E:E,ATTENDANCE_LOG!A:A,A92,ATTENDANCE_LOG!B:B,B92),0)</f>
        <v>0</v>
      </c>
      <c r="E92" s="7">
        <f>IFERROR(VLOOKUP(B92,COURSE_PLAN!A:B,2,0),0)</f>
        <v>16</v>
      </c>
      <c r="F92" s="8">
        <f t="shared" ca="1" si="7"/>
        <v>0</v>
      </c>
      <c r="G92" s="19" t="str">
        <f t="shared" ca="1" si="8"/>
        <v>░░░░░░░░░░░░░░░░░░░░</v>
      </c>
      <c r="H92" s="20" t="str">
        <f t="shared" ca="1" si="9"/>
        <v>⚪ Not started</v>
      </c>
    </row>
    <row r="93" spans="1:8">
      <c r="A93" s="21" t="s">
        <v>85</v>
      </c>
      <c r="B93" s="9" t="s">
        <v>21</v>
      </c>
      <c r="C93" s="9" t="str">
        <f>IFERROR(VLOOKUP(A93,PIC!A:B,2,0),"")</f>
        <v>Van Nguyen</v>
      </c>
      <c r="D93" s="10">
        <f ca="1">IFERROR(_xludf.MAXIFS(ATTENDANCE_LOG!E:E,ATTENDANCE_LOG!A:A,A93,ATTENDANCE_LOG!B:B,B93),0)</f>
        <v>0</v>
      </c>
      <c r="E93" s="10">
        <f>IFERROR(VLOOKUP(B93,COURSE_PLAN!A:B,2,0),0)</f>
        <v>10</v>
      </c>
      <c r="F93" s="11">
        <f t="shared" ca="1" si="7"/>
        <v>0</v>
      </c>
      <c r="G93" s="22" t="str">
        <f t="shared" ca="1" si="8"/>
        <v>░░░░░░░░░░░░░░░░░░░░</v>
      </c>
      <c r="H93" s="23" t="str">
        <f t="shared" ca="1" si="9"/>
        <v>⚪ Not started</v>
      </c>
    </row>
    <row r="94" spans="1:8">
      <c r="A94" s="18" t="s">
        <v>85</v>
      </c>
      <c r="B94" s="6" t="s">
        <v>22</v>
      </c>
      <c r="C94" s="6" t="str">
        <f>IFERROR(VLOOKUP(A94,PIC!A:B,2,0),"")</f>
        <v>Van Nguyen</v>
      </c>
      <c r="D94" s="7">
        <f ca="1">IFERROR(_xludf.MAXIFS(ATTENDANCE_LOG!E:E,ATTENDANCE_LOG!A:A,A94,ATTENDANCE_LOG!B:B,B94),0)</f>
        <v>0</v>
      </c>
      <c r="E94" s="7">
        <f>IFERROR(VLOOKUP(B94,COURSE_PLAN!A:B,2,0),0)</f>
        <v>16</v>
      </c>
      <c r="F94" s="8">
        <f t="shared" ca="1" si="7"/>
        <v>0</v>
      </c>
      <c r="G94" s="19" t="str">
        <f t="shared" ca="1" si="8"/>
        <v>░░░░░░░░░░░░░░░░░░░░</v>
      </c>
      <c r="H94" s="23" t="str">
        <f t="shared" ca="1" si="9"/>
        <v>⚪ Not started</v>
      </c>
    </row>
    <row r="95" spans="1:8">
      <c r="A95" s="21" t="s">
        <v>86</v>
      </c>
      <c r="B95" s="9" t="s">
        <v>21</v>
      </c>
      <c r="C95" s="9" t="str">
        <f>IFERROR(VLOOKUP(A95,PIC!A:B,2,0),"")</f>
        <v>Quan Nguyen</v>
      </c>
      <c r="D95" s="10">
        <f ca="1">IFERROR(_xludf.MAXIFS(ATTENDANCE_LOG!E:E,ATTENDANCE_LOG!A:A,A95,ATTENDANCE_LOG!B:B,B95),0)</f>
        <v>0</v>
      </c>
      <c r="E95" s="10">
        <f>IFERROR(VLOOKUP(B95,COURSE_PLAN!A:B,2,0),0)</f>
        <v>10</v>
      </c>
      <c r="F95" s="11">
        <f t="shared" ca="1" si="7"/>
        <v>0</v>
      </c>
      <c r="G95" s="22" t="str">
        <f t="shared" ca="1" si="8"/>
        <v>░░░░░░░░░░░░░░░░░░░░</v>
      </c>
      <c r="H95" s="23" t="str">
        <f t="shared" ca="1" si="9"/>
        <v>⚪ Not started</v>
      </c>
    </row>
    <row r="96" spans="1:8">
      <c r="A96" s="18" t="s">
        <v>86</v>
      </c>
      <c r="B96" s="6" t="s">
        <v>22</v>
      </c>
      <c r="C96" s="6" t="str">
        <f>IFERROR(VLOOKUP(A96,PIC!A:B,2,0),"")</f>
        <v>Quan Nguyen</v>
      </c>
      <c r="D96" s="7">
        <f ca="1">IFERROR(_xludf.MAXIFS(ATTENDANCE_LOG!E:E,ATTENDANCE_LOG!A:A,A96,ATTENDANCE_LOG!B:B,B96),0)</f>
        <v>0</v>
      </c>
      <c r="E96" s="7">
        <f>IFERROR(VLOOKUP(B96,COURSE_PLAN!A:B,2,0),0)</f>
        <v>16</v>
      </c>
      <c r="F96" s="8">
        <f t="shared" ca="1" si="7"/>
        <v>0</v>
      </c>
      <c r="G96" s="19" t="str">
        <f t="shared" ca="1" si="8"/>
        <v>░░░░░░░░░░░░░░░░░░░░</v>
      </c>
      <c r="H96" s="20" t="str">
        <f t="shared" ca="1" si="9"/>
        <v>⚪ Not started</v>
      </c>
    </row>
    <row r="97" spans="1:8">
      <c r="A97" s="21" t="s">
        <v>86</v>
      </c>
      <c r="B97" s="9" t="s">
        <v>25</v>
      </c>
      <c r="C97" s="9" t="str">
        <f>IFERROR(VLOOKUP(A97,PIC!A:B,2,0),"")</f>
        <v>Quan Nguyen</v>
      </c>
      <c r="D97" s="10">
        <f ca="1">IFERROR(_xludf.MAXIFS(ATTENDANCE_LOG!E:E,ATTENDANCE_LOG!A:A,A97,ATTENDANCE_LOG!B:B,B97),0)</f>
        <v>0</v>
      </c>
      <c r="E97" s="10">
        <f>IFERROR(VLOOKUP(B97,COURSE_PLAN!A:B,2,0),0)</f>
        <v>16</v>
      </c>
      <c r="F97" s="11">
        <f t="shared" ca="1" si="7"/>
        <v>0</v>
      </c>
      <c r="G97" s="22" t="str">
        <f t="shared" ca="1" si="8"/>
        <v>░░░░░░░░░░░░░░░░░░░░</v>
      </c>
      <c r="H97" s="24" t="str">
        <f t="shared" ca="1" si="9"/>
        <v>⚪ Not started</v>
      </c>
    </row>
    <row r="98" spans="1:8">
      <c r="A98" s="18" t="s">
        <v>87</v>
      </c>
      <c r="B98" s="6" t="s">
        <v>21</v>
      </c>
      <c r="C98" s="6" t="str">
        <f>IFERROR(VLOOKUP(A98,PIC!A:B,2,0),"")</f>
        <v>My Nguyen</v>
      </c>
      <c r="D98" s="7">
        <f ca="1">IFERROR(_xludf.MAXIFS(ATTENDANCE_LOG!E:E,ATTENDANCE_LOG!A:A,A98,ATTENDANCE_LOG!B:B,B98),0)</f>
        <v>0</v>
      </c>
      <c r="E98" s="7">
        <f>IFERROR(VLOOKUP(B98,COURSE_PLAN!A:B,2,0),0)</f>
        <v>10</v>
      </c>
      <c r="F98" s="8">
        <f t="shared" ca="1" si="7"/>
        <v>0</v>
      </c>
      <c r="G98" s="19" t="str">
        <f t="shared" ca="1" si="8"/>
        <v>░░░░░░░░░░░░░░░░░░░░</v>
      </c>
      <c r="H98" s="23" t="str">
        <f t="shared" ca="1" si="9"/>
        <v>⚪ Not started</v>
      </c>
    </row>
    <row r="99" spans="1:8">
      <c r="A99" s="21" t="s">
        <v>87</v>
      </c>
      <c r="B99" s="9" t="s">
        <v>22</v>
      </c>
      <c r="C99" s="9" t="str">
        <f>IFERROR(VLOOKUP(A99,PIC!A:B,2,0),"")</f>
        <v>My Nguyen</v>
      </c>
      <c r="D99" s="10">
        <f ca="1">IFERROR(_xludf.MAXIFS(ATTENDANCE_LOG!E:E,ATTENDANCE_LOG!A:A,A99,ATTENDANCE_LOG!B:B,B99),0)</f>
        <v>0</v>
      </c>
      <c r="E99" s="10">
        <f>IFERROR(VLOOKUP(B99,COURSE_PLAN!A:B,2,0),0)</f>
        <v>16</v>
      </c>
      <c r="F99" s="11">
        <f t="shared" ca="1" si="7"/>
        <v>0</v>
      </c>
      <c r="G99" s="22" t="str">
        <f t="shared" ca="1" si="8"/>
        <v>░░░░░░░░░░░░░░░░░░░░</v>
      </c>
      <c r="H99" s="20" t="str">
        <f t="shared" ca="1" si="9"/>
        <v>⚪ Not started</v>
      </c>
    </row>
    <row r="100" spans="1:8">
      <c r="A100" s="18" t="s">
        <v>88</v>
      </c>
      <c r="B100" s="6" t="s">
        <v>21</v>
      </c>
      <c r="C100" s="6" t="str">
        <f>IFERROR(VLOOKUP(A100,PIC!A:B,2,0),"")</f>
        <v>Huy Nguyen</v>
      </c>
      <c r="D100" s="7">
        <f ca="1">IFERROR(_xludf.MAXIFS(ATTENDANCE_LOG!E:E,ATTENDANCE_LOG!A:A,A100,ATTENDANCE_LOG!B:B,B100),0)</f>
        <v>0</v>
      </c>
      <c r="E100" s="7">
        <f>IFERROR(VLOOKUP(B100,COURSE_PLAN!A:B,2,0),0)</f>
        <v>10</v>
      </c>
      <c r="F100" s="8">
        <f t="shared" ca="1" si="7"/>
        <v>0</v>
      </c>
      <c r="G100" s="19" t="str">
        <f t="shared" ca="1" si="8"/>
        <v>░░░░░░░░░░░░░░░░░░░░</v>
      </c>
      <c r="H100" s="23" t="str">
        <f t="shared" ca="1" si="9"/>
        <v>⚪ Not started</v>
      </c>
    </row>
    <row r="101" spans="1:8">
      <c r="A101" s="21" t="s">
        <v>89</v>
      </c>
      <c r="B101" s="9" t="s">
        <v>26</v>
      </c>
      <c r="C101" s="9" t="str">
        <f>IFERROR(VLOOKUP(A101,PIC!A:B,2,0),"")</f>
        <v>Thanh Phung</v>
      </c>
      <c r="D101" s="10">
        <f ca="1">IFERROR(_xludf.MAXIFS(ATTENDANCE_LOG!E:E,ATTENDANCE_LOG!A:A,A101,ATTENDANCE_LOG!B:B,B101),0)</f>
        <v>0</v>
      </c>
      <c r="E101" s="10">
        <f>IFERROR(VLOOKUP(B101,COURSE_PLAN!A:B,2,0),0)</f>
        <v>0</v>
      </c>
      <c r="F101" s="11">
        <f t="shared" ca="1" si="7"/>
        <v>0</v>
      </c>
      <c r="G101" s="22" t="str">
        <f t="shared" si="8"/>
        <v>—</v>
      </c>
      <c r="H101" s="9" t="str">
        <f t="shared" si="9"/>
        <v>No plan</v>
      </c>
    </row>
    <row r="102" spans="1:8">
      <c r="A102" s="18" t="s">
        <v>89</v>
      </c>
      <c r="B102" s="6" t="s">
        <v>25</v>
      </c>
      <c r="C102" s="6" t="str">
        <f>IFERROR(VLOOKUP(A102,PIC!A:B,2,0),"")</f>
        <v>Thanh Phung</v>
      </c>
      <c r="D102" s="7">
        <f ca="1">IFERROR(_xludf.MAXIFS(ATTENDANCE_LOG!E:E,ATTENDANCE_LOG!A:A,A102,ATTENDANCE_LOG!B:B,B102),0)</f>
        <v>0</v>
      </c>
      <c r="E102" s="7">
        <f>IFERROR(VLOOKUP(B102,COURSE_PLAN!A:B,2,0),0)</f>
        <v>16</v>
      </c>
      <c r="F102" s="8">
        <f t="shared" ca="1" si="7"/>
        <v>0</v>
      </c>
      <c r="G102" s="19" t="str">
        <f t="shared" ca="1" si="8"/>
        <v>░░░░░░░░░░░░░░░░░░░░</v>
      </c>
      <c r="H102" s="23" t="str">
        <f t="shared" ca="1" si="9"/>
        <v>⚪ Not started</v>
      </c>
    </row>
    <row r="103" spans="1:8">
      <c r="A103" s="21" t="s">
        <v>90</v>
      </c>
      <c r="B103" s="9" t="s">
        <v>21</v>
      </c>
      <c r="C103" s="9" t="str">
        <f>IFERROR(VLOOKUP(A103,PIC!A:B,2,0),"")</f>
        <v>Phu Nguyen</v>
      </c>
      <c r="D103" s="10">
        <f ca="1">IFERROR(_xludf.MAXIFS(ATTENDANCE_LOG!E:E,ATTENDANCE_LOG!A:A,A103,ATTENDANCE_LOG!B:B,B103),0)</f>
        <v>0</v>
      </c>
      <c r="E103" s="10">
        <f>IFERROR(VLOOKUP(B103,COURSE_PLAN!A:B,2,0),0)</f>
        <v>10</v>
      </c>
      <c r="F103" s="11">
        <f t="shared" ca="1" si="7"/>
        <v>0</v>
      </c>
      <c r="G103" s="22" t="str">
        <f t="shared" ca="1" si="8"/>
        <v>░░░░░░░░░░░░░░░░░░░░</v>
      </c>
      <c r="H103" s="24" t="str">
        <f t="shared" ca="1" si="9"/>
        <v>⚪ Not started</v>
      </c>
    </row>
    <row r="104" spans="1:8">
      <c r="A104" s="18" t="s">
        <v>91</v>
      </c>
      <c r="B104" s="6" t="s">
        <v>21</v>
      </c>
      <c r="C104" s="6" t="str">
        <f>IFERROR(VLOOKUP(A104,PIC!A:B,2,0),"")</f>
        <v>Vinh Tran</v>
      </c>
      <c r="D104" s="7">
        <f ca="1">IFERROR(_xludf.MAXIFS(ATTENDANCE_LOG!E:E,ATTENDANCE_LOG!A:A,A104,ATTENDANCE_LOG!B:B,B104),0)</f>
        <v>0</v>
      </c>
      <c r="E104" s="7">
        <f>IFERROR(VLOOKUP(B104,COURSE_PLAN!A:B,2,0),0)</f>
        <v>10</v>
      </c>
      <c r="F104" s="8">
        <f t="shared" ca="1" si="7"/>
        <v>0</v>
      </c>
      <c r="G104" s="19" t="str">
        <f t="shared" ca="1" si="8"/>
        <v>░░░░░░░░░░░░░░░░░░░░</v>
      </c>
      <c r="H104" s="23" t="str">
        <f t="shared" ca="1" si="9"/>
        <v>⚪ Not started</v>
      </c>
    </row>
    <row r="105" spans="1:8">
      <c r="A105" s="21" t="s">
        <v>91</v>
      </c>
      <c r="B105" s="9" t="s">
        <v>22</v>
      </c>
      <c r="C105" s="9" t="str">
        <f>IFERROR(VLOOKUP(A105,PIC!A:B,2,0),"")</f>
        <v>Vinh Tran</v>
      </c>
      <c r="D105" s="10">
        <f ca="1">IFERROR(_xludf.MAXIFS(ATTENDANCE_LOG!E:E,ATTENDANCE_LOG!A:A,A105,ATTENDANCE_LOG!B:B,B105),0)</f>
        <v>0</v>
      </c>
      <c r="E105" s="10">
        <f>IFERROR(VLOOKUP(B105,COURSE_PLAN!A:B,2,0),0)</f>
        <v>16</v>
      </c>
      <c r="F105" s="11">
        <f t="shared" ca="1" si="7"/>
        <v>0</v>
      </c>
      <c r="G105" s="22" t="str">
        <f t="shared" ca="1" si="8"/>
        <v>░░░░░░░░░░░░░░░░░░░░</v>
      </c>
      <c r="H105" s="20" t="str">
        <f t="shared" ca="1" si="9"/>
        <v>⚪ Not started</v>
      </c>
    </row>
    <row r="106" spans="1:8">
      <c r="A106" s="18" t="s">
        <v>92</v>
      </c>
      <c r="B106" s="6" t="s">
        <v>25</v>
      </c>
      <c r="C106" s="6" t="str">
        <f>IFERROR(VLOOKUP(A106,PIC!A:B,2,0),"")</f>
        <v>Liên Nguyễn</v>
      </c>
      <c r="D106" s="7">
        <f ca="1">IFERROR(_xludf.MAXIFS(ATTENDANCE_LOG!E:E,ATTENDANCE_LOG!A:A,A106,ATTENDANCE_LOG!B:B,B106),0)</f>
        <v>0</v>
      </c>
      <c r="E106" s="7">
        <f>IFERROR(VLOOKUP(B106,COURSE_PLAN!A:B,2,0),0)</f>
        <v>16</v>
      </c>
      <c r="F106" s="8">
        <f t="shared" ca="1" si="7"/>
        <v>0</v>
      </c>
      <c r="G106" s="19" t="str">
        <f t="shared" ca="1" si="8"/>
        <v>░░░░░░░░░░░░░░░░░░░░</v>
      </c>
      <c r="H106" s="23" t="str">
        <f t="shared" ca="1" si="9"/>
        <v>⚪ Not started</v>
      </c>
    </row>
    <row r="107" spans="1:8">
      <c r="A107" s="21" t="s">
        <v>93</v>
      </c>
      <c r="B107" s="9" t="s">
        <v>21</v>
      </c>
      <c r="C107" s="9" t="str">
        <f>IFERROR(VLOOKUP(A107,PIC!A:B,2,0),"")</f>
        <v>Quyen Nguyen</v>
      </c>
      <c r="D107" s="10">
        <f ca="1">IFERROR(_xludf.MAXIFS(ATTENDANCE_LOG!E:E,ATTENDANCE_LOG!A:A,A107,ATTENDANCE_LOG!B:B,B107),0)</f>
        <v>0</v>
      </c>
      <c r="E107" s="10">
        <f>IFERROR(VLOOKUP(B107,COURSE_PLAN!A:B,2,0),0)</f>
        <v>10</v>
      </c>
      <c r="F107" s="11">
        <f t="shared" ca="1" si="7"/>
        <v>0</v>
      </c>
      <c r="G107" s="22" t="str">
        <f t="shared" ca="1" si="8"/>
        <v>░░░░░░░░░░░░░░░░░░░░</v>
      </c>
      <c r="H107" s="23" t="str">
        <f t="shared" ca="1" si="9"/>
        <v>⚪ Not started</v>
      </c>
    </row>
    <row r="108" spans="1:8">
      <c r="A108" s="18" t="s">
        <v>94</v>
      </c>
      <c r="B108" s="6" t="s">
        <v>21</v>
      </c>
      <c r="C108" s="6" t="str">
        <f>IFERROR(VLOOKUP(A108,PIC!A:B,2,0),"")</f>
        <v>Phuoc Ta</v>
      </c>
      <c r="D108" s="7">
        <f ca="1">IFERROR(_xludf.MAXIFS(ATTENDANCE_LOG!E:E,ATTENDANCE_LOG!A:A,A108,ATTENDANCE_LOG!B:B,B108),0)</f>
        <v>0</v>
      </c>
      <c r="E108" s="7">
        <f>IFERROR(VLOOKUP(B108,COURSE_PLAN!A:B,2,0),0)</f>
        <v>10</v>
      </c>
      <c r="F108" s="8">
        <f t="shared" ca="1" si="7"/>
        <v>0</v>
      </c>
      <c r="G108" s="19" t="str">
        <f t="shared" ca="1" si="8"/>
        <v>░░░░░░░░░░░░░░░░░░░░</v>
      </c>
      <c r="H108" s="20" t="str">
        <f t="shared" ca="1" si="9"/>
        <v>⚪ Not started</v>
      </c>
    </row>
    <row r="109" spans="1:8">
      <c r="A109" s="21" t="s">
        <v>95</v>
      </c>
      <c r="B109" s="9" t="s">
        <v>25</v>
      </c>
      <c r="C109" s="9" t="str">
        <f>IFERROR(VLOOKUP(A109,PIC!A:B,2,0),"")</f>
        <v>Phung Nguyen</v>
      </c>
      <c r="D109" s="10">
        <f ca="1">IFERROR(_xludf.MAXIFS(ATTENDANCE_LOG!E:E,ATTENDANCE_LOG!A:A,A109,ATTENDANCE_LOG!B:B,B109),0)</f>
        <v>0</v>
      </c>
      <c r="E109" s="10">
        <f>IFERROR(VLOOKUP(B109,COURSE_PLAN!A:B,2,0),0)</f>
        <v>16</v>
      </c>
      <c r="F109" s="11">
        <f t="shared" ca="1" si="7"/>
        <v>0</v>
      </c>
      <c r="G109" s="22" t="str">
        <f t="shared" ca="1" si="8"/>
        <v>░░░░░░░░░░░░░░░░░░░░</v>
      </c>
      <c r="H109" s="20" t="str">
        <f t="shared" ca="1" si="9"/>
        <v>⚪ Not started</v>
      </c>
    </row>
    <row r="110" spans="1:8">
      <c r="A110" s="18" t="s">
        <v>96</v>
      </c>
      <c r="B110" s="6" t="s">
        <v>21</v>
      </c>
      <c r="C110" s="6" t="str">
        <f>IFERROR(VLOOKUP(A110,PIC!A:B,2,0),"")</f>
        <v>Nam Nguyen</v>
      </c>
      <c r="D110" s="7">
        <f ca="1">IFERROR(_xludf.MAXIFS(ATTENDANCE_LOG!E:E,ATTENDANCE_LOG!A:A,A110,ATTENDANCE_LOG!B:B,B110),0)</f>
        <v>0</v>
      </c>
      <c r="E110" s="7">
        <f>IFERROR(VLOOKUP(B110,COURSE_PLAN!A:B,2,0),0)</f>
        <v>10</v>
      </c>
      <c r="F110" s="8">
        <f t="shared" ca="1" si="7"/>
        <v>0</v>
      </c>
      <c r="G110" s="19" t="str">
        <f t="shared" ca="1" si="8"/>
        <v>░░░░░░░░░░░░░░░░░░░░</v>
      </c>
      <c r="H110" s="20" t="str">
        <f t="shared" ca="1" si="9"/>
        <v>⚪ Not started</v>
      </c>
    </row>
    <row r="111" spans="1:8">
      <c r="A111" s="21" t="s">
        <v>97</v>
      </c>
      <c r="B111" s="9" t="s">
        <v>21</v>
      </c>
      <c r="C111" s="9" t="str">
        <f>IFERROR(VLOOKUP(A111,PIC!A:B,2,0),"")</f>
        <v>Trang Nguyen</v>
      </c>
      <c r="D111" s="10">
        <f ca="1">IFERROR(_xludf.MAXIFS(ATTENDANCE_LOG!E:E,ATTENDANCE_LOG!A:A,A111,ATTENDANCE_LOG!B:B,B111),0)</f>
        <v>0</v>
      </c>
      <c r="E111" s="10">
        <f>IFERROR(VLOOKUP(B111,COURSE_PLAN!A:B,2,0),0)</f>
        <v>10</v>
      </c>
      <c r="F111" s="11">
        <f t="shared" ca="1" si="7"/>
        <v>0</v>
      </c>
      <c r="G111" s="22" t="str">
        <f t="shared" ca="1" si="8"/>
        <v>░░░░░░░░░░░░░░░░░░░░</v>
      </c>
      <c r="H111" s="9" t="str">
        <f t="shared" ca="1" si="9"/>
        <v>⚪ Not started</v>
      </c>
    </row>
    <row r="112" spans="1:8">
      <c r="A112" s="2"/>
      <c r="B112" s="2"/>
      <c r="C112" s="2"/>
      <c r="D112" s="2"/>
      <c r="E112" s="2"/>
      <c r="F112" s="2"/>
      <c r="G112" s="2"/>
      <c r="H112" s="2"/>
    </row>
    <row r="113" spans="1:8" ht="15.75">
      <c r="A113" s="225" t="s">
        <v>98</v>
      </c>
      <c r="B113" s="209"/>
      <c r="C113" s="209"/>
      <c r="D113" s="209"/>
      <c r="E113" s="209"/>
      <c r="F113" s="209"/>
      <c r="G113" s="209"/>
      <c r="H113" s="209"/>
    </row>
    <row r="114" spans="1:8">
      <c r="A114" s="25" t="s">
        <v>99</v>
      </c>
      <c r="B114" s="26" t="s">
        <v>51</v>
      </c>
      <c r="C114" s="2"/>
      <c r="D114" s="2"/>
      <c r="E114" s="2"/>
      <c r="F114" s="2"/>
      <c r="G114" s="2"/>
      <c r="H114" s="2"/>
    </row>
    <row r="115" spans="1:8">
      <c r="A115" s="27" t="s">
        <v>100</v>
      </c>
      <c r="B115" s="28" t="str">
        <f>IFERROR(VLOOKUP($B$114,PIC!A:B,2,0),"Not found")</f>
        <v>Anh Vu</v>
      </c>
      <c r="C115" s="2"/>
      <c r="D115" s="2"/>
      <c r="E115" s="2"/>
      <c r="F115" s="2"/>
      <c r="G115" s="2"/>
      <c r="H115" s="2"/>
    </row>
    <row r="116" spans="1:8">
      <c r="A116" s="27" t="s">
        <v>101</v>
      </c>
      <c r="B116" s="29">
        <f>COUNTIF(sheet2!C:C,$B$114)</f>
        <v>15</v>
      </c>
      <c r="C116" s="2"/>
      <c r="D116" s="2"/>
      <c r="E116" s="2"/>
      <c r="F116" s="2"/>
      <c r="G116" s="2"/>
      <c r="H116" s="2"/>
    </row>
    <row r="117" spans="1:8">
      <c r="A117" s="27" t="s">
        <v>102</v>
      </c>
      <c r="B117" s="29">
        <f>COUNTIF(ATTENDANCE_LOG!A:A,$B$114)</f>
        <v>168</v>
      </c>
      <c r="C117" s="2"/>
      <c r="D117" s="2"/>
      <c r="E117" s="2"/>
      <c r="F117" s="2"/>
      <c r="G117" s="2"/>
      <c r="H117" s="2"/>
    </row>
    <row r="118" spans="1:8">
      <c r="A118" s="27" t="s">
        <v>103</v>
      </c>
      <c r="B118" s="29">
        <f>COUNTIFS(ATTENDANCE_LOG!A:A,$B$114,ATTENDANCE_LOG!G:G,"Present")</f>
        <v>164</v>
      </c>
      <c r="C118" s="2"/>
      <c r="D118" s="2"/>
      <c r="E118" s="2"/>
      <c r="F118" s="2"/>
      <c r="G118" s="2"/>
      <c r="H118" s="2"/>
    </row>
    <row r="119" spans="1:8">
      <c r="A119" s="27" t="s">
        <v>104</v>
      </c>
      <c r="B119" s="29">
        <f>COUNTIFS(ATTENDANCE_LOG!A:A,$B$114,ATTENDANCE_LOG!G:G,"Absent")</f>
        <v>4</v>
      </c>
      <c r="C119" s="2"/>
      <c r="D119" s="2"/>
      <c r="E119" s="2"/>
      <c r="F119" s="2"/>
      <c r="G119" s="2"/>
      <c r="H119" s="2"/>
    </row>
    <row r="120" spans="1:8">
      <c r="A120" s="27" t="s">
        <v>105</v>
      </c>
      <c r="B120" s="30">
        <f>IFERROR(COUNTIFS(ATTENDANCE_LOG!A:A,$B$114,ATTENDANCE_LOG!G:G,"Present")/(COUNTIFS(ATTENDANCE_LOG!A:A,$B$114,ATTENDANCE_LOG!G:G,"Present")+COUNTIFS(ATTENDANCE_LOG!A:A,$B$114,ATTENDANCE_LOG!G:G,"Absent")),0)</f>
        <v>0.97619047619047616</v>
      </c>
      <c r="C120" s="2"/>
      <c r="D120" s="2"/>
      <c r="E120" s="2"/>
      <c r="F120" s="2"/>
      <c r="G120" s="2"/>
      <c r="H120" s="2"/>
    </row>
    <row r="121" spans="1:8">
      <c r="A121" s="2"/>
      <c r="B121" s="2"/>
      <c r="C121" s="2"/>
      <c r="D121" s="2"/>
      <c r="E121" s="2"/>
      <c r="F121" s="2"/>
      <c r="G121" s="2"/>
      <c r="H121" s="2"/>
    </row>
    <row r="122" spans="1:8" ht="15.75">
      <c r="A122" s="222" t="s">
        <v>106</v>
      </c>
      <c r="B122" s="209"/>
      <c r="C122" s="209"/>
      <c r="D122" s="209"/>
      <c r="E122" s="209"/>
      <c r="F122" s="209"/>
      <c r="G122" s="209"/>
      <c r="H122" s="209"/>
    </row>
    <row r="123" spans="1:8">
      <c r="A123" s="25" t="s">
        <v>107</v>
      </c>
      <c r="B123" s="26" t="s">
        <v>108</v>
      </c>
      <c r="C123" s="2"/>
      <c r="D123" s="2"/>
      <c r="E123" s="2"/>
      <c r="F123" s="2"/>
      <c r="G123" s="2"/>
      <c r="H123" s="2"/>
    </row>
    <row r="124" spans="1:8">
      <c r="A124" s="27" t="s">
        <v>109</v>
      </c>
      <c r="B124" s="28" t="str">
        <f>IFERROR(VLOOKUP($B$123&amp;"",STUDENTS!A:B,2,0),"Not found")</f>
        <v>LÊ THANH SƠN</v>
      </c>
      <c r="C124" s="2"/>
      <c r="D124" s="2"/>
      <c r="E124" s="2"/>
      <c r="F124" s="2"/>
      <c r="G124" s="2"/>
      <c r="H124" s="2"/>
    </row>
    <row r="125" spans="1:8">
      <c r="A125" s="27" t="s">
        <v>110</v>
      </c>
      <c r="B125" s="28" t="str">
        <f ca="1">IFERROR(VLOOKUP($B$123&amp;"",STUDENTS!A:E,5,0),"")</f>
        <v>Active</v>
      </c>
      <c r="C125" s="2"/>
      <c r="D125" s="2"/>
      <c r="E125" s="2"/>
      <c r="F125" s="2"/>
      <c r="G125" s="2"/>
      <c r="H125" s="2"/>
    </row>
    <row r="126" spans="1:8">
      <c r="A126" s="27" t="s">
        <v>100</v>
      </c>
      <c r="B126" s="28" t="str">
        <f ca="1">IFERROR(VLOOKUP($B$123&amp;"",STUDENTS!A:F,6,0),"")</f>
        <v/>
      </c>
      <c r="C126" s="2"/>
      <c r="D126" s="2"/>
      <c r="E126" s="2"/>
      <c r="F126" s="2"/>
      <c r="G126" s="2"/>
      <c r="H126" s="2"/>
    </row>
    <row r="127" spans="1:8">
      <c r="A127" s="27" t="s">
        <v>111</v>
      </c>
      <c r="B127" s="28" t="str">
        <f ca="1">IFERROR(VLOOKUP($B$123&amp;"",STUDENTS!A:G,7,0),"")</f>
        <v/>
      </c>
      <c r="C127" s="2"/>
      <c r="D127" s="2"/>
      <c r="E127" s="2"/>
      <c r="F127" s="2"/>
      <c r="G127" s="2"/>
      <c r="H127" s="2"/>
    </row>
    <row r="128" spans="1:8">
      <c r="A128" s="27" t="s">
        <v>112</v>
      </c>
      <c r="B128" s="31" t="str">
        <f ca="1">IFERROR(VLOOKUP($B$123&amp;"",STUDENTS!A:J,10,0),"")</f>
        <v/>
      </c>
      <c r="C128" s="2"/>
      <c r="D128" s="2"/>
      <c r="E128" s="2"/>
      <c r="F128" s="2"/>
      <c r="G128" s="2"/>
      <c r="H128" s="2"/>
    </row>
    <row r="129" spans="1:8">
      <c r="A129" s="27" t="s">
        <v>113</v>
      </c>
      <c r="B129" s="29" t="str">
        <f ca="1">IFERROR(VLOOKUP($B$123&amp;"",STUDENTS!A:K,11,0),"")</f>
        <v/>
      </c>
      <c r="C129" s="2"/>
      <c r="D129" s="2"/>
      <c r="E129" s="2"/>
      <c r="F129" s="2"/>
      <c r="G129" s="2"/>
      <c r="H129" s="2"/>
    </row>
    <row r="130" spans="1:8">
      <c r="A130" s="27" t="s">
        <v>114</v>
      </c>
      <c r="B130" s="32" t="str">
        <f ca="1">IFERROR(VLOOKUP($B$123&amp;"",STUDENTS!A:L,12,0),"")</f>
        <v/>
      </c>
      <c r="C130" s="2"/>
      <c r="D130" s="2"/>
      <c r="E130" s="2"/>
      <c r="F130" s="2"/>
      <c r="G130" s="2"/>
      <c r="H130" s="2"/>
    </row>
    <row r="131" spans="1:8">
      <c r="A131" s="27" t="s">
        <v>115</v>
      </c>
      <c r="B131" s="32" t="str">
        <f>IFERROR(VLOOKUP($B$123&amp;"",STUDENTS!A:L,13,0),"")</f>
        <v/>
      </c>
      <c r="C131" s="2"/>
      <c r="D131" s="2"/>
      <c r="E131" s="2"/>
      <c r="F131" s="2"/>
      <c r="G131" s="2"/>
      <c r="H131" s="2"/>
    </row>
    <row r="132" spans="1:8">
      <c r="A132" s="27" t="s">
        <v>101</v>
      </c>
      <c r="B132" s="29">
        <f>COUNTIF(sheet2!A:A,$B$123&amp;"")</f>
        <v>3</v>
      </c>
      <c r="C132" s="2"/>
      <c r="D132" s="2"/>
      <c r="E132" s="2"/>
      <c r="F132" s="2"/>
      <c r="G132" s="2"/>
      <c r="H132" s="2"/>
    </row>
    <row r="133" spans="1:8">
      <c r="A133" s="27" t="s">
        <v>116</v>
      </c>
      <c r="B133" s="29">
        <f>COUNTIFS(ATTENDANCE_LOG!C:C,$B$123&amp;"",ATTENDANCE_LOG!G:G,"Present")</f>
        <v>33</v>
      </c>
      <c r="C133" s="2"/>
      <c r="D133" s="2"/>
      <c r="E133" s="2"/>
      <c r="F133" s="2"/>
      <c r="G133" s="2"/>
      <c r="H133" s="2"/>
    </row>
    <row r="134" spans="1:8">
      <c r="A134" s="27" t="s">
        <v>117</v>
      </c>
      <c r="B134" s="29">
        <f>COUNTIFS(ATTENDANCE_LOG!C:C,$B$123&amp;"",ATTENDANCE_LOG!G:G,"Absent")</f>
        <v>0</v>
      </c>
      <c r="C134" s="2"/>
      <c r="D134" s="2"/>
      <c r="E134" s="2"/>
      <c r="F134" s="2"/>
      <c r="G134" s="2"/>
      <c r="H134" s="2"/>
    </row>
    <row r="135" spans="1:8">
      <c r="A135" s="27" t="s">
        <v>118</v>
      </c>
      <c r="B135" s="30">
        <f>IFERROR(COUNTIFS(ATTENDANCE_LOG!C:C,$B$123&amp;"",ATTENDANCE_LOG!G:G,"Present")/(COUNTIFS(ATTENDANCE_LOG!C:C,$B$123&amp;"",ATTENDANCE_LOG!G:G,"Present")+COUNTIFS(ATTENDANCE_LOG!C:C,$B$123&amp;"",ATTENDANCE_LOG!G:G,"Absent")),0)</f>
        <v>1</v>
      </c>
      <c r="C135" s="2"/>
      <c r="D135" s="2"/>
      <c r="E135" s="2"/>
      <c r="F135" s="2"/>
      <c r="G135" s="2"/>
      <c r="H135" s="2"/>
    </row>
  </sheetData>
  <mergeCells count="54">
    <mergeCell ref="A113:H113"/>
    <mergeCell ref="A122:H122"/>
    <mergeCell ref="C29:D29"/>
    <mergeCell ref="C30:D30"/>
    <mergeCell ref="G27:H27"/>
    <mergeCell ref="G30:H30"/>
    <mergeCell ref="A32:H32"/>
    <mergeCell ref="G13:H13"/>
    <mergeCell ref="G14:H14"/>
    <mergeCell ref="C26:D26"/>
    <mergeCell ref="C27:D27"/>
    <mergeCell ref="C28:D28"/>
    <mergeCell ref="A10:B10"/>
    <mergeCell ref="C10:D10"/>
    <mergeCell ref="E10:F10"/>
    <mergeCell ref="G10:H10"/>
    <mergeCell ref="A12:H12"/>
    <mergeCell ref="G7:H7"/>
    <mergeCell ref="E9:F9"/>
    <mergeCell ref="G9:H9"/>
    <mergeCell ref="A7:B7"/>
    <mergeCell ref="A8:B8"/>
    <mergeCell ref="C8:D8"/>
    <mergeCell ref="E8:F8"/>
    <mergeCell ref="G8:H8"/>
    <mergeCell ref="A9:B9"/>
    <mergeCell ref="C9:D9"/>
    <mergeCell ref="C25:D25"/>
    <mergeCell ref="G25:H25"/>
    <mergeCell ref="G26:H26"/>
    <mergeCell ref="A1:H1"/>
    <mergeCell ref="A2:H2"/>
    <mergeCell ref="A4:H4"/>
    <mergeCell ref="A5:B5"/>
    <mergeCell ref="C5:D5"/>
    <mergeCell ref="E5:F5"/>
    <mergeCell ref="G5:H5"/>
    <mergeCell ref="A6:B6"/>
    <mergeCell ref="C6:D6"/>
    <mergeCell ref="E6:F6"/>
    <mergeCell ref="G6:H6"/>
    <mergeCell ref="C7:D7"/>
    <mergeCell ref="E7:F7"/>
    <mergeCell ref="G20:H20"/>
    <mergeCell ref="A22:H22"/>
    <mergeCell ref="C23:D23"/>
    <mergeCell ref="G23:H23"/>
    <mergeCell ref="C24:D24"/>
    <mergeCell ref="G24:H24"/>
    <mergeCell ref="G15:H15"/>
    <mergeCell ref="G16:H16"/>
    <mergeCell ref="G17:H17"/>
    <mergeCell ref="G18:H18"/>
    <mergeCell ref="G19:H19"/>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1002"/>
  <sheetViews>
    <sheetView workbookViewId="0">
      <pane ySplit="2" topLeftCell="A3" activePane="bottomLeft" state="frozen"/>
      <selection pane="bottomLeft" activeCell="B4" sqref="B4"/>
    </sheetView>
  </sheetViews>
  <sheetFormatPr defaultColWidth="14.42578125" defaultRowHeight="15" customHeight="1"/>
  <cols>
    <col min="1" max="1" width="9.28515625" customWidth="1"/>
    <col min="2" max="2" width="31.7109375" customWidth="1"/>
    <col min="3" max="3" width="10.85546875" customWidth="1"/>
    <col min="4" max="4" width="10.7109375" customWidth="1"/>
    <col min="5" max="5" width="18.5703125" customWidth="1"/>
    <col min="6" max="6" width="15" customWidth="1"/>
    <col min="7" max="7" width="20" customWidth="1"/>
    <col min="8" max="8" width="15.140625" customWidth="1"/>
    <col min="9" max="9" width="18.5703125" customWidth="1"/>
    <col min="10" max="10" width="15.7109375" customWidth="1"/>
    <col min="11" max="11" width="9.85546875" customWidth="1"/>
    <col min="12" max="12" width="18.7109375" customWidth="1"/>
    <col min="13" max="13" width="33" customWidth="1"/>
    <col min="14" max="14" width="33.85546875" customWidth="1"/>
    <col min="15" max="15" width="44.7109375" customWidth="1"/>
    <col min="16" max="17" width="4.42578125" customWidth="1"/>
    <col min="18" max="18" width="7.5703125" customWidth="1"/>
    <col min="19" max="19" width="33.85546875" customWidth="1"/>
    <col min="20" max="20" width="23.85546875" customWidth="1"/>
    <col min="21" max="22" width="27.85546875" customWidth="1"/>
  </cols>
  <sheetData>
    <row r="1" spans="1:25" ht="15.75" customHeight="1">
      <c r="A1" s="33" t="s">
        <v>119</v>
      </c>
      <c r="B1" s="34" t="s">
        <v>119</v>
      </c>
      <c r="C1" s="34"/>
      <c r="D1" s="33"/>
      <c r="E1" s="33" t="s">
        <v>120</v>
      </c>
      <c r="F1" s="33" t="s">
        <v>120</v>
      </c>
      <c r="G1" s="33" t="s">
        <v>120</v>
      </c>
      <c r="H1" s="33"/>
      <c r="I1" s="33"/>
      <c r="J1" s="33" t="s">
        <v>120</v>
      </c>
      <c r="K1" s="33" t="s">
        <v>120</v>
      </c>
      <c r="L1" s="35" t="s">
        <v>120</v>
      </c>
      <c r="M1" s="34" t="s">
        <v>119</v>
      </c>
      <c r="N1" s="34" t="s">
        <v>119</v>
      </c>
      <c r="O1" s="36"/>
      <c r="P1" s="36"/>
      <c r="Q1" s="36"/>
      <c r="R1" s="36">
        <v>247118</v>
      </c>
      <c r="S1" s="36" t="s">
        <v>121</v>
      </c>
      <c r="T1" s="36" t="s">
        <v>122</v>
      </c>
      <c r="U1" s="36" t="str">
        <f ca="1">IFERROR(__xludf.DUMMYFUNCTION("arrayformula(vlookup(to_text(R1),to_text($A$4:$B1002),2,0))"),"#N/A")</f>
        <v>#N/A</v>
      </c>
      <c r="V1" s="36"/>
      <c r="W1" s="37"/>
      <c r="X1" s="37"/>
      <c r="Y1" s="37"/>
    </row>
    <row r="2" spans="1:25" ht="27.75" customHeight="1">
      <c r="A2" s="38" t="s">
        <v>123</v>
      </c>
      <c r="B2" s="38" t="s">
        <v>124</v>
      </c>
      <c r="C2" s="38" t="s">
        <v>125</v>
      </c>
      <c r="D2" s="38" t="s">
        <v>126</v>
      </c>
      <c r="E2" s="38" t="s">
        <v>50</v>
      </c>
      <c r="F2" s="38" t="s">
        <v>45</v>
      </c>
      <c r="G2" s="39" t="s">
        <v>127</v>
      </c>
      <c r="H2" s="39" t="s">
        <v>128</v>
      </c>
      <c r="I2" s="39" t="s">
        <v>129</v>
      </c>
      <c r="J2" s="40" t="s">
        <v>130</v>
      </c>
      <c r="K2" s="41" t="s">
        <v>131</v>
      </c>
      <c r="L2" s="40" t="s">
        <v>132</v>
      </c>
      <c r="M2" s="39" t="s">
        <v>133</v>
      </c>
      <c r="N2" s="39" t="s">
        <v>134</v>
      </c>
      <c r="O2" s="39" t="s">
        <v>135</v>
      </c>
      <c r="P2" s="39"/>
      <c r="Q2" s="39"/>
      <c r="R2" s="39"/>
      <c r="S2" s="39"/>
      <c r="T2" s="39"/>
      <c r="U2" s="39"/>
      <c r="V2" s="39"/>
      <c r="W2" s="37"/>
      <c r="X2" s="37"/>
      <c r="Y2" s="37"/>
    </row>
    <row r="3" spans="1:25" ht="15" customHeight="1">
      <c r="A3" s="42" t="s">
        <v>136</v>
      </c>
      <c r="B3" s="43" t="s">
        <v>137</v>
      </c>
      <c r="C3" s="44" t="str">
        <f ca="1">IFERROR(__xludf.DUMMYFUNCTION("arrayformula(VLOOKUP(to_Text(A3),to_Text(sheet2!$A$1:M1002),13,0))"),"MOC")</f>
        <v>MOC</v>
      </c>
      <c r="D3" s="45" t="str">
        <f ca="1">IFERROR(__xludf.DUMMYFUNCTION("arrayformula(VLOOKUP(to_Text(A3),to_Text(sheet2!$A$1:M1002),12,0))"),"DEV")</f>
        <v>DEV</v>
      </c>
      <c r="E3" s="43" t="s">
        <v>16</v>
      </c>
      <c r="F3" s="42" t="str">
        <f t="array" aca="1" ref="F3" ca="1">IFERROR(
  INDEX(ATTENDANCE_INPUT!D:D,
    MATCH(1,
      (ATTENDANCE_INPUT!A:A=A3) *
      (ATTENDANCE_INPUT!V:V=_xludf.MAXIFS(ATTENDANCE_INPUT!V:V, ATTENDANCE_INPUT!A:A, A3)),
      0)),
  "")</f>
        <v/>
      </c>
      <c r="G3" s="46" t="str">
        <f t="array" aca="1" ref="G3" ca="1">IFERROR(
  INDEX(ATTENDANCE_INPUT!E:E,
    MATCH(1,
      (ATTENDANCE_INPUT!A:A=A3) *
      (ATTENDANCE_INPUT!V:V=_xludf.MAXIFS(ATTENDANCE_INPUT!V:V, ATTENDANCE_INPUT!A:A, A3)),
      0)),
  "")</f>
        <v/>
      </c>
      <c r="H3" s="47" t="str">
        <f t="array" aca="1" ref="H3" ca="1">IF(ISNA(MATCH(A3,sheet2!A:A,0)),"⏳ Chưa test",IFERROR(INDEX(LEVEL_HELPER!A:A,MATCH(INDEX(sheet2!N:N,MATCH(A3,sheet2!A:A,0)),LEVEL_HELPER!B:B,0)),"⏳ Chưa test"))</f>
        <v>⏳ Chưa test</v>
      </c>
      <c r="I3" s="47" t="str">
        <f t="array" aca="1" ref="I3" ca="1">IF(ISNA(MATCH(A3,sheet2!A:A,0)),H3,IF(INDEX(sheet2!O:O,MATCH(A3,sheet2!A:A,0))&gt;0,IFERROR(INDEX(LEVEL_HELPER!A:A,MATCH(INDEX(sheet2!O:O,MATCH(A3,sheet2!A:A,0)),LEVEL_HELPER!B:B,0)),H3),H3))</f>
        <v>⏳ Chưa test</v>
      </c>
      <c r="J3" s="47" t="str">
        <f ca="1">IFERROR(_xludf.MAXIFS(ATTENDANCE_LOG!F:F, ATTENDANCE_LOG!C:C, A3&amp;"", ATTENDANCE_LOG!G:G, "Present"), "")</f>
        <v/>
      </c>
      <c r="K3" s="48" t="str">
        <f t="shared" ref="K3:K257" ca="1" si="0">IF(J3="", "", IFERROR(TODAY()-DATEVALUE(LEFT(J3,10)), ""))</f>
        <v/>
      </c>
      <c r="L3" s="49" t="str">
        <f t="shared" ref="L3:L257" ca="1" si="1">IF(AND(ISNUMBER(K3), K3&gt;=30), "⚠ Possibly Dropped", "")</f>
        <v/>
      </c>
      <c r="M3" s="36" t="s">
        <v>34</v>
      </c>
      <c r="N3" s="50" t="s">
        <v>33</v>
      </c>
      <c r="O3" s="36"/>
      <c r="P3" s="36"/>
      <c r="Q3" s="36"/>
      <c r="R3" s="36"/>
      <c r="S3" s="36"/>
      <c r="T3" s="36"/>
      <c r="U3" s="36"/>
      <c r="V3" s="36"/>
      <c r="W3" s="37"/>
      <c r="X3" s="37"/>
      <c r="Y3" s="37"/>
    </row>
    <row r="4" spans="1:25" ht="15" customHeight="1">
      <c r="A4" s="42" t="s">
        <v>138</v>
      </c>
      <c r="B4" s="43" t="s">
        <v>139</v>
      </c>
      <c r="C4" s="44" t="str">
        <f ca="1">IFERROR(__xludf.DUMMYFUNCTION("arrayformula(VLOOKUP(to_Text(A4),to_Text(sheet2!$A$1:M1002),13,0))"),"ONC")</f>
        <v>ONC</v>
      </c>
      <c r="D4" s="45" t="str">
        <f ca="1">IFERROR(__xludf.DUMMYFUNCTION("arrayformula(VLOOKUP(to_Text(A4),to_Text(sheet2!$A$1:M1002),12,0))"),"QC")</f>
        <v>QC</v>
      </c>
      <c r="E4" s="43" t="str">
        <f ca="1">IF(L4="⚠ Possibly Dropped","Inactive","Active")</f>
        <v>Active</v>
      </c>
      <c r="F4" s="42" t="str">
        <f t="array" aca="1" ref="F4" ca="1">IFERROR(
  INDEX(ATTENDANCE_INPUT!D:D,
    MATCH(1,
      (ATTENDANCE_INPUT!A:A=A4) *
      (ATTENDANCE_INPUT!V:V=_xludf.MAXIFS(ATTENDANCE_INPUT!V:V, ATTENDANCE_INPUT!A:A, A4)),
      0)),
  "")</f>
        <v/>
      </c>
      <c r="G4" s="46" t="str">
        <f t="array" aca="1" ref="G4" ca="1">IFERROR(
  INDEX(ATTENDANCE_INPUT!E:E,
    MATCH(1,
      (ATTENDANCE_INPUT!A:A=A4) *
      (ATTENDANCE_INPUT!V:V=_xludf.MAXIFS(ATTENDANCE_INPUT!V:V, ATTENDANCE_INPUT!A:A, A4)),
      0)),
  "")</f>
        <v/>
      </c>
      <c r="H4" s="47" t="str">
        <f t="array" aca="1" ref="H4" ca="1">IF(ISNA(MATCH(A4,sheet2!A:A,0)),"⏳ Chưa test",IFERROR(INDEX(LEVEL_HELPER!A:A,MATCH(INDEX(sheet2!N:N,MATCH(A4,sheet2!A:A,0)),LEVEL_HELPER!B:B,0)),"⏳ Chưa test"))</f>
        <v>Beginner 2</v>
      </c>
      <c r="I4" s="47" t="str">
        <f t="array" aca="1" ref="I4" ca="1">IF(ISNA(MATCH(A4,sheet2!A:A,0)),H4,IF(INDEX(sheet2!O:O,MATCH(A4,sheet2!A:A,0))&gt;0,IFERROR(INDEX(LEVEL_HELPER!A:A,MATCH(INDEX(sheet2!O:O,MATCH(A4,sheet2!A:A,0)),LEVEL_HELPER!B:B,0)),H4),H4))</f>
        <v>Beginner 2</v>
      </c>
      <c r="J4" s="47" t="str">
        <f ca="1">IFERROR(_xludf.MAXIFS(ATTENDANCE_LOG!F:F, ATTENDANCE_LOG!C:C, A4&amp;"", ATTENDANCE_LOG!G:G, "Present"), "")</f>
        <v/>
      </c>
      <c r="K4" s="48" t="str">
        <f t="shared" ca="1" si="0"/>
        <v/>
      </c>
      <c r="L4" s="49" t="str">
        <f t="shared" ca="1" si="1"/>
        <v/>
      </c>
      <c r="M4" s="36"/>
      <c r="N4" s="50"/>
      <c r="O4" s="36"/>
      <c r="P4" s="36"/>
      <c r="Q4" s="36"/>
      <c r="R4" s="36"/>
      <c r="S4" s="36"/>
      <c r="T4" s="36"/>
      <c r="U4" s="36"/>
      <c r="V4" s="36"/>
      <c r="W4" s="37"/>
      <c r="X4" s="37"/>
      <c r="Y4" s="37"/>
    </row>
    <row r="5" spans="1:25" ht="15" customHeight="1">
      <c r="A5" s="42" t="s">
        <v>140</v>
      </c>
      <c r="B5" s="43" t="s">
        <v>141</v>
      </c>
      <c r="C5" s="44" t="str">
        <f ca="1">IFERROR(__xludf.DUMMYFUNCTION("arrayformula(VLOOKUP(to_Text(A5),to_Text(sheet2!$A$1:M1002),13,0))"),"CHORUS")</f>
        <v>CHORUS</v>
      </c>
      <c r="D5" s="45" t="str">
        <f ca="1">IFERROR(__xludf.DUMMYFUNCTION("arrayformula(VLOOKUP(to_Text(A5),to_Text(sheet2!$A$1:M1002),12,0))"),"DEV")</f>
        <v>DEV</v>
      </c>
      <c r="E5" s="43" t="s">
        <v>16</v>
      </c>
      <c r="F5" s="42" t="str">
        <f t="array" aca="1" ref="F5" ca="1">IFERROR(
  INDEX(ATTENDANCE_INPUT!D:D,
    MATCH(1,
      (ATTENDANCE_INPUT!A:A=A5) *
      (ATTENDANCE_INPUT!V:V=_xludf.MAXIFS(ATTENDANCE_INPUT!V:V, ATTENDANCE_INPUT!A:A, A5)),
      0)),
  "")</f>
        <v/>
      </c>
      <c r="G5" s="46" t="str">
        <f t="array" aca="1" ref="G5" ca="1">IFERROR(
  INDEX(ATTENDANCE_INPUT!E:E,
    MATCH(1,
      (ATTENDANCE_INPUT!A:A=A5) *
      (ATTENDANCE_INPUT!V:V=_xludf.MAXIFS(ATTENDANCE_INPUT!V:V, ATTENDANCE_INPUT!A:A, A5)),
      0)),
  "")</f>
        <v/>
      </c>
      <c r="H5" s="47" t="str">
        <f t="array" aca="1" ref="H5" ca="1">IF(ISNA(MATCH(A5,sheet2!A:A,0)),"⏳ Chưa test",IFERROR(INDEX(LEVEL_HELPER!A:A,MATCH(INDEX(sheet2!N:N,MATCH(A5,sheet2!A:A,0)),LEVEL_HELPER!B:B,0)),"⏳ Chưa test"))</f>
        <v>Pre-Intermediate</v>
      </c>
      <c r="I5" s="47" t="str">
        <f t="array" aca="1" ref="I5" ca="1">IF(ISNA(MATCH(A5,sheet2!A:A,0)),H5,IF(INDEX(sheet2!O:O,MATCH(A5,sheet2!A:A,0))&gt;0,IFERROR(INDEX(LEVEL_HELPER!A:A,MATCH(INDEX(sheet2!O:O,MATCH(A5,sheet2!A:A,0)),LEVEL_HELPER!B:B,0)),H5),H5))</f>
        <v>Pre-Intermediate</v>
      </c>
      <c r="J5" s="47" t="str">
        <f ca="1">IFERROR(_xludf.MAXIFS(ATTENDANCE_LOG!F:F, ATTENDANCE_LOG!C:C, A5&amp;"", ATTENDANCE_LOG!G:G, "Present"), "")</f>
        <v/>
      </c>
      <c r="K5" s="48" t="str">
        <f t="shared" ca="1" si="0"/>
        <v/>
      </c>
      <c r="L5" s="49" t="str">
        <f t="shared" ca="1" si="1"/>
        <v/>
      </c>
      <c r="M5" s="36" t="s">
        <v>36</v>
      </c>
      <c r="N5" s="50" t="s">
        <v>33</v>
      </c>
      <c r="O5" s="51"/>
      <c r="P5" s="51"/>
      <c r="Q5" s="51"/>
      <c r="R5" s="52"/>
      <c r="S5" s="52"/>
      <c r="T5" s="52"/>
      <c r="U5" s="52"/>
      <c r="V5" s="51"/>
      <c r="W5" s="37"/>
      <c r="X5" s="37"/>
      <c r="Y5" s="37"/>
    </row>
    <row r="6" spans="1:25" ht="15" customHeight="1">
      <c r="A6" s="42" t="s">
        <v>142</v>
      </c>
      <c r="B6" s="43" t="s">
        <v>143</v>
      </c>
      <c r="C6" s="44" t="str">
        <f ca="1">IFERROR(__xludf.DUMMYFUNCTION("arrayformula(VLOOKUP(to_Text(A6),to_Text(sheet2!$A$1:M1002),13,0))"),"BSG")</f>
        <v>BSG</v>
      </c>
      <c r="D6" s="45" t="str">
        <f ca="1">IFERROR(__xludf.DUMMYFUNCTION("arrayformula(VLOOKUP(to_Text(A6),to_Text(sheet2!$A$1:M1002),12,0))"),"HR")</f>
        <v>HR</v>
      </c>
      <c r="E6" s="43" t="s">
        <v>16</v>
      </c>
      <c r="F6" s="42" t="str">
        <f t="array" aca="1" ref="F6" ca="1">IFERROR(
  INDEX(ATTENDANCE_INPUT!D:D,
    MATCH(1,
      (ATTENDANCE_INPUT!A:A=A6) *
      (ATTENDANCE_INPUT!V:V=_xludf.MAXIFS(ATTENDANCE_INPUT!V:V, ATTENDANCE_INPUT!A:A, A6)),
      0)),
  "")</f>
        <v/>
      </c>
      <c r="G6" s="46" t="str">
        <f t="array" aca="1" ref="G6" ca="1">IFERROR(
  INDEX(ATTENDANCE_INPUT!E:E,
    MATCH(1,
      (ATTENDANCE_INPUT!A:A=A6) *
      (ATTENDANCE_INPUT!V:V=_xludf.MAXIFS(ATTENDANCE_INPUT!V:V, ATTENDANCE_INPUT!A:A, A6)),
      0)),
  "")</f>
        <v/>
      </c>
      <c r="H6" s="47" t="str">
        <f t="array" aca="1" ref="H6" ca="1">IF(ISNA(MATCH(A6,sheet2!A:A,0)),"⏳ Chưa test",IFERROR(INDEX(LEVEL_HELPER!A:A,MATCH(INDEX(sheet2!N:N,MATCH(A6,sheet2!A:A,0)),LEVEL_HELPER!B:B,0)),"⏳ Chưa test"))</f>
        <v>Pre-Intermediate</v>
      </c>
      <c r="I6" s="47" t="str">
        <f t="array" aca="1" ref="I6" ca="1">IF(ISNA(MATCH(A6,sheet2!A:A,0)),H6,IF(INDEX(sheet2!O:O,MATCH(A6,sheet2!A:A,0))&gt;0,IFERROR(INDEX(LEVEL_HELPER!A:A,MATCH(INDEX(sheet2!O:O,MATCH(A6,sheet2!A:A,0)),LEVEL_HELPER!B:B,0)),H6),H6))</f>
        <v>Pre-Intermediate</v>
      </c>
      <c r="J6" s="47" t="str">
        <f ca="1">IFERROR(_xludf.MAXIFS(ATTENDANCE_LOG!F:F, ATTENDANCE_LOG!C:C, A6&amp;"", ATTENDANCE_LOG!G:G, "Present"), "")</f>
        <v/>
      </c>
      <c r="K6" s="48" t="str">
        <f t="shared" ca="1" si="0"/>
        <v/>
      </c>
      <c r="L6" s="49" t="str">
        <f t="shared" ca="1" si="1"/>
        <v/>
      </c>
      <c r="M6" s="36" t="s">
        <v>34</v>
      </c>
      <c r="N6" s="50" t="s">
        <v>35</v>
      </c>
      <c r="O6" s="36"/>
      <c r="P6" s="36"/>
      <c r="Q6" s="36"/>
      <c r="R6" s="36"/>
      <c r="S6" s="36"/>
      <c r="T6" s="36"/>
      <c r="U6" s="36"/>
      <c r="V6" s="36"/>
      <c r="W6" s="37"/>
      <c r="X6" s="37"/>
      <c r="Y6" s="37"/>
    </row>
    <row r="7" spans="1:25" ht="15" customHeight="1">
      <c r="A7" s="53" t="s">
        <v>144</v>
      </c>
      <c r="B7" s="54" t="s">
        <v>145</v>
      </c>
      <c r="C7" s="44" t="str">
        <f ca="1">IFERROR(__xludf.DUMMYFUNCTION("arrayformula(VLOOKUP(to_Text(A7),to_Text(sheet2!$A$1:M1002),13,0))"),"ONC")</f>
        <v>ONC</v>
      </c>
      <c r="D7" s="45" t="str">
        <f ca="1">IFERROR(__xludf.DUMMYFUNCTION("arrayformula(VLOOKUP(to_Text(A7),to_Text(sheet2!$A$1:M1002),12,0))"),"DEV")</f>
        <v>DEV</v>
      </c>
      <c r="E7" s="43" t="str">
        <f t="shared" ref="E7:E18" ca="1" si="2">IF(L7="⚠ Possibly Dropped","Inactive","Active")</f>
        <v>Active</v>
      </c>
      <c r="F7" s="42" t="str">
        <f t="array" aca="1" ref="F7" ca="1">IFERROR(
  INDEX(ATTENDANCE_INPUT!D:D,
    MATCH(1,
      (ATTENDANCE_INPUT!A:A=A7) *
      (ATTENDANCE_INPUT!V:V=_xludf.MAXIFS(ATTENDANCE_INPUT!V:V, ATTENDANCE_INPUT!A:A, A7)),
      0)),
  "")</f>
        <v/>
      </c>
      <c r="G7" s="46" t="str">
        <f t="array" aca="1" ref="G7" ca="1">IFERROR(
  INDEX(ATTENDANCE_INPUT!E:E,
    MATCH(1,
      (ATTENDANCE_INPUT!A:A=A7) *
      (ATTENDANCE_INPUT!V:V=_xludf.MAXIFS(ATTENDANCE_INPUT!V:V, ATTENDANCE_INPUT!A:A, A7)),
      0)),
  "")</f>
        <v/>
      </c>
      <c r="H7" s="47" t="str">
        <f t="array" aca="1" ref="H7" ca="1">IF(ISNA(MATCH(A7,sheet2!A:A,0)),"⏳ Chưa test",IFERROR(INDEX(LEVEL_HELPER!A:A,MATCH(INDEX(sheet2!N:N,MATCH(A7,sheet2!A:A,0)),LEVEL_HELPER!B:B,0)),"⏳ Chưa test"))</f>
        <v>Beginner</v>
      </c>
      <c r="I7" s="47" t="str">
        <f t="array" aca="1" ref="I7" ca="1">IF(ISNA(MATCH(A7,sheet2!A:A,0)),H7,IF(INDEX(sheet2!O:O,MATCH(A7,sheet2!A:A,0))&gt;0,IFERROR(INDEX(LEVEL_HELPER!A:A,MATCH(INDEX(sheet2!O:O,MATCH(A7,sheet2!A:A,0)),LEVEL_HELPER!B:B,0)),H7),H7))</f>
        <v>Beginner</v>
      </c>
      <c r="J7" s="55" t="str">
        <f ca="1">IFERROR(_xludf.MAXIFS(ATTENDANCE_LOG!F:F, ATTENDANCE_LOG!C:C, A7&amp;"", ATTENDANCE_LOG!G:G, "Present"), "")</f>
        <v/>
      </c>
      <c r="K7" s="56" t="str">
        <f t="shared" ca="1" si="0"/>
        <v/>
      </c>
      <c r="L7" s="57" t="str">
        <f t="shared" ca="1" si="1"/>
        <v/>
      </c>
      <c r="M7" s="51" t="s">
        <v>34</v>
      </c>
      <c r="N7" s="50" t="s">
        <v>37</v>
      </c>
      <c r="O7" s="36"/>
      <c r="P7" s="36"/>
      <c r="Q7" s="36"/>
      <c r="R7" s="36">
        <v>247329</v>
      </c>
      <c r="S7" s="36" t="s">
        <v>146</v>
      </c>
      <c r="T7" s="36" t="s">
        <v>33</v>
      </c>
      <c r="U7" s="36" t="e">
        <v>#N/A</v>
      </c>
      <c r="V7" s="36"/>
      <c r="W7" s="37"/>
      <c r="X7" s="37"/>
      <c r="Y7" s="37"/>
    </row>
    <row r="8" spans="1:25" ht="15" customHeight="1">
      <c r="A8" s="53" t="s">
        <v>147</v>
      </c>
      <c r="B8" s="54" t="s">
        <v>148</v>
      </c>
      <c r="C8" s="44" t="str">
        <f ca="1">IFERROR(__xludf.DUMMYFUNCTION("arrayformula(VLOOKUP(to_Text(A8),to_Text(sheet2!$A$1:M1002),13,0))"),"LBU")</f>
        <v>LBU</v>
      </c>
      <c r="D8" s="45" t="str">
        <f ca="1">IFERROR(__xludf.DUMMYFUNCTION("arrayformula(VLOOKUP(to_Text(A8),to_Text(sheet2!$A$1:M1002),12,0))"),"GSD")</f>
        <v>GSD</v>
      </c>
      <c r="E8" s="43" t="str">
        <f t="shared" ca="1" si="2"/>
        <v>Active</v>
      </c>
      <c r="F8" s="42" t="str">
        <f t="array" aca="1" ref="F8" ca="1">IFERROR(
  INDEX(ATTENDANCE_INPUT!D:D,
    MATCH(1,
      (ATTENDANCE_INPUT!A:A=A8) *
      (ATTENDANCE_INPUT!V:V=_xludf.MAXIFS(ATTENDANCE_INPUT!V:V, ATTENDANCE_INPUT!A:A, A8)),
      0)),
  "")</f>
        <v/>
      </c>
      <c r="G8" s="46" t="str">
        <f t="array" aca="1" ref="G8" ca="1">IFERROR(
  INDEX(ATTENDANCE_INPUT!E:E,
    MATCH(1,
      (ATTENDANCE_INPUT!A:A=A8) *
      (ATTENDANCE_INPUT!V:V=_xludf.MAXIFS(ATTENDANCE_INPUT!V:V, ATTENDANCE_INPUT!A:A, A8)),
      0)),
  "")</f>
        <v/>
      </c>
      <c r="H8" s="47" t="str">
        <f t="array" aca="1" ref="H8" ca="1">IF(ISNA(MATCH(A8,sheet2!A:A,0)),"⏳ Chưa test",IFERROR(INDEX(LEVEL_HELPER!A:A,MATCH(INDEX(sheet2!N:N,MATCH(A8,sheet2!A:A,0)),LEVEL_HELPER!B:B,0)),"⏳ Chưa test"))</f>
        <v>Beginner</v>
      </c>
      <c r="I8" s="47" t="str">
        <f t="array" aca="1" ref="I8" ca="1">IF(ISNA(MATCH(A8,sheet2!A:A,0)),H8,IF(INDEX(sheet2!O:O,MATCH(A8,sheet2!A:A,0))&gt;0,IFERROR(INDEX(LEVEL_HELPER!A:A,MATCH(INDEX(sheet2!O:O,MATCH(A8,sheet2!A:A,0)),LEVEL_HELPER!B:B,0)),H8),H8))</f>
        <v>Beginner</v>
      </c>
      <c r="J8" s="55" t="str">
        <f ca="1">IFERROR(_xludf.MAXIFS(ATTENDANCE_LOG!F:F, ATTENDANCE_LOG!C:C, A8&amp;"", ATTENDANCE_LOG!G:G, "Present"), "")</f>
        <v/>
      </c>
      <c r="K8" s="56" t="str">
        <f t="shared" ca="1" si="0"/>
        <v/>
      </c>
      <c r="L8" s="57" t="str">
        <f t="shared" ca="1" si="1"/>
        <v/>
      </c>
      <c r="M8" s="51"/>
      <c r="N8" s="50"/>
      <c r="O8" s="58"/>
      <c r="P8" s="51"/>
      <c r="Q8" s="51"/>
      <c r="R8" s="51"/>
      <c r="S8" s="51"/>
      <c r="T8" s="51"/>
      <c r="U8" s="51"/>
      <c r="V8" s="51"/>
      <c r="W8" s="37"/>
      <c r="X8" s="37"/>
      <c r="Y8" s="37"/>
    </row>
    <row r="9" spans="1:25" ht="15" customHeight="1">
      <c r="A9" s="42" t="s">
        <v>149</v>
      </c>
      <c r="B9" s="43" t="s">
        <v>150</v>
      </c>
      <c r="C9" s="44" t="str">
        <f ca="1">IFERROR(__xludf.DUMMYFUNCTION("arrayformula(VLOOKUP(to_Text(A9),to_Text(sheet2!$A$1:M1002),13,0))"),"ONC")</f>
        <v>ONC</v>
      </c>
      <c r="D9" s="45" t="str">
        <f ca="1">IFERROR(__xludf.DUMMYFUNCTION("arrayformula(VLOOKUP(to_Text(A9),to_Text(sheet2!$A$1:M1002),12,0))"),"QC")</f>
        <v>QC</v>
      </c>
      <c r="E9" s="43" t="str">
        <f t="shared" ca="1" si="2"/>
        <v>Active</v>
      </c>
      <c r="F9" s="42" t="str">
        <f t="array" aca="1" ref="F9" ca="1">IFERROR(
  INDEX(ATTENDANCE_INPUT!D:D,
    MATCH(1,
      (ATTENDANCE_INPUT!A:A=A9) *
      (ATTENDANCE_INPUT!V:V=_xludf.MAXIFS(ATTENDANCE_INPUT!V:V, ATTENDANCE_INPUT!A:A, A9)),
      0)),
  "")</f>
        <v/>
      </c>
      <c r="G9" s="46" t="str">
        <f t="array" aca="1" ref="G9" ca="1">IFERROR(
  INDEX(ATTENDANCE_INPUT!E:E,
    MATCH(1,
      (ATTENDANCE_INPUT!A:A=A9) *
      (ATTENDANCE_INPUT!V:V=_xludf.MAXIFS(ATTENDANCE_INPUT!V:V, ATTENDANCE_INPUT!A:A, A9)),
      0)),
  "")</f>
        <v/>
      </c>
      <c r="H9" s="47" t="str">
        <f t="array" aca="1" ref="H9" ca="1">IF(ISNA(MATCH(A9,sheet2!A:A,0)),"⏳ Chưa test",IFERROR(INDEX(LEVEL_HELPER!A:A,MATCH(INDEX(sheet2!N:N,MATCH(A9,sheet2!A:A,0)),LEVEL_HELPER!B:B,0)),"⏳ Chưa test"))</f>
        <v>Beginner</v>
      </c>
      <c r="I9" s="47" t="str">
        <f t="array" aca="1" ref="I9" ca="1">IF(ISNA(MATCH(A9,sheet2!A:A,0)),H9,IF(INDEX(sheet2!O:O,MATCH(A9,sheet2!A:A,0))&gt;0,IFERROR(INDEX(LEVEL_HELPER!A:A,MATCH(INDEX(sheet2!O:O,MATCH(A9,sheet2!A:A,0)),LEVEL_HELPER!B:B,0)),H9),H9))</f>
        <v>Beginner</v>
      </c>
      <c r="J9" s="47" t="str">
        <f ca="1">IFERROR(_xludf.MAXIFS(ATTENDANCE_LOG!F:F, ATTENDANCE_LOG!C:C, A9&amp;"", ATTENDANCE_LOG!G:G, "Present"), "")</f>
        <v/>
      </c>
      <c r="K9" s="48" t="str">
        <f t="shared" ca="1" si="0"/>
        <v/>
      </c>
      <c r="L9" s="49" t="str">
        <f t="shared" ca="1" si="1"/>
        <v/>
      </c>
      <c r="M9" s="36"/>
      <c r="N9" s="50"/>
      <c r="O9" s="51"/>
      <c r="P9" s="51"/>
      <c r="Q9" s="51"/>
      <c r="R9" s="51"/>
      <c r="S9" s="51"/>
      <c r="T9" s="51"/>
      <c r="U9" s="51"/>
      <c r="V9" s="51"/>
      <c r="W9" s="37"/>
      <c r="X9" s="37"/>
      <c r="Y9" s="37"/>
    </row>
    <row r="10" spans="1:25" ht="15" customHeight="1">
      <c r="A10" s="53" t="s">
        <v>151</v>
      </c>
      <c r="B10" s="54" t="s">
        <v>152</v>
      </c>
      <c r="C10" s="44" t="str">
        <f ca="1">IFERROR(__xludf.DUMMYFUNCTION("arrayformula(VLOOKUP(to_Text(A10),to_Text(sheet2!$A$1:M1002),13,0))"),"MOC")</f>
        <v>MOC</v>
      </c>
      <c r="D10" s="45" t="str">
        <f ca="1">IFERROR(__xludf.DUMMYFUNCTION("arrayformula(VLOOKUP(to_Text(A10),to_Text(sheet2!$A$1:M1002),12,0))"),"DEV")</f>
        <v>DEV</v>
      </c>
      <c r="E10" s="43" t="str">
        <f t="shared" ca="1" si="2"/>
        <v>Active</v>
      </c>
      <c r="F10" s="42" t="str">
        <f t="array" aca="1" ref="F10" ca="1">IFERROR(
  INDEX(ATTENDANCE_INPUT!D:D,
    MATCH(1,
      (ATTENDANCE_INPUT!A:A=A10) *
      (ATTENDANCE_INPUT!V:V=_xludf.MAXIFS(ATTENDANCE_INPUT!V:V, ATTENDANCE_INPUT!A:A, A10)),
      0)),
  "")</f>
        <v/>
      </c>
      <c r="G10" s="46" t="str">
        <f t="array" aca="1" ref="G10" ca="1">IFERROR(
  INDEX(ATTENDANCE_INPUT!E:E,
    MATCH(1,
      (ATTENDANCE_INPUT!A:A=A10) *
      (ATTENDANCE_INPUT!V:V=_xludf.MAXIFS(ATTENDANCE_INPUT!V:V, ATTENDANCE_INPUT!A:A, A10)),
      0)),
  "")</f>
        <v/>
      </c>
      <c r="H10" s="47" t="str">
        <f t="array" aca="1" ref="H10" ca="1">IF(ISNA(MATCH(A10,sheet2!A:A,0)),"⏳ Chưa test",IFERROR(INDEX(LEVEL_HELPER!A:A,MATCH(INDEX(sheet2!N:N,MATCH(A10,sheet2!A:A,0)),LEVEL_HELPER!B:B,0)),"⏳ Chưa test"))</f>
        <v>Foundation</v>
      </c>
      <c r="I10" s="47" t="str">
        <f t="array" aca="1" ref="I10" ca="1">IF(ISNA(MATCH(A10,sheet2!A:A,0)),H10,IF(INDEX(sheet2!O:O,MATCH(A10,sheet2!A:A,0))&gt;0,IFERROR(INDEX(LEVEL_HELPER!A:A,MATCH(INDEX(sheet2!O:O,MATCH(A10,sheet2!A:A,0)),LEVEL_HELPER!B:B,0)),H10),H10))</f>
        <v>Foundation</v>
      </c>
      <c r="J10" s="55" t="str">
        <f ca="1">IFERROR(_xludf.MAXIFS(ATTENDANCE_LOG!F:F, ATTENDANCE_LOG!C:C, A10&amp;"", ATTENDANCE_LOG!G:G, "Present"), "")</f>
        <v/>
      </c>
      <c r="K10" s="56" t="str">
        <f t="shared" ca="1" si="0"/>
        <v/>
      </c>
      <c r="L10" s="57" t="str">
        <f t="shared" ca="1" si="1"/>
        <v/>
      </c>
      <c r="M10" s="51"/>
      <c r="N10" s="50"/>
      <c r="O10" s="36"/>
      <c r="P10" s="36"/>
      <c r="Q10" s="36"/>
      <c r="R10" s="36"/>
      <c r="S10" s="36"/>
      <c r="T10" s="36"/>
      <c r="U10" s="36"/>
      <c r="V10" s="36"/>
      <c r="W10" s="37"/>
      <c r="X10" s="37"/>
      <c r="Y10" s="37"/>
    </row>
    <row r="11" spans="1:25" ht="15" customHeight="1">
      <c r="A11" s="42" t="s">
        <v>153</v>
      </c>
      <c r="B11" s="43" t="s">
        <v>154</v>
      </c>
      <c r="C11" s="44" t="str">
        <f ca="1">IFERROR(__xludf.DUMMYFUNCTION("arrayformula(VLOOKUP(to_Text(A11),to_Text(sheet2!$A$1:M1002),13,0))"),"MOC")</f>
        <v>MOC</v>
      </c>
      <c r="D11" s="45" t="str">
        <f ca="1">IFERROR(__xludf.DUMMYFUNCTION("arrayformula(VLOOKUP(to_Text(A11),to_Text(sheet2!$A$1:M1002),12,0))"),"DEV")</f>
        <v>DEV</v>
      </c>
      <c r="E11" s="43" t="str">
        <f t="shared" ca="1" si="2"/>
        <v>Active</v>
      </c>
      <c r="F11" s="42" t="str">
        <f t="array" aca="1" ref="F11" ca="1">IFERROR(
  INDEX(ATTENDANCE_INPUT!D:D,
    MATCH(1,
      (ATTENDANCE_INPUT!A:A=A11) *
      (ATTENDANCE_INPUT!V:V=_xludf.MAXIFS(ATTENDANCE_INPUT!V:V, ATTENDANCE_INPUT!A:A, A11)),
      0)),
  "")</f>
        <v/>
      </c>
      <c r="G11" s="46" t="str">
        <f t="array" aca="1" ref="G11" ca="1">IFERROR(
  INDEX(ATTENDANCE_INPUT!E:E,
    MATCH(1,
      (ATTENDANCE_INPUT!A:A=A11) *
      (ATTENDANCE_INPUT!V:V=_xludf.MAXIFS(ATTENDANCE_INPUT!V:V, ATTENDANCE_INPUT!A:A, A11)),
      0)),
  "")</f>
        <v/>
      </c>
      <c r="H11" s="47" t="str">
        <f t="array" aca="1" ref="H11" ca="1">IF(ISNA(MATCH(A11,sheet2!A:A,0)),"⏳ Chưa test",IFERROR(INDEX(LEVEL_HELPER!A:A,MATCH(INDEX(sheet2!N:N,MATCH(A11,sheet2!A:A,0)),LEVEL_HELPER!B:B,0)),"⏳ Chưa test"))</f>
        <v>Foundation</v>
      </c>
      <c r="I11" s="47" t="str">
        <f t="array" aca="1" ref="I11" ca="1">IF(ISNA(MATCH(A11,sheet2!A:A,0)),H11,IF(INDEX(sheet2!O:O,MATCH(A11,sheet2!A:A,0))&gt;0,IFERROR(INDEX(LEVEL_HELPER!A:A,MATCH(INDEX(sheet2!O:O,MATCH(A11,sheet2!A:A,0)),LEVEL_HELPER!B:B,0)),H11),H11))</f>
        <v>Foundation</v>
      </c>
      <c r="J11" s="47" t="str">
        <f ca="1">IFERROR(_xludf.MAXIFS(ATTENDANCE_LOG!F:F, ATTENDANCE_LOG!C:C, A11&amp;"", ATTENDANCE_LOG!G:G, "Present"), "")</f>
        <v/>
      </c>
      <c r="K11" s="48" t="str">
        <f t="shared" ca="1" si="0"/>
        <v/>
      </c>
      <c r="L11" s="49" t="str">
        <f t="shared" ca="1" si="1"/>
        <v/>
      </c>
      <c r="M11" s="36" t="s">
        <v>34</v>
      </c>
      <c r="N11" s="50" t="s">
        <v>37</v>
      </c>
      <c r="O11" s="36"/>
      <c r="P11" s="36"/>
      <c r="Q11" s="36"/>
      <c r="R11" s="36"/>
      <c r="S11" s="36"/>
      <c r="T11" s="36"/>
      <c r="U11" s="36"/>
      <c r="V11" s="36"/>
      <c r="W11" s="59"/>
      <c r="X11" s="59"/>
      <c r="Y11" s="59"/>
    </row>
    <row r="12" spans="1:25" ht="15" customHeight="1">
      <c r="A12" s="42" t="s">
        <v>155</v>
      </c>
      <c r="B12" s="43" t="s">
        <v>156</v>
      </c>
      <c r="C12" s="44" t="str">
        <f ca="1">IFERROR(__xludf.DUMMYFUNCTION("arrayformula(VLOOKUP(to_Text(A12),to_Text(sheet2!$A$1:M1002),13,0))"),"ONC")</f>
        <v>ONC</v>
      </c>
      <c r="D12" s="45" t="str">
        <f ca="1">IFERROR(__xludf.DUMMYFUNCTION("arrayformula(VLOOKUP(to_Text(A12),to_Text(sheet2!$A$1:M1002),12,0))"),"DEV")</f>
        <v>DEV</v>
      </c>
      <c r="E12" s="43" t="str">
        <f t="shared" ca="1" si="2"/>
        <v>Active</v>
      </c>
      <c r="F12" s="42" t="str">
        <f t="array" aca="1" ref="F12" ca="1">IFERROR(
  INDEX(ATTENDANCE_INPUT!D:D,
    MATCH(1,
      (ATTENDANCE_INPUT!A:A=A12) *
      (ATTENDANCE_INPUT!V:V=_xludf.MAXIFS(ATTENDANCE_INPUT!V:V, ATTENDANCE_INPUT!A:A, A12)),
      0)),
  "")</f>
        <v/>
      </c>
      <c r="G12" s="46" t="str">
        <f t="array" aca="1" ref="G12" ca="1">IFERROR(
  INDEX(ATTENDANCE_INPUT!E:E,
    MATCH(1,
      (ATTENDANCE_INPUT!A:A=A12) *
      (ATTENDANCE_INPUT!V:V=_xludf.MAXIFS(ATTENDANCE_INPUT!V:V, ATTENDANCE_INPUT!A:A, A12)),
      0)),
  "")</f>
        <v/>
      </c>
      <c r="H12" s="47" t="str">
        <f t="array" aca="1" ref="H12" ca="1">IF(ISNA(MATCH(A12,sheet2!A:A,0)),"⏳ Chưa test",IFERROR(INDEX(LEVEL_HELPER!A:A,MATCH(INDEX(sheet2!N:N,MATCH(A12,sheet2!A:A,0)),LEVEL_HELPER!B:B,0)),"⏳ Chưa test"))</f>
        <v>Beginner</v>
      </c>
      <c r="I12" s="47" t="str">
        <f t="array" aca="1" ref="I12" ca="1">IF(ISNA(MATCH(A12,sheet2!A:A,0)),H12,IF(INDEX(sheet2!O:O,MATCH(A12,sheet2!A:A,0))&gt;0,IFERROR(INDEX(LEVEL_HELPER!A:A,MATCH(INDEX(sheet2!O:O,MATCH(A12,sheet2!A:A,0)),LEVEL_HELPER!B:B,0)),H12),H12))</f>
        <v>Beginner</v>
      </c>
      <c r="J12" s="47" t="str">
        <f ca="1">IFERROR(_xludf.MAXIFS(ATTENDANCE_LOG!F:F, ATTENDANCE_LOG!C:C, A12&amp;"", ATTENDANCE_LOG!G:G, "Present"), "")</f>
        <v/>
      </c>
      <c r="K12" s="48" t="str">
        <f t="shared" ca="1" si="0"/>
        <v/>
      </c>
      <c r="L12" s="49" t="str">
        <f t="shared" ca="1" si="1"/>
        <v/>
      </c>
      <c r="M12" s="36" t="s">
        <v>34</v>
      </c>
      <c r="N12" s="50" t="s">
        <v>37</v>
      </c>
      <c r="O12" s="36"/>
      <c r="P12" s="36"/>
      <c r="Q12" s="36"/>
      <c r="R12" s="36">
        <v>247391</v>
      </c>
      <c r="S12" s="36" t="s">
        <v>146</v>
      </c>
      <c r="T12" s="36" t="s">
        <v>33</v>
      </c>
      <c r="U12" s="36" t="e">
        <v>#N/A</v>
      </c>
      <c r="V12" s="36"/>
      <c r="W12" s="59"/>
      <c r="X12" s="59"/>
      <c r="Y12" s="59"/>
    </row>
    <row r="13" spans="1:25" ht="15" customHeight="1">
      <c r="A13" s="42" t="s">
        <v>157</v>
      </c>
      <c r="B13" s="43" t="s">
        <v>158</v>
      </c>
      <c r="C13" s="44" t="str">
        <f ca="1">IFERROR(__xludf.DUMMYFUNCTION("arrayformula(VLOOKUP(to_Text(A13),to_Text(sheet2!$A$1:M1002),13,0))"),"CHORUS")</f>
        <v>CHORUS</v>
      </c>
      <c r="D13" s="45" t="str">
        <f ca="1">IFERROR(__xludf.DUMMYFUNCTION("arrayformula(VLOOKUP(to_Text(A13),to_Text(sheet2!$A$1:M1002),12,0))"),"QC")</f>
        <v>QC</v>
      </c>
      <c r="E13" s="43" t="str">
        <f t="shared" ca="1" si="2"/>
        <v>Active</v>
      </c>
      <c r="F13" s="42" t="str">
        <f t="array" aca="1" ref="F13" ca="1">IFERROR(
  INDEX(ATTENDANCE_INPUT!D:D,
    MATCH(1,
      (ATTENDANCE_INPUT!A:A=A13) *
      (ATTENDANCE_INPUT!V:V=_xludf.MAXIFS(ATTENDANCE_INPUT!V:V, ATTENDANCE_INPUT!A:A, A13)),
      0)),
  "")</f>
        <v/>
      </c>
      <c r="G13" s="46" t="str">
        <f t="array" aca="1" ref="G13" ca="1">IFERROR(
  INDEX(ATTENDANCE_INPUT!E:E,
    MATCH(1,
      (ATTENDANCE_INPUT!A:A=A13) *
      (ATTENDANCE_INPUT!V:V=_xludf.MAXIFS(ATTENDANCE_INPUT!V:V, ATTENDANCE_INPUT!A:A, A13)),
      0)),
  "")</f>
        <v/>
      </c>
      <c r="H13" s="47" t="str">
        <f t="array" aca="1" ref="H13" ca="1">IF(ISNA(MATCH(A13,sheet2!A:A,0)),"⏳ Chưa test",IFERROR(INDEX(LEVEL_HELPER!A:A,MATCH(INDEX(sheet2!N:N,MATCH(A13,sheet2!A:A,0)),LEVEL_HELPER!B:B,0)),"⏳ Chưa test"))</f>
        <v>Beginner</v>
      </c>
      <c r="I13" s="47" t="str">
        <f t="array" aca="1" ref="I13" ca="1">IF(ISNA(MATCH(A13,sheet2!A:A,0)),H13,IF(INDEX(sheet2!O:O,MATCH(A13,sheet2!A:A,0))&gt;0,IFERROR(INDEX(LEVEL_HELPER!A:A,MATCH(INDEX(sheet2!O:O,MATCH(A13,sheet2!A:A,0)),LEVEL_HELPER!B:B,0)),H13),H13))</f>
        <v>Beginner</v>
      </c>
      <c r="J13" s="47" t="str">
        <f ca="1">IFERROR(_xludf.MAXIFS(ATTENDANCE_LOG!F:F, ATTENDANCE_LOG!C:C, A13&amp;"", ATTENDANCE_LOG!G:G, "Present"), "")</f>
        <v/>
      </c>
      <c r="K13" s="48" t="str">
        <f t="shared" ca="1" si="0"/>
        <v/>
      </c>
      <c r="L13" s="49" t="str">
        <f t="shared" ca="1" si="1"/>
        <v/>
      </c>
      <c r="M13" s="36" t="s">
        <v>36</v>
      </c>
      <c r="N13" s="50" t="s">
        <v>39</v>
      </c>
      <c r="O13" s="36"/>
      <c r="P13" s="36"/>
      <c r="Q13" s="36"/>
      <c r="R13" s="36"/>
      <c r="S13" s="36"/>
      <c r="T13" s="36"/>
      <c r="U13" s="36"/>
      <c r="V13" s="36"/>
      <c r="W13" s="59"/>
      <c r="X13" s="59"/>
      <c r="Y13" s="59"/>
    </row>
    <row r="14" spans="1:25" ht="15" customHeight="1">
      <c r="A14" s="53" t="s">
        <v>159</v>
      </c>
      <c r="B14" s="54" t="s">
        <v>160</v>
      </c>
      <c r="C14" s="44" t="str">
        <f ca="1">IFERROR(__xludf.DUMMYFUNCTION("arrayformula(VLOOKUP(to_Text(A14),to_Text(sheet2!$A$1:M1002),13,0))"),"LBU")</f>
        <v>LBU</v>
      </c>
      <c r="D14" s="45" t="str">
        <f ca="1">IFERROR(__xludf.DUMMYFUNCTION("arrayformula(VLOOKUP(to_Text(A14),to_Text(sheet2!$A$1:M1002),12,0))"),"GSD")</f>
        <v>GSD</v>
      </c>
      <c r="E14" s="43" t="str">
        <f t="shared" ca="1" si="2"/>
        <v>Active</v>
      </c>
      <c r="F14" s="42" t="str">
        <f t="array" aca="1" ref="F14" ca="1">IFERROR(
  INDEX(ATTENDANCE_INPUT!D:D,
    MATCH(1,
      (ATTENDANCE_INPUT!A:A=A14) *
      (ATTENDANCE_INPUT!V:V=_xludf.MAXIFS(ATTENDANCE_INPUT!V:V, ATTENDANCE_INPUT!A:A, A14)),
      0)),
  "")</f>
        <v/>
      </c>
      <c r="G14" s="46" t="str">
        <f t="array" aca="1" ref="G14" ca="1">IFERROR(
  INDEX(ATTENDANCE_INPUT!E:E,
    MATCH(1,
      (ATTENDANCE_INPUT!A:A=A14) *
      (ATTENDANCE_INPUT!V:V=_xludf.MAXIFS(ATTENDANCE_INPUT!V:V, ATTENDANCE_INPUT!A:A, A14)),
      0)),
  "")</f>
        <v/>
      </c>
      <c r="H14" s="47" t="str">
        <f t="array" aca="1" ref="H14" ca="1">IF(ISNA(MATCH(A14,sheet2!A:A,0)),"⏳ Chưa test",IFERROR(INDEX(LEVEL_HELPER!A:A,MATCH(INDEX(sheet2!N:N,MATCH(A14,sheet2!A:A,0)),LEVEL_HELPER!B:B,0)),"⏳ Chưa test"))</f>
        <v>Beginner</v>
      </c>
      <c r="I14" s="47" t="str">
        <f t="array" aca="1" ref="I14" ca="1">IF(ISNA(MATCH(A14,sheet2!A:A,0)),H14,IF(INDEX(sheet2!O:O,MATCH(A14,sheet2!A:A,0))&gt;0,IFERROR(INDEX(LEVEL_HELPER!A:A,MATCH(INDEX(sheet2!O:O,MATCH(A14,sheet2!A:A,0)),LEVEL_HELPER!B:B,0)),H14),H14))</f>
        <v>Beginner</v>
      </c>
      <c r="J14" s="55" t="str">
        <f ca="1">IFERROR(_xludf.MAXIFS(ATTENDANCE_LOG!F:F, ATTENDANCE_LOG!C:C, A14&amp;"", ATTENDANCE_LOG!G:G, "Present"), "")</f>
        <v/>
      </c>
      <c r="K14" s="56" t="str">
        <f t="shared" ca="1" si="0"/>
        <v/>
      </c>
      <c r="L14" s="57" t="str">
        <f t="shared" ca="1" si="1"/>
        <v/>
      </c>
      <c r="M14" s="51"/>
      <c r="N14" s="50"/>
      <c r="O14" s="36"/>
      <c r="P14" s="36"/>
      <c r="Q14" s="36"/>
      <c r="R14" s="52"/>
      <c r="S14" s="52"/>
      <c r="T14" s="52"/>
      <c r="U14" s="52"/>
      <c r="V14" s="36"/>
      <c r="W14" s="37"/>
      <c r="X14" s="37"/>
      <c r="Y14" s="37"/>
    </row>
    <row r="15" spans="1:25" ht="15" customHeight="1">
      <c r="A15" s="42" t="s">
        <v>161</v>
      </c>
      <c r="B15" s="43" t="s">
        <v>162</v>
      </c>
      <c r="C15" s="44" t="str">
        <f ca="1">IFERROR(__xludf.DUMMYFUNCTION("arrayformula(VLOOKUP(to_Text(A15),to_Text(sheet2!$A$1:M1002),13,0))"),"MOC")</f>
        <v>MOC</v>
      </c>
      <c r="D15" s="45" t="str">
        <f ca="1">IFERROR(__xludf.DUMMYFUNCTION("arrayformula(VLOOKUP(to_Text(A15),to_Text(sheet2!$A$1:M1002),12,0))"),"DEV")</f>
        <v>DEV</v>
      </c>
      <c r="E15" s="43" t="str">
        <f t="shared" ca="1" si="2"/>
        <v>Active</v>
      </c>
      <c r="F15" s="42" t="str">
        <f t="array" aca="1" ref="F15" ca="1">IFERROR(
  INDEX(ATTENDANCE_INPUT!D:D,
    MATCH(1,
      (ATTENDANCE_INPUT!A:A=A15) *
      (ATTENDANCE_INPUT!V:V=_xludf.MAXIFS(ATTENDANCE_INPUT!V:V, ATTENDANCE_INPUT!A:A, A15)),
      0)),
  "")</f>
        <v/>
      </c>
      <c r="G15" s="46" t="str">
        <f t="array" aca="1" ref="G15" ca="1">IFERROR(
  INDEX(ATTENDANCE_INPUT!E:E,
    MATCH(1,
      (ATTENDANCE_INPUT!A:A=A15) *
      (ATTENDANCE_INPUT!V:V=_xludf.MAXIFS(ATTENDANCE_INPUT!V:V, ATTENDANCE_INPUT!A:A, A15)),
      0)),
  "")</f>
        <v/>
      </c>
      <c r="H15" s="47" t="str">
        <f t="array" aca="1" ref="H15" ca="1">IF(ISNA(MATCH(A15,sheet2!A:A,0)),"⏳ Chưa test",IFERROR(INDEX(LEVEL_HELPER!A:A,MATCH(INDEX(sheet2!N:N,MATCH(A15,sheet2!A:A,0)),LEVEL_HELPER!B:B,0)),"⏳ Chưa test"))</f>
        <v>Foundation</v>
      </c>
      <c r="I15" s="47" t="str">
        <f t="array" aca="1" ref="I15" ca="1">IF(ISNA(MATCH(A15,sheet2!A:A,0)),H15,IF(INDEX(sheet2!O:O,MATCH(A15,sheet2!A:A,0))&gt;0,IFERROR(INDEX(LEVEL_HELPER!A:A,MATCH(INDEX(sheet2!O:O,MATCH(A15,sheet2!A:A,0)),LEVEL_HELPER!B:B,0)),H15),H15))</f>
        <v>Foundation</v>
      </c>
      <c r="J15" s="47" t="str">
        <f ca="1">IFERROR(_xludf.MAXIFS(ATTENDANCE_LOG!F:F, ATTENDANCE_LOG!C:C, A15&amp;"", ATTENDANCE_LOG!G:G, "Present"), "")</f>
        <v/>
      </c>
      <c r="K15" s="48" t="str">
        <f t="shared" ca="1" si="0"/>
        <v/>
      </c>
      <c r="L15" s="49" t="str">
        <f t="shared" ca="1" si="1"/>
        <v/>
      </c>
      <c r="M15" s="36"/>
      <c r="N15" s="50"/>
      <c r="O15" s="51"/>
      <c r="P15" s="51"/>
      <c r="Q15" s="51"/>
      <c r="R15" s="51"/>
      <c r="S15" s="51"/>
      <c r="T15" s="51"/>
      <c r="U15" s="51"/>
      <c r="V15" s="51"/>
      <c r="W15" s="37"/>
      <c r="X15" s="37"/>
      <c r="Y15" s="37"/>
    </row>
    <row r="16" spans="1:25" ht="15" customHeight="1">
      <c r="A16" s="53" t="s">
        <v>163</v>
      </c>
      <c r="B16" s="54" t="s">
        <v>164</v>
      </c>
      <c r="C16" s="44" t="str">
        <f ca="1">IFERROR(__xludf.DUMMYFUNCTION("arrayformula(VLOOKUP(to_Text(A16),to_Text(sheet2!$A$1:M1002),13,0))"),"LBU")</f>
        <v>LBU</v>
      </c>
      <c r="D16" s="45" t="str">
        <f ca="1">IFERROR(__xludf.DUMMYFUNCTION("arrayformula(VLOOKUP(to_Text(A16),to_Text(sheet2!$A$1:M1002),12,0))"),"Designer")</f>
        <v>Designer</v>
      </c>
      <c r="E16" s="43" t="str">
        <f t="shared" ca="1" si="2"/>
        <v>Active</v>
      </c>
      <c r="F16" s="42" t="str">
        <f t="array" aca="1" ref="F16" ca="1">IFERROR(
  INDEX(ATTENDANCE_INPUT!D:D,
    MATCH(1,
      (ATTENDANCE_INPUT!A:A=A16) *
      (ATTENDANCE_INPUT!V:V=_xludf.MAXIFS(ATTENDANCE_INPUT!V:V, ATTENDANCE_INPUT!A:A, A16)),
      0)),
  "")</f>
        <v/>
      </c>
      <c r="G16" s="46" t="str">
        <f t="array" aca="1" ref="G16" ca="1">IFERROR(
  INDEX(ATTENDANCE_INPUT!E:E,
    MATCH(1,
      (ATTENDANCE_INPUT!A:A=A16) *
      (ATTENDANCE_INPUT!V:V=_xludf.MAXIFS(ATTENDANCE_INPUT!V:V, ATTENDANCE_INPUT!A:A, A16)),
      0)),
  "")</f>
        <v/>
      </c>
      <c r="H16" s="47" t="str">
        <f t="array" aca="1" ref="H16" ca="1">IF(ISNA(MATCH(A16,sheet2!A:A,0)),"⏳ Chưa test",IFERROR(INDEX(LEVEL_HELPER!A:A,MATCH(INDEX(sheet2!N:N,MATCH(A16,sheet2!A:A,0)),LEVEL_HELPER!B:B,0)),"⏳ Chưa test"))</f>
        <v>Foundation</v>
      </c>
      <c r="I16" s="47" t="str">
        <f t="array" aca="1" ref="I16" ca="1">IF(ISNA(MATCH(A16,sheet2!A:A,0)),H16,IF(INDEX(sheet2!O:O,MATCH(A16,sheet2!A:A,0))&gt;0,IFERROR(INDEX(LEVEL_HELPER!A:A,MATCH(INDEX(sheet2!O:O,MATCH(A16,sheet2!A:A,0)),LEVEL_HELPER!B:B,0)),H16),H16))</f>
        <v>Foundation</v>
      </c>
      <c r="J16" s="55" t="str">
        <f ca="1">IFERROR(_xludf.MAXIFS(ATTENDANCE_LOG!F:F, ATTENDANCE_LOG!C:C, A16&amp;"", ATTENDANCE_LOG!G:G, "Present"), "")</f>
        <v/>
      </c>
      <c r="K16" s="56" t="str">
        <f t="shared" ca="1" si="0"/>
        <v/>
      </c>
      <c r="L16" s="57" t="str">
        <f t="shared" ca="1" si="1"/>
        <v/>
      </c>
      <c r="M16" s="51"/>
      <c r="N16" s="50"/>
      <c r="O16" s="51"/>
      <c r="P16" s="51"/>
      <c r="Q16" s="51"/>
      <c r="R16" s="51"/>
      <c r="S16" s="51"/>
      <c r="T16" s="51"/>
      <c r="U16" s="51"/>
      <c r="V16" s="51"/>
      <c r="W16" s="37"/>
      <c r="X16" s="37"/>
      <c r="Y16" s="37"/>
    </row>
    <row r="17" spans="1:25" ht="15" customHeight="1">
      <c r="A17" s="42" t="s">
        <v>165</v>
      </c>
      <c r="B17" s="43" t="s">
        <v>166</v>
      </c>
      <c r="C17" s="44" t="str">
        <f ca="1">IFERROR(__xludf.DUMMYFUNCTION("arrayformula(VLOOKUP(to_Text(A17),to_Text(sheet2!$A$1:M1002),13,0))"),"MOC")</f>
        <v>MOC</v>
      </c>
      <c r="D17" s="45" t="str">
        <f ca="1">IFERROR(__xludf.DUMMYFUNCTION("arrayformula(VLOOKUP(to_Text(A17),to_Text(sheet2!$A$1:M1002),12,0))"),"DEV")</f>
        <v>DEV</v>
      </c>
      <c r="E17" s="43" t="str">
        <f t="shared" ca="1" si="2"/>
        <v>Active</v>
      </c>
      <c r="F17" s="42" t="str">
        <f t="array" aca="1" ref="F17" ca="1">IFERROR(
  INDEX(ATTENDANCE_INPUT!D:D,
    MATCH(1,
      (ATTENDANCE_INPUT!A:A=A17) *
      (ATTENDANCE_INPUT!V:V=_xludf.MAXIFS(ATTENDANCE_INPUT!V:V, ATTENDANCE_INPUT!A:A, A17)),
      0)),
  "")</f>
        <v/>
      </c>
      <c r="G17" s="46" t="str">
        <f t="array" aca="1" ref="G17" ca="1">IFERROR(
  INDEX(ATTENDANCE_INPUT!E:E,
    MATCH(1,
      (ATTENDANCE_INPUT!A:A=A17) *
      (ATTENDANCE_INPUT!V:V=_xludf.MAXIFS(ATTENDANCE_INPUT!V:V, ATTENDANCE_INPUT!A:A, A17)),
      0)),
  "")</f>
        <v/>
      </c>
      <c r="H17" s="47" t="str">
        <f t="array" aca="1" ref="H17" ca="1">IF(ISNA(MATCH(A17,sheet2!A:A,0)),"⏳ Chưa test",IFERROR(INDEX(LEVEL_HELPER!A:A,MATCH(INDEX(sheet2!N:N,MATCH(A17,sheet2!A:A,0)),LEVEL_HELPER!B:B,0)),"⏳ Chưa test"))</f>
        <v>Beginner</v>
      </c>
      <c r="I17" s="47" t="str">
        <f t="array" aca="1" ref="I17" ca="1">IF(ISNA(MATCH(A17,sheet2!A:A,0)),H17,IF(INDEX(sheet2!O:O,MATCH(A17,sheet2!A:A,0))&gt;0,IFERROR(INDEX(LEVEL_HELPER!A:A,MATCH(INDEX(sheet2!O:O,MATCH(A17,sheet2!A:A,0)),LEVEL_HELPER!B:B,0)),H17),H17))</f>
        <v>Beginner</v>
      </c>
      <c r="J17" s="47" t="str">
        <f ca="1">IFERROR(_xludf.MAXIFS(ATTENDANCE_LOG!F:F, ATTENDANCE_LOG!C:C, A17&amp;"", ATTENDANCE_LOG!G:G, "Present"), "")</f>
        <v/>
      </c>
      <c r="K17" s="48" t="str">
        <f t="shared" ca="1" si="0"/>
        <v/>
      </c>
      <c r="L17" s="49" t="str">
        <f t="shared" ca="1" si="1"/>
        <v/>
      </c>
      <c r="M17" s="36" t="s">
        <v>36</v>
      </c>
      <c r="N17" s="50" t="s">
        <v>33</v>
      </c>
      <c r="O17" s="36"/>
      <c r="P17" s="36"/>
      <c r="Q17" s="36"/>
      <c r="R17" s="36"/>
      <c r="S17" s="36"/>
      <c r="T17" s="36"/>
      <c r="U17" s="36"/>
      <c r="V17" s="36"/>
      <c r="W17" s="59"/>
      <c r="X17" s="59"/>
      <c r="Y17" s="59"/>
    </row>
    <row r="18" spans="1:25" ht="15" customHeight="1">
      <c r="A18" s="42" t="s">
        <v>167</v>
      </c>
      <c r="B18" s="43" t="s">
        <v>168</v>
      </c>
      <c r="C18" s="44" t="str">
        <f ca="1">IFERROR(__xludf.DUMMYFUNCTION("arrayformula(VLOOKUP(to_Text(A18),to_Text(sheet2!$A$1:M1002),13,0))"),"LBU")</f>
        <v>LBU</v>
      </c>
      <c r="D18" s="45" t="str">
        <f ca="1">IFERROR(__xludf.DUMMYFUNCTION("arrayformula(VLOOKUP(to_Text(A18),to_Text(sheet2!$A$1:M1002),12,0))"),"QC")</f>
        <v>QC</v>
      </c>
      <c r="E18" s="43" t="str">
        <f t="shared" ca="1" si="2"/>
        <v>Active</v>
      </c>
      <c r="F18" s="42" t="str">
        <f t="array" aca="1" ref="F18" ca="1">IFERROR(
  INDEX(ATTENDANCE_INPUT!D:D,
    MATCH(1,
      (ATTENDANCE_INPUT!A:A=A18) *
      (ATTENDANCE_INPUT!V:V=_xludf.MAXIFS(ATTENDANCE_INPUT!V:V, ATTENDANCE_INPUT!A:A, A18)),
      0)),
  "")</f>
        <v/>
      </c>
      <c r="G18" s="46" t="str">
        <f t="array" aca="1" ref="G18" ca="1">IFERROR(
  INDEX(ATTENDANCE_INPUT!E:E,
    MATCH(1,
      (ATTENDANCE_INPUT!A:A=A18) *
      (ATTENDANCE_INPUT!V:V=_xludf.MAXIFS(ATTENDANCE_INPUT!V:V, ATTENDANCE_INPUT!A:A, A18)),
      0)),
  "")</f>
        <v/>
      </c>
      <c r="H18" s="47" t="str">
        <f t="array" aca="1" ref="H18" ca="1">IF(ISNA(MATCH(A18,sheet2!A:A,0)),"⏳ Chưa test",IFERROR(INDEX(LEVEL_HELPER!A:A,MATCH(INDEX(sheet2!N:N,MATCH(A18,sheet2!A:A,0)),LEVEL_HELPER!B:B,0)),"⏳ Chưa test"))</f>
        <v>⏳ Chưa test</v>
      </c>
      <c r="I18" s="47" t="str">
        <f t="array" aca="1" ref="I18" ca="1">IF(ISNA(MATCH(A18,sheet2!A:A,0)),H18,IF(INDEX(sheet2!O:O,MATCH(A18,sheet2!A:A,0))&gt;0,IFERROR(INDEX(LEVEL_HELPER!A:A,MATCH(INDEX(sheet2!O:O,MATCH(A18,sheet2!A:A,0)),LEVEL_HELPER!B:B,0)),H18),H18))</f>
        <v>⏳ Chưa test</v>
      </c>
      <c r="J18" s="47" t="str">
        <f ca="1">IFERROR(_xludf.MAXIFS(ATTENDANCE_LOG!F:F, ATTENDANCE_LOG!C:C, A18&amp;"", ATTENDANCE_LOG!G:G, "Present"), "")</f>
        <v/>
      </c>
      <c r="K18" s="48" t="str">
        <f t="shared" ca="1" si="0"/>
        <v/>
      </c>
      <c r="L18" s="49" t="str">
        <f t="shared" ca="1" si="1"/>
        <v/>
      </c>
      <c r="M18" s="36" t="s">
        <v>36</v>
      </c>
      <c r="N18" s="50" t="s">
        <v>35</v>
      </c>
      <c r="O18" s="36" t="s">
        <v>169</v>
      </c>
      <c r="P18" s="36"/>
      <c r="Q18" s="36"/>
      <c r="R18" s="36"/>
      <c r="S18" s="36"/>
      <c r="T18" s="36"/>
      <c r="U18" s="36"/>
      <c r="V18" s="36"/>
      <c r="W18" s="59"/>
      <c r="X18" s="59"/>
      <c r="Y18" s="59"/>
    </row>
    <row r="19" spans="1:25" ht="15" customHeight="1">
      <c r="A19" s="42" t="s">
        <v>170</v>
      </c>
      <c r="B19" s="43" t="s">
        <v>171</v>
      </c>
      <c r="C19" s="44" t="str">
        <f ca="1">IFERROR(__xludf.DUMMYFUNCTION("arrayformula(VLOOKUP(to_Text(A19),to_Text(sheet2!$A$1:M1002),13,0))"),"CHORUS")</f>
        <v>CHORUS</v>
      </c>
      <c r="D19" s="45" t="str">
        <f ca="1">IFERROR(__xludf.DUMMYFUNCTION("arrayformula(VLOOKUP(to_Text(A19),to_Text(sheet2!$A$1:M1002),12,0))"),"SM")</f>
        <v>SM</v>
      </c>
      <c r="E19" s="43" t="s">
        <v>16</v>
      </c>
      <c r="F19" s="42" t="str">
        <f t="array" aca="1" ref="F19" ca="1">IFERROR(
  INDEX(ATTENDANCE_INPUT!D:D,
    MATCH(1,
      (ATTENDANCE_INPUT!A:A=A19) *
      (ATTENDANCE_INPUT!V:V=_xludf.MAXIFS(ATTENDANCE_INPUT!V:V, ATTENDANCE_INPUT!A:A, A19)),
      0)),
  "")</f>
        <v/>
      </c>
      <c r="G19" s="46" t="str">
        <f t="array" aca="1" ref="G19" ca="1">IFERROR(
  INDEX(ATTENDANCE_INPUT!E:E,
    MATCH(1,
      (ATTENDANCE_INPUT!A:A=A19) *
      (ATTENDANCE_INPUT!V:V=_xludf.MAXIFS(ATTENDANCE_INPUT!V:V, ATTENDANCE_INPUT!A:A, A19)),
      0)),
  "")</f>
        <v/>
      </c>
      <c r="H19" s="47" t="str">
        <f t="array" aca="1" ref="H19" ca="1">IF(ISNA(MATCH(A19,sheet2!A:A,0)),"⏳ Chưa test",IFERROR(INDEX(LEVEL_HELPER!A:A,MATCH(INDEX(sheet2!N:N,MATCH(A19,sheet2!A:A,0)),LEVEL_HELPER!B:B,0)),"⏳ Chưa test"))</f>
        <v>Pre-Intermediate</v>
      </c>
      <c r="I19" s="47" t="str">
        <f t="array" aca="1" ref="I19" ca="1">IF(ISNA(MATCH(A19,sheet2!A:A,0)),H19,IF(INDEX(sheet2!O:O,MATCH(A19,sheet2!A:A,0))&gt;0,IFERROR(INDEX(LEVEL_HELPER!A:A,MATCH(INDEX(sheet2!O:O,MATCH(A19,sheet2!A:A,0)),LEVEL_HELPER!B:B,0)),H19),H19))</f>
        <v>Pre-Intermediate</v>
      </c>
      <c r="J19" s="47" t="str">
        <f ca="1">IFERROR(_xludf.MAXIFS(ATTENDANCE_LOG!F:F, ATTENDANCE_LOG!C:C, A19&amp;"", ATTENDANCE_LOG!G:G, "Present"), "")</f>
        <v/>
      </c>
      <c r="K19" s="48" t="str">
        <f t="shared" ca="1" si="0"/>
        <v/>
      </c>
      <c r="L19" s="49" t="str">
        <f t="shared" ca="1" si="1"/>
        <v/>
      </c>
      <c r="M19" s="36" t="s">
        <v>36</v>
      </c>
      <c r="N19" s="50" t="s">
        <v>33</v>
      </c>
      <c r="O19" s="36"/>
      <c r="P19" s="36"/>
      <c r="Q19" s="36"/>
      <c r="R19" s="36">
        <v>247115</v>
      </c>
      <c r="S19" s="36" t="s">
        <v>172</v>
      </c>
      <c r="T19" s="36" t="s">
        <v>39</v>
      </c>
      <c r="U19" s="36" t="e">
        <v>#N/A</v>
      </c>
      <c r="V19" s="36"/>
      <c r="W19" s="59"/>
      <c r="X19" s="59"/>
      <c r="Y19" s="59"/>
    </row>
    <row r="20" spans="1:25" ht="15" customHeight="1">
      <c r="A20" s="53" t="s">
        <v>173</v>
      </c>
      <c r="B20" s="54" t="s">
        <v>174</v>
      </c>
      <c r="C20" s="44" t="str">
        <f ca="1">IFERROR(__xludf.DUMMYFUNCTION("arrayformula(VLOOKUP(to_Text(A20),to_Text(sheet2!$A$1:M1002),13,0))"),"MOC")</f>
        <v>MOC</v>
      </c>
      <c r="D20" s="45" t="str">
        <f ca="1">IFERROR(__xludf.DUMMYFUNCTION("arrayformula(VLOOKUP(to_Text(A20),to_Text(sheet2!$A$1:M1002),12,0))"),"DEV")</f>
        <v>DEV</v>
      </c>
      <c r="E20" s="43" t="s">
        <v>175</v>
      </c>
      <c r="F20" s="42" t="str">
        <f t="array" aca="1" ref="F20" ca="1">IFERROR(
  INDEX(ATTENDANCE_INPUT!D:D,
    MATCH(1,
      (ATTENDANCE_INPUT!A:A=A20) *
      (ATTENDANCE_INPUT!V:V=_xludf.MAXIFS(ATTENDANCE_INPUT!V:V, ATTENDANCE_INPUT!A:A, A20)),
      0)),
  "")</f>
        <v/>
      </c>
      <c r="G20" s="46" t="str">
        <f t="array" aca="1" ref="G20" ca="1">IFERROR(
  INDEX(ATTENDANCE_INPUT!E:E,
    MATCH(1,
      (ATTENDANCE_INPUT!A:A=A20) *
      (ATTENDANCE_INPUT!V:V=_xludf.MAXIFS(ATTENDANCE_INPUT!V:V, ATTENDANCE_INPUT!A:A, A20)),
      0)),
  "")</f>
        <v/>
      </c>
      <c r="H20" s="47" t="str">
        <f t="array" aca="1" ref="H20" ca="1">IF(ISNA(MATCH(A20,sheet2!A:A,0)),"⏳ Chưa test",IFERROR(INDEX(LEVEL_HELPER!A:A,MATCH(INDEX(sheet2!N:N,MATCH(A20,sheet2!A:A,0)),LEVEL_HELPER!B:B,0)),"⏳ Chưa test"))</f>
        <v>Beginner</v>
      </c>
      <c r="I20" s="47" t="str">
        <f t="array" aca="1" ref="I20" ca="1">IF(ISNA(MATCH(A20,sheet2!A:A,0)),H20,IF(INDEX(sheet2!O:O,MATCH(A20,sheet2!A:A,0))&gt;0,IFERROR(INDEX(LEVEL_HELPER!A:A,MATCH(INDEX(sheet2!O:O,MATCH(A20,sheet2!A:A,0)),LEVEL_HELPER!B:B,0)),H20),H20))</f>
        <v>Beginner</v>
      </c>
      <c r="J20" s="55" t="str">
        <f ca="1">IFERROR(_xludf.MAXIFS(ATTENDANCE_LOG!F:F, ATTENDANCE_LOG!C:C, A20&amp;"", ATTENDANCE_LOG!G:G, "Present"), "")</f>
        <v/>
      </c>
      <c r="K20" s="56" t="str">
        <f t="shared" ca="1" si="0"/>
        <v/>
      </c>
      <c r="L20" s="57" t="str">
        <f t="shared" ca="1" si="1"/>
        <v/>
      </c>
      <c r="M20" s="51"/>
      <c r="N20" s="50"/>
      <c r="O20" s="51"/>
      <c r="P20" s="51"/>
      <c r="Q20" s="51"/>
      <c r="R20" s="51">
        <v>247309</v>
      </c>
      <c r="S20" s="51" t="s">
        <v>146</v>
      </c>
      <c r="T20" s="51" t="s">
        <v>33</v>
      </c>
      <c r="U20" s="51" t="str">
        <f ca="1">IFERROR(__xludf.DUMMYFUNCTION("arrayformula(vlookup(to_text(R20),to_text($A$4:$B1010),2,0))"),"#N/A")</f>
        <v>#N/A</v>
      </c>
      <c r="V20" s="50" t="s">
        <v>37</v>
      </c>
      <c r="W20" s="37"/>
      <c r="X20" s="37"/>
      <c r="Y20" s="37"/>
    </row>
    <row r="21" spans="1:25" ht="15" customHeight="1">
      <c r="A21" s="42" t="s">
        <v>176</v>
      </c>
      <c r="B21" s="43" t="s">
        <v>177</v>
      </c>
      <c r="C21" s="44" t="str">
        <f ca="1">IFERROR(__xludf.DUMMYFUNCTION("arrayformula(VLOOKUP(to_Text(A21),to_Text(sheet2!$A$1:M1002),13,0))"),"LBU")</f>
        <v>LBU</v>
      </c>
      <c r="D21" s="45" t="str">
        <f ca="1">IFERROR(__xludf.DUMMYFUNCTION("arrayformula(VLOOKUP(to_Text(A21),to_Text(sheet2!$A$1:M1002),12,0))"),"GSD")</f>
        <v>GSD</v>
      </c>
      <c r="E21" s="43" t="s">
        <v>16</v>
      </c>
      <c r="F21" s="42" t="str">
        <f t="array" aca="1" ref="F21" ca="1">IFERROR(
  INDEX(ATTENDANCE_INPUT!D:D,
    MATCH(1,
      (ATTENDANCE_INPUT!A:A=A21) *
      (ATTENDANCE_INPUT!V:V=_xludf.MAXIFS(ATTENDANCE_INPUT!V:V, ATTENDANCE_INPUT!A:A, A21)),
      0)),
  "")</f>
        <v/>
      </c>
      <c r="G21" s="46" t="str">
        <f t="array" aca="1" ref="G21" ca="1">IFERROR(
  INDEX(ATTENDANCE_INPUT!E:E,
    MATCH(1,
      (ATTENDANCE_INPUT!A:A=A21) *
      (ATTENDANCE_INPUT!V:V=_xludf.MAXIFS(ATTENDANCE_INPUT!V:V, ATTENDANCE_INPUT!A:A, A21)),
      0)),
  "")</f>
        <v/>
      </c>
      <c r="H21" s="47" t="str">
        <f t="array" aca="1" ref="H21" ca="1">IF(ISNA(MATCH(A21,sheet2!A:A,0)),"⏳ Chưa test",IFERROR(INDEX(LEVEL_HELPER!A:A,MATCH(INDEX(sheet2!N:N,MATCH(A21,sheet2!A:A,0)),LEVEL_HELPER!B:B,0)),"⏳ Chưa test"))</f>
        <v>Pre-Intermediate</v>
      </c>
      <c r="I21" s="47" t="str">
        <f t="array" aca="1" ref="I21" ca="1">IF(ISNA(MATCH(A21,sheet2!A:A,0)),H21,IF(INDEX(sheet2!O:O,MATCH(A21,sheet2!A:A,0))&gt;0,IFERROR(INDEX(LEVEL_HELPER!A:A,MATCH(INDEX(sheet2!O:O,MATCH(A21,sheet2!A:A,0)),LEVEL_HELPER!B:B,0)),H21),H21))</f>
        <v>Pre-Intermediate</v>
      </c>
      <c r="J21" s="47" t="str">
        <f ca="1">IFERROR(_xludf.MAXIFS(ATTENDANCE_LOG!F:F, ATTENDANCE_LOG!C:C, A21&amp;"", ATTENDANCE_LOG!G:G, "Present"), "")</f>
        <v/>
      </c>
      <c r="K21" s="48" t="str">
        <f t="shared" ca="1" si="0"/>
        <v/>
      </c>
      <c r="L21" s="49" t="str">
        <f t="shared" ca="1" si="1"/>
        <v/>
      </c>
      <c r="M21" s="36" t="s">
        <v>34</v>
      </c>
      <c r="N21" s="50" t="s">
        <v>37</v>
      </c>
      <c r="O21" s="36"/>
      <c r="P21" s="36"/>
      <c r="Q21" s="36"/>
      <c r="R21" s="36">
        <v>237004</v>
      </c>
      <c r="S21" s="36" t="s">
        <v>178</v>
      </c>
      <c r="T21" s="36" t="s">
        <v>179</v>
      </c>
      <c r="U21" s="36" t="e">
        <v>#N/A</v>
      </c>
      <c r="V21" s="36"/>
      <c r="W21" s="59"/>
      <c r="X21" s="59"/>
      <c r="Y21" s="59"/>
    </row>
    <row r="22" spans="1:25" ht="15" customHeight="1">
      <c r="A22" s="42" t="s">
        <v>180</v>
      </c>
      <c r="B22" s="43" t="s">
        <v>181</v>
      </c>
      <c r="C22" s="44" t="str">
        <f ca="1">IFERROR(__xludf.DUMMYFUNCTION("arrayformula(VLOOKUP(to_Text(A22),to_Text(sheet2!$A$1:M1002),13,0))"),"CHORUS")</f>
        <v>CHORUS</v>
      </c>
      <c r="D22" s="45" t="str">
        <f ca="1">IFERROR(__xludf.DUMMYFUNCTION("arrayformula(VLOOKUP(to_Text(A22),to_Text(sheet2!$A$1:M1002),12,0))"),"DEV")</f>
        <v>DEV</v>
      </c>
      <c r="E22" s="43" t="str">
        <f ca="1">IF(L22="⚠ Possibly Dropped","Inactive","Active")</f>
        <v>Active</v>
      </c>
      <c r="F22" s="42" t="str">
        <f t="array" aca="1" ref="F22" ca="1">IFERROR(
  INDEX(ATTENDANCE_INPUT!D:D,
    MATCH(1,
      (ATTENDANCE_INPUT!A:A=A22) *
      (ATTENDANCE_INPUT!V:V=_xludf.MAXIFS(ATTENDANCE_INPUT!V:V, ATTENDANCE_INPUT!A:A, A22)),
      0)),
  "")</f>
        <v/>
      </c>
      <c r="G22" s="46" t="str">
        <f t="array" aca="1" ref="G22" ca="1">IFERROR(
  INDEX(ATTENDANCE_INPUT!E:E,
    MATCH(1,
      (ATTENDANCE_INPUT!A:A=A22) *
      (ATTENDANCE_INPUT!V:V=_xludf.MAXIFS(ATTENDANCE_INPUT!V:V, ATTENDANCE_INPUT!A:A, A22)),
      0)),
  "")</f>
        <v/>
      </c>
      <c r="H22" s="47" t="str">
        <f t="array" aca="1" ref="H22" ca="1">IF(ISNA(MATCH(A22,sheet2!A:A,0)),"⏳ Chưa test",IFERROR(INDEX(LEVEL_HELPER!A:A,MATCH(INDEX(sheet2!N:N,MATCH(A22,sheet2!A:A,0)),LEVEL_HELPER!B:B,0)),"⏳ Chưa test"))</f>
        <v>Foundation</v>
      </c>
      <c r="I22" s="47" t="str">
        <f t="array" aca="1" ref="I22" ca="1">IF(ISNA(MATCH(A22,sheet2!A:A,0)),H22,IF(INDEX(sheet2!O:O,MATCH(A22,sheet2!A:A,0))&gt;0,IFERROR(INDEX(LEVEL_HELPER!A:A,MATCH(INDEX(sheet2!O:O,MATCH(A22,sheet2!A:A,0)),LEVEL_HELPER!B:B,0)),H22),H22))</f>
        <v>Foundation</v>
      </c>
      <c r="J22" s="47" t="str">
        <f ca="1">IFERROR(_xludf.MAXIFS(ATTENDANCE_LOG!F:F, ATTENDANCE_LOG!C:C, A22&amp;"", ATTENDANCE_LOG!G:G, "Present"), "")</f>
        <v/>
      </c>
      <c r="K22" s="48" t="str">
        <f t="shared" ca="1" si="0"/>
        <v/>
      </c>
      <c r="L22" s="49" t="str">
        <f t="shared" ca="1" si="1"/>
        <v/>
      </c>
      <c r="M22" s="36"/>
      <c r="N22" s="50"/>
      <c r="O22" s="36"/>
      <c r="P22" s="36"/>
      <c r="Q22" s="36"/>
      <c r="R22" s="36"/>
      <c r="S22" s="36"/>
      <c r="T22" s="36"/>
      <c r="U22" s="36"/>
      <c r="V22" s="36"/>
      <c r="W22" s="37"/>
      <c r="X22" s="37"/>
      <c r="Y22" s="37"/>
    </row>
    <row r="23" spans="1:25" ht="15" customHeight="1">
      <c r="A23" s="42" t="s">
        <v>182</v>
      </c>
      <c r="B23" s="43" t="s">
        <v>183</v>
      </c>
      <c r="C23" s="44" t="str">
        <f ca="1">IFERROR(__xludf.DUMMYFUNCTION("arrayformula(VLOOKUP(to_Text(A23),to_Text(sheet2!$A$1:M1002),13,0))"),"CHORUS")</f>
        <v>CHORUS</v>
      </c>
      <c r="D23" s="45" t="str">
        <f ca="1">IFERROR(__xludf.DUMMYFUNCTION("arrayformula(VLOOKUP(to_Text(A23),to_Text(sheet2!$A$1:M1002),12,0))"),"QC")</f>
        <v>QC</v>
      </c>
      <c r="E23" s="43" t="s">
        <v>16</v>
      </c>
      <c r="F23" s="42" t="str">
        <f t="array" aca="1" ref="F23" ca="1">IFERROR(
  INDEX(ATTENDANCE_INPUT!D:D,
    MATCH(1,
      (ATTENDANCE_INPUT!A:A=A23) *
      (ATTENDANCE_INPUT!V:V=_xludf.MAXIFS(ATTENDANCE_INPUT!V:V, ATTENDANCE_INPUT!A:A, A23)),
      0)),
  "")</f>
        <v/>
      </c>
      <c r="G23" s="46" t="str">
        <f t="array" aca="1" ref="G23" ca="1">IFERROR(
  INDEX(ATTENDANCE_INPUT!E:E,
    MATCH(1,
      (ATTENDANCE_INPUT!A:A=A23) *
      (ATTENDANCE_INPUT!V:V=_xludf.MAXIFS(ATTENDANCE_INPUT!V:V, ATTENDANCE_INPUT!A:A, A23)),
      0)),
  "")</f>
        <v/>
      </c>
      <c r="H23" s="47" t="str">
        <f t="array" aca="1" ref="H23" ca="1">IF(ISNA(MATCH(A23,sheet2!A:A,0)),"⏳ Chưa test",IFERROR(INDEX(LEVEL_HELPER!A:A,MATCH(INDEX(sheet2!N:N,MATCH(A23,sheet2!A:A,0)),LEVEL_HELPER!B:B,0)),"⏳ Chưa test"))</f>
        <v>Beginner</v>
      </c>
      <c r="I23" s="47" t="str">
        <f t="array" aca="1" ref="I23" ca="1">IF(ISNA(MATCH(A23,sheet2!A:A,0)),H23,IF(INDEX(sheet2!O:O,MATCH(A23,sheet2!A:A,0))&gt;0,IFERROR(INDEX(LEVEL_HELPER!A:A,MATCH(INDEX(sheet2!O:O,MATCH(A23,sheet2!A:A,0)),LEVEL_HELPER!B:B,0)),H23),H23))</f>
        <v>Beginner</v>
      </c>
      <c r="J23" s="47" t="str">
        <f ca="1">IFERROR(_xludf.MAXIFS(ATTENDANCE_LOG!F:F, ATTENDANCE_LOG!C:C, A23&amp;"", ATTENDANCE_LOG!G:G, "Present"), "")</f>
        <v/>
      </c>
      <c r="K23" s="48" t="str">
        <f t="shared" ca="1" si="0"/>
        <v/>
      </c>
      <c r="L23" s="49" t="str">
        <f t="shared" ca="1" si="1"/>
        <v/>
      </c>
      <c r="M23" s="36" t="s">
        <v>34</v>
      </c>
      <c r="N23" s="50" t="s">
        <v>33</v>
      </c>
      <c r="O23" s="36"/>
      <c r="P23" s="36"/>
      <c r="Q23" s="36"/>
      <c r="R23" s="36"/>
      <c r="S23" s="36"/>
      <c r="T23" s="36"/>
      <c r="U23" s="36"/>
      <c r="V23" s="36"/>
      <c r="W23" s="59"/>
      <c r="X23" s="59"/>
      <c r="Y23" s="59"/>
    </row>
    <row r="24" spans="1:25" ht="15.75" customHeight="1">
      <c r="A24" s="42" t="s">
        <v>184</v>
      </c>
      <c r="B24" s="43" t="s">
        <v>185</v>
      </c>
      <c r="C24" s="44" t="str">
        <f ca="1">IFERROR(__xludf.DUMMYFUNCTION("arrayformula(VLOOKUP(to_Text(A24),to_Text(sheet2!$A$1:M1002),13,0))"),"TBU")</f>
        <v>TBU</v>
      </c>
      <c r="D24" s="45" t="str">
        <f ca="1">IFERROR(__xludf.DUMMYFUNCTION("arrayformula(VLOOKUP(to_Text(A24),to_Text(sheet2!$A$1:M1002),12,0))"),"DEV")</f>
        <v>DEV</v>
      </c>
      <c r="E24" s="43" t="s">
        <v>175</v>
      </c>
      <c r="F24" s="42" t="str">
        <f t="array" aca="1" ref="F24" ca="1">IFERROR(
  INDEX(ATTENDANCE_INPUT!D:D,
    MATCH(1,
      (ATTENDANCE_INPUT!A:A=A24) *
      (ATTENDANCE_INPUT!V:V=_xludf.MAXIFS(ATTENDANCE_INPUT!V:V, ATTENDANCE_INPUT!A:A, A24)),
      0)),
  "")</f>
        <v/>
      </c>
      <c r="G24" s="46" t="str">
        <f t="array" aca="1" ref="G24" ca="1">IFERROR(
  INDEX(ATTENDANCE_INPUT!E:E,
    MATCH(1,
      (ATTENDANCE_INPUT!A:A=A24) *
      (ATTENDANCE_INPUT!V:V=_xludf.MAXIFS(ATTENDANCE_INPUT!V:V, ATTENDANCE_INPUT!A:A, A24)),
      0)),
  "")</f>
        <v/>
      </c>
      <c r="H24" s="47" t="str">
        <f t="array" aca="1" ref="H24" ca="1">IF(ISNA(MATCH(A24,sheet2!A:A,0)),"⏳ Chưa test",IFERROR(INDEX(LEVEL_HELPER!A:A,MATCH(INDEX(sheet2!N:N,MATCH(A24,sheet2!A:A,0)),LEVEL_HELPER!B:B,0)),"⏳ Chưa test"))</f>
        <v>⏳ Chưa test</v>
      </c>
      <c r="I24" s="47" t="str">
        <f t="array" aca="1" ref="I24" ca="1">IF(ISNA(MATCH(A24,sheet2!A:A,0)),H24,IF(INDEX(sheet2!O:O,MATCH(A24,sheet2!A:A,0))&gt;0,IFERROR(INDEX(LEVEL_HELPER!A:A,MATCH(INDEX(sheet2!O:O,MATCH(A24,sheet2!A:A,0)),LEVEL_HELPER!B:B,0)),H24),H24))</f>
        <v>⏳ Chưa test</v>
      </c>
      <c r="J24" s="47" t="str">
        <f ca="1">IFERROR(_xludf.MAXIFS(ATTENDANCE_LOG!F:F, ATTENDANCE_LOG!C:C, A24&amp;"", ATTENDANCE_LOG!G:G, "Present"), "")</f>
        <v/>
      </c>
      <c r="K24" s="48" t="str">
        <f t="shared" ca="1" si="0"/>
        <v/>
      </c>
      <c r="L24" s="49" t="str">
        <f t="shared" ca="1" si="1"/>
        <v/>
      </c>
      <c r="M24" s="36"/>
      <c r="N24" s="50"/>
      <c r="O24" s="51"/>
      <c r="P24" s="51"/>
      <c r="Q24" s="51"/>
      <c r="R24" s="51"/>
      <c r="S24" s="51"/>
      <c r="T24" s="51"/>
      <c r="U24" s="51"/>
      <c r="V24" s="51"/>
      <c r="W24" s="37"/>
      <c r="X24" s="37"/>
      <c r="Y24" s="37"/>
    </row>
    <row r="25" spans="1:25" ht="15.75" customHeight="1">
      <c r="A25" s="53" t="s">
        <v>186</v>
      </c>
      <c r="B25" s="54" t="s">
        <v>187</v>
      </c>
      <c r="C25" s="44" t="str">
        <f ca="1">IFERROR(__xludf.DUMMYFUNCTION("arrayformula(VLOOKUP(to_Text(A25),to_Text(sheet2!$A$1:M1002),13,0))"),"MOC")</f>
        <v>MOC</v>
      </c>
      <c r="D25" s="45" t="str">
        <f ca="1">IFERROR(__xludf.DUMMYFUNCTION("arrayformula(VLOOKUP(to_Text(A25),to_Text(sheet2!$A$1:M1002),12,0))"),"DEV")</f>
        <v>DEV</v>
      </c>
      <c r="E25" s="43" t="str">
        <f ca="1">IF(L25="⚠ Possibly Dropped","Inactive","Active")</f>
        <v>Active</v>
      </c>
      <c r="F25" s="42" t="str">
        <f t="array" aca="1" ref="F25" ca="1">IFERROR(
  INDEX(ATTENDANCE_INPUT!D:D,
    MATCH(1,
      (ATTENDANCE_INPUT!A:A=A25) *
      (ATTENDANCE_INPUT!V:V=_xludf.MAXIFS(ATTENDANCE_INPUT!V:V, ATTENDANCE_INPUT!A:A, A25)),
      0)),
  "")</f>
        <v/>
      </c>
      <c r="G25" s="46" t="str">
        <f t="array" aca="1" ref="G25" ca="1">IFERROR(
  INDEX(ATTENDANCE_INPUT!E:E,
    MATCH(1,
      (ATTENDANCE_INPUT!A:A=A25) *
      (ATTENDANCE_INPUT!V:V=_xludf.MAXIFS(ATTENDANCE_INPUT!V:V, ATTENDANCE_INPUT!A:A, A25)),
      0)),
  "")</f>
        <v/>
      </c>
      <c r="H25" s="47" t="str">
        <f t="array" aca="1" ref="H25" ca="1">IF(ISNA(MATCH(A25,sheet2!A:A,0)),"⏳ Chưa test",IFERROR(INDEX(LEVEL_HELPER!A:A,MATCH(INDEX(sheet2!N:N,MATCH(A25,sheet2!A:A,0)),LEVEL_HELPER!B:B,0)),"⏳ Chưa test"))</f>
        <v>Beginner</v>
      </c>
      <c r="I25" s="47" t="str">
        <f t="array" aca="1" ref="I25" ca="1">IF(ISNA(MATCH(A25,sheet2!A:A,0)),H25,IF(INDEX(sheet2!O:O,MATCH(A25,sheet2!A:A,0))&gt;0,IFERROR(INDEX(LEVEL_HELPER!A:A,MATCH(INDEX(sheet2!O:O,MATCH(A25,sheet2!A:A,0)),LEVEL_HELPER!B:B,0)),H25),H25))</f>
        <v>Beginner</v>
      </c>
      <c r="J25" s="55" t="str">
        <f ca="1">IFERROR(_xludf.MAXIFS(ATTENDANCE_LOG!F:F, ATTENDANCE_LOG!C:C, A25&amp;"", ATTENDANCE_LOG!G:G, "Present"), "")</f>
        <v/>
      </c>
      <c r="K25" s="56" t="str">
        <f t="shared" ca="1" si="0"/>
        <v/>
      </c>
      <c r="L25" s="57" t="str">
        <f t="shared" ca="1" si="1"/>
        <v/>
      </c>
      <c r="M25" s="51"/>
      <c r="N25" s="50"/>
      <c r="O25" s="36"/>
      <c r="P25" s="36"/>
      <c r="Q25" s="36"/>
      <c r="R25" s="36">
        <v>193630</v>
      </c>
      <c r="S25" s="36" t="s">
        <v>146</v>
      </c>
      <c r="T25" s="36" t="s">
        <v>33</v>
      </c>
      <c r="U25" s="36" t="str">
        <f ca="1">IFERROR(__xludf.DUMMYFUNCTION("arrayformula(vlookup(to_text(R25),to_text($A$4:$B974),2,0))"),"#N/A")</f>
        <v>#N/A</v>
      </c>
      <c r="V25" s="36"/>
      <c r="W25" s="37"/>
      <c r="X25" s="37"/>
      <c r="Y25" s="37"/>
    </row>
    <row r="26" spans="1:25" ht="15.75" customHeight="1">
      <c r="A26" s="42" t="s">
        <v>188</v>
      </c>
      <c r="B26" s="43" t="s">
        <v>189</v>
      </c>
      <c r="C26" s="44" t="str">
        <f ca="1">IFERROR(__xludf.DUMMYFUNCTION("arrayformula(VLOOKUP(to_Text(A26),to_Text(sheet2!$A$1:M1002),13,0))"),"LBU")</f>
        <v>LBU</v>
      </c>
      <c r="D26" s="45" t="str">
        <f ca="1">IFERROR(__xludf.DUMMYFUNCTION("arrayformula(VLOOKUP(to_Text(A26),to_Text(sheet2!$A$1:M1002),12,0))"),"QC")</f>
        <v>QC</v>
      </c>
      <c r="E26" s="43" t="s">
        <v>16</v>
      </c>
      <c r="F26" s="42" t="str">
        <f t="array" aca="1" ref="F26" ca="1">IFERROR(
  INDEX(ATTENDANCE_INPUT!D:D,
    MATCH(1,
      (ATTENDANCE_INPUT!A:A=A26) *
      (ATTENDANCE_INPUT!V:V=_xludf.MAXIFS(ATTENDANCE_INPUT!V:V, ATTENDANCE_INPUT!A:A, A26)),
      0)),
  "")</f>
        <v/>
      </c>
      <c r="G26" s="46" t="str">
        <f t="array" aca="1" ref="G26" ca="1">IFERROR(
  INDEX(ATTENDANCE_INPUT!E:E,
    MATCH(1,
      (ATTENDANCE_INPUT!A:A=A26) *
      (ATTENDANCE_INPUT!V:V=_xludf.MAXIFS(ATTENDANCE_INPUT!V:V, ATTENDANCE_INPUT!A:A, A26)),
      0)),
  "")</f>
        <v/>
      </c>
      <c r="H26" s="47" t="str">
        <f t="array" aca="1" ref="H26" ca="1">IF(ISNA(MATCH(A26,sheet2!A:A,0)),"⏳ Chưa test",IFERROR(INDEX(LEVEL_HELPER!A:A,MATCH(INDEX(sheet2!N:N,MATCH(A26,sheet2!A:A,0)),LEVEL_HELPER!B:B,0)),"⏳ Chưa test"))</f>
        <v>⏳ Chưa test</v>
      </c>
      <c r="I26" s="47" t="str">
        <f t="array" aca="1" ref="I26" ca="1">IF(ISNA(MATCH(A26,sheet2!A:A,0)),H26,IF(INDEX(sheet2!O:O,MATCH(A26,sheet2!A:A,0))&gt;0,IFERROR(INDEX(LEVEL_HELPER!A:A,MATCH(INDEX(sheet2!O:O,MATCH(A26,sheet2!A:A,0)),LEVEL_HELPER!B:B,0)),H26),H26))</f>
        <v>⏳ Chưa test</v>
      </c>
      <c r="J26" s="47" t="str">
        <f ca="1">IFERROR(_xludf.MAXIFS(ATTENDANCE_LOG!F:F, ATTENDANCE_LOG!C:C, A26&amp;"", ATTENDANCE_LOG!G:G, "Present"), "")</f>
        <v/>
      </c>
      <c r="K26" s="48" t="str">
        <f t="shared" ca="1" si="0"/>
        <v/>
      </c>
      <c r="L26" s="49" t="str">
        <f t="shared" ca="1" si="1"/>
        <v/>
      </c>
      <c r="M26" s="36" t="s">
        <v>36</v>
      </c>
      <c r="N26" s="50" t="s">
        <v>41</v>
      </c>
      <c r="O26" s="36"/>
      <c r="P26" s="36"/>
      <c r="Q26" s="36"/>
      <c r="R26" s="36"/>
      <c r="S26" s="36"/>
      <c r="T26" s="36"/>
      <c r="U26" s="36"/>
      <c r="V26" s="36"/>
      <c r="W26" s="59"/>
      <c r="X26" s="59"/>
      <c r="Y26" s="59"/>
    </row>
    <row r="27" spans="1:25" ht="15.75" customHeight="1">
      <c r="A27" s="42" t="s">
        <v>190</v>
      </c>
      <c r="B27" s="43" t="s">
        <v>191</v>
      </c>
      <c r="C27" s="44" t="str">
        <f ca="1">IFERROR(__xludf.DUMMYFUNCTION("arrayformula(VLOOKUP(to_Text(A27),to_Text(sheet2!$A$1:M1002),13,0))"),"CHORUS")</f>
        <v>CHORUS</v>
      </c>
      <c r="D27" s="45" t="str">
        <f ca="1">IFERROR(__xludf.DUMMYFUNCTION("arrayformula(VLOOKUP(to_Text(A27),to_Text(sheet2!$A$1:M1002),12,0))"),"TA")</f>
        <v>TA</v>
      </c>
      <c r="E27" s="43" t="str">
        <f ca="1">IF(L27="⚠ Possibly Dropped","Inactive","Active")</f>
        <v>Active</v>
      </c>
      <c r="F27" s="42" t="str">
        <f t="array" aca="1" ref="F27" ca="1">IFERROR(
  INDEX(ATTENDANCE_INPUT!D:D,
    MATCH(1,
      (ATTENDANCE_INPUT!A:A=A27) *
      (ATTENDANCE_INPUT!V:V=_xludf.MAXIFS(ATTENDANCE_INPUT!V:V, ATTENDANCE_INPUT!A:A, A27)),
      0)),
  "")</f>
        <v/>
      </c>
      <c r="G27" s="46" t="str">
        <f t="array" aca="1" ref="G27" ca="1">IFERROR(
  INDEX(ATTENDANCE_INPUT!E:E,
    MATCH(1,
      (ATTENDANCE_INPUT!A:A=A27) *
      (ATTENDANCE_INPUT!V:V=_xludf.MAXIFS(ATTENDANCE_INPUT!V:V, ATTENDANCE_INPUT!A:A, A27)),
      0)),
  "")</f>
        <v/>
      </c>
      <c r="H27" s="47" t="str">
        <f t="array" aca="1" ref="H27" ca="1">IF(ISNA(MATCH(A27,sheet2!A:A,0)),"⏳ Chưa test",IFERROR(INDEX(LEVEL_HELPER!A:A,MATCH(INDEX(sheet2!N:N,MATCH(A27,sheet2!A:A,0)),LEVEL_HELPER!B:B,0)),"⏳ Chưa test"))</f>
        <v>Beginner</v>
      </c>
      <c r="I27" s="47" t="str">
        <f t="array" aca="1" ref="I27" ca="1">IF(ISNA(MATCH(A27,sheet2!A:A,0)),H27,IF(INDEX(sheet2!O:O,MATCH(A27,sheet2!A:A,0))&gt;0,IFERROR(INDEX(LEVEL_HELPER!A:A,MATCH(INDEX(sheet2!O:O,MATCH(A27,sheet2!A:A,0)),LEVEL_HELPER!B:B,0)),H27),H27))</f>
        <v>Beginner</v>
      </c>
      <c r="J27" s="47" t="str">
        <f ca="1">IFERROR(_xludf.MAXIFS(ATTENDANCE_LOG!F:F, ATTENDANCE_LOG!C:C, A27&amp;"", ATTENDANCE_LOG!G:G, "Present"), "")</f>
        <v/>
      </c>
      <c r="K27" s="48" t="str">
        <f t="shared" ca="1" si="0"/>
        <v/>
      </c>
      <c r="L27" s="49" t="str">
        <f t="shared" ca="1" si="1"/>
        <v/>
      </c>
      <c r="M27" s="36" t="s">
        <v>34</v>
      </c>
      <c r="N27" s="50" t="s">
        <v>33</v>
      </c>
      <c r="O27" s="36"/>
      <c r="P27" s="36"/>
      <c r="Q27" s="36"/>
      <c r="R27" s="36"/>
      <c r="S27" s="36"/>
      <c r="T27" s="36"/>
      <c r="U27" s="36"/>
      <c r="V27" s="36"/>
      <c r="W27" s="59"/>
      <c r="X27" s="59"/>
      <c r="Y27" s="59"/>
    </row>
    <row r="28" spans="1:25" ht="15.75" customHeight="1">
      <c r="A28" s="42" t="s">
        <v>192</v>
      </c>
      <c r="B28" s="43" t="s">
        <v>193</v>
      </c>
      <c r="C28" s="44" t="str">
        <f ca="1">IFERROR(__xludf.DUMMYFUNCTION("arrayformula(VLOOKUP(to_Text(A28),to_Text(sheet2!$A$1:M1002),13,0))"),"LBU")</f>
        <v>LBU</v>
      </c>
      <c r="D28" s="45" t="str">
        <f ca="1">IFERROR(__xludf.DUMMYFUNCTION("arrayformula(VLOOKUP(to_Text(A28),to_Text(sheet2!$A$1:M1002),12,0))"),"DEV")</f>
        <v>DEV</v>
      </c>
      <c r="E28" s="43" t="s">
        <v>16</v>
      </c>
      <c r="F28" s="42" t="str">
        <f t="array" aca="1" ref="F28" ca="1">IFERROR(
  INDEX(ATTENDANCE_INPUT!D:D,
    MATCH(1,
      (ATTENDANCE_INPUT!A:A=A28) *
      (ATTENDANCE_INPUT!V:V=_xludf.MAXIFS(ATTENDANCE_INPUT!V:V, ATTENDANCE_INPUT!A:A, A28)),
      0)),
  "")</f>
        <v/>
      </c>
      <c r="G28" s="46" t="str">
        <f t="array" aca="1" ref="G28" ca="1">IFERROR(
  INDEX(ATTENDANCE_INPUT!E:E,
    MATCH(1,
      (ATTENDANCE_INPUT!A:A=A28) *
      (ATTENDANCE_INPUT!V:V=_xludf.MAXIFS(ATTENDANCE_INPUT!V:V, ATTENDANCE_INPUT!A:A, A28)),
      0)),
  "")</f>
        <v/>
      </c>
      <c r="H28" s="47" t="str">
        <f t="array" aca="1" ref="H28" ca="1">IF(ISNA(MATCH(A28,sheet2!A:A,0)),"⏳ Chưa test",IFERROR(INDEX(LEVEL_HELPER!A:A,MATCH(INDEX(sheet2!N:N,MATCH(A28,sheet2!A:A,0)),LEVEL_HELPER!B:B,0)),"⏳ Chưa test"))</f>
        <v>Beginner</v>
      </c>
      <c r="I28" s="47" t="str">
        <f t="array" aca="1" ref="I28" ca="1">IF(ISNA(MATCH(A28,sheet2!A:A,0)),H28,IF(INDEX(sheet2!O:O,MATCH(A28,sheet2!A:A,0))&gt;0,IFERROR(INDEX(LEVEL_HELPER!A:A,MATCH(INDEX(sheet2!O:O,MATCH(A28,sheet2!A:A,0)),LEVEL_HELPER!B:B,0)),H28),H28))</f>
        <v>Beginner</v>
      </c>
      <c r="J28" s="47" t="str">
        <f ca="1">IFERROR(_xludf.MAXIFS(ATTENDANCE_LOG!F:F, ATTENDANCE_LOG!C:C, A28&amp;"", ATTENDANCE_LOG!G:G, "Present"), "")</f>
        <v/>
      </c>
      <c r="K28" s="48" t="str">
        <f t="shared" ca="1" si="0"/>
        <v/>
      </c>
      <c r="L28" s="49" t="str">
        <f t="shared" ca="1" si="1"/>
        <v/>
      </c>
      <c r="M28" s="36" t="s">
        <v>34</v>
      </c>
      <c r="N28" s="50" t="s">
        <v>37</v>
      </c>
      <c r="O28" s="36"/>
      <c r="P28" s="36"/>
      <c r="Q28" s="36"/>
      <c r="R28" s="36"/>
      <c r="S28" s="36"/>
      <c r="T28" s="36"/>
      <c r="U28" s="36"/>
      <c r="V28" s="36"/>
      <c r="W28" s="59"/>
      <c r="X28" s="59"/>
      <c r="Y28" s="59"/>
    </row>
    <row r="29" spans="1:25" ht="15.75" customHeight="1">
      <c r="A29" s="42" t="s">
        <v>194</v>
      </c>
      <c r="B29" s="43" t="s">
        <v>195</v>
      </c>
      <c r="C29" s="44" t="str">
        <f ca="1">IFERROR(__xludf.DUMMYFUNCTION("arrayformula(VLOOKUP(to_Text(A29),to_Text(sheet2!$A$1:M1002),13,0))"),"CHORUS")</f>
        <v>CHORUS</v>
      </c>
      <c r="D29" s="45" t="str">
        <f ca="1">IFERROR(__xludf.DUMMYFUNCTION("arrayformula(VLOOKUP(to_Text(A29),to_Text(sheet2!$A$1:M1002),12,0))"),"DEV")</f>
        <v>DEV</v>
      </c>
      <c r="E29" s="43" t="str">
        <f ca="1">IF(L29="⚠ Possibly Dropped","Inactive","Active")</f>
        <v>Active</v>
      </c>
      <c r="F29" s="42" t="str">
        <f t="array" aca="1" ref="F29" ca="1">IFERROR(
  INDEX(ATTENDANCE_INPUT!D:D,
    MATCH(1,
      (ATTENDANCE_INPUT!A:A=A29) *
      (ATTENDANCE_INPUT!V:V=_xludf.MAXIFS(ATTENDANCE_INPUT!V:V, ATTENDANCE_INPUT!A:A, A29)),
      0)),
  "")</f>
        <v/>
      </c>
      <c r="G29" s="46" t="str">
        <f t="array" aca="1" ref="G29" ca="1">IFERROR(
  INDEX(ATTENDANCE_INPUT!E:E,
    MATCH(1,
      (ATTENDANCE_INPUT!A:A=A29) *
      (ATTENDANCE_INPUT!V:V=_xludf.MAXIFS(ATTENDANCE_INPUT!V:V, ATTENDANCE_INPUT!A:A, A29)),
      0)),
  "")</f>
        <v/>
      </c>
      <c r="H29" s="47" t="str">
        <f t="array" aca="1" ref="H29" ca="1">IF(ISNA(MATCH(A29,sheet2!A:A,0)),"⏳ Chưa test",IFERROR(INDEX(LEVEL_HELPER!A:A,MATCH(INDEX(sheet2!N:N,MATCH(A29,sheet2!A:A,0)),LEVEL_HELPER!B:B,0)),"⏳ Chưa test"))</f>
        <v>Beginner</v>
      </c>
      <c r="I29" s="47" t="str">
        <f t="array" aca="1" ref="I29" ca="1">IF(ISNA(MATCH(A29,sheet2!A:A,0)),H29,IF(INDEX(sheet2!O:O,MATCH(A29,sheet2!A:A,0))&gt;0,IFERROR(INDEX(LEVEL_HELPER!A:A,MATCH(INDEX(sheet2!O:O,MATCH(A29,sheet2!A:A,0)),LEVEL_HELPER!B:B,0)),H29),H29))</f>
        <v>Beginner</v>
      </c>
      <c r="J29" s="47" t="str">
        <f ca="1">IFERROR(_xludf.MAXIFS(ATTENDANCE_LOG!F:F, ATTENDANCE_LOG!C:C, A29&amp;"", ATTENDANCE_LOG!G:G, "Present"), "")</f>
        <v/>
      </c>
      <c r="K29" s="48" t="str">
        <f t="shared" ca="1" si="0"/>
        <v/>
      </c>
      <c r="L29" s="49" t="str">
        <f t="shared" ca="1" si="1"/>
        <v/>
      </c>
      <c r="M29" s="36" t="s">
        <v>36</v>
      </c>
      <c r="N29" s="50" t="s">
        <v>39</v>
      </c>
      <c r="O29" s="36"/>
      <c r="P29" s="36"/>
      <c r="Q29" s="36"/>
      <c r="R29" s="36"/>
      <c r="S29" s="36"/>
      <c r="T29" s="36"/>
      <c r="U29" s="36"/>
      <c r="V29" s="36"/>
      <c r="W29" s="59"/>
      <c r="X29" s="59"/>
      <c r="Y29" s="59"/>
    </row>
    <row r="30" spans="1:25" ht="15.75" customHeight="1">
      <c r="A30" s="42" t="s">
        <v>196</v>
      </c>
      <c r="B30" s="43" t="s">
        <v>197</v>
      </c>
      <c r="C30" s="44" t="str">
        <f ca="1">IFERROR(__xludf.DUMMYFUNCTION("arrayformula(VLOOKUP(to_Text(A30),to_Text(sheet2!$A$1:M1002),13,0))"),"CHORUS")</f>
        <v>CHORUS</v>
      </c>
      <c r="D30" s="45" t="str">
        <f ca="1">IFERROR(__xludf.DUMMYFUNCTION("arrayformula(VLOOKUP(to_Text(A30),to_Text(sheet2!$A$1:M1002),12,0))"),"DEV")</f>
        <v>DEV</v>
      </c>
      <c r="E30" s="43" t="s">
        <v>16</v>
      </c>
      <c r="F30" s="42" t="str">
        <f t="array" aca="1" ref="F30" ca="1">IFERROR(
  INDEX(ATTENDANCE_INPUT!D:D,
    MATCH(1,
      (ATTENDANCE_INPUT!A:A=A30) *
      (ATTENDANCE_INPUT!V:V=_xludf.MAXIFS(ATTENDANCE_INPUT!V:V, ATTENDANCE_INPUT!A:A, A30)),
      0)),
  "")</f>
        <v/>
      </c>
      <c r="G30" s="46" t="str">
        <f t="array" aca="1" ref="G30" ca="1">IFERROR(
  INDEX(ATTENDANCE_INPUT!E:E,
    MATCH(1,
      (ATTENDANCE_INPUT!A:A=A30) *
      (ATTENDANCE_INPUT!V:V=_xludf.MAXIFS(ATTENDANCE_INPUT!V:V, ATTENDANCE_INPUT!A:A, A30)),
      0)),
  "")</f>
        <v/>
      </c>
      <c r="H30" s="47" t="str">
        <f t="array" aca="1" ref="H30" ca="1">IF(ISNA(MATCH(A30,sheet2!A:A,0)),"⏳ Chưa test",IFERROR(INDEX(LEVEL_HELPER!A:A,MATCH(INDEX(sheet2!N:N,MATCH(A30,sheet2!A:A,0)),LEVEL_HELPER!B:B,0)),"⏳ Chưa test"))</f>
        <v>Beginner</v>
      </c>
      <c r="I30" s="47" t="str">
        <f t="array" aca="1" ref="I30" ca="1">IF(ISNA(MATCH(A30,sheet2!A:A,0)),H30,IF(INDEX(sheet2!O:O,MATCH(A30,sheet2!A:A,0))&gt;0,IFERROR(INDEX(LEVEL_HELPER!A:A,MATCH(INDEX(sheet2!O:O,MATCH(A30,sheet2!A:A,0)),LEVEL_HELPER!B:B,0)),H30),H30))</f>
        <v>Beginner</v>
      </c>
      <c r="J30" s="47" t="str">
        <f ca="1">IFERROR(_xludf.MAXIFS(ATTENDANCE_LOG!F:F, ATTENDANCE_LOG!C:C, A30&amp;"", ATTENDANCE_LOG!G:G, "Present"), "")</f>
        <v/>
      </c>
      <c r="K30" s="48" t="str">
        <f t="shared" ca="1" si="0"/>
        <v/>
      </c>
      <c r="L30" s="49" t="str">
        <f t="shared" ca="1" si="1"/>
        <v/>
      </c>
      <c r="M30" s="36" t="s">
        <v>34</v>
      </c>
      <c r="N30" s="50" t="s">
        <v>33</v>
      </c>
      <c r="O30" s="36"/>
      <c r="P30" s="36"/>
      <c r="Q30" s="36"/>
      <c r="R30" s="36">
        <v>247141</v>
      </c>
      <c r="S30" s="36" t="s">
        <v>172</v>
      </c>
      <c r="T30" s="36" t="s">
        <v>39</v>
      </c>
      <c r="U30" s="36" t="e">
        <v>#N/A</v>
      </c>
      <c r="V30" s="36"/>
      <c r="W30" s="59"/>
      <c r="X30" s="59"/>
      <c r="Y30" s="59"/>
    </row>
    <row r="31" spans="1:25" ht="15.75" customHeight="1">
      <c r="A31" s="42" t="s">
        <v>198</v>
      </c>
      <c r="B31" s="43" t="s">
        <v>199</v>
      </c>
      <c r="C31" s="44" t="str">
        <f ca="1">IFERROR(__xludf.DUMMYFUNCTION("arrayformula(VLOOKUP(to_Text(A31),to_Text(sheet2!$A$1:M1002),13,0))"),"TBU")</f>
        <v>TBU</v>
      </c>
      <c r="D31" s="45" t="str">
        <f ca="1">IFERROR(__xludf.DUMMYFUNCTION("arrayformula(VLOOKUP(to_Text(A31),to_Text(sheet2!$A$1:M1002),12,0))"),"DEV")</f>
        <v>DEV</v>
      </c>
      <c r="E31" s="43" t="str">
        <f ca="1">IF(L31="⚠ Possibly Dropped","Inactive","Active")</f>
        <v>Active</v>
      </c>
      <c r="F31" s="42" t="str">
        <f t="array" aca="1" ref="F31" ca="1">IFERROR(
  INDEX(ATTENDANCE_INPUT!D:D,
    MATCH(1,
      (ATTENDANCE_INPUT!A:A=A31) *
      (ATTENDANCE_INPUT!V:V=_xludf.MAXIFS(ATTENDANCE_INPUT!V:V, ATTENDANCE_INPUT!A:A, A31)),
      0)),
  "")</f>
        <v/>
      </c>
      <c r="G31" s="46" t="str">
        <f t="array" aca="1" ref="G31" ca="1">IFERROR(
  INDEX(ATTENDANCE_INPUT!E:E,
    MATCH(1,
      (ATTENDANCE_INPUT!A:A=A31) *
      (ATTENDANCE_INPUT!V:V=_xludf.MAXIFS(ATTENDANCE_INPUT!V:V, ATTENDANCE_INPUT!A:A, A31)),
      0)),
  "")</f>
        <v/>
      </c>
      <c r="H31" s="47" t="str">
        <f t="array" aca="1" ref="H31" ca="1">IF(ISNA(MATCH(A31,sheet2!A:A,0)),"⏳ Chưa test",IFERROR(INDEX(LEVEL_HELPER!A:A,MATCH(INDEX(sheet2!N:N,MATCH(A31,sheet2!A:A,0)),LEVEL_HELPER!B:B,0)),"⏳ Chưa test"))</f>
        <v>Pre-Intermediate</v>
      </c>
      <c r="I31" s="47" t="str">
        <f t="array" aca="1" ref="I31" ca="1">IF(ISNA(MATCH(A31,sheet2!A:A,0)),H31,IF(INDEX(sheet2!O:O,MATCH(A31,sheet2!A:A,0))&gt;0,IFERROR(INDEX(LEVEL_HELPER!A:A,MATCH(INDEX(sheet2!O:O,MATCH(A31,sheet2!A:A,0)),LEVEL_HELPER!B:B,0)),H31),H31))</f>
        <v>Pre-Intermediate</v>
      </c>
      <c r="J31" s="47" t="str">
        <f ca="1">IFERROR(_xludf.MAXIFS(ATTENDANCE_LOG!F:F, ATTENDANCE_LOG!C:C, A31&amp;"", ATTENDANCE_LOG!G:G, "Present"), "")</f>
        <v/>
      </c>
      <c r="K31" s="48" t="str">
        <f t="shared" ca="1" si="0"/>
        <v/>
      </c>
      <c r="L31" s="49" t="str">
        <f t="shared" ca="1" si="1"/>
        <v/>
      </c>
      <c r="M31" s="36" t="s">
        <v>36</v>
      </c>
      <c r="N31" s="50" t="s">
        <v>33</v>
      </c>
      <c r="O31" s="36"/>
      <c r="P31" s="36"/>
      <c r="Q31" s="36"/>
      <c r="R31" s="36"/>
      <c r="S31" s="36"/>
      <c r="T31" s="36"/>
      <c r="U31" s="36"/>
      <c r="V31" s="36"/>
      <c r="W31" s="59"/>
      <c r="X31" s="59"/>
      <c r="Y31" s="59"/>
    </row>
    <row r="32" spans="1:25" ht="15.75" customHeight="1">
      <c r="A32" s="42" t="s">
        <v>200</v>
      </c>
      <c r="B32" s="43" t="s">
        <v>201</v>
      </c>
      <c r="C32" s="44" t="str">
        <f ca="1">IFERROR(__xludf.DUMMYFUNCTION("arrayformula(VLOOKUP(to_Text(A32),to_Text(sheet2!$A$1:M1002),13,0))"),"CHORUS")</f>
        <v>CHORUS</v>
      </c>
      <c r="D32" s="45" t="str">
        <f ca="1">IFERROR(__xludf.DUMMYFUNCTION("arrayformula(VLOOKUP(to_Text(A32),to_Text(sheet2!$A$1:M1002),12,0))"),"DEV")</f>
        <v>DEV</v>
      </c>
      <c r="E32" s="43" t="s">
        <v>16</v>
      </c>
      <c r="F32" s="42" t="str">
        <f t="array" aca="1" ref="F32" ca="1">IFERROR(
  INDEX(ATTENDANCE_INPUT!D:D,
    MATCH(1,
      (ATTENDANCE_INPUT!A:A=A32) *
      (ATTENDANCE_INPUT!V:V=_xludf.MAXIFS(ATTENDANCE_INPUT!V:V, ATTENDANCE_INPUT!A:A, A32)),
      0)),
  "")</f>
        <v/>
      </c>
      <c r="G32" s="46" t="str">
        <f t="array" aca="1" ref="G32" ca="1">IFERROR(
  INDEX(ATTENDANCE_INPUT!E:E,
    MATCH(1,
      (ATTENDANCE_INPUT!A:A=A32) *
      (ATTENDANCE_INPUT!V:V=_xludf.MAXIFS(ATTENDANCE_INPUT!V:V, ATTENDANCE_INPUT!A:A, A32)),
      0)),
  "")</f>
        <v/>
      </c>
      <c r="H32" s="47" t="str">
        <f t="array" aca="1" ref="H32" ca="1">IF(ISNA(MATCH(A32,sheet2!A:A,0)),"⏳ Chưa test",IFERROR(INDEX(LEVEL_HELPER!A:A,MATCH(INDEX(sheet2!N:N,MATCH(A32,sheet2!A:A,0)),LEVEL_HELPER!B:B,0)),"⏳ Chưa test"))</f>
        <v>Pre-Intermediate</v>
      </c>
      <c r="I32" s="47" t="str">
        <f t="array" aca="1" ref="I32" ca="1">IF(ISNA(MATCH(A32,sheet2!A:A,0)),H32,IF(INDEX(sheet2!O:O,MATCH(A32,sheet2!A:A,0))&gt;0,IFERROR(INDEX(LEVEL_HELPER!A:A,MATCH(INDEX(sheet2!O:O,MATCH(A32,sheet2!A:A,0)),LEVEL_HELPER!B:B,0)),H32),H32))</f>
        <v>Pre-Intermediate</v>
      </c>
      <c r="J32" s="47" t="str">
        <f ca="1">IFERROR(_xludf.MAXIFS(ATTENDANCE_LOG!F:F, ATTENDANCE_LOG!C:C, A32&amp;"", ATTENDANCE_LOG!G:G, "Present"), "")</f>
        <v/>
      </c>
      <c r="K32" s="48" t="str">
        <f t="shared" ca="1" si="0"/>
        <v/>
      </c>
      <c r="L32" s="49" t="str">
        <f t="shared" ca="1" si="1"/>
        <v/>
      </c>
      <c r="M32" s="36" t="s">
        <v>34</v>
      </c>
      <c r="N32" s="50" t="s">
        <v>37</v>
      </c>
      <c r="O32" s="36"/>
      <c r="P32" s="36"/>
      <c r="Q32" s="36"/>
      <c r="R32" s="36"/>
      <c r="S32" s="36"/>
      <c r="T32" s="36"/>
      <c r="U32" s="36"/>
      <c r="V32" s="36"/>
      <c r="W32" s="59"/>
      <c r="X32" s="59"/>
      <c r="Y32" s="59"/>
    </row>
    <row r="33" spans="1:25" ht="15.75" customHeight="1">
      <c r="A33" s="42" t="s">
        <v>202</v>
      </c>
      <c r="B33" s="43" t="s">
        <v>203</v>
      </c>
      <c r="C33" s="44" t="str">
        <f ca="1">IFERROR(__xludf.DUMMYFUNCTION("arrayformula(VLOOKUP(to_Text(A33),to_Text(sheet2!$A$1:M1002),13,0))"),"TBU")</f>
        <v>TBU</v>
      </c>
      <c r="D33" s="45" t="str">
        <f ca="1">IFERROR(__xludf.DUMMYFUNCTION("arrayformula(VLOOKUP(to_Text(A33),to_Text(sheet2!$A$1:M1002),12,0))"),"DEV")</f>
        <v>DEV</v>
      </c>
      <c r="E33" s="43" t="s">
        <v>16</v>
      </c>
      <c r="F33" s="42" t="str">
        <f t="array" aca="1" ref="F33" ca="1">IFERROR(
  INDEX(ATTENDANCE_INPUT!D:D,
    MATCH(1,
      (ATTENDANCE_INPUT!A:A=A33) *
      (ATTENDANCE_INPUT!V:V=_xludf.MAXIFS(ATTENDANCE_INPUT!V:V, ATTENDANCE_INPUT!A:A, A33)),
      0)),
  "")</f>
        <v/>
      </c>
      <c r="G33" s="46" t="str">
        <f t="array" aca="1" ref="G33" ca="1">IFERROR(
  INDEX(ATTENDANCE_INPUT!E:E,
    MATCH(1,
      (ATTENDANCE_INPUT!A:A=A33) *
      (ATTENDANCE_INPUT!V:V=_xludf.MAXIFS(ATTENDANCE_INPUT!V:V, ATTENDANCE_INPUT!A:A, A33)),
      0)),
  "")</f>
        <v/>
      </c>
      <c r="H33" s="47" t="str">
        <f t="array" aca="1" ref="H33" ca="1">IF(ISNA(MATCH(A33,sheet2!A:A,0)),"⏳ Chưa test",IFERROR(INDEX(LEVEL_HELPER!A:A,MATCH(INDEX(sheet2!N:N,MATCH(A33,sheet2!A:A,0)),LEVEL_HELPER!B:B,0)),"⏳ Chưa test"))</f>
        <v>Intermediate</v>
      </c>
      <c r="I33" s="47" t="str">
        <f t="array" aca="1" ref="I33" ca="1">IF(ISNA(MATCH(A33,sheet2!A:A,0)),H33,IF(INDEX(sheet2!O:O,MATCH(A33,sheet2!A:A,0))&gt;0,IFERROR(INDEX(LEVEL_HELPER!A:A,MATCH(INDEX(sheet2!O:O,MATCH(A33,sheet2!A:A,0)),LEVEL_HELPER!B:B,0)),H33),H33))</f>
        <v>Intermediate</v>
      </c>
      <c r="J33" s="47" t="str">
        <f ca="1">IFERROR(_xludf.MAXIFS(ATTENDANCE_LOG!F:F, ATTENDANCE_LOG!C:C, A33&amp;"", ATTENDANCE_LOG!G:G, "Present"), "")</f>
        <v/>
      </c>
      <c r="K33" s="48" t="str">
        <f t="shared" ca="1" si="0"/>
        <v/>
      </c>
      <c r="L33" s="49" t="str">
        <f t="shared" ca="1" si="1"/>
        <v/>
      </c>
      <c r="M33" s="36" t="s">
        <v>36</v>
      </c>
      <c r="N33" s="50" t="s">
        <v>33</v>
      </c>
      <c r="O33" s="36"/>
      <c r="P33" s="36"/>
      <c r="Q33" s="36"/>
      <c r="R33" s="36"/>
      <c r="S33" s="36"/>
      <c r="T33" s="36"/>
      <c r="U33" s="36"/>
      <c r="V33" s="36"/>
      <c r="W33" s="59"/>
      <c r="X33" s="59"/>
      <c r="Y33" s="59"/>
    </row>
    <row r="34" spans="1:25" ht="15.75" customHeight="1">
      <c r="A34" s="42" t="s">
        <v>204</v>
      </c>
      <c r="B34" s="43" t="s">
        <v>205</v>
      </c>
      <c r="C34" s="44" t="str">
        <f ca="1">IFERROR(__xludf.DUMMYFUNCTION("arrayformula(VLOOKUP(to_Text(A34),to_Text(sheet2!$A$1:M1002),13,0))"),"LBU")</f>
        <v>LBU</v>
      </c>
      <c r="D34" s="45" t="str">
        <f ca="1">IFERROR(__xludf.DUMMYFUNCTION("arrayformula(VLOOKUP(to_Text(A34),to_Text(sheet2!$A$1:M1002),12,0))"),"HR")</f>
        <v>HR</v>
      </c>
      <c r="E34" s="43" t="s">
        <v>16</v>
      </c>
      <c r="F34" s="42" t="str">
        <f t="array" aca="1" ref="F34" ca="1">IFERROR(
  INDEX(ATTENDANCE_INPUT!D:D,
    MATCH(1,
      (ATTENDANCE_INPUT!A:A=A34) *
      (ATTENDANCE_INPUT!V:V=_xludf.MAXIFS(ATTENDANCE_INPUT!V:V, ATTENDANCE_INPUT!A:A, A34)),
      0)),
  "")</f>
        <v/>
      </c>
      <c r="G34" s="46" t="str">
        <f t="array" aca="1" ref="G34" ca="1">IFERROR(
  INDEX(ATTENDANCE_INPUT!E:E,
    MATCH(1,
      (ATTENDANCE_INPUT!A:A=A34) *
      (ATTENDANCE_INPUT!V:V=_xludf.MAXIFS(ATTENDANCE_INPUT!V:V, ATTENDANCE_INPUT!A:A, A34)),
      0)),
  "")</f>
        <v/>
      </c>
      <c r="H34" s="47" t="str">
        <f t="array" aca="1" ref="H34" ca="1">IF(ISNA(MATCH(A34,sheet2!A:A,0)),"⏳ Chưa test",IFERROR(INDEX(LEVEL_HELPER!A:A,MATCH(INDEX(sheet2!N:N,MATCH(A34,sheet2!A:A,0)),LEVEL_HELPER!B:B,0)),"⏳ Chưa test"))</f>
        <v>⏳ Chưa test</v>
      </c>
      <c r="I34" s="47" t="str">
        <f t="array" aca="1" ref="I34" ca="1">IF(ISNA(MATCH(A34,sheet2!A:A,0)),H34,IF(INDEX(sheet2!O:O,MATCH(A34,sheet2!A:A,0))&gt;0,IFERROR(INDEX(LEVEL_HELPER!A:A,MATCH(INDEX(sheet2!O:O,MATCH(A34,sheet2!A:A,0)),LEVEL_HELPER!B:B,0)),H34),H34))</f>
        <v>⏳ Chưa test</v>
      </c>
      <c r="J34" s="47" t="str">
        <f ca="1">IFERROR(_xludf.MAXIFS(ATTENDANCE_LOG!F:F, ATTENDANCE_LOG!C:C, A34&amp;"", ATTENDANCE_LOG!G:G, "Present"), "")</f>
        <v/>
      </c>
      <c r="K34" s="48" t="str">
        <f t="shared" ca="1" si="0"/>
        <v/>
      </c>
      <c r="L34" s="49" t="str">
        <f t="shared" ca="1" si="1"/>
        <v/>
      </c>
      <c r="M34" s="36" t="s">
        <v>34</v>
      </c>
      <c r="N34" s="50" t="s">
        <v>35</v>
      </c>
      <c r="O34" s="36"/>
      <c r="P34" s="36"/>
      <c r="Q34" s="36"/>
      <c r="R34" s="36"/>
      <c r="S34" s="36"/>
      <c r="T34" s="36"/>
      <c r="U34" s="36"/>
      <c r="V34" s="36"/>
      <c r="W34" s="59"/>
      <c r="X34" s="59"/>
      <c r="Y34" s="59"/>
    </row>
    <row r="35" spans="1:25" ht="15.75" customHeight="1">
      <c r="A35" s="53" t="s">
        <v>206</v>
      </c>
      <c r="B35" s="54" t="s">
        <v>207</v>
      </c>
      <c r="C35" s="44" t="str">
        <f ca="1">IFERROR(__xludf.DUMMYFUNCTION("arrayformula(VLOOKUP(to_Text(A35),to_Text(sheet2!$A$1:M1002),13,0))"),"POC")</f>
        <v>POC</v>
      </c>
      <c r="D35" s="45" t="str">
        <f ca="1">IFERROR(__xludf.DUMMYFUNCTION("arrayformula(VLOOKUP(to_Text(A35),to_Text(sheet2!$A$1:M1002),12,0))"),"GSD")</f>
        <v>GSD</v>
      </c>
      <c r="E35" s="43" t="str">
        <f t="shared" ref="E35:E36" ca="1" si="3">IF(L35="⚠ Possibly Dropped","Inactive","Active")</f>
        <v>Active</v>
      </c>
      <c r="F35" s="42" t="str">
        <f t="array" aca="1" ref="F35" ca="1">IFERROR(
  INDEX(ATTENDANCE_INPUT!D:D,
    MATCH(1,
      (ATTENDANCE_INPUT!A:A=A35) *
      (ATTENDANCE_INPUT!V:V=_xludf.MAXIFS(ATTENDANCE_INPUT!V:V, ATTENDANCE_INPUT!A:A, A35)),
      0)),
  "")</f>
        <v/>
      </c>
      <c r="G35" s="46" t="str">
        <f t="array" aca="1" ref="G35" ca="1">IFERROR(
  INDEX(ATTENDANCE_INPUT!E:E,
    MATCH(1,
      (ATTENDANCE_INPUT!A:A=A35) *
      (ATTENDANCE_INPUT!V:V=_xludf.MAXIFS(ATTENDANCE_INPUT!V:V, ATTENDANCE_INPUT!A:A, A35)),
      0)),
  "")</f>
        <v/>
      </c>
      <c r="H35" s="47" t="str">
        <f t="array" aca="1" ref="H35" ca="1">IF(ISNA(MATCH(A35,sheet2!A:A,0)),"⏳ Chưa test",IFERROR(INDEX(LEVEL_HELPER!A:A,MATCH(INDEX(sheet2!N:N,MATCH(A35,sheet2!A:A,0)),LEVEL_HELPER!B:B,0)),"⏳ Chưa test"))</f>
        <v>Beginner</v>
      </c>
      <c r="I35" s="47" t="str">
        <f t="array" aca="1" ref="I35" ca="1">IF(ISNA(MATCH(A35,sheet2!A:A,0)),H35,IF(INDEX(sheet2!O:O,MATCH(A35,sheet2!A:A,0))&gt;0,IFERROR(INDEX(LEVEL_HELPER!A:A,MATCH(INDEX(sheet2!O:O,MATCH(A35,sheet2!A:A,0)),LEVEL_HELPER!B:B,0)),H35),H35))</f>
        <v>Beginner</v>
      </c>
      <c r="J35" s="55" t="str">
        <f ca="1">IFERROR(_xludf.MAXIFS(ATTENDANCE_LOG!F:F, ATTENDANCE_LOG!C:C, A35&amp;"", ATTENDANCE_LOG!G:G, "Present"), "")</f>
        <v/>
      </c>
      <c r="K35" s="56" t="str">
        <f t="shared" ca="1" si="0"/>
        <v/>
      </c>
      <c r="L35" s="57" t="str">
        <f t="shared" ca="1" si="1"/>
        <v/>
      </c>
      <c r="M35" s="51"/>
      <c r="N35" s="50"/>
      <c r="O35" s="60"/>
      <c r="P35" s="60"/>
      <c r="Q35" s="60"/>
      <c r="R35" s="60"/>
      <c r="S35" s="60"/>
      <c r="T35" s="60"/>
      <c r="U35" s="60"/>
      <c r="V35" s="60"/>
      <c r="W35" s="37"/>
      <c r="X35" s="37"/>
      <c r="Y35" s="37"/>
    </row>
    <row r="36" spans="1:25" ht="15.75" customHeight="1">
      <c r="A36" s="42" t="s">
        <v>208</v>
      </c>
      <c r="B36" s="43" t="s">
        <v>209</v>
      </c>
      <c r="C36" s="44" t="str">
        <f ca="1">IFERROR(__xludf.DUMMYFUNCTION("arrayformula(VLOOKUP(to_Text(A36),to_Text(sheet2!$A$1:M1002),13,0))"),"MOC")</f>
        <v>MOC</v>
      </c>
      <c r="D36" s="45" t="str">
        <f ca="1">IFERROR(__xludf.DUMMYFUNCTION("arrayformula(VLOOKUP(to_Text(A36),to_Text(sheet2!$A$1:M1002),12,0))"),"DEV")</f>
        <v>DEV</v>
      </c>
      <c r="E36" s="43" t="str">
        <f t="shared" ca="1" si="3"/>
        <v>Active</v>
      </c>
      <c r="F36" s="42" t="str">
        <f t="array" aca="1" ref="F36" ca="1">IFERROR(
  INDEX(ATTENDANCE_INPUT!D:D,
    MATCH(1,
      (ATTENDANCE_INPUT!A:A=A36) *
      (ATTENDANCE_INPUT!V:V=_xludf.MAXIFS(ATTENDANCE_INPUT!V:V, ATTENDANCE_INPUT!A:A, A36)),
      0)),
  "")</f>
        <v/>
      </c>
      <c r="G36" s="46" t="str">
        <f t="array" aca="1" ref="G36" ca="1">IFERROR(
  INDEX(ATTENDANCE_INPUT!E:E,
    MATCH(1,
      (ATTENDANCE_INPUT!A:A=A36) *
      (ATTENDANCE_INPUT!V:V=_xludf.MAXIFS(ATTENDANCE_INPUT!V:V, ATTENDANCE_INPUT!A:A, A36)),
      0)),
  "")</f>
        <v/>
      </c>
      <c r="H36" s="47" t="str">
        <f t="array" aca="1" ref="H36" ca="1">IF(ISNA(MATCH(A36,sheet2!A:A,0)),"⏳ Chưa test",IFERROR(INDEX(LEVEL_HELPER!A:A,MATCH(INDEX(sheet2!N:N,MATCH(A36,sheet2!A:A,0)),LEVEL_HELPER!B:B,0)),"⏳ Chưa test"))</f>
        <v>Beginner</v>
      </c>
      <c r="I36" s="47" t="str">
        <f t="array" aca="1" ref="I36" ca="1">IF(ISNA(MATCH(A36,sheet2!A:A,0)),H36,IF(INDEX(sheet2!O:O,MATCH(A36,sheet2!A:A,0))&gt;0,IFERROR(INDEX(LEVEL_HELPER!A:A,MATCH(INDEX(sheet2!O:O,MATCH(A36,sheet2!A:A,0)),LEVEL_HELPER!B:B,0)),H36),H36))</f>
        <v>Beginner</v>
      </c>
      <c r="J36" s="47" t="str">
        <f ca="1">IFERROR(_xludf.MAXIFS(ATTENDANCE_LOG!F:F, ATTENDANCE_LOG!C:C, A36&amp;"", ATTENDANCE_LOG!G:G, "Present"), "")</f>
        <v/>
      </c>
      <c r="K36" s="48" t="str">
        <f t="shared" ca="1" si="0"/>
        <v/>
      </c>
      <c r="L36" s="49" t="str">
        <f t="shared" ca="1" si="1"/>
        <v/>
      </c>
      <c r="M36" s="36"/>
      <c r="N36" s="50"/>
      <c r="O36" s="34"/>
      <c r="P36" s="34"/>
      <c r="Q36" s="34"/>
      <c r="R36" s="34"/>
      <c r="S36" s="34"/>
      <c r="T36" s="34"/>
      <c r="U36" s="34"/>
      <c r="V36" s="34"/>
      <c r="W36" s="37"/>
      <c r="X36" s="37"/>
      <c r="Y36" s="37"/>
    </row>
    <row r="37" spans="1:25" ht="15.75" customHeight="1">
      <c r="A37" s="42" t="s">
        <v>210</v>
      </c>
      <c r="B37" s="43" t="s">
        <v>211</v>
      </c>
      <c r="C37" s="44" t="str">
        <f ca="1">IFERROR(__xludf.DUMMYFUNCTION("arrayformula(VLOOKUP(to_Text(A37),to_Text(sheet2!$A$1:M1002),13,0))"),"LBU")</f>
        <v>LBU</v>
      </c>
      <c r="D37" s="45" t="str">
        <f ca="1">IFERROR(__xludf.DUMMYFUNCTION("arrayformula(VLOOKUP(to_Text(A37),to_Text(sheet2!$A$1:M1002),12,0))"),"DEV")</f>
        <v>DEV</v>
      </c>
      <c r="E37" s="43" t="s">
        <v>16</v>
      </c>
      <c r="F37" s="42" t="str">
        <f t="array" aca="1" ref="F37" ca="1">IFERROR(
  INDEX(ATTENDANCE_INPUT!D:D,
    MATCH(1,
      (ATTENDANCE_INPUT!A:A=A37) *
      (ATTENDANCE_INPUT!V:V=_xludf.MAXIFS(ATTENDANCE_INPUT!V:V, ATTENDANCE_INPUT!A:A, A37)),
      0)),
  "")</f>
        <v/>
      </c>
      <c r="G37" s="46" t="str">
        <f t="array" aca="1" ref="G37" ca="1">IFERROR(
  INDEX(ATTENDANCE_INPUT!E:E,
    MATCH(1,
      (ATTENDANCE_INPUT!A:A=A37) *
      (ATTENDANCE_INPUT!V:V=_xludf.MAXIFS(ATTENDANCE_INPUT!V:V, ATTENDANCE_INPUT!A:A, A37)),
      0)),
  "")</f>
        <v/>
      </c>
      <c r="H37" s="47" t="str">
        <f t="array" aca="1" ref="H37" ca="1">IF(ISNA(MATCH(A37,sheet2!A:A,0)),"⏳ Chưa test",IFERROR(INDEX(LEVEL_HELPER!A:A,MATCH(INDEX(sheet2!N:N,MATCH(A37,sheet2!A:A,0)),LEVEL_HELPER!B:B,0)),"⏳ Chưa test"))</f>
        <v>Pre-Intermediate</v>
      </c>
      <c r="I37" s="47" t="str">
        <f t="array" aca="1" ref="I37" ca="1">IF(ISNA(MATCH(A37,sheet2!A:A,0)),H37,IF(INDEX(sheet2!O:O,MATCH(A37,sheet2!A:A,0))&gt;0,IFERROR(INDEX(LEVEL_HELPER!A:A,MATCH(INDEX(sheet2!O:O,MATCH(A37,sheet2!A:A,0)),LEVEL_HELPER!B:B,0)),H37),H37))</f>
        <v>Pre-Intermediate</v>
      </c>
      <c r="J37" s="47" t="str">
        <f ca="1">IFERROR(_xludf.MAXIFS(ATTENDANCE_LOG!F:F, ATTENDANCE_LOG!C:C, A37&amp;"", ATTENDANCE_LOG!G:G, "Present"), "")</f>
        <v/>
      </c>
      <c r="K37" s="48" t="str">
        <f t="shared" ca="1" si="0"/>
        <v/>
      </c>
      <c r="L37" s="49" t="str">
        <f t="shared" ca="1" si="1"/>
        <v/>
      </c>
      <c r="M37" s="36" t="s">
        <v>36</v>
      </c>
      <c r="N37" s="50" t="s">
        <v>33</v>
      </c>
      <c r="O37" s="36"/>
      <c r="P37" s="36"/>
      <c r="Q37" s="36"/>
      <c r="R37" s="36"/>
      <c r="S37" s="36"/>
      <c r="T37" s="36"/>
      <c r="U37" s="36"/>
      <c r="V37" s="36"/>
      <c r="W37" s="59"/>
      <c r="X37" s="59"/>
      <c r="Y37" s="59"/>
    </row>
    <row r="38" spans="1:25" ht="15.75" customHeight="1">
      <c r="A38" s="42" t="s">
        <v>212</v>
      </c>
      <c r="B38" s="43" t="s">
        <v>213</v>
      </c>
      <c r="C38" s="44" t="str">
        <f ca="1">IFERROR(__xludf.DUMMYFUNCTION("arrayformula(VLOOKUP(to_Text(A38),to_Text(sheet2!$A$1:M1002),13,0))"),"ONC")</f>
        <v>ONC</v>
      </c>
      <c r="D38" s="45" t="str">
        <f ca="1">IFERROR(__xludf.DUMMYFUNCTION("arrayformula(VLOOKUP(to_Text(A38),to_Text(sheet2!$A$1:M1002),12,0))"),"QC")</f>
        <v>QC</v>
      </c>
      <c r="E38" s="43" t="s">
        <v>16</v>
      </c>
      <c r="F38" s="42" t="str">
        <f t="array" aca="1" ref="F38" ca="1">IFERROR(
  INDEX(ATTENDANCE_INPUT!D:D,
    MATCH(1,
      (ATTENDANCE_INPUT!A:A=A38) *
      (ATTENDANCE_INPUT!V:V=_xludf.MAXIFS(ATTENDANCE_INPUT!V:V, ATTENDANCE_INPUT!A:A, A38)),
      0)),
  "")</f>
        <v/>
      </c>
      <c r="G38" s="46" t="str">
        <f t="array" aca="1" ref="G38" ca="1">IFERROR(
  INDEX(ATTENDANCE_INPUT!E:E,
    MATCH(1,
      (ATTENDANCE_INPUT!A:A=A38) *
      (ATTENDANCE_INPUT!V:V=_xludf.MAXIFS(ATTENDANCE_INPUT!V:V, ATTENDANCE_INPUT!A:A, A38)),
      0)),
  "")</f>
        <v/>
      </c>
      <c r="H38" s="47" t="str">
        <f t="array" aca="1" ref="H38" ca="1">IF(ISNA(MATCH(A38,sheet2!A:A,0)),"⏳ Chưa test",IFERROR(INDEX(LEVEL_HELPER!A:A,MATCH(INDEX(sheet2!N:N,MATCH(A38,sheet2!A:A,0)),LEVEL_HELPER!B:B,0)),"⏳ Chưa test"))</f>
        <v>Beginner</v>
      </c>
      <c r="I38" s="47" t="str">
        <f t="array" aca="1" ref="I38" ca="1">IF(ISNA(MATCH(A38,sheet2!A:A,0)),H38,IF(INDEX(sheet2!O:O,MATCH(A38,sheet2!A:A,0))&gt;0,IFERROR(INDEX(LEVEL_HELPER!A:A,MATCH(INDEX(sheet2!O:O,MATCH(A38,sheet2!A:A,0)),LEVEL_HELPER!B:B,0)),H38),H38))</f>
        <v>Beginner</v>
      </c>
      <c r="J38" s="47" t="str">
        <f ca="1">IFERROR(_xludf.MAXIFS(ATTENDANCE_LOG!F:F, ATTENDANCE_LOG!C:C, A38&amp;"", ATTENDANCE_LOG!G:G, "Present"), "")</f>
        <v/>
      </c>
      <c r="K38" s="48" t="str">
        <f t="shared" ca="1" si="0"/>
        <v/>
      </c>
      <c r="L38" s="49" t="str">
        <f t="shared" ca="1" si="1"/>
        <v/>
      </c>
      <c r="M38" s="36" t="s">
        <v>36</v>
      </c>
      <c r="N38" s="50" t="s">
        <v>42</v>
      </c>
      <c r="O38" s="36"/>
      <c r="P38" s="36"/>
      <c r="Q38" s="36"/>
      <c r="R38" s="36"/>
      <c r="S38" s="36"/>
      <c r="T38" s="36"/>
      <c r="U38" s="36"/>
      <c r="V38" s="36"/>
      <c r="W38" s="59"/>
      <c r="X38" s="59"/>
      <c r="Y38" s="59"/>
    </row>
    <row r="39" spans="1:25" ht="15.75" customHeight="1">
      <c r="A39" s="42" t="s">
        <v>214</v>
      </c>
      <c r="B39" s="43" t="s">
        <v>215</v>
      </c>
      <c r="C39" s="44" t="str">
        <f ca="1">IFERROR(__xludf.DUMMYFUNCTION("arrayformula(VLOOKUP(to_Text(A39),to_Text(sheet2!$A$1:M1002),13,0))"),"CHORUS")</f>
        <v>CHORUS</v>
      </c>
      <c r="D39" s="45" t="str">
        <f ca="1">IFERROR(__xludf.DUMMYFUNCTION("arrayformula(VLOOKUP(to_Text(A39),to_Text(sheet2!$A$1:M1002),12,0))"),"DEV")</f>
        <v>DEV</v>
      </c>
      <c r="E39" s="43" t="s">
        <v>16</v>
      </c>
      <c r="F39" s="42" t="str">
        <f t="array" aca="1" ref="F39" ca="1">IFERROR(
  INDEX(ATTENDANCE_INPUT!D:D,
    MATCH(1,
      (ATTENDANCE_INPUT!A:A=A39) *
      (ATTENDANCE_INPUT!V:V=_xludf.MAXIFS(ATTENDANCE_INPUT!V:V, ATTENDANCE_INPUT!A:A, A39)),
      0)),
  "")</f>
        <v/>
      </c>
      <c r="G39" s="46" t="str">
        <f t="array" aca="1" ref="G39" ca="1">IFERROR(
  INDEX(ATTENDANCE_INPUT!E:E,
    MATCH(1,
      (ATTENDANCE_INPUT!A:A=A39) *
      (ATTENDANCE_INPUT!V:V=_xludf.MAXIFS(ATTENDANCE_INPUT!V:V, ATTENDANCE_INPUT!A:A, A39)),
      0)),
  "")</f>
        <v/>
      </c>
      <c r="H39" s="47" t="str">
        <f t="array" aca="1" ref="H39" ca="1">IF(ISNA(MATCH(A39,sheet2!A:A,0)),"⏳ Chưa test",IFERROR(INDEX(LEVEL_HELPER!A:A,MATCH(INDEX(sheet2!N:N,MATCH(A39,sheet2!A:A,0)),LEVEL_HELPER!B:B,0)),"⏳ Chưa test"))</f>
        <v>Beginner</v>
      </c>
      <c r="I39" s="47" t="str">
        <f t="array" aca="1" ref="I39" ca="1">IF(ISNA(MATCH(A39,sheet2!A:A,0)),H39,IF(INDEX(sheet2!O:O,MATCH(A39,sheet2!A:A,0))&gt;0,IFERROR(INDEX(LEVEL_HELPER!A:A,MATCH(INDEX(sheet2!O:O,MATCH(A39,sheet2!A:A,0)),LEVEL_HELPER!B:B,0)),H39),H39))</f>
        <v>Beginner</v>
      </c>
      <c r="J39" s="47" t="str">
        <f ca="1">IFERROR(_xludf.MAXIFS(ATTENDANCE_LOG!F:F, ATTENDANCE_LOG!C:C, A39&amp;"", ATTENDANCE_LOG!G:G, "Present"), "")</f>
        <v/>
      </c>
      <c r="K39" s="48" t="str">
        <f t="shared" ca="1" si="0"/>
        <v/>
      </c>
      <c r="L39" s="49" t="str">
        <f t="shared" ca="1" si="1"/>
        <v/>
      </c>
      <c r="M39" s="36" t="s">
        <v>34</v>
      </c>
      <c r="N39" s="50" t="s">
        <v>37</v>
      </c>
      <c r="O39" s="36"/>
      <c r="P39" s="36"/>
      <c r="Q39" s="36"/>
      <c r="R39" s="36"/>
      <c r="S39" s="36"/>
      <c r="T39" s="36"/>
      <c r="U39" s="36"/>
      <c r="V39" s="36"/>
      <c r="W39" s="59"/>
      <c r="X39" s="59"/>
      <c r="Y39" s="59"/>
    </row>
    <row r="40" spans="1:25" ht="15.75" customHeight="1">
      <c r="A40" s="42" t="s">
        <v>216</v>
      </c>
      <c r="B40" s="43" t="s">
        <v>217</v>
      </c>
      <c r="C40" s="44" t="str">
        <f ca="1">IFERROR(__xludf.DUMMYFUNCTION("arrayformula(VLOOKUP(to_Text(A40),to_Text(sheet2!$A$1:M1002),13,0))"),"CHORUS")</f>
        <v>CHORUS</v>
      </c>
      <c r="D40" s="45" t="str">
        <f ca="1">IFERROR(__xludf.DUMMYFUNCTION("arrayformula(VLOOKUP(to_Text(A40),to_Text(sheet2!$A$1:M1002),12,0))"),"DEV")</f>
        <v>DEV</v>
      </c>
      <c r="E40" s="43" t="s">
        <v>16</v>
      </c>
      <c r="F40" s="42" t="str">
        <f t="array" aca="1" ref="F40" ca="1">IFERROR(
  INDEX(ATTENDANCE_INPUT!D:D,
    MATCH(1,
      (ATTENDANCE_INPUT!A:A=A40) *
      (ATTENDANCE_INPUT!V:V=_xludf.MAXIFS(ATTENDANCE_INPUT!V:V, ATTENDANCE_INPUT!A:A, A40)),
      0)),
  "")</f>
        <v/>
      </c>
      <c r="G40" s="46" t="str">
        <f t="array" aca="1" ref="G40" ca="1">IFERROR(
  INDEX(ATTENDANCE_INPUT!E:E,
    MATCH(1,
      (ATTENDANCE_INPUT!A:A=A40) *
      (ATTENDANCE_INPUT!V:V=_xludf.MAXIFS(ATTENDANCE_INPUT!V:V, ATTENDANCE_INPUT!A:A, A40)),
      0)),
  "")</f>
        <v/>
      </c>
      <c r="H40" s="47" t="str">
        <f t="array" aca="1" ref="H40" ca="1">IF(ISNA(MATCH(A40,sheet2!A:A,0)),"⏳ Chưa test",IFERROR(INDEX(LEVEL_HELPER!A:A,MATCH(INDEX(sheet2!N:N,MATCH(A40,sheet2!A:A,0)),LEVEL_HELPER!B:B,0)),"⏳ Chưa test"))</f>
        <v>Pre-Intermediate</v>
      </c>
      <c r="I40" s="47" t="str">
        <f t="array" aca="1" ref="I40" ca="1">IF(ISNA(MATCH(A40,sheet2!A:A,0)),H40,IF(INDEX(sheet2!O:O,MATCH(A40,sheet2!A:A,0))&gt;0,IFERROR(INDEX(LEVEL_HELPER!A:A,MATCH(INDEX(sheet2!O:O,MATCH(A40,sheet2!A:A,0)),LEVEL_HELPER!B:B,0)),H40),H40))</f>
        <v>Pre-Intermediate</v>
      </c>
      <c r="J40" s="47" t="str">
        <f ca="1">IFERROR(_xludf.MAXIFS(ATTENDANCE_LOG!F:F, ATTENDANCE_LOG!C:C, A40&amp;"", ATTENDANCE_LOG!G:G, "Present"), "")</f>
        <v/>
      </c>
      <c r="K40" s="48" t="str">
        <f t="shared" ca="1" si="0"/>
        <v/>
      </c>
      <c r="L40" s="49" t="str">
        <f t="shared" ca="1" si="1"/>
        <v/>
      </c>
      <c r="M40" s="36" t="s">
        <v>36</v>
      </c>
      <c r="N40" s="50" t="s">
        <v>33</v>
      </c>
      <c r="O40" s="36"/>
      <c r="P40" s="36"/>
      <c r="Q40" s="36"/>
      <c r="R40" s="61"/>
      <c r="S40" s="61"/>
      <c r="T40" s="61"/>
      <c r="U40" s="61"/>
      <c r="V40" s="36"/>
      <c r="W40" s="59"/>
      <c r="X40" s="59"/>
      <c r="Y40" s="59"/>
    </row>
    <row r="41" spans="1:25" ht="15.75" customHeight="1">
      <c r="A41" s="42" t="s">
        <v>218</v>
      </c>
      <c r="B41" s="43" t="s">
        <v>219</v>
      </c>
      <c r="C41" s="44" t="str">
        <f ca="1">IFERROR(__xludf.DUMMYFUNCTION("arrayformula(VLOOKUP(to_Text(A41),to_Text(sheet2!$A$1:M1002),13,0))"),"ONC")</f>
        <v>ONC</v>
      </c>
      <c r="D41" s="45" t="str">
        <f ca="1">IFERROR(__xludf.DUMMYFUNCTION("arrayformula(VLOOKUP(to_Text(A41),to_Text(sheet2!$A$1:M1002),12,0))"),"DEV")</f>
        <v>DEV</v>
      </c>
      <c r="E41" s="43" t="s">
        <v>16</v>
      </c>
      <c r="F41" s="42" t="str">
        <f t="array" aca="1" ref="F41" ca="1">IFERROR(
  INDEX(ATTENDANCE_INPUT!D:D,
    MATCH(1,
      (ATTENDANCE_INPUT!A:A=A41) *
      (ATTENDANCE_INPUT!V:V=_xludf.MAXIFS(ATTENDANCE_INPUT!V:V, ATTENDANCE_INPUT!A:A, A41)),
      0)),
  "")</f>
        <v/>
      </c>
      <c r="G41" s="46" t="str">
        <f t="array" aca="1" ref="G41" ca="1">IFERROR(
  INDEX(ATTENDANCE_INPUT!E:E,
    MATCH(1,
      (ATTENDANCE_INPUT!A:A=A41) *
      (ATTENDANCE_INPUT!V:V=_xludf.MAXIFS(ATTENDANCE_INPUT!V:V, ATTENDANCE_INPUT!A:A, A41)),
      0)),
  "")</f>
        <v/>
      </c>
      <c r="H41" s="47" t="str">
        <f t="array" aca="1" ref="H41" ca="1">IF(ISNA(MATCH(A41,sheet2!A:A,0)),"⏳ Chưa test",IFERROR(INDEX(LEVEL_HELPER!A:A,MATCH(INDEX(sheet2!N:N,MATCH(A41,sheet2!A:A,0)),LEVEL_HELPER!B:B,0)),"⏳ Chưa test"))</f>
        <v>Beginner</v>
      </c>
      <c r="I41" s="47" t="str">
        <f t="array" aca="1" ref="I41" ca="1">IF(ISNA(MATCH(A41,sheet2!A:A,0)),H41,IF(INDEX(sheet2!O:O,MATCH(A41,sheet2!A:A,0))&gt;0,IFERROR(INDEX(LEVEL_HELPER!A:A,MATCH(INDEX(sheet2!O:O,MATCH(A41,sheet2!A:A,0)),LEVEL_HELPER!B:B,0)),H41),H41))</f>
        <v>Beginner</v>
      </c>
      <c r="J41" s="47" t="str">
        <f ca="1">IFERROR(_xludf.MAXIFS(ATTENDANCE_LOG!F:F, ATTENDANCE_LOG!C:C, A41&amp;"", ATTENDANCE_LOG!G:G, "Present"), "")</f>
        <v/>
      </c>
      <c r="K41" s="48" t="str">
        <f t="shared" ca="1" si="0"/>
        <v/>
      </c>
      <c r="L41" s="49" t="str">
        <f t="shared" ca="1" si="1"/>
        <v/>
      </c>
      <c r="M41" s="36" t="s">
        <v>34</v>
      </c>
      <c r="N41" s="50" t="s">
        <v>33</v>
      </c>
      <c r="O41" s="36"/>
      <c r="P41" s="36"/>
      <c r="Q41" s="36"/>
      <c r="R41" s="36"/>
      <c r="S41" s="36"/>
      <c r="T41" s="36"/>
      <c r="U41" s="36"/>
      <c r="V41" s="36"/>
      <c r="W41" s="59"/>
      <c r="X41" s="59"/>
      <c r="Y41" s="59"/>
    </row>
    <row r="42" spans="1:25" ht="15.75" customHeight="1">
      <c r="A42" s="42" t="s">
        <v>220</v>
      </c>
      <c r="B42" s="43" t="s">
        <v>221</v>
      </c>
      <c r="C42" s="44" t="str">
        <f ca="1">IFERROR(__xludf.DUMMYFUNCTION("arrayformula(VLOOKUP(to_Text(A42),to_Text(sheet2!$A$1:M1002),13,0))"),"ONC")</f>
        <v>ONC</v>
      </c>
      <c r="D42" s="45" t="str">
        <f ca="1">IFERROR(__xludf.DUMMYFUNCTION("arrayformula(VLOOKUP(to_Text(A42),to_Text(sheet2!$A$1:M1002),12,0))"),"DEV")</f>
        <v>DEV</v>
      </c>
      <c r="E42" s="43" t="s">
        <v>15</v>
      </c>
      <c r="F42" s="42" t="str">
        <f t="array" aca="1" ref="F42" ca="1">IFERROR(
  INDEX(ATTENDANCE_INPUT!D:D,
    MATCH(1,
      (ATTENDANCE_INPUT!A:A=A42) *
      (ATTENDANCE_INPUT!V:V=_xludf.MAXIFS(ATTENDANCE_INPUT!V:V, ATTENDANCE_INPUT!A:A, A42)),
      0)),
  "")</f>
        <v/>
      </c>
      <c r="G42" s="46" t="str">
        <f t="array" aca="1" ref="G42" ca="1">IFERROR(
  INDEX(ATTENDANCE_INPUT!E:E,
    MATCH(1,
      (ATTENDANCE_INPUT!A:A=A42) *
      (ATTENDANCE_INPUT!V:V=_xludf.MAXIFS(ATTENDANCE_INPUT!V:V, ATTENDANCE_INPUT!A:A, A42)),
      0)),
  "")</f>
        <v/>
      </c>
      <c r="H42" s="47" t="str">
        <f t="array" aca="1" ref="H42" ca="1">IF(ISNA(MATCH(A42,sheet2!A:A,0)),"⏳ Chưa test",IFERROR(INDEX(LEVEL_HELPER!A:A,MATCH(INDEX(sheet2!N:N,MATCH(A42,sheet2!A:A,0)),LEVEL_HELPER!B:B,0)),"⏳ Chưa test"))</f>
        <v>Beginner</v>
      </c>
      <c r="I42" s="47" t="str">
        <f t="array" aca="1" ref="I42" ca="1">IF(ISNA(MATCH(A42,sheet2!A:A,0)),H42,IF(INDEX(sheet2!O:O,MATCH(A42,sheet2!A:A,0))&gt;0,IFERROR(INDEX(LEVEL_HELPER!A:A,MATCH(INDEX(sheet2!O:O,MATCH(A42,sheet2!A:A,0)),LEVEL_HELPER!B:B,0)),H42),H42))</f>
        <v>Beginner</v>
      </c>
      <c r="J42" s="47" t="str">
        <f ca="1">IFERROR(_xludf.MAXIFS(ATTENDANCE_LOG!F:F, ATTENDANCE_LOG!C:C, A42&amp;"", ATTENDANCE_LOG!G:G, "Present"), "")</f>
        <v/>
      </c>
      <c r="K42" s="48" t="str">
        <f t="shared" ca="1" si="0"/>
        <v/>
      </c>
      <c r="L42" s="49" t="str">
        <f t="shared" ca="1" si="1"/>
        <v/>
      </c>
      <c r="M42" s="36"/>
      <c r="N42" s="50"/>
      <c r="O42" s="36"/>
      <c r="P42" s="36"/>
      <c r="Q42" s="36"/>
      <c r="R42" s="36"/>
      <c r="S42" s="36"/>
      <c r="T42" s="36"/>
      <c r="U42" s="36"/>
      <c r="V42" s="36"/>
      <c r="W42" s="59"/>
      <c r="X42" s="59"/>
      <c r="Y42" s="59"/>
    </row>
    <row r="43" spans="1:25" ht="15.75" customHeight="1">
      <c r="A43" s="42" t="s">
        <v>222</v>
      </c>
      <c r="B43" s="43" t="s">
        <v>223</v>
      </c>
      <c r="C43" s="44" t="str">
        <f ca="1">IFERROR(__xludf.DUMMYFUNCTION("arrayformula(VLOOKUP(to_Text(A43),to_Text(sheet2!$A$1:M1002),13,0))"),"BSG")</f>
        <v>BSG</v>
      </c>
      <c r="D43" s="45" t="str">
        <f ca="1">IFERROR(__xludf.DUMMYFUNCTION("arrayformula(VLOOKUP(to_Text(A43),to_Text(sheet2!$A$1:M1002),12,0))"),"HR")</f>
        <v>HR</v>
      </c>
      <c r="E43" s="43" t="s">
        <v>16</v>
      </c>
      <c r="F43" s="42" t="str">
        <f t="array" aca="1" ref="F43" ca="1">IFERROR(
  INDEX(ATTENDANCE_INPUT!D:D,
    MATCH(1,
      (ATTENDANCE_INPUT!A:A=A43) *
      (ATTENDANCE_INPUT!V:V=_xludf.MAXIFS(ATTENDANCE_INPUT!V:V, ATTENDANCE_INPUT!A:A, A43)),
      0)),
  "")</f>
        <v/>
      </c>
      <c r="G43" s="46" t="str">
        <f t="array" aca="1" ref="G43" ca="1">IFERROR(
  INDEX(ATTENDANCE_INPUT!E:E,
    MATCH(1,
      (ATTENDANCE_INPUT!A:A=A43) *
      (ATTENDANCE_INPUT!V:V=_xludf.MAXIFS(ATTENDANCE_INPUT!V:V, ATTENDANCE_INPUT!A:A, A43)),
      0)),
  "")</f>
        <v/>
      </c>
      <c r="H43" s="47" t="str">
        <f t="array" aca="1" ref="H43" ca="1">IF(ISNA(MATCH(A43,sheet2!A:A,0)),"⏳ Chưa test",IFERROR(INDEX(LEVEL_HELPER!A:A,MATCH(INDEX(sheet2!N:N,MATCH(A43,sheet2!A:A,0)),LEVEL_HELPER!B:B,0)),"⏳ Chưa test"))</f>
        <v>Beginner</v>
      </c>
      <c r="I43" s="47" t="str">
        <f t="array" aca="1" ref="I43" ca="1">IF(ISNA(MATCH(A43,sheet2!A:A,0)),H43,IF(INDEX(sheet2!O:O,MATCH(A43,sheet2!A:A,0))&gt;0,IFERROR(INDEX(LEVEL_HELPER!A:A,MATCH(INDEX(sheet2!O:O,MATCH(A43,sheet2!A:A,0)),LEVEL_HELPER!B:B,0)),H43),H43))</f>
        <v>Beginner</v>
      </c>
      <c r="J43" s="47" t="str">
        <f ca="1">IFERROR(_xludf.MAXIFS(ATTENDANCE_LOG!F:F, ATTENDANCE_LOG!C:C, A43&amp;"", ATTENDANCE_LOG!G:G, "Present"), "")</f>
        <v/>
      </c>
      <c r="K43" s="48" t="str">
        <f t="shared" ca="1" si="0"/>
        <v/>
      </c>
      <c r="L43" s="49" t="str">
        <f t="shared" ca="1" si="1"/>
        <v/>
      </c>
      <c r="M43" s="36" t="s">
        <v>34</v>
      </c>
      <c r="N43" s="50" t="s">
        <v>35</v>
      </c>
      <c r="O43" s="36"/>
      <c r="P43" s="36"/>
      <c r="Q43" s="36"/>
      <c r="R43" s="36"/>
      <c r="S43" s="36"/>
      <c r="T43" s="36"/>
      <c r="U43" s="36"/>
      <c r="V43" s="36"/>
      <c r="W43" s="59"/>
      <c r="X43" s="59"/>
      <c r="Y43" s="59"/>
    </row>
    <row r="44" spans="1:25" ht="15.75" customHeight="1">
      <c r="A44" s="42" t="s">
        <v>224</v>
      </c>
      <c r="B44" s="43" t="s">
        <v>225</v>
      </c>
      <c r="C44" s="44" t="str">
        <f ca="1">IFERROR(__xludf.DUMMYFUNCTION("arrayformula(VLOOKUP(to_Text(A44),to_Text(sheet2!$A$1:M1002),13,0))"),"LBU")</f>
        <v>LBU</v>
      </c>
      <c r="D44" s="45" t="str">
        <f ca="1">IFERROR(__xludf.DUMMYFUNCTION("arrayformula(VLOOKUP(to_Text(A44),to_Text(sheet2!$A$1:M1002),12,0))"),"DEV")</f>
        <v>DEV</v>
      </c>
      <c r="E44" s="43" t="str">
        <f t="shared" ref="E44:E45" ca="1" si="4">IF(L44="⚠ Possibly Dropped","Inactive","Active")</f>
        <v>Active</v>
      </c>
      <c r="F44" s="42" t="str">
        <f t="array" aca="1" ref="F44" ca="1">IFERROR(
  INDEX(ATTENDANCE_INPUT!D:D,
    MATCH(1,
      (ATTENDANCE_INPUT!A:A=A44) *
      (ATTENDANCE_INPUT!V:V=_xludf.MAXIFS(ATTENDANCE_INPUT!V:V, ATTENDANCE_INPUT!A:A, A44)),
      0)),
  "")</f>
        <v/>
      </c>
      <c r="G44" s="46" t="str">
        <f t="array" aca="1" ref="G44" ca="1">IFERROR(
  INDEX(ATTENDANCE_INPUT!E:E,
    MATCH(1,
      (ATTENDANCE_INPUT!A:A=A44) *
      (ATTENDANCE_INPUT!V:V=_xludf.MAXIFS(ATTENDANCE_INPUT!V:V, ATTENDANCE_INPUT!A:A, A44)),
      0)),
  "")</f>
        <v/>
      </c>
      <c r="H44" s="47" t="str">
        <f t="array" aca="1" ref="H44" ca="1">IF(ISNA(MATCH(A44,sheet2!A:A,0)),"⏳ Chưa test",IFERROR(INDEX(LEVEL_HELPER!A:A,MATCH(INDEX(sheet2!N:N,MATCH(A44,sheet2!A:A,0)),LEVEL_HELPER!B:B,0)),"⏳ Chưa test"))</f>
        <v>Beginner</v>
      </c>
      <c r="I44" s="47" t="str">
        <f t="array" aca="1" ref="I44" ca="1">IF(ISNA(MATCH(A44,sheet2!A:A,0)),H44,IF(INDEX(sheet2!O:O,MATCH(A44,sheet2!A:A,0))&gt;0,IFERROR(INDEX(LEVEL_HELPER!A:A,MATCH(INDEX(sheet2!O:O,MATCH(A44,sheet2!A:A,0)),LEVEL_HELPER!B:B,0)),H44),H44))</f>
        <v>Beginner</v>
      </c>
      <c r="J44" s="47" t="str">
        <f ca="1">IFERROR(_xludf.MAXIFS(ATTENDANCE_LOG!F:F, ATTENDANCE_LOG!C:C, A44&amp;"", ATTENDANCE_LOG!G:G, "Present"), "")</f>
        <v/>
      </c>
      <c r="K44" s="48" t="str">
        <f t="shared" ca="1" si="0"/>
        <v/>
      </c>
      <c r="L44" s="49" t="str">
        <f t="shared" ca="1" si="1"/>
        <v/>
      </c>
      <c r="M44" s="36"/>
      <c r="N44" s="50"/>
      <c r="O44" s="36"/>
      <c r="P44" s="36"/>
      <c r="Q44" s="36"/>
      <c r="R44" s="36">
        <v>213886</v>
      </c>
      <c r="S44" s="36" t="s">
        <v>178</v>
      </c>
      <c r="T44" s="36" t="s">
        <v>179</v>
      </c>
      <c r="U44" s="36" t="str">
        <f ca="1">IFERROR(__xludf.DUMMYFUNCTION("arrayformula(vlookup(to_text(R44),to_text($A$4:$B992),2,0))"),"#N/A")</f>
        <v>#N/A</v>
      </c>
      <c r="V44" s="36"/>
      <c r="W44" s="59"/>
      <c r="X44" s="59"/>
      <c r="Y44" s="59"/>
    </row>
    <row r="45" spans="1:25" ht="15.75" customHeight="1">
      <c r="A45" s="42" t="s">
        <v>226</v>
      </c>
      <c r="B45" s="43" t="s">
        <v>227</v>
      </c>
      <c r="C45" s="44" t="str">
        <f ca="1">IFERROR(__xludf.DUMMYFUNCTION("arrayformula(VLOOKUP(to_Text(A45),to_Text(sheet2!$A$1:M1002),13,0))"),"ONC")</f>
        <v>ONC</v>
      </c>
      <c r="D45" s="45" t="str">
        <f ca="1">IFERROR(__xludf.DUMMYFUNCTION("arrayformula(VLOOKUP(to_Text(A45),to_Text(sheet2!$A$1:M1002),12,0))"),"DEV")</f>
        <v>DEV</v>
      </c>
      <c r="E45" s="43" t="str">
        <f t="shared" ca="1" si="4"/>
        <v>Active</v>
      </c>
      <c r="F45" s="42" t="str">
        <f t="array" aca="1" ref="F45" ca="1">IFERROR(
  INDEX(ATTENDANCE_INPUT!D:D,
    MATCH(1,
      (ATTENDANCE_INPUT!A:A=A45) *
      (ATTENDANCE_INPUT!V:V=_xludf.MAXIFS(ATTENDANCE_INPUT!V:V, ATTENDANCE_INPUT!A:A, A45)),
      0)),
  "")</f>
        <v/>
      </c>
      <c r="G45" s="46" t="str">
        <f t="array" aca="1" ref="G45" ca="1">IFERROR(
  INDEX(ATTENDANCE_INPUT!E:E,
    MATCH(1,
      (ATTENDANCE_INPUT!A:A=A45) *
      (ATTENDANCE_INPUT!V:V=_xludf.MAXIFS(ATTENDANCE_INPUT!V:V, ATTENDANCE_INPUT!A:A, A45)),
      0)),
  "")</f>
        <v/>
      </c>
      <c r="H45" s="47" t="str">
        <f t="array" aca="1" ref="H45" ca="1">IF(ISNA(MATCH(A45,sheet2!A:A,0)),"⏳ Chưa test",IFERROR(INDEX(LEVEL_HELPER!A:A,MATCH(INDEX(sheet2!N:N,MATCH(A45,sheet2!A:A,0)),LEVEL_HELPER!B:B,0)),"⏳ Chưa test"))</f>
        <v>Beginner</v>
      </c>
      <c r="I45" s="47" t="str">
        <f t="array" aca="1" ref="I45" ca="1">IF(ISNA(MATCH(A45,sheet2!A:A,0)),H45,IF(INDEX(sheet2!O:O,MATCH(A45,sheet2!A:A,0))&gt;0,IFERROR(INDEX(LEVEL_HELPER!A:A,MATCH(INDEX(sheet2!O:O,MATCH(A45,sheet2!A:A,0)),LEVEL_HELPER!B:B,0)),H45),H45))</f>
        <v>Beginner</v>
      </c>
      <c r="J45" s="47" t="str">
        <f ca="1">IFERROR(_xludf.MAXIFS(ATTENDANCE_LOG!F:F, ATTENDANCE_LOG!C:C, A45&amp;"", ATTENDANCE_LOG!G:G, "Present"), "")</f>
        <v/>
      </c>
      <c r="K45" s="48" t="str">
        <f t="shared" ca="1" si="0"/>
        <v/>
      </c>
      <c r="L45" s="49" t="str">
        <f t="shared" ca="1" si="1"/>
        <v/>
      </c>
      <c r="M45" s="36" t="s">
        <v>34</v>
      </c>
      <c r="N45" s="50" t="s">
        <v>37</v>
      </c>
      <c r="O45" s="62"/>
      <c r="P45" s="36"/>
      <c r="Q45" s="36"/>
      <c r="R45" s="36">
        <v>247392</v>
      </c>
      <c r="S45" s="36" t="s">
        <v>146</v>
      </c>
      <c r="T45" s="36" t="s">
        <v>33</v>
      </c>
      <c r="U45" s="36" t="e">
        <v>#N/A</v>
      </c>
      <c r="V45" s="36"/>
      <c r="W45" s="59"/>
      <c r="X45" s="59"/>
      <c r="Y45" s="59"/>
    </row>
    <row r="46" spans="1:25" ht="15.75" customHeight="1">
      <c r="A46" s="42" t="s">
        <v>228</v>
      </c>
      <c r="B46" s="43" t="s">
        <v>229</v>
      </c>
      <c r="C46" s="44" t="str">
        <f ca="1">IFERROR(__xludf.DUMMYFUNCTION("arrayformula(VLOOKUP(to_Text(A46),to_Text(sheet2!$A$1:M1002),13,0))"),"LBU")</f>
        <v>LBU</v>
      </c>
      <c r="D46" s="45" t="str">
        <f ca="1">IFERROR(__xludf.DUMMYFUNCTION("arrayformula(VLOOKUP(to_Text(A46),to_Text(sheet2!$A$1:M1002),12,0))"),"DEV")</f>
        <v>DEV</v>
      </c>
      <c r="E46" s="43" t="s">
        <v>16</v>
      </c>
      <c r="F46" s="42" t="str">
        <f t="array" aca="1" ref="F46" ca="1">IFERROR(
  INDEX(ATTENDANCE_INPUT!D:D,
    MATCH(1,
      (ATTENDANCE_INPUT!A:A=A46) *
      (ATTENDANCE_INPUT!V:V=_xludf.MAXIFS(ATTENDANCE_INPUT!V:V, ATTENDANCE_INPUT!A:A, A46)),
      0)),
  "")</f>
        <v/>
      </c>
      <c r="G46" s="46" t="str">
        <f t="array" aca="1" ref="G46" ca="1">IFERROR(
  INDEX(ATTENDANCE_INPUT!E:E,
    MATCH(1,
      (ATTENDANCE_INPUT!A:A=A46) *
      (ATTENDANCE_INPUT!V:V=_xludf.MAXIFS(ATTENDANCE_INPUT!V:V, ATTENDANCE_INPUT!A:A, A46)),
      0)),
  "")</f>
        <v/>
      </c>
      <c r="H46" s="47" t="str">
        <f t="array" aca="1" ref="H46" ca="1">IF(ISNA(MATCH(A46,sheet2!A:A,0)),"⏳ Chưa test",IFERROR(INDEX(LEVEL_HELPER!A:A,MATCH(INDEX(sheet2!N:N,MATCH(A46,sheet2!A:A,0)),LEVEL_HELPER!B:B,0)),"⏳ Chưa test"))</f>
        <v>Beginner</v>
      </c>
      <c r="I46" s="47" t="str">
        <f t="array" aca="1" ref="I46" ca="1">IF(ISNA(MATCH(A46,sheet2!A:A,0)),H46,IF(INDEX(sheet2!O:O,MATCH(A46,sheet2!A:A,0))&gt;0,IFERROR(INDEX(LEVEL_HELPER!A:A,MATCH(INDEX(sheet2!O:O,MATCH(A46,sheet2!A:A,0)),LEVEL_HELPER!B:B,0)),H46),H46))</f>
        <v>Beginner</v>
      </c>
      <c r="J46" s="47" t="str">
        <f ca="1">IFERROR(_xludf.MAXIFS(ATTENDANCE_LOG!F:F, ATTENDANCE_LOG!C:C, A46&amp;"", ATTENDANCE_LOG!G:G, "Present"), "")</f>
        <v/>
      </c>
      <c r="K46" s="48" t="str">
        <f t="shared" ca="1" si="0"/>
        <v/>
      </c>
      <c r="L46" s="49" t="str">
        <f t="shared" ca="1" si="1"/>
        <v/>
      </c>
      <c r="M46" s="36" t="s">
        <v>36</v>
      </c>
      <c r="N46" s="50" t="s">
        <v>33</v>
      </c>
      <c r="O46" s="36"/>
      <c r="P46" s="36"/>
      <c r="Q46" s="36"/>
      <c r="R46" s="36"/>
      <c r="S46" s="36"/>
      <c r="T46" s="36"/>
      <c r="U46" s="36"/>
      <c r="V46" s="36"/>
      <c r="W46" s="59"/>
      <c r="X46" s="59"/>
      <c r="Y46" s="59"/>
    </row>
    <row r="47" spans="1:25" ht="15.75" customHeight="1">
      <c r="A47" s="42" t="s">
        <v>230</v>
      </c>
      <c r="B47" s="43" t="s">
        <v>231</v>
      </c>
      <c r="C47" s="44" t="str">
        <f ca="1">IFERROR(__xludf.DUMMYFUNCTION("arrayformula(VLOOKUP(to_Text(A47),to_Text(sheet2!$A$1:M1002),13,0))"),"CHORUS")</f>
        <v>CHORUS</v>
      </c>
      <c r="D47" s="45" t="str">
        <f ca="1">IFERROR(__xludf.DUMMYFUNCTION("arrayformula(VLOOKUP(to_Text(A47),to_Text(sheet2!$A$1:M1002),12,0))"),"DEV")</f>
        <v>DEV</v>
      </c>
      <c r="E47" s="43" t="s">
        <v>16</v>
      </c>
      <c r="F47" s="42" t="str">
        <f t="array" aca="1" ref="F47" ca="1">IFERROR(
  INDEX(ATTENDANCE_INPUT!D:D,
    MATCH(1,
      (ATTENDANCE_INPUT!A:A=A47) *
      (ATTENDANCE_INPUT!V:V=_xludf.MAXIFS(ATTENDANCE_INPUT!V:V, ATTENDANCE_INPUT!A:A, A47)),
      0)),
  "")</f>
        <v/>
      </c>
      <c r="G47" s="46" t="str">
        <f t="array" aca="1" ref="G47" ca="1">IFERROR(
  INDEX(ATTENDANCE_INPUT!E:E,
    MATCH(1,
      (ATTENDANCE_INPUT!A:A=A47) *
      (ATTENDANCE_INPUT!V:V=_xludf.MAXIFS(ATTENDANCE_INPUT!V:V, ATTENDANCE_INPUT!A:A, A47)),
      0)),
  "")</f>
        <v/>
      </c>
      <c r="H47" s="47" t="str">
        <f t="array" aca="1" ref="H47" ca="1">IF(ISNA(MATCH(A47,sheet2!A:A,0)),"⏳ Chưa test",IFERROR(INDEX(LEVEL_HELPER!A:A,MATCH(INDEX(sheet2!N:N,MATCH(A47,sheet2!A:A,0)),LEVEL_HELPER!B:B,0)),"⏳ Chưa test"))</f>
        <v>Beginner</v>
      </c>
      <c r="I47" s="47" t="str">
        <f t="array" aca="1" ref="I47" ca="1">IF(ISNA(MATCH(A47,sheet2!A:A,0)),H47,IF(INDEX(sheet2!O:O,MATCH(A47,sheet2!A:A,0))&gt;0,IFERROR(INDEX(LEVEL_HELPER!A:A,MATCH(INDEX(sheet2!O:O,MATCH(A47,sheet2!A:A,0)),LEVEL_HELPER!B:B,0)),H47),H47))</f>
        <v>Beginner</v>
      </c>
      <c r="J47" s="47" t="str">
        <f ca="1">IFERROR(_xludf.MAXIFS(ATTENDANCE_LOG!F:F, ATTENDANCE_LOG!C:C, A47&amp;"", ATTENDANCE_LOG!G:G, "Present"), "")</f>
        <v/>
      </c>
      <c r="K47" s="48" t="str">
        <f t="shared" ca="1" si="0"/>
        <v/>
      </c>
      <c r="L47" s="49" t="str">
        <f t="shared" ca="1" si="1"/>
        <v/>
      </c>
      <c r="M47" s="36" t="s">
        <v>36</v>
      </c>
      <c r="N47" s="50" t="s">
        <v>33</v>
      </c>
      <c r="O47" s="36"/>
      <c r="P47" s="36"/>
      <c r="Q47" s="36"/>
      <c r="R47" s="36"/>
      <c r="S47" s="36"/>
      <c r="T47" s="36"/>
      <c r="U47" s="36"/>
      <c r="V47" s="36"/>
      <c r="W47" s="59"/>
      <c r="X47" s="59"/>
      <c r="Y47" s="59"/>
    </row>
    <row r="48" spans="1:25" ht="15.75" customHeight="1">
      <c r="A48" s="42" t="s">
        <v>232</v>
      </c>
      <c r="B48" s="43" t="s">
        <v>233</v>
      </c>
      <c r="C48" s="44" t="str">
        <f ca="1">IFERROR(__xludf.DUMMYFUNCTION("arrayformula(VLOOKUP(to_Text(A48),to_Text(sheet2!$A$1:M1002),13,0))"),"CHORUS")</f>
        <v>CHORUS</v>
      </c>
      <c r="D48" s="45" t="str">
        <f ca="1">IFERROR(__xludf.DUMMYFUNCTION("arrayformula(VLOOKUP(to_Text(A48),to_Text(sheet2!$A$1:M1002),12,0))"),"DEV")</f>
        <v>DEV</v>
      </c>
      <c r="E48" s="43" t="s">
        <v>16</v>
      </c>
      <c r="F48" s="42" t="str">
        <f t="array" aca="1" ref="F48" ca="1">IFERROR(
  INDEX(ATTENDANCE_INPUT!D:D,
    MATCH(1,
      (ATTENDANCE_INPUT!A:A=A48) *
      (ATTENDANCE_INPUT!V:V=_xludf.MAXIFS(ATTENDANCE_INPUT!V:V, ATTENDANCE_INPUT!A:A, A48)),
      0)),
  "")</f>
        <v/>
      </c>
      <c r="G48" s="46" t="str">
        <f t="array" aca="1" ref="G48" ca="1">IFERROR(
  INDEX(ATTENDANCE_INPUT!E:E,
    MATCH(1,
      (ATTENDANCE_INPUT!A:A=A48) *
      (ATTENDANCE_INPUT!V:V=_xludf.MAXIFS(ATTENDANCE_INPUT!V:V, ATTENDANCE_INPUT!A:A, A48)),
      0)),
  "")</f>
        <v/>
      </c>
      <c r="H48" s="47" t="str">
        <f t="array" aca="1" ref="H48" ca="1">IF(ISNA(MATCH(A48,sheet2!A:A,0)),"⏳ Chưa test",IFERROR(INDEX(LEVEL_HELPER!A:A,MATCH(INDEX(sheet2!N:N,MATCH(A48,sheet2!A:A,0)),LEVEL_HELPER!B:B,0)),"⏳ Chưa test"))</f>
        <v>Beginner</v>
      </c>
      <c r="I48" s="47" t="str">
        <f t="array" aca="1" ref="I48" ca="1">IF(ISNA(MATCH(A48,sheet2!A:A,0)),H48,IF(INDEX(sheet2!O:O,MATCH(A48,sheet2!A:A,0))&gt;0,IFERROR(INDEX(LEVEL_HELPER!A:A,MATCH(INDEX(sheet2!O:O,MATCH(A48,sheet2!A:A,0)),LEVEL_HELPER!B:B,0)),H48),H48))</f>
        <v>Beginner</v>
      </c>
      <c r="J48" s="47" t="str">
        <f ca="1">IFERROR(_xludf.MAXIFS(ATTENDANCE_LOG!F:F, ATTENDANCE_LOG!C:C, A48&amp;"", ATTENDANCE_LOG!G:G, "Present"), "")</f>
        <v/>
      </c>
      <c r="K48" s="48" t="str">
        <f t="shared" ca="1" si="0"/>
        <v/>
      </c>
      <c r="L48" s="49" t="str">
        <f t="shared" ca="1" si="1"/>
        <v/>
      </c>
      <c r="M48" s="36" t="s">
        <v>36</v>
      </c>
      <c r="N48" s="50" t="s">
        <v>33</v>
      </c>
      <c r="O48" s="36"/>
      <c r="P48" s="36"/>
      <c r="Q48" s="36"/>
      <c r="R48" s="61"/>
      <c r="S48" s="61"/>
      <c r="T48" s="61"/>
      <c r="U48" s="61"/>
      <c r="V48" s="36"/>
      <c r="W48" s="59"/>
      <c r="X48" s="59"/>
      <c r="Y48" s="59"/>
    </row>
    <row r="49" spans="1:25" ht="15.75" customHeight="1">
      <c r="A49" s="42" t="s">
        <v>234</v>
      </c>
      <c r="B49" s="43" t="s">
        <v>235</v>
      </c>
      <c r="C49" s="44" t="str">
        <f ca="1">IFERROR(__xludf.DUMMYFUNCTION("arrayformula(VLOOKUP(to_Text(A49),to_Text(sheet2!$A$1:M1002),13,0))"),"ONC")</f>
        <v>ONC</v>
      </c>
      <c r="D49" s="45" t="str">
        <f ca="1">IFERROR(__xludf.DUMMYFUNCTION("arrayformula(VLOOKUP(to_Text(A49),to_Text(sheet2!$A$1:M1002),12,0))"),"DEV")</f>
        <v>DEV</v>
      </c>
      <c r="E49" s="43" t="s">
        <v>15</v>
      </c>
      <c r="F49" s="42" t="str">
        <f t="array" aca="1" ref="F49" ca="1">IFERROR(
  INDEX(ATTENDANCE_INPUT!D:D,
    MATCH(1,
      (ATTENDANCE_INPUT!A:A=A49) *
      (ATTENDANCE_INPUT!V:V=_xludf.MAXIFS(ATTENDANCE_INPUT!V:V, ATTENDANCE_INPUT!A:A, A49)),
      0)),
  "")</f>
        <v/>
      </c>
      <c r="G49" s="46" t="str">
        <f t="array" aca="1" ref="G49" ca="1">IFERROR(
  INDEX(ATTENDANCE_INPUT!E:E,
    MATCH(1,
      (ATTENDANCE_INPUT!A:A=A49) *
      (ATTENDANCE_INPUT!V:V=_xludf.MAXIFS(ATTENDANCE_INPUT!V:V, ATTENDANCE_INPUT!A:A, A49)),
      0)),
  "")</f>
        <v/>
      </c>
      <c r="H49" s="47" t="str">
        <f t="array" aca="1" ref="H49" ca="1">IF(ISNA(MATCH(A49,sheet2!A:A,0)),"⏳ Chưa test",IFERROR(INDEX(LEVEL_HELPER!A:A,MATCH(INDEX(sheet2!N:N,MATCH(A49,sheet2!A:A,0)),LEVEL_HELPER!B:B,0)),"⏳ Chưa test"))</f>
        <v>Pre-Intermediate</v>
      </c>
      <c r="I49" s="47" t="str">
        <f t="array" aca="1" ref="I49" ca="1">IF(ISNA(MATCH(A49,sheet2!A:A,0)),H49,IF(INDEX(sheet2!O:O,MATCH(A49,sheet2!A:A,0))&gt;0,IFERROR(INDEX(LEVEL_HELPER!A:A,MATCH(INDEX(sheet2!O:O,MATCH(A49,sheet2!A:A,0)),LEVEL_HELPER!B:B,0)),H49),H49))</f>
        <v>Pre-Intermediate</v>
      </c>
      <c r="J49" s="47" t="str">
        <f ca="1">IFERROR(_xludf.MAXIFS(ATTENDANCE_LOG!F:F, ATTENDANCE_LOG!C:C, A49&amp;"", ATTENDANCE_LOG!G:G, "Present"), "")</f>
        <v/>
      </c>
      <c r="K49" s="48" t="str">
        <f t="shared" ca="1" si="0"/>
        <v/>
      </c>
      <c r="L49" s="49" t="str">
        <f t="shared" ca="1" si="1"/>
        <v/>
      </c>
      <c r="M49" s="36"/>
      <c r="N49" s="50"/>
      <c r="O49" s="36" t="s">
        <v>236</v>
      </c>
      <c r="P49" s="36"/>
      <c r="Q49" s="36"/>
      <c r="R49" s="36"/>
      <c r="S49" s="36"/>
      <c r="T49" s="36"/>
      <c r="U49" s="36"/>
      <c r="V49" s="36"/>
      <c r="W49" s="59"/>
      <c r="X49" s="59"/>
      <c r="Y49" s="59"/>
    </row>
    <row r="50" spans="1:25" ht="15.75" customHeight="1">
      <c r="A50" s="42" t="s">
        <v>237</v>
      </c>
      <c r="B50" s="43" t="s">
        <v>238</v>
      </c>
      <c r="C50" s="44" t="str">
        <f ca="1">IFERROR(__xludf.DUMMYFUNCTION("arrayformula(VLOOKUP(to_Text(A50),to_Text(sheet2!$A$1:M1002),13,0))"),"CHORUS")</f>
        <v>CHORUS</v>
      </c>
      <c r="D50" s="45" t="str">
        <f ca="1">IFERROR(__xludf.DUMMYFUNCTION("arrayformula(VLOOKUP(to_Text(A50),to_Text(sheet2!$A$1:M1002),12,0))"),"QC")</f>
        <v>QC</v>
      </c>
      <c r="E50" s="43" t="str">
        <f ca="1">IF(L50="⚠ Possibly Dropped","Inactive","Active")</f>
        <v>Active</v>
      </c>
      <c r="F50" s="42" t="str">
        <f t="array" aca="1" ref="F50" ca="1">IFERROR(
  INDEX(ATTENDANCE_INPUT!D:D,
    MATCH(1,
      (ATTENDANCE_INPUT!A:A=A50) *
      (ATTENDANCE_INPUT!V:V=_xludf.MAXIFS(ATTENDANCE_INPUT!V:V, ATTENDANCE_INPUT!A:A, A50)),
      0)),
  "")</f>
        <v/>
      </c>
      <c r="G50" s="46" t="str">
        <f t="array" aca="1" ref="G50" ca="1">IFERROR(
  INDEX(ATTENDANCE_INPUT!E:E,
    MATCH(1,
      (ATTENDANCE_INPUT!A:A=A50) *
      (ATTENDANCE_INPUT!V:V=_xludf.MAXIFS(ATTENDANCE_INPUT!V:V, ATTENDANCE_INPUT!A:A, A50)),
      0)),
  "")</f>
        <v/>
      </c>
      <c r="H50" s="47" t="str">
        <f t="array" aca="1" ref="H50" ca="1">IF(ISNA(MATCH(A50,sheet2!A:A,0)),"⏳ Chưa test",IFERROR(INDEX(LEVEL_HELPER!A:A,MATCH(INDEX(sheet2!N:N,MATCH(A50,sheet2!A:A,0)),LEVEL_HELPER!B:B,0)),"⏳ Chưa test"))</f>
        <v>Pre-Intermediate</v>
      </c>
      <c r="I50" s="47" t="str">
        <f t="array" aca="1" ref="I50" ca="1">IF(ISNA(MATCH(A50,sheet2!A:A,0)),H50,IF(INDEX(sheet2!O:O,MATCH(A50,sheet2!A:A,0))&gt;0,IFERROR(INDEX(LEVEL_HELPER!A:A,MATCH(INDEX(sheet2!O:O,MATCH(A50,sheet2!A:A,0)),LEVEL_HELPER!B:B,0)),H50),H50))</f>
        <v>Pre-Intermediate</v>
      </c>
      <c r="J50" s="47" t="str">
        <f ca="1">IFERROR(_xludf.MAXIFS(ATTENDANCE_LOG!F:F, ATTENDANCE_LOG!C:C, A50&amp;"", ATTENDANCE_LOG!G:G, "Present"), "")</f>
        <v/>
      </c>
      <c r="K50" s="48" t="str">
        <f t="shared" ca="1" si="0"/>
        <v/>
      </c>
      <c r="L50" s="49" t="str">
        <f t="shared" ca="1" si="1"/>
        <v/>
      </c>
      <c r="M50" s="36" t="s">
        <v>34</v>
      </c>
      <c r="N50" s="50" t="s">
        <v>33</v>
      </c>
      <c r="O50" s="36"/>
      <c r="P50" s="36"/>
      <c r="Q50" s="36"/>
      <c r="R50" s="36"/>
      <c r="S50" s="36"/>
      <c r="T50" s="36"/>
      <c r="U50" s="36"/>
      <c r="V50" s="36"/>
      <c r="W50" s="59"/>
      <c r="X50" s="59"/>
      <c r="Y50" s="59"/>
    </row>
    <row r="51" spans="1:25" ht="15.75" customHeight="1">
      <c r="A51" s="42" t="s">
        <v>239</v>
      </c>
      <c r="B51" s="43" t="s">
        <v>240</v>
      </c>
      <c r="C51" s="44" t="str">
        <f ca="1">IFERROR(__xludf.DUMMYFUNCTION("arrayformula(VLOOKUP(to_Text(A51),to_Text(sheet2!$A$1:M1002),13,0))"),"TBU")</f>
        <v>TBU</v>
      </c>
      <c r="D51" s="45" t="str">
        <f ca="1">IFERROR(__xludf.DUMMYFUNCTION("arrayformula(VLOOKUP(to_Text(A51),to_Text(sheet2!$A$1:M1002),12,0))"),"DEV")</f>
        <v>DEV</v>
      </c>
      <c r="E51" s="43" t="s">
        <v>15</v>
      </c>
      <c r="F51" s="42" t="str">
        <f t="array" aca="1" ref="F51" ca="1">IFERROR(
  INDEX(ATTENDANCE_INPUT!D:D,
    MATCH(1,
      (ATTENDANCE_INPUT!A:A=A51) *
      (ATTENDANCE_INPUT!V:V=_xludf.MAXIFS(ATTENDANCE_INPUT!V:V, ATTENDANCE_INPUT!A:A, A51)),
      0)),
  "")</f>
        <v/>
      </c>
      <c r="G51" s="46" t="str">
        <f t="array" aca="1" ref="G51" ca="1">IFERROR(
  INDEX(ATTENDANCE_INPUT!E:E,
    MATCH(1,
      (ATTENDANCE_INPUT!A:A=A51) *
      (ATTENDANCE_INPUT!V:V=_xludf.MAXIFS(ATTENDANCE_INPUT!V:V, ATTENDANCE_INPUT!A:A, A51)),
      0)),
  "")</f>
        <v/>
      </c>
      <c r="H51" s="47" t="str">
        <f t="array" aca="1" ref="H51" ca="1">IF(ISNA(MATCH(A51,sheet2!A:A,0)),"⏳ Chưa test",IFERROR(INDEX(LEVEL_HELPER!A:A,MATCH(INDEX(sheet2!N:N,MATCH(A51,sheet2!A:A,0)),LEVEL_HELPER!B:B,0)),"⏳ Chưa test"))</f>
        <v>⏳ Chưa test</v>
      </c>
      <c r="I51" s="47" t="str">
        <f t="array" aca="1" ref="I51" ca="1">IF(ISNA(MATCH(A51,sheet2!A:A,0)),H51,IF(INDEX(sheet2!O:O,MATCH(A51,sheet2!A:A,0))&gt;0,IFERROR(INDEX(LEVEL_HELPER!A:A,MATCH(INDEX(sheet2!O:O,MATCH(A51,sheet2!A:A,0)),LEVEL_HELPER!B:B,0)),H51),H51))</f>
        <v>⏳ Chưa test</v>
      </c>
      <c r="J51" s="47" t="str">
        <f ca="1">IFERROR(_xludf.MAXIFS(ATTENDANCE_LOG!F:F, ATTENDANCE_LOG!C:C, A51&amp;"", ATTENDANCE_LOG!G:G, "Present"), "")</f>
        <v/>
      </c>
      <c r="K51" s="48" t="str">
        <f t="shared" ca="1" si="0"/>
        <v/>
      </c>
      <c r="L51" s="49" t="str">
        <f t="shared" ca="1" si="1"/>
        <v/>
      </c>
      <c r="M51" s="36"/>
      <c r="N51" s="50"/>
      <c r="O51" s="36"/>
      <c r="P51" s="36"/>
      <c r="Q51" s="36"/>
      <c r="R51" s="36">
        <v>237152</v>
      </c>
      <c r="S51" s="36" t="s">
        <v>146</v>
      </c>
      <c r="T51" s="36" t="s">
        <v>33</v>
      </c>
      <c r="U51" s="36" t="str">
        <f ca="1">IFERROR(__xludf.DUMMYFUNCTION("arrayformula(vlookup(to_text(R51),to_text($A$4:$B992),2,0))"),"#N/A")</f>
        <v>#N/A</v>
      </c>
      <c r="V51" s="36"/>
      <c r="W51" s="59"/>
      <c r="X51" s="59"/>
      <c r="Y51" s="59"/>
    </row>
    <row r="52" spans="1:25" ht="15.75" customHeight="1">
      <c r="A52" s="42" t="s">
        <v>241</v>
      </c>
      <c r="B52" s="43" t="s">
        <v>242</v>
      </c>
      <c r="C52" s="44" t="str">
        <f ca="1">IFERROR(__xludf.DUMMYFUNCTION("arrayformula(VLOOKUP(to_Text(A52),to_Text(sheet2!$A$1:M1002),13,0))"),"MOC")</f>
        <v>MOC</v>
      </c>
      <c r="D52" s="45" t="str">
        <f ca="1">IFERROR(__xludf.DUMMYFUNCTION("arrayformula(VLOOKUP(to_Text(A52),to_Text(sheet2!$A$1:M1002),12,0))"),"QC")</f>
        <v>QC</v>
      </c>
      <c r="E52" s="43" t="s">
        <v>16</v>
      </c>
      <c r="F52" s="42" t="str">
        <f t="array" aca="1" ref="F52" ca="1">IFERROR(
  INDEX(ATTENDANCE_INPUT!D:D,
    MATCH(1,
      (ATTENDANCE_INPUT!A:A=A52) *
      (ATTENDANCE_INPUT!V:V=_xludf.MAXIFS(ATTENDANCE_INPUT!V:V, ATTENDANCE_INPUT!A:A, A52)),
      0)),
  "")</f>
        <v/>
      </c>
      <c r="G52" s="46" t="str">
        <f t="array" aca="1" ref="G52" ca="1">IFERROR(
  INDEX(ATTENDANCE_INPUT!E:E,
    MATCH(1,
      (ATTENDANCE_INPUT!A:A=A52) *
      (ATTENDANCE_INPUT!V:V=_xludf.MAXIFS(ATTENDANCE_INPUT!V:V, ATTENDANCE_INPUT!A:A, A52)),
      0)),
  "")</f>
        <v/>
      </c>
      <c r="H52" s="47" t="str">
        <f t="array" aca="1" ref="H52" ca="1">IF(ISNA(MATCH(A52,sheet2!A:A,0)),"⏳ Chưa test",IFERROR(INDEX(LEVEL_HELPER!A:A,MATCH(INDEX(sheet2!N:N,MATCH(A52,sheet2!A:A,0)),LEVEL_HELPER!B:B,0)),"⏳ Chưa test"))</f>
        <v>Beginner 2</v>
      </c>
      <c r="I52" s="47" t="str">
        <f t="array" aca="1" ref="I52" ca="1">IF(ISNA(MATCH(A52,sheet2!A:A,0)),H52,IF(INDEX(sheet2!O:O,MATCH(A52,sheet2!A:A,0))&gt;0,IFERROR(INDEX(LEVEL_HELPER!A:A,MATCH(INDEX(sheet2!O:O,MATCH(A52,sheet2!A:A,0)),LEVEL_HELPER!B:B,0)),H52),H52))</f>
        <v>Beginner 2</v>
      </c>
      <c r="J52" s="47" t="str">
        <f ca="1">IFERROR(_xludf.MAXIFS(ATTENDANCE_LOG!F:F, ATTENDANCE_LOG!C:C, A52&amp;"", ATTENDANCE_LOG!G:G, "Present"), "")</f>
        <v/>
      </c>
      <c r="K52" s="48" t="str">
        <f t="shared" ca="1" si="0"/>
        <v/>
      </c>
      <c r="L52" s="49" t="str">
        <f t="shared" ca="1" si="1"/>
        <v/>
      </c>
      <c r="M52" s="36" t="s">
        <v>34</v>
      </c>
      <c r="N52" s="50" t="s">
        <v>37</v>
      </c>
      <c r="O52" s="36"/>
      <c r="P52" s="36"/>
      <c r="Q52" s="36"/>
      <c r="R52" s="36"/>
      <c r="S52" s="36"/>
      <c r="T52" s="36"/>
      <c r="U52" s="36"/>
      <c r="V52" s="36"/>
      <c r="W52" s="59"/>
      <c r="X52" s="59"/>
      <c r="Y52" s="59"/>
    </row>
    <row r="53" spans="1:25" ht="15.75" customHeight="1">
      <c r="A53" s="42" t="s">
        <v>243</v>
      </c>
      <c r="B53" s="43" t="s">
        <v>244</v>
      </c>
      <c r="C53" s="44" t="str">
        <f ca="1">IFERROR(__xludf.DUMMYFUNCTION("arrayformula(VLOOKUP(to_Text(A53),to_Text(sheet2!$A$1:M1002),13,0))"),"MOC")</f>
        <v>MOC</v>
      </c>
      <c r="D53" s="45" t="str">
        <f ca="1">IFERROR(__xludf.DUMMYFUNCTION("arrayformula(VLOOKUP(to_Text(A53),to_Text(sheet2!$A$1:M1002),12,0))"),"DEV")</f>
        <v>DEV</v>
      </c>
      <c r="E53" s="43" t="s">
        <v>16</v>
      </c>
      <c r="F53" s="42" t="str">
        <f t="array" aca="1" ref="F53" ca="1">IFERROR(
  INDEX(ATTENDANCE_INPUT!D:D,
    MATCH(1,
      (ATTENDANCE_INPUT!A:A=A53) *
      (ATTENDANCE_INPUT!V:V=_xludf.MAXIFS(ATTENDANCE_INPUT!V:V, ATTENDANCE_INPUT!A:A, A53)),
      0)),
  "")</f>
        <v/>
      </c>
      <c r="G53" s="46" t="str">
        <f t="array" aca="1" ref="G53" ca="1">IFERROR(
  INDEX(ATTENDANCE_INPUT!E:E,
    MATCH(1,
      (ATTENDANCE_INPUT!A:A=A53) *
      (ATTENDANCE_INPUT!V:V=_xludf.MAXIFS(ATTENDANCE_INPUT!V:V, ATTENDANCE_INPUT!A:A, A53)),
      0)),
  "")</f>
        <v/>
      </c>
      <c r="H53" s="47" t="str">
        <f t="array" aca="1" ref="H53" ca="1">IF(ISNA(MATCH(A53,sheet2!A:A,0)),"⏳ Chưa test",IFERROR(INDEX(LEVEL_HELPER!A:A,MATCH(INDEX(sheet2!N:N,MATCH(A53,sheet2!A:A,0)),LEVEL_HELPER!B:B,0)),"⏳ Chưa test"))</f>
        <v>Beginner</v>
      </c>
      <c r="I53" s="47" t="str">
        <f t="array" aca="1" ref="I53" ca="1">IF(ISNA(MATCH(A53,sheet2!A:A,0)),H53,IF(INDEX(sheet2!O:O,MATCH(A53,sheet2!A:A,0))&gt;0,IFERROR(INDEX(LEVEL_HELPER!A:A,MATCH(INDEX(sheet2!O:O,MATCH(A53,sheet2!A:A,0)),LEVEL_HELPER!B:B,0)),H53),H53))</f>
        <v>Beginner</v>
      </c>
      <c r="J53" s="47" t="str">
        <f ca="1">IFERROR(_xludf.MAXIFS(ATTENDANCE_LOG!F:F, ATTENDANCE_LOG!C:C, A53&amp;"", ATTENDANCE_LOG!G:G, "Present"), "")</f>
        <v/>
      </c>
      <c r="K53" s="48" t="str">
        <f t="shared" ca="1" si="0"/>
        <v/>
      </c>
      <c r="L53" s="49" t="str">
        <f t="shared" ca="1" si="1"/>
        <v/>
      </c>
      <c r="M53" s="36" t="s">
        <v>34</v>
      </c>
      <c r="N53" s="50" t="s">
        <v>37</v>
      </c>
      <c r="O53" s="36"/>
      <c r="P53" s="36"/>
      <c r="Q53" s="36"/>
      <c r="R53" s="36"/>
      <c r="S53" s="36"/>
      <c r="T53" s="36"/>
      <c r="U53" s="36"/>
      <c r="V53" s="36"/>
      <c r="W53" s="59"/>
      <c r="X53" s="59"/>
      <c r="Y53" s="59"/>
    </row>
    <row r="54" spans="1:25" ht="15.75" customHeight="1">
      <c r="A54" s="42" t="s">
        <v>245</v>
      </c>
      <c r="B54" s="43" t="s">
        <v>246</v>
      </c>
      <c r="C54" s="44" t="str">
        <f ca="1">IFERROR(__xludf.DUMMYFUNCTION("arrayformula(VLOOKUP(to_Text(A54),to_Text(sheet2!$A$1:M1002),13,0))"),"ONC")</f>
        <v>ONC</v>
      </c>
      <c r="D54" s="45" t="str">
        <f ca="1">IFERROR(__xludf.DUMMYFUNCTION("arrayformula(VLOOKUP(to_Text(A54),to_Text(sheet2!$A$1:M1002),12,0))"),"DEV")</f>
        <v>DEV</v>
      </c>
      <c r="E54" s="43" t="str">
        <f t="shared" ref="E54:E59" ca="1" si="5">IF(L54="⚠ Possibly Dropped","Inactive","Active")</f>
        <v>Active</v>
      </c>
      <c r="F54" s="42" t="str">
        <f t="array" aca="1" ref="F54" ca="1">IFERROR(
  INDEX(ATTENDANCE_INPUT!D:D,
    MATCH(1,
      (ATTENDANCE_INPUT!A:A=A54) *
      (ATTENDANCE_INPUT!V:V=_xludf.MAXIFS(ATTENDANCE_INPUT!V:V, ATTENDANCE_INPUT!A:A, A54)),
      0)),
  "")</f>
        <v/>
      </c>
      <c r="G54" s="46" t="str">
        <f t="array" aca="1" ref="G54" ca="1">IFERROR(
  INDEX(ATTENDANCE_INPUT!E:E,
    MATCH(1,
      (ATTENDANCE_INPUT!A:A=A54) *
      (ATTENDANCE_INPUT!V:V=_xludf.MAXIFS(ATTENDANCE_INPUT!V:V, ATTENDANCE_INPUT!A:A, A54)),
      0)),
  "")</f>
        <v/>
      </c>
      <c r="H54" s="47" t="str">
        <f t="array" aca="1" ref="H54" ca="1">IF(ISNA(MATCH(A54,sheet2!A:A,0)),"⏳ Chưa test",IFERROR(INDEX(LEVEL_HELPER!A:A,MATCH(INDEX(sheet2!N:N,MATCH(A54,sheet2!A:A,0)),LEVEL_HELPER!B:B,0)),"⏳ Chưa test"))</f>
        <v>Beginner</v>
      </c>
      <c r="I54" s="47" t="str">
        <f t="array" aca="1" ref="I54" ca="1">IF(ISNA(MATCH(A54,sheet2!A:A,0)),H54,IF(INDEX(sheet2!O:O,MATCH(A54,sheet2!A:A,0))&gt;0,IFERROR(INDEX(LEVEL_HELPER!A:A,MATCH(INDEX(sheet2!O:O,MATCH(A54,sheet2!A:A,0)),LEVEL_HELPER!B:B,0)),H54),H54))</f>
        <v>Beginner</v>
      </c>
      <c r="J54" s="47" t="str">
        <f ca="1">IFERROR(_xludf.MAXIFS(ATTENDANCE_LOG!F:F, ATTENDANCE_LOG!C:C, A54&amp;"", ATTENDANCE_LOG!G:G, "Present"), "")</f>
        <v/>
      </c>
      <c r="K54" s="48" t="str">
        <f t="shared" ca="1" si="0"/>
        <v/>
      </c>
      <c r="L54" s="49" t="str">
        <f t="shared" ca="1" si="1"/>
        <v/>
      </c>
      <c r="M54" s="36" t="s">
        <v>34</v>
      </c>
      <c r="N54" s="50" t="s">
        <v>37</v>
      </c>
      <c r="O54" s="36"/>
      <c r="P54" s="36"/>
      <c r="Q54" s="36"/>
      <c r="R54" s="36">
        <v>247271</v>
      </c>
      <c r="S54" s="36" t="s">
        <v>146</v>
      </c>
      <c r="T54" s="36" t="s">
        <v>33</v>
      </c>
      <c r="U54" s="36" t="e">
        <v>#N/A</v>
      </c>
      <c r="V54" s="36"/>
      <c r="W54" s="59"/>
      <c r="X54" s="59"/>
      <c r="Y54" s="59"/>
    </row>
    <row r="55" spans="1:25" ht="15.75" customHeight="1">
      <c r="A55" s="42" t="s">
        <v>247</v>
      </c>
      <c r="B55" s="43" t="s">
        <v>248</v>
      </c>
      <c r="C55" s="44" t="str">
        <f ca="1">IFERROR(__xludf.DUMMYFUNCTION("arrayformula(VLOOKUP(to_Text(A55),to_Text(sheet2!$A$1:M1002),13,0))"),"LBU")</f>
        <v>LBU</v>
      </c>
      <c r="D55" s="45" t="str">
        <f ca="1">IFERROR(__xludf.DUMMYFUNCTION("arrayformula(VLOOKUP(to_Text(A55),to_Text(sheet2!$A$1:M1002),12,0))"),"GSD")</f>
        <v>GSD</v>
      </c>
      <c r="E55" s="43" t="str">
        <f t="shared" ca="1" si="5"/>
        <v>Active</v>
      </c>
      <c r="F55" s="42" t="str">
        <f t="array" aca="1" ref="F55" ca="1">IFERROR(
  INDEX(ATTENDANCE_INPUT!D:D,
    MATCH(1,
      (ATTENDANCE_INPUT!A:A=A55) *
      (ATTENDANCE_INPUT!V:V=_xludf.MAXIFS(ATTENDANCE_INPUT!V:V, ATTENDANCE_INPUT!A:A, A55)),
      0)),
  "")</f>
        <v/>
      </c>
      <c r="G55" s="46" t="str">
        <f t="array" aca="1" ref="G55" ca="1">IFERROR(
  INDEX(ATTENDANCE_INPUT!E:E,
    MATCH(1,
      (ATTENDANCE_INPUT!A:A=A55) *
      (ATTENDANCE_INPUT!V:V=_xludf.MAXIFS(ATTENDANCE_INPUT!V:V, ATTENDANCE_INPUT!A:A, A55)),
      0)),
  "")</f>
        <v/>
      </c>
      <c r="H55" s="47" t="str">
        <f t="array" aca="1" ref="H55" ca="1">IF(ISNA(MATCH(A55,sheet2!A:A,0)),"⏳ Chưa test",IFERROR(INDEX(LEVEL_HELPER!A:A,MATCH(INDEX(sheet2!N:N,MATCH(A55,sheet2!A:A,0)),LEVEL_HELPER!B:B,0)),"⏳ Chưa test"))</f>
        <v>Beginner 2</v>
      </c>
      <c r="I55" s="47" t="str">
        <f t="array" aca="1" ref="I55" ca="1">IF(ISNA(MATCH(A55,sheet2!A:A,0)),H55,IF(INDEX(sheet2!O:O,MATCH(A55,sheet2!A:A,0))&gt;0,IFERROR(INDEX(LEVEL_HELPER!A:A,MATCH(INDEX(sheet2!O:O,MATCH(A55,sheet2!A:A,0)),LEVEL_HELPER!B:B,0)),H55),H55))</f>
        <v>Beginner 2</v>
      </c>
      <c r="J55" s="47" t="str">
        <f ca="1">IFERROR(_xludf.MAXIFS(ATTENDANCE_LOG!F:F, ATTENDANCE_LOG!C:C, A55&amp;"", ATTENDANCE_LOG!G:G, "Present"), "")</f>
        <v/>
      </c>
      <c r="K55" s="48" t="str">
        <f t="shared" ca="1" si="0"/>
        <v/>
      </c>
      <c r="L55" s="49" t="str">
        <f t="shared" ca="1" si="1"/>
        <v/>
      </c>
      <c r="M55" s="36"/>
      <c r="N55" s="50"/>
      <c r="O55" s="36"/>
      <c r="P55" s="36"/>
      <c r="Q55" s="36"/>
      <c r="R55" s="61"/>
      <c r="S55" s="61"/>
      <c r="T55" s="61"/>
      <c r="U55" s="61"/>
      <c r="V55" s="36"/>
      <c r="W55" s="59"/>
      <c r="X55" s="59"/>
      <c r="Y55" s="59"/>
    </row>
    <row r="56" spans="1:25" ht="15.75" customHeight="1">
      <c r="A56" s="42" t="s">
        <v>249</v>
      </c>
      <c r="B56" s="43" t="s">
        <v>250</v>
      </c>
      <c r="C56" s="44" t="str">
        <f ca="1">IFERROR(__xludf.DUMMYFUNCTION("arrayformula(VLOOKUP(to_Text(A56),to_Text(sheet2!$A$1:M1002),13,0))"),"CHORUS")</f>
        <v>CHORUS</v>
      </c>
      <c r="D56" s="45" t="str">
        <f ca="1">IFERROR(__xludf.DUMMYFUNCTION("arrayformula(VLOOKUP(to_Text(A56),to_Text(sheet2!$A$1:M1002),12,0))"),"DEV")</f>
        <v>DEV</v>
      </c>
      <c r="E56" s="43" t="str">
        <f t="shared" ca="1" si="5"/>
        <v>Active</v>
      </c>
      <c r="F56" s="42" t="str">
        <f t="array" aca="1" ref="F56" ca="1">IFERROR(
  INDEX(ATTENDANCE_INPUT!D:D,
    MATCH(1,
      (ATTENDANCE_INPUT!A:A=A56) *
      (ATTENDANCE_INPUT!V:V=_xludf.MAXIFS(ATTENDANCE_INPUT!V:V, ATTENDANCE_INPUT!A:A, A56)),
      0)),
  "")</f>
        <v/>
      </c>
      <c r="G56" s="46" t="str">
        <f t="array" aca="1" ref="G56" ca="1">IFERROR(
  INDEX(ATTENDANCE_INPUT!E:E,
    MATCH(1,
      (ATTENDANCE_INPUT!A:A=A56) *
      (ATTENDANCE_INPUT!V:V=_xludf.MAXIFS(ATTENDANCE_INPUT!V:V, ATTENDANCE_INPUT!A:A, A56)),
      0)),
  "")</f>
        <v/>
      </c>
      <c r="H56" s="47" t="str">
        <f t="array" aca="1" ref="H56" ca="1">IF(ISNA(MATCH(A56,sheet2!A:A,0)),"⏳ Chưa test",IFERROR(INDEX(LEVEL_HELPER!A:A,MATCH(INDEX(sheet2!N:N,MATCH(A56,sheet2!A:A,0)),LEVEL_HELPER!B:B,0)),"⏳ Chưa test"))</f>
        <v>Beginner</v>
      </c>
      <c r="I56" s="47" t="str">
        <f t="array" aca="1" ref="I56" ca="1">IF(ISNA(MATCH(A56,sheet2!A:A,0)),H56,IF(INDEX(sheet2!O:O,MATCH(A56,sheet2!A:A,0))&gt;0,IFERROR(INDEX(LEVEL_HELPER!A:A,MATCH(INDEX(sheet2!O:O,MATCH(A56,sheet2!A:A,0)),LEVEL_HELPER!B:B,0)),H56),H56))</f>
        <v>Beginner</v>
      </c>
      <c r="J56" s="47" t="str">
        <f ca="1">IFERROR(_xludf.MAXIFS(ATTENDANCE_LOG!F:F, ATTENDANCE_LOG!C:C, A56&amp;"", ATTENDANCE_LOG!G:G, "Present"), "")</f>
        <v/>
      </c>
      <c r="K56" s="48" t="str">
        <f t="shared" ca="1" si="0"/>
        <v/>
      </c>
      <c r="L56" s="49" t="str">
        <f t="shared" ca="1" si="1"/>
        <v/>
      </c>
      <c r="M56" s="36" t="s">
        <v>34</v>
      </c>
      <c r="N56" s="50" t="s">
        <v>33</v>
      </c>
      <c r="O56" s="36"/>
      <c r="P56" s="36"/>
      <c r="Q56" s="36"/>
      <c r="R56" s="36"/>
      <c r="S56" s="36"/>
      <c r="T56" s="36"/>
      <c r="U56" s="36"/>
      <c r="V56" s="36"/>
      <c r="W56" s="59"/>
      <c r="X56" s="59"/>
      <c r="Y56" s="59"/>
    </row>
    <row r="57" spans="1:25" ht="15.75" customHeight="1">
      <c r="A57" s="42" t="s">
        <v>251</v>
      </c>
      <c r="B57" s="43" t="s">
        <v>252</v>
      </c>
      <c r="C57" s="44" t="str">
        <f ca="1">IFERROR(__xludf.DUMMYFUNCTION("arrayformula(VLOOKUP(to_Text(A57),to_Text(sheet2!$A$1:M1002),13,0))"),"POC")</f>
        <v>POC</v>
      </c>
      <c r="D57" s="45" t="str">
        <f ca="1">IFERROR(__xludf.DUMMYFUNCTION("arrayformula(VLOOKUP(to_Text(A57),to_Text(sheet2!$A$1:M1002),12,0))"),"GSD")</f>
        <v>GSD</v>
      </c>
      <c r="E57" s="43" t="str">
        <f t="shared" ca="1" si="5"/>
        <v>Active</v>
      </c>
      <c r="F57" s="42" t="str">
        <f t="array" aca="1" ref="F57" ca="1">IFERROR(
  INDEX(ATTENDANCE_INPUT!D:D,
    MATCH(1,
      (ATTENDANCE_INPUT!A:A=A57) *
      (ATTENDANCE_INPUT!V:V=_xludf.MAXIFS(ATTENDANCE_INPUT!V:V, ATTENDANCE_INPUT!A:A, A57)),
      0)),
  "")</f>
        <v/>
      </c>
      <c r="G57" s="46" t="str">
        <f t="array" aca="1" ref="G57" ca="1">IFERROR(
  INDEX(ATTENDANCE_INPUT!E:E,
    MATCH(1,
      (ATTENDANCE_INPUT!A:A=A57) *
      (ATTENDANCE_INPUT!V:V=_xludf.MAXIFS(ATTENDANCE_INPUT!V:V, ATTENDANCE_INPUT!A:A, A57)),
      0)),
  "")</f>
        <v/>
      </c>
      <c r="H57" s="47" t="str">
        <f t="array" aca="1" ref="H57" ca="1">IF(ISNA(MATCH(A57,sheet2!A:A,0)),"⏳ Chưa test",IFERROR(INDEX(LEVEL_HELPER!A:A,MATCH(INDEX(sheet2!N:N,MATCH(A57,sheet2!A:A,0)),LEVEL_HELPER!B:B,0)),"⏳ Chưa test"))</f>
        <v>Beginner</v>
      </c>
      <c r="I57" s="47" t="str">
        <f t="array" aca="1" ref="I57" ca="1">IF(ISNA(MATCH(A57,sheet2!A:A,0)),H57,IF(INDEX(sheet2!O:O,MATCH(A57,sheet2!A:A,0))&gt;0,IFERROR(INDEX(LEVEL_HELPER!A:A,MATCH(INDEX(sheet2!O:O,MATCH(A57,sheet2!A:A,0)),LEVEL_HELPER!B:B,0)),H57),H57))</f>
        <v>Beginner</v>
      </c>
      <c r="J57" s="47" t="str">
        <f ca="1">IFERROR(_xludf.MAXIFS(ATTENDANCE_LOG!F:F, ATTENDANCE_LOG!C:C, A57&amp;"", ATTENDANCE_LOG!G:G, "Present"), "")</f>
        <v/>
      </c>
      <c r="K57" s="48" t="str">
        <f t="shared" ca="1" si="0"/>
        <v/>
      </c>
      <c r="L57" s="49" t="str">
        <f t="shared" ca="1" si="1"/>
        <v/>
      </c>
      <c r="M57" s="36" t="s">
        <v>36</v>
      </c>
      <c r="N57" s="50" t="s">
        <v>33</v>
      </c>
      <c r="O57" s="36"/>
      <c r="P57" s="36"/>
      <c r="Q57" s="36"/>
      <c r="R57" s="36"/>
      <c r="S57" s="36"/>
      <c r="T57" s="36"/>
      <c r="U57" s="36"/>
      <c r="V57" s="36"/>
      <c r="W57" s="59"/>
      <c r="X57" s="59"/>
      <c r="Y57" s="59"/>
    </row>
    <row r="58" spans="1:25" ht="15.75" customHeight="1">
      <c r="A58" s="42" t="s">
        <v>253</v>
      </c>
      <c r="B58" s="43" t="s">
        <v>254</v>
      </c>
      <c r="C58" s="44" t="str">
        <f ca="1">IFERROR(__xludf.DUMMYFUNCTION("arrayformula(VLOOKUP(to_Text(A58),to_Text(sheet2!$A$1:M1002),13,0))"),"MOC")</f>
        <v>MOC</v>
      </c>
      <c r="D58" s="45" t="str">
        <f ca="1">IFERROR(__xludf.DUMMYFUNCTION("arrayformula(VLOOKUP(to_Text(A58),to_Text(sheet2!$A$1:M1002),12,0))"),"GSD")</f>
        <v>GSD</v>
      </c>
      <c r="E58" s="43" t="str">
        <f t="shared" ca="1" si="5"/>
        <v>Active</v>
      </c>
      <c r="F58" s="42" t="str">
        <f t="array" aca="1" ref="F58" ca="1">IFERROR(
  INDEX(ATTENDANCE_INPUT!D:D,
    MATCH(1,
      (ATTENDANCE_INPUT!A:A=A58) *
      (ATTENDANCE_INPUT!V:V=_xludf.MAXIFS(ATTENDANCE_INPUT!V:V, ATTENDANCE_INPUT!A:A, A58)),
      0)),
  "")</f>
        <v/>
      </c>
      <c r="G58" s="46" t="str">
        <f t="array" aca="1" ref="G58" ca="1">IFERROR(
  INDEX(ATTENDANCE_INPUT!E:E,
    MATCH(1,
      (ATTENDANCE_INPUT!A:A=A58) *
      (ATTENDANCE_INPUT!V:V=_xludf.MAXIFS(ATTENDANCE_INPUT!V:V, ATTENDANCE_INPUT!A:A, A58)),
      0)),
  "")</f>
        <v/>
      </c>
      <c r="H58" s="47" t="str">
        <f t="array" aca="1" ref="H58" ca="1">IF(ISNA(MATCH(A58,sheet2!A:A,0)),"⏳ Chưa test",IFERROR(INDEX(LEVEL_HELPER!A:A,MATCH(INDEX(sheet2!N:N,MATCH(A58,sheet2!A:A,0)),LEVEL_HELPER!B:B,0)),"⏳ Chưa test"))</f>
        <v>⏳ Chưa test</v>
      </c>
      <c r="I58" s="47" t="str">
        <f t="array" aca="1" ref="I58" ca="1">IF(ISNA(MATCH(A58,sheet2!A:A,0)),H58,IF(INDEX(sheet2!O:O,MATCH(A58,sheet2!A:A,0))&gt;0,IFERROR(INDEX(LEVEL_HELPER!A:A,MATCH(INDEX(sheet2!O:O,MATCH(A58,sheet2!A:A,0)),LEVEL_HELPER!B:B,0)),H58),H58))</f>
        <v>⏳ Chưa test</v>
      </c>
      <c r="J58" s="47" t="str">
        <f ca="1">IFERROR(_xludf.MAXIFS(ATTENDANCE_LOG!F:F, ATTENDANCE_LOG!C:C, A58&amp;"", ATTENDANCE_LOG!G:G, "Present"), "")</f>
        <v/>
      </c>
      <c r="K58" s="48" t="str">
        <f t="shared" ca="1" si="0"/>
        <v/>
      </c>
      <c r="L58" s="49" t="str">
        <f t="shared" ca="1" si="1"/>
        <v/>
      </c>
      <c r="M58" s="36"/>
      <c r="N58" s="50"/>
      <c r="O58" s="36"/>
      <c r="P58" s="36"/>
      <c r="Q58" s="36"/>
      <c r="R58" s="36"/>
      <c r="S58" s="36"/>
      <c r="T58" s="36"/>
      <c r="U58" s="36"/>
      <c r="V58" s="36"/>
      <c r="W58" s="59"/>
      <c r="X58" s="59"/>
      <c r="Y58" s="59"/>
    </row>
    <row r="59" spans="1:25" ht="15.75" customHeight="1">
      <c r="A59" s="42" t="s">
        <v>255</v>
      </c>
      <c r="B59" s="43" t="s">
        <v>256</v>
      </c>
      <c r="C59" s="44" t="str">
        <f ca="1">IFERROR(__xludf.DUMMYFUNCTION("arrayformula(VLOOKUP(to_Text(A59),to_Text(sheet2!$A$1:M1002),13,0))"),"LBU")</f>
        <v>LBU</v>
      </c>
      <c r="D59" s="45" t="str">
        <f ca="1">IFERROR(__xludf.DUMMYFUNCTION("arrayformula(VLOOKUP(to_Text(A59),to_Text(sheet2!$A$1:M1002),12,0))"),"GSD")</f>
        <v>GSD</v>
      </c>
      <c r="E59" s="43" t="str">
        <f t="shared" ca="1" si="5"/>
        <v>Active</v>
      </c>
      <c r="F59" s="42" t="str">
        <f t="array" aca="1" ref="F59" ca="1">IFERROR(
  INDEX(ATTENDANCE_INPUT!D:D,
    MATCH(1,
      (ATTENDANCE_INPUT!A:A=A59) *
      (ATTENDANCE_INPUT!V:V=_xludf.MAXIFS(ATTENDANCE_INPUT!V:V, ATTENDANCE_INPUT!A:A, A59)),
      0)),
  "")</f>
        <v/>
      </c>
      <c r="G59" s="46" t="str">
        <f t="array" aca="1" ref="G59" ca="1">IFERROR(
  INDEX(ATTENDANCE_INPUT!E:E,
    MATCH(1,
      (ATTENDANCE_INPUT!A:A=A59) *
      (ATTENDANCE_INPUT!V:V=_xludf.MAXIFS(ATTENDANCE_INPUT!V:V, ATTENDANCE_INPUT!A:A, A59)),
      0)),
  "")</f>
        <v/>
      </c>
      <c r="H59" s="47" t="str">
        <f t="array" aca="1" ref="H59" ca="1">IF(ISNA(MATCH(A59,sheet2!A:A,0)),"⏳ Chưa test",IFERROR(INDEX(LEVEL_HELPER!A:A,MATCH(INDEX(sheet2!N:N,MATCH(A59,sheet2!A:A,0)),LEVEL_HELPER!B:B,0)),"⏳ Chưa test"))</f>
        <v>Beginner</v>
      </c>
      <c r="I59" s="47" t="str">
        <f t="array" aca="1" ref="I59" ca="1">IF(ISNA(MATCH(A59,sheet2!A:A,0)),H59,IF(INDEX(sheet2!O:O,MATCH(A59,sheet2!A:A,0))&gt;0,IFERROR(INDEX(LEVEL_HELPER!A:A,MATCH(INDEX(sheet2!O:O,MATCH(A59,sheet2!A:A,0)),LEVEL_HELPER!B:B,0)),H59),H59))</f>
        <v>Beginner</v>
      </c>
      <c r="J59" s="47" t="str">
        <f ca="1">IFERROR(_xludf.MAXIFS(ATTENDANCE_LOG!F:F, ATTENDANCE_LOG!C:C, A59&amp;"", ATTENDANCE_LOG!G:G, "Present"), "")</f>
        <v/>
      </c>
      <c r="K59" s="48" t="str">
        <f t="shared" ca="1" si="0"/>
        <v/>
      </c>
      <c r="L59" s="49" t="str">
        <f t="shared" ca="1" si="1"/>
        <v/>
      </c>
      <c r="M59" s="36"/>
      <c r="N59" s="50"/>
      <c r="O59" s="36"/>
      <c r="P59" s="36"/>
      <c r="Q59" s="36"/>
      <c r="R59" s="36"/>
      <c r="S59" s="36"/>
      <c r="T59" s="36"/>
      <c r="U59" s="36"/>
      <c r="V59" s="36"/>
      <c r="W59" s="59"/>
      <c r="X59" s="59"/>
      <c r="Y59" s="59"/>
    </row>
    <row r="60" spans="1:25" ht="15.75" customHeight="1">
      <c r="A60" s="42" t="s">
        <v>257</v>
      </c>
      <c r="B60" s="43" t="s">
        <v>258</v>
      </c>
      <c r="C60" s="44" t="str">
        <f ca="1">IFERROR(__xludf.DUMMYFUNCTION("arrayformula(VLOOKUP(to_Text(A60),to_Text(sheet2!$A$1:M1002),13,0))"),"ONC")</f>
        <v>ONC</v>
      </c>
      <c r="D60" s="45" t="str">
        <f ca="1">IFERROR(__xludf.DUMMYFUNCTION("arrayformula(VLOOKUP(to_Text(A60),to_Text(sheet2!$A$1:M1002),12,0))"),"DEV")</f>
        <v>DEV</v>
      </c>
      <c r="E60" s="43" t="s">
        <v>175</v>
      </c>
      <c r="F60" s="42" t="str">
        <f t="array" aca="1" ref="F60" ca="1">IFERROR(
  INDEX(ATTENDANCE_INPUT!D:D,
    MATCH(1,
      (ATTENDANCE_INPUT!A:A=A60) *
      (ATTENDANCE_INPUT!V:V=_xludf.MAXIFS(ATTENDANCE_INPUT!V:V, ATTENDANCE_INPUT!A:A, A60)),
      0)),
  "")</f>
        <v/>
      </c>
      <c r="G60" s="46" t="str">
        <f t="array" aca="1" ref="G60" ca="1">IFERROR(
  INDEX(ATTENDANCE_INPUT!E:E,
    MATCH(1,
      (ATTENDANCE_INPUT!A:A=A60) *
      (ATTENDANCE_INPUT!V:V=_xludf.MAXIFS(ATTENDANCE_INPUT!V:V, ATTENDANCE_INPUT!A:A, A60)),
      0)),
  "")</f>
        <v/>
      </c>
      <c r="H60" s="47" t="str">
        <f t="array" aca="1" ref="H60" ca="1">IF(ISNA(MATCH(A60,sheet2!A:A,0)),"⏳ Chưa test",IFERROR(INDEX(LEVEL_HELPER!A:A,MATCH(INDEX(sheet2!N:N,MATCH(A60,sheet2!A:A,0)),LEVEL_HELPER!B:B,0)),"⏳ Chưa test"))</f>
        <v>Pre-Intermediate</v>
      </c>
      <c r="I60" s="47" t="str">
        <f t="array" aca="1" ref="I60" ca="1">IF(ISNA(MATCH(A60,sheet2!A:A,0)),H60,IF(INDEX(sheet2!O:O,MATCH(A60,sheet2!A:A,0))&gt;0,IFERROR(INDEX(LEVEL_HELPER!A:A,MATCH(INDEX(sheet2!O:O,MATCH(A60,sheet2!A:A,0)),LEVEL_HELPER!B:B,0)),H60),H60))</f>
        <v>Pre-Intermediate</v>
      </c>
      <c r="J60" s="47" t="str">
        <f ca="1">IFERROR(_xludf.MAXIFS(ATTENDANCE_LOG!F:F, ATTENDANCE_LOG!C:C, A60&amp;"", ATTENDANCE_LOG!G:G, "Present"), "")</f>
        <v/>
      </c>
      <c r="K60" s="48" t="str">
        <f t="shared" ca="1" si="0"/>
        <v/>
      </c>
      <c r="L60" s="49" t="str">
        <f t="shared" ca="1" si="1"/>
        <v/>
      </c>
      <c r="M60" s="36"/>
      <c r="N60" s="50"/>
      <c r="O60" s="36"/>
      <c r="P60" s="36"/>
      <c r="Q60" s="36"/>
      <c r="R60" s="36"/>
      <c r="S60" s="36"/>
      <c r="T60" s="36"/>
      <c r="U60" s="36"/>
      <c r="V60" s="36"/>
      <c r="W60" s="37"/>
      <c r="X60" s="37"/>
      <c r="Y60" s="37"/>
    </row>
    <row r="61" spans="1:25" ht="15.75" customHeight="1">
      <c r="A61" s="42" t="s">
        <v>259</v>
      </c>
      <c r="B61" s="43" t="s">
        <v>260</v>
      </c>
      <c r="C61" s="44" t="str">
        <f ca="1">IFERROR(__xludf.DUMMYFUNCTION("arrayformula(VLOOKUP(to_Text(A61),to_Text(sheet2!$A$1:M1002),13,0))"),"CHORUS")</f>
        <v>CHORUS</v>
      </c>
      <c r="D61" s="45" t="str">
        <f ca="1">IFERROR(__xludf.DUMMYFUNCTION("arrayformula(VLOOKUP(to_Text(A61),to_Text(sheet2!$A$1:M1002),12,0))"),"UI/UX")</f>
        <v>UI/UX</v>
      </c>
      <c r="E61" s="43" t="s">
        <v>16</v>
      </c>
      <c r="F61" s="42" t="str">
        <f t="array" aca="1" ref="F61" ca="1">IFERROR(
  INDEX(ATTENDANCE_INPUT!D:D,
    MATCH(1,
      (ATTENDANCE_INPUT!A:A=A61) *
      (ATTENDANCE_INPUT!V:V=_xludf.MAXIFS(ATTENDANCE_INPUT!V:V, ATTENDANCE_INPUT!A:A, A61)),
      0)),
  "")</f>
        <v/>
      </c>
      <c r="G61" s="46" t="str">
        <f t="array" aca="1" ref="G61" ca="1">IFERROR(
  INDEX(ATTENDANCE_INPUT!E:E,
    MATCH(1,
      (ATTENDANCE_INPUT!A:A=A61) *
      (ATTENDANCE_INPUT!V:V=_xludf.MAXIFS(ATTENDANCE_INPUT!V:V, ATTENDANCE_INPUT!A:A, A61)),
      0)),
  "")</f>
        <v/>
      </c>
      <c r="H61" s="47" t="str">
        <f t="array" aca="1" ref="H61" ca="1">IF(ISNA(MATCH(A61,sheet2!A:A,0)),"⏳ Chưa test",IFERROR(INDEX(LEVEL_HELPER!A:A,MATCH(INDEX(sheet2!N:N,MATCH(A61,sheet2!A:A,0)),LEVEL_HELPER!B:B,0)),"⏳ Chưa test"))</f>
        <v>Beginner</v>
      </c>
      <c r="I61" s="47" t="str">
        <f t="array" aca="1" ref="I61" ca="1">IF(ISNA(MATCH(A61,sheet2!A:A,0)),H61,IF(INDEX(sheet2!O:O,MATCH(A61,sheet2!A:A,0))&gt;0,IFERROR(INDEX(LEVEL_HELPER!A:A,MATCH(INDEX(sheet2!O:O,MATCH(A61,sheet2!A:A,0)),LEVEL_HELPER!B:B,0)),H61),H61))</f>
        <v>Beginner</v>
      </c>
      <c r="J61" s="47" t="str">
        <f ca="1">IFERROR(_xludf.MAXIFS(ATTENDANCE_LOG!F:F, ATTENDANCE_LOG!C:C, A61&amp;"", ATTENDANCE_LOG!G:G, "Present"), "")</f>
        <v/>
      </c>
      <c r="K61" s="48" t="str">
        <f t="shared" ca="1" si="0"/>
        <v/>
      </c>
      <c r="L61" s="49" t="str">
        <f t="shared" ca="1" si="1"/>
        <v/>
      </c>
      <c r="M61" s="36" t="s">
        <v>34</v>
      </c>
      <c r="N61" s="50" t="s">
        <v>33</v>
      </c>
      <c r="O61" s="36"/>
      <c r="P61" s="36"/>
      <c r="Q61" s="36"/>
      <c r="R61" s="36"/>
      <c r="S61" s="36"/>
      <c r="T61" s="36"/>
      <c r="U61" s="36"/>
      <c r="V61" s="36"/>
      <c r="W61" s="59"/>
      <c r="X61" s="59"/>
      <c r="Y61" s="59"/>
    </row>
    <row r="62" spans="1:25" ht="15.75" customHeight="1">
      <c r="A62" s="42" t="s">
        <v>261</v>
      </c>
      <c r="B62" s="43" t="s">
        <v>262</v>
      </c>
      <c r="C62" s="44" t="str">
        <f ca="1">IFERROR(__xludf.DUMMYFUNCTION("arrayformula(VLOOKUP(to_Text(A62),to_Text(sheet2!$A$1:M1002),13,0))"),"CHORUS")</f>
        <v>CHORUS</v>
      </c>
      <c r="D62" s="45" t="str">
        <f ca="1">IFERROR(__xludf.DUMMYFUNCTION("arrayformula(VLOOKUP(to_Text(A62),to_Text(sheet2!$A$1:M1002),12,0))"),"Management")</f>
        <v>Management</v>
      </c>
      <c r="E62" s="43" t="str">
        <f ca="1">IF(L62="⚠ Possibly Dropped","Inactive","Active")</f>
        <v>Active</v>
      </c>
      <c r="F62" s="42" t="str">
        <f t="array" aca="1" ref="F62" ca="1">IFERROR(
  INDEX(ATTENDANCE_INPUT!D:D,
    MATCH(1,
      (ATTENDANCE_INPUT!A:A=A62) *
      (ATTENDANCE_INPUT!V:V=_xludf.MAXIFS(ATTENDANCE_INPUT!V:V, ATTENDANCE_INPUT!A:A, A62)),
      0)),
  "")</f>
        <v/>
      </c>
      <c r="G62" s="46" t="str">
        <f t="array" aca="1" ref="G62" ca="1">IFERROR(
  INDEX(ATTENDANCE_INPUT!E:E,
    MATCH(1,
      (ATTENDANCE_INPUT!A:A=A62) *
      (ATTENDANCE_INPUT!V:V=_xludf.MAXIFS(ATTENDANCE_INPUT!V:V, ATTENDANCE_INPUT!A:A, A62)),
      0)),
  "")</f>
        <v/>
      </c>
      <c r="H62" s="47" t="str">
        <f t="array" aca="1" ref="H62" ca="1">IF(ISNA(MATCH(A62,sheet2!A:A,0)),"⏳ Chưa test",IFERROR(INDEX(LEVEL_HELPER!A:A,MATCH(INDEX(sheet2!N:N,MATCH(A62,sheet2!A:A,0)),LEVEL_HELPER!B:B,0)),"⏳ Chưa test"))</f>
        <v>Intermediate</v>
      </c>
      <c r="I62" s="47" t="str">
        <f t="array" aca="1" ref="I62" ca="1">IF(ISNA(MATCH(A62,sheet2!A:A,0)),H62,IF(INDEX(sheet2!O:O,MATCH(A62,sheet2!A:A,0))&gt;0,IFERROR(INDEX(LEVEL_HELPER!A:A,MATCH(INDEX(sheet2!O:O,MATCH(A62,sheet2!A:A,0)),LEVEL_HELPER!B:B,0)),H62),H62))</f>
        <v>Intermediate</v>
      </c>
      <c r="J62" s="47" t="str">
        <f ca="1">IFERROR(_xludf.MAXIFS(ATTENDANCE_LOG!F:F, ATTENDANCE_LOG!C:C, A62&amp;"", ATTENDANCE_LOG!G:G, "Present"), "")</f>
        <v/>
      </c>
      <c r="K62" s="48" t="str">
        <f t="shared" ca="1" si="0"/>
        <v/>
      </c>
      <c r="L62" s="49" t="str">
        <f t="shared" ca="1" si="1"/>
        <v/>
      </c>
      <c r="M62" s="36" t="s">
        <v>36</v>
      </c>
      <c r="N62" s="50" t="s">
        <v>33</v>
      </c>
      <c r="O62" s="36"/>
      <c r="P62" s="36"/>
      <c r="Q62" s="36"/>
      <c r="R62" s="36"/>
      <c r="S62" s="36"/>
      <c r="T62" s="36"/>
      <c r="U62" s="36"/>
      <c r="V62" s="36"/>
      <c r="W62" s="59"/>
      <c r="X62" s="59"/>
      <c r="Y62" s="59"/>
    </row>
    <row r="63" spans="1:25" ht="15.75" customHeight="1">
      <c r="A63" s="42" t="s">
        <v>263</v>
      </c>
      <c r="B63" s="43" t="s">
        <v>264</v>
      </c>
      <c r="C63" s="44" t="str">
        <f ca="1">IFERROR(__xludf.DUMMYFUNCTION("arrayformula(VLOOKUP(to_Text(A63),to_Text(sheet2!$A$1:M1002),13,0))"),"TBU")</f>
        <v>TBU</v>
      </c>
      <c r="D63" s="45" t="str">
        <f ca="1">IFERROR(__xludf.DUMMYFUNCTION("arrayformula(VLOOKUP(to_Text(A63),to_Text(sheet2!$A$1:M1002),12,0))"),"QC")</f>
        <v>QC</v>
      </c>
      <c r="E63" s="43" t="s">
        <v>15</v>
      </c>
      <c r="F63" s="42" t="str">
        <f t="array" aca="1" ref="F63" ca="1">IFERROR(
  INDEX(ATTENDANCE_INPUT!D:D,
    MATCH(1,
      (ATTENDANCE_INPUT!A:A=A63) *
      (ATTENDANCE_INPUT!V:V=_xludf.MAXIFS(ATTENDANCE_INPUT!V:V, ATTENDANCE_INPUT!A:A, A63)),
      0)),
  "")</f>
        <v/>
      </c>
      <c r="G63" s="46" t="str">
        <f t="array" aca="1" ref="G63" ca="1">IFERROR(
  INDEX(ATTENDANCE_INPUT!E:E,
    MATCH(1,
      (ATTENDANCE_INPUT!A:A=A63) *
      (ATTENDANCE_INPUT!V:V=_xludf.MAXIFS(ATTENDANCE_INPUT!V:V, ATTENDANCE_INPUT!A:A, A63)),
      0)),
  "")</f>
        <v/>
      </c>
      <c r="H63" s="47" t="str">
        <f t="array" aca="1" ref="H63" ca="1">IF(ISNA(MATCH(A63,sheet2!A:A,0)),"⏳ Chưa test",IFERROR(INDEX(LEVEL_HELPER!A:A,MATCH(INDEX(sheet2!N:N,MATCH(A63,sheet2!A:A,0)),LEVEL_HELPER!B:B,0)),"⏳ Chưa test"))</f>
        <v>⏳ Chưa test</v>
      </c>
      <c r="I63" s="47" t="str">
        <f t="array" aca="1" ref="I63" ca="1">IF(ISNA(MATCH(A63,sheet2!A:A,0)),H63,IF(INDEX(sheet2!O:O,MATCH(A63,sheet2!A:A,0))&gt;0,IFERROR(INDEX(LEVEL_HELPER!A:A,MATCH(INDEX(sheet2!O:O,MATCH(A63,sheet2!A:A,0)),LEVEL_HELPER!B:B,0)),H63),H63))</f>
        <v>⏳ Chưa test</v>
      </c>
      <c r="J63" s="47" t="str">
        <f ca="1">IFERROR(_xludf.MAXIFS(ATTENDANCE_LOG!F:F, ATTENDANCE_LOG!C:C, A63&amp;"", ATTENDANCE_LOG!G:G, "Present"), "")</f>
        <v/>
      </c>
      <c r="K63" s="48" t="str">
        <f t="shared" ca="1" si="0"/>
        <v/>
      </c>
      <c r="L63" s="49" t="str">
        <f t="shared" ca="1" si="1"/>
        <v/>
      </c>
      <c r="M63" s="36"/>
      <c r="N63" s="50"/>
      <c r="O63" s="36"/>
      <c r="P63" s="36"/>
      <c r="Q63" s="36"/>
      <c r="R63" s="36">
        <v>247273</v>
      </c>
      <c r="S63" s="36" t="s">
        <v>146</v>
      </c>
      <c r="T63" s="36" t="s">
        <v>33</v>
      </c>
      <c r="U63" s="36" t="str">
        <f ca="1">IFERROR(__xludf.DUMMYFUNCTION("arrayformula(vlookup(to_text(R63),to_text($A$4:$B1003),2,0))"),"#N/A")</f>
        <v>#N/A</v>
      </c>
      <c r="V63" s="36"/>
      <c r="W63" s="59"/>
      <c r="X63" s="59"/>
      <c r="Y63" s="59"/>
    </row>
    <row r="64" spans="1:25" ht="15.75" customHeight="1">
      <c r="A64" s="42" t="s">
        <v>265</v>
      </c>
      <c r="B64" s="43" t="s">
        <v>266</v>
      </c>
      <c r="C64" s="44" t="str">
        <f ca="1">IFERROR(__xludf.DUMMYFUNCTION("arrayformula(VLOOKUP(to_Text(A64),to_Text(sheet2!$A$1:M1002),13,0))"),"POC")</f>
        <v>POC</v>
      </c>
      <c r="D64" s="45" t="str">
        <f ca="1">IFERROR(__xludf.DUMMYFUNCTION("arrayformula(VLOOKUP(to_Text(A64),to_Text(sheet2!$A$1:M1002),12,0))"),"DEV")</f>
        <v>DEV</v>
      </c>
      <c r="E64" s="43" t="str">
        <f t="shared" ref="E64:E67" ca="1" si="6">IF(L64="⚠ Possibly Dropped","Inactive","Active")</f>
        <v>Active</v>
      </c>
      <c r="F64" s="42" t="str">
        <f t="array" aca="1" ref="F64" ca="1">IFERROR(
  INDEX(ATTENDANCE_INPUT!D:D,
    MATCH(1,
      (ATTENDANCE_INPUT!A:A=A64) *
      (ATTENDANCE_INPUT!V:V=_xludf.MAXIFS(ATTENDANCE_INPUT!V:V, ATTENDANCE_INPUT!A:A, A64)),
      0)),
  "")</f>
        <v/>
      </c>
      <c r="G64" s="46" t="str">
        <f t="array" aca="1" ref="G64" ca="1">IFERROR(
  INDEX(ATTENDANCE_INPUT!E:E,
    MATCH(1,
      (ATTENDANCE_INPUT!A:A=A64) *
      (ATTENDANCE_INPUT!V:V=_xludf.MAXIFS(ATTENDANCE_INPUT!V:V, ATTENDANCE_INPUT!A:A, A64)),
      0)),
  "")</f>
        <v/>
      </c>
      <c r="H64" s="47" t="str">
        <f t="array" aca="1" ref="H64" ca="1">IF(ISNA(MATCH(A64,sheet2!A:A,0)),"⏳ Chưa test",IFERROR(INDEX(LEVEL_HELPER!A:A,MATCH(INDEX(sheet2!N:N,MATCH(A64,sheet2!A:A,0)),LEVEL_HELPER!B:B,0)),"⏳ Chưa test"))</f>
        <v>Beginner</v>
      </c>
      <c r="I64" s="47" t="str">
        <f t="array" aca="1" ref="I64" ca="1">IF(ISNA(MATCH(A64,sheet2!A:A,0)),H64,IF(INDEX(sheet2!O:O,MATCH(A64,sheet2!A:A,0))&gt;0,IFERROR(INDEX(LEVEL_HELPER!A:A,MATCH(INDEX(sheet2!O:O,MATCH(A64,sheet2!A:A,0)),LEVEL_HELPER!B:B,0)),H64),H64))</f>
        <v>Beginner</v>
      </c>
      <c r="J64" s="47" t="str">
        <f ca="1">IFERROR(_xludf.MAXIFS(ATTENDANCE_LOG!F:F, ATTENDANCE_LOG!C:C, A64&amp;"", ATTENDANCE_LOG!G:G, "Present"), "")</f>
        <v/>
      </c>
      <c r="K64" s="48" t="str">
        <f t="shared" ca="1" si="0"/>
        <v/>
      </c>
      <c r="L64" s="49" t="str">
        <f t="shared" ca="1" si="1"/>
        <v/>
      </c>
      <c r="M64" s="36"/>
      <c r="N64" s="50"/>
      <c r="O64" s="36"/>
      <c r="P64" s="36"/>
      <c r="Q64" s="36"/>
      <c r="R64" s="36"/>
      <c r="S64" s="36"/>
      <c r="T64" s="36"/>
      <c r="U64" s="36"/>
      <c r="V64" s="36"/>
      <c r="W64" s="59"/>
      <c r="X64" s="59"/>
      <c r="Y64" s="59"/>
    </row>
    <row r="65" spans="1:25" ht="15.75" customHeight="1">
      <c r="A65" s="42" t="s">
        <v>267</v>
      </c>
      <c r="B65" s="43" t="s">
        <v>268</v>
      </c>
      <c r="C65" s="44" t="str">
        <f ca="1">IFERROR(__xludf.DUMMYFUNCTION("arrayformula(VLOOKUP(to_Text(A65),to_Text(sheet2!$A$1:M1002),13,0))"),"ONC")</f>
        <v>ONC</v>
      </c>
      <c r="D65" s="45" t="str">
        <f ca="1">IFERROR(__xludf.DUMMYFUNCTION("arrayformula(VLOOKUP(to_Text(A65),to_Text(sheet2!$A$1:M1002),12,0))"),"QC")</f>
        <v>QC</v>
      </c>
      <c r="E65" s="43" t="str">
        <f t="shared" ca="1" si="6"/>
        <v>Active</v>
      </c>
      <c r="F65" s="42" t="str">
        <f t="array" aca="1" ref="F65" ca="1">IFERROR(
  INDEX(ATTENDANCE_INPUT!D:D,
    MATCH(1,
      (ATTENDANCE_INPUT!A:A=A65) *
      (ATTENDANCE_INPUT!V:V=_xludf.MAXIFS(ATTENDANCE_INPUT!V:V, ATTENDANCE_INPUT!A:A, A65)),
      0)),
  "")</f>
        <v/>
      </c>
      <c r="G65" s="46" t="str">
        <f t="array" aca="1" ref="G65" ca="1">IFERROR(
  INDEX(ATTENDANCE_INPUT!E:E,
    MATCH(1,
      (ATTENDANCE_INPUT!A:A=A65) *
      (ATTENDANCE_INPUT!V:V=_xludf.MAXIFS(ATTENDANCE_INPUT!V:V, ATTENDANCE_INPUT!A:A, A65)),
      0)),
  "")</f>
        <v/>
      </c>
      <c r="H65" s="47" t="str">
        <f t="array" aca="1" ref="H65" ca="1">IF(ISNA(MATCH(A65,sheet2!A:A,0)),"⏳ Chưa test",IFERROR(INDEX(LEVEL_HELPER!A:A,MATCH(INDEX(sheet2!N:N,MATCH(A65,sheet2!A:A,0)),LEVEL_HELPER!B:B,0)),"⏳ Chưa test"))</f>
        <v>Beginner</v>
      </c>
      <c r="I65" s="47" t="str">
        <f t="array" aca="1" ref="I65" ca="1">IF(ISNA(MATCH(A65,sheet2!A:A,0)),H65,IF(INDEX(sheet2!O:O,MATCH(A65,sheet2!A:A,0))&gt;0,IFERROR(INDEX(LEVEL_HELPER!A:A,MATCH(INDEX(sheet2!O:O,MATCH(A65,sheet2!A:A,0)),LEVEL_HELPER!B:B,0)),H65),H65))</f>
        <v>Beginner</v>
      </c>
      <c r="J65" s="47" t="str">
        <f ca="1">IFERROR(_xludf.MAXIFS(ATTENDANCE_LOG!F:F, ATTENDANCE_LOG!C:C, A65&amp;"", ATTENDANCE_LOG!G:G, "Present"), "")</f>
        <v/>
      </c>
      <c r="K65" s="48" t="str">
        <f t="shared" ca="1" si="0"/>
        <v/>
      </c>
      <c r="L65" s="49" t="str">
        <f t="shared" ca="1" si="1"/>
        <v/>
      </c>
      <c r="M65" s="36"/>
      <c r="N65" s="50"/>
      <c r="O65" s="36"/>
      <c r="P65" s="36"/>
      <c r="Q65" s="36"/>
      <c r="R65" s="36"/>
      <c r="S65" s="36"/>
      <c r="T65" s="36"/>
      <c r="U65" s="36"/>
      <c r="V65" s="36"/>
      <c r="W65" s="59"/>
      <c r="X65" s="59"/>
      <c r="Y65" s="59"/>
    </row>
    <row r="66" spans="1:25" ht="15.75" customHeight="1">
      <c r="A66" s="42" t="s">
        <v>269</v>
      </c>
      <c r="B66" s="43" t="s">
        <v>270</v>
      </c>
      <c r="C66" s="44" t="str">
        <f ca="1">IFERROR(__xludf.DUMMYFUNCTION("arrayformula(VLOOKUP(to_Text(A66),to_Text(sheet2!$A$1:M1002),13,0))"),"MOC")</f>
        <v>MOC</v>
      </c>
      <c r="D66" s="45" t="str">
        <f ca="1">IFERROR(__xludf.DUMMYFUNCTION("arrayformula(VLOOKUP(to_Text(A66),to_Text(sheet2!$A$1:M1002),12,0))"),"DEV")</f>
        <v>DEV</v>
      </c>
      <c r="E66" s="43" t="str">
        <f t="shared" ca="1" si="6"/>
        <v>Active</v>
      </c>
      <c r="F66" s="42" t="str">
        <f t="array" aca="1" ref="F66" ca="1">IFERROR(
  INDEX(ATTENDANCE_INPUT!D:D,
    MATCH(1,
      (ATTENDANCE_INPUT!A:A=A66) *
      (ATTENDANCE_INPUT!V:V=_xludf.MAXIFS(ATTENDANCE_INPUT!V:V, ATTENDANCE_INPUT!A:A, A66)),
      0)),
  "")</f>
        <v/>
      </c>
      <c r="G66" s="46" t="str">
        <f t="array" aca="1" ref="G66" ca="1">IFERROR(
  INDEX(ATTENDANCE_INPUT!E:E,
    MATCH(1,
      (ATTENDANCE_INPUT!A:A=A66) *
      (ATTENDANCE_INPUT!V:V=_xludf.MAXIFS(ATTENDANCE_INPUT!V:V, ATTENDANCE_INPUT!A:A, A66)),
      0)),
  "")</f>
        <v/>
      </c>
      <c r="H66" s="47" t="str">
        <f t="array" aca="1" ref="H66" ca="1">IF(ISNA(MATCH(A66,sheet2!A:A,0)),"⏳ Chưa test",IFERROR(INDEX(LEVEL_HELPER!A:A,MATCH(INDEX(sheet2!N:N,MATCH(A66,sheet2!A:A,0)),LEVEL_HELPER!B:B,0)),"⏳ Chưa test"))</f>
        <v>Foundation</v>
      </c>
      <c r="I66" s="47" t="str">
        <f t="array" aca="1" ref="I66" ca="1">IF(ISNA(MATCH(A66,sheet2!A:A,0)),H66,IF(INDEX(sheet2!O:O,MATCH(A66,sheet2!A:A,0))&gt;0,IFERROR(INDEX(LEVEL_HELPER!A:A,MATCH(INDEX(sheet2!O:O,MATCH(A66,sheet2!A:A,0)),LEVEL_HELPER!B:B,0)),H66),H66))</f>
        <v>Foundation</v>
      </c>
      <c r="J66" s="47" t="str">
        <f ca="1">IFERROR(_xludf.MAXIFS(ATTENDANCE_LOG!F:F, ATTENDANCE_LOG!C:C, A66&amp;"", ATTENDANCE_LOG!G:G, "Present"), "")</f>
        <v/>
      </c>
      <c r="K66" s="48" t="str">
        <f t="shared" ca="1" si="0"/>
        <v/>
      </c>
      <c r="L66" s="49" t="str">
        <f t="shared" ca="1" si="1"/>
        <v/>
      </c>
      <c r="M66" s="36"/>
      <c r="N66" s="50"/>
      <c r="O66" s="36"/>
      <c r="P66" s="36"/>
      <c r="Q66" s="36"/>
      <c r="R66" s="36">
        <v>227008</v>
      </c>
      <c r="S66" s="36"/>
      <c r="T66" s="36"/>
      <c r="U66" s="36" t="str">
        <f ca="1">IFERROR(__xludf.DUMMYFUNCTION("arrayformula(vlookup(to_text(R66),to_text($A$4:$B964),2,0))"),"PHẠM ĐỨC ÁO")</f>
        <v>PHẠM ĐỨC ÁO</v>
      </c>
      <c r="V66" s="36"/>
      <c r="W66" s="59"/>
      <c r="X66" s="59"/>
      <c r="Y66" s="59"/>
    </row>
    <row r="67" spans="1:25" ht="15.75" customHeight="1">
      <c r="A67" s="42" t="s">
        <v>271</v>
      </c>
      <c r="B67" s="43" t="s">
        <v>272</v>
      </c>
      <c r="C67" s="44" t="str">
        <f ca="1">IFERROR(__xludf.DUMMYFUNCTION("arrayformula(VLOOKUP(to_Text(A67),to_Text(sheet2!$A$1:M1002),13,0))"),"TBU")</f>
        <v>TBU</v>
      </c>
      <c r="D67" s="45" t="str">
        <f ca="1">IFERROR(__xludf.DUMMYFUNCTION("arrayformula(VLOOKUP(to_Text(A67),to_Text(sheet2!$A$1:M1002),12,0))"),"DEV")</f>
        <v>DEV</v>
      </c>
      <c r="E67" s="43" t="str">
        <f t="shared" ca="1" si="6"/>
        <v>Active</v>
      </c>
      <c r="F67" s="42" t="str">
        <f t="array" aca="1" ref="F67" ca="1">IFERROR(
  INDEX(ATTENDANCE_INPUT!D:D,
    MATCH(1,
      (ATTENDANCE_INPUT!A:A=A67) *
      (ATTENDANCE_INPUT!V:V=_xludf.MAXIFS(ATTENDANCE_INPUT!V:V, ATTENDANCE_INPUT!A:A, A67)),
      0)),
  "")</f>
        <v/>
      </c>
      <c r="G67" s="46" t="str">
        <f t="array" aca="1" ref="G67" ca="1">IFERROR(
  INDEX(ATTENDANCE_INPUT!E:E,
    MATCH(1,
      (ATTENDANCE_INPUT!A:A=A67) *
      (ATTENDANCE_INPUT!V:V=_xludf.MAXIFS(ATTENDANCE_INPUT!V:V, ATTENDANCE_INPUT!A:A, A67)),
      0)),
  "")</f>
        <v/>
      </c>
      <c r="H67" s="47" t="str">
        <f t="array" aca="1" ref="H67" ca="1">IF(ISNA(MATCH(A67,sheet2!A:A,0)),"⏳ Chưa test",IFERROR(INDEX(LEVEL_HELPER!A:A,MATCH(INDEX(sheet2!N:N,MATCH(A67,sheet2!A:A,0)),LEVEL_HELPER!B:B,0)),"⏳ Chưa test"))</f>
        <v>Beginner</v>
      </c>
      <c r="I67" s="47" t="str">
        <f t="array" aca="1" ref="I67" ca="1">IF(ISNA(MATCH(A67,sheet2!A:A,0)),H67,IF(INDEX(sheet2!O:O,MATCH(A67,sheet2!A:A,0))&gt;0,IFERROR(INDEX(LEVEL_HELPER!A:A,MATCH(INDEX(sheet2!O:O,MATCH(A67,sheet2!A:A,0)),LEVEL_HELPER!B:B,0)),H67),H67))</f>
        <v>Beginner</v>
      </c>
      <c r="J67" s="47" t="str">
        <f ca="1">IFERROR(_xludf.MAXIFS(ATTENDANCE_LOG!F:F, ATTENDANCE_LOG!C:C, A67&amp;"", ATTENDANCE_LOG!G:G, "Present"), "")</f>
        <v/>
      </c>
      <c r="K67" s="48" t="str">
        <f t="shared" ca="1" si="0"/>
        <v/>
      </c>
      <c r="L67" s="49" t="str">
        <f t="shared" ca="1" si="1"/>
        <v/>
      </c>
      <c r="M67" s="36" t="s">
        <v>34</v>
      </c>
      <c r="N67" s="50" t="s">
        <v>33</v>
      </c>
      <c r="O67" s="36"/>
      <c r="P67" s="36"/>
      <c r="Q67" s="36"/>
      <c r="R67" s="36"/>
      <c r="S67" s="36"/>
      <c r="T67" s="36"/>
      <c r="U67" s="36"/>
      <c r="V67" s="36"/>
      <c r="W67" s="59"/>
      <c r="X67" s="59"/>
      <c r="Y67" s="59"/>
    </row>
    <row r="68" spans="1:25" ht="15.75" customHeight="1">
      <c r="A68" s="42" t="s">
        <v>273</v>
      </c>
      <c r="B68" s="43" t="s">
        <v>274</v>
      </c>
      <c r="C68" s="44" t="str">
        <f ca="1">IFERROR(__xludf.DUMMYFUNCTION("arrayformula(VLOOKUP(to_Text(A68),to_Text(sheet2!$A$1:M1002),13,0))"),"LBU")</f>
        <v>LBU</v>
      </c>
      <c r="D68" s="45" t="str">
        <f ca="1">IFERROR(__xludf.DUMMYFUNCTION("arrayformula(VLOOKUP(to_Text(A68),to_Text(sheet2!$A$1:M1002),12,0))"),"GSD")</f>
        <v>GSD</v>
      </c>
      <c r="E68" s="43" t="s">
        <v>16</v>
      </c>
      <c r="F68" s="42" t="str">
        <f t="array" aca="1" ref="F68" ca="1">IFERROR(
  INDEX(ATTENDANCE_INPUT!D:D,
    MATCH(1,
      (ATTENDANCE_INPUT!A:A=A68) *
      (ATTENDANCE_INPUT!V:V=_xludf.MAXIFS(ATTENDANCE_INPUT!V:V, ATTENDANCE_INPUT!A:A, A68)),
      0)),
  "")</f>
        <v/>
      </c>
      <c r="G68" s="46" t="str">
        <f t="array" aca="1" ref="G68" ca="1">IFERROR(
  INDEX(ATTENDANCE_INPUT!E:E,
    MATCH(1,
      (ATTENDANCE_INPUT!A:A=A68) *
      (ATTENDANCE_INPUT!V:V=_xludf.MAXIFS(ATTENDANCE_INPUT!V:V, ATTENDANCE_INPUT!A:A, A68)),
      0)),
  "")</f>
        <v/>
      </c>
      <c r="H68" s="47" t="str">
        <f t="array" aca="1" ref="H68" ca="1">IF(ISNA(MATCH(A68,sheet2!A:A,0)),"⏳ Chưa test",IFERROR(INDEX(LEVEL_HELPER!A:A,MATCH(INDEX(sheet2!N:N,MATCH(A68,sheet2!A:A,0)),LEVEL_HELPER!B:B,0)),"⏳ Chưa test"))</f>
        <v>Foundation</v>
      </c>
      <c r="I68" s="47" t="str">
        <f t="array" aca="1" ref="I68" ca="1">IF(ISNA(MATCH(A68,sheet2!A:A,0)),H68,IF(INDEX(sheet2!O:O,MATCH(A68,sheet2!A:A,0))&gt;0,IFERROR(INDEX(LEVEL_HELPER!A:A,MATCH(INDEX(sheet2!O:O,MATCH(A68,sheet2!A:A,0)),LEVEL_HELPER!B:B,0)),H68),H68))</f>
        <v>Foundation</v>
      </c>
      <c r="J68" s="47" t="str">
        <f ca="1">IFERROR(_xludf.MAXIFS(ATTENDANCE_LOG!F:F, ATTENDANCE_LOG!C:C, A68&amp;"", ATTENDANCE_LOG!G:G, "Present"), "")</f>
        <v/>
      </c>
      <c r="K68" s="48" t="str">
        <f t="shared" ca="1" si="0"/>
        <v/>
      </c>
      <c r="L68" s="49" t="str">
        <f t="shared" ca="1" si="1"/>
        <v/>
      </c>
      <c r="M68" s="36" t="s">
        <v>36</v>
      </c>
      <c r="N68" s="50" t="s">
        <v>33</v>
      </c>
      <c r="O68" s="36"/>
      <c r="P68" s="36"/>
      <c r="Q68" s="36"/>
      <c r="R68" s="36"/>
      <c r="S68" s="36"/>
      <c r="T68" s="36"/>
      <c r="U68" s="36"/>
      <c r="V68" s="36"/>
      <c r="W68" s="59"/>
      <c r="X68" s="59"/>
      <c r="Y68" s="59"/>
    </row>
    <row r="69" spans="1:25" ht="15.75" customHeight="1">
      <c r="A69" s="42" t="s">
        <v>275</v>
      </c>
      <c r="B69" s="43" t="s">
        <v>276</v>
      </c>
      <c r="C69" s="44" t="str">
        <f ca="1">IFERROR(__xludf.DUMMYFUNCTION("arrayformula(VLOOKUP(to_Text(A69),to_Text(sheet2!$A$1:M1002),13,0))"),"MOC")</f>
        <v>MOC</v>
      </c>
      <c r="D69" s="45" t="str">
        <f ca="1">IFERROR(__xludf.DUMMYFUNCTION("arrayformula(VLOOKUP(to_Text(A69),to_Text(sheet2!$A$1:M1002),12,0))"),"DEV")</f>
        <v>DEV</v>
      </c>
      <c r="E69" s="43" t="s">
        <v>16</v>
      </c>
      <c r="F69" s="42" t="str">
        <f t="array" aca="1" ref="F69" ca="1">IFERROR(
  INDEX(ATTENDANCE_INPUT!D:D,
    MATCH(1,
      (ATTENDANCE_INPUT!A:A=A69) *
      (ATTENDANCE_INPUT!V:V=_xludf.MAXIFS(ATTENDANCE_INPUT!V:V, ATTENDANCE_INPUT!A:A, A69)),
      0)),
  "")</f>
        <v/>
      </c>
      <c r="G69" s="46" t="str">
        <f t="array" aca="1" ref="G69" ca="1">IFERROR(
  INDEX(ATTENDANCE_INPUT!E:E,
    MATCH(1,
      (ATTENDANCE_INPUT!A:A=A69) *
      (ATTENDANCE_INPUT!V:V=_xludf.MAXIFS(ATTENDANCE_INPUT!V:V, ATTENDANCE_INPUT!A:A, A69)),
      0)),
  "")</f>
        <v/>
      </c>
      <c r="H69" s="47" t="str">
        <f t="array" aca="1" ref="H69" ca="1">IF(ISNA(MATCH(A69,sheet2!A:A,0)),"⏳ Chưa test",IFERROR(INDEX(LEVEL_HELPER!A:A,MATCH(INDEX(sheet2!N:N,MATCH(A69,sheet2!A:A,0)),LEVEL_HELPER!B:B,0)),"⏳ Chưa test"))</f>
        <v>Beginner</v>
      </c>
      <c r="I69" s="47" t="str">
        <f t="array" aca="1" ref="I69" ca="1">IF(ISNA(MATCH(A69,sheet2!A:A,0)),H69,IF(INDEX(sheet2!O:O,MATCH(A69,sheet2!A:A,0))&gt;0,IFERROR(INDEX(LEVEL_HELPER!A:A,MATCH(INDEX(sheet2!O:O,MATCH(A69,sheet2!A:A,0)),LEVEL_HELPER!B:B,0)),H69),H69))</f>
        <v>Beginner</v>
      </c>
      <c r="J69" s="47" t="str">
        <f ca="1">IFERROR(_xludf.MAXIFS(ATTENDANCE_LOG!F:F, ATTENDANCE_LOG!C:C, A69&amp;"", ATTENDANCE_LOG!G:G, "Present"), "")</f>
        <v/>
      </c>
      <c r="K69" s="48" t="str">
        <f t="shared" ca="1" si="0"/>
        <v/>
      </c>
      <c r="L69" s="49" t="str">
        <f t="shared" ca="1" si="1"/>
        <v/>
      </c>
      <c r="M69" s="36" t="s">
        <v>36</v>
      </c>
      <c r="N69" s="50" t="s">
        <v>33</v>
      </c>
      <c r="O69" s="36"/>
      <c r="P69" s="36"/>
      <c r="Q69" s="36"/>
      <c r="R69" s="36"/>
      <c r="S69" s="36"/>
      <c r="T69" s="36"/>
      <c r="U69" s="36"/>
      <c r="V69" s="36"/>
      <c r="W69" s="59"/>
      <c r="X69" s="59"/>
      <c r="Y69" s="59"/>
    </row>
    <row r="70" spans="1:25" ht="15.75" customHeight="1">
      <c r="A70" s="42" t="s">
        <v>277</v>
      </c>
      <c r="B70" s="43" t="s">
        <v>278</v>
      </c>
      <c r="C70" s="44" t="str">
        <f ca="1">IFERROR(__xludf.DUMMYFUNCTION("arrayformula(VLOOKUP(to_Text(A70),to_Text(sheet2!$A$1:M1002),13,0))"),"MOC")</f>
        <v>MOC</v>
      </c>
      <c r="D70" s="45" t="str">
        <f ca="1">IFERROR(__xludf.DUMMYFUNCTION("arrayformula(VLOOKUP(to_Text(A70),to_Text(sheet2!$A$1:M1002),12,0))"),"DEV")</f>
        <v>DEV</v>
      </c>
      <c r="E70" s="43" t="str">
        <f t="shared" ref="E70:E71" ca="1" si="7">IF(L70="⚠ Possibly Dropped","Inactive","Active")</f>
        <v>Active</v>
      </c>
      <c r="F70" s="42" t="str">
        <f t="array" aca="1" ref="F70" ca="1">IFERROR(
  INDEX(ATTENDANCE_INPUT!D:D,
    MATCH(1,
      (ATTENDANCE_INPUT!A:A=A70) *
      (ATTENDANCE_INPUT!V:V=_xludf.MAXIFS(ATTENDANCE_INPUT!V:V, ATTENDANCE_INPUT!A:A, A70)),
      0)),
  "")</f>
        <v/>
      </c>
      <c r="G70" s="46" t="str">
        <f t="array" aca="1" ref="G70" ca="1">IFERROR(
  INDEX(ATTENDANCE_INPUT!E:E,
    MATCH(1,
      (ATTENDANCE_INPUT!A:A=A70) *
      (ATTENDANCE_INPUT!V:V=_xludf.MAXIFS(ATTENDANCE_INPUT!V:V, ATTENDANCE_INPUT!A:A, A70)),
      0)),
  "")</f>
        <v/>
      </c>
      <c r="H70" s="47" t="str">
        <f t="array" aca="1" ref="H70" ca="1">IF(ISNA(MATCH(A70,sheet2!A:A,0)),"⏳ Chưa test",IFERROR(INDEX(LEVEL_HELPER!A:A,MATCH(INDEX(sheet2!N:N,MATCH(A70,sheet2!A:A,0)),LEVEL_HELPER!B:B,0)),"⏳ Chưa test"))</f>
        <v>Foundation</v>
      </c>
      <c r="I70" s="47" t="str">
        <f t="array" aca="1" ref="I70" ca="1">IF(ISNA(MATCH(A70,sheet2!A:A,0)),H70,IF(INDEX(sheet2!O:O,MATCH(A70,sheet2!A:A,0))&gt;0,IFERROR(INDEX(LEVEL_HELPER!A:A,MATCH(INDEX(sheet2!O:O,MATCH(A70,sheet2!A:A,0)),LEVEL_HELPER!B:B,0)),H70),H70))</f>
        <v>Foundation</v>
      </c>
      <c r="J70" s="47" t="str">
        <f ca="1">IFERROR(_xludf.MAXIFS(ATTENDANCE_LOG!F:F, ATTENDANCE_LOG!C:C, A70&amp;"", ATTENDANCE_LOG!G:G, "Present"), "")</f>
        <v/>
      </c>
      <c r="K70" s="48" t="str">
        <f t="shared" ca="1" si="0"/>
        <v/>
      </c>
      <c r="L70" s="49" t="str">
        <f t="shared" ca="1" si="1"/>
        <v/>
      </c>
      <c r="M70" s="36" t="s">
        <v>34</v>
      </c>
      <c r="N70" s="50" t="s">
        <v>35</v>
      </c>
      <c r="O70" s="36"/>
      <c r="P70" s="36"/>
      <c r="Q70" s="36"/>
      <c r="R70" s="36"/>
      <c r="S70" s="36"/>
      <c r="T70" s="36"/>
      <c r="U70" s="36"/>
      <c r="V70" s="36"/>
      <c r="W70" s="59"/>
      <c r="X70" s="59"/>
      <c r="Y70" s="59"/>
    </row>
    <row r="71" spans="1:25" ht="15.75" customHeight="1">
      <c r="A71" s="42" t="s">
        <v>279</v>
      </c>
      <c r="B71" s="43" t="s">
        <v>280</v>
      </c>
      <c r="C71" s="44" t="str">
        <f ca="1">IFERROR(__xludf.DUMMYFUNCTION("arrayformula(VLOOKUP(to_Text(A71),to_Text(sheet2!$A$1:M1002),13,0))"),"MOC")</f>
        <v>MOC</v>
      </c>
      <c r="D71" s="45" t="str">
        <f ca="1">IFERROR(__xludf.DUMMYFUNCTION("arrayformula(VLOOKUP(to_Text(A71),to_Text(sheet2!$A$1:M1002),12,0))"),"DEV")</f>
        <v>DEV</v>
      </c>
      <c r="E71" s="43" t="str">
        <f t="shared" ca="1" si="7"/>
        <v>Active</v>
      </c>
      <c r="F71" s="42" t="str">
        <f t="array" aca="1" ref="F71" ca="1">IFERROR(
  INDEX(ATTENDANCE_INPUT!D:D,
    MATCH(1,
      (ATTENDANCE_INPUT!A:A=A71) *
      (ATTENDANCE_INPUT!V:V=_xludf.MAXIFS(ATTENDANCE_INPUT!V:V, ATTENDANCE_INPUT!A:A, A71)),
      0)),
  "")</f>
        <v/>
      </c>
      <c r="G71" s="46" t="str">
        <f t="array" aca="1" ref="G71" ca="1">IFERROR(
  INDEX(ATTENDANCE_INPUT!E:E,
    MATCH(1,
      (ATTENDANCE_INPUT!A:A=A71) *
      (ATTENDANCE_INPUT!V:V=_xludf.MAXIFS(ATTENDANCE_INPUT!V:V, ATTENDANCE_INPUT!A:A, A71)),
      0)),
  "")</f>
        <v/>
      </c>
      <c r="H71" s="47" t="str">
        <f t="array" aca="1" ref="H71" ca="1">IF(ISNA(MATCH(A71,sheet2!A:A,0)),"⏳ Chưa test",IFERROR(INDEX(LEVEL_HELPER!A:A,MATCH(INDEX(sheet2!N:N,MATCH(A71,sheet2!A:A,0)),LEVEL_HELPER!B:B,0)),"⏳ Chưa test"))</f>
        <v>Beginner</v>
      </c>
      <c r="I71" s="47" t="str">
        <f t="array" aca="1" ref="I71" ca="1">IF(ISNA(MATCH(A71,sheet2!A:A,0)),H71,IF(INDEX(sheet2!O:O,MATCH(A71,sheet2!A:A,0))&gt;0,IFERROR(INDEX(LEVEL_HELPER!A:A,MATCH(INDEX(sheet2!O:O,MATCH(A71,sheet2!A:A,0)),LEVEL_HELPER!B:B,0)),H71),H71))</f>
        <v>Beginner</v>
      </c>
      <c r="J71" s="47" t="str">
        <f ca="1">IFERROR(_xludf.MAXIFS(ATTENDANCE_LOG!F:F, ATTENDANCE_LOG!C:C, A71&amp;"", ATTENDANCE_LOG!G:G, "Present"), "")</f>
        <v/>
      </c>
      <c r="K71" s="48" t="str">
        <f t="shared" ca="1" si="0"/>
        <v/>
      </c>
      <c r="L71" s="49" t="str">
        <f t="shared" ca="1" si="1"/>
        <v/>
      </c>
      <c r="M71" s="36" t="s">
        <v>34</v>
      </c>
      <c r="N71" s="50" t="s">
        <v>33</v>
      </c>
      <c r="O71" s="36"/>
      <c r="P71" s="36"/>
      <c r="Q71" s="36"/>
      <c r="R71" s="36"/>
      <c r="S71" s="36"/>
      <c r="T71" s="36"/>
      <c r="U71" s="36"/>
      <c r="V71" s="36"/>
      <c r="W71" s="59"/>
      <c r="X71" s="59"/>
      <c r="Y71" s="59"/>
    </row>
    <row r="72" spans="1:25" ht="15.75" customHeight="1">
      <c r="A72" s="53" t="s">
        <v>281</v>
      </c>
      <c r="B72" s="54" t="s">
        <v>282</v>
      </c>
      <c r="C72" s="44" t="str">
        <f ca="1">IFERROR(__xludf.DUMMYFUNCTION("arrayformula(VLOOKUP(to_Text(A72),to_Text(sheet2!$A$1:M1002),13,0))"),"MOC")</f>
        <v>MOC</v>
      </c>
      <c r="D72" s="45" t="str">
        <f ca="1">IFERROR(__xludf.DUMMYFUNCTION("arrayformula(VLOOKUP(to_Text(A72),to_Text(sheet2!$A$1:M1002),12,0))"),"DEV")</f>
        <v>DEV</v>
      </c>
      <c r="E72" s="43" t="s">
        <v>175</v>
      </c>
      <c r="F72" s="42" t="str">
        <f t="array" aca="1" ref="F72" ca="1">IFERROR(
  INDEX(ATTENDANCE_INPUT!D:D,
    MATCH(1,
      (ATTENDANCE_INPUT!A:A=A72) *
      (ATTENDANCE_INPUT!V:V=_xludf.MAXIFS(ATTENDANCE_INPUT!V:V, ATTENDANCE_INPUT!A:A, A72)),
      0)),
  "")</f>
        <v/>
      </c>
      <c r="G72" s="46" t="str">
        <f t="array" aca="1" ref="G72" ca="1">IFERROR(
  INDEX(ATTENDANCE_INPUT!E:E,
    MATCH(1,
      (ATTENDANCE_INPUT!A:A=A72) *
      (ATTENDANCE_INPUT!V:V=_xludf.MAXIFS(ATTENDANCE_INPUT!V:V, ATTENDANCE_INPUT!A:A, A72)),
      0)),
  "")</f>
        <v/>
      </c>
      <c r="H72" s="47" t="str">
        <f t="array" aca="1" ref="H72" ca="1">IF(ISNA(MATCH(A72,sheet2!A:A,0)),"⏳ Chưa test",IFERROR(INDEX(LEVEL_HELPER!A:A,MATCH(INDEX(sheet2!N:N,MATCH(A72,sheet2!A:A,0)),LEVEL_HELPER!B:B,0)),"⏳ Chưa test"))</f>
        <v>Beginner</v>
      </c>
      <c r="I72" s="47" t="str">
        <f t="array" aca="1" ref="I72" ca="1">IF(ISNA(MATCH(A72,sheet2!A:A,0)),H72,IF(INDEX(sheet2!O:O,MATCH(A72,sheet2!A:A,0))&gt;0,IFERROR(INDEX(LEVEL_HELPER!A:A,MATCH(INDEX(sheet2!O:O,MATCH(A72,sheet2!A:A,0)),LEVEL_HELPER!B:B,0)),H72),H72))</f>
        <v>Beginner</v>
      </c>
      <c r="J72" s="55" t="str">
        <f ca="1">IFERROR(_xludf.MAXIFS(ATTENDANCE_LOG!F:F, ATTENDANCE_LOG!C:C, A72&amp;"", ATTENDANCE_LOG!G:G, "Present"), "")</f>
        <v/>
      </c>
      <c r="K72" s="56" t="str">
        <f t="shared" ca="1" si="0"/>
        <v/>
      </c>
      <c r="L72" s="57" t="str">
        <f t="shared" ca="1" si="1"/>
        <v/>
      </c>
      <c r="M72" s="51"/>
      <c r="N72" s="50"/>
      <c r="O72" s="36"/>
      <c r="P72" s="36"/>
      <c r="Q72" s="36"/>
      <c r="R72" s="36">
        <v>247139</v>
      </c>
      <c r="S72" s="36" t="s">
        <v>172</v>
      </c>
      <c r="T72" s="36" t="s">
        <v>39</v>
      </c>
      <c r="U72" s="36" t="str">
        <f ca="1">IFERROR(__xludf.DUMMYFUNCTION("arrayformula(vlookup(to_text(R72),to_text($A$4:$B1061),2,0))"),"#N/A")</f>
        <v>#N/A</v>
      </c>
      <c r="V72" s="36"/>
      <c r="W72" s="37"/>
      <c r="X72" s="37"/>
      <c r="Y72" s="37"/>
    </row>
    <row r="73" spans="1:25" ht="15.75" customHeight="1">
      <c r="A73" s="42" t="s">
        <v>108</v>
      </c>
      <c r="B73" s="43" t="s">
        <v>283</v>
      </c>
      <c r="C73" s="44" t="str">
        <f ca="1">IFERROR(__xludf.DUMMYFUNCTION("arrayformula(VLOOKUP(to_Text(A73),to_Text(sheet2!$A$1:M1002),13,0))"),"POC")</f>
        <v>POC</v>
      </c>
      <c r="D73" s="45" t="str">
        <f ca="1">IFERROR(__xludf.DUMMYFUNCTION("arrayformula(VLOOKUP(to_Text(A73),to_Text(sheet2!$A$1:M1002),12,0))"),"DEV")</f>
        <v>DEV</v>
      </c>
      <c r="E73" s="43" t="str">
        <f t="shared" ref="E73:E75" ca="1" si="8">IF(L73="⚠ Possibly Dropped","Inactive","Active")</f>
        <v>Active</v>
      </c>
      <c r="F73" s="42" t="str">
        <f t="array" aca="1" ref="F73" ca="1">IFERROR(
  INDEX(ATTENDANCE_INPUT!D:D,
    MATCH(1,
      (ATTENDANCE_INPUT!A:A=A73) *
      (ATTENDANCE_INPUT!V:V=_xludf.MAXIFS(ATTENDANCE_INPUT!V:V, ATTENDANCE_INPUT!A:A, A73)),
      0)),
  "")</f>
        <v/>
      </c>
      <c r="G73" s="46" t="str">
        <f t="array" aca="1" ref="G73" ca="1">IFERROR(
  INDEX(ATTENDANCE_INPUT!E:E,
    MATCH(1,
      (ATTENDANCE_INPUT!A:A=A73) *
      (ATTENDANCE_INPUT!V:V=_xludf.MAXIFS(ATTENDANCE_INPUT!V:V, ATTENDANCE_INPUT!A:A, A73)),
      0)),
  "")</f>
        <v/>
      </c>
      <c r="H73" s="47" t="str">
        <f t="array" aca="1" ref="H73" ca="1">IF(ISNA(MATCH(A73,sheet2!A:A,0)),"⏳ Chưa test",IFERROR(INDEX(LEVEL_HELPER!A:A,MATCH(INDEX(sheet2!N:N,MATCH(A73,sheet2!A:A,0)),LEVEL_HELPER!B:B,0)),"⏳ Chưa test"))</f>
        <v>Beginner</v>
      </c>
      <c r="I73" s="47" t="str">
        <f t="array" aca="1" ref="I73" ca="1">IF(ISNA(MATCH(A73,sheet2!A:A,0)),H73,IF(INDEX(sheet2!O:O,MATCH(A73,sheet2!A:A,0))&gt;0,IFERROR(INDEX(LEVEL_HELPER!A:A,MATCH(INDEX(sheet2!O:O,MATCH(A73,sheet2!A:A,0)),LEVEL_HELPER!B:B,0)),H73),H73))</f>
        <v>Beginner</v>
      </c>
      <c r="J73" s="47" t="str">
        <f ca="1">IFERROR(_xludf.MAXIFS(ATTENDANCE_LOG!F:F, ATTENDANCE_LOG!C:C, A73&amp;"", ATTENDANCE_LOG!G:G, "Present"), "")</f>
        <v/>
      </c>
      <c r="K73" s="48" t="str">
        <f t="shared" ca="1" si="0"/>
        <v/>
      </c>
      <c r="L73" s="49" t="str">
        <f t="shared" ca="1" si="1"/>
        <v/>
      </c>
      <c r="M73" s="36"/>
      <c r="N73" s="50"/>
      <c r="O73" s="36"/>
      <c r="P73" s="36"/>
      <c r="Q73" s="36"/>
      <c r="R73" s="36"/>
      <c r="S73" s="36"/>
      <c r="T73" s="36"/>
      <c r="U73" s="36"/>
      <c r="V73" s="36"/>
      <c r="W73" s="59"/>
      <c r="X73" s="59"/>
      <c r="Y73" s="59"/>
    </row>
    <row r="74" spans="1:25" ht="15.75" customHeight="1">
      <c r="A74" s="42" t="s">
        <v>284</v>
      </c>
      <c r="B74" s="43" t="s">
        <v>285</v>
      </c>
      <c r="C74" s="44" t="str">
        <f ca="1">IFERROR(__xludf.DUMMYFUNCTION("arrayformula(VLOOKUP(to_Text(A74),to_Text(sheet2!$A$1:M1002),13,0))"),"CHORUS")</f>
        <v>CHORUS</v>
      </c>
      <c r="D74" s="45" t="str">
        <f ca="1">IFERROR(__xludf.DUMMYFUNCTION("arrayformula(VLOOKUP(to_Text(A74),to_Text(sheet2!$A$1:M1002),12,0))"),"DEV")</f>
        <v>DEV</v>
      </c>
      <c r="E74" s="43" t="str">
        <f t="shared" ca="1" si="8"/>
        <v>Active</v>
      </c>
      <c r="F74" s="42" t="str">
        <f t="array" aca="1" ref="F74" ca="1">IFERROR(
  INDEX(ATTENDANCE_INPUT!D:D,
    MATCH(1,
      (ATTENDANCE_INPUT!A:A=A74) *
      (ATTENDANCE_INPUT!V:V=_xludf.MAXIFS(ATTENDANCE_INPUT!V:V, ATTENDANCE_INPUT!A:A, A74)),
      0)),
  "")</f>
        <v/>
      </c>
      <c r="G74" s="46" t="str">
        <f t="array" aca="1" ref="G74" ca="1">IFERROR(
  INDEX(ATTENDANCE_INPUT!E:E,
    MATCH(1,
      (ATTENDANCE_INPUT!A:A=A74) *
      (ATTENDANCE_INPUT!V:V=_xludf.MAXIFS(ATTENDANCE_INPUT!V:V, ATTENDANCE_INPUT!A:A, A74)),
      0)),
  "")</f>
        <v/>
      </c>
      <c r="H74" s="47" t="str">
        <f t="array" aca="1" ref="H74" ca="1">IF(ISNA(MATCH(A74,sheet2!A:A,0)),"⏳ Chưa test",IFERROR(INDEX(LEVEL_HELPER!A:A,MATCH(INDEX(sheet2!N:N,MATCH(A74,sheet2!A:A,0)),LEVEL_HELPER!B:B,0)),"⏳ Chưa test"))</f>
        <v>Foundation</v>
      </c>
      <c r="I74" s="47" t="str">
        <f t="array" aca="1" ref="I74" ca="1">IF(ISNA(MATCH(A74,sheet2!A:A,0)),H74,IF(INDEX(sheet2!O:O,MATCH(A74,sheet2!A:A,0))&gt;0,IFERROR(INDEX(LEVEL_HELPER!A:A,MATCH(INDEX(sheet2!O:O,MATCH(A74,sheet2!A:A,0)),LEVEL_HELPER!B:B,0)),H74),H74))</f>
        <v>Foundation</v>
      </c>
      <c r="J74" s="47" t="str">
        <f ca="1">IFERROR(_xludf.MAXIFS(ATTENDANCE_LOG!F:F, ATTENDANCE_LOG!C:C, A74&amp;"", ATTENDANCE_LOG!G:G, "Present"), "")</f>
        <v/>
      </c>
      <c r="K74" s="48" t="str">
        <f t="shared" ca="1" si="0"/>
        <v/>
      </c>
      <c r="L74" s="49" t="str">
        <f t="shared" ca="1" si="1"/>
        <v/>
      </c>
      <c r="M74" s="36"/>
      <c r="N74" s="50"/>
      <c r="O74" s="36"/>
      <c r="P74" s="36"/>
      <c r="Q74" s="36"/>
      <c r="R74" s="36"/>
      <c r="S74" s="36"/>
      <c r="T74" s="36"/>
      <c r="U74" s="36"/>
      <c r="V74" s="36"/>
      <c r="W74" s="59"/>
      <c r="X74" s="59"/>
      <c r="Y74" s="59"/>
    </row>
    <row r="75" spans="1:25" ht="15.75" customHeight="1">
      <c r="A75" s="42" t="s">
        <v>286</v>
      </c>
      <c r="B75" s="43" t="s">
        <v>287</v>
      </c>
      <c r="C75" s="44" t="str">
        <f ca="1">IFERROR(__xludf.DUMMYFUNCTION("arrayformula(VLOOKUP(to_Text(A75),to_Text(sheet2!$A$1:M1002),13,0))"),"ONC")</f>
        <v>ONC</v>
      </c>
      <c r="D75" s="45" t="str">
        <f ca="1">IFERROR(__xludf.DUMMYFUNCTION("arrayformula(VLOOKUP(to_Text(A75),to_Text(sheet2!$A$1:M1002),12,0))"),"QC")</f>
        <v>QC</v>
      </c>
      <c r="E75" s="43" t="str">
        <f t="shared" ca="1" si="8"/>
        <v>Active</v>
      </c>
      <c r="F75" s="42" t="str">
        <f t="array" aca="1" ref="F75" ca="1">IFERROR(
  INDEX(ATTENDANCE_INPUT!D:D,
    MATCH(1,
      (ATTENDANCE_INPUT!A:A=A75) *
      (ATTENDANCE_INPUT!V:V=_xludf.MAXIFS(ATTENDANCE_INPUT!V:V, ATTENDANCE_INPUT!A:A, A75)),
      0)),
  "")</f>
        <v/>
      </c>
      <c r="G75" s="46" t="str">
        <f t="array" aca="1" ref="G75" ca="1">IFERROR(
  INDEX(ATTENDANCE_INPUT!E:E,
    MATCH(1,
      (ATTENDANCE_INPUT!A:A=A75) *
      (ATTENDANCE_INPUT!V:V=_xludf.MAXIFS(ATTENDANCE_INPUT!V:V, ATTENDANCE_INPUT!A:A, A75)),
      0)),
  "")</f>
        <v/>
      </c>
      <c r="H75" s="47" t="str">
        <f t="array" aca="1" ref="H75" ca="1">IF(ISNA(MATCH(A75,sheet2!A:A,0)),"⏳ Chưa test",IFERROR(INDEX(LEVEL_HELPER!A:A,MATCH(INDEX(sheet2!N:N,MATCH(A75,sheet2!A:A,0)),LEVEL_HELPER!B:B,0)),"⏳ Chưa test"))</f>
        <v>Foundation</v>
      </c>
      <c r="I75" s="47" t="str">
        <f t="array" aca="1" ref="I75" ca="1">IF(ISNA(MATCH(A75,sheet2!A:A,0)),H75,IF(INDEX(sheet2!O:O,MATCH(A75,sheet2!A:A,0))&gt;0,IFERROR(INDEX(LEVEL_HELPER!A:A,MATCH(INDEX(sheet2!O:O,MATCH(A75,sheet2!A:A,0)),LEVEL_HELPER!B:B,0)),H75),H75))</f>
        <v>Foundation</v>
      </c>
      <c r="J75" s="47" t="str">
        <f ca="1">IFERROR(_xludf.MAXIFS(ATTENDANCE_LOG!F:F, ATTENDANCE_LOG!C:C, A75&amp;"", ATTENDANCE_LOG!G:G, "Present"), "")</f>
        <v/>
      </c>
      <c r="K75" s="48" t="str">
        <f t="shared" ca="1" si="0"/>
        <v/>
      </c>
      <c r="L75" s="49" t="str">
        <f t="shared" ca="1" si="1"/>
        <v/>
      </c>
      <c r="M75" s="36"/>
      <c r="N75" s="50"/>
      <c r="O75" s="36"/>
      <c r="P75" s="36"/>
      <c r="Q75" s="36"/>
      <c r="R75" s="36"/>
      <c r="S75" s="36"/>
      <c r="T75" s="36"/>
      <c r="U75" s="36"/>
      <c r="V75" s="36"/>
      <c r="W75" s="59"/>
      <c r="X75" s="59"/>
      <c r="Y75" s="59"/>
    </row>
    <row r="76" spans="1:25" ht="15.75" customHeight="1">
      <c r="A76" s="42" t="s">
        <v>288</v>
      </c>
      <c r="B76" s="43" t="s">
        <v>289</v>
      </c>
      <c r="C76" s="44" t="str">
        <f ca="1">IFERROR(__xludf.DUMMYFUNCTION("arrayformula(VLOOKUP(to_Text(A76),to_Text(sheet2!$A$1:M1002),13,0))"),"LBU")</f>
        <v>LBU</v>
      </c>
      <c r="D76" s="45" t="str">
        <f ca="1">IFERROR(__xludf.DUMMYFUNCTION("arrayformula(VLOOKUP(to_Text(A76),to_Text(sheet2!$A$1:M1002),12,0))"),"Designer")</f>
        <v>Designer</v>
      </c>
      <c r="E76" s="43" t="s">
        <v>16</v>
      </c>
      <c r="F76" s="42" t="str">
        <f t="array" aca="1" ref="F76" ca="1">IFERROR(
  INDEX(ATTENDANCE_INPUT!D:D,
    MATCH(1,
      (ATTENDANCE_INPUT!A:A=A76) *
      (ATTENDANCE_INPUT!V:V=_xludf.MAXIFS(ATTENDANCE_INPUT!V:V, ATTENDANCE_INPUT!A:A, A76)),
      0)),
  "")</f>
        <v/>
      </c>
      <c r="G76" s="46" t="str">
        <f t="array" aca="1" ref="G76" ca="1">IFERROR(
  INDEX(ATTENDANCE_INPUT!E:E,
    MATCH(1,
      (ATTENDANCE_INPUT!A:A=A76) *
      (ATTENDANCE_INPUT!V:V=_xludf.MAXIFS(ATTENDANCE_INPUT!V:V, ATTENDANCE_INPUT!A:A, A76)),
      0)),
  "")</f>
        <v/>
      </c>
      <c r="H76" s="47" t="str">
        <f t="array" aca="1" ref="H76" ca="1">IF(ISNA(MATCH(A76,sheet2!A:A,0)),"⏳ Chưa test",IFERROR(INDEX(LEVEL_HELPER!A:A,MATCH(INDEX(sheet2!N:N,MATCH(A76,sheet2!A:A,0)),LEVEL_HELPER!B:B,0)),"⏳ Chưa test"))</f>
        <v>Intermediate</v>
      </c>
      <c r="I76" s="47" t="str">
        <f t="array" aca="1" ref="I76" ca="1">IF(ISNA(MATCH(A76,sheet2!A:A,0)),H76,IF(INDEX(sheet2!O:O,MATCH(A76,sheet2!A:A,0))&gt;0,IFERROR(INDEX(LEVEL_HELPER!A:A,MATCH(INDEX(sheet2!O:O,MATCH(A76,sheet2!A:A,0)),LEVEL_HELPER!B:B,0)),H76),H76))</f>
        <v>Intermediate</v>
      </c>
      <c r="J76" s="47" t="str">
        <f ca="1">IFERROR(_xludf.MAXIFS(ATTENDANCE_LOG!F:F, ATTENDANCE_LOG!C:C, A76&amp;"", ATTENDANCE_LOG!G:G, "Present"), "")</f>
        <v/>
      </c>
      <c r="K76" s="48" t="str">
        <f t="shared" ca="1" si="0"/>
        <v/>
      </c>
      <c r="L76" s="49" t="str">
        <f t="shared" ca="1" si="1"/>
        <v/>
      </c>
      <c r="M76" s="36" t="s">
        <v>34</v>
      </c>
      <c r="N76" s="50" t="s">
        <v>37</v>
      </c>
      <c r="O76" s="36"/>
      <c r="P76" s="36"/>
      <c r="Q76" s="36"/>
      <c r="R76" s="36"/>
      <c r="S76" s="36"/>
      <c r="T76" s="36"/>
      <c r="U76" s="36"/>
      <c r="V76" s="36"/>
      <c r="W76" s="59"/>
      <c r="X76" s="59"/>
      <c r="Y76" s="59"/>
    </row>
    <row r="77" spans="1:25" ht="15.75" customHeight="1">
      <c r="A77" s="42" t="s">
        <v>290</v>
      </c>
      <c r="B77" s="43" t="s">
        <v>291</v>
      </c>
      <c r="C77" s="44" t="str">
        <f ca="1">IFERROR(__xludf.DUMMYFUNCTION("arrayformula(VLOOKUP(to_Text(A77),to_Text(sheet2!$A$1:M1002),13,0))"),"POC")</f>
        <v>POC</v>
      </c>
      <c r="D77" s="45" t="str">
        <f ca="1">IFERROR(__xludf.DUMMYFUNCTION("arrayformula(VLOOKUP(to_Text(A77),to_Text(sheet2!$A$1:M1002),12,0))"),"GSD")</f>
        <v>GSD</v>
      </c>
      <c r="E77" s="43" t="str">
        <f ca="1">IF(L77="⚠ Possibly Dropped","Inactive","Active")</f>
        <v>Active</v>
      </c>
      <c r="F77" s="42" t="str">
        <f t="array" aca="1" ref="F77" ca="1">IFERROR(
  INDEX(ATTENDANCE_INPUT!D:D,
    MATCH(1,
      (ATTENDANCE_INPUT!A:A=A77) *
      (ATTENDANCE_INPUT!V:V=_xludf.MAXIFS(ATTENDANCE_INPUT!V:V, ATTENDANCE_INPUT!A:A, A77)),
      0)),
  "")</f>
        <v/>
      </c>
      <c r="G77" s="46" t="str">
        <f t="array" aca="1" ref="G77" ca="1">IFERROR(
  INDEX(ATTENDANCE_INPUT!E:E,
    MATCH(1,
      (ATTENDANCE_INPUT!A:A=A77) *
      (ATTENDANCE_INPUT!V:V=_xludf.MAXIFS(ATTENDANCE_INPUT!V:V, ATTENDANCE_INPUT!A:A, A77)),
      0)),
  "")</f>
        <v/>
      </c>
      <c r="H77" s="47" t="str">
        <f t="array" aca="1" ref="H77" ca="1">IF(ISNA(MATCH(A77,sheet2!A:A,0)),"⏳ Chưa test",IFERROR(INDEX(LEVEL_HELPER!A:A,MATCH(INDEX(sheet2!N:N,MATCH(A77,sheet2!A:A,0)),LEVEL_HELPER!B:B,0)),"⏳ Chưa test"))</f>
        <v>Foundation</v>
      </c>
      <c r="I77" s="47" t="str">
        <f t="array" aca="1" ref="I77" ca="1">IF(ISNA(MATCH(A77,sheet2!A:A,0)),H77,IF(INDEX(sheet2!O:O,MATCH(A77,sheet2!A:A,0))&gt;0,IFERROR(INDEX(LEVEL_HELPER!A:A,MATCH(INDEX(sheet2!O:O,MATCH(A77,sheet2!A:A,0)),LEVEL_HELPER!B:B,0)),H77),H77))</f>
        <v>Foundation</v>
      </c>
      <c r="J77" s="47" t="str">
        <f ca="1">IFERROR(_xludf.MAXIFS(ATTENDANCE_LOG!F:F, ATTENDANCE_LOG!C:C, A77&amp;"", ATTENDANCE_LOG!G:G, "Present"), "")</f>
        <v/>
      </c>
      <c r="K77" s="48" t="str">
        <f t="shared" ca="1" si="0"/>
        <v/>
      </c>
      <c r="L77" s="49" t="str">
        <f t="shared" ca="1" si="1"/>
        <v/>
      </c>
      <c r="M77" s="36"/>
      <c r="N77" s="50"/>
      <c r="O77" s="36"/>
      <c r="P77" s="36"/>
      <c r="Q77" s="36"/>
      <c r="R77" s="36"/>
      <c r="S77" s="36"/>
      <c r="T77" s="36"/>
      <c r="U77" s="36"/>
      <c r="V77" s="36"/>
      <c r="W77" s="59"/>
      <c r="X77" s="59"/>
      <c r="Y77" s="59"/>
    </row>
    <row r="78" spans="1:25" ht="15.75" customHeight="1">
      <c r="A78" s="42" t="s">
        <v>292</v>
      </c>
      <c r="B78" s="43" t="s">
        <v>293</v>
      </c>
      <c r="C78" s="44" t="str">
        <f ca="1">IFERROR(__xludf.DUMMYFUNCTION("arrayformula(VLOOKUP(to_Text(A78),to_Text(sheet2!$A$1:M1002),13,0))"),"BSG")</f>
        <v>BSG</v>
      </c>
      <c r="D78" s="45" t="str">
        <f ca="1">IFERROR(__xludf.DUMMYFUNCTION("arrayformula(VLOOKUP(to_Text(A78),to_Text(sheet2!$A$1:M1002),12,0))"),"HR")</f>
        <v>HR</v>
      </c>
      <c r="E78" s="43" t="s">
        <v>16</v>
      </c>
      <c r="F78" s="42" t="str">
        <f t="array" aca="1" ref="F78" ca="1">IFERROR(
  INDEX(ATTENDANCE_INPUT!D:D,
    MATCH(1,
      (ATTENDANCE_INPUT!A:A=A78) *
      (ATTENDANCE_INPUT!V:V=_xludf.MAXIFS(ATTENDANCE_INPUT!V:V, ATTENDANCE_INPUT!A:A, A78)),
      0)),
  "")</f>
        <v/>
      </c>
      <c r="G78" s="46" t="str">
        <f t="array" aca="1" ref="G78" ca="1">IFERROR(
  INDEX(ATTENDANCE_INPUT!E:E,
    MATCH(1,
      (ATTENDANCE_INPUT!A:A=A78) *
      (ATTENDANCE_INPUT!V:V=_xludf.MAXIFS(ATTENDANCE_INPUT!V:V, ATTENDANCE_INPUT!A:A, A78)),
      0)),
  "")</f>
        <v/>
      </c>
      <c r="H78" s="47" t="str">
        <f t="array" aca="1" ref="H78" ca="1">IF(ISNA(MATCH(A78,sheet2!A:A,0)),"⏳ Chưa test",IFERROR(INDEX(LEVEL_HELPER!A:A,MATCH(INDEX(sheet2!N:N,MATCH(A78,sheet2!A:A,0)),LEVEL_HELPER!B:B,0)),"⏳ Chưa test"))</f>
        <v>Beginner</v>
      </c>
      <c r="I78" s="47" t="str">
        <f t="array" aca="1" ref="I78" ca="1">IF(ISNA(MATCH(A78,sheet2!A:A,0)),H78,IF(INDEX(sheet2!O:O,MATCH(A78,sheet2!A:A,0))&gt;0,IFERROR(INDEX(LEVEL_HELPER!A:A,MATCH(INDEX(sheet2!O:O,MATCH(A78,sheet2!A:A,0)),LEVEL_HELPER!B:B,0)),H78),H78))</f>
        <v>Beginner</v>
      </c>
      <c r="J78" s="47" t="str">
        <f ca="1">IFERROR(_xludf.MAXIFS(ATTENDANCE_LOG!F:F, ATTENDANCE_LOG!C:C, A78&amp;"", ATTENDANCE_LOG!G:G, "Present"), "")</f>
        <v/>
      </c>
      <c r="K78" s="48" t="str">
        <f t="shared" ca="1" si="0"/>
        <v/>
      </c>
      <c r="L78" s="49" t="str">
        <f t="shared" ca="1" si="1"/>
        <v/>
      </c>
      <c r="M78" s="36" t="s">
        <v>34</v>
      </c>
      <c r="N78" s="50" t="s">
        <v>33</v>
      </c>
      <c r="O78" s="36" t="s">
        <v>236</v>
      </c>
      <c r="P78" s="36"/>
      <c r="Q78" s="36"/>
      <c r="R78" s="36"/>
      <c r="S78" s="36"/>
      <c r="T78" s="36"/>
      <c r="U78" s="36"/>
      <c r="V78" s="36"/>
      <c r="W78" s="59"/>
      <c r="X78" s="59"/>
      <c r="Y78" s="59"/>
    </row>
    <row r="79" spans="1:25" ht="15.75" customHeight="1">
      <c r="A79" s="42" t="s">
        <v>294</v>
      </c>
      <c r="B79" s="43" t="s">
        <v>295</v>
      </c>
      <c r="C79" s="44" t="str">
        <f ca="1">IFERROR(__xludf.DUMMYFUNCTION("arrayformula(VLOOKUP(to_Text(A79),to_Text(sheet2!$A$1:M1002),13,0))"),"LBU")</f>
        <v>LBU</v>
      </c>
      <c r="D79" s="45" t="str">
        <f ca="1">IFERROR(__xludf.DUMMYFUNCTION("arrayformula(VLOOKUP(to_Text(A79),to_Text(sheet2!$A$1:M1002),12,0))"),"GSD")</f>
        <v>GSD</v>
      </c>
      <c r="E79" s="43" t="str">
        <f t="shared" ref="E79:E80" ca="1" si="9">IF(L79="⚠ Possibly Dropped","Inactive","Active")</f>
        <v>Active</v>
      </c>
      <c r="F79" s="42" t="str">
        <f t="array" aca="1" ref="F79" ca="1">IFERROR(
  INDEX(ATTENDANCE_INPUT!D:D,
    MATCH(1,
      (ATTENDANCE_INPUT!A:A=A79) *
      (ATTENDANCE_INPUT!V:V=_xludf.MAXIFS(ATTENDANCE_INPUT!V:V, ATTENDANCE_INPUT!A:A, A79)),
      0)),
  "")</f>
        <v/>
      </c>
      <c r="G79" s="46" t="str">
        <f t="array" aca="1" ref="G79" ca="1">IFERROR(
  INDEX(ATTENDANCE_INPUT!E:E,
    MATCH(1,
      (ATTENDANCE_INPUT!A:A=A79) *
      (ATTENDANCE_INPUT!V:V=_xludf.MAXIFS(ATTENDANCE_INPUT!V:V, ATTENDANCE_INPUT!A:A, A79)),
      0)),
  "")</f>
        <v/>
      </c>
      <c r="H79" s="47" t="str">
        <f t="array" aca="1" ref="H79" ca="1">IF(ISNA(MATCH(A79,sheet2!A:A,0)),"⏳ Chưa test",IFERROR(INDEX(LEVEL_HELPER!A:A,MATCH(INDEX(sheet2!N:N,MATCH(A79,sheet2!A:A,0)),LEVEL_HELPER!B:B,0)),"⏳ Chưa test"))</f>
        <v>Beginner</v>
      </c>
      <c r="I79" s="47" t="str">
        <f t="array" aca="1" ref="I79" ca="1">IF(ISNA(MATCH(A79,sheet2!A:A,0)),H79,IF(INDEX(sheet2!O:O,MATCH(A79,sheet2!A:A,0))&gt;0,IFERROR(INDEX(LEVEL_HELPER!A:A,MATCH(INDEX(sheet2!O:O,MATCH(A79,sheet2!A:A,0)),LEVEL_HELPER!B:B,0)),H79),H79))</f>
        <v>Beginner</v>
      </c>
      <c r="J79" s="47" t="str">
        <f ca="1">IFERROR(_xludf.MAXIFS(ATTENDANCE_LOG!F:F, ATTENDANCE_LOG!C:C, A79&amp;"", ATTENDANCE_LOG!G:G, "Present"), "")</f>
        <v/>
      </c>
      <c r="K79" s="48" t="str">
        <f t="shared" ca="1" si="0"/>
        <v/>
      </c>
      <c r="L79" s="49" t="str">
        <f t="shared" ca="1" si="1"/>
        <v/>
      </c>
      <c r="M79" s="36"/>
      <c r="N79" s="50" t="s">
        <v>35</v>
      </c>
      <c r="O79" s="36"/>
      <c r="P79" s="36"/>
      <c r="Q79" s="36"/>
      <c r="R79" s="36">
        <v>227174</v>
      </c>
      <c r="S79" s="36" t="s">
        <v>178</v>
      </c>
      <c r="T79" s="36" t="s">
        <v>179</v>
      </c>
      <c r="U79" s="36" t="e">
        <v>#N/A</v>
      </c>
      <c r="V79" s="36"/>
      <c r="W79" s="59"/>
      <c r="X79" s="59"/>
      <c r="Y79" s="59"/>
    </row>
    <row r="80" spans="1:25" ht="15.75" customHeight="1">
      <c r="A80" s="42" t="s">
        <v>296</v>
      </c>
      <c r="B80" s="43" t="s">
        <v>297</v>
      </c>
      <c r="C80" s="44" t="str">
        <f ca="1">IFERROR(__xludf.DUMMYFUNCTION("arrayformula(VLOOKUP(to_Text(A80),to_Text(sheet2!$A$1:M1002),13,0))"),"POC")</f>
        <v>POC</v>
      </c>
      <c r="D80" s="45" t="str">
        <f ca="1">IFERROR(__xludf.DUMMYFUNCTION("arrayformula(VLOOKUP(to_Text(A80),to_Text(sheet2!$A$1:M1002),12,0))"),"QC")</f>
        <v>QC</v>
      </c>
      <c r="E80" s="43" t="str">
        <f t="shared" ca="1" si="9"/>
        <v>Active</v>
      </c>
      <c r="F80" s="42" t="str">
        <f t="array" aca="1" ref="F80" ca="1">IFERROR(
  INDEX(ATTENDANCE_INPUT!D:D,
    MATCH(1,
      (ATTENDANCE_INPUT!A:A=A80) *
      (ATTENDANCE_INPUT!V:V=_xludf.MAXIFS(ATTENDANCE_INPUT!V:V, ATTENDANCE_INPUT!A:A, A80)),
      0)),
  "")</f>
        <v/>
      </c>
      <c r="G80" s="46" t="str">
        <f t="array" aca="1" ref="G80" ca="1">IFERROR(
  INDEX(ATTENDANCE_INPUT!E:E,
    MATCH(1,
      (ATTENDANCE_INPUT!A:A=A80) *
      (ATTENDANCE_INPUT!V:V=_xludf.MAXIFS(ATTENDANCE_INPUT!V:V, ATTENDANCE_INPUT!A:A, A80)),
      0)),
  "")</f>
        <v/>
      </c>
      <c r="H80" s="47" t="str">
        <f t="array" aca="1" ref="H80" ca="1">IF(ISNA(MATCH(A80,sheet2!A:A,0)),"⏳ Chưa test",IFERROR(INDEX(LEVEL_HELPER!A:A,MATCH(INDEX(sheet2!N:N,MATCH(A80,sheet2!A:A,0)),LEVEL_HELPER!B:B,0)),"⏳ Chưa test"))</f>
        <v>Beginner</v>
      </c>
      <c r="I80" s="47" t="str">
        <f t="array" aca="1" ref="I80" ca="1">IF(ISNA(MATCH(A80,sheet2!A:A,0)),H80,IF(INDEX(sheet2!O:O,MATCH(A80,sheet2!A:A,0))&gt;0,IFERROR(INDEX(LEVEL_HELPER!A:A,MATCH(INDEX(sheet2!O:O,MATCH(A80,sheet2!A:A,0)),LEVEL_HELPER!B:B,0)),H80),H80))</f>
        <v>Beginner</v>
      </c>
      <c r="J80" s="47" t="str">
        <f ca="1">IFERROR(_xludf.MAXIFS(ATTENDANCE_LOG!F:F, ATTENDANCE_LOG!C:C, A80&amp;"", ATTENDANCE_LOG!G:G, "Present"), "")</f>
        <v/>
      </c>
      <c r="K80" s="48" t="str">
        <f t="shared" ca="1" si="0"/>
        <v/>
      </c>
      <c r="L80" s="49" t="str">
        <f t="shared" ca="1" si="1"/>
        <v/>
      </c>
      <c r="M80" s="36"/>
      <c r="N80" s="50"/>
      <c r="O80" s="36"/>
      <c r="P80" s="36"/>
      <c r="Q80" s="36"/>
      <c r="R80" s="50">
        <v>247059</v>
      </c>
      <c r="S80" s="50" t="s">
        <v>146</v>
      </c>
      <c r="T80" s="50" t="s">
        <v>33</v>
      </c>
      <c r="U80" s="50" t="e">
        <v>#N/A</v>
      </c>
      <c r="V80" s="36"/>
      <c r="W80" s="59"/>
      <c r="X80" s="59"/>
      <c r="Y80" s="59"/>
    </row>
    <row r="81" spans="1:25" ht="15.75" customHeight="1">
      <c r="A81" s="42" t="s">
        <v>298</v>
      </c>
      <c r="B81" s="43" t="s">
        <v>299</v>
      </c>
      <c r="C81" s="44" t="str">
        <f ca="1">IFERROR(__xludf.DUMMYFUNCTION("arrayformula(VLOOKUP(to_Text(A81),to_Text(sheet2!$A$1:M1002),13,0))"),"ONC")</f>
        <v>ONC</v>
      </c>
      <c r="D81" s="45" t="str">
        <f ca="1">IFERROR(__xludf.DUMMYFUNCTION("arrayformula(VLOOKUP(to_Text(A81),to_Text(sheet2!$A$1:M1002),12,0))"),"DEV")</f>
        <v>DEV</v>
      </c>
      <c r="E81" s="43" t="s">
        <v>15</v>
      </c>
      <c r="F81" s="42" t="str">
        <f t="array" aca="1" ref="F81" ca="1">IFERROR(
  INDEX(ATTENDANCE_INPUT!D:D,
    MATCH(1,
      (ATTENDANCE_INPUT!A:A=A81) *
      (ATTENDANCE_INPUT!V:V=_xludf.MAXIFS(ATTENDANCE_INPUT!V:V, ATTENDANCE_INPUT!A:A, A81)),
      0)),
  "")</f>
        <v/>
      </c>
      <c r="G81" s="46" t="str">
        <f t="array" aca="1" ref="G81" ca="1">IFERROR(
  INDEX(ATTENDANCE_INPUT!E:E,
    MATCH(1,
      (ATTENDANCE_INPUT!A:A=A81) *
      (ATTENDANCE_INPUT!V:V=_xludf.MAXIFS(ATTENDANCE_INPUT!V:V, ATTENDANCE_INPUT!A:A, A81)),
      0)),
  "")</f>
        <v/>
      </c>
      <c r="H81" s="47" t="str">
        <f t="array" aca="1" ref="H81" ca="1">IF(ISNA(MATCH(A81,sheet2!A:A,0)),"⏳ Chưa test",IFERROR(INDEX(LEVEL_HELPER!A:A,MATCH(INDEX(sheet2!N:N,MATCH(A81,sheet2!A:A,0)),LEVEL_HELPER!B:B,0)),"⏳ Chưa test"))</f>
        <v>Beginner</v>
      </c>
      <c r="I81" s="47" t="str">
        <f t="array" aca="1" ref="I81" ca="1">IF(ISNA(MATCH(A81,sheet2!A:A,0)),H81,IF(INDEX(sheet2!O:O,MATCH(A81,sheet2!A:A,0))&gt;0,IFERROR(INDEX(LEVEL_HELPER!A:A,MATCH(INDEX(sheet2!O:O,MATCH(A81,sheet2!A:A,0)),LEVEL_HELPER!B:B,0)),H81),H81))</f>
        <v>Beginner</v>
      </c>
      <c r="J81" s="47" t="str">
        <f ca="1">IFERROR(_xludf.MAXIFS(ATTENDANCE_LOG!F:F, ATTENDANCE_LOG!C:C, A81&amp;"", ATTENDANCE_LOG!G:G, "Present"), "")</f>
        <v/>
      </c>
      <c r="K81" s="48" t="str">
        <f t="shared" ca="1" si="0"/>
        <v/>
      </c>
      <c r="L81" s="49" t="str">
        <f t="shared" ca="1" si="1"/>
        <v/>
      </c>
      <c r="M81" s="36"/>
      <c r="N81" s="50"/>
      <c r="O81" s="36"/>
      <c r="P81" s="36"/>
      <c r="Q81" s="36"/>
      <c r="R81" s="36"/>
      <c r="S81" s="36"/>
      <c r="T81" s="36"/>
      <c r="U81" s="36"/>
      <c r="V81" s="36"/>
      <c r="W81" s="59"/>
      <c r="X81" s="59"/>
      <c r="Y81" s="59"/>
    </row>
    <row r="82" spans="1:25" ht="15.75" customHeight="1">
      <c r="A82" s="42" t="s">
        <v>300</v>
      </c>
      <c r="B82" s="43" t="s">
        <v>301</v>
      </c>
      <c r="C82" s="44" t="str">
        <f ca="1">IFERROR(__xludf.DUMMYFUNCTION("arrayformula(VLOOKUP(to_Text(A82),to_Text(sheet2!$A$1:M1002),13,0))"),"MOC")</f>
        <v>MOC</v>
      </c>
      <c r="D82" s="45" t="str">
        <f ca="1">IFERROR(__xludf.DUMMYFUNCTION("arrayformula(VLOOKUP(to_Text(A82),to_Text(sheet2!$A$1:M1002),12,0))"),"DEV")</f>
        <v>DEV</v>
      </c>
      <c r="E82" s="43" t="str">
        <f t="shared" ref="E82:E83" ca="1" si="10">IF(L82="⚠ Possibly Dropped","Inactive","Active")</f>
        <v>Active</v>
      </c>
      <c r="F82" s="42" t="str">
        <f t="array" aca="1" ref="F82" ca="1">IFERROR(
  INDEX(ATTENDANCE_INPUT!D:D,
    MATCH(1,
      (ATTENDANCE_INPUT!A:A=A82) *
      (ATTENDANCE_INPUT!V:V=_xludf.MAXIFS(ATTENDANCE_INPUT!V:V, ATTENDANCE_INPUT!A:A, A82)),
      0)),
  "")</f>
        <v/>
      </c>
      <c r="G82" s="46" t="str">
        <f t="array" aca="1" ref="G82" ca="1">IFERROR(
  INDEX(ATTENDANCE_INPUT!E:E,
    MATCH(1,
      (ATTENDANCE_INPUT!A:A=A82) *
      (ATTENDANCE_INPUT!V:V=_xludf.MAXIFS(ATTENDANCE_INPUT!V:V, ATTENDANCE_INPUT!A:A, A82)),
      0)),
  "")</f>
        <v/>
      </c>
      <c r="H82" s="47" t="str">
        <f t="array" aca="1" ref="H82" ca="1">IF(ISNA(MATCH(A82,sheet2!A:A,0)),"⏳ Chưa test",IFERROR(INDEX(LEVEL_HELPER!A:A,MATCH(INDEX(sheet2!N:N,MATCH(A82,sheet2!A:A,0)),LEVEL_HELPER!B:B,0)),"⏳ Chưa test"))</f>
        <v>Beginner</v>
      </c>
      <c r="I82" s="47" t="str">
        <f t="array" aca="1" ref="I82" ca="1">IF(ISNA(MATCH(A82,sheet2!A:A,0)),H82,IF(INDEX(sheet2!O:O,MATCH(A82,sheet2!A:A,0))&gt;0,IFERROR(INDEX(LEVEL_HELPER!A:A,MATCH(INDEX(sheet2!O:O,MATCH(A82,sheet2!A:A,0)),LEVEL_HELPER!B:B,0)),H82),H82))</f>
        <v>Beginner</v>
      </c>
      <c r="J82" s="47" t="str">
        <f ca="1">IFERROR(_xludf.MAXIFS(ATTENDANCE_LOG!F:F, ATTENDANCE_LOG!C:C, A82&amp;"", ATTENDANCE_LOG!G:G, "Present"), "")</f>
        <v/>
      </c>
      <c r="K82" s="48" t="str">
        <f t="shared" ca="1" si="0"/>
        <v/>
      </c>
      <c r="L82" s="49" t="str">
        <f t="shared" ca="1" si="1"/>
        <v/>
      </c>
      <c r="M82" s="36"/>
      <c r="N82" s="50"/>
      <c r="O82" s="36"/>
      <c r="P82" s="36"/>
      <c r="Q82" s="36"/>
      <c r="R82" s="36"/>
      <c r="S82" s="36"/>
      <c r="T82" s="36"/>
      <c r="U82" s="36"/>
      <c r="V82" s="36"/>
      <c r="W82" s="59"/>
      <c r="X82" s="59"/>
      <c r="Y82" s="59"/>
    </row>
    <row r="83" spans="1:25" ht="15.75" customHeight="1">
      <c r="A83" s="42" t="s">
        <v>302</v>
      </c>
      <c r="B83" s="43" t="s">
        <v>303</v>
      </c>
      <c r="C83" s="44" t="str">
        <f ca="1">IFERROR(__xludf.DUMMYFUNCTION("arrayformula(VLOOKUP(to_Text(A83),to_Text(sheet2!$A$1:M1002),13,0))"),"LBU")</f>
        <v>LBU</v>
      </c>
      <c r="D83" s="45" t="str">
        <f ca="1">IFERROR(__xludf.DUMMYFUNCTION("arrayformula(VLOOKUP(to_Text(A83),to_Text(sheet2!$A$1:M1002),12,0))"),"BA")</f>
        <v>BA</v>
      </c>
      <c r="E83" s="43" t="str">
        <f t="shared" ca="1" si="10"/>
        <v>Active</v>
      </c>
      <c r="F83" s="42" t="str">
        <f t="array" aca="1" ref="F83" ca="1">IFERROR(
  INDEX(ATTENDANCE_INPUT!D:D,
    MATCH(1,
      (ATTENDANCE_INPUT!A:A=A83) *
      (ATTENDANCE_INPUT!V:V=_xludf.MAXIFS(ATTENDANCE_INPUT!V:V, ATTENDANCE_INPUT!A:A, A83)),
      0)),
  "")</f>
        <v/>
      </c>
      <c r="G83" s="46" t="str">
        <f t="array" aca="1" ref="G83" ca="1">IFERROR(
  INDEX(ATTENDANCE_INPUT!E:E,
    MATCH(1,
      (ATTENDANCE_INPUT!A:A=A83) *
      (ATTENDANCE_INPUT!V:V=_xludf.MAXIFS(ATTENDANCE_INPUT!V:V, ATTENDANCE_INPUT!A:A, A83)),
      0)),
  "")</f>
        <v/>
      </c>
      <c r="H83" s="47" t="str">
        <f t="array" aca="1" ref="H83" ca="1">IF(ISNA(MATCH(A83,sheet2!A:A,0)),"⏳ Chưa test",IFERROR(INDEX(LEVEL_HELPER!A:A,MATCH(INDEX(sheet2!N:N,MATCH(A83,sheet2!A:A,0)),LEVEL_HELPER!B:B,0)),"⏳ Chưa test"))</f>
        <v>Foundation</v>
      </c>
      <c r="I83" s="47" t="str">
        <f t="array" aca="1" ref="I83" ca="1">IF(ISNA(MATCH(A83,sheet2!A:A,0)),H83,IF(INDEX(sheet2!O:O,MATCH(A83,sheet2!A:A,0))&gt;0,IFERROR(INDEX(LEVEL_HELPER!A:A,MATCH(INDEX(sheet2!O:O,MATCH(A83,sheet2!A:A,0)),LEVEL_HELPER!B:B,0)),H83),H83))</f>
        <v>Foundation</v>
      </c>
      <c r="J83" s="47" t="str">
        <f ca="1">IFERROR(_xludf.MAXIFS(ATTENDANCE_LOG!F:F, ATTENDANCE_LOG!C:C, A83&amp;"", ATTENDANCE_LOG!G:G, "Present"), "")</f>
        <v/>
      </c>
      <c r="K83" s="48" t="str">
        <f t="shared" ca="1" si="0"/>
        <v/>
      </c>
      <c r="L83" s="49" t="str">
        <f t="shared" ca="1" si="1"/>
        <v/>
      </c>
      <c r="M83" s="36" t="s">
        <v>34</v>
      </c>
      <c r="N83" s="50" t="s">
        <v>35</v>
      </c>
      <c r="O83" s="36"/>
      <c r="P83" s="36"/>
      <c r="Q83" s="36"/>
      <c r="R83" s="36">
        <v>247026</v>
      </c>
      <c r="S83" s="36" t="s">
        <v>304</v>
      </c>
      <c r="T83" s="36" t="s">
        <v>37</v>
      </c>
      <c r="U83" s="36" t="str">
        <f ca="1">IFERROR(__xludf.DUMMYFUNCTION("arrayformula(vlookup(to_text(R83),to_text($A$4:$B982),2,0))"),"ĐỖ HOÀNG MINH HUY")</f>
        <v>ĐỖ HOÀNG MINH HUY</v>
      </c>
      <c r="V83" s="36"/>
      <c r="W83" s="59"/>
      <c r="X83" s="59"/>
      <c r="Y83" s="59"/>
    </row>
    <row r="84" spans="1:25" ht="15.75" customHeight="1">
      <c r="A84" s="42" t="s">
        <v>305</v>
      </c>
      <c r="B84" s="43" t="s">
        <v>306</v>
      </c>
      <c r="C84" s="44" t="str">
        <f ca="1">IFERROR(__xludf.DUMMYFUNCTION("arrayformula(VLOOKUP(to_Text(A84),to_Text(sheet2!$A$1:M1002),13,0))"),"MOC")</f>
        <v>MOC</v>
      </c>
      <c r="D84" s="45" t="str">
        <f ca="1">IFERROR(__xludf.DUMMYFUNCTION("arrayformula(VLOOKUP(to_Text(A84),to_Text(sheet2!$A$1:M1002),12,0))"),"DEV")</f>
        <v>DEV</v>
      </c>
      <c r="E84" s="43" t="s">
        <v>175</v>
      </c>
      <c r="F84" s="42" t="str">
        <f t="array" aca="1" ref="F84" ca="1">IFERROR(
  INDEX(ATTENDANCE_INPUT!D:D,
    MATCH(1,
      (ATTENDANCE_INPUT!A:A=A84) *
      (ATTENDANCE_INPUT!V:V=_xludf.MAXIFS(ATTENDANCE_INPUT!V:V, ATTENDANCE_INPUT!A:A, A84)),
      0)),
  "")</f>
        <v/>
      </c>
      <c r="G84" s="46" t="str">
        <f t="array" aca="1" ref="G84" ca="1">IFERROR(
  INDEX(ATTENDANCE_INPUT!E:E,
    MATCH(1,
      (ATTENDANCE_INPUT!A:A=A84) *
      (ATTENDANCE_INPUT!V:V=_xludf.MAXIFS(ATTENDANCE_INPUT!V:V, ATTENDANCE_INPUT!A:A, A84)),
      0)),
  "")</f>
        <v/>
      </c>
      <c r="H84" s="47" t="str">
        <f t="array" aca="1" ref="H84" ca="1">IF(ISNA(MATCH(A84,sheet2!A:A,0)),"⏳ Chưa test",IFERROR(INDEX(LEVEL_HELPER!A:A,MATCH(INDEX(sheet2!N:N,MATCH(A84,sheet2!A:A,0)),LEVEL_HELPER!B:B,0)),"⏳ Chưa test"))</f>
        <v>Beginner</v>
      </c>
      <c r="I84" s="47" t="str">
        <f t="array" aca="1" ref="I84" ca="1">IF(ISNA(MATCH(A84,sheet2!A:A,0)),H84,IF(INDEX(sheet2!O:O,MATCH(A84,sheet2!A:A,0))&gt;0,IFERROR(INDEX(LEVEL_HELPER!A:A,MATCH(INDEX(sheet2!O:O,MATCH(A84,sheet2!A:A,0)),LEVEL_HELPER!B:B,0)),H84),H84))</f>
        <v>Beginner</v>
      </c>
      <c r="J84" s="47" t="str">
        <f ca="1">IFERROR(_xludf.MAXIFS(ATTENDANCE_LOG!F:F, ATTENDANCE_LOG!C:C, A84&amp;"", ATTENDANCE_LOG!G:G, "Present"), "")</f>
        <v/>
      </c>
      <c r="K84" s="48" t="str">
        <f t="shared" ca="1" si="0"/>
        <v/>
      </c>
      <c r="L84" s="49" t="str">
        <f t="shared" ca="1" si="1"/>
        <v/>
      </c>
      <c r="M84" s="36"/>
      <c r="N84" s="50"/>
      <c r="O84" s="51"/>
      <c r="P84" s="51"/>
      <c r="Q84" s="51"/>
      <c r="R84" s="51">
        <v>237167</v>
      </c>
      <c r="S84" s="51" t="s">
        <v>121</v>
      </c>
      <c r="T84" s="51" t="s">
        <v>122</v>
      </c>
      <c r="U84" s="51" t="str">
        <f ca="1">IFERROR(__xludf.DUMMYFUNCTION("arrayformula(vlookup(to_text(R84),to_text($A$4:$B1080),2,0))"),"#N/A")</f>
        <v>#N/A</v>
      </c>
      <c r="V84" s="50" t="s">
        <v>33</v>
      </c>
      <c r="W84" s="37"/>
      <c r="X84" s="37"/>
      <c r="Y84" s="37"/>
    </row>
    <row r="85" spans="1:25" ht="15.75" customHeight="1">
      <c r="A85" s="42" t="s">
        <v>307</v>
      </c>
      <c r="B85" s="43" t="s">
        <v>308</v>
      </c>
      <c r="C85" s="44" t="str">
        <f ca="1">IFERROR(__xludf.DUMMYFUNCTION("arrayformula(VLOOKUP(to_Text(A85),to_Text(sheet2!$A$1:M1002),13,0))"),"CHORUS")</f>
        <v>CHORUS</v>
      </c>
      <c r="D85" s="45" t="str">
        <f ca="1">IFERROR(__xludf.DUMMYFUNCTION("arrayformula(VLOOKUP(to_Text(A85),to_Text(sheet2!$A$1:M1002),12,0))"),"DEV")</f>
        <v>DEV</v>
      </c>
      <c r="E85" s="43" t="str">
        <f t="shared" ref="E85:E86" ca="1" si="11">IF(L85="⚠ Possibly Dropped","Inactive","Active")</f>
        <v>Active</v>
      </c>
      <c r="F85" s="42" t="str">
        <f t="array" aca="1" ref="F85" ca="1">IFERROR(
  INDEX(ATTENDANCE_INPUT!D:D,
    MATCH(1,
      (ATTENDANCE_INPUT!A:A=A85) *
      (ATTENDANCE_INPUT!V:V=_xludf.MAXIFS(ATTENDANCE_INPUT!V:V, ATTENDANCE_INPUT!A:A, A85)),
      0)),
  "")</f>
        <v/>
      </c>
      <c r="G85" s="46" t="str">
        <f t="array" aca="1" ref="G85" ca="1">IFERROR(
  INDEX(ATTENDANCE_INPUT!E:E,
    MATCH(1,
      (ATTENDANCE_INPUT!A:A=A85) *
      (ATTENDANCE_INPUT!V:V=_xludf.MAXIFS(ATTENDANCE_INPUT!V:V, ATTENDANCE_INPUT!A:A, A85)),
      0)),
  "")</f>
        <v/>
      </c>
      <c r="H85" s="47" t="str">
        <f t="array" aca="1" ref="H85" ca="1">IF(ISNA(MATCH(A85,sheet2!A:A,0)),"⏳ Chưa test",IFERROR(INDEX(LEVEL_HELPER!A:A,MATCH(INDEX(sheet2!N:N,MATCH(A85,sheet2!A:A,0)),LEVEL_HELPER!B:B,0)),"⏳ Chưa test"))</f>
        <v>Pre-Intermediate</v>
      </c>
      <c r="I85" s="47" t="str">
        <f t="array" aca="1" ref="I85" ca="1">IF(ISNA(MATCH(A85,sheet2!A:A,0)),H85,IF(INDEX(sheet2!O:O,MATCH(A85,sheet2!A:A,0))&gt;0,IFERROR(INDEX(LEVEL_HELPER!A:A,MATCH(INDEX(sheet2!O:O,MATCH(A85,sheet2!A:A,0)),LEVEL_HELPER!B:B,0)),H85),H85))</f>
        <v>Pre-Intermediate</v>
      </c>
      <c r="J85" s="47" t="str">
        <f ca="1">IFERROR(_xludf.MAXIFS(ATTENDANCE_LOG!F:F, ATTENDANCE_LOG!C:C, A85&amp;"", ATTENDANCE_LOG!G:G, "Present"), "")</f>
        <v/>
      </c>
      <c r="K85" s="48" t="str">
        <f t="shared" ca="1" si="0"/>
        <v/>
      </c>
      <c r="L85" s="49" t="str">
        <f t="shared" ca="1" si="1"/>
        <v/>
      </c>
      <c r="M85" s="36" t="s">
        <v>36</v>
      </c>
      <c r="N85" s="50" t="s">
        <v>42</v>
      </c>
      <c r="O85" s="36"/>
      <c r="P85" s="36"/>
      <c r="Q85" s="36"/>
      <c r="R85" s="36">
        <v>247001</v>
      </c>
      <c r="S85" s="36" t="s">
        <v>146</v>
      </c>
      <c r="T85" s="36" t="s">
        <v>33</v>
      </c>
      <c r="U85" s="36" t="str">
        <f ca="1">IFERROR(__xludf.DUMMYFUNCTION("arrayformula(vlookup(to_text(R85),to_text($A$4:$B998),2,0))"),"#N/A")</f>
        <v>#N/A</v>
      </c>
      <c r="V85" s="36"/>
      <c r="W85" s="59"/>
      <c r="X85" s="59"/>
      <c r="Y85" s="59"/>
    </row>
    <row r="86" spans="1:25" ht="15.75" customHeight="1">
      <c r="A86" s="42" t="s">
        <v>309</v>
      </c>
      <c r="B86" s="43" t="s">
        <v>310</v>
      </c>
      <c r="C86" s="44" t="str">
        <f ca="1">IFERROR(__xludf.DUMMYFUNCTION("arrayformula(VLOOKUP(to_Text(A86),to_Text(sheet2!$A$1:M1002),13,0))"),"MOC")</f>
        <v>MOC</v>
      </c>
      <c r="D86" s="45" t="str">
        <f ca="1">IFERROR(__xludf.DUMMYFUNCTION("arrayformula(VLOOKUP(to_Text(A86),to_Text(sheet2!$A$1:M1002),12,0))"),"DEV")</f>
        <v>DEV</v>
      </c>
      <c r="E86" s="43" t="str">
        <f t="shared" ca="1" si="11"/>
        <v>Active</v>
      </c>
      <c r="F86" s="42" t="str">
        <f t="array" aca="1" ref="F86" ca="1">IFERROR(
  INDEX(ATTENDANCE_INPUT!D:D,
    MATCH(1,
      (ATTENDANCE_INPUT!A:A=A86) *
      (ATTENDANCE_INPUT!V:V=_xludf.MAXIFS(ATTENDANCE_INPUT!V:V, ATTENDANCE_INPUT!A:A, A86)),
      0)),
  "")</f>
        <v/>
      </c>
      <c r="G86" s="46" t="str">
        <f t="array" aca="1" ref="G86" ca="1">IFERROR(
  INDEX(ATTENDANCE_INPUT!E:E,
    MATCH(1,
      (ATTENDANCE_INPUT!A:A=A86) *
      (ATTENDANCE_INPUT!V:V=_xludf.MAXIFS(ATTENDANCE_INPUT!V:V, ATTENDANCE_INPUT!A:A, A86)),
      0)),
  "")</f>
        <v/>
      </c>
      <c r="H86" s="47" t="str">
        <f t="array" aca="1" ref="H86" ca="1">IF(ISNA(MATCH(A86,sheet2!A:A,0)),"⏳ Chưa test",IFERROR(INDEX(LEVEL_HELPER!A:A,MATCH(INDEX(sheet2!N:N,MATCH(A86,sheet2!A:A,0)),LEVEL_HELPER!B:B,0)),"⏳ Chưa test"))</f>
        <v>Beginner</v>
      </c>
      <c r="I86" s="47" t="str">
        <f t="array" aca="1" ref="I86" ca="1">IF(ISNA(MATCH(A86,sheet2!A:A,0)),H86,IF(INDEX(sheet2!O:O,MATCH(A86,sheet2!A:A,0))&gt;0,IFERROR(INDEX(LEVEL_HELPER!A:A,MATCH(INDEX(sheet2!O:O,MATCH(A86,sheet2!A:A,0)),LEVEL_HELPER!B:B,0)),H86),H86))</f>
        <v>Beginner</v>
      </c>
      <c r="J86" s="47" t="str">
        <f ca="1">IFERROR(_xludf.MAXIFS(ATTENDANCE_LOG!F:F, ATTENDANCE_LOG!C:C, A86&amp;"", ATTENDANCE_LOG!G:G, "Present"), "")</f>
        <v/>
      </c>
      <c r="K86" s="48" t="str">
        <f t="shared" ca="1" si="0"/>
        <v/>
      </c>
      <c r="L86" s="49" t="str">
        <f t="shared" ca="1" si="1"/>
        <v/>
      </c>
      <c r="M86" s="36"/>
      <c r="N86" s="50"/>
      <c r="O86" s="36"/>
      <c r="P86" s="36"/>
      <c r="Q86" s="36"/>
      <c r="R86" s="36"/>
      <c r="S86" s="36"/>
      <c r="T86" s="36"/>
      <c r="U86" s="36"/>
      <c r="V86" s="36"/>
      <c r="W86" s="59"/>
      <c r="X86" s="59"/>
      <c r="Y86" s="59"/>
    </row>
    <row r="87" spans="1:25" ht="15.75" customHeight="1">
      <c r="A87" s="42" t="s">
        <v>311</v>
      </c>
      <c r="B87" s="43" t="s">
        <v>312</v>
      </c>
      <c r="C87" s="44" t="str">
        <f ca="1">IFERROR(__xludf.DUMMYFUNCTION("arrayformula(VLOOKUP(to_Text(A87),to_Text(sheet2!$A$1:M1002),13,0))"),"ONC")</f>
        <v>ONC</v>
      </c>
      <c r="D87" s="45" t="str">
        <f ca="1">IFERROR(__xludf.DUMMYFUNCTION("arrayformula(VLOOKUP(to_Text(A87),to_Text(sheet2!$A$1:M1002),12,0))"),"DEV")</f>
        <v>DEV</v>
      </c>
      <c r="E87" s="43" t="s">
        <v>16</v>
      </c>
      <c r="F87" s="42" t="str">
        <f t="array" aca="1" ref="F87" ca="1">IFERROR(
  INDEX(ATTENDANCE_INPUT!D:D,
    MATCH(1,
      (ATTENDANCE_INPUT!A:A=A87) *
      (ATTENDANCE_INPUT!V:V=_xludf.MAXIFS(ATTENDANCE_INPUT!V:V, ATTENDANCE_INPUT!A:A, A87)),
      0)),
  "")</f>
        <v/>
      </c>
      <c r="G87" s="46" t="str">
        <f t="array" aca="1" ref="G87" ca="1">IFERROR(
  INDEX(ATTENDANCE_INPUT!E:E,
    MATCH(1,
      (ATTENDANCE_INPUT!A:A=A87) *
      (ATTENDANCE_INPUT!V:V=_xludf.MAXIFS(ATTENDANCE_INPUT!V:V, ATTENDANCE_INPUT!A:A, A87)),
      0)),
  "")</f>
        <v/>
      </c>
      <c r="H87" s="47" t="str">
        <f t="array" aca="1" ref="H87" ca="1">IF(ISNA(MATCH(A87,sheet2!A:A,0)),"⏳ Chưa test",IFERROR(INDEX(LEVEL_HELPER!A:A,MATCH(INDEX(sheet2!N:N,MATCH(A87,sheet2!A:A,0)),LEVEL_HELPER!B:B,0)),"⏳ Chưa test"))</f>
        <v>Beginner</v>
      </c>
      <c r="I87" s="47" t="str">
        <f t="array" aca="1" ref="I87" ca="1">IF(ISNA(MATCH(A87,sheet2!A:A,0)),H87,IF(INDEX(sheet2!O:O,MATCH(A87,sheet2!A:A,0))&gt;0,IFERROR(INDEX(LEVEL_HELPER!A:A,MATCH(INDEX(sheet2!O:O,MATCH(A87,sheet2!A:A,0)),LEVEL_HELPER!B:B,0)),H87),H87))</f>
        <v>Beginner</v>
      </c>
      <c r="J87" s="47" t="str">
        <f ca="1">IFERROR(_xludf.MAXIFS(ATTENDANCE_LOG!F:F, ATTENDANCE_LOG!C:C, A87&amp;"", ATTENDANCE_LOG!G:G, "Present"), "")</f>
        <v/>
      </c>
      <c r="K87" s="48" t="str">
        <f t="shared" ca="1" si="0"/>
        <v/>
      </c>
      <c r="L87" s="49" t="str">
        <f t="shared" ca="1" si="1"/>
        <v/>
      </c>
      <c r="M87" s="36" t="s">
        <v>36</v>
      </c>
      <c r="N87" s="50" t="s">
        <v>42</v>
      </c>
      <c r="O87" s="36"/>
      <c r="P87" s="36"/>
      <c r="Q87" s="36"/>
      <c r="R87" s="36"/>
      <c r="S87" s="36"/>
      <c r="T87" s="36"/>
      <c r="U87" s="36"/>
      <c r="V87" s="36"/>
      <c r="W87" s="59"/>
      <c r="X87" s="59"/>
      <c r="Y87" s="59"/>
    </row>
    <row r="88" spans="1:25" ht="15.75" customHeight="1">
      <c r="A88" s="42" t="s">
        <v>313</v>
      </c>
      <c r="B88" s="43" t="s">
        <v>314</v>
      </c>
      <c r="C88" s="44" t="str">
        <f ca="1">IFERROR(__xludf.DUMMYFUNCTION("arrayformula(VLOOKUP(to_Text(A88),to_Text(sheet2!$A$1:M1002),13,0))"),"LBU")</f>
        <v>LBU</v>
      </c>
      <c r="D88" s="45" t="str">
        <f ca="1">IFERROR(__xludf.DUMMYFUNCTION("arrayformula(VLOOKUP(to_Text(A88),to_Text(sheet2!$A$1:M1002),12,0))"),"GSD")</f>
        <v>GSD</v>
      </c>
      <c r="E88" s="43" t="str">
        <f t="shared" ref="E88:E89" ca="1" si="12">IF(L88="⚠ Possibly Dropped","Inactive","Active")</f>
        <v>Active</v>
      </c>
      <c r="F88" s="42" t="str">
        <f t="array" aca="1" ref="F88" ca="1">IFERROR(
  INDEX(ATTENDANCE_INPUT!D:D,
    MATCH(1,
      (ATTENDANCE_INPUT!A:A=A88) *
      (ATTENDANCE_INPUT!V:V=_xludf.MAXIFS(ATTENDANCE_INPUT!V:V, ATTENDANCE_INPUT!A:A, A88)),
      0)),
  "")</f>
        <v/>
      </c>
      <c r="G88" s="46" t="str">
        <f t="array" aca="1" ref="G88" ca="1">IFERROR(
  INDEX(ATTENDANCE_INPUT!E:E,
    MATCH(1,
      (ATTENDANCE_INPUT!A:A=A88) *
      (ATTENDANCE_INPUT!V:V=_xludf.MAXIFS(ATTENDANCE_INPUT!V:V, ATTENDANCE_INPUT!A:A, A88)),
      0)),
  "")</f>
        <v/>
      </c>
      <c r="H88" s="47" t="str">
        <f t="array" aca="1" ref="H88" ca="1">IF(ISNA(MATCH(A88,sheet2!A:A,0)),"⏳ Chưa test",IFERROR(INDEX(LEVEL_HELPER!A:A,MATCH(INDEX(sheet2!N:N,MATCH(A88,sheet2!A:A,0)),LEVEL_HELPER!B:B,0)),"⏳ Chưa test"))</f>
        <v>Beginner</v>
      </c>
      <c r="I88" s="47" t="str">
        <f t="array" aca="1" ref="I88" ca="1">IF(ISNA(MATCH(A88,sheet2!A:A,0)),H88,IF(INDEX(sheet2!O:O,MATCH(A88,sheet2!A:A,0))&gt;0,IFERROR(INDEX(LEVEL_HELPER!A:A,MATCH(INDEX(sheet2!O:O,MATCH(A88,sheet2!A:A,0)),LEVEL_HELPER!B:B,0)),H88),H88))</f>
        <v>Beginner</v>
      </c>
      <c r="J88" s="47" t="str">
        <f ca="1">IFERROR(_xludf.MAXIFS(ATTENDANCE_LOG!F:F, ATTENDANCE_LOG!C:C, A88&amp;"", ATTENDANCE_LOG!G:G, "Present"), "")</f>
        <v/>
      </c>
      <c r="K88" s="48" t="str">
        <f t="shared" ca="1" si="0"/>
        <v/>
      </c>
      <c r="L88" s="49" t="str">
        <f t="shared" ca="1" si="1"/>
        <v/>
      </c>
      <c r="M88" s="36"/>
      <c r="N88" s="50"/>
      <c r="O88" s="36"/>
      <c r="P88" s="36"/>
      <c r="Q88" s="36"/>
      <c r="R88" s="61"/>
      <c r="S88" s="61"/>
      <c r="T88" s="61"/>
      <c r="U88" s="61"/>
      <c r="V88" s="36"/>
      <c r="W88" s="59"/>
      <c r="X88" s="59"/>
      <c r="Y88" s="59"/>
    </row>
    <row r="89" spans="1:25" ht="15.75" customHeight="1">
      <c r="A89" s="42" t="s">
        <v>315</v>
      </c>
      <c r="B89" s="43" t="s">
        <v>316</v>
      </c>
      <c r="C89" s="44" t="str">
        <f ca="1">IFERROR(__xludf.DUMMYFUNCTION("arrayformula(VLOOKUP(to_Text(A89),to_Text(sheet2!$A$1:M1002),13,0))"),"TBU")</f>
        <v>TBU</v>
      </c>
      <c r="D89" s="45" t="str">
        <f ca="1">IFERROR(__xludf.DUMMYFUNCTION("arrayformula(VLOOKUP(to_Text(A89),to_Text(sheet2!$A$1:M1002),12,0))"),"DEV")</f>
        <v>DEV</v>
      </c>
      <c r="E89" s="43" t="str">
        <f t="shared" ca="1" si="12"/>
        <v>Active</v>
      </c>
      <c r="F89" s="42" t="str">
        <f t="array" aca="1" ref="F89" ca="1">IFERROR(
  INDEX(ATTENDANCE_INPUT!D:D,
    MATCH(1,
      (ATTENDANCE_INPUT!A:A=A89) *
      (ATTENDANCE_INPUT!V:V=_xludf.MAXIFS(ATTENDANCE_INPUT!V:V, ATTENDANCE_INPUT!A:A, A89)),
      0)),
  "")</f>
        <v/>
      </c>
      <c r="G89" s="46" t="str">
        <f t="array" aca="1" ref="G89" ca="1">IFERROR(
  INDEX(ATTENDANCE_INPUT!E:E,
    MATCH(1,
      (ATTENDANCE_INPUT!A:A=A89) *
      (ATTENDANCE_INPUT!V:V=_xludf.MAXIFS(ATTENDANCE_INPUT!V:V, ATTENDANCE_INPUT!A:A, A89)),
      0)),
  "")</f>
        <v/>
      </c>
      <c r="H89" s="47" t="str">
        <f t="array" aca="1" ref="H89" ca="1">IF(ISNA(MATCH(A89,sheet2!A:A,0)),"⏳ Chưa test",IFERROR(INDEX(LEVEL_HELPER!A:A,MATCH(INDEX(sheet2!N:N,MATCH(A89,sheet2!A:A,0)),LEVEL_HELPER!B:B,0)),"⏳ Chưa test"))</f>
        <v>Beginner</v>
      </c>
      <c r="I89" s="47" t="str">
        <f t="array" aca="1" ref="I89" ca="1">IF(ISNA(MATCH(A89,sheet2!A:A,0)),H89,IF(INDEX(sheet2!O:O,MATCH(A89,sheet2!A:A,0))&gt;0,IFERROR(INDEX(LEVEL_HELPER!A:A,MATCH(INDEX(sheet2!O:O,MATCH(A89,sheet2!A:A,0)),LEVEL_HELPER!B:B,0)),H89),H89))</f>
        <v>Beginner</v>
      </c>
      <c r="J89" s="47" t="str">
        <f ca="1">IFERROR(_xludf.MAXIFS(ATTENDANCE_LOG!F:F, ATTENDANCE_LOG!C:C, A89&amp;"", ATTENDANCE_LOG!G:G, "Present"), "")</f>
        <v/>
      </c>
      <c r="K89" s="48" t="str">
        <f t="shared" ca="1" si="0"/>
        <v/>
      </c>
      <c r="L89" s="49" t="str">
        <f t="shared" ca="1" si="1"/>
        <v/>
      </c>
      <c r="M89" s="36"/>
      <c r="N89" s="50"/>
      <c r="O89" s="36" t="s">
        <v>236</v>
      </c>
      <c r="P89" s="36"/>
      <c r="Q89" s="36"/>
      <c r="R89" s="36"/>
      <c r="S89" s="36"/>
      <c r="T89" s="36"/>
      <c r="U89" s="36"/>
      <c r="V89" s="36"/>
      <c r="W89" s="59"/>
      <c r="X89" s="59"/>
      <c r="Y89" s="59"/>
    </row>
    <row r="90" spans="1:25" ht="15.75" customHeight="1">
      <c r="A90" s="42" t="s">
        <v>317</v>
      </c>
      <c r="B90" s="43" t="s">
        <v>318</v>
      </c>
      <c r="C90" s="44" t="str">
        <f ca="1">IFERROR(__xludf.DUMMYFUNCTION("arrayformula(VLOOKUP(to_Text(A90),to_Text(sheet2!$A$1:M1002),13,0))"),"ONC")</f>
        <v>ONC</v>
      </c>
      <c r="D90" s="45" t="str">
        <f ca="1">IFERROR(__xludf.DUMMYFUNCTION("arrayformula(VLOOKUP(to_Text(A90),to_Text(sheet2!$A$1:M1002),12,0))"),"QC")</f>
        <v>QC</v>
      </c>
      <c r="E90" s="43" t="s">
        <v>16</v>
      </c>
      <c r="F90" s="42" t="str">
        <f t="array" aca="1" ref="F90" ca="1">IFERROR(
  INDEX(ATTENDANCE_INPUT!D:D,
    MATCH(1,
      (ATTENDANCE_INPUT!A:A=A90) *
      (ATTENDANCE_INPUT!V:V=_xludf.MAXIFS(ATTENDANCE_INPUT!V:V, ATTENDANCE_INPUT!A:A, A90)),
      0)),
  "")</f>
        <v/>
      </c>
      <c r="G90" s="46" t="str">
        <f t="array" aca="1" ref="G90" ca="1">IFERROR(
  INDEX(ATTENDANCE_INPUT!E:E,
    MATCH(1,
      (ATTENDANCE_INPUT!A:A=A90) *
      (ATTENDANCE_INPUT!V:V=_xludf.MAXIFS(ATTENDANCE_INPUT!V:V, ATTENDANCE_INPUT!A:A, A90)),
      0)),
  "")</f>
        <v/>
      </c>
      <c r="H90" s="47" t="str">
        <f t="array" aca="1" ref="H90" ca="1">IF(ISNA(MATCH(A90,sheet2!A:A,0)),"⏳ Chưa test",IFERROR(INDEX(LEVEL_HELPER!A:A,MATCH(INDEX(sheet2!N:N,MATCH(A90,sheet2!A:A,0)),LEVEL_HELPER!B:B,0)),"⏳ Chưa test"))</f>
        <v>Beginner</v>
      </c>
      <c r="I90" s="47" t="str">
        <f t="array" aca="1" ref="I90" ca="1">IF(ISNA(MATCH(A90,sheet2!A:A,0)),H90,IF(INDEX(sheet2!O:O,MATCH(A90,sheet2!A:A,0))&gt;0,IFERROR(INDEX(LEVEL_HELPER!A:A,MATCH(INDEX(sheet2!O:O,MATCH(A90,sheet2!A:A,0)),LEVEL_HELPER!B:B,0)),H90),H90))</f>
        <v>Beginner</v>
      </c>
      <c r="J90" s="47" t="str">
        <f ca="1">IFERROR(_xludf.MAXIFS(ATTENDANCE_LOG!F:F, ATTENDANCE_LOG!C:C, A90&amp;"", ATTENDANCE_LOG!G:G, "Present"), "")</f>
        <v/>
      </c>
      <c r="K90" s="48" t="str">
        <f t="shared" ca="1" si="0"/>
        <v/>
      </c>
      <c r="L90" s="49" t="str">
        <f t="shared" ca="1" si="1"/>
        <v/>
      </c>
      <c r="M90" s="36" t="s">
        <v>34</v>
      </c>
      <c r="N90" s="50" t="s">
        <v>33</v>
      </c>
      <c r="O90" s="36"/>
      <c r="P90" s="36"/>
      <c r="Q90" s="36"/>
      <c r="R90" s="36"/>
      <c r="S90" s="36"/>
      <c r="T90" s="36"/>
      <c r="U90" s="36"/>
      <c r="V90" s="36"/>
      <c r="W90" s="59"/>
      <c r="X90" s="59"/>
      <c r="Y90" s="59"/>
    </row>
    <row r="91" spans="1:25" ht="15.75" customHeight="1">
      <c r="A91" s="42" t="s">
        <v>319</v>
      </c>
      <c r="B91" s="43" t="s">
        <v>320</v>
      </c>
      <c r="C91" s="44" t="str">
        <f ca="1">IFERROR(__xludf.DUMMYFUNCTION("arrayformula(VLOOKUP(to_Text(A91),to_Text(sheet2!$A$1:M1002),13,0))"),"POC")</f>
        <v>POC</v>
      </c>
      <c r="D91" s="45" t="str">
        <f ca="1">IFERROR(__xludf.DUMMYFUNCTION("arrayformula(VLOOKUP(to_Text(A91),to_Text(sheet2!$A$1:M1002),12,0))"),"QC")</f>
        <v>QC</v>
      </c>
      <c r="E91" s="43" t="str">
        <f ca="1">IF(L91="⚠ Possibly Dropped","Inactive","Active")</f>
        <v>Active</v>
      </c>
      <c r="F91" s="42" t="str">
        <f t="array" aca="1" ref="F91" ca="1">IFERROR(
  INDEX(ATTENDANCE_INPUT!D:D,
    MATCH(1,
      (ATTENDANCE_INPUT!A:A=A91) *
      (ATTENDANCE_INPUT!V:V=_xludf.MAXIFS(ATTENDANCE_INPUT!V:V, ATTENDANCE_INPUT!A:A, A91)),
      0)),
  "")</f>
        <v/>
      </c>
      <c r="G91" s="46" t="str">
        <f t="array" aca="1" ref="G91" ca="1">IFERROR(
  INDEX(ATTENDANCE_INPUT!E:E,
    MATCH(1,
      (ATTENDANCE_INPUT!A:A=A91) *
      (ATTENDANCE_INPUT!V:V=_xludf.MAXIFS(ATTENDANCE_INPUT!V:V, ATTENDANCE_INPUT!A:A, A91)),
      0)),
  "")</f>
        <v/>
      </c>
      <c r="H91" s="47" t="str">
        <f t="array" aca="1" ref="H91" ca="1">IF(ISNA(MATCH(A91,sheet2!A:A,0)),"⏳ Chưa test",IFERROR(INDEX(LEVEL_HELPER!A:A,MATCH(INDEX(sheet2!N:N,MATCH(A91,sheet2!A:A,0)),LEVEL_HELPER!B:B,0)),"⏳ Chưa test"))</f>
        <v>Beginner</v>
      </c>
      <c r="I91" s="47" t="str">
        <f t="array" aca="1" ref="I91" ca="1">IF(ISNA(MATCH(A91,sheet2!A:A,0)),H91,IF(INDEX(sheet2!O:O,MATCH(A91,sheet2!A:A,0))&gt;0,IFERROR(INDEX(LEVEL_HELPER!A:A,MATCH(INDEX(sheet2!O:O,MATCH(A91,sheet2!A:A,0)),LEVEL_HELPER!B:B,0)),H91),H91))</f>
        <v>Beginner</v>
      </c>
      <c r="J91" s="47" t="str">
        <f ca="1">IFERROR(_xludf.MAXIFS(ATTENDANCE_LOG!F:F, ATTENDANCE_LOG!C:C, A91&amp;"", ATTENDANCE_LOG!G:G, "Present"), "")</f>
        <v/>
      </c>
      <c r="K91" s="48" t="str">
        <f t="shared" ca="1" si="0"/>
        <v/>
      </c>
      <c r="L91" s="49" t="str">
        <f t="shared" ca="1" si="1"/>
        <v/>
      </c>
      <c r="M91" s="36"/>
      <c r="N91" s="50"/>
      <c r="O91" s="36"/>
      <c r="P91" s="36"/>
      <c r="Q91" s="36"/>
      <c r="R91" s="36">
        <v>173239</v>
      </c>
      <c r="S91" s="36" t="s">
        <v>41</v>
      </c>
      <c r="T91" s="36" t="s">
        <v>41</v>
      </c>
      <c r="U91" s="36" t="e">
        <v>#N/A</v>
      </c>
      <c r="V91" s="36"/>
      <c r="W91" s="59"/>
      <c r="X91" s="59"/>
      <c r="Y91" s="59"/>
    </row>
    <row r="92" spans="1:25" ht="15.75" customHeight="1">
      <c r="A92" s="42" t="s">
        <v>321</v>
      </c>
      <c r="B92" s="43" t="s">
        <v>322</v>
      </c>
      <c r="C92" s="44" t="str">
        <f ca="1">IFERROR(__xludf.DUMMYFUNCTION("arrayformula(VLOOKUP(to_Text(A92),to_Text(sheet2!$A$1:M1002),13,0))"),"CHORUS")</f>
        <v>CHORUS</v>
      </c>
      <c r="D92" s="45" t="str">
        <f ca="1">IFERROR(__xludf.DUMMYFUNCTION("arrayformula(VLOOKUP(to_Text(A92),to_Text(sheet2!$A$1:M1002),12,0))"),"QC")</f>
        <v>QC</v>
      </c>
      <c r="E92" s="43" t="s">
        <v>16</v>
      </c>
      <c r="F92" s="42" t="str">
        <f t="array" aca="1" ref="F92" ca="1">IFERROR(
  INDEX(ATTENDANCE_INPUT!D:D,
    MATCH(1,
      (ATTENDANCE_INPUT!A:A=A92) *
      (ATTENDANCE_INPUT!V:V=_xludf.MAXIFS(ATTENDANCE_INPUT!V:V, ATTENDANCE_INPUT!A:A, A92)),
      0)),
  "")</f>
        <v/>
      </c>
      <c r="G92" s="46" t="str">
        <f t="array" aca="1" ref="G92" ca="1">IFERROR(
  INDEX(ATTENDANCE_INPUT!E:E,
    MATCH(1,
      (ATTENDANCE_INPUT!A:A=A92) *
      (ATTENDANCE_INPUT!V:V=_xludf.MAXIFS(ATTENDANCE_INPUT!V:V, ATTENDANCE_INPUT!A:A, A92)),
      0)),
  "")</f>
        <v/>
      </c>
      <c r="H92" s="47" t="str">
        <f t="array" aca="1" ref="H92" ca="1">IF(ISNA(MATCH(A92,sheet2!A:A,0)),"⏳ Chưa test",IFERROR(INDEX(LEVEL_HELPER!A:A,MATCH(INDEX(sheet2!N:N,MATCH(A92,sheet2!A:A,0)),LEVEL_HELPER!B:B,0)),"⏳ Chưa test"))</f>
        <v>Beginner</v>
      </c>
      <c r="I92" s="47" t="str">
        <f t="array" aca="1" ref="I92" ca="1">IF(ISNA(MATCH(A92,sheet2!A:A,0)),H92,IF(INDEX(sheet2!O:O,MATCH(A92,sheet2!A:A,0))&gt;0,IFERROR(INDEX(LEVEL_HELPER!A:A,MATCH(INDEX(sheet2!O:O,MATCH(A92,sheet2!A:A,0)),LEVEL_HELPER!B:B,0)),H92),H92))</f>
        <v>Beginner</v>
      </c>
      <c r="J92" s="47" t="str">
        <f ca="1">IFERROR(_xludf.MAXIFS(ATTENDANCE_LOG!F:F, ATTENDANCE_LOG!C:C, A92&amp;"", ATTENDANCE_LOG!G:G, "Present"), "")</f>
        <v/>
      </c>
      <c r="K92" s="48" t="str">
        <f t="shared" ca="1" si="0"/>
        <v/>
      </c>
      <c r="L92" s="49" t="str">
        <f t="shared" ca="1" si="1"/>
        <v/>
      </c>
      <c r="M92" s="36" t="s">
        <v>36</v>
      </c>
      <c r="N92" s="50" t="s">
        <v>33</v>
      </c>
      <c r="O92" s="36"/>
      <c r="P92" s="36"/>
      <c r="Q92" s="36"/>
      <c r="R92" s="36"/>
      <c r="S92" s="36"/>
      <c r="T92" s="36"/>
      <c r="U92" s="36"/>
      <c r="V92" s="36"/>
      <c r="W92" s="59"/>
      <c r="X92" s="59"/>
      <c r="Y92" s="59"/>
    </row>
    <row r="93" spans="1:25" ht="15.75" customHeight="1">
      <c r="A93" s="42" t="s">
        <v>323</v>
      </c>
      <c r="B93" s="43" t="s">
        <v>324</v>
      </c>
      <c r="C93" s="44" t="str">
        <f ca="1">IFERROR(__xludf.DUMMYFUNCTION("arrayformula(VLOOKUP(to_Text(A93),to_Text(sheet2!$A$1:M1002),13,0))"),"ONC")</f>
        <v>ONC</v>
      </c>
      <c r="D93" s="45" t="str">
        <f ca="1">IFERROR(__xludf.DUMMYFUNCTION("arrayformula(VLOOKUP(to_Text(A93),to_Text(sheet2!$A$1:M1002),12,0))"),"DEV")</f>
        <v>DEV</v>
      </c>
      <c r="E93" s="43" t="s">
        <v>16</v>
      </c>
      <c r="F93" s="42" t="str">
        <f t="array" aca="1" ref="F93" ca="1">IFERROR(
  INDEX(ATTENDANCE_INPUT!D:D,
    MATCH(1,
      (ATTENDANCE_INPUT!A:A=A93) *
      (ATTENDANCE_INPUT!V:V=_xludf.MAXIFS(ATTENDANCE_INPUT!V:V, ATTENDANCE_INPUT!A:A, A93)),
      0)),
  "")</f>
        <v/>
      </c>
      <c r="G93" s="46" t="str">
        <f t="array" aca="1" ref="G93" ca="1">IFERROR(
  INDEX(ATTENDANCE_INPUT!E:E,
    MATCH(1,
      (ATTENDANCE_INPUT!A:A=A93) *
      (ATTENDANCE_INPUT!V:V=_xludf.MAXIFS(ATTENDANCE_INPUT!V:V, ATTENDANCE_INPUT!A:A, A93)),
      0)),
  "")</f>
        <v/>
      </c>
      <c r="H93" s="47" t="str">
        <f t="array" aca="1" ref="H93" ca="1">IF(ISNA(MATCH(A93,sheet2!A:A,0)),"⏳ Chưa test",IFERROR(INDEX(LEVEL_HELPER!A:A,MATCH(INDEX(sheet2!N:N,MATCH(A93,sheet2!A:A,0)),LEVEL_HELPER!B:B,0)),"⏳ Chưa test"))</f>
        <v>Beginner</v>
      </c>
      <c r="I93" s="47" t="str">
        <f t="array" aca="1" ref="I93" ca="1">IF(ISNA(MATCH(A93,sheet2!A:A,0)),H93,IF(INDEX(sheet2!O:O,MATCH(A93,sheet2!A:A,0))&gt;0,IFERROR(INDEX(LEVEL_HELPER!A:A,MATCH(INDEX(sheet2!O:O,MATCH(A93,sheet2!A:A,0)),LEVEL_HELPER!B:B,0)),H93),H93))</f>
        <v>Beginner</v>
      </c>
      <c r="J93" s="47" t="str">
        <f ca="1">IFERROR(_xludf.MAXIFS(ATTENDANCE_LOG!F:F, ATTENDANCE_LOG!C:C, A93&amp;"", ATTENDANCE_LOG!G:G, "Present"), "")</f>
        <v/>
      </c>
      <c r="K93" s="48" t="str">
        <f t="shared" ca="1" si="0"/>
        <v/>
      </c>
      <c r="L93" s="49" t="str">
        <f t="shared" ca="1" si="1"/>
        <v/>
      </c>
      <c r="M93" s="36" t="s">
        <v>34</v>
      </c>
      <c r="N93" s="50" t="s">
        <v>33</v>
      </c>
      <c r="O93" s="36"/>
      <c r="P93" s="36"/>
      <c r="Q93" s="36"/>
      <c r="R93" s="36"/>
      <c r="S93" s="36"/>
      <c r="T93" s="36"/>
      <c r="U93" s="36"/>
      <c r="V93" s="36"/>
      <c r="W93" s="59"/>
      <c r="X93" s="59"/>
      <c r="Y93" s="59"/>
    </row>
    <row r="94" spans="1:25" ht="15.75" customHeight="1">
      <c r="A94" s="42" t="s">
        <v>325</v>
      </c>
      <c r="B94" s="43" t="s">
        <v>326</v>
      </c>
      <c r="C94" s="44" t="str">
        <f ca="1">IFERROR(__xludf.DUMMYFUNCTION("arrayformula(VLOOKUP(to_Text(A94),to_Text(sheet2!$A$1:M1002),13,0))"),"CHORUS")</f>
        <v>CHORUS</v>
      </c>
      <c r="D94" s="45" t="str">
        <f ca="1">IFERROR(__xludf.DUMMYFUNCTION("arrayformula(VLOOKUP(to_Text(A94),to_Text(sheet2!$A$1:M1002),12,0))"),"UI/UX")</f>
        <v>UI/UX</v>
      </c>
      <c r="E94" s="43" t="s">
        <v>16</v>
      </c>
      <c r="F94" s="42" t="str">
        <f t="array" aca="1" ref="F94" ca="1">IFERROR(
  INDEX(ATTENDANCE_INPUT!D:D,
    MATCH(1,
      (ATTENDANCE_INPUT!A:A=A94) *
      (ATTENDANCE_INPUT!V:V=_xludf.MAXIFS(ATTENDANCE_INPUT!V:V, ATTENDANCE_INPUT!A:A, A94)),
      0)),
  "")</f>
        <v/>
      </c>
      <c r="G94" s="46" t="str">
        <f t="array" aca="1" ref="G94" ca="1">IFERROR(
  INDEX(ATTENDANCE_INPUT!E:E,
    MATCH(1,
      (ATTENDANCE_INPUT!A:A=A94) *
      (ATTENDANCE_INPUT!V:V=_xludf.MAXIFS(ATTENDANCE_INPUT!V:V, ATTENDANCE_INPUT!A:A, A94)),
      0)),
  "")</f>
        <v/>
      </c>
      <c r="H94" s="47" t="str">
        <f t="array" aca="1" ref="H94" ca="1">IF(ISNA(MATCH(A94,sheet2!A:A,0)),"⏳ Chưa test",IFERROR(INDEX(LEVEL_HELPER!A:A,MATCH(INDEX(sheet2!N:N,MATCH(A94,sheet2!A:A,0)),LEVEL_HELPER!B:B,0)),"⏳ Chưa test"))</f>
        <v>Beginner</v>
      </c>
      <c r="I94" s="47" t="str">
        <f t="array" aca="1" ref="I94" ca="1">IF(ISNA(MATCH(A94,sheet2!A:A,0)),H94,IF(INDEX(sheet2!O:O,MATCH(A94,sheet2!A:A,0))&gt;0,IFERROR(INDEX(LEVEL_HELPER!A:A,MATCH(INDEX(sheet2!O:O,MATCH(A94,sheet2!A:A,0)),LEVEL_HELPER!B:B,0)),H94),H94))</f>
        <v>Beginner</v>
      </c>
      <c r="J94" s="47" t="str">
        <f ca="1">IFERROR(_xludf.MAXIFS(ATTENDANCE_LOG!F:F, ATTENDANCE_LOG!C:C, A94&amp;"", ATTENDANCE_LOG!G:G, "Present"), "")</f>
        <v/>
      </c>
      <c r="K94" s="48" t="str">
        <f t="shared" ca="1" si="0"/>
        <v/>
      </c>
      <c r="L94" s="49" t="str">
        <f t="shared" ca="1" si="1"/>
        <v/>
      </c>
      <c r="M94" s="36" t="s">
        <v>34</v>
      </c>
      <c r="N94" s="50" t="s">
        <v>33</v>
      </c>
      <c r="O94" s="36"/>
      <c r="P94" s="36"/>
      <c r="Q94" s="36"/>
      <c r="R94" s="36">
        <v>227171</v>
      </c>
      <c r="S94" s="36" t="s">
        <v>327</v>
      </c>
      <c r="T94" s="36" t="s">
        <v>327</v>
      </c>
      <c r="U94" s="36" t="e">
        <v>#N/A</v>
      </c>
      <c r="V94" s="36"/>
      <c r="W94" s="59"/>
      <c r="X94" s="59"/>
      <c r="Y94" s="59"/>
    </row>
    <row r="95" spans="1:25" ht="15.75" customHeight="1">
      <c r="A95" s="42" t="s">
        <v>328</v>
      </c>
      <c r="B95" s="43" t="s">
        <v>329</v>
      </c>
      <c r="C95" s="44" t="str">
        <f ca="1">IFERROR(__xludf.DUMMYFUNCTION("arrayformula(VLOOKUP(to_Text(A95),to_Text(sheet2!$A$1:M1002),13,0))"),"CHORUS")</f>
        <v>CHORUS</v>
      </c>
      <c r="D95" s="45" t="str">
        <f ca="1">IFERROR(__xludf.DUMMYFUNCTION("arrayformula(VLOOKUP(to_Text(A95),to_Text(sheet2!$A$1:M1002),12,0))"),"DEV")</f>
        <v>DEV</v>
      </c>
      <c r="E95" s="43" t="s">
        <v>16</v>
      </c>
      <c r="F95" s="42" t="str">
        <f t="array" aca="1" ref="F95" ca="1">IFERROR(
  INDEX(ATTENDANCE_INPUT!D:D,
    MATCH(1,
      (ATTENDANCE_INPUT!A:A=A95) *
      (ATTENDANCE_INPUT!V:V=_xludf.MAXIFS(ATTENDANCE_INPUT!V:V, ATTENDANCE_INPUT!A:A, A95)),
      0)),
  "")</f>
        <v/>
      </c>
      <c r="G95" s="46" t="str">
        <f t="array" aca="1" ref="G95" ca="1">IFERROR(
  INDEX(ATTENDANCE_INPUT!E:E,
    MATCH(1,
      (ATTENDANCE_INPUT!A:A=A95) *
      (ATTENDANCE_INPUT!V:V=_xludf.MAXIFS(ATTENDANCE_INPUT!V:V, ATTENDANCE_INPUT!A:A, A95)),
      0)),
  "")</f>
        <v/>
      </c>
      <c r="H95" s="47" t="str">
        <f t="array" aca="1" ref="H95" ca="1">IF(ISNA(MATCH(A95,sheet2!A:A,0)),"⏳ Chưa test",IFERROR(INDEX(LEVEL_HELPER!A:A,MATCH(INDEX(sheet2!N:N,MATCH(A95,sheet2!A:A,0)),LEVEL_HELPER!B:B,0)),"⏳ Chưa test"))</f>
        <v>Beginner</v>
      </c>
      <c r="I95" s="47" t="str">
        <f t="array" aca="1" ref="I95" ca="1">IF(ISNA(MATCH(A95,sheet2!A:A,0)),H95,IF(INDEX(sheet2!O:O,MATCH(A95,sheet2!A:A,0))&gt;0,IFERROR(INDEX(LEVEL_HELPER!A:A,MATCH(INDEX(sheet2!O:O,MATCH(A95,sheet2!A:A,0)),LEVEL_HELPER!B:B,0)),H95),H95))</f>
        <v>Beginner</v>
      </c>
      <c r="J95" s="47" t="str">
        <f ca="1">IFERROR(_xludf.MAXIFS(ATTENDANCE_LOG!F:F, ATTENDANCE_LOG!C:C, A95&amp;"", ATTENDANCE_LOG!G:G, "Present"), "")</f>
        <v/>
      </c>
      <c r="K95" s="48" t="str">
        <f t="shared" ca="1" si="0"/>
        <v/>
      </c>
      <c r="L95" s="49" t="str">
        <f t="shared" ca="1" si="1"/>
        <v/>
      </c>
      <c r="M95" s="36" t="s">
        <v>34</v>
      </c>
      <c r="N95" s="50" t="s">
        <v>33</v>
      </c>
      <c r="O95" s="36"/>
      <c r="P95" s="36"/>
      <c r="Q95" s="36"/>
      <c r="R95" s="36">
        <v>247173</v>
      </c>
      <c r="S95" s="36" t="s">
        <v>172</v>
      </c>
      <c r="T95" s="36" t="s">
        <v>39</v>
      </c>
      <c r="U95" s="36" t="e">
        <v>#N/A</v>
      </c>
      <c r="V95" s="36"/>
      <c r="W95" s="59"/>
      <c r="X95" s="59"/>
      <c r="Y95" s="59"/>
    </row>
    <row r="96" spans="1:25" ht="15.75" customHeight="1">
      <c r="A96" s="42" t="s">
        <v>330</v>
      </c>
      <c r="B96" s="43" t="s">
        <v>331</v>
      </c>
      <c r="C96" s="44" t="str">
        <f ca="1">IFERROR(__xludf.DUMMYFUNCTION("arrayformula(VLOOKUP(to_Text(A96),to_Text(sheet2!$A$1:M1002),13,0))"),"LBU")</f>
        <v>LBU</v>
      </c>
      <c r="D96" s="45" t="str">
        <f ca="1">IFERROR(__xludf.DUMMYFUNCTION("arrayformula(VLOOKUP(to_Text(A96),to_Text(sheet2!$A$1:M1002),12,0))"),"DEV")</f>
        <v>DEV</v>
      </c>
      <c r="E96" s="43" t="str">
        <f ca="1">IF(L96="⚠ Possibly Dropped","Inactive","Active")</f>
        <v>Active</v>
      </c>
      <c r="F96" s="42" t="str">
        <f t="array" aca="1" ref="F96" ca="1">IFERROR(
  INDEX(ATTENDANCE_INPUT!D:D,
    MATCH(1,
      (ATTENDANCE_INPUT!A:A=A96) *
      (ATTENDANCE_INPUT!V:V=_xludf.MAXIFS(ATTENDANCE_INPUT!V:V, ATTENDANCE_INPUT!A:A, A96)),
      0)),
  "")</f>
        <v/>
      </c>
      <c r="G96" s="46" t="str">
        <f t="array" aca="1" ref="G96" ca="1">IFERROR(
  INDEX(ATTENDANCE_INPUT!E:E,
    MATCH(1,
      (ATTENDANCE_INPUT!A:A=A96) *
      (ATTENDANCE_INPUT!V:V=_xludf.MAXIFS(ATTENDANCE_INPUT!V:V, ATTENDANCE_INPUT!A:A, A96)),
      0)),
  "")</f>
        <v/>
      </c>
      <c r="H96" s="47" t="str">
        <f t="array" aca="1" ref="H96" ca="1">IF(ISNA(MATCH(A96,sheet2!A:A,0)),"⏳ Chưa test",IFERROR(INDEX(LEVEL_HELPER!A:A,MATCH(INDEX(sheet2!N:N,MATCH(A96,sheet2!A:A,0)),LEVEL_HELPER!B:B,0)),"⏳ Chưa test"))</f>
        <v>Pre-Intermediate</v>
      </c>
      <c r="I96" s="47" t="str">
        <f t="array" aca="1" ref="I96" ca="1">IF(ISNA(MATCH(A96,sheet2!A:A,0)),H96,IF(INDEX(sheet2!O:O,MATCH(A96,sheet2!A:A,0))&gt;0,IFERROR(INDEX(LEVEL_HELPER!A:A,MATCH(INDEX(sheet2!O:O,MATCH(A96,sheet2!A:A,0)),LEVEL_HELPER!B:B,0)),H96),H96))</f>
        <v>Pre-Intermediate</v>
      </c>
      <c r="J96" s="47" t="str">
        <f ca="1">IFERROR(_xludf.MAXIFS(ATTENDANCE_LOG!F:F, ATTENDANCE_LOG!C:C, A96&amp;"", ATTENDANCE_LOG!G:G, "Present"), "")</f>
        <v/>
      </c>
      <c r="K96" s="48" t="str">
        <f t="shared" ca="1" si="0"/>
        <v/>
      </c>
      <c r="L96" s="49" t="str">
        <f t="shared" ca="1" si="1"/>
        <v/>
      </c>
      <c r="M96" s="36"/>
      <c r="N96" s="50"/>
      <c r="O96" s="36"/>
      <c r="P96" s="36"/>
      <c r="Q96" s="36"/>
      <c r="R96" s="36">
        <v>213828</v>
      </c>
      <c r="S96" s="36" t="s">
        <v>121</v>
      </c>
      <c r="T96" s="36" t="s">
        <v>122</v>
      </c>
      <c r="U96" s="36" t="e">
        <v>#N/A</v>
      </c>
      <c r="V96" s="36"/>
      <c r="W96" s="59"/>
      <c r="X96" s="59"/>
      <c r="Y96" s="59"/>
    </row>
    <row r="97" spans="1:25" ht="15.75" customHeight="1">
      <c r="A97" s="42" t="s">
        <v>332</v>
      </c>
      <c r="B97" s="43" t="s">
        <v>333</v>
      </c>
      <c r="C97" s="44" t="str">
        <f ca="1">IFERROR(__xludf.DUMMYFUNCTION("arrayformula(VLOOKUP(to_Text(A97),to_Text(sheet2!$A$1:M1002),13,0))"),"MOC")</f>
        <v>MOC</v>
      </c>
      <c r="D97" s="45" t="str">
        <f ca="1">IFERROR(__xludf.DUMMYFUNCTION("arrayformula(VLOOKUP(to_Text(A97),to_Text(sheet2!$A$1:M1002),12,0))"),"DEV")</f>
        <v>DEV</v>
      </c>
      <c r="E97" s="43" t="s">
        <v>16</v>
      </c>
      <c r="F97" s="42" t="str">
        <f t="array" aca="1" ref="F97" ca="1">IFERROR(
  INDEX(ATTENDANCE_INPUT!D:D,
    MATCH(1,
      (ATTENDANCE_INPUT!A:A=A97) *
      (ATTENDANCE_INPUT!V:V=_xludf.MAXIFS(ATTENDANCE_INPUT!V:V, ATTENDANCE_INPUT!A:A, A97)),
      0)),
  "")</f>
        <v/>
      </c>
      <c r="G97" s="46" t="str">
        <f t="array" aca="1" ref="G97" ca="1">IFERROR(
  INDEX(ATTENDANCE_INPUT!E:E,
    MATCH(1,
      (ATTENDANCE_INPUT!A:A=A97) *
      (ATTENDANCE_INPUT!V:V=_xludf.MAXIFS(ATTENDANCE_INPUT!V:V, ATTENDANCE_INPUT!A:A, A97)),
      0)),
  "")</f>
        <v/>
      </c>
      <c r="H97" s="47" t="str">
        <f t="array" aca="1" ref="H97" ca="1">IF(ISNA(MATCH(A97,sheet2!A:A,0)),"⏳ Chưa test",IFERROR(INDEX(LEVEL_HELPER!A:A,MATCH(INDEX(sheet2!N:N,MATCH(A97,sheet2!A:A,0)),LEVEL_HELPER!B:B,0)),"⏳ Chưa test"))</f>
        <v>Beginner</v>
      </c>
      <c r="I97" s="47" t="str">
        <f t="array" aca="1" ref="I97" ca="1">IF(ISNA(MATCH(A97,sheet2!A:A,0)),H97,IF(INDEX(sheet2!O:O,MATCH(A97,sheet2!A:A,0))&gt;0,IFERROR(INDEX(LEVEL_HELPER!A:A,MATCH(INDEX(sheet2!O:O,MATCH(A97,sheet2!A:A,0)),LEVEL_HELPER!B:B,0)),H97),H97))</f>
        <v>Beginner</v>
      </c>
      <c r="J97" s="47" t="str">
        <f ca="1">IFERROR(_xludf.MAXIFS(ATTENDANCE_LOG!F:F, ATTENDANCE_LOG!C:C, A97&amp;"", ATTENDANCE_LOG!G:G, "Present"), "")</f>
        <v/>
      </c>
      <c r="K97" s="48" t="str">
        <f t="shared" ca="1" si="0"/>
        <v/>
      </c>
      <c r="L97" s="49" t="str">
        <f t="shared" ca="1" si="1"/>
        <v/>
      </c>
      <c r="M97" s="36" t="s">
        <v>34</v>
      </c>
      <c r="N97" s="50" t="s">
        <v>37</v>
      </c>
      <c r="O97" s="36"/>
      <c r="P97" s="36"/>
      <c r="Q97" s="36"/>
      <c r="R97" s="36"/>
      <c r="S97" s="36"/>
      <c r="T97" s="36"/>
      <c r="U97" s="36"/>
      <c r="V97" s="36"/>
      <c r="W97" s="59"/>
      <c r="X97" s="59"/>
      <c r="Y97" s="59"/>
    </row>
    <row r="98" spans="1:25" ht="15.75" customHeight="1">
      <c r="A98" s="42" t="s">
        <v>334</v>
      </c>
      <c r="B98" s="43" t="s">
        <v>335</v>
      </c>
      <c r="C98" s="44" t="str">
        <f ca="1">IFERROR(__xludf.DUMMYFUNCTION("arrayformula(VLOOKUP(to_Text(A98),to_Text(sheet2!$A$1:M1002),13,0))"),"TBU")</f>
        <v>TBU</v>
      </c>
      <c r="D98" s="45" t="str">
        <f ca="1">IFERROR(__xludf.DUMMYFUNCTION("arrayformula(VLOOKUP(to_Text(A98),to_Text(sheet2!$A$1:M1002),12,0))"),"DEV")</f>
        <v>DEV</v>
      </c>
      <c r="E98" s="43" t="s">
        <v>16</v>
      </c>
      <c r="F98" s="42" t="str">
        <f t="array" aca="1" ref="F98" ca="1">IFERROR(
  INDEX(ATTENDANCE_INPUT!D:D,
    MATCH(1,
      (ATTENDANCE_INPUT!A:A=A98) *
      (ATTENDANCE_INPUT!V:V=_xludf.MAXIFS(ATTENDANCE_INPUT!V:V, ATTENDANCE_INPUT!A:A, A98)),
      0)),
  "")</f>
        <v/>
      </c>
      <c r="G98" s="46" t="str">
        <f t="array" aca="1" ref="G98" ca="1">IFERROR(
  INDEX(ATTENDANCE_INPUT!E:E,
    MATCH(1,
      (ATTENDANCE_INPUT!A:A=A98) *
      (ATTENDANCE_INPUT!V:V=_xludf.MAXIFS(ATTENDANCE_INPUT!V:V, ATTENDANCE_INPUT!A:A, A98)),
      0)),
  "")</f>
        <v/>
      </c>
      <c r="H98" s="47" t="str">
        <f t="array" aca="1" ref="H98" ca="1">IF(ISNA(MATCH(A98,sheet2!A:A,0)),"⏳ Chưa test",IFERROR(INDEX(LEVEL_HELPER!A:A,MATCH(INDEX(sheet2!N:N,MATCH(A98,sheet2!A:A,0)),LEVEL_HELPER!B:B,0)),"⏳ Chưa test"))</f>
        <v>Pre-Intermediate</v>
      </c>
      <c r="I98" s="47" t="str">
        <f t="array" aca="1" ref="I98" ca="1">IF(ISNA(MATCH(A98,sheet2!A:A,0)),H98,IF(INDEX(sheet2!O:O,MATCH(A98,sheet2!A:A,0))&gt;0,IFERROR(INDEX(LEVEL_HELPER!A:A,MATCH(INDEX(sheet2!O:O,MATCH(A98,sheet2!A:A,0)),LEVEL_HELPER!B:B,0)),H98),H98))</f>
        <v>Pre-Intermediate</v>
      </c>
      <c r="J98" s="47" t="str">
        <f ca="1">IFERROR(_xludf.MAXIFS(ATTENDANCE_LOG!F:F, ATTENDANCE_LOG!C:C, A98&amp;"", ATTENDANCE_LOG!G:G, "Present"), "")</f>
        <v/>
      </c>
      <c r="K98" s="48" t="str">
        <f t="shared" ca="1" si="0"/>
        <v/>
      </c>
      <c r="L98" s="49" t="str">
        <f t="shared" ca="1" si="1"/>
        <v/>
      </c>
      <c r="M98" s="36" t="s">
        <v>36</v>
      </c>
      <c r="N98" s="50" t="s">
        <v>42</v>
      </c>
      <c r="O98" s="36"/>
      <c r="P98" s="36"/>
      <c r="Q98" s="36"/>
      <c r="R98" s="36"/>
      <c r="S98" s="36"/>
      <c r="T98" s="36"/>
      <c r="U98" s="36"/>
      <c r="V98" s="36"/>
      <c r="W98" s="59"/>
      <c r="X98" s="59"/>
      <c r="Y98" s="59"/>
    </row>
    <row r="99" spans="1:25" ht="15.75" customHeight="1">
      <c r="A99" s="42" t="s">
        <v>336</v>
      </c>
      <c r="B99" s="43" t="s">
        <v>337</v>
      </c>
      <c r="C99" s="44" t="str">
        <f ca="1">IFERROR(__xludf.DUMMYFUNCTION("arrayformula(VLOOKUP(to_Text(A99),to_Text(sheet2!$A$1:M1002),13,0))"),"MOC")</f>
        <v>MOC</v>
      </c>
      <c r="D99" s="45" t="str">
        <f ca="1">IFERROR(__xludf.DUMMYFUNCTION("arrayformula(VLOOKUP(to_Text(A99),to_Text(sheet2!$A$1:M1002),12,0))"),"QC")</f>
        <v>QC</v>
      </c>
      <c r="E99" s="43" t="s">
        <v>16</v>
      </c>
      <c r="F99" s="42" t="str">
        <f t="array" aca="1" ref="F99" ca="1">IFERROR(
  INDEX(ATTENDANCE_INPUT!D:D,
    MATCH(1,
      (ATTENDANCE_INPUT!A:A=A99) *
      (ATTENDANCE_INPUT!V:V=_xludf.MAXIFS(ATTENDANCE_INPUT!V:V, ATTENDANCE_INPUT!A:A, A99)),
      0)),
  "")</f>
        <v/>
      </c>
      <c r="G99" s="46" t="str">
        <f t="array" aca="1" ref="G99" ca="1">IFERROR(
  INDEX(ATTENDANCE_INPUT!E:E,
    MATCH(1,
      (ATTENDANCE_INPUT!A:A=A99) *
      (ATTENDANCE_INPUT!V:V=_xludf.MAXIFS(ATTENDANCE_INPUT!V:V, ATTENDANCE_INPUT!A:A, A99)),
      0)),
  "")</f>
        <v/>
      </c>
      <c r="H99" s="47" t="str">
        <f t="array" aca="1" ref="H99" ca="1">IF(ISNA(MATCH(A99,sheet2!A:A,0)),"⏳ Chưa test",IFERROR(INDEX(LEVEL_HELPER!A:A,MATCH(INDEX(sheet2!N:N,MATCH(A99,sheet2!A:A,0)),LEVEL_HELPER!B:B,0)),"⏳ Chưa test"))</f>
        <v>Beginner</v>
      </c>
      <c r="I99" s="47" t="str">
        <f t="array" aca="1" ref="I99" ca="1">IF(ISNA(MATCH(A99,sheet2!A:A,0)),H99,IF(INDEX(sheet2!O:O,MATCH(A99,sheet2!A:A,0))&gt;0,IFERROR(INDEX(LEVEL_HELPER!A:A,MATCH(INDEX(sheet2!O:O,MATCH(A99,sheet2!A:A,0)),LEVEL_HELPER!B:B,0)),H99),H99))</f>
        <v>Beginner</v>
      </c>
      <c r="J99" s="47" t="str">
        <f ca="1">IFERROR(_xludf.MAXIFS(ATTENDANCE_LOG!F:F, ATTENDANCE_LOG!C:C, A99&amp;"", ATTENDANCE_LOG!G:G, "Present"), "")</f>
        <v/>
      </c>
      <c r="K99" s="48" t="str">
        <f t="shared" ca="1" si="0"/>
        <v/>
      </c>
      <c r="L99" s="49" t="str">
        <f t="shared" ca="1" si="1"/>
        <v/>
      </c>
      <c r="M99" s="36" t="s">
        <v>36</v>
      </c>
      <c r="N99" s="50" t="s">
        <v>33</v>
      </c>
      <c r="O99" s="36"/>
      <c r="P99" s="36"/>
      <c r="Q99" s="36"/>
      <c r="R99" s="36">
        <v>247140</v>
      </c>
      <c r="S99" s="36" t="s">
        <v>172</v>
      </c>
      <c r="T99" s="36" t="s">
        <v>39</v>
      </c>
      <c r="U99" s="36" t="str">
        <f ca="1">IFERROR(__xludf.DUMMYFUNCTION("arrayformula(vlookup(to_text(R99),to_text($A$4:$B1087),2,0))"),"#N/A")</f>
        <v>#N/A</v>
      </c>
      <c r="V99" s="36"/>
      <c r="W99" s="59"/>
      <c r="X99" s="59"/>
      <c r="Y99" s="59"/>
    </row>
    <row r="100" spans="1:25" ht="15.75" customHeight="1">
      <c r="A100" s="42" t="s">
        <v>338</v>
      </c>
      <c r="B100" s="43" t="s">
        <v>339</v>
      </c>
      <c r="C100" s="44" t="str">
        <f ca="1">IFERROR(__xludf.DUMMYFUNCTION("arrayformula(VLOOKUP(to_Text(A100),to_Text(sheet2!$A$1:M1002),13,0))"),"TBU")</f>
        <v>TBU</v>
      </c>
      <c r="D100" s="45" t="str">
        <f ca="1">IFERROR(__xludf.DUMMYFUNCTION("arrayformula(VLOOKUP(to_Text(A100),to_Text(sheet2!$A$1:M1002),12,0))"),"GSD")</f>
        <v>GSD</v>
      </c>
      <c r="E100" s="43" t="s">
        <v>16</v>
      </c>
      <c r="F100" s="42" t="str">
        <f t="array" aca="1" ref="F100" ca="1">IFERROR(
  INDEX(ATTENDANCE_INPUT!D:D,
    MATCH(1,
      (ATTENDANCE_INPUT!A:A=A100) *
      (ATTENDANCE_INPUT!V:V=_xludf.MAXIFS(ATTENDANCE_INPUT!V:V, ATTENDANCE_INPUT!A:A, A100)),
      0)),
  "")</f>
        <v/>
      </c>
      <c r="G100" s="46" t="str">
        <f t="array" aca="1" ref="G100" ca="1">IFERROR(
  INDEX(ATTENDANCE_INPUT!E:E,
    MATCH(1,
      (ATTENDANCE_INPUT!A:A=A100) *
      (ATTENDANCE_INPUT!V:V=_xludf.MAXIFS(ATTENDANCE_INPUT!V:V, ATTENDANCE_INPUT!A:A, A100)),
      0)),
  "")</f>
        <v/>
      </c>
      <c r="H100" s="47" t="str">
        <f t="array" aca="1" ref="H100" ca="1">IF(ISNA(MATCH(A100,sheet2!A:A,0)),"⏳ Chưa test",IFERROR(INDEX(LEVEL_HELPER!A:A,MATCH(INDEX(sheet2!N:N,MATCH(A100,sheet2!A:A,0)),LEVEL_HELPER!B:B,0)),"⏳ Chưa test"))</f>
        <v>Beginner</v>
      </c>
      <c r="I100" s="47" t="str">
        <f t="array" aca="1" ref="I100" ca="1">IF(ISNA(MATCH(A100,sheet2!A:A,0)),H100,IF(INDEX(sheet2!O:O,MATCH(A100,sheet2!A:A,0))&gt;0,IFERROR(INDEX(LEVEL_HELPER!A:A,MATCH(INDEX(sheet2!O:O,MATCH(A100,sheet2!A:A,0)),LEVEL_HELPER!B:B,0)),H100),H100))</f>
        <v>Beginner</v>
      </c>
      <c r="J100" s="47" t="str">
        <f ca="1">IFERROR(_xludf.MAXIFS(ATTENDANCE_LOG!F:F, ATTENDANCE_LOG!C:C, A100&amp;"", ATTENDANCE_LOG!G:G, "Present"), "")</f>
        <v/>
      </c>
      <c r="K100" s="48" t="str">
        <f t="shared" ca="1" si="0"/>
        <v/>
      </c>
      <c r="L100" s="49" t="str">
        <f t="shared" ca="1" si="1"/>
        <v/>
      </c>
      <c r="M100" s="36" t="s">
        <v>36</v>
      </c>
      <c r="N100" s="50" t="s">
        <v>33</v>
      </c>
      <c r="O100" s="36"/>
      <c r="P100" s="36"/>
      <c r="Q100" s="36"/>
      <c r="R100" s="36"/>
      <c r="S100" s="36"/>
      <c r="T100" s="36"/>
      <c r="U100" s="36"/>
      <c r="V100" s="36"/>
      <c r="W100" s="59"/>
      <c r="X100" s="59"/>
      <c r="Y100" s="59"/>
    </row>
    <row r="101" spans="1:25" ht="15.75" customHeight="1">
      <c r="A101" s="42" t="s">
        <v>340</v>
      </c>
      <c r="B101" s="43" t="s">
        <v>341</v>
      </c>
      <c r="C101" s="44" t="str">
        <f ca="1">IFERROR(__xludf.DUMMYFUNCTION("arrayformula(VLOOKUP(to_Text(A101),to_Text(sheet2!$A$1:M1002),13,0))"),"CHORUS")</f>
        <v>CHORUS</v>
      </c>
      <c r="D101" s="45" t="str">
        <f ca="1">IFERROR(__xludf.DUMMYFUNCTION("arrayformula(VLOOKUP(to_Text(A101),to_Text(sheet2!$A$1:M1002),12,0))"),"DEV")</f>
        <v>DEV</v>
      </c>
      <c r="E101" s="43" t="s">
        <v>16</v>
      </c>
      <c r="F101" s="42" t="str">
        <f t="array" aca="1" ref="F101" ca="1">IFERROR(
  INDEX(ATTENDANCE_INPUT!D:D,
    MATCH(1,
      (ATTENDANCE_INPUT!A:A=A101) *
      (ATTENDANCE_INPUT!V:V=_xludf.MAXIFS(ATTENDANCE_INPUT!V:V, ATTENDANCE_INPUT!A:A, A101)),
      0)),
  "")</f>
        <v/>
      </c>
      <c r="G101" s="46" t="str">
        <f t="array" aca="1" ref="G101" ca="1">IFERROR(
  INDEX(ATTENDANCE_INPUT!E:E,
    MATCH(1,
      (ATTENDANCE_INPUT!A:A=A101) *
      (ATTENDANCE_INPUT!V:V=_xludf.MAXIFS(ATTENDANCE_INPUT!V:V, ATTENDANCE_INPUT!A:A, A101)),
      0)),
  "")</f>
        <v/>
      </c>
      <c r="H101" s="47" t="str">
        <f t="array" aca="1" ref="H101" ca="1">IF(ISNA(MATCH(A101,sheet2!A:A,0)),"⏳ Chưa test",IFERROR(INDEX(LEVEL_HELPER!A:A,MATCH(INDEX(sheet2!N:N,MATCH(A101,sheet2!A:A,0)),LEVEL_HELPER!B:B,0)),"⏳ Chưa test"))</f>
        <v>Pre-Intermediate</v>
      </c>
      <c r="I101" s="47" t="str">
        <f t="array" aca="1" ref="I101" ca="1">IF(ISNA(MATCH(A101,sheet2!A:A,0)),H101,IF(INDEX(sheet2!O:O,MATCH(A101,sheet2!A:A,0))&gt;0,IFERROR(INDEX(LEVEL_HELPER!A:A,MATCH(INDEX(sheet2!O:O,MATCH(A101,sheet2!A:A,0)),LEVEL_HELPER!B:B,0)),H101),H101))</f>
        <v>Pre-Intermediate</v>
      </c>
      <c r="J101" s="47" t="str">
        <f ca="1">IFERROR(_xludf.MAXIFS(ATTENDANCE_LOG!F:F, ATTENDANCE_LOG!C:C, A101&amp;"", ATTENDANCE_LOG!G:G, "Present"), "")</f>
        <v/>
      </c>
      <c r="K101" s="48" t="str">
        <f t="shared" ca="1" si="0"/>
        <v/>
      </c>
      <c r="L101" s="49" t="str">
        <f t="shared" ca="1" si="1"/>
        <v/>
      </c>
      <c r="M101" s="36" t="s">
        <v>36</v>
      </c>
      <c r="N101" s="50" t="s">
        <v>33</v>
      </c>
      <c r="O101" s="36"/>
      <c r="P101" s="36"/>
      <c r="Q101" s="36"/>
      <c r="R101" s="36"/>
      <c r="S101" s="36"/>
      <c r="T101" s="36"/>
      <c r="U101" s="36"/>
      <c r="V101" s="36"/>
      <c r="W101" s="59"/>
      <c r="X101" s="59"/>
      <c r="Y101" s="59"/>
    </row>
    <row r="102" spans="1:25" ht="15.75" customHeight="1">
      <c r="A102" s="42" t="s">
        <v>342</v>
      </c>
      <c r="B102" s="43" t="s">
        <v>343</v>
      </c>
      <c r="C102" s="44" t="str">
        <f ca="1">IFERROR(__xludf.DUMMYFUNCTION("arrayformula(VLOOKUP(to_Text(A102),to_Text(sheet2!$A$1:M1002),13,0))"),"MOC")</f>
        <v>MOC</v>
      </c>
      <c r="D102" s="45" t="str">
        <f ca="1">IFERROR(__xludf.DUMMYFUNCTION("arrayformula(VLOOKUP(to_Text(A102),to_Text(sheet2!$A$1:M1002),12,0))"),"QC")</f>
        <v>QC</v>
      </c>
      <c r="E102" s="43" t="s">
        <v>16</v>
      </c>
      <c r="F102" s="42" t="str">
        <f t="array" aca="1" ref="F102" ca="1">IFERROR(
  INDEX(ATTENDANCE_INPUT!D:D,
    MATCH(1,
      (ATTENDANCE_INPUT!A:A=A102) *
      (ATTENDANCE_INPUT!V:V=_xludf.MAXIFS(ATTENDANCE_INPUT!V:V, ATTENDANCE_INPUT!A:A, A102)),
      0)),
  "")</f>
        <v/>
      </c>
      <c r="G102" s="46" t="str">
        <f t="array" aca="1" ref="G102" ca="1">IFERROR(
  INDEX(ATTENDANCE_INPUT!E:E,
    MATCH(1,
      (ATTENDANCE_INPUT!A:A=A102) *
      (ATTENDANCE_INPUT!V:V=_xludf.MAXIFS(ATTENDANCE_INPUT!V:V, ATTENDANCE_INPUT!A:A, A102)),
      0)),
  "")</f>
        <v/>
      </c>
      <c r="H102" s="47" t="str">
        <f t="array" aca="1" ref="H102" ca="1">IF(ISNA(MATCH(A102,sheet2!A:A,0)),"⏳ Chưa test",IFERROR(INDEX(LEVEL_HELPER!A:A,MATCH(INDEX(sheet2!N:N,MATCH(A102,sheet2!A:A,0)),LEVEL_HELPER!B:B,0)),"⏳ Chưa test"))</f>
        <v>Beginner</v>
      </c>
      <c r="I102" s="47" t="str">
        <f t="array" aca="1" ref="I102" ca="1">IF(ISNA(MATCH(A102,sheet2!A:A,0)),H102,IF(INDEX(sheet2!O:O,MATCH(A102,sheet2!A:A,0))&gt;0,IFERROR(INDEX(LEVEL_HELPER!A:A,MATCH(INDEX(sheet2!O:O,MATCH(A102,sheet2!A:A,0)),LEVEL_HELPER!B:B,0)),H102),H102))</f>
        <v>Beginner</v>
      </c>
      <c r="J102" s="47" t="str">
        <f ca="1">IFERROR(_xludf.MAXIFS(ATTENDANCE_LOG!F:F, ATTENDANCE_LOG!C:C, A102&amp;"", ATTENDANCE_LOG!G:G, "Present"), "")</f>
        <v/>
      </c>
      <c r="K102" s="48" t="str">
        <f t="shared" ca="1" si="0"/>
        <v/>
      </c>
      <c r="L102" s="49" t="str">
        <f t="shared" ca="1" si="1"/>
        <v/>
      </c>
      <c r="M102" s="36" t="s">
        <v>34</v>
      </c>
      <c r="N102" s="50" t="s">
        <v>33</v>
      </c>
      <c r="O102" s="36"/>
      <c r="P102" s="36"/>
      <c r="Q102" s="36"/>
      <c r="R102" s="36"/>
      <c r="S102" s="36"/>
      <c r="T102" s="36"/>
      <c r="U102" s="36"/>
      <c r="V102" s="36"/>
      <c r="W102" s="59"/>
      <c r="X102" s="59"/>
      <c r="Y102" s="59"/>
    </row>
    <row r="103" spans="1:25" ht="15.75" customHeight="1">
      <c r="A103" s="42" t="s">
        <v>344</v>
      </c>
      <c r="B103" s="43" t="s">
        <v>345</v>
      </c>
      <c r="C103" s="44" t="str">
        <f ca="1">IFERROR(__xludf.DUMMYFUNCTION("arrayformula(VLOOKUP(to_Text(A103),to_Text(sheet2!$A$1:M1002),13,0))"),"ONC")</f>
        <v>ONC</v>
      </c>
      <c r="D103" s="45" t="str">
        <f ca="1">IFERROR(__xludf.DUMMYFUNCTION("arrayformula(VLOOKUP(to_Text(A103),to_Text(sheet2!$A$1:M1002),12,0))"),"DEV")</f>
        <v>DEV</v>
      </c>
      <c r="E103" s="43" t="str">
        <f ca="1">IF(L103="⚠ Possibly Dropped","Inactive","Active")</f>
        <v>Active</v>
      </c>
      <c r="F103" s="42" t="str">
        <f t="array" aca="1" ref="F103" ca="1">IFERROR(
  INDEX(ATTENDANCE_INPUT!D:D,
    MATCH(1,
      (ATTENDANCE_INPUT!A:A=A103) *
      (ATTENDANCE_INPUT!V:V=_xludf.MAXIFS(ATTENDANCE_INPUT!V:V, ATTENDANCE_INPUT!A:A, A103)),
      0)),
  "")</f>
        <v/>
      </c>
      <c r="G103" s="46" t="str">
        <f t="array" aca="1" ref="G103" ca="1">IFERROR(
  INDEX(ATTENDANCE_INPUT!E:E,
    MATCH(1,
      (ATTENDANCE_INPUT!A:A=A103) *
      (ATTENDANCE_INPUT!V:V=_xludf.MAXIFS(ATTENDANCE_INPUT!V:V, ATTENDANCE_INPUT!A:A, A103)),
      0)),
  "")</f>
        <v/>
      </c>
      <c r="H103" s="47" t="str">
        <f t="array" aca="1" ref="H103" ca="1">IF(ISNA(MATCH(A103,sheet2!A:A,0)),"⏳ Chưa test",IFERROR(INDEX(LEVEL_HELPER!A:A,MATCH(INDEX(sheet2!N:N,MATCH(A103,sheet2!A:A,0)),LEVEL_HELPER!B:B,0)),"⏳ Chưa test"))</f>
        <v>Beginner</v>
      </c>
      <c r="I103" s="47" t="str">
        <f t="array" aca="1" ref="I103" ca="1">IF(ISNA(MATCH(A103,sheet2!A:A,0)),H103,IF(INDEX(sheet2!O:O,MATCH(A103,sheet2!A:A,0))&gt;0,IFERROR(INDEX(LEVEL_HELPER!A:A,MATCH(INDEX(sheet2!O:O,MATCH(A103,sheet2!A:A,0)),LEVEL_HELPER!B:B,0)),H103),H103))</f>
        <v>Beginner</v>
      </c>
      <c r="J103" s="47" t="str">
        <f ca="1">IFERROR(_xludf.MAXIFS(ATTENDANCE_LOG!F:F, ATTENDANCE_LOG!C:C, A103&amp;"", ATTENDANCE_LOG!G:G, "Present"), "")</f>
        <v/>
      </c>
      <c r="K103" s="48" t="str">
        <f t="shared" ca="1" si="0"/>
        <v/>
      </c>
      <c r="L103" s="49" t="str">
        <f t="shared" ca="1" si="1"/>
        <v/>
      </c>
      <c r="M103" s="36"/>
      <c r="N103" s="50"/>
      <c r="O103" s="36"/>
      <c r="P103" s="36"/>
      <c r="Q103" s="36"/>
      <c r="R103" s="36"/>
      <c r="S103" s="36"/>
      <c r="T103" s="36"/>
      <c r="U103" s="36"/>
      <c r="V103" s="36"/>
      <c r="W103" s="59"/>
      <c r="X103" s="59"/>
      <c r="Y103" s="59"/>
    </row>
    <row r="104" spans="1:25" ht="15.75" customHeight="1">
      <c r="A104" s="42" t="s">
        <v>346</v>
      </c>
      <c r="B104" s="43" t="s">
        <v>347</v>
      </c>
      <c r="C104" s="44" t="str">
        <f ca="1">IFERROR(__xludf.DUMMYFUNCTION("arrayformula(VLOOKUP(to_Text(A104),to_Text(sheet2!$A$1:M1002),13,0))"),"TBU")</f>
        <v>TBU</v>
      </c>
      <c r="D104" s="45" t="str">
        <f ca="1">IFERROR(__xludf.DUMMYFUNCTION("arrayformula(VLOOKUP(to_Text(A104),to_Text(sheet2!$A$1:M1002),12,0))"),"BA")</f>
        <v>BA</v>
      </c>
      <c r="E104" s="43" t="s">
        <v>16</v>
      </c>
      <c r="F104" s="42" t="str">
        <f t="array" aca="1" ref="F104" ca="1">IFERROR(
  INDEX(ATTENDANCE_INPUT!D:D,
    MATCH(1,
      (ATTENDANCE_INPUT!A:A=A104) *
      (ATTENDANCE_INPUT!V:V=_xludf.MAXIFS(ATTENDANCE_INPUT!V:V, ATTENDANCE_INPUT!A:A, A104)),
      0)),
  "")</f>
        <v/>
      </c>
      <c r="G104" s="46" t="str">
        <f t="array" aca="1" ref="G104" ca="1">IFERROR(
  INDEX(ATTENDANCE_INPUT!E:E,
    MATCH(1,
      (ATTENDANCE_INPUT!A:A=A104) *
      (ATTENDANCE_INPUT!V:V=_xludf.MAXIFS(ATTENDANCE_INPUT!V:V, ATTENDANCE_INPUT!A:A, A104)),
      0)),
  "")</f>
        <v/>
      </c>
      <c r="H104" s="47" t="str">
        <f t="array" aca="1" ref="H104" ca="1">IF(ISNA(MATCH(A104,sheet2!A:A,0)),"⏳ Chưa test",IFERROR(INDEX(LEVEL_HELPER!A:A,MATCH(INDEX(sheet2!N:N,MATCH(A104,sheet2!A:A,0)),LEVEL_HELPER!B:B,0)),"⏳ Chưa test"))</f>
        <v>⏳ Chưa test</v>
      </c>
      <c r="I104" s="47" t="str">
        <f t="array" aca="1" ref="I104" ca="1">IF(ISNA(MATCH(A104,sheet2!A:A,0)),H104,IF(INDEX(sheet2!O:O,MATCH(A104,sheet2!A:A,0))&gt;0,IFERROR(INDEX(LEVEL_HELPER!A:A,MATCH(INDEX(sheet2!O:O,MATCH(A104,sheet2!A:A,0)),LEVEL_HELPER!B:B,0)),H104),H104))</f>
        <v>⏳ Chưa test</v>
      </c>
      <c r="J104" s="47" t="str">
        <f ca="1">IFERROR(_xludf.MAXIFS(ATTENDANCE_LOG!F:F, ATTENDANCE_LOG!C:C, A104&amp;"", ATTENDANCE_LOG!G:G, "Present"), "")</f>
        <v/>
      </c>
      <c r="K104" s="48" t="str">
        <f t="shared" ca="1" si="0"/>
        <v/>
      </c>
      <c r="L104" s="49" t="str">
        <f t="shared" ca="1" si="1"/>
        <v/>
      </c>
      <c r="M104" s="36" t="s">
        <v>36</v>
      </c>
      <c r="N104" s="50" t="s">
        <v>33</v>
      </c>
      <c r="O104" s="36"/>
      <c r="P104" s="36"/>
      <c r="Q104" s="36"/>
      <c r="R104" s="36"/>
      <c r="S104" s="36"/>
      <c r="T104" s="36"/>
      <c r="U104" s="36"/>
      <c r="V104" s="36"/>
      <c r="W104" s="59"/>
      <c r="X104" s="59"/>
      <c r="Y104" s="59"/>
    </row>
    <row r="105" spans="1:25" ht="15.75" customHeight="1">
      <c r="A105" s="42" t="s">
        <v>348</v>
      </c>
      <c r="B105" s="43" t="s">
        <v>349</v>
      </c>
      <c r="C105" s="44" t="str">
        <f ca="1">IFERROR(__xludf.DUMMYFUNCTION("arrayformula(VLOOKUP(to_Text(A105),to_Text(sheet2!$A$1:M1002),13,0))"),"BSG")</f>
        <v>BSG</v>
      </c>
      <c r="D105" s="45" t="str">
        <f ca="1">IFERROR(__xludf.DUMMYFUNCTION("arrayformula(VLOOKUP(to_Text(A105),to_Text(sheet2!$A$1:M1002),12,0))"),"HR")</f>
        <v>HR</v>
      </c>
      <c r="E105" s="43" t="s">
        <v>16</v>
      </c>
      <c r="F105" s="42" t="str">
        <f t="array" aca="1" ref="F105" ca="1">IFERROR(
  INDEX(ATTENDANCE_INPUT!D:D,
    MATCH(1,
      (ATTENDANCE_INPUT!A:A=A105) *
      (ATTENDANCE_INPUT!V:V=_xludf.MAXIFS(ATTENDANCE_INPUT!V:V, ATTENDANCE_INPUT!A:A, A105)),
      0)),
  "")</f>
        <v/>
      </c>
      <c r="G105" s="46" t="str">
        <f t="array" aca="1" ref="G105" ca="1">IFERROR(
  INDEX(ATTENDANCE_INPUT!E:E,
    MATCH(1,
      (ATTENDANCE_INPUT!A:A=A105) *
      (ATTENDANCE_INPUT!V:V=_xludf.MAXIFS(ATTENDANCE_INPUT!V:V, ATTENDANCE_INPUT!A:A, A105)),
      0)),
  "")</f>
        <v/>
      </c>
      <c r="H105" s="47" t="str">
        <f t="array" aca="1" ref="H105" ca="1">IF(ISNA(MATCH(A105,sheet2!A:A,0)),"⏳ Chưa test",IFERROR(INDEX(LEVEL_HELPER!A:A,MATCH(INDEX(sheet2!N:N,MATCH(A105,sheet2!A:A,0)),LEVEL_HELPER!B:B,0)),"⏳ Chưa test"))</f>
        <v>Pre-Intermediate</v>
      </c>
      <c r="I105" s="47" t="str">
        <f t="array" aca="1" ref="I105" ca="1">IF(ISNA(MATCH(A105,sheet2!A:A,0)),H105,IF(INDEX(sheet2!O:O,MATCH(A105,sheet2!A:A,0))&gt;0,IFERROR(INDEX(LEVEL_HELPER!A:A,MATCH(INDEX(sheet2!O:O,MATCH(A105,sheet2!A:A,0)),LEVEL_HELPER!B:B,0)),H105),H105))</f>
        <v>Pre-Intermediate</v>
      </c>
      <c r="J105" s="47" t="str">
        <f ca="1">IFERROR(_xludf.MAXIFS(ATTENDANCE_LOG!F:F, ATTENDANCE_LOG!C:C, A105&amp;"", ATTENDANCE_LOG!G:G, "Present"), "")</f>
        <v/>
      </c>
      <c r="K105" s="48" t="str">
        <f t="shared" ca="1" si="0"/>
        <v/>
      </c>
      <c r="L105" s="49" t="str">
        <f t="shared" ca="1" si="1"/>
        <v/>
      </c>
      <c r="M105" s="36" t="s">
        <v>34</v>
      </c>
      <c r="N105" s="50" t="s">
        <v>37</v>
      </c>
      <c r="O105" s="36"/>
      <c r="P105" s="36"/>
      <c r="Q105" s="36"/>
      <c r="R105" s="36"/>
      <c r="S105" s="36"/>
      <c r="T105" s="36"/>
      <c r="U105" s="36"/>
      <c r="V105" s="36"/>
      <c r="W105" s="59"/>
      <c r="X105" s="59"/>
      <c r="Y105" s="59"/>
    </row>
    <row r="106" spans="1:25" ht="15.75" customHeight="1">
      <c r="A106" s="42" t="s">
        <v>350</v>
      </c>
      <c r="B106" s="43" t="s">
        <v>351</v>
      </c>
      <c r="C106" s="44" t="str">
        <f ca="1">IFERROR(__xludf.DUMMYFUNCTION("arrayformula(VLOOKUP(to_Text(A106),to_Text(sheet2!$A$1:M1002),13,0))"),"MOC")</f>
        <v>MOC</v>
      </c>
      <c r="D106" s="45" t="str">
        <f ca="1">IFERROR(__xludf.DUMMYFUNCTION("arrayformula(VLOOKUP(to_Text(A106),to_Text(sheet2!$A$1:M1002),12,0))"),"DEV")</f>
        <v>DEV</v>
      </c>
      <c r="E106" s="43" t="s">
        <v>16</v>
      </c>
      <c r="F106" s="42" t="str">
        <f t="array" aca="1" ref="F106" ca="1">IFERROR(
  INDEX(ATTENDANCE_INPUT!D:D,
    MATCH(1,
      (ATTENDANCE_INPUT!A:A=A106) *
      (ATTENDANCE_INPUT!V:V=_xludf.MAXIFS(ATTENDANCE_INPUT!V:V, ATTENDANCE_INPUT!A:A, A106)),
      0)),
  "")</f>
        <v/>
      </c>
      <c r="G106" s="46" t="str">
        <f t="array" aca="1" ref="G106" ca="1">IFERROR(
  INDEX(ATTENDANCE_INPUT!E:E,
    MATCH(1,
      (ATTENDANCE_INPUT!A:A=A106) *
      (ATTENDANCE_INPUT!V:V=_xludf.MAXIFS(ATTENDANCE_INPUT!V:V, ATTENDANCE_INPUT!A:A, A106)),
      0)),
  "")</f>
        <v/>
      </c>
      <c r="H106" s="47" t="str">
        <f t="array" aca="1" ref="H106" ca="1">IF(ISNA(MATCH(A106,sheet2!A:A,0)),"⏳ Chưa test",IFERROR(INDEX(LEVEL_HELPER!A:A,MATCH(INDEX(sheet2!N:N,MATCH(A106,sheet2!A:A,0)),LEVEL_HELPER!B:B,0)),"⏳ Chưa test"))</f>
        <v>Beginner</v>
      </c>
      <c r="I106" s="47" t="str">
        <f t="array" aca="1" ref="I106" ca="1">IF(ISNA(MATCH(A106,sheet2!A:A,0)),H106,IF(INDEX(sheet2!O:O,MATCH(A106,sheet2!A:A,0))&gt;0,IFERROR(INDEX(LEVEL_HELPER!A:A,MATCH(INDEX(sheet2!O:O,MATCH(A106,sheet2!A:A,0)),LEVEL_HELPER!B:B,0)),H106),H106))</f>
        <v>Beginner</v>
      </c>
      <c r="J106" s="47" t="str">
        <f ca="1">IFERROR(_xludf.MAXIFS(ATTENDANCE_LOG!F:F, ATTENDANCE_LOG!C:C, A106&amp;"", ATTENDANCE_LOG!G:G, "Present"), "")</f>
        <v/>
      </c>
      <c r="K106" s="48" t="str">
        <f t="shared" ca="1" si="0"/>
        <v/>
      </c>
      <c r="L106" s="49" t="str">
        <f t="shared" ca="1" si="1"/>
        <v/>
      </c>
      <c r="M106" s="36" t="s">
        <v>34</v>
      </c>
      <c r="N106" s="50" t="s">
        <v>35</v>
      </c>
      <c r="O106" s="36"/>
      <c r="P106" s="36"/>
      <c r="Q106" s="36"/>
      <c r="R106" s="36"/>
      <c r="S106" s="36"/>
      <c r="T106" s="36"/>
      <c r="U106" s="36"/>
      <c r="V106" s="36"/>
      <c r="W106" s="59"/>
      <c r="X106" s="59"/>
      <c r="Y106" s="59"/>
    </row>
    <row r="107" spans="1:25" ht="15.75" customHeight="1">
      <c r="A107" s="42" t="s">
        <v>352</v>
      </c>
      <c r="B107" s="43" t="s">
        <v>353</v>
      </c>
      <c r="C107" s="44" t="str">
        <f ca="1">IFERROR(__xludf.DUMMYFUNCTION("arrayformula(VLOOKUP(to_Text(A107),to_Text(sheet2!$A$1:M1002),13,0))"),"ONC")</f>
        <v>ONC</v>
      </c>
      <c r="D107" s="45" t="str">
        <f ca="1">IFERROR(__xludf.DUMMYFUNCTION("arrayformula(VLOOKUP(to_Text(A107),to_Text(sheet2!$A$1:M1002),12,0))"),"DEV")</f>
        <v>DEV</v>
      </c>
      <c r="E107" s="43" t="str">
        <f t="shared" ref="E107:E108" ca="1" si="13">IF(L107="⚠ Possibly Dropped","Inactive","Active")</f>
        <v>Active</v>
      </c>
      <c r="F107" s="42" t="str">
        <f t="array" aca="1" ref="F107" ca="1">IFERROR(
  INDEX(ATTENDANCE_INPUT!D:D,
    MATCH(1,
      (ATTENDANCE_INPUT!A:A=A107) *
      (ATTENDANCE_INPUT!V:V=_xludf.MAXIFS(ATTENDANCE_INPUT!V:V, ATTENDANCE_INPUT!A:A, A107)),
      0)),
  "")</f>
        <v/>
      </c>
      <c r="G107" s="46" t="str">
        <f t="array" aca="1" ref="G107" ca="1">IFERROR(
  INDEX(ATTENDANCE_INPUT!E:E,
    MATCH(1,
      (ATTENDANCE_INPUT!A:A=A107) *
      (ATTENDANCE_INPUT!V:V=_xludf.MAXIFS(ATTENDANCE_INPUT!V:V, ATTENDANCE_INPUT!A:A, A107)),
      0)),
  "")</f>
        <v/>
      </c>
      <c r="H107" s="47" t="str">
        <f t="array" aca="1" ref="H107" ca="1">IF(ISNA(MATCH(A107,sheet2!A:A,0)),"⏳ Chưa test",IFERROR(INDEX(LEVEL_HELPER!A:A,MATCH(INDEX(sheet2!N:N,MATCH(A107,sheet2!A:A,0)),LEVEL_HELPER!B:B,0)),"⏳ Chưa test"))</f>
        <v>Beginner</v>
      </c>
      <c r="I107" s="47" t="str">
        <f t="array" aca="1" ref="I107" ca="1">IF(ISNA(MATCH(A107,sheet2!A:A,0)),H107,IF(INDEX(sheet2!O:O,MATCH(A107,sheet2!A:A,0))&gt;0,IFERROR(INDEX(LEVEL_HELPER!A:A,MATCH(INDEX(sheet2!O:O,MATCH(A107,sheet2!A:A,0)),LEVEL_HELPER!B:B,0)),H107),H107))</f>
        <v>Beginner</v>
      </c>
      <c r="J107" s="47" t="str">
        <f ca="1">IFERROR(_xludf.MAXIFS(ATTENDANCE_LOG!F:F, ATTENDANCE_LOG!C:C, A107&amp;"", ATTENDANCE_LOG!G:G, "Present"), "")</f>
        <v/>
      </c>
      <c r="K107" s="48" t="str">
        <f t="shared" ca="1" si="0"/>
        <v/>
      </c>
      <c r="L107" s="49" t="str">
        <f t="shared" ca="1" si="1"/>
        <v/>
      </c>
      <c r="M107" s="36" t="s">
        <v>34</v>
      </c>
      <c r="N107" s="50" t="s">
        <v>37</v>
      </c>
      <c r="O107" s="36"/>
      <c r="P107" s="36"/>
      <c r="Q107" s="36"/>
      <c r="R107" s="36">
        <v>247068</v>
      </c>
      <c r="S107" s="36" t="s">
        <v>354</v>
      </c>
      <c r="T107" s="36" t="s">
        <v>179</v>
      </c>
      <c r="U107" s="36" t="e">
        <v>#N/A</v>
      </c>
      <c r="V107" s="36"/>
      <c r="W107" s="59"/>
      <c r="X107" s="59"/>
      <c r="Y107" s="59"/>
    </row>
    <row r="108" spans="1:25" ht="15.75" customHeight="1">
      <c r="A108" s="42" t="s">
        <v>355</v>
      </c>
      <c r="B108" s="43" t="s">
        <v>356</v>
      </c>
      <c r="C108" s="44" t="str">
        <f ca="1">IFERROR(__xludf.DUMMYFUNCTION("arrayformula(VLOOKUP(to_Text(A108),to_Text(sheet2!$A$1:M1002),13,0))"),"MOC")</f>
        <v>MOC</v>
      </c>
      <c r="D108" s="45" t="str">
        <f ca="1">IFERROR(__xludf.DUMMYFUNCTION("arrayformula(VLOOKUP(to_Text(A108),to_Text(sheet2!$A$1:M1002),12,0))"),"DEV")</f>
        <v>DEV</v>
      </c>
      <c r="E108" s="43" t="str">
        <f t="shared" ca="1" si="13"/>
        <v>Active</v>
      </c>
      <c r="F108" s="42" t="str">
        <f t="array" aca="1" ref="F108" ca="1">IFERROR(
  INDEX(ATTENDANCE_INPUT!D:D,
    MATCH(1,
      (ATTENDANCE_INPUT!A:A=A108) *
      (ATTENDANCE_INPUT!V:V=_xludf.MAXIFS(ATTENDANCE_INPUT!V:V, ATTENDANCE_INPUT!A:A, A108)),
      0)),
  "")</f>
        <v/>
      </c>
      <c r="G108" s="46" t="str">
        <f t="array" aca="1" ref="G108" ca="1">IFERROR(
  INDEX(ATTENDANCE_INPUT!E:E,
    MATCH(1,
      (ATTENDANCE_INPUT!A:A=A108) *
      (ATTENDANCE_INPUT!V:V=_xludf.MAXIFS(ATTENDANCE_INPUT!V:V, ATTENDANCE_INPUT!A:A, A108)),
      0)),
  "")</f>
        <v/>
      </c>
      <c r="H108" s="47" t="str">
        <f t="array" aca="1" ref="H108" ca="1">IF(ISNA(MATCH(A108,sheet2!A:A,0)),"⏳ Chưa test",IFERROR(INDEX(LEVEL_HELPER!A:A,MATCH(INDEX(sheet2!N:N,MATCH(A108,sheet2!A:A,0)),LEVEL_HELPER!B:B,0)),"⏳ Chưa test"))</f>
        <v>Foundation</v>
      </c>
      <c r="I108" s="47" t="str">
        <f t="array" aca="1" ref="I108" ca="1">IF(ISNA(MATCH(A108,sheet2!A:A,0)),H108,IF(INDEX(sheet2!O:O,MATCH(A108,sheet2!A:A,0))&gt;0,IFERROR(INDEX(LEVEL_HELPER!A:A,MATCH(INDEX(sheet2!O:O,MATCH(A108,sheet2!A:A,0)),LEVEL_HELPER!B:B,0)),H108),H108))</f>
        <v>Foundation</v>
      </c>
      <c r="J108" s="47" t="str">
        <f ca="1">IFERROR(_xludf.MAXIFS(ATTENDANCE_LOG!F:F, ATTENDANCE_LOG!C:C, A108&amp;"", ATTENDANCE_LOG!G:G, "Present"), "")</f>
        <v/>
      </c>
      <c r="K108" s="48" t="str">
        <f t="shared" ca="1" si="0"/>
        <v/>
      </c>
      <c r="L108" s="49" t="str">
        <f t="shared" ca="1" si="1"/>
        <v/>
      </c>
      <c r="M108" s="36" t="s">
        <v>34</v>
      </c>
      <c r="N108" s="50" t="s">
        <v>35</v>
      </c>
      <c r="O108" s="36"/>
      <c r="P108" s="36"/>
      <c r="Q108" s="36"/>
      <c r="R108" s="36"/>
      <c r="S108" s="36"/>
      <c r="T108" s="36"/>
      <c r="U108" s="36"/>
      <c r="V108" s="36"/>
      <c r="W108" s="59"/>
      <c r="X108" s="59"/>
      <c r="Y108" s="59"/>
    </row>
    <row r="109" spans="1:25" ht="15.75" customHeight="1">
      <c r="A109" s="42" t="s">
        <v>357</v>
      </c>
      <c r="B109" s="43" t="s">
        <v>358</v>
      </c>
      <c r="C109" s="44" t="str">
        <f ca="1">IFERROR(__xludf.DUMMYFUNCTION("arrayformula(VLOOKUP(to_Text(A109),to_Text(sheet2!$A$1:M1002),13,0))"),"CHORUS")</f>
        <v>CHORUS</v>
      </c>
      <c r="D109" s="45" t="str">
        <f ca="1">IFERROR(__xludf.DUMMYFUNCTION("arrayformula(VLOOKUP(to_Text(A109),to_Text(sheet2!$A$1:M1002),12,0))"),"DEV")</f>
        <v>DEV</v>
      </c>
      <c r="E109" s="43" t="s">
        <v>16</v>
      </c>
      <c r="F109" s="42" t="str">
        <f t="array" aca="1" ref="F109" ca="1">IFERROR(
  INDEX(ATTENDANCE_INPUT!D:D,
    MATCH(1,
      (ATTENDANCE_INPUT!A:A=A109) *
      (ATTENDANCE_INPUT!V:V=_xludf.MAXIFS(ATTENDANCE_INPUT!V:V, ATTENDANCE_INPUT!A:A, A109)),
      0)),
  "")</f>
        <v/>
      </c>
      <c r="G109" s="46" t="str">
        <f t="array" aca="1" ref="G109" ca="1">IFERROR(
  INDEX(ATTENDANCE_INPUT!E:E,
    MATCH(1,
      (ATTENDANCE_INPUT!A:A=A109) *
      (ATTENDANCE_INPUT!V:V=_xludf.MAXIFS(ATTENDANCE_INPUT!V:V, ATTENDANCE_INPUT!A:A, A109)),
      0)),
  "")</f>
        <v/>
      </c>
      <c r="H109" s="47" t="str">
        <f t="array" aca="1" ref="H109" ca="1">IF(ISNA(MATCH(A109,sheet2!A:A,0)),"⏳ Chưa test",IFERROR(INDEX(LEVEL_HELPER!A:A,MATCH(INDEX(sheet2!N:N,MATCH(A109,sheet2!A:A,0)),LEVEL_HELPER!B:B,0)),"⏳ Chưa test"))</f>
        <v>Pre-Intermediate</v>
      </c>
      <c r="I109" s="47" t="str">
        <f t="array" aca="1" ref="I109" ca="1">IF(ISNA(MATCH(A109,sheet2!A:A,0)),H109,IF(INDEX(sheet2!O:O,MATCH(A109,sheet2!A:A,0))&gt;0,IFERROR(INDEX(LEVEL_HELPER!A:A,MATCH(INDEX(sheet2!O:O,MATCH(A109,sheet2!A:A,0)),LEVEL_HELPER!B:B,0)),H109),H109))</f>
        <v>Pre-Intermediate</v>
      </c>
      <c r="J109" s="47" t="str">
        <f ca="1">IFERROR(_xludf.MAXIFS(ATTENDANCE_LOG!F:F, ATTENDANCE_LOG!C:C, A109&amp;"", ATTENDANCE_LOG!G:G, "Present"), "")</f>
        <v/>
      </c>
      <c r="K109" s="48" t="str">
        <f t="shared" ca="1" si="0"/>
        <v/>
      </c>
      <c r="L109" s="49" t="str">
        <f t="shared" ca="1" si="1"/>
        <v/>
      </c>
      <c r="M109" s="36" t="s">
        <v>36</v>
      </c>
      <c r="N109" s="50" t="s">
        <v>33</v>
      </c>
      <c r="O109" s="36"/>
      <c r="P109" s="36"/>
      <c r="Q109" s="36"/>
      <c r="R109" s="36"/>
      <c r="S109" s="36"/>
      <c r="T109" s="36"/>
      <c r="U109" s="36"/>
      <c r="V109" s="36"/>
      <c r="W109" s="59"/>
      <c r="X109" s="59"/>
      <c r="Y109" s="59"/>
    </row>
    <row r="110" spans="1:25" ht="15.75" customHeight="1">
      <c r="A110" s="42" t="s">
        <v>359</v>
      </c>
      <c r="B110" s="43" t="s">
        <v>360</v>
      </c>
      <c r="C110" s="44" t="str">
        <f ca="1">IFERROR(__xludf.DUMMYFUNCTION("arrayformula(VLOOKUP(to_Text(A110),to_Text(sheet2!$A$1:M1002),13,0))"),"CHORUS")</f>
        <v>CHORUS</v>
      </c>
      <c r="D110" s="45" t="str">
        <f ca="1">IFERROR(__xludf.DUMMYFUNCTION("arrayformula(VLOOKUP(to_Text(A110),to_Text(sheet2!$A$1:M1002),12,0))"),"DEV")</f>
        <v>DEV</v>
      </c>
      <c r="E110" s="43" t="str">
        <f t="shared" ref="E110:E111" ca="1" si="14">IF(L110="⚠ Possibly Dropped","Inactive","Active")</f>
        <v>Active</v>
      </c>
      <c r="F110" s="42" t="str">
        <f t="array" aca="1" ref="F110" ca="1">IFERROR(
  INDEX(ATTENDANCE_INPUT!D:D,
    MATCH(1,
      (ATTENDANCE_INPUT!A:A=A110) *
      (ATTENDANCE_INPUT!V:V=_xludf.MAXIFS(ATTENDANCE_INPUT!V:V, ATTENDANCE_INPUT!A:A, A110)),
      0)),
  "")</f>
        <v/>
      </c>
      <c r="G110" s="46" t="str">
        <f t="array" aca="1" ref="G110" ca="1">IFERROR(
  INDEX(ATTENDANCE_INPUT!E:E,
    MATCH(1,
      (ATTENDANCE_INPUT!A:A=A110) *
      (ATTENDANCE_INPUT!V:V=_xludf.MAXIFS(ATTENDANCE_INPUT!V:V, ATTENDANCE_INPUT!A:A, A110)),
      0)),
  "")</f>
        <v/>
      </c>
      <c r="H110" s="47" t="str">
        <f t="array" aca="1" ref="H110" ca="1">IF(ISNA(MATCH(A110,sheet2!A:A,0)),"⏳ Chưa test",IFERROR(INDEX(LEVEL_HELPER!A:A,MATCH(INDEX(sheet2!N:N,MATCH(A110,sheet2!A:A,0)),LEVEL_HELPER!B:B,0)),"⏳ Chưa test"))</f>
        <v>Foundation</v>
      </c>
      <c r="I110" s="47" t="str">
        <f t="array" aca="1" ref="I110" ca="1">IF(ISNA(MATCH(A110,sheet2!A:A,0)),H110,IF(INDEX(sheet2!O:O,MATCH(A110,sheet2!A:A,0))&gt;0,IFERROR(INDEX(LEVEL_HELPER!A:A,MATCH(INDEX(sheet2!O:O,MATCH(A110,sheet2!A:A,0)),LEVEL_HELPER!B:B,0)),H110),H110))</f>
        <v>Foundation</v>
      </c>
      <c r="J110" s="47" t="str">
        <f ca="1">IFERROR(_xludf.MAXIFS(ATTENDANCE_LOG!F:F, ATTENDANCE_LOG!C:C, A110&amp;"", ATTENDANCE_LOG!G:G, "Present"), "")</f>
        <v/>
      </c>
      <c r="K110" s="48" t="str">
        <f t="shared" ca="1" si="0"/>
        <v/>
      </c>
      <c r="L110" s="49" t="str">
        <f t="shared" ca="1" si="1"/>
        <v/>
      </c>
      <c r="M110" s="36"/>
      <c r="N110" s="50"/>
      <c r="O110" s="36"/>
      <c r="P110" s="36"/>
      <c r="Q110" s="36"/>
      <c r="R110" s="36"/>
      <c r="S110" s="36"/>
      <c r="T110" s="36"/>
      <c r="U110" s="36"/>
      <c r="V110" s="36"/>
      <c r="W110" s="59"/>
      <c r="X110" s="59"/>
      <c r="Y110" s="59"/>
    </row>
    <row r="111" spans="1:25" ht="15.75" customHeight="1">
      <c r="A111" s="42" t="s">
        <v>361</v>
      </c>
      <c r="B111" s="43" t="s">
        <v>362</v>
      </c>
      <c r="C111" s="44" t="str">
        <f ca="1">IFERROR(__xludf.DUMMYFUNCTION("arrayformula(VLOOKUP(to_Text(A111),to_Text(sheet2!$A$1:M1002),13,0))"),"POC")</f>
        <v>POC</v>
      </c>
      <c r="D111" s="45" t="str">
        <f ca="1">IFERROR(__xludf.DUMMYFUNCTION("arrayformula(VLOOKUP(to_Text(A111),to_Text(sheet2!$A$1:M1002),12,0))"),"GSD")</f>
        <v>GSD</v>
      </c>
      <c r="E111" s="43" t="str">
        <f t="shared" ca="1" si="14"/>
        <v>Active</v>
      </c>
      <c r="F111" s="42" t="str">
        <f t="array" aca="1" ref="F111" ca="1">IFERROR(
  INDEX(ATTENDANCE_INPUT!D:D,
    MATCH(1,
      (ATTENDANCE_INPUT!A:A=A111) *
      (ATTENDANCE_INPUT!V:V=_xludf.MAXIFS(ATTENDANCE_INPUT!V:V, ATTENDANCE_INPUT!A:A, A111)),
      0)),
  "")</f>
        <v/>
      </c>
      <c r="G111" s="46" t="str">
        <f t="array" aca="1" ref="G111" ca="1">IFERROR(
  INDEX(ATTENDANCE_INPUT!E:E,
    MATCH(1,
      (ATTENDANCE_INPUT!A:A=A111) *
      (ATTENDANCE_INPUT!V:V=_xludf.MAXIFS(ATTENDANCE_INPUT!V:V, ATTENDANCE_INPUT!A:A, A111)),
      0)),
  "")</f>
        <v/>
      </c>
      <c r="H111" s="47" t="str">
        <f t="array" aca="1" ref="H111" ca="1">IF(ISNA(MATCH(A111,sheet2!A:A,0)),"⏳ Chưa test",IFERROR(INDEX(LEVEL_HELPER!A:A,MATCH(INDEX(sheet2!N:N,MATCH(A111,sheet2!A:A,0)),LEVEL_HELPER!B:B,0)),"⏳ Chưa test"))</f>
        <v>Foundation</v>
      </c>
      <c r="I111" s="47" t="str">
        <f t="array" aca="1" ref="I111" ca="1">IF(ISNA(MATCH(A111,sheet2!A:A,0)),H111,IF(INDEX(sheet2!O:O,MATCH(A111,sheet2!A:A,0))&gt;0,IFERROR(INDEX(LEVEL_HELPER!A:A,MATCH(INDEX(sheet2!O:O,MATCH(A111,sheet2!A:A,0)),LEVEL_HELPER!B:B,0)),H111),H111))</f>
        <v>Foundation</v>
      </c>
      <c r="J111" s="63" t="str">
        <f ca="1">IFERROR(_xludf.MAXIFS(ATTENDANCE_LOG!F:F, ATTENDANCE_LOG!C:C, A111&amp;"", ATTENDANCE_LOG!G:G, "Present"), "")</f>
        <v/>
      </c>
      <c r="K111" s="48" t="str">
        <f t="shared" ca="1" si="0"/>
        <v/>
      </c>
      <c r="L111" s="49" t="str">
        <f t="shared" ca="1" si="1"/>
        <v/>
      </c>
      <c r="M111" s="36"/>
      <c r="N111" s="50"/>
      <c r="O111" s="36"/>
      <c r="P111" s="36"/>
      <c r="Q111" s="36"/>
      <c r="R111" s="36">
        <v>247416</v>
      </c>
      <c r="S111" s="36" t="s">
        <v>146</v>
      </c>
      <c r="T111" s="36" t="s">
        <v>33</v>
      </c>
      <c r="U111" s="36" t="str">
        <f ca="1">IFERROR(__xludf.DUMMYFUNCTION("arrayformula(vlookup(to_text(R111),to_text($A$4:$B1008),2,0))"),"NGUYỄN THỊ LOAN")</f>
        <v>NGUYỄN THỊ LOAN</v>
      </c>
      <c r="V111" s="36"/>
      <c r="W111" s="59"/>
      <c r="X111" s="59"/>
      <c r="Y111" s="59"/>
    </row>
    <row r="112" spans="1:25" ht="15.75" customHeight="1">
      <c r="A112" s="42" t="s">
        <v>363</v>
      </c>
      <c r="B112" s="43" t="s">
        <v>364</v>
      </c>
      <c r="C112" s="44" t="str">
        <f ca="1">IFERROR(__xludf.DUMMYFUNCTION("arrayformula(VLOOKUP(to_Text(A112),to_Text(sheet2!$A$1:M1002),13,0))"),"POC")</f>
        <v>POC</v>
      </c>
      <c r="D112" s="45" t="str">
        <f ca="1">IFERROR(__xludf.DUMMYFUNCTION("arrayformula(VLOOKUP(to_Text(A112),to_Text(sheet2!$A$1:M1002),12,0))"),"GSD")</f>
        <v>GSD</v>
      </c>
      <c r="E112" s="43" t="s">
        <v>16</v>
      </c>
      <c r="F112" s="42" t="str">
        <f t="array" aca="1" ref="F112" ca="1">IFERROR(
  INDEX(ATTENDANCE_INPUT!D:D,
    MATCH(1,
      (ATTENDANCE_INPUT!A:A=A112) *
      (ATTENDANCE_INPUT!V:V=_xludf.MAXIFS(ATTENDANCE_INPUT!V:V, ATTENDANCE_INPUT!A:A, A112)),
      0)),
  "")</f>
        <v/>
      </c>
      <c r="G112" s="46" t="str">
        <f t="array" aca="1" ref="G112" ca="1">IFERROR(
  INDEX(ATTENDANCE_INPUT!E:E,
    MATCH(1,
      (ATTENDANCE_INPUT!A:A=A112) *
      (ATTENDANCE_INPUT!V:V=_xludf.MAXIFS(ATTENDANCE_INPUT!V:V, ATTENDANCE_INPUT!A:A, A112)),
      0)),
  "")</f>
        <v/>
      </c>
      <c r="H112" s="47" t="str">
        <f t="array" aca="1" ref="H112" ca="1">IF(ISNA(MATCH(A112,sheet2!A:A,0)),"⏳ Chưa test",IFERROR(INDEX(LEVEL_HELPER!A:A,MATCH(INDEX(sheet2!N:N,MATCH(A112,sheet2!A:A,0)),LEVEL_HELPER!B:B,0)),"⏳ Chưa test"))</f>
        <v>Beginner</v>
      </c>
      <c r="I112" s="47" t="str">
        <f t="array" aca="1" ref="I112" ca="1">IF(ISNA(MATCH(A112,sheet2!A:A,0)),H112,IF(INDEX(sheet2!O:O,MATCH(A112,sheet2!A:A,0))&gt;0,IFERROR(INDEX(LEVEL_HELPER!A:A,MATCH(INDEX(sheet2!O:O,MATCH(A112,sheet2!A:A,0)),LEVEL_HELPER!B:B,0)),H112),H112))</f>
        <v>Beginner</v>
      </c>
      <c r="J112" s="47" t="str">
        <f ca="1">IFERROR(_xludf.MAXIFS(ATTENDANCE_LOG!F:F, ATTENDANCE_LOG!C:C, A112&amp;"", ATTENDANCE_LOG!G:G, "Present"), "")</f>
        <v/>
      </c>
      <c r="K112" s="48" t="str">
        <f t="shared" ca="1" si="0"/>
        <v/>
      </c>
      <c r="L112" s="49" t="str">
        <f t="shared" ca="1" si="1"/>
        <v/>
      </c>
      <c r="M112" s="36" t="s">
        <v>36</v>
      </c>
      <c r="N112" s="50" t="s">
        <v>33</v>
      </c>
      <c r="O112" s="36"/>
      <c r="P112" s="36"/>
      <c r="Q112" s="36"/>
      <c r="R112" s="36"/>
      <c r="S112" s="36"/>
      <c r="T112" s="36"/>
      <c r="U112" s="36"/>
      <c r="V112" s="36"/>
      <c r="W112" s="59"/>
      <c r="X112" s="59"/>
      <c r="Y112" s="59"/>
    </row>
    <row r="113" spans="1:25" ht="15.75" customHeight="1">
      <c r="A113" s="42" t="s">
        <v>365</v>
      </c>
      <c r="B113" s="43" t="s">
        <v>366</v>
      </c>
      <c r="C113" s="44" t="str">
        <f ca="1">IFERROR(__xludf.DUMMYFUNCTION("arrayformula(VLOOKUP(to_Text(A113),to_Text(sheet2!$A$1:M1002),13,0))"),"CHORUS")</f>
        <v>CHORUS</v>
      </c>
      <c r="D113" s="45" t="str">
        <f ca="1">IFERROR(__xludf.DUMMYFUNCTION("arrayformula(VLOOKUP(to_Text(A113),to_Text(sheet2!$A$1:M1002),12,0))"),"DEV")</f>
        <v>DEV</v>
      </c>
      <c r="E113" s="43" t="str">
        <f t="shared" ref="E113:E118" ca="1" si="15">IF(L113="⚠ Possibly Dropped","Inactive","Active")</f>
        <v>Active</v>
      </c>
      <c r="F113" s="42" t="str">
        <f t="array" aca="1" ref="F113" ca="1">IFERROR(
  INDEX(ATTENDANCE_INPUT!D:D,
    MATCH(1,
      (ATTENDANCE_INPUT!A:A=A113) *
      (ATTENDANCE_INPUT!V:V=_xludf.MAXIFS(ATTENDANCE_INPUT!V:V, ATTENDANCE_INPUT!A:A, A113)),
      0)),
  "")</f>
        <v/>
      </c>
      <c r="G113" s="46" t="str">
        <f t="array" aca="1" ref="G113" ca="1">IFERROR(
  INDEX(ATTENDANCE_INPUT!E:E,
    MATCH(1,
      (ATTENDANCE_INPUT!A:A=A113) *
      (ATTENDANCE_INPUT!V:V=_xludf.MAXIFS(ATTENDANCE_INPUT!V:V, ATTENDANCE_INPUT!A:A, A113)),
      0)),
  "")</f>
        <v/>
      </c>
      <c r="H113" s="47" t="str">
        <f t="array" aca="1" ref="H113" ca="1">IF(ISNA(MATCH(A113,sheet2!A:A,0)),"⏳ Chưa test",IFERROR(INDEX(LEVEL_HELPER!A:A,MATCH(INDEX(sheet2!N:N,MATCH(A113,sheet2!A:A,0)),LEVEL_HELPER!B:B,0)),"⏳ Chưa test"))</f>
        <v>Foundation</v>
      </c>
      <c r="I113" s="47" t="str">
        <f t="array" aca="1" ref="I113" ca="1">IF(ISNA(MATCH(A113,sheet2!A:A,0)),H113,IF(INDEX(sheet2!O:O,MATCH(A113,sheet2!A:A,0))&gt;0,IFERROR(INDEX(LEVEL_HELPER!A:A,MATCH(INDEX(sheet2!O:O,MATCH(A113,sheet2!A:A,0)),LEVEL_HELPER!B:B,0)),H113),H113))</f>
        <v>Foundation</v>
      </c>
      <c r="J113" s="47" t="str">
        <f ca="1">IFERROR(_xludf.MAXIFS(ATTENDANCE_LOG!F:F, ATTENDANCE_LOG!C:C, A113&amp;"", ATTENDANCE_LOG!G:G, "Present"), "")</f>
        <v/>
      </c>
      <c r="K113" s="48" t="str">
        <f t="shared" ca="1" si="0"/>
        <v/>
      </c>
      <c r="L113" s="49" t="str">
        <f t="shared" ca="1" si="1"/>
        <v/>
      </c>
      <c r="M113" s="36"/>
      <c r="N113" s="50"/>
      <c r="O113" s="36" t="s">
        <v>367</v>
      </c>
      <c r="P113" s="36"/>
      <c r="Q113" s="36"/>
      <c r="R113" s="36"/>
      <c r="S113" s="36"/>
      <c r="T113" s="36"/>
      <c r="U113" s="36"/>
      <c r="V113" s="36"/>
      <c r="W113" s="59"/>
      <c r="X113" s="59"/>
      <c r="Y113" s="59"/>
    </row>
    <row r="114" spans="1:25" ht="15.75" customHeight="1">
      <c r="A114" s="42" t="s">
        <v>368</v>
      </c>
      <c r="B114" s="43" t="s">
        <v>369</v>
      </c>
      <c r="C114" s="44" t="str">
        <f ca="1">IFERROR(__xludf.DUMMYFUNCTION("arrayformula(VLOOKUP(to_Text(A114),to_Text(sheet2!$A$1:M1002),13,0))"),"ONC")</f>
        <v>ONC</v>
      </c>
      <c r="D114" s="45" t="str">
        <f ca="1">IFERROR(__xludf.DUMMYFUNCTION("arrayformula(VLOOKUP(to_Text(A114),to_Text(sheet2!$A$1:M1002),12,0))"),"DEV")</f>
        <v>DEV</v>
      </c>
      <c r="E114" s="43" t="str">
        <f t="shared" ca="1" si="15"/>
        <v>Active</v>
      </c>
      <c r="F114" s="42" t="str">
        <f t="array" aca="1" ref="F114" ca="1">IFERROR(
  INDEX(ATTENDANCE_INPUT!D:D,
    MATCH(1,
      (ATTENDANCE_INPUT!A:A=A114) *
      (ATTENDANCE_INPUT!V:V=_xludf.MAXIFS(ATTENDANCE_INPUT!V:V, ATTENDANCE_INPUT!A:A, A114)),
      0)),
  "")</f>
        <v/>
      </c>
      <c r="G114" s="46" t="str">
        <f t="array" aca="1" ref="G114" ca="1">IFERROR(
  INDEX(ATTENDANCE_INPUT!E:E,
    MATCH(1,
      (ATTENDANCE_INPUT!A:A=A114) *
      (ATTENDANCE_INPUT!V:V=_xludf.MAXIFS(ATTENDANCE_INPUT!V:V, ATTENDANCE_INPUT!A:A, A114)),
      0)),
  "")</f>
        <v/>
      </c>
      <c r="H114" s="47" t="str">
        <f t="array" aca="1" ref="H114" ca="1">IF(ISNA(MATCH(A114,sheet2!A:A,0)),"⏳ Chưa test",IFERROR(INDEX(LEVEL_HELPER!A:A,MATCH(INDEX(sheet2!N:N,MATCH(A114,sheet2!A:A,0)),LEVEL_HELPER!B:B,0)),"⏳ Chưa test"))</f>
        <v>Pre-Intermediate 1</v>
      </c>
      <c r="I114" s="47" t="str">
        <f t="array" aca="1" ref="I114" ca="1">IF(ISNA(MATCH(A114,sheet2!A:A,0)),H114,IF(INDEX(sheet2!O:O,MATCH(A114,sheet2!A:A,0))&gt;0,IFERROR(INDEX(LEVEL_HELPER!A:A,MATCH(INDEX(sheet2!O:O,MATCH(A114,sheet2!A:A,0)),LEVEL_HELPER!B:B,0)),H114),H114))</f>
        <v>Pre-Intermediate 1</v>
      </c>
      <c r="J114" s="47" t="str">
        <f ca="1">IFERROR(_xludf.MAXIFS(ATTENDANCE_LOG!F:F, ATTENDANCE_LOG!C:C, A114&amp;"", ATTENDANCE_LOG!G:G, "Present"), "")</f>
        <v/>
      </c>
      <c r="K114" s="48" t="str">
        <f t="shared" ca="1" si="0"/>
        <v/>
      </c>
      <c r="L114" s="49" t="str">
        <f t="shared" ca="1" si="1"/>
        <v/>
      </c>
      <c r="M114" s="36"/>
      <c r="N114" s="50"/>
      <c r="O114" s="36"/>
      <c r="P114" s="36"/>
      <c r="Q114" s="36"/>
      <c r="R114" s="36"/>
      <c r="S114" s="36"/>
      <c r="T114" s="36"/>
      <c r="U114" s="36"/>
      <c r="V114" s="36"/>
      <c r="W114" s="59"/>
      <c r="X114" s="59"/>
      <c r="Y114" s="59"/>
    </row>
    <row r="115" spans="1:25" ht="15.75" customHeight="1">
      <c r="A115" s="42" t="s">
        <v>370</v>
      </c>
      <c r="B115" s="43" t="s">
        <v>371</v>
      </c>
      <c r="C115" s="44" t="str">
        <f ca="1">IFERROR(__xludf.DUMMYFUNCTION("arrayformula(VLOOKUP(to_Text(A115),to_Text(sheet2!$A$1:M1002),13,0))"),"ONC")</f>
        <v>ONC</v>
      </c>
      <c r="D115" s="45" t="str">
        <f ca="1">IFERROR(__xludf.DUMMYFUNCTION("arrayformula(VLOOKUP(to_Text(A115),to_Text(sheet2!$A$1:M1002),12,0))"),"QC")</f>
        <v>QC</v>
      </c>
      <c r="E115" s="43" t="str">
        <f t="shared" ca="1" si="15"/>
        <v>Active</v>
      </c>
      <c r="F115" s="42" t="str">
        <f t="array" aca="1" ref="F115" ca="1">IFERROR(
  INDEX(ATTENDANCE_INPUT!D:D,
    MATCH(1,
      (ATTENDANCE_INPUT!A:A=A115) *
      (ATTENDANCE_INPUT!V:V=_xludf.MAXIFS(ATTENDANCE_INPUT!V:V, ATTENDANCE_INPUT!A:A, A115)),
      0)),
  "")</f>
        <v/>
      </c>
      <c r="G115" s="46" t="str">
        <f t="array" aca="1" ref="G115" ca="1">IFERROR(
  INDEX(ATTENDANCE_INPUT!E:E,
    MATCH(1,
      (ATTENDANCE_INPUT!A:A=A115) *
      (ATTENDANCE_INPUT!V:V=_xludf.MAXIFS(ATTENDANCE_INPUT!V:V, ATTENDANCE_INPUT!A:A, A115)),
      0)),
  "")</f>
        <v/>
      </c>
      <c r="H115" s="47" t="str">
        <f t="array" aca="1" ref="H115" ca="1">IF(ISNA(MATCH(A115,sheet2!A:A,0)),"⏳ Chưa test",IFERROR(INDEX(LEVEL_HELPER!A:A,MATCH(INDEX(sheet2!N:N,MATCH(A115,sheet2!A:A,0)),LEVEL_HELPER!B:B,0)),"⏳ Chưa test"))</f>
        <v>Beginner</v>
      </c>
      <c r="I115" s="47" t="str">
        <f t="array" aca="1" ref="I115" ca="1">IF(ISNA(MATCH(A115,sheet2!A:A,0)),H115,IF(INDEX(sheet2!O:O,MATCH(A115,sheet2!A:A,0))&gt;0,IFERROR(INDEX(LEVEL_HELPER!A:A,MATCH(INDEX(sheet2!O:O,MATCH(A115,sheet2!A:A,0)),LEVEL_HELPER!B:B,0)),H115),H115))</f>
        <v>Beginner</v>
      </c>
      <c r="J115" s="47" t="str">
        <f ca="1">IFERROR(_xludf.MAXIFS(ATTENDANCE_LOG!F:F, ATTENDANCE_LOG!C:C, A115&amp;"", ATTENDANCE_LOG!G:G, "Present"), "")</f>
        <v/>
      </c>
      <c r="K115" s="48" t="str">
        <f t="shared" ca="1" si="0"/>
        <v/>
      </c>
      <c r="L115" s="49" t="str">
        <f t="shared" ca="1" si="1"/>
        <v/>
      </c>
      <c r="M115" s="36"/>
      <c r="N115" s="50"/>
      <c r="O115" s="36"/>
      <c r="P115" s="36"/>
      <c r="Q115" s="36"/>
      <c r="R115" s="36"/>
      <c r="S115" s="36"/>
      <c r="T115" s="36"/>
      <c r="U115" s="36"/>
      <c r="V115" s="36"/>
      <c r="W115" s="59"/>
      <c r="X115" s="59"/>
      <c r="Y115" s="59"/>
    </row>
    <row r="116" spans="1:25" ht="15.75" customHeight="1">
      <c r="A116" s="42" t="s">
        <v>372</v>
      </c>
      <c r="B116" s="43" t="s">
        <v>373</v>
      </c>
      <c r="C116" s="44" t="str">
        <f ca="1">IFERROR(__xludf.DUMMYFUNCTION("arrayformula(VLOOKUP(to_Text(A116),to_Text(sheet2!$A$1:M1002),13,0))"),"POC")</f>
        <v>POC</v>
      </c>
      <c r="D116" s="45" t="str">
        <f ca="1">IFERROR(__xludf.DUMMYFUNCTION("arrayformula(VLOOKUP(to_Text(A116),to_Text(sheet2!$A$1:M1002),12,0))"),"GSD")</f>
        <v>GSD</v>
      </c>
      <c r="E116" s="43" t="str">
        <f t="shared" ca="1" si="15"/>
        <v>Active</v>
      </c>
      <c r="F116" s="42" t="str">
        <f t="array" aca="1" ref="F116" ca="1">IFERROR(
  INDEX(ATTENDANCE_INPUT!D:D,
    MATCH(1,
      (ATTENDANCE_INPUT!A:A=A116) *
      (ATTENDANCE_INPUT!V:V=_xludf.MAXIFS(ATTENDANCE_INPUT!V:V, ATTENDANCE_INPUT!A:A, A116)),
      0)),
  "")</f>
        <v/>
      </c>
      <c r="G116" s="46" t="str">
        <f t="array" aca="1" ref="G116" ca="1">IFERROR(
  INDEX(ATTENDANCE_INPUT!E:E,
    MATCH(1,
      (ATTENDANCE_INPUT!A:A=A116) *
      (ATTENDANCE_INPUT!V:V=_xludf.MAXIFS(ATTENDANCE_INPUT!V:V, ATTENDANCE_INPUT!A:A, A116)),
      0)),
  "")</f>
        <v/>
      </c>
      <c r="H116" s="47" t="str">
        <f t="array" aca="1" ref="H116" ca="1">IF(ISNA(MATCH(A116,sheet2!A:A,0)),"⏳ Chưa test",IFERROR(INDEX(LEVEL_HELPER!A:A,MATCH(INDEX(sheet2!N:N,MATCH(A116,sheet2!A:A,0)),LEVEL_HELPER!B:B,0)),"⏳ Chưa test"))</f>
        <v>Beginner</v>
      </c>
      <c r="I116" s="47" t="str">
        <f t="array" aca="1" ref="I116" ca="1">IF(ISNA(MATCH(A116,sheet2!A:A,0)),H116,IF(INDEX(sheet2!O:O,MATCH(A116,sheet2!A:A,0))&gt;0,IFERROR(INDEX(LEVEL_HELPER!A:A,MATCH(INDEX(sheet2!O:O,MATCH(A116,sheet2!A:A,0)),LEVEL_HELPER!B:B,0)),H116),H116))</f>
        <v>Beginner</v>
      </c>
      <c r="J116" s="47" t="str">
        <f ca="1">IFERROR(_xludf.MAXIFS(ATTENDANCE_LOG!F:F, ATTENDANCE_LOG!C:C, A116&amp;"", ATTENDANCE_LOG!G:G, "Present"), "")</f>
        <v/>
      </c>
      <c r="K116" s="48" t="str">
        <f t="shared" ca="1" si="0"/>
        <v/>
      </c>
      <c r="L116" s="49" t="str">
        <f t="shared" ca="1" si="1"/>
        <v/>
      </c>
      <c r="M116" s="36"/>
      <c r="N116" s="50"/>
      <c r="O116" s="36"/>
      <c r="P116" s="36"/>
      <c r="Q116" s="36"/>
      <c r="R116" s="36"/>
      <c r="S116" s="36"/>
      <c r="T116" s="36"/>
      <c r="U116" s="36"/>
      <c r="V116" s="36"/>
      <c r="W116" s="59"/>
      <c r="X116" s="59"/>
      <c r="Y116" s="59"/>
    </row>
    <row r="117" spans="1:25" ht="15.75" customHeight="1">
      <c r="A117" s="42" t="s">
        <v>374</v>
      </c>
      <c r="B117" s="43" t="s">
        <v>375</v>
      </c>
      <c r="C117" s="44" t="str">
        <f ca="1">IFERROR(__xludf.DUMMYFUNCTION("arrayformula(VLOOKUP(to_Text(A117),to_Text(sheet2!$A$1:M1002),13,0))"),"ONC")</f>
        <v>ONC</v>
      </c>
      <c r="D117" s="45" t="str">
        <f ca="1">IFERROR(__xludf.DUMMYFUNCTION("arrayformula(VLOOKUP(to_Text(A117),to_Text(sheet2!$A$1:M1002),12,0))"),"DEV")</f>
        <v>DEV</v>
      </c>
      <c r="E117" s="43" t="str">
        <f t="shared" ca="1" si="15"/>
        <v>Active</v>
      </c>
      <c r="F117" s="42" t="str">
        <f t="array" aca="1" ref="F117" ca="1">IFERROR(
  INDEX(ATTENDANCE_INPUT!D:D,
    MATCH(1,
      (ATTENDANCE_INPUT!A:A=A117) *
      (ATTENDANCE_INPUT!V:V=_xludf.MAXIFS(ATTENDANCE_INPUT!V:V, ATTENDANCE_INPUT!A:A, A117)),
      0)),
  "")</f>
        <v/>
      </c>
      <c r="G117" s="46" t="str">
        <f t="array" aca="1" ref="G117" ca="1">IFERROR(
  INDEX(ATTENDANCE_INPUT!E:E,
    MATCH(1,
      (ATTENDANCE_INPUT!A:A=A117) *
      (ATTENDANCE_INPUT!V:V=_xludf.MAXIFS(ATTENDANCE_INPUT!V:V, ATTENDANCE_INPUT!A:A, A117)),
      0)),
  "")</f>
        <v/>
      </c>
      <c r="H117" s="47" t="str">
        <f t="array" aca="1" ref="H117" ca="1">IF(ISNA(MATCH(A117,sheet2!A:A,0)),"⏳ Chưa test",IFERROR(INDEX(LEVEL_HELPER!A:A,MATCH(INDEX(sheet2!N:N,MATCH(A117,sheet2!A:A,0)),LEVEL_HELPER!B:B,0)),"⏳ Chưa test"))</f>
        <v>⏳ Chưa test</v>
      </c>
      <c r="I117" s="47" t="str">
        <f t="array" aca="1" ref="I117" ca="1">IF(ISNA(MATCH(A117,sheet2!A:A,0)),H117,IF(INDEX(sheet2!O:O,MATCH(A117,sheet2!A:A,0))&gt;0,IFERROR(INDEX(LEVEL_HELPER!A:A,MATCH(INDEX(sheet2!O:O,MATCH(A117,sheet2!A:A,0)),LEVEL_HELPER!B:B,0)),H117),H117))</f>
        <v>⏳ Chưa test</v>
      </c>
      <c r="J117" s="47" t="str">
        <f ca="1">IFERROR(_xludf.MAXIFS(ATTENDANCE_LOG!F:F, ATTENDANCE_LOG!C:C, A117&amp;"", ATTENDANCE_LOG!G:G, "Present"), "")</f>
        <v/>
      </c>
      <c r="K117" s="48" t="str">
        <f t="shared" ca="1" si="0"/>
        <v/>
      </c>
      <c r="L117" s="49" t="str">
        <f t="shared" ca="1" si="1"/>
        <v/>
      </c>
      <c r="M117" s="36" t="s">
        <v>34</v>
      </c>
      <c r="N117" s="50" t="s">
        <v>41</v>
      </c>
      <c r="O117" s="36"/>
      <c r="P117" s="36"/>
      <c r="Q117" s="36"/>
      <c r="R117" s="36"/>
      <c r="S117" s="36"/>
      <c r="T117" s="36"/>
      <c r="U117" s="36"/>
      <c r="V117" s="36"/>
      <c r="W117" s="59"/>
      <c r="X117" s="59"/>
      <c r="Y117" s="59"/>
    </row>
    <row r="118" spans="1:25" ht="15.75" customHeight="1">
      <c r="A118" s="42" t="s">
        <v>376</v>
      </c>
      <c r="B118" s="43" t="s">
        <v>377</v>
      </c>
      <c r="C118" s="44" t="str">
        <f ca="1">IFERROR(__xludf.DUMMYFUNCTION("arrayformula(VLOOKUP(to_Text(A118),to_Text(sheet2!$A$1:M1002),13,0))"),"CHORUS")</f>
        <v>CHORUS</v>
      </c>
      <c r="D118" s="45" t="str">
        <f ca="1">IFERROR(__xludf.DUMMYFUNCTION("arrayformula(VLOOKUP(to_Text(A118),to_Text(sheet2!$A$1:M1002),12,0))"),"QC")</f>
        <v>QC</v>
      </c>
      <c r="E118" s="43" t="str">
        <f t="shared" ca="1" si="15"/>
        <v>Active</v>
      </c>
      <c r="F118" s="42" t="str">
        <f t="array" aca="1" ref="F118" ca="1">IFERROR(
  INDEX(ATTENDANCE_INPUT!D:D,
    MATCH(1,
      (ATTENDANCE_INPUT!A:A=A118) *
      (ATTENDANCE_INPUT!V:V=_xludf.MAXIFS(ATTENDANCE_INPUT!V:V, ATTENDANCE_INPUT!A:A, A118)),
      0)),
  "")</f>
        <v/>
      </c>
      <c r="G118" s="46" t="str">
        <f t="array" aca="1" ref="G118" ca="1">IFERROR(
  INDEX(ATTENDANCE_INPUT!E:E,
    MATCH(1,
      (ATTENDANCE_INPUT!A:A=A118) *
      (ATTENDANCE_INPUT!V:V=_xludf.MAXIFS(ATTENDANCE_INPUT!V:V, ATTENDANCE_INPUT!A:A, A118)),
      0)),
  "")</f>
        <v/>
      </c>
      <c r="H118" s="47" t="str">
        <f t="array" aca="1" ref="H118" ca="1">IF(ISNA(MATCH(A118,sheet2!A:A,0)),"⏳ Chưa test",IFERROR(INDEX(LEVEL_HELPER!A:A,MATCH(INDEX(sheet2!N:N,MATCH(A118,sheet2!A:A,0)),LEVEL_HELPER!B:B,0)),"⏳ Chưa test"))</f>
        <v>Beginner</v>
      </c>
      <c r="I118" s="47" t="str">
        <f t="array" aca="1" ref="I118" ca="1">IF(ISNA(MATCH(A118,sheet2!A:A,0)),H118,IF(INDEX(sheet2!O:O,MATCH(A118,sheet2!A:A,0))&gt;0,IFERROR(INDEX(LEVEL_HELPER!A:A,MATCH(INDEX(sheet2!O:O,MATCH(A118,sheet2!A:A,0)),LEVEL_HELPER!B:B,0)),H118),H118))</f>
        <v>Beginner</v>
      </c>
      <c r="J118" s="47" t="str">
        <f ca="1">IFERROR(_xludf.MAXIFS(ATTENDANCE_LOG!F:F, ATTENDANCE_LOG!C:C, A118&amp;"", ATTENDANCE_LOG!G:G, "Present"), "")</f>
        <v/>
      </c>
      <c r="K118" s="48" t="str">
        <f t="shared" ca="1" si="0"/>
        <v/>
      </c>
      <c r="L118" s="49" t="str">
        <f t="shared" ca="1" si="1"/>
        <v/>
      </c>
      <c r="M118" s="36" t="s">
        <v>34</v>
      </c>
      <c r="N118" s="50" t="s">
        <v>33</v>
      </c>
      <c r="O118" s="36" t="s">
        <v>378</v>
      </c>
      <c r="P118" s="36"/>
      <c r="Q118" s="36"/>
      <c r="R118" s="36">
        <v>247150</v>
      </c>
      <c r="S118" s="36" t="s">
        <v>121</v>
      </c>
      <c r="T118" s="36" t="s">
        <v>122</v>
      </c>
      <c r="U118" s="36" t="str">
        <f ca="1">IFERROR(__xludf.DUMMYFUNCTION("arrayformula(vlookup(to_text(R118),to_text($A$4:$B1030),2,0))"),"#N/A")</f>
        <v>#N/A</v>
      </c>
      <c r="V118" s="36"/>
      <c r="W118" s="59"/>
      <c r="X118" s="59"/>
      <c r="Y118" s="59"/>
    </row>
    <row r="119" spans="1:25" ht="15.75" customHeight="1">
      <c r="A119" s="42" t="s">
        <v>379</v>
      </c>
      <c r="B119" s="43" t="s">
        <v>380</v>
      </c>
      <c r="C119" s="44" t="str">
        <f ca="1">IFERROR(__xludf.DUMMYFUNCTION("arrayformula(VLOOKUP(to_Text(A119),to_Text(sheet2!$A$1:M1002),13,0))"),"TBU")</f>
        <v>TBU</v>
      </c>
      <c r="D119" s="45" t="str">
        <f ca="1">IFERROR(__xludf.DUMMYFUNCTION("arrayformula(VLOOKUP(to_Text(A119),to_Text(sheet2!$A$1:M1002),12,0))"),"GSD")</f>
        <v>GSD</v>
      </c>
      <c r="E119" s="43" t="s">
        <v>16</v>
      </c>
      <c r="F119" s="42" t="str">
        <f t="array" aca="1" ref="F119" ca="1">IFERROR(
  INDEX(ATTENDANCE_INPUT!D:D,
    MATCH(1,
      (ATTENDANCE_INPUT!A:A=A119) *
      (ATTENDANCE_INPUT!V:V=_xludf.MAXIFS(ATTENDANCE_INPUT!V:V, ATTENDANCE_INPUT!A:A, A119)),
      0)),
  "")</f>
        <v/>
      </c>
      <c r="G119" s="46" t="str">
        <f t="array" aca="1" ref="G119" ca="1">IFERROR(
  INDEX(ATTENDANCE_INPUT!E:E,
    MATCH(1,
      (ATTENDANCE_INPUT!A:A=A119) *
      (ATTENDANCE_INPUT!V:V=_xludf.MAXIFS(ATTENDANCE_INPUT!V:V, ATTENDANCE_INPUT!A:A, A119)),
      0)),
  "")</f>
        <v/>
      </c>
      <c r="H119" s="47" t="str">
        <f t="array" aca="1" ref="H119" ca="1">IF(ISNA(MATCH(A119,sheet2!A:A,0)),"⏳ Chưa test",IFERROR(INDEX(LEVEL_HELPER!A:A,MATCH(INDEX(sheet2!N:N,MATCH(A119,sheet2!A:A,0)),LEVEL_HELPER!B:B,0)),"⏳ Chưa test"))</f>
        <v>Beginner</v>
      </c>
      <c r="I119" s="47" t="str">
        <f t="array" aca="1" ref="I119" ca="1">IF(ISNA(MATCH(A119,sheet2!A:A,0)),H119,IF(INDEX(sheet2!O:O,MATCH(A119,sheet2!A:A,0))&gt;0,IFERROR(INDEX(LEVEL_HELPER!A:A,MATCH(INDEX(sheet2!O:O,MATCH(A119,sheet2!A:A,0)),LEVEL_HELPER!B:B,0)),H119),H119))</f>
        <v>Beginner</v>
      </c>
      <c r="J119" s="47" t="str">
        <f ca="1">IFERROR(_xludf.MAXIFS(ATTENDANCE_LOG!F:F, ATTENDANCE_LOG!C:C, A119&amp;"", ATTENDANCE_LOG!G:G, "Present"), "")</f>
        <v/>
      </c>
      <c r="K119" s="48" t="str">
        <f t="shared" ca="1" si="0"/>
        <v/>
      </c>
      <c r="L119" s="49" t="str">
        <f t="shared" ca="1" si="1"/>
        <v/>
      </c>
      <c r="M119" s="36" t="s">
        <v>36</v>
      </c>
      <c r="N119" s="50" t="s">
        <v>33</v>
      </c>
      <c r="O119" s="64" t="s">
        <v>381</v>
      </c>
      <c r="P119" s="36"/>
      <c r="Q119" s="36"/>
      <c r="R119" s="36"/>
      <c r="S119" s="36"/>
      <c r="T119" s="36"/>
      <c r="U119" s="36"/>
      <c r="V119" s="36"/>
      <c r="W119" s="59"/>
      <c r="X119" s="59"/>
      <c r="Y119" s="59"/>
    </row>
    <row r="120" spans="1:25" ht="15.75" customHeight="1">
      <c r="A120" s="42" t="s">
        <v>382</v>
      </c>
      <c r="B120" s="43" t="s">
        <v>380</v>
      </c>
      <c r="C120" s="44" t="str">
        <f ca="1">IFERROR(__xludf.DUMMYFUNCTION("arrayformula(VLOOKUP(to_Text(A120),to_Text(sheet2!$A$1:M1002),13,0))"),"MOC")</f>
        <v>MOC</v>
      </c>
      <c r="D120" s="45" t="str">
        <f ca="1">IFERROR(__xludf.DUMMYFUNCTION("arrayformula(VLOOKUP(to_Text(A120),to_Text(sheet2!$A$1:M1002),12,0))"),"DEV")</f>
        <v>DEV</v>
      </c>
      <c r="E120" s="43" t="str">
        <f ca="1">IF(L120="⚠ Possibly Dropped","Inactive","Active")</f>
        <v>Active</v>
      </c>
      <c r="F120" s="42" t="str">
        <f t="array" aca="1" ref="F120" ca="1">IFERROR(
  INDEX(ATTENDANCE_INPUT!D:D,
    MATCH(1,
      (ATTENDANCE_INPUT!A:A=A120) *
      (ATTENDANCE_INPUT!V:V=_xludf.MAXIFS(ATTENDANCE_INPUT!V:V, ATTENDANCE_INPUT!A:A, A120)),
      0)),
  "")</f>
        <v/>
      </c>
      <c r="G120" s="46" t="str">
        <f t="array" aca="1" ref="G120" ca="1">IFERROR(
  INDEX(ATTENDANCE_INPUT!E:E,
    MATCH(1,
      (ATTENDANCE_INPUT!A:A=A120) *
      (ATTENDANCE_INPUT!V:V=_xludf.MAXIFS(ATTENDANCE_INPUT!V:V, ATTENDANCE_INPUT!A:A, A120)),
      0)),
  "")</f>
        <v/>
      </c>
      <c r="H120" s="47" t="str">
        <f t="array" aca="1" ref="H120" ca="1">IF(ISNA(MATCH(A120,sheet2!A:A,0)),"⏳ Chưa test",IFERROR(INDEX(LEVEL_HELPER!A:A,MATCH(INDEX(sheet2!N:N,MATCH(A120,sheet2!A:A,0)),LEVEL_HELPER!B:B,0)),"⏳ Chưa test"))</f>
        <v>Beginner</v>
      </c>
      <c r="I120" s="47" t="str">
        <f t="array" aca="1" ref="I120" ca="1">IF(ISNA(MATCH(A120,sheet2!A:A,0)),H120,IF(INDEX(sheet2!O:O,MATCH(A120,sheet2!A:A,0))&gt;0,IFERROR(INDEX(LEVEL_HELPER!A:A,MATCH(INDEX(sheet2!O:O,MATCH(A120,sheet2!A:A,0)),LEVEL_HELPER!B:B,0)),H120),H120))</f>
        <v>Beginner</v>
      </c>
      <c r="J120" s="47" t="str">
        <f ca="1">IFERROR(_xludf.MAXIFS(ATTENDANCE_LOG!F:F, ATTENDANCE_LOG!C:C, A120&amp;"", ATTENDANCE_LOG!G:G, "Present"), "")</f>
        <v/>
      </c>
      <c r="K120" s="48" t="str">
        <f t="shared" ca="1" si="0"/>
        <v/>
      </c>
      <c r="L120" s="49" t="str">
        <f t="shared" ca="1" si="1"/>
        <v/>
      </c>
      <c r="M120" s="36"/>
      <c r="N120" s="50"/>
      <c r="O120" s="36"/>
      <c r="P120" s="36"/>
      <c r="Q120" s="36"/>
      <c r="R120" s="36">
        <v>183405</v>
      </c>
      <c r="S120" s="36" t="s">
        <v>146</v>
      </c>
      <c r="T120" s="36" t="s">
        <v>33</v>
      </c>
      <c r="U120" s="36" t="str">
        <f ca="1">IFERROR(__xludf.DUMMYFUNCTION("arrayformula(vlookup(to_text(R120),to_text($A$4:$B1067),2,0))"),"#N/A")</f>
        <v>#N/A</v>
      </c>
      <c r="V120" s="36"/>
      <c r="W120" s="59"/>
      <c r="X120" s="59"/>
      <c r="Y120" s="59"/>
    </row>
    <row r="121" spans="1:25" ht="15.75" customHeight="1">
      <c r="A121" s="42" t="s">
        <v>383</v>
      </c>
      <c r="B121" s="43" t="s">
        <v>384</v>
      </c>
      <c r="C121" s="44" t="str">
        <f ca="1">IFERROR(__xludf.DUMMYFUNCTION("arrayformula(VLOOKUP(to_Text(A121),to_Text(sheet2!$A$1:M1002),13,0))"),"TBU")</f>
        <v>TBU</v>
      </c>
      <c r="D121" s="45" t="str">
        <f ca="1">IFERROR(__xludf.DUMMYFUNCTION("arrayformula(VLOOKUP(to_Text(A121),to_Text(sheet2!$A$1:M1002),12,0))"),"SM")</f>
        <v>SM</v>
      </c>
      <c r="E121" s="43" t="s">
        <v>15</v>
      </c>
      <c r="F121" s="42" t="str">
        <f t="array" aca="1" ref="F121" ca="1">IFERROR(
  INDEX(ATTENDANCE_INPUT!D:D,
    MATCH(1,
      (ATTENDANCE_INPUT!A:A=A121) *
      (ATTENDANCE_INPUT!V:V=_xludf.MAXIFS(ATTENDANCE_INPUT!V:V, ATTENDANCE_INPUT!A:A, A121)),
      0)),
  "")</f>
        <v/>
      </c>
      <c r="G121" s="46" t="str">
        <f t="array" aca="1" ref="G121" ca="1">IFERROR(
  INDEX(ATTENDANCE_INPUT!E:E,
    MATCH(1,
      (ATTENDANCE_INPUT!A:A=A121) *
      (ATTENDANCE_INPUT!V:V=_xludf.MAXIFS(ATTENDANCE_INPUT!V:V, ATTENDANCE_INPUT!A:A, A121)),
      0)),
  "")</f>
        <v/>
      </c>
      <c r="H121" s="47" t="str">
        <f t="array" aca="1" ref="H121" ca="1">IF(ISNA(MATCH(A121,sheet2!A:A,0)),"⏳ Chưa test",IFERROR(INDEX(LEVEL_HELPER!A:A,MATCH(INDEX(sheet2!N:N,MATCH(A121,sheet2!A:A,0)),LEVEL_HELPER!B:B,0)),"⏳ Chưa test"))</f>
        <v>⏳ Chưa test</v>
      </c>
      <c r="I121" s="47" t="str">
        <f t="array" aca="1" ref="I121" ca="1">IF(ISNA(MATCH(A121,sheet2!A:A,0)),H121,IF(INDEX(sheet2!O:O,MATCH(A121,sheet2!A:A,0))&gt;0,IFERROR(INDEX(LEVEL_HELPER!A:A,MATCH(INDEX(sheet2!O:O,MATCH(A121,sheet2!A:A,0)),LEVEL_HELPER!B:B,0)),H121),H121))</f>
        <v>⏳ Chưa test</v>
      </c>
      <c r="J121" s="47" t="str">
        <f ca="1">IFERROR(_xludf.MAXIFS(ATTENDANCE_LOG!F:F, ATTENDANCE_LOG!C:C, A121&amp;"", ATTENDANCE_LOG!G:G, "Present"), "")</f>
        <v/>
      </c>
      <c r="K121" s="48" t="str">
        <f t="shared" ca="1" si="0"/>
        <v/>
      </c>
      <c r="L121" s="49" t="str">
        <f t="shared" ca="1" si="1"/>
        <v/>
      </c>
      <c r="M121" s="36"/>
      <c r="N121" s="50"/>
      <c r="O121" s="36"/>
      <c r="P121" s="36"/>
      <c r="Q121" s="36"/>
      <c r="R121" s="36">
        <v>247193</v>
      </c>
      <c r="S121" s="36" t="s">
        <v>146</v>
      </c>
      <c r="T121" s="36" t="s">
        <v>33</v>
      </c>
      <c r="U121" s="36" t="str">
        <f ca="1">IFERROR(__xludf.DUMMYFUNCTION("arrayformula(vlookup(to_text(R121),to_text($A$4:$B1060),2,0))"),"#N/A")</f>
        <v>#N/A</v>
      </c>
      <c r="V121" s="36"/>
      <c r="W121" s="59"/>
      <c r="X121" s="59"/>
      <c r="Y121" s="59"/>
    </row>
    <row r="122" spans="1:25" ht="15.75" customHeight="1">
      <c r="A122" s="42" t="s">
        <v>385</v>
      </c>
      <c r="B122" s="43" t="s">
        <v>386</v>
      </c>
      <c r="C122" s="44" t="str">
        <f ca="1">IFERROR(__xludf.DUMMYFUNCTION("arrayformula(VLOOKUP(to_Text(A122),to_Text(sheet2!$A$1:M1002),13,0))"),"LBU")</f>
        <v>LBU</v>
      </c>
      <c r="D122" s="45" t="str">
        <f ca="1">IFERROR(__xludf.DUMMYFUNCTION("arrayformula(VLOOKUP(to_Text(A122),to_Text(sheet2!$A$1:M1002),12,0))"),"GSD")</f>
        <v>GSD</v>
      </c>
      <c r="E122" s="43" t="str">
        <f t="shared" ref="E122:E123" ca="1" si="16">IF(L122="⚠ Possibly Dropped","Inactive","Active")</f>
        <v>Active</v>
      </c>
      <c r="F122" s="42" t="str">
        <f t="array" aca="1" ref="F122" ca="1">IFERROR(
  INDEX(ATTENDANCE_INPUT!D:D,
    MATCH(1,
      (ATTENDANCE_INPUT!A:A=A122) *
      (ATTENDANCE_INPUT!V:V=_xludf.MAXIFS(ATTENDANCE_INPUT!V:V, ATTENDANCE_INPUT!A:A, A122)),
      0)),
  "")</f>
        <v/>
      </c>
      <c r="G122" s="46" t="str">
        <f t="array" aca="1" ref="G122" ca="1">IFERROR(
  INDEX(ATTENDANCE_INPUT!E:E,
    MATCH(1,
      (ATTENDANCE_INPUT!A:A=A122) *
      (ATTENDANCE_INPUT!V:V=_xludf.MAXIFS(ATTENDANCE_INPUT!V:V, ATTENDANCE_INPUT!A:A, A122)),
      0)),
  "")</f>
        <v/>
      </c>
      <c r="H122" s="47" t="str">
        <f t="array" aca="1" ref="H122" ca="1">IF(ISNA(MATCH(A122,sheet2!A:A,0)),"⏳ Chưa test",IFERROR(INDEX(LEVEL_HELPER!A:A,MATCH(INDEX(sheet2!N:N,MATCH(A122,sheet2!A:A,0)),LEVEL_HELPER!B:B,0)),"⏳ Chưa test"))</f>
        <v>Foundation</v>
      </c>
      <c r="I122" s="47" t="str">
        <f t="array" aca="1" ref="I122" ca="1">IF(ISNA(MATCH(A122,sheet2!A:A,0)),H122,IF(INDEX(sheet2!O:O,MATCH(A122,sheet2!A:A,0))&gt;0,IFERROR(INDEX(LEVEL_HELPER!A:A,MATCH(INDEX(sheet2!O:O,MATCH(A122,sheet2!A:A,0)),LEVEL_HELPER!B:B,0)),H122),H122))</f>
        <v>Foundation</v>
      </c>
      <c r="J122" s="47" t="str">
        <f ca="1">IFERROR(_xludf.MAXIFS(ATTENDANCE_LOG!F:F, ATTENDANCE_LOG!C:C, A122&amp;"", ATTENDANCE_LOG!G:G, "Present"), "")</f>
        <v/>
      </c>
      <c r="K122" s="48" t="str">
        <f t="shared" ca="1" si="0"/>
        <v/>
      </c>
      <c r="L122" s="49" t="str">
        <f t="shared" ca="1" si="1"/>
        <v/>
      </c>
      <c r="M122" s="36" t="s">
        <v>36</v>
      </c>
      <c r="N122" s="50" t="s">
        <v>39</v>
      </c>
      <c r="O122" s="36"/>
      <c r="P122" s="36"/>
      <c r="Q122" s="36"/>
      <c r="R122" s="36"/>
      <c r="S122" s="36"/>
      <c r="T122" s="36"/>
      <c r="U122" s="36"/>
      <c r="V122" s="36"/>
      <c r="W122" s="59"/>
      <c r="X122" s="59"/>
      <c r="Y122" s="59"/>
    </row>
    <row r="123" spans="1:25" ht="15.75" customHeight="1">
      <c r="A123" s="42" t="s">
        <v>387</v>
      </c>
      <c r="B123" s="43" t="s">
        <v>388</v>
      </c>
      <c r="C123" s="44" t="str">
        <f ca="1">IFERROR(__xludf.DUMMYFUNCTION("arrayformula(VLOOKUP(to_Text(A123),to_Text(sheet2!$A$1:M1002),13,0))"),"CHORUS")</f>
        <v>CHORUS</v>
      </c>
      <c r="D123" s="45" t="str">
        <f ca="1">IFERROR(__xludf.DUMMYFUNCTION("arrayformula(VLOOKUP(to_Text(A123),to_Text(sheet2!$A$1:M1002),12,0))"),"DEV")</f>
        <v>DEV</v>
      </c>
      <c r="E123" s="43" t="str">
        <f t="shared" ca="1" si="16"/>
        <v>Active</v>
      </c>
      <c r="F123" s="42" t="str">
        <f t="array" aca="1" ref="F123" ca="1">IFERROR(
  INDEX(ATTENDANCE_INPUT!D:D,
    MATCH(1,
      (ATTENDANCE_INPUT!A:A=A123) *
      (ATTENDANCE_INPUT!V:V=_xludf.MAXIFS(ATTENDANCE_INPUT!V:V, ATTENDANCE_INPUT!A:A, A123)),
      0)),
  "")</f>
        <v/>
      </c>
      <c r="G123" s="46" t="str">
        <f t="array" aca="1" ref="G123" ca="1">IFERROR(
  INDEX(ATTENDANCE_INPUT!E:E,
    MATCH(1,
      (ATTENDANCE_INPUT!A:A=A123) *
      (ATTENDANCE_INPUT!V:V=_xludf.MAXIFS(ATTENDANCE_INPUT!V:V, ATTENDANCE_INPUT!A:A, A123)),
      0)),
  "")</f>
        <v/>
      </c>
      <c r="H123" s="47" t="str">
        <f t="array" aca="1" ref="H123" ca="1">IF(ISNA(MATCH(A123,sheet2!A:A,0)),"⏳ Chưa test",IFERROR(INDEX(LEVEL_HELPER!A:A,MATCH(INDEX(sheet2!N:N,MATCH(A123,sheet2!A:A,0)),LEVEL_HELPER!B:B,0)),"⏳ Chưa test"))</f>
        <v>Beginner</v>
      </c>
      <c r="I123" s="47" t="str">
        <f t="array" aca="1" ref="I123" ca="1">IF(ISNA(MATCH(A123,sheet2!A:A,0)),H123,IF(INDEX(sheet2!O:O,MATCH(A123,sheet2!A:A,0))&gt;0,IFERROR(INDEX(LEVEL_HELPER!A:A,MATCH(INDEX(sheet2!O:O,MATCH(A123,sheet2!A:A,0)),LEVEL_HELPER!B:B,0)),H123),H123))</f>
        <v>Beginner</v>
      </c>
      <c r="J123" s="47" t="str">
        <f ca="1">IFERROR(_xludf.MAXIFS(ATTENDANCE_LOG!F:F, ATTENDANCE_LOG!C:C, A123&amp;"", ATTENDANCE_LOG!G:G, "Present"), "")</f>
        <v/>
      </c>
      <c r="K123" s="48" t="str">
        <f t="shared" ca="1" si="0"/>
        <v/>
      </c>
      <c r="L123" s="49" t="str">
        <f t="shared" ca="1" si="1"/>
        <v/>
      </c>
      <c r="M123" s="36" t="s">
        <v>34</v>
      </c>
      <c r="N123" s="50" t="s">
        <v>33</v>
      </c>
      <c r="O123" s="36"/>
      <c r="P123" s="36"/>
      <c r="Q123" s="36"/>
      <c r="R123" s="36"/>
      <c r="S123" s="36"/>
      <c r="T123" s="36"/>
      <c r="U123" s="36"/>
      <c r="V123" s="36"/>
      <c r="W123" s="59"/>
      <c r="X123" s="59"/>
      <c r="Y123" s="59"/>
    </row>
    <row r="124" spans="1:25" ht="15.75" customHeight="1">
      <c r="A124" s="42" t="s">
        <v>389</v>
      </c>
      <c r="B124" s="43" t="s">
        <v>390</v>
      </c>
      <c r="C124" s="44" t="str">
        <f ca="1">IFERROR(__xludf.DUMMYFUNCTION("arrayformula(VLOOKUP(to_Text(A124),to_Text(sheet2!$A$1:M1002),13,0))"),"TBU")</f>
        <v>TBU</v>
      </c>
      <c r="D124" s="45" t="str">
        <f ca="1">IFERROR(__xludf.DUMMYFUNCTION("arrayformula(VLOOKUP(to_Text(A124),to_Text(sheet2!$A$1:M1002),12,0))"),"BA")</f>
        <v>BA</v>
      </c>
      <c r="E124" s="43" t="s">
        <v>16</v>
      </c>
      <c r="F124" s="42" t="str">
        <f t="array" aca="1" ref="F124" ca="1">IFERROR(
  INDEX(ATTENDANCE_INPUT!D:D,
    MATCH(1,
      (ATTENDANCE_INPUT!A:A=A124) *
      (ATTENDANCE_INPUT!V:V=_xludf.MAXIFS(ATTENDANCE_INPUT!V:V, ATTENDANCE_INPUT!A:A, A124)),
      0)),
  "")</f>
        <v/>
      </c>
      <c r="G124" s="46" t="str">
        <f t="array" aca="1" ref="G124" ca="1">IFERROR(
  INDEX(ATTENDANCE_INPUT!E:E,
    MATCH(1,
      (ATTENDANCE_INPUT!A:A=A124) *
      (ATTENDANCE_INPUT!V:V=_xludf.MAXIFS(ATTENDANCE_INPUT!V:V, ATTENDANCE_INPUT!A:A, A124)),
      0)),
  "")</f>
        <v/>
      </c>
      <c r="H124" s="47" t="str">
        <f t="array" aca="1" ref="H124" ca="1">IF(ISNA(MATCH(A124,sheet2!A:A,0)),"⏳ Chưa test",IFERROR(INDEX(LEVEL_HELPER!A:A,MATCH(INDEX(sheet2!N:N,MATCH(A124,sheet2!A:A,0)),LEVEL_HELPER!B:B,0)),"⏳ Chưa test"))</f>
        <v>Beginner</v>
      </c>
      <c r="I124" s="47" t="str">
        <f t="array" aca="1" ref="I124" ca="1">IF(ISNA(MATCH(A124,sheet2!A:A,0)),H124,IF(INDEX(sheet2!O:O,MATCH(A124,sheet2!A:A,0))&gt;0,IFERROR(INDEX(LEVEL_HELPER!A:A,MATCH(INDEX(sheet2!O:O,MATCH(A124,sheet2!A:A,0)),LEVEL_HELPER!B:B,0)),H124),H124))</f>
        <v>Beginner</v>
      </c>
      <c r="J124" s="47" t="str">
        <f ca="1">IFERROR(_xludf.MAXIFS(ATTENDANCE_LOG!F:F, ATTENDANCE_LOG!C:C, A124&amp;"", ATTENDANCE_LOG!G:G, "Present"), "")</f>
        <v/>
      </c>
      <c r="K124" s="48" t="str">
        <f t="shared" ca="1" si="0"/>
        <v/>
      </c>
      <c r="L124" s="49" t="str">
        <f t="shared" ca="1" si="1"/>
        <v/>
      </c>
      <c r="M124" s="36" t="s">
        <v>34</v>
      </c>
      <c r="N124" s="50" t="s">
        <v>33</v>
      </c>
      <c r="O124" s="36"/>
      <c r="P124" s="36"/>
      <c r="Q124" s="36"/>
      <c r="R124" s="36"/>
      <c r="S124" s="36"/>
      <c r="T124" s="36"/>
      <c r="U124" s="36"/>
      <c r="V124" s="36"/>
      <c r="W124" s="59"/>
      <c r="X124" s="59"/>
      <c r="Y124" s="59"/>
    </row>
    <row r="125" spans="1:25" ht="15.75" customHeight="1">
      <c r="A125" s="42" t="s">
        <v>391</v>
      </c>
      <c r="B125" s="43" t="s">
        <v>392</v>
      </c>
      <c r="C125" s="44" t="str">
        <f ca="1">IFERROR(__xludf.DUMMYFUNCTION("arrayformula(VLOOKUP(to_Text(A125),to_Text(sheet2!$A$1:M1002),13,0))"),"CHORUS")</f>
        <v>CHORUS</v>
      </c>
      <c r="D125" s="45" t="str">
        <f ca="1">IFERROR(__xludf.DUMMYFUNCTION("arrayformula(VLOOKUP(to_Text(A125),to_Text(sheet2!$A$1:M1002),12,0))"),"GSD")</f>
        <v>GSD</v>
      </c>
      <c r="E125" s="43" t="s">
        <v>16</v>
      </c>
      <c r="F125" s="42" t="str">
        <f t="array" aca="1" ref="F125" ca="1">IFERROR(
  INDEX(ATTENDANCE_INPUT!D:D,
    MATCH(1,
      (ATTENDANCE_INPUT!A:A=A125) *
      (ATTENDANCE_INPUT!V:V=_xludf.MAXIFS(ATTENDANCE_INPUT!V:V, ATTENDANCE_INPUT!A:A, A125)),
      0)),
  "")</f>
        <v/>
      </c>
      <c r="G125" s="46" t="str">
        <f t="array" aca="1" ref="G125" ca="1">IFERROR(
  INDEX(ATTENDANCE_INPUT!E:E,
    MATCH(1,
      (ATTENDANCE_INPUT!A:A=A125) *
      (ATTENDANCE_INPUT!V:V=_xludf.MAXIFS(ATTENDANCE_INPUT!V:V, ATTENDANCE_INPUT!A:A, A125)),
      0)),
  "")</f>
        <v/>
      </c>
      <c r="H125" s="47" t="str">
        <f t="array" aca="1" ref="H125" ca="1">IF(ISNA(MATCH(A125,sheet2!A:A,0)),"⏳ Chưa test",IFERROR(INDEX(LEVEL_HELPER!A:A,MATCH(INDEX(sheet2!N:N,MATCH(A125,sheet2!A:A,0)),LEVEL_HELPER!B:B,0)),"⏳ Chưa test"))</f>
        <v>Foundation</v>
      </c>
      <c r="I125" s="47" t="str">
        <f t="array" aca="1" ref="I125" ca="1">IF(ISNA(MATCH(A125,sheet2!A:A,0)),H125,IF(INDEX(sheet2!O:O,MATCH(A125,sheet2!A:A,0))&gt;0,IFERROR(INDEX(LEVEL_HELPER!A:A,MATCH(INDEX(sheet2!O:O,MATCH(A125,sheet2!A:A,0)),LEVEL_HELPER!B:B,0)),H125),H125))</f>
        <v>Foundation</v>
      </c>
      <c r="J125" s="47" t="str">
        <f ca="1">IFERROR(_xludf.MAXIFS(ATTENDANCE_LOG!F:F, ATTENDANCE_LOG!C:C, A125&amp;"", ATTENDANCE_LOG!G:G, "Present"), "")</f>
        <v/>
      </c>
      <c r="K125" s="48" t="str">
        <f t="shared" ca="1" si="0"/>
        <v/>
      </c>
      <c r="L125" s="49" t="str">
        <f t="shared" ca="1" si="1"/>
        <v/>
      </c>
      <c r="M125" s="36" t="s">
        <v>36</v>
      </c>
      <c r="N125" s="50" t="s">
        <v>42</v>
      </c>
      <c r="O125" s="36"/>
      <c r="P125" s="36"/>
      <c r="Q125" s="36"/>
      <c r="R125" s="36"/>
      <c r="S125" s="36"/>
      <c r="T125" s="36"/>
      <c r="U125" s="36"/>
      <c r="V125" s="36"/>
      <c r="W125" s="59"/>
      <c r="X125" s="59"/>
      <c r="Y125" s="59"/>
    </row>
    <row r="126" spans="1:25" ht="15.75" customHeight="1">
      <c r="A126" s="42" t="s">
        <v>393</v>
      </c>
      <c r="B126" s="43" t="s">
        <v>394</v>
      </c>
      <c r="C126" s="44" t="str">
        <f ca="1">IFERROR(__xludf.DUMMYFUNCTION("arrayformula(VLOOKUP(to_Text(A126),to_Text(sheet2!$A$1:M1002),13,0))"),"CHORUS")</f>
        <v>CHORUS</v>
      </c>
      <c r="D126" s="45" t="str">
        <f ca="1">IFERROR(__xludf.DUMMYFUNCTION("arrayformula(VLOOKUP(to_Text(A126),to_Text(sheet2!$A$1:M1002),12,0))"),"DEV")</f>
        <v>DEV</v>
      </c>
      <c r="E126" s="43" t="str">
        <f ca="1">IF(L126="⚠ Possibly Dropped","Inactive","Active")</f>
        <v>Active</v>
      </c>
      <c r="F126" s="42" t="str">
        <f t="array" aca="1" ref="F126" ca="1">IFERROR(
  INDEX(ATTENDANCE_INPUT!D:D,
    MATCH(1,
      (ATTENDANCE_INPUT!A:A=A126) *
      (ATTENDANCE_INPUT!V:V=_xludf.MAXIFS(ATTENDANCE_INPUT!V:V, ATTENDANCE_INPUT!A:A, A126)),
      0)),
  "")</f>
        <v/>
      </c>
      <c r="G126" s="46" t="str">
        <f t="array" aca="1" ref="G126" ca="1">IFERROR(
  INDEX(ATTENDANCE_INPUT!E:E,
    MATCH(1,
      (ATTENDANCE_INPUT!A:A=A126) *
      (ATTENDANCE_INPUT!V:V=_xludf.MAXIFS(ATTENDANCE_INPUT!V:V, ATTENDANCE_INPUT!A:A, A126)),
      0)),
  "")</f>
        <v/>
      </c>
      <c r="H126" s="47" t="str">
        <f t="array" aca="1" ref="H126" ca="1">IF(ISNA(MATCH(A126,sheet2!A:A,0)),"⏳ Chưa test",IFERROR(INDEX(LEVEL_HELPER!A:A,MATCH(INDEX(sheet2!N:N,MATCH(A126,sheet2!A:A,0)),LEVEL_HELPER!B:B,0)),"⏳ Chưa test"))</f>
        <v>Foundation</v>
      </c>
      <c r="I126" s="47" t="str">
        <f t="array" aca="1" ref="I126" ca="1">IF(ISNA(MATCH(A126,sheet2!A:A,0)),H126,IF(INDEX(sheet2!O:O,MATCH(A126,sheet2!A:A,0))&gt;0,IFERROR(INDEX(LEVEL_HELPER!A:A,MATCH(INDEX(sheet2!O:O,MATCH(A126,sheet2!A:A,0)),LEVEL_HELPER!B:B,0)),H126),H126))</f>
        <v>Foundation</v>
      </c>
      <c r="J126" s="47" t="str">
        <f ca="1">IFERROR(_xludf.MAXIFS(ATTENDANCE_LOG!F:F, ATTENDANCE_LOG!C:C, A126&amp;"", ATTENDANCE_LOG!G:G, "Present"), "")</f>
        <v/>
      </c>
      <c r="K126" s="48" t="str">
        <f t="shared" ca="1" si="0"/>
        <v/>
      </c>
      <c r="L126" s="49" t="str">
        <f t="shared" ca="1" si="1"/>
        <v/>
      </c>
      <c r="M126" s="36"/>
      <c r="N126" s="50"/>
      <c r="O126" s="36"/>
      <c r="P126" s="36"/>
      <c r="Q126" s="36"/>
      <c r="R126" s="36"/>
      <c r="S126" s="36"/>
      <c r="T126" s="36"/>
      <c r="U126" s="36"/>
      <c r="V126" s="36"/>
      <c r="W126" s="59"/>
      <c r="X126" s="59"/>
      <c r="Y126" s="59"/>
    </row>
    <row r="127" spans="1:25" ht="15.75" customHeight="1">
      <c r="A127" s="42" t="s">
        <v>395</v>
      </c>
      <c r="B127" s="43" t="s">
        <v>396</v>
      </c>
      <c r="C127" s="44" t="str">
        <f ca="1">IFERROR(__xludf.DUMMYFUNCTION("arrayformula(VLOOKUP(to_Text(A127),to_Text(sheet2!$A$1:M1002),13,0))"),"CHORUS")</f>
        <v>CHORUS</v>
      </c>
      <c r="D127" s="45" t="str">
        <f ca="1">IFERROR(__xludf.DUMMYFUNCTION("arrayformula(VLOOKUP(to_Text(A127),to_Text(sheet2!$A$1:M1002),12,0))"),"QC")</f>
        <v>QC</v>
      </c>
      <c r="E127" s="43" t="s">
        <v>16</v>
      </c>
      <c r="F127" s="42" t="str">
        <f t="array" aca="1" ref="F127" ca="1">IFERROR(
  INDEX(ATTENDANCE_INPUT!D:D,
    MATCH(1,
      (ATTENDANCE_INPUT!A:A=A127) *
      (ATTENDANCE_INPUT!V:V=_xludf.MAXIFS(ATTENDANCE_INPUT!V:V, ATTENDANCE_INPUT!A:A, A127)),
      0)),
  "")</f>
        <v/>
      </c>
      <c r="G127" s="46" t="str">
        <f t="array" aca="1" ref="G127" ca="1">IFERROR(
  INDEX(ATTENDANCE_INPUT!E:E,
    MATCH(1,
      (ATTENDANCE_INPUT!A:A=A127) *
      (ATTENDANCE_INPUT!V:V=_xludf.MAXIFS(ATTENDANCE_INPUT!V:V, ATTENDANCE_INPUT!A:A, A127)),
      0)),
  "")</f>
        <v/>
      </c>
      <c r="H127" s="47" t="str">
        <f t="array" aca="1" ref="H127" ca="1">IF(ISNA(MATCH(A127,sheet2!A:A,0)),"⏳ Chưa test",IFERROR(INDEX(LEVEL_HELPER!A:A,MATCH(INDEX(sheet2!N:N,MATCH(A127,sheet2!A:A,0)),LEVEL_HELPER!B:B,0)),"⏳ Chưa test"))</f>
        <v>Pre-Intermediate</v>
      </c>
      <c r="I127" s="47" t="str">
        <f t="array" aca="1" ref="I127" ca="1">IF(ISNA(MATCH(A127,sheet2!A:A,0)),H127,IF(INDEX(sheet2!O:O,MATCH(A127,sheet2!A:A,0))&gt;0,IFERROR(INDEX(LEVEL_HELPER!A:A,MATCH(INDEX(sheet2!O:O,MATCH(A127,sheet2!A:A,0)),LEVEL_HELPER!B:B,0)),H127),H127))</f>
        <v>Pre-Intermediate</v>
      </c>
      <c r="J127" s="47" t="str">
        <f ca="1">IFERROR(_xludf.MAXIFS(ATTENDANCE_LOG!F:F, ATTENDANCE_LOG!C:C, A127&amp;"", ATTENDANCE_LOG!G:G, "Present"), "")</f>
        <v/>
      </c>
      <c r="K127" s="48" t="str">
        <f t="shared" ca="1" si="0"/>
        <v/>
      </c>
      <c r="L127" s="49" t="str">
        <f t="shared" ca="1" si="1"/>
        <v/>
      </c>
      <c r="M127" s="36" t="s">
        <v>36</v>
      </c>
      <c r="N127" s="50" t="s">
        <v>33</v>
      </c>
      <c r="O127" s="36"/>
      <c r="P127" s="36"/>
      <c r="Q127" s="36"/>
      <c r="R127" s="61"/>
      <c r="S127" s="61"/>
      <c r="T127" s="61"/>
      <c r="U127" s="61"/>
      <c r="V127" s="36"/>
      <c r="W127" s="59"/>
      <c r="X127" s="59"/>
      <c r="Y127" s="59"/>
    </row>
    <row r="128" spans="1:25" ht="15.75" customHeight="1">
      <c r="A128" s="42" t="s">
        <v>397</v>
      </c>
      <c r="B128" s="43" t="s">
        <v>398</v>
      </c>
      <c r="C128" s="44" t="str">
        <f ca="1">IFERROR(__xludf.DUMMYFUNCTION("arrayformula(VLOOKUP(to_Text(A128),to_Text(sheet2!$A$1:M1002),13,0))"),"MOC")</f>
        <v>MOC</v>
      </c>
      <c r="D128" s="45" t="str">
        <f ca="1">IFERROR(__xludf.DUMMYFUNCTION("arrayformula(VLOOKUP(to_Text(A128),to_Text(sheet2!$A$1:M1002),12,0))"),"BC")</f>
        <v>BC</v>
      </c>
      <c r="E128" s="43" t="s">
        <v>16</v>
      </c>
      <c r="F128" s="42" t="str">
        <f t="array" aca="1" ref="F128" ca="1">IFERROR(
  INDEX(ATTENDANCE_INPUT!D:D,
    MATCH(1,
      (ATTENDANCE_INPUT!A:A=A128) *
      (ATTENDANCE_INPUT!V:V=_xludf.MAXIFS(ATTENDANCE_INPUT!V:V, ATTENDANCE_INPUT!A:A, A128)),
      0)),
  "")</f>
        <v/>
      </c>
      <c r="G128" s="46" t="str">
        <f t="array" aca="1" ref="G128" ca="1">IFERROR(
  INDEX(ATTENDANCE_INPUT!E:E,
    MATCH(1,
      (ATTENDANCE_INPUT!A:A=A128) *
      (ATTENDANCE_INPUT!V:V=_xludf.MAXIFS(ATTENDANCE_INPUT!V:V, ATTENDANCE_INPUT!A:A, A128)),
      0)),
  "")</f>
        <v/>
      </c>
      <c r="H128" s="47" t="str">
        <f t="array" aca="1" ref="H128" ca="1">IF(ISNA(MATCH(A128,sheet2!A:A,0)),"⏳ Chưa test",IFERROR(INDEX(LEVEL_HELPER!A:A,MATCH(INDEX(sheet2!N:N,MATCH(A128,sheet2!A:A,0)),LEVEL_HELPER!B:B,0)),"⏳ Chưa test"))</f>
        <v>⏳ Chưa test</v>
      </c>
      <c r="I128" s="47" t="str">
        <f t="array" aca="1" ref="I128" ca="1">IF(ISNA(MATCH(A128,sheet2!A:A,0)),H128,IF(INDEX(sheet2!O:O,MATCH(A128,sheet2!A:A,0))&gt;0,IFERROR(INDEX(LEVEL_HELPER!A:A,MATCH(INDEX(sheet2!O:O,MATCH(A128,sheet2!A:A,0)),LEVEL_HELPER!B:B,0)),H128),H128))</f>
        <v>⏳ Chưa test</v>
      </c>
      <c r="J128" s="47" t="str">
        <f ca="1">IFERROR(_xludf.MAXIFS(ATTENDANCE_LOG!F:F, ATTENDANCE_LOG!C:C, A128&amp;"", ATTENDANCE_LOG!G:G, "Present"), "")</f>
        <v/>
      </c>
      <c r="K128" s="48" t="str">
        <f t="shared" ca="1" si="0"/>
        <v/>
      </c>
      <c r="L128" s="49" t="str">
        <f t="shared" ca="1" si="1"/>
        <v/>
      </c>
      <c r="M128" s="36" t="s">
        <v>36</v>
      </c>
      <c r="N128" s="50" t="s">
        <v>42</v>
      </c>
      <c r="O128" s="36"/>
      <c r="P128" s="36"/>
      <c r="Q128" s="36"/>
      <c r="R128" s="36"/>
      <c r="S128" s="36"/>
      <c r="T128" s="36"/>
      <c r="U128" s="36"/>
      <c r="V128" s="36"/>
      <c r="W128" s="59"/>
      <c r="X128" s="59"/>
      <c r="Y128" s="59"/>
    </row>
    <row r="129" spans="1:25" ht="15.75" customHeight="1">
      <c r="A129" s="42" t="s">
        <v>399</v>
      </c>
      <c r="B129" s="43" t="s">
        <v>400</v>
      </c>
      <c r="C129" s="44" t="str">
        <f ca="1">IFERROR(__xludf.DUMMYFUNCTION("arrayformula(VLOOKUP(to_Text(A129),to_Text(sheet2!$A$1:M1002),13,0))"),"LBU")</f>
        <v>LBU</v>
      </c>
      <c r="D129" s="45" t="str">
        <f ca="1">IFERROR(__xludf.DUMMYFUNCTION("arrayformula(VLOOKUP(to_Text(A129),to_Text(sheet2!$A$1:M1002),12,0))"),"UI/UX")</f>
        <v>UI/UX</v>
      </c>
      <c r="E129" s="43" t="s">
        <v>16</v>
      </c>
      <c r="F129" s="42" t="str">
        <f t="array" aca="1" ref="F129" ca="1">IFERROR(
  INDEX(ATTENDANCE_INPUT!D:D,
    MATCH(1,
      (ATTENDANCE_INPUT!A:A=A129) *
      (ATTENDANCE_INPUT!V:V=_xludf.MAXIFS(ATTENDANCE_INPUT!V:V, ATTENDANCE_INPUT!A:A, A129)),
      0)),
  "")</f>
        <v/>
      </c>
      <c r="G129" s="46" t="str">
        <f t="array" aca="1" ref="G129" ca="1">IFERROR(
  INDEX(ATTENDANCE_INPUT!E:E,
    MATCH(1,
      (ATTENDANCE_INPUT!A:A=A129) *
      (ATTENDANCE_INPUT!V:V=_xludf.MAXIFS(ATTENDANCE_INPUT!V:V, ATTENDANCE_INPUT!A:A, A129)),
      0)),
  "")</f>
        <v/>
      </c>
      <c r="H129" s="47" t="str">
        <f t="array" aca="1" ref="H129" ca="1">IF(ISNA(MATCH(A129,sheet2!A:A,0)),"⏳ Chưa test",IFERROR(INDEX(LEVEL_HELPER!A:A,MATCH(INDEX(sheet2!N:N,MATCH(A129,sheet2!A:A,0)),LEVEL_HELPER!B:B,0)),"⏳ Chưa test"))</f>
        <v>Pre-Intermediate</v>
      </c>
      <c r="I129" s="47" t="str">
        <f t="array" aca="1" ref="I129" ca="1">IF(ISNA(MATCH(A129,sheet2!A:A,0)),H129,IF(INDEX(sheet2!O:O,MATCH(A129,sheet2!A:A,0))&gt;0,IFERROR(INDEX(LEVEL_HELPER!A:A,MATCH(INDEX(sheet2!O:O,MATCH(A129,sheet2!A:A,0)),LEVEL_HELPER!B:B,0)),H129),H129))</f>
        <v>Pre-Intermediate</v>
      </c>
      <c r="J129" s="47" t="str">
        <f ca="1">IFERROR(_xludf.MAXIFS(ATTENDANCE_LOG!F:F, ATTENDANCE_LOG!C:C, A129&amp;"", ATTENDANCE_LOG!G:G, "Present"), "")</f>
        <v/>
      </c>
      <c r="K129" s="48" t="str">
        <f t="shared" ca="1" si="0"/>
        <v/>
      </c>
      <c r="L129" s="49" t="str">
        <f t="shared" ca="1" si="1"/>
        <v/>
      </c>
      <c r="M129" s="36" t="s">
        <v>36</v>
      </c>
      <c r="N129" s="50" t="s">
        <v>33</v>
      </c>
      <c r="O129" s="36"/>
      <c r="P129" s="36"/>
      <c r="Q129" s="36"/>
      <c r="R129" s="36"/>
      <c r="S129" s="36"/>
      <c r="T129" s="36"/>
      <c r="U129" s="36"/>
      <c r="V129" s="36"/>
      <c r="W129" s="59"/>
      <c r="X129" s="59"/>
      <c r="Y129" s="59"/>
    </row>
    <row r="130" spans="1:25" ht="15.75" customHeight="1">
      <c r="A130" s="42" t="s">
        <v>401</v>
      </c>
      <c r="B130" s="43" t="s">
        <v>402</v>
      </c>
      <c r="C130" s="44" t="str">
        <f ca="1">IFERROR(__xludf.DUMMYFUNCTION("arrayformula(VLOOKUP(to_Text(A130),to_Text(sheet2!$A$1:M1002),13,0))"),"POC")</f>
        <v>POC</v>
      </c>
      <c r="D130" s="45" t="str">
        <f ca="1">IFERROR(__xludf.DUMMYFUNCTION("arrayformula(VLOOKUP(to_Text(A130),to_Text(sheet2!$A$1:M1002),12,0))"),"DEV")</f>
        <v>DEV</v>
      </c>
      <c r="E130" s="43" t="str">
        <f ca="1">IF(L130="⚠ Possibly Dropped","Inactive","Active")</f>
        <v>Active</v>
      </c>
      <c r="F130" s="42" t="str">
        <f t="array" aca="1" ref="F130" ca="1">IFERROR(
  INDEX(ATTENDANCE_INPUT!D:D,
    MATCH(1,
      (ATTENDANCE_INPUT!A:A=A130) *
      (ATTENDANCE_INPUT!V:V=_xludf.MAXIFS(ATTENDANCE_INPUT!V:V, ATTENDANCE_INPUT!A:A, A130)),
      0)),
  "")</f>
        <v/>
      </c>
      <c r="G130" s="46" t="str">
        <f t="array" aca="1" ref="G130" ca="1">IFERROR(
  INDEX(ATTENDANCE_INPUT!E:E,
    MATCH(1,
      (ATTENDANCE_INPUT!A:A=A130) *
      (ATTENDANCE_INPUT!V:V=_xludf.MAXIFS(ATTENDANCE_INPUT!V:V, ATTENDANCE_INPUT!A:A, A130)),
      0)),
  "")</f>
        <v/>
      </c>
      <c r="H130" s="47" t="str">
        <f t="array" aca="1" ref="H130" ca="1">IF(ISNA(MATCH(A130,sheet2!A:A,0)),"⏳ Chưa test",IFERROR(INDEX(LEVEL_HELPER!A:A,MATCH(INDEX(sheet2!N:N,MATCH(A130,sheet2!A:A,0)),LEVEL_HELPER!B:B,0)),"⏳ Chưa test"))</f>
        <v>Beginner</v>
      </c>
      <c r="I130" s="47" t="str">
        <f t="array" aca="1" ref="I130" ca="1">IF(ISNA(MATCH(A130,sheet2!A:A,0)),H130,IF(INDEX(sheet2!O:O,MATCH(A130,sheet2!A:A,0))&gt;0,IFERROR(INDEX(LEVEL_HELPER!A:A,MATCH(INDEX(sheet2!O:O,MATCH(A130,sheet2!A:A,0)),LEVEL_HELPER!B:B,0)),H130),H130))</f>
        <v>Beginner</v>
      </c>
      <c r="J130" s="47" t="str">
        <f ca="1">IFERROR(_xludf.MAXIFS(ATTENDANCE_LOG!F:F, ATTENDANCE_LOG!C:C, A130&amp;"", ATTENDANCE_LOG!G:G, "Present"), "")</f>
        <v/>
      </c>
      <c r="K130" s="48" t="str">
        <f t="shared" ca="1" si="0"/>
        <v/>
      </c>
      <c r="L130" s="49" t="str">
        <f t="shared" ca="1" si="1"/>
        <v/>
      </c>
      <c r="M130" s="36"/>
      <c r="N130" s="50"/>
      <c r="O130" s="36"/>
      <c r="P130" s="36"/>
      <c r="Q130" s="36"/>
      <c r="R130" s="36"/>
      <c r="S130" s="36"/>
      <c r="T130" s="36"/>
      <c r="U130" s="36"/>
      <c r="V130" s="36"/>
      <c r="W130" s="59"/>
      <c r="X130" s="59"/>
      <c r="Y130" s="59"/>
    </row>
    <row r="131" spans="1:25" ht="15.75" customHeight="1">
      <c r="A131" s="53" t="s">
        <v>403</v>
      </c>
      <c r="B131" s="54" t="s">
        <v>404</v>
      </c>
      <c r="C131" s="44" t="str">
        <f ca="1">IFERROR(__xludf.DUMMYFUNCTION("arrayformula(VLOOKUP(to_Text(A131),to_Text(sheet2!$A$1:M1002),13,0))"),"ONC")</f>
        <v>ONC</v>
      </c>
      <c r="D131" s="45" t="str">
        <f ca="1">IFERROR(__xludf.DUMMYFUNCTION("arrayformula(VLOOKUP(to_Text(A131),to_Text(sheet2!$A$1:M1002),12,0))"),"DEV")</f>
        <v>DEV</v>
      </c>
      <c r="E131" s="43" t="s">
        <v>175</v>
      </c>
      <c r="F131" s="42" t="str">
        <f t="array" aca="1" ref="F131" ca="1">IFERROR(
  INDEX(ATTENDANCE_INPUT!D:D,
    MATCH(1,
      (ATTENDANCE_INPUT!A:A=A131) *
      (ATTENDANCE_INPUT!V:V=_xludf.MAXIFS(ATTENDANCE_INPUT!V:V, ATTENDANCE_INPUT!A:A, A131)),
      0)),
  "")</f>
        <v/>
      </c>
      <c r="G131" s="46" t="str">
        <f t="array" aca="1" ref="G131" ca="1">IFERROR(
  INDEX(ATTENDANCE_INPUT!E:E,
    MATCH(1,
      (ATTENDANCE_INPUT!A:A=A131) *
      (ATTENDANCE_INPUT!V:V=_xludf.MAXIFS(ATTENDANCE_INPUT!V:V, ATTENDANCE_INPUT!A:A, A131)),
      0)),
  "")</f>
        <v/>
      </c>
      <c r="H131" s="47" t="str">
        <f t="array" aca="1" ref="H131" ca="1">IF(ISNA(MATCH(A131,sheet2!A:A,0)),"⏳ Chưa test",IFERROR(INDEX(LEVEL_HELPER!A:A,MATCH(INDEX(sheet2!N:N,MATCH(A131,sheet2!A:A,0)),LEVEL_HELPER!B:B,0)),"⏳ Chưa test"))</f>
        <v>Pre-Intermediate</v>
      </c>
      <c r="I131" s="47" t="str">
        <f t="array" aca="1" ref="I131" ca="1">IF(ISNA(MATCH(A131,sheet2!A:A,0)),H131,IF(INDEX(sheet2!O:O,MATCH(A131,sheet2!A:A,0))&gt;0,IFERROR(INDEX(LEVEL_HELPER!A:A,MATCH(INDEX(sheet2!O:O,MATCH(A131,sheet2!A:A,0)),LEVEL_HELPER!B:B,0)),H131),H131))</f>
        <v>Pre-Intermediate</v>
      </c>
      <c r="J131" s="55" t="str">
        <f ca="1">IFERROR(_xludf.MAXIFS(ATTENDANCE_LOG!F:F, ATTENDANCE_LOG!C:C, A131&amp;"", ATTENDANCE_LOG!G:G, "Present"), "")</f>
        <v/>
      </c>
      <c r="K131" s="56" t="str">
        <f t="shared" ca="1" si="0"/>
        <v/>
      </c>
      <c r="L131" s="57" t="str">
        <f t="shared" ca="1" si="1"/>
        <v/>
      </c>
      <c r="M131" s="51"/>
      <c r="N131" s="50"/>
      <c r="O131" s="36"/>
      <c r="P131" s="36"/>
      <c r="Q131" s="36"/>
      <c r="R131" s="36"/>
      <c r="S131" s="36"/>
      <c r="T131" s="36"/>
      <c r="U131" s="36"/>
      <c r="V131" s="36"/>
      <c r="W131" s="37"/>
      <c r="X131" s="37"/>
      <c r="Y131" s="37"/>
    </row>
    <row r="132" spans="1:25" ht="15.75" customHeight="1">
      <c r="A132" s="42" t="s">
        <v>405</v>
      </c>
      <c r="B132" s="43" t="s">
        <v>406</v>
      </c>
      <c r="C132" s="44" t="str">
        <f ca="1">IFERROR(__xludf.DUMMYFUNCTION("arrayformula(VLOOKUP(to_Text(A132),to_Text(sheet2!$A$1:M1002),13,0))"),"TBU")</f>
        <v>TBU</v>
      </c>
      <c r="D132" s="45" t="str">
        <f ca="1">IFERROR(__xludf.DUMMYFUNCTION("arrayformula(VLOOKUP(to_Text(A132),to_Text(sheet2!$A$1:M1002),12,0))"),"GSD")</f>
        <v>GSD</v>
      </c>
      <c r="E132" s="43" t="str">
        <f t="shared" ref="E132:E136" ca="1" si="17">IF(L132="⚠ Possibly Dropped","Inactive","Active")</f>
        <v>Active</v>
      </c>
      <c r="F132" s="42" t="str">
        <f t="array" aca="1" ref="F132" ca="1">IFERROR(
  INDEX(ATTENDANCE_INPUT!D:D,
    MATCH(1,
      (ATTENDANCE_INPUT!A:A=A132) *
      (ATTENDANCE_INPUT!V:V=_xludf.MAXIFS(ATTENDANCE_INPUT!V:V, ATTENDANCE_INPUT!A:A, A132)),
      0)),
  "")</f>
        <v/>
      </c>
      <c r="G132" s="46" t="str">
        <f t="array" aca="1" ref="G132" ca="1">IFERROR(
  INDEX(ATTENDANCE_INPUT!E:E,
    MATCH(1,
      (ATTENDANCE_INPUT!A:A=A132) *
      (ATTENDANCE_INPUT!V:V=_xludf.MAXIFS(ATTENDANCE_INPUT!V:V, ATTENDANCE_INPUT!A:A, A132)),
      0)),
  "")</f>
        <v/>
      </c>
      <c r="H132" s="47" t="str">
        <f t="array" aca="1" ref="H132" ca="1">IF(ISNA(MATCH(A132,sheet2!A:A,0)),"⏳ Chưa test",IFERROR(INDEX(LEVEL_HELPER!A:A,MATCH(INDEX(sheet2!N:N,MATCH(A132,sheet2!A:A,0)),LEVEL_HELPER!B:B,0)),"⏳ Chưa test"))</f>
        <v>Foundation</v>
      </c>
      <c r="I132" s="47" t="str">
        <f t="array" aca="1" ref="I132" ca="1">IF(ISNA(MATCH(A132,sheet2!A:A,0)),H132,IF(INDEX(sheet2!O:O,MATCH(A132,sheet2!A:A,0))&gt;0,IFERROR(INDEX(LEVEL_HELPER!A:A,MATCH(INDEX(sheet2!O:O,MATCH(A132,sheet2!A:A,0)),LEVEL_HELPER!B:B,0)),H132),H132))</f>
        <v>Foundation</v>
      </c>
      <c r="J132" s="47" t="str">
        <f ca="1">IFERROR(_xludf.MAXIFS(ATTENDANCE_LOG!F:F, ATTENDANCE_LOG!C:C, A132&amp;"", ATTENDANCE_LOG!G:G, "Present"), "")</f>
        <v/>
      </c>
      <c r="K132" s="48" t="str">
        <f t="shared" ca="1" si="0"/>
        <v/>
      </c>
      <c r="L132" s="49" t="str">
        <f t="shared" ca="1" si="1"/>
        <v/>
      </c>
      <c r="M132" s="36" t="s">
        <v>34</v>
      </c>
      <c r="N132" s="50" t="s">
        <v>35</v>
      </c>
      <c r="O132" s="36"/>
      <c r="P132" s="36"/>
      <c r="Q132" s="36"/>
      <c r="R132" s="36"/>
      <c r="S132" s="36"/>
      <c r="T132" s="36"/>
      <c r="U132" s="36"/>
      <c r="V132" s="36"/>
      <c r="W132" s="59"/>
      <c r="X132" s="59"/>
      <c r="Y132" s="59"/>
    </row>
    <row r="133" spans="1:25" ht="15.75" customHeight="1">
      <c r="A133" s="42" t="s">
        <v>407</v>
      </c>
      <c r="B133" s="43" t="s">
        <v>408</v>
      </c>
      <c r="C133" s="44" t="str">
        <f ca="1">IFERROR(__xludf.DUMMYFUNCTION("arrayformula(VLOOKUP(to_Text(A133),to_Text(sheet2!$A$1:M1002),13,0))"),"MOC")</f>
        <v>MOC</v>
      </c>
      <c r="D133" s="45" t="str">
        <f ca="1">IFERROR(__xludf.DUMMYFUNCTION("arrayformula(VLOOKUP(to_Text(A133),to_Text(sheet2!$A$1:M1002),12,0))"),"DEV")</f>
        <v>DEV</v>
      </c>
      <c r="E133" s="43" t="str">
        <f t="shared" ca="1" si="17"/>
        <v>Active</v>
      </c>
      <c r="F133" s="42" t="str">
        <f t="array" aca="1" ref="F133" ca="1">IFERROR(
  INDEX(ATTENDANCE_INPUT!D:D,
    MATCH(1,
      (ATTENDANCE_INPUT!A:A=A133) *
      (ATTENDANCE_INPUT!V:V=_xludf.MAXIFS(ATTENDANCE_INPUT!V:V, ATTENDANCE_INPUT!A:A, A133)),
      0)),
  "")</f>
        <v/>
      </c>
      <c r="G133" s="46" t="str">
        <f t="array" aca="1" ref="G133" ca="1">IFERROR(
  INDEX(ATTENDANCE_INPUT!E:E,
    MATCH(1,
      (ATTENDANCE_INPUT!A:A=A133) *
      (ATTENDANCE_INPUT!V:V=_xludf.MAXIFS(ATTENDANCE_INPUT!V:V, ATTENDANCE_INPUT!A:A, A133)),
      0)),
  "")</f>
        <v/>
      </c>
      <c r="H133" s="47" t="str">
        <f t="array" aca="1" ref="H133" ca="1">IF(ISNA(MATCH(A133,sheet2!A:A,0)),"⏳ Chưa test",IFERROR(INDEX(LEVEL_HELPER!A:A,MATCH(INDEX(sheet2!N:N,MATCH(A133,sheet2!A:A,0)),LEVEL_HELPER!B:B,0)),"⏳ Chưa test"))</f>
        <v>Foundation</v>
      </c>
      <c r="I133" s="47" t="str">
        <f t="array" aca="1" ref="I133" ca="1">IF(ISNA(MATCH(A133,sheet2!A:A,0)),H133,IF(INDEX(sheet2!O:O,MATCH(A133,sheet2!A:A,0))&gt;0,IFERROR(INDEX(LEVEL_HELPER!A:A,MATCH(INDEX(sheet2!O:O,MATCH(A133,sheet2!A:A,0)),LEVEL_HELPER!B:B,0)),H133),H133))</f>
        <v>Foundation</v>
      </c>
      <c r="J133" s="47" t="str">
        <f ca="1">IFERROR(_xludf.MAXIFS(ATTENDANCE_LOG!F:F, ATTENDANCE_LOG!C:C, A133&amp;"", ATTENDANCE_LOG!G:G, "Present"), "")</f>
        <v/>
      </c>
      <c r="K133" s="48" t="str">
        <f t="shared" ca="1" si="0"/>
        <v/>
      </c>
      <c r="L133" s="49" t="str">
        <f t="shared" ca="1" si="1"/>
        <v/>
      </c>
      <c r="M133" s="36"/>
      <c r="N133" s="50"/>
      <c r="O133" s="36"/>
      <c r="P133" s="36"/>
      <c r="Q133" s="36"/>
      <c r="R133" s="36"/>
      <c r="S133" s="36"/>
      <c r="T133" s="36"/>
      <c r="U133" s="36"/>
      <c r="V133" s="36"/>
      <c r="W133" s="59"/>
      <c r="X133" s="59"/>
      <c r="Y133" s="59"/>
    </row>
    <row r="134" spans="1:25" ht="15.75" customHeight="1">
      <c r="A134" s="42" t="s">
        <v>409</v>
      </c>
      <c r="B134" s="43" t="s">
        <v>410</v>
      </c>
      <c r="C134" s="44" t="str">
        <f ca="1">IFERROR(__xludf.DUMMYFUNCTION("arrayformula(VLOOKUP(to_Text(A134),to_Text(sheet2!$A$1:M1002),13,0))"),"CHORUS")</f>
        <v>CHORUS</v>
      </c>
      <c r="D134" s="45" t="str">
        <f ca="1">IFERROR(__xludf.DUMMYFUNCTION("arrayformula(VLOOKUP(to_Text(A134),to_Text(sheet2!$A$1:M1002),12,0))"),"QC")</f>
        <v>QC</v>
      </c>
      <c r="E134" s="43" t="str">
        <f t="shared" ca="1" si="17"/>
        <v>Active</v>
      </c>
      <c r="F134" s="42" t="str">
        <f t="array" aca="1" ref="F134" ca="1">IFERROR(
  INDEX(ATTENDANCE_INPUT!D:D,
    MATCH(1,
      (ATTENDANCE_INPUT!A:A=A134) *
      (ATTENDANCE_INPUT!V:V=_xludf.MAXIFS(ATTENDANCE_INPUT!V:V, ATTENDANCE_INPUT!A:A, A134)),
      0)),
  "")</f>
        <v/>
      </c>
      <c r="G134" s="46" t="str">
        <f t="array" aca="1" ref="G134" ca="1">IFERROR(
  INDEX(ATTENDANCE_INPUT!E:E,
    MATCH(1,
      (ATTENDANCE_INPUT!A:A=A134) *
      (ATTENDANCE_INPUT!V:V=_xludf.MAXIFS(ATTENDANCE_INPUT!V:V, ATTENDANCE_INPUT!A:A, A134)),
      0)),
  "")</f>
        <v/>
      </c>
      <c r="H134" s="47" t="str">
        <f t="array" aca="1" ref="H134" ca="1">IF(ISNA(MATCH(A134,sheet2!A:A,0)),"⏳ Chưa test",IFERROR(INDEX(LEVEL_HELPER!A:A,MATCH(INDEX(sheet2!N:N,MATCH(A134,sheet2!A:A,0)),LEVEL_HELPER!B:B,0)),"⏳ Chưa test"))</f>
        <v>Foundation</v>
      </c>
      <c r="I134" s="47" t="str">
        <f t="array" aca="1" ref="I134" ca="1">IF(ISNA(MATCH(A134,sheet2!A:A,0)),H134,IF(INDEX(sheet2!O:O,MATCH(A134,sheet2!A:A,0))&gt;0,IFERROR(INDEX(LEVEL_HELPER!A:A,MATCH(INDEX(sheet2!O:O,MATCH(A134,sheet2!A:A,0)),LEVEL_HELPER!B:B,0)),H134),H134))</f>
        <v>Foundation</v>
      </c>
      <c r="J134" s="47" t="str">
        <f ca="1">IFERROR(_xludf.MAXIFS(ATTENDANCE_LOG!F:F, ATTENDANCE_LOG!C:C, A134&amp;"", ATTENDANCE_LOG!G:G, "Present"), "")</f>
        <v/>
      </c>
      <c r="K134" s="48" t="str">
        <f t="shared" ca="1" si="0"/>
        <v/>
      </c>
      <c r="L134" s="49" t="str">
        <f t="shared" ca="1" si="1"/>
        <v/>
      </c>
      <c r="M134" s="36"/>
      <c r="N134" s="50"/>
      <c r="O134" s="36"/>
      <c r="P134" s="36"/>
      <c r="Q134" s="36"/>
      <c r="R134" s="36"/>
      <c r="S134" s="36"/>
      <c r="T134" s="36"/>
      <c r="U134" s="36"/>
      <c r="V134" s="36"/>
      <c r="W134" s="59"/>
      <c r="X134" s="59"/>
      <c r="Y134" s="59"/>
    </row>
    <row r="135" spans="1:25" ht="15.75" customHeight="1">
      <c r="A135" s="42" t="s">
        <v>411</v>
      </c>
      <c r="B135" s="43" t="s">
        <v>412</v>
      </c>
      <c r="C135" s="44" t="str">
        <f ca="1">IFERROR(__xludf.DUMMYFUNCTION("arrayformula(VLOOKUP(to_Text(A135),to_Text(sheet2!$A$1:M1002),13,0))"),"LBU")</f>
        <v>LBU</v>
      </c>
      <c r="D135" s="45" t="str">
        <f ca="1">IFERROR(__xludf.DUMMYFUNCTION("arrayformula(VLOOKUP(to_Text(A135),to_Text(sheet2!$A$1:M1002),12,0))"),"GSD")</f>
        <v>GSD</v>
      </c>
      <c r="E135" s="43" t="str">
        <f t="shared" ca="1" si="17"/>
        <v>Active</v>
      </c>
      <c r="F135" s="42" t="str">
        <f t="array" aca="1" ref="F135" ca="1">IFERROR(
  INDEX(ATTENDANCE_INPUT!D:D,
    MATCH(1,
      (ATTENDANCE_INPUT!A:A=A135) *
      (ATTENDANCE_INPUT!V:V=_xludf.MAXIFS(ATTENDANCE_INPUT!V:V, ATTENDANCE_INPUT!A:A, A135)),
      0)),
  "")</f>
        <v/>
      </c>
      <c r="G135" s="46" t="str">
        <f t="array" aca="1" ref="G135" ca="1">IFERROR(
  INDEX(ATTENDANCE_INPUT!E:E,
    MATCH(1,
      (ATTENDANCE_INPUT!A:A=A135) *
      (ATTENDANCE_INPUT!V:V=_xludf.MAXIFS(ATTENDANCE_INPUT!V:V, ATTENDANCE_INPUT!A:A, A135)),
      0)),
  "")</f>
        <v/>
      </c>
      <c r="H135" s="47" t="str">
        <f t="array" aca="1" ref="H135" ca="1">IF(ISNA(MATCH(A135,sheet2!A:A,0)),"⏳ Chưa test",IFERROR(INDEX(LEVEL_HELPER!A:A,MATCH(INDEX(sheet2!N:N,MATCH(A135,sheet2!A:A,0)),LEVEL_HELPER!B:B,0)),"⏳ Chưa test"))</f>
        <v>Pre-Intermediate</v>
      </c>
      <c r="I135" s="47" t="str">
        <f t="array" aca="1" ref="I135" ca="1">IF(ISNA(MATCH(A135,sheet2!A:A,0)),H135,IF(INDEX(sheet2!O:O,MATCH(A135,sheet2!A:A,0))&gt;0,IFERROR(INDEX(LEVEL_HELPER!A:A,MATCH(INDEX(sheet2!O:O,MATCH(A135,sheet2!A:A,0)),LEVEL_HELPER!B:B,0)),H135),H135))</f>
        <v>Pre-Intermediate</v>
      </c>
      <c r="J135" s="47" t="str">
        <f ca="1">IFERROR(_xludf.MAXIFS(ATTENDANCE_LOG!F:F, ATTENDANCE_LOG!C:C, A135&amp;"", ATTENDANCE_LOG!G:G, "Present"), "")</f>
        <v/>
      </c>
      <c r="K135" s="48" t="str">
        <f t="shared" ca="1" si="0"/>
        <v/>
      </c>
      <c r="L135" s="49" t="str">
        <f t="shared" ca="1" si="1"/>
        <v/>
      </c>
      <c r="M135" s="36"/>
      <c r="N135" s="50"/>
      <c r="O135" s="36"/>
      <c r="P135" s="36"/>
      <c r="Q135" s="36"/>
      <c r="R135" s="36">
        <v>203700</v>
      </c>
      <c r="S135" s="36" t="s">
        <v>121</v>
      </c>
      <c r="T135" s="36" t="s">
        <v>122</v>
      </c>
      <c r="U135" s="36" t="e">
        <v>#N/A</v>
      </c>
      <c r="V135" s="36"/>
      <c r="W135" s="59"/>
      <c r="X135" s="59"/>
      <c r="Y135" s="59"/>
    </row>
    <row r="136" spans="1:25" ht="15.75" customHeight="1">
      <c r="A136" s="42" t="s">
        <v>413</v>
      </c>
      <c r="B136" s="43" t="s">
        <v>414</v>
      </c>
      <c r="C136" s="44" t="str">
        <f ca="1">IFERROR(__xludf.DUMMYFUNCTION("arrayformula(VLOOKUP(to_Text(A136),to_Text(sheet2!$A$1:M1002),13,0))"),"ONC")</f>
        <v>ONC</v>
      </c>
      <c r="D136" s="45" t="str">
        <f ca="1">IFERROR(__xludf.DUMMYFUNCTION("arrayformula(VLOOKUP(to_Text(A136),to_Text(sheet2!$A$1:M1002),12,0))"),"QC")</f>
        <v>QC</v>
      </c>
      <c r="E136" s="43" t="str">
        <f t="shared" ca="1" si="17"/>
        <v>Active</v>
      </c>
      <c r="F136" s="42" t="str">
        <f t="array" aca="1" ref="F136" ca="1">IFERROR(
  INDEX(ATTENDANCE_INPUT!D:D,
    MATCH(1,
      (ATTENDANCE_INPUT!A:A=A136) *
      (ATTENDANCE_INPUT!V:V=_xludf.MAXIFS(ATTENDANCE_INPUT!V:V, ATTENDANCE_INPUT!A:A, A136)),
      0)),
  "")</f>
        <v/>
      </c>
      <c r="G136" s="46" t="str">
        <f t="array" aca="1" ref="G136" ca="1">IFERROR(
  INDEX(ATTENDANCE_INPUT!E:E,
    MATCH(1,
      (ATTENDANCE_INPUT!A:A=A136) *
      (ATTENDANCE_INPUT!V:V=_xludf.MAXIFS(ATTENDANCE_INPUT!V:V, ATTENDANCE_INPUT!A:A, A136)),
      0)),
  "")</f>
        <v/>
      </c>
      <c r="H136" s="47" t="str">
        <f t="array" aca="1" ref="H136" ca="1">IF(ISNA(MATCH(A136,sheet2!A:A,0)),"⏳ Chưa test",IFERROR(INDEX(LEVEL_HELPER!A:A,MATCH(INDEX(sheet2!N:N,MATCH(A136,sheet2!A:A,0)),LEVEL_HELPER!B:B,0)),"⏳ Chưa test"))</f>
        <v>Beginner</v>
      </c>
      <c r="I136" s="47" t="str">
        <f t="array" aca="1" ref="I136" ca="1">IF(ISNA(MATCH(A136,sheet2!A:A,0)),H136,IF(INDEX(sheet2!O:O,MATCH(A136,sheet2!A:A,0))&gt;0,IFERROR(INDEX(LEVEL_HELPER!A:A,MATCH(INDEX(sheet2!O:O,MATCH(A136,sheet2!A:A,0)),LEVEL_HELPER!B:B,0)),H136),H136))</f>
        <v>Beginner</v>
      </c>
      <c r="J136" s="47" t="str">
        <f ca="1">IFERROR(_xludf.MAXIFS(ATTENDANCE_LOG!F:F, ATTENDANCE_LOG!C:C, A136&amp;"", ATTENDANCE_LOG!G:G, "Present"), "")</f>
        <v/>
      </c>
      <c r="K136" s="48" t="str">
        <f t="shared" ca="1" si="0"/>
        <v/>
      </c>
      <c r="L136" s="49" t="str">
        <f t="shared" ca="1" si="1"/>
        <v/>
      </c>
      <c r="M136" s="36"/>
      <c r="N136" s="50"/>
      <c r="O136" s="36"/>
      <c r="P136" s="36"/>
      <c r="Q136" s="36"/>
      <c r="R136" s="36"/>
      <c r="S136" s="36"/>
      <c r="T136" s="36"/>
      <c r="U136" s="36"/>
      <c r="V136" s="36"/>
      <c r="W136" s="59"/>
      <c r="X136" s="59"/>
      <c r="Y136" s="59"/>
    </row>
    <row r="137" spans="1:25" ht="15.75" customHeight="1">
      <c r="A137" s="42" t="s">
        <v>415</v>
      </c>
      <c r="B137" s="43" t="s">
        <v>416</v>
      </c>
      <c r="C137" s="44" t="str">
        <f ca="1">IFERROR(__xludf.DUMMYFUNCTION("arrayformula(VLOOKUP(to_Text(A137),to_Text(sheet2!$A$1:M1002),13,0))"),"CHORUS")</f>
        <v>CHORUS</v>
      </c>
      <c r="D137" s="45" t="str">
        <f ca="1">IFERROR(__xludf.DUMMYFUNCTION("arrayformula(VLOOKUP(to_Text(A137),to_Text(sheet2!$A$1:M1002),12,0))"),"QC")</f>
        <v>QC</v>
      </c>
      <c r="E137" s="43" t="s">
        <v>16</v>
      </c>
      <c r="F137" s="42" t="str">
        <f t="array" aca="1" ref="F137" ca="1">IFERROR(
  INDEX(ATTENDANCE_INPUT!D:D,
    MATCH(1,
      (ATTENDANCE_INPUT!A:A=A137) *
      (ATTENDANCE_INPUT!V:V=_xludf.MAXIFS(ATTENDANCE_INPUT!V:V, ATTENDANCE_INPUT!A:A, A137)),
      0)),
  "")</f>
        <v/>
      </c>
      <c r="G137" s="46" t="str">
        <f t="array" aca="1" ref="G137" ca="1">IFERROR(
  INDEX(ATTENDANCE_INPUT!E:E,
    MATCH(1,
      (ATTENDANCE_INPUT!A:A=A137) *
      (ATTENDANCE_INPUT!V:V=_xludf.MAXIFS(ATTENDANCE_INPUT!V:V, ATTENDANCE_INPUT!A:A, A137)),
      0)),
  "")</f>
        <v/>
      </c>
      <c r="H137" s="47" t="str">
        <f t="array" aca="1" ref="H137" ca="1">IF(ISNA(MATCH(A137,sheet2!A:A,0)),"⏳ Chưa test",IFERROR(INDEX(LEVEL_HELPER!A:A,MATCH(INDEX(sheet2!N:N,MATCH(A137,sheet2!A:A,0)),LEVEL_HELPER!B:B,0)),"⏳ Chưa test"))</f>
        <v>Beginner</v>
      </c>
      <c r="I137" s="47" t="str">
        <f t="array" aca="1" ref="I137" ca="1">IF(ISNA(MATCH(A137,sheet2!A:A,0)),H137,IF(INDEX(sheet2!O:O,MATCH(A137,sheet2!A:A,0))&gt;0,IFERROR(INDEX(LEVEL_HELPER!A:A,MATCH(INDEX(sheet2!O:O,MATCH(A137,sheet2!A:A,0)),LEVEL_HELPER!B:B,0)),H137),H137))</f>
        <v>Beginner</v>
      </c>
      <c r="J137" s="47" t="str">
        <f ca="1">IFERROR(_xludf.MAXIFS(ATTENDANCE_LOG!F:F, ATTENDANCE_LOG!C:C, A137&amp;"", ATTENDANCE_LOG!G:G, "Present"), "")</f>
        <v/>
      </c>
      <c r="K137" s="48" t="str">
        <f t="shared" ca="1" si="0"/>
        <v/>
      </c>
      <c r="L137" s="49" t="str">
        <f t="shared" ca="1" si="1"/>
        <v/>
      </c>
      <c r="M137" s="36" t="s">
        <v>36</v>
      </c>
      <c r="N137" s="50" t="s">
        <v>33</v>
      </c>
      <c r="O137" s="36"/>
      <c r="P137" s="36"/>
      <c r="Q137" s="36"/>
      <c r="R137" s="36">
        <v>247251</v>
      </c>
      <c r="S137" s="36" t="s">
        <v>121</v>
      </c>
      <c r="T137" s="36" t="s">
        <v>122</v>
      </c>
      <c r="U137" s="36" t="e">
        <v>#N/A</v>
      </c>
      <c r="V137" s="36"/>
      <c r="W137" s="59"/>
      <c r="X137" s="59"/>
      <c r="Y137" s="59"/>
    </row>
    <row r="138" spans="1:25" ht="15.75" customHeight="1">
      <c r="A138" s="53" t="s">
        <v>417</v>
      </c>
      <c r="B138" s="54" t="s">
        <v>418</v>
      </c>
      <c r="C138" s="44" t="str">
        <f ca="1">IFERROR(__xludf.DUMMYFUNCTION("arrayformula(VLOOKUP(to_Text(A138),to_Text(sheet2!$A$1:M1002),13,0))"),"MOC")</f>
        <v>MOC</v>
      </c>
      <c r="D138" s="45" t="str">
        <f ca="1">IFERROR(__xludf.DUMMYFUNCTION("arrayformula(VLOOKUP(to_Text(A138),to_Text(sheet2!$A$1:M1002),12,0))"),"QC")</f>
        <v>QC</v>
      </c>
      <c r="E138" s="43" t="s">
        <v>175</v>
      </c>
      <c r="F138" s="42" t="str">
        <f t="array" aca="1" ref="F138" ca="1">IFERROR(
  INDEX(ATTENDANCE_INPUT!D:D,
    MATCH(1,
      (ATTENDANCE_INPUT!A:A=A138) *
      (ATTENDANCE_INPUT!V:V=_xludf.MAXIFS(ATTENDANCE_INPUT!V:V, ATTENDANCE_INPUT!A:A, A138)),
      0)),
  "")</f>
        <v/>
      </c>
      <c r="G138" s="46" t="str">
        <f t="array" aca="1" ref="G138" ca="1">IFERROR(
  INDEX(ATTENDANCE_INPUT!E:E,
    MATCH(1,
      (ATTENDANCE_INPUT!A:A=A138) *
      (ATTENDANCE_INPUT!V:V=_xludf.MAXIFS(ATTENDANCE_INPUT!V:V, ATTENDANCE_INPUT!A:A, A138)),
      0)),
  "")</f>
        <v/>
      </c>
      <c r="H138" s="47" t="str">
        <f t="array" aca="1" ref="H138" ca="1">IF(ISNA(MATCH(A138,sheet2!A:A,0)),"⏳ Chưa test",IFERROR(INDEX(LEVEL_HELPER!A:A,MATCH(INDEX(sheet2!N:N,MATCH(A138,sheet2!A:A,0)),LEVEL_HELPER!B:B,0)),"⏳ Chưa test"))</f>
        <v>Beginner</v>
      </c>
      <c r="I138" s="47" t="str">
        <f t="array" aca="1" ref="I138" ca="1">IF(ISNA(MATCH(A138,sheet2!A:A,0)),H138,IF(INDEX(sheet2!O:O,MATCH(A138,sheet2!A:A,0))&gt;0,IFERROR(INDEX(LEVEL_HELPER!A:A,MATCH(INDEX(sheet2!O:O,MATCH(A138,sheet2!A:A,0)),LEVEL_HELPER!B:B,0)),H138),H138))</f>
        <v>Beginner</v>
      </c>
      <c r="J138" s="55" t="str">
        <f ca="1">IFERROR(_xludf.MAXIFS(ATTENDANCE_LOG!F:F, ATTENDANCE_LOG!C:C, A138&amp;"", ATTENDANCE_LOG!G:G, "Present"), "")</f>
        <v/>
      </c>
      <c r="K138" s="56" t="str">
        <f t="shared" ca="1" si="0"/>
        <v/>
      </c>
      <c r="L138" s="57" t="str">
        <f t="shared" ca="1" si="1"/>
        <v/>
      </c>
      <c r="M138" s="51"/>
      <c r="N138" s="50"/>
      <c r="O138" s="36"/>
      <c r="P138" s="36"/>
      <c r="Q138" s="36"/>
      <c r="R138" s="36">
        <v>247135</v>
      </c>
      <c r="S138" s="36" t="s">
        <v>172</v>
      </c>
      <c r="T138" s="36" t="s">
        <v>39</v>
      </c>
      <c r="U138" s="36" t="str">
        <f ca="1">IFERROR(__xludf.DUMMYFUNCTION("arrayformula(vlookup(to_text(R138),to_text($A$4:$B1125),2,0))"),"#N/A")</f>
        <v>#N/A</v>
      </c>
      <c r="V138" s="36"/>
      <c r="W138" s="37"/>
      <c r="X138" s="37"/>
      <c r="Y138" s="37"/>
    </row>
    <row r="139" spans="1:25" ht="15.75" customHeight="1">
      <c r="A139" s="42" t="s">
        <v>419</v>
      </c>
      <c r="B139" s="43" t="s">
        <v>420</v>
      </c>
      <c r="C139" s="44" t="str">
        <f ca="1">IFERROR(__xludf.DUMMYFUNCTION("arrayformula(VLOOKUP(to_Text(A139),to_Text(sheet2!$A$1:M1002),13,0))"),"LBU")</f>
        <v>LBU</v>
      </c>
      <c r="D139" s="45" t="str">
        <f ca="1">IFERROR(__xludf.DUMMYFUNCTION("arrayformula(VLOOKUP(to_Text(A139),to_Text(sheet2!$A$1:M1002),12,0))"),"DEV")</f>
        <v>DEV</v>
      </c>
      <c r="E139" s="43" t="s">
        <v>15</v>
      </c>
      <c r="F139" s="42" t="str">
        <f t="array" aca="1" ref="F139" ca="1">IFERROR(
  INDEX(ATTENDANCE_INPUT!D:D,
    MATCH(1,
      (ATTENDANCE_INPUT!A:A=A139) *
      (ATTENDANCE_INPUT!V:V=_xludf.MAXIFS(ATTENDANCE_INPUT!V:V, ATTENDANCE_INPUT!A:A, A139)),
      0)),
  "")</f>
        <v/>
      </c>
      <c r="G139" s="46" t="str">
        <f t="array" aca="1" ref="G139" ca="1">IFERROR(
  INDEX(ATTENDANCE_INPUT!E:E,
    MATCH(1,
      (ATTENDANCE_INPUT!A:A=A139) *
      (ATTENDANCE_INPUT!V:V=_xludf.MAXIFS(ATTENDANCE_INPUT!V:V, ATTENDANCE_INPUT!A:A, A139)),
      0)),
  "")</f>
        <v/>
      </c>
      <c r="H139" s="47" t="str">
        <f t="array" aca="1" ref="H139" ca="1">IF(ISNA(MATCH(A139,sheet2!A:A,0)),"⏳ Chưa test",IFERROR(INDEX(LEVEL_HELPER!A:A,MATCH(INDEX(sheet2!N:N,MATCH(A139,sheet2!A:A,0)),LEVEL_HELPER!B:B,0)),"⏳ Chưa test"))</f>
        <v>Beginner</v>
      </c>
      <c r="I139" s="47" t="str">
        <f t="array" aca="1" ref="I139" ca="1">IF(ISNA(MATCH(A139,sheet2!A:A,0)),H139,IF(INDEX(sheet2!O:O,MATCH(A139,sheet2!A:A,0))&gt;0,IFERROR(INDEX(LEVEL_HELPER!A:A,MATCH(INDEX(sheet2!O:O,MATCH(A139,sheet2!A:A,0)),LEVEL_HELPER!B:B,0)),H139),H139))</f>
        <v>Beginner</v>
      </c>
      <c r="J139" s="47" t="str">
        <f ca="1">IFERROR(_xludf.MAXIFS(ATTENDANCE_LOG!F:F, ATTENDANCE_LOG!C:C, A139&amp;"", ATTENDANCE_LOG!G:G, "Present"), "")</f>
        <v/>
      </c>
      <c r="K139" s="48" t="str">
        <f t="shared" ca="1" si="0"/>
        <v/>
      </c>
      <c r="L139" s="49" t="str">
        <f t="shared" ca="1" si="1"/>
        <v/>
      </c>
      <c r="M139" s="36"/>
      <c r="N139" s="50"/>
      <c r="O139" s="36"/>
      <c r="P139" s="36"/>
      <c r="Q139" s="36"/>
      <c r="R139" s="36"/>
      <c r="S139" s="36"/>
      <c r="T139" s="36"/>
      <c r="U139" s="36"/>
      <c r="V139" s="36"/>
      <c r="W139" s="59"/>
      <c r="X139" s="59"/>
      <c r="Y139" s="59"/>
    </row>
    <row r="140" spans="1:25" ht="15.75" customHeight="1">
      <c r="A140" s="42" t="s">
        <v>421</v>
      </c>
      <c r="B140" s="43" t="s">
        <v>422</v>
      </c>
      <c r="C140" s="44" t="str">
        <f ca="1">IFERROR(__xludf.DUMMYFUNCTION("arrayformula(VLOOKUP(to_Text(A140),to_Text(sheet2!$A$1:M1002),13,0))"),"LBU")</f>
        <v>LBU</v>
      </c>
      <c r="D140" s="45" t="str">
        <f ca="1">IFERROR(__xludf.DUMMYFUNCTION("arrayformula(VLOOKUP(to_Text(A140),to_Text(sheet2!$A$1:M1002),12,0))"),"GSD")</f>
        <v>GSD</v>
      </c>
      <c r="E140" s="43" t="str">
        <f ca="1">IF(L140="⚠ Possibly Dropped","Inactive","Active")</f>
        <v>Active</v>
      </c>
      <c r="F140" s="42" t="str">
        <f t="array" aca="1" ref="F140" ca="1">IFERROR(
  INDEX(ATTENDANCE_INPUT!D:D,
    MATCH(1,
      (ATTENDANCE_INPUT!A:A=A140) *
      (ATTENDANCE_INPUT!V:V=_xludf.MAXIFS(ATTENDANCE_INPUT!V:V, ATTENDANCE_INPUT!A:A, A140)),
      0)),
  "")</f>
        <v/>
      </c>
      <c r="G140" s="46" t="str">
        <f t="array" aca="1" ref="G140" ca="1">IFERROR(
  INDEX(ATTENDANCE_INPUT!E:E,
    MATCH(1,
      (ATTENDANCE_INPUT!A:A=A140) *
      (ATTENDANCE_INPUT!V:V=_xludf.MAXIFS(ATTENDANCE_INPUT!V:V, ATTENDANCE_INPUT!A:A, A140)),
      0)),
  "")</f>
        <v/>
      </c>
      <c r="H140" s="47" t="str">
        <f t="array" aca="1" ref="H140" ca="1">IF(ISNA(MATCH(A140,sheet2!A:A,0)),"⏳ Chưa test",IFERROR(INDEX(LEVEL_HELPER!A:A,MATCH(INDEX(sheet2!N:N,MATCH(A140,sheet2!A:A,0)),LEVEL_HELPER!B:B,0)),"⏳ Chưa test"))</f>
        <v>Beginner</v>
      </c>
      <c r="I140" s="47" t="str">
        <f t="array" aca="1" ref="I140" ca="1">IF(ISNA(MATCH(A140,sheet2!A:A,0)),H140,IF(INDEX(sheet2!O:O,MATCH(A140,sheet2!A:A,0))&gt;0,IFERROR(INDEX(LEVEL_HELPER!A:A,MATCH(INDEX(sheet2!O:O,MATCH(A140,sheet2!A:A,0)),LEVEL_HELPER!B:B,0)),H140),H140))</f>
        <v>Beginner</v>
      </c>
      <c r="J140" s="47" t="str">
        <f ca="1">IFERROR(_xludf.MAXIFS(ATTENDANCE_LOG!F:F, ATTENDANCE_LOG!C:C, A140&amp;"", ATTENDANCE_LOG!G:G, "Present"), "")</f>
        <v/>
      </c>
      <c r="K140" s="48" t="str">
        <f t="shared" ca="1" si="0"/>
        <v/>
      </c>
      <c r="L140" s="49" t="str">
        <f t="shared" ca="1" si="1"/>
        <v/>
      </c>
      <c r="M140" s="36"/>
      <c r="N140" s="50"/>
      <c r="O140" s="36"/>
      <c r="P140" s="36"/>
      <c r="Q140" s="36"/>
      <c r="R140" s="36"/>
      <c r="S140" s="36"/>
      <c r="T140" s="36"/>
      <c r="U140" s="36"/>
      <c r="V140" s="36"/>
      <c r="W140" s="59"/>
      <c r="X140" s="59"/>
      <c r="Y140" s="59"/>
    </row>
    <row r="141" spans="1:25" ht="15.75" customHeight="1">
      <c r="A141" s="42" t="s">
        <v>423</v>
      </c>
      <c r="B141" s="43" t="s">
        <v>424</v>
      </c>
      <c r="C141" s="44" t="str">
        <f ca="1">IFERROR(__xludf.DUMMYFUNCTION("arrayformula(VLOOKUP(to_Text(A141),to_Text(sheet2!$A$1:M1002),13,0))"),"CHORUS")</f>
        <v>CHORUS</v>
      </c>
      <c r="D141" s="45" t="str">
        <f ca="1">IFERROR(__xludf.DUMMYFUNCTION("arrayformula(VLOOKUP(to_Text(A141),to_Text(sheet2!$A$1:M1002),12,0))"),"DEV")</f>
        <v>DEV</v>
      </c>
      <c r="E141" s="43" t="s">
        <v>16</v>
      </c>
      <c r="F141" s="42" t="str">
        <f t="array" aca="1" ref="F141" ca="1">IFERROR(
  INDEX(ATTENDANCE_INPUT!D:D,
    MATCH(1,
      (ATTENDANCE_INPUT!A:A=A141) *
      (ATTENDANCE_INPUT!V:V=_xludf.MAXIFS(ATTENDANCE_INPUT!V:V, ATTENDANCE_INPUT!A:A, A141)),
      0)),
  "")</f>
        <v/>
      </c>
      <c r="G141" s="46" t="str">
        <f t="array" aca="1" ref="G141" ca="1">IFERROR(
  INDEX(ATTENDANCE_INPUT!E:E,
    MATCH(1,
      (ATTENDANCE_INPUT!A:A=A141) *
      (ATTENDANCE_INPUT!V:V=_xludf.MAXIFS(ATTENDANCE_INPUT!V:V, ATTENDANCE_INPUT!A:A, A141)),
      0)),
  "")</f>
        <v/>
      </c>
      <c r="H141" s="47" t="str">
        <f t="array" aca="1" ref="H141" ca="1">IF(ISNA(MATCH(A141,sheet2!A:A,0)),"⏳ Chưa test",IFERROR(INDEX(LEVEL_HELPER!A:A,MATCH(INDEX(sheet2!N:N,MATCH(A141,sheet2!A:A,0)),LEVEL_HELPER!B:B,0)),"⏳ Chưa test"))</f>
        <v>Beginner</v>
      </c>
      <c r="I141" s="47" t="str">
        <f t="array" aca="1" ref="I141" ca="1">IF(ISNA(MATCH(A141,sheet2!A:A,0)),H141,IF(INDEX(sheet2!O:O,MATCH(A141,sheet2!A:A,0))&gt;0,IFERROR(INDEX(LEVEL_HELPER!A:A,MATCH(INDEX(sheet2!O:O,MATCH(A141,sheet2!A:A,0)),LEVEL_HELPER!B:B,0)),H141),H141))</f>
        <v>Beginner</v>
      </c>
      <c r="J141" s="47" t="str">
        <f ca="1">IFERROR(_xludf.MAXIFS(ATTENDANCE_LOG!F:F, ATTENDANCE_LOG!C:C, A141&amp;"", ATTENDANCE_LOG!G:G, "Present"), "")</f>
        <v/>
      </c>
      <c r="K141" s="48" t="str">
        <f t="shared" ca="1" si="0"/>
        <v/>
      </c>
      <c r="L141" s="49" t="str">
        <f t="shared" ca="1" si="1"/>
        <v/>
      </c>
      <c r="M141" s="36" t="s">
        <v>34</v>
      </c>
      <c r="N141" s="50" t="s">
        <v>33</v>
      </c>
      <c r="O141" s="36"/>
      <c r="P141" s="36"/>
      <c r="Q141" s="36"/>
      <c r="R141" s="36"/>
      <c r="S141" s="36"/>
      <c r="T141" s="36"/>
      <c r="U141" s="36"/>
      <c r="V141" s="36"/>
      <c r="W141" s="59"/>
      <c r="X141" s="59"/>
      <c r="Y141" s="59"/>
    </row>
    <row r="142" spans="1:25" ht="15.75" customHeight="1">
      <c r="A142" s="42" t="s">
        <v>425</v>
      </c>
      <c r="B142" s="43" t="s">
        <v>426</v>
      </c>
      <c r="C142" s="44" t="str">
        <f ca="1">IFERROR(__xludf.DUMMYFUNCTION("arrayformula(VLOOKUP(to_Text(A142),to_Text(sheet2!$A$1:M1002),13,0))"),"LBU")</f>
        <v>LBU</v>
      </c>
      <c r="D142" s="45" t="str">
        <f ca="1">IFERROR(__xludf.DUMMYFUNCTION("arrayformula(VLOOKUP(to_Text(A142),to_Text(sheet2!$A$1:M1002),12,0))"),"DEV")</f>
        <v>DEV</v>
      </c>
      <c r="E142" s="43" t="str">
        <f ca="1">IF(L142="⚠ Possibly Dropped","Inactive","Active")</f>
        <v>Active</v>
      </c>
      <c r="F142" s="42" t="str">
        <f t="array" aca="1" ref="F142" ca="1">IFERROR(
  INDEX(ATTENDANCE_INPUT!D:D,
    MATCH(1,
      (ATTENDANCE_INPUT!A:A=A142) *
      (ATTENDANCE_INPUT!V:V=_xludf.MAXIFS(ATTENDANCE_INPUT!V:V, ATTENDANCE_INPUT!A:A, A142)),
      0)),
  "")</f>
        <v/>
      </c>
      <c r="G142" s="46" t="str">
        <f t="array" aca="1" ref="G142" ca="1">IFERROR(
  INDEX(ATTENDANCE_INPUT!E:E,
    MATCH(1,
      (ATTENDANCE_INPUT!A:A=A142) *
      (ATTENDANCE_INPUT!V:V=_xludf.MAXIFS(ATTENDANCE_INPUT!V:V, ATTENDANCE_INPUT!A:A, A142)),
      0)),
  "")</f>
        <v/>
      </c>
      <c r="H142" s="47" t="str">
        <f t="array" aca="1" ref="H142" ca="1">IF(ISNA(MATCH(A142,sheet2!A:A,0)),"⏳ Chưa test",IFERROR(INDEX(LEVEL_HELPER!A:A,MATCH(INDEX(sheet2!N:N,MATCH(A142,sheet2!A:A,0)),LEVEL_HELPER!B:B,0)),"⏳ Chưa test"))</f>
        <v>Beginner</v>
      </c>
      <c r="I142" s="47" t="str">
        <f t="array" aca="1" ref="I142" ca="1">IF(ISNA(MATCH(A142,sheet2!A:A,0)),H142,IF(INDEX(sheet2!O:O,MATCH(A142,sheet2!A:A,0))&gt;0,IFERROR(INDEX(LEVEL_HELPER!A:A,MATCH(INDEX(sheet2!O:O,MATCH(A142,sheet2!A:A,0)),LEVEL_HELPER!B:B,0)),H142),H142))</f>
        <v>Beginner</v>
      </c>
      <c r="J142" s="47" t="str">
        <f ca="1">IFERROR(_xludf.MAXIFS(ATTENDANCE_LOG!F:F, ATTENDANCE_LOG!C:C, A142&amp;"", ATTENDANCE_LOG!G:G, "Present"), "")</f>
        <v/>
      </c>
      <c r="K142" s="48" t="str">
        <f t="shared" ca="1" si="0"/>
        <v/>
      </c>
      <c r="L142" s="49" t="str">
        <f t="shared" ca="1" si="1"/>
        <v/>
      </c>
      <c r="M142" s="36"/>
      <c r="N142" s="50"/>
      <c r="O142" s="36"/>
      <c r="P142" s="36"/>
      <c r="Q142" s="36"/>
      <c r="R142" s="36">
        <v>203646</v>
      </c>
      <c r="S142" s="36" t="s">
        <v>146</v>
      </c>
      <c r="T142" s="36" t="s">
        <v>33</v>
      </c>
      <c r="U142" s="36" t="str">
        <f ca="1">IFERROR(__xludf.DUMMYFUNCTION("arrayformula(vlookup(to_text(R142),to_text($A$4:$B1088),2,0))"),"#N/A")</f>
        <v>#N/A</v>
      </c>
      <c r="V142" s="36"/>
      <c r="W142" s="59"/>
      <c r="X142" s="59"/>
      <c r="Y142" s="59"/>
    </row>
    <row r="143" spans="1:25" ht="15.75" customHeight="1">
      <c r="A143" s="42" t="s">
        <v>427</v>
      </c>
      <c r="B143" s="43" t="s">
        <v>428</v>
      </c>
      <c r="C143" s="44" t="str">
        <f ca="1">IFERROR(__xludf.DUMMYFUNCTION("arrayformula(VLOOKUP(to_Text(A143),to_Text(sheet2!$A$1:M1002),13,0))"),"LBU")</f>
        <v>LBU</v>
      </c>
      <c r="D143" s="45" t="str">
        <f ca="1">IFERROR(__xludf.DUMMYFUNCTION("arrayformula(VLOOKUP(to_Text(A143),to_Text(sheet2!$A$1:M1002),12,0))"),"GSD")</f>
        <v>GSD</v>
      </c>
      <c r="E143" s="43" t="s">
        <v>16</v>
      </c>
      <c r="F143" s="42" t="str">
        <f t="array" aca="1" ref="F143" ca="1">IFERROR(
  INDEX(ATTENDANCE_INPUT!D:D,
    MATCH(1,
      (ATTENDANCE_INPUT!A:A=A143) *
      (ATTENDANCE_INPUT!V:V=_xludf.MAXIFS(ATTENDANCE_INPUT!V:V, ATTENDANCE_INPUT!A:A, A143)),
      0)),
  "")</f>
        <v/>
      </c>
      <c r="G143" s="46" t="str">
        <f t="array" aca="1" ref="G143" ca="1">IFERROR(
  INDEX(ATTENDANCE_INPUT!E:E,
    MATCH(1,
      (ATTENDANCE_INPUT!A:A=A143) *
      (ATTENDANCE_INPUT!V:V=_xludf.MAXIFS(ATTENDANCE_INPUT!V:V, ATTENDANCE_INPUT!A:A, A143)),
      0)),
  "")</f>
        <v/>
      </c>
      <c r="H143" s="47" t="str">
        <f t="array" aca="1" ref="H143" ca="1">IF(ISNA(MATCH(A143,sheet2!A:A,0)),"⏳ Chưa test",IFERROR(INDEX(LEVEL_HELPER!A:A,MATCH(INDEX(sheet2!N:N,MATCH(A143,sheet2!A:A,0)),LEVEL_HELPER!B:B,0)),"⏳ Chưa test"))</f>
        <v>Beginner</v>
      </c>
      <c r="I143" s="47" t="str">
        <f t="array" aca="1" ref="I143" ca="1">IF(ISNA(MATCH(A143,sheet2!A:A,0)),H143,IF(INDEX(sheet2!O:O,MATCH(A143,sheet2!A:A,0))&gt;0,IFERROR(INDEX(LEVEL_HELPER!A:A,MATCH(INDEX(sheet2!O:O,MATCH(A143,sheet2!A:A,0)),LEVEL_HELPER!B:B,0)),H143),H143))</f>
        <v>Beginner</v>
      </c>
      <c r="J143" s="47" t="str">
        <f ca="1">IFERROR(_xludf.MAXIFS(ATTENDANCE_LOG!F:F, ATTENDANCE_LOG!C:C, A143&amp;"", ATTENDANCE_LOG!G:G, "Present"), "")</f>
        <v/>
      </c>
      <c r="K143" s="48" t="str">
        <f t="shared" ca="1" si="0"/>
        <v/>
      </c>
      <c r="L143" s="49" t="str">
        <f t="shared" ca="1" si="1"/>
        <v/>
      </c>
      <c r="M143" s="36" t="s">
        <v>36</v>
      </c>
      <c r="N143" s="50" t="s">
        <v>33</v>
      </c>
      <c r="O143" s="36"/>
      <c r="P143" s="36"/>
      <c r="Q143" s="36"/>
      <c r="R143" s="36"/>
      <c r="S143" s="36"/>
      <c r="T143" s="36"/>
      <c r="U143" s="36"/>
      <c r="V143" s="36"/>
      <c r="W143" s="59"/>
      <c r="X143" s="59"/>
      <c r="Y143" s="59"/>
    </row>
    <row r="144" spans="1:25" ht="15.75" customHeight="1">
      <c r="A144" s="42" t="s">
        <v>429</v>
      </c>
      <c r="B144" s="43" t="s">
        <v>430</v>
      </c>
      <c r="C144" s="44" t="str">
        <f ca="1">IFERROR(__xludf.DUMMYFUNCTION("arrayformula(VLOOKUP(to_Text(A144),to_Text(sheet2!$A$1:M1002),13,0))"),"MOC")</f>
        <v>MOC</v>
      </c>
      <c r="D144" s="45" t="str">
        <f ca="1">IFERROR(__xludf.DUMMYFUNCTION("arrayformula(VLOOKUP(to_Text(A144),to_Text(sheet2!$A$1:M1002),12,0))"),"TA")</f>
        <v>TA</v>
      </c>
      <c r="E144" s="43" t="str">
        <f t="shared" ref="E144:E146" ca="1" si="18">IF(L144="⚠ Possibly Dropped","Inactive","Active")</f>
        <v>Active</v>
      </c>
      <c r="F144" s="42" t="str">
        <f t="array" aca="1" ref="F144" ca="1">IFERROR(
  INDEX(ATTENDANCE_INPUT!D:D,
    MATCH(1,
      (ATTENDANCE_INPUT!A:A=A144) *
      (ATTENDANCE_INPUT!V:V=_xludf.MAXIFS(ATTENDANCE_INPUT!V:V, ATTENDANCE_INPUT!A:A, A144)),
      0)),
  "")</f>
        <v/>
      </c>
      <c r="G144" s="46" t="str">
        <f t="array" aca="1" ref="G144" ca="1">IFERROR(
  INDEX(ATTENDANCE_INPUT!E:E,
    MATCH(1,
      (ATTENDANCE_INPUT!A:A=A144) *
      (ATTENDANCE_INPUT!V:V=_xludf.MAXIFS(ATTENDANCE_INPUT!V:V, ATTENDANCE_INPUT!A:A, A144)),
      0)),
  "")</f>
        <v/>
      </c>
      <c r="H144" s="47" t="str">
        <f t="array" aca="1" ref="H144" ca="1">IF(ISNA(MATCH(A144,sheet2!A:A,0)),"⏳ Chưa test",IFERROR(INDEX(LEVEL_HELPER!A:A,MATCH(INDEX(sheet2!N:N,MATCH(A144,sheet2!A:A,0)),LEVEL_HELPER!B:B,0)),"⏳ Chưa test"))</f>
        <v>Foundation</v>
      </c>
      <c r="I144" s="47" t="str">
        <f t="array" aca="1" ref="I144" ca="1">IF(ISNA(MATCH(A144,sheet2!A:A,0)),H144,IF(INDEX(sheet2!O:O,MATCH(A144,sheet2!A:A,0))&gt;0,IFERROR(INDEX(LEVEL_HELPER!A:A,MATCH(INDEX(sheet2!O:O,MATCH(A144,sheet2!A:A,0)),LEVEL_HELPER!B:B,0)),H144),H144))</f>
        <v>Foundation</v>
      </c>
      <c r="J144" s="47" t="str">
        <f ca="1">IFERROR(_xludf.MAXIFS(ATTENDANCE_LOG!F:F, ATTENDANCE_LOG!C:C, A144&amp;"", ATTENDANCE_LOG!G:G, "Present"), "")</f>
        <v/>
      </c>
      <c r="K144" s="48" t="str">
        <f t="shared" ca="1" si="0"/>
        <v/>
      </c>
      <c r="L144" s="49" t="str">
        <f t="shared" ca="1" si="1"/>
        <v/>
      </c>
      <c r="M144" s="36"/>
      <c r="N144" s="50"/>
      <c r="O144" s="36"/>
      <c r="P144" s="36"/>
      <c r="Q144" s="36"/>
      <c r="R144" s="36"/>
      <c r="S144" s="36"/>
      <c r="T144" s="36"/>
      <c r="U144" s="36"/>
      <c r="V144" s="36"/>
      <c r="W144" s="59"/>
      <c r="X144" s="59"/>
      <c r="Y144" s="59"/>
    </row>
    <row r="145" spans="1:25" ht="15.75" customHeight="1">
      <c r="A145" s="42" t="s">
        <v>431</v>
      </c>
      <c r="B145" s="43" t="s">
        <v>432</v>
      </c>
      <c r="C145" s="44" t="str">
        <f ca="1">IFERROR(__xludf.DUMMYFUNCTION("arrayformula(VLOOKUP(to_Text(A145),to_Text(sheet2!$A$1:M1002),13,0))"),"MOC")</f>
        <v>MOC</v>
      </c>
      <c r="D145" s="45" t="str">
        <f ca="1">IFERROR(__xludf.DUMMYFUNCTION("arrayformula(VLOOKUP(to_Text(A145),to_Text(sheet2!$A$1:M1002),12,0))"),"DEV")</f>
        <v>DEV</v>
      </c>
      <c r="E145" s="43" t="str">
        <f t="shared" ca="1" si="18"/>
        <v>Active</v>
      </c>
      <c r="F145" s="42" t="str">
        <f t="array" aca="1" ref="F145" ca="1">IFERROR(
  INDEX(ATTENDANCE_INPUT!D:D,
    MATCH(1,
      (ATTENDANCE_INPUT!A:A=A145) *
      (ATTENDANCE_INPUT!V:V=_xludf.MAXIFS(ATTENDANCE_INPUT!V:V, ATTENDANCE_INPUT!A:A, A145)),
      0)),
  "")</f>
        <v/>
      </c>
      <c r="G145" s="46" t="str">
        <f t="array" aca="1" ref="G145" ca="1">IFERROR(
  INDEX(ATTENDANCE_INPUT!E:E,
    MATCH(1,
      (ATTENDANCE_INPUT!A:A=A145) *
      (ATTENDANCE_INPUT!V:V=_xludf.MAXIFS(ATTENDANCE_INPUT!V:V, ATTENDANCE_INPUT!A:A, A145)),
      0)),
  "")</f>
        <v/>
      </c>
      <c r="H145" s="47" t="str">
        <f t="array" aca="1" ref="H145" ca="1">IF(ISNA(MATCH(A145,sheet2!A:A,0)),"⏳ Chưa test",IFERROR(INDEX(LEVEL_HELPER!A:A,MATCH(INDEX(sheet2!N:N,MATCH(A145,sheet2!A:A,0)),LEVEL_HELPER!B:B,0)),"⏳ Chưa test"))</f>
        <v>Beginner</v>
      </c>
      <c r="I145" s="47" t="str">
        <f t="array" aca="1" ref="I145" ca="1">IF(ISNA(MATCH(A145,sheet2!A:A,0)),H145,IF(INDEX(sheet2!O:O,MATCH(A145,sheet2!A:A,0))&gt;0,IFERROR(INDEX(LEVEL_HELPER!A:A,MATCH(INDEX(sheet2!O:O,MATCH(A145,sheet2!A:A,0)),LEVEL_HELPER!B:B,0)),H145),H145))</f>
        <v>Beginner</v>
      </c>
      <c r="J145" s="47" t="str">
        <f ca="1">IFERROR(_xludf.MAXIFS(ATTENDANCE_LOG!F:F, ATTENDANCE_LOG!C:C, A145&amp;"", ATTENDANCE_LOG!G:G, "Present"), "")</f>
        <v/>
      </c>
      <c r="K145" s="48" t="str">
        <f t="shared" ca="1" si="0"/>
        <v/>
      </c>
      <c r="L145" s="49" t="str">
        <f t="shared" ca="1" si="1"/>
        <v/>
      </c>
      <c r="M145" s="36"/>
      <c r="N145" s="50"/>
      <c r="O145" s="36"/>
      <c r="P145" s="36"/>
      <c r="Q145" s="36"/>
      <c r="R145" s="36">
        <v>183310</v>
      </c>
      <c r="S145" s="36" t="s">
        <v>146</v>
      </c>
      <c r="T145" s="36" t="s">
        <v>33</v>
      </c>
      <c r="U145" s="36" t="str">
        <f ca="1">IFERROR(__xludf.DUMMYFUNCTION("arrayformula(vlookup(to_text(R145),to_text($A$4:$B1090),2,0))"),"#N/A")</f>
        <v>#N/A</v>
      </c>
      <c r="V145" s="36"/>
      <c r="W145" s="59"/>
      <c r="X145" s="59"/>
      <c r="Y145" s="59"/>
    </row>
    <row r="146" spans="1:25" ht="15.75" customHeight="1">
      <c r="A146" s="42" t="s">
        <v>433</v>
      </c>
      <c r="B146" s="43" t="s">
        <v>432</v>
      </c>
      <c r="C146" s="44" t="str">
        <f ca="1">IFERROR(__xludf.DUMMYFUNCTION("arrayformula(VLOOKUP(to_Text(A146),to_Text(sheet2!$A$1:M1002),13,0))"),"LBU")</f>
        <v>LBU</v>
      </c>
      <c r="D146" s="45" t="str">
        <f ca="1">IFERROR(__xludf.DUMMYFUNCTION("arrayformula(VLOOKUP(to_Text(A146),to_Text(sheet2!$A$1:M1002),12,0))"),"GSD")</f>
        <v>GSD</v>
      </c>
      <c r="E146" s="43" t="str">
        <f t="shared" ca="1" si="18"/>
        <v>Active</v>
      </c>
      <c r="F146" s="42" t="str">
        <f t="array" aca="1" ref="F146" ca="1">IFERROR(
  INDEX(ATTENDANCE_INPUT!D:D,
    MATCH(1,
      (ATTENDANCE_INPUT!A:A=A146) *
      (ATTENDANCE_INPUT!V:V=_xludf.MAXIFS(ATTENDANCE_INPUT!V:V, ATTENDANCE_INPUT!A:A, A146)),
      0)),
  "")</f>
        <v/>
      </c>
      <c r="G146" s="46" t="str">
        <f t="array" aca="1" ref="G146" ca="1">IFERROR(
  INDEX(ATTENDANCE_INPUT!E:E,
    MATCH(1,
      (ATTENDANCE_INPUT!A:A=A146) *
      (ATTENDANCE_INPUT!V:V=_xludf.MAXIFS(ATTENDANCE_INPUT!V:V, ATTENDANCE_INPUT!A:A, A146)),
      0)),
  "")</f>
        <v/>
      </c>
      <c r="H146" s="47" t="str">
        <f t="array" aca="1" ref="H146" ca="1">IF(ISNA(MATCH(A146,sheet2!A:A,0)),"⏳ Chưa test",IFERROR(INDEX(LEVEL_HELPER!A:A,MATCH(INDEX(sheet2!N:N,MATCH(A146,sheet2!A:A,0)),LEVEL_HELPER!B:B,0)),"⏳ Chưa test"))</f>
        <v>Pre-Intermediate</v>
      </c>
      <c r="I146" s="47" t="str">
        <f t="array" aca="1" ref="I146" ca="1">IF(ISNA(MATCH(A146,sheet2!A:A,0)),H146,IF(INDEX(sheet2!O:O,MATCH(A146,sheet2!A:A,0))&gt;0,IFERROR(INDEX(LEVEL_HELPER!A:A,MATCH(INDEX(sheet2!O:O,MATCH(A146,sheet2!A:A,0)),LEVEL_HELPER!B:B,0)),H146),H146))</f>
        <v>Pre-Intermediate</v>
      </c>
      <c r="J146" s="47" t="str">
        <f ca="1">IFERROR(_xludf.MAXIFS(ATTENDANCE_LOG!F:F, ATTENDANCE_LOG!C:C, A146&amp;"", ATTENDANCE_LOG!G:G, "Present"), "")</f>
        <v/>
      </c>
      <c r="K146" s="48" t="str">
        <f t="shared" ca="1" si="0"/>
        <v/>
      </c>
      <c r="L146" s="49" t="str">
        <f t="shared" ca="1" si="1"/>
        <v/>
      </c>
      <c r="M146" s="36"/>
      <c r="N146" s="50"/>
      <c r="O146" s="36"/>
      <c r="P146" s="36"/>
      <c r="Q146" s="36"/>
      <c r="R146" s="36"/>
      <c r="S146" s="36"/>
      <c r="T146" s="36"/>
      <c r="U146" s="36"/>
      <c r="V146" s="36"/>
      <c r="W146" s="59"/>
      <c r="X146" s="59"/>
      <c r="Y146" s="59"/>
    </row>
    <row r="147" spans="1:25" ht="15.75" customHeight="1">
      <c r="A147" s="42" t="s">
        <v>434</v>
      </c>
      <c r="B147" s="43" t="s">
        <v>435</v>
      </c>
      <c r="C147" s="44" t="str">
        <f ca="1">IFERROR(__xludf.DUMMYFUNCTION("arrayformula(VLOOKUP(to_Text(A147),to_Text(sheet2!$A$1:M1002),13,0))"),"TBU")</f>
        <v>TBU</v>
      </c>
      <c r="D147" s="45" t="str">
        <f ca="1">IFERROR(__xludf.DUMMYFUNCTION("arrayformula(VLOOKUP(to_Text(A147),to_Text(sheet2!$A$1:M1002),12,0))"),"DEV")</f>
        <v>DEV</v>
      </c>
      <c r="E147" s="43" t="s">
        <v>16</v>
      </c>
      <c r="F147" s="42" t="str">
        <f t="array" aca="1" ref="F147" ca="1">IFERROR(
  INDEX(ATTENDANCE_INPUT!D:D,
    MATCH(1,
      (ATTENDANCE_INPUT!A:A=A147) *
      (ATTENDANCE_INPUT!V:V=_xludf.MAXIFS(ATTENDANCE_INPUT!V:V, ATTENDANCE_INPUT!A:A, A147)),
      0)),
  "")</f>
        <v/>
      </c>
      <c r="G147" s="46" t="str">
        <f t="array" aca="1" ref="G147" ca="1">IFERROR(
  INDEX(ATTENDANCE_INPUT!E:E,
    MATCH(1,
      (ATTENDANCE_INPUT!A:A=A147) *
      (ATTENDANCE_INPUT!V:V=_xludf.MAXIFS(ATTENDANCE_INPUT!V:V, ATTENDANCE_INPUT!A:A, A147)),
      0)),
  "")</f>
        <v/>
      </c>
      <c r="H147" s="47" t="str">
        <f t="array" aca="1" ref="H147" ca="1">IF(ISNA(MATCH(A147,sheet2!A:A,0)),"⏳ Chưa test",IFERROR(INDEX(LEVEL_HELPER!A:A,MATCH(INDEX(sheet2!N:N,MATCH(A147,sheet2!A:A,0)),LEVEL_HELPER!B:B,0)),"⏳ Chưa test"))</f>
        <v>Beginner</v>
      </c>
      <c r="I147" s="47" t="str">
        <f t="array" aca="1" ref="I147" ca="1">IF(ISNA(MATCH(A147,sheet2!A:A,0)),H147,IF(INDEX(sheet2!O:O,MATCH(A147,sheet2!A:A,0))&gt;0,IFERROR(INDEX(LEVEL_HELPER!A:A,MATCH(INDEX(sheet2!O:O,MATCH(A147,sheet2!A:A,0)),LEVEL_HELPER!B:B,0)),H147),H147))</f>
        <v>Beginner</v>
      </c>
      <c r="J147" s="47" t="str">
        <f ca="1">IFERROR(_xludf.MAXIFS(ATTENDANCE_LOG!F:F, ATTENDANCE_LOG!C:C, A147&amp;"", ATTENDANCE_LOG!G:G, "Present"), "")</f>
        <v/>
      </c>
      <c r="K147" s="48" t="str">
        <f t="shared" ca="1" si="0"/>
        <v/>
      </c>
      <c r="L147" s="49" t="str">
        <f t="shared" ca="1" si="1"/>
        <v/>
      </c>
      <c r="M147" s="36" t="s">
        <v>36</v>
      </c>
      <c r="N147" s="50" t="s">
        <v>33</v>
      </c>
      <c r="O147" s="36"/>
      <c r="P147" s="36"/>
      <c r="Q147" s="36"/>
      <c r="R147" s="36"/>
      <c r="S147" s="36"/>
      <c r="T147" s="36"/>
      <c r="U147" s="36"/>
      <c r="V147" s="36"/>
      <c r="W147" s="59"/>
      <c r="X147" s="59"/>
      <c r="Y147" s="59"/>
    </row>
    <row r="148" spans="1:25" ht="15.75" customHeight="1">
      <c r="A148" s="42" t="s">
        <v>436</v>
      </c>
      <c r="B148" s="43" t="s">
        <v>437</v>
      </c>
      <c r="C148" s="44" t="str">
        <f ca="1">IFERROR(__xludf.DUMMYFUNCTION("arrayformula(VLOOKUP(to_Text(A148),to_Text(sheet2!$A$1:M1002),13,0))"),"CHORUS")</f>
        <v>CHORUS</v>
      </c>
      <c r="D148" s="45" t="str">
        <f ca="1">IFERROR(__xludf.DUMMYFUNCTION("arrayformula(VLOOKUP(to_Text(A148),to_Text(sheet2!$A$1:M1002),12,0))"),"DEV")</f>
        <v>DEV</v>
      </c>
      <c r="E148" s="43" t="s">
        <v>16</v>
      </c>
      <c r="F148" s="42" t="str">
        <f t="array" aca="1" ref="F148" ca="1">IFERROR(
  INDEX(ATTENDANCE_INPUT!D:D,
    MATCH(1,
      (ATTENDANCE_INPUT!A:A=A148) *
      (ATTENDANCE_INPUT!V:V=_xludf.MAXIFS(ATTENDANCE_INPUT!V:V, ATTENDANCE_INPUT!A:A, A148)),
      0)),
  "")</f>
        <v/>
      </c>
      <c r="G148" s="46" t="str">
        <f t="array" aca="1" ref="G148" ca="1">IFERROR(
  INDEX(ATTENDANCE_INPUT!E:E,
    MATCH(1,
      (ATTENDANCE_INPUT!A:A=A148) *
      (ATTENDANCE_INPUT!V:V=_xludf.MAXIFS(ATTENDANCE_INPUT!V:V, ATTENDANCE_INPUT!A:A, A148)),
      0)),
  "")</f>
        <v/>
      </c>
      <c r="H148" s="47" t="str">
        <f t="array" aca="1" ref="H148" ca="1">IF(ISNA(MATCH(A148,sheet2!A:A,0)),"⏳ Chưa test",IFERROR(INDEX(LEVEL_HELPER!A:A,MATCH(INDEX(sheet2!N:N,MATCH(A148,sheet2!A:A,0)),LEVEL_HELPER!B:B,0)),"⏳ Chưa test"))</f>
        <v>Beginner</v>
      </c>
      <c r="I148" s="47" t="str">
        <f t="array" aca="1" ref="I148" ca="1">IF(ISNA(MATCH(A148,sheet2!A:A,0)),H148,IF(INDEX(sheet2!O:O,MATCH(A148,sheet2!A:A,0))&gt;0,IFERROR(INDEX(LEVEL_HELPER!A:A,MATCH(INDEX(sheet2!O:O,MATCH(A148,sheet2!A:A,0)),LEVEL_HELPER!B:B,0)),H148),H148))</f>
        <v>Beginner</v>
      </c>
      <c r="J148" s="47" t="str">
        <f ca="1">IFERROR(_xludf.MAXIFS(ATTENDANCE_LOG!F:F, ATTENDANCE_LOG!C:C, A148&amp;"", ATTENDANCE_LOG!G:G, "Present"), "")</f>
        <v/>
      </c>
      <c r="K148" s="48" t="str">
        <f t="shared" ca="1" si="0"/>
        <v/>
      </c>
      <c r="L148" s="49" t="str">
        <f t="shared" ca="1" si="1"/>
        <v/>
      </c>
      <c r="M148" s="36" t="s">
        <v>34</v>
      </c>
      <c r="N148" s="50" t="s">
        <v>37</v>
      </c>
      <c r="O148" s="36"/>
      <c r="P148" s="36"/>
      <c r="Q148" s="36"/>
      <c r="R148" s="36"/>
      <c r="S148" s="36"/>
      <c r="T148" s="36"/>
      <c r="U148" s="36"/>
      <c r="V148" s="36"/>
      <c r="W148" s="59"/>
      <c r="X148" s="59"/>
      <c r="Y148" s="59"/>
    </row>
    <row r="149" spans="1:25" ht="15.75" customHeight="1">
      <c r="A149" s="42" t="s">
        <v>438</v>
      </c>
      <c r="B149" s="43" t="s">
        <v>439</v>
      </c>
      <c r="C149" s="44" t="str">
        <f ca="1">IFERROR(__xludf.DUMMYFUNCTION("arrayformula(VLOOKUP(to_Text(A149),to_Text(sheet2!$A$1:M1002),13,0))"),"ONC")</f>
        <v>ONC</v>
      </c>
      <c r="D149" s="45" t="str">
        <f ca="1">IFERROR(__xludf.DUMMYFUNCTION("arrayformula(VLOOKUP(to_Text(A149),to_Text(sheet2!$A$1:M1002),12,0))"),"DEV")</f>
        <v>DEV</v>
      </c>
      <c r="E149" s="43" t="s">
        <v>16</v>
      </c>
      <c r="F149" s="42" t="str">
        <f t="array" aca="1" ref="F149" ca="1">IFERROR(
  INDEX(ATTENDANCE_INPUT!D:D,
    MATCH(1,
      (ATTENDANCE_INPUT!A:A=A149) *
      (ATTENDANCE_INPUT!V:V=_xludf.MAXIFS(ATTENDANCE_INPUT!V:V, ATTENDANCE_INPUT!A:A, A149)),
      0)),
  "")</f>
        <v/>
      </c>
      <c r="G149" s="46" t="str">
        <f t="array" aca="1" ref="G149" ca="1">IFERROR(
  INDEX(ATTENDANCE_INPUT!E:E,
    MATCH(1,
      (ATTENDANCE_INPUT!A:A=A149) *
      (ATTENDANCE_INPUT!V:V=_xludf.MAXIFS(ATTENDANCE_INPUT!V:V, ATTENDANCE_INPUT!A:A, A149)),
      0)),
  "")</f>
        <v/>
      </c>
      <c r="H149" s="47" t="str">
        <f t="array" aca="1" ref="H149" ca="1">IF(ISNA(MATCH(A149,sheet2!A:A,0)),"⏳ Chưa test",IFERROR(INDEX(LEVEL_HELPER!A:A,MATCH(INDEX(sheet2!N:N,MATCH(A149,sheet2!A:A,0)),LEVEL_HELPER!B:B,0)),"⏳ Chưa test"))</f>
        <v>Beginner</v>
      </c>
      <c r="I149" s="47" t="str">
        <f t="array" aca="1" ref="I149" ca="1">IF(ISNA(MATCH(A149,sheet2!A:A,0)),H149,IF(INDEX(sheet2!O:O,MATCH(A149,sheet2!A:A,0))&gt;0,IFERROR(INDEX(LEVEL_HELPER!A:A,MATCH(INDEX(sheet2!O:O,MATCH(A149,sheet2!A:A,0)),LEVEL_HELPER!B:B,0)),H149),H149))</f>
        <v>Beginner</v>
      </c>
      <c r="J149" s="47" t="str">
        <f ca="1">IFERROR(_xludf.MAXIFS(ATTENDANCE_LOG!F:F, ATTENDANCE_LOG!C:C, A149&amp;"", ATTENDANCE_LOG!G:G, "Present"), "")</f>
        <v/>
      </c>
      <c r="K149" s="48" t="str">
        <f t="shared" ca="1" si="0"/>
        <v/>
      </c>
      <c r="L149" s="49" t="str">
        <f t="shared" ca="1" si="1"/>
        <v/>
      </c>
      <c r="M149" s="36" t="s">
        <v>36</v>
      </c>
      <c r="N149" s="50" t="s">
        <v>33</v>
      </c>
      <c r="O149" s="36"/>
      <c r="P149" s="36"/>
      <c r="Q149" s="36"/>
      <c r="R149" s="36"/>
      <c r="S149" s="36"/>
      <c r="T149" s="36"/>
      <c r="U149" s="36"/>
      <c r="V149" s="36"/>
      <c r="W149" s="59"/>
      <c r="X149" s="59"/>
      <c r="Y149" s="59"/>
    </row>
    <row r="150" spans="1:25" ht="15.75" customHeight="1">
      <c r="A150" s="42" t="s">
        <v>440</v>
      </c>
      <c r="B150" s="43" t="s">
        <v>441</v>
      </c>
      <c r="C150" s="44" t="str">
        <f ca="1">IFERROR(__xludf.DUMMYFUNCTION("arrayformula(VLOOKUP(to_Text(A150),to_Text(sheet2!$A$1:M1002),13,0))"),"LBU")</f>
        <v>LBU</v>
      </c>
      <c r="D150" s="45" t="str">
        <f ca="1">IFERROR(__xludf.DUMMYFUNCTION("arrayformula(VLOOKUP(to_Text(A150),to_Text(sheet2!$A$1:M1002),12,0))"),"DEV")</f>
        <v>DEV</v>
      </c>
      <c r="E150" s="43" t="s">
        <v>16</v>
      </c>
      <c r="F150" s="42" t="str">
        <f t="array" aca="1" ref="F150" ca="1">IFERROR(
  INDEX(ATTENDANCE_INPUT!D:D,
    MATCH(1,
      (ATTENDANCE_INPUT!A:A=A150) *
      (ATTENDANCE_INPUT!V:V=_xludf.MAXIFS(ATTENDANCE_INPUT!V:V, ATTENDANCE_INPUT!A:A, A150)),
      0)),
  "")</f>
        <v/>
      </c>
      <c r="G150" s="46" t="str">
        <f t="array" aca="1" ref="G150" ca="1">IFERROR(
  INDEX(ATTENDANCE_INPUT!E:E,
    MATCH(1,
      (ATTENDANCE_INPUT!A:A=A150) *
      (ATTENDANCE_INPUT!V:V=_xludf.MAXIFS(ATTENDANCE_INPUT!V:V, ATTENDANCE_INPUT!A:A, A150)),
      0)),
  "")</f>
        <v/>
      </c>
      <c r="H150" s="47" t="str">
        <f t="array" aca="1" ref="H150" ca="1">IF(ISNA(MATCH(A150,sheet2!A:A,0)),"⏳ Chưa test",IFERROR(INDEX(LEVEL_HELPER!A:A,MATCH(INDEX(sheet2!N:N,MATCH(A150,sheet2!A:A,0)),LEVEL_HELPER!B:B,0)),"⏳ Chưa test"))</f>
        <v>Beginner</v>
      </c>
      <c r="I150" s="47" t="str">
        <f t="array" aca="1" ref="I150" ca="1">IF(ISNA(MATCH(A150,sheet2!A:A,0)),H150,IF(INDEX(sheet2!O:O,MATCH(A150,sheet2!A:A,0))&gt;0,IFERROR(INDEX(LEVEL_HELPER!A:A,MATCH(INDEX(sheet2!O:O,MATCH(A150,sheet2!A:A,0)),LEVEL_HELPER!B:B,0)),H150),H150))</f>
        <v>Beginner</v>
      </c>
      <c r="J150" s="47" t="str">
        <f ca="1">IFERROR(_xludf.MAXIFS(ATTENDANCE_LOG!F:F, ATTENDANCE_LOG!C:C, A150&amp;"", ATTENDANCE_LOG!G:G, "Present"), "")</f>
        <v/>
      </c>
      <c r="K150" s="48" t="str">
        <f t="shared" ca="1" si="0"/>
        <v/>
      </c>
      <c r="L150" s="49" t="str">
        <f t="shared" ca="1" si="1"/>
        <v/>
      </c>
      <c r="M150" s="36" t="s">
        <v>36</v>
      </c>
      <c r="N150" s="50" t="s">
        <v>33</v>
      </c>
      <c r="O150" s="36"/>
      <c r="P150" s="36"/>
      <c r="Q150" s="36"/>
      <c r="R150" s="36"/>
      <c r="S150" s="36"/>
      <c r="T150" s="36"/>
      <c r="U150" s="36"/>
      <c r="V150" s="36"/>
      <c r="W150" s="59"/>
      <c r="X150" s="59"/>
      <c r="Y150" s="59"/>
    </row>
    <row r="151" spans="1:25" ht="15.75" customHeight="1">
      <c r="A151" s="42" t="s">
        <v>442</v>
      </c>
      <c r="B151" s="43" t="s">
        <v>443</v>
      </c>
      <c r="C151" s="44" t="str">
        <f ca="1">IFERROR(__xludf.DUMMYFUNCTION("arrayformula(VLOOKUP(to_Text(A151),to_Text(sheet2!$A$1:M1002),13,0))"),"MOC")</f>
        <v>MOC</v>
      </c>
      <c r="D151" s="45" t="str">
        <f ca="1">IFERROR(__xludf.DUMMYFUNCTION("arrayformula(VLOOKUP(to_Text(A151),to_Text(sheet2!$A$1:M1002),12,0))"),"DEV")</f>
        <v>DEV</v>
      </c>
      <c r="E151" s="43" t="s">
        <v>16</v>
      </c>
      <c r="F151" s="42" t="str">
        <f t="array" aca="1" ref="F151" ca="1">IFERROR(
  INDEX(ATTENDANCE_INPUT!D:D,
    MATCH(1,
      (ATTENDANCE_INPUT!A:A=A151) *
      (ATTENDANCE_INPUT!V:V=_xludf.MAXIFS(ATTENDANCE_INPUT!V:V, ATTENDANCE_INPUT!A:A, A151)),
      0)),
  "")</f>
        <v/>
      </c>
      <c r="G151" s="46" t="str">
        <f t="array" aca="1" ref="G151" ca="1">IFERROR(
  INDEX(ATTENDANCE_INPUT!E:E,
    MATCH(1,
      (ATTENDANCE_INPUT!A:A=A151) *
      (ATTENDANCE_INPUT!V:V=_xludf.MAXIFS(ATTENDANCE_INPUT!V:V, ATTENDANCE_INPUT!A:A, A151)),
      0)),
  "")</f>
        <v/>
      </c>
      <c r="H151" s="47" t="str">
        <f t="array" aca="1" ref="H151" ca="1">IF(ISNA(MATCH(A151,sheet2!A:A,0)),"⏳ Chưa test",IFERROR(INDEX(LEVEL_HELPER!A:A,MATCH(INDEX(sheet2!N:N,MATCH(A151,sheet2!A:A,0)),LEVEL_HELPER!B:B,0)),"⏳ Chưa test"))</f>
        <v>Beginner</v>
      </c>
      <c r="I151" s="47" t="str">
        <f t="array" aca="1" ref="I151" ca="1">IF(ISNA(MATCH(A151,sheet2!A:A,0)),H151,IF(INDEX(sheet2!O:O,MATCH(A151,sheet2!A:A,0))&gt;0,IFERROR(INDEX(LEVEL_HELPER!A:A,MATCH(INDEX(sheet2!O:O,MATCH(A151,sheet2!A:A,0)),LEVEL_HELPER!B:B,0)),H151),H151))</f>
        <v>Beginner</v>
      </c>
      <c r="J151" s="47" t="str">
        <f ca="1">IFERROR(_xludf.MAXIFS(ATTENDANCE_LOG!F:F, ATTENDANCE_LOG!C:C, A151&amp;"", ATTENDANCE_LOG!G:G, "Present"), "")</f>
        <v/>
      </c>
      <c r="K151" s="48" t="str">
        <f t="shared" ca="1" si="0"/>
        <v/>
      </c>
      <c r="L151" s="49" t="str">
        <f t="shared" ca="1" si="1"/>
        <v/>
      </c>
      <c r="M151" s="36" t="s">
        <v>34</v>
      </c>
      <c r="N151" s="50" t="s">
        <v>37</v>
      </c>
      <c r="O151" s="62" t="s">
        <v>444</v>
      </c>
      <c r="P151" s="36"/>
      <c r="Q151" s="36"/>
      <c r="R151" s="36">
        <v>247311</v>
      </c>
      <c r="S151" s="36" t="s">
        <v>146</v>
      </c>
      <c r="T151" s="36" t="s">
        <v>33</v>
      </c>
      <c r="U151" s="36" t="str">
        <f ca="1">IFERROR(__xludf.DUMMYFUNCTION("arrayformula(vlookup(to_text(R151),to_text($A$4:$B1146),2,0))"),"#N/A")</f>
        <v>#N/A</v>
      </c>
      <c r="V151" s="50" t="s">
        <v>41</v>
      </c>
      <c r="W151" s="59"/>
      <c r="X151" s="59"/>
      <c r="Y151" s="59"/>
    </row>
    <row r="152" spans="1:25" ht="15.75" customHeight="1">
      <c r="A152" s="42" t="s">
        <v>445</v>
      </c>
      <c r="B152" s="43" t="s">
        <v>446</v>
      </c>
      <c r="C152" s="44" t="str">
        <f ca="1">IFERROR(__xludf.DUMMYFUNCTION("arrayformula(VLOOKUP(to_Text(A152),to_Text(sheet2!$A$1:M1002),13,0))"),"LBU")</f>
        <v>LBU</v>
      </c>
      <c r="D152" s="45" t="str">
        <f ca="1">IFERROR(__xludf.DUMMYFUNCTION("arrayformula(VLOOKUP(to_Text(A152),to_Text(sheet2!$A$1:M1002),12,0))"),"DEV")</f>
        <v>DEV</v>
      </c>
      <c r="E152" s="43" t="s">
        <v>175</v>
      </c>
      <c r="F152" s="42" t="str">
        <f t="array" aca="1" ref="F152" ca="1">IFERROR(
  INDEX(ATTENDANCE_INPUT!D:D,
    MATCH(1,
      (ATTENDANCE_INPUT!A:A=A152) *
      (ATTENDANCE_INPUT!V:V=_xludf.MAXIFS(ATTENDANCE_INPUT!V:V, ATTENDANCE_INPUT!A:A, A152)),
      0)),
  "")</f>
        <v/>
      </c>
      <c r="G152" s="46" t="str">
        <f t="array" aca="1" ref="G152" ca="1">IFERROR(
  INDEX(ATTENDANCE_INPUT!E:E,
    MATCH(1,
      (ATTENDANCE_INPUT!A:A=A152) *
      (ATTENDANCE_INPUT!V:V=_xludf.MAXIFS(ATTENDANCE_INPUT!V:V, ATTENDANCE_INPUT!A:A, A152)),
      0)),
  "")</f>
        <v/>
      </c>
      <c r="H152" s="47" t="str">
        <f t="array" aca="1" ref="H152" ca="1">IF(ISNA(MATCH(A152,sheet2!A:A,0)),"⏳ Chưa test",IFERROR(INDEX(LEVEL_HELPER!A:A,MATCH(INDEX(sheet2!N:N,MATCH(A152,sheet2!A:A,0)),LEVEL_HELPER!B:B,0)),"⏳ Chưa test"))</f>
        <v>Intermediate</v>
      </c>
      <c r="I152" s="47" t="str">
        <f t="array" aca="1" ref="I152" ca="1">IF(ISNA(MATCH(A152,sheet2!A:A,0)),H152,IF(INDEX(sheet2!O:O,MATCH(A152,sheet2!A:A,0))&gt;0,IFERROR(INDEX(LEVEL_HELPER!A:A,MATCH(INDEX(sheet2!O:O,MATCH(A152,sheet2!A:A,0)),LEVEL_HELPER!B:B,0)),H152),H152))</f>
        <v>Intermediate</v>
      </c>
      <c r="J152" s="47" t="str">
        <f ca="1">IFERROR(_xludf.MAXIFS(ATTENDANCE_LOG!F:F, ATTENDANCE_LOG!C:C, A152&amp;"", ATTENDANCE_LOG!G:G, "Present"), "")</f>
        <v/>
      </c>
      <c r="K152" s="48" t="str">
        <f t="shared" ca="1" si="0"/>
        <v/>
      </c>
      <c r="L152" s="49" t="str">
        <f t="shared" ca="1" si="1"/>
        <v/>
      </c>
      <c r="M152" s="36" t="s">
        <v>38</v>
      </c>
      <c r="N152" s="50"/>
      <c r="O152" s="51"/>
      <c r="P152" s="51"/>
      <c r="Q152" s="51"/>
      <c r="R152" s="51">
        <v>237009</v>
      </c>
      <c r="S152" s="51" t="s">
        <v>178</v>
      </c>
      <c r="T152" s="51" t="s">
        <v>179</v>
      </c>
      <c r="U152" s="51" t="e">
        <v>#N/A</v>
      </c>
      <c r="V152" s="51"/>
      <c r="W152" s="37"/>
      <c r="X152" s="37"/>
      <c r="Y152" s="37"/>
    </row>
    <row r="153" spans="1:25" ht="15.75" customHeight="1">
      <c r="A153" s="42" t="s">
        <v>447</v>
      </c>
      <c r="B153" s="43" t="s">
        <v>448</v>
      </c>
      <c r="C153" s="44" t="str">
        <f ca="1">IFERROR(__xludf.DUMMYFUNCTION("arrayformula(VLOOKUP(to_Text(A153),to_Text(sheet2!$A$1:M1002),13,0))"),"MOC")</f>
        <v>MOC</v>
      </c>
      <c r="D153" s="45" t="str">
        <f ca="1">IFERROR(__xludf.DUMMYFUNCTION("arrayformula(VLOOKUP(to_Text(A153),to_Text(sheet2!$A$1:M1002),12,0))"),"GSD")</f>
        <v>GSD</v>
      </c>
      <c r="E153" s="43" t="str">
        <f ca="1">IF(L153="⚠ Possibly Dropped","Inactive","Active")</f>
        <v>Active</v>
      </c>
      <c r="F153" s="42" t="str">
        <f t="array" aca="1" ref="F153" ca="1">IFERROR(
  INDEX(ATTENDANCE_INPUT!D:D,
    MATCH(1,
      (ATTENDANCE_INPUT!A:A=A153) *
      (ATTENDANCE_INPUT!V:V=_xludf.MAXIFS(ATTENDANCE_INPUT!V:V, ATTENDANCE_INPUT!A:A, A153)),
      0)),
  "")</f>
        <v/>
      </c>
      <c r="G153" s="46" t="str">
        <f t="array" aca="1" ref="G153" ca="1">IFERROR(
  INDEX(ATTENDANCE_INPUT!E:E,
    MATCH(1,
      (ATTENDANCE_INPUT!A:A=A153) *
      (ATTENDANCE_INPUT!V:V=_xludf.MAXIFS(ATTENDANCE_INPUT!V:V, ATTENDANCE_INPUT!A:A, A153)),
      0)),
  "")</f>
        <v/>
      </c>
      <c r="H153" s="47" t="str">
        <f t="array" aca="1" ref="H153" ca="1">IF(ISNA(MATCH(A153,sheet2!A:A,0)),"⏳ Chưa test",IFERROR(INDEX(LEVEL_HELPER!A:A,MATCH(INDEX(sheet2!N:N,MATCH(A153,sheet2!A:A,0)),LEVEL_HELPER!B:B,0)),"⏳ Chưa test"))</f>
        <v>⏳ Chưa test</v>
      </c>
      <c r="I153" s="47" t="str">
        <f t="array" aca="1" ref="I153" ca="1">IF(ISNA(MATCH(A153,sheet2!A:A,0)),H153,IF(INDEX(sheet2!O:O,MATCH(A153,sheet2!A:A,0))&gt;0,IFERROR(INDEX(LEVEL_HELPER!A:A,MATCH(INDEX(sheet2!O:O,MATCH(A153,sheet2!A:A,0)),LEVEL_HELPER!B:B,0)),H153),H153))</f>
        <v>⏳ Chưa test</v>
      </c>
      <c r="J153" s="47" t="str">
        <f ca="1">IFERROR(_xludf.MAXIFS(ATTENDANCE_LOG!F:F, ATTENDANCE_LOG!C:C, A153&amp;"", ATTENDANCE_LOG!G:G, "Present"), "")</f>
        <v/>
      </c>
      <c r="K153" s="48" t="str">
        <f t="shared" ca="1" si="0"/>
        <v/>
      </c>
      <c r="L153" s="49" t="str">
        <f t="shared" ca="1" si="1"/>
        <v/>
      </c>
      <c r="M153" s="36"/>
      <c r="N153" s="50"/>
      <c r="O153" s="36"/>
      <c r="P153" s="36"/>
      <c r="Q153" s="36"/>
      <c r="R153" s="36"/>
      <c r="S153" s="36"/>
      <c r="T153" s="36"/>
      <c r="U153" s="36"/>
      <c r="V153" s="36"/>
      <c r="W153" s="59"/>
      <c r="X153" s="59"/>
      <c r="Y153" s="59"/>
    </row>
    <row r="154" spans="1:25" ht="15.75" customHeight="1">
      <c r="A154" s="42" t="s">
        <v>449</v>
      </c>
      <c r="B154" s="43" t="s">
        <v>450</v>
      </c>
      <c r="C154" s="44" t="str">
        <f ca="1">IFERROR(__xludf.DUMMYFUNCTION("arrayformula(VLOOKUP(to_Text(A154),to_Text(sheet2!$A$1:M1002),13,0))"),"POC")</f>
        <v>POC</v>
      </c>
      <c r="D154" s="45" t="str">
        <f ca="1">IFERROR(__xludf.DUMMYFUNCTION("arrayformula(VLOOKUP(to_Text(A154),to_Text(sheet2!$A$1:M1002),12,0))"),"GSD")</f>
        <v>GSD</v>
      </c>
      <c r="E154" s="43" t="s">
        <v>16</v>
      </c>
      <c r="F154" s="42" t="str">
        <f t="array" aca="1" ref="F154" ca="1">IFERROR(
  INDEX(ATTENDANCE_INPUT!D:D,
    MATCH(1,
      (ATTENDANCE_INPUT!A:A=A154) *
      (ATTENDANCE_INPUT!V:V=_xludf.MAXIFS(ATTENDANCE_INPUT!V:V, ATTENDANCE_INPUT!A:A, A154)),
      0)),
  "")</f>
        <v/>
      </c>
      <c r="G154" s="46" t="str">
        <f t="array" aca="1" ref="G154" ca="1">IFERROR(
  INDEX(ATTENDANCE_INPUT!E:E,
    MATCH(1,
      (ATTENDANCE_INPUT!A:A=A154) *
      (ATTENDANCE_INPUT!V:V=_xludf.MAXIFS(ATTENDANCE_INPUT!V:V, ATTENDANCE_INPUT!A:A, A154)),
      0)),
  "")</f>
        <v/>
      </c>
      <c r="H154" s="47" t="str">
        <f t="array" aca="1" ref="H154" ca="1">IF(ISNA(MATCH(A154,sheet2!A:A,0)),"⏳ Chưa test",IFERROR(INDEX(LEVEL_HELPER!A:A,MATCH(INDEX(sheet2!N:N,MATCH(A154,sheet2!A:A,0)),LEVEL_HELPER!B:B,0)),"⏳ Chưa test"))</f>
        <v>Beginner</v>
      </c>
      <c r="I154" s="47" t="str">
        <f t="array" aca="1" ref="I154" ca="1">IF(ISNA(MATCH(A154,sheet2!A:A,0)),H154,IF(INDEX(sheet2!O:O,MATCH(A154,sheet2!A:A,0))&gt;0,IFERROR(INDEX(LEVEL_HELPER!A:A,MATCH(INDEX(sheet2!O:O,MATCH(A154,sheet2!A:A,0)),LEVEL_HELPER!B:B,0)),H154),H154))</f>
        <v>Beginner</v>
      </c>
      <c r="J154" s="47" t="str">
        <f ca="1">IFERROR(_xludf.MAXIFS(ATTENDANCE_LOG!F:F, ATTENDANCE_LOG!C:C, A154&amp;"", ATTENDANCE_LOG!G:G, "Present"), "")</f>
        <v/>
      </c>
      <c r="K154" s="48" t="str">
        <f t="shared" ca="1" si="0"/>
        <v/>
      </c>
      <c r="L154" s="49" t="str">
        <f t="shared" ca="1" si="1"/>
        <v/>
      </c>
      <c r="M154" s="36" t="s">
        <v>36</v>
      </c>
      <c r="N154" s="50" t="s">
        <v>33</v>
      </c>
      <c r="O154" s="36"/>
      <c r="P154" s="36"/>
      <c r="Q154" s="36"/>
      <c r="R154" s="36"/>
      <c r="S154" s="36"/>
      <c r="T154" s="36"/>
      <c r="U154" s="36"/>
      <c r="V154" s="36"/>
      <c r="W154" s="59"/>
      <c r="X154" s="59"/>
      <c r="Y154" s="59"/>
    </row>
    <row r="155" spans="1:25" ht="15.75" customHeight="1">
      <c r="A155" s="42" t="s">
        <v>451</v>
      </c>
      <c r="B155" s="43" t="s">
        <v>452</v>
      </c>
      <c r="C155" s="44" t="str">
        <f ca="1">IFERROR(__xludf.DUMMYFUNCTION("arrayformula(VLOOKUP(to_Text(A155),to_Text(sheet2!$A$1:M1002),13,0))"),"LBU")</f>
        <v>LBU</v>
      </c>
      <c r="D155" s="45" t="str">
        <f ca="1">IFERROR(__xludf.DUMMYFUNCTION("arrayformula(VLOOKUP(to_Text(A155),to_Text(sheet2!$A$1:M1002),12,0))"),"GSD")</f>
        <v>GSD</v>
      </c>
      <c r="E155" s="43" t="str">
        <f t="shared" ref="E155:E156" ca="1" si="19">IF(L155="⚠ Possibly Dropped","Inactive","Active")</f>
        <v>Active</v>
      </c>
      <c r="F155" s="42" t="str">
        <f t="array" aca="1" ref="F155" ca="1">IFERROR(
  INDEX(ATTENDANCE_INPUT!D:D,
    MATCH(1,
      (ATTENDANCE_INPUT!A:A=A155) *
      (ATTENDANCE_INPUT!V:V=_xludf.MAXIFS(ATTENDANCE_INPUT!V:V, ATTENDANCE_INPUT!A:A, A155)),
      0)),
  "")</f>
        <v/>
      </c>
      <c r="G155" s="46" t="str">
        <f t="array" aca="1" ref="G155" ca="1">IFERROR(
  INDEX(ATTENDANCE_INPUT!E:E,
    MATCH(1,
      (ATTENDANCE_INPUT!A:A=A155) *
      (ATTENDANCE_INPUT!V:V=_xludf.MAXIFS(ATTENDANCE_INPUT!V:V, ATTENDANCE_INPUT!A:A, A155)),
      0)),
  "")</f>
        <v/>
      </c>
      <c r="H155" s="47" t="str">
        <f t="array" aca="1" ref="H155" ca="1">IF(ISNA(MATCH(A155,sheet2!A:A,0)),"⏳ Chưa test",IFERROR(INDEX(LEVEL_HELPER!A:A,MATCH(INDEX(sheet2!N:N,MATCH(A155,sheet2!A:A,0)),LEVEL_HELPER!B:B,0)),"⏳ Chưa test"))</f>
        <v>Beginner</v>
      </c>
      <c r="I155" s="47" t="str">
        <f t="array" aca="1" ref="I155" ca="1">IF(ISNA(MATCH(A155,sheet2!A:A,0)),H155,IF(INDEX(sheet2!O:O,MATCH(A155,sheet2!A:A,0))&gt;0,IFERROR(INDEX(LEVEL_HELPER!A:A,MATCH(INDEX(sheet2!O:O,MATCH(A155,sheet2!A:A,0)),LEVEL_HELPER!B:B,0)),H155),H155))</f>
        <v>Beginner</v>
      </c>
      <c r="J155" s="47" t="str">
        <f ca="1">IFERROR(_xludf.MAXIFS(ATTENDANCE_LOG!F:F, ATTENDANCE_LOG!C:C, A155&amp;"", ATTENDANCE_LOG!G:G, "Present"), "")</f>
        <v/>
      </c>
      <c r="K155" s="48" t="str">
        <f t="shared" ca="1" si="0"/>
        <v/>
      </c>
      <c r="L155" s="49" t="str">
        <f t="shared" ca="1" si="1"/>
        <v/>
      </c>
      <c r="M155" s="36"/>
      <c r="N155" s="50"/>
      <c r="O155" s="36"/>
      <c r="P155" s="36"/>
      <c r="Q155" s="36"/>
      <c r="R155" s="61"/>
      <c r="S155" s="61"/>
      <c r="T155" s="61"/>
      <c r="U155" s="61"/>
      <c r="V155" s="36"/>
      <c r="W155" s="59"/>
      <c r="X155" s="59"/>
      <c r="Y155" s="59"/>
    </row>
    <row r="156" spans="1:25" ht="15.75" customHeight="1">
      <c r="A156" s="42" t="s">
        <v>453</v>
      </c>
      <c r="B156" s="43" t="s">
        <v>454</v>
      </c>
      <c r="C156" s="44" t="str">
        <f ca="1">IFERROR(__xludf.DUMMYFUNCTION("arrayformula(VLOOKUP(to_Text(A156),to_Text(sheet2!$A$1:M1002),13,0))"),"MOC")</f>
        <v>MOC</v>
      </c>
      <c r="D156" s="45" t="str">
        <f ca="1">IFERROR(__xludf.DUMMYFUNCTION("arrayformula(VLOOKUP(to_Text(A156),to_Text(sheet2!$A$1:M1002),12,0))"),"DEV")</f>
        <v>DEV</v>
      </c>
      <c r="E156" s="43" t="str">
        <f t="shared" ca="1" si="19"/>
        <v>Active</v>
      </c>
      <c r="F156" s="42" t="str">
        <f t="array" aca="1" ref="F156" ca="1">IFERROR(
  INDEX(ATTENDANCE_INPUT!D:D,
    MATCH(1,
      (ATTENDANCE_INPUT!A:A=A156) *
      (ATTENDANCE_INPUT!V:V=_xludf.MAXIFS(ATTENDANCE_INPUT!V:V, ATTENDANCE_INPUT!A:A, A156)),
      0)),
  "")</f>
        <v/>
      </c>
      <c r="G156" s="46" t="str">
        <f t="array" aca="1" ref="G156" ca="1">IFERROR(
  INDEX(ATTENDANCE_INPUT!E:E,
    MATCH(1,
      (ATTENDANCE_INPUT!A:A=A156) *
      (ATTENDANCE_INPUT!V:V=_xludf.MAXIFS(ATTENDANCE_INPUT!V:V, ATTENDANCE_INPUT!A:A, A156)),
      0)),
  "")</f>
        <v/>
      </c>
      <c r="H156" s="47" t="str">
        <f t="array" aca="1" ref="H156" ca="1">IF(ISNA(MATCH(A156,sheet2!A:A,0)),"⏳ Chưa test",IFERROR(INDEX(LEVEL_HELPER!A:A,MATCH(INDEX(sheet2!N:N,MATCH(A156,sheet2!A:A,0)),LEVEL_HELPER!B:B,0)),"⏳ Chưa test"))</f>
        <v>Beginner</v>
      </c>
      <c r="I156" s="47" t="str">
        <f t="array" aca="1" ref="I156" ca="1">IF(ISNA(MATCH(A156,sheet2!A:A,0)),H156,IF(INDEX(sheet2!O:O,MATCH(A156,sheet2!A:A,0))&gt;0,IFERROR(INDEX(LEVEL_HELPER!A:A,MATCH(INDEX(sheet2!O:O,MATCH(A156,sheet2!A:A,0)),LEVEL_HELPER!B:B,0)),H156),H156))</f>
        <v>Beginner</v>
      </c>
      <c r="J156" s="47" t="str">
        <f ca="1">IFERROR(_xludf.MAXIFS(ATTENDANCE_LOG!F:F, ATTENDANCE_LOG!C:C, A156&amp;"", ATTENDANCE_LOG!G:G, "Present"), "")</f>
        <v/>
      </c>
      <c r="K156" s="48" t="str">
        <f t="shared" ca="1" si="0"/>
        <v/>
      </c>
      <c r="L156" s="49" t="str">
        <f t="shared" ca="1" si="1"/>
        <v/>
      </c>
      <c r="M156" s="36"/>
      <c r="N156" s="50"/>
      <c r="O156" s="36"/>
      <c r="P156" s="36"/>
      <c r="Q156" s="36"/>
      <c r="R156" s="36">
        <v>227227</v>
      </c>
      <c r="S156" s="36" t="s">
        <v>121</v>
      </c>
      <c r="T156" s="36" t="s">
        <v>122</v>
      </c>
      <c r="U156" s="36" t="str">
        <f ca="1">IFERROR(__xludf.DUMMYFUNCTION("arrayformula(vlookup(to_text(R156),to_text($A$4:$B1100),2,0))"),"#N/A")</f>
        <v>#N/A</v>
      </c>
      <c r="V156" s="36"/>
      <c r="W156" s="59"/>
      <c r="X156" s="59"/>
      <c r="Y156" s="59"/>
    </row>
    <row r="157" spans="1:25" ht="15.75" customHeight="1">
      <c r="A157" s="42" t="s">
        <v>455</v>
      </c>
      <c r="B157" s="43" t="s">
        <v>456</v>
      </c>
      <c r="C157" s="44" t="str">
        <f ca="1">IFERROR(__xludf.DUMMYFUNCTION("arrayformula(VLOOKUP(to_Text(A157),to_Text(sheet2!$A$1:M1002),13,0))"),"POC")</f>
        <v>POC</v>
      </c>
      <c r="D157" s="45" t="str">
        <f ca="1">IFERROR(__xludf.DUMMYFUNCTION("arrayformula(VLOOKUP(to_Text(A157),to_Text(sheet2!$A$1:M1002),12,0))"),"GSD")</f>
        <v>GSD</v>
      </c>
      <c r="E157" s="43" t="s">
        <v>16</v>
      </c>
      <c r="F157" s="42" t="str">
        <f t="array" aca="1" ref="F157" ca="1">IFERROR(
  INDEX(ATTENDANCE_INPUT!D:D,
    MATCH(1,
      (ATTENDANCE_INPUT!A:A=A157) *
      (ATTENDANCE_INPUT!V:V=_xludf.MAXIFS(ATTENDANCE_INPUT!V:V, ATTENDANCE_INPUT!A:A, A157)),
      0)),
  "")</f>
        <v/>
      </c>
      <c r="G157" s="46" t="str">
        <f t="array" aca="1" ref="G157" ca="1">IFERROR(
  INDEX(ATTENDANCE_INPUT!E:E,
    MATCH(1,
      (ATTENDANCE_INPUT!A:A=A157) *
      (ATTENDANCE_INPUT!V:V=_xludf.MAXIFS(ATTENDANCE_INPUT!V:V, ATTENDANCE_INPUT!A:A, A157)),
      0)),
  "")</f>
        <v/>
      </c>
      <c r="H157" s="47" t="str">
        <f t="array" aca="1" ref="H157" ca="1">IF(ISNA(MATCH(A157,sheet2!A:A,0)),"⏳ Chưa test",IFERROR(INDEX(LEVEL_HELPER!A:A,MATCH(INDEX(sheet2!N:N,MATCH(A157,sheet2!A:A,0)),LEVEL_HELPER!B:B,0)),"⏳ Chưa test"))</f>
        <v>Beginner</v>
      </c>
      <c r="I157" s="47" t="str">
        <f t="array" aca="1" ref="I157" ca="1">IF(ISNA(MATCH(A157,sheet2!A:A,0)),H157,IF(INDEX(sheet2!O:O,MATCH(A157,sheet2!A:A,0))&gt;0,IFERROR(INDEX(LEVEL_HELPER!A:A,MATCH(INDEX(sheet2!O:O,MATCH(A157,sheet2!A:A,0)),LEVEL_HELPER!B:B,0)),H157),H157))</f>
        <v>Beginner</v>
      </c>
      <c r="J157" s="47" t="str">
        <f ca="1">IFERROR(_xludf.MAXIFS(ATTENDANCE_LOG!F:F, ATTENDANCE_LOG!C:C, A157&amp;"", ATTENDANCE_LOG!G:G, "Present"), "")</f>
        <v/>
      </c>
      <c r="K157" s="48" t="str">
        <f t="shared" ca="1" si="0"/>
        <v/>
      </c>
      <c r="L157" s="49" t="str">
        <f t="shared" ca="1" si="1"/>
        <v/>
      </c>
      <c r="M157" s="36" t="s">
        <v>36</v>
      </c>
      <c r="N157" s="50" t="s">
        <v>33</v>
      </c>
      <c r="O157" s="36"/>
      <c r="P157" s="36"/>
      <c r="Q157" s="36"/>
      <c r="R157" s="36"/>
      <c r="S157" s="36"/>
      <c r="T157" s="36"/>
      <c r="U157" s="36"/>
      <c r="V157" s="36"/>
      <c r="W157" s="59"/>
      <c r="X157" s="59"/>
      <c r="Y157" s="59"/>
    </row>
    <row r="158" spans="1:25" ht="15.75" customHeight="1">
      <c r="A158" s="42" t="s">
        <v>457</v>
      </c>
      <c r="B158" s="43" t="s">
        <v>458</v>
      </c>
      <c r="C158" s="44" t="str">
        <f ca="1">IFERROR(__xludf.DUMMYFUNCTION("arrayformula(VLOOKUP(to_Text(A158),to_Text(sheet2!$A$1:M1002),13,0))"),"CHORUS")</f>
        <v>CHORUS</v>
      </c>
      <c r="D158" s="45" t="str">
        <f ca="1">IFERROR(__xludf.DUMMYFUNCTION("arrayformula(VLOOKUP(to_Text(A158),to_Text(sheet2!$A$1:M1002),12,0))"),"QC")</f>
        <v>QC</v>
      </c>
      <c r="E158" s="43" t="str">
        <f t="shared" ref="E158:E159" ca="1" si="20">IF(L158="⚠ Possibly Dropped","Inactive","Active")</f>
        <v>Active</v>
      </c>
      <c r="F158" s="42" t="str">
        <f t="array" aca="1" ref="F158" ca="1">IFERROR(
  INDEX(ATTENDANCE_INPUT!D:D,
    MATCH(1,
      (ATTENDANCE_INPUT!A:A=A158) *
      (ATTENDANCE_INPUT!V:V=_xludf.MAXIFS(ATTENDANCE_INPUT!V:V, ATTENDANCE_INPUT!A:A, A158)),
      0)),
  "")</f>
        <v/>
      </c>
      <c r="G158" s="46" t="str">
        <f t="array" aca="1" ref="G158" ca="1">IFERROR(
  INDEX(ATTENDANCE_INPUT!E:E,
    MATCH(1,
      (ATTENDANCE_INPUT!A:A=A158) *
      (ATTENDANCE_INPUT!V:V=_xludf.MAXIFS(ATTENDANCE_INPUT!V:V, ATTENDANCE_INPUT!A:A, A158)),
      0)),
  "")</f>
        <v/>
      </c>
      <c r="H158" s="47" t="str">
        <f t="array" aca="1" ref="H158" ca="1">IF(ISNA(MATCH(A158,sheet2!A:A,0)),"⏳ Chưa test",IFERROR(INDEX(LEVEL_HELPER!A:A,MATCH(INDEX(sheet2!N:N,MATCH(A158,sheet2!A:A,0)),LEVEL_HELPER!B:B,0)),"⏳ Chưa test"))</f>
        <v>Pre-Intermediate</v>
      </c>
      <c r="I158" s="47" t="str">
        <f t="array" aca="1" ref="I158" ca="1">IF(ISNA(MATCH(A158,sheet2!A:A,0)),H158,IF(INDEX(sheet2!O:O,MATCH(A158,sheet2!A:A,0))&gt;0,IFERROR(INDEX(LEVEL_HELPER!A:A,MATCH(INDEX(sheet2!O:O,MATCH(A158,sheet2!A:A,0)),LEVEL_HELPER!B:B,0)),H158),H158))</f>
        <v>Pre-Intermediate</v>
      </c>
      <c r="J158" s="47" t="str">
        <f ca="1">IFERROR(_xludf.MAXIFS(ATTENDANCE_LOG!F:F, ATTENDANCE_LOG!C:C, A158&amp;"", ATTENDANCE_LOG!G:G, "Present"), "")</f>
        <v/>
      </c>
      <c r="K158" s="48" t="str">
        <f t="shared" ca="1" si="0"/>
        <v/>
      </c>
      <c r="L158" s="49" t="str">
        <f t="shared" ca="1" si="1"/>
        <v/>
      </c>
      <c r="M158" s="36" t="s">
        <v>34</v>
      </c>
      <c r="N158" s="50" t="s">
        <v>33</v>
      </c>
      <c r="O158" s="36"/>
      <c r="P158" s="36"/>
      <c r="Q158" s="36"/>
      <c r="R158" s="36"/>
      <c r="S158" s="36"/>
      <c r="T158" s="36"/>
      <c r="U158" s="36"/>
      <c r="V158" s="36"/>
      <c r="W158" s="59"/>
      <c r="X158" s="59"/>
      <c r="Y158" s="59"/>
    </row>
    <row r="159" spans="1:25" ht="15.75" customHeight="1">
      <c r="A159" s="42" t="s">
        <v>459</v>
      </c>
      <c r="B159" s="43" t="s">
        <v>460</v>
      </c>
      <c r="C159" s="44" t="str">
        <f ca="1">IFERROR(__xludf.DUMMYFUNCTION("arrayformula(VLOOKUP(to_Text(A159),to_Text(sheet2!$A$1:M1002),13,0))"),"POC")</f>
        <v>POC</v>
      </c>
      <c r="D159" s="45" t="str">
        <f ca="1">IFERROR(__xludf.DUMMYFUNCTION("arrayformula(VLOOKUP(to_Text(A159),to_Text(sheet2!$A$1:M1002),12,0))"),"GSD")</f>
        <v>GSD</v>
      </c>
      <c r="E159" s="43" t="str">
        <f t="shared" ca="1" si="20"/>
        <v>Active</v>
      </c>
      <c r="F159" s="42" t="str">
        <f t="array" aca="1" ref="F159" ca="1">IFERROR(
  INDEX(ATTENDANCE_INPUT!D:D,
    MATCH(1,
      (ATTENDANCE_INPUT!A:A=A159) *
      (ATTENDANCE_INPUT!V:V=_xludf.MAXIFS(ATTENDANCE_INPUT!V:V, ATTENDANCE_INPUT!A:A, A159)),
      0)),
  "")</f>
        <v/>
      </c>
      <c r="G159" s="46" t="str">
        <f t="array" aca="1" ref="G159" ca="1">IFERROR(
  INDEX(ATTENDANCE_INPUT!E:E,
    MATCH(1,
      (ATTENDANCE_INPUT!A:A=A159) *
      (ATTENDANCE_INPUT!V:V=_xludf.MAXIFS(ATTENDANCE_INPUT!V:V, ATTENDANCE_INPUT!A:A, A159)),
      0)),
  "")</f>
        <v/>
      </c>
      <c r="H159" s="47" t="str">
        <f t="array" aca="1" ref="H159" ca="1">IF(ISNA(MATCH(A159,sheet2!A:A,0)),"⏳ Chưa test",IFERROR(INDEX(LEVEL_HELPER!A:A,MATCH(INDEX(sheet2!N:N,MATCH(A159,sheet2!A:A,0)),LEVEL_HELPER!B:B,0)),"⏳ Chưa test"))</f>
        <v>Beginner</v>
      </c>
      <c r="I159" s="47" t="str">
        <f t="array" aca="1" ref="I159" ca="1">IF(ISNA(MATCH(A159,sheet2!A:A,0)),H159,IF(INDEX(sheet2!O:O,MATCH(A159,sheet2!A:A,0))&gt;0,IFERROR(INDEX(LEVEL_HELPER!A:A,MATCH(INDEX(sheet2!O:O,MATCH(A159,sheet2!A:A,0)),LEVEL_HELPER!B:B,0)),H159),H159))</f>
        <v>Beginner</v>
      </c>
      <c r="J159" s="47" t="str">
        <f ca="1">IFERROR(_xludf.MAXIFS(ATTENDANCE_LOG!F:F, ATTENDANCE_LOG!C:C, A159&amp;"", ATTENDANCE_LOG!G:G, "Present"), "")</f>
        <v/>
      </c>
      <c r="K159" s="48" t="str">
        <f t="shared" ca="1" si="0"/>
        <v/>
      </c>
      <c r="L159" s="49" t="str">
        <f t="shared" ca="1" si="1"/>
        <v/>
      </c>
      <c r="M159" s="36"/>
      <c r="N159" s="50"/>
      <c r="O159" s="36"/>
      <c r="P159" s="36"/>
      <c r="Q159" s="36"/>
      <c r="R159" s="36"/>
      <c r="S159" s="36"/>
      <c r="T159" s="36"/>
      <c r="U159" s="36"/>
      <c r="V159" s="36"/>
      <c r="W159" s="59"/>
      <c r="X159" s="59"/>
      <c r="Y159" s="59"/>
    </row>
    <row r="160" spans="1:25" ht="15.75" customHeight="1">
      <c r="A160" s="42" t="s">
        <v>461</v>
      </c>
      <c r="B160" s="43" t="s">
        <v>462</v>
      </c>
      <c r="C160" s="44" t="str">
        <f ca="1">IFERROR(__xludf.DUMMYFUNCTION("arrayformula(VLOOKUP(to_Text(A160),to_Text(sheet2!$A$1:M1002),13,0))"),"LBU")</f>
        <v>LBU</v>
      </c>
      <c r="D160" s="45" t="str">
        <f ca="1">IFERROR(__xludf.DUMMYFUNCTION("arrayformula(VLOOKUP(to_Text(A160),to_Text(sheet2!$A$1:M1002),12,0))"),"QC")</f>
        <v>QC</v>
      </c>
      <c r="E160" s="43" t="s">
        <v>16</v>
      </c>
      <c r="F160" s="42" t="str">
        <f t="array" aca="1" ref="F160" ca="1">IFERROR(
  INDEX(ATTENDANCE_INPUT!D:D,
    MATCH(1,
      (ATTENDANCE_INPUT!A:A=A160) *
      (ATTENDANCE_INPUT!V:V=_xludf.MAXIFS(ATTENDANCE_INPUT!V:V, ATTENDANCE_INPUT!A:A, A160)),
      0)),
  "")</f>
        <v/>
      </c>
      <c r="G160" s="46" t="str">
        <f t="array" aca="1" ref="G160" ca="1">IFERROR(
  INDEX(ATTENDANCE_INPUT!E:E,
    MATCH(1,
      (ATTENDANCE_INPUT!A:A=A160) *
      (ATTENDANCE_INPUT!V:V=_xludf.MAXIFS(ATTENDANCE_INPUT!V:V, ATTENDANCE_INPUT!A:A, A160)),
      0)),
  "")</f>
        <v/>
      </c>
      <c r="H160" s="47" t="str">
        <f t="array" aca="1" ref="H160" ca="1">IF(ISNA(MATCH(A160,sheet2!A:A,0)),"⏳ Chưa test",IFERROR(INDEX(LEVEL_HELPER!A:A,MATCH(INDEX(sheet2!N:N,MATCH(A160,sheet2!A:A,0)),LEVEL_HELPER!B:B,0)),"⏳ Chưa test"))</f>
        <v>Beginner</v>
      </c>
      <c r="I160" s="47" t="str">
        <f t="array" aca="1" ref="I160" ca="1">IF(ISNA(MATCH(A160,sheet2!A:A,0)),H160,IF(INDEX(sheet2!O:O,MATCH(A160,sheet2!A:A,0))&gt;0,IFERROR(INDEX(LEVEL_HELPER!A:A,MATCH(INDEX(sheet2!O:O,MATCH(A160,sheet2!A:A,0)),LEVEL_HELPER!B:B,0)),H160),H160))</f>
        <v>Beginner</v>
      </c>
      <c r="J160" s="47" t="str">
        <f ca="1">IFERROR(_xludf.MAXIFS(ATTENDANCE_LOG!F:F, ATTENDANCE_LOG!C:C, A160&amp;"", ATTENDANCE_LOG!G:G, "Present"), "")</f>
        <v/>
      </c>
      <c r="K160" s="48" t="str">
        <f t="shared" ca="1" si="0"/>
        <v/>
      </c>
      <c r="L160" s="49" t="str">
        <f t="shared" ca="1" si="1"/>
        <v/>
      </c>
      <c r="M160" s="36" t="s">
        <v>34</v>
      </c>
      <c r="N160" s="50" t="s">
        <v>33</v>
      </c>
      <c r="O160" s="36"/>
      <c r="P160" s="36"/>
      <c r="Q160" s="36"/>
      <c r="R160" s="36">
        <v>247278</v>
      </c>
      <c r="S160" s="36" t="s">
        <v>146</v>
      </c>
      <c r="T160" s="36" t="s">
        <v>33</v>
      </c>
      <c r="U160" s="36" t="e">
        <v>#N/A</v>
      </c>
      <c r="V160" s="36"/>
      <c r="W160" s="59"/>
      <c r="X160" s="59"/>
      <c r="Y160" s="59"/>
    </row>
    <row r="161" spans="1:25" ht="15.75" customHeight="1">
      <c r="A161" s="42" t="s">
        <v>463</v>
      </c>
      <c r="B161" s="43" t="s">
        <v>464</v>
      </c>
      <c r="C161" s="44" t="str">
        <f ca="1">IFERROR(__xludf.DUMMYFUNCTION("arrayformula(VLOOKUP(to_Text(A161),to_Text(sheet2!$A$1:M1002),13,0))"),"MOC")</f>
        <v>MOC</v>
      </c>
      <c r="D161" s="45" t="str">
        <f ca="1">IFERROR(__xludf.DUMMYFUNCTION("arrayformula(VLOOKUP(to_Text(A161),to_Text(sheet2!$A$1:M1002),12,0))"),"QC")</f>
        <v>QC</v>
      </c>
      <c r="E161" s="43" t="s">
        <v>16</v>
      </c>
      <c r="F161" s="42" t="str">
        <f t="array" aca="1" ref="F161" ca="1">IFERROR(
  INDEX(ATTENDANCE_INPUT!D:D,
    MATCH(1,
      (ATTENDANCE_INPUT!A:A=A161) *
      (ATTENDANCE_INPUT!V:V=_xludf.MAXIFS(ATTENDANCE_INPUT!V:V, ATTENDANCE_INPUT!A:A, A161)),
      0)),
  "")</f>
        <v/>
      </c>
      <c r="G161" s="46" t="str">
        <f t="array" aca="1" ref="G161" ca="1">IFERROR(
  INDEX(ATTENDANCE_INPUT!E:E,
    MATCH(1,
      (ATTENDANCE_INPUT!A:A=A161) *
      (ATTENDANCE_INPUT!V:V=_xludf.MAXIFS(ATTENDANCE_INPUT!V:V, ATTENDANCE_INPUT!A:A, A161)),
      0)),
  "")</f>
        <v/>
      </c>
      <c r="H161" s="47" t="str">
        <f t="array" aca="1" ref="H161" ca="1">IF(ISNA(MATCH(A161,sheet2!A:A,0)),"⏳ Chưa test",IFERROR(INDEX(LEVEL_HELPER!A:A,MATCH(INDEX(sheet2!N:N,MATCH(A161,sheet2!A:A,0)),LEVEL_HELPER!B:B,0)),"⏳ Chưa test"))</f>
        <v>Beginner 2</v>
      </c>
      <c r="I161" s="47" t="str">
        <f t="array" aca="1" ref="I161" ca="1">IF(ISNA(MATCH(A161,sheet2!A:A,0)),H161,IF(INDEX(sheet2!O:O,MATCH(A161,sheet2!A:A,0))&gt;0,IFERROR(INDEX(LEVEL_HELPER!A:A,MATCH(INDEX(sheet2!O:O,MATCH(A161,sheet2!A:A,0)),LEVEL_HELPER!B:B,0)),H161),H161))</f>
        <v>Beginner 2</v>
      </c>
      <c r="J161" s="47" t="str">
        <f ca="1">IFERROR(_xludf.MAXIFS(ATTENDANCE_LOG!F:F, ATTENDANCE_LOG!C:C, A161&amp;"", ATTENDANCE_LOG!G:G, "Present"), "")</f>
        <v/>
      </c>
      <c r="K161" s="48" t="str">
        <f t="shared" ca="1" si="0"/>
        <v/>
      </c>
      <c r="L161" s="49" t="str">
        <f t="shared" ca="1" si="1"/>
        <v/>
      </c>
      <c r="M161" s="36" t="s">
        <v>34</v>
      </c>
      <c r="N161" s="50" t="s">
        <v>37</v>
      </c>
      <c r="O161" s="36"/>
      <c r="P161" s="36"/>
      <c r="Q161" s="36"/>
      <c r="R161" s="36">
        <v>247324</v>
      </c>
      <c r="S161" s="36" t="s">
        <v>327</v>
      </c>
      <c r="T161" s="36" t="s">
        <v>327</v>
      </c>
      <c r="U161" s="36" t="str">
        <f ca="1">IFERROR(__xludf.DUMMYFUNCTION("arrayformula(vlookup(to_text(R161),to_text($A$4:$B1155),2,0))"),"#N/A")</f>
        <v>#N/A</v>
      </c>
      <c r="V161" s="50" t="s">
        <v>465</v>
      </c>
      <c r="W161" s="59"/>
      <c r="X161" s="59"/>
      <c r="Y161" s="59"/>
    </row>
    <row r="162" spans="1:25" ht="15.75" customHeight="1">
      <c r="A162" s="42" t="s">
        <v>466</v>
      </c>
      <c r="B162" s="43" t="s">
        <v>467</v>
      </c>
      <c r="C162" s="44" t="str">
        <f ca="1">IFERROR(__xludf.DUMMYFUNCTION("arrayformula(VLOOKUP(to_Text(A162),to_Text(sheet2!$A$1:M1002),13,0))"),"LBU")</f>
        <v>LBU</v>
      </c>
      <c r="D162" s="45" t="str">
        <f ca="1">IFERROR(__xludf.DUMMYFUNCTION("arrayformula(VLOOKUP(to_Text(A162),to_Text(sheet2!$A$1:M1002),12,0))"),"GSD")</f>
        <v>GSD</v>
      </c>
      <c r="E162" s="43" t="str">
        <f t="shared" ref="E162:E164" ca="1" si="21">IF(L162="⚠ Possibly Dropped","Inactive","Active")</f>
        <v>Active</v>
      </c>
      <c r="F162" s="42" t="str">
        <f t="array" aca="1" ref="F162" ca="1">IFERROR(
  INDEX(ATTENDANCE_INPUT!D:D,
    MATCH(1,
      (ATTENDANCE_INPUT!A:A=A162) *
      (ATTENDANCE_INPUT!V:V=_xludf.MAXIFS(ATTENDANCE_INPUT!V:V, ATTENDANCE_INPUT!A:A, A162)),
      0)),
  "")</f>
        <v/>
      </c>
      <c r="G162" s="46" t="str">
        <f t="array" aca="1" ref="G162" ca="1">IFERROR(
  INDEX(ATTENDANCE_INPUT!E:E,
    MATCH(1,
      (ATTENDANCE_INPUT!A:A=A162) *
      (ATTENDANCE_INPUT!V:V=_xludf.MAXIFS(ATTENDANCE_INPUT!V:V, ATTENDANCE_INPUT!A:A, A162)),
      0)),
  "")</f>
        <v/>
      </c>
      <c r="H162" s="47" t="str">
        <f t="array" aca="1" ref="H162" ca="1">IF(ISNA(MATCH(A162,sheet2!A:A,0)),"⏳ Chưa test",IFERROR(INDEX(LEVEL_HELPER!A:A,MATCH(INDEX(sheet2!N:N,MATCH(A162,sheet2!A:A,0)),LEVEL_HELPER!B:B,0)),"⏳ Chưa test"))</f>
        <v>Beginner</v>
      </c>
      <c r="I162" s="47" t="str">
        <f t="array" aca="1" ref="I162" ca="1">IF(ISNA(MATCH(A162,sheet2!A:A,0)),H162,IF(INDEX(sheet2!O:O,MATCH(A162,sheet2!A:A,0))&gt;0,IFERROR(INDEX(LEVEL_HELPER!A:A,MATCH(INDEX(sheet2!O:O,MATCH(A162,sheet2!A:A,0)),LEVEL_HELPER!B:B,0)),H162),H162))</f>
        <v>Beginner</v>
      </c>
      <c r="J162" s="47" t="str">
        <f ca="1">IFERROR(_xludf.MAXIFS(ATTENDANCE_LOG!F:F, ATTENDANCE_LOG!C:C, A162&amp;"", ATTENDANCE_LOG!G:G, "Present"), "")</f>
        <v/>
      </c>
      <c r="K162" s="48" t="str">
        <f t="shared" ca="1" si="0"/>
        <v/>
      </c>
      <c r="L162" s="49" t="str">
        <f t="shared" ca="1" si="1"/>
        <v/>
      </c>
      <c r="M162" s="36"/>
      <c r="N162" s="50"/>
      <c r="O162" s="36"/>
      <c r="P162" s="36"/>
      <c r="Q162" s="36"/>
      <c r="R162" s="61"/>
      <c r="S162" s="61"/>
      <c r="T162" s="61"/>
      <c r="U162" s="61"/>
      <c r="V162" s="36"/>
      <c r="W162" s="59"/>
      <c r="X162" s="59"/>
      <c r="Y162" s="59"/>
    </row>
    <row r="163" spans="1:25" ht="15.75" customHeight="1">
      <c r="A163" s="42" t="s">
        <v>468</v>
      </c>
      <c r="B163" s="43" t="s">
        <v>469</v>
      </c>
      <c r="C163" s="44" t="str">
        <f ca="1">IFERROR(__xludf.DUMMYFUNCTION("arrayformula(VLOOKUP(to_Text(A163),to_Text(sheet2!$A$1:M1002),13,0))"),"POC")</f>
        <v>POC</v>
      </c>
      <c r="D163" s="45" t="str">
        <f ca="1">IFERROR(__xludf.DUMMYFUNCTION("arrayformula(VLOOKUP(to_Text(A163),to_Text(sheet2!$A$1:M1002),12,0))"),"GSD")</f>
        <v>GSD</v>
      </c>
      <c r="E163" s="43" t="str">
        <f t="shared" ca="1" si="21"/>
        <v>Active</v>
      </c>
      <c r="F163" s="42" t="str">
        <f t="array" aca="1" ref="F163" ca="1">IFERROR(
  INDEX(ATTENDANCE_INPUT!D:D,
    MATCH(1,
      (ATTENDANCE_INPUT!A:A=A163) *
      (ATTENDANCE_INPUT!V:V=_xludf.MAXIFS(ATTENDANCE_INPUT!V:V, ATTENDANCE_INPUT!A:A, A163)),
      0)),
  "")</f>
        <v/>
      </c>
      <c r="G163" s="46" t="str">
        <f t="array" aca="1" ref="G163" ca="1">IFERROR(
  INDEX(ATTENDANCE_INPUT!E:E,
    MATCH(1,
      (ATTENDANCE_INPUT!A:A=A163) *
      (ATTENDANCE_INPUT!V:V=_xludf.MAXIFS(ATTENDANCE_INPUT!V:V, ATTENDANCE_INPUT!A:A, A163)),
      0)),
  "")</f>
        <v/>
      </c>
      <c r="H163" s="47" t="str">
        <f t="array" aca="1" ref="H163" ca="1">IF(ISNA(MATCH(A163,sheet2!A:A,0)),"⏳ Chưa test",IFERROR(INDEX(LEVEL_HELPER!A:A,MATCH(INDEX(sheet2!N:N,MATCH(A163,sheet2!A:A,0)),LEVEL_HELPER!B:B,0)),"⏳ Chưa test"))</f>
        <v>Foundation</v>
      </c>
      <c r="I163" s="47" t="str">
        <f t="array" aca="1" ref="I163" ca="1">IF(ISNA(MATCH(A163,sheet2!A:A,0)),H163,IF(INDEX(sheet2!O:O,MATCH(A163,sheet2!A:A,0))&gt;0,IFERROR(INDEX(LEVEL_HELPER!A:A,MATCH(INDEX(sheet2!O:O,MATCH(A163,sheet2!A:A,0)),LEVEL_HELPER!B:B,0)),H163),H163))</f>
        <v>Foundation</v>
      </c>
      <c r="J163" s="47" t="str">
        <f ca="1">IFERROR(_xludf.MAXIFS(ATTENDANCE_LOG!F:F, ATTENDANCE_LOG!C:C, A163&amp;"", ATTENDANCE_LOG!G:G, "Present"), "")</f>
        <v/>
      </c>
      <c r="K163" s="48" t="str">
        <f t="shared" ca="1" si="0"/>
        <v/>
      </c>
      <c r="L163" s="49" t="str">
        <f t="shared" ca="1" si="1"/>
        <v/>
      </c>
      <c r="M163" s="36"/>
      <c r="N163" s="50"/>
      <c r="O163" s="36"/>
      <c r="P163" s="36"/>
      <c r="Q163" s="36"/>
      <c r="R163" s="36"/>
      <c r="S163" s="36"/>
      <c r="T163" s="36"/>
      <c r="U163" s="36"/>
      <c r="V163" s="36"/>
      <c r="W163" s="59"/>
      <c r="X163" s="59"/>
      <c r="Y163" s="59"/>
    </row>
    <row r="164" spans="1:25" ht="15.75" customHeight="1">
      <c r="A164" s="42" t="s">
        <v>470</v>
      </c>
      <c r="B164" s="43" t="s">
        <v>471</v>
      </c>
      <c r="C164" s="44" t="str">
        <f ca="1">IFERROR(__xludf.DUMMYFUNCTION("arrayformula(VLOOKUP(to_Text(A164),to_Text(sheet2!$A$1:M1002),13,0))"),"TBU")</f>
        <v>TBU</v>
      </c>
      <c r="D164" s="45" t="str">
        <f ca="1">IFERROR(__xludf.DUMMYFUNCTION("arrayformula(VLOOKUP(to_Text(A164),to_Text(sheet2!$A$1:M1002),12,0))"),"GSD")</f>
        <v>GSD</v>
      </c>
      <c r="E164" s="43" t="str">
        <f t="shared" ca="1" si="21"/>
        <v>Active</v>
      </c>
      <c r="F164" s="42" t="str">
        <f t="array" aca="1" ref="F164" ca="1">IFERROR(
  INDEX(ATTENDANCE_INPUT!D:D,
    MATCH(1,
      (ATTENDANCE_INPUT!A:A=A164) *
      (ATTENDANCE_INPUT!V:V=_xludf.MAXIFS(ATTENDANCE_INPUT!V:V, ATTENDANCE_INPUT!A:A, A164)),
      0)),
  "")</f>
        <v/>
      </c>
      <c r="G164" s="46" t="str">
        <f t="array" aca="1" ref="G164" ca="1">IFERROR(
  INDEX(ATTENDANCE_INPUT!E:E,
    MATCH(1,
      (ATTENDANCE_INPUT!A:A=A164) *
      (ATTENDANCE_INPUT!V:V=_xludf.MAXIFS(ATTENDANCE_INPUT!V:V, ATTENDANCE_INPUT!A:A, A164)),
      0)),
  "")</f>
        <v/>
      </c>
      <c r="H164" s="47" t="str">
        <f t="array" aca="1" ref="H164" ca="1">IF(ISNA(MATCH(A164,sheet2!A:A,0)),"⏳ Chưa test",IFERROR(INDEX(LEVEL_HELPER!A:A,MATCH(INDEX(sheet2!N:N,MATCH(A164,sheet2!A:A,0)),LEVEL_HELPER!B:B,0)),"⏳ Chưa test"))</f>
        <v>Foundation</v>
      </c>
      <c r="I164" s="47" t="str">
        <f t="array" aca="1" ref="I164" ca="1">IF(ISNA(MATCH(A164,sheet2!A:A,0)),H164,IF(INDEX(sheet2!O:O,MATCH(A164,sheet2!A:A,0))&gt;0,IFERROR(INDEX(LEVEL_HELPER!A:A,MATCH(INDEX(sheet2!O:O,MATCH(A164,sheet2!A:A,0)),LEVEL_HELPER!B:B,0)),H164),H164))</f>
        <v>Foundation</v>
      </c>
      <c r="J164" s="47" t="str">
        <f ca="1">IFERROR(_xludf.MAXIFS(ATTENDANCE_LOG!F:F, ATTENDANCE_LOG!C:C, A164&amp;"", ATTENDANCE_LOG!G:G, "Present"), "")</f>
        <v/>
      </c>
      <c r="K164" s="48" t="str">
        <f t="shared" ca="1" si="0"/>
        <v/>
      </c>
      <c r="L164" s="49" t="str">
        <f t="shared" ca="1" si="1"/>
        <v/>
      </c>
      <c r="M164" s="36"/>
      <c r="N164" s="50"/>
      <c r="O164" s="36"/>
      <c r="P164" s="36"/>
      <c r="Q164" s="36"/>
      <c r="R164" s="36"/>
      <c r="S164" s="36"/>
      <c r="T164" s="36"/>
      <c r="U164" s="36"/>
      <c r="V164" s="36"/>
      <c r="W164" s="59"/>
      <c r="X164" s="59"/>
      <c r="Y164" s="59"/>
    </row>
    <row r="165" spans="1:25" ht="15.75" customHeight="1">
      <c r="A165" s="42" t="s">
        <v>472</v>
      </c>
      <c r="B165" s="43" t="s">
        <v>473</v>
      </c>
      <c r="C165" s="44" t="str">
        <f ca="1">IFERROR(__xludf.DUMMYFUNCTION("arrayformula(VLOOKUP(to_Text(A165),to_Text(sheet2!$A$1:M1002),13,0))"),"LBU")</f>
        <v>LBU</v>
      </c>
      <c r="D165" s="45" t="str">
        <f ca="1">IFERROR(__xludf.DUMMYFUNCTION("arrayformula(VLOOKUP(to_Text(A165),to_Text(sheet2!$A$1:M1002),12,0))"),"QC")</f>
        <v>QC</v>
      </c>
      <c r="E165" s="43" t="s">
        <v>16</v>
      </c>
      <c r="F165" s="42" t="str">
        <f t="array" aca="1" ref="F165" ca="1">IFERROR(
  INDEX(ATTENDANCE_INPUT!D:D,
    MATCH(1,
      (ATTENDANCE_INPUT!A:A=A165) *
      (ATTENDANCE_INPUT!V:V=_xludf.MAXIFS(ATTENDANCE_INPUT!V:V, ATTENDANCE_INPUT!A:A, A165)),
      0)),
  "")</f>
        <v/>
      </c>
      <c r="G165" s="46" t="str">
        <f t="array" aca="1" ref="G165" ca="1">IFERROR(
  INDEX(ATTENDANCE_INPUT!E:E,
    MATCH(1,
      (ATTENDANCE_INPUT!A:A=A165) *
      (ATTENDANCE_INPUT!V:V=_xludf.MAXIFS(ATTENDANCE_INPUT!V:V, ATTENDANCE_INPUT!A:A, A165)),
      0)),
  "")</f>
        <v/>
      </c>
      <c r="H165" s="47" t="str">
        <f t="array" aca="1" ref="H165" ca="1">IF(ISNA(MATCH(A165,sheet2!A:A,0)),"⏳ Chưa test",IFERROR(INDEX(LEVEL_HELPER!A:A,MATCH(INDEX(sheet2!N:N,MATCH(A165,sheet2!A:A,0)),LEVEL_HELPER!B:B,0)),"⏳ Chưa test"))</f>
        <v>Beginner</v>
      </c>
      <c r="I165" s="47" t="str">
        <f t="array" aca="1" ref="I165" ca="1">IF(ISNA(MATCH(A165,sheet2!A:A,0)),H165,IF(INDEX(sheet2!O:O,MATCH(A165,sheet2!A:A,0))&gt;0,IFERROR(INDEX(LEVEL_HELPER!A:A,MATCH(INDEX(sheet2!O:O,MATCH(A165,sheet2!A:A,0)),LEVEL_HELPER!B:B,0)),H165),H165))</f>
        <v>Beginner</v>
      </c>
      <c r="J165" s="47" t="str">
        <f ca="1">IFERROR(_xludf.MAXIFS(ATTENDANCE_LOG!F:F, ATTENDANCE_LOG!C:C, A165&amp;"", ATTENDANCE_LOG!G:G, "Present"), "")</f>
        <v/>
      </c>
      <c r="K165" s="48" t="str">
        <f t="shared" ca="1" si="0"/>
        <v/>
      </c>
      <c r="L165" s="49" t="str">
        <f t="shared" ca="1" si="1"/>
        <v/>
      </c>
      <c r="M165" s="36" t="s">
        <v>34</v>
      </c>
      <c r="N165" s="50" t="s">
        <v>33</v>
      </c>
      <c r="O165" s="36"/>
      <c r="P165" s="36"/>
      <c r="Q165" s="36"/>
      <c r="R165" s="36"/>
      <c r="S165" s="36"/>
      <c r="T165" s="36"/>
      <c r="U165" s="36"/>
      <c r="V165" s="36"/>
      <c r="W165" s="59"/>
      <c r="X165" s="59"/>
      <c r="Y165" s="59"/>
    </row>
    <row r="166" spans="1:25" ht="15.75" customHeight="1">
      <c r="A166" s="42" t="s">
        <v>474</v>
      </c>
      <c r="B166" s="43" t="s">
        <v>475</v>
      </c>
      <c r="C166" s="44" t="str">
        <f ca="1">IFERROR(__xludf.DUMMYFUNCTION("arrayformula(VLOOKUP(to_Text(A166),to_Text(sheet2!$A$1:M1002),13,0))"),"POC")</f>
        <v>POC</v>
      </c>
      <c r="D166" s="45" t="str">
        <f ca="1">IFERROR(__xludf.DUMMYFUNCTION("arrayformula(VLOOKUP(to_Text(A166),to_Text(sheet2!$A$1:M1002),12,0))"),"QC")</f>
        <v>QC</v>
      </c>
      <c r="E166" s="43" t="str">
        <f ca="1">IF(L166="⚠ Possibly Dropped","Inactive","Active")</f>
        <v>Active</v>
      </c>
      <c r="F166" s="42" t="str">
        <f t="array" aca="1" ref="F166" ca="1">IFERROR(
  INDEX(ATTENDANCE_INPUT!D:D,
    MATCH(1,
      (ATTENDANCE_INPUT!A:A=A166) *
      (ATTENDANCE_INPUT!V:V=_xludf.MAXIFS(ATTENDANCE_INPUT!V:V, ATTENDANCE_INPUT!A:A, A166)),
      0)),
  "")</f>
        <v/>
      </c>
      <c r="G166" s="46" t="str">
        <f t="array" aca="1" ref="G166" ca="1">IFERROR(
  INDEX(ATTENDANCE_INPUT!E:E,
    MATCH(1,
      (ATTENDANCE_INPUT!A:A=A166) *
      (ATTENDANCE_INPUT!V:V=_xludf.MAXIFS(ATTENDANCE_INPUT!V:V, ATTENDANCE_INPUT!A:A, A166)),
      0)),
  "")</f>
        <v/>
      </c>
      <c r="H166" s="47" t="str">
        <f t="array" aca="1" ref="H166" ca="1">IF(ISNA(MATCH(A166,sheet2!A:A,0)),"⏳ Chưa test",IFERROR(INDEX(LEVEL_HELPER!A:A,MATCH(INDEX(sheet2!N:N,MATCH(A166,sheet2!A:A,0)),LEVEL_HELPER!B:B,0)),"⏳ Chưa test"))</f>
        <v>Beginner</v>
      </c>
      <c r="I166" s="47" t="str">
        <f t="array" aca="1" ref="I166" ca="1">IF(ISNA(MATCH(A166,sheet2!A:A,0)),H166,IF(INDEX(sheet2!O:O,MATCH(A166,sheet2!A:A,0))&gt;0,IFERROR(INDEX(LEVEL_HELPER!A:A,MATCH(INDEX(sheet2!O:O,MATCH(A166,sheet2!A:A,0)),LEVEL_HELPER!B:B,0)),H166),H166))</f>
        <v>Beginner</v>
      </c>
      <c r="J166" s="47" t="str">
        <f ca="1">IFERROR(_xludf.MAXIFS(ATTENDANCE_LOG!F:F, ATTENDANCE_LOG!C:C, A166&amp;"", ATTENDANCE_LOG!G:G, "Present"), "")</f>
        <v/>
      </c>
      <c r="K166" s="48" t="str">
        <f t="shared" ca="1" si="0"/>
        <v/>
      </c>
      <c r="L166" s="49" t="str">
        <f t="shared" ca="1" si="1"/>
        <v/>
      </c>
      <c r="M166" s="36"/>
      <c r="N166" s="50"/>
      <c r="O166" s="36"/>
      <c r="P166" s="36"/>
      <c r="Q166" s="36"/>
      <c r="R166" s="36">
        <v>247249</v>
      </c>
      <c r="S166" s="36" t="s">
        <v>172</v>
      </c>
      <c r="T166" s="36" t="s">
        <v>39</v>
      </c>
      <c r="U166" s="36" t="e">
        <v>#N/A</v>
      </c>
      <c r="V166" s="36"/>
      <c r="W166" s="59"/>
      <c r="X166" s="59"/>
      <c r="Y166" s="59"/>
    </row>
    <row r="167" spans="1:25" ht="15.75" customHeight="1">
      <c r="A167" s="42" t="s">
        <v>476</v>
      </c>
      <c r="B167" s="43" t="s">
        <v>477</v>
      </c>
      <c r="C167" s="44" t="str">
        <f ca="1">IFERROR(__xludf.DUMMYFUNCTION("arrayformula(VLOOKUP(to_Text(A167),to_Text(sheet2!$A$1:M1002),13,0))"),"CHORUS")</f>
        <v>CHORUS</v>
      </c>
      <c r="D167" s="45" t="str">
        <f ca="1">IFERROR(__xludf.DUMMYFUNCTION("arrayformula(VLOOKUP(to_Text(A167),to_Text(sheet2!$A$1:M1002),12,0))"),"DEV")</f>
        <v>DEV</v>
      </c>
      <c r="E167" s="43" t="s">
        <v>16</v>
      </c>
      <c r="F167" s="42" t="str">
        <f t="array" aca="1" ref="F167" ca="1">IFERROR(
  INDEX(ATTENDANCE_INPUT!D:D,
    MATCH(1,
      (ATTENDANCE_INPUT!A:A=A167) *
      (ATTENDANCE_INPUT!V:V=_xludf.MAXIFS(ATTENDANCE_INPUT!V:V, ATTENDANCE_INPUT!A:A, A167)),
      0)),
  "")</f>
        <v/>
      </c>
      <c r="G167" s="46" t="str">
        <f t="array" aca="1" ref="G167" ca="1">IFERROR(
  INDEX(ATTENDANCE_INPUT!E:E,
    MATCH(1,
      (ATTENDANCE_INPUT!A:A=A167) *
      (ATTENDANCE_INPUT!V:V=_xludf.MAXIFS(ATTENDANCE_INPUT!V:V, ATTENDANCE_INPUT!A:A, A167)),
      0)),
  "")</f>
        <v/>
      </c>
      <c r="H167" s="47" t="str">
        <f t="array" aca="1" ref="H167" ca="1">IF(ISNA(MATCH(A167,sheet2!A:A,0)),"⏳ Chưa test",IFERROR(INDEX(LEVEL_HELPER!A:A,MATCH(INDEX(sheet2!N:N,MATCH(A167,sheet2!A:A,0)),LEVEL_HELPER!B:B,0)),"⏳ Chưa test"))</f>
        <v>Beginner</v>
      </c>
      <c r="I167" s="47" t="str">
        <f t="array" aca="1" ref="I167" ca="1">IF(ISNA(MATCH(A167,sheet2!A:A,0)),H167,IF(INDEX(sheet2!O:O,MATCH(A167,sheet2!A:A,0))&gt;0,IFERROR(INDEX(LEVEL_HELPER!A:A,MATCH(INDEX(sheet2!O:O,MATCH(A167,sheet2!A:A,0)),LEVEL_HELPER!B:B,0)),H167),H167))</f>
        <v>Beginner</v>
      </c>
      <c r="J167" s="47" t="str">
        <f ca="1">IFERROR(_xludf.MAXIFS(ATTENDANCE_LOG!F:F, ATTENDANCE_LOG!C:C, A167&amp;"", ATTENDANCE_LOG!G:G, "Present"), "")</f>
        <v/>
      </c>
      <c r="K167" s="48" t="str">
        <f t="shared" ca="1" si="0"/>
        <v/>
      </c>
      <c r="L167" s="49" t="str">
        <f t="shared" ca="1" si="1"/>
        <v/>
      </c>
      <c r="M167" s="36" t="s">
        <v>34</v>
      </c>
      <c r="N167" s="50" t="s">
        <v>37</v>
      </c>
      <c r="O167" s="36"/>
      <c r="P167" s="36"/>
      <c r="Q167" s="36"/>
      <c r="R167" s="36"/>
      <c r="S167" s="36"/>
      <c r="T167" s="36"/>
      <c r="U167" s="36"/>
      <c r="V167" s="36"/>
      <c r="W167" s="59"/>
      <c r="X167" s="59"/>
      <c r="Y167" s="59"/>
    </row>
    <row r="168" spans="1:25" ht="15.75" customHeight="1">
      <c r="A168" s="42" t="s">
        <v>478</v>
      </c>
      <c r="B168" s="43" t="s">
        <v>479</v>
      </c>
      <c r="C168" s="44" t="str">
        <f ca="1">IFERROR(__xludf.DUMMYFUNCTION("arrayformula(VLOOKUP(to_Text(A168),to_Text(sheet2!$A$1:M1002),13,0))"),"CHORUS")</f>
        <v>CHORUS</v>
      </c>
      <c r="D168" s="45" t="str">
        <f ca="1">IFERROR(__xludf.DUMMYFUNCTION("arrayformula(VLOOKUP(to_Text(A168),to_Text(sheet2!$A$1:M1002),12,0))"),"UI/UX")</f>
        <v>UI/UX</v>
      </c>
      <c r="E168" s="43" t="s">
        <v>16</v>
      </c>
      <c r="F168" s="42" t="str">
        <f t="array" aca="1" ref="F168" ca="1">IFERROR(
  INDEX(ATTENDANCE_INPUT!D:D,
    MATCH(1,
      (ATTENDANCE_INPUT!A:A=A168) *
      (ATTENDANCE_INPUT!V:V=_xludf.MAXIFS(ATTENDANCE_INPUT!V:V, ATTENDANCE_INPUT!A:A, A168)),
      0)),
  "")</f>
        <v/>
      </c>
      <c r="G168" s="46" t="str">
        <f t="array" aca="1" ref="G168" ca="1">IFERROR(
  INDEX(ATTENDANCE_INPUT!E:E,
    MATCH(1,
      (ATTENDANCE_INPUT!A:A=A168) *
      (ATTENDANCE_INPUT!V:V=_xludf.MAXIFS(ATTENDANCE_INPUT!V:V, ATTENDANCE_INPUT!A:A, A168)),
      0)),
  "")</f>
        <v/>
      </c>
      <c r="H168" s="47" t="str">
        <f t="array" aca="1" ref="H168" ca="1">IF(ISNA(MATCH(A168,sheet2!A:A,0)),"⏳ Chưa test",IFERROR(INDEX(LEVEL_HELPER!A:A,MATCH(INDEX(sheet2!N:N,MATCH(A168,sheet2!A:A,0)),LEVEL_HELPER!B:B,0)),"⏳ Chưa test"))</f>
        <v>Beginner</v>
      </c>
      <c r="I168" s="47" t="str">
        <f t="array" aca="1" ref="I168" ca="1">IF(ISNA(MATCH(A168,sheet2!A:A,0)),H168,IF(INDEX(sheet2!O:O,MATCH(A168,sheet2!A:A,0))&gt;0,IFERROR(INDEX(LEVEL_HELPER!A:A,MATCH(INDEX(sheet2!O:O,MATCH(A168,sheet2!A:A,0)),LEVEL_HELPER!B:B,0)),H168),H168))</f>
        <v>Beginner</v>
      </c>
      <c r="J168" s="47" t="str">
        <f ca="1">IFERROR(_xludf.MAXIFS(ATTENDANCE_LOG!F:F, ATTENDANCE_LOG!C:C, A168&amp;"", ATTENDANCE_LOG!G:G, "Present"), "")</f>
        <v/>
      </c>
      <c r="K168" s="48" t="str">
        <f t="shared" ca="1" si="0"/>
        <v/>
      </c>
      <c r="L168" s="49" t="str">
        <f t="shared" ca="1" si="1"/>
        <v/>
      </c>
      <c r="M168" s="36" t="s">
        <v>36</v>
      </c>
      <c r="N168" s="50" t="s">
        <v>33</v>
      </c>
      <c r="O168" s="36" t="s">
        <v>236</v>
      </c>
      <c r="P168" s="36"/>
      <c r="Q168" s="36"/>
      <c r="R168" s="36"/>
      <c r="S168" s="36"/>
      <c r="T168" s="36"/>
      <c r="U168" s="36"/>
      <c r="V168" s="36"/>
      <c r="W168" s="59"/>
      <c r="X168" s="59"/>
      <c r="Y168" s="59"/>
    </row>
    <row r="169" spans="1:25" ht="15.75" customHeight="1">
      <c r="A169" s="42" t="s">
        <v>480</v>
      </c>
      <c r="B169" s="43" t="s">
        <v>481</v>
      </c>
      <c r="C169" s="44" t="str">
        <f ca="1">IFERROR(__xludf.DUMMYFUNCTION("arrayformula(VLOOKUP(to_Text(A169),to_Text(sheet2!$A$1:M1002),13,0))"),"BSG")</f>
        <v>BSG</v>
      </c>
      <c r="D169" s="45" t="str">
        <f ca="1">IFERROR(__xludf.DUMMYFUNCTION("arrayformula(VLOOKUP(to_Text(A169),to_Text(sheet2!$A$1:M1002),12,0))"),"HR")</f>
        <v>HR</v>
      </c>
      <c r="E169" s="43" t="s">
        <v>16</v>
      </c>
      <c r="F169" s="42" t="str">
        <f t="array" aca="1" ref="F169" ca="1">IFERROR(
  INDEX(ATTENDANCE_INPUT!D:D,
    MATCH(1,
      (ATTENDANCE_INPUT!A:A=A169) *
      (ATTENDANCE_INPUT!V:V=_xludf.MAXIFS(ATTENDANCE_INPUT!V:V, ATTENDANCE_INPUT!A:A, A169)),
      0)),
  "")</f>
        <v/>
      </c>
      <c r="G169" s="46" t="str">
        <f t="array" aca="1" ref="G169" ca="1">IFERROR(
  INDEX(ATTENDANCE_INPUT!E:E,
    MATCH(1,
      (ATTENDANCE_INPUT!A:A=A169) *
      (ATTENDANCE_INPUT!V:V=_xludf.MAXIFS(ATTENDANCE_INPUT!V:V, ATTENDANCE_INPUT!A:A, A169)),
      0)),
  "")</f>
        <v/>
      </c>
      <c r="H169" s="47" t="str">
        <f t="array" aca="1" ref="H169" ca="1">IF(ISNA(MATCH(A169,sheet2!A:A,0)),"⏳ Chưa test",IFERROR(INDEX(LEVEL_HELPER!A:A,MATCH(INDEX(sheet2!N:N,MATCH(A169,sheet2!A:A,0)),LEVEL_HELPER!B:B,0)),"⏳ Chưa test"))</f>
        <v>Beginner</v>
      </c>
      <c r="I169" s="47" t="str">
        <f t="array" aca="1" ref="I169" ca="1">IF(ISNA(MATCH(A169,sheet2!A:A,0)),H169,IF(INDEX(sheet2!O:O,MATCH(A169,sheet2!A:A,0))&gt;0,IFERROR(INDEX(LEVEL_HELPER!A:A,MATCH(INDEX(sheet2!O:O,MATCH(A169,sheet2!A:A,0)),LEVEL_HELPER!B:B,0)),H169),H169))</f>
        <v>Beginner</v>
      </c>
      <c r="J169" s="47" t="str">
        <f ca="1">IFERROR(_xludf.MAXIFS(ATTENDANCE_LOG!F:F, ATTENDANCE_LOG!C:C, A169&amp;"", ATTENDANCE_LOG!G:G, "Present"), "")</f>
        <v/>
      </c>
      <c r="K169" s="48" t="str">
        <f t="shared" ca="1" si="0"/>
        <v/>
      </c>
      <c r="L169" s="49" t="str">
        <f t="shared" ca="1" si="1"/>
        <v/>
      </c>
      <c r="M169" s="36" t="s">
        <v>34</v>
      </c>
      <c r="N169" s="50" t="s">
        <v>35</v>
      </c>
      <c r="O169" s="36"/>
      <c r="P169" s="36"/>
      <c r="Q169" s="36"/>
      <c r="R169" s="36"/>
      <c r="S169" s="36"/>
      <c r="T169" s="36"/>
      <c r="U169" s="36"/>
      <c r="V169" s="36"/>
      <c r="W169" s="59"/>
      <c r="X169" s="59"/>
      <c r="Y169" s="59"/>
    </row>
    <row r="170" spans="1:25" ht="15.75" customHeight="1">
      <c r="A170" s="53" t="s">
        <v>482</v>
      </c>
      <c r="B170" s="54" t="s">
        <v>483</v>
      </c>
      <c r="C170" s="44" t="str">
        <f ca="1">IFERROR(__xludf.DUMMYFUNCTION("arrayformula(VLOOKUP(to_Text(A170),to_Text(sheet2!$A$1:M1002),13,0))"),"TBU")</f>
        <v>TBU</v>
      </c>
      <c r="D170" s="45" t="str">
        <f ca="1">IFERROR(__xludf.DUMMYFUNCTION("arrayformula(VLOOKUP(to_Text(A170),to_Text(sheet2!$A$1:M1002),12,0))"),"QC")</f>
        <v>QC</v>
      </c>
      <c r="E170" s="43" t="s">
        <v>175</v>
      </c>
      <c r="F170" s="42" t="str">
        <f t="array" aca="1" ref="F170" ca="1">IFERROR(
  INDEX(ATTENDANCE_INPUT!D:D,
    MATCH(1,
      (ATTENDANCE_INPUT!A:A=A170) *
      (ATTENDANCE_INPUT!V:V=_xludf.MAXIFS(ATTENDANCE_INPUT!V:V, ATTENDANCE_INPUT!A:A, A170)),
      0)),
  "")</f>
        <v/>
      </c>
      <c r="G170" s="46" t="str">
        <f t="array" aca="1" ref="G170" ca="1">IFERROR(
  INDEX(ATTENDANCE_INPUT!E:E,
    MATCH(1,
      (ATTENDANCE_INPUT!A:A=A170) *
      (ATTENDANCE_INPUT!V:V=_xludf.MAXIFS(ATTENDANCE_INPUT!V:V, ATTENDANCE_INPUT!A:A, A170)),
      0)),
  "")</f>
        <v/>
      </c>
      <c r="H170" s="47" t="str">
        <f t="array" aca="1" ref="H170" ca="1">IF(ISNA(MATCH(A170,sheet2!A:A,0)),"⏳ Chưa test",IFERROR(INDEX(LEVEL_HELPER!A:A,MATCH(INDEX(sheet2!N:N,MATCH(A170,sheet2!A:A,0)),LEVEL_HELPER!B:B,0)),"⏳ Chưa test"))</f>
        <v>Pre-Intermediate</v>
      </c>
      <c r="I170" s="47" t="str">
        <f t="array" aca="1" ref="I170" ca="1">IF(ISNA(MATCH(A170,sheet2!A:A,0)),H170,IF(INDEX(sheet2!O:O,MATCH(A170,sheet2!A:A,0))&gt;0,IFERROR(INDEX(LEVEL_HELPER!A:A,MATCH(INDEX(sheet2!O:O,MATCH(A170,sheet2!A:A,0)),LEVEL_HELPER!B:B,0)),H170),H170))</f>
        <v>Pre-Intermediate</v>
      </c>
      <c r="J170" s="55" t="str">
        <f ca="1">IFERROR(_xludf.MAXIFS(ATTENDANCE_LOG!F:F, ATTENDANCE_LOG!C:C, A170&amp;"", ATTENDANCE_LOG!G:G, "Present"), "")</f>
        <v/>
      </c>
      <c r="K170" s="56" t="str">
        <f t="shared" ca="1" si="0"/>
        <v/>
      </c>
      <c r="L170" s="57" t="str">
        <f t="shared" ca="1" si="1"/>
        <v/>
      </c>
      <c r="M170" s="51" t="s">
        <v>36</v>
      </c>
      <c r="N170" s="50" t="s">
        <v>42</v>
      </c>
      <c r="O170" s="36"/>
      <c r="P170" s="36"/>
      <c r="Q170" s="36"/>
      <c r="R170" s="36">
        <v>237037</v>
      </c>
      <c r="S170" s="36" t="s">
        <v>178</v>
      </c>
      <c r="T170" s="36" t="s">
        <v>179</v>
      </c>
      <c r="U170" s="36" t="e">
        <v>#N/A</v>
      </c>
      <c r="V170" s="36"/>
      <c r="W170" s="37"/>
      <c r="X170" s="37"/>
      <c r="Y170" s="37"/>
    </row>
    <row r="171" spans="1:25" ht="15.75" customHeight="1">
      <c r="A171" s="42" t="s">
        <v>484</v>
      </c>
      <c r="B171" s="43" t="s">
        <v>485</v>
      </c>
      <c r="C171" s="44" t="str">
        <f ca="1">IFERROR(__xludf.DUMMYFUNCTION("arrayformula(VLOOKUP(to_Text(A171),to_Text(sheet2!$A$1:M1002),13,0))"),"ONC")</f>
        <v>ONC</v>
      </c>
      <c r="D171" s="45" t="str">
        <f ca="1">IFERROR(__xludf.DUMMYFUNCTION("arrayformula(VLOOKUP(to_Text(A171),to_Text(sheet2!$A$1:M1002),12,0))"),"GSD")</f>
        <v>GSD</v>
      </c>
      <c r="E171" s="43" t="s">
        <v>16</v>
      </c>
      <c r="F171" s="42" t="str">
        <f t="array" aca="1" ref="F171" ca="1">IFERROR(
  INDEX(ATTENDANCE_INPUT!D:D,
    MATCH(1,
      (ATTENDANCE_INPUT!A:A=A171) *
      (ATTENDANCE_INPUT!V:V=_xludf.MAXIFS(ATTENDANCE_INPUT!V:V, ATTENDANCE_INPUT!A:A, A171)),
      0)),
  "")</f>
        <v/>
      </c>
      <c r="G171" s="46" t="str">
        <f t="array" aca="1" ref="G171" ca="1">IFERROR(
  INDEX(ATTENDANCE_INPUT!E:E,
    MATCH(1,
      (ATTENDANCE_INPUT!A:A=A171) *
      (ATTENDANCE_INPUT!V:V=_xludf.MAXIFS(ATTENDANCE_INPUT!V:V, ATTENDANCE_INPUT!A:A, A171)),
      0)),
  "")</f>
        <v/>
      </c>
      <c r="H171" s="47" t="str">
        <f t="array" aca="1" ref="H171" ca="1">IF(ISNA(MATCH(A171,sheet2!A:A,0)),"⏳ Chưa test",IFERROR(INDEX(LEVEL_HELPER!A:A,MATCH(INDEX(sheet2!N:N,MATCH(A171,sheet2!A:A,0)),LEVEL_HELPER!B:B,0)),"⏳ Chưa test"))</f>
        <v>Pre-Intermediate</v>
      </c>
      <c r="I171" s="47" t="str">
        <f t="array" aca="1" ref="I171" ca="1">IF(ISNA(MATCH(A171,sheet2!A:A,0)),H171,IF(INDEX(sheet2!O:O,MATCH(A171,sheet2!A:A,0))&gt;0,IFERROR(INDEX(LEVEL_HELPER!A:A,MATCH(INDEX(sheet2!O:O,MATCH(A171,sheet2!A:A,0)),LEVEL_HELPER!B:B,0)),H171),H171))</f>
        <v>Pre-Intermediate</v>
      </c>
      <c r="J171" s="47" t="str">
        <f ca="1">IFERROR(_xludf.MAXIFS(ATTENDANCE_LOG!F:F, ATTENDANCE_LOG!C:C, A171&amp;"", ATTENDANCE_LOG!G:G, "Present"), "")</f>
        <v/>
      </c>
      <c r="K171" s="48" t="str">
        <f t="shared" ca="1" si="0"/>
        <v/>
      </c>
      <c r="L171" s="49" t="str">
        <f t="shared" ca="1" si="1"/>
        <v/>
      </c>
      <c r="M171" s="36" t="s">
        <v>36</v>
      </c>
      <c r="N171" s="50" t="s">
        <v>42</v>
      </c>
      <c r="O171" s="36"/>
      <c r="P171" s="36"/>
      <c r="Q171" s="36"/>
      <c r="R171" s="61"/>
      <c r="S171" s="61"/>
      <c r="T171" s="61"/>
      <c r="U171" s="61"/>
      <c r="V171" s="36"/>
      <c r="W171" s="59"/>
      <c r="X171" s="59"/>
      <c r="Y171" s="59"/>
    </row>
    <row r="172" spans="1:25" ht="15.75" customHeight="1">
      <c r="A172" s="42" t="s">
        <v>486</v>
      </c>
      <c r="B172" s="43" t="s">
        <v>487</v>
      </c>
      <c r="C172" s="44" t="str">
        <f ca="1">IFERROR(__xludf.DUMMYFUNCTION("arrayformula(VLOOKUP(to_Text(A172),to_Text(sheet2!$A$1:M1002),13,0))"),"MOC")</f>
        <v>MOC</v>
      </c>
      <c r="D172" s="45" t="str">
        <f ca="1">IFERROR(__xludf.DUMMYFUNCTION("arrayformula(VLOOKUP(to_Text(A172),to_Text(sheet2!$A$1:M1002),12,0))"),"GSD")</f>
        <v>GSD</v>
      </c>
      <c r="E172" s="43" t="str">
        <f ca="1">IF(L172="⚠ Possibly Dropped","Inactive","Active")</f>
        <v>Active</v>
      </c>
      <c r="F172" s="42" t="str">
        <f t="array" aca="1" ref="F172" ca="1">IFERROR(
  INDEX(ATTENDANCE_INPUT!D:D,
    MATCH(1,
      (ATTENDANCE_INPUT!A:A=A172) *
      (ATTENDANCE_INPUT!V:V=_xludf.MAXIFS(ATTENDANCE_INPUT!V:V, ATTENDANCE_INPUT!A:A, A172)),
      0)),
  "")</f>
        <v/>
      </c>
      <c r="G172" s="46" t="str">
        <f t="array" aca="1" ref="G172" ca="1">IFERROR(
  INDEX(ATTENDANCE_INPUT!E:E,
    MATCH(1,
      (ATTENDANCE_INPUT!A:A=A172) *
      (ATTENDANCE_INPUT!V:V=_xludf.MAXIFS(ATTENDANCE_INPUT!V:V, ATTENDANCE_INPUT!A:A, A172)),
      0)),
  "")</f>
        <v/>
      </c>
      <c r="H172" s="47" t="str">
        <f t="array" aca="1" ref="H172" ca="1">IF(ISNA(MATCH(A172,sheet2!A:A,0)),"⏳ Chưa test",IFERROR(INDEX(LEVEL_HELPER!A:A,MATCH(INDEX(sheet2!N:N,MATCH(A172,sheet2!A:A,0)),LEVEL_HELPER!B:B,0)),"⏳ Chưa test"))</f>
        <v>⏳ Chưa test</v>
      </c>
      <c r="I172" s="47" t="str">
        <f t="array" aca="1" ref="I172" ca="1">IF(ISNA(MATCH(A172,sheet2!A:A,0)),H172,IF(INDEX(sheet2!O:O,MATCH(A172,sheet2!A:A,0))&gt;0,IFERROR(INDEX(LEVEL_HELPER!A:A,MATCH(INDEX(sheet2!O:O,MATCH(A172,sheet2!A:A,0)),LEVEL_HELPER!B:B,0)),H172),H172))</f>
        <v>⏳ Chưa test</v>
      </c>
      <c r="J172" s="47" t="str">
        <f ca="1">IFERROR(_xludf.MAXIFS(ATTENDANCE_LOG!F:F, ATTENDANCE_LOG!C:C, A172&amp;"", ATTENDANCE_LOG!G:G, "Present"), "")</f>
        <v/>
      </c>
      <c r="K172" s="48" t="str">
        <f t="shared" ca="1" si="0"/>
        <v/>
      </c>
      <c r="L172" s="49" t="str">
        <f t="shared" ca="1" si="1"/>
        <v/>
      </c>
      <c r="M172" s="36"/>
      <c r="N172" s="50"/>
      <c r="O172" s="36"/>
      <c r="P172" s="36"/>
      <c r="Q172" s="36"/>
      <c r="R172" s="36"/>
      <c r="S172" s="36"/>
      <c r="T172" s="36"/>
      <c r="U172" s="36"/>
      <c r="V172" s="36"/>
      <c r="W172" s="59"/>
      <c r="X172" s="59"/>
      <c r="Y172" s="59"/>
    </row>
    <row r="173" spans="1:25" ht="15.75" customHeight="1">
      <c r="A173" s="42" t="s">
        <v>488</v>
      </c>
      <c r="B173" s="43" t="s">
        <v>489</v>
      </c>
      <c r="C173" s="44" t="str">
        <f ca="1">IFERROR(__xludf.DUMMYFUNCTION("arrayformula(VLOOKUP(to_Text(A173),to_Text(sheet2!$A$1:M1002),13,0))"),"CHORUS")</f>
        <v>CHORUS</v>
      </c>
      <c r="D173" s="45" t="str">
        <f ca="1">IFERROR(__xludf.DUMMYFUNCTION("arrayformula(VLOOKUP(to_Text(A173),to_Text(sheet2!$A$1:M1002),12,0))"),"QC")</f>
        <v>QC</v>
      </c>
      <c r="E173" s="43" t="s">
        <v>16</v>
      </c>
      <c r="F173" s="42" t="str">
        <f t="array" aca="1" ref="F173" ca="1">IFERROR(
  INDEX(ATTENDANCE_INPUT!D:D,
    MATCH(1,
      (ATTENDANCE_INPUT!A:A=A173) *
      (ATTENDANCE_INPUT!V:V=_xludf.MAXIFS(ATTENDANCE_INPUT!V:V, ATTENDANCE_INPUT!A:A, A173)),
      0)),
  "")</f>
        <v/>
      </c>
      <c r="G173" s="46" t="str">
        <f t="array" aca="1" ref="G173" ca="1">IFERROR(
  INDEX(ATTENDANCE_INPUT!E:E,
    MATCH(1,
      (ATTENDANCE_INPUT!A:A=A173) *
      (ATTENDANCE_INPUT!V:V=_xludf.MAXIFS(ATTENDANCE_INPUT!V:V, ATTENDANCE_INPUT!A:A, A173)),
      0)),
  "")</f>
        <v/>
      </c>
      <c r="H173" s="47" t="str">
        <f t="array" aca="1" ref="H173" ca="1">IF(ISNA(MATCH(A173,sheet2!A:A,0)),"⏳ Chưa test",IFERROR(INDEX(LEVEL_HELPER!A:A,MATCH(INDEX(sheet2!N:N,MATCH(A173,sheet2!A:A,0)),LEVEL_HELPER!B:B,0)),"⏳ Chưa test"))</f>
        <v>Pre-Intermediate</v>
      </c>
      <c r="I173" s="47" t="str">
        <f t="array" aca="1" ref="I173" ca="1">IF(ISNA(MATCH(A173,sheet2!A:A,0)),H173,IF(INDEX(sheet2!O:O,MATCH(A173,sheet2!A:A,0))&gt;0,IFERROR(INDEX(LEVEL_HELPER!A:A,MATCH(INDEX(sheet2!O:O,MATCH(A173,sheet2!A:A,0)),LEVEL_HELPER!B:B,0)),H173),H173))</f>
        <v>Pre-Intermediate</v>
      </c>
      <c r="J173" s="47" t="str">
        <f ca="1">IFERROR(_xludf.MAXIFS(ATTENDANCE_LOG!F:F, ATTENDANCE_LOG!C:C, A173&amp;"", ATTENDANCE_LOG!G:G, "Present"), "")</f>
        <v/>
      </c>
      <c r="K173" s="48" t="str">
        <f t="shared" ca="1" si="0"/>
        <v/>
      </c>
      <c r="L173" s="49" t="str">
        <f t="shared" ca="1" si="1"/>
        <v/>
      </c>
      <c r="M173" s="36" t="s">
        <v>34</v>
      </c>
      <c r="N173" s="50" t="s">
        <v>37</v>
      </c>
      <c r="O173" s="36"/>
      <c r="P173" s="36"/>
      <c r="Q173" s="36"/>
      <c r="R173" s="36"/>
      <c r="S173" s="36"/>
      <c r="T173" s="36"/>
      <c r="U173" s="36"/>
      <c r="V173" s="36"/>
      <c r="W173" s="59"/>
      <c r="X173" s="59"/>
      <c r="Y173" s="59"/>
    </row>
    <row r="174" spans="1:25" ht="15.75" customHeight="1">
      <c r="A174" s="42" t="s">
        <v>490</v>
      </c>
      <c r="B174" s="43" t="s">
        <v>491</v>
      </c>
      <c r="C174" s="44" t="str">
        <f ca="1">IFERROR(__xludf.DUMMYFUNCTION("arrayformula(VLOOKUP(to_Text(A174),to_Text(sheet2!$A$1:M1002),13,0))"),"TBU")</f>
        <v>TBU</v>
      </c>
      <c r="D174" s="45" t="str">
        <f ca="1">IFERROR(__xludf.DUMMYFUNCTION("arrayformula(VLOOKUP(to_Text(A174),to_Text(sheet2!$A$1:M1002),12,0))"),"GSD")</f>
        <v>GSD</v>
      </c>
      <c r="E174" s="43" t="s">
        <v>16</v>
      </c>
      <c r="F174" s="42" t="str">
        <f t="array" aca="1" ref="F174" ca="1">IFERROR(
  INDEX(ATTENDANCE_INPUT!D:D,
    MATCH(1,
      (ATTENDANCE_INPUT!A:A=A174) *
      (ATTENDANCE_INPUT!V:V=_xludf.MAXIFS(ATTENDANCE_INPUT!V:V, ATTENDANCE_INPUT!A:A, A174)),
      0)),
  "")</f>
        <v/>
      </c>
      <c r="G174" s="46" t="str">
        <f t="array" aca="1" ref="G174" ca="1">IFERROR(
  INDEX(ATTENDANCE_INPUT!E:E,
    MATCH(1,
      (ATTENDANCE_INPUT!A:A=A174) *
      (ATTENDANCE_INPUT!V:V=_xludf.MAXIFS(ATTENDANCE_INPUT!V:V, ATTENDANCE_INPUT!A:A, A174)),
      0)),
  "")</f>
        <v/>
      </c>
      <c r="H174" s="47" t="str">
        <f t="array" aca="1" ref="H174" ca="1">IF(ISNA(MATCH(A174,sheet2!A:A,0)),"⏳ Chưa test",IFERROR(INDEX(LEVEL_HELPER!A:A,MATCH(INDEX(sheet2!N:N,MATCH(A174,sheet2!A:A,0)),LEVEL_HELPER!B:B,0)),"⏳ Chưa test"))</f>
        <v>Beginner</v>
      </c>
      <c r="I174" s="47" t="str">
        <f t="array" aca="1" ref="I174" ca="1">IF(ISNA(MATCH(A174,sheet2!A:A,0)),H174,IF(INDEX(sheet2!O:O,MATCH(A174,sheet2!A:A,0))&gt;0,IFERROR(INDEX(LEVEL_HELPER!A:A,MATCH(INDEX(sheet2!O:O,MATCH(A174,sheet2!A:A,0)),LEVEL_HELPER!B:B,0)),H174),H174))</f>
        <v>Beginner</v>
      </c>
      <c r="J174" s="47" t="str">
        <f ca="1">IFERROR(_xludf.MAXIFS(ATTENDANCE_LOG!F:F, ATTENDANCE_LOG!C:C, A174&amp;"", ATTENDANCE_LOG!G:G, "Present"), "")</f>
        <v/>
      </c>
      <c r="K174" s="48" t="str">
        <f t="shared" ca="1" si="0"/>
        <v/>
      </c>
      <c r="L174" s="49" t="str">
        <f t="shared" ca="1" si="1"/>
        <v/>
      </c>
      <c r="M174" s="36" t="s">
        <v>36</v>
      </c>
      <c r="N174" s="50" t="s">
        <v>33</v>
      </c>
      <c r="O174" s="36"/>
      <c r="P174" s="36"/>
      <c r="Q174" s="36"/>
      <c r="R174" s="36"/>
      <c r="S174" s="36"/>
      <c r="T174" s="36"/>
      <c r="U174" s="36"/>
      <c r="V174" s="36"/>
      <c r="W174" s="59"/>
      <c r="X174" s="59"/>
      <c r="Y174" s="59"/>
    </row>
    <row r="175" spans="1:25" ht="15.75" customHeight="1">
      <c r="A175" s="42" t="s">
        <v>492</v>
      </c>
      <c r="B175" s="43" t="s">
        <v>493</v>
      </c>
      <c r="C175" s="44" t="str">
        <f ca="1">IFERROR(__xludf.DUMMYFUNCTION("arrayformula(VLOOKUP(to_Text(A175),to_Text(sheet2!$A$1:M1002),13,0))"),"LBU")</f>
        <v>LBU</v>
      </c>
      <c r="D175" s="45" t="str">
        <f ca="1">IFERROR(__xludf.DUMMYFUNCTION("arrayformula(VLOOKUP(to_Text(A175),to_Text(sheet2!$A$1:M1002),12,0))"),"DEV")</f>
        <v>DEV</v>
      </c>
      <c r="E175" s="43" t="s">
        <v>16</v>
      </c>
      <c r="F175" s="42" t="str">
        <f t="array" aca="1" ref="F175" ca="1">IFERROR(
  INDEX(ATTENDANCE_INPUT!D:D,
    MATCH(1,
      (ATTENDANCE_INPUT!A:A=A175) *
      (ATTENDANCE_INPUT!V:V=_xludf.MAXIFS(ATTENDANCE_INPUT!V:V, ATTENDANCE_INPUT!A:A, A175)),
      0)),
  "")</f>
        <v/>
      </c>
      <c r="G175" s="46" t="str">
        <f t="array" aca="1" ref="G175" ca="1">IFERROR(
  INDEX(ATTENDANCE_INPUT!E:E,
    MATCH(1,
      (ATTENDANCE_INPUT!A:A=A175) *
      (ATTENDANCE_INPUT!V:V=_xludf.MAXIFS(ATTENDANCE_INPUT!V:V, ATTENDANCE_INPUT!A:A, A175)),
      0)),
  "")</f>
        <v/>
      </c>
      <c r="H175" s="47" t="str">
        <f t="array" aca="1" ref="H175" ca="1">IF(ISNA(MATCH(A175,sheet2!A:A,0)),"⏳ Chưa test",IFERROR(INDEX(LEVEL_HELPER!A:A,MATCH(INDEX(sheet2!N:N,MATCH(A175,sheet2!A:A,0)),LEVEL_HELPER!B:B,0)),"⏳ Chưa test"))</f>
        <v>⏳ Chưa test</v>
      </c>
      <c r="I175" s="47" t="str">
        <f t="array" aca="1" ref="I175" ca="1">IF(ISNA(MATCH(A175,sheet2!A:A,0)),H175,IF(INDEX(sheet2!O:O,MATCH(A175,sheet2!A:A,0))&gt;0,IFERROR(INDEX(LEVEL_HELPER!A:A,MATCH(INDEX(sheet2!O:O,MATCH(A175,sheet2!A:A,0)),LEVEL_HELPER!B:B,0)),H175),H175))</f>
        <v>⏳ Chưa test</v>
      </c>
      <c r="J175" s="63" t="str">
        <f ca="1">IFERROR(_xludf.MAXIFS(ATTENDANCE_LOG!F:F, ATTENDANCE_LOG!C:C, A175&amp;"", ATTENDANCE_LOG!G:G, "Present"), "")</f>
        <v/>
      </c>
      <c r="K175" s="48" t="str">
        <f t="shared" ca="1" si="0"/>
        <v/>
      </c>
      <c r="L175" s="49" t="str">
        <f t="shared" ca="1" si="1"/>
        <v/>
      </c>
      <c r="M175" s="36"/>
      <c r="N175" s="50" t="s">
        <v>35</v>
      </c>
      <c r="O175" s="36"/>
      <c r="P175" s="36"/>
      <c r="Q175" s="36"/>
      <c r="R175" s="36">
        <v>213820</v>
      </c>
      <c r="S175" s="36" t="s">
        <v>146</v>
      </c>
      <c r="T175" s="36" t="s">
        <v>33</v>
      </c>
      <c r="U175" s="36" t="str">
        <f ca="1">IFERROR(__xludf.DUMMYFUNCTION("arrayformula(vlookup(to_text(R175),to_text($A$4:$B1118),2,0))"),"TRẦN THỊ NI NA")</f>
        <v>TRẦN THỊ NI NA</v>
      </c>
      <c r="V175" s="36"/>
      <c r="W175" s="59"/>
      <c r="X175" s="59"/>
      <c r="Y175" s="59"/>
    </row>
    <row r="176" spans="1:25" ht="15.75" customHeight="1">
      <c r="A176" s="42" t="s">
        <v>494</v>
      </c>
      <c r="B176" s="43" t="s">
        <v>495</v>
      </c>
      <c r="C176" s="44" t="str">
        <f ca="1">IFERROR(__xludf.DUMMYFUNCTION("arrayformula(VLOOKUP(to_Text(A176),to_Text(sheet2!$A$1:M1002),13,0))"),"LBU")</f>
        <v>LBU</v>
      </c>
      <c r="D176" s="45" t="str">
        <f ca="1">IFERROR(__xludf.DUMMYFUNCTION("arrayformula(VLOOKUP(to_Text(A176),to_Text(sheet2!$A$1:M1002),12,0))"),"GSD")</f>
        <v>GSD</v>
      </c>
      <c r="E176" s="43" t="str">
        <f t="shared" ref="E176:E179" ca="1" si="22">IF(L176="⚠ Possibly Dropped","Inactive","Active")</f>
        <v>Active</v>
      </c>
      <c r="F176" s="42" t="str">
        <f t="array" aca="1" ref="F176" ca="1">IFERROR(
  INDEX(ATTENDANCE_INPUT!D:D,
    MATCH(1,
      (ATTENDANCE_INPUT!A:A=A176) *
      (ATTENDANCE_INPUT!V:V=_xludf.MAXIFS(ATTENDANCE_INPUT!V:V, ATTENDANCE_INPUT!A:A, A176)),
      0)),
  "")</f>
        <v/>
      </c>
      <c r="G176" s="46" t="str">
        <f t="array" aca="1" ref="G176" ca="1">IFERROR(
  INDEX(ATTENDANCE_INPUT!E:E,
    MATCH(1,
      (ATTENDANCE_INPUT!A:A=A176) *
      (ATTENDANCE_INPUT!V:V=_xludf.MAXIFS(ATTENDANCE_INPUT!V:V, ATTENDANCE_INPUT!A:A, A176)),
      0)),
  "")</f>
        <v/>
      </c>
      <c r="H176" s="47" t="str">
        <f t="array" aca="1" ref="H176" ca="1">IF(ISNA(MATCH(A176,sheet2!A:A,0)),"⏳ Chưa test",IFERROR(INDEX(LEVEL_HELPER!A:A,MATCH(INDEX(sheet2!N:N,MATCH(A176,sheet2!A:A,0)),LEVEL_HELPER!B:B,0)),"⏳ Chưa test"))</f>
        <v>Beginner</v>
      </c>
      <c r="I176" s="47" t="str">
        <f t="array" aca="1" ref="I176" ca="1">IF(ISNA(MATCH(A176,sheet2!A:A,0)),H176,IF(INDEX(sheet2!O:O,MATCH(A176,sheet2!A:A,0))&gt;0,IFERROR(INDEX(LEVEL_HELPER!A:A,MATCH(INDEX(sheet2!O:O,MATCH(A176,sheet2!A:A,0)),LEVEL_HELPER!B:B,0)),H176),H176))</f>
        <v>Beginner</v>
      </c>
      <c r="J176" s="47" t="str">
        <f ca="1">IFERROR(_xludf.MAXIFS(ATTENDANCE_LOG!F:F, ATTENDANCE_LOG!C:C, A176&amp;"", ATTENDANCE_LOG!G:G, "Present"), "")</f>
        <v/>
      </c>
      <c r="K176" s="48" t="str">
        <f t="shared" ca="1" si="0"/>
        <v/>
      </c>
      <c r="L176" s="49" t="str">
        <f t="shared" ca="1" si="1"/>
        <v/>
      </c>
      <c r="M176" s="36"/>
      <c r="N176" s="50"/>
      <c r="O176" s="36"/>
      <c r="P176" s="36"/>
      <c r="Q176" s="36"/>
      <c r="R176" s="36"/>
      <c r="S176" s="36"/>
      <c r="T176" s="36"/>
      <c r="U176" s="36"/>
      <c r="V176" s="36"/>
      <c r="W176" s="59"/>
      <c r="X176" s="59"/>
      <c r="Y176" s="59"/>
    </row>
    <row r="177" spans="1:25" ht="15.75" customHeight="1">
      <c r="A177" s="42" t="s">
        <v>496</v>
      </c>
      <c r="B177" s="43" t="s">
        <v>497</v>
      </c>
      <c r="C177" s="44" t="str">
        <f ca="1">IFERROR(__xludf.DUMMYFUNCTION("arrayformula(VLOOKUP(to_Text(A177),to_Text(sheet2!$A$1:M1002),13,0))"),"ONC")</f>
        <v>ONC</v>
      </c>
      <c r="D177" s="45" t="str">
        <f ca="1">IFERROR(__xludf.DUMMYFUNCTION("arrayformula(VLOOKUP(to_Text(A177),to_Text(sheet2!$A$1:M1002),12,0))"),"GSD")</f>
        <v>GSD</v>
      </c>
      <c r="E177" s="43" t="str">
        <f t="shared" ca="1" si="22"/>
        <v>Active</v>
      </c>
      <c r="F177" s="42" t="str">
        <f t="array" aca="1" ref="F177" ca="1">IFERROR(
  INDEX(ATTENDANCE_INPUT!D:D,
    MATCH(1,
      (ATTENDANCE_INPUT!A:A=A177) *
      (ATTENDANCE_INPUT!V:V=_xludf.MAXIFS(ATTENDANCE_INPUT!V:V, ATTENDANCE_INPUT!A:A, A177)),
      0)),
  "")</f>
        <v/>
      </c>
      <c r="G177" s="46" t="str">
        <f t="array" aca="1" ref="G177" ca="1">IFERROR(
  INDEX(ATTENDANCE_INPUT!E:E,
    MATCH(1,
      (ATTENDANCE_INPUT!A:A=A177) *
      (ATTENDANCE_INPUT!V:V=_xludf.MAXIFS(ATTENDANCE_INPUT!V:V, ATTENDANCE_INPUT!A:A, A177)),
      0)),
  "")</f>
        <v/>
      </c>
      <c r="H177" s="47" t="str">
        <f t="array" aca="1" ref="H177" ca="1">IF(ISNA(MATCH(A177,sheet2!A:A,0)),"⏳ Chưa test",IFERROR(INDEX(LEVEL_HELPER!A:A,MATCH(INDEX(sheet2!N:N,MATCH(A177,sheet2!A:A,0)),LEVEL_HELPER!B:B,0)),"⏳ Chưa test"))</f>
        <v>⏳ Chưa test</v>
      </c>
      <c r="I177" s="47" t="str">
        <f t="array" aca="1" ref="I177" ca="1">IF(ISNA(MATCH(A177,sheet2!A:A,0)),H177,IF(INDEX(sheet2!O:O,MATCH(A177,sheet2!A:A,0))&gt;0,IFERROR(INDEX(LEVEL_HELPER!A:A,MATCH(INDEX(sheet2!O:O,MATCH(A177,sheet2!A:A,0)),LEVEL_HELPER!B:B,0)),H177),H177))</f>
        <v>⏳ Chưa test</v>
      </c>
      <c r="J177" s="47" t="str">
        <f ca="1">IFERROR(_xludf.MAXIFS(ATTENDANCE_LOG!F:F, ATTENDANCE_LOG!C:C, A177&amp;"", ATTENDANCE_LOG!G:G, "Present"), "")</f>
        <v/>
      </c>
      <c r="K177" s="48" t="str">
        <f t="shared" ca="1" si="0"/>
        <v/>
      </c>
      <c r="L177" s="49" t="str">
        <f t="shared" ca="1" si="1"/>
        <v/>
      </c>
      <c r="M177" s="36" t="s">
        <v>36</v>
      </c>
      <c r="N177" s="50" t="s">
        <v>42</v>
      </c>
      <c r="O177" s="36"/>
      <c r="P177" s="36"/>
      <c r="Q177" s="36"/>
      <c r="R177" s="36">
        <v>247299</v>
      </c>
      <c r="S177" s="36" t="s">
        <v>178</v>
      </c>
      <c r="T177" s="36" t="s">
        <v>179</v>
      </c>
      <c r="U177" s="36" t="str">
        <f ca="1">IFERROR(__xludf.DUMMYFUNCTION("arrayformula(vlookup(to_text(R177),to_text($A$4:$B1128),2,0))"),"#N/A")</f>
        <v>#N/A</v>
      </c>
      <c r="V177" s="36"/>
      <c r="W177" s="59"/>
      <c r="X177" s="59"/>
      <c r="Y177" s="59"/>
    </row>
    <row r="178" spans="1:25" ht="15.75" customHeight="1">
      <c r="A178" s="42" t="s">
        <v>498</v>
      </c>
      <c r="B178" s="43" t="s">
        <v>499</v>
      </c>
      <c r="C178" s="44" t="str">
        <f ca="1">IFERROR(__xludf.DUMMYFUNCTION("arrayformula(VLOOKUP(to_Text(A178),to_Text(sheet2!$A$1:M1002),13,0))"),"LBU")</f>
        <v>LBU</v>
      </c>
      <c r="D178" s="45" t="str">
        <f ca="1">IFERROR(__xludf.DUMMYFUNCTION("arrayformula(VLOOKUP(to_Text(A178),to_Text(sheet2!$A$1:M1002),12,0))"),"GSD")</f>
        <v>GSD</v>
      </c>
      <c r="E178" s="43" t="str">
        <f t="shared" ca="1" si="22"/>
        <v>Active</v>
      </c>
      <c r="F178" s="42" t="str">
        <f t="array" aca="1" ref="F178" ca="1">IFERROR(
  INDEX(ATTENDANCE_INPUT!D:D,
    MATCH(1,
      (ATTENDANCE_INPUT!A:A=A178) *
      (ATTENDANCE_INPUT!V:V=_xludf.MAXIFS(ATTENDANCE_INPUT!V:V, ATTENDANCE_INPUT!A:A, A178)),
      0)),
  "")</f>
        <v/>
      </c>
      <c r="G178" s="46" t="str">
        <f t="array" aca="1" ref="G178" ca="1">IFERROR(
  INDEX(ATTENDANCE_INPUT!E:E,
    MATCH(1,
      (ATTENDANCE_INPUT!A:A=A178) *
      (ATTENDANCE_INPUT!V:V=_xludf.MAXIFS(ATTENDANCE_INPUT!V:V, ATTENDANCE_INPUT!A:A, A178)),
      0)),
  "")</f>
        <v/>
      </c>
      <c r="H178" s="47" t="str">
        <f t="array" aca="1" ref="H178" ca="1">IF(ISNA(MATCH(A178,sheet2!A:A,0)),"⏳ Chưa test",IFERROR(INDEX(LEVEL_HELPER!A:A,MATCH(INDEX(sheet2!N:N,MATCH(A178,sheet2!A:A,0)),LEVEL_HELPER!B:B,0)),"⏳ Chưa test"))</f>
        <v>Beginner</v>
      </c>
      <c r="I178" s="47" t="str">
        <f t="array" aca="1" ref="I178" ca="1">IF(ISNA(MATCH(A178,sheet2!A:A,0)),H178,IF(INDEX(sheet2!O:O,MATCH(A178,sheet2!A:A,0))&gt;0,IFERROR(INDEX(LEVEL_HELPER!A:A,MATCH(INDEX(sheet2!O:O,MATCH(A178,sheet2!A:A,0)),LEVEL_HELPER!B:B,0)),H178),H178))</f>
        <v>Beginner</v>
      </c>
      <c r="J178" s="47" t="str">
        <f ca="1">IFERROR(_xludf.MAXIFS(ATTENDANCE_LOG!F:F, ATTENDANCE_LOG!C:C, A178&amp;"", ATTENDANCE_LOG!G:G, "Present"), "")</f>
        <v/>
      </c>
      <c r="K178" s="48" t="str">
        <f t="shared" ca="1" si="0"/>
        <v/>
      </c>
      <c r="L178" s="49" t="str">
        <f t="shared" ca="1" si="1"/>
        <v/>
      </c>
      <c r="M178" s="36"/>
      <c r="N178" s="50"/>
      <c r="O178" s="36"/>
      <c r="P178" s="36"/>
      <c r="Q178" s="36"/>
      <c r="R178" s="36"/>
      <c r="S178" s="36"/>
      <c r="T178" s="36"/>
      <c r="U178" s="36"/>
      <c r="V178" s="36"/>
      <c r="W178" s="59"/>
      <c r="X178" s="59"/>
      <c r="Y178" s="59"/>
    </row>
    <row r="179" spans="1:25" ht="15.75" customHeight="1">
      <c r="A179" s="42" t="s">
        <v>500</v>
      </c>
      <c r="B179" s="43" t="s">
        <v>501</v>
      </c>
      <c r="C179" s="44" t="str">
        <f ca="1">IFERROR(__xludf.DUMMYFUNCTION("arrayformula(VLOOKUP(to_Text(A179),to_Text(sheet2!$A$1:M1002),13,0))"),"POC")</f>
        <v>POC</v>
      </c>
      <c r="D179" s="45" t="str">
        <f ca="1">IFERROR(__xludf.DUMMYFUNCTION("arrayformula(VLOOKUP(to_Text(A179),to_Text(sheet2!$A$1:M1002),12,0))"),"BA")</f>
        <v>BA</v>
      </c>
      <c r="E179" s="43" t="str">
        <f t="shared" ca="1" si="22"/>
        <v>Active</v>
      </c>
      <c r="F179" s="42" t="str">
        <f t="array" aca="1" ref="F179" ca="1">IFERROR(
  INDEX(ATTENDANCE_INPUT!D:D,
    MATCH(1,
      (ATTENDANCE_INPUT!A:A=A179) *
      (ATTENDANCE_INPUT!V:V=_xludf.MAXIFS(ATTENDANCE_INPUT!V:V, ATTENDANCE_INPUT!A:A, A179)),
      0)),
  "")</f>
        <v/>
      </c>
      <c r="G179" s="46" t="str">
        <f t="array" aca="1" ref="G179" ca="1">IFERROR(
  INDEX(ATTENDANCE_INPUT!E:E,
    MATCH(1,
      (ATTENDANCE_INPUT!A:A=A179) *
      (ATTENDANCE_INPUT!V:V=_xludf.MAXIFS(ATTENDANCE_INPUT!V:V, ATTENDANCE_INPUT!A:A, A179)),
      0)),
  "")</f>
        <v/>
      </c>
      <c r="H179" s="47" t="str">
        <f t="array" aca="1" ref="H179" ca="1">IF(ISNA(MATCH(A179,sheet2!A:A,0)),"⏳ Chưa test",IFERROR(INDEX(LEVEL_HELPER!A:A,MATCH(INDEX(sheet2!N:N,MATCH(A179,sheet2!A:A,0)),LEVEL_HELPER!B:B,0)),"⏳ Chưa test"))</f>
        <v>Beginner</v>
      </c>
      <c r="I179" s="47" t="str">
        <f t="array" aca="1" ref="I179" ca="1">IF(ISNA(MATCH(A179,sheet2!A:A,0)),H179,IF(INDEX(sheet2!O:O,MATCH(A179,sheet2!A:A,0))&gt;0,IFERROR(INDEX(LEVEL_HELPER!A:A,MATCH(INDEX(sheet2!O:O,MATCH(A179,sheet2!A:A,0)),LEVEL_HELPER!B:B,0)),H179),H179))</f>
        <v>Beginner</v>
      </c>
      <c r="J179" s="63" t="str">
        <f ca="1">IFERROR(_xludf.MAXIFS(ATTENDANCE_LOG!F:F, ATTENDANCE_LOG!C:C, A179&amp;"", ATTENDANCE_LOG!G:G, "Present"), "")</f>
        <v/>
      </c>
      <c r="K179" s="48" t="str">
        <f t="shared" ca="1" si="0"/>
        <v/>
      </c>
      <c r="L179" s="49" t="str">
        <f t="shared" ca="1" si="1"/>
        <v/>
      </c>
      <c r="M179" s="36"/>
      <c r="N179" s="50"/>
      <c r="O179" s="36"/>
      <c r="P179" s="36"/>
      <c r="Q179" s="36"/>
      <c r="R179" s="36"/>
      <c r="S179" s="36"/>
      <c r="T179" s="36"/>
      <c r="U179" s="36"/>
      <c r="V179" s="36"/>
      <c r="W179" s="59"/>
      <c r="X179" s="59"/>
      <c r="Y179" s="59"/>
    </row>
    <row r="180" spans="1:25" ht="15.75" customHeight="1">
      <c r="A180" s="42" t="s">
        <v>502</v>
      </c>
      <c r="B180" s="43" t="s">
        <v>503</v>
      </c>
      <c r="C180" s="44" t="str">
        <f ca="1">IFERROR(__xludf.DUMMYFUNCTION("arrayformula(VLOOKUP(to_Text(A180),to_Text(sheet2!$A$1:M1002),13,0))"),"LBU")</f>
        <v>LBU</v>
      </c>
      <c r="D180" s="45" t="str">
        <f ca="1">IFERROR(__xludf.DUMMYFUNCTION("arrayformula(VLOOKUP(to_Text(A180),to_Text(sheet2!$A$1:M1002),12,0))"),"GSD")</f>
        <v>GSD</v>
      </c>
      <c r="E180" s="43" t="s">
        <v>16</v>
      </c>
      <c r="F180" s="42" t="str">
        <f t="array" aca="1" ref="F180" ca="1">IFERROR(
  INDEX(ATTENDANCE_INPUT!D:D,
    MATCH(1,
      (ATTENDANCE_INPUT!A:A=A180) *
      (ATTENDANCE_INPUT!V:V=_xludf.MAXIFS(ATTENDANCE_INPUT!V:V, ATTENDANCE_INPUT!A:A, A180)),
      0)),
  "")</f>
        <v/>
      </c>
      <c r="G180" s="46" t="str">
        <f t="array" aca="1" ref="G180" ca="1">IFERROR(
  INDEX(ATTENDANCE_INPUT!E:E,
    MATCH(1,
      (ATTENDANCE_INPUT!A:A=A180) *
      (ATTENDANCE_INPUT!V:V=_xludf.MAXIFS(ATTENDANCE_INPUT!V:V, ATTENDANCE_INPUT!A:A, A180)),
      0)),
  "")</f>
        <v/>
      </c>
      <c r="H180" s="47" t="str">
        <f t="array" aca="1" ref="H180" ca="1">IF(ISNA(MATCH(A180,sheet2!A:A,0)),"⏳ Chưa test",IFERROR(INDEX(LEVEL_HELPER!A:A,MATCH(INDEX(sheet2!N:N,MATCH(A180,sheet2!A:A,0)),LEVEL_HELPER!B:B,0)),"⏳ Chưa test"))</f>
        <v>Pre-Intermediate 1</v>
      </c>
      <c r="I180" s="47" t="str">
        <f t="array" aca="1" ref="I180" ca="1">IF(ISNA(MATCH(A180,sheet2!A:A,0)),H180,IF(INDEX(sheet2!O:O,MATCH(A180,sheet2!A:A,0))&gt;0,IFERROR(INDEX(LEVEL_HELPER!A:A,MATCH(INDEX(sheet2!O:O,MATCH(A180,sheet2!A:A,0)),LEVEL_HELPER!B:B,0)),H180),H180))</f>
        <v>Pre-Intermediate 1</v>
      </c>
      <c r="J180" s="47" t="str">
        <f ca="1">IFERROR(_xludf.MAXIFS(ATTENDANCE_LOG!F:F, ATTENDANCE_LOG!C:C, A180&amp;"", ATTENDANCE_LOG!G:G, "Present"), "")</f>
        <v/>
      </c>
      <c r="K180" s="48" t="str">
        <f t="shared" ca="1" si="0"/>
        <v/>
      </c>
      <c r="L180" s="49" t="str">
        <f t="shared" ca="1" si="1"/>
        <v/>
      </c>
      <c r="M180" s="36" t="s">
        <v>36</v>
      </c>
      <c r="N180" s="50" t="s">
        <v>33</v>
      </c>
      <c r="O180" s="36"/>
      <c r="P180" s="36"/>
      <c r="Q180" s="36"/>
      <c r="R180" s="36"/>
      <c r="S180" s="36"/>
      <c r="T180" s="36"/>
      <c r="U180" s="36"/>
      <c r="V180" s="36"/>
      <c r="W180" s="59"/>
      <c r="X180" s="59"/>
      <c r="Y180" s="59"/>
    </row>
    <row r="181" spans="1:25" ht="15.75" customHeight="1">
      <c r="A181" s="42" t="s">
        <v>504</v>
      </c>
      <c r="B181" s="43" t="s">
        <v>505</v>
      </c>
      <c r="C181" s="44" t="str">
        <f ca="1">IFERROR(__xludf.DUMMYFUNCTION("arrayformula(VLOOKUP(to_Text(A181),to_Text(sheet2!$A$1:M1002),13,0))"),"CHORUS")</f>
        <v>CHORUS</v>
      </c>
      <c r="D181" s="45" t="str">
        <f ca="1">IFERROR(__xludf.DUMMYFUNCTION("arrayformula(VLOOKUP(to_Text(A181),to_Text(sheet2!$A$1:M1002),12,0))"),"DEV")</f>
        <v>DEV</v>
      </c>
      <c r="E181" s="43" t="s">
        <v>16</v>
      </c>
      <c r="F181" s="42" t="str">
        <f t="array" aca="1" ref="F181" ca="1">IFERROR(
  INDEX(ATTENDANCE_INPUT!D:D,
    MATCH(1,
      (ATTENDANCE_INPUT!A:A=A181) *
      (ATTENDANCE_INPUT!V:V=_xludf.MAXIFS(ATTENDANCE_INPUT!V:V, ATTENDANCE_INPUT!A:A, A181)),
      0)),
  "")</f>
        <v/>
      </c>
      <c r="G181" s="46" t="str">
        <f t="array" aca="1" ref="G181" ca="1">IFERROR(
  INDEX(ATTENDANCE_INPUT!E:E,
    MATCH(1,
      (ATTENDANCE_INPUT!A:A=A181) *
      (ATTENDANCE_INPUT!V:V=_xludf.MAXIFS(ATTENDANCE_INPUT!V:V, ATTENDANCE_INPUT!A:A, A181)),
      0)),
  "")</f>
        <v/>
      </c>
      <c r="H181" s="47" t="str">
        <f t="array" aca="1" ref="H181" ca="1">IF(ISNA(MATCH(A181,sheet2!A:A,0)),"⏳ Chưa test",IFERROR(INDEX(LEVEL_HELPER!A:A,MATCH(INDEX(sheet2!N:N,MATCH(A181,sheet2!A:A,0)),LEVEL_HELPER!B:B,0)),"⏳ Chưa test"))</f>
        <v>Beginner</v>
      </c>
      <c r="I181" s="47" t="str">
        <f t="array" aca="1" ref="I181" ca="1">IF(ISNA(MATCH(A181,sheet2!A:A,0)),H181,IF(INDEX(sheet2!O:O,MATCH(A181,sheet2!A:A,0))&gt;0,IFERROR(INDEX(LEVEL_HELPER!A:A,MATCH(INDEX(sheet2!O:O,MATCH(A181,sheet2!A:A,0)),LEVEL_HELPER!B:B,0)),H181),H181))</f>
        <v>Beginner</v>
      </c>
      <c r="J181" s="47" t="str">
        <f ca="1">IFERROR(_xludf.MAXIFS(ATTENDANCE_LOG!F:F, ATTENDANCE_LOG!C:C, A181&amp;"", ATTENDANCE_LOG!G:G, "Present"), "")</f>
        <v/>
      </c>
      <c r="K181" s="48" t="str">
        <f t="shared" ca="1" si="0"/>
        <v/>
      </c>
      <c r="L181" s="49" t="str">
        <f t="shared" ca="1" si="1"/>
        <v/>
      </c>
      <c r="M181" s="36" t="s">
        <v>36</v>
      </c>
      <c r="N181" s="50" t="s">
        <v>33</v>
      </c>
      <c r="O181" s="36"/>
      <c r="P181" s="36"/>
      <c r="Q181" s="36"/>
      <c r="R181" s="36"/>
      <c r="S181" s="36"/>
      <c r="T181" s="36"/>
      <c r="U181" s="36"/>
      <c r="V181" s="36"/>
      <c r="W181" s="59"/>
      <c r="X181" s="59"/>
      <c r="Y181" s="59"/>
    </row>
    <row r="182" spans="1:25" ht="15.75" customHeight="1">
      <c r="A182" s="42" t="s">
        <v>506</v>
      </c>
      <c r="B182" s="43" t="s">
        <v>507</v>
      </c>
      <c r="C182" s="44" t="str">
        <f ca="1">IFERROR(__xludf.DUMMYFUNCTION("arrayformula(VLOOKUP(to_Text(A182),to_Text(sheet2!$A$1:M1002),13,0))"),"CHORUS")</f>
        <v>CHORUS</v>
      </c>
      <c r="D182" s="45" t="str">
        <f ca="1">IFERROR(__xludf.DUMMYFUNCTION("arrayformula(VLOOKUP(to_Text(A182),to_Text(sheet2!$A$1:M1002),12,0))"),"TA")</f>
        <v>TA</v>
      </c>
      <c r="E182" s="43" t="s">
        <v>16</v>
      </c>
      <c r="F182" s="42" t="str">
        <f t="array" aca="1" ref="F182" ca="1">IFERROR(
  INDEX(ATTENDANCE_INPUT!D:D,
    MATCH(1,
      (ATTENDANCE_INPUT!A:A=A182) *
      (ATTENDANCE_INPUT!V:V=_xludf.MAXIFS(ATTENDANCE_INPUT!V:V, ATTENDANCE_INPUT!A:A, A182)),
      0)),
  "")</f>
        <v/>
      </c>
      <c r="G182" s="46" t="str">
        <f t="array" aca="1" ref="G182" ca="1">IFERROR(
  INDEX(ATTENDANCE_INPUT!E:E,
    MATCH(1,
      (ATTENDANCE_INPUT!A:A=A182) *
      (ATTENDANCE_INPUT!V:V=_xludf.MAXIFS(ATTENDANCE_INPUT!V:V, ATTENDANCE_INPUT!A:A, A182)),
      0)),
  "")</f>
        <v/>
      </c>
      <c r="H182" s="47" t="str">
        <f t="array" aca="1" ref="H182" ca="1">IF(ISNA(MATCH(A182,sheet2!A:A,0)),"⏳ Chưa test",IFERROR(INDEX(LEVEL_HELPER!A:A,MATCH(INDEX(sheet2!N:N,MATCH(A182,sheet2!A:A,0)),LEVEL_HELPER!B:B,0)),"⏳ Chưa test"))</f>
        <v>Beginner</v>
      </c>
      <c r="I182" s="47" t="str">
        <f t="array" aca="1" ref="I182" ca="1">IF(ISNA(MATCH(A182,sheet2!A:A,0)),H182,IF(INDEX(sheet2!O:O,MATCH(A182,sheet2!A:A,0))&gt;0,IFERROR(INDEX(LEVEL_HELPER!A:A,MATCH(INDEX(sheet2!O:O,MATCH(A182,sheet2!A:A,0)),LEVEL_HELPER!B:B,0)),H182),H182))</f>
        <v>Beginner</v>
      </c>
      <c r="J182" s="47" t="str">
        <f ca="1">IFERROR(_xludf.MAXIFS(ATTENDANCE_LOG!F:F, ATTENDANCE_LOG!C:C, A182&amp;"", ATTENDANCE_LOG!G:G, "Present"), "")</f>
        <v/>
      </c>
      <c r="K182" s="48" t="str">
        <f t="shared" ca="1" si="0"/>
        <v/>
      </c>
      <c r="L182" s="49" t="str">
        <f t="shared" ca="1" si="1"/>
        <v/>
      </c>
      <c r="M182" s="36" t="s">
        <v>34</v>
      </c>
      <c r="N182" s="50" t="s">
        <v>33</v>
      </c>
      <c r="O182" s="36"/>
      <c r="P182" s="36"/>
      <c r="Q182" s="36"/>
      <c r="R182" s="36">
        <v>213885</v>
      </c>
      <c r="S182" s="36" t="s">
        <v>172</v>
      </c>
      <c r="T182" s="36" t="s">
        <v>39</v>
      </c>
      <c r="U182" s="36" t="e">
        <v>#N/A</v>
      </c>
      <c r="V182" s="36"/>
      <c r="W182" s="59"/>
      <c r="X182" s="59"/>
      <c r="Y182" s="59"/>
    </row>
    <row r="183" spans="1:25" ht="15.75" customHeight="1">
      <c r="A183" s="42" t="s">
        <v>508</v>
      </c>
      <c r="B183" s="43" t="s">
        <v>509</v>
      </c>
      <c r="C183" s="44" t="str">
        <f ca="1">IFERROR(__xludf.DUMMYFUNCTION("arrayformula(VLOOKUP(to_Text(A183),to_Text(sheet2!$A$1:M1002),13,0))"),"MOC")</f>
        <v>MOC</v>
      </c>
      <c r="D183" s="45" t="str">
        <f ca="1">IFERROR(__xludf.DUMMYFUNCTION("arrayformula(VLOOKUP(to_Text(A183),to_Text(sheet2!$A$1:M1002),12,0))"),"GSD")</f>
        <v>GSD</v>
      </c>
      <c r="E183" s="43" t="s">
        <v>16</v>
      </c>
      <c r="F183" s="42" t="str">
        <f t="array" aca="1" ref="F183" ca="1">IFERROR(
  INDEX(ATTENDANCE_INPUT!D:D,
    MATCH(1,
      (ATTENDANCE_INPUT!A:A=A183) *
      (ATTENDANCE_INPUT!V:V=_xludf.MAXIFS(ATTENDANCE_INPUT!V:V, ATTENDANCE_INPUT!A:A, A183)),
      0)),
  "")</f>
        <v/>
      </c>
      <c r="G183" s="46" t="str">
        <f t="array" aca="1" ref="G183" ca="1">IFERROR(
  INDEX(ATTENDANCE_INPUT!E:E,
    MATCH(1,
      (ATTENDANCE_INPUT!A:A=A183) *
      (ATTENDANCE_INPUT!V:V=_xludf.MAXIFS(ATTENDANCE_INPUT!V:V, ATTENDANCE_INPUT!A:A, A183)),
      0)),
  "")</f>
        <v/>
      </c>
      <c r="H183" s="47" t="str">
        <f t="array" aca="1" ref="H183" ca="1">IF(ISNA(MATCH(A183,sheet2!A:A,0)),"⏳ Chưa test",IFERROR(INDEX(LEVEL_HELPER!A:A,MATCH(INDEX(sheet2!N:N,MATCH(A183,sheet2!A:A,0)),LEVEL_HELPER!B:B,0)),"⏳ Chưa test"))</f>
        <v>⏳ Chưa test</v>
      </c>
      <c r="I183" s="47" t="str">
        <f t="array" aca="1" ref="I183" ca="1">IF(ISNA(MATCH(A183,sheet2!A:A,0)),H183,IF(INDEX(sheet2!O:O,MATCH(A183,sheet2!A:A,0))&gt;0,IFERROR(INDEX(LEVEL_HELPER!A:A,MATCH(INDEX(sheet2!O:O,MATCH(A183,sheet2!A:A,0)),LEVEL_HELPER!B:B,0)),H183),H183))</f>
        <v>⏳ Chưa test</v>
      </c>
      <c r="J183" s="47" t="str">
        <f ca="1">IFERROR(_xludf.MAXIFS(ATTENDANCE_LOG!F:F, ATTENDANCE_LOG!C:C, A183&amp;"", ATTENDANCE_LOG!G:G, "Present"), "")</f>
        <v/>
      </c>
      <c r="K183" s="48" t="str">
        <f t="shared" ca="1" si="0"/>
        <v/>
      </c>
      <c r="L183" s="49" t="str">
        <f t="shared" ca="1" si="1"/>
        <v/>
      </c>
      <c r="M183" s="36" t="s">
        <v>36</v>
      </c>
      <c r="N183" s="50" t="s">
        <v>42</v>
      </c>
      <c r="O183" s="36"/>
      <c r="P183" s="36"/>
      <c r="Q183" s="36"/>
      <c r="R183" s="36"/>
      <c r="S183" s="36"/>
      <c r="T183" s="36"/>
      <c r="U183" s="36"/>
      <c r="V183" s="36"/>
      <c r="W183" s="59"/>
      <c r="X183" s="59"/>
      <c r="Y183" s="59"/>
    </row>
    <row r="184" spans="1:25" ht="15.75" customHeight="1">
      <c r="A184" s="42" t="s">
        <v>510</v>
      </c>
      <c r="B184" s="43" t="s">
        <v>511</v>
      </c>
      <c r="C184" s="44" t="str">
        <f ca="1">IFERROR(__xludf.DUMMYFUNCTION("arrayformula(VLOOKUP(to_Text(A184),to_Text(sheet2!$A$1:M1002),13,0))"),"ONC")</f>
        <v>ONC</v>
      </c>
      <c r="D184" s="45" t="str">
        <f ca="1">IFERROR(__xludf.DUMMYFUNCTION("arrayformula(VLOOKUP(to_Text(A184),to_Text(sheet2!$A$1:M1002),12,0))"),"DEV")</f>
        <v>DEV</v>
      </c>
      <c r="E184" s="43" t="str">
        <f ca="1">IF(L184="⚠ Possibly Dropped","Inactive","Active")</f>
        <v>Active</v>
      </c>
      <c r="F184" s="42" t="str">
        <f t="array" aca="1" ref="F184" ca="1">IFERROR(
  INDEX(ATTENDANCE_INPUT!D:D,
    MATCH(1,
      (ATTENDANCE_INPUT!A:A=A184) *
      (ATTENDANCE_INPUT!V:V=_xludf.MAXIFS(ATTENDANCE_INPUT!V:V, ATTENDANCE_INPUT!A:A, A184)),
      0)),
  "")</f>
        <v/>
      </c>
      <c r="G184" s="46" t="str">
        <f t="array" aca="1" ref="G184" ca="1">IFERROR(
  INDEX(ATTENDANCE_INPUT!E:E,
    MATCH(1,
      (ATTENDANCE_INPUT!A:A=A184) *
      (ATTENDANCE_INPUT!V:V=_xludf.MAXIFS(ATTENDANCE_INPUT!V:V, ATTENDANCE_INPUT!A:A, A184)),
      0)),
  "")</f>
        <v/>
      </c>
      <c r="H184" s="47" t="str">
        <f t="array" aca="1" ref="H184" ca="1">IF(ISNA(MATCH(A184,sheet2!A:A,0)),"⏳ Chưa test",IFERROR(INDEX(LEVEL_HELPER!A:A,MATCH(INDEX(sheet2!N:N,MATCH(A184,sheet2!A:A,0)),LEVEL_HELPER!B:B,0)),"⏳ Chưa test"))</f>
        <v>Pre-Intermediate</v>
      </c>
      <c r="I184" s="47" t="str">
        <f t="array" aca="1" ref="I184" ca="1">IF(ISNA(MATCH(A184,sheet2!A:A,0)),H184,IF(INDEX(sheet2!O:O,MATCH(A184,sheet2!A:A,0))&gt;0,IFERROR(INDEX(LEVEL_HELPER!A:A,MATCH(INDEX(sheet2!O:O,MATCH(A184,sheet2!A:A,0)),LEVEL_HELPER!B:B,0)),H184),H184))</f>
        <v>Pre-Intermediate</v>
      </c>
      <c r="J184" s="47" t="str">
        <f ca="1">IFERROR(_xludf.MAXIFS(ATTENDANCE_LOG!F:F, ATTENDANCE_LOG!C:C, A184&amp;"", ATTENDANCE_LOG!G:G, "Present"), "")</f>
        <v/>
      </c>
      <c r="K184" s="48" t="str">
        <f t="shared" ca="1" si="0"/>
        <v/>
      </c>
      <c r="L184" s="49" t="str">
        <f t="shared" ca="1" si="1"/>
        <v/>
      </c>
      <c r="M184" s="36" t="s">
        <v>34</v>
      </c>
      <c r="N184" s="50" t="s">
        <v>42</v>
      </c>
      <c r="O184" s="36"/>
      <c r="P184" s="36"/>
      <c r="Q184" s="36"/>
      <c r="R184" s="36">
        <v>227003</v>
      </c>
      <c r="S184" s="36" t="s">
        <v>354</v>
      </c>
      <c r="T184" s="36" t="s">
        <v>179</v>
      </c>
      <c r="U184" s="36" t="e">
        <v>#N/A</v>
      </c>
      <c r="V184" s="36"/>
      <c r="W184" s="59"/>
      <c r="X184" s="59"/>
      <c r="Y184" s="59"/>
    </row>
    <row r="185" spans="1:25" ht="15.75" customHeight="1">
      <c r="A185" s="42" t="s">
        <v>512</v>
      </c>
      <c r="B185" s="43" t="s">
        <v>513</v>
      </c>
      <c r="C185" s="44" t="str">
        <f ca="1">IFERROR(__xludf.DUMMYFUNCTION("arrayformula(VLOOKUP(to_Text(A185),to_Text(sheet2!$A$1:M1002),13,0))"),"MOC")</f>
        <v>MOC</v>
      </c>
      <c r="D185" s="45" t="str">
        <f ca="1">IFERROR(__xludf.DUMMYFUNCTION("arrayformula(VLOOKUP(to_Text(A185),to_Text(sheet2!$A$1:M1002),12,0))"),"DEV")</f>
        <v>DEV</v>
      </c>
      <c r="E185" s="43" t="s">
        <v>16</v>
      </c>
      <c r="F185" s="42" t="str">
        <f t="array" aca="1" ref="F185" ca="1">IFERROR(
  INDEX(ATTENDANCE_INPUT!D:D,
    MATCH(1,
      (ATTENDANCE_INPUT!A:A=A185) *
      (ATTENDANCE_INPUT!V:V=_xludf.MAXIFS(ATTENDANCE_INPUT!V:V, ATTENDANCE_INPUT!A:A, A185)),
      0)),
  "")</f>
        <v/>
      </c>
      <c r="G185" s="46" t="str">
        <f t="array" aca="1" ref="G185" ca="1">IFERROR(
  INDEX(ATTENDANCE_INPUT!E:E,
    MATCH(1,
      (ATTENDANCE_INPUT!A:A=A185) *
      (ATTENDANCE_INPUT!V:V=_xludf.MAXIFS(ATTENDANCE_INPUT!V:V, ATTENDANCE_INPUT!A:A, A185)),
      0)),
  "")</f>
        <v/>
      </c>
      <c r="H185" s="47" t="str">
        <f t="array" aca="1" ref="H185" ca="1">IF(ISNA(MATCH(A185,sheet2!A:A,0)),"⏳ Chưa test",IFERROR(INDEX(LEVEL_HELPER!A:A,MATCH(INDEX(sheet2!N:N,MATCH(A185,sheet2!A:A,0)),LEVEL_HELPER!B:B,0)),"⏳ Chưa test"))</f>
        <v>Beginner</v>
      </c>
      <c r="I185" s="47" t="str">
        <f t="array" aca="1" ref="I185" ca="1">IF(ISNA(MATCH(A185,sheet2!A:A,0)),H185,IF(INDEX(sheet2!O:O,MATCH(A185,sheet2!A:A,0))&gt;0,IFERROR(INDEX(LEVEL_HELPER!A:A,MATCH(INDEX(sheet2!O:O,MATCH(A185,sheet2!A:A,0)),LEVEL_HELPER!B:B,0)),H185),H185))</f>
        <v>Beginner</v>
      </c>
      <c r="J185" s="47" t="str">
        <f ca="1">IFERROR(_xludf.MAXIFS(ATTENDANCE_LOG!F:F, ATTENDANCE_LOG!C:C, A185&amp;"", ATTENDANCE_LOG!G:G, "Present"), "")</f>
        <v/>
      </c>
      <c r="K185" s="48" t="str">
        <f t="shared" ca="1" si="0"/>
        <v/>
      </c>
      <c r="L185" s="49" t="str">
        <f t="shared" ca="1" si="1"/>
        <v/>
      </c>
      <c r="M185" s="36" t="s">
        <v>34</v>
      </c>
      <c r="N185" s="50" t="s">
        <v>33</v>
      </c>
      <c r="O185" s="36"/>
      <c r="P185" s="36"/>
      <c r="Q185" s="36"/>
      <c r="R185" s="36"/>
      <c r="S185" s="36"/>
      <c r="T185" s="36"/>
      <c r="U185" s="36"/>
      <c r="V185" s="36"/>
      <c r="W185" s="59"/>
      <c r="X185" s="59"/>
      <c r="Y185" s="59"/>
    </row>
    <row r="186" spans="1:25" ht="15.75" customHeight="1">
      <c r="A186" s="42" t="s">
        <v>514</v>
      </c>
      <c r="B186" s="43" t="s">
        <v>515</v>
      </c>
      <c r="C186" s="44" t="str">
        <f ca="1">IFERROR(__xludf.DUMMYFUNCTION("arrayformula(VLOOKUP(to_Text(A186),to_Text(sheet2!$A$1:M1002),13,0))"),"TBU")</f>
        <v>TBU</v>
      </c>
      <c r="D186" s="45" t="str">
        <f ca="1">IFERROR(__xludf.DUMMYFUNCTION("arrayformula(VLOOKUP(to_Text(A186),to_Text(sheet2!$A$1:M1002),12,0))"),"DEV")</f>
        <v>DEV</v>
      </c>
      <c r="E186" s="43" t="s">
        <v>16</v>
      </c>
      <c r="F186" s="42" t="str">
        <f t="array" aca="1" ref="F186" ca="1">IFERROR(
  INDEX(ATTENDANCE_INPUT!D:D,
    MATCH(1,
      (ATTENDANCE_INPUT!A:A=A186) *
      (ATTENDANCE_INPUT!V:V=_xludf.MAXIFS(ATTENDANCE_INPUT!V:V, ATTENDANCE_INPUT!A:A, A186)),
      0)),
  "")</f>
        <v/>
      </c>
      <c r="G186" s="46" t="str">
        <f t="array" aca="1" ref="G186" ca="1">IFERROR(
  INDEX(ATTENDANCE_INPUT!E:E,
    MATCH(1,
      (ATTENDANCE_INPUT!A:A=A186) *
      (ATTENDANCE_INPUT!V:V=_xludf.MAXIFS(ATTENDANCE_INPUT!V:V, ATTENDANCE_INPUT!A:A, A186)),
      0)),
  "")</f>
        <v/>
      </c>
      <c r="H186" s="47" t="str">
        <f t="array" aca="1" ref="H186" ca="1">IF(ISNA(MATCH(A186,sheet2!A:A,0)),"⏳ Chưa test",IFERROR(INDEX(LEVEL_HELPER!A:A,MATCH(INDEX(sheet2!N:N,MATCH(A186,sheet2!A:A,0)),LEVEL_HELPER!B:B,0)),"⏳ Chưa test"))</f>
        <v>⏳ Chưa test</v>
      </c>
      <c r="I186" s="47" t="str">
        <f t="array" aca="1" ref="I186" ca="1">IF(ISNA(MATCH(A186,sheet2!A:A,0)),H186,IF(INDEX(sheet2!O:O,MATCH(A186,sheet2!A:A,0))&gt;0,IFERROR(INDEX(LEVEL_HELPER!A:A,MATCH(INDEX(sheet2!O:O,MATCH(A186,sheet2!A:A,0)),LEVEL_HELPER!B:B,0)),H186),H186))</f>
        <v>⏳ Chưa test</v>
      </c>
      <c r="J186" s="47" t="str">
        <f ca="1">IFERROR(_xludf.MAXIFS(ATTENDANCE_LOG!F:F, ATTENDANCE_LOG!C:C, A186&amp;"", ATTENDANCE_LOG!G:G, "Present"), "")</f>
        <v/>
      </c>
      <c r="K186" s="48" t="str">
        <f t="shared" ca="1" si="0"/>
        <v/>
      </c>
      <c r="L186" s="49" t="str">
        <f t="shared" ca="1" si="1"/>
        <v/>
      </c>
      <c r="M186" s="36" t="s">
        <v>36</v>
      </c>
      <c r="N186" s="50" t="s">
        <v>33</v>
      </c>
      <c r="O186" s="36"/>
      <c r="P186" s="36"/>
      <c r="Q186" s="36"/>
      <c r="R186" s="36"/>
      <c r="S186" s="36"/>
      <c r="T186" s="36"/>
      <c r="U186" s="36"/>
      <c r="V186" s="36"/>
      <c r="W186" s="59"/>
      <c r="X186" s="59"/>
      <c r="Y186" s="59"/>
    </row>
    <row r="187" spans="1:25" ht="15.75" customHeight="1">
      <c r="A187" s="42" t="s">
        <v>516</v>
      </c>
      <c r="B187" s="43" t="s">
        <v>517</v>
      </c>
      <c r="C187" s="44" t="str">
        <f ca="1">IFERROR(__xludf.DUMMYFUNCTION("arrayformula(VLOOKUP(to_Text(A187),to_Text(sheet2!$A$1:M1002),13,0))"),"POC")</f>
        <v>POC</v>
      </c>
      <c r="D187" s="45" t="str">
        <f ca="1">IFERROR(__xludf.DUMMYFUNCTION("arrayformula(VLOOKUP(to_Text(A187),to_Text(sheet2!$A$1:M1002),12,0))"),"GSD")</f>
        <v>GSD</v>
      </c>
      <c r="E187" s="43" t="str">
        <f ca="1">IF(L187="⚠ Possibly Dropped","Inactive","Active")</f>
        <v>Active</v>
      </c>
      <c r="F187" s="42" t="str">
        <f t="array" aca="1" ref="F187" ca="1">IFERROR(
  INDEX(ATTENDANCE_INPUT!D:D,
    MATCH(1,
      (ATTENDANCE_INPUT!A:A=A187) *
      (ATTENDANCE_INPUT!V:V=_xludf.MAXIFS(ATTENDANCE_INPUT!V:V, ATTENDANCE_INPUT!A:A, A187)),
      0)),
  "")</f>
        <v/>
      </c>
      <c r="G187" s="46" t="str">
        <f t="array" aca="1" ref="G187" ca="1">IFERROR(
  INDEX(ATTENDANCE_INPUT!E:E,
    MATCH(1,
      (ATTENDANCE_INPUT!A:A=A187) *
      (ATTENDANCE_INPUT!V:V=_xludf.MAXIFS(ATTENDANCE_INPUT!V:V, ATTENDANCE_INPUT!A:A, A187)),
      0)),
  "")</f>
        <v/>
      </c>
      <c r="H187" s="47" t="str">
        <f t="array" aca="1" ref="H187" ca="1">IF(ISNA(MATCH(A187,sheet2!A:A,0)),"⏳ Chưa test",IFERROR(INDEX(LEVEL_HELPER!A:A,MATCH(INDEX(sheet2!N:N,MATCH(A187,sheet2!A:A,0)),LEVEL_HELPER!B:B,0)),"⏳ Chưa test"))</f>
        <v>Foundation</v>
      </c>
      <c r="I187" s="47" t="str">
        <f t="array" aca="1" ref="I187" ca="1">IF(ISNA(MATCH(A187,sheet2!A:A,0)),H187,IF(INDEX(sheet2!O:O,MATCH(A187,sheet2!A:A,0))&gt;0,IFERROR(INDEX(LEVEL_HELPER!A:A,MATCH(INDEX(sheet2!O:O,MATCH(A187,sheet2!A:A,0)),LEVEL_HELPER!B:B,0)),H187),H187))</f>
        <v>Foundation</v>
      </c>
      <c r="J187" s="47" t="str">
        <f ca="1">IFERROR(_xludf.MAXIFS(ATTENDANCE_LOG!F:F, ATTENDANCE_LOG!C:C, A187&amp;"", ATTENDANCE_LOG!G:G, "Present"), "")</f>
        <v/>
      </c>
      <c r="K187" s="48" t="str">
        <f t="shared" ca="1" si="0"/>
        <v/>
      </c>
      <c r="L187" s="49" t="str">
        <f t="shared" ca="1" si="1"/>
        <v/>
      </c>
      <c r="M187" s="36"/>
      <c r="N187" s="50"/>
      <c r="O187" s="36"/>
      <c r="P187" s="36"/>
      <c r="Q187" s="36"/>
      <c r="R187" s="36"/>
      <c r="S187" s="36"/>
      <c r="T187" s="36"/>
      <c r="U187" s="36"/>
      <c r="V187" s="36"/>
      <c r="W187" s="59"/>
      <c r="X187" s="59"/>
      <c r="Y187" s="59"/>
    </row>
    <row r="188" spans="1:25" ht="15.75" customHeight="1">
      <c r="A188" s="42" t="s">
        <v>518</v>
      </c>
      <c r="B188" s="43" t="s">
        <v>519</v>
      </c>
      <c r="C188" s="44" t="str">
        <f ca="1">IFERROR(__xludf.DUMMYFUNCTION("arrayformula(VLOOKUP(to_Text(A188),to_Text(sheet2!$A$1:M1002),13,0))"),"TBU")</f>
        <v>TBU</v>
      </c>
      <c r="D188" s="45" t="str">
        <f ca="1">IFERROR(__xludf.DUMMYFUNCTION("arrayformula(VLOOKUP(to_Text(A188),to_Text(sheet2!$A$1:M1002),12,0))"),"DEV")</f>
        <v>DEV</v>
      </c>
      <c r="E188" s="43" t="s">
        <v>16</v>
      </c>
      <c r="F188" s="42" t="str">
        <f t="array" aca="1" ref="F188" ca="1">IFERROR(
  INDEX(ATTENDANCE_INPUT!D:D,
    MATCH(1,
      (ATTENDANCE_INPUT!A:A=A188) *
      (ATTENDANCE_INPUT!V:V=_xludf.MAXIFS(ATTENDANCE_INPUT!V:V, ATTENDANCE_INPUT!A:A, A188)),
      0)),
  "")</f>
        <v/>
      </c>
      <c r="G188" s="46" t="str">
        <f t="array" aca="1" ref="G188" ca="1">IFERROR(
  INDEX(ATTENDANCE_INPUT!E:E,
    MATCH(1,
      (ATTENDANCE_INPUT!A:A=A188) *
      (ATTENDANCE_INPUT!V:V=_xludf.MAXIFS(ATTENDANCE_INPUT!V:V, ATTENDANCE_INPUT!A:A, A188)),
      0)),
  "")</f>
        <v/>
      </c>
      <c r="H188" s="47" t="str">
        <f t="array" aca="1" ref="H188" ca="1">IF(ISNA(MATCH(A188,sheet2!A:A,0)),"⏳ Chưa test",IFERROR(INDEX(LEVEL_HELPER!A:A,MATCH(INDEX(sheet2!N:N,MATCH(A188,sheet2!A:A,0)),LEVEL_HELPER!B:B,0)),"⏳ Chưa test"))</f>
        <v>⏳ Chưa test</v>
      </c>
      <c r="I188" s="47" t="str">
        <f t="array" aca="1" ref="I188" ca="1">IF(ISNA(MATCH(A188,sheet2!A:A,0)),H188,IF(INDEX(sheet2!O:O,MATCH(A188,sheet2!A:A,0))&gt;0,IFERROR(INDEX(LEVEL_HELPER!A:A,MATCH(INDEX(sheet2!O:O,MATCH(A188,sheet2!A:A,0)),LEVEL_HELPER!B:B,0)),H188),H188))</f>
        <v>⏳ Chưa test</v>
      </c>
      <c r="J188" s="47" t="str">
        <f ca="1">IFERROR(_xludf.MAXIFS(ATTENDANCE_LOG!F:F, ATTENDANCE_LOG!C:C, A188&amp;"", ATTENDANCE_LOG!G:G, "Present"), "")</f>
        <v/>
      </c>
      <c r="K188" s="48" t="str">
        <f t="shared" ca="1" si="0"/>
        <v/>
      </c>
      <c r="L188" s="49" t="str">
        <f t="shared" ca="1" si="1"/>
        <v/>
      </c>
      <c r="M188" s="36" t="s">
        <v>36</v>
      </c>
      <c r="N188" s="50" t="s">
        <v>33</v>
      </c>
      <c r="O188" s="36"/>
      <c r="P188" s="36"/>
      <c r="Q188" s="36"/>
      <c r="R188" s="36"/>
      <c r="S188" s="36"/>
      <c r="T188" s="36"/>
      <c r="U188" s="36"/>
      <c r="V188" s="36"/>
      <c r="W188" s="59"/>
      <c r="X188" s="59"/>
      <c r="Y188" s="59"/>
    </row>
    <row r="189" spans="1:25" ht="15.75" customHeight="1">
      <c r="A189" s="42" t="s">
        <v>520</v>
      </c>
      <c r="B189" s="43" t="s">
        <v>521</v>
      </c>
      <c r="C189" s="44" t="str">
        <f ca="1">IFERROR(__xludf.DUMMYFUNCTION("arrayformula(VLOOKUP(to_Text(A189),to_Text(sheet2!$A$1:M1002),13,0))"),"LBU")</f>
        <v>LBU</v>
      </c>
      <c r="D189" s="45" t="str">
        <f ca="1">IFERROR(__xludf.DUMMYFUNCTION("arrayformula(VLOOKUP(to_Text(A189),to_Text(sheet2!$A$1:M1002),12,0))"),"DEV")</f>
        <v>DEV</v>
      </c>
      <c r="E189" s="43" t="s">
        <v>16</v>
      </c>
      <c r="F189" s="42" t="str">
        <f t="array" aca="1" ref="F189" ca="1">IFERROR(
  INDEX(ATTENDANCE_INPUT!D:D,
    MATCH(1,
      (ATTENDANCE_INPUT!A:A=A189) *
      (ATTENDANCE_INPUT!V:V=_xludf.MAXIFS(ATTENDANCE_INPUT!V:V, ATTENDANCE_INPUT!A:A, A189)),
      0)),
  "")</f>
        <v/>
      </c>
      <c r="G189" s="46" t="str">
        <f t="array" aca="1" ref="G189" ca="1">IFERROR(
  INDEX(ATTENDANCE_INPUT!E:E,
    MATCH(1,
      (ATTENDANCE_INPUT!A:A=A189) *
      (ATTENDANCE_INPUT!V:V=_xludf.MAXIFS(ATTENDANCE_INPUT!V:V, ATTENDANCE_INPUT!A:A, A189)),
      0)),
  "")</f>
        <v/>
      </c>
      <c r="H189" s="47" t="str">
        <f t="array" aca="1" ref="H189" ca="1">IF(ISNA(MATCH(A189,sheet2!A:A,0)),"⏳ Chưa test",IFERROR(INDEX(LEVEL_HELPER!A:A,MATCH(INDEX(sheet2!N:N,MATCH(A189,sheet2!A:A,0)),LEVEL_HELPER!B:B,0)),"⏳ Chưa test"))</f>
        <v>Beginner</v>
      </c>
      <c r="I189" s="47" t="str">
        <f t="array" aca="1" ref="I189" ca="1">IF(ISNA(MATCH(A189,sheet2!A:A,0)),H189,IF(INDEX(sheet2!O:O,MATCH(A189,sheet2!A:A,0))&gt;0,IFERROR(INDEX(LEVEL_HELPER!A:A,MATCH(INDEX(sheet2!O:O,MATCH(A189,sheet2!A:A,0)),LEVEL_HELPER!B:B,0)),H189),H189))</f>
        <v>Beginner</v>
      </c>
      <c r="J189" s="47" t="str">
        <f ca="1">IFERROR(_xludf.MAXIFS(ATTENDANCE_LOG!F:F, ATTENDANCE_LOG!C:C, A189&amp;"", ATTENDANCE_LOG!G:G, "Present"), "")</f>
        <v/>
      </c>
      <c r="K189" s="48" t="str">
        <f t="shared" ca="1" si="0"/>
        <v/>
      </c>
      <c r="L189" s="49" t="str">
        <f t="shared" ca="1" si="1"/>
        <v/>
      </c>
      <c r="M189" s="36" t="s">
        <v>36</v>
      </c>
      <c r="N189" s="50" t="s">
        <v>35</v>
      </c>
      <c r="O189" s="36"/>
      <c r="P189" s="36"/>
      <c r="Q189" s="36"/>
      <c r="R189" s="36"/>
      <c r="S189" s="36"/>
      <c r="T189" s="36"/>
      <c r="U189" s="36"/>
      <c r="V189" s="36"/>
      <c r="W189" s="59"/>
      <c r="X189" s="59"/>
      <c r="Y189" s="59"/>
    </row>
    <row r="190" spans="1:25" ht="15.75" customHeight="1">
      <c r="A190" s="42" t="s">
        <v>522</v>
      </c>
      <c r="B190" s="43" t="s">
        <v>523</v>
      </c>
      <c r="C190" s="44" t="str">
        <f ca="1">IFERROR(__xludf.DUMMYFUNCTION("arrayformula(VLOOKUP(to_Text(A190),to_Text(sheet2!$A$1:M1002),13,0))"),"TBU")</f>
        <v>TBU</v>
      </c>
      <c r="D190" s="45" t="str">
        <f ca="1">IFERROR(__xludf.DUMMYFUNCTION("arrayformula(VLOOKUP(to_Text(A190),to_Text(sheet2!$A$1:M1002),12,0))"),"DEV")</f>
        <v>DEV</v>
      </c>
      <c r="E190" s="43" t="s">
        <v>16</v>
      </c>
      <c r="F190" s="42" t="str">
        <f t="array" aca="1" ref="F190" ca="1">IFERROR(
  INDEX(ATTENDANCE_INPUT!D:D,
    MATCH(1,
      (ATTENDANCE_INPUT!A:A=A190) *
      (ATTENDANCE_INPUT!V:V=_xludf.MAXIFS(ATTENDANCE_INPUT!V:V, ATTENDANCE_INPUT!A:A, A190)),
      0)),
  "")</f>
        <v/>
      </c>
      <c r="G190" s="46" t="str">
        <f t="array" aca="1" ref="G190" ca="1">IFERROR(
  INDEX(ATTENDANCE_INPUT!E:E,
    MATCH(1,
      (ATTENDANCE_INPUT!A:A=A190) *
      (ATTENDANCE_INPUT!V:V=_xludf.MAXIFS(ATTENDANCE_INPUT!V:V, ATTENDANCE_INPUT!A:A, A190)),
      0)),
  "")</f>
        <v/>
      </c>
      <c r="H190" s="47" t="str">
        <f t="array" aca="1" ref="H190" ca="1">IF(ISNA(MATCH(A190,sheet2!A:A,0)),"⏳ Chưa test",IFERROR(INDEX(LEVEL_HELPER!A:A,MATCH(INDEX(sheet2!N:N,MATCH(A190,sheet2!A:A,0)),LEVEL_HELPER!B:B,0)),"⏳ Chưa test"))</f>
        <v>⏳ Chưa test</v>
      </c>
      <c r="I190" s="47" t="str">
        <f t="array" aca="1" ref="I190" ca="1">IF(ISNA(MATCH(A190,sheet2!A:A,0)),H190,IF(INDEX(sheet2!O:O,MATCH(A190,sheet2!A:A,0))&gt;0,IFERROR(INDEX(LEVEL_HELPER!A:A,MATCH(INDEX(sheet2!O:O,MATCH(A190,sheet2!A:A,0)),LEVEL_HELPER!B:B,0)),H190),H190))</f>
        <v>⏳ Chưa test</v>
      </c>
      <c r="J190" s="47" t="str">
        <f ca="1">IFERROR(_xludf.MAXIFS(ATTENDANCE_LOG!F:F, ATTENDANCE_LOG!C:C, A190&amp;"", ATTENDANCE_LOG!G:G, "Present"), "")</f>
        <v/>
      </c>
      <c r="K190" s="48" t="str">
        <f t="shared" ca="1" si="0"/>
        <v/>
      </c>
      <c r="L190" s="49" t="str">
        <f t="shared" ca="1" si="1"/>
        <v/>
      </c>
      <c r="M190" s="36" t="s">
        <v>36</v>
      </c>
      <c r="N190" s="50" t="s">
        <v>33</v>
      </c>
      <c r="O190" s="36"/>
      <c r="P190" s="36"/>
      <c r="Q190" s="36"/>
      <c r="R190" s="36"/>
      <c r="S190" s="36"/>
      <c r="T190" s="36"/>
      <c r="U190" s="36"/>
      <c r="V190" s="36"/>
      <c r="W190" s="59"/>
      <c r="X190" s="59"/>
      <c r="Y190" s="59"/>
    </row>
    <row r="191" spans="1:25" ht="15.75" customHeight="1">
      <c r="A191" s="42" t="s">
        <v>524</v>
      </c>
      <c r="B191" s="43" t="s">
        <v>525</v>
      </c>
      <c r="C191" s="44" t="str">
        <f ca="1">IFERROR(__xludf.DUMMYFUNCTION("arrayformula(VLOOKUP(to_Text(A191),to_Text(sheet2!$A$1:M1002),13,0))"),"MOC")</f>
        <v>MOC</v>
      </c>
      <c r="D191" s="45" t="str">
        <f ca="1">IFERROR(__xludf.DUMMYFUNCTION("arrayformula(VLOOKUP(to_Text(A191),to_Text(sheet2!$A$1:M1002),12,0))"),"DEV")</f>
        <v>DEV</v>
      </c>
      <c r="E191" s="43" t="s">
        <v>16</v>
      </c>
      <c r="F191" s="42" t="str">
        <f t="array" aca="1" ref="F191" ca="1">IFERROR(
  INDEX(ATTENDANCE_INPUT!D:D,
    MATCH(1,
      (ATTENDANCE_INPUT!A:A=A191) *
      (ATTENDANCE_INPUT!V:V=_xludf.MAXIFS(ATTENDANCE_INPUT!V:V, ATTENDANCE_INPUT!A:A, A191)),
      0)),
  "")</f>
        <v/>
      </c>
      <c r="G191" s="46" t="str">
        <f t="array" aca="1" ref="G191" ca="1">IFERROR(
  INDEX(ATTENDANCE_INPUT!E:E,
    MATCH(1,
      (ATTENDANCE_INPUT!A:A=A191) *
      (ATTENDANCE_INPUT!V:V=_xludf.MAXIFS(ATTENDANCE_INPUT!V:V, ATTENDANCE_INPUT!A:A, A191)),
      0)),
  "")</f>
        <v/>
      </c>
      <c r="H191" s="47" t="str">
        <f t="array" aca="1" ref="H191" ca="1">IF(ISNA(MATCH(A191,sheet2!A:A,0)),"⏳ Chưa test",IFERROR(INDEX(LEVEL_HELPER!A:A,MATCH(INDEX(sheet2!N:N,MATCH(A191,sheet2!A:A,0)),LEVEL_HELPER!B:B,0)),"⏳ Chưa test"))</f>
        <v>Foundation</v>
      </c>
      <c r="I191" s="47" t="str">
        <f t="array" aca="1" ref="I191" ca="1">IF(ISNA(MATCH(A191,sheet2!A:A,0)),H191,IF(INDEX(sheet2!O:O,MATCH(A191,sheet2!A:A,0))&gt;0,IFERROR(INDEX(LEVEL_HELPER!A:A,MATCH(INDEX(sheet2!O:O,MATCH(A191,sheet2!A:A,0)),LEVEL_HELPER!B:B,0)),H191),H191))</f>
        <v>Foundation</v>
      </c>
      <c r="J191" s="47" t="str">
        <f ca="1">IFERROR(_xludf.MAXIFS(ATTENDANCE_LOG!F:F, ATTENDANCE_LOG!C:C, A191&amp;"", ATTENDANCE_LOG!G:G, "Present"), "")</f>
        <v/>
      </c>
      <c r="K191" s="48" t="str">
        <f t="shared" ca="1" si="0"/>
        <v/>
      </c>
      <c r="L191" s="49" t="str">
        <f t="shared" ca="1" si="1"/>
        <v/>
      </c>
      <c r="M191" s="36" t="s">
        <v>34</v>
      </c>
      <c r="N191" s="50" t="s">
        <v>33</v>
      </c>
      <c r="O191" s="36"/>
      <c r="P191" s="36"/>
      <c r="Q191" s="36"/>
      <c r="R191" s="36"/>
      <c r="S191" s="36"/>
      <c r="T191" s="36"/>
      <c r="U191" s="36"/>
      <c r="V191" s="36"/>
      <c r="W191" s="59"/>
      <c r="X191" s="59"/>
      <c r="Y191" s="59"/>
    </row>
    <row r="192" spans="1:25" ht="15.75" customHeight="1">
      <c r="A192" s="42" t="s">
        <v>526</v>
      </c>
      <c r="B192" s="43" t="s">
        <v>527</v>
      </c>
      <c r="C192" s="44" t="str">
        <f ca="1">IFERROR(__xludf.DUMMYFUNCTION("arrayformula(VLOOKUP(to_Text(A192),to_Text(sheet2!$A$1:M1002),13,0))"),"MOC")</f>
        <v>MOC</v>
      </c>
      <c r="D192" s="45" t="str">
        <f ca="1">IFERROR(__xludf.DUMMYFUNCTION("arrayformula(VLOOKUP(to_Text(A192),to_Text(sheet2!$A$1:M1002),12,0))"),"DEV")</f>
        <v>DEV</v>
      </c>
      <c r="E192" s="43" t="s">
        <v>16</v>
      </c>
      <c r="F192" s="42" t="str">
        <f t="array" aca="1" ref="F192" ca="1">IFERROR(
  INDEX(ATTENDANCE_INPUT!D:D,
    MATCH(1,
      (ATTENDANCE_INPUT!A:A=A192) *
      (ATTENDANCE_INPUT!V:V=_xludf.MAXIFS(ATTENDANCE_INPUT!V:V, ATTENDANCE_INPUT!A:A, A192)),
      0)),
  "")</f>
        <v/>
      </c>
      <c r="G192" s="46" t="str">
        <f t="array" aca="1" ref="G192" ca="1">IFERROR(
  INDEX(ATTENDANCE_INPUT!E:E,
    MATCH(1,
      (ATTENDANCE_INPUT!A:A=A192) *
      (ATTENDANCE_INPUT!V:V=_xludf.MAXIFS(ATTENDANCE_INPUT!V:V, ATTENDANCE_INPUT!A:A, A192)),
      0)),
  "")</f>
        <v/>
      </c>
      <c r="H192" s="47" t="str">
        <f t="array" aca="1" ref="H192" ca="1">IF(ISNA(MATCH(A192,sheet2!A:A,0)),"⏳ Chưa test",IFERROR(INDEX(LEVEL_HELPER!A:A,MATCH(INDEX(sheet2!N:N,MATCH(A192,sheet2!A:A,0)),LEVEL_HELPER!B:B,0)),"⏳ Chưa test"))</f>
        <v>Beginner</v>
      </c>
      <c r="I192" s="47" t="str">
        <f t="array" aca="1" ref="I192" ca="1">IF(ISNA(MATCH(A192,sheet2!A:A,0)),H192,IF(INDEX(sheet2!O:O,MATCH(A192,sheet2!A:A,0))&gt;0,IFERROR(INDEX(LEVEL_HELPER!A:A,MATCH(INDEX(sheet2!O:O,MATCH(A192,sheet2!A:A,0)),LEVEL_HELPER!B:B,0)),H192),H192))</f>
        <v>Beginner</v>
      </c>
      <c r="J192" s="47" t="str">
        <f ca="1">IFERROR(_xludf.MAXIFS(ATTENDANCE_LOG!F:F, ATTENDANCE_LOG!C:C, A192&amp;"", ATTENDANCE_LOG!G:G, "Present"), "")</f>
        <v/>
      </c>
      <c r="K192" s="48" t="str">
        <f t="shared" ca="1" si="0"/>
        <v/>
      </c>
      <c r="L192" s="49" t="str">
        <f t="shared" ca="1" si="1"/>
        <v/>
      </c>
      <c r="M192" s="36" t="s">
        <v>34</v>
      </c>
      <c r="N192" s="50" t="s">
        <v>33</v>
      </c>
      <c r="O192" s="36"/>
      <c r="P192" s="36"/>
      <c r="Q192" s="36"/>
      <c r="R192" s="36"/>
      <c r="S192" s="36"/>
      <c r="T192" s="36"/>
      <c r="U192" s="36"/>
      <c r="V192" s="36"/>
      <c r="W192" s="59"/>
      <c r="X192" s="59"/>
      <c r="Y192" s="59"/>
    </row>
    <row r="193" spans="1:25" ht="15.75" customHeight="1">
      <c r="A193" s="42" t="s">
        <v>528</v>
      </c>
      <c r="B193" s="43" t="s">
        <v>529</v>
      </c>
      <c r="C193" s="44" t="str">
        <f ca="1">IFERROR(__xludf.DUMMYFUNCTION("arrayformula(VLOOKUP(to_Text(A193),to_Text(sheet2!$A$1:M1002),13,0))"),"TBU")</f>
        <v>TBU</v>
      </c>
      <c r="D193" s="45" t="str">
        <f ca="1">IFERROR(__xludf.DUMMYFUNCTION("arrayformula(VLOOKUP(to_Text(A193),to_Text(sheet2!$A$1:M1002),12,0))"),"DEV")</f>
        <v>DEV</v>
      </c>
      <c r="E193" s="43" t="s">
        <v>15</v>
      </c>
      <c r="F193" s="42" t="str">
        <f t="array" aca="1" ref="F193" ca="1">IFERROR(
  INDEX(ATTENDANCE_INPUT!D:D,
    MATCH(1,
      (ATTENDANCE_INPUT!A:A=A193) *
      (ATTENDANCE_INPUT!V:V=_xludf.MAXIFS(ATTENDANCE_INPUT!V:V, ATTENDANCE_INPUT!A:A, A193)),
      0)),
  "")</f>
        <v/>
      </c>
      <c r="G193" s="46" t="str">
        <f t="array" aca="1" ref="G193" ca="1">IFERROR(
  INDEX(ATTENDANCE_INPUT!E:E,
    MATCH(1,
      (ATTENDANCE_INPUT!A:A=A193) *
      (ATTENDANCE_INPUT!V:V=_xludf.MAXIFS(ATTENDANCE_INPUT!V:V, ATTENDANCE_INPUT!A:A, A193)),
      0)),
  "")</f>
        <v/>
      </c>
      <c r="H193" s="47" t="str">
        <f t="array" aca="1" ref="H193" ca="1">IF(ISNA(MATCH(A193,sheet2!A:A,0)),"⏳ Chưa test",IFERROR(INDEX(LEVEL_HELPER!A:A,MATCH(INDEX(sheet2!N:N,MATCH(A193,sheet2!A:A,0)),LEVEL_HELPER!B:B,0)),"⏳ Chưa test"))</f>
        <v>⏳ Chưa test</v>
      </c>
      <c r="I193" s="47" t="str">
        <f t="array" aca="1" ref="I193" ca="1">IF(ISNA(MATCH(A193,sheet2!A:A,0)),H193,IF(INDEX(sheet2!O:O,MATCH(A193,sheet2!A:A,0))&gt;0,IFERROR(INDEX(LEVEL_HELPER!A:A,MATCH(INDEX(sheet2!O:O,MATCH(A193,sheet2!A:A,0)),LEVEL_HELPER!B:B,0)),H193),H193))</f>
        <v>⏳ Chưa test</v>
      </c>
      <c r="J193" s="47" t="str">
        <f ca="1">IFERROR(_xludf.MAXIFS(ATTENDANCE_LOG!F:F, ATTENDANCE_LOG!C:C, A193&amp;"", ATTENDANCE_LOG!G:G, "Present"), "")</f>
        <v/>
      </c>
      <c r="K193" s="48" t="str">
        <f t="shared" ca="1" si="0"/>
        <v/>
      </c>
      <c r="L193" s="49" t="str">
        <f t="shared" ca="1" si="1"/>
        <v/>
      </c>
      <c r="M193" s="36"/>
      <c r="N193" s="50"/>
      <c r="O193" s="36"/>
      <c r="P193" s="36"/>
      <c r="Q193" s="36"/>
      <c r="R193" s="36">
        <v>193552</v>
      </c>
      <c r="S193" s="36" t="s">
        <v>121</v>
      </c>
      <c r="T193" s="36" t="s">
        <v>122</v>
      </c>
      <c r="U193" s="36" t="str">
        <f ca="1">IFERROR(__xludf.DUMMYFUNCTION("arrayformula(vlookup(to_text(R193),to_text($A$4:$B1131),2,0))"),"#N/A")</f>
        <v>#N/A</v>
      </c>
      <c r="V193" s="36"/>
      <c r="W193" s="59"/>
      <c r="X193" s="59"/>
      <c r="Y193" s="59"/>
    </row>
    <row r="194" spans="1:25" ht="15.75" customHeight="1">
      <c r="A194" s="42" t="s">
        <v>530</v>
      </c>
      <c r="B194" s="43" t="s">
        <v>531</v>
      </c>
      <c r="C194" s="44" t="str">
        <f ca="1">IFERROR(__xludf.DUMMYFUNCTION("arrayformula(VLOOKUP(to_Text(A194),to_Text(sheet2!$A$1:M1002),13,0))"),"MOC")</f>
        <v>MOC</v>
      </c>
      <c r="D194" s="45" t="str">
        <f ca="1">IFERROR(__xludf.DUMMYFUNCTION("arrayformula(VLOOKUP(to_Text(A194),to_Text(sheet2!$A$1:M1002),12,0))"),"DEV")</f>
        <v>DEV</v>
      </c>
      <c r="E194" s="43" t="str">
        <f t="shared" ref="E194:E195" ca="1" si="23">IF(L194="⚠ Possibly Dropped","Inactive","Active")</f>
        <v>Active</v>
      </c>
      <c r="F194" s="42" t="str">
        <f t="array" aca="1" ref="F194" ca="1">IFERROR(
  INDEX(ATTENDANCE_INPUT!D:D,
    MATCH(1,
      (ATTENDANCE_INPUT!A:A=A194) *
      (ATTENDANCE_INPUT!V:V=_xludf.MAXIFS(ATTENDANCE_INPUT!V:V, ATTENDANCE_INPUT!A:A, A194)),
      0)),
  "")</f>
        <v/>
      </c>
      <c r="G194" s="46" t="str">
        <f t="array" aca="1" ref="G194" ca="1">IFERROR(
  INDEX(ATTENDANCE_INPUT!E:E,
    MATCH(1,
      (ATTENDANCE_INPUT!A:A=A194) *
      (ATTENDANCE_INPUT!V:V=_xludf.MAXIFS(ATTENDANCE_INPUT!V:V, ATTENDANCE_INPUT!A:A, A194)),
      0)),
  "")</f>
        <v/>
      </c>
      <c r="H194" s="47" t="str">
        <f t="array" aca="1" ref="H194" ca="1">IF(ISNA(MATCH(A194,sheet2!A:A,0)),"⏳ Chưa test",IFERROR(INDEX(LEVEL_HELPER!A:A,MATCH(INDEX(sheet2!N:N,MATCH(A194,sheet2!A:A,0)),LEVEL_HELPER!B:B,0)),"⏳ Chưa test"))</f>
        <v>Beginner</v>
      </c>
      <c r="I194" s="47" t="str">
        <f t="array" aca="1" ref="I194" ca="1">IF(ISNA(MATCH(A194,sheet2!A:A,0)),H194,IF(INDEX(sheet2!O:O,MATCH(A194,sheet2!A:A,0))&gt;0,IFERROR(INDEX(LEVEL_HELPER!A:A,MATCH(INDEX(sheet2!O:O,MATCH(A194,sheet2!A:A,0)),LEVEL_HELPER!B:B,0)),H194),H194))</f>
        <v>Beginner</v>
      </c>
      <c r="J194" s="47" t="str">
        <f ca="1">IFERROR(_xludf.MAXIFS(ATTENDANCE_LOG!F:F, ATTENDANCE_LOG!C:C, A194&amp;"", ATTENDANCE_LOG!G:G, "Present"), "")</f>
        <v/>
      </c>
      <c r="K194" s="48" t="str">
        <f t="shared" ca="1" si="0"/>
        <v/>
      </c>
      <c r="L194" s="49" t="str">
        <f t="shared" ca="1" si="1"/>
        <v/>
      </c>
      <c r="M194" s="36"/>
      <c r="N194" s="50"/>
      <c r="O194" s="36"/>
      <c r="P194" s="36"/>
      <c r="Q194" s="36"/>
      <c r="R194" s="36"/>
      <c r="S194" s="36"/>
      <c r="T194" s="36"/>
      <c r="U194" s="36"/>
      <c r="V194" s="36"/>
      <c r="W194" s="59"/>
      <c r="X194" s="59"/>
      <c r="Y194" s="59"/>
    </row>
    <row r="195" spans="1:25" ht="15.75" customHeight="1">
      <c r="A195" s="42" t="s">
        <v>532</v>
      </c>
      <c r="B195" s="43" t="s">
        <v>533</v>
      </c>
      <c r="C195" s="44" t="str">
        <f ca="1">IFERROR(__xludf.DUMMYFUNCTION("arrayformula(VLOOKUP(to_Text(A195),to_Text(sheet2!$A$1:M1002),13,0))"),"TBU")</f>
        <v>TBU</v>
      </c>
      <c r="D195" s="45" t="str">
        <f ca="1">IFERROR(__xludf.DUMMYFUNCTION("arrayformula(VLOOKUP(to_Text(A195),to_Text(sheet2!$A$1:M1002),12,0))"),"GSD")</f>
        <v>GSD</v>
      </c>
      <c r="E195" s="43" t="str">
        <f t="shared" ca="1" si="23"/>
        <v>Active</v>
      </c>
      <c r="F195" s="42" t="str">
        <f t="array" aca="1" ref="F195" ca="1">IFERROR(
  INDEX(ATTENDANCE_INPUT!D:D,
    MATCH(1,
      (ATTENDANCE_INPUT!A:A=A195) *
      (ATTENDANCE_INPUT!V:V=_xludf.MAXIFS(ATTENDANCE_INPUT!V:V, ATTENDANCE_INPUT!A:A, A195)),
      0)),
  "")</f>
        <v/>
      </c>
      <c r="G195" s="46" t="str">
        <f t="array" aca="1" ref="G195" ca="1">IFERROR(
  INDEX(ATTENDANCE_INPUT!E:E,
    MATCH(1,
      (ATTENDANCE_INPUT!A:A=A195) *
      (ATTENDANCE_INPUT!V:V=_xludf.MAXIFS(ATTENDANCE_INPUT!V:V, ATTENDANCE_INPUT!A:A, A195)),
      0)),
  "")</f>
        <v/>
      </c>
      <c r="H195" s="47" t="str">
        <f t="array" aca="1" ref="H195" ca="1">IF(ISNA(MATCH(A195,sheet2!A:A,0)),"⏳ Chưa test",IFERROR(INDEX(LEVEL_HELPER!A:A,MATCH(INDEX(sheet2!N:N,MATCH(A195,sheet2!A:A,0)),LEVEL_HELPER!B:B,0)),"⏳ Chưa test"))</f>
        <v>Foundation</v>
      </c>
      <c r="I195" s="47" t="str">
        <f t="array" aca="1" ref="I195" ca="1">IF(ISNA(MATCH(A195,sheet2!A:A,0)),H195,IF(INDEX(sheet2!O:O,MATCH(A195,sheet2!A:A,0))&gt;0,IFERROR(INDEX(LEVEL_HELPER!A:A,MATCH(INDEX(sheet2!O:O,MATCH(A195,sheet2!A:A,0)),LEVEL_HELPER!B:B,0)),H195),H195))</f>
        <v>Foundation</v>
      </c>
      <c r="J195" s="47" t="str">
        <f ca="1">IFERROR(_xludf.MAXIFS(ATTENDANCE_LOG!F:F, ATTENDANCE_LOG!C:C, A195&amp;"", ATTENDANCE_LOG!G:G, "Present"), "")</f>
        <v/>
      </c>
      <c r="K195" s="48" t="str">
        <f t="shared" ca="1" si="0"/>
        <v/>
      </c>
      <c r="L195" s="49" t="str">
        <f t="shared" ca="1" si="1"/>
        <v/>
      </c>
      <c r="M195" s="36" t="s">
        <v>34</v>
      </c>
      <c r="N195" s="50" t="s">
        <v>35</v>
      </c>
      <c r="O195" s="36"/>
      <c r="P195" s="36"/>
      <c r="Q195" s="36"/>
      <c r="R195" s="36"/>
      <c r="S195" s="36"/>
      <c r="T195" s="36"/>
      <c r="U195" s="36"/>
      <c r="V195" s="36"/>
      <c r="W195" s="59"/>
      <c r="X195" s="59"/>
      <c r="Y195" s="59"/>
    </row>
    <row r="196" spans="1:25" ht="15.75" customHeight="1">
      <c r="A196" s="42" t="s">
        <v>534</v>
      </c>
      <c r="B196" s="43" t="s">
        <v>535</v>
      </c>
      <c r="C196" s="44" t="str">
        <f ca="1">IFERROR(__xludf.DUMMYFUNCTION("arrayformula(VLOOKUP(to_Text(A196),to_Text(sheet2!$A$1:M1002),13,0))"),"LBU")</f>
        <v>LBU</v>
      </c>
      <c r="D196" s="45" t="str">
        <f ca="1">IFERROR(__xludf.DUMMYFUNCTION("arrayformula(VLOOKUP(to_Text(A196),to_Text(sheet2!$A$1:M1002),12,0))"),"QC")</f>
        <v>QC</v>
      </c>
      <c r="E196" s="43" t="s">
        <v>16</v>
      </c>
      <c r="F196" s="42" t="str">
        <f t="array" aca="1" ref="F196" ca="1">IFERROR(
  INDEX(ATTENDANCE_INPUT!D:D,
    MATCH(1,
      (ATTENDANCE_INPUT!A:A=A196) *
      (ATTENDANCE_INPUT!V:V=_xludf.MAXIFS(ATTENDANCE_INPUT!V:V, ATTENDANCE_INPUT!A:A, A196)),
      0)),
  "")</f>
        <v/>
      </c>
      <c r="G196" s="46" t="str">
        <f t="array" aca="1" ref="G196" ca="1">IFERROR(
  INDEX(ATTENDANCE_INPUT!E:E,
    MATCH(1,
      (ATTENDANCE_INPUT!A:A=A196) *
      (ATTENDANCE_INPUT!V:V=_xludf.MAXIFS(ATTENDANCE_INPUT!V:V, ATTENDANCE_INPUT!A:A, A196)),
      0)),
  "")</f>
        <v/>
      </c>
      <c r="H196" s="47" t="str">
        <f t="array" aca="1" ref="H196" ca="1">IF(ISNA(MATCH(A196,sheet2!A:A,0)),"⏳ Chưa test",IFERROR(INDEX(LEVEL_HELPER!A:A,MATCH(INDEX(sheet2!N:N,MATCH(A196,sheet2!A:A,0)),LEVEL_HELPER!B:B,0)),"⏳ Chưa test"))</f>
        <v>Beginner</v>
      </c>
      <c r="I196" s="47" t="str">
        <f t="array" aca="1" ref="I196" ca="1">IF(ISNA(MATCH(A196,sheet2!A:A,0)),H196,IF(INDEX(sheet2!O:O,MATCH(A196,sheet2!A:A,0))&gt;0,IFERROR(INDEX(LEVEL_HELPER!A:A,MATCH(INDEX(sheet2!O:O,MATCH(A196,sheet2!A:A,0)),LEVEL_HELPER!B:B,0)),H196),H196))</f>
        <v>Beginner</v>
      </c>
      <c r="J196" s="47" t="str">
        <f ca="1">IFERROR(_xludf.MAXIFS(ATTENDANCE_LOG!F:F, ATTENDANCE_LOG!C:C, A196&amp;"", ATTENDANCE_LOG!G:G, "Present"), "")</f>
        <v/>
      </c>
      <c r="K196" s="48" t="str">
        <f t="shared" ca="1" si="0"/>
        <v/>
      </c>
      <c r="L196" s="49" t="str">
        <f t="shared" ca="1" si="1"/>
        <v/>
      </c>
      <c r="M196" s="36" t="s">
        <v>34</v>
      </c>
      <c r="N196" s="50" t="s">
        <v>33</v>
      </c>
      <c r="O196" s="36"/>
      <c r="P196" s="36"/>
      <c r="Q196" s="36"/>
      <c r="R196" s="36">
        <v>247282</v>
      </c>
      <c r="S196" s="36" t="s">
        <v>146</v>
      </c>
      <c r="T196" s="36" t="s">
        <v>33</v>
      </c>
      <c r="U196" s="36" t="e">
        <v>#N/A</v>
      </c>
      <c r="V196" s="36"/>
      <c r="W196" s="59"/>
      <c r="X196" s="59"/>
      <c r="Y196" s="59"/>
    </row>
    <row r="197" spans="1:25" ht="15.75" customHeight="1">
      <c r="A197" s="42" t="s">
        <v>536</v>
      </c>
      <c r="B197" s="43" t="s">
        <v>537</v>
      </c>
      <c r="C197" s="44" t="str">
        <f ca="1">IFERROR(__xludf.DUMMYFUNCTION("arrayformula(VLOOKUP(to_Text(A197),to_Text(sheet2!$A$1:M1002),13,0))"),"POC")</f>
        <v>POC</v>
      </c>
      <c r="D197" s="45" t="str">
        <f ca="1">IFERROR(__xludf.DUMMYFUNCTION("arrayformula(VLOOKUP(to_Text(A197),to_Text(sheet2!$A$1:M1002),12,0))"),"GSD")</f>
        <v>GSD</v>
      </c>
      <c r="E197" s="43" t="str">
        <f t="shared" ref="E197:E202" ca="1" si="24">IF(L197="⚠ Possibly Dropped","Inactive","Active")</f>
        <v>Active</v>
      </c>
      <c r="F197" s="42" t="str">
        <f t="array" aca="1" ref="F197" ca="1">IFERROR(
  INDEX(ATTENDANCE_INPUT!D:D,
    MATCH(1,
      (ATTENDANCE_INPUT!A:A=A197) *
      (ATTENDANCE_INPUT!V:V=_xludf.MAXIFS(ATTENDANCE_INPUT!V:V, ATTENDANCE_INPUT!A:A, A197)),
      0)),
  "")</f>
        <v/>
      </c>
      <c r="G197" s="46" t="str">
        <f t="array" aca="1" ref="G197" ca="1">IFERROR(
  INDEX(ATTENDANCE_INPUT!E:E,
    MATCH(1,
      (ATTENDANCE_INPUT!A:A=A197) *
      (ATTENDANCE_INPUT!V:V=_xludf.MAXIFS(ATTENDANCE_INPUT!V:V, ATTENDANCE_INPUT!A:A, A197)),
      0)),
  "")</f>
        <v/>
      </c>
      <c r="H197" s="47" t="str">
        <f t="array" aca="1" ref="H197" ca="1">IF(ISNA(MATCH(A197,sheet2!A:A,0)),"⏳ Chưa test",IFERROR(INDEX(LEVEL_HELPER!A:A,MATCH(INDEX(sheet2!N:N,MATCH(A197,sheet2!A:A,0)),LEVEL_HELPER!B:B,0)),"⏳ Chưa test"))</f>
        <v>Beginner</v>
      </c>
      <c r="I197" s="47" t="str">
        <f t="array" aca="1" ref="I197" ca="1">IF(ISNA(MATCH(A197,sheet2!A:A,0)),H197,IF(INDEX(sheet2!O:O,MATCH(A197,sheet2!A:A,0))&gt;0,IFERROR(INDEX(LEVEL_HELPER!A:A,MATCH(INDEX(sheet2!O:O,MATCH(A197,sheet2!A:A,0)),LEVEL_HELPER!B:B,0)),H197),H197))</f>
        <v>Beginner</v>
      </c>
      <c r="J197" s="47" t="str">
        <f ca="1">IFERROR(_xludf.MAXIFS(ATTENDANCE_LOG!F:F, ATTENDANCE_LOG!C:C, A197&amp;"", ATTENDANCE_LOG!G:G, "Present"), "")</f>
        <v/>
      </c>
      <c r="K197" s="48" t="str">
        <f t="shared" ca="1" si="0"/>
        <v/>
      </c>
      <c r="L197" s="49" t="str">
        <f t="shared" ca="1" si="1"/>
        <v/>
      </c>
      <c r="M197" s="36"/>
      <c r="N197" s="50"/>
      <c r="O197" s="36"/>
      <c r="P197" s="36"/>
      <c r="Q197" s="36"/>
      <c r="R197" s="36"/>
      <c r="S197" s="36"/>
      <c r="T197" s="36"/>
      <c r="U197" s="36"/>
      <c r="V197" s="36"/>
      <c r="W197" s="59"/>
      <c r="X197" s="59"/>
      <c r="Y197" s="59"/>
    </row>
    <row r="198" spans="1:25" ht="15.75" customHeight="1">
      <c r="A198" s="42" t="s">
        <v>538</v>
      </c>
      <c r="B198" s="43" t="s">
        <v>539</v>
      </c>
      <c r="C198" s="44" t="str">
        <f ca="1">IFERROR(__xludf.DUMMYFUNCTION("arrayformula(VLOOKUP(to_Text(A198),to_Text(sheet2!$A$1:M1002),13,0))"),"MOC")</f>
        <v>MOC</v>
      </c>
      <c r="D198" s="45" t="str">
        <f ca="1">IFERROR(__xludf.DUMMYFUNCTION("arrayformula(VLOOKUP(to_Text(A198),to_Text(sheet2!$A$1:M1002),12,0))"),"DEV")</f>
        <v>DEV</v>
      </c>
      <c r="E198" s="43" t="str">
        <f t="shared" ca="1" si="24"/>
        <v>Active</v>
      </c>
      <c r="F198" s="42" t="str">
        <f t="array" aca="1" ref="F198" ca="1">IFERROR(
  INDEX(ATTENDANCE_INPUT!D:D,
    MATCH(1,
      (ATTENDANCE_INPUT!A:A=A198) *
      (ATTENDANCE_INPUT!V:V=_xludf.MAXIFS(ATTENDANCE_INPUT!V:V, ATTENDANCE_INPUT!A:A, A198)),
      0)),
  "")</f>
        <v/>
      </c>
      <c r="G198" s="46" t="str">
        <f t="array" aca="1" ref="G198" ca="1">IFERROR(
  INDEX(ATTENDANCE_INPUT!E:E,
    MATCH(1,
      (ATTENDANCE_INPUT!A:A=A198) *
      (ATTENDANCE_INPUT!V:V=_xludf.MAXIFS(ATTENDANCE_INPUT!V:V, ATTENDANCE_INPUT!A:A, A198)),
      0)),
  "")</f>
        <v/>
      </c>
      <c r="H198" s="47" t="str">
        <f t="array" aca="1" ref="H198" ca="1">IF(ISNA(MATCH(A198,sheet2!A:A,0)),"⏳ Chưa test",IFERROR(INDEX(LEVEL_HELPER!A:A,MATCH(INDEX(sheet2!N:N,MATCH(A198,sheet2!A:A,0)),LEVEL_HELPER!B:B,0)),"⏳ Chưa test"))</f>
        <v>Foundation</v>
      </c>
      <c r="I198" s="47" t="str">
        <f t="array" aca="1" ref="I198" ca="1">IF(ISNA(MATCH(A198,sheet2!A:A,0)),H198,IF(INDEX(sheet2!O:O,MATCH(A198,sheet2!A:A,0))&gt;0,IFERROR(INDEX(LEVEL_HELPER!A:A,MATCH(INDEX(sheet2!O:O,MATCH(A198,sheet2!A:A,0)),LEVEL_HELPER!B:B,0)),H198),H198))</f>
        <v>Foundation</v>
      </c>
      <c r="J198" s="47" t="str">
        <f ca="1">IFERROR(_xludf.MAXIFS(ATTENDANCE_LOG!F:F, ATTENDANCE_LOG!C:C, A198&amp;"", ATTENDANCE_LOG!G:G, "Present"), "")</f>
        <v/>
      </c>
      <c r="K198" s="48" t="str">
        <f t="shared" ca="1" si="0"/>
        <v/>
      </c>
      <c r="L198" s="49" t="str">
        <f t="shared" ca="1" si="1"/>
        <v/>
      </c>
      <c r="M198" s="36"/>
      <c r="N198" s="50"/>
      <c r="O198" s="36" t="s">
        <v>540</v>
      </c>
      <c r="P198" s="36"/>
      <c r="Q198" s="36"/>
      <c r="R198" s="36"/>
      <c r="S198" s="36"/>
      <c r="T198" s="36"/>
      <c r="U198" s="36"/>
      <c r="V198" s="36"/>
      <c r="W198" s="59"/>
      <c r="X198" s="59"/>
      <c r="Y198" s="59"/>
    </row>
    <row r="199" spans="1:25" ht="15.75" customHeight="1">
      <c r="A199" s="42" t="s">
        <v>541</v>
      </c>
      <c r="B199" s="43" t="s">
        <v>542</v>
      </c>
      <c r="C199" s="44" t="str">
        <f ca="1">IFERROR(__xludf.DUMMYFUNCTION("arrayformula(VLOOKUP(to_Text(A199),to_Text(sheet2!$A$1:M1002),13,0))"),"CHORUS")</f>
        <v>CHORUS</v>
      </c>
      <c r="D199" s="45" t="str">
        <f ca="1">IFERROR(__xludf.DUMMYFUNCTION("arrayformula(VLOOKUP(to_Text(A199),to_Text(sheet2!$A$1:M1002),12,0))"),"SM")</f>
        <v>SM</v>
      </c>
      <c r="E199" s="43" t="str">
        <f t="shared" ca="1" si="24"/>
        <v>Active</v>
      </c>
      <c r="F199" s="42" t="str">
        <f t="array" aca="1" ref="F199" ca="1">IFERROR(
  INDEX(ATTENDANCE_INPUT!D:D,
    MATCH(1,
      (ATTENDANCE_INPUT!A:A=A199) *
      (ATTENDANCE_INPUT!V:V=_xludf.MAXIFS(ATTENDANCE_INPUT!V:V, ATTENDANCE_INPUT!A:A, A199)),
      0)),
  "")</f>
        <v/>
      </c>
      <c r="G199" s="46" t="str">
        <f t="array" aca="1" ref="G199" ca="1">IFERROR(
  INDEX(ATTENDANCE_INPUT!E:E,
    MATCH(1,
      (ATTENDANCE_INPUT!A:A=A199) *
      (ATTENDANCE_INPUT!V:V=_xludf.MAXIFS(ATTENDANCE_INPUT!V:V, ATTENDANCE_INPUT!A:A, A199)),
      0)),
  "")</f>
        <v/>
      </c>
      <c r="H199" s="47" t="str">
        <f t="array" aca="1" ref="H199" ca="1">IF(ISNA(MATCH(A199,sheet2!A:A,0)),"⏳ Chưa test",IFERROR(INDEX(LEVEL_HELPER!A:A,MATCH(INDEX(sheet2!N:N,MATCH(A199,sheet2!A:A,0)),LEVEL_HELPER!B:B,0)),"⏳ Chưa test"))</f>
        <v>Beginner</v>
      </c>
      <c r="I199" s="47" t="str">
        <f t="array" aca="1" ref="I199" ca="1">IF(ISNA(MATCH(A199,sheet2!A:A,0)),H199,IF(INDEX(sheet2!O:O,MATCH(A199,sheet2!A:A,0))&gt;0,IFERROR(INDEX(LEVEL_HELPER!A:A,MATCH(INDEX(sheet2!O:O,MATCH(A199,sheet2!A:A,0)),LEVEL_HELPER!B:B,0)),H199),H199))</f>
        <v>Beginner</v>
      </c>
      <c r="J199" s="47" t="str">
        <f ca="1">IFERROR(_xludf.MAXIFS(ATTENDANCE_LOG!F:F, ATTENDANCE_LOG!C:C, A199&amp;"", ATTENDANCE_LOG!G:G, "Present"), "")</f>
        <v/>
      </c>
      <c r="K199" s="48" t="str">
        <f t="shared" ca="1" si="0"/>
        <v/>
      </c>
      <c r="L199" s="49" t="str">
        <f t="shared" ca="1" si="1"/>
        <v/>
      </c>
      <c r="M199" s="36" t="s">
        <v>36</v>
      </c>
      <c r="N199" s="50" t="s">
        <v>37</v>
      </c>
      <c r="O199" s="36"/>
      <c r="P199" s="36"/>
      <c r="Q199" s="36"/>
      <c r="R199" s="36"/>
      <c r="S199" s="36"/>
      <c r="T199" s="36"/>
      <c r="U199" s="36"/>
      <c r="V199" s="36"/>
      <c r="W199" s="59"/>
      <c r="X199" s="59"/>
      <c r="Y199" s="59"/>
    </row>
    <row r="200" spans="1:25" ht="15.75" customHeight="1">
      <c r="A200" s="42" t="s">
        <v>543</v>
      </c>
      <c r="B200" s="43" t="s">
        <v>544</v>
      </c>
      <c r="C200" s="44" t="str">
        <f ca="1">IFERROR(__xludf.DUMMYFUNCTION("arrayformula(VLOOKUP(to_Text(A200),to_Text(sheet2!$A$1:M1002),13,0))"),"ONC")</f>
        <v>ONC</v>
      </c>
      <c r="D200" s="45" t="str">
        <f ca="1">IFERROR(__xludf.DUMMYFUNCTION("arrayformula(VLOOKUP(to_Text(A200),to_Text(sheet2!$A$1:M1002),12,0))"),"DEV")</f>
        <v>DEV</v>
      </c>
      <c r="E200" s="43" t="str">
        <f t="shared" ca="1" si="24"/>
        <v>Active</v>
      </c>
      <c r="F200" s="42" t="str">
        <f t="array" aca="1" ref="F200" ca="1">IFERROR(
  INDEX(ATTENDANCE_INPUT!D:D,
    MATCH(1,
      (ATTENDANCE_INPUT!A:A=A200) *
      (ATTENDANCE_INPUT!V:V=_xludf.MAXIFS(ATTENDANCE_INPUT!V:V, ATTENDANCE_INPUT!A:A, A200)),
      0)),
  "")</f>
        <v/>
      </c>
      <c r="G200" s="46" t="str">
        <f t="array" aca="1" ref="G200" ca="1">IFERROR(
  INDEX(ATTENDANCE_INPUT!E:E,
    MATCH(1,
      (ATTENDANCE_INPUT!A:A=A200) *
      (ATTENDANCE_INPUT!V:V=_xludf.MAXIFS(ATTENDANCE_INPUT!V:V, ATTENDANCE_INPUT!A:A, A200)),
      0)),
  "")</f>
        <v/>
      </c>
      <c r="H200" s="47" t="str">
        <f t="array" aca="1" ref="H200" ca="1">IF(ISNA(MATCH(A200,sheet2!A:A,0)),"⏳ Chưa test",IFERROR(INDEX(LEVEL_HELPER!A:A,MATCH(INDEX(sheet2!N:N,MATCH(A200,sheet2!A:A,0)),LEVEL_HELPER!B:B,0)),"⏳ Chưa test"))</f>
        <v>Pre-Intermediate 1</v>
      </c>
      <c r="I200" s="47" t="str">
        <f t="array" aca="1" ref="I200" ca="1">IF(ISNA(MATCH(A200,sheet2!A:A,0)),H200,IF(INDEX(sheet2!O:O,MATCH(A200,sheet2!A:A,0))&gt;0,IFERROR(INDEX(LEVEL_HELPER!A:A,MATCH(INDEX(sheet2!O:O,MATCH(A200,sheet2!A:A,0)),LEVEL_HELPER!B:B,0)),H200),H200))</f>
        <v>Pre-Intermediate 1</v>
      </c>
      <c r="J200" s="47" t="str">
        <f ca="1">IFERROR(_xludf.MAXIFS(ATTENDANCE_LOG!F:F, ATTENDANCE_LOG!C:C, A200&amp;"", ATTENDANCE_LOG!G:G, "Present"), "")</f>
        <v/>
      </c>
      <c r="K200" s="48" t="str">
        <f t="shared" ca="1" si="0"/>
        <v/>
      </c>
      <c r="L200" s="49" t="str">
        <f t="shared" ca="1" si="1"/>
        <v/>
      </c>
      <c r="M200" s="36"/>
      <c r="N200" s="50"/>
      <c r="O200" s="36"/>
      <c r="P200" s="36"/>
      <c r="Q200" s="36"/>
      <c r="R200" s="36"/>
      <c r="S200" s="36"/>
      <c r="T200" s="36"/>
      <c r="U200" s="36"/>
      <c r="V200" s="36"/>
      <c r="W200" s="59"/>
      <c r="X200" s="59"/>
      <c r="Y200" s="59"/>
    </row>
    <row r="201" spans="1:25" ht="15.75" customHeight="1">
      <c r="A201" s="42" t="s">
        <v>545</v>
      </c>
      <c r="B201" s="43" t="s">
        <v>546</v>
      </c>
      <c r="C201" s="44" t="str">
        <f ca="1">IFERROR(__xludf.DUMMYFUNCTION("arrayformula(VLOOKUP(to_Text(A201),to_Text(sheet2!$A$1:M1002),13,0))"),"POC")</f>
        <v>POC</v>
      </c>
      <c r="D201" s="45" t="str">
        <f ca="1">IFERROR(__xludf.DUMMYFUNCTION("arrayformula(VLOOKUP(to_Text(A201),to_Text(sheet2!$A$1:M1002),12,0))"),"GSD")</f>
        <v>GSD</v>
      </c>
      <c r="E201" s="43" t="str">
        <f t="shared" ca="1" si="24"/>
        <v>Active</v>
      </c>
      <c r="F201" s="42" t="str">
        <f t="array" aca="1" ref="F201" ca="1">IFERROR(
  INDEX(ATTENDANCE_INPUT!D:D,
    MATCH(1,
      (ATTENDANCE_INPUT!A:A=A201) *
      (ATTENDANCE_INPUT!V:V=_xludf.MAXIFS(ATTENDANCE_INPUT!V:V, ATTENDANCE_INPUT!A:A, A201)),
      0)),
  "")</f>
        <v/>
      </c>
      <c r="G201" s="46" t="str">
        <f t="array" aca="1" ref="G201" ca="1">IFERROR(
  INDEX(ATTENDANCE_INPUT!E:E,
    MATCH(1,
      (ATTENDANCE_INPUT!A:A=A201) *
      (ATTENDANCE_INPUT!V:V=_xludf.MAXIFS(ATTENDANCE_INPUT!V:V, ATTENDANCE_INPUT!A:A, A201)),
      0)),
  "")</f>
        <v/>
      </c>
      <c r="H201" s="47" t="str">
        <f t="array" aca="1" ref="H201" ca="1">IF(ISNA(MATCH(A201,sheet2!A:A,0)),"⏳ Chưa test",IFERROR(INDEX(LEVEL_HELPER!A:A,MATCH(INDEX(sheet2!N:N,MATCH(A201,sheet2!A:A,0)),LEVEL_HELPER!B:B,0)),"⏳ Chưa test"))</f>
        <v>Foundation</v>
      </c>
      <c r="I201" s="47" t="str">
        <f t="array" aca="1" ref="I201" ca="1">IF(ISNA(MATCH(A201,sheet2!A:A,0)),H201,IF(INDEX(sheet2!O:O,MATCH(A201,sheet2!A:A,0))&gt;0,IFERROR(INDEX(LEVEL_HELPER!A:A,MATCH(INDEX(sheet2!O:O,MATCH(A201,sheet2!A:A,0)),LEVEL_HELPER!B:B,0)),H201),H201))</f>
        <v>Foundation</v>
      </c>
      <c r="J201" s="47" t="str">
        <f ca="1">IFERROR(_xludf.MAXIFS(ATTENDANCE_LOG!F:F, ATTENDANCE_LOG!C:C, A201&amp;"", ATTENDANCE_LOG!G:G, "Present"), "")</f>
        <v/>
      </c>
      <c r="K201" s="48" t="str">
        <f t="shared" ca="1" si="0"/>
        <v/>
      </c>
      <c r="L201" s="49" t="str">
        <f t="shared" ca="1" si="1"/>
        <v/>
      </c>
      <c r="M201" s="36"/>
      <c r="N201" s="50"/>
      <c r="O201" s="36"/>
      <c r="P201" s="36"/>
      <c r="Q201" s="36"/>
      <c r="R201" s="36"/>
      <c r="S201" s="36"/>
      <c r="T201" s="36"/>
      <c r="U201" s="36"/>
      <c r="V201" s="36"/>
      <c r="W201" s="59"/>
      <c r="X201" s="59"/>
      <c r="Y201" s="59"/>
    </row>
    <row r="202" spans="1:25" ht="15.75" customHeight="1">
      <c r="A202" s="42" t="s">
        <v>547</v>
      </c>
      <c r="B202" s="43" t="s">
        <v>548</v>
      </c>
      <c r="C202" s="44" t="str">
        <f ca="1">IFERROR(__xludf.DUMMYFUNCTION("arrayformula(VLOOKUP(to_Text(A202),to_Text(sheet2!$A$1:M1002),13,0))"),"LBU")</f>
        <v>LBU</v>
      </c>
      <c r="D202" s="45" t="str">
        <f ca="1">IFERROR(__xludf.DUMMYFUNCTION("arrayformula(VLOOKUP(to_Text(A202),to_Text(sheet2!$A$1:M1002),12,0))"),"GSD")</f>
        <v>GSD</v>
      </c>
      <c r="E202" s="43" t="str">
        <f t="shared" ca="1" si="24"/>
        <v>Active</v>
      </c>
      <c r="F202" s="42" t="str">
        <f t="array" aca="1" ref="F202" ca="1">IFERROR(
  INDEX(ATTENDANCE_INPUT!D:D,
    MATCH(1,
      (ATTENDANCE_INPUT!A:A=A202) *
      (ATTENDANCE_INPUT!V:V=_xludf.MAXIFS(ATTENDANCE_INPUT!V:V, ATTENDANCE_INPUT!A:A, A202)),
      0)),
  "")</f>
        <v/>
      </c>
      <c r="G202" s="46" t="str">
        <f t="array" aca="1" ref="G202" ca="1">IFERROR(
  INDEX(ATTENDANCE_INPUT!E:E,
    MATCH(1,
      (ATTENDANCE_INPUT!A:A=A202) *
      (ATTENDANCE_INPUT!V:V=_xludf.MAXIFS(ATTENDANCE_INPUT!V:V, ATTENDANCE_INPUT!A:A, A202)),
      0)),
  "")</f>
        <v/>
      </c>
      <c r="H202" s="47" t="str">
        <f t="array" aca="1" ref="H202" ca="1">IF(ISNA(MATCH(A202,sheet2!A:A,0)),"⏳ Chưa test",IFERROR(INDEX(LEVEL_HELPER!A:A,MATCH(INDEX(sheet2!N:N,MATCH(A202,sheet2!A:A,0)),LEVEL_HELPER!B:B,0)),"⏳ Chưa test"))</f>
        <v>Intermediate</v>
      </c>
      <c r="I202" s="47" t="str">
        <f t="array" aca="1" ref="I202" ca="1">IF(ISNA(MATCH(A202,sheet2!A:A,0)),H202,IF(INDEX(sheet2!O:O,MATCH(A202,sheet2!A:A,0))&gt;0,IFERROR(INDEX(LEVEL_HELPER!A:A,MATCH(INDEX(sheet2!O:O,MATCH(A202,sheet2!A:A,0)),LEVEL_HELPER!B:B,0)),H202),H202))</f>
        <v>Intermediate</v>
      </c>
      <c r="J202" s="47" t="str">
        <f ca="1">IFERROR(_xludf.MAXIFS(ATTENDANCE_LOG!F:F, ATTENDANCE_LOG!C:C, A202&amp;"", ATTENDANCE_LOG!G:G, "Present"), "")</f>
        <v/>
      </c>
      <c r="K202" s="48" t="str">
        <f t="shared" ca="1" si="0"/>
        <v/>
      </c>
      <c r="L202" s="49" t="str">
        <f t="shared" ca="1" si="1"/>
        <v/>
      </c>
      <c r="M202" s="36"/>
      <c r="N202" s="50"/>
      <c r="O202" s="36"/>
      <c r="P202" s="36"/>
      <c r="Q202" s="36"/>
      <c r="R202" s="36">
        <v>213812</v>
      </c>
      <c r="S202" s="36" t="s">
        <v>178</v>
      </c>
      <c r="T202" s="36" t="s">
        <v>179</v>
      </c>
      <c r="U202" s="36" t="str">
        <f ca="1">IFERROR(__xludf.DUMMYFUNCTION("arrayformula(vlookup(to_text(R202),to_text($A$4:$B1152),2,0))"),"#N/A")</f>
        <v>#N/A</v>
      </c>
      <c r="V202" s="36"/>
      <c r="W202" s="59"/>
      <c r="X202" s="59"/>
      <c r="Y202" s="59"/>
    </row>
    <row r="203" spans="1:25" ht="15.75" customHeight="1">
      <c r="A203" s="42" t="s">
        <v>549</v>
      </c>
      <c r="B203" s="43" t="s">
        <v>550</v>
      </c>
      <c r="C203" s="44" t="str">
        <f ca="1">IFERROR(__xludf.DUMMYFUNCTION("arrayformula(VLOOKUP(to_Text(A203),to_Text(sheet2!$A$1:M1002),13,0))"),"CHORUS")</f>
        <v>CHORUS</v>
      </c>
      <c r="D203" s="45" t="str">
        <f ca="1">IFERROR(__xludf.DUMMYFUNCTION("arrayformula(VLOOKUP(to_Text(A203),to_Text(sheet2!$A$1:M1002),12,0))"),"DEV")</f>
        <v>DEV</v>
      </c>
      <c r="E203" s="43" t="s">
        <v>16</v>
      </c>
      <c r="F203" s="42" t="str">
        <f t="array" aca="1" ref="F203" ca="1">IFERROR(
  INDEX(ATTENDANCE_INPUT!D:D,
    MATCH(1,
      (ATTENDANCE_INPUT!A:A=A203) *
      (ATTENDANCE_INPUT!V:V=_xludf.MAXIFS(ATTENDANCE_INPUT!V:V, ATTENDANCE_INPUT!A:A, A203)),
      0)),
  "")</f>
        <v/>
      </c>
      <c r="G203" s="46" t="str">
        <f t="array" aca="1" ref="G203" ca="1">IFERROR(
  INDEX(ATTENDANCE_INPUT!E:E,
    MATCH(1,
      (ATTENDANCE_INPUT!A:A=A203) *
      (ATTENDANCE_INPUT!V:V=_xludf.MAXIFS(ATTENDANCE_INPUT!V:V, ATTENDANCE_INPUT!A:A, A203)),
      0)),
  "")</f>
        <v/>
      </c>
      <c r="H203" s="47" t="str">
        <f t="array" aca="1" ref="H203" ca="1">IF(ISNA(MATCH(A203,sheet2!A:A,0)),"⏳ Chưa test",IFERROR(INDEX(LEVEL_HELPER!A:A,MATCH(INDEX(sheet2!N:N,MATCH(A203,sheet2!A:A,0)),LEVEL_HELPER!B:B,0)),"⏳ Chưa test"))</f>
        <v>Pre-Intermediate</v>
      </c>
      <c r="I203" s="47" t="str">
        <f t="array" aca="1" ref="I203" ca="1">IF(ISNA(MATCH(A203,sheet2!A:A,0)),H203,IF(INDEX(sheet2!O:O,MATCH(A203,sheet2!A:A,0))&gt;0,IFERROR(INDEX(LEVEL_HELPER!A:A,MATCH(INDEX(sheet2!O:O,MATCH(A203,sheet2!A:A,0)),LEVEL_HELPER!B:B,0)),H203),H203))</f>
        <v>Pre-Intermediate</v>
      </c>
      <c r="J203" s="47" t="str">
        <f ca="1">IFERROR(_xludf.MAXIFS(ATTENDANCE_LOG!F:F, ATTENDANCE_LOG!C:C, A203&amp;"", ATTENDANCE_LOG!G:G, "Present"), "")</f>
        <v/>
      </c>
      <c r="K203" s="48" t="str">
        <f t="shared" ca="1" si="0"/>
        <v/>
      </c>
      <c r="L203" s="49" t="str">
        <f t="shared" ca="1" si="1"/>
        <v/>
      </c>
      <c r="M203" s="36" t="s">
        <v>34</v>
      </c>
      <c r="N203" s="50" t="s">
        <v>37</v>
      </c>
      <c r="O203" s="36"/>
      <c r="P203" s="36"/>
      <c r="Q203" s="36"/>
      <c r="R203" s="36"/>
      <c r="S203" s="36"/>
      <c r="T203" s="36"/>
      <c r="U203" s="36"/>
      <c r="V203" s="36"/>
      <c r="W203" s="59"/>
      <c r="X203" s="59"/>
      <c r="Y203" s="59"/>
    </row>
    <row r="204" spans="1:25" ht="15.75" customHeight="1">
      <c r="A204" s="42" t="s">
        <v>551</v>
      </c>
      <c r="B204" s="43" t="s">
        <v>552</v>
      </c>
      <c r="C204" s="44" t="str">
        <f ca="1">IFERROR(__xludf.DUMMYFUNCTION("arrayformula(VLOOKUP(to_Text(A204),to_Text(sheet2!$A$1:M1002),13,0))"),"TBU")</f>
        <v>TBU</v>
      </c>
      <c r="D204" s="45" t="str">
        <f ca="1">IFERROR(__xludf.DUMMYFUNCTION("arrayformula(VLOOKUP(to_Text(A204),to_Text(sheet2!$A$1:M1002),12,0))"),"GSD")</f>
        <v>GSD</v>
      </c>
      <c r="E204" s="43" t="s">
        <v>16</v>
      </c>
      <c r="F204" s="42" t="str">
        <f t="array" aca="1" ref="F204" ca="1">IFERROR(
  INDEX(ATTENDANCE_INPUT!D:D,
    MATCH(1,
      (ATTENDANCE_INPUT!A:A=A204) *
      (ATTENDANCE_INPUT!V:V=_xludf.MAXIFS(ATTENDANCE_INPUT!V:V, ATTENDANCE_INPUT!A:A, A204)),
      0)),
  "")</f>
        <v/>
      </c>
      <c r="G204" s="46" t="str">
        <f t="array" aca="1" ref="G204" ca="1">IFERROR(
  INDEX(ATTENDANCE_INPUT!E:E,
    MATCH(1,
      (ATTENDANCE_INPUT!A:A=A204) *
      (ATTENDANCE_INPUT!V:V=_xludf.MAXIFS(ATTENDANCE_INPUT!V:V, ATTENDANCE_INPUT!A:A, A204)),
      0)),
  "")</f>
        <v/>
      </c>
      <c r="H204" s="47" t="str">
        <f t="array" aca="1" ref="H204" ca="1">IF(ISNA(MATCH(A204,sheet2!A:A,0)),"⏳ Chưa test",IFERROR(INDEX(LEVEL_HELPER!A:A,MATCH(INDEX(sheet2!N:N,MATCH(A204,sheet2!A:A,0)),LEVEL_HELPER!B:B,0)),"⏳ Chưa test"))</f>
        <v>Beginner</v>
      </c>
      <c r="I204" s="47" t="str">
        <f t="array" aca="1" ref="I204" ca="1">IF(ISNA(MATCH(A204,sheet2!A:A,0)),H204,IF(INDEX(sheet2!O:O,MATCH(A204,sheet2!A:A,0))&gt;0,IFERROR(INDEX(LEVEL_HELPER!A:A,MATCH(INDEX(sheet2!O:O,MATCH(A204,sheet2!A:A,0)),LEVEL_HELPER!B:B,0)),H204),H204))</f>
        <v>Beginner</v>
      </c>
      <c r="J204" s="47" t="str">
        <f ca="1">IFERROR(_xludf.MAXIFS(ATTENDANCE_LOG!F:F, ATTENDANCE_LOG!C:C, A204&amp;"", ATTENDANCE_LOG!G:G, "Present"), "")</f>
        <v/>
      </c>
      <c r="K204" s="48" t="str">
        <f t="shared" ca="1" si="0"/>
        <v/>
      </c>
      <c r="L204" s="49" t="str">
        <f t="shared" ca="1" si="1"/>
        <v/>
      </c>
      <c r="M204" s="36" t="s">
        <v>36</v>
      </c>
      <c r="N204" s="50" t="s">
        <v>33</v>
      </c>
      <c r="O204" s="36"/>
      <c r="P204" s="36"/>
      <c r="Q204" s="36"/>
      <c r="R204" s="36"/>
      <c r="S204" s="36"/>
      <c r="T204" s="36"/>
      <c r="U204" s="36"/>
      <c r="V204" s="36"/>
      <c r="W204" s="59"/>
      <c r="X204" s="59"/>
      <c r="Y204" s="59"/>
    </row>
    <row r="205" spans="1:25" ht="15.75" customHeight="1">
      <c r="A205" s="42" t="s">
        <v>553</v>
      </c>
      <c r="B205" s="43" t="s">
        <v>554</v>
      </c>
      <c r="C205" s="44" t="str">
        <f ca="1">IFERROR(__xludf.DUMMYFUNCTION("arrayformula(VLOOKUP(to_Text(A205),to_Text(sheet2!$A$1:M1002),13,0))"),"ONC")</f>
        <v>ONC</v>
      </c>
      <c r="D205" s="45" t="str">
        <f ca="1">IFERROR(__xludf.DUMMYFUNCTION("arrayformula(VLOOKUP(to_Text(A205),to_Text(sheet2!$A$1:M1002),12,0))"),"DEV")</f>
        <v>DEV</v>
      </c>
      <c r="E205" s="43" t="s">
        <v>15</v>
      </c>
      <c r="F205" s="42" t="str">
        <f t="array" aca="1" ref="F205" ca="1">IFERROR(
  INDEX(ATTENDANCE_INPUT!D:D,
    MATCH(1,
      (ATTENDANCE_INPUT!A:A=A205) *
      (ATTENDANCE_INPUT!V:V=_xludf.MAXIFS(ATTENDANCE_INPUT!V:V, ATTENDANCE_INPUT!A:A, A205)),
      0)),
  "")</f>
        <v/>
      </c>
      <c r="G205" s="46" t="str">
        <f t="array" aca="1" ref="G205" ca="1">IFERROR(
  INDEX(ATTENDANCE_INPUT!E:E,
    MATCH(1,
      (ATTENDANCE_INPUT!A:A=A205) *
      (ATTENDANCE_INPUT!V:V=_xludf.MAXIFS(ATTENDANCE_INPUT!V:V, ATTENDANCE_INPUT!A:A, A205)),
      0)),
  "")</f>
        <v/>
      </c>
      <c r="H205" s="47" t="str">
        <f t="array" aca="1" ref="H205" ca="1">IF(ISNA(MATCH(A205,sheet2!A:A,0)),"⏳ Chưa test",IFERROR(INDEX(LEVEL_HELPER!A:A,MATCH(INDEX(sheet2!N:N,MATCH(A205,sheet2!A:A,0)),LEVEL_HELPER!B:B,0)),"⏳ Chưa test"))</f>
        <v>Beginner</v>
      </c>
      <c r="I205" s="47" t="str">
        <f t="array" aca="1" ref="I205" ca="1">IF(ISNA(MATCH(A205,sheet2!A:A,0)),H205,IF(INDEX(sheet2!O:O,MATCH(A205,sheet2!A:A,0))&gt;0,IFERROR(INDEX(LEVEL_HELPER!A:A,MATCH(INDEX(sheet2!O:O,MATCH(A205,sheet2!A:A,0)),LEVEL_HELPER!B:B,0)),H205),H205))</f>
        <v>Beginner</v>
      </c>
      <c r="J205" s="47" t="str">
        <f ca="1">IFERROR(_xludf.MAXIFS(ATTENDANCE_LOG!F:F, ATTENDANCE_LOG!C:C, A205&amp;"", ATTENDANCE_LOG!G:G, "Present"), "")</f>
        <v/>
      </c>
      <c r="K205" s="48" t="str">
        <f t="shared" ca="1" si="0"/>
        <v/>
      </c>
      <c r="L205" s="49" t="str">
        <f t="shared" ca="1" si="1"/>
        <v/>
      </c>
      <c r="M205" s="36"/>
      <c r="N205" s="50"/>
      <c r="O205" s="36" t="s">
        <v>555</v>
      </c>
      <c r="P205" s="36"/>
      <c r="Q205" s="36"/>
      <c r="R205" s="36"/>
      <c r="S205" s="36"/>
      <c r="T205" s="36"/>
      <c r="U205" s="36"/>
      <c r="V205" s="36"/>
      <c r="W205" s="59"/>
      <c r="X205" s="59"/>
      <c r="Y205" s="59"/>
    </row>
    <row r="206" spans="1:25" ht="15.75" customHeight="1">
      <c r="A206" s="42" t="s">
        <v>556</v>
      </c>
      <c r="B206" s="43" t="s">
        <v>557</v>
      </c>
      <c r="C206" s="44" t="str">
        <f ca="1">IFERROR(__xludf.DUMMYFUNCTION("arrayformula(VLOOKUP(to_Text(A206),to_Text(sheet2!$A$1:M1002),13,0))"),"ONC")</f>
        <v>ONC</v>
      </c>
      <c r="D206" s="45" t="str">
        <f ca="1">IFERROR(__xludf.DUMMYFUNCTION("arrayformula(VLOOKUP(to_Text(A206),to_Text(sheet2!$A$1:M1002),12,0))"),"DEV")</f>
        <v>DEV</v>
      </c>
      <c r="E206" s="43" t="s">
        <v>16</v>
      </c>
      <c r="F206" s="42" t="str">
        <f t="array" aca="1" ref="F206" ca="1">IFERROR(
  INDEX(ATTENDANCE_INPUT!D:D,
    MATCH(1,
      (ATTENDANCE_INPUT!A:A=A206) *
      (ATTENDANCE_INPUT!V:V=_xludf.MAXIFS(ATTENDANCE_INPUT!V:V, ATTENDANCE_INPUT!A:A, A206)),
      0)),
  "")</f>
        <v/>
      </c>
      <c r="G206" s="46" t="str">
        <f t="array" aca="1" ref="G206" ca="1">IFERROR(
  INDEX(ATTENDANCE_INPUT!E:E,
    MATCH(1,
      (ATTENDANCE_INPUT!A:A=A206) *
      (ATTENDANCE_INPUT!V:V=_xludf.MAXIFS(ATTENDANCE_INPUT!V:V, ATTENDANCE_INPUT!A:A, A206)),
      0)),
  "")</f>
        <v/>
      </c>
      <c r="H206" s="47" t="str">
        <f t="array" aca="1" ref="H206" ca="1">IF(ISNA(MATCH(A206,sheet2!A:A,0)),"⏳ Chưa test",IFERROR(INDEX(LEVEL_HELPER!A:A,MATCH(INDEX(sheet2!N:N,MATCH(A206,sheet2!A:A,0)),LEVEL_HELPER!B:B,0)),"⏳ Chưa test"))</f>
        <v>Pre-Intermediate</v>
      </c>
      <c r="I206" s="47" t="str">
        <f t="array" aca="1" ref="I206" ca="1">IF(ISNA(MATCH(A206,sheet2!A:A,0)),H206,IF(INDEX(sheet2!O:O,MATCH(A206,sheet2!A:A,0))&gt;0,IFERROR(INDEX(LEVEL_HELPER!A:A,MATCH(INDEX(sheet2!O:O,MATCH(A206,sheet2!A:A,0)),LEVEL_HELPER!B:B,0)),H206),H206))</f>
        <v>Pre-Intermediate</v>
      </c>
      <c r="J206" s="47" t="str">
        <f ca="1">IFERROR(_xludf.MAXIFS(ATTENDANCE_LOG!F:F, ATTENDANCE_LOG!C:C, A206&amp;"", ATTENDANCE_LOG!G:G, "Present"), "")</f>
        <v/>
      </c>
      <c r="K206" s="48" t="str">
        <f t="shared" ca="1" si="0"/>
        <v/>
      </c>
      <c r="L206" s="49" t="str">
        <f t="shared" ca="1" si="1"/>
        <v/>
      </c>
      <c r="M206" s="36" t="s">
        <v>34</v>
      </c>
      <c r="N206" s="50" t="s">
        <v>33</v>
      </c>
      <c r="O206" s="36"/>
      <c r="P206" s="36"/>
      <c r="Q206" s="36"/>
      <c r="R206" s="36"/>
      <c r="S206" s="36"/>
      <c r="T206" s="36"/>
      <c r="U206" s="36"/>
      <c r="V206" s="36"/>
      <c r="W206" s="59"/>
      <c r="X206" s="59"/>
      <c r="Y206" s="59"/>
    </row>
    <row r="207" spans="1:25" ht="15.75" customHeight="1">
      <c r="A207" s="42" t="s">
        <v>558</v>
      </c>
      <c r="B207" s="43" t="s">
        <v>559</v>
      </c>
      <c r="C207" s="44" t="str">
        <f ca="1">IFERROR(__xludf.DUMMYFUNCTION("arrayformula(VLOOKUP(to_Text(A207),to_Text(sheet2!$A$1:M1002),13,0))"),"POC")</f>
        <v>POC</v>
      </c>
      <c r="D207" s="45" t="str">
        <f ca="1">IFERROR(__xludf.DUMMYFUNCTION("arrayformula(VLOOKUP(to_Text(A207),to_Text(sheet2!$A$1:M1002),12,0))"),"GSD")</f>
        <v>GSD</v>
      </c>
      <c r="E207" s="43" t="str">
        <f ca="1">IF(L207="⚠ Possibly Dropped","Inactive","Active")</f>
        <v>Active</v>
      </c>
      <c r="F207" s="42" t="str">
        <f t="array" aca="1" ref="F207" ca="1">IFERROR(
  INDEX(ATTENDANCE_INPUT!D:D,
    MATCH(1,
      (ATTENDANCE_INPUT!A:A=A207) *
      (ATTENDANCE_INPUT!V:V=_xludf.MAXIFS(ATTENDANCE_INPUT!V:V, ATTENDANCE_INPUT!A:A, A207)),
      0)),
  "")</f>
        <v/>
      </c>
      <c r="G207" s="46" t="str">
        <f t="array" aca="1" ref="G207" ca="1">IFERROR(
  INDEX(ATTENDANCE_INPUT!E:E,
    MATCH(1,
      (ATTENDANCE_INPUT!A:A=A207) *
      (ATTENDANCE_INPUT!V:V=_xludf.MAXIFS(ATTENDANCE_INPUT!V:V, ATTENDANCE_INPUT!A:A, A207)),
      0)),
  "")</f>
        <v/>
      </c>
      <c r="H207" s="47" t="str">
        <f t="array" aca="1" ref="H207" ca="1">IF(ISNA(MATCH(A207,sheet2!A:A,0)),"⏳ Chưa test",IFERROR(INDEX(LEVEL_HELPER!A:A,MATCH(INDEX(sheet2!N:N,MATCH(A207,sheet2!A:A,0)),LEVEL_HELPER!B:B,0)),"⏳ Chưa test"))</f>
        <v>Foundation</v>
      </c>
      <c r="I207" s="47" t="str">
        <f t="array" aca="1" ref="I207" ca="1">IF(ISNA(MATCH(A207,sheet2!A:A,0)),H207,IF(INDEX(sheet2!O:O,MATCH(A207,sheet2!A:A,0))&gt;0,IFERROR(INDEX(LEVEL_HELPER!A:A,MATCH(INDEX(sheet2!O:O,MATCH(A207,sheet2!A:A,0)),LEVEL_HELPER!B:B,0)),H207),H207))</f>
        <v>Foundation</v>
      </c>
      <c r="J207" s="47" t="str">
        <f ca="1">IFERROR(_xludf.MAXIFS(ATTENDANCE_LOG!F:F, ATTENDANCE_LOG!C:C, A207&amp;"", ATTENDANCE_LOG!G:G, "Present"), "")</f>
        <v/>
      </c>
      <c r="K207" s="48" t="str">
        <f t="shared" ca="1" si="0"/>
        <v/>
      </c>
      <c r="L207" s="49" t="str">
        <f t="shared" ca="1" si="1"/>
        <v/>
      </c>
      <c r="M207" s="36"/>
      <c r="N207" s="50"/>
      <c r="O207" s="36"/>
      <c r="P207" s="36"/>
      <c r="Q207" s="36"/>
      <c r="R207" s="36"/>
      <c r="S207" s="36"/>
      <c r="T207" s="36"/>
      <c r="U207" s="36"/>
      <c r="V207" s="36"/>
      <c r="W207" s="59"/>
      <c r="X207" s="59"/>
      <c r="Y207" s="59"/>
    </row>
    <row r="208" spans="1:25" ht="15.75" customHeight="1">
      <c r="A208" s="42" t="s">
        <v>560</v>
      </c>
      <c r="B208" s="43" t="s">
        <v>561</v>
      </c>
      <c r="C208" s="44" t="str">
        <f ca="1">IFERROR(__xludf.DUMMYFUNCTION("arrayformula(VLOOKUP(to_Text(A208),to_Text(sheet2!$A$1:M1002),13,0))"),"CHORUS")</f>
        <v>CHORUS</v>
      </c>
      <c r="D208" s="45" t="str">
        <f ca="1">IFERROR(__xludf.DUMMYFUNCTION("arrayformula(VLOOKUP(to_Text(A208),to_Text(sheet2!$A$1:M1002),12,0))"),"QC")</f>
        <v>QC</v>
      </c>
      <c r="E208" s="43" t="s">
        <v>16</v>
      </c>
      <c r="F208" s="42" t="str">
        <f t="array" aca="1" ref="F208" ca="1">IFERROR(
  INDEX(ATTENDANCE_INPUT!D:D,
    MATCH(1,
      (ATTENDANCE_INPUT!A:A=A208) *
      (ATTENDANCE_INPUT!V:V=_xludf.MAXIFS(ATTENDANCE_INPUT!V:V, ATTENDANCE_INPUT!A:A, A208)),
      0)),
  "")</f>
        <v/>
      </c>
      <c r="G208" s="46" t="str">
        <f t="array" aca="1" ref="G208" ca="1">IFERROR(
  INDEX(ATTENDANCE_INPUT!E:E,
    MATCH(1,
      (ATTENDANCE_INPUT!A:A=A208) *
      (ATTENDANCE_INPUT!V:V=_xludf.MAXIFS(ATTENDANCE_INPUT!V:V, ATTENDANCE_INPUT!A:A, A208)),
      0)),
  "")</f>
        <v/>
      </c>
      <c r="H208" s="47" t="str">
        <f t="array" aca="1" ref="H208" ca="1">IF(ISNA(MATCH(A208,sheet2!A:A,0)),"⏳ Chưa test",IFERROR(INDEX(LEVEL_HELPER!A:A,MATCH(INDEX(sheet2!N:N,MATCH(A208,sheet2!A:A,0)),LEVEL_HELPER!B:B,0)),"⏳ Chưa test"))</f>
        <v>Beginner</v>
      </c>
      <c r="I208" s="47" t="str">
        <f t="array" aca="1" ref="I208" ca="1">IF(ISNA(MATCH(A208,sheet2!A:A,0)),H208,IF(INDEX(sheet2!O:O,MATCH(A208,sheet2!A:A,0))&gt;0,IFERROR(INDEX(LEVEL_HELPER!A:A,MATCH(INDEX(sheet2!O:O,MATCH(A208,sheet2!A:A,0)),LEVEL_HELPER!B:B,0)),H208),H208))</f>
        <v>Beginner</v>
      </c>
      <c r="J208" s="47" t="str">
        <f ca="1">IFERROR(_xludf.MAXIFS(ATTENDANCE_LOG!F:F, ATTENDANCE_LOG!C:C, A208&amp;"", ATTENDANCE_LOG!G:G, "Present"), "")</f>
        <v/>
      </c>
      <c r="K208" s="48" t="str">
        <f t="shared" ca="1" si="0"/>
        <v/>
      </c>
      <c r="L208" s="49" t="str">
        <f t="shared" ca="1" si="1"/>
        <v/>
      </c>
      <c r="M208" s="36" t="s">
        <v>36</v>
      </c>
      <c r="N208" s="50" t="s">
        <v>33</v>
      </c>
      <c r="O208" s="36"/>
      <c r="P208" s="36"/>
      <c r="Q208" s="36"/>
      <c r="R208" s="36">
        <v>247283</v>
      </c>
      <c r="S208" s="36" t="s">
        <v>146</v>
      </c>
      <c r="T208" s="36" t="s">
        <v>33</v>
      </c>
      <c r="U208" s="36" t="e">
        <v>#N/A</v>
      </c>
      <c r="V208" s="36"/>
      <c r="W208" s="59"/>
      <c r="X208" s="59"/>
      <c r="Y208" s="59"/>
    </row>
    <row r="209" spans="1:25" ht="15.75" customHeight="1">
      <c r="A209" s="42" t="s">
        <v>562</v>
      </c>
      <c r="B209" s="43" t="s">
        <v>563</v>
      </c>
      <c r="C209" s="44" t="str">
        <f ca="1">IFERROR(__xludf.DUMMYFUNCTION("arrayformula(VLOOKUP(to_Text(A209),to_Text(sheet2!$A$1:M1002),13,0))"),"MOC")</f>
        <v>MOC</v>
      </c>
      <c r="D209" s="45" t="str">
        <f ca="1">IFERROR(__xludf.DUMMYFUNCTION("arrayformula(VLOOKUP(to_Text(A209),to_Text(sheet2!$A$1:M1002),12,0))"),"DEV")</f>
        <v>DEV</v>
      </c>
      <c r="E209" s="43" t="s">
        <v>16</v>
      </c>
      <c r="F209" s="42" t="str">
        <f t="array" aca="1" ref="F209" ca="1">IFERROR(
  INDEX(ATTENDANCE_INPUT!D:D,
    MATCH(1,
      (ATTENDANCE_INPUT!A:A=A209) *
      (ATTENDANCE_INPUT!V:V=_xludf.MAXIFS(ATTENDANCE_INPUT!V:V, ATTENDANCE_INPUT!A:A, A209)),
      0)),
  "")</f>
        <v/>
      </c>
      <c r="G209" s="46" t="str">
        <f t="array" aca="1" ref="G209" ca="1">IFERROR(
  INDEX(ATTENDANCE_INPUT!E:E,
    MATCH(1,
      (ATTENDANCE_INPUT!A:A=A209) *
      (ATTENDANCE_INPUT!V:V=_xludf.MAXIFS(ATTENDANCE_INPUT!V:V, ATTENDANCE_INPUT!A:A, A209)),
      0)),
  "")</f>
        <v/>
      </c>
      <c r="H209" s="47" t="str">
        <f t="array" aca="1" ref="H209" ca="1">IF(ISNA(MATCH(A209,sheet2!A:A,0)),"⏳ Chưa test",IFERROR(INDEX(LEVEL_HELPER!A:A,MATCH(INDEX(sheet2!N:N,MATCH(A209,sheet2!A:A,0)),LEVEL_HELPER!B:B,0)),"⏳ Chưa test"))</f>
        <v>Beginner</v>
      </c>
      <c r="I209" s="47" t="str">
        <f t="array" aca="1" ref="I209" ca="1">IF(ISNA(MATCH(A209,sheet2!A:A,0)),H209,IF(INDEX(sheet2!O:O,MATCH(A209,sheet2!A:A,0))&gt;0,IFERROR(INDEX(LEVEL_HELPER!A:A,MATCH(INDEX(sheet2!O:O,MATCH(A209,sheet2!A:A,0)),LEVEL_HELPER!B:B,0)),H209),H209))</f>
        <v>Beginner</v>
      </c>
      <c r="J209" s="47" t="str">
        <f ca="1">IFERROR(_xludf.MAXIFS(ATTENDANCE_LOG!F:F, ATTENDANCE_LOG!C:C, A209&amp;"", ATTENDANCE_LOG!G:G, "Present"), "")</f>
        <v/>
      </c>
      <c r="K209" s="48" t="str">
        <f t="shared" ca="1" si="0"/>
        <v/>
      </c>
      <c r="L209" s="49" t="str">
        <f t="shared" ca="1" si="1"/>
        <v/>
      </c>
      <c r="M209" s="36" t="s">
        <v>34</v>
      </c>
      <c r="N209" s="50" t="s">
        <v>37</v>
      </c>
      <c r="O209" s="36"/>
      <c r="P209" s="36"/>
      <c r="Q209" s="36"/>
      <c r="R209" s="36"/>
      <c r="S209" s="36"/>
      <c r="T209" s="36"/>
      <c r="U209" s="36"/>
      <c r="V209" s="36"/>
      <c r="W209" s="59"/>
      <c r="X209" s="59"/>
      <c r="Y209" s="59"/>
    </row>
    <row r="210" spans="1:25" ht="15.75" customHeight="1">
      <c r="A210" s="42" t="s">
        <v>564</v>
      </c>
      <c r="B210" s="43" t="s">
        <v>565</v>
      </c>
      <c r="C210" s="44" t="str">
        <f ca="1">IFERROR(__xludf.DUMMYFUNCTION("arrayformula(VLOOKUP(to_Text(A210),to_Text(sheet2!$A$1:M1002),13,0))"),"BSG")</f>
        <v>BSG</v>
      </c>
      <c r="D210" s="45" t="str">
        <f ca="1">IFERROR(__xludf.DUMMYFUNCTION("arrayformula(VLOOKUP(to_Text(A210),to_Text(sheet2!$A$1:M1002),12,0))"),"Admin")</f>
        <v>Admin</v>
      </c>
      <c r="E210" s="43" t="s">
        <v>16</v>
      </c>
      <c r="F210" s="42" t="str">
        <f t="array" aca="1" ref="F210" ca="1">IFERROR(
  INDEX(ATTENDANCE_INPUT!D:D,
    MATCH(1,
      (ATTENDANCE_INPUT!A:A=A210) *
      (ATTENDANCE_INPUT!V:V=_xludf.MAXIFS(ATTENDANCE_INPUT!V:V, ATTENDANCE_INPUT!A:A, A210)),
      0)),
  "")</f>
        <v/>
      </c>
      <c r="G210" s="46" t="str">
        <f t="array" aca="1" ref="G210" ca="1">IFERROR(
  INDEX(ATTENDANCE_INPUT!E:E,
    MATCH(1,
      (ATTENDANCE_INPUT!A:A=A210) *
      (ATTENDANCE_INPUT!V:V=_xludf.MAXIFS(ATTENDANCE_INPUT!V:V, ATTENDANCE_INPUT!A:A, A210)),
      0)),
  "")</f>
        <v/>
      </c>
      <c r="H210" s="47" t="str">
        <f t="array" aca="1" ref="H210" ca="1">IF(ISNA(MATCH(A210,sheet2!A:A,0)),"⏳ Chưa test",IFERROR(INDEX(LEVEL_HELPER!A:A,MATCH(INDEX(sheet2!N:N,MATCH(A210,sheet2!A:A,0)),LEVEL_HELPER!B:B,0)),"⏳ Chưa test"))</f>
        <v>Beginner</v>
      </c>
      <c r="I210" s="47" t="str">
        <f t="array" aca="1" ref="I210" ca="1">IF(ISNA(MATCH(A210,sheet2!A:A,0)),H210,IF(INDEX(sheet2!O:O,MATCH(A210,sheet2!A:A,0))&gt;0,IFERROR(INDEX(LEVEL_HELPER!A:A,MATCH(INDEX(sheet2!O:O,MATCH(A210,sheet2!A:A,0)),LEVEL_HELPER!B:B,0)),H210),H210))</f>
        <v>Beginner</v>
      </c>
      <c r="J210" s="47" t="str">
        <f ca="1">IFERROR(_xludf.MAXIFS(ATTENDANCE_LOG!F:F, ATTENDANCE_LOG!C:C, A210&amp;"", ATTENDANCE_LOG!G:G, "Present"), "")</f>
        <v/>
      </c>
      <c r="K210" s="48" t="str">
        <f t="shared" ca="1" si="0"/>
        <v/>
      </c>
      <c r="L210" s="49" t="str">
        <f t="shared" ca="1" si="1"/>
        <v/>
      </c>
      <c r="M210" s="36" t="s">
        <v>36</v>
      </c>
      <c r="N210" s="50" t="s">
        <v>33</v>
      </c>
      <c r="O210" s="36"/>
      <c r="P210" s="36"/>
      <c r="Q210" s="36"/>
      <c r="R210" s="36"/>
      <c r="S210" s="36"/>
      <c r="T210" s="36"/>
      <c r="U210" s="36"/>
      <c r="V210" s="36"/>
      <c r="W210" s="59"/>
      <c r="X210" s="59"/>
      <c r="Y210" s="59"/>
    </row>
    <row r="211" spans="1:25" ht="15.75" customHeight="1">
      <c r="A211" s="42" t="s">
        <v>566</v>
      </c>
      <c r="B211" s="43" t="s">
        <v>567</v>
      </c>
      <c r="C211" s="44" t="str">
        <f ca="1">IFERROR(__xludf.DUMMYFUNCTION("arrayformula(VLOOKUP(to_Text(A211),to_Text(sheet2!$A$1:M1002),13,0))"),"LBU")</f>
        <v>LBU</v>
      </c>
      <c r="D211" s="45" t="str">
        <f ca="1">IFERROR(__xludf.DUMMYFUNCTION("arrayformula(VLOOKUP(to_Text(A211),to_Text(sheet2!$A$1:M1002),12,0))"),"BA")</f>
        <v>BA</v>
      </c>
      <c r="E211" s="43" t="s">
        <v>16</v>
      </c>
      <c r="F211" s="42" t="str">
        <f t="array" aca="1" ref="F211" ca="1">IFERROR(
  INDEX(ATTENDANCE_INPUT!D:D,
    MATCH(1,
      (ATTENDANCE_INPUT!A:A=A211) *
      (ATTENDANCE_INPUT!V:V=_xludf.MAXIFS(ATTENDANCE_INPUT!V:V, ATTENDANCE_INPUT!A:A, A211)),
      0)),
  "")</f>
        <v/>
      </c>
      <c r="G211" s="46" t="str">
        <f t="array" aca="1" ref="G211" ca="1">IFERROR(
  INDEX(ATTENDANCE_INPUT!E:E,
    MATCH(1,
      (ATTENDANCE_INPUT!A:A=A211) *
      (ATTENDANCE_INPUT!V:V=_xludf.MAXIFS(ATTENDANCE_INPUT!V:V, ATTENDANCE_INPUT!A:A, A211)),
      0)),
  "")</f>
        <v/>
      </c>
      <c r="H211" s="47" t="str">
        <f t="array" aca="1" ref="H211" ca="1">IF(ISNA(MATCH(A211,sheet2!A:A,0)),"⏳ Chưa test",IFERROR(INDEX(LEVEL_HELPER!A:A,MATCH(INDEX(sheet2!N:N,MATCH(A211,sheet2!A:A,0)),LEVEL_HELPER!B:B,0)),"⏳ Chưa test"))</f>
        <v>Beginner</v>
      </c>
      <c r="I211" s="47" t="str">
        <f t="array" aca="1" ref="I211" ca="1">IF(ISNA(MATCH(A211,sheet2!A:A,0)),H211,IF(INDEX(sheet2!O:O,MATCH(A211,sheet2!A:A,0))&gt;0,IFERROR(INDEX(LEVEL_HELPER!A:A,MATCH(INDEX(sheet2!O:O,MATCH(A211,sheet2!A:A,0)),LEVEL_HELPER!B:B,0)),H211),H211))</f>
        <v>Beginner</v>
      </c>
      <c r="J211" s="47" t="str">
        <f ca="1">IFERROR(_xludf.MAXIFS(ATTENDANCE_LOG!F:F, ATTENDANCE_LOG!C:C, A211&amp;"", ATTENDANCE_LOG!G:G, "Present"), "")</f>
        <v/>
      </c>
      <c r="K211" s="48" t="str">
        <f t="shared" ca="1" si="0"/>
        <v/>
      </c>
      <c r="L211" s="49" t="str">
        <f t="shared" ca="1" si="1"/>
        <v/>
      </c>
      <c r="M211" s="36" t="s">
        <v>36</v>
      </c>
      <c r="N211" s="50" t="s">
        <v>33</v>
      </c>
      <c r="O211" s="36"/>
      <c r="P211" s="36"/>
      <c r="Q211" s="36"/>
      <c r="R211" s="36"/>
      <c r="S211" s="36"/>
      <c r="T211" s="36"/>
      <c r="U211" s="36"/>
      <c r="V211" s="36"/>
      <c r="W211" s="59"/>
      <c r="X211" s="59"/>
      <c r="Y211" s="59"/>
    </row>
    <row r="212" spans="1:25" ht="15.75" customHeight="1">
      <c r="A212" s="42" t="s">
        <v>568</v>
      </c>
      <c r="B212" s="43" t="s">
        <v>569</v>
      </c>
      <c r="C212" s="44" t="str">
        <f ca="1">IFERROR(__xludf.DUMMYFUNCTION("arrayformula(VLOOKUP(to_Text(A212),to_Text(sheet2!$A$1:M1002),13,0))"),"LBU")</f>
        <v>LBU</v>
      </c>
      <c r="D212" s="45" t="str">
        <f ca="1">IFERROR(__xludf.DUMMYFUNCTION("arrayformula(VLOOKUP(to_Text(A212),to_Text(sheet2!$A$1:M1002),12,0))"),"DEV")</f>
        <v>DEV</v>
      </c>
      <c r="E212" s="43" t="s">
        <v>175</v>
      </c>
      <c r="F212" s="42" t="str">
        <f t="array" aca="1" ref="F212" ca="1">IFERROR(
  INDEX(ATTENDANCE_INPUT!D:D,
    MATCH(1,
      (ATTENDANCE_INPUT!A:A=A212) *
      (ATTENDANCE_INPUT!V:V=_xludf.MAXIFS(ATTENDANCE_INPUT!V:V, ATTENDANCE_INPUT!A:A, A212)),
      0)),
  "")</f>
        <v/>
      </c>
      <c r="G212" s="46" t="str">
        <f t="array" aca="1" ref="G212" ca="1">IFERROR(
  INDEX(ATTENDANCE_INPUT!E:E,
    MATCH(1,
      (ATTENDANCE_INPUT!A:A=A212) *
      (ATTENDANCE_INPUT!V:V=_xludf.MAXIFS(ATTENDANCE_INPUT!V:V, ATTENDANCE_INPUT!A:A, A212)),
      0)),
  "")</f>
        <v/>
      </c>
      <c r="H212" s="47" t="str">
        <f t="array" aca="1" ref="H212" ca="1">IF(ISNA(MATCH(A212,sheet2!A:A,0)),"⏳ Chưa test",IFERROR(INDEX(LEVEL_HELPER!A:A,MATCH(INDEX(sheet2!N:N,MATCH(A212,sheet2!A:A,0)),LEVEL_HELPER!B:B,0)),"⏳ Chưa test"))</f>
        <v>Beginner</v>
      </c>
      <c r="I212" s="47" t="str">
        <f t="array" aca="1" ref="I212" ca="1">IF(ISNA(MATCH(A212,sheet2!A:A,0)),H212,IF(INDEX(sheet2!O:O,MATCH(A212,sheet2!A:A,0))&gt;0,IFERROR(INDEX(LEVEL_HELPER!A:A,MATCH(INDEX(sheet2!O:O,MATCH(A212,sheet2!A:A,0)),LEVEL_HELPER!B:B,0)),H212),H212))</f>
        <v>Beginner</v>
      </c>
      <c r="J212" s="47" t="str">
        <f ca="1">IFERROR(_xludf.MAXIFS(ATTENDANCE_LOG!F:F, ATTENDANCE_LOG!C:C, A212&amp;"", ATTENDANCE_LOG!G:G, "Present"), "")</f>
        <v/>
      </c>
      <c r="K212" s="48" t="str">
        <f t="shared" ca="1" si="0"/>
        <v/>
      </c>
      <c r="L212" s="49" t="str">
        <f t="shared" ca="1" si="1"/>
        <v/>
      </c>
      <c r="M212" s="36"/>
      <c r="N212" s="50"/>
      <c r="O212" s="51"/>
      <c r="P212" s="51"/>
      <c r="Q212" s="51"/>
      <c r="R212" s="51"/>
      <c r="S212" s="51"/>
      <c r="T212" s="51"/>
      <c r="U212" s="51"/>
      <c r="V212" s="51"/>
      <c r="W212" s="37"/>
      <c r="X212" s="37"/>
      <c r="Y212" s="37"/>
    </row>
    <row r="213" spans="1:25" ht="15.75" customHeight="1">
      <c r="A213" s="42" t="s">
        <v>570</v>
      </c>
      <c r="B213" s="43" t="s">
        <v>571</v>
      </c>
      <c r="C213" s="44" t="str">
        <f ca="1">IFERROR(__xludf.DUMMYFUNCTION("arrayformula(VLOOKUP(to_Text(A213),to_Text(sheet2!$A$1:M1002),13,0))"),"CHORUS")</f>
        <v>CHORUS</v>
      </c>
      <c r="D213" s="45" t="str">
        <f ca="1">IFERROR(__xludf.DUMMYFUNCTION("arrayformula(VLOOKUP(to_Text(A213),to_Text(sheet2!$A$1:M1002),12,0))"),"Designer")</f>
        <v>Designer</v>
      </c>
      <c r="E213" s="43" t="s">
        <v>16</v>
      </c>
      <c r="F213" s="42" t="str">
        <f t="array" aca="1" ref="F213" ca="1">IFERROR(
  INDEX(ATTENDANCE_INPUT!D:D,
    MATCH(1,
      (ATTENDANCE_INPUT!A:A=A213) *
      (ATTENDANCE_INPUT!V:V=_xludf.MAXIFS(ATTENDANCE_INPUT!V:V, ATTENDANCE_INPUT!A:A, A213)),
      0)),
  "")</f>
        <v/>
      </c>
      <c r="G213" s="46" t="str">
        <f t="array" aca="1" ref="G213" ca="1">IFERROR(
  INDEX(ATTENDANCE_INPUT!E:E,
    MATCH(1,
      (ATTENDANCE_INPUT!A:A=A213) *
      (ATTENDANCE_INPUT!V:V=_xludf.MAXIFS(ATTENDANCE_INPUT!V:V, ATTENDANCE_INPUT!A:A, A213)),
      0)),
  "")</f>
        <v/>
      </c>
      <c r="H213" s="47" t="str">
        <f t="array" aca="1" ref="H213" ca="1">IF(ISNA(MATCH(A213,sheet2!A:A,0)),"⏳ Chưa test",IFERROR(INDEX(LEVEL_HELPER!A:A,MATCH(INDEX(sheet2!N:N,MATCH(A213,sheet2!A:A,0)),LEVEL_HELPER!B:B,0)),"⏳ Chưa test"))</f>
        <v>Intermediate</v>
      </c>
      <c r="I213" s="47" t="str">
        <f t="array" aca="1" ref="I213" ca="1">IF(ISNA(MATCH(A213,sheet2!A:A,0)),H213,IF(INDEX(sheet2!O:O,MATCH(A213,sheet2!A:A,0))&gt;0,IFERROR(INDEX(LEVEL_HELPER!A:A,MATCH(INDEX(sheet2!O:O,MATCH(A213,sheet2!A:A,0)),LEVEL_HELPER!B:B,0)),H213),H213))</f>
        <v>Intermediate</v>
      </c>
      <c r="J213" s="47" t="str">
        <f ca="1">IFERROR(_xludf.MAXIFS(ATTENDANCE_LOG!F:F, ATTENDANCE_LOG!C:C, A213&amp;"", ATTENDANCE_LOG!G:G, "Present"), "")</f>
        <v/>
      </c>
      <c r="K213" s="48" t="str">
        <f t="shared" ca="1" si="0"/>
        <v/>
      </c>
      <c r="L213" s="49" t="str">
        <f t="shared" ca="1" si="1"/>
        <v/>
      </c>
      <c r="M213" s="36" t="s">
        <v>34</v>
      </c>
      <c r="N213" s="50" t="s">
        <v>37</v>
      </c>
      <c r="O213" s="36"/>
      <c r="P213" s="36"/>
      <c r="Q213" s="36"/>
      <c r="R213" s="36"/>
      <c r="S213" s="36"/>
      <c r="T213" s="36"/>
      <c r="U213" s="36"/>
      <c r="V213" s="36"/>
      <c r="W213" s="59"/>
      <c r="X213" s="59"/>
      <c r="Y213" s="59"/>
    </row>
    <row r="214" spans="1:25" ht="15.75" customHeight="1">
      <c r="A214" s="42" t="s">
        <v>572</v>
      </c>
      <c r="B214" s="43" t="s">
        <v>573</v>
      </c>
      <c r="C214" s="44" t="str">
        <f ca="1">IFERROR(__xludf.DUMMYFUNCTION("arrayformula(VLOOKUP(to_Text(A214),to_Text(sheet2!$A$1:M1002),13,0))"),"TBU")</f>
        <v>TBU</v>
      </c>
      <c r="D214" s="45" t="str">
        <f ca="1">IFERROR(__xludf.DUMMYFUNCTION("arrayformula(VLOOKUP(to_Text(A214),to_Text(sheet2!$A$1:M1002),12,0))"),"DEV")</f>
        <v>DEV</v>
      </c>
      <c r="E214" s="43" t="s">
        <v>16</v>
      </c>
      <c r="F214" s="42" t="str">
        <f t="array" aca="1" ref="F214" ca="1">IFERROR(
  INDEX(ATTENDANCE_INPUT!D:D,
    MATCH(1,
      (ATTENDANCE_INPUT!A:A=A214) *
      (ATTENDANCE_INPUT!V:V=_xludf.MAXIFS(ATTENDANCE_INPUT!V:V, ATTENDANCE_INPUT!A:A, A214)),
      0)),
  "")</f>
        <v/>
      </c>
      <c r="G214" s="46" t="str">
        <f t="array" aca="1" ref="G214" ca="1">IFERROR(
  INDEX(ATTENDANCE_INPUT!E:E,
    MATCH(1,
      (ATTENDANCE_INPUT!A:A=A214) *
      (ATTENDANCE_INPUT!V:V=_xludf.MAXIFS(ATTENDANCE_INPUT!V:V, ATTENDANCE_INPUT!A:A, A214)),
      0)),
  "")</f>
        <v/>
      </c>
      <c r="H214" s="47" t="str">
        <f t="array" aca="1" ref="H214" ca="1">IF(ISNA(MATCH(A214,sheet2!A:A,0)),"⏳ Chưa test",IFERROR(INDEX(LEVEL_HELPER!A:A,MATCH(INDEX(sheet2!N:N,MATCH(A214,sheet2!A:A,0)),LEVEL_HELPER!B:B,0)),"⏳ Chưa test"))</f>
        <v>Beginner</v>
      </c>
      <c r="I214" s="47" t="str">
        <f t="array" aca="1" ref="I214" ca="1">IF(ISNA(MATCH(A214,sheet2!A:A,0)),H214,IF(INDEX(sheet2!O:O,MATCH(A214,sheet2!A:A,0))&gt;0,IFERROR(INDEX(LEVEL_HELPER!A:A,MATCH(INDEX(sheet2!O:O,MATCH(A214,sheet2!A:A,0)),LEVEL_HELPER!B:B,0)),H214),H214))</f>
        <v>Beginner</v>
      </c>
      <c r="J214" s="47" t="str">
        <f ca="1">IFERROR(_xludf.MAXIFS(ATTENDANCE_LOG!F:F, ATTENDANCE_LOG!C:C, A214&amp;"", ATTENDANCE_LOG!G:G, "Present"), "")</f>
        <v/>
      </c>
      <c r="K214" s="48" t="str">
        <f t="shared" ca="1" si="0"/>
        <v/>
      </c>
      <c r="L214" s="49" t="str">
        <f t="shared" ca="1" si="1"/>
        <v/>
      </c>
      <c r="M214" s="36" t="s">
        <v>36</v>
      </c>
      <c r="N214" s="50" t="s">
        <v>42</v>
      </c>
      <c r="O214" s="36"/>
      <c r="P214" s="36"/>
      <c r="Q214" s="36"/>
      <c r="R214" s="36"/>
      <c r="S214" s="36"/>
      <c r="T214" s="36"/>
      <c r="U214" s="36"/>
      <c r="V214" s="36"/>
      <c r="W214" s="59"/>
      <c r="X214" s="59"/>
      <c r="Y214" s="59"/>
    </row>
    <row r="215" spans="1:25" ht="15.75" customHeight="1">
      <c r="A215" s="42" t="s">
        <v>574</v>
      </c>
      <c r="B215" s="43" t="s">
        <v>575</v>
      </c>
      <c r="C215" s="44" t="str">
        <f ca="1">IFERROR(__xludf.DUMMYFUNCTION("arrayformula(VLOOKUP(to_Text(A215),to_Text(sheet2!$A$1:M1002),13,0))"),"TBU")</f>
        <v>TBU</v>
      </c>
      <c r="D215" s="45" t="str">
        <f ca="1">IFERROR(__xludf.DUMMYFUNCTION("arrayformula(VLOOKUP(to_Text(A215),to_Text(sheet2!$A$1:M1002),12,0))"),"GSD")</f>
        <v>GSD</v>
      </c>
      <c r="E215" s="43" t="str">
        <f ca="1">IF(L215="⚠ Possibly Dropped","Inactive","Active")</f>
        <v>Active</v>
      </c>
      <c r="F215" s="42" t="str">
        <f t="array" aca="1" ref="F215" ca="1">IFERROR(
  INDEX(ATTENDANCE_INPUT!D:D,
    MATCH(1,
      (ATTENDANCE_INPUT!A:A=A215) *
      (ATTENDANCE_INPUT!V:V=_xludf.MAXIFS(ATTENDANCE_INPUT!V:V, ATTENDANCE_INPUT!A:A, A215)),
      0)),
  "")</f>
        <v/>
      </c>
      <c r="G215" s="46" t="str">
        <f t="array" aca="1" ref="G215" ca="1">IFERROR(
  INDEX(ATTENDANCE_INPUT!E:E,
    MATCH(1,
      (ATTENDANCE_INPUT!A:A=A215) *
      (ATTENDANCE_INPUT!V:V=_xludf.MAXIFS(ATTENDANCE_INPUT!V:V, ATTENDANCE_INPUT!A:A, A215)),
      0)),
  "")</f>
        <v/>
      </c>
      <c r="H215" s="47" t="str">
        <f t="array" aca="1" ref="H215" ca="1">IF(ISNA(MATCH(A215,sheet2!A:A,0)),"⏳ Chưa test",IFERROR(INDEX(LEVEL_HELPER!A:A,MATCH(INDEX(sheet2!N:N,MATCH(A215,sheet2!A:A,0)),LEVEL_HELPER!B:B,0)),"⏳ Chưa test"))</f>
        <v>Foundation</v>
      </c>
      <c r="I215" s="47" t="str">
        <f t="array" aca="1" ref="I215" ca="1">IF(ISNA(MATCH(A215,sheet2!A:A,0)),H215,IF(INDEX(sheet2!O:O,MATCH(A215,sheet2!A:A,0))&gt;0,IFERROR(INDEX(LEVEL_HELPER!A:A,MATCH(INDEX(sheet2!O:O,MATCH(A215,sheet2!A:A,0)),LEVEL_HELPER!B:B,0)),H215),H215))</f>
        <v>Foundation</v>
      </c>
      <c r="J215" s="47" t="str">
        <f ca="1">IFERROR(_xludf.MAXIFS(ATTENDANCE_LOG!F:F, ATTENDANCE_LOG!C:C, A215&amp;"", ATTENDANCE_LOG!G:G, "Present"), "")</f>
        <v/>
      </c>
      <c r="K215" s="48" t="str">
        <f t="shared" ca="1" si="0"/>
        <v/>
      </c>
      <c r="L215" s="49" t="str">
        <f t="shared" ca="1" si="1"/>
        <v/>
      </c>
      <c r="M215" s="36"/>
      <c r="N215" s="50"/>
      <c r="O215" s="64"/>
      <c r="P215" s="36"/>
      <c r="Q215" s="36"/>
      <c r="R215" s="36"/>
      <c r="S215" s="36"/>
      <c r="T215" s="36"/>
      <c r="U215" s="36"/>
      <c r="V215" s="36"/>
      <c r="W215" s="59"/>
      <c r="X215" s="59"/>
      <c r="Y215" s="59"/>
    </row>
    <row r="216" spans="1:25" ht="15.75" customHeight="1">
      <c r="A216" s="42" t="s">
        <v>576</v>
      </c>
      <c r="B216" s="43" t="s">
        <v>577</v>
      </c>
      <c r="C216" s="44" t="str">
        <f ca="1">IFERROR(__xludf.DUMMYFUNCTION("arrayformula(VLOOKUP(to_Text(A216),to_Text(sheet2!$A$1:M1002),13,0))"),"POC")</f>
        <v>POC</v>
      </c>
      <c r="D216" s="45" t="str">
        <f ca="1">IFERROR(__xludf.DUMMYFUNCTION("arrayformula(VLOOKUP(to_Text(A216),to_Text(sheet2!$A$1:M1002),12,0))"),"DEV")</f>
        <v>DEV</v>
      </c>
      <c r="E216" s="43" t="s">
        <v>16</v>
      </c>
      <c r="F216" s="42" t="str">
        <f t="array" aca="1" ref="F216" ca="1">IFERROR(
  INDEX(ATTENDANCE_INPUT!D:D,
    MATCH(1,
      (ATTENDANCE_INPUT!A:A=A216) *
      (ATTENDANCE_INPUT!V:V=_xludf.MAXIFS(ATTENDANCE_INPUT!V:V, ATTENDANCE_INPUT!A:A, A216)),
      0)),
  "")</f>
        <v/>
      </c>
      <c r="G216" s="46" t="str">
        <f t="array" aca="1" ref="G216" ca="1">IFERROR(
  INDEX(ATTENDANCE_INPUT!E:E,
    MATCH(1,
      (ATTENDANCE_INPUT!A:A=A216) *
      (ATTENDANCE_INPUT!V:V=_xludf.MAXIFS(ATTENDANCE_INPUT!V:V, ATTENDANCE_INPUT!A:A, A216)),
      0)),
  "")</f>
        <v/>
      </c>
      <c r="H216" s="47" t="str">
        <f t="array" aca="1" ref="H216" ca="1">IF(ISNA(MATCH(A216,sheet2!A:A,0)),"⏳ Chưa test",IFERROR(INDEX(LEVEL_HELPER!A:A,MATCH(INDEX(sheet2!N:N,MATCH(A216,sheet2!A:A,0)),LEVEL_HELPER!B:B,0)),"⏳ Chưa test"))</f>
        <v>Pre-Intermediate</v>
      </c>
      <c r="I216" s="47" t="str">
        <f t="array" aca="1" ref="I216" ca="1">IF(ISNA(MATCH(A216,sheet2!A:A,0)),H216,IF(INDEX(sheet2!O:O,MATCH(A216,sheet2!A:A,0))&gt;0,IFERROR(INDEX(LEVEL_HELPER!A:A,MATCH(INDEX(sheet2!O:O,MATCH(A216,sheet2!A:A,0)),LEVEL_HELPER!B:B,0)),H216),H216))</f>
        <v>Pre-Intermediate</v>
      </c>
      <c r="J216" s="47" t="str">
        <f ca="1">IFERROR(_xludf.MAXIFS(ATTENDANCE_LOG!F:F, ATTENDANCE_LOG!C:C, A216&amp;"", ATTENDANCE_LOG!G:G, "Present"), "")</f>
        <v/>
      </c>
      <c r="K216" s="48" t="str">
        <f t="shared" ca="1" si="0"/>
        <v/>
      </c>
      <c r="L216" s="49" t="str">
        <f t="shared" ca="1" si="1"/>
        <v/>
      </c>
      <c r="M216" s="36" t="s">
        <v>34</v>
      </c>
      <c r="N216" s="50" t="s">
        <v>35</v>
      </c>
      <c r="O216" s="36" t="s">
        <v>578</v>
      </c>
      <c r="P216" s="36"/>
      <c r="Q216" s="36"/>
      <c r="R216" s="36"/>
      <c r="S216" s="36"/>
      <c r="T216" s="36"/>
      <c r="U216" s="36"/>
      <c r="V216" s="36"/>
      <c r="W216" s="59"/>
      <c r="X216" s="59"/>
      <c r="Y216" s="59"/>
    </row>
    <row r="217" spans="1:25" ht="15.75" customHeight="1">
      <c r="A217" s="42" t="s">
        <v>579</v>
      </c>
      <c r="B217" s="43" t="s">
        <v>580</v>
      </c>
      <c r="C217" s="44" t="str">
        <f ca="1">IFERROR(__xludf.DUMMYFUNCTION("arrayformula(VLOOKUP(to_Text(A217),to_Text(sheet2!$A$1:M1002),13,0))"),"ONC")</f>
        <v>ONC</v>
      </c>
      <c r="D217" s="45" t="str">
        <f ca="1">IFERROR(__xludf.DUMMYFUNCTION("arrayformula(VLOOKUP(to_Text(A217),to_Text(sheet2!$A$1:M1002),12,0))"),"DEV")</f>
        <v>DEV</v>
      </c>
      <c r="E217" s="43" t="str">
        <f t="shared" ref="E217:E218" ca="1" si="25">IF(L217="⚠ Possibly Dropped","Inactive","Active")</f>
        <v>Active</v>
      </c>
      <c r="F217" s="42" t="str">
        <f t="array" aca="1" ref="F217" ca="1">IFERROR(
  INDEX(ATTENDANCE_INPUT!D:D,
    MATCH(1,
      (ATTENDANCE_INPUT!A:A=A217) *
      (ATTENDANCE_INPUT!V:V=_xludf.MAXIFS(ATTENDANCE_INPUT!V:V, ATTENDANCE_INPUT!A:A, A217)),
      0)),
  "")</f>
        <v/>
      </c>
      <c r="G217" s="46" t="str">
        <f t="array" aca="1" ref="G217" ca="1">IFERROR(
  INDEX(ATTENDANCE_INPUT!E:E,
    MATCH(1,
      (ATTENDANCE_INPUT!A:A=A217) *
      (ATTENDANCE_INPUT!V:V=_xludf.MAXIFS(ATTENDANCE_INPUT!V:V, ATTENDANCE_INPUT!A:A, A217)),
      0)),
  "")</f>
        <v/>
      </c>
      <c r="H217" s="47" t="str">
        <f t="array" aca="1" ref="H217" ca="1">IF(ISNA(MATCH(A217,sheet2!A:A,0)),"⏳ Chưa test",IFERROR(INDEX(LEVEL_HELPER!A:A,MATCH(INDEX(sheet2!N:N,MATCH(A217,sheet2!A:A,0)),LEVEL_HELPER!B:B,0)),"⏳ Chưa test"))</f>
        <v>Beginner</v>
      </c>
      <c r="I217" s="47" t="str">
        <f t="array" aca="1" ref="I217" ca="1">IF(ISNA(MATCH(A217,sheet2!A:A,0)),H217,IF(INDEX(sheet2!O:O,MATCH(A217,sheet2!A:A,0))&gt;0,IFERROR(INDEX(LEVEL_HELPER!A:A,MATCH(INDEX(sheet2!O:O,MATCH(A217,sheet2!A:A,0)),LEVEL_HELPER!B:B,0)),H217),H217))</f>
        <v>Beginner</v>
      </c>
      <c r="J217" s="47" t="str">
        <f ca="1">IFERROR(_xludf.MAXIFS(ATTENDANCE_LOG!F:F, ATTENDANCE_LOG!C:C, A217&amp;"", ATTENDANCE_LOG!G:G, "Present"), "")</f>
        <v/>
      </c>
      <c r="K217" s="48" t="str">
        <f t="shared" ca="1" si="0"/>
        <v/>
      </c>
      <c r="L217" s="49" t="str">
        <f t="shared" ca="1" si="1"/>
        <v/>
      </c>
      <c r="M217" s="36"/>
      <c r="N217" s="50"/>
      <c r="O217" s="36"/>
      <c r="P217" s="36"/>
      <c r="Q217" s="36"/>
      <c r="R217" s="36"/>
      <c r="S217" s="36"/>
      <c r="T217" s="36"/>
      <c r="U217" s="36"/>
      <c r="V217" s="36"/>
      <c r="W217" s="59"/>
      <c r="X217" s="59"/>
      <c r="Y217" s="59"/>
    </row>
    <row r="218" spans="1:25" ht="15.75" customHeight="1">
      <c r="A218" s="42" t="s">
        <v>581</v>
      </c>
      <c r="B218" s="43" t="s">
        <v>582</v>
      </c>
      <c r="C218" s="44" t="str">
        <f ca="1">IFERROR(__xludf.DUMMYFUNCTION("arrayformula(VLOOKUP(to_Text(A218),to_Text(sheet2!$A$1:M1002),13,0))"),"ONC")</f>
        <v>ONC</v>
      </c>
      <c r="D218" s="45" t="str">
        <f ca="1">IFERROR(__xludf.DUMMYFUNCTION("arrayformula(VLOOKUP(to_Text(A218),to_Text(sheet2!$A$1:M1002),12,0))"),"DEV")</f>
        <v>DEV</v>
      </c>
      <c r="E218" s="43" t="str">
        <f t="shared" ca="1" si="25"/>
        <v>Active</v>
      </c>
      <c r="F218" s="42" t="str">
        <f t="array" aca="1" ref="F218" ca="1">IFERROR(
  INDEX(ATTENDANCE_INPUT!D:D,
    MATCH(1,
      (ATTENDANCE_INPUT!A:A=A218) *
      (ATTENDANCE_INPUT!V:V=_xludf.MAXIFS(ATTENDANCE_INPUT!V:V, ATTENDANCE_INPUT!A:A, A218)),
      0)),
  "")</f>
        <v/>
      </c>
      <c r="G218" s="46" t="str">
        <f t="array" aca="1" ref="G218" ca="1">IFERROR(
  INDEX(ATTENDANCE_INPUT!E:E,
    MATCH(1,
      (ATTENDANCE_INPUT!A:A=A218) *
      (ATTENDANCE_INPUT!V:V=_xludf.MAXIFS(ATTENDANCE_INPUT!V:V, ATTENDANCE_INPUT!A:A, A218)),
      0)),
  "")</f>
        <v/>
      </c>
      <c r="H218" s="47" t="str">
        <f t="array" aca="1" ref="H218" ca="1">IF(ISNA(MATCH(A218,sheet2!A:A,0)),"⏳ Chưa test",IFERROR(INDEX(LEVEL_HELPER!A:A,MATCH(INDEX(sheet2!N:N,MATCH(A218,sheet2!A:A,0)),LEVEL_HELPER!B:B,0)),"⏳ Chưa test"))</f>
        <v>Beginner</v>
      </c>
      <c r="I218" s="47" t="str">
        <f t="array" aca="1" ref="I218" ca="1">IF(ISNA(MATCH(A218,sheet2!A:A,0)),H218,IF(INDEX(sheet2!O:O,MATCH(A218,sheet2!A:A,0))&gt;0,IFERROR(INDEX(LEVEL_HELPER!A:A,MATCH(INDEX(sheet2!O:O,MATCH(A218,sheet2!A:A,0)),LEVEL_HELPER!B:B,0)),H218),H218))</f>
        <v>Beginner</v>
      </c>
      <c r="J218" s="47" t="str">
        <f ca="1">IFERROR(_xludf.MAXIFS(ATTENDANCE_LOG!F:F, ATTENDANCE_LOG!C:C, A218&amp;"", ATTENDANCE_LOG!G:G, "Present"), "")</f>
        <v/>
      </c>
      <c r="K218" s="48" t="str">
        <f t="shared" ca="1" si="0"/>
        <v/>
      </c>
      <c r="L218" s="49" t="str">
        <f t="shared" ca="1" si="1"/>
        <v/>
      </c>
      <c r="M218" s="36"/>
      <c r="N218" s="50"/>
      <c r="O218" s="36"/>
      <c r="P218" s="36"/>
      <c r="Q218" s="36"/>
      <c r="R218" s="36"/>
      <c r="S218" s="36"/>
      <c r="T218" s="36"/>
      <c r="U218" s="36"/>
      <c r="V218" s="36"/>
      <c r="W218" s="59"/>
      <c r="X218" s="59"/>
      <c r="Y218" s="59"/>
    </row>
    <row r="219" spans="1:25" ht="15.75" customHeight="1">
      <c r="A219" s="42" t="s">
        <v>583</v>
      </c>
      <c r="B219" s="43" t="s">
        <v>584</v>
      </c>
      <c r="C219" s="44" t="str">
        <f ca="1">IFERROR(__xludf.DUMMYFUNCTION("arrayformula(VLOOKUP(to_Text(A219),to_Text(sheet2!$A$1:M1002),13,0))"),"CHORUS")</f>
        <v>CHORUS</v>
      </c>
      <c r="D219" s="45" t="str">
        <f ca="1">IFERROR(__xludf.DUMMYFUNCTION("arrayformula(VLOOKUP(to_Text(A219),to_Text(sheet2!$A$1:M1002),12,0))"),"DEV")</f>
        <v>DEV</v>
      </c>
      <c r="E219" s="43" t="s">
        <v>16</v>
      </c>
      <c r="F219" s="42" t="str">
        <f t="array" aca="1" ref="F219" ca="1">IFERROR(
  INDEX(ATTENDANCE_INPUT!D:D,
    MATCH(1,
      (ATTENDANCE_INPUT!A:A=A219) *
      (ATTENDANCE_INPUT!V:V=_xludf.MAXIFS(ATTENDANCE_INPUT!V:V, ATTENDANCE_INPUT!A:A, A219)),
      0)),
  "")</f>
        <v/>
      </c>
      <c r="G219" s="46" t="str">
        <f t="array" aca="1" ref="G219" ca="1">IFERROR(
  INDEX(ATTENDANCE_INPUT!E:E,
    MATCH(1,
      (ATTENDANCE_INPUT!A:A=A219) *
      (ATTENDANCE_INPUT!V:V=_xludf.MAXIFS(ATTENDANCE_INPUT!V:V, ATTENDANCE_INPUT!A:A, A219)),
      0)),
  "")</f>
        <v/>
      </c>
      <c r="H219" s="47" t="str">
        <f t="array" aca="1" ref="H219" ca="1">IF(ISNA(MATCH(A219,sheet2!A:A,0)),"⏳ Chưa test",IFERROR(INDEX(LEVEL_HELPER!A:A,MATCH(INDEX(sheet2!N:N,MATCH(A219,sheet2!A:A,0)),LEVEL_HELPER!B:B,0)),"⏳ Chưa test"))</f>
        <v>Intermediate</v>
      </c>
      <c r="I219" s="47" t="str">
        <f t="array" aca="1" ref="I219" ca="1">IF(ISNA(MATCH(A219,sheet2!A:A,0)),H219,IF(INDEX(sheet2!O:O,MATCH(A219,sheet2!A:A,0))&gt;0,IFERROR(INDEX(LEVEL_HELPER!A:A,MATCH(INDEX(sheet2!O:O,MATCH(A219,sheet2!A:A,0)),LEVEL_HELPER!B:B,0)),H219),H219))</f>
        <v>Intermediate</v>
      </c>
      <c r="J219" s="47" t="str">
        <f ca="1">IFERROR(_xludf.MAXIFS(ATTENDANCE_LOG!F:F, ATTENDANCE_LOG!C:C, A219&amp;"", ATTENDANCE_LOG!G:G, "Present"), "")</f>
        <v/>
      </c>
      <c r="K219" s="48" t="str">
        <f t="shared" ca="1" si="0"/>
        <v/>
      </c>
      <c r="L219" s="49" t="str">
        <f t="shared" ca="1" si="1"/>
        <v/>
      </c>
      <c r="M219" s="36" t="s">
        <v>36</v>
      </c>
      <c r="N219" s="50" t="s">
        <v>33</v>
      </c>
      <c r="O219" s="36"/>
      <c r="P219" s="36"/>
      <c r="Q219" s="36"/>
      <c r="R219" s="36"/>
      <c r="S219" s="36"/>
      <c r="T219" s="36"/>
      <c r="U219" s="36"/>
      <c r="V219" s="36"/>
      <c r="W219" s="59"/>
      <c r="X219" s="59"/>
      <c r="Y219" s="59"/>
    </row>
    <row r="220" spans="1:25" ht="15.75" customHeight="1">
      <c r="A220" s="42" t="s">
        <v>585</v>
      </c>
      <c r="B220" s="43" t="s">
        <v>586</v>
      </c>
      <c r="C220" s="44" t="str">
        <f ca="1">IFERROR(__xludf.DUMMYFUNCTION("arrayformula(VLOOKUP(to_Text(A220),to_Text(sheet2!$A$1:M1002),13,0))"),"CHORUS")</f>
        <v>CHORUS</v>
      </c>
      <c r="D220" s="45" t="str">
        <f ca="1">IFERROR(__xludf.DUMMYFUNCTION("arrayformula(VLOOKUP(to_Text(A220),to_Text(sheet2!$A$1:M1002),12,0))"),"DEV")</f>
        <v>DEV</v>
      </c>
      <c r="E220" s="43" t="str">
        <f ca="1">IF(L220="⚠ Possibly Dropped","Inactive","Active")</f>
        <v>Active</v>
      </c>
      <c r="F220" s="42" t="str">
        <f t="array" aca="1" ref="F220" ca="1">IFERROR(
  INDEX(ATTENDANCE_INPUT!D:D,
    MATCH(1,
      (ATTENDANCE_INPUT!A:A=A220) *
      (ATTENDANCE_INPUT!V:V=_xludf.MAXIFS(ATTENDANCE_INPUT!V:V, ATTENDANCE_INPUT!A:A, A220)),
      0)),
  "")</f>
        <v/>
      </c>
      <c r="G220" s="46" t="str">
        <f t="array" aca="1" ref="G220" ca="1">IFERROR(
  INDEX(ATTENDANCE_INPUT!E:E,
    MATCH(1,
      (ATTENDANCE_INPUT!A:A=A220) *
      (ATTENDANCE_INPUT!V:V=_xludf.MAXIFS(ATTENDANCE_INPUT!V:V, ATTENDANCE_INPUT!A:A, A220)),
      0)),
  "")</f>
        <v/>
      </c>
      <c r="H220" s="47" t="str">
        <f t="array" aca="1" ref="H220" ca="1">IF(ISNA(MATCH(A220,sheet2!A:A,0)),"⏳ Chưa test",IFERROR(INDEX(LEVEL_HELPER!A:A,MATCH(INDEX(sheet2!N:N,MATCH(A220,sheet2!A:A,0)),LEVEL_HELPER!B:B,0)),"⏳ Chưa test"))</f>
        <v>Foundation</v>
      </c>
      <c r="I220" s="47" t="str">
        <f t="array" aca="1" ref="I220" ca="1">IF(ISNA(MATCH(A220,sheet2!A:A,0)),H220,IF(INDEX(sheet2!O:O,MATCH(A220,sheet2!A:A,0))&gt;0,IFERROR(INDEX(LEVEL_HELPER!A:A,MATCH(INDEX(sheet2!O:O,MATCH(A220,sheet2!A:A,0)),LEVEL_HELPER!B:B,0)),H220),H220))</f>
        <v>Foundation</v>
      </c>
      <c r="J220" s="47" t="str">
        <f ca="1">IFERROR(_xludf.MAXIFS(ATTENDANCE_LOG!F:F, ATTENDANCE_LOG!C:C, A220&amp;"", ATTENDANCE_LOG!G:G, "Present"), "")</f>
        <v/>
      </c>
      <c r="K220" s="48" t="str">
        <f t="shared" ca="1" si="0"/>
        <v/>
      </c>
      <c r="L220" s="49" t="str">
        <f t="shared" ca="1" si="1"/>
        <v/>
      </c>
      <c r="M220" s="36"/>
      <c r="N220" s="50"/>
      <c r="O220" s="36"/>
      <c r="P220" s="36"/>
      <c r="Q220" s="36"/>
      <c r="R220" s="36"/>
      <c r="S220" s="36"/>
      <c r="T220" s="36"/>
      <c r="U220" s="36"/>
      <c r="V220" s="36"/>
      <c r="W220" s="59"/>
      <c r="X220" s="59"/>
      <c r="Y220" s="59"/>
    </row>
    <row r="221" spans="1:25" ht="15.75" customHeight="1">
      <c r="A221" s="42" t="s">
        <v>587</v>
      </c>
      <c r="B221" s="43" t="s">
        <v>588</v>
      </c>
      <c r="C221" s="44" t="str">
        <f ca="1">IFERROR(__xludf.DUMMYFUNCTION("arrayformula(VLOOKUP(to_Text(A221),to_Text(sheet2!$A$1:M1002),13,0))"),"LBU")</f>
        <v>LBU</v>
      </c>
      <c r="D221" s="45" t="str">
        <f ca="1">IFERROR(__xludf.DUMMYFUNCTION("arrayformula(VLOOKUP(to_Text(A221),to_Text(sheet2!$A$1:M1002),12,0))"),"DEV")</f>
        <v>DEV</v>
      </c>
      <c r="E221" s="43" t="s">
        <v>175</v>
      </c>
      <c r="F221" s="42" t="str">
        <f t="array" aca="1" ref="F221" ca="1">IFERROR(
  INDEX(ATTENDANCE_INPUT!D:D,
    MATCH(1,
      (ATTENDANCE_INPUT!A:A=A221) *
      (ATTENDANCE_INPUT!V:V=_xludf.MAXIFS(ATTENDANCE_INPUT!V:V, ATTENDANCE_INPUT!A:A, A221)),
      0)),
  "")</f>
        <v/>
      </c>
      <c r="G221" s="46" t="str">
        <f t="array" aca="1" ref="G221" ca="1">IFERROR(
  INDEX(ATTENDANCE_INPUT!E:E,
    MATCH(1,
      (ATTENDANCE_INPUT!A:A=A221) *
      (ATTENDANCE_INPUT!V:V=_xludf.MAXIFS(ATTENDANCE_INPUT!V:V, ATTENDANCE_INPUT!A:A, A221)),
      0)),
  "")</f>
        <v/>
      </c>
      <c r="H221" s="47" t="str">
        <f t="array" aca="1" ref="H221" ca="1">IF(ISNA(MATCH(A221,sheet2!A:A,0)),"⏳ Chưa test",IFERROR(INDEX(LEVEL_HELPER!A:A,MATCH(INDEX(sheet2!N:N,MATCH(A221,sheet2!A:A,0)),LEVEL_HELPER!B:B,0)),"⏳ Chưa test"))</f>
        <v>Beginner</v>
      </c>
      <c r="I221" s="47" t="str">
        <f t="array" aca="1" ref="I221" ca="1">IF(ISNA(MATCH(A221,sheet2!A:A,0)),H221,IF(INDEX(sheet2!O:O,MATCH(A221,sheet2!A:A,0))&gt;0,IFERROR(INDEX(LEVEL_HELPER!A:A,MATCH(INDEX(sheet2!O:O,MATCH(A221,sheet2!A:A,0)),LEVEL_HELPER!B:B,0)),H221),H221))</f>
        <v>Beginner</v>
      </c>
      <c r="J221" s="47" t="str">
        <f ca="1">IFERROR(_xludf.MAXIFS(ATTENDANCE_LOG!F:F, ATTENDANCE_LOG!C:C, A221&amp;"", ATTENDANCE_LOG!G:G, "Present"), "")</f>
        <v/>
      </c>
      <c r="K221" s="48" t="str">
        <f t="shared" ca="1" si="0"/>
        <v/>
      </c>
      <c r="L221" s="49" t="str">
        <f t="shared" ca="1" si="1"/>
        <v/>
      </c>
      <c r="M221" s="36" t="s">
        <v>34</v>
      </c>
      <c r="N221" s="50" t="s">
        <v>33</v>
      </c>
      <c r="O221" s="51"/>
      <c r="P221" s="51"/>
      <c r="Q221" s="51"/>
      <c r="R221" s="51">
        <v>247142</v>
      </c>
      <c r="S221" s="51" t="s">
        <v>172</v>
      </c>
      <c r="T221" s="51" t="s">
        <v>39</v>
      </c>
      <c r="U221" s="51" t="str">
        <f ca="1">IFERROR(__xludf.DUMMYFUNCTION("arrayformula(vlookup(to_text(R221),to_text($A$4:$B1207),2,0))"),"#N/A")</f>
        <v>#N/A</v>
      </c>
      <c r="V221" s="51"/>
      <c r="W221" s="37"/>
      <c r="X221" s="37"/>
      <c r="Y221" s="37"/>
    </row>
    <row r="222" spans="1:25" ht="15.75" customHeight="1">
      <c r="A222" s="42" t="s">
        <v>589</v>
      </c>
      <c r="B222" s="43" t="s">
        <v>590</v>
      </c>
      <c r="C222" s="44" t="str">
        <f ca="1">IFERROR(__xludf.DUMMYFUNCTION("arrayformula(VLOOKUP(to_Text(A222),to_Text(sheet2!$A$1:M1002),13,0))"),"TBU")</f>
        <v>TBU</v>
      </c>
      <c r="D222" s="45" t="str">
        <f ca="1">IFERROR(__xludf.DUMMYFUNCTION("arrayformula(VLOOKUP(to_Text(A222),to_Text(sheet2!$A$1:M1002),12,0))"),"DEV")</f>
        <v>DEV</v>
      </c>
      <c r="E222" s="43" t="s">
        <v>16</v>
      </c>
      <c r="F222" s="42" t="str">
        <f t="array" aca="1" ref="F222" ca="1">IFERROR(
  INDEX(ATTENDANCE_INPUT!D:D,
    MATCH(1,
      (ATTENDANCE_INPUT!A:A=A222) *
      (ATTENDANCE_INPUT!V:V=_xludf.MAXIFS(ATTENDANCE_INPUT!V:V, ATTENDANCE_INPUT!A:A, A222)),
      0)),
  "")</f>
        <v/>
      </c>
      <c r="G222" s="46" t="str">
        <f t="array" aca="1" ref="G222" ca="1">IFERROR(
  INDEX(ATTENDANCE_INPUT!E:E,
    MATCH(1,
      (ATTENDANCE_INPUT!A:A=A222) *
      (ATTENDANCE_INPUT!V:V=_xludf.MAXIFS(ATTENDANCE_INPUT!V:V, ATTENDANCE_INPUT!A:A, A222)),
      0)),
  "")</f>
        <v/>
      </c>
      <c r="H222" s="47" t="str">
        <f t="array" aca="1" ref="H222" ca="1">IF(ISNA(MATCH(A222,sheet2!A:A,0)),"⏳ Chưa test",IFERROR(INDEX(LEVEL_HELPER!A:A,MATCH(INDEX(sheet2!N:N,MATCH(A222,sheet2!A:A,0)),LEVEL_HELPER!B:B,0)),"⏳ Chưa test"))</f>
        <v>⏳ Chưa test</v>
      </c>
      <c r="I222" s="47" t="str">
        <f t="array" aca="1" ref="I222" ca="1">IF(ISNA(MATCH(A222,sheet2!A:A,0)),H222,IF(INDEX(sheet2!O:O,MATCH(A222,sheet2!A:A,0))&gt;0,IFERROR(INDEX(LEVEL_HELPER!A:A,MATCH(INDEX(sheet2!O:O,MATCH(A222,sheet2!A:A,0)),LEVEL_HELPER!B:B,0)),H222),H222))</f>
        <v>⏳ Chưa test</v>
      </c>
      <c r="J222" s="47" t="str">
        <f ca="1">IFERROR(_xludf.MAXIFS(ATTENDANCE_LOG!F:F, ATTENDANCE_LOG!C:C, A222&amp;"", ATTENDANCE_LOG!G:G, "Present"), "")</f>
        <v/>
      </c>
      <c r="K222" s="48" t="str">
        <f t="shared" ca="1" si="0"/>
        <v/>
      </c>
      <c r="L222" s="49" t="str">
        <f t="shared" ca="1" si="1"/>
        <v/>
      </c>
      <c r="M222" s="36" t="s">
        <v>36</v>
      </c>
      <c r="N222" s="50" t="s">
        <v>33</v>
      </c>
      <c r="O222" s="36"/>
      <c r="P222" s="36"/>
      <c r="Q222" s="36"/>
      <c r="R222" s="36"/>
      <c r="S222" s="36"/>
      <c r="T222" s="36"/>
      <c r="U222" s="36"/>
      <c r="V222" s="36"/>
      <c r="W222" s="59"/>
      <c r="X222" s="59"/>
      <c r="Y222" s="59"/>
    </row>
    <row r="223" spans="1:25" ht="15.75" customHeight="1">
      <c r="A223" s="42" t="s">
        <v>591</v>
      </c>
      <c r="B223" s="43" t="s">
        <v>592</v>
      </c>
      <c r="C223" s="44" t="str">
        <f ca="1">IFERROR(__xludf.DUMMYFUNCTION("arrayformula(VLOOKUP(to_Text(A223),to_Text(sheet2!$A$1:M1002),13,0))"),"LBU")</f>
        <v>LBU</v>
      </c>
      <c r="D223" s="45" t="str">
        <f ca="1">IFERROR(__xludf.DUMMYFUNCTION("arrayformula(VLOOKUP(to_Text(A223),to_Text(sheet2!$A$1:M1002),12,0))"),"DEV")</f>
        <v>DEV</v>
      </c>
      <c r="E223" s="43" t="str">
        <f ca="1">IF(L223="⚠ Possibly Dropped","Inactive","Active")</f>
        <v>Active</v>
      </c>
      <c r="F223" s="42" t="str">
        <f t="array" aca="1" ref="F223" ca="1">IFERROR(
  INDEX(ATTENDANCE_INPUT!D:D,
    MATCH(1,
      (ATTENDANCE_INPUT!A:A=A223) *
      (ATTENDANCE_INPUT!V:V=_xludf.MAXIFS(ATTENDANCE_INPUT!V:V, ATTENDANCE_INPUT!A:A, A223)),
      0)),
  "")</f>
        <v/>
      </c>
      <c r="G223" s="46" t="str">
        <f t="array" aca="1" ref="G223" ca="1">IFERROR(
  INDEX(ATTENDANCE_INPUT!E:E,
    MATCH(1,
      (ATTENDANCE_INPUT!A:A=A223) *
      (ATTENDANCE_INPUT!V:V=_xludf.MAXIFS(ATTENDANCE_INPUT!V:V, ATTENDANCE_INPUT!A:A, A223)),
      0)),
  "")</f>
        <v/>
      </c>
      <c r="H223" s="47" t="str">
        <f t="array" aca="1" ref="H223" ca="1">IF(ISNA(MATCH(A223,sheet2!A:A,0)),"⏳ Chưa test",IFERROR(INDEX(LEVEL_HELPER!A:A,MATCH(INDEX(sheet2!N:N,MATCH(A223,sheet2!A:A,0)),LEVEL_HELPER!B:B,0)),"⏳ Chưa test"))</f>
        <v>⏳ Chưa test</v>
      </c>
      <c r="I223" s="47" t="str">
        <f t="array" aca="1" ref="I223" ca="1">IF(ISNA(MATCH(A223,sheet2!A:A,0)),H223,IF(INDEX(sheet2!O:O,MATCH(A223,sheet2!A:A,0))&gt;0,IFERROR(INDEX(LEVEL_HELPER!A:A,MATCH(INDEX(sheet2!O:O,MATCH(A223,sheet2!A:A,0)),LEVEL_HELPER!B:B,0)),H223),H223))</f>
        <v>⏳ Chưa test</v>
      </c>
      <c r="J223" s="47" t="str">
        <f ca="1">IFERROR(_xludf.MAXIFS(ATTENDANCE_LOG!F:F, ATTENDANCE_LOG!C:C, A223&amp;"", ATTENDANCE_LOG!G:G, "Present"), "")</f>
        <v/>
      </c>
      <c r="K223" s="48" t="str">
        <f t="shared" ca="1" si="0"/>
        <v/>
      </c>
      <c r="L223" s="49" t="str">
        <f t="shared" ca="1" si="1"/>
        <v/>
      </c>
      <c r="M223" s="36" t="s">
        <v>36</v>
      </c>
      <c r="N223" s="50" t="s">
        <v>42</v>
      </c>
      <c r="O223" s="36"/>
      <c r="P223" s="36"/>
      <c r="Q223" s="36"/>
      <c r="R223" s="36">
        <v>237236</v>
      </c>
      <c r="S223" s="36" t="s">
        <v>121</v>
      </c>
      <c r="T223" s="36" t="s">
        <v>122</v>
      </c>
      <c r="U223" s="36" t="str">
        <f ca="1">IFERROR(__xludf.DUMMYFUNCTION("arrayformula(vlookup(to_text(R223),to_text($A$4:$B1165),2,0))"),"#N/A")</f>
        <v>#N/A</v>
      </c>
      <c r="V223" s="36"/>
      <c r="W223" s="59"/>
      <c r="X223" s="59"/>
      <c r="Y223" s="59"/>
    </row>
    <row r="224" spans="1:25" ht="15.75" customHeight="1">
      <c r="A224" s="53" t="s">
        <v>593</v>
      </c>
      <c r="B224" s="54" t="s">
        <v>594</v>
      </c>
      <c r="C224" s="44" t="str">
        <f ca="1">IFERROR(__xludf.DUMMYFUNCTION("arrayformula(VLOOKUP(to_Text(A224),to_Text(sheet2!$A$1:M1002),13,0))"),"MOC")</f>
        <v>MOC</v>
      </c>
      <c r="D224" s="45" t="str">
        <f ca="1">IFERROR(__xludf.DUMMYFUNCTION("arrayformula(VLOOKUP(to_Text(A224),to_Text(sheet2!$A$1:M1002),12,0))"),"DEV")</f>
        <v>DEV</v>
      </c>
      <c r="E224" s="43" t="s">
        <v>175</v>
      </c>
      <c r="F224" s="42" t="str">
        <f t="array" aca="1" ref="F224" ca="1">IFERROR(
  INDEX(ATTENDANCE_INPUT!D:D,
    MATCH(1,
      (ATTENDANCE_INPUT!A:A=A224) *
      (ATTENDANCE_INPUT!V:V=_xludf.MAXIFS(ATTENDANCE_INPUT!V:V, ATTENDANCE_INPUT!A:A, A224)),
      0)),
  "")</f>
        <v/>
      </c>
      <c r="G224" s="46" t="str">
        <f t="array" aca="1" ref="G224" ca="1">IFERROR(
  INDEX(ATTENDANCE_INPUT!E:E,
    MATCH(1,
      (ATTENDANCE_INPUT!A:A=A224) *
      (ATTENDANCE_INPUT!V:V=_xludf.MAXIFS(ATTENDANCE_INPUT!V:V, ATTENDANCE_INPUT!A:A, A224)),
      0)),
  "")</f>
        <v/>
      </c>
      <c r="H224" s="47" t="str">
        <f t="array" aca="1" ref="H224" ca="1">IF(ISNA(MATCH(A224,sheet2!A:A,0)),"⏳ Chưa test",IFERROR(INDEX(LEVEL_HELPER!A:A,MATCH(INDEX(sheet2!N:N,MATCH(A224,sheet2!A:A,0)),LEVEL_HELPER!B:B,0)),"⏳ Chưa test"))</f>
        <v>Beginner</v>
      </c>
      <c r="I224" s="47" t="str">
        <f t="array" aca="1" ref="I224" ca="1">IF(ISNA(MATCH(A224,sheet2!A:A,0)),H224,IF(INDEX(sheet2!O:O,MATCH(A224,sheet2!A:A,0))&gt;0,IFERROR(INDEX(LEVEL_HELPER!A:A,MATCH(INDEX(sheet2!O:O,MATCH(A224,sheet2!A:A,0)),LEVEL_HELPER!B:B,0)),H224),H224))</f>
        <v>Beginner</v>
      </c>
      <c r="J224" s="55" t="str">
        <f ca="1">IFERROR(_xludf.MAXIFS(ATTENDANCE_LOG!F:F, ATTENDANCE_LOG!C:C, A224&amp;"", ATTENDANCE_LOG!G:G, "Present"), "")</f>
        <v/>
      </c>
      <c r="K224" s="56" t="str">
        <f t="shared" ca="1" si="0"/>
        <v/>
      </c>
      <c r="L224" s="57" t="str">
        <f t="shared" ca="1" si="1"/>
        <v/>
      </c>
      <c r="M224" s="51"/>
      <c r="N224" s="50"/>
      <c r="O224" s="36"/>
      <c r="P224" s="36"/>
      <c r="Q224" s="36"/>
      <c r="R224" s="36">
        <v>247213</v>
      </c>
      <c r="S224" s="36" t="s">
        <v>172</v>
      </c>
      <c r="T224" s="36" t="s">
        <v>39</v>
      </c>
      <c r="U224" s="36" t="str">
        <f ca="1">IFERROR(__xludf.DUMMYFUNCTION("arrayformula(vlookup(to_text(R224),to_text($A$4:$B1209),2,0))"),"#N/A")</f>
        <v>#N/A</v>
      </c>
      <c r="V224" s="36"/>
      <c r="W224" s="37"/>
      <c r="X224" s="37"/>
      <c r="Y224" s="37"/>
    </row>
    <row r="225" spans="1:25" ht="15.75" customHeight="1">
      <c r="A225" s="42" t="s">
        <v>595</v>
      </c>
      <c r="B225" s="43" t="s">
        <v>596</v>
      </c>
      <c r="C225" s="44" t="str">
        <f ca="1">IFERROR(__xludf.DUMMYFUNCTION("arrayformula(VLOOKUP(to_Text(A225),to_Text(sheet2!$A$1:M1002),13,0))"),"LBU")</f>
        <v>LBU</v>
      </c>
      <c r="D225" s="45" t="str">
        <f ca="1">IFERROR(__xludf.DUMMYFUNCTION("arrayformula(VLOOKUP(to_Text(A225),to_Text(sheet2!$A$1:M1002),12,0))"),"DEV")</f>
        <v>DEV</v>
      </c>
      <c r="E225" s="43" t="s">
        <v>16</v>
      </c>
      <c r="F225" s="42" t="str">
        <f t="array" aca="1" ref="F225" ca="1">IFERROR(
  INDEX(ATTENDANCE_INPUT!D:D,
    MATCH(1,
      (ATTENDANCE_INPUT!A:A=A225) *
      (ATTENDANCE_INPUT!V:V=_xludf.MAXIFS(ATTENDANCE_INPUT!V:V, ATTENDANCE_INPUT!A:A, A225)),
      0)),
  "")</f>
        <v/>
      </c>
      <c r="G225" s="46" t="str">
        <f t="array" aca="1" ref="G225" ca="1">IFERROR(
  INDEX(ATTENDANCE_INPUT!E:E,
    MATCH(1,
      (ATTENDANCE_INPUT!A:A=A225) *
      (ATTENDANCE_INPUT!V:V=_xludf.MAXIFS(ATTENDANCE_INPUT!V:V, ATTENDANCE_INPUT!A:A, A225)),
      0)),
  "")</f>
        <v/>
      </c>
      <c r="H225" s="47" t="str">
        <f t="array" aca="1" ref="H225" ca="1">IF(ISNA(MATCH(A225,sheet2!A:A,0)),"⏳ Chưa test",IFERROR(INDEX(LEVEL_HELPER!A:A,MATCH(INDEX(sheet2!N:N,MATCH(A225,sheet2!A:A,0)),LEVEL_HELPER!B:B,0)),"⏳ Chưa test"))</f>
        <v>Beginner</v>
      </c>
      <c r="I225" s="47" t="str">
        <f t="array" aca="1" ref="I225" ca="1">IF(ISNA(MATCH(A225,sheet2!A:A,0)),H225,IF(INDEX(sheet2!O:O,MATCH(A225,sheet2!A:A,0))&gt;0,IFERROR(INDEX(LEVEL_HELPER!A:A,MATCH(INDEX(sheet2!O:O,MATCH(A225,sheet2!A:A,0)),LEVEL_HELPER!B:B,0)),H225),H225))</f>
        <v>Beginner</v>
      </c>
      <c r="J225" s="47" t="str">
        <f ca="1">IFERROR(_xludf.MAXIFS(ATTENDANCE_LOG!F:F, ATTENDANCE_LOG!C:C, A225&amp;"", ATTENDANCE_LOG!G:G, "Present"), "")</f>
        <v/>
      </c>
      <c r="K225" s="48" t="str">
        <f t="shared" ca="1" si="0"/>
        <v/>
      </c>
      <c r="L225" s="49" t="str">
        <f t="shared" ca="1" si="1"/>
        <v/>
      </c>
      <c r="M225" s="36" t="s">
        <v>36</v>
      </c>
      <c r="N225" s="50" t="s">
        <v>42</v>
      </c>
      <c r="O225" s="36"/>
      <c r="P225" s="36"/>
      <c r="Q225" s="36"/>
      <c r="R225" s="36"/>
      <c r="S225" s="36"/>
      <c r="T225" s="36"/>
      <c r="U225" s="36"/>
      <c r="V225" s="36"/>
      <c r="W225" s="59"/>
      <c r="X225" s="59"/>
      <c r="Y225" s="59"/>
    </row>
    <row r="226" spans="1:25" ht="15.75" customHeight="1">
      <c r="A226" s="42" t="s">
        <v>597</v>
      </c>
      <c r="B226" s="43" t="s">
        <v>598</v>
      </c>
      <c r="C226" s="44" t="str">
        <f ca="1">IFERROR(__xludf.DUMMYFUNCTION("arrayformula(VLOOKUP(to_Text(A226),to_Text(sheet2!$A$1:M1002),13,0))"),"MOC")</f>
        <v>MOC</v>
      </c>
      <c r="D226" s="45" t="str">
        <f ca="1">IFERROR(__xludf.DUMMYFUNCTION("arrayformula(VLOOKUP(to_Text(A226),to_Text(sheet2!$A$1:M1002),12,0))"),"GSD")</f>
        <v>GSD</v>
      </c>
      <c r="E226" s="43" t="str">
        <f ca="1">IF(L226="⚠ Possibly Dropped","Inactive","Active")</f>
        <v>Active</v>
      </c>
      <c r="F226" s="42" t="str">
        <f t="array" aca="1" ref="F226" ca="1">IFERROR(
  INDEX(ATTENDANCE_INPUT!D:D,
    MATCH(1,
      (ATTENDANCE_INPUT!A:A=A226) *
      (ATTENDANCE_INPUT!V:V=_xludf.MAXIFS(ATTENDANCE_INPUT!V:V, ATTENDANCE_INPUT!A:A, A226)),
      0)),
  "")</f>
        <v/>
      </c>
      <c r="G226" s="46" t="str">
        <f t="array" aca="1" ref="G226" ca="1">IFERROR(
  INDEX(ATTENDANCE_INPUT!E:E,
    MATCH(1,
      (ATTENDANCE_INPUT!A:A=A226) *
      (ATTENDANCE_INPUT!V:V=_xludf.MAXIFS(ATTENDANCE_INPUT!V:V, ATTENDANCE_INPUT!A:A, A226)),
      0)),
  "")</f>
        <v/>
      </c>
      <c r="H226" s="47" t="str">
        <f t="array" aca="1" ref="H226" ca="1">IF(ISNA(MATCH(A226,sheet2!A:A,0)),"⏳ Chưa test",IFERROR(INDEX(LEVEL_HELPER!A:A,MATCH(INDEX(sheet2!N:N,MATCH(A226,sheet2!A:A,0)),LEVEL_HELPER!B:B,0)),"⏳ Chưa test"))</f>
        <v>⏳ Chưa test</v>
      </c>
      <c r="I226" s="47" t="str">
        <f t="array" aca="1" ref="I226" ca="1">IF(ISNA(MATCH(A226,sheet2!A:A,0)),H226,IF(INDEX(sheet2!O:O,MATCH(A226,sheet2!A:A,0))&gt;0,IFERROR(INDEX(LEVEL_HELPER!A:A,MATCH(INDEX(sheet2!O:O,MATCH(A226,sheet2!A:A,0)),LEVEL_HELPER!B:B,0)),H226),H226))</f>
        <v>⏳ Chưa test</v>
      </c>
      <c r="J226" s="47" t="str">
        <f ca="1">IFERROR(_xludf.MAXIFS(ATTENDANCE_LOG!F:F, ATTENDANCE_LOG!C:C, A226&amp;"", ATTENDANCE_LOG!G:G, "Present"), "")</f>
        <v/>
      </c>
      <c r="K226" s="48" t="str">
        <f t="shared" ca="1" si="0"/>
        <v/>
      </c>
      <c r="L226" s="49" t="str">
        <f t="shared" ca="1" si="1"/>
        <v/>
      </c>
      <c r="M226" s="36"/>
      <c r="N226" s="50"/>
      <c r="O226" s="36"/>
      <c r="P226" s="36"/>
      <c r="Q226" s="36"/>
      <c r="R226" s="36"/>
      <c r="S226" s="36"/>
      <c r="T226" s="36"/>
      <c r="U226" s="36"/>
      <c r="V226" s="36"/>
      <c r="W226" s="59"/>
      <c r="X226" s="59"/>
      <c r="Y226" s="59"/>
    </row>
    <row r="227" spans="1:25" ht="15.75" customHeight="1">
      <c r="A227" s="42" t="s">
        <v>599</v>
      </c>
      <c r="B227" s="43" t="s">
        <v>600</v>
      </c>
      <c r="C227" s="44" t="str">
        <f ca="1">IFERROR(__xludf.DUMMYFUNCTION("arrayformula(VLOOKUP(to_Text(A227),to_Text(sheet2!$A$1:M1002),13,0))"),"ONC")</f>
        <v>ONC</v>
      </c>
      <c r="D227" s="45" t="str">
        <f ca="1">IFERROR(__xludf.DUMMYFUNCTION("arrayformula(VLOOKUP(to_Text(A227),to_Text(sheet2!$A$1:M1002),12,0))"),"DEV")</f>
        <v>DEV</v>
      </c>
      <c r="E227" s="43" t="s">
        <v>15</v>
      </c>
      <c r="F227" s="42" t="str">
        <f t="array" aca="1" ref="F227" ca="1">IFERROR(
  INDEX(ATTENDANCE_INPUT!D:D,
    MATCH(1,
      (ATTENDANCE_INPUT!A:A=A227) *
      (ATTENDANCE_INPUT!V:V=_xludf.MAXIFS(ATTENDANCE_INPUT!V:V, ATTENDANCE_INPUT!A:A, A227)),
      0)),
  "")</f>
        <v/>
      </c>
      <c r="G227" s="46" t="str">
        <f t="array" aca="1" ref="G227" ca="1">IFERROR(
  INDEX(ATTENDANCE_INPUT!E:E,
    MATCH(1,
      (ATTENDANCE_INPUT!A:A=A227) *
      (ATTENDANCE_INPUT!V:V=_xludf.MAXIFS(ATTENDANCE_INPUT!V:V, ATTENDANCE_INPUT!A:A, A227)),
      0)),
  "")</f>
        <v/>
      </c>
      <c r="H227" s="47" t="str">
        <f t="array" aca="1" ref="H227" ca="1">IF(ISNA(MATCH(A227,sheet2!A:A,0)),"⏳ Chưa test",IFERROR(INDEX(LEVEL_HELPER!A:A,MATCH(INDEX(sheet2!N:N,MATCH(A227,sheet2!A:A,0)),LEVEL_HELPER!B:B,0)),"⏳ Chưa test"))</f>
        <v>Pre-Intermediate</v>
      </c>
      <c r="I227" s="47" t="str">
        <f t="array" aca="1" ref="I227" ca="1">IF(ISNA(MATCH(A227,sheet2!A:A,0)),H227,IF(INDEX(sheet2!O:O,MATCH(A227,sheet2!A:A,0))&gt;0,IFERROR(INDEX(LEVEL_HELPER!A:A,MATCH(INDEX(sheet2!O:O,MATCH(A227,sheet2!A:A,0)),LEVEL_HELPER!B:B,0)),H227),H227))</f>
        <v>Pre-Intermediate</v>
      </c>
      <c r="J227" s="47" t="str">
        <f ca="1">IFERROR(_xludf.MAXIFS(ATTENDANCE_LOG!F:F, ATTENDANCE_LOG!C:C, A227&amp;"", ATTENDANCE_LOG!G:G, "Present"), "")</f>
        <v/>
      </c>
      <c r="K227" s="48" t="str">
        <f t="shared" ca="1" si="0"/>
        <v/>
      </c>
      <c r="L227" s="49" t="str">
        <f t="shared" ca="1" si="1"/>
        <v/>
      </c>
      <c r="M227" s="36"/>
      <c r="N227" s="50"/>
      <c r="O227" s="36"/>
      <c r="P227" s="36"/>
      <c r="Q227" s="36"/>
      <c r="R227" s="36">
        <v>183421</v>
      </c>
      <c r="S227" s="36"/>
      <c r="T227" s="36"/>
      <c r="U227" s="36" t="str">
        <f ca="1">IFERROR(__xludf.DUMMYFUNCTION("arrayformula(vlookup(to_text(R227),to_text($A$4:$B1128),2,0))"),"NGUYỄN TẤT ĐẠT")</f>
        <v>NGUYỄN TẤT ĐẠT</v>
      </c>
      <c r="V227" s="36"/>
      <c r="W227" s="59"/>
      <c r="X227" s="59"/>
      <c r="Y227" s="59"/>
    </row>
    <row r="228" spans="1:25" ht="15.75" customHeight="1">
      <c r="A228" s="42" t="s">
        <v>601</v>
      </c>
      <c r="B228" s="43" t="s">
        <v>602</v>
      </c>
      <c r="C228" s="44" t="str">
        <f ca="1">IFERROR(__xludf.DUMMYFUNCTION("arrayformula(VLOOKUP(to_Text(A228),to_Text(sheet2!$A$1:M1002),13,0))"),"LBU")</f>
        <v>LBU</v>
      </c>
      <c r="D228" s="45" t="str">
        <f ca="1">IFERROR(__xludf.DUMMYFUNCTION("arrayformula(VLOOKUP(to_Text(A228),to_Text(sheet2!$A$1:M1002),12,0))"),"QC")</f>
        <v>QC</v>
      </c>
      <c r="E228" s="43" t="s">
        <v>16</v>
      </c>
      <c r="F228" s="42" t="str">
        <f t="array" aca="1" ref="F228" ca="1">IFERROR(
  INDEX(ATTENDANCE_INPUT!D:D,
    MATCH(1,
      (ATTENDANCE_INPUT!A:A=A228) *
      (ATTENDANCE_INPUT!V:V=_xludf.MAXIFS(ATTENDANCE_INPUT!V:V, ATTENDANCE_INPUT!A:A, A228)),
      0)),
  "")</f>
        <v/>
      </c>
      <c r="G228" s="46" t="str">
        <f t="array" aca="1" ref="G228" ca="1">IFERROR(
  INDEX(ATTENDANCE_INPUT!E:E,
    MATCH(1,
      (ATTENDANCE_INPUT!A:A=A228) *
      (ATTENDANCE_INPUT!V:V=_xludf.MAXIFS(ATTENDANCE_INPUT!V:V, ATTENDANCE_INPUT!A:A, A228)),
      0)),
  "")</f>
        <v/>
      </c>
      <c r="H228" s="47" t="str">
        <f t="array" aca="1" ref="H228" ca="1">IF(ISNA(MATCH(A228,sheet2!A:A,0)),"⏳ Chưa test",IFERROR(INDEX(LEVEL_HELPER!A:A,MATCH(INDEX(sheet2!N:N,MATCH(A228,sheet2!A:A,0)),LEVEL_HELPER!B:B,0)),"⏳ Chưa test"))</f>
        <v>Intermediate</v>
      </c>
      <c r="I228" s="47" t="str">
        <f t="array" aca="1" ref="I228" ca="1">IF(ISNA(MATCH(A228,sheet2!A:A,0)),H228,IF(INDEX(sheet2!O:O,MATCH(A228,sheet2!A:A,0))&gt;0,IFERROR(INDEX(LEVEL_HELPER!A:A,MATCH(INDEX(sheet2!O:O,MATCH(A228,sheet2!A:A,0)),LEVEL_HELPER!B:B,0)),H228),H228))</f>
        <v>Intermediate</v>
      </c>
      <c r="J228" s="47" t="str">
        <f ca="1">IFERROR(_xludf.MAXIFS(ATTENDANCE_LOG!F:F, ATTENDANCE_LOG!C:C, A228&amp;"", ATTENDANCE_LOG!G:G, "Present"), "")</f>
        <v/>
      </c>
      <c r="K228" s="48" t="str">
        <f t="shared" ca="1" si="0"/>
        <v/>
      </c>
      <c r="L228" s="49" t="str">
        <f t="shared" ca="1" si="1"/>
        <v/>
      </c>
      <c r="M228" s="36" t="s">
        <v>36</v>
      </c>
      <c r="N228" s="50" t="s">
        <v>42</v>
      </c>
      <c r="O228" s="36"/>
      <c r="P228" s="36"/>
      <c r="Q228" s="36"/>
      <c r="R228" s="36"/>
      <c r="S228" s="36"/>
      <c r="T228" s="36"/>
      <c r="U228" s="36"/>
      <c r="V228" s="36"/>
      <c r="W228" s="59"/>
      <c r="X228" s="59"/>
      <c r="Y228" s="59"/>
    </row>
    <row r="229" spans="1:25" ht="15.75" customHeight="1">
      <c r="A229" s="42" t="s">
        <v>603</v>
      </c>
      <c r="B229" s="43" t="s">
        <v>604</v>
      </c>
      <c r="C229" s="44" t="str">
        <f ca="1">IFERROR(__xludf.DUMMYFUNCTION("arrayformula(VLOOKUP(to_Text(A229),to_Text(sheet2!$A$1:M1002),13,0))"),"TBU")</f>
        <v>TBU</v>
      </c>
      <c r="D229" s="45" t="str">
        <f ca="1">IFERROR(__xludf.DUMMYFUNCTION("arrayformula(VLOOKUP(to_Text(A229),to_Text(sheet2!$A$1:M1002),12,0))"),"DEV")</f>
        <v>DEV</v>
      </c>
      <c r="E229" s="43" t="s">
        <v>15</v>
      </c>
      <c r="F229" s="42" t="str">
        <f t="array" aca="1" ref="F229" ca="1">IFERROR(
  INDEX(ATTENDANCE_INPUT!D:D,
    MATCH(1,
      (ATTENDANCE_INPUT!A:A=A229) *
      (ATTENDANCE_INPUT!V:V=_xludf.MAXIFS(ATTENDANCE_INPUT!V:V, ATTENDANCE_INPUT!A:A, A229)),
      0)),
  "")</f>
        <v/>
      </c>
      <c r="G229" s="46" t="str">
        <f t="array" aca="1" ref="G229" ca="1">IFERROR(
  INDEX(ATTENDANCE_INPUT!E:E,
    MATCH(1,
      (ATTENDANCE_INPUT!A:A=A229) *
      (ATTENDANCE_INPUT!V:V=_xludf.MAXIFS(ATTENDANCE_INPUT!V:V, ATTENDANCE_INPUT!A:A, A229)),
      0)),
  "")</f>
        <v/>
      </c>
      <c r="H229" s="47" t="str">
        <f t="array" aca="1" ref="H229" ca="1">IF(ISNA(MATCH(A229,sheet2!A:A,0)),"⏳ Chưa test",IFERROR(INDEX(LEVEL_HELPER!A:A,MATCH(INDEX(sheet2!N:N,MATCH(A229,sheet2!A:A,0)),LEVEL_HELPER!B:B,0)),"⏳ Chưa test"))</f>
        <v>⏳ Chưa test</v>
      </c>
      <c r="I229" s="47" t="str">
        <f t="array" aca="1" ref="I229" ca="1">IF(ISNA(MATCH(A229,sheet2!A:A,0)),H229,IF(INDEX(sheet2!O:O,MATCH(A229,sheet2!A:A,0))&gt;0,IFERROR(INDEX(LEVEL_HELPER!A:A,MATCH(INDEX(sheet2!O:O,MATCH(A229,sheet2!A:A,0)),LEVEL_HELPER!B:B,0)),H229),H229))</f>
        <v>⏳ Chưa test</v>
      </c>
      <c r="J229" s="47" t="str">
        <f ca="1">IFERROR(_xludf.MAXIFS(ATTENDANCE_LOG!F:F, ATTENDANCE_LOG!C:C, A229&amp;"", ATTENDANCE_LOG!G:G, "Present"), "")</f>
        <v/>
      </c>
      <c r="K229" s="48" t="str">
        <f t="shared" ca="1" si="0"/>
        <v/>
      </c>
      <c r="L229" s="49" t="str">
        <f t="shared" ca="1" si="1"/>
        <v/>
      </c>
      <c r="M229" s="36"/>
      <c r="N229" s="50"/>
      <c r="O229" s="36"/>
      <c r="P229" s="36"/>
      <c r="Q229" s="36"/>
      <c r="R229" s="36"/>
      <c r="S229" s="36"/>
      <c r="T229" s="36"/>
      <c r="U229" s="36"/>
      <c r="V229" s="36"/>
      <c r="W229" s="59"/>
      <c r="X229" s="59"/>
      <c r="Y229" s="59"/>
    </row>
    <row r="230" spans="1:25" ht="15.75" customHeight="1">
      <c r="A230" s="42" t="s">
        <v>605</v>
      </c>
      <c r="B230" s="43" t="s">
        <v>606</v>
      </c>
      <c r="C230" s="44" t="str">
        <f ca="1">IFERROR(__xludf.DUMMYFUNCTION("arrayformula(VLOOKUP(to_Text(A230),to_Text(sheet2!$A$1:M1002),13,0))"),"LBU")</f>
        <v>LBU</v>
      </c>
      <c r="D230" s="45" t="str">
        <f ca="1">IFERROR(__xludf.DUMMYFUNCTION("arrayformula(VLOOKUP(to_Text(A230),to_Text(sheet2!$A$1:M1002),12,0))"),"DEV")</f>
        <v>DEV</v>
      </c>
      <c r="E230" s="43" t="s">
        <v>16</v>
      </c>
      <c r="F230" s="42" t="str">
        <f t="array" aca="1" ref="F230" ca="1">IFERROR(
  INDEX(ATTENDANCE_INPUT!D:D,
    MATCH(1,
      (ATTENDANCE_INPUT!A:A=A230) *
      (ATTENDANCE_INPUT!V:V=_xludf.MAXIFS(ATTENDANCE_INPUT!V:V, ATTENDANCE_INPUT!A:A, A230)),
      0)),
  "")</f>
        <v/>
      </c>
      <c r="G230" s="46" t="str">
        <f t="array" aca="1" ref="G230" ca="1">IFERROR(
  INDEX(ATTENDANCE_INPUT!E:E,
    MATCH(1,
      (ATTENDANCE_INPUT!A:A=A230) *
      (ATTENDANCE_INPUT!V:V=_xludf.MAXIFS(ATTENDANCE_INPUT!V:V, ATTENDANCE_INPUT!A:A, A230)),
      0)),
  "")</f>
        <v/>
      </c>
      <c r="H230" s="47" t="str">
        <f t="array" aca="1" ref="H230" ca="1">IF(ISNA(MATCH(A230,sheet2!A:A,0)),"⏳ Chưa test",IFERROR(INDEX(LEVEL_HELPER!A:A,MATCH(INDEX(sheet2!N:N,MATCH(A230,sheet2!A:A,0)),LEVEL_HELPER!B:B,0)),"⏳ Chưa test"))</f>
        <v>Beginner</v>
      </c>
      <c r="I230" s="47" t="str">
        <f t="array" aca="1" ref="I230" ca="1">IF(ISNA(MATCH(A230,sheet2!A:A,0)),H230,IF(INDEX(sheet2!O:O,MATCH(A230,sheet2!A:A,0))&gt;0,IFERROR(INDEX(LEVEL_HELPER!A:A,MATCH(INDEX(sheet2!O:O,MATCH(A230,sheet2!A:A,0)),LEVEL_HELPER!B:B,0)),H230),H230))</f>
        <v>Beginner</v>
      </c>
      <c r="J230" s="47" t="str">
        <f ca="1">IFERROR(_xludf.MAXIFS(ATTENDANCE_LOG!F:F, ATTENDANCE_LOG!C:C, A230&amp;"", ATTENDANCE_LOG!G:G, "Present"), "")</f>
        <v/>
      </c>
      <c r="K230" s="48" t="str">
        <f t="shared" ca="1" si="0"/>
        <v/>
      </c>
      <c r="L230" s="49" t="str">
        <f t="shared" ca="1" si="1"/>
        <v/>
      </c>
      <c r="M230" s="36" t="s">
        <v>34</v>
      </c>
      <c r="N230" s="50" t="s">
        <v>33</v>
      </c>
      <c r="O230" s="36"/>
      <c r="P230" s="36"/>
      <c r="Q230" s="36"/>
      <c r="R230" s="36">
        <v>247366</v>
      </c>
      <c r="S230" s="36" t="s">
        <v>172</v>
      </c>
      <c r="T230" s="36" t="s">
        <v>39</v>
      </c>
      <c r="U230" s="36" t="e">
        <v>#N/A</v>
      </c>
      <c r="V230" s="36"/>
      <c r="W230" s="59"/>
      <c r="X230" s="59"/>
      <c r="Y230" s="59"/>
    </row>
    <row r="231" spans="1:25" ht="15.75" customHeight="1">
      <c r="A231" s="42" t="s">
        <v>607</v>
      </c>
      <c r="B231" s="43" t="s">
        <v>608</v>
      </c>
      <c r="C231" s="44" t="str">
        <f ca="1">IFERROR(__xludf.DUMMYFUNCTION("arrayformula(VLOOKUP(to_Text(A231),to_Text(sheet2!$A$1:M1002),13,0))"),"CHORUS")</f>
        <v>CHORUS</v>
      </c>
      <c r="D231" s="45" t="str">
        <f ca="1">IFERROR(__xludf.DUMMYFUNCTION("arrayformula(VLOOKUP(to_Text(A231),to_Text(sheet2!$A$1:M1002),12,0))"),"DEV")</f>
        <v>DEV</v>
      </c>
      <c r="E231" s="43" t="s">
        <v>175</v>
      </c>
      <c r="F231" s="42" t="str">
        <f t="array" aca="1" ref="F231" ca="1">IFERROR(
  INDEX(ATTENDANCE_INPUT!D:D,
    MATCH(1,
      (ATTENDANCE_INPUT!A:A=A231) *
      (ATTENDANCE_INPUT!V:V=_xludf.MAXIFS(ATTENDANCE_INPUT!V:V, ATTENDANCE_INPUT!A:A, A231)),
      0)),
  "")</f>
        <v/>
      </c>
      <c r="G231" s="46" t="str">
        <f t="array" aca="1" ref="G231" ca="1">IFERROR(
  INDEX(ATTENDANCE_INPUT!E:E,
    MATCH(1,
      (ATTENDANCE_INPUT!A:A=A231) *
      (ATTENDANCE_INPUT!V:V=_xludf.MAXIFS(ATTENDANCE_INPUT!V:V, ATTENDANCE_INPUT!A:A, A231)),
      0)),
  "")</f>
        <v/>
      </c>
      <c r="H231" s="47" t="str">
        <f t="array" aca="1" ref="H231" ca="1">IF(ISNA(MATCH(A231,sheet2!A:A,0)),"⏳ Chưa test",IFERROR(INDEX(LEVEL_HELPER!A:A,MATCH(INDEX(sheet2!N:N,MATCH(A231,sheet2!A:A,0)),LEVEL_HELPER!B:B,0)),"⏳ Chưa test"))</f>
        <v>Beginner</v>
      </c>
      <c r="I231" s="47" t="str">
        <f t="array" aca="1" ref="I231" ca="1">IF(ISNA(MATCH(A231,sheet2!A:A,0)),H231,IF(INDEX(sheet2!O:O,MATCH(A231,sheet2!A:A,0))&gt;0,IFERROR(INDEX(LEVEL_HELPER!A:A,MATCH(INDEX(sheet2!O:O,MATCH(A231,sheet2!A:A,0)),LEVEL_HELPER!B:B,0)),H231),H231))</f>
        <v>Beginner</v>
      </c>
      <c r="J231" s="47" t="str">
        <f ca="1">IFERROR(_xludf.MAXIFS(ATTENDANCE_LOG!F:F, ATTENDANCE_LOG!C:C, A231&amp;"", ATTENDANCE_LOG!G:G, "Present"), "")</f>
        <v/>
      </c>
      <c r="K231" s="48" t="str">
        <f t="shared" ca="1" si="0"/>
        <v/>
      </c>
      <c r="L231" s="49" t="str">
        <f t="shared" ca="1" si="1"/>
        <v/>
      </c>
      <c r="M231" s="36" t="s">
        <v>40</v>
      </c>
      <c r="N231" s="50"/>
      <c r="O231" s="51"/>
      <c r="P231" s="51"/>
      <c r="Q231" s="51"/>
      <c r="R231" s="51"/>
      <c r="S231" s="51"/>
      <c r="T231" s="51"/>
      <c r="U231" s="51"/>
      <c r="V231" s="51"/>
      <c r="W231" s="37"/>
      <c r="X231" s="37"/>
      <c r="Y231" s="37"/>
    </row>
    <row r="232" spans="1:25" ht="15.75" customHeight="1">
      <c r="A232" s="42" t="s">
        <v>609</v>
      </c>
      <c r="B232" s="43" t="s">
        <v>610</v>
      </c>
      <c r="C232" s="44" t="str">
        <f ca="1">IFERROR(__xludf.DUMMYFUNCTION("arrayformula(VLOOKUP(to_Text(A232),to_Text(sheet2!$A$1:M1002),13,0))"),"POC")</f>
        <v>POC</v>
      </c>
      <c r="D232" s="45" t="str">
        <f ca="1">IFERROR(__xludf.DUMMYFUNCTION("arrayformula(VLOOKUP(to_Text(A232),to_Text(sheet2!$A$1:M1002),12,0))"),"GSD")</f>
        <v>GSD</v>
      </c>
      <c r="E232" s="43" t="str">
        <f ca="1">IF(L232="⚠ Possibly Dropped","Inactive","Active")</f>
        <v>Active</v>
      </c>
      <c r="F232" s="42" t="str">
        <f t="array" aca="1" ref="F232" ca="1">IFERROR(
  INDEX(ATTENDANCE_INPUT!D:D,
    MATCH(1,
      (ATTENDANCE_INPUT!A:A=A232) *
      (ATTENDANCE_INPUT!V:V=_xludf.MAXIFS(ATTENDANCE_INPUT!V:V, ATTENDANCE_INPUT!A:A, A232)),
      0)),
  "")</f>
        <v/>
      </c>
      <c r="G232" s="46" t="str">
        <f t="array" aca="1" ref="G232" ca="1">IFERROR(
  INDEX(ATTENDANCE_INPUT!E:E,
    MATCH(1,
      (ATTENDANCE_INPUT!A:A=A232) *
      (ATTENDANCE_INPUT!V:V=_xludf.MAXIFS(ATTENDANCE_INPUT!V:V, ATTENDANCE_INPUT!A:A, A232)),
      0)),
  "")</f>
        <v/>
      </c>
      <c r="H232" s="47" t="str">
        <f t="array" aca="1" ref="H232" ca="1">IF(ISNA(MATCH(A232,sheet2!A:A,0)),"⏳ Chưa test",IFERROR(INDEX(LEVEL_HELPER!A:A,MATCH(INDEX(sheet2!N:N,MATCH(A232,sheet2!A:A,0)),LEVEL_HELPER!B:B,0)),"⏳ Chưa test"))</f>
        <v>Beginner</v>
      </c>
      <c r="I232" s="47" t="str">
        <f t="array" aca="1" ref="I232" ca="1">IF(ISNA(MATCH(A232,sheet2!A:A,0)),H232,IF(INDEX(sheet2!O:O,MATCH(A232,sheet2!A:A,0))&gt;0,IFERROR(INDEX(LEVEL_HELPER!A:A,MATCH(INDEX(sheet2!O:O,MATCH(A232,sheet2!A:A,0)),LEVEL_HELPER!B:B,0)),H232),H232))</f>
        <v>Beginner</v>
      </c>
      <c r="J232" s="47" t="str">
        <f ca="1">IFERROR(_xludf.MAXIFS(ATTENDANCE_LOG!F:F, ATTENDANCE_LOG!C:C, A232&amp;"", ATTENDANCE_LOG!G:G, "Present"), "")</f>
        <v/>
      </c>
      <c r="K232" s="48" t="str">
        <f t="shared" ca="1" si="0"/>
        <v/>
      </c>
      <c r="L232" s="49" t="str">
        <f t="shared" ca="1" si="1"/>
        <v/>
      </c>
      <c r="M232" s="36"/>
      <c r="N232" s="50"/>
      <c r="O232" s="36"/>
      <c r="P232" s="36"/>
      <c r="Q232" s="36"/>
      <c r="R232" s="36"/>
      <c r="S232" s="36"/>
      <c r="T232" s="36"/>
      <c r="U232" s="36"/>
      <c r="V232" s="36"/>
      <c r="W232" s="59"/>
      <c r="X232" s="59"/>
      <c r="Y232" s="59"/>
    </row>
    <row r="233" spans="1:25" ht="15.75" customHeight="1">
      <c r="A233" s="42" t="s">
        <v>611</v>
      </c>
      <c r="B233" s="43" t="s">
        <v>612</v>
      </c>
      <c r="C233" s="44" t="str">
        <f ca="1">IFERROR(__xludf.DUMMYFUNCTION("arrayformula(VLOOKUP(to_Text(A233),to_Text(sheet2!$A$1:M1002),13,0))"),"LBU")</f>
        <v>LBU</v>
      </c>
      <c r="D233" s="45" t="str">
        <f ca="1">IFERROR(__xludf.DUMMYFUNCTION("arrayformula(VLOOKUP(to_Text(A233),to_Text(sheet2!$A$1:M1002),12,0))"),"QC")</f>
        <v>QC</v>
      </c>
      <c r="E233" s="43" t="s">
        <v>15</v>
      </c>
      <c r="F233" s="42" t="str">
        <f t="array" aca="1" ref="F233" ca="1">IFERROR(
  INDEX(ATTENDANCE_INPUT!D:D,
    MATCH(1,
      (ATTENDANCE_INPUT!A:A=A233) *
      (ATTENDANCE_INPUT!V:V=_xludf.MAXIFS(ATTENDANCE_INPUT!V:V, ATTENDANCE_INPUT!A:A, A233)),
      0)),
  "")</f>
        <v/>
      </c>
      <c r="G233" s="46" t="str">
        <f t="array" aca="1" ref="G233" ca="1">IFERROR(
  INDEX(ATTENDANCE_INPUT!E:E,
    MATCH(1,
      (ATTENDANCE_INPUT!A:A=A233) *
      (ATTENDANCE_INPUT!V:V=_xludf.MAXIFS(ATTENDANCE_INPUT!V:V, ATTENDANCE_INPUT!A:A, A233)),
      0)),
  "")</f>
        <v/>
      </c>
      <c r="H233" s="47" t="str">
        <f t="array" aca="1" ref="H233" ca="1">IF(ISNA(MATCH(A233,sheet2!A:A,0)),"⏳ Chưa test",IFERROR(INDEX(LEVEL_HELPER!A:A,MATCH(INDEX(sheet2!N:N,MATCH(A233,sheet2!A:A,0)),LEVEL_HELPER!B:B,0)),"⏳ Chưa test"))</f>
        <v>Beginner</v>
      </c>
      <c r="I233" s="47" t="str">
        <f t="array" aca="1" ref="I233" ca="1">IF(ISNA(MATCH(A233,sheet2!A:A,0)),H233,IF(INDEX(sheet2!O:O,MATCH(A233,sheet2!A:A,0))&gt;0,IFERROR(INDEX(LEVEL_HELPER!A:A,MATCH(INDEX(sheet2!O:O,MATCH(A233,sheet2!A:A,0)),LEVEL_HELPER!B:B,0)),H233),H233))</f>
        <v>Beginner</v>
      </c>
      <c r="J233" s="47" t="str">
        <f ca="1">IFERROR(_xludf.MAXIFS(ATTENDANCE_LOG!F:F, ATTENDANCE_LOG!C:C, A233&amp;"", ATTENDANCE_LOG!G:G, "Present"), "")</f>
        <v/>
      </c>
      <c r="K233" s="48" t="str">
        <f t="shared" ca="1" si="0"/>
        <v/>
      </c>
      <c r="L233" s="49" t="str">
        <f t="shared" ca="1" si="1"/>
        <v/>
      </c>
      <c r="M233" s="36"/>
      <c r="N233" s="50"/>
      <c r="O233" s="36"/>
      <c r="P233" s="36"/>
      <c r="Q233" s="36"/>
      <c r="R233" s="36">
        <v>193548</v>
      </c>
      <c r="S233" s="36"/>
      <c r="T233" s="36"/>
      <c r="U233" s="36" t="str">
        <f ca="1">IFERROR(__xludf.DUMMYFUNCTION("arrayformula(vlookup(to_text(R233),to_text($A$4:$B1133),2,0))"),"NGUYỄN THIÊN ÂN")</f>
        <v>NGUYỄN THIÊN ÂN</v>
      </c>
      <c r="V233" s="36"/>
      <c r="W233" s="59"/>
      <c r="X233" s="59"/>
      <c r="Y233" s="59"/>
    </row>
    <row r="234" spans="1:25" ht="15.75" customHeight="1">
      <c r="A234" s="42" t="s">
        <v>613</v>
      </c>
      <c r="B234" s="43" t="s">
        <v>614</v>
      </c>
      <c r="C234" s="44" t="str">
        <f ca="1">IFERROR(__xludf.DUMMYFUNCTION("arrayformula(VLOOKUP(to_Text(A234),to_Text(sheet2!$A$1:M1002),13,0))"),"ONC")</f>
        <v>ONC</v>
      </c>
      <c r="D234" s="45" t="str">
        <f ca="1">IFERROR(__xludf.DUMMYFUNCTION("arrayformula(VLOOKUP(to_Text(A234),to_Text(sheet2!$A$1:M1002),12,0))"),"DEV")</f>
        <v>DEV</v>
      </c>
      <c r="E234" s="43" t="str">
        <f ca="1">IF(L234="⚠ Possibly Dropped","Inactive","Active")</f>
        <v>Active</v>
      </c>
      <c r="F234" s="42" t="str">
        <f t="array" aca="1" ref="F234" ca="1">IFERROR(
  INDEX(ATTENDANCE_INPUT!D:D,
    MATCH(1,
      (ATTENDANCE_INPUT!A:A=A234) *
      (ATTENDANCE_INPUT!V:V=_xludf.MAXIFS(ATTENDANCE_INPUT!V:V, ATTENDANCE_INPUT!A:A, A234)),
      0)),
  "")</f>
        <v/>
      </c>
      <c r="G234" s="46" t="str">
        <f t="array" aca="1" ref="G234" ca="1">IFERROR(
  INDEX(ATTENDANCE_INPUT!E:E,
    MATCH(1,
      (ATTENDANCE_INPUT!A:A=A234) *
      (ATTENDANCE_INPUT!V:V=_xludf.MAXIFS(ATTENDANCE_INPUT!V:V, ATTENDANCE_INPUT!A:A, A234)),
      0)),
  "")</f>
        <v/>
      </c>
      <c r="H234" s="47" t="str">
        <f t="array" aca="1" ref="H234" ca="1">IF(ISNA(MATCH(A234,sheet2!A:A,0)),"⏳ Chưa test",IFERROR(INDEX(LEVEL_HELPER!A:A,MATCH(INDEX(sheet2!N:N,MATCH(A234,sheet2!A:A,0)),LEVEL_HELPER!B:B,0)),"⏳ Chưa test"))</f>
        <v>Beginner</v>
      </c>
      <c r="I234" s="47" t="str">
        <f t="array" aca="1" ref="I234" ca="1">IF(ISNA(MATCH(A234,sheet2!A:A,0)),H234,IF(INDEX(sheet2!O:O,MATCH(A234,sheet2!A:A,0))&gt;0,IFERROR(INDEX(LEVEL_HELPER!A:A,MATCH(INDEX(sheet2!O:O,MATCH(A234,sheet2!A:A,0)),LEVEL_HELPER!B:B,0)),H234),H234))</f>
        <v>Beginner</v>
      </c>
      <c r="J234" s="47" t="str">
        <f ca="1">IFERROR(_xludf.MAXIFS(ATTENDANCE_LOG!F:F, ATTENDANCE_LOG!C:C, A234&amp;"", ATTENDANCE_LOG!G:G, "Present"), "")</f>
        <v/>
      </c>
      <c r="K234" s="48" t="str">
        <f t="shared" ca="1" si="0"/>
        <v/>
      </c>
      <c r="L234" s="49" t="str">
        <f t="shared" ca="1" si="1"/>
        <v/>
      </c>
      <c r="M234" s="36"/>
      <c r="N234" s="50"/>
      <c r="O234" s="36"/>
      <c r="P234" s="36"/>
      <c r="Q234" s="36"/>
      <c r="R234" s="36"/>
      <c r="S234" s="36"/>
      <c r="T234" s="36"/>
      <c r="U234" s="36"/>
      <c r="V234" s="36"/>
      <c r="W234" s="59"/>
      <c r="X234" s="59"/>
      <c r="Y234" s="59"/>
    </row>
    <row r="235" spans="1:25" ht="15.75" customHeight="1">
      <c r="A235" s="42" t="s">
        <v>615</v>
      </c>
      <c r="B235" s="43" t="s">
        <v>616</v>
      </c>
      <c r="C235" s="44" t="str">
        <f ca="1">IFERROR(__xludf.DUMMYFUNCTION("arrayformula(VLOOKUP(to_Text(A235),to_Text(sheet2!$A$1:M1002),13,0))"),"LBU")</f>
        <v>LBU</v>
      </c>
      <c r="D235" s="45" t="str">
        <f ca="1">IFERROR(__xludf.DUMMYFUNCTION("arrayformula(VLOOKUP(to_Text(A235),to_Text(sheet2!$A$1:M1002),12,0))"),"QC")</f>
        <v>QC</v>
      </c>
      <c r="E235" s="43" t="s">
        <v>16</v>
      </c>
      <c r="F235" s="42" t="str">
        <f t="array" aca="1" ref="F235" ca="1">IFERROR(
  INDEX(ATTENDANCE_INPUT!D:D,
    MATCH(1,
      (ATTENDANCE_INPUT!A:A=A235) *
      (ATTENDANCE_INPUT!V:V=_xludf.MAXIFS(ATTENDANCE_INPUT!V:V, ATTENDANCE_INPUT!A:A, A235)),
      0)),
  "")</f>
        <v/>
      </c>
      <c r="G235" s="46" t="str">
        <f t="array" aca="1" ref="G235" ca="1">IFERROR(
  INDEX(ATTENDANCE_INPUT!E:E,
    MATCH(1,
      (ATTENDANCE_INPUT!A:A=A235) *
      (ATTENDANCE_INPUT!V:V=_xludf.MAXIFS(ATTENDANCE_INPUT!V:V, ATTENDANCE_INPUT!A:A, A235)),
      0)),
  "")</f>
        <v/>
      </c>
      <c r="H235" s="47" t="str">
        <f t="array" aca="1" ref="H235" ca="1">IF(ISNA(MATCH(A235,sheet2!A:A,0)),"⏳ Chưa test",IFERROR(INDEX(LEVEL_HELPER!A:A,MATCH(INDEX(sheet2!N:N,MATCH(A235,sheet2!A:A,0)),LEVEL_HELPER!B:B,0)),"⏳ Chưa test"))</f>
        <v>Beginner</v>
      </c>
      <c r="I235" s="47" t="str">
        <f t="array" aca="1" ref="I235" ca="1">IF(ISNA(MATCH(A235,sheet2!A:A,0)),H235,IF(INDEX(sheet2!O:O,MATCH(A235,sheet2!A:A,0))&gt;0,IFERROR(INDEX(LEVEL_HELPER!A:A,MATCH(INDEX(sheet2!O:O,MATCH(A235,sheet2!A:A,0)),LEVEL_HELPER!B:B,0)),H235),H235))</f>
        <v>Beginner</v>
      </c>
      <c r="J235" s="47" t="str">
        <f ca="1">IFERROR(_xludf.MAXIFS(ATTENDANCE_LOG!F:F, ATTENDANCE_LOG!C:C, A235&amp;"", ATTENDANCE_LOG!G:G, "Present"), "")</f>
        <v/>
      </c>
      <c r="K235" s="48" t="str">
        <f t="shared" ca="1" si="0"/>
        <v/>
      </c>
      <c r="L235" s="49" t="str">
        <f t="shared" ca="1" si="1"/>
        <v/>
      </c>
      <c r="M235" s="36" t="s">
        <v>36</v>
      </c>
      <c r="N235" s="50" t="s">
        <v>33</v>
      </c>
      <c r="O235" s="36"/>
      <c r="P235" s="36"/>
      <c r="Q235" s="36"/>
      <c r="R235" s="36"/>
      <c r="S235" s="36"/>
      <c r="T235" s="36"/>
      <c r="U235" s="36"/>
      <c r="V235" s="36"/>
      <c r="W235" s="59"/>
      <c r="X235" s="59"/>
      <c r="Y235" s="59"/>
    </row>
    <row r="236" spans="1:25" ht="15.75" customHeight="1">
      <c r="A236" s="42" t="s">
        <v>617</v>
      </c>
      <c r="B236" s="43" t="s">
        <v>618</v>
      </c>
      <c r="C236" s="44" t="str">
        <f ca="1">IFERROR(__xludf.DUMMYFUNCTION("arrayformula(VLOOKUP(to_Text(A236),to_Text(sheet2!$A$1:M1002),13,0))"),"ONC")</f>
        <v>ONC</v>
      </c>
      <c r="D236" s="45" t="str">
        <f ca="1">IFERROR(__xludf.DUMMYFUNCTION("arrayformula(VLOOKUP(to_Text(A236),to_Text(sheet2!$A$1:M1002),12,0))"),"DEV")</f>
        <v>DEV</v>
      </c>
      <c r="E236" s="43" t="str">
        <f ca="1">IF(L236="⚠ Possibly Dropped","Inactive","Active")</f>
        <v>Active</v>
      </c>
      <c r="F236" s="42" t="str">
        <f t="array" aca="1" ref="F236" ca="1">IFERROR(
  INDEX(ATTENDANCE_INPUT!D:D,
    MATCH(1,
      (ATTENDANCE_INPUT!A:A=A236) *
      (ATTENDANCE_INPUT!V:V=_xludf.MAXIFS(ATTENDANCE_INPUT!V:V, ATTENDANCE_INPUT!A:A, A236)),
      0)),
  "")</f>
        <v/>
      </c>
      <c r="G236" s="46" t="str">
        <f t="array" aca="1" ref="G236" ca="1">IFERROR(
  INDEX(ATTENDANCE_INPUT!E:E,
    MATCH(1,
      (ATTENDANCE_INPUT!A:A=A236) *
      (ATTENDANCE_INPUT!V:V=_xludf.MAXIFS(ATTENDANCE_INPUT!V:V, ATTENDANCE_INPUT!A:A, A236)),
      0)),
  "")</f>
        <v/>
      </c>
      <c r="H236" s="47" t="str">
        <f t="array" aca="1" ref="H236" ca="1">IF(ISNA(MATCH(A236,sheet2!A:A,0)),"⏳ Chưa test",IFERROR(INDEX(LEVEL_HELPER!A:A,MATCH(INDEX(sheet2!N:N,MATCH(A236,sheet2!A:A,0)),LEVEL_HELPER!B:B,0)),"⏳ Chưa test"))</f>
        <v>Beginner</v>
      </c>
      <c r="I236" s="47" t="str">
        <f t="array" aca="1" ref="I236" ca="1">IF(ISNA(MATCH(A236,sheet2!A:A,0)),H236,IF(INDEX(sheet2!O:O,MATCH(A236,sheet2!A:A,0))&gt;0,IFERROR(INDEX(LEVEL_HELPER!A:A,MATCH(INDEX(sheet2!O:O,MATCH(A236,sheet2!A:A,0)),LEVEL_HELPER!B:B,0)),H236),H236))</f>
        <v>Beginner</v>
      </c>
      <c r="J236" s="47" t="str">
        <f ca="1">IFERROR(_xludf.MAXIFS(ATTENDANCE_LOG!F:F, ATTENDANCE_LOG!C:C, A236&amp;"", ATTENDANCE_LOG!G:G, "Present"), "")</f>
        <v/>
      </c>
      <c r="K236" s="48" t="str">
        <f t="shared" ca="1" si="0"/>
        <v/>
      </c>
      <c r="L236" s="49" t="str">
        <f t="shared" ca="1" si="1"/>
        <v/>
      </c>
      <c r="M236" s="36" t="s">
        <v>34</v>
      </c>
      <c r="N236" s="50" t="s">
        <v>37</v>
      </c>
      <c r="O236" s="36"/>
      <c r="P236" s="36"/>
      <c r="Q236" s="36"/>
      <c r="R236" s="36">
        <v>237122</v>
      </c>
      <c r="S236" s="36" t="s">
        <v>354</v>
      </c>
      <c r="T236" s="36" t="s">
        <v>179</v>
      </c>
      <c r="U236" s="36" t="e">
        <v>#N/A</v>
      </c>
      <c r="V236" s="36"/>
      <c r="W236" s="59"/>
      <c r="X236" s="59"/>
      <c r="Y236" s="59"/>
    </row>
    <row r="237" spans="1:25" ht="15.75" customHeight="1">
      <c r="A237" s="42" t="s">
        <v>619</v>
      </c>
      <c r="B237" s="43" t="s">
        <v>620</v>
      </c>
      <c r="C237" s="44" t="str">
        <f ca="1">IFERROR(__xludf.DUMMYFUNCTION("arrayformula(VLOOKUP(to_Text(A237),to_Text(sheet2!$A$1:M1002),13,0))"),"LBU")</f>
        <v>LBU</v>
      </c>
      <c r="D237" s="45" t="str">
        <f ca="1">IFERROR(__xludf.DUMMYFUNCTION("arrayformula(VLOOKUP(to_Text(A237),to_Text(sheet2!$A$1:M1002),12,0))"),"Designer")</f>
        <v>Designer</v>
      </c>
      <c r="E237" s="43" t="s">
        <v>16</v>
      </c>
      <c r="F237" s="42" t="str">
        <f t="array" aca="1" ref="F237" ca="1">IFERROR(
  INDEX(ATTENDANCE_INPUT!D:D,
    MATCH(1,
      (ATTENDANCE_INPUT!A:A=A237) *
      (ATTENDANCE_INPUT!V:V=_xludf.MAXIFS(ATTENDANCE_INPUT!V:V, ATTENDANCE_INPUT!A:A, A237)),
      0)),
  "")</f>
        <v/>
      </c>
      <c r="G237" s="46" t="str">
        <f t="array" aca="1" ref="G237" ca="1">IFERROR(
  INDEX(ATTENDANCE_INPUT!E:E,
    MATCH(1,
      (ATTENDANCE_INPUT!A:A=A237) *
      (ATTENDANCE_INPUT!V:V=_xludf.MAXIFS(ATTENDANCE_INPUT!V:V, ATTENDANCE_INPUT!A:A, A237)),
      0)),
  "")</f>
        <v/>
      </c>
      <c r="H237" s="47" t="str">
        <f t="array" aca="1" ref="H237" ca="1">IF(ISNA(MATCH(A237,sheet2!A:A,0)),"⏳ Chưa test",IFERROR(INDEX(LEVEL_HELPER!A:A,MATCH(INDEX(sheet2!N:N,MATCH(A237,sheet2!A:A,0)),LEVEL_HELPER!B:B,0)),"⏳ Chưa test"))</f>
        <v>Intermediate</v>
      </c>
      <c r="I237" s="47" t="str">
        <f t="array" aca="1" ref="I237" ca="1">IF(ISNA(MATCH(A237,sheet2!A:A,0)),H237,IF(INDEX(sheet2!O:O,MATCH(A237,sheet2!A:A,0))&gt;0,IFERROR(INDEX(LEVEL_HELPER!A:A,MATCH(INDEX(sheet2!O:O,MATCH(A237,sheet2!A:A,0)),LEVEL_HELPER!B:B,0)),H237),H237))</f>
        <v>Intermediate</v>
      </c>
      <c r="J237" s="47" t="str">
        <f ca="1">IFERROR(_xludf.MAXIFS(ATTENDANCE_LOG!F:F, ATTENDANCE_LOG!C:C, A237&amp;"", ATTENDANCE_LOG!G:G, "Present"), "")</f>
        <v/>
      </c>
      <c r="K237" s="48" t="str">
        <f t="shared" ca="1" si="0"/>
        <v/>
      </c>
      <c r="L237" s="49" t="str">
        <f t="shared" ca="1" si="1"/>
        <v/>
      </c>
      <c r="M237" s="36" t="s">
        <v>34</v>
      </c>
      <c r="N237" s="50" t="s">
        <v>37</v>
      </c>
      <c r="O237" s="36"/>
      <c r="P237" s="36"/>
      <c r="Q237" s="36"/>
      <c r="R237" s="36"/>
      <c r="S237" s="36"/>
      <c r="T237" s="36"/>
      <c r="U237" s="36"/>
      <c r="V237" s="36"/>
      <c r="W237" s="59"/>
      <c r="X237" s="59"/>
      <c r="Y237" s="59"/>
    </row>
    <row r="238" spans="1:25" ht="15.75" customHeight="1">
      <c r="A238" s="42" t="s">
        <v>621</v>
      </c>
      <c r="B238" s="43" t="s">
        <v>622</v>
      </c>
      <c r="C238" s="44" t="str">
        <f ca="1">IFERROR(__xludf.DUMMYFUNCTION("arrayformula(VLOOKUP(to_Text(A238),to_Text(sheet2!$A$1:M1002),13,0))"),"MOC")</f>
        <v>MOC</v>
      </c>
      <c r="D238" s="45" t="str">
        <f ca="1">IFERROR(__xludf.DUMMYFUNCTION("arrayformula(VLOOKUP(to_Text(A238),to_Text(sheet2!$A$1:M1002),12,0))"),"DEV")</f>
        <v>DEV</v>
      </c>
      <c r="E238" s="43" t="str">
        <f ca="1">IF(L238="⚠ Possibly Dropped","Inactive","Active")</f>
        <v>Active</v>
      </c>
      <c r="F238" s="42" t="str">
        <f t="array" aca="1" ref="F238" ca="1">IFERROR(
  INDEX(ATTENDANCE_INPUT!D:D,
    MATCH(1,
      (ATTENDANCE_INPUT!A:A=A238) *
      (ATTENDANCE_INPUT!V:V=_xludf.MAXIFS(ATTENDANCE_INPUT!V:V, ATTENDANCE_INPUT!A:A, A238)),
      0)),
  "")</f>
        <v/>
      </c>
      <c r="G238" s="46" t="str">
        <f t="array" aca="1" ref="G238" ca="1">IFERROR(
  INDEX(ATTENDANCE_INPUT!E:E,
    MATCH(1,
      (ATTENDANCE_INPUT!A:A=A238) *
      (ATTENDANCE_INPUT!V:V=_xludf.MAXIFS(ATTENDANCE_INPUT!V:V, ATTENDANCE_INPUT!A:A, A238)),
      0)),
  "")</f>
        <v/>
      </c>
      <c r="H238" s="47" t="str">
        <f t="array" aca="1" ref="H238" ca="1">IF(ISNA(MATCH(A238,sheet2!A:A,0)),"⏳ Chưa test",IFERROR(INDEX(LEVEL_HELPER!A:A,MATCH(INDEX(sheet2!N:N,MATCH(A238,sheet2!A:A,0)),LEVEL_HELPER!B:B,0)),"⏳ Chưa test"))</f>
        <v>Beginner</v>
      </c>
      <c r="I238" s="47" t="str">
        <f t="array" aca="1" ref="I238" ca="1">IF(ISNA(MATCH(A238,sheet2!A:A,0)),H238,IF(INDEX(sheet2!O:O,MATCH(A238,sheet2!A:A,0))&gt;0,IFERROR(INDEX(LEVEL_HELPER!A:A,MATCH(INDEX(sheet2!O:O,MATCH(A238,sheet2!A:A,0)),LEVEL_HELPER!B:B,0)),H238),H238))</f>
        <v>Beginner</v>
      </c>
      <c r="J238" s="47" t="str">
        <f ca="1">IFERROR(_xludf.MAXIFS(ATTENDANCE_LOG!F:F, ATTENDANCE_LOG!C:C, A238&amp;"", ATTENDANCE_LOG!G:G, "Present"), "")</f>
        <v/>
      </c>
      <c r="K238" s="48" t="str">
        <f t="shared" ca="1" si="0"/>
        <v/>
      </c>
      <c r="L238" s="49" t="str">
        <f t="shared" ca="1" si="1"/>
        <v/>
      </c>
      <c r="M238" s="36"/>
      <c r="N238" s="50"/>
      <c r="O238" s="36"/>
      <c r="P238" s="36"/>
      <c r="Q238" s="36"/>
      <c r="R238" s="36"/>
      <c r="S238" s="36"/>
      <c r="T238" s="36"/>
      <c r="U238" s="36"/>
      <c r="V238" s="36"/>
      <c r="W238" s="59"/>
      <c r="X238" s="59"/>
      <c r="Y238" s="59"/>
    </row>
    <row r="239" spans="1:25" ht="15.75" customHeight="1">
      <c r="A239" s="42" t="s">
        <v>623</v>
      </c>
      <c r="B239" s="43" t="s">
        <v>624</v>
      </c>
      <c r="C239" s="44" t="str">
        <f ca="1">IFERROR(__xludf.DUMMYFUNCTION("arrayformula(VLOOKUP(to_Text(A239),to_Text(sheet2!$A$1:M1002),13,0))"),"MOC")</f>
        <v>MOC</v>
      </c>
      <c r="D239" s="45" t="str">
        <f ca="1">IFERROR(__xludf.DUMMYFUNCTION("arrayformula(VLOOKUP(to_Text(A239),to_Text(sheet2!$A$1:M1002),12,0))"),"GSD")</f>
        <v>GSD</v>
      </c>
      <c r="E239" s="43" t="s">
        <v>16</v>
      </c>
      <c r="F239" s="42" t="str">
        <f t="array" aca="1" ref="F239" ca="1">IFERROR(
  INDEX(ATTENDANCE_INPUT!D:D,
    MATCH(1,
      (ATTENDANCE_INPUT!A:A=A239) *
      (ATTENDANCE_INPUT!V:V=_xludf.MAXIFS(ATTENDANCE_INPUT!V:V, ATTENDANCE_INPUT!A:A, A239)),
      0)),
  "")</f>
        <v/>
      </c>
      <c r="G239" s="46" t="str">
        <f t="array" aca="1" ref="G239" ca="1">IFERROR(
  INDEX(ATTENDANCE_INPUT!E:E,
    MATCH(1,
      (ATTENDANCE_INPUT!A:A=A239) *
      (ATTENDANCE_INPUT!V:V=_xludf.MAXIFS(ATTENDANCE_INPUT!V:V, ATTENDANCE_INPUT!A:A, A239)),
      0)),
  "")</f>
        <v/>
      </c>
      <c r="H239" s="47" t="str">
        <f t="array" aca="1" ref="H239" ca="1">IF(ISNA(MATCH(A239,sheet2!A:A,0)),"⏳ Chưa test",IFERROR(INDEX(LEVEL_HELPER!A:A,MATCH(INDEX(sheet2!N:N,MATCH(A239,sheet2!A:A,0)),LEVEL_HELPER!B:B,0)),"⏳ Chưa test"))</f>
        <v>⏳ Chưa test</v>
      </c>
      <c r="I239" s="47" t="str">
        <f t="array" aca="1" ref="I239" ca="1">IF(ISNA(MATCH(A239,sheet2!A:A,0)),H239,IF(INDEX(sheet2!O:O,MATCH(A239,sheet2!A:A,0))&gt;0,IFERROR(INDEX(LEVEL_HELPER!A:A,MATCH(INDEX(sheet2!O:O,MATCH(A239,sheet2!A:A,0)),LEVEL_HELPER!B:B,0)),H239),H239))</f>
        <v>⏳ Chưa test</v>
      </c>
      <c r="J239" s="47" t="str">
        <f ca="1">IFERROR(_xludf.MAXIFS(ATTENDANCE_LOG!F:F, ATTENDANCE_LOG!C:C, A239&amp;"", ATTENDANCE_LOG!G:G, "Present"), "")</f>
        <v/>
      </c>
      <c r="K239" s="48" t="str">
        <f t="shared" ca="1" si="0"/>
        <v/>
      </c>
      <c r="L239" s="49" t="str">
        <f t="shared" ca="1" si="1"/>
        <v/>
      </c>
      <c r="M239" s="36" t="s">
        <v>36</v>
      </c>
      <c r="N239" s="50" t="s">
        <v>33</v>
      </c>
      <c r="O239" s="36"/>
      <c r="P239" s="36"/>
      <c r="Q239" s="36"/>
      <c r="R239" s="36"/>
      <c r="S239" s="36"/>
      <c r="T239" s="36"/>
      <c r="U239" s="36"/>
      <c r="V239" s="36"/>
      <c r="W239" s="59"/>
      <c r="X239" s="59"/>
      <c r="Y239" s="59"/>
    </row>
    <row r="240" spans="1:25" ht="15.75" customHeight="1">
      <c r="A240" s="42" t="s">
        <v>625</v>
      </c>
      <c r="B240" s="43" t="s">
        <v>626</v>
      </c>
      <c r="C240" s="44" t="str">
        <f ca="1">IFERROR(__xludf.DUMMYFUNCTION("arrayformula(VLOOKUP(to_Text(A240),to_Text(sheet2!$A$1:M1002),13,0))"),"CHORUS")</f>
        <v>CHORUS</v>
      </c>
      <c r="D240" s="45" t="str">
        <f ca="1">IFERROR(__xludf.DUMMYFUNCTION("arrayformula(VLOOKUP(to_Text(A240),to_Text(sheet2!$A$1:M1002),12,0))"),"DEV")</f>
        <v>DEV</v>
      </c>
      <c r="E240" s="43" t="s">
        <v>16</v>
      </c>
      <c r="F240" s="42" t="str">
        <f t="array" aca="1" ref="F240" ca="1">IFERROR(
  INDEX(ATTENDANCE_INPUT!D:D,
    MATCH(1,
      (ATTENDANCE_INPUT!A:A=A240) *
      (ATTENDANCE_INPUT!V:V=_xludf.MAXIFS(ATTENDANCE_INPUT!V:V, ATTENDANCE_INPUT!A:A, A240)),
      0)),
  "")</f>
        <v/>
      </c>
      <c r="G240" s="46" t="str">
        <f t="array" aca="1" ref="G240" ca="1">IFERROR(
  INDEX(ATTENDANCE_INPUT!E:E,
    MATCH(1,
      (ATTENDANCE_INPUT!A:A=A240) *
      (ATTENDANCE_INPUT!V:V=_xludf.MAXIFS(ATTENDANCE_INPUT!V:V, ATTENDANCE_INPUT!A:A, A240)),
      0)),
  "")</f>
        <v/>
      </c>
      <c r="H240" s="47" t="str">
        <f t="array" aca="1" ref="H240" ca="1">IF(ISNA(MATCH(A240,sheet2!A:A,0)),"⏳ Chưa test",IFERROR(INDEX(LEVEL_HELPER!A:A,MATCH(INDEX(sheet2!N:N,MATCH(A240,sheet2!A:A,0)),LEVEL_HELPER!B:B,0)),"⏳ Chưa test"))</f>
        <v>Beginner</v>
      </c>
      <c r="I240" s="47" t="str">
        <f t="array" aca="1" ref="I240" ca="1">IF(ISNA(MATCH(A240,sheet2!A:A,0)),H240,IF(INDEX(sheet2!O:O,MATCH(A240,sheet2!A:A,0))&gt;0,IFERROR(INDEX(LEVEL_HELPER!A:A,MATCH(INDEX(sheet2!O:O,MATCH(A240,sheet2!A:A,0)),LEVEL_HELPER!B:B,0)),H240),H240))</f>
        <v>Beginner</v>
      </c>
      <c r="J240" s="47" t="str">
        <f ca="1">IFERROR(_xludf.MAXIFS(ATTENDANCE_LOG!F:F, ATTENDANCE_LOG!C:C, A240&amp;"", ATTENDANCE_LOG!G:G, "Present"), "")</f>
        <v/>
      </c>
      <c r="K240" s="48" t="str">
        <f t="shared" ca="1" si="0"/>
        <v/>
      </c>
      <c r="L240" s="49" t="str">
        <f t="shared" ca="1" si="1"/>
        <v/>
      </c>
      <c r="M240" s="36" t="s">
        <v>36</v>
      </c>
      <c r="N240" s="50" t="s">
        <v>35</v>
      </c>
      <c r="O240" s="36"/>
      <c r="P240" s="36"/>
      <c r="Q240" s="36"/>
      <c r="R240" s="36"/>
      <c r="S240" s="36"/>
      <c r="T240" s="36"/>
      <c r="U240" s="36"/>
      <c r="V240" s="36"/>
      <c r="W240" s="59"/>
      <c r="X240" s="59"/>
      <c r="Y240" s="59"/>
    </row>
    <row r="241" spans="1:25" ht="15.75" customHeight="1">
      <c r="A241" s="42" t="s">
        <v>627</v>
      </c>
      <c r="B241" s="43" t="s">
        <v>628</v>
      </c>
      <c r="C241" s="44" t="str">
        <f ca="1">IFERROR(__xludf.DUMMYFUNCTION("arrayformula(VLOOKUP(to_Text(A241),to_Text(sheet2!$A$1:M1002),13,0))"),"CHORUS")</f>
        <v>CHORUS</v>
      </c>
      <c r="D241" s="45" t="str">
        <f ca="1">IFERROR(__xludf.DUMMYFUNCTION("arrayformula(VLOOKUP(to_Text(A241),to_Text(sheet2!$A$1:M1002),12,0))"),"UI/UX")</f>
        <v>UI/UX</v>
      </c>
      <c r="E241" s="43" t="s">
        <v>16</v>
      </c>
      <c r="F241" s="42" t="str">
        <f t="array" aca="1" ref="F241" ca="1">IFERROR(
  INDEX(ATTENDANCE_INPUT!D:D,
    MATCH(1,
      (ATTENDANCE_INPUT!A:A=A241) *
      (ATTENDANCE_INPUT!V:V=_xludf.MAXIFS(ATTENDANCE_INPUT!V:V, ATTENDANCE_INPUT!A:A, A241)),
      0)),
  "")</f>
        <v/>
      </c>
      <c r="G241" s="46" t="str">
        <f t="array" aca="1" ref="G241" ca="1">IFERROR(
  INDEX(ATTENDANCE_INPUT!E:E,
    MATCH(1,
      (ATTENDANCE_INPUT!A:A=A241) *
      (ATTENDANCE_INPUT!V:V=_xludf.MAXIFS(ATTENDANCE_INPUT!V:V, ATTENDANCE_INPUT!A:A, A241)),
      0)),
  "")</f>
        <v/>
      </c>
      <c r="H241" s="47" t="str">
        <f t="array" aca="1" ref="H241" ca="1">IF(ISNA(MATCH(A241,sheet2!A:A,0)),"⏳ Chưa test",IFERROR(INDEX(LEVEL_HELPER!A:A,MATCH(INDEX(sheet2!N:N,MATCH(A241,sheet2!A:A,0)),LEVEL_HELPER!B:B,0)),"⏳ Chưa test"))</f>
        <v>Beginner</v>
      </c>
      <c r="I241" s="47" t="str">
        <f t="array" aca="1" ref="I241" ca="1">IF(ISNA(MATCH(A241,sheet2!A:A,0)),H241,IF(INDEX(sheet2!O:O,MATCH(A241,sheet2!A:A,0))&gt;0,IFERROR(INDEX(LEVEL_HELPER!A:A,MATCH(INDEX(sheet2!O:O,MATCH(A241,sheet2!A:A,0)),LEVEL_HELPER!B:B,0)),H241),H241))</f>
        <v>Beginner</v>
      </c>
      <c r="J241" s="47" t="str">
        <f ca="1">IFERROR(_xludf.MAXIFS(ATTENDANCE_LOG!F:F, ATTENDANCE_LOG!C:C, A241&amp;"", ATTENDANCE_LOG!G:G, "Present"), "")</f>
        <v/>
      </c>
      <c r="K241" s="48" t="str">
        <f t="shared" ca="1" si="0"/>
        <v/>
      </c>
      <c r="L241" s="49" t="str">
        <f t="shared" ca="1" si="1"/>
        <v/>
      </c>
      <c r="M241" s="36" t="s">
        <v>36</v>
      </c>
      <c r="N241" s="50" t="s">
        <v>39</v>
      </c>
      <c r="O241" s="36"/>
      <c r="P241" s="36"/>
      <c r="Q241" s="36"/>
      <c r="R241" s="36"/>
      <c r="S241" s="36"/>
      <c r="T241" s="36"/>
      <c r="U241" s="36"/>
      <c r="V241" s="36"/>
      <c r="W241" s="59"/>
      <c r="X241" s="59"/>
      <c r="Y241" s="59"/>
    </row>
    <row r="242" spans="1:25" ht="15.75" customHeight="1">
      <c r="A242" s="42" t="s">
        <v>629</v>
      </c>
      <c r="B242" s="43" t="s">
        <v>630</v>
      </c>
      <c r="C242" s="44" t="str">
        <f ca="1">IFERROR(__xludf.DUMMYFUNCTION("arrayformula(VLOOKUP(to_Text(A242),to_Text(sheet2!$A$1:M1002),13,0))"),"MOC")</f>
        <v>MOC</v>
      </c>
      <c r="D242" s="45" t="str">
        <f ca="1">IFERROR(__xludf.DUMMYFUNCTION("arrayformula(VLOOKUP(to_Text(A242),to_Text(sheet2!$A$1:M1002),12,0))"),"DEV")</f>
        <v>DEV</v>
      </c>
      <c r="E242" s="43" t="str">
        <f ca="1">IF(L242="⚠ Possibly Dropped","Inactive","Active")</f>
        <v>Active</v>
      </c>
      <c r="F242" s="42" t="str">
        <f t="array" aca="1" ref="F242" ca="1">IFERROR(
  INDEX(ATTENDANCE_INPUT!D:D,
    MATCH(1,
      (ATTENDANCE_INPUT!A:A=A242) *
      (ATTENDANCE_INPUT!V:V=_xludf.MAXIFS(ATTENDANCE_INPUT!V:V, ATTENDANCE_INPUT!A:A, A242)),
      0)),
  "")</f>
        <v/>
      </c>
      <c r="G242" s="46" t="str">
        <f t="array" aca="1" ref="G242" ca="1">IFERROR(
  INDEX(ATTENDANCE_INPUT!E:E,
    MATCH(1,
      (ATTENDANCE_INPUT!A:A=A242) *
      (ATTENDANCE_INPUT!V:V=_xludf.MAXIFS(ATTENDANCE_INPUT!V:V, ATTENDANCE_INPUT!A:A, A242)),
      0)),
  "")</f>
        <v/>
      </c>
      <c r="H242" s="47" t="str">
        <f t="array" aca="1" ref="H242" ca="1">IF(ISNA(MATCH(A242,sheet2!A:A,0)),"⏳ Chưa test",IFERROR(INDEX(LEVEL_HELPER!A:A,MATCH(INDEX(sheet2!N:N,MATCH(A242,sheet2!A:A,0)),LEVEL_HELPER!B:B,0)),"⏳ Chưa test"))</f>
        <v>Foundation</v>
      </c>
      <c r="I242" s="47" t="str">
        <f t="array" aca="1" ref="I242" ca="1">IF(ISNA(MATCH(A242,sheet2!A:A,0)),H242,IF(INDEX(sheet2!O:O,MATCH(A242,sheet2!A:A,0))&gt;0,IFERROR(INDEX(LEVEL_HELPER!A:A,MATCH(INDEX(sheet2!O:O,MATCH(A242,sheet2!A:A,0)),LEVEL_HELPER!B:B,0)),H242),H242))</f>
        <v>Foundation</v>
      </c>
      <c r="J242" s="47" t="str">
        <f ca="1">IFERROR(_xludf.MAXIFS(ATTENDANCE_LOG!F:F, ATTENDANCE_LOG!C:C, A242&amp;"", ATTENDANCE_LOG!G:G, "Present"), "")</f>
        <v/>
      </c>
      <c r="K242" s="48" t="str">
        <f t="shared" ca="1" si="0"/>
        <v/>
      </c>
      <c r="L242" s="49" t="str">
        <f t="shared" ca="1" si="1"/>
        <v/>
      </c>
      <c r="M242" s="36" t="s">
        <v>34</v>
      </c>
      <c r="N242" s="50" t="s">
        <v>35</v>
      </c>
      <c r="O242" s="36"/>
      <c r="P242" s="36"/>
      <c r="Q242" s="36"/>
      <c r="R242" s="36"/>
      <c r="S242" s="36"/>
      <c r="T242" s="36"/>
      <c r="U242" s="36"/>
      <c r="V242" s="36"/>
      <c r="W242" s="59"/>
      <c r="X242" s="59"/>
      <c r="Y242" s="59"/>
    </row>
    <row r="243" spans="1:25" ht="15.75" customHeight="1">
      <c r="A243" s="42" t="s">
        <v>631</v>
      </c>
      <c r="B243" s="43" t="s">
        <v>632</v>
      </c>
      <c r="C243" s="44" t="str">
        <f ca="1">IFERROR(__xludf.DUMMYFUNCTION("arrayformula(VLOOKUP(to_Text(A243),to_Text(sheet2!$A$1:M1002),13,0))"),"LBU")</f>
        <v>LBU</v>
      </c>
      <c r="D243" s="45" t="str">
        <f ca="1">IFERROR(__xludf.DUMMYFUNCTION("arrayformula(VLOOKUP(to_Text(A243),to_Text(sheet2!$A$1:M1002),12,0))"),"Designer")</f>
        <v>Designer</v>
      </c>
      <c r="E243" s="43" t="s">
        <v>16</v>
      </c>
      <c r="F243" s="42" t="str">
        <f t="array" aca="1" ref="F243" ca="1">IFERROR(
  INDEX(ATTENDANCE_INPUT!D:D,
    MATCH(1,
      (ATTENDANCE_INPUT!A:A=A243) *
      (ATTENDANCE_INPUT!V:V=_xludf.MAXIFS(ATTENDANCE_INPUT!V:V, ATTENDANCE_INPUT!A:A, A243)),
      0)),
  "")</f>
        <v/>
      </c>
      <c r="G243" s="46" t="str">
        <f t="array" aca="1" ref="G243" ca="1">IFERROR(
  INDEX(ATTENDANCE_INPUT!E:E,
    MATCH(1,
      (ATTENDANCE_INPUT!A:A=A243) *
      (ATTENDANCE_INPUT!V:V=_xludf.MAXIFS(ATTENDANCE_INPUT!V:V, ATTENDANCE_INPUT!A:A, A243)),
      0)),
  "")</f>
        <v/>
      </c>
      <c r="H243" s="47" t="str">
        <f t="array" aca="1" ref="H243" ca="1">IF(ISNA(MATCH(A243,sheet2!A:A,0)),"⏳ Chưa test",IFERROR(INDEX(LEVEL_HELPER!A:A,MATCH(INDEX(sheet2!N:N,MATCH(A243,sheet2!A:A,0)),LEVEL_HELPER!B:B,0)),"⏳ Chưa test"))</f>
        <v>Intermediate</v>
      </c>
      <c r="I243" s="47" t="str">
        <f t="array" aca="1" ref="I243" ca="1">IF(ISNA(MATCH(A243,sheet2!A:A,0)),H243,IF(INDEX(sheet2!O:O,MATCH(A243,sheet2!A:A,0))&gt;0,IFERROR(INDEX(LEVEL_HELPER!A:A,MATCH(INDEX(sheet2!O:O,MATCH(A243,sheet2!A:A,0)),LEVEL_HELPER!B:B,0)),H243),H243))</f>
        <v>Intermediate</v>
      </c>
      <c r="J243" s="47" t="str">
        <f ca="1">IFERROR(_xludf.MAXIFS(ATTENDANCE_LOG!F:F, ATTENDANCE_LOG!C:C, A243&amp;"", ATTENDANCE_LOG!G:G, "Present"), "")</f>
        <v/>
      </c>
      <c r="K243" s="48" t="str">
        <f t="shared" ca="1" si="0"/>
        <v/>
      </c>
      <c r="L243" s="49" t="str">
        <f t="shared" ca="1" si="1"/>
        <v/>
      </c>
      <c r="M243" s="36" t="s">
        <v>34</v>
      </c>
      <c r="N243" s="50" t="s">
        <v>37</v>
      </c>
      <c r="O243" s="36"/>
      <c r="P243" s="36"/>
      <c r="Q243" s="36"/>
      <c r="R243" s="36"/>
      <c r="S243" s="36"/>
      <c r="T243" s="36"/>
      <c r="U243" s="36"/>
      <c r="V243" s="36"/>
      <c r="W243" s="59"/>
      <c r="X243" s="59"/>
      <c r="Y243" s="59"/>
    </row>
    <row r="244" spans="1:25" ht="15.75" customHeight="1">
      <c r="A244" s="42" t="s">
        <v>633</v>
      </c>
      <c r="B244" s="43" t="s">
        <v>634</v>
      </c>
      <c r="C244" s="44" t="str">
        <f ca="1">IFERROR(__xludf.DUMMYFUNCTION("arrayformula(VLOOKUP(to_Text(A244),to_Text(sheet2!$A$1:M1002),13,0))"),"MOC")</f>
        <v>MOC</v>
      </c>
      <c r="D244" s="45" t="str">
        <f ca="1">IFERROR(__xludf.DUMMYFUNCTION("arrayformula(VLOOKUP(to_Text(A244),to_Text(sheet2!$A$1:M1002),12,0))"),"DEV")</f>
        <v>DEV</v>
      </c>
      <c r="E244" s="43" t="s">
        <v>16</v>
      </c>
      <c r="F244" s="42" t="str">
        <f t="array" aca="1" ref="F244" ca="1">IFERROR(
  INDEX(ATTENDANCE_INPUT!D:D,
    MATCH(1,
      (ATTENDANCE_INPUT!A:A=A244) *
      (ATTENDANCE_INPUT!V:V=_xludf.MAXIFS(ATTENDANCE_INPUT!V:V, ATTENDANCE_INPUT!A:A, A244)),
      0)),
  "")</f>
        <v/>
      </c>
      <c r="G244" s="46" t="str">
        <f t="array" aca="1" ref="G244" ca="1">IFERROR(
  INDEX(ATTENDANCE_INPUT!E:E,
    MATCH(1,
      (ATTENDANCE_INPUT!A:A=A244) *
      (ATTENDANCE_INPUT!V:V=_xludf.MAXIFS(ATTENDANCE_INPUT!V:V, ATTENDANCE_INPUT!A:A, A244)),
      0)),
  "")</f>
        <v/>
      </c>
      <c r="H244" s="47" t="str">
        <f t="array" aca="1" ref="H244" ca="1">IF(ISNA(MATCH(A244,sheet2!A:A,0)),"⏳ Chưa test",IFERROR(INDEX(LEVEL_HELPER!A:A,MATCH(INDEX(sheet2!N:N,MATCH(A244,sheet2!A:A,0)),LEVEL_HELPER!B:B,0)),"⏳ Chưa test"))</f>
        <v>Beginner</v>
      </c>
      <c r="I244" s="47" t="str">
        <f t="array" aca="1" ref="I244" ca="1">IF(ISNA(MATCH(A244,sheet2!A:A,0)),H244,IF(INDEX(sheet2!O:O,MATCH(A244,sheet2!A:A,0))&gt;0,IFERROR(INDEX(LEVEL_HELPER!A:A,MATCH(INDEX(sheet2!O:O,MATCH(A244,sheet2!A:A,0)),LEVEL_HELPER!B:B,0)),H244),H244))</f>
        <v>Beginner</v>
      </c>
      <c r="J244" s="47" t="str">
        <f ca="1">IFERROR(_xludf.MAXIFS(ATTENDANCE_LOG!F:F, ATTENDANCE_LOG!C:C, A244&amp;"", ATTENDANCE_LOG!G:G, "Present"), "")</f>
        <v/>
      </c>
      <c r="K244" s="48" t="str">
        <f t="shared" ca="1" si="0"/>
        <v/>
      </c>
      <c r="L244" s="49" t="str">
        <f t="shared" ca="1" si="1"/>
        <v/>
      </c>
      <c r="M244" s="36" t="s">
        <v>34</v>
      </c>
      <c r="N244" s="50" t="s">
        <v>37</v>
      </c>
      <c r="O244" s="36"/>
      <c r="P244" s="36"/>
      <c r="Q244" s="36"/>
      <c r="R244" s="36">
        <v>247323</v>
      </c>
      <c r="S244" s="36" t="s">
        <v>146</v>
      </c>
      <c r="T244" s="36" t="s">
        <v>33</v>
      </c>
      <c r="U244" s="36" t="str">
        <f ca="1">IFERROR(__xludf.DUMMYFUNCTION("arrayformula(vlookup(to_text(R244),to_text($A$4:$B1237),2,0))"),"#N/A")</f>
        <v>#N/A</v>
      </c>
      <c r="V244" s="50" t="s">
        <v>327</v>
      </c>
      <c r="W244" s="59"/>
      <c r="X244" s="59"/>
      <c r="Y244" s="59"/>
    </row>
    <row r="245" spans="1:25" ht="15.75" customHeight="1">
      <c r="A245" s="42" t="s">
        <v>635</v>
      </c>
      <c r="B245" s="43" t="s">
        <v>636</v>
      </c>
      <c r="C245" s="44" t="str">
        <f ca="1">IFERROR(__xludf.DUMMYFUNCTION("arrayformula(VLOOKUP(to_Text(A245),to_Text(sheet2!$A$1:M1002),13,0))"),"LBU")</f>
        <v>LBU</v>
      </c>
      <c r="D245" s="45" t="str">
        <f ca="1">IFERROR(__xludf.DUMMYFUNCTION("arrayformula(VLOOKUP(to_Text(A245),to_Text(sheet2!$A$1:M1002),12,0))"),"QC")</f>
        <v>QC</v>
      </c>
      <c r="E245" s="43" t="s">
        <v>16</v>
      </c>
      <c r="F245" s="42" t="str">
        <f t="array" aca="1" ref="F245" ca="1">IFERROR(
  INDEX(ATTENDANCE_INPUT!D:D,
    MATCH(1,
      (ATTENDANCE_INPUT!A:A=A245) *
      (ATTENDANCE_INPUT!V:V=_xludf.MAXIFS(ATTENDANCE_INPUT!V:V, ATTENDANCE_INPUT!A:A, A245)),
      0)),
  "")</f>
        <v/>
      </c>
      <c r="G245" s="46" t="str">
        <f t="array" aca="1" ref="G245" ca="1">IFERROR(
  INDEX(ATTENDANCE_INPUT!E:E,
    MATCH(1,
      (ATTENDANCE_INPUT!A:A=A245) *
      (ATTENDANCE_INPUT!V:V=_xludf.MAXIFS(ATTENDANCE_INPUT!V:V, ATTENDANCE_INPUT!A:A, A245)),
      0)),
  "")</f>
        <v/>
      </c>
      <c r="H245" s="47" t="str">
        <f t="array" aca="1" ref="H245" ca="1">IF(ISNA(MATCH(A245,sheet2!A:A,0)),"⏳ Chưa test",IFERROR(INDEX(LEVEL_HELPER!A:A,MATCH(INDEX(sheet2!N:N,MATCH(A245,sheet2!A:A,0)),LEVEL_HELPER!B:B,0)),"⏳ Chưa test"))</f>
        <v>Intermediate</v>
      </c>
      <c r="I245" s="47" t="str">
        <f t="array" aca="1" ref="I245" ca="1">IF(ISNA(MATCH(A245,sheet2!A:A,0)),H245,IF(INDEX(sheet2!O:O,MATCH(A245,sheet2!A:A,0))&gt;0,IFERROR(INDEX(LEVEL_HELPER!A:A,MATCH(INDEX(sheet2!O:O,MATCH(A245,sheet2!A:A,0)),LEVEL_HELPER!B:B,0)),H245),H245))</f>
        <v>Intermediate</v>
      </c>
      <c r="J245" s="47" t="str">
        <f ca="1">IFERROR(_xludf.MAXIFS(ATTENDANCE_LOG!F:F, ATTENDANCE_LOG!C:C, A245&amp;"", ATTENDANCE_LOG!G:G, "Present"), "")</f>
        <v/>
      </c>
      <c r="K245" s="48" t="str">
        <f t="shared" ca="1" si="0"/>
        <v/>
      </c>
      <c r="L245" s="49" t="str">
        <f t="shared" ca="1" si="1"/>
        <v/>
      </c>
      <c r="M245" s="36" t="s">
        <v>34</v>
      </c>
      <c r="N245" s="50" t="s">
        <v>37</v>
      </c>
      <c r="O245" s="36"/>
      <c r="P245" s="36"/>
      <c r="Q245" s="36"/>
      <c r="R245" s="36"/>
      <c r="S245" s="36"/>
      <c r="T245" s="36"/>
      <c r="U245" s="36"/>
      <c r="V245" s="36"/>
      <c r="W245" s="59"/>
      <c r="X245" s="59"/>
      <c r="Y245" s="59"/>
    </row>
    <row r="246" spans="1:25" ht="15.75" customHeight="1">
      <c r="A246" s="42" t="s">
        <v>637</v>
      </c>
      <c r="B246" s="43" t="s">
        <v>638</v>
      </c>
      <c r="C246" s="44" t="str">
        <f ca="1">IFERROR(__xludf.DUMMYFUNCTION("arrayformula(VLOOKUP(to_Text(A246),to_Text(sheet2!$A$1:M1002),13,0))"),"TBU")</f>
        <v>TBU</v>
      </c>
      <c r="D246" s="45" t="str">
        <f ca="1">IFERROR(__xludf.DUMMYFUNCTION("arrayformula(VLOOKUP(to_Text(A246),to_Text(sheet2!$A$1:M1002),12,0))"),"DEV")</f>
        <v>DEV</v>
      </c>
      <c r="E246" s="43" t="s">
        <v>16</v>
      </c>
      <c r="F246" s="42" t="str">
        <f t="array" aca="1" ref="F246" ca="1">IFERROR(
  INDEX(ATTENDANCE_INPUT!D:D,
    MATCH(1,
      (ATTENDANCE_INPUT!A:A=A246) *
      (ATTENDANCE_INPUT!V:V=_xludf.MAXIFS(ATTENDANCE_INPUT!V:V, ATTENDANCE_INPUT!A:A, A246)),
      0)),
  "")</f>
        <v/>
      </c>
      <c r="G246" s="46" t="str">
        <f t="array" aca="1" ref="G246" ca="1">IFERROR(
  INDEX(ATTENDANCE_INPUT!E:E,
    MATCH(1,
      (ATTENDANCE_INPUT!A:A=A246) *
      (ATTENDANCE_INPUT!V:V=_xludf.MAXIFS(ATTENDANCE_INPUT!V:V, ATTENDANCE_INPUT!A:A, A246)),
      0)),
  "")</f>
        <v/>
      </c>
      <c r="H246" s="47" t="str">
        <f t="array" aca="1" ref="H246" ca="1">IF(ISNA(MATCH(A246,sheet2!A:A,0)),"⏳ Chưa test",IFERROR(INDEX(LEVEL_HELPER!A:A,MATCH(INDEX(sheet2!N:N,MATCH(A246,sheet2!A:A,0)),LEVEL_HELPER!B:B,0)),"⏳ Chưa test"))</f>
        <v>Beginner</v>
      </c>
      <c r="I246" s="47" t="str">
        <f t="array" aca="1" ref="I246" ca="1">IF(ISNA(MATCH(A246,sheet2!A:A,0)),H246,IF(INDEX(sheet2!O:O,MATCH(A246,sheet2!A:A,0))&gt;0,IFERROR(INDEX(LEVEL_HELPER!A:A,MATCH(INDEX(sheet2!O:O,MATCH(A246,sheet2!A:A,0)),LEVEL_HELPER!B:B,0)),H246),H246))</f>
        <v>Beginner</v>
      </c>
      <c r="J246" s="47" t="str">
        <f ca="1">IFERROR(_xludf.MAXIFS(ATTENDANCE_LOG!F:F, ATTENDANCE_LOG!C:C, A246&amp;"", ATTENDANCE_LOG!G:G, "Present"), "")</f>
        <v/>
      </c>
      <c r="K246" s="48" t="str">
        <f t="shared" ca="1" si="0"/>
        <v/>
      </c>
      <c r="L246" s="49" t="str">
        <f t="shared" ca="1" si="1"/>
        <v/>
      </c>
      <c r="M246" s="36" t="s">
        <v>34</v>
      </c>
      <c r="N246" s="50" t="s">
        <v>33</v>
      </c>
      <c r="O246" s="36"/>
      <c r="P246" s="36"/>
      <c r="Q246" s="36"/>
      <c r="R246" s="36"/>
      <c r="S246" s="36"/>
      <c r="T246" s="36"/>
      <c r="U246" s="36"/>
      <c r="V246" s="36"/>
      <c r="W246" s="59"/>
      <c r="X246" s="59"/>
      <c r="Y246" s="59"/>
    </row>
    <row r="247" spans="1:25" ht="15.75" customHeight="1">
      <c r="A247" s="42" t="s">
        <v>639</v>
      </c>
      <c r="B247" s="43" t="s">
        <v>640</v>
      </c>
      <c r="C247" s="44" t="str">
        <f ca="1">IFERROR(__xludf.DUMMYFUNCTION("arrayformula(VLOOKUP(to_Text(A247),to_Text(sheet2!$A$1:M1002),13,0))"),"ONC")</f>
        <v>ONC</v>
      </c>
      <c r="D247" s="45" t="str">
        <f ca="1">IFERROR(__xludf.DUMMYFUNCTION("arrayformula(VLOOKUP(to_Text(A247),to_Text(sheet2!$A$1:M1002),12,0))"),"DEV")</f>
        <v>DEV</v>
      </c>
      <c r="E247" s="43" t="s">
        <v>16</v>
      </c>
      <c r="F247" s="42" t="str">
        <f t="array" aca="1" ref="F247" ca="1">IFERROR(
  INDEX(ATTENDANCE_INPUT!D:D,
    MATCH(1,
      (ATTENDANCE_INPUT!A:A=A247) *
      (ATTENDANCE_INPUT!V:V=_xludf.MAXIFS(ATTENDANCE_INPUT!V:V, ATTENDANCE_INPUT!A:A, A247)),
      0)),
  "")</f>
        <v/>
      </c>
      <c r="G247" s="46" t="str">
        <f t="array" aca="1" ref="G247" ca="1">IFERROR(
  INDEX(ATTENDANCE_INPUT!E:E,
    MATCH(1,
      (ATTENDANCE_INPUT!A:A=A247) *
      (ATTENDANCE_INPUT!V:V=_xludf.MAXIFS(ATTENDANCE_INPUT!V:V, ATTENDANCE_INPUT!A:A, A247)),
      0)),
  "")</f>
        <v/>
      </c>
      <c r="H247" s="47" t="str">
        <f t="array" aca="1" ref="H247" ca="1">IF(ISNA(MATCH(A247,sheet2!A:A,0)),"⏳ Chưa test",IFERROR(INDEX(LEVEL_HELPER!A:A,MATCH(INDEX(sheet2!N:N,MATCH(A247,sheet2!A:A,0)),LEVEL_HELPER!B:B,0)),"⏳ Chưa test"))</f>
        <v>Pre-Intermediate</v>
      </c>
      <c r="I247" s="47" t="str">
        <f t="array" aca="1" ref="I247" ca="1">IF(ISNA(MATCH(A247,sheet2!A:A,0)),H247,IF(INDEX(sheet2!O:O,MATCH(A247,sheet2!A:A,0))&gt;0,IFERROR(INDEX(LEVEL_HELPER!A:A,MATCH(INDEX(sheet2!O:O,MATCH(A247,sheet2!A:A,0)),LEVEL_HELPER!B:B,0)),H247),H247))</f>
        <v>Pre-Intermediate</v>
      </c>
      <c r="J247" s="47" t="str">
        <f ca="1">IFERROR(_xludf.MAXIFS(ATTENDANCE_LOG!F:F, ATTENDANCE_LOG!C:C, A247&amp;"", ATTENDANCE_LOG!G:G, "Present"), "")</f>
        <v/>
      </c>
      <c r="K247" s="48" t="str">
        <f t="shared" ca="1" si="0"/>
        <v/>
      </c>
      <c r="L247" s="49" t="str">
        <f t="shared" ca="1" si="1"/>
        <v/>
      </c>
      <c r="M247" s="36" t="s">
        <v>34</v>
      </c>
      <c r="N247" s="50" t="s">
        <v>33</v>
      </c>
      <c r="O247" s="36"/>
      <c r="P247" s="36"/>
      <c r="Q247" s="36"/>
      <c r="R247" s="36"/>
      <c r="S247" s="36"/>
      <c r="T247" s="36"/>
      <c r="U247" s="36"/>
      <c r="V247" s="36"/>
      <c r="W247" s="59"/>
      <c r="X247" s="59"/>
      <c r="Y247" s="59"/>
    </row>
    <row r="248" spans="1:25" ht="15.75" customHeight="1">
      <c r="A248" s="42" t="s">
        <v>641</v>
      </c>
      <c r="B248" s="43" t="s">
        <v>642</v>
      </c>
      <c r="C248" s="44" t="str">
        <f ca="1">IFERROR(__xludf.DUMMYFUNCTION("arrayformula(VLOOKUP(to_Text(A248),to_Text(sheet2!$A$1:M1002),13,0))"),"MOC")</f>
        <v>MOC</v>
      </c>
      <c r="D248" s="45" t="str">
        <f ca="1">IFERROR(__xludf.DUMMYFUNCTION("arrayformula(VLOOKUP(to_Text(A248),to_Text(sheet2!$A$1:M1002),12,0))"),"DEV")</f>
        <v>DEV</v>
      </c>
      <c r="E248" s="43" t="s">
        <v>16</v>
      </c>
      <c r="F248" s="42" t="str">
        <f t="array" aca="1" ref="F248" ca="1">IFERROR(
  INDEX(ATTENDANCE_INPUT!D:D,
    MATCH(1,
      (ATTENDANCE_INPUT!A:A=A248) *
      (ATTENDANCE_INPUT!V:V=_xludf.MAXIFS(ATTENDANCE_INPUT!V:V, ATTENDANCE_INPUT!A:A, A248)),
      0)),
  "")</f>
        <v/>
      </c>
      <c r="G248" s="46" t="str">
        <f t="array" aca="1" ref="G248" ca="1">IFERROR(
  INDEX(ATTENDANCE_INPUT!E:E,
    MATCH(1,
      (ATTENDANCE_INPUT!A:A=A248) *
      (ATTENDANCE_INPUT!V:V=_xludf.MAXIFS(ATTENDANCE_INPUT!V:V, ATTENDANCE_INPUT!A:A, A248)),
      0)),
  "")</f>
        <v/>
      </c>
      <c r="H248" s="47" t="str">
        <f t="array" aca="1" ref="H248" ca="1">IF(ISNA(MATCH(A248,sheet2!A:A,0)),"⏳ Chưa test",IFERROR(INDEX(LEVEL_HELPER!A:A,MATCH(INDEX(sheet2!N:N,MATCH(A248,sheet2!A:A,0)),LEVEL_HELPER!B:B,0)),"⏳ Chưa test"))</f>
        <v>Beginner</v>
      </c>
      <c r="I248" s="47" t="str">
        <f t="array" aca="1" ref="I248" ca="1">IF(ISNA(MATCH(A248,sheet2!A:A,0)),H248,IF(INDEX(sheet2!O:O,MATCH(A248,sheet2!A:A,0))&gt;0,IFERROR(INDEX(LEVEL_HELPER!A:A,MATCH(INDEX(sheet2!O:O,MATCH(A248,sheet2!A:A,0)),LEVEL_HELPER!B:B,0)),H248),H248))</f>
        <v>Beginner</v>
      </c>
      <c r="J248" s="47" t="str">
        <f ca="1">IFERROR(_xludf.MAXIFS(ATTENDANCE_LOG!F:F, ATTENDANCE_LOG!C:C, A248&amp;"", ATTENDANCE_LOG!G:G, "Present"), "")</f>
        <v/>
      </c>
      <c r="K248" s="48" t="str">
        <f t="shared" ca="1" si="0"/>
        <v/>
      </c>
      <c r="L248" s="49" t="str">
        <f t="shared" ca="1" si="1"/>
        <v/>
      </c>
      <c r="M248" s="36" t="s">
        <v>34</v>
      </c>
      <c r="N248" s="50" t="s">
        <v>37</v>
      </c>
      <c r="O248" s="36"/>
      <c r="P248" s="36"/>
      <c r="Q248" s="36"/>
      <c r="R248" s="36">
        <v>237172</v>
      </c>
      <c r="S248" s="36" t="s">
        <v>146</v>
      </c>
      <c r="T248" s="36" t="s">
        <v>33</v>
      </c>
      <c r="U248" s="36" t="str">
        <f ca="1">IFERROR(__xludf.DUMMYFUNCTION("arrayformula(vlookup(to_text(R248),to_text($A$4:$B1240),2,0))"),"#N/A")</f>
        <v>#N/A</v>
      </c>
      <c r="V248" s="50" t="s">
        <v>35</v>
      </c>
      <c r="W248" s="59"/>
      <c r="X248" s="59"/>
      <c r="Y248" s="59"/>
    </row>
    <row r="249" spans="1:25" ht="15.75" customHeight="1">
      <c r="A249" s="42" t="s">
        <v>643</v>
      </c>
      <c r="B249" s="43" t="s">
        <v>644</v>
      </c>
      <c r="C249" s="44" t="str">
        <f ca="1">IFERROR(__xludf.DUMMYFUNCTION("arrayformula(VLOOKUP(to_Text(A249),to_Text(sheet2!$A$1:M1002),13,0))"),"ONC")</f>
        <v>ONC</v>
      </c>
      <c r="D249" s="45" t="str">
        <f ca="1">IFERROR(__xludf.DUMMYFUNCTION("arrayformula(VLOOKUP(to_Text(A249),to_Text(sheet2!$A$1:M1002),12,0))"),"DEV")</f>
        <v>DEV</v>
      </c>
      <c r="E249" s="43" t="s">
        <v>16</v>
      </c>
      <c r="F249" s="42" t="str">
        <f t="array" aca="1" ref="F249" ca="1">IFERROR(
  INDEX(ATTENDANCE_INPUT!D:D,
    MATCH(1,
      (ATTENDANCE_INPUT!A:A=A249) *
      (ATTENDANCE_INPUT!V:V=_xludf.MAXIFS(ATTENDANCE_INPUT!V:V, ATTENDANCE_INPUT!A:A, A249)),
      0)),
  "")</f>
        <v/>
      </c>
      <c r="G249" s="46" t="str">
        <f t="array" aca="1" ref="G249" ca="1">IFERROR(
  INDEX(ATTENDANCE_INPUT!E:E,
    MATCH(1,
      (ATTENDANCE_INPUT!A:A=A249) *
      (ATTENDANCE_INPUT!V:V=_xludf.MAXIFS(ATTENDANCE_INPUT!V:V, ATTENDANCE_INPUT!A:A, A249)),
      0)),
  "")</f>
        <v/>
      </c>
      <c r="H249" s="47" t="str">
        <f t="array" aca="1" ref="H249" ca="1">IF(ISNA(MATCH(A249,sheet2!A:A,0)),"⏳ Chưa test",IFERROR(INDEX(LEVEL_HELPER!A:A,MATCH(INDEX(sheet2!N:N,MATCH(A249,sheet2!A:A,0)),LEVEL_HELPER!B:B,0)),"⏳ Chưa test"))</f>
        <v>Beginner</v>
      </c>
      <c r="I249" s="47" t="str">
        <f t="array" aca="1" ref="I249" ca="1">IF(ISNA(MATCH(A249,sheet2!A:A,0)),H249,IF(INDEX(sheet2!O:O,MATCH(A249,sheet2!A:A,0))&gt;0,IFERROR(INDEX(LEVEL_HELPER!A:A,MATCH(INDEX(sheet2!O:O,MATCH(A249,sheet2!A:A,0)),LEVEL_HELPER!B:B,0)),H249),H249))</f>
        <v>Beginner</v>
      </c>
      <c r="J249" s="47" t="str">
        <f ca="1">IFERROR(_xludf.MAXIFS(ATTENDANCE_LOG!F:F, ATTENDANCE_LOG!C:C, A249&amp;"", ATTENDANCE_LOG!G:G, "Present"), "")</f>
        <v/>
      </c>
      <c r="K249" s="48" t="str">
        <f t="shared" ca="1" si="0"/>
        <v/>
      </c>
      <c r="L249" s="49" t="str">
        <f t="shared" ca="1" si="1"/>
        <v/>
      </c>
      <c r="M249" s="36" t="s">
        <v>34</v>
      </c>
      <c r="N249" s="50" t="s">
        <v>33</v>
      </c>
      <c r="O249" s="36"/>
      <c r="P249" s="36"/>
      <c r="Q249" s="36"/>
      <c r="R249" s="36"/>
      <c r="S249" s="36"/>
      <c r="T249" s="36"/>
      <c r="U249" s="36"/>
      <c r="V249" s="36"/>
      <c r="W249" s="59"/>
      <c r="X249" s="59"/>
      <c r="Y249" s="59"/>
    </row>
    <row r="250" spans="1:25" ht="15.75" customHeight="1">
      <c r="A250" s="42" t="s">
        <v>645</v>
      </c>
      <c r="B250" s="43" t="s">
        <v>646</v>
      </c>
      <c r="C250" s="44" t="str">
        <f ca="1">IFERROR(__xludf.DUMMYFUNCTION("arrayformula(VLOOKUP(to_Text(A250),to_Text(sheet2!$A$1:M1002),13,0))"),"TBU")</f>
        <v>TBU</v>
      </c>
      <c r="D250" s="45" t="str">
        <f ca="1">IFERROR(__xludf.DUMMYFUNCTION("arrayformula(VLOOKUP(to_Text(A250),to_Text(sheet2!$A$1:M1002),12,0))"),"DEV")</f>
        <v>DEV</v>
      </c>
      <c r="E250" s="43" t="s">
        <v>16</v>
      </c>
      <c r="F250" s="42" t="str">
        <f t="array" aca="1" ref="F250" ca="1">IFERROR(
  INDEX(ATTENDANCE_INPUT!D:D,
    MATCH(1,
      (ATTENDANCE_INPUT!A:A=A250) *
      (ATTENDANCE_INPUT!V:V=_xludf.MAXIFS(ATTENDANCE_INPUT!V:V, ATTENDANCE_INPUT!A:A, A250)),
      0)),
  "")</f>
        <v/>
      </c>
      <c r="G250" s="46" t="str">
        <f t="array" aca="1" ref="G250" ca="1">IFERROR(
  INDEX(ATTENDANCE_INPUT!E:E,
    MATCH(1,
      (ATTENDANCE_INPUT!A:A=A250) *
      (ATTENDANCE_INPUT!V:V=_xludf.MAXIFS(ATTENDANCE_INPUT!V:V, ATTENDANCE_INPUT!A:A, A250)),
      0)),
  "")</f>
        <v/>
      </c>
      <c r="H250" s="47" t="str">
        <f t="array" aca="1" ref="H250" ca="1">IF(ISNA(MATCH(A250,sheet2!A:A,0)),"⏳ Chưa test",IFERROR(INDEX(LEVEL_HELPER!A:A,MATCH(INDEX(sheet2!N:N,MATCH(A250,sheet2!A:A,0)),LEVEL_HELPER!B:B,0)),"⏳ Chưa test"))</f>
        <v>⏳ Chưa test</v>
      </c>
      <c r="I250" s="47" t="str">
        <f t="array" aca="1" ref="I250" ca="1">IF(ISNA(MATCH(A250,sheet2!A:A,0)),H250,IF(INDEX(sheet2!O:O,MATCH(A250,sheet2!A:A,0))&gt;0,IFERROR(INDEX(LEVEL_HELPER!A:A,MATCH(INDEX(sheet2!O:O,MATCH(A250,sheet2!A:A,0)),LEVEL_HELPER!B:B,0)),H250),H250))</f>
        <v>⏳ Chưa test</v>
      </c>
      <c r="J250" s="47" t="str">
        <f ca="1">IFERROR(_xludf.MAXIFS(ATTENDANCE_LOG!F:F, ATTENDANCE_LOG!C:C, A250&amp;"", ATTENDANCE_LOG!G:G, "Present"), "")</f>
        <v/>
      </c>
      <c r="K250" s="48" t="str">
        <f t="shared" ca="1" si="0"/>
        <v/>
      </c>
      <c r="L250" s="49" t="str">
        <f t="shared" ca="1" si="1"/>
        <v/>
      </c>
      <c r="M250" s="36" t="s">
        <v>36</v>
      </c>
      <c r="N250" s="50" t="s">
        <v>33</v>
      </c>
      <c r="O250" s="36"/>
      <c r="P250" s="36"/>
      <c r="Q250" s="36"/>
      <c r="R250" s="36"/>
      <c r="S250" s="36"/>
      <c r="T250" s="36"/>
      <c r="U250" s="36"/>
      <c r="V250" s="36"/>
      <c r="W250" s="59"/>
      <c r="X250" s="59"/>
      <c r="Y250" s="59"/>
    </row>
    <row r="251" spans="1:25" ht="15.75" customHeight="1">
      <c r="A251" s="42" t="s">
        <v>647</v>
      </c>
      <c r="B251" s="43" t="s">
        <v>648</v>
      </c>
      <c r="C251" s="44" t="str">
        <f ca="1">IFERROR(__xludf.DUMMYFUNCTION("arrayformula(VLOOKUP(to_Text(A251),to_Text(sheet2!$A$1:M1002),13,0))"),"BSG")</f>
        <v>BSG</v>
      </c>
      <c r="D251" s="45" t="str">
        <f ca="1">IFERROR(__xludf.DUMMYFUNCTION("arrayformula(VLOOKUP(to_Text(A251),to_Text(sheet2!$A$1:M1002),12,0))"),"Admin")</f>
        <v>Admin</v>
      </c>
      <c r="E251" s="43" t="str">
        <f t="shared" ref="E251:E252" ca="1" si="26">IF(L251="⚠ Possibly Dropped","Inactive","Active")</f>
        <v>Active</v>
      </c>
      <c r="F251" s="42" t="str">
        <f t="array" aca="1" ref="F251" ca="1">IFERROR(
  INDEX(ATTENDANCE_INPUT!D:D,
    MATCH(1,
      (ATTENDANCE_INPUT!A:A=A251) *
      (ATTENDANCE_INPUT!V:V=_xludf.MAXIFS(ATTENDANCE_INPUT!V:V, ATTENDANCE_INPUT!A:A, A251)),
      0)),
  "")</f>
        <v/>
      </c>
      <c r="G251" s="46" t="str">
        <f t="array" aca="1" ref="G251" ca="1">IFERROR(
  INDEX(ATTENDANCE_INPUT!E:E,
    MATCH(1,
      (ATTENDANCE_INPUT!A:A=A251) *
      (ATTENDANCE_INPUT!V:V=_xludf.MAXIFS(ATTENDANCE_INPUT!V:V, ATTENDANCE_INPUT!A:A, A251)),
      0)),
  "")</f>
        <v/>
      </c>
      <c r="H251" s="47" t="str">
        <f t="array" aca="1" ref="H251" ca="1">IF(ISNA(MATCH(A251,sheet2!A:A,0)),"⏳ Chưa test",IFERROR(INDEX(LEVEL_HELPER!A:A,MATCH(INDEX(sheet2!N:N,MATCH(A251,sheet2!A:A,0)),LEVEL_HELPER!B:B,0)),"⏳ Chưa test"))</f>
        <v>Beginner</v>
      </c>
      <c r="I251" s="47" t="str">
        <f t="array" aca="1" ref="I251" ca="1">IF(ISNA(MATCH(A251,sheet2!A:A,0)),H251,IF(INDEX(sheet2!O:O,MATCH(A251,sheet2!A:A,0))&gt;0,IFERROR(INDEX(LEVEL_HELPER!A:A,MATCH(INDEX(sheet2!O:O,MATCH(A251,sheet2!A:A,0)),LEVEL_HELPER!B:B,0)),H251),H251))</f>
        <v>Beginner</v>
      </c>
      <c r="J251" s="47" t="str">
        <f ca="1">IFERROR(_xludf.MAXIFS(ATTENDANCE_LOG!F:F, ATTENDANCE_LOG!C:C, A251&amp;"", ATTENDANCE_LOG!G:G, "Present"), "")</f>
        <v/>
      </c>
      <c r="K251" s="48" t="str">
        <f t="shared" ca="1" si="0"/>
        <v/>
      </c>
      <c r="L251" s="49" t="str">
        <f t="shared" ca="1" si="1"/>
        <v/>
      </c>
      <c r="M251" s="36" t="s">
        <v>34</v>
      </c>
      <c r="N251" s="50" t="s">
        <v>33</v>
      </c>
      <c r="O251" s="36"/>
      <c r="P251" s="36"/>
      <c r="Q251" s="36"/>
      <c r="R251" s="36"/>
      <c r="S251" s="36"/>
      <c r="T251" s="36"/>
      <c r="U251" s="36"/>
      <c r="V251" s="36"/>
      <c r="W251" s="59"/>
      <c r="X251" s="59"/>
      <c r="Y251" s="59"/>
    </row>
    <row r="252" spans="1:25" ht="15.75" customHeight="1">
      <c r="A252" s="42" t="s">
        <v>649</v>
      </c>
      <c r="B252" s="43" t="s">
        <v>650</v>
      </c>
      <c r="C252" s="44" t="str">
        <f ca="1">IFERROR(__xludf.DUMMYFUNCTION("arrayformula(VLOOKUP(to_Text(A252),to_Text(sheet2!$A$1:M1002),13,0))"),"MOC")</f>
        <v>MOC</v>
      </c>
      <c r="D252" s="45" t="str">
        <f ca="1">IFERROR(__xludf.DUMMYFUNCTION("arrayformula(VLOOKUP(to_Text(A252),to_Text(sheet2!$A$1:M1002),12,0))"),"GSD")</f>
        <v>GSD</v>
      </c>
      <c r="E252" s="43" t="str">
        <f t="shared" ca="1" si="26"/>
        <v>Active</v>
      </c>
      <c r="F252" s="42" t="str">
        <f t="array" aca="1" ref="F252" ca="1">IFERROR(
  INDEX(ATTENDANCE_INPUT!D:D,
    MATCH(1,
      (ATTENDANCE_INPUT!A:A=A252) *
      (ATTENDANCE_INPUT!V:V=_xludf.MAXIFS(ATTENDANCE_INPUT!V:V, ATTENDANCE_INPUT!A:A, A252)),
      0)),
  "")</f>
        <v/>
      </c>
      <c r="G252" s="46" t="str">
        <f t="array" aca="1" ref="G252" ca="1">IFERROR(
  INDEX(ATTENDANCE_INPUT!E:E,
    MATCH(1,
      (ATTENDANCE_INPUT!A:A=A252) *
      (ATTENDANCE_INPUT!V:V=_xludf.MAXIFS(ATTENDANCE_INPUT!V:V, ATTENDANCE_INPUT!A:A, A252)),
      0)),
  "")</f>
        <v/>
      </c>
      <c r="H252" s="47" t="str">
        <f t="array" aca="1" ref="H252" ca="1">IF(ISNA(MATCH(A252,sheet2!A:A,0)),"⏳ Chưa test",IFERROR(INDEX(LEVEL_HELPER!A:A,MATCH(INDEX(sheet2!N:N,MATCH(A252,sheet2!A:A,0)),LEVEL_HELPER!B:B,0)),"⏳ Chưa test"))</f>
        <v>⏳ Chưa test</v>
      </c>
      <c r="I252" s="47" t="str">
        <f t="array" aca="1" ref="I252" ca="1">IF(ISNA(MATCH(A252,sheet2!A:A,0)),H252,IF(INDEX(sheet2!O:O,MATCH(A252,sheet2!A:A,0))&gt;0,IFERROR(INDEX(LEVEL_HELPER!A:A,MATCH(INDEX(sheet2!O:O,MATCH(A252,sheet2!A:A,0)),LEVEL_HELPER!B:B,0)),H252),H252))</f>
        <v>⏳ Chưa test</v>
      </c>
      <c r="J252" s="47" t="str">
        <f ca="1">IFERROR(_xludf.MAXIFS(ATTENDANCE_LOG!F:F, ATTENDANCE_LOG!C:C, A252&amp;"", ATTENDANCE_LOG!G:G, "Present"), "")</f>
        <v/>
      </c>
      <c r="K252" s="48" t="str">
        <f t="shared" ca="1" si="0"/>
        <v/>
      </c>
      <c r="L252" s="49" t="str">
        <f t="shared" ca="1" si="1"/>
        <v/>
      </c>
      <c r="M252" s="36"/>
      <c r="N252" s="50"/>
      <c r="O252" s="36"/>
      <c r="P252" s="36"/>
      <c r="Q252" s="36"/>
      <c r="R252" s="36"/>
      <c r="S252" s="36"/>
      <c r="T252" s="36"/>
      <c r="U252" s="36"/>
      <c r="V252" s="36"/>
      <c r="W252" s="59"/>
      <c r="X252" s="59"/>
      <c r="Y252" s="59"/>
    </row>
    <row r="253" spans="1:25" ht="15.75" customHeight="1">
      <c r="A253" s="42" t="s">
        <v>651</v>
      </c>
      <c r="B253" s="43" t="s">
        <v>652</v>
      </c>
      <c r="C253" s="44" t="str">
        <f ca="1">IFERROR(__xludf.DUMMYFUNCTION("arrayformula(VLOOKUP(to_Text(A253),to_Text(sheet2!$A$1:M1002),13,0))"),"LBU")</f>
        <v>LBU</v>
      </c>
      <c r="D253" s="45" t="str">
        <f ca="1">IFERROR(__xludf.DUMMYFUNCTION("arrayformula(VLOOKUP(to_Text(A253),to_Text(sheet2!$A$1:M1002),12,0))"),"QC")</f>
        <v>QC</v>
      </c>
      <c r="E253" s="43" t="s">
        <v>16</v>
      </c>
      <c r="F253" s="42" t="str">
        <f t="array" aca="1" ref="F253" ca="1">IFERROR(
  INDEX(ATTENDANCE_INPUT!D:D,
    MATCH(1,
      (ATTENDANCE_INPUT!A:A=A253) *
      (ATTENDANCE_INPUT!V:V=_xludf.MAXIFS(ATTENDANCE_INPUT!V:V, ATTENDANCE_INPUT!A:A, A253)),
      0)),
  "")</f>
        <v/>
      </c>
      <c r="G253" s="46" t="str">
        <f t="array" aca="1" ref="G253" ca="1">IFERROR(
  INDEX(ATTENDANCE_INPUT!E:E,
    MATCH(1,
      (ATTENDANCE_INPUT!A:A=A253) *
      (ATTENDANCE_INPUT!V:V=_xludf.MAXIFS(ATTENDANCE_INPUT!V:V, ATTENDANCE_INPUT!A:A, A253)),
      0)),
  "")</f>
        <v/>
      </c>
      <c r="H253" s="47" t="str">
        <f t="array" aca="1" ref="H253" ca="1">IF(ISNA(MATCH(A253,sheet2!A:A,0)),"⏳ Chưa test",IFERROR(INDEX(LEVEL_HELPER!A:A,MATCH(INDEX(sheet2!N:N,MATCH(A253,sheet2!A:A,0)),LEVEL_HELPER!B:B,0)),"⏳ Chưa test"))</f>
        <v>Beginner</v>
      </c>
      <c r="I253" s="47" t="str">
        <f t="array" aca="1" ref="I253" ca="1">IF(ISNA(MATCH(A253,sheet2!A:A,0)),H253,IF(INDEX(sheet2!O:O,MATCH(A253,sheet2!A:A,0))&gt;0,IFERROR(INDEX(LEVEL_HELPER!A:A,MATCH(INDEX(sheet2!O:O,MATCH(A253,sheet2!A:A,0)),LEVEL_HELPER!B:B,0)),H253),H253))</f>
        <v>Beginner</v>
      </c>
      <c r="J253" s="47" t="str">
        <f ca="1">IFERROR(_xludf.MAXIFS(ATTENDANCE_LOG!F:F, ATTENDANCE_LOG!C:C, A253&amp;"", ATTENDANCE_LOG!G:G, "Present"), "")</f>
        <v/>
      </c>
      <c r="K253" s="48" t="str">
        <f t="shared" ca="1" si="0"/>
        <v/>
      </c>
      <c r="L253" s="49" t="str">
        <f t="shared" ca="1" si="1"/>
        <v/>
      </c>
      <c r="M253" s="36" t="s">
        <v>36</v>
      </c>
      <c r="N253" s="50" t="s">
        <v>33</v>
      </c>
      <c r="O253" s="36"/>
      <c r="P253" s="36"/>
      <c r="Q253" s="36"/>
      <c r="R253" s="36"/>
      <c r="S253" s="36"/>
      <c r="T253" s="36"/>
      <c r="U253" s="36"/>
      <c r="V253" s="36"/>
      <c r="W253" s="59"/>
      <c r="X253" s="59"/>
      <c r="Y253" s="59"/>
    </row>
    <row r="254" spans="1:25" ht="15.75" customHeight="1">
      <c r="A254" s="42" t="s">
        <v>653</v>
      </c>
      <c r="B254" s="43" t="s">
        <v>654</v>
      </c>
      <c r="C254" s="44" t="str">
        <f ca="1">IFERROR(__xludf.DUMMYFUNCTION("arrayformula(VLOOKUP(to_Text(A254),to_Text(sheet2!$A$1:M1002),13,0))"),"ONC")</f>
        <v>ONC</v>
      </c>
      <c r="D254" s="45" t="str">
        <f ca="1">IFERROR(__xludf.DUMMYFUNCTION("arrayformula(VLOOKUP(to_Text(A254),to_Text(sheet2!$A$1:M1002),12,0))"),"QC")</f>
        <v>QC</v>
      </c>
      <c r="E254" s="43" t="str">
        <f ca="1">IF(L254="⚠ Possibly Dropped","Inactive","Active")</f>
        <v>Active</v>
      </c>
      <c r="F254" s="42" t="str">
        <f t="array" aca="1" ref="F254" ca="1">IFERROR(
  INDEX(ATTENDANCE_INPUT!D:D,
    MATCH(1,
      (ATTENDANCE_INPUT!A:A=A254) *
      (ATTENDANCE_INPUT!V:V=_xludf.MAXIFS(ATTENDANCE_INPUT!V:V, ATTENDANCE_INPUT!A:A, A254)),
      0)),
  "")</f>
        <v/>
      </c>
      <c r="G254" s="46" t="str">
        <f t="array" aca="1" ref="G254" ca="1">IFERROR(
  INDEX(ATTENDANCE_INPUT!E:E,
    MATCH(1,
      (ATTENDANCE_INPUT!A:A=A254) *
      (ATTENDANCE_INPUT!V:V=_xludf.MAXIFS(ATTENDANCE_INPUT!V:V, ATTENDANCE_INPUT!A:A, A254)),
      0)),
  "")</f>
        <v/>
      </c>
      <c r="H254" s="47" t="str">
        <f t="array" aca="1" ref="H254" ca="1">IF(ISNA(MATCH(A254,sheet2!A:A,0)),"⏳ Chưa test",IFERROR(INDEX(LEVEL_HELPER!A:A,MATCH(INDEX(sheet2!N:N,MATCH(A254,sheet2!A:A,0)),LEVEL_HELPER!B:B,0)),"⏳ Chưa test"))</f>
        <v>Foundation</v>
      </c>
      <c r="I254" s="47" t="str">
        <f t="array" aca="1" ref="I254" ca="1">IF(ISNA(MATCH(A254,sheet2!A:A,0)),H254,IF(INDEX(sheet2!O:O,MATCH(A254,sheet2!A:A,0))&gt;0,IFERROR(INDEX(LEVEL_HELPER!A:A,MATCH(INDEX(sheet2!O:O,MATCH(A254,sheet2!A:A,0)),LEVEL_HELPER!B:B,0)),H254),H254))</f>
        <v>Foundation</v>
      </c>
      <c r="J254" s="47" t="str">
        <f ca="1">IFERROR(_xludf.MAXIFS(ATTENDANCE_LOG!F:F, ATTENDANCE_LOG!C:C, A254&amp;"", ATTENDANCE_LOG!G:G, "Present"), "")</f>
        <v/>
      </c>
      <c r="K254" s="48" t="str">
        <f t="shared" ca="1" si="0"/>
        <v/>
      </c>
      <c r="L254" s="49" t="str">
        <f t="shared" ca="1" si="1"/>
        <v/>
      </c>
      <c r="M254" s="36"/>
      <c r="N254" s="50"/>
      <c r="O254" s="36"/>
      <c r="P254" s="36"/>
      <c r="Q254" s="36"/>
      <c r="R254" s="36"/>
      <c r="S254" s="36"/>
      <c r="T254" s="36"/>
      <c r="U254" s="36"/>
      <c r="V254" s="36"/>
      <c r="W254" s="59"/>
      <c r="X254" s="59"/>
      <c r="Y254" s="59"/>
    </row>
    <row r="255" spans="1:25" ht="15.75" customHeight="1">
      <c r="A255" s="42" t="s">
        <v>655</v>
      </c>
      <c r="B255" s="43" t="s">
        <v>656</v>
      </c>
      <c r="C255" s="44" t="str">
        <f ca="1">IFERROR(__xludf.DUMMYFUNCTION("arrayformula(VLOOKUP(to_Text(A255),to_Text(sheet2!$A$1:M1002),13,0))"),"LBU")</f>
        <v>LBU</v>
      </c>
      <c r="D255" s="45" t="str">
        <f ca="1">IFERROR(__xludf.DUMMYFUNCTION("arrayformula(VLOOKUP(to_Text(A255),to_Text(sheet2!$A$1:M1002),12,0))"),"GSD")</f>
        <v>GSD</v>
      </c>
      <c r="E255" s="43" t="s">
        <v>16</v>
      </c>
      <c r="F255" s="42" t="str">
        <f t="array" aca="1" ref="F255" ca="1">IFERROR(
  INDEX(ATTENDANCE_INPUT!D:D,
    MATCH(1,
      (ATTENDANCE_INPUT!A:A=A255) *
      (ATTENDANCE_INPUT!V:V=_xludf.MAXIFS(ATTENDANCE_INPUT!V:V, ATTENDANCE_INPUT!A:A, A255)),
      0)),
  "")</f>
        <v/>
      </c>
      <c r="G255" s="46" t="str">
        <f t="array" aca="1" ref="G255" ca="1">IFERROR(
  INDEX(ATTENDANCE_INPUT!E:E,
    MATCH(1,
      (ATTENDANCE_INPUT!A:A=A255) *
      (ATTENDANCE_INPUT!V:V=_xludf.MAXIFS(ATTENDANCE_INPUT!V:V, ATTENDANCE_INPUT!A:A, A255)),
      0)),
  "")</f>
        <v/>
      </c>
      <c r="H255" s="47" t="str">
        <f t="array" aca="1" ref="H255" ca="1">IF(ISNA(MATCH(A255,sheet2!A:A,0)),"⏳ Chưa test",IFERROR(INDEX(LEVEL_HELPER!A:A,MATCH(INDEX(sheet2!N:N,MATCH(A255,sheet2!A:A,0)),LEVEL_HELPER!B:B,0)),"⏳ Chưa test"))</f>
        <v>Beginner</v>
      </c>
      <c r="I255" s="47" t="str">
        <f t="array" aca="1" ref="I255" ca="1">IF(ISNA(MATCH(A255,sheet2!A:A,0)),H255,IF(INDEX(sheet2!O:O,MATCH(A255,sheet2!A:A,0))&gt;0,IFERROR(INDEX(LEVEL_HELPER!A:A,MATCH(INDEX(sheet2!O:O,MATCH(A255,sheet2!A:A,0)),LEVEL_HELPER!B:B,0)),H255),H255))</f>
        <v>Beginner</v>
      </c>
      <c r="J255" s="47" t="str">
        <f ca="1">IFERROR(_xludf.MAXIFS(ATTENDANCE_LOG!F:F, ATTENDANCE_LOG!C:C, A255&amp;"", ATTENDANCE_LOG!G:G, "Present"), "")</f>
        <v/>
      </c>
      <c r="K255" s="48" t="str">
        <f t="shared" ca="1" si="0"/>
        <v/>
      </c>
      <c r="L255" s="49" t="str">
        <f t="shared" ca="1" si="1"/>
        <v/>
      </c>
      <c r="M255" s="36" t="s">
        <v>36</v>
      </c>
      <c r="N255" s="50" t="s">
        <v>33</v>
      </c>
      <c r="O255" s="36"/>
      <c r="P255" s="36"/>
      <c r="Q255" s="36"/>
      <c r="R255" s="36"/>
      <c r="S255" s="36"/>
      <c r="T255" s="36"/>
      <c r="U255" s="36"/>
      <c r="V255" s="36"/>
      <c r="W255" s="59"/>
      <c r="X255" s="59"/>
      <c r="Y255" s="59"/>
    </row>
    <row r="256" spans="1:25" ht="15.75" customHeight="1">
      <c r="A256" s="42" t="s">
        <v>657</v>
      </c>
      <c r="B256" s="43" t="s">
        <v>658</v>
      </c>
      <c r="C256" s="44" t="str">
        <f ca="1">IFERROR(__xludf.DUMMYFUNCTION("arrayformula(VLOOKUP(to_Text(A256),to_Text(sheet2!$A$1:M1002),13,0))"),"POC")</f>
        <v>POC</v>
      </c>
      <c r="D256" s="45" t="str">
        <f ca="1">IFERROR(__xludf.DUMMYFUNCTION("arrayformula(VLOOKUP(to_Text(A256),to_Text(sheet2!$A$1:M1002),12,0))"),"QC")</f>
        <v>QC</v>
      </c>
      <c r="E256" s="43" t="str">
        <f t="shared" ref="E256:E258" ca="1" si="27">IF(L256="⚠ Possibly Dropped","Inactive","Active")</f>
        <v>Active</v>
      </c>
      <c r="F256" s="42" t="str">
        <f t="array" aca="1" ref="F256" ca="1">IFERROR(
  INDEX(ATTENDANCE_INPUT!D:D,
    MATCH(1,
      (ATTENDANCE_INPUT!A:A=A256) *
      (ATTENDANCE_INPUT!V:V=_xludf.MAXIFS(ATTENDANCE_INPUT!V:V, ATTENDANCE_INPUT!A:A, A256)),
      0)),
  "")</f>
        <v/>
      </c>
      <c r="G256" s="46" t="str">
        <f t="array" aca="1" ref="G256" ca="1">IFERROR(
  INDEX(ATTENDANCE_INPUT!E:E,
    MATCH(1,
      (ATTENDANCE_INPUT!A:A=A256) *
      (ATTENDANCE_INPUT!V:V=_xludf.MAXIFS(ATTENDANCE_INPUT!V:V, ATTENDANCE_INPUT!A:A, A256)),
      0)),
  "")</f>
        <v/>
      </c>
      <c r="H256" s="47" t="str">
        <f t="array" aca="1" ref="H256" ca="1">IF(ISNA(MATCH(A256,sheet2!A:A,0)),"⏳ Chưa test",IFERROR(INDEX(LEVEL_HELPER!A:A,MATCH(INDEX(sheet2!N:N,MATCH(A256,sheet2!A:A,0)),LEVEL_HELPER!B:B,0)),"⏳ Chưa test"))</f>
        <v>Intermediate</v>
      </c>
      <c r="I256" s="47" t="str">
        <f t="array" aca="1" ref="I256" ca="1">IF(ISNA(MATCH(A256,sheet2!A:A,0)),H256,IF(INDEX(sheet2!O:O,MATCH(A256,sheet2!A:A,0))&gt;0,IFERROR(INDEX(LEVEL_HELPER!A:A,MATCH(INDEX(sheet2!O:O,MATCH(A256,sheet2!A:A,0)),LEVEL_HELPER!B:B,0)),H256),H256))</f>
        <v>Intermediate</v>
      </c>
      <c r="J256" s="47" t="str">
        <f ca="1">IFERROR(_xludf.MAXIFS(ATTENDANCE_LOG!F:F, ATTENDANCE_LOG!C:C, A256&amp;"", ATTENDANCE_LOG!G:G, "Present"), "")</f>
        <v/>
      </c>
      <c r="K256" s="48" t="str">
        <f t="shared" ca="1" si="0"/>
        <v/>
      </c>
      <c r="L256" s="49" t="str">
        <f t="shared" ca="1" si="1"/>
        <v/>
      </c>
      <c r="M256" s="36"/>
      <c r="N256" s="50"/>
      <c r="O256" s="36"/>
      <c r="P256" s="36"/>
      <c r="Q256" s="36"/>
      <c r="R256" s="36">
        <v>247174</v>
      </c>
      <c r="S256" s="36" t="s">
        <v>172</v>
      </c>
      <c r="T256" s="36" t="s">
        <v>39</v>
      </c>
      <c r="U256" s="36" t="e">
        <v>#N/A</v>
      </c>
      <c r="V256" s="36"/>
      <c r="W256" s="59"/>
      <c r="X256" s="59"/>
      <c r="Y256" s="59"/>
    </row>
    <row r="257" spans="1:25" ht="15.75" customHeight="1">
      <c r="A257" s="42" t="s">
        <v>659</v>
      </c>
      <c r="B257" s="43" t="s">
        <v>660</v>
      </c>
      <c r="C257" s="44" t="str">
        <f ca="1">IFERROR(__xludf.DUMMYFUNCTION("arrayformula(VLOOKUP(to_Text(A257),to_Text(sheet2!$A$1:M1002),13,0))"),"POC")</f>
        <v>POC</v>
      </c>
      <c r="D257" s="45" t="str">
        <f ca="1">IFERROR(__xludf.DUMMYFUNCTION("arrayformula(VLOOKUP(to_Text(A257),to_Text(sheet2!$A$1:M1002),12,0))"),"QC")</f>
        <v>QC</v>
      </c>
      <c r="E257" s="43" t="str">
        <f t="shared" ca="1" si="27"/>
        <v>Active</v>
      </c>
      <c r="F257" s="42" t="str">
        <f t="array" aca="1" ref="F257" ca="1">IFERROR(
  INDEX(ATTENDANCE_INPUT!D:D,
    MATCH(1,
      (ATTENDANCE_INPUT!A:A=A257) *
      (ATTENDANCE_INPUT!V:V=_xludf.MAXIFS(ATTENDANCE_INPUT!V:V, ATTENDANCE_INPUT!A:A, A257)),
      0)),
  "")</f>
        <v/>
      </c>
      <c r="G257" s="46" t="str">
        <f t="array" aca="1" ref="G257" ca="1">IFERROR(
  INDEX(ATTENDANCE_INPUT!E:E,
    MATCH(1,
      (ATTENDANCE_INPUT!A:A=A257) *
      (ATTENDANCE_INPUT!V:V=_xludf.MAXIFS(ATTENDANCE_INPUT!V:V, ATTENDANCE_INPUT!A:A, A257)),
      0)),
  "")</f>
        <v/>
      </c>
      <c r="H257" s="47" t="str">
        <f t="array" aca="1" ref="H257" ca="1">IF(ISNA(MATCH(A257,sheet2!A:A,0)),"⏳ Chưa test",IFERROR(INDEX(LEVEL_HELPER!A:A,MATCH(INDEX(sheet2!N:N,MATCH(A257,sheet2!A:A,0)),LEVEL_HELPER!B:B,0)),"⏳ Chưa test"))</f>
        <v>Beginner</v>
      </c>
      <c r="I257" s="47" t="str">
        <f t="array" aca="1" ref="I257" ca="1">IF(ISNA(MATCH(A257,sheet2!A:A,0)),H257,IF(INDEX(sheet2!O:O,MATCH(A257,sheet2!A:A,0))&gt;0,IFERROR(INDEX(LEVEL_HELPER!A:A,MATCH(INDEX(sheet2!O:O,MATCH(A257,sheet2!A:A,0)),LEVEL_HELPER!B:B,0)),H257),H257))</f>
        <v>Beginner</v>
      </c>
      <c r="J257" s="47" t="str">
        <f ca="1">IFERROR(_xludf.MAXIFS(ATTENDANCE_LOG!F:F, ATTENDANCE_LOG!C:C, A257&amp;"", ATTENDANCE_LOG!G:G, "Present"), "")</f>
        <v/>
      </c>
      <c r="K257" s="48" t="str">
        <f t="shared" ca="1" si="0"/>
        <v/>
      </c>
      <c r="L257" s="49" t="str">
        <f t="shared" ca="1" si="1"/>
        <v/>
      </c>
      <c r="M257" s="36"/>
      <c r="N257" s="50"/>
      <c r="O257" s="36"/>
      <c r="P257" s="36"/>
      <c r="Q257" s="36"/>
      <c r="R257" s="36">
        <v>247212</v>
      </c>
      <c r="S257" s="36" t="s">
        <v>172</v>
      </c>
      <c r="T257" s="36" t="s">
        <v>39</v>
      </c>
      <c r="U257" s="36" t="e">
        <v>#N/A</v>
      </c>
      <c r="V257" s="36"/>
      <c r="W257" s="59"/>
      <c r="X257" s="59"/>
      <c r="Y257" s="59"/>
    </row>
    <row r="258" spans="1:25" ht="15.75" customHeight="1">
      <c r="A258" s="42" t="s">
        <v>661</v>
      </c>
      <c r="B258" s="43" t="s">
        <v>662</v>
      </c>
      <c r="C258" s="44" t="str">
        <f ca="1">IFERROR(__xludf.DUMMYFUNCTION("arrayformula(VLOOKUP(to_Text(A258),to_Text(sheet2!$A$1:M1002),13,0))"),"CHORUS")</f>
        <v>CHORUS</v>
      </c>
      <c r="D258" s="45" t="str">
        <f ca="1">IFERROR(__xludf.DUMMYFUNCTION("arrayformula(VLOOKUP(to_Text(A258),to_Text(sheet2!$A$1:M1002),12,0))"),"SM")</f>
        <v>SM</v>
      </c>
      <c r="E258" s="43" t="str">
        <f t="shared" ca="1" si="27"/>
        <v>Active</v>
      </c>
      <c r="F258" s="42" t="str">
        <f t="array" aca="1" ref="F258" ca="1">IFERROR(
  INDEX(ATTENDANCE_INPUT!D:D,
    MATCH(1,
      (ATTENDANCE_INPUT!A:A=A258) *
      (ATTENDANCE_INPUT!V:V=_xludf.MAXIFS(ATTENDANCE_INPUT!V:V, ATTENDANCE_INPUT!A:A, A258)),
      0)),
  "")</f>
        <v/>
      </c>
      <c r="G258" s="46" t="str">
        <f t="array" aca="1" ref="G258" ca="1">IFERROR(
  INDEX(ATTENDANCE_INPUT!E:E,
    MATCH(1,
      (ATTENDANCE_INPUT!A:A=A258) *
      (ATTENDANCE_INPUT!V:V=_xludf.MAXIFS(ATTENDANCE_INPUT!V:V, ATTENDANCE_INPUT!A:A, A258)),
      0)),
  "")</f>
        <v/>
      </c>
      <c r="H258" s="47" t="str">
        <f t="array" aca="1" ref="H258" ca="1">IF(ISNA(MATCH(A258,sheet2!A:A,0)),"⏳ Chưa test",IFERROR(INDEX(LEVEL_HELPER!A:A,MATCH(INDEX(sheet2!N:N,MATCH(A258,sheet2!A:A,0)),LEVEL_HELPER!B:B,0)),"⏳ Chưa test"))</f>
        <v>Pre-Intermediate</v>
      </c>
      <c r="I258" s="47" t="str">
        <f t="array" aca="1" ref="I258" ca="1">IF(ISNA(MATCH(A258,sheet2!A:A,0)),H258,IF(INDEX(sheet2!O:O,MATCH(A258,sheet2!A:A,0))&gt;0,IFERROR(INDEX(LEVEL_HELPER!A:A,MATCH(INDEX(sheet2!O:O,MATCH(A258,sheet2!A:A,0)),LEVEL_HELPER!B:B,0)),H258),H258))</f>
        <v>Pre-Intermediate</v>
      </c>
      <c r="J258" s="47" t="str">
        <f ca="1">IFERROR(_xludf.MAXIFS(ATTENDANCE_LOG!F:F, ATTENDANCE_LOG!C:C, A258&amp;"", ATTENDANCE_LOG!G:G, "Present"), "")</f>
        <v/>
      </c>
      <c r="K258" s="48" t="str">
        <f t="shared" ref="K258:K306" ca="1" si="28">IF(J258="", "", IFERROR(TODAY()-DATEVALUE(LEFT(J258,10)), ""))</f>
        <v/>
      </c>
      <c r="L258" s="49" t="str">
        <f t="shared" ref="L258:L306" ca="1" si="29">IF(AND(ISNUMBER(K258), K258&gt;=30), "⚠ Possibly Dropped", "")</f>
        <v/>
      </c>
      <c r="M258" s="36" t="s">
        <v>34</v>
      </c>
      <c r="N258" s="50" t="s">
        <v>41</v>
      </c>
      <c r="O258" s="64"/>
      <c r="P258" s="36"/>
      <c r="Q258" s="36"/>
      <c r="R258" s="36"/>
      <c r="S258" s="36"/>
      <c r="T258" s="36"/>
      <c r="U258" s="36"/>
      <c r="V258" s="36"/>
      <c r="W258" s="59"/>
      <c r="X258" s="59"/>
      <c r="Y258" s="59"/>
    </row>
    <row r="259" spans="1:25" ht="15.75" customHeight="1">
      <c r="A259" s="42" t="s">
        <v>663</v>
      </c>
      <c r="B259" s="43" t="s">
        <v>664</v>
      </c>
      <c r="C259" s="44" t="str">
        <f ca="1">IFERROR(__xludf.DUMMYFUNCTION("arrayformula(VLOOKUP(to_Text(A259),to_Text(sheet2!$A$1:M1002),13,0))"),"TBU")</f>
        <v>TBU</v>
      </c>
      <c r="D259" s="45" t="str">
        <f ca="1">IFERROR(__xludf.DUMMYFUNCTION("arrayformula(VLOOKUP(to_Text(A259),to_Text(sheet2!$A$1:M1002),12,0))"),"DEV")</f>
        <v>DEV</v>
      </c>
      <c r="E259" s="43" t="s">
        <v>16</v>
      </c>
      <c r="F259" s="42" t="str">
        <f t="array" aca="1" ref="F259" ca="1">IFERROR(
  INDEX(ATTENDANCE_INPUT!D:D,
    MATCH(1,
      (ATTENDANCE_INPUT!A:A=A259) *
      (ATTENDANCE_INPUT!V:V=_xludf.MAXIFS(ATTENDANCE_INPUT!V:V, ATTENDANCE_INPUT!A:A, A259)),
      0)),
  "")</f>
        <v/>
      </c>
      <c r="G259" s="46" t="str">
        <f t="array" aca="1" ref="G259" ca="1">IFERROR(
  INDEX(ATTENDANCE_INPUT!E:E,
    MATCH(1,
      (ATTENDANCE_INPUT!A:A=A259) *
      (ATTENDANCE_INPUT!V:V=_xludf.MAXIFS(ATTENDANCE_INPUT!V:V, ATTENDANCE_INPUT!A:A, A259)),
      0)),
  "")</f>
        <v/>
      </c>
      <c r="H259" s="47" t="str">
        <f t="array" aca="1" ref="H259" ca="1">IF(ISNA(MATCH(A259,sheet2!A:A,0)),"⏳ Chưa test",IFERROR(INDEX(LEVEL_HELPER!A:A,MATCH(INDEX(sheet2!N:N,MATCH(A259,sheet2!A:A,0)),LEVEL_HELPER!B:B,0)),"⏳ Chưa test"))</f>
        <v>Beginner</v>
      </c>
      <c r="I259" s="47" t="str">
        <f t="array" aca="1" ref="I259" ca="1">IF(ISNA(MATCH(A259,sheet2!A:A,0)),H259,IF(INDEX(sheet2!O:O,MATCH(A259,sheet2!A:A,0))&gt;0,IFERROR(INDEX(LEVEL_HELPER!A:A,MATCH(INDEX(sheet2!O:O,MATCH(A259,sheet2!A:A,0)),LEVEL_HELPER!B:B,0)),H259),H259))</f>
        <v>Beginner</v>
      </c>
      <c r="J259" s="47" t="str">
        <f ca="1">IFERROR(_xludf.MAXIFS(ATTENDANCE_LOG!F:F, ATTENDANCE_LOG!C:C, A259&amp;"", ATTENDANCE_LOG!G:G, "Present"), "")</f>
        <v/>
      </c>
      <c r="K259" s="48" t="str">
        <f t="shared" ca="1" si="28"/>
        <v/>
      </c>
      <c r="L259" s="49" t="str">
        <f t="shared" ca="1" si="29"/>
        <v/>
      </c>
      <c r="M259" s="36" t="s">
        <v>34</v>
      </c>
      <c r="N259" s="50" t="s">
        <v>33</v>
      </c>
      <c r="O259" s="36"/>
      <c r="P259" s="36"/>
      <c r="Q259" s="36"/>
      <c r="R259" s="36"/>
      <c r="S259" s="36"/>
      <c r="T259" s="36"/>
      <c r="U259" s="36"/>
      <c r="V259" s="36"/>
      <c r="W259" s="59"/>
      <c r="X259" s="59"/>
      <c r="Y259" s="59"/>
    </row>
    <row r="260" spans="1:25" ht="15.75" customHeight="1">
      <c r="A260" s="42" t="s">
        <v>665</v>
      </c>
      <c r="B260" s="43" t="s">
        <v>666</v>
      </c>
      <c r="C260" s="44" t="str">
        <f ca="1">IFERROR(__xludf.DUMMYFUNCTION("arrayformula(VLOOKUP(to_Text(A260),to_Text(sheet2!$A$1:M1002),13,0))"),"TBU")</f>
        <v>TBU</v>
      </c>
      <c r="D260" s="45" t="str">
        <f ca="1">IFERROR(__xludf.DUMMYFUNCTION("arrayformula(VLOOKUP(to_Text(A260),to_Text(sheet2!$A$1:M1002),12,0))"),"DEV")</f>
        <v>DEV</v>
      </c>
      <c r="E260" s="43" t="s">
        <v>15</v>
      </c>
      <c r="F260" s="42" t="str">
        <f t="array" aca="1" ref="F260" ca="1">IFERROR(
  INDEX(ATTENDANCE_INPUT!D:D,
    MATCH(1,
      (ATTENDANCE_INPUT!A:A=A260) *
      (ATTENDANCE_INPUT!V:V=_xludf.MAXIFS(ATTENDANCE_INPUT!V:V, ATTENDANCE_INPUT!A:A, A260)),
      0)),
  "")</f>
        <v/>
      </c>
      <c r="G260" s="46" t="str">
        <f t="array" aca="1" ref="G260" ca="1">IFERROR(
  INDEX(ATTENDANCE_INPUT!E:E,
    MATCH(1,
      (ATTENDANCE_INPUT!A:A=A260) *
      (ATTENDANCE_INPUT!V:V=_xludf.MAXIFS(ATTENDANCE_INPUT!V:V, ATTENDANCE_INPUT!A:A, A260)),
      0)),
  "")</f>
        <v/>
      </c>
      <c r="H260" s="47" t="str">
        <f t="array" aca="1" ref="H260" ca="1">IF(ISNA(MATCH(A260,sheet2!A:A,0)),"⏳ Chưa test",IFERROR(INDEX(LEVEL_HELPER!A:A,MATCH(INDEX(sheet2!N:N,MATCH(A260,sheet2!A:A,0)),LEVEL_HELPER!B:B,0)),"⏳ Chưa test"))</f>
        <v>⏳ Chưa test</v>
      </c>
      <c r="I260" s="47" t="str">
        <f t="array" aca="1" ref="I260" ca="1">IF(ISNA(MATCH(A260,sheet2!A:A,0)),H260,IF(INDEX(sheet2!O:O,MATCH(A260,sheet2!A:A,0))&gt;0,IFERROR(INDEX(LEVEL_HELPER!A:A,MATCH(INDEX(sheet2!O:O,MATCH(A260,sheet2!A:A,0)),LEVEL_HELPER!B:B,0)),H260),H260))</f>
        <v>⏳ Chưa test</v>
      </c>
      <c r="J260" s="47" t="str">
        <f ca="1">IFERROR(_xludf.MAXIFS(ATTENDANCE_LOG!F:F, ATTENDANCE_LOG!C:C, A260&amp;"", ATTENDANCE_LOG!G:G, "Present"), "")</f>
        <v/>
      </c>
      <c r="K260" s="48" t="str">
        <f t="shared" ca="1" si="28"/>
        <v/>
      </c>
      <c r="L260" s="49" t="str">
        <f t="shared" ca="1" si="29"/>
        <v/>
      </c>
      <c r="M260" s="36"/>
      <c r="N260" s="50"/>
      <c r="O260" s="36"/>
      <c r="P260" s="36"/>
      <c r="Q260" s="36"/>
      <c r="R260" s="36"/>
      <c r="S260" s="36"/>
      <c r="T260" s="36"/>
      <c r="U260" s="36"/>
      <c r="V260" s="36"/>
      <c r="W260" s="59"/>
      <c r="X260" s="59"/>
      <c r="Y260" s="59"/>
    </row>
    <row r="261" spans="1:25" ht="15.75" customHeight="1">
      <c r="A261" s="42" t="s">
        <v>667</v>
      </c>
      <c r="B261" s="43" t="s">
        <v>668</v>
      </c>
      <c r="C261" s="44" t="str">
        <f ca="1">IFERROR(__xludf.DUMMYFUNCTION("arrayformula(VLOOKUP(to_Text(A261),to_Text(sheet2!$A$1:M1002),13,0))"),"CHORUS")</f>
        <v>CHORUS</v>
      </c>
      <c r="D261" s="45" t="str">
        <f ca="1">IFERROR(__xludf.DUMMYFUNCTION("arrayformula(VLOOKUP(to_Text(A261),to_Text(sheet2!$A$1:M1002),12,0))"),"UI/UX")</f>
        <v>UI/UX</v>
      </c>
      <c r="E261" s="43" t="s">
        <v>16</v>
      </c>
      <c r="F261" s="42" t="str">
        <f t="array" aca="1" ref="F261" ca="1">IFERROR(
  INDEX(ATTENDANCE_INPUT!D:D,
    MATCH(1,
      (ATTENDANCE_INPUT!A:A=A261) *
      (ATTENDANCE_INPUT!V:V=_xludf.MAXIFS(ATTENDANCE_INPUT!V:V, ATTENDANCE_INPUT!A:A, A261)),
      0)),
  "")</f>
        <v/>
      </c>
      <c r="G261" s="46" t="str">
        <f t="array" aca="1" ref="G261" ca="1">IFERROR(
  INDEX(ATTENDANCE_INPUT!E:E,
    MATCH(1,
      (ATTENDANCE_INPUT!A:A=A261) *
      (ATTENDANCE_INPUT!V:V=_xludf.MAXIFS(ATTENDANCE_INPUT!V:V, ATTENDANCE_INPUT!A:A, A261)),
      0)),
  "")</f>
        <v/>
      </c>
      <c r="H261" s="47" t="str">
        <f t="array" aca="1" ref="H261" ca="1">IF(ISNA(MATCH(A261,sheet2!A:A,0)),"⏳ Chưa test",IFERROR(INDEX(LEVEL_HELPER!A:A,MATCH(INDEX(sheet2!N:N,MATCH(A261,sheet2!A:A,0)),LEVEL_HELPER!B:B,0)),"⏳ Chưa test"))</f>
        <v>Intermediate</v>
      </c>
      <c r="I261" s="47" t="str">
        <f t="array" aca="1" ref="I261" ca="1">IF(ISNA(MATCH(A261,sheet2!A:A,0)),H261,IF(INDEX(sheet2!O:O,MATCH(A261,sheet2!A:A,0))&gt;0,IFERROR(INDEX(LEVEL_HELPER!A:A,MATCH(INDEX(sheet2!O:O,MATCH(A261,sheet2!A:A,0)),LEVEL_HELPER!B:B,0)),H261),H261))</f>
        <v>Intermediate</v>
      </c>
      <c r="J261" s="47" t="str">
        <f ca="1">IFERROR(_xludf.MAXIFS(ATTENDANCE_LOG!F:F, ATTENDANCE_LOG!C:C, A261&amp;"", ATTENDANCE_LOG!G:G, "Present"), "")</f>
        <v/>
      </c>
      <c r="K261" s="48" t="str">
        <f t="shared" ca="1" si="28"/>
        <v/>
      </c>
      <c r="L261" s="49" t="str">
        <f t="shared" ca="1" si="29"/>
        <v/>
      </c>
      <c r="M261" s="36" t="s">
        <v>34</v>
      </c>
      <c r="N261" s="50" t="s">
        <v>37</v>
      </c>
      <c r="O261" s="36"/>
      <c r="P261" s="36"/>
      <c r="Q261" s="36"/>
      <c r="R261" s="36"/>
      <c r="S261" s="36"/>
      <c r="T261" s="36"/>
      <c r="U261" s="36"/>
      <c r="V261" s="36"/>
      <c r="W261" s="59"/>
      <c r="X261" s="59"/>
      <c r="Y261" s="59"/>
    </row>
    <row r="262" spans="1:25" ht="15.75" customHeight="1">
      <c r="A262" s="42" t="s">
        <v>669</v>
      </c>
      <c r="B262" s="43" t="s">
        <v>670</v>
      </c>
      <c r="C262" s="44" t="str">
        <f ca="1">IFERROR(__xludf.DUMMYFUNCTION("arrayformula(VLOOKUP(to_Text(A262),to_Text(sheet2!$A$1:M1002),13,0))"),"ONC")</f>
        <v>ONC</v>
      </c>
      <c r="D262" s="45" t="str">
        <f ca="1">IFERROR(__xludf.DUMMYFUNCTION("arrayformula(VLOOKUP(to_Text(A262),to_Text(sheet2!$A$1:M1002),12,0))"),"Management")</f>
        <v>Management</v>
      </c>
      <c r="E262" s="43" t="s">
        <v>16</v>
      </c>
      <c r="F262" s="42" t="str">
        <f t="array" aca="1" ref="F262" ca="1">IFERROR(
  INDEX(ATTENDANCE_INPUT!D:D,
    MATCH(1,
      (ATTENDANCE_INPUT!A:A=A262) *
      (ATTENDANCE_INPUT!V:V=_xludf.MAXIFS(ATTENDANCE_INPUT!V:V, ATTENDANCE_INPUT!A:A, A262)),
      0)),
  "")</f>
        <v/>
      </c>
      <c r="G262" s="46" t="str">
        <f t="array" aca="1" ref="G262" ca="1">IFERROR(
  INDEX(ATTENDANCE_INPUT!E:E,
    MATCH(1,
      (ATTENDANCE_INPUT!A:A=A262) *
      (ATTENDANCE_INPUT!V:V=_xludf.MAXIFS(ATTENDANCE_INPUT!V:V, ATTENDANCE_INPUT!A:A, A262)),
      0)),
  "")</f>
        <v/>
      </c>
      <c r="H262" s="47" t="str">
        <f t="array" aca="1" ref="H262" ca="1">IF(ISNA(MATCH(A262,sheet2!A:A,0)),"⏳ Chưa test",IFERROR(INDEX(LEVEL_HELPER!A:A,MATCH(INDEX(sheet2!N:N,MATCH(A262,sheet2!A:A,0)),LEVEL_HELPER!B:B,0)),"⏳ Chưa test"))</f>
        <v>Pre-Intermediate</v>
      </c>
      <c r="I262" s="47" t="str">
        <f t="array" aca="1" ref="I262" ca="1">IF(ISNA(MATCH(A262,sheet2!A:A,0)),H262,IF(INDEX(sheet2!O:O,MATCH(A262,sheet2!A:A,0))&gt;0,IFERROR(INDEX(LEVEL_HELPER!A:A,MATCH(INDEX(sheet2!O:O,MATCH(A262,sheet2!A:A,0)),LEVEL_HELPER!B:B,0)),H262),H262))</f>
        <v>Pre-Intermediate</v>
      </c>
      <c r="J262" s="47" t="str">
        <f ca="1">IFERROR(_xludf.MAXIFS(ATTENDANCE_LOG!F:F, ATTENDANCE_LOG!C:C, A262&amp;"", ATTENDANCE_LOG!G:G, "Present"), "")</f>
        <v/>
      </c>
      <c r="K262" s="48" t="str">
        <f t="shared" ca="1" si="28"/>
        <v/>
      </c>
      <c r="L262" s="49" t="str">
        <f t="shared" ca="1" si="29"/>
        <v/>
      </c>
      <c r="M262" s="36" t="s">
        <v>36</v>
      </c>
      <c r="N262" s="50" t="s">
        <v>33</v>
      </c>
      <c r="O262" s="36"/>
      <c r="P262" s="36"/>
      <c r="Q262" s="36"/>
      <c r="R262" s="61"/>
      <c r="S262" s="61"/>
      <c r="T262" s="61"/>
      <c r="U262" s="61"/>
      <c r="V262" s="36"/>
      <c r="W262" s="59"/>
      <c r="X262" s="59"/>
      <c r="Y262" s="59"/>
    </row>
    <row r="263" spans="1:25" ht="15.75" customHeight="1">
      <c r="A263" s="42" t="s">
        <v>671</v>
      </c>
      <c r="B263" s="43" t="s">
        <v>672</v>
      </c>
      <c r="C263" s="44" t="str">
        <f ca="1">IFERROR(__xludf.DUMMYFUNCTION("arrayformula(VLOOKUP(to_Text(A263),to_Text(sheet2!$A$1:M1002),13,0))"),"MOC")</f>
        <v>MOC</v>
      </c>
      <c r="D263" s="45" t="str">
        <f ca="1">IFERROR(__xludf.DUMMYFUNCTION("arrayformula(VLOOKUP(to_Text(A263),to_Text(sheet2!$A$1:M1002),12,0))"),"DEV")</f>
        <v>DEV</v>
      </c>
      <c r="E263" s="43" t="s">
        <v>16</v>
      </c>
      <c r="F263" s="42" t="str">
        <f t="array" aca="1" ref="F263" ca="1">IFERROR(
  INDEX(ATTENDANCE_INPUT!D:D,
    MATCH(1,
      (ATTENDANCE_INPUT!A:A=A263) *
      (ATTENDANCE_INPUT!V:V=_xludf.MAXIFS(ATTENDANCE_INPUT!V:V, ATTENDANCE_INPUT!A:A, A263)),
      0)),
  "")</f>
        <v/>
      </c>
      <c r="G263" s="46" t="str">
        <f t="array" aca="1" ref="G263" ca="1">IFERROR(
  INDEX(ATTENDANCE_INPUT!E:E,
    MATCH(1,
      (ATTENDANCE_INPUT!A:A=A263) *
      (ATTENDANCE_INPUT!V:V=_xludf.MAXIFS(ATTENDANCE_INPUT!V:V, ATTENDANCE_INPUT!A:A, A263)),
      0)),
  "")</f>
        <v/>
      </c>
      <c r="H263" s="47" t="str">
        <f t="array" aca="1" ref="H263" ca="1">IF(ISNA(MATCH(A263,sheet2!A:A,0)),"⏳ Chưa test",IFERROR(INDEX(LEVEL_HELPER!A:A,MATCH(INDEX(sheet2!N:N,MATCH(A263,sheet2!A:A,0)),LEVEL_HELPER!B:B,0)),"⏳ Chưa test"))</f>
        <v>Beginner</v>
      </c>
      <c r="I263" s="47" t="str">
        <f t="array" aca="1" ref="I263" ca="1">IF(ISNA(MATCH(A263,sheet2!A:A,0)),H263,IF(INDEX(sheet2!O:O,MATCH(A263,sheet2!A:A,0))&gt;0,IFERROR(INDEX(LEVEL_HELPER!A:A,MATCH(INDEX(sheet2!O:O,MATCH(A263,sheet2!A:A,0)),LEVEL_HELPER!B:B,0)),H263),H263))</f>
        <v>Beginner</v>
      </c>
      <c r="J263" s="47" t="str">
        <f ca="1">IFERROR(_xludf.MAXIFS(ATTENDANCE_LOG!F:F, ATTENDANCE_LOG!C:C, A263&amp;"", ATTENDANCE_LOG!G:G, "Present"), "")</f>
        <v/>
      </c>
      <c r="K263" s="48" t="str">
        <f t="shared" ca="1" si="28"/>
        <v/>
      </c>
      <c r="L263" s="49" t="str">
        <f t="shared" ca="1" si="29"/>
        <v/>
      </c>
      <c r="M263" s="36" t="s">
        <v>34</v>
      </c>
      <c r="N263" s="50" t="s">
        <v>37</v>
      </c>
      <c r="O263" s="36"/>
      <c r="P263" s="36"/>
      <c r="Q263" s="36"/>
      <c r="R263" s="36">
        <v>247040</v>
      </c>
      <c r="S263" s="36" t="s">
        <v>146</v>
      </c>
      <c r="T263" s="36" t="s">
        <v>33</v>
      </c>
      <c r="U263" s="36" t="str">
        <f ca="1">IFERROR(__xludf.DUMMYFUNCTION("arrayformula(vlookup(to_text(R263),to_text($A$4:$B1254),2,0))"),"#N/A")</f>
        <v>#N/A</v>
      </c>
      <c r="V263" s="50" t="s">
        <v>39</v>
      </c>
      <c r="W263" s="59"/>
      <c r="X263" s="59"/>
      <c r="Y263" s="59"/>
    </row>
    <row r="264" spans="1:25" ht="15.75" customHeight="1">
      <c r="A264" s="42" t="s">
        <v>673</v>
      </c>
      <c r="B264" s="43" t="s">
        <v>674</v>
      </c>
      <c r="C264" s="44" t="str">
        <f ca="1">IFERROR(__xludf.DUMMYFUNCTION("arrayformula(VLOOKUP(to_Text(A264),to_Text(sheet2!$A$1:M1002),13,0))"),"ONC")</f>
        <v>ONC</v>
      </c>
      <c r="D264" s="45" t="str">
        <f ca="1">IFERROR(__xludf.DUMMYFUNCTION("arrayformula(VLOOKUP(to_Text(A264),to_Text(sheet2!$A$1:M1002),12,0))"),"DEV")</f>
        <v>DEV</v>
      </c>
      <c r="E264" s="43" t="str">
        <f t="shared" ref="E264:E265" ca="1" si="30">IF(L264="⚠ Possibly Dropped","Inactive","Active")</f>
        <v>Active</v>
      </c>
      <c r="F264" s="42" t="str">
        <f t="array" aca="1" ref="F264" ca="1">IFERROR(
  INDEX(ATTENDANCE_INPUT!D:D,
    MATCH(1,
      (ATTENDANCE_INPUT!A:A=A264) *
      (ATTENDANCE_INPUT!V:V=_xludf.MAXIFS(ATTENDANCE_INPUT!V:V, ATTENDANCE_INPUT!A:A, A264)),
      0)),
  "")</f>
        <v/>
      </c>
      <c r="G264" s="46" t="str">
        <f t="array" aca="1" ref="G264" ca="1">IFERROR(
  INDEX(ATTENDANCE_INPUT!E:E,
    MATCH(1,
      (ATTENDANCE_INPUT!A:A=A264) *
      (ATTENDANCE_INPUT!V:V=_xludf.MAXIFS(ATTENDANCE_INPUT!V:V, ATTENDANCE_INPUT!A:A, A264)),
      0)),
  "")</f>
        <v/>
      </c>
      <c r="H264" s="47" t="str">
        <f t="array" aca="1" ref="H264" ca="1">IF(ISNA(MATCH(A264,sheet2!A:A,0)),"⏳ Chưa test",IFERROR(INDEX(LEVEL_HELPER!A:A,MATCH(INDEX(sheet2!N:N,MATCH(A264,sheet2!A:A,0)),LEVEL_HELPER!B:B,0)),"⏳ Chưa test"))</f>
        <v>Foundation</v>
      </c>
      <c r="I264" s="47" t="str">
        <f t="array" aca="1" ref="I264" ca="1">IF(ISNA(MATCH(A264,sheet2!A:A,0)),H264,IF(INDEX(sheet2!O:O,MATCH(A264,sheet2!A:A,0))&gt;0,IFERROR(INDEX(LEVEL_HELPER!A:A,MATCH(INDEX(sheet2!O:O,MATCH(A264,sheet2!A:A,0)),LEVEL_HELPER!B:B,0)),H264),H264))</f>
        <v>Foundation</v>
      </c>
      <c r="J264" s="47" t="str">
        <f ca="1">IFERROR(_xludf.MAXIFS(ATTENDANCE_LOG!F:F, ATTENDANCE_LOG!C:C, A264&amp;"", ATTENDANCE_LOG!G:G, "Present"), "")</f>
        <v/>
      </c>
      <c r="K264" s="48" t="str">
        <f t="shared" ca="1" si="28"/>
        <v/>
      </c>
      <c r="L264" s="49" t="str">
        <f t="shared" ca="1" si="29"/>
        <v/>
      </c>
      <c r="M264" s="36"/>
      <c r="N264" s="50"/>
      <c r="O264" s="36"/>
      <c r="P264" s="36"/>
      <c r="Q264" s="36"/>
      <c r="R264" s="36"/>
      <c r="S264" s="36"/>
      <c r="T264" s="36"/>
      <c r="U264" s="36"/>
      <c r="V264" s="36"/>
      <c r="W264" s="59"/>
      <c r="X264" s="59"/>
      <c r="Y264" s="59"/>
    </row>
    <row r="265" spans="1:25" ht="15.75" customHeight="1">
      <c r="A265" s="42" t="s">
        <v>675</v>
      </c>
      <c r="B265" s="43" t="s">
        <v>676</v>
      </c>
      <c r="C265" s="44" t="str">
        <f ca="1">IFERROR(__xludf.DUMMYFUNCTION("arrayformula(VLOOKUP(to_Text(A265),to_Text(sheet2!$A$1:M1002),13,0))"),"MOC")</f>
        <v>MOC</v>
      </c>
      <c r="D265" s="45" t="str">
        <f ca="1">IFERROR(__xludf.DUMMYFUNCTION("arrayformula(VLOOKUP(to_Text(A265),to_Text(sheet2!$A$1:M1002),12,0))"),"QC")</f>
        <v>QC</v>
      </c>
      <c r="E265" s="43" t="str">
        <f t="shared" ca="1" si="30"/>
        <v>Active</v>
      </c>
      <c r="F265" s="42" t="str">
        <f t="array" aca="1" ref="F265" ca="1">IFERROR(
  INDEX(ATTENDANCE_INPUT!D:D,
    MATCH(1,
      (ATTENDANCE_INPUT!A:A=A265) *
      (ATTENDANCE_INPUT!V:V=_xludf.MAXIFS(ATTENDANCE_INPUT!V:V, ATTENDANCE_INPUT!A:A, A265)),
      0)),
  "")</f>
        <v/>
      </c>
      <c r="G265" s="46" t="str">
        <f t="array" aca="1" ref="G265" ca="1">IFERROR(
  INDEX(ATTENDANCE_INPUT!E:E,
    MATCH(1,
      (ATTENDANCE_INPUT!A:A=A265) *
      (ATTENDANCE_INPUT!V:V=_xludf.MAXIFS(ATTENDANCE_INPUT!V:V, ATTENDANCE_INPUT!A:A, A265)),
      0)),
  "")</f>
        <v/>
      </c>
      <c r="H265" s="47" t="str">
        <f t="array" aca="1" ref="H265" ca="1">IF(ISNA(MATCH(A265,sheet2!A:A,0)),"⏳ Chưa test",IFERROR(INDEX(LEVEL_HELPER!A:A,MATCH(INDEX(sheet2!N:N,MATCH(A265,sheet2!A:A,0)),LEVEL_HELPER!B:B,0)),"⏳ Chưa test"))</f>
        <v>Pre-Intermediate</v>
      </c>
      <c r="I265" s="47" t="str">
        <f t="array" aca="1" ref="I265" ca="1">IF(ISNA(MATCH(A265,sheet2!A:A,0)),H265,IF(INDEX(sheet2!O:O,MATCH(A265,sheet2!A:A,0))&gt;0,IFERROR(INDEX(LEVEL_HELPER!A:A,MATCH(INDEX(sheet2!O:O,MATCH(A265,sheet2!A:A,0)),LEVEL_HELPER!B:B,0)),H265),H265))</f>
        <v>Pre-Intermediate</v>
      </c>
      <c r="J265" s="47" t="str">
        <f ca="1">IFERROR(_xludf.MAXIFS(ATTENDANCE_LOG!F:F, ATTENDANCE_LOG!C:C, A265&amp;"", ATTENDANCE_LOG!G:G, "Present"), "")</f>
        <v/>
      </c>
      <c r="K265" s="48" t="str">
        <f t="shared" ca="1" si="28"/>
        <v/>
      </c>
      <c r="L265" s="49" t="str">
        <f t="shared" ca="1" si="29"/>
        <v/>
      </c>
      <c r="M265" s="36" t="s">
        <v>34</v>
      </c>
      <c r="N265" s="50" t="s">
        <v>35</v>
      </c>
      <c r="O265" s="64"/>
      <c r="P265" s="36"/>
      <c r="Q265" s="36"/>
      <c r="R265" s="36"/>
      <c r="S265" s="36"/>
      <c r="T265" s="36"/>
      <c r="U265" s="36"/>
      <c r="V265" s="36"/>
      <c r="W265" s="59"/>
      <c r="X265" s="59"/>
      <c r="Y265" s="59"/>
    </row>
    <row r="266" spans="1:25" ht="15.75" customHeight="1">
      <c r="A266" s="42" t="s">
        <v>677</v>
      </c>
      <c r="B266" s="43" t="s">
        <v>678</v>
      </c>
      <c r="C266" s="44" t="str">
        <f ca="1">IFERROR(__xludf.DUMMYFUNCTION("arrayformula(VLOOKUP(to_Text(A266),to_Text(sheet2!$A$1:M1002),13,0))"),"CHORUS")</f>
        <v>CHORUS</v>
      </c>
      <c r="D266" s="45" t="str">
        <f ca="1">IFERROR(__xludf.DUMMYFUNCTION("arrayformula(VLOOKUP(to_Text(A266),to_Text(sheet2!$A$1:M1002),12,0))"),"DEV")</f>
        <v>DEV</v>
      </c>
      <c r="E266" s="43" t="s">
        <v>16</v>
      </c>
      <c r="F266" s="42" t="str">
        <f t="array" aca="1" ref="F266" ca="1">IFERROR(
  INDEX(ATTENDANCE_INPUT!D:D,
    MATCH(1,
      (ATTENDANCE_INPUT!A:A=A266) *
      (ATTENDANCE_INPUT!V:V=_xludf.MAXIFS(ATTENDANCE_INPUT!V:V, ATTENDANCE_INPUT!A:A, A266)),
      0)),
  "")</f>
        <v/>
      </c>
      <c r="G266" s="46" t="str">
        <f t="array" aca="1" ref="G266" ca="1">IFERROR(
  INDEX(ATTENDANCE_INPUT!E:E,
    MATCH(1,
      (ATTENDANCE_INPUT!A:A=A266) *
      (ATTENDANCE_INPUT!V:V=_xludf.MAXIFS(ATTENDANCE_INPUT!V:V, ATTENDANCE_INPUT!A:A, A266)),
      0)),
  "")</f>
        <v/>
      </c>
      <c r="H266" s="47" t="str">
        <f t="array" aca="1" ref="H266" ca="1">IF(ISNA(MATCH(A266,sheet2!A:A,0)),"⏳ Chưa test",IFERROR(INDEX(LEVEL_HELPER!A:A,MATCH(INDEX(sheet2!N:N,MATCH(A266,sheet2!A:A,0)),LEVEL_HELPER!B:B,0)),"⏳ Chưa test"))</f>
        <v>Beginner</v>
      </c>
      <c r="I266" s="47" t="str">
        <f t="array" aca="1" ref="I266" ca="1">IF(ISNA(MATCH(A266,sheet2!A:A,0)),H266,IF(INDEX(sheet2!O:O,MATCH(A266,sheet2!A:A,0))&gt;0,IFERROR(INDEX(LEVEL_HELPER!A:A,MATCH(INDEX(sheet2!O:O,MATCH(A266,sheet2!A:A,0)),LEVEL_HELPER!B:B,0)),H266),H266))</f>
        <v>Beginner</v>
      </c>
      <c r="J266" s="47" t="str">
        <f ca="1">IFERROR(_xludf.MAXIFS(ATTENDANCE_LOG!F:F, ATTENDANCE_LOG!C:C, A266&amp;"", ATTENDANCE_LOG!G:G, "Present"), "")</f>
        <v/>
      </c>
      <c r="K266" s="48" t="str">
        <f t="shared" ca="1" si="28"/>
        <v/>
      </c>
      <c r="L266" s="49" t="str">
        <f t="shared" ca="1" si="29"/>
        <v/>
      </c>
      <c r="M266" s="36" t="s">
        <v>34</v>
      </c>
      <c r="N266" s="50" t="s">
        <v>33</v>
      </c>
      <c r="O266" s="36"/>
      <c r="P266" s="36"/>
      <c r="Q266" s="36"/>
      <c r="R266" s="36">
        <v>183411</v>
      </c>
      <c r="S266" s="36" t="s">
        <v>172</v>
      </c>
      <c r="T266" s="36" t="s">
        <v>39</v>
      </c>
      <c r="U266" s="36" t="e">
        <v>#N/A</v>
      </c>
      <c r="V266" s="36"/>
      <c r="W266" s="59"/>
      <c r="X266" s="59"/>
      <c r="Y266" s="59"/>
    </row>
    <row r="267" spans="1:25" ht="15.75" customHeight="1">
      <c r="A267" s="42" t="s">
        <v>679</v>
      </c>
      <c r="B267" s="43" t="s">
        <v>680</v>
      </c>
      <c r="C267" s="44" t="str">
        <f ca="1">IFERROR(__xludf.DUMMYFUNCTION("arrayformula(VLOOKUP(to_Text(A267),to_Text(sheet2!$A$1:M1002),13,0))"),"MOC")</f>
        <v>MOC</v>
      </c>
      <c r="D267" s="45" t="str">
        <f ca="1">IFERROR(__xludf.DUMMYFUNCTION("arrayformula(VLOOKUP(to_Text(A267),to_Text(sheet2!$A$1:M1002),12,0))"),"DEV")</f>
        <v>DEV</v>
      </c>
      <c r="E267" s="43" t="str">
        <f ca="1">IF(L267="⚠ Possibly Dropped","Inactive","Active")</f>
        <v>Active</v>
      </c>
      <c r="F267" s="42" t="str">
        <f t="array" aca="1" ref="F267" ca="1">IFERROR(
  INDEX(ATTENDANCE_INPUT!D:D,
    MATCH(1,
      (ATTENDANCE_INPUT!A:A=A267) *
      (ATTENDANCE_INPUT!V:V=_xludf.MAXIFS(ATTENDANCE_INPUT!V:V, ATTENDANCE_INPUT!A:A, A267)),
      0)),
  "")</f>
        <v/>
      </c>
      <c r="G267" s="46" t="str">
        <f t="array" aca="1" ref="G267" ca="1">IFERROR(
  INDEX(ATTENDANCE_INPUT!E:E,
    MATCH(1,
      (ATTENDANCE_INPUT!A:A=A267) *
      (ATTENDANCE_INPUT!V:V=_xludf.MAXIFS(ATTENDANCE_INPUT!V:V, ATTENDANCE_INPUT!A:A, A267)),
      0)),
  "")</f>
        <v/>
      </c>
      <c r="H267" s="47" t="str">
        <f t="array" aca="1" ref="H267" ca="1">IF(ISNA(MATCH(A267,sheet2!A:A,0)),"⏳ Chưa test",IFERROR(INDEX(LEVEL_HELPER!A:A,MATCH(INDEX(sheet2!N:N,MATCH(A267,sheet2!A:A,0)),LEVEL_HELPER!B:B,0)),"⏳ Chưa test"))</f>
        <v>Foundation</v>
      </c>
      <c r="I267" s="47" t="str">
        <f t="array" aca="1" ref="I267" ca="1">IF(ISNA(MATCH(A267,sheet2!A:A,0)),H267,IF(INDEX(sheet2!O:O,MATCH(A267,sheet2!A:A,0))&gt;0,IFERROR(INDEX(LEVEL_HELPER!A:A,MATCH(INDEX(sheet2!O:O,MATCH(A267,sheet2!A:A,0)),LEVEL_HELPER!B:B,0)),H267),H267))</f>
        <v>Foundation</v>
      </c>
      <c r="J267" s="47" t="str">
        <f ca="1">IFERROR(_xludf.MAXIFS(ATTENDANCE_LOG!F:F, ATTENDANCE_LOG!C:C, A267&amp;"", ATTENDANCE_LOG!G:G, "Present"), "")</f>
        <v/>
      </c>
      <c r="K267" s="48" t="str">
        <f t="shared" ca="1" si="28"/>
        <v/>
      </c>
      <c r="L267" s="49" t="str">
        <f t="shared" ca="1" si="29"/>
        <v/>
      </c>
      <c r="M267" s="36" t="s">
        <v>34</v>
      </c>
      <c r="N267" s="50" t="s">
        <v>35</v>
      </c>
      <c r="O267" s="36"/>
      <c r="P267" s="36"/>
      <c r="Q267" s="36"/>
      <c r="R267" s="36"/>
      <c r="S267" s="36"/>
      <c r="T267" s="36"/>
      <c r="U267" s="36"/>
      <c r="V267" s="36"/>
      <c r="W267" s="59"/>
      <c r="X267" s="59"/>
      <c r="Y267" s="59"/>
    </row>
    <row r="268" spans="1:25" ht="15.75" customHeight="1">
      <c r="A268" s="42" t="s">
        <v>681</v>
      </c>
      <c r="B268" s="43" t="s">
        <v>682</v>
      </c>
      <c r="C268" s="44" t="str">
        <f ca="1">IFERROR(__xludf.DUMMYFUNCTION("arrayformula(VLOOKUP(to_Text(A268),to_Text(sheet2!$A$1:M1002),13,0))"),"MOC")</f>
        <v>MOC</v>
      </c>
      <c r="D268" s="45" t="str">
        <f ca="1">IFERROR(__xludf.DUMMYFUNCTION("arrayformula(VLOOKUP(to_Text(A268),to_Text(sheet2!$A$1:M1002),12,0))"),"DEV")</f>
        <v>DEV</v>
      </c>
      <c r="E268" s="43" t="s">
        <v>16</v>
      </c>
      <c r="F268" s="42" t="str">
        <f t="array" aca="1" ref="F268" ca="1">IFERROR(
  INDEX(ATTENDANCE_INPUT!D:D,
    MATCH(1,
      (ATTENDANCE_INPUT!A:A=A268) *
      (ATTENDANCE_INPUT!V:V=_xludf.MAXIFS(ATTENDANCE_INPUT!V:V, ATTENDANCE_INPUT!A:A, A268)),
      0)),
  "")</f>
        <v/>
      </c>
      <c r="G268" s="46" t="str">
        <f t="array" aca="1" ref="G268" ca="1">IFERROR(
  INDEX(ATTENDANCE_INPUT!E:E,
    MATCH(1,
      (ATTENDANCE_INPUT!A:A=A268) *
      (ATTENDANCE_INPUT!V:V=_xludf.MAXIFS(ATTENDANCE_INPUT!V:V, ATTENDANCE_INPUT!A:A, A268)),
      0)),
  "")</f>
        <v/>
      </c>
      <c r="H268" s="47" t="str">
        <f t="array" aca="1" ref="H268" ca="1">IF(ISNA(MATCH(A268,sheet2!A:A,0)),"⏳ Chưa test",IFERROR(INDEX(LEVEL_HELPER!A:A,MATCH(INDEX(sheet2!N:N,MATCH(A268,sheet2!A:A,0)),LEVEL_HELPER!B:B,0)),"⏳ Chưa test"))</f>
        <v>Beginner</v>
      </c>
      <c r="I268" s="47" t="str">
        <f t="array" aca="1" ref="I268" ca="1">IF(ISNA(MATCH(A268,sheet2!A:A,0)),H268,IF(INDEX(sheet2!O:O,MATCH(A268,sheet2!A:A,0))&gt;0,IFERROR(INDEX(LEVEL_HELPER!A:A,MATCH(INDEX(sheet2!O:O,MATCH(A268,sheet2!A:A,0)),LEVEL_HELPER!B:B,0)),H268),H268))</f>
        <v>Beginner</v>
      </c>
      <c r="J268" s="47" t="str">
        <f ca="1">IFERROR(_xludf.MAXIFS(ATTENDANCE_LOG!F:F, ATTENDANCE_LOG!C:C, A268&amp;"", ATTENDANCE_LOG!G:G, "Present"), "")</f>
        <v/>
      </c>
      <c r="K268" s="48" t="str">
        <f t="shared" ca="1" si="28"/>
        <v/>
      </c>
      <c r="L268" s="49" t="str">
        <f t="shared" ca="1" si="29"/>
        <v/>
      </c>
      <c r="M268" s="36" t="s">
        <v>34</v>
      </c>
      <c r="N268" s="50" t="s">
        <v>35</v>
      </c>
      <c r="O268" s="64"/>
      <c r="P268" s="36"/>
      <c r="Q268" s="36"/>
      <c r="R268" s="36"/>
      <c r="S268" s="36"/>
      <c r="T268" s="36"/>
      <c r="U268" s="36"/>
      <c r="V268" s="36"/>
      <c r="W268" s="59"/>
      <c r="X268" s="59"/>
      <c r="Y268" s="59"/>
    </row>
    <row r="269" spans="1:25" ht="15.75" customHeight="1">
      <c r="A269" s="42" t="s">
        <v>683</v>
      </c>
      <c r="B269" s="43" t="s">
        <v>684</v>
      </c>
      <c r="C269" s="44" t="str">
        <f ca="1">IFERROR(__xludf.DUMMYFUNCTION("arrayformula(VLOOKUP(to_Text(A269),to_Text(sheet2!$A$1:M1002),13,0))"),"POC")</f>
        <v>POC</v>
      </c>
      <c r="D269" s="45" t="str">
        <f ca="1">IFERROR(__xludf.DUMMYFUNCTION("arrayformula(VLOOKUP(to_Text(A269),to_Text(sheet2!$A$1:M1002),12,0))"),"DEV")</f>
        <v>DEV</v>
      </c>
      <c r="E269" s="43" t="str">
        <f ca="1">IF(L269="⚠ Possibly Dropped","Inactive","Active")</f>
        <v>Active</v>
      </c>
      <c r="F269" s="42" t="str">
        <f t="array" aca="1" ref="F269" ca="1">IFERROR(
  INDEX(ATTENDANCE_INPUT!D:D,
    MATCH(1,
      (ATTENDANCE_INPUT!A:A=A269) *
      (ATTENDANCE_INPUT!V:V=_xludf.MAXIFS(ATTENDANCE_INPUT!V:V, ATTENDANCE_INPUT!A:A, A269)),
      0)),
  "")</f>
        <v/>
      </c>
      <c r="G269" s="46" t="str">
        <f t="array" aca="1" ref="G269" ca="1">IFERROR(
  INDEX(ATTENDANCE_INPUT!E:E,
    MATCH(1,
      (ATTENDANCE_INPUT!A:A=A269) *
      (ATTENDANCE_INPUT!V:V=_xludf.MAXIFS(ATTENDANCE_INPUT!V:V, ATTENDANCE_INPUT!A:A, A269)),
      0)),
  "")</f>
        <v/>
      </c>
      <c r="H269" s="47" t="str">
        <f t="array" aca="1" ref="H269" ca="1">IF(ISNA(MATCH(A269,sheet2!A:A,0)),"⏳ Chưa test",IFERROR(INDEX(LEVEL_HELPER!A:A,MATCH(INDEX(sheet2!N:N,MATCH(A269,sheet2!A:A,0)),LEVEL_HELPER!B:B,0)),"⏳ Chưa test"))</f>
        <v>Beginner</v>
      </c>
      <c r="I269" s="47" t="str">
        <f t="array" aca="1" ref="I269" ca="1">IF(ISNA(MATCH(A269,sheet2!A:A,0)),H269,IF(INDEX(sheet2!O:O,MATCH(A269,sheet2!A:A,0))&gt;0,IFERROR(INDEX(LEVEL_HELPER!A:A,MATCH(INDEX(sheet2!O:O,MATCH(A269,sheet2!A:A,0)),LEVEL_HELPER!B:B,0)),H269),H269))</f>
        <v>Beginner</v>
      </c>
      <c r="J269" s="47" t="str">
        <f ca="1">IFERROR(_xludf.MAXIFS(ATTENDANCE_LOG!F:F, ATTENDANCE_LOG!C:C, A269&amp;"", ATTENDANCE_LOG!G:G, "Present"), "")</f>
        <v/>
      </c>
      <c r="K269" s="48" t="str">
        <f t="shared" ca="1" si="28"/>
        <v/>
      </c>
      <c r="L269" s="49" t="str">
        <f t="shared" ca="1" si="29"/>
        <v/>
      </c>
      <c r="M269" s="36"/>
      <c r="N269" s="50"/>
      <c r="O269" s="36"/>
      <c r="P269" s="36"/>
      <c r="Q269" s="36"/>
      <c r="R269" s="36"/>
      <c r="S269" s="36"/>
      <c r="T269" s="36"/>
      <c r="U269" s="36"/>
      <c r="V269" s="36"/>
      <c r="W269" s="59"/>
      <c r="X269" s="59"/>
      <c r="Y269" s="59"/>
    </row>
    <row r="270" spans="1:25" ht="15.75" customHeight="1">
      <c r="A270" s="42" t="s">
        <v>685</v>
      </c>
      <c r="B270" s="43" t="s">
        <v>686</v>
      </c>
      <c r="C270" s="44" t="str">
        <f ca="1">IFERROR(__xludf.DUMMYFUNCTION("arrayformula(VLOOKUP(to_Text(A270),to_Text(sheet2!$A$1:M1002),13,0))"),"LBU")</f>
        <v>LBU</v>
      </c>
      <c r="D270" s="45" t="str">
        <f ca="1">IFERROR(__xludf.DUMMYFUNCTION("arrayformula(VLOOKUP(to_Text(A270),to_Text(sheet2!$A$1:M1002),12,0))"),"DEV")</f>
        <v>DEV</v>
      </c>
      <c r="E270" s="43" t="s">
        <v>16</v>
      </c>
      <c r="F270" s="42" t="str">
        <f t="array" aca="1" ref="F270" ca="1">IFERROR(
  INDEX(ATTENDANCE_INPUT!D:D,
    MATCH(1,
      (ATTENDANCE_INPUT!A:A=A270) *
      (ATTENDANCE_INPUT!V:V=_xludf.MAXIFS(ATTENDANCE_INPUT!V:V, ATTENDANCE_INPUT!A:A, A270)),
      0)),
  "")</f>
        <v/>
      </c>
      <c r="G270" s="46" t="str">
        <f t="array" aca="1" ref="G270" ca="1">IFERROR(
  INDEX(ATTENDANCE_INPUT!E:E,
    MATCH(1,
      (ATTENDANCE_INPUT!A:A=A270) *
      (ATTENDANCE_INPUT!V:V=_xludf.MAXIFS(ATTENDANCE_INPUT!V:V, ATTENDANCE_INPUT!A:A, A270)),
      0)),
  "")</f>
        <v/>
      </c>
      <c r="H270" s="47" t="str">
        <f t="array" aca="1" ref="H270" ca="1">IF(ISNA(MATCH(A270,sheet2!A:A,0)),"⏳ Chưa test",IFERROR(INDEX(LEVEL_HELPER!A:A,MATCH(INDEX(sheet2!N:N,MATCH(A270,sheet2!A:A,0)),LEVEL_HELPER!B:B,0)),"⏳ Chưa test"))</f>
        <v>Beginner</v>
      </c>
      <c r="I270" s="47" t="str">
        <f t="array" aca="1" ref="I270" ca="1">IF(ISNA(MATCH(A270,sheet2!A:A,0)),H270,IF(INDEX(sheet2!O:O,MATCH(A270,sheet2!A:A,0))&gt;0,IFERROR(INDEX(LEVEL_HELPER!A:A,MATCH(INDEX(sheet2!O:O,MATCH(A270,sheet2!A:A,0)),LEVEL_HELPER!B:B,0)),H270),H270))</f>
        <v>Beginner</v>
      </c>
      <c r="J270" s="47" t="str">
        <f ca="1">IFERROR(_xludf.MAXIFS(ATTENDANCE_LOG!F:F, ATTENDANCE_LOG!C:C, A270&amp;"", ATTENDANCE_LOG!G:G, "Present"), "")</f>
        <v/>
      </c>
      <c r="K270" s="48" t="str">
        <f t="shared" ca="1" si="28"/>
        <v/>
      </c>
      <c r="L270" s="49" t="str">
        <f t="shared" ca="1" si="29"/>
        <v/>
      </c>
      <c r="M270" s="36" t="s">
        <v>36</v>
      </c>
      <c r="N270" s="50" t="s">
        <v>33</v>
      </c>
      <c r="O270" s="36" t="s">
        <v>367</v>
      </c>
      <c r="P270" s="36"/>
      <c r="Q270" s="36"/>
      <c r="R270" s="36"/>
      <c r="S270" s="36"/>
      <c r="T270" s="36"/>
      <c r="U270" s="36"/>
      <c r="V270" s="36"/>
      <c r="W270" s="59"/>
      <c r="X270" s="59"/>
      <c r="Y270" s="59"/>
    </row>
    <row r="271" spans="1:25" ht="15.75" customHeight="1">
      <c r="A271" s="42" t="s">
        <v>687</v>
      </c>
      <c r="B271" s="43" t="s">
        <v>688</v>
      </c>
      <c r="C271" s="44" t="str">
        <f ca="1">IFERROR(__xludf.DUMMYFUNCTION("arrayformula(VLOOKUP(to_Text(A271),to_Text(sheet2!$A$1:M1002),13,0))"),"CHORUS")</f>
        <v>CHORUS</v>
      </c>
      <c r="D271" s="45" t="str">
        <f ca="1">IFERROR(__xludf.DUMMYFUNCTION("arrayformula(VLOOKUP(to_Text(A271),to_Text(sheet2!$A$1:M1002),12,0))"),"DEV")</f>
        <v>DEV</v>
      </c>
      <c r="E271" s="43" t="s">
        <v>16</v>
      </c>
      <c r="F271" s="42" t="str">
        <f t="array" aca="1" ref="F271" ca="1">IFERROR(
  INDEX(ATTENDANCE_INPUT!D:D,
    MATCH(1,
      (ATTENDANCE_INPUT!A:A=A271) *
      (ATTENDANCE_INPUT!V:V=_xludf.MAXIFS(ATTENDANCE_INPUT!V:V, ATTENDANCE_INPUT!A:A, A271)),
      0)),
  "")</f>
        <v/>
      </c>
      <c r="G271" s="46" t="str">
        <f t="array" aca="1" ref="G271" ca="1">IFERROR(
  INDEX(ATTENDANCE_INPUT!E:E,
    MATCH(1,
      (ATTENDANCE_INPUT!A:A=A271) *
      (ATTENDANCE_INPUT!V:V=_xludf.MAXIFS(ATTENDANCE_INPUT!V:V, ATTENDANCE_INPUT!A:A, A271)),
      0)),
  "")</f>
        <v/>
      </c>
      <c r="H271" s="47" t="str">
        <f t="array" aca="1" ref="H271" ca="1">IF(ISNA(MATCH(A271,sheet2!A:A,0)),"⏳ Chưa test",IFERROR(INDEX(LEVEL_HELPER!A:A,MATCH(INDEX(sheet2!N:N,MATCH(A271,sheet2!A:A,0)),LEVEL_HELPER!B:B,0)),"⏳ Chưa test"))</f>
        <v>Beginner</v>
      </c>
      <c r="I271" s="47" t="str">
        <f t="array" aca="1" ref="I271" ca="1">IF(ISNA(MATCH(A271,sheet2!A:A,0)),H271,IF(INDEX(sheet2!O:O,MATCH(A271,sheet2!A:A,0))&gt;0,IFERROR(INDEX(LEVEL_HELPER!A:A,MATCH(INDEX(sheet2!O:O,MATCH(A271,sheet2!A:A,0)),LEVEL_HELPER!B:B,0)),H271),H271))</f>
        <v>Beginner</v>
      </c>
      <c r="J271" s="47" t="str">
        <f ca="1">IFERROR(_xludf.MAXIFS(ATTENDANCE_LOG!F:F, ATTENDANCE_LOG!C:C, A271&amp;"", ATTENDANCE_LOG!G:G, "Present"), "")</f>
        <v/>
      </c>
      <c r="K271" s="48" t="str">
        <f t="shared" ca="1" si="28"/>
        <v/>
      </c>
      <c r="L271" s="49" t="str">
        <f t="shared" ca="1" si="29"/>
        <v/>
      </c>
      <c r="M271" s="36" t="s">
        <v>34</v>
      </c>
      <c r="N271" s="50" t="s">
        <v>33</v>
      </c>
      <c r="O271" s="36"/>
      <c r="P271" s="36"/>
      <c r="Q271" s="36"/>
      <c r="R271" s="36">
        <v>237259</v>
      </c>
      <c r="S271" s="36" t="s">
        <v>121</v>
      </c>
      <c r="T271" s="36" t="s">
        <v>122</v>
      </c>
      <c r="U271" s="36" t="e">
        <v>#N/A</v>
      </c>
      <c r="V271" s="36"/>
      <c r="W271" s="59"/>
      <c r="X271" s="59"/>
      <c r="Y271" s="59"/>
    </row>
    <row r="272" spans="1:25" ht="15.75" customHeight="1">
      <c r="A272" s="42" t="s">
        <v>689</v>
      </c>
      <c r="B272" s="43" t="s">
        <v>690</v>
      </c>
      <c r="C272" s="44" t="str">
        <f ca="1">IFERROR(__xludf.DUMMYFUNCTION("arrayformula(VLOOKUP(to_Text(A272),to_Text(sheet2!$A$1:M1002),13,0))"),"CHORUS")</f>
        <v>CHORUS</v>
      </c>
      <c r="D272" s="45" t="str">
        <f ca="1">IFERROR(__xludf.DUMMYFUNCTION("arrayformula(VLOOKUP(to_Text(A272),to_Text(sheet2!$A$1:M1002),12,0))"),"TA")</f>
        <v>TA</v>
      </c>
      <c r="E272" s="43" t="s">
        <v>16</v>
      </c>
      <c r="F272" s="42" t="str">
        <f t="array" aca="1" ref="F272" ca="1">IFERROR(
  INDEX(ATTENDANCE_INPUT!D:D,
    MATCH(1,
      (ATTENDANCE_INPUT!A:A=A272) *
      (ATTENDANCE_INPUT!V:V=_xludf.MAXIFS(ATTENDANCE_INPUT!V:V, ATTENDANCE_INPUT!A:A, A272)),
      0)),
  "")</f>
        <v/>
      </c>
      <c r="G272" s="46" t="str">
        <f t="array" aca="1" ref="G272" ca="1">IFERROR(
  INDEX(ATTENDANCE_INPUT!E:E,
    MATCH(1,
      (ATTENDANCE_INPUT!A:A=A272) *
      (ATTENDANCE_INPUT!V:V=_xludf.MAXIFS(ATTENDANCE_INPUT!V:V, ATTENDANCE_INPUT!A:A, A272)),
      0)),
  "")</f>
        <v/>
      </c>
      <c r="H272" s="47" t="str">
        <f t="array" aca="1" ref="H272" ca="1">IF(ISNA(MATCH(A272,sheet2!A:A,0)),"⏳ Chưa test",IFERROR(INDEX(LEVEL_HELPER!A:A,MATCH(INDEX(sheet2!N:N,MATCH(A272,sheet2!A:A,0)),LEVEL_HELPER!B:B,0)),"⏳ Chưa test"))</f>
        <v>Beginner</v>
      </c>
      <c r="I272" s="47" t="str">
        <f t="array" aca="1" ref="I272" ca="1">IF(ISNA(MATCH(A272,sheet2!A:A,0)),H272,IF(INDEX(sheet2!O:O,MATCH(A272,sheet2!A:A,0))&gt;0,IFERROR(INDEX(LEVEL_HELPER!A:A,MATCH(INDEX(sheet2!O:O,MATCH(A272,sheet2!A:A,0)),LEVEL_HELPER!B:B,0)),H272),H272))</f>
        <v>Beginner</v>
      </c>
      <c r="J272" s="47" t="str">
        <f ca="1">IFERROR(_xludf.MAXIFS(ATTENDANCE_LOG!F:F, ATTENDANCE_LOG!C:C, A272&amp;"", ATTENDANCE_LOG!G:G, "Present"), "")</f>
        <v/>
      </c>
      <c r="K272" s="48" t="str">
        <f t="shared" ca="1" si="28"/>
        <v/>
      </c>
      <c r="L272" s="49" t="str">
        <f t="shared" ca="1" si="29"/>
        <v/>
      </c>
      <c r="M272" s="36" t="s">
        <v>36</v>
      </c>
      <c r="N272" s="50" t="s">
        <v>33</v>
      </c>
      <c r="O272" s="36"/>
      <c r="P272" s="36"/>
      <c r="Q272" s="36"/>
      <c r="R272" s="36"/>
      <c r="S272" s="36"/>
      <c r="T272" s="36"/>
      <c r="U272" s="36"/>
      <c r="V272" s="36"/>
      <c r="W272" s="59"/>
      <c r="X272" s="59"/>
      <c r="Y272" s="59"/>
    </row>
    <row r="273" spans="1:25" ht="15.75" customHeight="1">
      <c r="A273" s="42" t="s">
        <v>691</v>
      </c>
      <c r="B273" s="43" t="s">
        <v>692</v>
      </c>
      <c r="C273" s="44" t="str">
        <f ca="1">IFERROR(__xludf.DUMMYFUNCTION("arrayformula(VLOOKUP(to_Text(A273),to_Text(sheet2!$A$1:M1002),13,0))"),"MOC")</f>
        <v>MOC</v>
      </c>
      <c r="D273" s="45" t="str">
        <f ca="1">IFERROR(__xludf.DUMMYFUNCTION("arrayformula(VLOOKUP(to_Text(A273),to_Text(sheet2!$A$1:M1002),12,0))"),"DEV")</f>
        <v>DEV</v>
      </c>
      <c r="E273" s="43" t="str">
        <f ca="1">IF(L273="⚠ Possibly Dropped","Inactive","Active")</f>
        <v>Active</v>
      </c>
      <c r="F273" s="42" t="str">
        <f t="array" aca="1" ref="F273" ca="1">IFERROR(
  INDEX(ATTENDANCE_INPUT!D:D,
    MATCH(1,
      (ATTENDANCE_INPUT!A:A=A273) *
      (ATTENDANCE_INPUT!V:V=_xludf.MAXIFS(ATTENDANCE_INPUT!V:V, ATTENDANCE_INPUT!A:A, A273)),
      0)),
  "")</f>
        <v/>
      </c>
      <c r="G273" s="46" t="str">
        <f t="array" aca="1" ref="G273" ca="1">IFERROR(
  INDEX(ATTENDANCE_INPUT!E:E,
    MATCH(1,
      (ATTENDANCE_INPUT!A:A=A273) *
      (ATTENDANCE_INPUT!V:V=_xludf.MAXIFS(ATTENDANCE_INPUT!V:V, ATTENDANCE_INPUT!A:A, A273)),
      0)),
  "")</f>
        <v/>
      </c>
      <c r="H273" s="47" t="str">
        <f t="array" aca="1" ref="H273" ca="1">IF(ISNA(MATCH(A273,sheet2!A:A,0)),"⏳ Chưa test",IFERROR(INDEX(LEVEL_HELPER!A:A,MATCH(INDEX(sheet2!N:N,MATCH(A273,sheet2!A:A,0)),LEVEL_HELPER!B:B,0)),"⏳ Chưa test"))</f>
        <v>Foundation</v>
      </c>
      <c r="I273" s="47" t="str">
        <f t="array" aca="1" ref="I273" ca="1">IF(ISNA(MATCH(A273,sheet2!A:A,0)),H273,IF(INDEX(sheet2!O:O,MATCH(A273,sheet2!A:A,0))&gt;0,IFERROR(INDEX(LEVEL_HELPER!A:A,MATCH(INDEX(sheet2!O:O,MATCH(A273,sheet2!A:A,0)),LEVEL_HELPER!B:B,0)),H273),H273))</f>
        <v>Foundation</v>
      </c>
      <c r="J273" s="47" t="str">
        <f ca="1">IFERROR(_xludf.MAXIFS(ATTENDANCE_LOG!F:F, ATTENDANCE_LOG!C:C, A273&amp;"", ATTENDANCE_LOG!G:G, "Present"), "")</f>
        <v/>
      </c>
      <c r="K273" s="48" t="str">
        <f t="shared" ca="1" si="28"/>
        <v/>
      </c>
      <c r="L273" s="49" t="str">
        <f t="shared" ca="1" si="29"/>
        <v/>
      </c>
      <c r="M273" s="36"/>
      <c r="N273" s="50"/>
      <c r="O273" s="36"/>
      <c r="P273" s="36"/>
      <c r="Q273" s="36"/>
      <c r="R273" s="36"/>
      <c r="S273" s="36"/>
      <c r="T273" s="36"/>
      <c r="U273" s="36"/>
      <c r="V273" s="36"/>
      <c r="W273" s="59"/>
      <c r="X273" s="59"/>
      <c r="Y273" s="59"/>
    </row>
    <row r="274" spans="1:25" ht="15.75" customHeight="1">
      <c r="A274" s="42" t="s">
        <v>693</v>
      </c>
      <c r="B274" s="43" t="s">
        <v>694</v>
      </c>
      <c r="C274" s="44" t="str">
        <f ca="1">IFERROR(__xludf.DUMMYFUNCTION("arrayformula(VLOOKUP(to_Text(A274),to_Text(sheet2!$A$1:M1002),13,0))"),"MOC")</f>
        <v>MOC</v>
      </c>
      <c r="D274" s="45" t="str">
        <f ca="1">IFERROR(__xludf.DUMMYFUNCTION("arrayformula(VLOOKUP(to_Text(A274),to_Text(sheet2!$A$1:M1002),12,0))"),"DEV")</f>
        <v>DEV</v>
      </c>
      <c r="E274" s="43" t="s">
        <v>16</v>
      </c>
      <c r="F274" s="42" t="str">
        <f t="array" aca="1" ref="F274" ca="1">IFERROR(
  INDEX(ATTENDANCE_INPUT!D:D,
    MATCH(1,
      (ATTENDANCE_INPUT!A:A=A274) *
      (ATTENDANCE_INPUT!V:V=_xludf.MAXIFS(ATTENDANCE_INPUT!V:V, ATTENDANCE_INPUT!A:A, A274)),
      0)),
  "")</f>
        <v/>
      </c>
      <c r="G274" s="46" t="str">
        <f t="array" aca="1" ref="G274" ca="1">IFERROR(
  INDEX(ATTENDANCE_INPUT!E:E,
    MATCH(1,
      (ATTENDANCE_INPUT!A:A=A274) *
      (ATTENDANCE_INPUT!V:V=_xludf.MAXIFS(ATTENDANCE_INPUT!V:V, ATTENDANCE_INPUT!A:A, A274)),
      0)),
  "")</f>
        <v/>
      </c>
      <c r="H274" s="47" t="str">
        <f t="array" aca="1" ref="H274" ca="1">IF(ISNA(MATCH(A274,sheet2!A:A,0)),"⏳ Chưa test",IFERROR(INDEX(LEVEL_HELPER!A:A,MATCH(INDEX(sheet2!N:N,MATCH(A274,sheet2!A:A,0)),LEVEL_HELPER!B:B,0)),"⏳ Chưa test"))</f>
        <v>Beginner</v>
      </c>
      <c r="I274" s="47" t="str">
        <f t="array" aca="1" ref="I274" ca="1">IF(ISNA(MATCH(A274,sheet2!A:A,0)),H274,IF(INDEX(sheet2!O:O,MATCH(A274,sheet2!A:A,0))&gt;0,IFERROR(INDEX(LEVEL_HELPER!A:A,MATCH(INDEX(sheet2!O:O,MATCH(A274,sheet2!A:A,0)),LEVEL_HELPER!B:B,0)),H274),H274))</f>
        <v>Beginner</v>
      </c>
      <c r="J274" s="47" t="str">
        <f ca="1">IFERROR(_xludf.MAXIFS(ATTENDANCE_LOG!F:F, ATTENDANCE_LOG!C:C, A274&amp;"", ATTENDANCE_LOG!G:G, "Present"), "")</f>
        <v/>
      </c>
      <c r="K274" s="48" t="str">
        <f t="shared" ca="1" si="28"/>
        <v/>
      </c>
      <c r="L274" s="49" t="str">
        <f t="shared" ca="1" si="29"/>
        <v/>
      </c>
      <c r="M274" s="36" t="s">
        <v>34</v>
      </c>
      <c r="N274" s="50" t="s">
        <v>37</v>
      </c>
      <c r="O274" s="36"/>
      <c r="P274" s="36"/>
      <c r="Q274" s="36"/>
      <c r="R274" s="36"/>
      <c r="S274" s="36"/>
      <c r="T274" s="36"/>
      <c r="U274" s="36"/>
      <c r="V274" s="36"/>
      <c r="W274" s="59"/>
      <c r="X274" s="59"/>
      <c r="Y274" s="59"/>
    </row>
    <row r="275" spans="1:25" ht="15.75" customHeight="1">
      <c r="A275" s="42" t="s">
        <v>695</v>
      </c>
      <c r="B275" s="43" t="s">
        <v>696</v>
      </c>
      <c r="C275" s="44" t="str">
        <f ca="1">IFERROR(__xludf.DUMMYFUNCTION("arrayformula(VLOOKUP(to_Text(A275),to_Text(sheet2!$A$1:M1002),13,0))"),"ONC")</f>
        <v>ONC</v>
      </c>
      <c r="D275" s="45" t="str">
        <f ca="1">IFERROR(__xludf.DUMMYFUNCTION("arrayformula(VLOOKUP(to_Text(A275),to_Text(sheet2!$A$1:M1002),12,0))"),"DEV")</f>
        <v>DEV</v>
      </c>
      <c r="E275" s="43" t="str">
        <f t="shared" ref="E275:E276" ca="1" si="31">IF(L275="⚠ Possibly Dropped","Inactive","Active")</f>
        <v>Active</v>
      </c>
      <c r="F275" s="42" t="str">
        <f t="array" aca="1" ref="F275" ca="1">IFERROR(
  INDEX(ATTENDANCE_INPUT!D:D,
    MATCH(1,
      (ATTENDANCE_INPUT!A:A=A275) *
      (ATTENDANCE_INPUT!V:V=_xludf.MAXIFS(ATTENDANCE_INPUT!V:V, ATTENDANCE_INPUT!A:A, A275)),
      0)),
  "")</f>
        <v/>
      </c>
      <c r="G275" s="46" t="str">
        <f t="array" aca="1" ref="G275" ca="1">IFERROR(
  INDEX(ATTENDANCE_INPUT!E:E,
    MATCH(1,
      (ATTENDANCE_INPUT!A:A=A275) *
      (ATTENDANCE_INPUT!V:V=_xludf.MAXIFS(ATTENDANCE_INPUT!V:V, ATTENDANCE_INPUT!A:A, A275)),
      0)),
  "")</f>
        <v/>
      </c>
      <c r="H275" s="47" t="str">
        <f t="array" aca="1" ref="H275" ca="1">IF(ISNA(MATCH(A275,sheet2!A:A,0)),"⏳ Chưa test",IFERROR(INDEX(LEVEL_HELPER!A:A,MATCH(INDEX(sheet2!N:N,MATCH(A275,sheet2!A:A,0)),LEVEL_HELPER!B:B,0)),"⏳ Chưa test"))</f>
        <v>⏳ Chưa test</v>
      </c>
      <c r="I275" s="47" t="str">
        <f t="array" aca="1" ref="I275" ca="1">IF(ISNA(MATCH(A275,sheet2!A:A,0)),H275,IF(INDEX(sheet2!O:O,MATCH(A275,sheet2!A:A,0))&gt;0,IFERROR(INDEX(LEVEL_HELPER!A:A,MATCH(INDEX(sheet2!O:O,MATCH(A275,sheet2!A:A,0)),LEVEL_HELPER!B:B,0)),H275),H275))</f>
        <v>⏳ Chưa test</v>
      </c>
      <c r="J275" s="47" t="str">
        <f ca="1">IFERROR(_xludf.MAXIFS(ATTENDANCE_LOG!F:F, ATTENDANCE_LOG!C:C, A275&amp;"", ATTENDANCE_LOG!G:G, "Present"), "")</f>
        <v/>
      </c>
      <c r="K275" s="48" t="str">
        <f t="shared" ca="1" si="28"/>
        <v/>
      </c>
      <c r="L275" s="49" t="str">
        <f t="shared" ca="1" si="29"/>
        <v/>
      </c>
      <c r="M275" s="36" t="s">
        <v>34</v>
      </c>
      <c r="N275" s="50" t="s">
        <v>42</v>
      </c>
      <c r="O275" s="36"/>
      <c r="P275" s="36"/>
      <c r="Q275" s="36"/>
      <c r="R275" s="36">
        <v>237137</v>
      </c>
      <c r="S275" s="36" t="s">
        <v>354</v>
      </c>
      <c r="T275" s="36" t="s">
        <v>179</v>
      </c>
      <c r="U275" s="36" t="e">
        <v>#N/A</v>
      </c>
      <c r="V275" s="36"/>
      <c r="W275" s="59"/>
      <c r="X275" s="59"/>
      <c r="Y275" s="59"/>
    </row>
    <row r="276" spans="1:25" ht="15.75" customHeight="1">
      <c r="A276" s="42" t="s">
        <v>697</v>
      </c>
      <c r="B276" s="43" t="s">
        <v>698</v>
      </c>
      <c r="C276" s="44" t="str">
        <f ca="1">IFERROR(__xludf.DUMMYFUNCTION("arrayformula(VLOOKUP(to_Text(A276),to_Text(sheet2!$A$1:M1002),13,0))"),"TBU")</f>
        <v>TBU</v>
      </c>
      <c r="D276" s="45" t="str">
        <f ca="1">IFERROR(__xludf.DUMMYFUNCTION("arrayformula(VLOOKUP(to_Text(A276),to_Text(sheet2!$A$1:M1002),12,0))"),"DEV")</f>
        <v>DEV</v>
      </c>
      <c r="E276" s="43" t="str">
        <f t="shared" ca="1" si="31"/>
        <v>Active</v>
      </c>
      <c r="F276" s="42" t="str">
        <f t="array" aca="1" ref="F276" ca="1">IFERROR(
  INDEX(ATTENDANCE_INPUT!D:D,
    MATCH(1,
      (ATTENDANCE_INPUT!A:A=A276) *
      (ATTENDANCE_INPUT!V:V=_xludf.MAXIFS(ATTENDANCE_INPUT!V:V, ATTENDANCE_INPUT!A:A, A276)),
      0)),
  "")</f>
        <v/>
      </c>
      <c r="G276" s="46" t="str">
        <f t="array" aca="1" ref="G276" ca="1">IFERROR(
  INDEX(ATTENDANCE_INPUT!E:E,
    MATCH(1,
      (ATTENDANCE_INPUT!A:A=A276) *
      (ATTENDANCE_INPUT!V:V=_xludf.MAXIFS(ATTENDANCE_INPUT!V:V, ATTENDANCE_INPUT!A:A, A276)),
      0)),
  "")</f>
        <v/>
      </c>
      <c r="H276" s="47" t="str">
        <f t="array" aca="1" ref="H276" ca="1">IF(ISNA(MATCH(A276,sheet2!A:A,0)),"⏳ Chưa test",IFERROR(INDEX(LEVEL_HELPER!A:A,MATCH(INDEX(sheet2!N:N,MATCH(A276,sheet2!A:A,0)),LEVEL_HELPER!B:B,0)),"⏳ Chưa test"))</f>
        <v>⏳ Chưa test</v>
      </c>
      <c r="I276" s="47" t="str">
        <f t="array" aca="1" ref="I276" ca="1">IF(ISNA(MATCH(A276,sheet2!A:A,0)),H276,IF(INDEX(sheet2!O:O,MATCH(A276,sheet2!A:A,0))&gt;0,IFERROR(INDEX(LEVEL_HELPER!A:A,MATCH(INDEX(sheet2!O:O,MATCH(A276,sheet2!A:A,0)),LEVEL_HELPER!B:B,0)),H276),H276))</f>
        <v>⏳ Chưa test</v>
      </c>
      <c r="J276" s="47" t="str">
        <f ca="1">IFERROR(_xludf.MAXIFS(ATTENDANCE_LOG!F:F, ATTENDANCE_LOG!C:C, A276&amp;"", ATTENDANCE_LOG!G:G, "Present"), "")</f>
        <v/>
      </c>
      <c r="K276" s="48" t="str">
        <f t="shared" ca="1" si="28"/>
        <v/>
      </c>
      <c r="L276" s="49" t="str">
        <f t="shared" ca="1" si="29"/>
        <v/>
      </c>
      <c r="M276" s="36" t="s">
        <v>36</v>
      </c>
      <c r="N276" s="50" t="s">
        <v>35</v>
      </c>
      <c r="O276" s="36"/>
      <c r="P276" s="36"/>
      <c r="Q276" s="36"/>
      <c r="R276" s="36"/>
      <c r="S276" s="36"/>
      <c r="T276" s="36"/>
      <c r="U276" s="36"/>
      <c r="V276" s="36"/>
      <c r="W276" s="59"/>
      <c r="X276" s="59"/>
      <c r="Y276" s="59"/>
    </row>
    <row r="277" spans="1:25" ht="15.75" customHeight="1">
      <c r="A277" s="42" t="s">
        <v>699</v>
      </c>
      <c r="B277" s="43" t="s">
        <v>700</v>
      </c>
      <c r="C277" s="44" t="str">
        <f ca="1">IFERROR(__xludf.DUMMYFUNCTION("arrayformula(VLOOKUP(to_Text(A277),to_Text(sheet2!$A$1:M1002),13,0))"),"LBU")</f>
        <v>LBU</v>
      </c>
      <c r="D277" s="45" t="str">
        <f ca="1">IFERROR(__xludf.DUMMYFUNCTION("arrayformula(VLOOKUP(to_Text(A277),to_Text(sheet2!$A$1:M1002),12,0))"),"QC")</f>
        <v>QC</v>
      </c>
      <c r="E277" s="43" t="s">
        <v>16</v>
      </c>
      <c r="F277" s="42" t="str">
        <f t="array" aca="1" ref="F277" ca="1">IFERROR(
  INDEX(ATTENDANCE_INPUT!D:D,
    MATCH(1,
      (ATTENDANCE_INPUT!A:A=A277) *
      (ATTENDANCE_INPUT!V:V=_xludf.MAXIFS(ATTENDANCE_INPUT!V:V, ATTENDANCE_INPUT!A:A, A277)),
      0)),
  "")</f>
        <v/>
      </c>
      <c r="G277" s="46" t="str">
        <f t="array" aca="1" ref="G277" ca="1">IFERROR(
  INDEX(ATTENDANCE_INPUT!E:E,
    MATCH(1,
      (ATTENDANCE_INPUT!A:A=A277) *
      (ATTENDANCE_INPUT!V:V=_xludf.MAXIFS(ATTENDANCE_INPUT!V:V, ATTENDANCE_INPUT!A:A, A277)),
      0)),
  "")</f>
        <v/>
      </c>
      <c r="H277" s="47" t="str">
        <f t="array" aca="1" ref="H277" ca="1">IF(ISNA(MATCH(A277,sheet2!A:A,0)),"⏳ Chưa test",IFERROR(INDEX(LEVEL_HELPER!A:A,MATCH(INDEX(sheet2!N:N,MATCH(A277,sheet2!A:A,0)),LEVEL_HELPER!B:B,0)),"⏳ Chưa test"))</f>
        <v>Pre-Intermediate</v>
      </c>
      <c r="I277" s="47" t="str">
        <f t="array" aca="1" ref="I277" ca="1">IF(ISNA(MATCH(A277,sheet2!A:A,0)),H277,IF(INDEX(sheet2!O:O,MATCH(A277,sheet2!A:A,0))&gt;0,IFERROR(INDEX(LEVEL_HELPER!A:A,MATCH(INDEX(sheet2!O:O,MATCH(A277,sheet2!A:A,0)),LEVEL_HELPER!B:B,0)),H277),H277))</f>
        <v>Pre-Intermediate</v>
      </c>
      <c r="J277" s="47" t="str">
        <f ca="1">IFERROR(_xludf.MAXIFS(ATTENDANCE_LOG!F:F, ATTENDANCE_LOG!C:C, A277&amp;"", ATTENDANCE_LOG!G:G, "Present"), "")</f>
        <v/>
      </c>
      <c r="K277" s="48" t="str">
        <f t="shared" ca="1" si="28"/>
        <v/>
      </c>
      <c r="L277" s="49" t="str">
        <f t="shared" ca="1" si="29"/>
        <v/>
      </c>
      <c r="M277" s="36" t="s">
        <v>36</v>
      </c>
      <c r="N277" s="50" t="s">
        <v>33</v>
      </c>
      <c r="O277" s="36"/>
      <c r="P277" s="36"/>
      <c r="Q277" s="36"/>
      <c r="R277" s="36"/>
      <c r="S277" s="36"/>
      <c r="T277" s="36"/>
      <c r="U277" s="36"/>
      <c r="V277" s="36"/>
      <c r="W277" s="59"/>
      <c r="X277" s="59"/>
      <c r="Y277" s="59"/>
    </row>
    <row r="278" spans="1:25" ht="15.75" customHeight="1">
      <c r="A278" s="42" t="s">
        <v>701</v>
      </c>
      <c r="B278" s="43" t="s">
        <v>702</v>
      </c>
      <c r="C278" s="44" t="str">
        <f ca="1">IFERROR(__xludf.DUMMYFUNCTION("arrayformula(VLOOKUP(to_Text(A278),to_Text(sheet2!$A$1:M1002),13,0))"),"CHORUS")</f>
        <v>CHORUS</v>
      </c>
      <c r="D278" s="45" t="str">
        <f ca="1">IFERROR(__xludf.DUMMYFUNCTION("arrayformula(VLOOKUP(to_Text(A278),to_Text(sheet2!$A$1:M1002),12,0))"),"DEV")</f>
        <v>DEV</v>
      </c>
      <c r="E278" s="43" t="s">
        <v>16</v>
      </c>
      <c r="F278" s="42" t="str">
        <f t="array" aca="1" ref="F278" ca="1">IFERROR(
  INDEX(ATTENDANCE_INPUT!D:D,
    MATCH(1,
      (ATTENDANCE_INPUT!A:A=A278) *
      (ATTENDANCE_INPUT!V:V=_xludf.MAXIFS(ATTENDANCE_INPUT!V:V, ATTENDANCE_INPUT!A:A, A278)),
      0)),
  "")</f>
        <v/>
      </c>
      <c r="G278" s="46" t="str">
        <f t="array" aca="1" ref="G278" ca="1">IFERROR(
  INDEX(ATTENDANCE_INPUT!E:E,
    MATCH(1,
      (ATTENDANCE_INPUT!A:A=A278) *
      (ATTENDANCE_INPUT!V:V=_xludf.MAXIFS(ATTENDANCE_INPUT!V:V, ATTENDANCE_INPUT!A:A, A278)),
      0)),
  "")</f>
        <v/>
      </c>
      <c r="H278" s="47" t="str">
        <f t="array" aca="1" ref="H278" ca="1">IF(ISNA(MATCH(A278,sheet2!A:A,0)),"⏳ Chưa test",IFERROR(INDEX(LEVEL_HELPER!A:A,MATCH(INDEX(sheet2!N:N,MATCH(A278,sheet2!A:A,0)),LEVEL_HELPER!B:B,0)),"⏳ Chưa test"))</f>
        <v>Beginner</v>
      </c>
      <c r="I278" s="47" t="str">
        <f t="array" aca="1" ref="I278" ca="1">IF(ISNA(MATCH(A278,sheet2!A:A,0)),H278,IF(INDEX(sheet2!O:O,MATCH(A278,sheet2!A:A,0))&gt;0,IFERROR(INDEX(LEVEL_HELPER!A:A,MATCH(INDEX(sheet2!O:O,MATCH(A278,sheet2!A:A,0)),LEVEL_HELPER!B:B,0)),H278),H278))</f>
        <v>Beginner</v>
      </c>
      <c r="J278" s="47" t="str">
        <f ca="1">IFERROR(_xludf.MAXIFS(ATTENDANCE_LOG!F:F, ATTENDANCE_LOG!C:C, A278&amp;"", ATTENDANCE_LOG!G:G, "Present"), "")</f>
        <v/>
      </c>
      <c r="K278" s="48" t="str">
        <f t="shared" ca="1" si="28"/>
        <v/>
      </c>
      <c r="L278" s="49" t="str">
        <f t="shared" ca="1" si="29"/>
        <v/>
      </c>
      <c r="M278" s="36" t="s">
        <v>34</v>
      </c>
      <c r="N278" s="50" t="s">
        <v>33</v>
      </c>
      <c r="O278" s="36"/>
      <c r="P278" s="36"/>
      <c r="Q278" s="36"/>
      <c r="R278" s="36">
        <v>247164</v>
      </c>
      <c r="S278" s="36" t="s">
        <v>146</v>
      </c>
      <c r="T278" s="36" t="s">
        <v>33</v>
      </c>
      <c r="U278" s="36" t="e">
        <v>#N/A</v>
      </c>
      <c r="V278" s="36"/>
      <c r="W278" s="59"/>
      <c r="X278" s="59"/>
      <c r="Y278" s="59"/>
    </row>
    <row r="279" spans="1:25" ht="15.75" customHeight="1">
      <c r="A279" s="42" t="s">
        <v>703</v>
      </c>
      <c r="B279" s="43" t="s">
        <v>704</v>
      </c>
      <c r="C279" s="44" t="str">
        <f ca="1">IFERROR(__xludf.DUMMYFUNCTION("arrayformula(VLOOKUP(to_Text(A279),to_Text(sheet2!$A$1:M1002),13,0))"),"CHORUS")</f>
        <v>CHORUS</v>
      </c>
      <c r="D279" s="45" t="str">
        <f ca="1">IFERROR(__xludf.DUMMYFUNCTION("arrayformula(VLOOKUP(to_Text(A279),to_Text(sheet2!$A$1:M1002),12,0))"),"DEV")</f>
        <v>DEV</v>
      </c>
      <c r="E279" s="43" t="s">
        <v>16</v>
      </c>
      <c r="F279" s="42" t="str">
        <f t="array" aca="1" ref="F279" ca="1">IFERROR(
  INDEX(ATTENDANCE_INPUT!D:D,
    MATCH(1,
      (ATTENDANCE_INPUT!A:A=A279) *
      (ATTENDANCE_INPUT!V:V=_xludf.MAXIFS(ATTENDANCE_INPUT!V:V, ATTENDANCE_INPUT!A:A, A279)),
      0)),
  "")</f>
        <v/>
      </c>
      <c r="G279" s="46" t="str">
        <f t="array" aca="1" ref="G279" ca="1">IFERROR(
  INDEX(ATTENDANCE_INPUT!E:E,
    MATCH(1,
      (ATTENDANCE_INPUT!A:A=A279) *
      (ATTENDANCE_INPUT!V:V=_xludf.MAXIFS(ATTENDANCE_INPUT!V:V, ATTENDANCE_INPUT!A:A, A279)),
      0)),
  "")</f>
        <v/>
      </c>
      <c r="H279" s="47" t="str">
        <f t="array" aca="1" ref="H279" ca="1">IF(ISNA(MATCH(A279,sheet2!A:A,0)),"⏳ Chưa test",IFERROR(INDEX(LEVEL_HELPER!A:A,MATCH(INDEX(sheet2!N:N,MATCH(A279,sheet2!A:A,0)),LEVEL_HELPER!B:B,0)),"⏳ Chưa test"))</f>
        <v>Beginner</v>
      </c>
      <c r="I279" s="47" t="str">
        <f t="array" aca="1" ref="I279" ca="1">IF(ISNA(MATCH(A279,sheet2!A:A,0)),H279,IF(INDEX(sheet2!O:O,MATCH(A279,sheet2!A:A,0))&gt;0,IFERROR(INDEX(LEVEL_HELPER!A:A,MATCH(INDEX(sheet2!O:O,MATCH(A279,sheet2!A:A,0)),LEVEL_HELPER!B:B,0)),H279),H279))</f>
        <v>Beginner</v>
      </c>
      <c r="J279" s="47" t="str">
        <f ca="1">IFERROR(_xludf.MAXIFS(ATTENDANCE_LOG!F:F, ATTENDANCE_LOG!C:C, A279&amp;"", ATTENDANCE_LOG!G:G, "Present"), "")</f>
        <v/>
      </c>
      <c r="K279" s="48" t="str">
        <f t="shared" ca="1" si="28"/>
        <v/>
      </c>
      <c r="L279" s="49" t="str">
        <f t="shared" ca="1" si="29"/>
        <v/>
      </c>
      <c r="M279" s="36" t="s">
        <v>36</v>
      </c>
      <c r="N279" s="50" t="s">
        <v>39</v>
      </c>
      <c r="O279" s="36"/>
      <c r="P279" s="36"/>
      <c r="Q279" s="36"/>
      <c r="R279" s="36"/>
      <c r="S279" s="36"/>
      <c r="T279" s="36"/>
      <c r="U279" s="36"/>
      <c r="V279" s="36"/>
      <c r="W279" s="59"/>
      <c r="X279" s="59"/>
      <c r="Y279" s="59"/>
    </row>
    <row r="280" spans="1:25" ht="15.75" customHeight="1">
      <c r="A280" s="42" t="s">
        <v>705</v>
      </c>
      <c r="B280" s="43" t="s">
        <v>706</v>
      </c>
      <c r="C280" s="44" t="str">
        <f ca="1">IFERROR(__xludf.DUMMYFUNCTION("arrayformula(VLOOKUP(to_Text(A280),to_Text(sheet2!$A$1:M1002),13,0))"),"LBU")</f>
        <v>LBU</v>
      </c>
      <c r="D280" s="45" t="str">
        <f ca="1">IFERROR(__xludf.DUMMYFUNCTION("arrayformula(VLOOKUP(to_Text(A280),to_Text(sheet2!$A$1:M1002),12,0))"),"BC")</f>
        <v>BC</v>
      </c>
      <c r="E280" s="43" t="s">
        <v>16</v>
      </c>
      <c r="F280" s="42" t="str">
        <f t="array" aca="1" ref="F280" ca="1">IFERROR(
  INDEX(ATTENDANCE_INPUT!D:D,
    MATCH(1,
      (ATTENDANCE_INPUT!A:A=A280) *
      (ATTENDANCE_INPUT!V:V=_xludf.MAXIFS(ATTENDANCE_INPUT!V:V, ATTENDANCE_INPUT!A:A, A280)),
      0)),
  "")</f>
        <v/>
      </c>
      <c r="G280" s="46" t="str">
        <f t="array" aca="1" ref="G280" ca="1">IFERROR(
  INDEX(ATTENDANCE_INPUT!E:E,
    MATCH(1,
      (ATTENDANCE_INPUT!A:A=A280) *
      (ATTENDANCE_INPUT!V:V=_xludf.MAXIFS(ATTENDANCE_INPUT!V:V, ATTENDANCE_INPUT!A:A, A280)),
      0)),
  "")</f>
        <v/>
      </c>
      <c r="H280" s="47" t="str">
        <f t="array" aca="1" ref="H280" ca="1">IF(ISNA(MATCH(A280,sheet2!A:A,0)),"⏳ Chưa test",IFERROR(INDEX(LEVEL_HELPER!A:A,MATCH(INDEX(sheet2!N:N,MATCH(A280,sheet2!A:A,0)),LEVEL_HELPER!B:B,0)),"⏳ Chưa test"))</f>
        <v>Beginner</v>
      </c>
      <c r="I280" s="47" t="str">
        <f t="array" aca="1" ref="I280" ca="1">IF(ISNA(MATCH(A280,sheet2!A:A,0)),H280,IF(INDEX(sheet2!O:O,MATCH(A280,sheet2!A:A,0))&gt;0,IFERROR(INDEX(LEVEL_HELPER!A:A,MATCH(INDEX(sheet2!O:O,MATCH(A280,sheet2!A:A,0)),LEVEL_HELPER!B:B,0)),H280),H280))</f>
        <v>Beginner</v>
      </c>
      <c r="J280" s="47" t="str">
        <f ca="1">IFERROR(_xludf.MAXIFS(ATTENDANCE_LOG!F:F, ATTENDANCE_LOG!C:C, A280&amp;"", ATTENDANCE_LOG!G:G, "Present"), "")</f>
        <v/>
      </c>
      <c r="K280" s="48" t="str">
        <f t="shared" ca="1" si="28"/>
        <v/>
      </c>
      <c r="L280" s="49" t="str">
        <f t="shared" ca="1" si="29"/>
        <v/>
      </c>
      <c r="M280" s="36" t="s">
        <v>36</v>
      </c>
      <c r="N280" s="50" t="s">
        <v>33</v>
      </c>
      <c r="O280" s="36"/>
      <c r="P280" s="36"/>
      <c r="Q280" s="36"/>
      <c r="R280" s="36"/>
      <c r="S280" s="36"/>
      <c r="T280" s="36"/>
      <c r="U280" s="36"/>
      <c r="V280" s="36"/>
      <c r="W280" s="59"/>
      <c r="X280" s="59"/>
      <c r="Y280" s="59"/>
    </row>
    <row r="281" spans="1:25" ht="15.75" customHeight="1">
      <c r="A281" s="42" t="s">
        <v>707</v>
      </c>
      <c r="B281" s="43" t="s">
        <v>708</v>
      </c>
      <c r="C281" s="44" t="str">
        <f ca="1">IFERROR(__xludf.DUMMYFUNCTION("arrayformula(VLOOKUP(to_Text(A281),to_Text(sheet2!$A$1:M1002),13,0))"),"CHORUS")</f>
        <v>CHORUS</v>
      </c>
      <c r="D281" s="45" t="str">
        <f ca="1">IFERROR(__xludf.DUMMYFUNCTION("arrayformula(VLOOKUP(to_Text(A281),to_Text(sheet2!$A$1:M1002),12,0))"),"SM")</f>
        <v>SM</v>
      </c>
      <c r="E281" s="43" t="str">
        <f ca="1">IF(L281="⚠ Possibly Dropped","Inactive","Active")</f>
        <v>Active</v>
      </c>
      <c r="F281" s="42" t="str">
        <f t="array" aca="1" ref="F281" ca="1">IFERROR(
  INDEX(ATTENDANCE_INPUT!D:D,
    MATCH(1,
      (ATTENDANCE_INPUT!A:A=A281) *
      (ATTENDANCE_INPUT!V:V=_xludf.MAXIFS(ATTENDANCE_INPUT!V:V, ATTENDANCE_INPUT!A:A, A281)),
      0)),
  "")</f>
        <v/>
      </c>
      <c r="G281" s="46" t="str">
        <f t="array" aca="1" ref="G281" ca="1">IFERROR(
  INDEX(ATTENDANCE_INPUT!E:E,
    MATCH(1,
      (ATTENDANCE_INPUT!A:A=A281) *
      (ATTENDANCE_INPUT!V:V=_xludf.MAXIFS(ATTENDANCE_INPUT!V:V, ATTENDANCE_INPUT!A:A, A281)),
      0)),
  "")</f>
        <v/>
      </c>
      <c r="H281" s="47" t="str">
        <f t="array" aca="1" ref="H281" ca="1">IF(ISNA(MATCH(A281,sheet2!A:A,0)),"⏳ Chưa test",IFERROR(INDEX(LEVEL_HELPER!A:A,MATCH(INDEX(sheet2!N:N,MATCH(A281,sheet2!A:A,0)),LEVEL_HELPER!B:B,0)),"⏳ Chưa test"))</f>
        <v>Beginner</v>
      </c>
      <c r="I281" s="47" t="str">
        <f t="array" aca="1" ref="I281" ca="1">IF(ISNA(MATCH(A281,sheet2!A:A,0)),H281,IF(INDEX(sheet2!O:O,MATCH(A281,sheet2!A:A,0))&gt;0,IFERROR(INDEX(LEVEL_HELPER!A:A,MATCH(INDEX(sheet2!O:O,MATCH(A281,sheet2!A:A,0)),LEVEL_HELPER!B:B,0)),H281),H281))</f>
        <v>Beginner</v>
      </c>
      <c r="J281" s="47" t="str">
        <f ca="1">IFERROR(_xludf.MAXIFS(ATTENDANCE_LOG!F:F, ATTENDANCE_LOG!C:C, A281&amp;"", ATTENDANCE_LOG!G:G, "Present"), "")</f>
        <v/>
      </c>
      <c r="K281" s="48" t="str">
        <f t="shared" ca="1" si="28"/>
        <v/>
      </c>
      <c r="L281" s="49" t="str">
        <f t="shared" ca="1" si="29"/>
        <v/>
      </c>
      <c r="M281" s="36" t="s">
        <v>34</v>
      </c>
      <c r="N281" s="50" t="s">
        <v>33</v>
      </c>
      <c r="O281" s="36"/>
      <c r="P281" s="36"/>
      <c r="Q281" s="36"/>
      <c r="R281" s="36"/>
      <c r="S281" s="36"/>
      <c r="T281" s="36"/>
      <c r="U281" s="36"/>
      <c r="V281" s="36"/>
      <c r="W281" s="59"/>
      <c r="X281" s="59"/>
      <c r="Y281" s="59"/>
    </row>
    <row r="282" spans="1:25" ht="15.75" customHeight="1">
      <c r="A282" s="42" t="s">
        <v>709</v>
      </c>
      <c r="B282" s="43" t="s">
        <v>710</v>
      </c>
      <c r="C282" s="44" t="str">
        <f ca="1">IFERROR(__xludf.DUMMYFUNCTION("arrayformula(VLOOKUP(to_Text(A282),to_Text(sheet2!$A$1:M1002),13,0))"),"LBU")</f>
        <v>LBU</v>
      </c>
      <c r="D282" s="45" t="str">
        <f ca="1">IFERROR(__xludf.DUMMYFUNCTION("arrayformula(VLOOKUP(to_Text(A282),to_Text(sheet2!$A$1:M1002),12,0))"),"DEV")</f>
        <v>DEV</v>
      </c>
      <c r="E282" s="43" t="s">
        <v>16</v>
      </c>
      <c r="F282" s="42" t="str">
        <f t="array" aca="1" ref="F282" ca="1">IFERROR(
  INDEX(ATTENDANCE_INPUT!D:D,
    MATCH(1,
      (ATTENDANCE_INPUT!A:A=A282) *
      (ATTENDANCE_INPUT!V:V=_xludf.MAXIFS(ATTENDANCE_INPUT!V:V, ATTENDANCE_INPUT!A:A, A282)),
      0)),
  "")</f>
        <v/>
      </c>
      <c r="G282" s="46" t="str">
        <f t="array" aca="1" ref="G282" ca="1">IFERROR(
  INDEX(ATTENDANCE_INPUT!E:E,
    MATCH(1,
      (ATTENDANCE_INPUT!A:A=A282) *
      (ATTENDANCE_INPUT!V:V=_xludf.MAXIFS(ATTENDANCE_INPUT!V:V, ATTENDANCE_INPUT!A:A, A282)),
      0)),
  "")</f>
        <v/>
      </c>
      <c r="H282" s="47" t="str">
        <f t="array" aca="1" ref="H282" ca="1">IF(ISNA(MATCH(A282,sheet2!A:A,0)),"⏳ Chưa test",IFERROR(INDEX(LEVEL_HELPER!A:A,MATCH(INDEX(sheet2!N:N,MATCH(A282,sheet2!A:A,0)),LEVEL_HELPER!B:B,0)),"⏳ Chưa test"))</f>
        <v>Beginner</v>
      </c>
      <c r="I282" s="47" t="str">
        <f t="array" aca="1" ref="I282" ca="1">IF(ISNA(MATCH(A282,sheet2!A:A,0)),H282,IF(INDEX(sheet2!O:O,MATCH(A282,sheet2!A:A,0))&gt;0,IFERROR(INDEX(LEVEL_HELPER!A:A,MATCH(INDEX(sheet2!O:O,MATCH(A282,sheet2!A:A,0)),LEVEL_HELPER!B:B,0)),H282),H282))</f>
        <v>Beginner</v>
      </c>
      <c r="J282" s="47" t="str">
        <f ca="1">IFERROR(_xludf.MAXIFS(ATTENDANCE_LOG!F:F, ATTENDANCE_LOG!C:C, A282&amp;"", ATTENDANCE_LOG!G:G, "Present"), "")</f>
        <v/>
      </c>
      <c r="K282" s="48" t="str">
        <f t="shared" ca="1" si="28"/>
        <v/>
      </c>
      <c r="L282" s="49" t="str">
        <f t="shared" ca="1" si="29"/>
        <v/>
      </c>
      <c r="M282" s="36" t="s">
        <v>36</v>
      </c>
      <c r="N282" s="50" t="s">
        <v>33</v>
      </c>
      <c r="O282" s="36"/>
      <c r="P282" s="36"/>
      <c r="Q282" s="36"/>
      <c r="R282" s="36"/>
      <c r="S282" s="36"/>
      <c r="T282" s="36"/>
      <c r="U282" s="36"/>
      <c r="V282" s="36"/>
      <c r="W282" s="59"/>
      <c r="X282" s="59"/>
      <c r="Y282" s="59"/>
    </row>
    <row r="283" spans="1:25" ht="15.75" customHeight="1">
      <c r="A283" s="42" t="s">
        <v>711</v>
      </c>
      <c r="B283" s="43" t="s">
        <v>712</v>
      </c>
      <c r="C283" s="44" t="str">
        <f ca="1">IFERROR(__xludf.DUMMYFUNCTION("arrayformula(VLOOKUP(to_Text(A283),to_Text(sheet2!$A$1:M1002),13,0))"),"CHORUS")</f>
        <v>CHORUS</v>
      </c>
      <c r="D283" s="45" t="str">
        <f ca="1">IFERROR(__xludf.DUMMYFUNCTION("arrayformula(VLOOKUP(to_Text(A283),to_Text(sheet2!$A$1:M1002),12,0))"),"PPO")</f>
        <v>PPO</v>
      </c>
      <c r="E283" s="43" t="s">
        <v>16</v>
      </c>
      <c r="F283" s="42" t="str">
        <f t="array" aca="1" ref="F283" ca="1">IFERROR(
  INDEX(ATTENDANCE_INPUT!D:D,
    MATCH(1,
      (ATTENDANCE_INPUT!A:A=A283) *
      (ATTENDANCE_INPUT!V:V=_xludf.MAXIFS(ATTENDANCE_INPUT!V:V, ATTENDANCE_INPUT!A:A, A283)),
      0)),
  "")</f>
        <v/>
      </c>
      <c r="G283" s="46" t="str">
        <f t="array" aca="1" ref="G283" ca="1">IFERROR(
  INDEX(ATTENDANCE_INPUT!E:E,
    MATCH(1,
      (ATTENDANCE_INPUT!A:A=A283) *
      (ATTENDANCE_INPUT!V:V=_xludf.MAXIFS(ATTENDANCE_INPUT!V:V, ATTENDANCE_INPUT!A:A, A283)),
      0)),
  "")</f>
        <v/>
      </c>
      <c r="H283" s="47" t="str">
        <f t="array" aca="1" ref="H283" ca="1">IF(ISNA(MATCH(A283,sheet2!A:A,0)),"⏳ Chưa test",IFERROR(INDEX(LEVEL_HELPER!A:A,MATCH(INDEX(sheet2!N:N,MATCH(A283,sheet2!A:A,0)),LEVEL_HELPER!B:B,0)),"⏳ Chưa test"))</f>
        <v>Pre-Intermediate</v>
      </c>
      <c r="I283" s="47" t="str">
        <f t="array" aca="1" ref="I283" ca="1">IF(ISNA(MATCH(A283,sheet2!A:A,0)),H283,IF(INDEX(sheet2!O:O,MATCH(A283,sheet2!A:A,0))&gt;0,IFERROR(INDEX(LEVEL_HELPER!A:A,MATCH(INDEX(sheet2!O:O,MATCH(A283,sheet2!A:A,0)),LEVEL_HELPER!B:B,0)),H283),H283))</f>
        <v>Pre-Intermediate</v>
      </c>
      <c r="J283" s="47" t="str">
        <f ca="1">IFERROR(_xludf.MAXIFS(ATTENDANCE_LOG!F:F, ATTENDANCE_LOG!C:C, A283&amp;"", ATTENDANCE_LOG!G:G, "Present"), "")</f>
        <v/>
      </c>
      <c r="K283" s="48" t="str">
        <f t="shared" ca="1" si="28"/>
        <v/>
      </c>
      <c r="L283" s="49" t="str">
        <f t="shared" ca="1" si="29"/>
        <v/>
      </c>
      <c r="M283" s="36" t="s">
        <v>34</v>
      </c>
      <c r="N283" s="50" t="s">
        <v>33</v>
      </c>
      <c r="O283" s="36"/>
      <c r="P283" s="36"/>
      <c r="Q283" s="36"/>
      <c r="R283" s="36"/>
      <c r="S283" s="36"/>
      <c r="T283" s="36"/>
      <c r="U283" s="36"/>
      <c r="V283" s="36"/>
      <c r="W283" s="59"/>
      <c r="X283" s="59"/>
      <c r="Y283" s="59"/>
    </row>
    <row r="284" spans="1:25" ht="15.75" customHeight="1">
      <c r="A284" s="42" t="s">
        <v>713</v>
      </c>
      <c r="B284" s="43" t="s">
        <v>714</v>
      </c>
      <c r="C284" s="44" t="str">
        <f ca="1">IFERROR(__xludf.DUMMYFUNCTION("arrayformula(VLOOKUP(to_Text(A284),to_Text(sheet2!$A$1:M1002),13,0))"),"CHORUS")</f>
        <v>CHORUS</v>
      </c>
      <c r="D284" s="45" t="str">
        <f ca="1">IFERROR(__xludf.DUMMYFUNCTION("arrayformula(VLOOKUP(to_Text(A284),to_Text(sheet2!$A$1:M1002),12,0))"),"DEV")</f>
        <v>DEV</v>
      </c>
      <c r="E284" s="43" t="str">
        <f ca="1">IF(L284="⚠ Possibly Dropped","Inactive","Active")</f>
        <v>Active</v>
      </c>
      <c r="F284" s="42" t="str">
        <f t="array" aca="1" ref="F284" ca="1">IFERROR(
  INDEX(ATTENDANCE_INPUT!D:D,
    MATCH(1,
      (ATTENDANCE_INPUT!A:A=A284) *
      (ATTENDANCE_INPUT!V:V=_xludf.MAXIFS(ATTENDANCE_INPUT!V:V, ATTENDANCE_INPUT!A:A, A284)),
      0)),
  "")</f>
        <v/>
      </c>
      <c r="G284" s="46" t="str">
        <f t="array" aca="1" ref="G284" ca="1">IFERROR(
  INDEX(ATTENDANCE_INPUT!E:E,
    MATCH(1,
      (ATTENDANCE_INPUT!A:A=A284) *
      (ATTENDANCE_INPUT!V:V=_xludf.MAXIFS(ATTENDANCE_INPUT!V:V, ATTENDANCE_INPUT!A:A, A284)),
      0)),
  "")</f>
        <v/>
      </c>
      <c r="H284" s="47" t="str">
        <f t="array" aca="1" ref="H284" ca="1">IF(ISNA(MATCH(A284,sheet2!A:A,0)),"⏳ Chưa test",IFERROR(INDEX(LEVEL_HELPER!A:A,MATCH(INDEX(sheet2!N:N,MATCH(A284,sheet2!A:A,0)),LEVEL_HELPER!B:B,0)),"⏳ Chưa test"))</f>
        <v>Beginner</v>
      </c>
      <c r="I284" s="47" t="str">
        <f t="array" aca="1" ref="I284" ca="1">IF(ISNA(MATCH(A284,sheet2!A:A,0)),H284,IF(INDEX(sheet2!O:O,MATCH(A284,sheet2!A:A,0))&gt;0,IFERROR(INDEX(LEVEL_HELPER!A:A,MATCH(INDEX(sheet2!O:O,MATCH(A284,sheet2!A:A,0)),LEVEL_HELPER!B:B,0)),H284),H284))</f>
        <v>Beginner</v>
      </c>
      <c r="J284" s="47" t="str">
        <f ca="1">IFERROR(_xludf.MAXIFS(ATTENDANCE_LOG!F:F, ATTENDANCE_LOG!C:C, A284&amp;"", ATTENDANCE_LOG!G:G, "Present"), "")</f>
        <v/>
      </c>
      <c r="K284" s="48" t="str">
        <f t="shared" ca="1" si="28"/>
        <v/>
      </c>
      <c r="L284" s="49" t="str">
        <f t="shared" ca="1" si="29"/>
        <v/>
      </c>
      <c r="M284" s="36" t="s">
        <v>36</v>
      </c>
      <c r="N284" s="50" t="s">
        <v>33</v>
      </c>
      <c r="O284" s="36"/>
      <c r="P284" s="36"/>
      <c r="Q284" s="36"/>
      <c r="R284" s="36"/>
      <c r="S284" s="36"/>
      <c r="T284" s="36"/>
      <c r="U284" s="36"/>
      <c r="V284" s="36"/>
      <c r="W284" s="59"/>
      <c r="X284" s="59"/>
      <c r="Y284" s="59"/>
    </row>
    <row r="285" spans="1:25" ht="15.75" customHeight="1">
      <c r="A285" s="42" t="s">
        <v>715</v>
      </c>
      <c r="B285" s="43" t="s">
        <v>716</v>
      </c>
      <c r="C285" s="44" t="str">
        <f ca="1">IFERROR(__xludf.DUMMYFUNCTION("arrayformula(VLOOKUP(to_Text(A285),to_Text(sheet2!$A$1:M1002),13,0))"),"ONC")</f>
        <v>ONC</v>
      </c>
      <c r="D285" s="45" t="str">
        <f ca="1">IFERROR(__xludf.DUMMYFUNCTION("arrayformula(VLOOKUP(to_Text(A285),to_Text(sheet2!$A$1:M1002),12,0))"),"DEV")</f>
        <v>DEV</v>
      </c>
      <c r="E285" s="43" t="s">
        <v>16</v>
      </c>
      <c r="F285" s="42" t="str">
        <f t="array" aca="1" ref="F285" ca="1">IFERROR(
  INDEX(ATTENDANCE_INPUT!D:D,
    MATCH(1,
      (ATTENDANCE_INPUT!A:A=A285) *
      (ATTENDANCE_INPUT!V:V=_xludf.MAXIFS(ATTENDANCE_INPUT!V:V, ATTENDANCE_INPUT!A:A, A285)),
      0)),
  "")</f>
        <v/>
      </c>
      <c r="G285" s="46" t="str">
        <f t="array" aca="1" ref="G285" ca="1">IFERROR(
  INDEX(ATTENDANCE_INPUT!E:E,
    MATCH(1,
      (ATTENDANCE_INPUT!A:A=A285) *
      (ATTENDANCE_INPUT!V:V=_xludf.MAXIFS(ATTENDANCE_INPUT!V:V, ATTENDANCE_INPUT!A:A, A285)),
      0)),
  "")</f>
        <v/>
      </c>
      <c r="H285" s="47" t="str">
        <f t="array" aca="1" ref="H285" ca="1">IF(ISNA(MATCH(A285,sheet2!A:A,0)),"⏳ Chưa test",IFERROR(INDEX(LEVEL_HELPER!A:A,MATCH(INDEX(sheet2!N:N,MATCH(A285,sheet2!A:A,0)),LEVEL_HELPER!B:B,0)),"⏳ Chưa test"))</f>
        <v>Pre-Intermediate</v>
      </c>
      <c r="I285" s="47" t="str">
        <f t="array" aca="1" ref="I285" ca="1">IF(ISNA(MATCH(A285,sheet2!A:A,0)),H285,IF(INDEX(sheet2!O:O,MATCH(A285,sheet2!A:A,0))&gt;0,IFERROR(INDEX(LEVEL_HELPER!A:A,MATCH(INDEX(sheet2!O:O,MATCH(A285,sheet2!A:A,0)),LEVEL_HELPER!B:B,0)),H285),H285))</f>
        <v>Pre-Intermediate</v>
      </c>
      <c r="J285" s="47" t="str">
        <f ca="1">IFERROR(_xludf.MAXIFS(ATTENDANCE_LOG!F:F, ATTENDANCE_LOG!C:C, A285&amp;"", ATTENDANCE_LOG!G:G, "Present"), "")</f>
        <v/>
      </c>
      <c r="K285" s="48" t="str">
        <f t="shared" ca="1" si="28"/>
        <v/>
      </c>
      <c r="L285" s="49" t="str">
        <f t="shared" ca="1" si="29"/>
        <v/>
      </c>
      <c r="M285" s="36" t="s">
        <v>34</v>
      </c>
      <c r="N285" s="50" t="s">
        <v>33</v>
      </c>
      <c r="O285" s="36"/>
      <c r="P285" s="36"/>
      <c r="Q285" s="36"/>
      <c r="R285" s="36"/>
      <c r="S285" s="36"/>
      <c r="T285" s="36"/>
      <c r="U285" s="36"/>
      <c r="V285" s="36"/>
      <c r="W285" s="59"/>
      <c r="X285" s="59"/>
      <c r="Y285" s="59"/>
    </row>
    <row r="286" spans="1:25" ht="15.75" customHeight="1">
      <c r="A286" s="42" t="s">
        <v>717</v>
      </c>
      <c r="B286" s="43" t="s">
        <v>718</v>
      </c>
      <c r="C286" s="44" t="str">
        <f ca="1">IFERROR(__xludf.DUMMYFUNCTION("arrayformula(VLOOKUP(to_Text(A286),to_Text(sheet2!$A$1:M1002),13,0))"),"ONC")</f>
        <v>ONC</v>
      </c>
      <c r="D286" s="45" t="str">
        <f ca="1">IFERROR(__xludf.DUMMYFUNCTION("arrayformula(VLOOKUP(to_Text(A286),to_Text(sheet2!$A$1:M1002),12,0))"),"QC")</f>
        <v>QC</v>
      </c>
      <c r="E286" s="43" t="s">
        <v>16</v>
      </c>
      <c r="F286" s="42" t="str">
        <f t="array" aca="1" ref="F286" ca="1">IFERROR(
  INDEX(ATTENDANCE_INPUT!D:D,
    MATCH(1,
      (ATTENDANCE_INPUT!A:A=A286) *
      (ATTENDANCE_INPUT!V:V=_xludf.MAXIFS(ATTENDANCE_INPUT!V:V, ATTENDANCE_INPUT!A:A, A286)),
      0)),
  "")</f>
        <v/>
      </c>
      <c r="G286" s="46" t="str">
        <f t="array" aca="1" ref="G286" ca="1">IFERROR(
  INDEX(ATTENDANCE_INPUT!E:E,
    MATCH(1,
      (ATTENDANCE_INPUT!A:A=A286) *
      (ATTENDANCE_INPUT!V:V=_xludf.MAXIFS(ATTENDANCE_INPUT!V:V, ATTENDANCE_INPUT!A:A, A286)),
      0)),
  "")</f>
        <v/>
      </c>
      <c r="H286" s="47" t="str">
        <f t="array" aca="1" ref="H286" ca="1">IF(ISNA(MATCH(A286,sheet2!A:A,0)),"⏳ Chưa test",IFERROR(INDEX(LEVEL_HELPER!A:A,MATCH(INDEX(sheet2!N:N,MATCH(A286,sheet2!A:A,0)),LEVEL_HELPER!B:B,0)),"⏳ Chưa test"))</f>
        <v>Intermediate</v>
      </c>
      <c r="I286" s="47" t="str">
        <f t="array" aca="1" ref="I286" ca="1">IF(ISNA(MATCH(A286,sheet2!A:A,0)),H286,IF(INDEX(sheet2!O:O,MATCH(A286,sheet2!A:A,0))&gt;0,IFERROR(INDEX(LEVEL_HELPER!A:A,MATCH(INDEX(sheet2!O:O,MATCH(A286,sheet2!A:A,0)),LEVEL_HELPER!B:B,0)),H286),H286))</f>
        <v>Intermediate</v>
      </c>
      <c r="J286" s="47" t="str">
        <f ca="1">IFERROR(_xludf.MAXIFS(ATTENDANCE_LOG!F:F, ATTENDANCE_LOG!C:C, A286&amp;"", ATTENDANCE_LOG!G:G, "Present"), "")</f>
        <v/>
      </c>
      <c r="K286" s="48" t="str">
        <f t="shared" ca="1" si="28"/>
        <v/>
      </c>
      <c r="L286" s="49" t="str">
        <f t="shared" ca="1" si="29"/>
        <v/>
      </c>
      <c r="M286" s="36" t="s">
        <v>34</v>
      </c>
      <c r="N286" s="50" t="s">
        <v>33</v>
      </c>
      <c r="O286" s="36" t="s">
        <v>555</v>
      </c>
      <c r="P286" s="36"/>
      <c r="Q286" s="36"/>
      <c r="R286" s="36"/>
      <c r="S286" s="36"/>
      <c r="T286" s="36"/>
      <c r="U286" s="36"/>
      <c r="V286" s="36"/>
      <c r="W286" s="59"/>
      <c r="X286" s="59"/>
      <c r="Y286" s="59"/>
    </row>
    <row r="287" spans="1:25" ht="15.75" customHeight="1">
      <c r="A287" s="42" t="s">
        <v>719</v>
      </c>
      <c r="B287" s="43" t="s">
        <v>720</v>
      </c>
      <c r="C287" s="44" t="str">
        <f ca="1">IFERROR(__xludf.DUMMYFUNCTION("arrayformula(VLOOKUP(to_Text(A287),to_Text(sheet2!$A$1:M1002),13,0))"),"MOC")</f>
        <v>MOC</v>
      </c>
      <c r="D287" s="45" t="str">
        <f ca="1">IFERROR(__xludf.DUMMYFUNCTION("arrayformula(VLOOKUP(to_Text(A287),to_Text(sheet2!$A$1:M1002),12,0))"),"BC")</f>
        <v>BC</v>
      </c>
      <c r="E287" s="43" t="s">
        <v>16</v>
      </c>
      <c r="F287" s="42" t="str">
        <f t="array" aca="1" ref="F287" ca="1">IFERROR(
  INDEX(ATTENDANCE_INPUT!D:D,
    MATCH(1,
      (ATTENDANCE_INPUT!A:A=A287) *
      (ATTENDANCE_INPUT!V:V=_xludf.MAXIFS(ATTENDANCE_INPUT!V:V, ATTENDANCE_INPUT!A:A, A287)),
      0)),
  "")</f>
        <v/>
      </c>
      <c r="G287" s="46" t="str">
        <f t="array" aca="1" ref="G287" ca="1">IFERROR(
  INDEX(ATTENDANCE_INPUT!E:E,
    MATCH(1,
      (ATTENDANCE_INPUT!A:A=A287) *
      (ATTENDANCE_INPUT!V:V=_xludf.MAXIFS(ATTENDANCE_INPUT!V:V, ATTENDANCE_INPUT!A:A, A287)),
      0)),
  "")</f>
        <v/>
      </c>
      <c r="H287" s="47" t="str">
        <f t="array" aca="1" ref="H287" ca="1">IF(ISNA(MATCH(A287,sheet2!A:A,0)),"⏳ Chưa test",IFERROR(INDEX(LEVEL_HELPER!A:A,MATCH(INDEX(sheet2!N:N,MATCH(A287,sheet2!A:A,0)),LEVEL_HELPER!B:B,0)),"⏳ Chưa test"))</f>
        <v>Not Placement</v>
      </c>
      <c r="I287" s="47" t="str">
        <f t="array" aca="1" ref="I287" ca="1">IF(ISNA(MATCH(A287,sheet2!A:A,0)),H287,IF(INDEX(sheet2!O:O,MATCH(A287,sheet2!A:A,0))&gt;0,IFERROR(INDEX(LEVEL_HELPER!A:A,MATCH(INDEX(sheet2!O:O,MATCH(A287,sheet2!A:A,0)),LEVEL_HELPER!B:B,0)),H287),H287))</f>
        <v>Not Placement</v>
      </c>
      <c r="J287" s="47" t="str">
        <f ca="1">IFERROR(_xludf.MAXIFS(ATTENDANCE_LOG!F:F, ATTENDANCE_LOG!C:C, A287&amp;"", ATTENDANCE_LOG!G:G, "Present"), "")</f>
        <v/>
      </c>
      <c r="K287" s="48" t="str">
        <f t="shared" ca="1" si="28"/>
        <v/>
      </c>
      <c r="L287" s="49" t="str">
        <f t="shared" ca="1" si="29"/>
        <v/>
      </c>
      <c r="M287" s="36" t="s">
        <v>36</v>
      </c>
      <c r="N287" s="50" t="s">
        <v>33</v>
      </c>
      <c r="O287" s="36"/>
      <c r="P287" s="36"/>
      <c r="Q287" s="36"/>
      <c r="R287" s="36"/>
      <c r="S287" s="36"/>
      <c r="T287" s="36"/>
      <c r="U287" s="36"/>
      <c r="V287" s="36"/>
      <c r="W287" s="59"/>
      <c r="X287" s="59"/>
      <c r="Y287" s="59"/>
    </row>
    <row r="288" spans="1:25" ht="15.75" customHeight="1">
      <c r="A288" s="42" t="s">
        <v>721</v>
      </c>
      <c r="B288" s="43" t="s">
        <v>722</v>
      </c>
      <c r="C288" s="44" t="str">
        <f ca="1">IFERROR(__xludf.DUMMYFUNCTION("arrayformula(VLOOKUP(to_Text(A288),to_Text(sheet2!$A$1:M1002),13,0))"),"POC")</f>
        <v>POC</v>
      </c>
      <c r="D288" s="45" t="str">
        <f ca="1">IFERROR(__xludf.DUMMYFUNCTION("arrayformula(VLOOKUP(to_Text(A288),to_Text(sheet2!$A$1:M1002),12,0))"),"QC")</f>
        <v>QC</v>
      </c>
      <c r="E288" s="43" t="str">
        <f ca="1">IF(L288="⚠ Possibly Dropped","Inactive","Active")</f>
        <v>Active</v>
      </c>
      <c r="F288" s="42" t="str">
        <f t="array" aca="1" ref="F288" ca="1">IFERROR(
  INDEX(ATTENDANCE_INPUT!D:D,
    MATCH(1,
      (ATTENDANCE_INPUT!A:A=A288) *
      (ATTENDANCE_INPUT!V:V=_xludf.MAXIFS(ATTENDANCE_INPUT!V:V, ATTENDANCE_INPUT!A:A, A288)),
      0)),
  "")</f>
        <v/>
      </c>
      <c r="G288" s="46" t="str">
        <f t="array" aca="1" ref="G288" ca="1">IFERROR(
  INDEX(ATTENDANCE_INPUT!E:E,
    MATCH(1,
      (ATTENDANCE_INPUT!A:A=A288) *
      (ATTENDANCE_INPUT!V:V=_xludf.MAXIFS(ATTENDANCE_INPUT!V:V, ATTENDANCE_INPUT!A:A, A288)),
      0)),
  "")</f>
        <v/>
      </c>
      <c r="H288" s="47" t="str">
        <f t="array" aca="1" ref="H288" ca="1">IF(ISNA(MATCH(A288,sheet2!A:A,0)),"⏳ Chưa test",IFERROR(INDEX(LEVEL_HELPER!A:A,MATCH(INDEX(sheet2!N:N,MATCH(A288,sheet2!A:A,0)),LEVEL_HELPER!B:B,0)),"⏳ Chưa test"))</f>
        <v>Pre-Intermediate</v>
      </c>
      <c r="I288" s="47" t="str">
        <f t="array" aca="1" ref="I288" ca="1">IF(ISNA(MATCH(A288,sheet2!A:A,0)),H288,IF(INDEX(sheet2!O:O,MATCH(A288,sheet2!A:A,0))&gt;0,IFERROR(INDEX(LEVEL_HELPER!A:A,MATCH(INDEX(sheet2!O:O,MATCH(A288,sheet2!A:A,0)),LEVEL_HELPER!B:B,0)),H288),H288))</f>
        <v>Pre-Intermediate</v>
      </c>
      <c r="J288" s="47" t="str">
        <f ca="1">IFERROR(_xludf.MAXIFS(ATTENDANCE_LOG!F:F, ATTENDANCE_LOG!C:C, A288&amp;"", ATTENDANCE_LOG!G:G, "Present"), "")</f>
        <v/>
      </c>
      <c r="K288" s="48" t="str">
        <f t="shared" ca="1" si="28"/>
        <v/>
      </c>
      <c r="L288" s="49" t="str">
        <f t="shared" ca="1" si="29"/>
        <v/>
      </c>
      <c r="M288" s="36"/>
      <c r="N288" s="50"/>
      <c r="O288" s="36"/>
      <c r="P288" s="36"/>
      <c r="Q288" s="36"/>
      <c r="R288" s="36">
        <v>247211</v>
      </c>
      <c r="S288" s="36" t="s">
        <v>172</v>
      </c>
      <c r="T288" s="36" t="s">
        <v>39</v>
      </c>
      <c r="U288" s="36" t="e">
        <v>#N/A</v>
      </c>
      <c r="V288" s="36"/>
      <c r="W288" s="59"/>
      <c r="X288" s="59"/>
      <c r="Y288" s="59"/>
    </row>
    <row r="289" spans="1:25" ht="15.75" customHeight="1">
      <c r="A289" s="42">
        <v>213820</v>
      </c>
      <c r="B289" s="43" t="s">
        <v>723</v>
      </c>
      <c r="C289" s="44" t="str">
        <f ca="1">IFERROR(__xludf.DUMMYFUNCTION("arrayformula(VLOOKUP(to_Text(A289),to_Text(sheet2!$A$1:M1002),13,0))"),"LBU")</f>
        <v>LBU</v>
      </c>
      <c r="D289" s="45" t="str">
        <f ca="1">IFERROR(__xludf.DUMMYFUNCTION("arrayformula(VLOOKUP(to_Text(A289),to_Text(sheet2!$A$1:M1002),12,0))"),"QC")</f>
        <v>QC</v>
      </c>
      <c r="E289" s="43" t="s">
        <v>16</v>
      </c>
      <c r="F289" s="42" t="str">
        <f t="array" aca="1" ref="F289" ca="1">IFERROR(
  INDEX(ATTENDANCE_INPUT!D:D,
    MATCH(1,
      (ATTENDANCE_INPUT!A:A=A289) *
      (ATTENDANCE_INPUT!V:V=_xludf.MAXIFS(ATTENDANCE_INPUT!V:V, ATTENDANCE_INPUT!A:A, A289)),
      0)),
  "")</f>
        <v/>
      </c>
      <c r="G289" s="46" t="str">
        <f t="array" aca="1" ref="G289" ca="1">IFERROR(
  INDEX(ATTENDANCE_INPUT!E:E,
    MATCH(1,
      (ATTENDANCE_INPUT!A:A=A289) *
      (ATTENDANCE_INPUT!V:V=_xludf.MAXIFS(ATTENDANCE_INPUT!V:V, ATTENDANCE_INPUT!A:A, A289)),
      0)),
  "")</f>
        <v/>
      </c>
      <c r="H289" s="47" t="str">
        <f t="array" ref="H289">IF(ISNA(MATCH(A289,sheet2!A:A,0)),"⏳ Chưa test",IFERROR(INDEX(LEVEL_HELPER!A:A,MATCH(INDEX(sheet2!N:N,MATCH(A289,sheet2!A:A,0)),LEVEL_HELPER!B:B,0)),"⏳ Chưa test"))</f>
        <v>⏳ Chưa test</v>
      </c>
      <c r="I289" s="47" t="str">
        <f t="array" ref="I289">IF(ISNA(MATCH(A289,sheet2!A:A,0)),H289,IF(INDEX(sheet2!O:O,MATCH(A289,sheet2!A:A,0))&gt;0,IFERROR(INDEX(LEVEL_HELPER!A:A,MATCH(INDEX(sheet2!O:O,MATCH(A289,sheet2!A:A,0)),LEVEL_HELPER!B:B,0)),H289),H289))</f>
        <v>⏳ Chưa test</v>
      </c>
      <c r="J289" s="47" t="str">
        <f ca="1">IFERROR(_xludf.MAXIFS(ATTENDANCE_LOG!F:F, ATTENDANCE_LOG!C:C, A289&amp;"", ATTENDANCE_LOG!G:G, "Present"), "")</f>
        <v/>
      </c>
      <c r="K289" s="48" t="str">
        <f t="shared" ca="1" si="28"/>
        <v/>
      </c>
      <c r="L289" s="49" t="str">
        <f t="shared" ca="1" si="29"/>
        <v/>
      </c>
      <c r="M289" s="36" t="s">
        <v>34</v>
      </c>
      <c r="N289" s="50" t="s">
        <v>33</v>
      </c>
      <c r="O289" s="36"/>
      <c r="P289" s="36"/>
      <c r="Q289" s="36"/>
      <c r="R289" s="36"/>
      <c r="S289" s="36"/>
      <c r="T289" s="36"/>
      <c r="U289" s="36"/>
      <c r="V289" s="36"/>
      <c r="W289" s="59"/>
      <c r="X289" s="59"/>
      <c r="Y289" s="59"/>
    </row>
    <row r="290" spans="1:25" ht="15.75" customHeight="1">
      <c r="A290" s="42">
        <v>193470</v>
      </c>
      <c r="B290" s="65" t="s">
        <v>724</v>
      </c>
      <c r="C290" s="44" t="str">
        <f ca="1">IFERROR(__xludf.DUMMYFUNCTION("arrayformula(VLOOKUP(to_Text(A290),to_Text(sheet2!$A$1:M1002),13,0))"),"ONC")</f>
        <v>ONC</v>
      </c>
      <c r="D290" s="45" t="str">
        <f ca="1">IFERROR(__xludf.DUMMYFUNCTION("arrayformula(VLOOKUP(to_Text(A290),to_Text(sheet2!$A$1:M1002),12,0))"),"DEV")</f>
        <v>DEV</v>
      </c>
      <c r="E290" s="43" t="str">
        <f t="shared" ref="E290:E306" ca="1" si="32">IF(L290="⚠ Possibly Dropped","Inactive","Active")</f>
        <v>Active</v>
      </c>
      <c r="F290" s="42" t="str">
        <f t="array" aca="1" ref="F290" ca="1">IFERROR(
  INDEX(ATTENDANCE_INPUT!D:D,
    MATCH(1,
      (ATTENDANCE_INPUT!A:A=A290) *
      (ATTENDANCE_INPUT!V:V=_xludf.MAXIFS(ATTENDANCE_INPUT!V:V, ATTENDANCE_INPUT!A:A, A290)),
      0)),
  "")</f>
        <v/>
      </c>
      <c r="G290" s="46" t="str">
        <f t="array" aca="1" ref="G290" ca="1">IFERROR(
  INDEX(ATTENDANCE_INPUT!E:E,
    MATCH(1,
      (ATTENDANCE_INPUT!A:A=A290) *
      (ATTENDANCE_INPUT!V:V=_xludf.MAXIFS(ATTENDANCE_INPUT!V:V, ATTENDANCE_INPUT!A:A, A290)),
      0)),
  "")</f>
        <v/>
      </c>
      <c r="H290" s="47" t="str">
        <f t="array" ref="H290">IF(ISNA(MATCH(A290,sheet2!A:A,0)),"⏳ Chưa test",IFERROR(INDEX(LEVEL_HELPER!A:A,MATCH(INDEX(sheet2!N:N,MATCH(A290,sheet2!A:A,0)),LEVEL_HELPER!B:B,0)),"⏳ Chưa test"))</f>
        <v>⏳ Chưa test</v>
      </c>
      <c r="I290" s="47" t="str">
        <f t="array" ref="I290">IF(ISNA(MATCH(A290,sheet2!A:A,0)),H290,IF(INDEX(sheet2!O:O,MATCH(A290,sheet2!A:A,0))&gt;0,IFERROR(INDEX(LEVEL_HELPER!A:A,MATCH(INDEX(sheet2!O:O,MATCH(A290,sheet2!A:A,0)),LEVEL_HELPER!B:B,0)),H290),H290))</f>
        <v>⏳ Chưa test</v>
      </c>
      <c r="J290" s="47" t="str">
        <f ca="1">IFERROR(_xludf.MAXIFS(ATTENDANCE_LOG!F:F, ATTENDANCE_LOG!C:C, A290&amp;"", ATTENDANCE_LOG!G:G, "Present"), "")</f>
        <v/>
      </c>
      <c r="K290" s="48" t="str">
        <f t="shared" ca="1" si="28"/>
        <v/>
      </c>
      <c r="L290" s="49" t="str">
        <f t="shared" ca="1" si="29"/>
        <v/>
      </c>
      <c r="M290" s="36"/>
      <c r="N290" s="50"/>
      <c r="O290" s="66"/>
      <c r="P290" s="66"/>
      <c r="Q290" s="66"/>
      <c r="R290" s="66"/>
      <c r="S290" s="66"/>
      <c r="T290" s="66"/>
      <c r="U290" s="66"/>
      <c r="V290" s="66"/>
      <c r="W290" s="37"/>
      <c r="X290" s="37"/>
      <c r="Y290" s="37"/>
    </row>
    <row r="291" spans="1:25" ht="15.75" customHeight="1">
      <c r="A291" s="67" t="s">
        <v>725</v>
      </c>
      <c r="B291" s="61" t="s">
        <v>726</v>
      </c>
      <c r="C291" s="44" t="str">
        <f ca="1">IFERROR(__xludf.DUMMYFUNCTION("arrayformula(VLOOKUP(to_Text(A291),to_Text(sheet2!$A$1:M1002),13,0))"),"ONC")</f>
        <v>ONC</v>
      </c>
      <c r="D291" s="45" t="str">
        <f ca="1">IFERROR(__xludf.DUMMYFUNCTION("arrayformula(VLOOKUP(to_Text(A291),to_Text(sheet2!$A$1:M1002),12,0))"),"DEV")</f>
        <v>DEV</v>
      </c>
      <c r="E291" s="43" t="str">
        <f t="shared" ca="1" si="32"/>
        <v>Active</v>
      </c>
      <c r="F291" s="42" t="str">
        <f t="array" aca="1" ref="F291" ca="1">IFERROR(
  INDEX(ATTENDANCE_INPUT!D:D,
    MATCH(1,
      (ATTENDANCE_INPUT!A:A=A291) *
      (ATTENDANCE_INPUT!V:V=_xludf.MAXIFS(ATTENDANCE_INPUT!V:V, ATTENDANCE_INPUT!A:A, A291)),
      0)),
  "")</f>
        <v/>
      </c>
      <c r="G291" s="46" t="str">
        <f t="array" aca="1" ref="G291" ca="1">IFERROR(
  INDEX(ATTENDANCE_INPUT!E:E,
    MATCH(1,
      (ATTENDANCE_INPUT!A:A=A291) *
      (ATTENDANCE_INPUT!V:V=_xludf.MAXIFS(ATTENDANCE_INPUT!V:V, ATTENDANCE_INPUT!A:A, A291)),
      0)),
  "")</f>
        <v/>
      </c>
      <c r="H291" s="47" t="str">
        <f t="array" aca="1" ref="H291" ca="1">IF(ISNA(MATCH(A291,sheet2!A:A,0)),"⏳ Chưa test",IFERROR(INDEX(LEVEL_HELPER!A:A,MATCH(INDEX(sheet2!N:N,MATCH(A291,sheet2!A:A,0)),LEVEL_HELPER!B:B,0)),"⏳ Chưa test"))</f>
        <v>Beginner</v>
      </c>
      <c r="I291" s="47" t="str">
        <f t="array" aca="1" ref="I291" ca="1">IF(ISNA(MATCH(A291,sheet2!A:A,0)),H291,IF(INDEX(sheet2!O:O,MATCH(A291,sheet2!A:A,0))&gt;0,IFERROR(INDEX(LEVEL_HELPER!A:A,MATCH(INDEX(sheet2!O:O,MATCH(A291,sheet2!A:A,0)),LEVEL_HELPER!B:B,0)),H291),H291))</f>
        <v>Beginner</v>
      </c>
      <c r="J291" s="47" t="str">
        <f ca="1">IFERROR(_xludf.MAXIFS(ATTENDANCE_LOG!F:F, ATTENDANCE_LOG!C:C, A291&amp;"", ATTENDANCE_LOG!G:G, "Present"), "")</f>
        <v/>
      </c>
      <c r="K291" s="48" t="str">
        <f t="shared" ca="1" si="28"/>
        <v/>
      </c>
      <c r="L291" s="49" t="str">
        <f t="shared" ca="1" si="29"/>
        <v/>
      </c>
      <c r="M291" s="36"/>
      <c r="N291" s="50"/>
      <c r="O291" s="68"/>
      <c r="P291" s="68"/>
      <c r="Q291" s="68"/>
      <c r="R291" s="68"/>
      <c r="S291" s="68"/>
      <c r="T291" s="68"/>
      <c r="U291" s="68"/>
      <c r="V291" s="68"/>
      <c r="W291" s="37"/>
      <c r="X291" s="37"/>
      <c r="Y291" s="37"/>
    </row>
    <row r="292" spans="1:25" ht="15.75" customHeight="1">
      <c r="A292" s="69" t="s">
        <v>727</v>
      </c>
      <c r="B292" s="65" t="s">
        <v>728</v>
      </c>
      <c r="C292" s="44" t="str">
        <f ca="1">IFERROR(__xludf.DUMMYFUNCTION("arrayformula(VLOOKUP(to_Text(A292),to_Text(sheet2!$A$1:M1002),13,0))"),"ONC")</f>
        <v>ONC</v>
      </c>
      <c r="D292" s="45" t="str">
        <f ca="1">IFERROR(__xludf.DUMMYFUNCTION("arrayformula(VLOOKUP(to_Text(A292),to_Text(sheet2!$A$1:M1002),12,0))"),"DEV")</f>
        <v>DEV</v>
      </c>
      <c r="E292" s="43" t="str">
        <f t="shared" ca="1" si="32"/>
        <v>Active</v>
      </c>
      <c r="F292" s="42" t="str">
        <f t="array" aca="1" ref="F292" ca="1">IFERROR(
  INDEX(ATTENDANCE_INPUT!D:D,
    MATCH(1,
      (ATTENDANCE_INPUT!A:A=A292) *
      (ATTENDANCE_INPUT!V:V=_xludf.MAXIFS(ATTENDANCE_INPUT!V:V, ATTENDANCE_INPUT!A:A, A292)),
      0)),
  "")</f>
        <v/>
      </c>
      <c r="G292" s="46" t="str">
        <f t="array" aca="1" ref="G292" ca="1">IFERROR(
  INDEX(ATTENDANCE_INPUT!E:E,
    MATCH(1,
      (ATTENDANCE_INPUT!A:A=A292) *
      (ATTENDANCE_INPUT!V:V=_xludf.MAXIFS(ATTENDANCE_INPUT!V:V, ATTENDANCE_INPUT!A:A, A292)),
      0)),
  "")</f>
        <v/>
      </c>
      <c r="H292" s="47" t="str">
        <f t="array" aca="1" ref="H292" ca="1">IF(ISNA(MATCH(A292,sheet2!A:A,0)),"⏳ Chưa test",IFERROR(INDEX(LEVEL_HELPER!A:A,MATCH(INDEX(sheet2!N:N,MATCH(A292,sheet2!A:A,0)),LEVEL_HELPER!B:B,0)),"⏳ Chưa test"))</f>
        <v>Beginner</v>
      </c>
      <c r="I292" s="47" t="str">
        <f t="array" aca="1" ref="I292" ca="1">IF(ISNA(MATCH(A292,sheet2!A:A,0)),H292,IF(INDEX(sheet2!O:O,MATCH(A292,sheet2!A:A,0))&gt;0,IFERROR(INDEX(LEVEL_HELPER!A:A,MATCH(INDEX(sheet2!O:O,MATCH(A292,sheet2!A:A,0)),LEVEL_HELPER!B:B,0)),H292),H292))</f>
        <v>Beginner</v>
      </c>
      <c r="J292" s="47" t="str">
        <f ca="1">IFERROR(_xludf.MAXIFS(ATTENDANCE_LOG!F:F, ATTENDANCE_LOG!C:C, A292&amp;"", ATTENDANCE_LOG!G:G, "Present"), "")</f>
        <v/>
      </c>
      <c r="K292" s="48" t="str">
        <f t="shared" ca="1" si="28"/>
        <v/>
      </c>
      <c r="L292" s="49" t="str">
        <f t="shared" ca="1" si="29"/>
        <v/>
      </c>
      <c r="M292" s="36"/>
      <c r="N292" s="50"/>
      <c r="O292" s="66"/>
      <c r="P292" s="66"/>
      <c r="Q292" s="66"/>
      <c r="R292" s="66"/>
      <c r="S292" s="66"/>
      <c r="T292" s="66"/>
      <c r="U292" s="66"/>
      <c r="V292" s="66"/>
      <c r="W292" s="37"/>
      <c r="X292" s="37"/>
      <c r="Y292" s="37"/>
    </row>
    <row r="293" spans="1:25" ht="15.75" customHeight="1">
      <c r="A293" s="67" t="s">
        <v>729</v>
      </c>
      <c r="B293" s="61" t="s">
        <v>730</v>
      </c>
      <c r="C293" s="44" t="str">
        <f ca="1">IFERROR(__xludf.DUMMYFUNCTION("arrayformula(VLOOKUP(to_Text(A293),to_Text(sheet2!$A$1:M1002),13,0))"),"ONC")</f>
        <v>ONC</v>
      </c>
      <c r="D293" s="45" t="str">
        <f ca="1">IFERROR(__xludf.DUMMYFUNCTION("arrayformula(VLOOKUP(to_Text(A293),to_Text(sheet2!$A$1:M1002),12,0))"),"DEV")</f>
        <v>DEV</v>
      </c>
      <c r="E293" s="43" t="str">
        <f t="shared" ca="1" si="32"/>
        <v>Active</v>
      </c>
      <c r="F293" s="42" t="str">
        <f t="array" aca="1" ref="F293" ca="1">IFERROR(
  INDEX(ATTENDANCE_INPUT!D:D,
    MATCH(1,
      (ATTENDANCE_INPUT!A:A=A293) *
      (ATTENDANCE_INPUT!V:V=_xludf.MAXIFS(ATTENDANCE_INPUT!V:V, ATTENDANCE_INPUT!A:A, A293)),
      0)),
  "")</f>
        <v/>
      </c>
      <c r="G293" s="46" t="str">
        <f t="array" aca="1" ref="G293" ca="1">IFERROR(
  INDEX(ATTENDANCE_INPUT!E:E,
    MATCH(1,
      (ATTENDANCE_INPUT!A:A=A293) *
      (ATTENDANCE_INPUT!V:V=_xludf.MAXIFS(ATTENDANCE_INPUT!V:V, ATTENDANCE_INPUT!A:A, A293)),
      0)),
  "")</f>
        <v/>
      </c>
      <c r="H293" s="47" t="str">
        <f t="array" aca="1" ref="H293" ca="1">IF(ISNA(MATCH(A293,sheet2!A:A,0)),"⏳ Chưa test",IFERROR(INDEX(LEVEL_HELPER!A:A,MATCH(INDEX(sheet2!N:N,MATCH(A293,sheet2!A:A,0)),LEVEL_HELPER!B:B,0)),"⏳ Chưa test"))</f>
        <v>Beginner</v>
      </c>
      <c r="I293" s="47" t="str">
        <f t="array" aca="1" ref="I293" ca="1">IF(ISNA(MATCH(A293,sheet2!A:A,0)),H293,IF(INDEX(sheet2!O:O,MATCH(A293,sheet2!A:A,0))&gt;0,IFERROR(INDEX(LEVEL_HELPER!A:A,MATCH(INDEX(sheet2!O:O,MATCH(A293,sheet2!A:A,0)),LEVEL_HELPER!B:B,0)),H293),H293))</f>
        <v>Beginner</v>
      </c>
      <c r="J293" s="47" t="str">
        <f ca="1">IFERROR(_xludf.MAXIFS(ATTENDANCE_LOG!F:F, ATTENDANCE_LOG!C:C, A293&amp;"", ATTENDANCE_LOG!G:G, "Present"), "")</f>
        <v/>
      </c>
      <c r="K293" s="48" t="str">
        <f t="shared" ca="1" si="28"/>
        <v/>
      </c>
      <c r="L293" s="49" t="str">
        <f t="shared" ca="1" si="29"/>
        <v/>
      </c>
      <c r="M293" s="36"/>
      <c r="N293" s="50"/>
      <c r="O293" s="68"/>
      <c r="P293" s="68"/>
      <c r="Q293" s="68"/>
      <c r="R293" s="68"/>
      <c r="S293" s="68"/>
      <c r="T293" s="68"/>
      <c r="U293" s="68"/>
      <c r="V293" s="68"/>
      <c r="W293" s="37"/>
      <c r="X293" s="37"/>
      <c r="Y293" s="37"/>
    </row>
    <row r="294" spans="1:25" ht="15.75" customHeight="1">
      <c r="A294" s="69" t="s">
        <v>731</v>
      </c>
      <c r="B294" s="65" t="s">
        <v>732</v>
      </c>
      <c r="C294" s="44" t="str">
        <f ca="1">IFERROR(__xludf.DUMMYFUNCTION("arrayformula(VLOOKUP(to_Text(A294),to_Text(sheet2!$A$1:M1002),13,0))"),"ONC")</f>
        <v>ONC</v>
      </c>
      <c r="D294" s="45" t="str">
        <f ca="1">IFERROR(__xludf.DUMMYFUNCTION("arrayformula(VLOOKUP(to_Text(A294),to_Text(sheet2!$A$1:M1002),12,0))"),"DEV")</f>
        <v>DEV</v>
      </c>
      <c r="E294" s="43" t="str">
        <f t="shared" ca="1" si="32"/>
        <v>Active</v>
      </c>
      <c r="F294" s="42" t="str">
        <f t="array" aca="1" ref="F294" ca="1">IFERROR(
  INDEX(ATTENDANCE_INPUT!D:D,
    MATCH(1,
      (ATTENDANCE_INPUT!A:A=A294) *
      (ATTENDANCE_INPUT!V:V=_xludf.MAXIFS(ATTENDANCE_INPUT!V:V, ATTENDANCE_INPUT!A:A, A294)),
      0)),
  "")</f>
        <v/>
      </c>
      <c r="G294" s="46" t="str">
        <f t="array" aca="1" ref="G294" ca="1">IFERROR(
  INDEX(ATTENDANCE_INPUT!E:E,
    MATCH(1,
      (ATTENDANCE_INPUT!A:A=A294) *
      (ATTENDANCE_INPUT!V:V=_xludf.MAXIFS(ATTENDANCE_INPUT!V:V, ATTENDANCE_INPUT!A:A, A294)),
      0)),
  "")</f>
        <v/>
      </c>
      <c r="H294" s="47" t="str">
        <f t="array" aca="1" ref="H294" ca="1">IF(ISNA(MATCH(A294,sheet2!A:A,0)),"⏳ Chưa test",IFERROR(INDEX(LEVEL_HELPER!A:A,MATCH(INDEX(sheet2!N:N,MATCH(A294,sheet2!A:A,0)),LEVEL_HELPER!B:B,0)),"⏳ Chưa test"))</f>
        <v>Beginner</v>
      </c>
      <c r="I294" s="47" t="str">
        <f t="array" aca="1" ref="I294" ca="1">IF(ISNA(MATCH(A294,sheet2!A:A,0)),H294,IF(INDEX(sheet2!O:O,MATCH(A294,sheet2!A:A,0))&gt;0,IFERROR(INDEX(LEVEL_HELPER!A:A,MATCH(INDEX(sheet2!O:O,MATCH(A294,sheet2!A:A,0)),LEVEL_HELPER!B:B,0)),H294),H294))</f>
        <v>Beginner</v>
      </c>
      <c r="J294" s="47" t="str">
        <f ca="1">IFERROR(_xludf.MAXIFS(ATTENDANCE_LOG!F:F, ATTENDANCE_LOG!C:C, A294&amp;"", ATTENDANCE_LOG!G:G, "Present"), "")</f>
        <v/>
      </c>
      <c r="K294" s="48" t="str">
        <f t="shared" ca="1" si="28"/>
        <v/>
      </c>
      <c r="L294" s="49" t="str">
        <f t="shared" ca="1" si="29"/>
        <v/>
      </c>
      <c r="M294" s="36"/>
      <c r="N294" s="50"/>
      <c r="O294" s="66"/>
      <c r="P294" s="66"/>
      <c r="Q294" s="66"/>
      <c r="R294" s="66"/>
      <c r="S294" s="66"/>
      <c r="T294" s="66"/>
      <c r="U294" s="66"/>
      <c r="V294" s="66"/>
      <c r="W294" s="37"/>
      <c r="X294" s="37"/>
      <c r="Y294" s="37"/>
    </row>
    <row r="295" spans="1:25" ht="15.75" customHeight="1">
      <c r="A295" s="67" t="s">
        <v>733</v>
      </c>
      <c r="B295" s="61" t="s">
        <v>734</v>
      </c>
      <c r="C295" s="44" t="str">
        <f ca="1">IFERROR(__xludf.DUMMYFUNCTION("arrayformula(VLOOKUP(to_Text(A295),to_Text(sheet2!$A$1:M1002),13,0))"),"ONC")</f>
        <v>ONC</v>
      </c>
      <c r="D295" s="45" t="str">
        <f ca="1">IFERROR(__xludf.DUMMYFUNCTION("arrayformula(VLOOKUP(to_Text(A295),to_Text(sheet2!$A$1:M1002),12,0))"),"DEV")</f>
        <v>DEV</v>
      </c>
      <c r="E295" s="43" t="str">
        <f t="shared" ca="1" si="32"/>
        <v>Active</v>
      </c>
      <c r="F295" s="42" t="str">
        <f t="array" aca="1" ref="F295" ca="1">IFERROR(
  INDEX(ATTENDANCE_INPUT!D:D,
    MATCH(1,
      (ATTENDANCE_INPUT!A:A=A295) *
      (ATTENDANCE_INPUT!V:V=_xludf.MAXIFS(ATTENDANCE_INPUT!V:V, ATTENDANCE_INPUT!A:A, A295)),
      0)),
  "")</f>
        <v/>
      </c>
      <c r="G295" s="46" t="str">
        <f t="array" aca="1" ref="G295" ca="1">IFERROR(
  INDEX(ATTENDANCE_INPUT!E:E,
    MATCH(1,
      (ATTENDANCE_INPUT!A:A=A295) *
      (ATTENDANCE_INPUT!V:V=_xludf.MAXIFS(ATTENDANCE_INPUT!V:V, ATTENDANCE_INPUT!A:A, A295)),
      0)),
  "")</f>
        <v/>
      </c>
      <c r="H295" s="47" t="str">
        <f t="array" aca="1" ref="H295" ca="1">IF(ISNA(MATCH(A295,sheet2!A:A,0)),"⏳ Chưa test",IFERROR(INDEX(LEVEL_HELPER!A:A,MATCH(INDEX(sheet2!N:N,MATCH(A295,sheet2!A:A,0)),LEVEL_HELPER!B:B,0)),"⏳ Chưa test"))</f>
        <v>Beginner</v>
      </c>
      <c r="I295" s="47" t="str">
        <f t="array" aca="1" ref="I295" ca="1">IF(ISNA(MATCH(A295,sheet2!A:A,0)),H295,IF(INDEX(sheet2!O:O,MATCH(A295,sheet2!A:A,0))&gt;0,IFERROR(INDEX(LEVEL_HELPER!A:A,MATCH(INDEX(sheet2!O:O,MATCH(A295,sheet2!A:A,0)),LEVEL_HELPER!B:B,0)),H295),H295))</f>
        <v>Beginner</v>
      </c>
      <c r="J295" s="47" t="str">
        <f ca="1">IFERROR(_xludf.MAXIFS(ATTENDANCE_LOG!F:F, ATTENDANCE_LOG!C:C, A295&amp;"", ATTENDANCE_LOG!G:G, "Present"), "")</f>
        <v/>
      </c>
      <c r="K295" s="48" t="str">
        <f t="shared" ca="1" si="28"/>
        <v/>
      </c>
      <c r="L295" s="49" t="str">
        <f t="shared" ca="1" si="29"/>
        <v/>
      </c>
      <c r="M295" s="36"/>
      <c r="N295" s="50"/>
      <c r="O295" s="68"/>
      <c r="P295" s="68"/>
      <c r="Q295" s="68"/>
      <c r="R295" s="68"/>
      <c r="S295" s="68"/>
      <c r="T295" s="68"/>
      <c r="U295" s="68"/>
      <c r="V295" s="68"/>
      <c r="W295" s="37"/>
      <c r="X295" s="37"/>
      <c r="Y295" s="37"/>
    </row>
    <row r="296" spans="1:25" ht="15.75" customHeight="1">
      <c r="A296" s="69" t="s">
        <v>735</v>
      </c>
      <c r="B296" s="65" t="s">
        <v>736</v>
      </c>
      <c r="C296" s="44" t="str">
        <f ca="1">IFERROR(__xludf.DUMMYFUNCTION("arrayformula(VLOOKUP(to_Text(A296),to_Text(sheet2!$A$1:M1002),13,0))"),"ONC")</f>
        <v>ONC</v>
      </c>
      <c r="D296" s="45" t="str">
        <f ca="1">IFERROR(__xludf.DUMMYFUNCTION("arrayformula(VLOOKUP(to_Text(A296),to_Text(sheet2!$A$1:M1002),12,0))"),"DEV")</f>
        <v>DEV</v>
      </c>
      <c r="E296" s="43" t="str">
        <f t="shared" ca="1" si="32"/>
        <v>Active</v>
      </c>
      <c r="F296" s="42" t="str">
        <f t="array" aca="1" ref="F296" ca="1">IFERROR(
  INDEX(ATTENDANCE_INPUT!D:D,
    MATCH(1,
      (ATTENDANCE_INPUT!A:A=A296) *
      (ATTENDANCE_INPUT!V:V=_xludf.MAXIFS(ATTENDANCE_INPUT!V:V, ATTENDANCE_INPUT!A:A, A296)),
      0)),
  "")</f>
        <v/>
      </c>
      <c r="G296" s="46" t="str">
        <f t="array" aca="1" ref="G296" ca="1">IFERROR(
  INDEX(ATTENDANCE_INPUT!E:E,
    MATCH(1,
      (ATTENDANCE_INPUT!A:A=A296) *
      (ATTENDANCE_INPUT!V:V=_xludf.MAXIFS(ATTENDANCE_INPUT!V:V, ATTENDANCE_INPUT!A:A, A296)),
      0)),
  "")</f>
        <v/>
      </c>
      <c r="H296" s="47" t="str">
        <f t="array" aca="1" ref="H296" ca="1">IF(ISNA(MATCH(A296,sheet2!A:A,0)),"⏳ Chưa test",IFERROR(INDEX(LEVEL_HELPER!A:A,MATCH(INDEX(sheet2!N:N,MATCH(A296,sheet2!A:A,0)),LEVEL_HELPER!B:B,0)),"⏳ Chưa test"))</f>
        <v>Beginner</v>
      </c>
      <c r="I296" s="47" t="str">
        <f t="array" aca="1" ref="I296" ca="1">IF(ISNA(MATCH(A296,sheet2!A:A,0)),H296,IF(INDEX(sheet2!O:O,MATCH(A296,sheet2!A:A,0))&gt;0,IFERROR(INDEX(LEVEL_HELPER!A:A,MATCH(INDEX(sheet2!O:O,MATCH(A296,sheet2!A:A,0)),LEVEL_HELPER!B:B,0)),H296),H296))</f>
        <v>Beginner</v>
      </c>
      <c r="J296" s="47" t="str">
        <f ca="1">IFERROR(_xludf.MAXIFS(ATTENDANCE_LOG!F:F, ATTENDANCE_LOG!C:C, A296&amp;"", ATTENDANCE_LOG!G:G, "Present"), "")</f>
        <v/>
      </c>
      <c r="K296" s="48" t="str">
        <f t="shared" ca="1" si="28"/>
        <v/>
      </c>
      <c r="L296" s="49" t="str">
        <f t="shared" ca="1" si="29"/>
        <v/>
      </c>
      <c r="M296" s="36"/>
      <c r="N296" s="50"/>
      <c r="O296" s="66"/>
      <c r="P296" s="66"/>
      <c r="Q296" s="66"/>
      <c r="R296" s="66"/>
      <c r="S296" s="66"/>
      <c r="T296" s="66"/>
      <c r="U296" s="66"/>
      <c r="V296" s="66"/>
      <c r="W296" s="37"/>
      <c r="X296" s="37"/>
      <c r="Y296" s="37"/>
    </row>
    <row r="297" spans="1:25" ht="15.75" customHeight="1">
      <c r="A297" s="67" t="s">
        <v>737</v>
      </c>
      <c r="B297" s="61" t="s">
        <v>738</v>
      </c>
      <c r="C297" s="44" t="str">
        <f ca="1">IFERROR(__xludf.DUMMYFUNCTION("arrayformula(VLOOKUP(to_Text(A297),to_Text(sheet2!$A$1:M1002),13,0))"),"ONC")</f>
        <v>ONC</v>
      </c>
      <c r="D297" s="45" t="str">
        <f ca="1">IFERROR(__xludf.DUMMYFUNCTION("arrayformula(VLOOKUP(to_Text(A297),to_Text(sheet2!$A$1:M1002),12,0))"),"DEV")</f>
        <v>DEV</v>
      </c>
      <c r="E297" s="43" t="str">
        <f t="shared" ca="1" si="32"/>
        <v>Active</v>
      </c>
      <c r="F297" s="42" t="str">
        <f t="array" aca="1" ref="F297" ca="1">IFERROR(
  INDEX(ATTENDANCE_INPUT!D:D,
    MATCH(1,
      (ATTENDANCE_INPUT!A:A=A297) *
      (ATTENDANCE_INPUT!V:V=_xludf.MAXIFS(ATTENDANCE_INPUT!V:V, ATTENDANCE_INPUT!A:A, A297)),
      0)),
  "")</f>
        <v/>
      </c>
      <c r="G297" s="46" t="str">
        <f t="array" aca="1" ref="G297" ca="1">IFERROR(
  INDEX(ATTENDANCE_INPUT!E:E,
    MATCH(1,
      (ATTENDANCE_INPUT!A:A=A297) *
      (ATTENDANCE_INPUT!V:V=_xludf.MAXIFS(ATTENDANCE_INPUT!V:V, ATTENDANCE_INPUT!A:A, A297)),
      0)),
  "")</f>
        <v/>
      </c>
      <c r="H297" s="47" t="str">
        <f t="array" aca="1" ref="H297" ca="1">IF(ISNA(MATCH(A297,sheet2!A:A,0)),"⏳ Chưa test",IFERROR(INDEX(LEVEL_HELPER!A:A,MATCH(INDEX(sheet2!N:N,MATCH(A297,sheet2!A:A,0)),LEVEL_HELPER!B:B,0)),"⏳ Chưa test"))</f>
        <v>Beginner</v>
      </c>
      <c r="I297" s="47" t="str">
        <f t="array" aca="1" ref="I297" ca="1">IF(ISNA(MATCH(A297,sheet2!A:A,0)),H297,IF(INDEX(sheet2!O:O,MATCH(A297,sheet2!A:A,0))&gt;0,IFERROR(INDEX(LEVEL_HELPER!A:A,MATCH(INDEX(sheet2!O:O,MATCH(A297,sheet2!A:A,0)),LEVEL_HELPER!B:B,0)),H297),H297))</f>
        <v>Beginner</v>
      </c>
      <c r="J297" s="47" t="str">
        <f ca="1">IFERROR(_xludf.MAXIFS(ATTENDANCE_LOG!F:F, ATTENDANCE_LOG!C:C, A297&amp;"", ATTENDANCE_LOG!G:G, "Present"), "")</f>
        <v/>
      </c>
      <c r="K297" s="48" t="str">
        <f t="shared" ca="1" si="28"/>
        <v/>
      </c>
      <c r="L297" s="49" t="str">
        <f t="shared" ca="1" si="29"/>
        <v/>
      </c>
      <c r="M297" s="36"/>
      <c r="N297" s="50"/>
      <c r="O297" s="68"/>
      <c r="P297" s="68"/>
      <c r="Q297" s="68"/>
      <c r="R297" s="68"/>
      <c r="S297" s="68"/>
      <c r="T297" s="68"/>
      <c r="U297" s="68"/>
      <c r="V297" s="68"/>
      <c r="W297" s="37"/>
      <c r="X297" s="37"/>
      <c r="Y297" s="37"/>
    </row>
    <row r="298" spans="1:25" ht="15.75" customHeight="1">
      <c r="A298" s="69" t="s">
        <v>739</v>
      </c>
      <c r="B298" s="65" t="s">
        <v>740</v>
      </c>
      <c r="C298" s="44" t="str">
        <f ca="1">IFERROR(__xludf.DUMMYFUNCTION("arrayformula(VLOOKUP(to_Text(A298),to_Text(sheet2!$A$1:M1002),13,0))"),"ONC")</f>
        <v>ONC</v>
      </c>
      <c r="D298" s="45" t="str">
        <f ca="1">IFERROR(__xludf.DUMMYFUNCTION("arrayformula(VLOOKUP(to_Text(A298),to_Text(sheet2!$A$1:M1002),12,0))"),"DEV")</f>
        <v>DEV</v>
      </c>
      <c r="E298" s="43" t="str">
        <f t="shared" ca="1" si="32"/>
        <v>Active</v>
      </c>
      <c r="F298" s="42" t="str">
        <f t="array" aca="1" ref="F298" ca="1">IFERROR(
  INDEX(ATTENDANCE_INPUT!D:D,
    MATCH(1,
      (ATTENDANCE_INPUT!A:A=A298) *
      (ATTENDANCE_INPUT!V:V=_xludf.MAXIFS(ATTENDANCE_INPUT!V:V, ATTENDANCE_INPUT!A:A, A298)),
      0)),
  "")</f>
        <v/>
      </c>
      <c r="G298" s="46" t="str">
        <f t="array" aca="1" ref="G298" ca="1">IFERROR(
  INDEX(ATTENDANCE_INPUT!E:E,
    MATCH(1,
      (ATTENDANCE_INPUT!A:A=A298) *
      (ATTENDANCE_INPUT!V:V=_xludf.MAXIFS(ATTENDANCE_INPUT!V:V, ATTENDANCE_INPUT!A:A, A298)),
      0)),
  "")</f>
        <v/>
      </c>
      <c r="H298" s="47" t="str">
        <f t="array" aca="1" ref="H298" ca="1">IF(ISNA(MATCH(A298,sheet2!A:A,0)),"⏳ Chưa test",IFERROR(INDEX(LEVEL_HELPER!A:A,MATCH(INDEX(sheet2!N:N,MATCH(A298,sheet2!A:A,0)),LEVEL_HELPER!B:B,0)),"⏳ Chưa test"))</f>
        <v>Beginner</v>
      </c>
      <c r="I298" s="47" t="str">
        <f t="array" aca="1" ref="I298" ca="1">IF(ISNA(MATCH(A298,sheet2!A:A,0)),H298,IF(INDEX(sheet2!O:O,MATCH(A298,sheet2!A:A,0))&gt;0,IFERROR(INDEX(LEVEL_HELPER!A:A,MATCH(INDEX(sheet2!O:O,MATCH(A298,sheet2!A:A,0)),LEVEL_HELPER!B:B,0)),H298),H298))</f>
        <v>Beginner</v>
      </c>
      <c r="J298" s="47" t="str">
        <f ca="1">IFERROR(_xludf.MAXIFS(ATTENDANCE_LOG!F:F, ATTENDANCE_LOG!C:C, A298&amp;"", ATTENDANCE_LOG!G:G, "Present"), "")</f>
        <v/>
      </c>
      <c r="K298" s="48" t="str">
        <f t="shared" ca="1" si="28"/>
        <v/>
      </c>
      <c r="L298" s="49" t="str">
        <f t="shared" ca="1" si="29"/>
        <v/>
      </c>
      <c r="M298" s="36"/>
      <c r="N298" s="50"/>
      <c r="O298" s="66"/>
      <c r="P298" s="66"/>
      <c r="Q298" s="66"/>
      <c r="R298" s="66"/>
      <c r="S298" s="66"/>
      <c r="T298" s="66"/>
      <c r="U298" s="66"/>
      <c r="V298" s="66"/>
      <c r="W298" s="37"/>
      <c r="X298" s="37"/>
      <c r="Y298" s="37"/>
    </row>
    <row r="299" spans="1:25" ht="15.75" customHeight="1">
      <c r="A299" s="67" t="s">
        <v>741</v>
      </c>
      <c r="B299" s="61" t="s">
        <v>742</v>
      </c>
      <c r="C299" s="44" t="str">
        <f ca="1">IFERROR(__xludf.DUMMYFUNCTION("arrayformula(VLOOKUP(to_Text(A299),to_Text(sheet2!$A$1:M1002),13,0))"),"ONC")</f>
        <v>ONC</v>
      </c>
      <c r="D299" s="45" t="str">
        <f ca="1">IFERROR(__xludf.DUMMYFUNCTION("arrayformula(VLOOKUP(to_Text(A299),to_Text(sheet2!$A$1:M1002),12,0))"),"DEV")</f>
        <v>DEV</v>
      </c>
      <c r="E299" s="43" t="str">
        <f t="shared" ca="1" si="32"/>
        <v>Active</v>
      </c>
      <c r="F299" s="42" t="str">
        <f t="array" aca="1" ref="F299" ca="1">IFERROR(
  INDEX(ATTENDANCE_INPUT!D:D,
    MATCH(1,
      (ATTENDANCE_INPUT!A:A=A299) *
      (ATTENDANCE_INPUT!V:V=_xludf.MAXIFS(ATTENDANCE_INPUT!V:V, ATTENDANCE_INPUT!A:A, A299)),
      0)),
  "")</f>
        <v/>
      </c>
      <c r="G299" s="46" t="str">
        <f t="array" aca="1" ref="G299" ca="1">IFERROR(
  INDEX(ATTENDANCE_INPUT!E:E,
    MATCH(1,
      (ATTENDANCE_INPUT!A:A=A299) *
      (ATTENDANCE_INPUT!V:V=_xludf.MAXIFS(ATTENDANCE_INPUT!V:V, ATTENDANCE_INPUT!A:A, A299)),
      0)),
  "")</f>
        <v/>
      </c>
      <c r="H299" s="47" t="str">
        <f t="array" aca="1" ref="H299" ca="1">IF(ISNA(MATCH(A299,sheet2!A:A,0)),"⏳ Chưa test",IFERROR(INDEX(LEVEL_HELPER!A:A,MATCH(INDEX(sheet2!N:N,MATCH(A299,sheet2!A:A,0)),LEVEL_HELPER!B:B,0)),"⏳ Chưa test"))</f>
        <v>Beginner</v>
      </c>
      <c r="I299" s="47" t="str">
        <f t="array" aca="1" ref="I299" ca="1">IF(ISNA(MATCH(A299,sheet2!A:A,0)),H299,IF(INDEX(sheet2!O:O,MATCH(A299,sheet2!A:A,0))&gt;0,IFERROR(INDEX(LEVEL_HELPER!A:A,MATCH(INDEX(sheet2!O:O,MATCH(A299,sheet2!A:A,0)),LEVEL_HELPER!B:B,0)),H299),H299))</f>
        <v>Beginner</v>
      </c>
      <c r="J299" s="47" t="str">
        <f ca="1">IFERROR(_xludf.MAXIFS(ATTENDANCE_LOG!F:F, ATTENDANCE_LOG!C:C, A299&amp;"", ATTENDANCE_LOG!G:G, "Present"), "")</f>
        <v/>
      </c>
      <c r="K299" s="48" t="str">
        <f t="shared" ca="1" si="28"/>
        <v/>
      </c>
      <c r="L299" s="49" t="str">
        <f t="shared" ca="1" si="29"/>
        <v/>
      </c>
      <c r="M299" s="36"/>
      <c r="N299" s="50"/>
      <c r="O299" s="68"/>
      <c r="P299" s="68"/>
      <c r="Q299" s="68"/>
      <c r="R299" s="68"/>
      <c r="S299" s="68"/>
      <c r="T299" s="68"/>
      <c r="U299" s="68"/>
      <c r="V299" s="68"/>
      <c r="W299" s="37"/>
      <c r="X299" s="37"/>
      <c r="Y299" s="37"/>
    </row>
    <row r="300" spans="1:25" ht="15.75" customHeight="1">
      <c r="A300" s="69" t="s">
        <v>743</v>
      </c>
      <c r="B300" s="65" t="s">
        <v>744</v>
      </c>
      <c r="C300" s="44" t="str">
        <f ca="1">IFERROR(__xludf.DUMMYFUNCTION("arrayformula(VLOOKUP(to_Text(A300),to_Text(sheet2!$A$1:M1002),13,0))"),"ONC")</f>
        <v>ONC</v>
      </c>
      <c r="D300" s="45" t="str">
        <f ca="1">IFERROR(__xludf.DUMMYFUNCTION("arrayformula(VLOOKUP(to_Text(A300),to_Text(sheet2!$A$1:M1002),12,0))"),"DEV")</f>
        <v>DEV</v>
      </c>
      <c r="E300" s="43" t="str">
        <f t="shared" ca="1" si="32"/>
        <v>Active</v>
      </c>
      <c r="F300" s="42" t="str">
        <f t="array" aca="1" ref="F300" ca="1">IFERROR(
  INDEX(ATTENDANCE_INPUT!D:D,
    MATCH(1,
      (ATTENDANCE_INPUT!A:A=A300) *
      (ATTENDANCE_INPUT!V:V=_xludf.MAXIFS(ATTENDANCE_INPUT!V:V, ATTENDANCE_INPUT!A:A, A300)),
      0)),
  "")</f>
        <v/>
      </c>
      <c r="G300" s="46" t="str">
        <f t="array" aca="1" ref="G300" ca="1">IFERROR(
  INDEX(ATTENDANCE_INPUT!E:E,
    MATCH(1,
      (ATTENDANCE_INPUT!A:A=A300) *
      (ATTENDANCE_INPUT!V:V=_xludf.MAXIFS(ATTENDANCE_INPUT!V:V, ATTENDANCE_INPUT!A:A, A300)),
      0)),
  "")</f>
        <v/>
      </c>
      <c r="H300" s="47" t="str">
        <f t="array" aca="1" ref="H300" ca="1">IF(ISNA(MATCH(A300,sheet2!A:A,0)),"⏳ Chưa test",IFERROR(INDEX(LEVEL_HELPER!A:A,MATCH(INDEX(sheet2!N:N,MATCH(A300,sheet2!A:A,0)),LEVEL_HELPER!B:B,0)),"⏳ Chưa test"))</f>
        <v>Beginner</v>
      </c>
      <c r="I300" s="47" t="str">
        <f t="array" aca="1" ref="I300" ca="1">IF(ISNA(MATCH(A300,sheet2!A:A,0)),H300,IF(INDEX(sheet2!O:O,MATCH(A300,sheet2!A:A,0))&gt;0,IFERROR(INDEX(LEVEL_HELPER!A:A,MATCH(INDEX(sheet2!O:O,MATCH(A300,sheet2!A:A,0)),LEVEL_HELPER!B:B,0)),H300),H300))</f>
        <v>Beginner</v>
      </c>
      <c r="J300" s="47" t="str">
        <f ca="1">IFERROR(_xludf.MAXIFS(ATTENDANCE_LOG!F:F, ATTENDANCE_LOG!C:C, A300&amp;"", ATTENDANCE_LOG!G:G, "Present"), "")</f>
        <v/>
      </c>
      <c r="K300" s="48" t="str">
        <f t="shared" ca="1" si="28"/>
        <v/>
      </c>
      <c r="L300" s="49" t="str">
        <f t="shared" ca="1" si="29"/>
        <v/>
      </c>
      <c r="M300" s="36"/>
      <c r="N300" s="50"/>
      <c r="O300" s="66"/>
      <c r="P300" s="66"/>
      <c r="Q300" s="66"/>
      <c r="R300" s="66"/>
      <c r="S300" s="66"/>
      <c r="T300" s="66"/>
      <c r="U300" s="66"/>
      <c r="V300" s="66"/>
      <c r="W300" s="37"/>
      <c r="X300" s="37"/>
      <c r="Y300" s="37"/>
    </row>
    <row r="301" spans="1:25" ht="15.75" customHeight="1">
      <c r="A301" s="67" t="s">
        <v>745</v>
      </c>
      <c r="B301" s="61" t="s">
        <v>746</v>
      </c>
      <c r="C301" s="44" t="str">
        <f ca="1">IFERROR(__xludf.DUMMYFUNCTION("arrayformula(VLOOKUP(to_Text(A301),to_Text(sheet2!$A$1:M1002),13,0))"),"CHORUS")</f>
        <v>CHORUS</v>
      </c>
      <c r="D301" s="45" t="str">
        <f ca="1">IFERROR(__xludf.DUMMYFUNCTION("arrayformula(VLOOKUP(to_Text(A301),to_Text(sheet2!$A$1:M1002),12,0))"),"IM")</f>
        <v>IM</v>
      </c>
      <c r="E301" s="43" t="str">
        <f t="shared" ca="1" si="32"/>
        <v>Active</v>
      </c>
      <c r="F301" s="42" t="str">
        <f t="array" aca="1" ref="F301" ca="1">IFERROR(
  INDEX(ATTENDANCE_INPUT!D:D,
    MATCH(1,
      (ATTENDANCE_INPUT!A:A=A301) *
      (ATTENDANCE_INPUT!V:V=_xludf.MAXIFS(ATTENDANCE_INPUT!V:V, ATTENDANCE_INPUT!A:A, A301)),
      0)),
  "")</f>
        <v/>
      </c>
      <c r="G301" s="46" t="str">
        <f t="array" aca="1" ref="G301" ca="1">IFERROR(
  INDEX(ATTENDANCE_INPUT!E:E,
    MATCH(1,
      (ATTENDANCE_INPUT!A:A=A301) *
      (ATTENDANCE_INPUT!V:V=_xludf.MAXIFS(ATTENDANCE_INPUT!V:V, ATTENDANCE_INPUT!A:A, A301)),
      0)),
  "")</f>
        <v/>
      </c>
      <c r="H301" s="47" t="str">
        <f t="array" aca="1" ref="H301" ca="1">IF(ISNA(MATCH(A301,sheet2!A:A,0)),"⏳ Chưa test",IFERROR(INDEX(LEVEL_HELPER!A:A,MATCH(INDEX(sheet2!N:N,MATCH(A301,sheet2!A:A,0)),LEVEL_HELPER!B:B,0)),"⏳ Chưa test"))</f>
        <v>Pre-Intermediate 2</v>
      </c>
      <c r="I301" s="47" t="str">
        <f t="array" aca="1" ref="I301" ca="1">IF(ISNA(MATCH(A301,sheet2!A:A,0)),H301,IF(INDEX(sheet2!O:O,MATCH(A301,sheet2!A:A,0))&gt;0,IFERROR(INDEX(LEVEL_HELPER!A:A,MATCH(INDEX(sheet2!O:O,MATCH(A301,sheet2!A:A,0)),LEVEL_HELPER!B:B,0)),H301),H301))</f>
        <v>Pre-Intermediate 2</v>
      </c>
      <c r="J301" s="47" t="str">
        <f ca="1">IFERROR(_xludf.MAXIFS(ATTENDANCE_LOG!F:F, ATTENDANCE_LOG!C:C, A301&amp;"", ATTENDANCE_LOG!G:G, "Present"), "")</f>
        <v/>
      </c>
      <c r="K301" s="48" t="str">
        <f t="shared" ca="1" si="28"/>
        <v/>
      </c>
      <c r="L301" s="49" t="str">
        <f t="shared" ca="1" si="29"/>
        <v/>
      </c>
      <c r="M301" s="36"/>
      <c r="N301" s="50"/>
      <c r="O301" s="68"/>
      <c r="P301" s="68"/>
      <c r="Q301" s="68"/>
      <c r="R301" s="68"/>
      <c r="S301" s="68"/>
      <c r="T301" s="68"/>
      <c r="U301" s="68"/>
      <c r="V301" s="68"/>
      <c r="W301" s="37"/>
      <c r="X301" s="37"/>
      <c r="Y301" s="37"/>
    </row>
    <row r="302" spans="1:25" ht="15.75" customHeight="1">
      <c r="A302" s="69" t="s">
        <v>747</v>
      </c>
      <c r="B302" s="65" t="s">
        <v>748</v>
      </c>
      <c r="C302" s="44" t="str">
        <f ca="1">IFERROR(__xludf.DUMMYFUNCTION("arrayformula(VLOOKUP(to_Text(A302),to_Text(sheet2!$A$1:M1002),13,0))"),"LBU")</f>
        <v>LBU</v>
      </c>
      <c r="D302" s="45" t="str">
        <f ca="1">IFERROR(__xludf.DUMMYFUNCTION("arrayformula(VLOOKUP(to_Text(A302),to_Text(sheet2!$A$1:M1002),12,0))"),"DEV")</f>
        <v>DEV</v>
      </c>
      <c r="E302" s="43" t="str">
        <f t="shared" ca="1" si="32"/>
        <v>Active</v>
      </c>
      <c r="F302" s="42" t="str">
        <f t="array" aca="1" ref="F302" ca="1">IFERROR(
  INDEX(ATTENDANCE_INPUT!D:D,
    MATCH(1,
      (ATTENDANCE_INPUT!A:A=A302) *
      (ATTENDANCE_INPUT!V:V=_xludf.MAXIFS(ATTENDANCE_INPUT!V:V, ATTENDANCE_INPUT!A:A, A302)),
      0)),
  "")</f>
        <v/>
      </c>
      <c r="G302" s="46" t="str">
        <f t="array" aca="1" ref="G302" ca="1">IFERROR(
  INDEX(ATTENDANCE_INPUT!E:E,
    MATCH(1,
      (ATTENDANCE_INPUT!A:A=A302) *
      (ATTENDANCE_INPUT!V:V=_xludf.MAXIFS(ATTENDANCE_INPUT!V:V, ATTENDANCE_INPUT!A:A, A302)),
      0)),
  "")</f>
        <v/>
      </c>
      <c r="H302" s="47" t="str">
        <f t="array" aca="1" ref="H302" ca="1">IF(ISNA(MATCH(A302,sheet2!A:A,0)),"⏳ Chưa test",IFERROR(INDEX(LEVEL_HELPER!A:A,MATCH(INDEX(sheet2!N:N,MATCH(A302,sheet2!A:A,0)),LEVEL_HELPER!B:B,0)),"⏳ Chưa test"))</f>
        <v>Beginner</v>
      </c>
      <c r="I302" s="47" t="str">
        <f t="array" aca="1" ref="I302" ca="1">IF(ISNA(MATCH(A302,sheet2!A:A,0)),H302,IF(INDEX(sheet2!O:O,MATCH(A302,sheet2!A:A,0))&gt;0,IFERROR(INDEX(LEVEL_HELPER!A:A,MATCH(INDEX(sheet2!O:O,MATCH(A302,sheet2!A:A,0)),LEVEL_HELPER!B:B,0)),H302),H302))</f>
        <v>Beginner</v>
      </c>
      <c r="J302" s="47" t="str">
        <f ca="1">IFERROR(_xludf.MAXIFS(ATTENDANCE_LOG!F:F, ATTENDANCE_LOG!C:C, A302&amp;"", ATTENDANCE_LOG!G:G, "Present"), "")</f>
        <v/>
      </c>
      <c r="K302" s="48" t="str">
        <f t="shared" ca="1" si="28"/>
        <v/>
      </c>
      <c r="L302" s="49" t="str">
        <f t="shared" ca="1" si="29"/>
        <v/>
      </c>
      <c r="M302" s="36"/>
      <c r="N302" s="50"/>
      <c r="O302" s="66"/>
      <c r="P302" s="66"/>
      <c r="Q302" s="66"/>
      <c r="R302" s="66"/>
      <c r="S302" s="66"/>
      <c r="T302" s="66"/>
      <c r="U302" s="66"/>
      <c r="V302" s="66"/>
      <c r="W302" s="37"/>
      <c r="X302" s="37"/>
      <c r="Y302" s="37"/>
    </row>
    <row r="303" spans="1:25" ht="15.75" customHeight="1">
      <c r="A303" s="67" t="s">
        <v>749</v>
      </c>
      <c r="B303" s="61" t="s">
        <v>750</v>
      </c>
      <c r="C303" s="44" t="str">
        <f ca="1">IFERROR(__xludf.DUMMYFUNCTION("arrayformula(VLOOKUP(to_Text(A303),to_Text(sheet2!$A$1:M1002),13,0))"),"LBU")</f>
        <v>LBU</v>
      </c>
      <c r="D303" s="45" t="str">
        <f ca="1">IFERROR(__xludf.DUMMYFUNCTION("arrayformula(VLOOKUP(to_Text(A303),to_Text(sheet2!$A$1:M1002),12,0))"),"BA")</f>
        <v>BA</v>
      </c>
      <c r="E303" s="43" t="str">
        <f t="shared" ca="1" si="32"/>
        <v>Active</v>
      </c>
      <c r="F303" s="42" t="str">
        <f t="array" aca="1" ref="F303" ca="1">IFERROR(
  INDEX(ATTENDANCE_INPUT!D:D,
    MATCH(1,
      (ATTENDANCE_INPUT!A:A=A303) *
      (ATTENDANCE_INPUT!V:V=_xludf.MAXIFS(ATTENDANCE_INPUT!V:V, ATTENDANCE_INPUT!A:A, A303)),
      0)),
  "")</f>
        <v/>
      </c>
      <c r="G303" s="46" t="str">
        <f t="array" aca="1" ref="G303" ca="1">IFERROR(
  INDEX(ATTENDANCE_INPUT!E:E,
    MATCH(1,
      (ATTENDANCE_INPUT!A:A=A303) *
      (ATTENDANCE_INPUT!V:V=_xludf.MAXIFS(ATTENDANCE_INPUT!V:V, ATTENDANCE_INPUT!A:A, A303)),
      0)),
  "")</f>
        <v/>
      </c>
      <c r="H303" s="47" t="str">
        <f t="array" aca="1" ref="H303" ca="1">IF(ISNA(MATCH(A303,sheet2!A:A,0)),"⏳ Chưa test",IFERROR(INDEX(LEVEL_HELPER!A:A,MATCH(INDEX(sheet2!N:N,MATCH(A303,sheet2!A:A,0)),LEVEL_HELPER!B:B,0)),"⏳ Chưa test"))</f>
        <v>Pre-Intermediate 2</v>
      </c>
      <c r="I303" s="47" t="str">
        <f t="array" aca="1" ref="I303" ca="1">IF(ISNA(MATCH(A303,sheet2!A:A,0)),H303,IF(INDEX(sheet2!O:O,MATCH(A303,sheet2!A:A,0))&gt;0,IFERROR(INDEX(LEVEL_HELPER!A:A,MATCH(INDEX(sheet2!O:O,MATCH(A303,sheet2!A:A,0)),LEVEL_HELPER!B:B,0)),H303),H303))</f>
        <v>Pre-Intermediate 2</v>
      </c>
      <c r="J303" s="47" t="str">
        <f ca="1">IFERROR(_xludf.MAXIFS(ATTENDANCE_LOG!F:F, ATTENDANCE_LOG!C:C, A303&amp;"", ATTENDANCE_LOG!G:G, "Present"), "")</f>
        <v/>
      </c>
      <c r="K303" s="48" t="str">
        <f t="shared" ca="1" si="28"/>
        <v/>
      </c>
      <c r="L303" s="49" t="str">
        <f t="shared" ca="1" si="29"/>
        <v/>
      </c>
      <c r="M303" s="36"/>
      <c r="N303" s="50"/>
      <c r="O303" s="68"/>
      <c r="P303" s="68"/>
      <c r="Q303" s="68"/>
      <c r="R303" s="68"/>
      <c r="S303" s="68"/>
      <c r="T303" s="68"/>
      <c r="U303" s="68"/>
      <c r="V303" s="68"/>
      <c r="W303" s="37"/>
      <c r="X303" s="37"/>
      <c r="Y303" s="37"/>
    </row>
    <row r="304" spans="1:25" ht="15.75" customHeight="1">
      <c r="A304" s="69" t="s">
        <v>751</v>
      </c>
      <c r="B304" s="65" t="s">
        <v>752</v>
      </c>
      <c r="C304" s="44" t="str">
        <f ca="1">IFERROR(__xludf.DUMMYFUNCTION("arrayformula(VLOOKUP(to_Text(A304),to_Text(sheet2!$A$1:M1002),13,0))"),"POC")</f>
        <v>POC</v>
      </c>
      <c r="D304" s="45" t="str">
        <f ca="1">IFERROR(__xludf.DUMMYFUNCTION("arrayformula(VLOOKUP(to_Text(A304),to_Text(sheet2!$A$1:M1002),12,0))"),"GSD")</f>
        <v>GSD</v>
      </c>
      <c r="E304" s="43" t="str">
        <f t="shared" ca="1" si="32"/>
        <v>Active</v>
      </c>
      <c r="F304" s="42" t="str">
        <f t="array" aca="1" ref="F304" ca="1">IFERROR(
  INDEX(ATTENDANCE_INPUT!D:D,
    MATCH(1,
      (ATTENDANCE_INPUT!A:A=A304) *
      (ATTENDANCE_INPUT!V:V=_xludf.MAXIFS(ATTENDANCE_INPUT!V:V, ATTENDANCE_INPUT!A:A, A304)),
      0)),
  "")</f>
        <v/>
      </c>
      <c r="G304" s="46" t="str">
        <f t="array" aca="1" ref="G304" ca="1">IFERROR(
  INDEX(ATTENDANCE_INPUT!E:E,
    MATCH(1,
      (ATTENDANCE_INPUT!A:A=A304) *
      (ATTENDANCE_INPUT!V:V=_xludf.MAXIFS(ATTENDANCE_INPUT!V:V, ATTENDANCE_INPUT!A:A, A304)),
      0)),
  "")</f>
        <v/>
      </c>
      <c r="H304" s="47" t="str">
        <f t="array" aca="1" ref="H304" ca="1">IF(ISNA(MATCH(A304,sheet2!A:A,0)),"⏳ Chưa test",IFERROR(INDEX(LEVEL_HELPER!A:A,MATCH(INDEX(sheet2!N:N,MATCH(A304,sheet2!A:A,0)),LEVEL_HELPER!B:B,0)),"⏳ Chưa test"))</f>
        <v>Beginner 2</v>
      </c>
      <c r="I304" s="47" t="str">
        <f t="array" aca="1" ref="I304" ca="1">IF(ISNA(MATCH(A304,sheet2!A:A,0)),H304,IF(INDEX(sheet2!O:O,MATCH(A304,sheet2!A:A,0))&gt;0,IFERROR(INDEX(LEVEL_HELPER!A:A,MATCH(INDEX(sheet2!O:O,MATCH(A304,sheet2!A:A,0)),LEVEL_HELPER!B:B,0)),H304),H304))</f>
        <v>Beginner 2</v>
      </c>
      <c r="J304" s="47" t="str">
        <f ca="1">IFERROR(_xludf.MAXIFS(ATTENDANCE_LOG!F:F, ATTENDANCE_LOG!C:C, A304&amp;"", ATTENDANCE_LOG!G:G, "Present"), "")</f>
        <v/>
      </c>
      <c r="K304" s="48" t="str">
        <f t="shared" ca="1" si="28"/>
        <v/>
      </c>
      <c r="L304" s="49" t="str">
        <f t="shared" ca="1" si="29"/>
        <v/>
      </c>
      <c r="M304" s="36"/>
      <c r="N304" s="50"/>
      <c r="O304" s="66"/>
      <c r="P304" s="66"/>
      <c r="Q304" s="66"/>
      <c r="R304" s="66"/>
      <c r="S304" s="66"/>
      <c r="T304" s="66"/>
      <c r="U304" s="66"/>
      <c r="V304" s="66"/>
      <c r="W304" s="37"/>
      <c r="X304" s="37"/>
      <c r="Y304" s="37"/>
    </row>
    <row r="305" spans="1:25" ht="15.75" customHeight="1">
      <c r="A305" s="67" t="s">
        <v>753</v>
      </c>
      <c r="B305" s="61" t="s">
        <v>754</v>
      </c>
      <c r="C305" s="44" t="str">
        <f ca="1">IFERROR(__xludf.DUMMYFUNCTION("arrayformula(VLOOKUP(to_Text(A305),to_Text(sheet2!$A$1:M1002),13,0))"),"LBU")</f>
        <v>LBU</v>
      </c>
      <c r="D305" s="45" t="str">
        <f ca="1">IFERROR(__xludf.DUMMYFUNCTION("arrayformula(VLOOKUP(to_Text(A305),to_Text(sheet2!$A$1:M1002),12,0))"),"Designer")</f>
        <v>Designer</v>
      </c>
      <c r="E305" s="43" t="str">
        <f t="shared" ca="1" si="32"/>
        <v>Active</v>
      </c>
      <c r="F305" s="42" t="str">
        <f t="array" aca="1" ref="F305" ca="1">IFERROR(
  INDEX(ATTENDANCE_INPUT!D:D,
    MATCH(1,
      (ATTENDANCE_INPUT!A:A=A305) *
      (ATTENDANCE_INPUT!V:V=_xludf.MAXIFS(ATTENDANCE_INPUT!V:V, ATTENDANCE_INPUT!A:A, A305)),
      0)),
  "")</f>
        <v/>
      </c>
      <c r="G305" s="46" t="str">
        <f t="array" aca="1" ref="G305" ca="1">IFERROR(
  INDEX(ATTENDANCE_INPUT!E:E,
    MATCH(1,
      (ATTENDANCE_INPUT!A:A=A305) *
      (ATTENDANCE_INPUT!V:V=_xludf.MAXIFS(ATTENDANCE_INPUT!V:V, ATTENDANCE_INPUT!A:A, A305)),
      0)),
  "")</f>
        <v/>
      </c>
      <c r="H305" s="47" t="str">
        <f t="array" aca="1" ref="H305" ca="1">IF(ISNA(MATCH(A305,sheet2!A:A,0)),"⏳ Chưa test",IFERROR(INDEX(LEVEL_HELPER!A:A,MATCH(INDEX(sheet2!N:N,MATCH(A305,sheet2!A:A,0)),LEVEL_HELPER!B:B,0)),"⏳ Chưa test"))</f>
        <v>Beginner</v>
      </c>
      <c r="I305" s="47" t="str">
        <f t="array" aca="1" ref="I305" ca="1">IF(ISNA(MATCH(A305,sheet2!A:A,0)),H305,IF(INDEX(sheet2!O:O,MATCH(A305,sheet2!A:A,0))&gt;0,IFERROR(INDEX(LEVEL_HELPER!A:A,MATCH(INDEX(sheet2!O:O,MATCH(A305,sheet2!A:A,0)),LEVEL_HELPER!B:B,0)),H305),H305))</f>
        <v>Beginner</v>
      </c>
      <c r="J305" s="47" t="str">
        <f ca="1">IFERROR(_xludf.MAXIFS(ATTENDANCE_LOG!F:F, ATTENDANCE_LOG!C:C, A305&amp;"", ATTENDANCE_LOG!G:G, "Present"), "")</f>
        <v/>
      </c>
      <c r="K305" s="48" t="str">
        <f t="shared" ca="1" si="28"/>
        <v/>
      </c>
      <c r="L305" s="49" t="str">
        <f t="shared" ca="1" si="29"/>
        <v/>
      </c>
      <c r="M305" s="36"/>
      <c r="N305" s="50"/>
      <c r="O305" s="68"/>
      <c r="P305" s="68"/>
      <c r="Q305" s="68"/>
      <c r="R305" s="68"/>
      <c r="S305" s="68"/>
      <c r="T305" s="68"/>
      <c r="U305" s="68"/>
      <c r="V305" s="68"/>
      <c r="W305" s="37"/>
      <c r="X305" s="37"/>
      <c r="Y305" s="37"/>
    </row>
    <row r="306" spans="1:25" ht="15.75" customHeight="1">
      <c r="A306" s="69" t="s">
        <v>755</v>
      </c>
      <c r="B306" s="65" t="s">
        <v>756</v>
      </c>
      <c r="C306" s="44" t="str">
        <f ca="1">IFERROR(__xludf.DUMMYFUNCTION("arrayformula(VLOOKUP(to_Text(A306),to_Text(sheet2!$A$1:M1002),13,0))"),"LBU")</f>
        <v>LBU</v>
      </c>
      <c r="D306" s="45" t="str">
        <f ca="1">IFERROR(__xludf.DUMMYFUNCTION("arrayformula(VLOOKUP(to_Text(A306),to_Text(sheet2!$A$1:M1002),12,0))"),"Designer")</f>
        <v>Designer</v>
      </c>
      <c r="E306" s="43" t="str">
        <f t="shared" ca="1" si="32"/>
        <v>Active</v>
      </c>
      <c r="F306" s="42" t="str">
        <f t="array" aca="1" ref="F306" ca="1">IFERROR(
  INDEX(ATTENDANCE_INPUT!D:D,
    MATCH(1,
      (ATTENDANCE_INPUT!A:A=A306) *
      (ATTENDANCE_INPUT!V:V=_xludf.MAXIFS(ATTENDANCE_INPUT!V:V, ATTENDANCE_INPUT!A:A, A306)),
      0)),
  "")</f>
        <v/>
      </c>
      <c r="G306" s="46" t="str">
        <f t="array" aca="1" ref="G306" ca="1">IFERROR(
  INDEX(ATTENDANCE_INPUT!E:E,
    MATCH(1,
      (ATTENDANCE_INPUT!A:A=A306) *
      (ATTENDANCE_INPUT!V:V=_xludf.MAXIFS(ATTENDANCE_INPUT!V:V, ATTENDANCE_INPUT!A:A, A306)),
      0)),
  "")</f>
        <v/>
      </c>
      <c r="H306" s="47" t="str">
        <f t="array" aca="1" ref="H306" ca="1">IF(ISNA(MATCH(A306,sheet2!A:A,0)),"⏳ Chưa test",IFERROR(INDEX(LEVEL_HELPER!A:A,MATCH(INDEX(sheet2!N:N,MATCH(A306,sheet2!A:A,0)),LEVEL_HELPER!B:B,0)),"⏳ Chưa test"))</f>
        <v>Beginner</v>
      </c>
      <c r="I306" s="47" t="str">
        <f t="array" aca="1" ref="I306" ca="1">IF(ISNA(MATCH(A306,sheet2!A:A,0)),H306,IF(INDEX(sheet2!O:O,MATCH(A306,sheet2!A:A,0))&gt;0,IFERROR(INDEX(LEVEL_HELPER!A:A,MATCH(INDEX(sheet2!O:O,MATCH(A306,sheet2!A:A,0)),LEVEL_HELPER!B:B,0)),H306),H306))</f>
        <v>Beginner</v>
      </c>
      <c r="J306" s="47" t="str">
        <f ca="1">IFERROR(_xludf.MAXIFS(ATTENDANCE_LOG!F:F, ATTENDANCE_LOG!C:C, A306&amp;"", ATTENDANCE_LOG!G:G, "Present"), "")</f>
        <v/>
      </c>
      <c r="K306" s="48" t="str">
        <f t="shared" ca="1" si="28"/>
        <v/>
      </c>
      <c r="L306" s="49" t="str">
        <f t="shared" ca="1" si="29"/>
        <v/>
      </c>
      <c r="M306" s="36"/>
      <c r="N306" s="50"/>
      <c r="O306" s="66"/>
      <c r="P306" s="66"/>
      <c r="Q306" s="66"/>
      <c r="R306" s="66"/>
      <c r="S306" s="66"/>
      <c r="T306" s="66"/>
      <c r="U306" s="66"/>
      <c r="V306" s="66"/>
      <c r="W306" s="37"/>
      <c r="X306" s="37"/>
      <c r="Y306" s="37"/>
    </row>
    <row r="307" spans="1:25" ht="15.75" customHeight="1">
      <c r="A307" s="67"/>
      <c r="B307" s="61"/>
      <c r="C307" s="68"/>
      <c r="D307" s="68"/>
      <c r="E307" s="68"/>
      <c r="F307" s="70"/>
      <c r="G307" s="61"/>
      <c r="H307" s="68"/>
      <c r="I307" s="68"/>
      <c r="J307" s="68"/>
      <c r="K307" s="71"/>
      <c r="L307" s="72"/>
      <c r="M307" s="68"/>
      <c r="N307" s="50"/>
      <c r="O307" s="68"/>
      <c r="P307" s="68"/>
      <c r="Q307" s="68"/>
      <c r="R307" s="68"/>
      <c r="S307" s="68"/>
      <c r="T307" s="68"/>
      <c r="U307" s="68"/>
      <c r="V307" s="68"/>
      <c r="W307" s="37"/>
      <c r="X307" s="37"/>
      <c r="Y307" s="37"/>
    </row>
    <row r="308" spans="1:25" ht="15.75" customHeight="1">
      <c r="A308" s="69"/>
      <c r="B308" s="65"/>
      <c r="C308" s="66"/>
      <c r="D308" s="66"/>
      <c r="E308" s="66"/>
      <c r="F308" s="73"/>
      <c r="G308" s="65"/>
      <c r="H308" s="66"/>
      <c r="I308" s="66"/>
      <c r="J308" s="66"/>
      <c r="K308" s="74"/>
      <c r="L308" s="75"/>
      <c r="M308" s="66"/>
      <c r="N308" s="50"/>
      <c r="O308" s="66"/>
      <c r="P308" s="66"/>
      <c r="Q308" s="66"/>
      <c r="R308" s="66"/>
      <c r="S308" s="66"/>
      <c r="T308" s="66"/>
      <c r="U308" s="66"/>
      <c r="V308" s="66"/>
      <c r="W308" s="37"/>
      <c r="X308" s="37"/>
      <c r="Y308" s="37"/>
    </row>
    <row r="309" spans="1:25" ht="15.75" customHeight="1">
      <c r="A309" s="67"/>
      <c r="B309" s="61"/>
      <c r="C309" s="68"/>
      <c r="D309" s="68"/>
      <c r="E309" s="68"/>
      <c r="F309" s="70"/>
      <c r="G309" s="61"/>
      <c r="H309" s="68"/>
      <c r="I309" s="68"/>
      <c r="J309" s="68"/>
      <c r="K309" s="71"/>
      <c r="L309" s="72"/>
      <c r="M309" s="68"/>
      <c r="N309" s="50"/>
      <c r="O309" s="68"/>
      <c r="P309" s="68"/>
      <c r="Q309" s="68"/>
      <c r="R309" s="68"/>
      <c r="S309" s="68"/>
      <c r="T309" s="68"/>
      <c r="U309" s="68"/>
      <c r="V309" s="68"/>
      <c r="W309" s="37"/>
      <c r="X309" s="37"/>
      <c r="Y309" s="37"/>
    </row>
    <row r="310" spans="1:25" ht="15.75" customHeight="1">
      <c r="A310" s="69"/>
      <c r="B310" s="65"/>
      <c r="C310" s="66"/>
      <c r="D310" s="66"/>
      <c r="E310" s="66"/>
      <c r="F310" s="73"/>
      <c r="G310" s="65"/>
      <c r="H310" s="66"/>
      <c r="I310" s="66"/>
      <c r="J310" s="66"/>
      <c r="K310" s="74"/>
      <c r="L310" s="75"/>
      <c r="M310" s="66"/>
      <c r="N310" s="50"/>
      <c r="O310" s="66"/>
      <c r="P310" s="66"/>
      <c r="Q310" s="66"/>
      <c r="R310" s="66"/>
      <c r="S310" s="66"/>
      <c r="T310" s="66"/>
      <c r="U310" s="66"/>
      <c r="V310" s="66"/>
      <c r="W310" s="37"/>
      <c r="X310" s="37"/>
      <c r="Y310" s="37"/>
    </row>
    <row r="311" spans="1:25" ht="15.75" customHeight="1">
      <c r="A311" s="67"/>
      <c r="B311" s="61"/>
      <c r="C311" s="68"/>
      <c r="D311" s="68"/>
      <c r="E311" s="68"/>
      <c r="F311" s="70"/>
      <c r="G311" s="61"/>
      <c r="H311" s="68"/>
      <c r="I311" s="68"/>
      <c r="J311" s="68"/>
      <c r="K311" s="71"/>
      <c r="L311" s="72"/>
      <c r="M311" s="68"/>
      <c r="N311" s="50"/>
      <c r="O311" s="68"/>
      <c r="P311" s="68"/>
      <c r="Q311" s="68"/>
      <c r="R311" s="68"/>
      <c r="S311" s="68"/>
      <c r="T311" s="68"/>
      <c r="U311" s="68"/>
      <c r="V311" s="68"/>
      <c r="W311" s="37"/>
      <c r="X311" s="37"/>
      <c r="Y311" s="37"/>
    </row>
    <row r="312" spans="1:25" ht="15.75" customHeight="1">
      <c r="A312" s="69"/>
      <c r="B312" s="65"/>
      <c r="C312" s="66"/>
      <c r="D312" s="66"/>
      <c r="E312" s="66"/>
      <c r="F312" s="73"/>
      <c r="G312" s="65"/>
      <c r="H312" s="66"/>
      <c r="I312" s="66"/>
      <c r="J312" s="66"/>
      <c r="K312" s="74"/>
      <c r="L312" s="75"/>
      <c r="M312" s="66"/>
      <c r="N312" s="50"/>
      <c r="O312" s="66"/>
      <c r="P312" s="66"/>
      <c r="Q312" s="66"/>
      <c r="R312" s="66"/>
      <c r="S312" s="66"/>
      <c r="T312" s="66"/>
      <c r="U312" s="66"/>
      <c r="V312" s="66"/>
      <c r="W312" s="37"/>
      <c r="X312" s="37"/>
      <c r="Y312" s="37"/>
    </row>
    <row r="313" spans="1:25" ht="15.75" customHeight="1">
      <c r="A313" s="67"/>
      <c r="B313" s="61"/>
      <c r="C313" s="68"/>
      <c r="D313" s="68"/>
      <c r="E313" s="68"/>
      <c r="F313" s="70"/>
      <c r="G313" s="61"/>
      <c r="H313" s="68"/>
      <c r="I313" s="68"/>
      <c r="J313" s="68"/>
      <c r="K313" s="71"/>
      <c r="L313" s="72"/>
      <c r="M313" s="68"/>
      <c r="N313" s="50"/>
      <c r="O313" s="68"/>
      <c r="P313" s="68"/>
      <c r="Q313" s="68"/>
      <c r="R313" s="68"/>
      <c r="S313" s="68"/>
      <c r="T313" s="68"/>
      <c r="U313" s="68"/>
      <c r="V313" s="68"/>
      <c r="W313" s="37"/>
      <c r="X313" s="37"/>
      <c r="Y313" s="37"/>
    </row>
    <row r="314" spans="1:25" ht="15.75" customHeight="1">
      <c r="A314" s="69"/>
      <c r="B314" s="65"/>
      <c r="C314" s="66"/>
      <c r="D314" s="66"/>
      <c r="E314" s="66"/>
      <c r="F314" s="73"/>
      <c r="G314" s="65"/>
      <c r="H314" s="66"/>
      <c r="I314" s="66"/>
      <c r="J314" s="66"/>
      <c r="K314" s="74"/>
      <c r="L314" s="75"/>
      <c r="M314" s="66"/>
      <c r="N314" s="50"/>
      <c r="O314" s="66"/>
      <c r="P314" s="66"/>
      <c r="Q314" s="66"/>
      <c r="R314" s="66"/>
      <c r="S314" s="66"/>
      <c r="T314" s="66"/>
      <c r="U314" s="66"/>
      <c r="V314" s="66"/>
      <c r="W314" s="37"/>
      <c r="X314" s="37"/>
      <c r="Y314" s="37"/>
    </row>
    <row r="315" spans="1:25" ht="15.75" customHeight="1">
      <c r="A315" s="67"/>
      <c r="B315" s="61"/>
      <c r="C315" s="68"/>
      <c r="D315" s="68"/>
      <c r="E315" s="68"/>
      <c r="F315" s="70"/>
      <c r="G315" s="61"/>
      <c r="H315" s="68"/>
      <c r="I315" s="68"/>
      <c r="J315" s="68"/>
      <c r="K315" s="71"/>
      <c r="L315" s="72"/>
      <c r="M315" s="68"/>
      <c r="N315" s="50"/>
      <c r="O315" s="68"/>
      <c r="P315" s="68"/>
      <c r="Q315" s="68"/>
      <c r="R315" s="68"/>
      <c r="S315" s="68"/>
      <c r="T315" s="68"/>
      <c r="U315" s="68"/>
      <c r="V315" s="68"/>
      <c r="W315" s="37"/>
      <c r="X315" s="37"/>
      <c r="Y315" s="37"/>
    </row>
    <row r="316" spans="1:25" ht="15.75" customHeight="1">
      <c r="A316" s="69"/>
      <c r="B316" s="65"/>
      <c r="C316" s="66"/>
      <c r="D316" s="66"/>
      <c r="E316" s="66"/>
      <c r="F316" s="73"/>
      <c r="G316" s="65"/>
      <c r="H316" s="66"/>
      <c r="I316" s="66"/>
      <c r="J316" s="66"/>
      <c r="K316" s="74"/>
      <c r="L316" s="75"/>
      <c r="M316" s="66"/>
      <c r="N316" s="50"/>
      <c r="O316" s="66"/>
      <c r="P316" s="66"/>
      <c r="Q316" s="66"/>
      <c r="R316" s="66"/>
      <c r="S316" s="66"/>
      <c r="T316" s="66"/>
      <c r="U316" s="66"/>
      <c r="V316" s="66"/>
      <c r="W316" s="37"/>
      <c r="X316" s="37"/>
      <c r="Y316" s="37"/>
    </row>
    <row r="317" spans="1:25" ht="15.75" customHeight="1">
      <c r="A317" s="67"/>
      <c r="B317" s="61"/>
      <c r="C317" s="68"/>
      <c r="D317" s="68"/>
      <c r="E317" s="68"/>
      <c r="F317" s="70"/>
      <c r="G317" s="61"/>
      <c r="H317" s="68"/>
      <c r="I317" s="68"/>
      <c r="J317" s="68"/>
      <c r="K317" s="71"/>
      <c r="L317" s="72"/>
      <c r="M317" s="68"/>
      <c r="N317" s="50"/>
      <c r="O317" s="68"/>
      <c r="P317" s="68"/>
      <c r="Q317" s="68"/>
      <c r="R317" s="68"/>
      <c r="S317" s="68"/>
      <c r="T317" s="68"/>
      <c r="U317" s="68"/>
      <c r="V317" s="68"/>
      <c r="W317" s="37"/>
      <c r="X317" s="37"/>
      <c r="Y317" s="37"/>
    </row>
    <row r="318" spans="1:25" ht="15.75" customHeight="1">
      <c r="A318" s="69"/>
      <c r="B318" s="65"/>
      <c r="C318" s="66"/>
      <c r="D318" s="66"/>
      <c r="E318" s="66"/>
      <c r="F318" s="73"/>
      <c r="G318" s="65"/>
      <c r="H318" s="66"/>
      <c r="I318" s="66"/>
      <c r="J318" s="66"/>
      <c r="K318" s="74"/>
      <c r="L318" s="75"/>
      <c r="M318" s="66"/>
      <c r="N318" s="50"/>
      <c r="O318" s="66"/>
      <c r="P318" s="66"/>
      <c r="Q318" s="66"/>
      <c r="R318" s="66"/>
      <c r="S318" s="66"/>
      <c r="T318" s="66"/>
      <c r="U318" s="66"/>
      <c r="V318" s="66"/>
      <c r="W318" s="37"/>
      <c r="X318" s="37"/>
      <c r="Y318" s="37"/>
    </row>
    <row r="319" spans="1:25" ht="15.75" customHeight="1">
      <c r="A319" s="67"/>
      <c r="B319" s="61"/>
      <c r="C319" s="68"/>
      <c r="D319" s="68"/>
      <c r="E319" s="68"/>
      <c r="F319" s="70"/>
      <c r="G319" s="61"/>
      <c r="H319" s="68"/>
      <c r="I319" s="68"/>
      <c r="J319" s="68"/>
      <c r="K319" s="71"/>
      <c r="L319" s="72"/>
      <c r="M319" s="68"/>
      <c r="N319" s="50"/>
      <c r="O319" s="68"/>
      <c r="P319" s="68"/>
      <c r="Q319" s="68"/>
      <c r="R319" s="68"/>
      <c r="S319" s="68"/>
      <c r="T319" s="68"/>
      <c r="U319" s="68"/>
      <c r="V319" s="68"/>
      <c r="W319" s="37"/>
      <c r="X319" s="37"/>
      <c r="Y319" s="37"/>
    </row>
    <row r="320" spans="1:25" ht="15.75" customHeight="1">
      <c r="A320" s="69"/>
      <c r="B320" s="65"/>
      <c r="C320" s="66"/>
      <c r="D320" s="66"/>
      <c r="E320" s="66"/>
      <c r="F320" s="73"/>
      <c r="G320" s="65"/>
      <c r="H320" s="66"/>
      <c r="I320" s="66"/>
      <c r="J320" s="66"/>
      <c r="K320" s="74"/>
      <c r="L320" s="75"/>
      <c r="M320" s="66"/>
      <c r="N320" s="50"/>
      <c r="O320" s="66"/>
      <c r="P320" s="66"/>
      <c r="Q320" s="66"/>
      <c r="R320" s="66"/>
      <c r="S320" s="66"/>
      <c r="T320" s="66"/>
      <c r="U320" s="66"/>
      <c r="V320" s="66"/>
      <c r="W320" s="37"/>
      <c r="X320" s="37"/>
      <c r="Y320" s="37"/>
    </row>
    <row r="321" spans="1:25" ht="15.75" customHeight="1">
      <c r="A321" s="67"/>
      <c r="B321" s="61"/>
      <c r="C321" s="68"/>
      <c r="D321" s="68"/>
      <c r="E321" s="68"/>
      <c r="F321" s="70"/>
      <c r="G321" s="61"/>
      <c r="H321" s="68"/>
      <c r="I321" s="68"/>
      <c r="J321" s="68"/>
      <c r="K321" s="71"/>
      <c r="L321" s="72"/>
      <c r="M321" s="68"/>
      <c r="N321" s="50"/>
      <c r="O321" s="68"/>
      <c r="P321" s="68"/>
      <c r="Q321" s="68"/>
      <c r="R321" s="68"/>
      <c r="S321" s="68"/>
      <c r="T321" s="68"/>
      <c r="U321" s="68"/>
      <c r="V321" s="68"/>
      <c r="W321" s="37"/>
      <c r="X321" s="37"/>
      <c r="Y321" s="37"/>
    </row>
    <row r="322" spans="1:25" ht="15.75" customHeight="1">
      <c r="A322" s="69"/>
      <c r="B322" s="65"/>
      <c r="C322" s="66"/>
      <c r="D322" s="66"/>
      <c r="E322" s="66"/>
      <c r="F322" s="73"/>
      <c r="G322" s="65"/>
      <c r="H322" s="66"/>
      <c r="I322" s="66"/>
      <c r="J322" s="66"/>
      <c r="K322" s="74"/>
      <c r="L322" s="75"/>
      <c r="M322" s="66"/>
      <c r="N322" s="50"/>
      <c r="O322" s="66"/>
      <c r="P322" s="66"/>
      <c r="Q322" s="66"/>
      <c r="R322" s="66"/>
      <c r="S322" s="66"/>
      <c r="T322" s="66"/>
      <c r="U322" s="66"/>
      <c r="V322" s="66"/>
      <c r="W322" s="37"/>
      <c r="X322" s="37"/>
      <c r="Y322" s="37"/>
    </row>
    <row r="323" spans="1:25" ht="15.75" customHeight="1">
      <c r="A323" s="67"/>
      <c r="B323" s="61"/>
      <c r="C323" s="68"/>
      <c r="D323" s="68"/>
      <c r="E323" s="68"/>
      <c r="F323" s="70"/>
      <c r="G323" s="61"/>
      <c r="H323" s="68"/>
      <c r="I323" s="68"/>
      <c r="J323" s="68"/>
      <c r="K323" s="71"/>
      <c r="L323" s="72"/>
      <c r="M323" s="68"/>
      <c r="N323" s="50"/>
      <c r="O323" s="68"/>
      <c r="P323" s="68"/>
      <c r="Q323" s="68"/>
      <c r="R323" s="68"/>
      <c r="S323" s="68"/>
      <c r="T323" s="68"/>
      <c r="U323" s="68"/>
      <c r="V323" s="68"/>
      <c r="W323" s="37"/>
      <c r="X323" s="37"/>
      <c r="Y323" s="37"/>
    </row>
    <row r="324" spans="1:25" ht="15.75" customHeight="1">
      <c r="A324" s="69"/>
      <c r="B324" s="65"/>
      <c r="C324" s="66"/>
      <c r="D324" s="66"/>
      <c r="E324" s="66"/>
      <c r="F324" s="73"/>
      <c r="G324" s="65"/>
      <c r="H324" s="66"/>
      <c r="I324" s="66"/>
      <c r="J324" s="66"/>
      <c r="K324" s="74"/>
      <c r="L324" s="75"/>
      <c r="M324" s="66"/>
      <c r="N324" s="50"/>
      <c r="O324" s="66"/>
      <c r="P324" s="66"/>
      <c r="Q324" s="66"/>
      <c r="R324" s="66"/>
      <c r="S324" s="66"/>
      <c r="T324" s="66"/>
      <c r="U324" s="66"/>
      <c r="V324" s="66"/>
      <c r="W324" s="37"/>
      <c r="X324" s="37"/>
      <c r="Y324" s="37"/>
    </row>
    <row r="325" spans="1:25" ht="15.75" customHeight="1">
      <c r="A325" s="67"/>
      <c r="B325" s="61"/>
      <c r="C325" s="68"/>
      <c r="D325" s="68"/>
      <c r="E325" s="68"/>
      <c r="F325" s="70"/>
      <c r="G325" s="61"/>
      <c r="H325" s="68"/>
      <c r="I325" s="68"/>
      <c r="J325" s="68"/>
      <c r="K325" s="71"/>
      <c r="L325" s="72"/>
      <c r="M325" s="68"/>
      <c r="N325" s="50"/>
      <c r="O325" s="68"/>
      <c r="P325" s="68"/>
      <c r="Q325" s="68"/>
      <c r="R325" s="68"/>
      <c r="S325" s="68"/>
      <c r="T325" s="68"/>
      <c r="U325" s="68"/>
      <c r="V325" s="68"/>
      <c r="W325" s="37"/>
      <c r="X325" s="37"/>
      <c r="Y325" s="37"/>
    </row>
    <row r="326" spans="1:25" ht="15.75" customHeight="1">
      <c r="A326" s="69"/>
      <c r="B326" s="65"/>
      <c r="C326" s="66"/>
      <c r="D326" s="66"/>
      <c r="E326" s="66"/>
      <c r="F326" s="73"/>
      <c r="G326" s="65"/>
      <c r="H326" s="66"/>
      <c r="I326" s="66"/>
      <c r="J326" s="66"/>
      <c r="K326" s="74"/>
      <c r="L326" s="75"/>
      <c r="M326" s="66"/>
      <c r="N326" s="50"/>
      <c r="O326" s="66"/>
      <c r="P326" s="66"/>
      <c r="Q326" s="66"/>
      <c r="R326" s="66"/>
      <c r="S326" s="66"/>
      <c r="T326" s="66"/>
      <c r="U326" s="66"/>
      <c r="V326" s="66"/>
      <c r="W326" s="37"/>
      <c r="X326" s="37"/>
      <c r="Y326" s="37"/>
    </row>
    <row r="327" spans="1:25" ht="15.75" customHeight="1">
      <c r="A327" s="67"/>
      <c r="B327" s="61"/>
      <c r="C327" s="68"/>
      <c r="D327" s="68"/>
      <c r="E327" s="68"/>
      <c r="F327" s="70"/>
      <c r="G327" s="61"/>
      <c r="H327" s="68"/>
      <c r="I327" s="68"/>
      <c r="J327" s="68"/>
      <c r="K327" s="71"/>
      <c r="L327" s="72"/>
      <c r="M327" s="68"/>
      <c r="N327" s="50"/>
      <c r="O327" s="68"/>
      <c r="P327" s="68"/>
      <c r="Q327" s="68"/>
      <c r="R327" s="68"/>
      <c r="S327" s="68"/>
      <c r="T327" s="68"/>
      <c r="U327" s="68"/>
      <c r="V327" s="68"/>
      <c r="W327" s="37"/>
      <c r="X327" s="37"/>
      <c r="Y327" s="37"/>
    </row>
    <row r="328" spans="1:25" ht="15.75" customHeight="1">
      <c r="A328" s="69"/>
      <c r="B328" s="65"/>
      <c r="C328" s="66"/>
      <c r="D328" s="66"/>
      <c r="E328" s="66"/>
      <c r="F328" s="73"/>
      <c r="G328" s="65"/>
      <c r="H328" s="66"/>
      <c r="I328" s="66"/>
      <c r="J328" s="66"/>
      <c r="K328" s="74"/>
      <c r="L328" s="75"/>
      <c r="M328" s="66"/>
      <c r="N328" s="50"/>
      <c r="O328" s="66"/>
      <c r="P328" s="66"/>
      <c r="Q328" s="66"/>
      <c r="R328" s="66"/>
      <c r="S328" s="66"/>
      <c r="T328" s="66"/>
      <c r="U328" s="66"/>
      <c r="V328" s="66"/>
      <c r="W328" s="37"/>
      <c r="X328" s="37"/>
      <c r="Y328" s="37"/>
    </row>
    <row r="329" spans="1:25" ht="15.75" customHeight="1">
      <c r="A329" s="67"/>
      <c r="B329" s="61"/>
      <c r="C329" s="68"/>
      <c r="D329" s="68"/>
      <c r="E329" s="68"/>
      <c r="F329" s="70"/>
      <c r="G329" s="61"/>
      <c r="H329" s="68"/>
      <c r="I329" s="68"/>
      <c r="J329" s="68"/>
      <c r="K329" s="71"/>
      <c r="L329" s="72"/>
      <c r="M329" s="68"/>
      <c r="N329" s="50"/>
      <c r="O329" s="68"/>
      <c r="P329" s="68"/>
      <c r="Q329" s="68"/>
      <c r="R329" s="68"/>
      <c r="S329" s="68"/>
      <c r="T329" s="68"/>
      <c r="U329" s="68"/>
      <c r="V329" s="68"/>
      <c r="W329" s="37"/>
      <c r="X329" s="37"/>
      <c r="Y329" s="37"/>
    </row>
    <row r="330" spans="1:25" ht="15.75" customHeight="1">
      <c r="A330" s="69"/>
      <c r="B330" s="65"/>
      <c r="C330" s="66"/>
      <c r="D330" s="66"/>
      <c r="E330" s="66"/>
      <c r="F330" s="73"/>
      <c r="G330" s="65"/>
      <c r="H330" s="66"/>
      <c r="I330" s="66"/>
      <c r="J330" s="66"/>
      <c r="K330" s="74"/>
      <c r="L330" s="75"/>
      <c r="M330" s="66"/>
      <c r="N330" s="50"/>
      <c r="O330" s="66"/>
      <c r="P330" s="66"/>
      <c r="Q330" s="66"/>
      <c r="R330" s="66"/>
      <c r="S330" s="66"/>
      <c r="T330" s="66"/>
      <c r="U330" s="66"/>
      <c r="V330" s="66"/>
      <c r="W330" s="37"/>
      <c r="X330" s="37"/>
      <c r="Y330" s="37"/>
    </row>
    <row r="331" spans="1:25" ht="15.75" customHeight="1">
      <c r="A331" s="67"/>
      <c r="B331" s="61"/>
      <c r="C331" s="68"/>
      <c r="D331" s="68"/>
      <c r="E331" s="68"/>
      <c r="F331" s="70"/>
      <c r="G331" s="61"/>
      <c r="H331" s="68"/>
      <c r="I331" s="68"/>
      <c r="J331" s="68"/>
      <c r="K331" s="71"/>
      <c r="L331" s="72"/>
      <c r="M331" s="68"/>
      <c r="N331" s="50"/>
      <c r="O331" s="68"/>
      <c r="P331" s="68"/>
      <c r="Q331" s="68"/>
      <c r="R331" s="68"/>
      <c r="S331" s="68"/>
      <c r="T331" s="68"/>
      <c r="U331" s="68"/>
      <c r="V331" s="68"/>
      <c r="W331" s="37"/>
      <c r="X331" s="37"/>
      <c r="Y331" s="37"/>
    </row>
    <row r="332" spans="1:25" ht="15.75" customHeight="1">
      <c r="A332" s="69"/>
      <c r="B332" s="65"/>
      <c r="C332" s="66"/>
      <c r="D332" s="66"/>
      <c r="E332" s="66"/>
      <c r="F332" s="73"/>
      <c r="G332" s="65"/>
      <c r="H332" s="66"/>
      <c r="I332" s="66"/>
      <c r="J332" s="66"/>
      <c r="K332" s="74"/>
      <c r="L332" s="75"/>
      <c r="M332" s="66"/>
      <c r="N332" s="50"/>
      <c r="O332" s="66"/>
      <c r="P332" s="66"/>
      <c r="Q332" s="66"/>
      <c r="R332" s="66"/>
      <c r="S332" s="66"/>
      <c r="T332" s="66"/>
      <c r="U332" s="66"/>
      <c r="V332" s="66"/>
      <c r="W332" s="37"/>
      <c r="X332" s="37"/>
      <c r="Y332" s="37"/>
    </row>
    <row r="333" spans="1:25" ht="15.75" customHeight="1">
      <c r="A333" s="67"/>
      <c r="B333" s="61"/>
      <c r="C333" s="68"/>
      <c r="D333" s="68"/>
      <c r="E333" s="68"/>
      <c r="F333" s="70"/>
      <c r="G333" s="61"/>
      <c r="H333" s="68"/>
      <c r="I333" s="68"/>
      <c r="J333" s="68"/>
      <c r="K333" s="71"/>
      <c r="L333" s="72"/>
      <c r="M333" s="68"/>
      <c r="N333" s="50"/>
      <c r="O333" s="68"/>
      <c r="P333" s="68"/>
      <c r="Q333" s="68"/>
      <c r="R333" s="68"/>
      <c r="S333" s="68"/>
      <c r="T333" s="68"/>
      <c r="U333" s="68"/>
      <c r="V333" s="68"/>
      <c r="W333" s="37"/>
      <c r="X333" s="37"/>
      <c r="Y333" s="37"/>
    </row>
    <row r="334" spans="1:25" ht="15.75" customHeight="1">
      <c r="A334" s="69"/>
      <c r="B334" s="65"/>
      <c r="C334" s="66"/>
      <c r="D334" s="66"/>
      <c r="E334" s="66"/>
      <c r="F334" s="73"/>
      <c r="G334" s="65"/>
      <c r="H334" s="66"/>
      <c r="I334" s="66"/>
      <c r="J334" s="66"/>
      <c r="K334" s="74"/>
      <c r="L334" s="75"/>
      <c r="M334" s="66"/>
      <c r="N334" s="50"/>
      <c r="O334" s="66"/>
      <c r="P334" s="66"/>
      <c r="Q334" s="66"/>
      <c r="R334" s="66"/>
      <c r="S334" s="66"/>
      <c r="T334" s="66"/>
      <c r="U334" s="66"/>
      <c r="V334" s="66"/>
      <c r="W334" s="37"/>
      <c r="X334" s="37"/>
      <c r="Y334" s="37"/>
    </row>
    <row r="335" spans="1:25" ht="15.75" customHeight="1">
      <c r="A335" s="67"/>
      <c r="B335" s="61"/>
      <c r="C335" s="68"/>
      <c r="D335" s="68"/>
      <c r="E335" s="68"/>
      <c r="F335" s="70"/>
      <c r="G335" s="61"/>
      <c r="H335" s="68"/>
      <c r="I335" s="68"/>
      <c r="J335" s="68"/>
      <c r="K335" s="71"/>
      <c r="L335" s="72"/>
      <c r="M335" s="68"/>
      <c r="N335" s="50"/>
      <c r="O335" s="68"/>
      <c r="P335" s="68"/>
      <c r="Q335" s="68"/>
      <c r="R335" s="68"/>
      <c r="S335" s="68"/>
      <c r="T335" s="68"/>
      <c r="U335" s="68"/>
      <c r="V335" s="68"/>
      <c r="W335" s="37"/>
      <c r="X335" s="37"/>
      <c r="Y335" s="37"/>
    </row>
    <row r="336" spans="1:25" ht="15.75" customHeight="1">
      <c r="A336" s="69"/>
      <c r="B336" s="65"/>
      <c r="C336" s="66"/>
      <c r="D336" s="66"/>
      <c r="E336" s="66"/>
      <c r="F336" s="73"/>
      <c r="G336" s="65"/>
      <c r="H336" s="66"/>
      <c r="I336" s="66"/>
      <c r="J336" s="66"/>
      <c r="K336" s="74"/>
      <c r="L336" s="75"/>
      <c r="M336" s="66"/>
      <c r="N336" s="50"/>
      <c r="O336" s="66"/>
      <c r="P336" s="66"/>
      <c r="Q336" s="66"/>
      <c r="R336" s="66"/>
      <c r="S336" s="66"/>
      <c r="T336" s="66"/>
      <c r="U336" s="66"/>
      <c r="V336" s="66"/>
      <c r="W336" s="37"/>
      <c r="X336" s="37"/>
      <c r="Y336" s="37"/>
    </row>
    <row r="337" spans="1:25" ht="15.75" customHeight="1">
      <c r="A337" s="67"/>
      <c r="B337" s="61"/>
      <c r="C337" s="68"/>
      <c r="D337" s="68"/>
      <c r="E337" s="68"/>
      <c r="F337" s="70"/>
      <c r="G337" s="61"/>
      <c r="H337" s="68"/>
      <c r="I337" s="68"/>
      <c r="J337" s="68"/>
      <c r="K337" s="71"/>
      <c r="L337" s="72"/>
      <c r="M337" s="68"/>
      <c r="N337" s="50"/>
      <c r="O337" s="68"/>
      <c r="P337" s="68"/>
      <c r="Q337" s="68"/>
      <c r="R337" s="68"/>
      <c r="S337" s="68"/>
      <c r="T337" s="68"/>
      <c r="U337" s="68"/>
      <c r="V337" s="68"/>
      <c r="W337" s="37"/>
      <c r="X337" s="37"/>
      <c r="Y337" s="37"/>
    </row>
    <row r="338" spans="1:25" ht="15.75" customHeight="1">
      <c r="A338" s="69"/>
      <c r="B338" s="65"/>
      <c r="C338" s="66"/>
      <c r="D338" s="66"/>
      <c r="E338" s="66"/>
      <c r="F338" s="73"/>
      <c r="G338" s="65"/>
      <c r="H338" s="66"/>
      <c r="I338" s="66"/>
      <c r="J338" s="66"/>
      <c r="K338" s="74"/>
      <c r="L338" s="75"/>
      <c r="M338" s="66"/>
      <c r="N338" s="50"/>
      <c r="O338" s="66"/>
      <c r="P338" s="66"/>
      <c r="Q338" s="66"/>
      <c r="R338" s="66"/>
      <c r="S338" s="66"/>
      <c r="T338" s="66"/>
      <c r="U338" s="66"/>
      <c r="V338" s="66"/>
      <c r="W338" s="37"/>
      <c r="X338" s="37"/>
      <c r="Y338" s="37"/>
    </row>
    <row r="339" spans="1:25" ht="15.75" customHeight="1">
      <c r="A339" s="67"/>
      <c r="B339" s="61"/>
      <c r="C339" s="68"/>
      <c r="D339" s="68"/>
      <c r="E339" s="68"/>
      <c r="F339" s="70"/>
      <c r="G339" s="61"/>
      <c r="H339" s="68"/>
      <c r="I339" s="68"/>
      <c r="J339" s="68"/>
      <c r="K339" s="71"/>
      <c r="L339" s="72"/>
      <c r="M339" s="68"/>
      <c r="N339" s="50"/>
      <c r="O339" s="68"/>
      <c r="P339" s="68"/>
      <c r="Q339" s="68"/>
      <c r="R339" s="68"/>
      <c r="S339" s="68"/>
      <c r="T339" s="68"/>
      <c r="U339" s="68"/>
      <c r="V339" s="68"/>
      <c r="W339" s="37"/>
      <c r="X339" s="37"/>
      <c r="Y339" s="37"/>
    </row>
    <row r="340" spans="1:25" ht="15.75" customHeight="1">
      <c r="A340" s="69"/>
      <c r="B340" s="65"/>
      <c r="C340" s="66"/>
      <c r="D340" s="66"/>
      <c r="E340" s="66"/>
      <c r="F340" s="73"/>
      <c r="G340" s="65"/>
      <c r="H340" s="66"/>
      <c r="I340" s="66"/>
      <c r="J340" s="66"/>
      <c r="K340" s="74"/>
      <c r="L340" s="75"/>
      <c r="M340" s="66"/>
      <c r="N340" s="50"/>
      <c r="O340" s="66"/>
      <c r="P340" s="66"/>
      <c r="Q340" s="66"/>
      <c r="R340" s="66"/>
      <c r="S340" s="66"/>
      <c r="T340" s="66"/>
      <c r="U340" s="66"/>
      <c r="V340" s="66"/>
      <c r="W340" s="37"/>
      <c r="X340" s="37"/>
      <c r="Y340" s="37"/>
    </row>
    <row r="341" spans="1:25" ht="15.75" customHeight="1">
      <c r="A341" s="67"/>
      <c r="B341" s="61"/>
      <c r="C341" s="68"/>
      <c r="D341" s="68"/>
      <c r="E341" s="68"/>
      <c r="F341" s="70"/>
      <c r="G341" s="61"/>
      <c r="H341" s="68"/>
      <c r="I341" s="68"/>
      <c r="J341" s="68"/>
      <c r="K341" s="71"/>
      <c r="L341" s="72"/>
      <c r="M341" s="68"/>
      <c r="N341" s="50"/>
      <c r="O341" s="68"/>
      <c r="P341" s="68"/>
      <c r="Q341" s="68"/>
      <c r="R341" s="68"/>
      <c r="S341" s="68"/>
      <c r="T341" s="68"/>
      <c r="U341" s="68"/>
      <c r="V341" s="68"/>
      <c r="W341" s="37"/>
      <c r="X341" s="37"/>
      <c r="Y341" s="37"/>
    </row>
    <row r="342" spans="1:25" ht="15.75" customHeight="1">
      <c r="A342" s="69"/>
      <c r="B342" s="65"/>
      <c r="C342" s="66"/>
      <c r="D342" s="66"/>
      <c r="E342" s="66"/>
      <c r="F342" s="73"/>
      <c r="G342" s="65"/>
      <c r="H342" s="66"/>
      <c r="I342" s="66"/>
      <c r="J342" s="66"/>
      <c r="K342" s="74"/>
      <c r="L342" s="75"/>
      <c r="M342" s="66"/>
      <c r="N342" s="50"/>
      <c r="O342" s="66"/>
      <c r="P342" s="66"/>
      <c r="Q342" s="66"/>
      <c r="R342" s="66"/>
      <c r="S342" s="66"/>
      <c r="T342" s="66"/>
      <c r="U342" s="66"/>
      <c r="V342" s="66"/>
      <c r="W342" s="37"/>
      <c r="X342" s="37"/>
      <c r="Y342" s="37"/>
    </row>
    <row r="343" spans="1:25" ht="15.75" customHeight="1">
      <c r="A343" s="67"/>
      <c r="B343" s="61"/>
      <c r="C343" s="68"/>
      <c r="D343" s="68"/>
      <c r="E343" s="68"/>
      <c r="F343" s="70"/>
      <c r="G343" s="61"/>
      <c r="H343" s="68"/>
      <c r="I343" s="68"/>
      <c r="J343" s="68"/>
      <c r="K343" s="71"/>
      <c r="L343" s="72"/>
      <c r="M343" s="68"/>
      <c r="N343" s="50"/>
      <c r="O343" s="68"/>
      <c r="P343" s="68"/>
      <c r="Q343" s="68"/>
      <c r="R343" s="68"/>
      <c r="S343" s="68"/>
      <c r="T343" s="68"/>
      <c r="U343" s="68"/>
      <c r="V343" s="68"/>
      <c r="W343" s="37"/>
      <c r="X343" s="37"/>
      <c r="Y343" s="37"/>
    </row>
    <row r="344" spans="1:25" ht="15.75" customHeight="1">
      <c r="A344" s="69"/>
      <c r="B344" s="65"/>
      <c r="C344" s="66"/>
      <c r="D344" s="66"/>
      <c r="E344" s="66"/>
      <c r="F344" s="73"/>
      <c r="G344" s="65"/>
      <c r="H344" s="66"/>
      <c r="I344" s="66"/>
      <c r="J344" s="66"/>
      <c r="K344" s="74"/>
      <c r="L344" s="75"/>
      <c r="M344" s="66"/>
      <c r="N344" s="50"/>
      <c r="O344" s="66"/>
      <c r="P344" s="66"/>
      <c r="Q344" s="66"/>
      <c r="R344" s="66"/>
      <c r="S344" s="66"/>
      <c r="T344" s="66"/>
      <c r="U344" s="66"/>
      <c r="V344" s="66"/>
      <c r="W344" s="37"/>
      <c r="X344" s="37"/>
      <c r="Y344" s="37"/>
    </row>
    <row r="345" spans="1:25" ht="15.75" customHeight="1">
      <c r="A345" s="67"/>
      <c r="B345" s="61"/>
      <c r="C345" s="68"/>
      <c r="D345" s="68"/>
      <c r="E345" s="68"/>
      <c r="F345" s="70"/>
      <c r="G345" s="61"/>
      <c r="H345" s="68"/>
      <c r="I345" s="68"/>
      <c r="J345" s="68"/>
      <c r="K345" s="71"/>
      <c r="L345" s="72"/>
      <c r="M345" s="68"/>
      <c r="N345" s="50"/>
      <c r="O345" s="68"/>
      <c r="P345" s="68"/>
      <c r="Q345" s="68"/>
      <c r="R345" s="68"/>
      <c r="S345" s="68"/>
      <c r="T345" s="68"/>
      <c r="U345" s="68"/>
      <c r="V345" s="68"/>
      <c r="W345" s="37"/>
      <c r="X345" s="37"/>
      <c r="Y345" s="37"/>
    </row>
    <row r="346" spans="1:25" ht="15.75" customHeight="1">
      <c r="A346" s="69"/>
      <c r="B346" s="65"/>
      <c r="C346" s="66"/>
      <c r="D346" s="66"/>
      <c r="E346" s="66"/>
      <c r="F346" s="73"/>
      <c r="G346" s="65"/>
      <c r="H346" s="66"/>
      <c r="I346" s="66"/>
      <c r="J346" s="66"/>
      <c r="K346" s="74"/>
      <c r="L346" s="75"/>
      <c r="M346" s="66"/>
      <c r="N346" s="50"/>
      <c r="O346" s="66"/>
      <c r="P346" s="66"/>
      <c r="Q346" s="66"/>
      <c r="R346" s="66"/>
      <c r="S346" s="66"/>
      <c r="T346" s="66"/>
      <c r="U346" s="66"/>
      <c r="V346" s="66"/>
      <c r="W346" s="37"/>
      <c r="X346" s="37"/>
      <c r="Y346" s="37"/>
    </row>
    <row r="347" spans="1:25" ht="15.75" customHeight="1">
      <c r="A347" s="67"/>
      <c r="B347" s="61"/>
      <c r="C347" s="68"/>
      <c r="D347" s="68"/>
      <c r="E347" s="68"/>
      <c r="F347" s="70"/>
      <c r="G347" s="61"/>
      <c r="H347" s="68"/>
      <c r="I347" s="68"/>
      <c r="J347" s="68"/>
      <c r="K347" s="71"/>
      <c r="L347" s="72"/>
      <c r="M347" s="68"/>
      <c r="N347" s="50"/>
      <c r="O347" s="68"/>
      <c r="P347" s="68"/>
      <c r="Q347" s="68"/>
      <c r="R347" s="68"/>
      <c r="S347" s="68"/>
      <c r="T347" s="68"/>
      <c r="U347" s="68"/>
      <c r="V347" s="68"/>
      <c r="W347" s="37"/>
      <c r="X347" s="37"/>
      <c r="Y347" s="37"/>
    </row>
    <row r="348" spans="1:25" ht="15.75" customHeight="1">
      <c r="A348" s="69"/>
      <c r="B348" s="65"/>
      <c r="C348" s="66"/>
      <c r="D348" s="66"/>
      <c r="E348" s="66"/>
      <c r="F348" s="73"/>
      <c r="G348" s="65"/>
      <c r="H348" s="66"/>
      <c r="I348" s="66"/>
      <c r="J348" s="66"/>
      <c r="K348" s="74"/>
      <c r="L348" s="75"/>
      <c r="M348" s="66"/>
      <c r="N348" s="50"/>
      <c r="O348" s="66"/>
      <c r="P348" s="66"/>
      <c r="Q348" s="66"/>
      <c r="R348" s="66"/>
      <c r="S348" s="66"/>
      <c r="T348" s="66"/>
      <c r="U348" s="66"/>
      <c r="V348" s="66"/>
      <c r="W348" s="37"/>
      <c r="X348" s="37"/>
      <c r="Y348" s="37"/>
    </row>
    <row r="349" spans="1:25" ht="15.75" customHeight="1">
      <c r="A349" s="67"/>
      <c r="B349" s="61"/>
      <c r="C349" s="68"/>
      <c r="D349" s="68"/>
      <c r="E349" s="68"/>
      <c r="F349" s="70"/>
      <c r="G349" s="61"/>
      <c r="H349" s="68"/>
      <c r="I349" s="68"/>
      <c r="J349" s="68"/>
      <c r="K349" s="71"/>
      <c r="L349" s="72"/>
      <c r="M349" s="68"/>
      <c r="N349" s="50"/>
      <c r="O349" s="68"/>
      <c r="P349" s="68"/>
      <c r="Q349" s="68"/>
      <c r="R349" s="68"/>
      <c r="S349" s="68"/>
      <c r="T349" s="68"/>
      <c r="U349" s="68"/>
      <c r="V349" s="68"/>
      <c r="W349" s="37"/>
      <c r="X349" s="37"/>
      <c r="Y349" s="37"/>
    </row>
    <row r="350" spans="1:25" ht="15.75" customHeight="1">
      <c r="A350" s="69"/>
      <c r="B350" s="65"/>
      <c r="C350" s="66"/>
      <c r="D350" s="66"/>
      <c r="E350" s="66"/>
      <c r="F350" s="73"/>
      <c r="G350" s="65"/>
      <c r="H350" s="66"/>
      <c r="I350" s="66"/>
      <c r="J350" s="66"/>
      <c r="K350" s="74"/>
      <c r="L350" s="75"/>
      <c r="M350" s="66"/>
      <c r="N350" s="50"/>
      <c r="O350" s="66"/>
      <c r="P350" s="66"/>
      <c r="Q350" s="66"/>
      <c r="R350" s="66"/>
      <c r="S350" s="66"/>
      <c r="T350" s="66"/>
      <c r="U350" s="66"/>
      <c r="V350" s="66"/>
      <c r="W350" s="37"/>
      <c r="X350" s="37"/>
      <c r="Y350" s="37"/>
    </row>
    <row r="351" spans="1:25" ht="15.75" customHeight="1">
      <c r="A351" s="67"/>
      <c r="B351" s="61"/>
      <c r="C351" s="68"/>
      <c r="D351" s="68"/>
      <c r="E351" s="68"/>
      <c r="F351" s="70"/>
      <c r="G351" s="61"/>
      <c r="H351" s="68"/>
      <c r="I351" s="68"/>
      <c r="J351" s="68"/>
      <c r="K351" s="71"/>
      <c r="L351" s="72"/>
      <c r="M351" s="68"/>
      <c r="N351" s="50"/>
      <c r="O351" s="68"/>
      <c r="P351" s="68"/>
      <c r="Q351" s="68"/>
      <c r="R351" s="68"/>
      <c r="S351" s="68"/>
      <c r="T351" s="68"/>
      <c r="U351" s="68"/>
      <c r="V351" s="68"/>
      <c r="W351" s="37"/>
      <c r="X351" s="37"/>
      <c r="Y351" s="37"/>
    </row>
    <row r="352" spans="1:25" ht="15.75" customHeight="1">
      <c r="A352" s="69"/>
      <c r="B352" s="65"/>
      <c r="C352" s="66"/>
      <c r="D352" s="66"/>
      <c r="E352" s="66"/>
      <c r="F352" s="73"/>
      <c r="G352" s="65"/>
      <c r="H352" s="66"/>
      <c r="I352" s="66"/>
      <c r="J352" s="66"/>
      <c r="K352" s="74"/>
      <c r="L352" s="75"/>
      <c r="M352" s="66"/>
      <c r="N352" s="50"/>
      <c r="O352" s="66"/>
      <c r="P352" s="66"/>
      <c r="Q352" s="66"/>
      <c r="R352" s="66"/>
      <c r="S352" s="66"/>
      <c r="T352" s="66"/>
      <c r="U352" s="66"/>
      <c r="V352" s="66"/>
      <c r="W352" s="37"/>
      <c r="X352" s="37"/>
      <c r="Y352" s="37"/>
    </row>
    <row r="353" spans="1:25" ht="15.75" customHeight="1">
      <c r="A353" s="67"/>
      <c r="B353" s="61"/>
      <c r="C353" s="68"/>
      <c r="D353" s="68"/>
      <c r="E353" s="68"/>
      <c r="F353" s="70"/>
      <c r="G353" s="61"/>
      <c r="H353" s="68"/>
      <c r="I353" s="68"/>
      <c r="J353" s="68"/>
      <c r="K353" s="71"/>
      <c r="L353" s="72"/>
      <c r="M353" s="68"/>
      <c r="N353" s="50"/>
      <c r="O353" s="68"/>
      <c r="P353" s="68"/>
      <c r="Q353" s="68"/>
      <c r="R353" s="68"/>
      <c r="S353" s="68"/>
      <c r="T353" s="68"/>
      <c r="U353" s="68"/>
      <c r="V353" s="68"/>
      <c r="W353" s="37"/>
      <c r="X353" s="37"/>
      <c r="Y353" s="37"/>
    </row>
    <row r="354" spans="1:25" ht="15.75" customHeight="1">
      <c r="A354" s="69"/>
      <c r="B354" s="65"/>
      <c r="C354" s="66"/>
      <c r="D354" s="66"/>
      <c r="E354" s="66"/>
      <c r="F354" s="73"/>
      <c r="G354" s="65"/>
      <c r="H354" s="66"/>
      <c r="I354" s="66"/>
      <c r="J354" s="66"/>
      <c r="K354" s="74"/>
      <c r="L354" s="75"/>
      <c r="M354" s="66"/>
      <c r="N354" s="50"/>
      <c r="O354" s="66"/>
      <c r="P354" s="66"/>
      <c r="Q354" s="66"/>
      <c r="R354" s="66"/>
      <c r="S354" s="66"/>
      <c r="T354" s="66"/>
      <c r="U354" s="66"/>
      <c r="V354" s="66"/>
      <c r="W354" s="37"/>
      <c r="X354" s="37"/>
      <c r="Y354" s="37"/>
    </row>
    <row r="355" spans="1:25" ht="15.75" customHeight="1">
      <c r="A355" s="67"/>
      <c r="B355" s="61"/>
      <c r="C355" s="68"/>
      <c r="D355" s="68"/>
      <c r="E355" s="68"/>
      <c r="F355" s="70"/>
      <c r="G355" s="61"/>
      <c r="H355" s="68"/>
      <c r="I355" s="68"/>
      <c r="J355" s="68"/>
      <c r="K355" s="71"/>
      <c r="L355" s="72"/>
      <c r="M355" s="68"/>
      <c r="N355" s="50"/>
      <c r="O355" s="68"/>
      <c r="P355" s="68"/>
      <c r="Q355" s="68"/>
      <c r="R355" s="68"/>
      <c r="S355" s="68"/>
      <c r="T355" s="68"/>
      <c r="U355" s="68"/>
      <c r="V355" s="68"/>
      <c r="W355" s="37"/>
      <c r="X355" s="37"/>
      <c r="Y355" s="37"/>
    </row>
    <row r="356" spans="1:25" ht="15.75" customHeight="1">
      <c r="A356" s="69"/>
      <c r="B356" s="65"/>
      <c r="C356" s="66"/>
      <c r="D356" s="66"/>
      <c r="E356" s="66"/>
      <c r="F356" s="73"/>
      <c r="G356" s="65"/>
      <c r="H356" s="66"/>
      <c r="I356" s="66"/>
      <c r="J356" s="66"/>
      <c r="K356" s="74"/>
      <c r="L356" s="75"/>
      <c r="M356" s="66"/>
      <c r="N356" s="50"/>
      <c r="O356" s="66"/>
      <c r="P356" s="66"/>
      <c r="Q356" s="66"/>
      <c r="R356" s="66"/>
      <c r="S356" s="66"/>
      <c r="T356" s="66"/>
      <c r="U356" s="66"/>
      <c r="V356" s="66"/>
      <c r="W356" s="37"/>
      <c r="X356" s="37"/>
      <c r="Y356" s="37"/>
    </row>
    <row r="357" spans="1:25" ht="15.75" customHeight="1">
      <c r="A357" s="67"/>
      <c r="B357" s="61"/>
      <c r="C357" s="68"/>
      <c r="D357" s="68"/>
      <c r="E357" s="68"/>
      <c r="F357" s="70"/>
      <c r="G357" s="61"/>
      <c r="H357" s="68"/>
      <c r="I357" s="68"/>
      <c r="J357" s="68"/>
      <c r="K357" s="71"/>
      <c r="L357" s="72"/>
      <c r="M357" s="68"/>
      <c r="N357" s="50"/>
      <c r="O357" s="68"/>
      <c r="P357" s="68"/>
      <c r="Q357" s="68"/>
      <c r="R357" s="68"/>
      <c r="S357" s="68"/>
      <c r="T357" s="68"/>
      <c r="U357" s="68"/>
      <c r="V357" s="68"/>
      <c r="W357" s="37"/>
      <c r="X357" s="37"/>
      <c r="Y357" s="37"/>
    </row>
    <row r="358" spans="1:25" ht="15.75" customHeight="1">
      <c r="A358" s="69"/>
      <c r="B358" s="65"/>
      <c r="C358" s="66"/>
      <c r="D358" s="66"/>
      <c r="E358" s="66"/>
      <c r="F358" s="73"/>
      <c r="G358" s="65"/>
      <c r="H358" s="66"/>
      <c r="I358" s="66"/>
      <c r="J358" s="66"/>
      <c r="K358" s="74"/>
      <c r="L358" s="75"/>
      <c r="M358" s="66"/>
      <c r="N358" s="50"/>
      <c r="O358" s="66"/>
      <c r="P358" s="66"/>
      <c r="Q358" s="66"/>
      <c r="R358" s="66"/>
      <c r="S358" s="66"/>
      <c r="T358" s="66"/>
      <c r="U358" s="66"/>
      <c r="V358" s="66"/>
      <c r="W358" s="37"/>
      <c r="X358" s="37"/>
      <c r="Y358" s="37"/>
    </row>
    <row r="359" spans="1:25" ht="15.75" customHeight="1">
      <c r="A359" s="67"/>
      <c r="B359" s="61"/>
      <c r="C359" s="68"/>
      <c r="D359" s="68"/>
      <c r="E359" s="68"/>
      <c r="F359" s="70"/>
      <c r="G359" s="61"/>
      <c r="H359" s="68"/>
      <c r="I359" s="68"/>
      <c r="J359" s="68"/>
      <c r="K359" s="71"/>
      <c r="L359" s="72"/>
      <c r="M359" s="68"/>
      <c r="N359" s="50"/>
      <c r="O359" s="68"/>
      <c r="P359" s="68"/>
      <c r="Q359" s="68"/>
      <c r="R359" s="68"/>
      <c r="S359" s="68"/>
      <c r="T359" s="68"/>
      <c r="U359" s="68"/>
      <c r="V359" s="68"/>
      <c r="W359" s="37"/>
      <c r="X359" s="37"/>
      <c r="Y359" s="37"/>
    </row>
    <row r="360" spans="1:25" ht="15.75" customHeight="1">
      <c r="A360" s="69"/>
      <c r="B360" s="65"/>
      <c r="C360" s="66"/>
      <c r="D360" s="66"/>
      <c r="E360" s="66"/>
      <c r="F360" s="73"/>
      <c r="G360" s="65"/>
      <c r="H360" s="66"/>
      <c r="I360" s="66"/>
      <c r="J360" s="66"/>
      <c r="K360" s="74"/>
      <c r="L360" s="75"/>
      <c r="M360" s="66"/>
      <c r="N360" s="50"/>
      <c r="O360" s="66"/>
      <c r="P360" s="66"/>
      <c r="Q360" s="66"/>
      <c r="R360" s="66"/>
      <c r="S360" s="66"/>
      <c r="T360" s="66"/>
      <c r="U360" s="66"/>
      <c r="V360" s="66"/>
      <c r="W360" s="37"/>
      <c r="X360" s="37"/>
      <c r="Y360" s="37"/>
    </row>
    <row r="361" spans="1:25" ht="15.75" customHeight="1">
      <c r="A361" s="67"/>
      <c r="B361" s="61"/>
      <c r="C361" s="68"/>
      <c r="D361" s="68"/>
      <c r="E361" s="68"/>
      <c r="F361" s="70"/>
      <c r="G361" s="61"/>
      <c r="H361" s="68"/>
      <c r="I361" s="68"/>
      <c r="J361" s="68"/>
      <c r="K361" s="71"/>
      <c r="L361" s="72"/>
      <c r="M361" s="68"/>
      <c r="N361" s="50"/>
      <c r="O361" s="68"/>
      <c r="P361" s="68"/>
      <c r="Q361" s="68"/>
      <c r="R361" s="68"/>
      <c r="S361" s="68"/>
      <c r="T361" s="68"/>
      <c r="U361" s="68"/>
      <c r="V361" s="68"/>
      <c r="W361" s="37"/>
      <c r="X361" s="37"/>
      <c r="Y361" s="37"/>
    </row>
    <row r="362" spans="1:25" ht="15.75" customHeight="1">
      <c r="A362" s="69"/>
      <c r="B362" s="65"/>
      <c r="C362" s="66"/>
      <c r="D362" s="66"/>
      <c r="E362" s="66"/>
      <c r="F362" s="73"/>
      <c r="G362" s="65"/>
      <c r="H362" s="66"/>
      <c r="I362" s="66"/>
      <c r="J362" s="66"/>
      <c r="K362" s="74"/>
      <c r="L362" s="75"/>
      <c r="M362" s="66"/>
      <c r="N362" s="50"/>
      <c r="O362" s="66"/>
      <c r="P362" s="66"/>
      <c r="Q362" s="66"/>
      <c r="R362" s="66"/>
      <c r="S362" s="66"/>
      <c r="T362" s="66"/>
      <c r="U362" s="66"/>
      <c r="V362" s="66"/>
      <c r="W362" s="37"/>
      <c r="X362" s="37"/>
      <c r="Y362" s="37"/>
    </row>
    <row r="363" spans="1:25" ht="15.75" customHeight="1">
      <c r="A363" s="67"/>
      <c r="B363" s="61"/>
      <c r="C363" s="68"/>
      <c r="D363" s="68"/>
      <c r="E363" s="68"/>
      <c r="F363" s="70"/>
      <c r="G363" s="61"/>
      <c r="H363" s="68"/>
      <c r="I363" s="68"/>
      <c r="J363" s="68"/>
      <c r="K363" s="71"/>
      <c r="L363" s="72"/>
      <c r="M363" s="68"/>
      <c r="N363" s="50"/>
      <c r="O363" s="68"/>
      <c r="P363" s="68"/>
      <c r="Q363" s="68"/>
      <c r="R363" s="68"/>
      <c r="S363" s="68"/>
      <c r="T363" s="68"/>
      <c r="U363" s="68"/>
      <c r="V363" s="68"/>
      <c r="W363" s="37"/>
      <c r="X363" s="37"/>
      <c r="Y363" s="37"/>
    </row>
    <row r="364" spans="1:25" ht="15.75" customHeight="1">
      <c r="A364" s="69"/>
      <c r="B364" s="65"/>
      <c r="C364" s="66"/>
      <c r="D364" s="66"/>
      <c r="E364" s="66"/>
      <c r="F364" s="73"/>
      <c r="G364" s="65"/>
      <c r="H364" s="66"/>
      <c r="I364" s="66"/>
      <c r="J364" s="66"/>
      <c r="K364" s="74"/>
      <c r="L364" s="75"/>
      <c r="M364" s="66"/>
      <c r="N364" s="50"/>
      <c r="O364" s="66"/>
      <c r="P364" s="66"/>
      <c r="Q364" s="66"/>
      <c r="R364" s="66"/>
      <c r="S364" s="66"/>
      <c r="T364" s="66"/>
      <c r="U364" s="66"/>
      <c r="V364" s="66"/>
      <c r="W364" s="37"/>
      <c r="X364" s="37"/>
      <c r="Y364" s="37"/>
    </row>
    <row r="365" spans="1:25" ht="15.75" customHeight="1">
      <c r="A365" s="67"/>
      <c r="B365" s="61"/>
      <c r="C365" s="68"/>
      <c r="D365" s="68"/>
      <c r="E365" s="68"/>
      <c r="F365" s="70"/>
      <c r="G365" s="61"/>
      <c r="H365" s="68"/>
      <c r="I365" s="68"/>
      <c r="J365" s="68"/>
      <c r="K365" s="71"/>
      <c r="L365" s="72"/>
      <c r="M365" s="68"/>
      <c r="N365" s="50"/>
      <c r="O365" s="68"/>
      <c r="P365" s="68"/>
      <c r="Q365" s="68"/>
      <c r="R365" s="68"/>
      <c r="S365" s="68"/>
      <c r="T365" s="68"/>
      <c r="U365" s="68"/>
      <c r="V365" s="68"/>
      <c r="W365" s="37"/>
      <c r="X365" s="37"/>
      <c r="Y365" s="37"/>
    </row>
    <row r="366" spans="1:25" ht="15.75" customHeight="1">
      <c r="A366" s="69"/>
      <c r="B366" s="65"/>
      <c r="C366" s="66"/>
      <c r="D366" s="66"/>
      <c r="E366" s="66"/>
      <c r="F366" s="73"/>
      <c r="G366" s="65"/>
      <c r="H366" s="66"/>
      <c r="I366" s="66"/>
      <c r="J366" s="66"/>
      <c r="K366" s="74"/>
      <c r="L366" s="75"/>
      <c r="M366" s="66"/>
      <c r="N366" s="50"/>
      <c r="O366" s="66"/>
      <c r="P366" s="66"/>
      <c r="Q366" s="66"/>
      <c r="R366" s="66"/>
      <c r="S366" s="66"/>
      <c r="T366" s="66"/>
      <c r="U366" s="66"/>
      <c r="V366" s="66"/>
      <c r="W366" s="37"/>
      <c r="X366" s="37"/>
      <c r="Y366" s="37"/>
    </row>
    <row r="367" spans="1:25" ht="15.75" customHeight="1">
      <c r="A367" s="67"/>
      <c r="B367" s="61"/>
      <c r="C367" s="68"/>
      <c r="D367" s="68"/>
      <c r="E367" s="68"/>
      <c r="F367" s="70"/>
      <c r="G367" s="61"/>
      <c r="H367" s="68"/>
      <c r="I367" s="68"/>
      <c r="J367" s="68"/>
      <c r="K367" s="71"/>
      <c r="L367" s="72"/>
      <c r="M367" s="68"/>
      <c r="N367" s="50"/>
      <c r="O367" s="68"/>
      <c r="P367" s="68"/>
      <c r="Q367" s="68"/>
      <c r="R367" s="68"/>
      <c r="S367" s="68"/>
      <c r="T367" s="68"/>
      <c r="U367" s="68"/>
      <c r="V367" s="68"/>
      <c r="W367" s="37"/>
      <c r="X367" s="37"/>
      <c r="Y367" s="37"/>
    </row>
    <row r="368" spans="1:25" ht="15.75" customHeight="1">
      <c r="A368" s="69"/>
      <c r="B368" s="65"/>
      <c r="C368" s="66"/>
      <c r="D368" s="66"/>
      <c r="E368" s="66"/>
      <c r="F368" s="73"/>
      <c r="G368" s="65"/>
      <c r="H368" s="66"/>
      <c r="I368" s="66"/>
      <c r="J368" s="66"/>
      <c r="K368" s="74"/>
      <c r="L368" s="75"/>
      <c r="M368" s="66"/>
      <c r="N368" s="50"/>
      <c r="O368" s="66"/>
      <c r="P368" s="66"/>
      <c r="Q368" s="66"/>
      <c r="R368" s="66"/>
      <c r="S368" s="66"/>
      <c r="T368" s="66"/>
      <c r="U368" s="66"/>
      <c r="V368" s="66"/>
      <c r="W368" s="37"/>
      <c r="X368" s="37"/>
      <c r="Y368" s="37"/>
    </row>
    <row r="369" spans="1:25" ht="15.75" customHeight="1">
      <c r="A369" s="67"/>
      <c r="B369" s="61"/>
      <c r="C369" s="68"/>
      <c r="D369" s="68"/>
      <c r="E369" s="68"/>
      <c r="F369" s="70"/>
      <c r="G369" s="61"/>
      <c r="H369" s="68"/>
      <c r="I369" s="68"/>
      <c r="J369" s="68"/>
      <c r="K369" s="71"/>
      <c r="L369" s="72"/>
      <c r="M369" s="68"/>
      <c r="N369" s="50"/>
      <c r="O369" s="68"/>
      <c r="P369" s="68"/>
      <c r="Q369" s="68"/>
      <c r="R369" s="68"/>
      <c r="S369" s="68"/>
      <c r="T369" s="68"/>
      <c r="U369" s="68"/>
      <c r="V369" s="68"/>
      <c r="W369" s="37"/>
      <c r="X369" s="37"/>
      <c r="Y369" s="37"/>
    </row>
    <row r="370" spans="1:25" ht="15.75" customHeight="1">
      <c r="A370" s="69"/>
      <c r="B370" s="65"/>
      <c r="C370" s="66"/>
      <c r="D370" s="66"/>
      <c r="E370" s="66"/>
      <c r="F370" s="73"/>
      <c r="G370" s="65"/>
      <c r="H370" s="66"/>
      <c r="I370" s="66"/>
      <c r="J370" s="66"/>
      <c r="K370" s="74"/>
      <c r="L370" s="75"/>
      <c r="M370" s="66"/>
      <c r="N370" s="50"/>
      <c r="O370" s="66"/>
      <c r="P370" s="66"/>
      <c r="Q370" s="66"/>
      <c r="R370" s="66"/>
      <c r="S370" s="66"/>
      <c r="T370" s="66"/>
      <c r="U370" s="66"/>
      <c r="V370" s="66"/>
      <c r="W370" s="37"/>
      <c r="X370" s="37"/>
      <c r="Y370" s="37"/>
    </row>
    <row r="371" spans="1:25" ht="15.75" customHeight="1">
      <c r="A371" s="67"/>
      <c r="B371" s="61"/>
      <c r="C371" s="68"/>
      <c r="D371" s="68"/>
      <c r="E371" s="68"/>
      <c r="F371" s="70"/>
      <c r="G371" s="61"/>
      <c r="H371" s="68"/>
      <c r="I371" s="68"/>
      <c r="J371" s="68"/>
      <c r="K371" s="71"/>
      <c r="L371" s="72"/>
      <c r="M371" s="68"/>
      <c r="N371" s="50"/>
      <c r="O371" s="68"/>
      <c r="P371" s="68"/>
      <c r="Q371" s="68"/>
      <c r="R371" s="68"/>
      <c r="S371" s="68"/>
      <c r="T371" s="68"/>
      <c r="U371" s="68"/>
      <c r="V371" s="68"/>
      <c r="W371" s="37"/>
      <c r="X371" s="37"/>
      <c r="Y371" s="37"/>
    </row>
    <row r="372" spans="1:25" ht="15.75" customHeight="1">
      <c r="A372" s="69"/>
      <c r="B372" s="65"/>
      <c r="C372" s="66"/>
      <c r="D372" s="66"/>
      <c r="E372" s="66"/>
      <c r="F372" s="73"/>
      <c r="G372" s="65"/>
      <c r="H372" s="66"/>
      <c r="I372" s="66"/>
      <c r="J372" s="66"/>
      <c r="K372" s="74"/>
      <c r="L372" s="75"/>
      <c r="M372" s="66"/>
      <c r="N372" s="50"/>
      <c r="O372" s="66"/>
      <c r="P372" s="66"/>
      <c r="Q372" s="66"/>
      <c r="R372" s="66"/>
      <c r="S372" s="66"/>
      <c r="T372" s="66"/>
      <c r="U372" s="66"/>
      <c r="V372" s="66"/>
      <c r="W372" s="37"/>
      <c r="X372" s="37"/>
      <c r="Y372" s="37"/>
    </row>
    <row r="373" spans="1:25" ht="15.75" customHeight="1">
      <c r="A373" s="67"/>
      <c r="B373" s="61"/>
      <c r="C373" s="68"/>
      <c r="D373" s="68"/>
      <c r="E373" s="68"/>
      <c r="F373" s="70"/>
      <c r="G373" s="61"/>
      <c r="H373" s="68"/>
      <c r="I373" s="68"/>
      <c r="J373" s="68"/>
      <c r="K373" s="71"/>
      <c r="L373" s="72"/>
      <c r="M373" s="68"/>
      <c r="N373" s="50"/>
      <c r="O373" s="68"/>
      <c r="P373" s="68"/>
      <c r="Q373" s="68"/>
      <c r="R373" s="68"/>
      <c r="S373" s="68"/>
      <c r="T373" s="68"/>
      <c r="U373" s="68"/>
      <c r="V373" s="68"/>
      <c r="W373" s="37"/>
      <c r="X373" s="37"/>
      <c r="Y373" s="37"/>
    </row>
    <row r="374" spans="1:25" ht="15.75" customHeight="1">
      <c r="A374" s="69"/>
      <c r="B374" s="65"/>
      <c r="C374" s="66"/>
      <c r="D374" s="66"/>
      <c r="E374" s="66"/>
      <c r="F374" s="73"/>
      <c r="G374" s="65"/>
      <c r="H374" s="66"/>
      <c r="I374" s="66"/>
      <c r="J374" s="66"/>
      <c r="K374" s="74"/>
      <c r="L374" s="75"/>
      <c r="M374" s="66"/>
      <c r="N374" s="50"/>
      <c r="O374" s="66"/>
      <c r="P374" s="66"/>
      <c r="Q374" s="66"/>
      <c r="R374" s="66"/>
      <c r="S374" s="66"/>
      <c r="T374" s="66"/>
      <c r="U374" s="66"/>
      <c r="V374" s="66"/>
      <c r="W374" s="37"/>
      <c r="X374" s="37"/>
      <c r="Y374" s="37"/>
    </row>
    <row r="375" spans="1:25" ht="15.75" customHeight="1">
      <c r="A375" s="67"/>
      <c r="B375" s="61"/>
      <c r="C375" s="68"/>
      <c r="D375" s="68"/>
      <c r="E375" s="68"/>
      <c r="F375" s="70"/>
      <c r="G375" s="61"/>
      <c r="H375" s="68"/>
      <c r="I375" s="68"/>
      <c r="J375" s="68"/>
      <c r="K375" s="71"/>
      <c r="L375" s="72"/>
      <c r="M375" s="68"/>
      <c r="N375" s="50"/>
      <c r="O375" s="68"/>
      <c r="P375" s="68"/>
      <c r="Q375" s="68"/>
      <c r="R375" s="68"/>
      <c r="S375" s="68"/>
      <c r="T375" s="68"/>
      <c r="U375" s="68"/>
      <c r="V375" s="68"/>
      <c r="W375" s="37"/>
      <c r="X375" s="37"/>
      <c r="Y375" s="37"/>
    </row>
    <row r="376" spans="1:25" ht="15.75" customHeight="1">
      <c r="A376" s="69"/>
      <c r="B376" s="65"/>
      <c r="C376" s="66"/>
      <c r="D376" s="66"/>
      <c r="E376" s="66"/>
      <c r="F376" s="73"/>
      <c r="G376" s="65"/>
      <c r="H376" s="66"/>
      <c r="I376" s="66"/>
      <c r="J376" s="66"/>
      <c r="K376" s="74"/>
      <c r="L376" s="75"/>
      <c r="M376" s="66"/>
      <c r="N376" s="50"/>
      <c r="O376" s="66"/>
      <c r="P376" s="66"/>
      <c r="Q376" s="66"/>
      <c r="R376" s="66"/>
      <c r="S376" s="66"/>
      <c r="T376" s="66"/>
      <c r="U376" s="66"/>
      <c r="V376" s="66"/>
      <c r="W376" s="37"/>
      <c r="X376" s="37"/>
      <c r="Y376" s="37"/>
    </row>
    <row r="377" spans="1:25" ht="15.75" customHeight="1">
      <c r="A377" s="67"/>
      <c r="B377" s="61"/>
      <c r="C377" s="68"/>
      <c r="D377" s="68"/>
      <c r="E377" s="68"/>
      <c r="F377" s="70"/>
      <c r="G377" s="61"/>
      <c r="H377" s="68"/>
      <c r="I377" s="68"/>
      <c r="J377" s="68"/>
      <c r="K377" s="71"/>
      <c r="L377" s="72"/>
      <c r="M377" s="68"/>
      <c r="N377" s="50"/>
      <c r="O377" s="68"/>
      <c r="P377" s="68"/>
      <c r="Q377" s="68"/>
      <c r="R377" s="68"/>
      <c r="S377" s="68"/>
      <c r="T377" s="68"/>
      <c r="U377" s="68"/>
      <c r="V377" s="68"/>
      <c r="W377" s="37"/>
      <c r="X377" s="37"/>
      <c r="Y377" s="37"/>
    </row>
    <row r="378" spans="1:25" ht="15.75" customHeight="1">
      <c r="A378" s="69"/>
      <c r="B378" s="65"/>
      <c r="C378" s="66"/>
      <c r="D378" s="66"/>
      <c r="E378" s="66"/>
      <c r="F378" s="73"/>
      <c r="G378" s="65"/>
      <c r="H378" s="66"/>
      <c r="I378" s="66"/>
      <c r="J378" s="66"/>
      <c r="K378" s="74"/>
      <c r="L378" s="75"/>
      <c r="M378" s="66"/>
      <c r="N378" s="50"/>
      <c r="O378" s="66"/>
      <c r="P378" s="66"/>
      <c r="Q378" s="66"/>
      <c r="R378" s="66"/>
      <c r="S378" s="66"/>
      <c r="T378" s="66"/>
      <c r="U378" s="66"/>
      <c r="V378" s="66"/>
      <c r="W378" s="37"/>
      <c r="X378" s="37"/>
      <c r="Y378" s="37"/>
    </row>
    <row r="379" spans="1:25" ht="15.75" customHeight="1">
      <c r="A379" s="67"/>
      <c r="B379" s="61"/>
      <c r="C379" s="68"/>
      <c r="D379" s="68"/>
      <c r="E379" s="68"/>
      <c r="F379" s="70"/>
      <c r="G379" s="61"/>
      <c r="H379" s="68"/>
      <c r="I379" s="68"/>
      <c r="J379" s="68"/>
      <c r="K379" s="71"/>
      <c r="L379" s="72"/>
      <c r="M379" s="68"/>
      <c r="N379" s="50"/>
      <c r="O379" s="68"/>
      <c r="P379" s="68"/>
      <c r="Q379" s="68"/>
      <c r="R379" s="68"/>
      <c r="S379" s="68"/>
      <c r="T379" s="68"/>
      <c r="U379" s="68"/>
      <c r="V379" s="68"/>
      <c r="W379" s="37"/>
      <c r="X379" s="37"/>
      <c r="Y379" s="37"/>
    </row>
    <row r="380" spans="1:25" ht="15.75" customHeight="1">
      <c r="A380" s="69"/>
      <c r="B380" s="65"/>
      <c r="C380" s="66"/>
      <c r="D380" s="66"/>
      <c r="E380" s="66"/>
      <c r="F380" s="73"/>
      <c r="G380" s="65"/>
      <c r="H380" s="66"/>
      <c r="I380" s="66"/>
      <c r="J380" s="66"/>
      <c r="K380" s="74"/>
      <c r="L380" s="75"/>
      <c r="M380" s="66"/>
      <c r="N380" s="50"/>
      <c r="O380" s="66"/>
      <c r="P380" s="66"/>
      <c r="Q380" s="66"/>
      <c r="R380" s="66"/>
      <c r="S380" s="66"/>
      <c r="T380" s="66"/>
      <c r="U380" s="66"/>
      <c r="V380" s="66"/>
      <c r="W380" s="37"/>
      <c r="X380" s="37"/>
      <c r="Y380" s="37"/>
    </row>
    <row r="381" spans="1:25" ht="15.75" customHeight="1">
      <c r="A381" s="67"/>
      <c r="B381" s="61"/>
      <c r="C381" s="68"/>
      <c r="D381" s="68"/>
      <c r="E381" s="68"/>
      <c r="F381" s="70"/>
      <c r="G381" s="61"/>
      <c r="H381" s="68"/>
      <c r="I381" s="68"/>
      <c r="J381" s="68"/>
      <c r="K381" s="71"/>
      <c r="L381" s="72"/>
      <c r="M381" s="68"/>
      <c r="N381" s="50"/>
      <c r="O381" s="68"/>
      <c r="P381" s="68"/>
      <c r="Q381" s="68"/>
      <c r="R381" s="68"/>
      <c r="S381" s="68"/>
      <c r="T381" s="68"/>
      <c r="U381" s="68"/>
      <c r="V381" s="68"/>
      <c r="W381" s="37"/>
      <c r="X381" s="37"/>
      <c r="Y381" s="37"/>
    </row>
    <row r="382" spans="1:25" ht="15.75" customHeight="1">
      <c r="A382" s="69"/>
      <c r="B382" s="65"/>
      <c r="C382" s="66"/>
      <c r="D382" s="66"/>
      <c r="E382" s="66"/>
      <c r="F382" s="73"/>
      <c r="G382" s="65"/>
      <c r="H382" s="66"/>
      <c r="I382" s="66"/>
      <c r="J382" s="66"/>
      <c r="K382" s="74"/>
      <c r="L382" s="75"/>
      <c r="M382" s="66"/>
      <c r="N382" s="50"/>
      <c r="O382" s="66"/>
      <c r="P382" s="66"/>
      <c r="Q382" s="66"/>
      <c r="R382" s="66"/>
      <c r="S382" s="66"/>
      <c r="T382" s="66"/>
      <c r="U382" s="66"/>
      <c r="V382" s="66"/>
      <c r="W382" s="37"/>
      <c r="X382" s="37"/>
      <c r="Y382" s="37"/>
    </row>
    <row r="383" spans="1:25" ht="15.75" customHeight="1">
      <c r="A383" s="67"/>
      <c r="B383" s="61"/>
      <c r="C383" s="68"/>
      <c r="D383" s="68"/>
      <c r="E383" s="68"/>
      <c r="F383" s="70"/>
      <c r="G383" s="61"/>
      <c r="H383" s="68"/>
      <c r="I383" s="68"/>
      <c r="J383" s="68"/>
      <c r="K383" s="71"/>
      <c r="L383" s="72"/>
      <c r="M383" s="68"/>
      <c r="N383" s="50"/>
      <c r="O383" s="68"/>
      <c r="P383" s="68"/>
      <c r="Q383" s="68"/>
      <c r="R383" s="68"/>
      <c r="S383" s="68"/>
      <c r="T383" s="68"/>
      <c r="U383" s="68"/>
      <c r="V383" s="68"/>
      <c r="W383" s="37"/>
      <c r="X383" s="37"/>
      <c r="Y383" s="37"/>
    </row>
    <row r="384" spans="1:25" ht="15.75" customHeight="1">
      <c r="A384" s="69"/>
      <c r="B384" s="65"/>
      <c r="C384" s="66"/>
      <c r="D384" s="66"/>
      <c r="E384" s="66"/>
      <c r="F384" s="73"/>
      <c r="G384" s="65"/>
      <c r="H384" s="66"/>
      <c r="I384" s="66"/>
      <c r="J384" s="66"/>
      <c r="K384" s="74"/>
      <c r="L384" s="75"/>
      <c r="M384" s="66"/>
      <c r="N384" s="50"/>
      <c r="O384" s="66"/>
      <c r="P384" s="66"/>
      <c r="Q384" s="66"/>
      <c r="R384" s="66"/>
      <c r="S384" s="66"/>
      <c r="T384" s="66"/>
      <c r="U384" s="66"/>
      <c r="V384" s="66"/>
      <c r="W384" s="37"/>
      <c r="X384" s="37"/>
      <c r="Y384" s="37"/>
    </row>
    <row r="385" spans="1:25" ht="15.75" customHeight="1">
      <c r="A385" s="67"/>
      <c r="B385" s="61"/>
      <c r="C385" s="68"/>
      <c r="D385" s="68"/>
      <c r="E385" s="68"/>
      <c r="F385" s="70"/>
      <c r="G385" s="61"/>
      <c r="H385" s="68"/>
      <c r="I385" s="68"/>
      <c r="J385" s="68"/>
      <c r="K385" s="71"/>
      <c r="L385" s="72"/>
      <c r="M385" s="68"/>
      <c r="N385" s="50"/>
      <c r="O385" s="68"/>
      <c r="P385" s="68"/>
      <c r="Q385" s="68"/>
      <c r="R385" s="68"/>
      <c r="S385" s="68"/>
      <c r="T385" s="68"/>
      <c r="U385" s="68"/>
      <c r="V385" s="68"/>
      <c r="W385" s="37"/>
      <c r="X385" s="37"/>
      <c r="Y385" s="37"/>
    </row>
    <row r="386" spans="1:25" ht="15.75" customHeight="1">
      <c r="A386" s="69"/>
      <c r="B386" s="65"/>
      <c r="C386" s="66"/>
      <c r="D386" s="66"/>
      <c r="E386" s="66"/>
      <c r="F386" s="73"/>
      <c r="G386" s="65"/>
      <c r="H386" s="66"/>
      <c r="I386" s="66"/>
      <c r="J386" s="66"/>
      <c r="K386" s="74"/>
      <c r="L386" s="75"/>
      <c r="M386" s="66"/>
      <c r="N386" s="50"/>
      <c r="O386" s="66"/>
      <c r="P386" s="66"/>
      <c r="Q386" s="66"/>
      <c r="R386" s="66"/>
      <c r="S386" s="66"/>
      <c r="T386" s="66"/>
      <c r="U386" s="66"/>
      <c r="V386" s="66"/>
      <c r="W386" s="37"/>
      <c r="X386" s="37"/>
      <c r="Y386" s="37"/>
    </row>
    <row r="387" spans="1:25" ht="15.75" customHeight="1">
      <c r="A387" s="67"/>
      <c r="B387" s="61"/>
      <c r="C387" s="68"/>
      <c r="D387" s="68"/>
      <c r="E387" s="68"/>
      <c r="F387" s="70"/>
      <c r="G387" s="61"/>
      <c r="H387" s="68"/>
      <c r="I387" s="68"/>
      <c r="J387" s="68"/>
      <c r="K387" s="71"/>
      <c r="L387" s="72"/>
      <c r="M387" s="68"/>
      <c r="N387" s="50"/>
      <c r="O387" s="68"/>
      <c r="P387" s="68"/>
      <c r="Q387" s="68"/>
      <c r="R387" s="68"/>
      <c r="S387" s="68"/>
      <c r="T387" s="68"/>
      <c r="U387" s="68"/>
      <c r="V387" s="68"/>
      <c r="W387" s="37"/>
      <c r="X387" s="37"/>
      <c r="Y387" s="37"/>
    </row>
    <row r="388" spans="1:25" ht="15.75" customHeight="1">
      <c r="A388" s="69"/>
      <c r="B388" s="65"/>
      <c r="C388" s="66"/>
      <c r="D388" s="66"/>
      <c r="E388" s="66"/>
      <c r="F388" s="73"/>
      <c r="G388" s="65"/>
      <c r="H388" s="66"/>
      <c r="I388" s="66"/>
      <c r="J388" s="66"/>
      <c r="K388" s="74"/>
      <c r="L388" s="75"/>
      <c r="M388" s="66"/>
      <c r="N388" s="50"/>
      <c r="O388" s="66"/>
      <c r="P388" s="66"/>
      <c r="Q388" s="66"/>
      <c r="R388" s="66"/>
      <c r="S388" s="66"/>
      <c r="T388" s="66"/>
      <c r="U388" s="66"/>
      <c r="V388" s="66"/>
      <c r="W388" s="37"/>
      <c r="X388" s="37"/>
      <c r="Y388" s="37"/>
    </row>
    <row r="389" spans="1:25" ht="15.75" customHeight="1">
      <c r="A389" s="67"/>
      <c r="B389" s="61"/>
      <c r="C389" s="68"/>
      <c r="D389" s="68"/>
      <c r="E389" s="68"/>
      <c r="F389" s="70"/>
      <c r="G389" s="61"/>
      <c r="H389" s="68"/>
      <c r="I389" s="68"/>
      <c r="J389" s="68"/>
      <c r="K389" s="71"/>
      <c r="L389" s="72"/>
      <c r="M389" s="68"/>
      <c r="N389" s="50"/>
      <c r="O389" s="68"/>
      <c r="P389" s="68"/>
      <c r="Q389" s="68"/>
      <c r="R389" s="68"/>
      <c r="S389" s="68"/>
      <c r="T389" s="68"/>
      <c r="U389" s="68"/>
      <c r="V389" s="68"/>
      <c r="W389" s="37"/>
      <c r="X389" s="37"/>
      <c r="Y389" s="37"/>
    </row>
    <row r="390" spans="1:25" ht="15.75" customHeight="1">
      <c r="A390" s="69"/>
      <c r="B390" s="65"/>
      <c r="C390" s="66"/>
      <c r="D390" s="66"/>
      <c r="E390" s="66"/>
      <c r="F390" s="73"/>
      <c r="G390" s="65"/>
      <c r="H390" s="66"/>
      <c r="I390" s="66"/>
      <c r="J390" s="66"/>
      <c r="K390" s="74"/>
      <c r="L390" s="75"/>
      <c r="M390" s="66"/>
      <c r="N390" s="50"/>
      <c r="O390" s="66"/>
      <c r="P390" s="66"/>
      <c r="Q390" s="66"/>
      <c r="R390" s="66"/>
      <c r="S390" s="66"/>
      <c r="T390" s="66"/>
      <c r="U390" s="66"/>
      <c r="V390" s="66"/>
      <c r="W390" s="37"/>
      <c r="X390" s="37"/>
      <c r="Y390" s="37"/>
    </row>
    <row r="391" spans="1:25" ht="15.75" customHeight="1">
      <c r="A391" s="67"/>
      <c r="B391" s="61"/>
      <c r="C391" s="68"/>
      <c r="D391" s="68"/>
      <c r="E391" s="68"/>
      <c r="F391" s="70"/>
      <c r="G391" s="61"/>
      <c r="H391" s="68"/>
      <c r="I391" s="68"/>
      <c r="J391" s="68"/>
      <c r="K391" s="71"/>
      <c r="L391" s="72"/>
      <c r="M391" s="68"/>
      <c r="N391" s="50"/>
      <c r="O391" s="68"/>
      <c r="P391" s="68"/>
      <c r="Q391" s="68"/>
      <c r="R391" s="68"/>
      <c r="S391" s="68"/>
      <c r="T391" s="68"/>
      <c r="U391" s="68"/>
      <c r="V391" s="68"/>
      <c r="W391" s="37"/>
      <c r="X391" s="37"/>
      <c r="Y391" s="37"/>
    </row>
    <row r="392" spans="1:25" ht="15.75" customHeight="1">
      <c r="A392" s="69"/>
      <c r="B392" s="65"/>
      <c r="C392" s="66"/>
      <c r="D392" s="66"/>
      <c r="E392" s="66"/>
      <c r="F392" s="73"/>
      <c r="G392" s="65"/>
      <c r="H392" s="66"/>
      <c r="I392" s="66"/>
      <c r="J392" s="66"/>
      <c r="K392" s="74"/>
      <c r="L392" s="75"/>
      <c r="M392" s="66"/>
      <c r="N392" s="50"/>
      <c r="O392" s="66"/>
      <c r="P392" s="66"/>
      <c r="Q392" s="66"/>
      <c r="R392" s="66"/>
      <c r="S392" s="66"/>
      <c r="T392" s="66"/>
      <c r="U392" s="66"/>
      <c r="V392" s="66"/>
      <c r="W392" s="37"/>
      <c r="X392" s="37"/>
      <c r="Y392" s="37"/>
    </row>
    <row r="393" spans="1:25" ht="15.75" customHeight="1">
      <c r="A393" s="67"/>
      <c r="B393" s="61"/>
      <c r="C393" s="68"/>
      <c r="D393" s="68"/>
      <c r="E393" s="68"/>
      <c r="F393" s="70"/>
      <c r="G393" s="61"/>
      <c r="H393" s="68"/>
      <c r="I393" s="68"/>
      <c r="J393" s="68"/>
      <c r="K393" s="71"/>
      <c r="L393" s="72"/>
      <c r="M393" s="68"/>
      <c r="N393" s="50"/>
      <c r="O393" s="68"/>
      <c r="P393" s="68"/>
      <c r="Q393" s="68"/>
      <c r="R393" s="68"/>
      <c r="S393" s="68"/>
      <c r="T393" s="68"/>
      <c r="U393" s="68"/>
      <c r="V393" s="68"/>
      <c r="W393" s="37"/>
      <c r="X393" s="37"/>
      <c r="Y393" s="37"/>
    </row>
    <row r="394" spans="1:25" ht="15.75" customHeight="1">
      <c r="A394" s="69"/>
      <c r="B394" s="65"/>
      <c r="C394" s="66"/>
      <c r="D394" s="66"/>
      <c r="E394" s="66"/>
      <c r="F394" s="73"/>
      <c r="G394" s="65"/>
      <c r="H394" s="66"/>
      <c r="I394" s="66"/>
      <c r="J394" s="66"/>
      <c r="K394" s="74"/>
      <c r="L394" s="75"/>
      <c r="M394" s="66"/>
      <c r="N394" s="50"/>
      <c r="O394" s="66"/>
      <c r="P394" s="66"/>
      <c r="Q394" s="66"/>
      <c r="R394" s="66"/>
      <c r="S394" s="66"/>
      <c r="T394" s="66"/>
      <c r="U394" s="66"/>
      <c r="V394" s="66"/>
      <c r="W394" s="37"/>
      <c r="X394" s="37"/>
      <c r="Y394" s="37"/>
    </row>
    <row r="395" spans="1:25" ht="15.75" customHeight="1">
      <c r="A395" s="67"/>
      <c r="B395" s="61"/>
      <c r="C395" s="68"/>
      <c r="D395" s="68"/>
      <c r="E395" s="68"/>
      <c r="F395" s="70"/>
      <c r="G395" s="61"/>
      <c r="H395" s="68"/>
      <c r="I395" s="68"/>
      <c r="J395" s="68"/>
      <c r="K395" s="71"/>
      <c r="L395" s="72"/>
      <c r="M395" s="68"/>
      <c r="N395" s="50"/>
      <c r="O395" s="68"/>
      <c r="P395" s="68"/>
      <c r="Q395" s="68"/>
      <c r="R395" s="68"/>
      <c r="S395" s="68"/>
      <c r="T395" s="68"/>
      <c r="U395" s="68"/>
      <c r="V395" s="68"/>
      <c r="W395" s="37"/>
      <c r="X395" s="37"/>
      <c r="Y395" s="37"/>
    </row>
    <row r="396" spans="1:25" ht="15.75" customHeight="1">
      <c r="A396" s="69"/>
      <c r="B396" s="65"/>
      <c r="C396" s="66"/>
      <c r="D396" s="66"/>
      <c r="E396" s="66"/>
      <c r="F396" s="73"/>
      <c r="G396" s="65"/>
      <c r="H396" s="66"/>
      <c r="I396" s="66"/>
      <c r="J396" s="66"/>
      <c r="K396" s="74"/>
      <c r="L396" s="75"/>
      <c r="M396" s="66"/>
      <c r="N396" s="50"/>
      <c r="O396" s="66"/>
      <c r="P396" s="66"/>
      <c r="Q396" s="66"/>
      <c r="R396" s="66"/>
      <c r="S396" s="66"/>
      <c r="T396" s="66"/>
      <c r="U396" s="66"/>
      <c r="V396" s="66"/>
      <c r="W396" s="37"/>
      <c r="X396" s="37"/>
      <c r="Y396" s="37"/>
    </row>
    <row r="397" spans="1:25" ht="15.75" customHeight="1">
      <c r="A397" s="67"/>
      <c r="B397" s="61"/>
      <c r="C397" s="68"/>
      <c r="D397" s="68"/>
      <c r="E397" s="68"/>
      <c r="F397" s="70"/>
      <c r="G397" s="61"/>
      <c r="H397" s="68"/>
      <c r="I397" s="68"/>
      <c r="J397" s="68"/>
      <c r="K397" s="71"/>
      <c r="L397" s="72"/>
      <c r="M397" s="68"/>
      <c r="N397" s="50"/>
      <c r="O397" s="68"/>
      <c r="P397" s="68"/>
      <c r="Q397" s="68"/>
      <c r="R397" s="68"/>
      <c r="S397" s="68"/>
      <c r="T397" s="68"/>
      <c r="U397" s="68"/>
      <c r="V397" s="68"/>
      <c r="W397" s="37"/>
      <c r="X397" s="37"/>
      <c r="Y397" s="37"/>
    </row>
    <row r="398" spans="1:25" ht="15.75" customHeight="1">
      <c r="A398" s="69"/>
      <c r="B398" s="65"/>
      <c r="C398" s="66"/>
      <c r="D398" s="66"/>
      <c r="E398" s="66"/>
      <c r="F398" s="73"/>
      <c r="G398" s="65"/>
      <c r="H398" s="66"/>
      <c r="I398" s="66"/>
      <c r="J398" s="66"/>
      <c r="K398" s="74"/>
      <c r="L398" s="75"/>
      <c r="M398" s="66"/>
      <c r="N398" s="50"/>
      <c r="O398" s="66"/>
      <c r="P398" s="66"/>
      <c r="Q398" s="66"/>
      <c r="R398" s="66"/>
      <c r="S398" s="66"/>
      <c r="T398" s="66"/>
      <c r="U398" s="66"/>
      <c r="V398" s="66"/>
      <c r="W398" s="37"/>
      <c r="X398" s="37"/>
      <c r="Y398" s="37"/>
    </row>
    <row r="399" spans="1:25" ht="15.75" customHeight="1">
      <c r="A399" s="67"/>
      <c r="B399" s="61"/>
      <c r="C399" s="68"/>
      <c r="D399" s="68"/>
      <c r="E399" s="68"/>
      <c r="F399" s="70"/>
      <c r="G399" s="61"/>
      <c r="H399" s="68"/>
      <c r="I399" s="68"/>
      <c r="J399" s="68"/>
      <c r="K399" s="71"/>
      <c r="L399" s="72"/>
      <c r="M399" s="68"/>
      <c r="N399" s="50"/>
      <c r="O399" s="68"/>
      <c r="P399" s="68"/>
      <c r="Q399" s="68"/>
      <c r="R399" s="68"/>
      <c r="S399" s="68"/>
      <c r="T399" s="68"/>
      <c r="U399" s="68"/>
      <c r="V399" s="68"/>
      <c r="W399" s="37"/>
      <c r="X399" s="37"/>
      <c r="Y399" s="37"/>
    </row>
    <row r="400" spans="1:25" ht="15.75" customHeight="1">
      <c r="A400" s="69"/>
      <c r="B400" s="65"/>
      <c r="C400" s="66"/>
      <c r="D400" s="66"/>
      <c r="E400" s="66"/>
      <c r="F400" s="73"/>
      <c r="G400" s="65"/>
      <c r="H400" s="66"/>
      <c r="I400" s="66"/>
      <c r="J400" s="66"/>
      <c r="K400" s="74"/>
      <c r="L400" s="75"/>
      <c r="M400" s="66"/>
      <c r="N400" s="50"/>
      <c r="O400" s="66"/>
      <c r="P400" s="66"/>
      <c r="Q400" s="66"/>
      <c r="R400" s="66"/>
      <c r="S400" s="66"/>
      <c r="T400" s="66"/>
      <c r="U400" s="66"/>
      <c r="V400" s="66"/>
      <c r="W400" s="37"/>
      <c r="X400" s="37"/>
      <c r="Y400" s="37"/>
    </row>
    <row r="401" spans="1:25" ht="15.75" customHeight="1">
      <c r="A401" s="67"/>
      <c r="B401" s="61"/>
      <c r="C401" s="68"/>
      <c r="D401" s="68"/>
      <c r="E401" s="68"/>
      <c r="F401" s="70"/>
      <c r="G401" s="61"/>
      <c r="H401" s="68"/>
      <c r="I401" s="68"/>
      <c r="J401" s="68"/>
      <c r="K401" s="71"/>
      <c r="L401" s="72"/>
      <c r="M401" s="68"/>
      <c r="N401" s="50"/>
      <c r="O401" s="68"/>
      <c r="P401" s="68"/>
      <c r="Q401" s="68"/>
      <c r="R401" s="68"/>
      <c r="S401" s="68"/>
      <c r="T401" s="68"/>
      <c r="U401" s="68"/>
      <c r="V401" s="68"/>
      <c r="W401" s="37"/>
      <c r="X401" s="37"/>
      <c r="Y401" s="37"/>
    </row>
    <row r="402" spans="1:25" ht="15.75" customHeight="1">
      <c r="A402" s="69"/>
      <c r="B402" s="65"/>
      <c r="C402" s="66"/>
      <c r="D402" s="66"/>
      <c r="E402" s="66"/>
      <c r="F402" s="73"/>
      <c r="G402" s="65"/>
      <c r="H402" s="66"/>
      <c r="I402" s="66"/>
      <c r="J402" s="66"/>
      <c r="K402" s="74"/>
      <c r="L402" s="75"/>
      <c r="M402" s="66"/>
      <c r="N402" s="50"/>
      <c r="O402" s="66"/>
      <c r="P402" s="66"/>
      <c r="Q402" s="66"/>
      <c r="R402" s="66"/>
      <c r="S402" s="66"/>
      <c r="T402" s="66"/>
      <c r="U402" s="66"/>
      <c r="V402" s="66"/>
      <c r="W402" s="37"/>
      <c r="X402" s="37"/>
      <c r="Y402" s="37"/>
    </row>
    <row r="403" spans="1:25" ht="15.75" customHeight="1">
      <c r="A403" s="67"/>
      <c r="B403" s="61"/>
      <c r="C403" s="68"/>
      <c r="D403" s="68"/>
      <c r="E403" s="68"/>
      <c r="F403" s="70"/>
      <c r="G403" s="61"/>
      <c r="H403" s="68"/>
      <c r="I403" s="68"/>
      <c r="J403" s="68"/>
      <c r="K403" s="71"/>
      <c r="L403" s="72"/>
      <c r="M403" s="68"/>
      <c r="N403" s="50"/>
      <c r="O403" s="68"/>
      <c r="P403" s="68"/>
      <c r="Q403" s="68"/>
      <c r="R403" s="68"/>
      <c r="S403" s="68"/>
      <c r="T403" s="68"/>
      <c r="U403" s="68"/>
      <c r="V403" s="68"/>
      <c r="W403" s="37"/>
      <c r="X403" s="37"/>
      <c r="Y403" s="37"/>
    </row>
    <row r="404" spans="1:25" ht="15.75" customHeight="1">
      <c r="A404" s="69"/>
      <c r="B404" s="65"/>
      <c r="C404" s="66"/>
      <c r="D404" s="66"/>
      <c r="E404" s="66"/>
      <c r="F404" s="73"/>
      <c r="G404" s="65"/>
      <c r="H404" s="66"/>
      <c r="I404" s="66"/>
      <c r="J404" s="66"/>
      <c r="K404" s="74"/>
      <c r="L404" s="75"/>
      <c r="M404" s="66"/>
      <c r="N404" s="50"/>
      <c r="O404" s="66"/>
      <c r="P404" s="66"/>
      <c r="Q404" s="66"/>
      <c r="R404" s="66"/>
      <c r="S404" s="66"/>
      <c r="T404" s="66"/>
      <c r="U404" s="66"/>
      <c r="V404" s="66"/>
      <c r="W404" s="37"/>
      <c r="X404" s="37"/>
      <c r="Y404" s="37"/>
    </row>
    <row r="405" spans="1:25" ht="15.75" customHeight="1">
      <c r="A405" s="67"/>
      <c r="B405" s="61"/>
      <c r="C405" s="68"/>
      <c r="D405" s="68"/>
      <c r="E405" s="68"/>
      <c r="F405" s="70"/>
      <c r="G405" s="61"/>
      <c r="H405" s="68"/>
      <c r="I405" s="68"/>
      <c r="J405" s="68"/>
      <c r="K405" s="71"/>
      <c r="L405" s="72"/>
      <c r="M405" s="68"/>
      <c r="N405" s="50"/>
      <c r="O405" s="68"/>
      <c r="P405" s="68"/>
      <c r="Q405" s="68"/>
      <c r="R405" s="68"/>
      <c r="S405" s="68"/>
      <c r="T405" s="68"/>
      <c r="U405" s="68"/>
      <c r="V405" s="68"/>
      <c r="W405" s="37"/>
      <c r="X405" s="37"/>
      <c r="Y405" s="37"/>
    </row>
    <row r="406" spans="1:25" ht="15.75" customHeight="1">
      <c r="A406" s="69"/>
      <c r="B406" s="65"/>
      <c r="C406" s="66"/>
      <c r="D406" s="66"/>
      <c r="E406" s="66"/>
      <c r="F406" s="73"/>
      <c r="G406" s="65"/>
      <c r="H406" s="66"/>
      <c r="I406" s="66"/>
      <c r="J406" s="66"/>
      <c r="K406" s="74"/>
      <c r="L406" s="75"/>
      <c r="M406" s="66"/>
      <c r="N406" s="50"/>
      <c r="O406" s="66"/>
      <c r="P406" s="66"/>
      <c r="Q406" s="66"/>
      <c r="R406" s="66"/>
      <c r="S406" s="66"/>
      <c r="T406" s="66"/>
      <c r="U406" s="66"/>
      <c r="V406" s="66"/>
      <c r="W406" s="37"/>
      <c r="X406" s="37"/>
      <c r="Y406" s="37"/>
    </row>
    <row r="407" spans="1:25" ht="15.75" customHeight="1">
      <c r="A407" s="67"/>
      <c r="B407" s="61"/>
      <c r="C407" s="68"/>
      <c r="D407" s="68"/>
      <c r="E407" s="68"/>
      <c r="F407" s="70"/>
      <c r="G407" s="61"/>
      <c r="H407" s="68"/>
      <c r="I407" s="68"/>
      <c r="J407" s="68"/>
      <c r="K407" s="71"/>
      <c r="L407" s="72"/>
      <c r="M407" s="68"/>
      <c r="N407" s="50"/>
      <c r="O407" s="68"/>
      <c r="P407" s="68"/>
      <c r="Q407" s="68"/>
      <c r="R407" s="68"/>
      <c r="S407" s="68"/>
      <c r="T407" s="68"/>
      <c r="U407" s="68"/>
      <c r="V407" s="68"/>
      <c r="W407" s="37"/>
      <c r="X407" s="37"/>
      <c r="Y407" s="37"/>
    </row>
    <row r="408" spans="1:25" ht="15.75" customHeight="1">
      <c r="A408" s="69"/>
      <c r="B408" s="65"/>
      <c r="C408" s="66"/>
      <c r="D408" s="66"/>
      <c r="E408" s="66"/>
      <c r="F408" s="73"/>
      <c r="G408" s="65"/>
      <c r="H408" s="66"/>
      <c r="I408" s="66"/>
      <c r="J408" s="66"/>
      <c r="K408" s="74"/>
      <c r="L408" s="75"/>
      <c r="M408" s="66"/>
      <c r="N408" s="50"/>
      <c r="O408" s="66"/>
      <c r="P408" s="66"/>
      <c r="Q408" s="66"/>
      <c r="R408" s="66"/>
      <c r="S408" s="66"/>
      <c r="T408" s="66"/>
      <c r="U408" s="66"/>
      <c r="V408" s="66"/>
      <c r="W408" s="37"/>
      <c r="X408" s="37"/>
      <c r="Y408" s="37"/>
    </row>
    <row r="409" spans="1:25" ht="15.75" customHeight="1">
      <c r="A409" s="67"/>
      <c r="B409" s="61"/>
      <c r="C409" s="68"/>
      <c r="D409" s="68"/>
      <c r="E409" s="68"/>
      <c r="F409" s="70"/>
      <c r="G409" s="61"/>
      <c r="H409" s="68"/>
      <c r="I409" s="68"/>
      <c r="J409" s="68"/>
      <c r="K409" s="71"/>
      <c r="L409" s="72"/>
      <c r="M409" s="68"/>
      <c r="N409" s="50"/>
      <c r="O409" s="68"/>
      <c r="P409" s="68"/>
      <c r="Q409" s="68"/>
      <c r="R409" s="68"/>
      <c r="S409" s="68"/>
      <c r="T409" s="68"/>
      <c r="U409" s="68"/>
      <c r="V409" s="68"/>
      <c r="W409" s="37"/>
      <c r="X409" s="37"/>
      <c r="Y409" s="37"/>
    </row>
    <row r="410" spans="1:25" ht="15.75" customHeight="1">
      <c r="A410" s="69"/>
      <c r="B410" s="65"/>
      <c r="C410" s="66"/>
      <c r="D410" s="66"/>
      <c r="E410" s="66"/>
      <c r="F410" s="73"/>
      <c r="G410" s="65"/>
      <c r="H410" s="66"/>
      <c r="I410" s="66"/>
      <c r="J410" s="66"/>
      <c r="K410" s="74"/>
      <c r="L410" s="75"/>
      <c r="M410" s="66"/>
      <c r="N410" s="50"/>
      <c r="O410" s="66"/>
      <c r="P410" s="66"/>
      <c r="Q410" s="66"/>
      <c r="R410" s="66"/>
      <c r="S410" s="66"/>
      <c r="T410" s="66"/>
      <c r="U410" s="66"/>
      <c r="V410" s="66"/>
      <c r="W410" s="37"/>
      <c r="X410" s="37"/>
      <c r="Y410" s="37"/>
    </row>
    <row r="411" spans="1:25" ht="15.75" customHeight="1">
      <c r="A411" s="67"/>
      <c r="B411" s="61"/>
      <c r="C411" s="68"/>
      <c r="D411" s="68"/>
      <c r="E411" s="68"/>
      <c r="F411" s="70"/>
      <c r="G411" s="61"/>
      <c r="H411" s="68"/>
      <c r="I411" s="68"/>
      <c r="J411" s="68"/>
      <c r="K411" s="71"/>
      <c r="L411" s="72"/>
      <c r="M411" s="68"/>
      <c r="N411" s="50"/>
      <c r="O411" s="68"/>
      <c r="P411" s="68"/>
      <c r="Q411" s="68"/>
      <c r="R411" s="68"/>
      <c r="S411" s="68"/>
      <c r="T411" s="68"/>
      <c r="U411" s="68"/>
      <c r="V411" s="68"/>
      <c r="W411" s="37"/>
      <c r="X411" s="37"/>
      <c r="Y411" s="37"/>
    </row>
    <row r="412" spans="1:25" ht="15.75" customHeight="1">
      <c r="A412" s="69"/>
      <c r="B412" s="65"/>
      <c r="C412" s="66"/>
      <c r="D412" s="66"/>
      <c r="E412" s="66"/>
      <c r="F412" s="73"/>
      <c r="G412" s="65"/>
      <c r="H412" s="66"/>
      <c r="I412" s="66"/>
      <c r="J412" s="66"/>
      <c r="K412" s="74"/>
      <c r="L412" s="75"/>
      <c r="M412" s="66"/>
      <c r="N412" s="50"/>
      <c r="O412" s="66"/>
      <c r="P412" s="66"/>
      <c r="Q412" s="66"/>
      <c r="R412" s="66"/>
      <c r="S412" s="66"/>
      <c r="T412" s="66"/>
      <c r="U412" s="66"/>
      <c r="V412" s="66"/>
      <c r="W412" s="37"/>
      <c r="X412" s="37"/>
      <c r="Y412" s="37"/>
    </row>
    <row r="413" spans="1:25" ht="15.75" customHeight="1">
      <c r="A413" s="67"/>
      <c r="B413" s="61"/>
      <c r="C413" s="68"/>
      <c r="D413" s="68"/>
      <c r="E413" s="68"/>
      <c r="F413" s="70"/>
      <c r="G413" s="61"/>
      <c r="H413" s="68"/>
      <c r="I413" s="68"/>
      <c r="J413" s="68"/>
      <c r="K413" s="71"/>
      <c r="L413" s="72"/>
      <c r="M413" s="68"/>
      <c r="N413" s="50"/>
      <c r="O413" s="68"/>
      <c r="P413" s="68"/>
      <c r="Q413" s="68"/>
      <c r="R413" s="68"/>
      <c r="S413" s="68"/>
      <c r="T413" s="68"/>
      <c r="U413" s="68"/>
      <c r="V413" s="68"/>
      <c r="W413" s="37"/>
      <c r="X413" s="37"/>
      <c r="Y413" s="37"/>
    </row>
    <row r="414" spans="1:25" ht="15.75" customHeight="1">
      <c r="A414" s="69"/>
      <c r="B414" s="65"/>
      <c r="C414" s="66"/>
      <c r="D414" s="66"/>
      <c r="E414" s="66"/>
      <c r="F414" s="73"/>
      <c r="G414" s="65"/>
      <c r="H414" s="66"/>
      <c r="I414" s="66"/>
      <c r="J414" s="66"/>
      <c r="K414" s="74"/>
      <c r="L414" s="75"/>
      <c r="M414" s="66"/>
      <c r="N414" s="50"/>
      <c r="O414" s="66"/>
      <c r="P414" s="66"/>
      <c r="Q414" s="66"/>
      <c r="R414" s="66"/>
      <c r="S414" s="66"/>
      <c r="T414" s="66"/>
      <c r="U414" s="66"/>
      <c r="V414" s="66"/>
      <c r="W414" s="37"/>
      <c r="X414" s="37"/>
      <c r="Y414" s="37"/>
    </row>
    <row r="415" spans="1:25" ht="15.75" customHeight="1">
      <c r="A415" s="67"/>
      <c r="B415" s="61"/>
      <c r="C415" s="68"/>
      <c r="D415" s="68"/>
      <c r="E415" s="68"/>
      <c r="F415" s="70"/>
      <c r="G415" s="61"/>
      <c r="H415" s="68"/>
      <c r="I415" s="68"/>
      <c r="J415" s="68"/>
      <c r="K415" s="71"/>
      <c r="L415" s="72"/>
      <c r="M415" s="68"/>
      <c r="N415" s="50"/>
      <c r="O415" s="68"/>
      <c r="P415" s="68"/>
      <c r="Q415" s="68"/>
      <c r="R415" s="68"/>
      <c r="S415" s="68"/>
      <c r="T415" s="68"/>
      <c r="U415" s="68"/>
      <c r="V415" s="68"/>
      <c r="W415" s="37"/>
      <c r="X415" s="37"/>
      <c r="Y415" s="37"/>
    </row>
    <row r="416" spans="1:25" ht="15.75" customHeight="1">
      <c r="A416" s="69"/>
      <c r="B416" s="65"/>
      <c r="C416" s="66"/>
      <c r="D416" s="66"/>
      <c r="E416" s="66"/>
      <c r="F416" s="73"/>
      <c r="G416" s="65"/>
      <c r="H416" s="66"/>
      <c r="I416" s="66"/>
      <c r="J416" s="66"/>
      <c r="K416" s="74"/>
      <c r="L416" s="75"/>
      <c r="M416" s="66"/>
      <c r="N416" s="50"/>
      <c r="O416" s="66"/>
      <c r="P416" s="66"/>
      <c r="Q416" s="66"/>
      <c r="R416" s="66"/>
      <c r="S416" s="66"/>
      <c r="T416" s="66"/>
      <c r="U416" s="66"/>
      <c r="V416" s="66"/>
      <c r="W416" s="37"/>
      <c r="X416" s="37"/>
      <c r="Y416" s="37"/>
    </row>
    <row r="417" spans="1:25" ht="15.75" customHeight="1">
      <c r="A417" s="67"/>
      <c r="B417" s="61"/>
      <c r="C417" s="68"/>
      <c r="D417" s="68"/>
      <c r="E417" s="68"/>
      <c r="F417" s="70"/>
      <c r="G417" s="61"/>
      <c r="H417" s="68"/>
      <c r="I417" s="68"/>
      <c r="J417" s="68"/>
      <c r="K417" s="71"/>
      <c r="L417" s="72"/>
      <c r="M417" s="68"/>
      <c r="N417" s="50"/>
      <c r="O417" s="68"/>
      <c r="P417" s="68"/>
      <c r="Q417" s="68"/>
      <c r="R417" s="68"/>
      <c r="S417" s="68"/>
      <c r="T417" s="68"/>
      <c r="U417" s="68"/>
      <c r="V417" s="68"/>
      <c r="W417" s="37"/>
      <c r="X417" s="37"/>
      <c r="Y417" s="37"/>
    </row>
    <row r="418" spans="1:25" ht="15.75" customHeight="1">
      <c r="A418" s="69"/>
      <c r="B418" s="65"/>
      <c r="C418" s="66"/>
      <c r="D418" s="66"/>
      <c r="E418" s="66"/>
      <c r="F418" s="73"/>
      <c r="G418" s="65"/>
      <c r="H418" s="66"/>
      <c r="I418" s="66"/>
      <c r="J418" s="66"/>
      <c r="K418" s="74"/>
      <c r="L418" s="75"/>
      <c r="M418" s="66"/>
      <c r="N418" s="50"/>
      <c r="O418" s="66"/>
      <c r="P418" s="66"/>
      <c r="Q418" s="66"/>
      <c r="R418" s="66"/>
      <c r="S418" s="66"/>
      <c r="T418" s="66"/>
      <c r="U418" s="66"/>
      <c r="V418" s="66"/>
      <c r="W418" s="37"/>
      <c r="X418" s="37"/>
      <c r="Y418" s="37"/>
    </row>
    <row r="419" spans="1:25" ht="15.75" customHeight="1">
      <c r="A419" s="67"/>
      <c r="B419" s="61"/>
      <c r="C419" s="68"/>
      <c r="D419" s="68"/>
      <c r="E419" s="68"/>
      <c r="F419" s="70"/>
      <c r="G419" s="61"/>
      <c r="H419" s="68"/>
      <c r="I419" s="68"/>
      <c r="J419" s="68"/>
      <c r="K419" s="71"/>
      <c r="L419" s="72"/>
      <c r="M419" s="68"/>
      <c r="N419" s="50"/>
      <c r="O419" s="68"/>
      <c r="P419" s="68"/>
      <c r="Q419" s="68"/>
      <c r="R419" s="68"/>
      <c r="S419" s="68"/>
      <c r="T419" s="68"/>
      <c r="U419" s="68"/>
      <c r="V419" s="68"/>
      <c r="W419" s="37"/>
      <c r="X419" s="37"/>
      <c r="Y419" s="37"/>
    </row>
    <row r="420" spans="1:25" ht="15.75" customHeight="1">
      <c r="A420" s="69"/>
      <c r="B420" s="65"/>
      <c r="C420" s="66"/>
      <c r="D420" s="66"/>
      <c r="E420" s="66"/>
      <c r="F420" s="73"/>
      <c r="G420" s="65"/>
      <c r="H420" s="66"/>
      <c r="I420" s="66"/>
      <c r="J420" s="66"/>
      <c r="K420" s="74"/>
      <c r="L420" s="75"/>
      <c r="M420" s="66"/>
      <c r="N420" s="50"/>
      <c r="O420" s="66"/>
      <c r="P420" s="66"/>
      <c r="Q420" s="66"/>
      <c r="R420" s="66"/>
      <c r="S420" s="66"/>
      <c r="T420" s="66"/>
      <c r="U420" s="66"/>
      <c r="V420" s="66"/>
      <c r="W420" s="37"/>
      <c r="X420" s="37"/>
      <c r="Y420" s="37"/>
    </row>
    <row r="421" spans="1:25" ht="15.75" customHeight="1">
      <c r="A421" s="67"/>
      <c r="B421" s="61"/>
      <c r="C421" s="68"/>
      <c r="D421" s="68"/>
      <c r="E421" s="68"/>
      <c r="F421" s="70"/>
      <c r="G421" s="61"/>
      <c r="H421" s="68"/>
      <c r="I421" s="68"/>
      <c r="J421" s="68"/>
      <c r="K421" s="71"/>
      <c r="L421" s="72"/>
      <c r="M421" s="68"/>
      <c r="N421" s="50"/>
      <c r="O421" s="68"/>
      <c r="P421" s="68"/>
      <c r="Q421" s="68"/>
      <c r="R421" s="68"/>
      <c r="S421" s="68"/>
      <c r="T421" s="68"/>
      <c r="U421" s="68"/>
      <c r="V421" s="68"/>
      <c r="W421" s="37"/>
      <c r="X421" s="37"/>
      <c r="Y421" s="37"/>
    </row>
    <row r="422" spans="1:25" ht="15.75" customHeight="1">
      <c r="A422" s="69"/>
      <c r="B422" s="65"/>
      <c r="C422" s="66"/>
      <c r="D422" s="66"/>
      <c r="E422" s="66"/>
      <c r="F422" s="73"/>
      <c r="G422" s="65"/>
      <c r="H422" s="66"/>
      <c r="I422" s="66"/>
      <c r="J422" s="66"/>
      <c r="K422" s="74"/>
      <c r="L422" s="75"/>
      <c r="M422" s="66"/>
      <c r="N422" s="50"/>
      <c r="O422" s="66"/>
      <c r="P422" s="66"/>
      <c r="Q422" s="66"/>
      <c r="R422" s="66"/>
      <c r="S422" s="66"/>
      <c r="T422" s="66"/>
      <c r="U422" s="66"/>
      <c r="V422" s="66"/>
      <c r="W422" s="37"/>
      <c r="X422" s="37"/>
      <c r="Y422" s="37"/>
    </row>
    <row r="423" spans="1:25" ht="15.75" customHeight="1">
      <c r="A423" s="67"/>
      <c r="B423" s="61"/>
      <c r="C423" s="68"/>
      <c r="D423" s="68"/>
      <c r="E423" s="68"/>
      <c r="F423" s="70"/>
      <c r="G423" s="61"/>
      <c r="H423" s="68"/>
      <c r="I423" s="68"/>
      <c r="J423" s="68"/>
      <c r="K423" s="71"/>
      <c r="L423" s="72"/>
      <c r="M423" s="68"/>
      <c r="N423" s="50"/>
      <c r="O423" s="68"/>
      <c r="P423" s="68"/>
      <c r="Q423" s="68"/>
      <c r="R423" s="68"/>
      <c r="S423" s="68"/>
      <c r="T423" s="68"/>
      <c r="U423" s="68"/>
      <c r="V423" s="68"/>
      <c r="W423" s="37"/>
      <c r="X423" s="37"/>
      <c r="Y423" s="37"/>
    </row>
    <row r="424" spans="1:25" ht="15.75" customHeight="1">
      <c r="A424" s="69"/>
      <c r="B424" s="65"/>
      <c r="C424" s="66"/>
      <c r="D424" s="66"/>
      <c r="E424" s="66"/>
      <c r="F424" s="73"/>
      <c r="G424" s="65"/>
      <c r="H424" s="66"/>
      <c r="I424" s="66"/>
      <c r="J424" s="66"/>
      <c r="K424" s="74"/>
      <c r="L424" s="75"/>
      <c r="M424" s="66"/>
      <c r="N424" s="50"/>
      <c r="O424" s="66"/>
      <c r="P424" s="66"/>
      <c r="Q424" s="66"/>
      <c r="R424" s="66"/>
      <c r="S424" s="66"/>
      <c r="T424" s="66"/>
      <c r="U424" s="66"/>
      <c r="V424" s="66"/>
      <c r="W424" s="37"/>
      <c r="X424" s="37"/>
      <c r="Y424" s="37"/>
    </row>
    <row r="425" spans="1:25" ht="15.75" customHeight="1">
      <c r="A425" s="67"/>
      <c r="B425" s="61"/>
      <c r="C425" s="68"/>
      <c r="D425" s="68"/>
      <c r="E425" s="68"/>
      <c r="F425" s="70"/>
      <c r="G425" s="61"/>
      <c r="H425" s="68"/>
      <c r="I425" s="68"/>
      <c r="J425" s="68"/>
      <c r="K425" s="71"/>
      <c r="L425" s="72"/>
      <c r="M425" s="68"/>
      <c r="N425" s="50"/>
      <c r="O425" s="68"/>
      <c r="P425" s="68"/>
      <c r="Q425" s="68"/>
      <c r="R425" s="68"/>
      <c r="S425" s="68"/>
      <c r="T425" s="68"/>
      <c r="U425" s="68"/>
      <c r="V425" s="68"/>
      <c r="W425" s="37"/>
      <c r="X425" s="37"/>
      <c r="Y425" s="37"/>
    </row>
    <row r="426" spans="1:25" ht="15.75" customHeight="1">
      <c r="A426" s="69"/>
      <c r="B426" s="65"/>
      <c r="C426" s="66"/>
      <c r="D426" s="66"/>
      <c r="E426" s="66"/>
      <c r="F426" s="73"/>
      <c r="G426" s="65"/>
      <c r="H426" s="66"/>
      <c r="I426" s="66"/>
      <c r="J426" s="66"/>
      <c r="K426" s="74"/>
      <c r="L426" s="75"/>
      <c r="M426" s="66"/>
      <c r="N426" s="50"/>
      <c r="O426" s="66"/>
      <c r="P426" s="66"/>
      <c r="Q426" s="66"/>
      <c r="R426" s="66"/>
      <c r="S426" s="66"/>
      <c r="T426" s="66"/>
      <c r="U426" s="66"/>
      <c r="V426" s="66"/>
      <c r="W426" s="37"/>
      <c r="X426" s="37"/>
      <c r="Y426" s="37"/>
    </row>
    <row r="427" spans="1:25" ht="15.75" customHeight="1">
      <c r="A427" s="67"/>
      <c r="B427" s="61"/>
      <c r="C427" s="68"/>
      <c r="D427" s="68"/>
      <c r="E427" s="68"/>
      <c r="F427" s="70"/>
      <c r="G427" s="61"/>
      <c r="H427" s="68"/>
      <c r="I427" s="68"/>
      <c r="J427" s="68"/>
      <c r="K427" s="71"/>
      <c r="L427" s="72"/>
      <c r="M427" s="68"/>
      <c r="N427" s="50"/>
      <c r="O427" s="68"/>
      <c r="P427" s="68"/>
      <c r="Q427" s="68"/>
      <c r="R427" s="68"/>
      <c r="S427" s="68"/>
      <c r="T427" s="68"/>
      <c r="U427" s="68"/>
      <c r="V427" s="68"/>
      <c r="W427" s="37"/>
      <c r="X427" s="37"/>
      <c r="Y427" s="37"/>
    </row>
    <row r="428" spans="1:25" ht="15.75" customHeight="1">
      <c r="A428" s="69"/>
      <c r="B428" s="65"/>
      <c r="C428" s="66"/>
      <c r="D428" s="66"/>
      <c r="E428" s="66"/>
      <c r="F428" s="73"/>
      <c r="G428" s="65"/>
      <c r="H428" s="66"/>
      <c r="I428" s="66"/>
      <c r="J428" s="66"/>
      <c r="K428" s="74"/>
      <c r="L428" s="75"/>
      <c r="M428" s="66"/>
      <c r="N428" s="50"/>
      <c r="O428" s="66"/>
      <c r="P428" s="66"/>
      <c r="Q428" s="66"/>
      <c r="R428" s="66"/>
      <c r="S428" s="66"/>
      <c r="T428" s="66"/>
      <c r="U428" s="66"/>
      <c r="V428" s="66"/>
      <c r="W428" s="37"/>
      <c r="X428" s="37"/>
      <c r="Y428" s="37"/>
    </row>
    <row r="429" spans="1:25" ht="15.75" customHeight="1">
      <c r="A429" s="67"/>
      <c r="B429" s="61"/>
      <c r="C429" s="68"/>
      <c r="D429" s="68"/>
      <c r="E429" s="68"/>
      <c r="F429" s="70"/>
      <c r="G429" s="61"/>
      <c r="H429" s="68"/>
      <c r="I429" s="68"/>
      <c r="J429" s="68"/>
      <c r="K429" s="71"/>
      <c r="L429" s="72"/>
      <c r="M429" s="68"/>
      <c r="N429" s="50"/>
      <c r="O429" s="68"/>
      <c r="P429" s="68"/>
      <c r="Q429" s="68"/>
      <c r="R429" s="68"/>
      <c r="S429" s="68"/>
      <c r="T429" s="68"/>
      <c r="U429" s="68"/>
      <c r="V429" s="68"/>
      <c r="W429" s="37"/>
      <c r="X429" s="37"/>
      <c r="Y429" s="37"/>
    </row>
    <row r="430" spans="1:25" ht="15.75" customHeight="1">
      <c r="A430" s="69"/>
      <c r="B430" s="65"/>
      <c r="C430" s="66"/>
      <c r="D430" s="66"/>
      <c r="E430" s="66"/>
      <c r="F430" s="73"/>
      <c r="G430" s="65"/>
      <c r="H430" s="66"/>
      <c r="I430" s="66"/>
      <c r="J430" s="66"/>
      <c r="K430" s="74"/>
      <c r="L430" s="75"/>
      <c r="M430" s="66"/>
      <c r="N430" s="50"/>
      <c r="O430" s="66"/>
      <c r="P430" s="66"/>
      <c r="Q430" s="66"/>
      <c r="R430" s="66"/>
      <c r="S430" s="66"/>
      <c r="T430" s="66"/>
      <c r="U430" s="66"/>
      <c r="V430" s="66"/>
      <c r="W430" s="37"/>
      <c r="X430" s="37"/>
      <c r="Y430" s="37"/>
    </row>
    <row r="431" spans="1:25" ht="15.75" customHeight="1">
      <c r="A431" s="67"/>
      <c r="B431" s="61"/>
      <c r="C431" s="68"/>
      <c r="D431" s="68"/>
      <c r="E431" s="68"/>
      <c r="F431" s="70"/>
      <c r="G431" s="61"/>
      <c r="H431" s="68"/>
      <c r="I431" s="68"/>
      <c r="J431" s="68"/>
      <c r="K431" s="71"/>
      <c r="L431" s="72"/>
      <c r="M431" s="68"/>
      <c r="N431" s="50"/>
      <c r="O431" s="68"/>
      <c r="P431" s="68"/>
      <c r="Q431" s="68"/>
      <c r="R431" s="68"/>
      <c r="S431" s="68"/>
      <c r="T431" s="68"/>
      <c r="U431" s="68"/>
      <c r="V431" s="68"/>
      <c r="W431" s="37"/>
      <c r="X431" s="37"/>
      <c r="Y431" s="37"/>
    </row>
    <row r="432" spans="1:25" ht="15.75" customHeight="1">
      <c r="A432" s="69"/>
      <c r="B432" s="65"/>
      <c r="C432" s="66"/>
      <c r="D432" s="66"/>
      <c r="E432" s="66"/>
      <c r="F432" s="73"/>
      <c r="G432" s="65"/>
      <c r="H432" s="66"/>
      <c r="I432" s="66"/>
      <c r="J432" s="66"/>
      <c r="K432" s="74"/>
      <c r="L432" s="75"/>
      <c r="M432" s="66"/>
      <c r="N432" s="50"/>
      <c r="O432" s="66"/>
      <c r="P432" s="66"/>
      <c r="Q432" s="66"/>
      <c r="R432" s="66"/>
      <c r="S432" s="66"/>
      <c r="T432" s="66"/>
      <c r="U432" s="66"/>
      <c r="V432" s="66"/>
      <c r="W432" s="37"/>
      <c r="X432" s="37"/>
      <c r="Y432" s="37"/>
    </row>
    <row r="433" spans="1:25" ht="15.75" customHeight="1">
      <c r="A433" s="67"/>
      <c r="B433" s="61"/>
      <c r="C433" s="68"/>
      <c r="D433" s="68"/>
      <c r="E433" s="68"/>
      <c r="F433" s="70"/>
      <c r="G433" s="61"/>
      <c r="H433" s="68"/>
      <c r="I433" s="68"/>
      <c r="J433" s="68"/>
      <c r="K433" s="71"/>
      <c r="L433" s="72"/>
      <c r="M433" s="68"/>
      <c r="N433" s="50"/>
      <c r="O433" s="68"/>
      <c r="P433" s="68"/>
      <c r="Q433" s="68"/>
      <c r="R433" s="68"/>
      <c r="S433" s="68"/>
      <c r="T433" s="68"/>
      <c r="U433" s="68"/>
      <c r="V433" s="68"/>
      <c r="W433" s="37"/>
      <c r="X433" s="37"/>
      <c r="Y433" s="37"/>
    </row>
    <row r="434" spans="1:25" ht="15.75" customHeight="1">
      <c r="A434" s="69"/>
      <c r="B434" s="65"/>
      <c r="C434" s="66"/>
      <c r="D434" s="66"/>
      <c r="E434" s="66"/>
      <c r="F434" s="73"/>
      <c r="G434" s="65"/>
      <c r="H434" s="66"/>
      <c r="I434" s="66"/>
      <c r="J434" s="66"/>
      <c r="K434" s="74"/>
      <c r="L434" s="75"/>
      <c r="M434" s="66"/>
      <c r="N434" s="50"/>
      <c r="O434" s="66"/>
      <c r="P434" s="66"/>
      <c r="Q434" s="66"/>
      <c r="R434" s="66"/>
      <c r="S434" s="66"/>
      <c r="T434" s="66"/>
      <c r="U434" s="66"/>
      <c r="V434" s="66"/>
      <c r="W434" s="37"/>
      <c r="X434" s="37"/>
      <c r="Y434" s="37"/>
    </row>
    <row r="435" spans="1:25" ht="15.75" customHeight="1">
      <c r="A435" s="67"/>
      <c r="B435" s="61"/>
      <c r="C435" s="68"/>
      <c r="D435" s="68"/>
      <c r="E435" s="68"/>
      <c r="F435" s="70"/>
      <c r="G435" s="61"/>
      <c r="H435" s="68"/>
      <c r="I435" s="68"/>
      <c r="J435" s="68"/>
      <c r="K435" s="71"/>
      <c r="L435" s="72"/>
      <c r="M435" s="68"/>
      <c r="N435" s="50"/>
      <c r="O435" s="68"/>
      <c r="P435" s="68"/>
      <c r="Q435" s="68"/>
      <c r="R435" s="68"/>
      <c r="S435" s="68"/>
      <c r="T435" s="68"/>
      <c r="U435" s="68"/>
      <c r="V435" s="68"/>
      <c r="W435" s="37"/>
      <c r="X435" s="37"/>
      <c r="Y435" s="37"/>
    </row>
    <row r="436" spans="1:25" ht="15.75" customHeight="1">
      <c r="A436" s="69"/>
      <c r="B436" s="65"/>
      <c r="C436" s="66"/>
      <c r="D436" s="66"/>
      <c r="E436" s="66"/>
      <c r="F436" s="73"/>
      <c r="G436" s="65"/>
      <c r="H436" s="66"/>
      <c r="I436" s="66"/>
      <c r="J436" s="66"/>
      <c r="K436" s="74"/>
      <c r="L436" s="75"/>
      <c r="M436" s="66"/>
      <c r="N436" s="50"/>
      <c r="O436" s="66"/>
      <c r="P436" s="66"/>
      <c r="Q436" s="66"/>
      <c r="R436" s="66"/>
      <c r="S436" s="66"/>
      <c r="T436" s="66"/>
      <c r="U436" s="66"/>
      <c r="V436" s="66"/>
      <c r="W436" s="37"/>
      <c r="X436" s="37"/>
      <c r="Y436" s="37"/>
    </row>
    <row r="437" spans="1:25" ht="15.75" customHeight="1">
      <c r="A437" s="67"/>
      <c r="B437" s="61"/>
      <c r="C437" s="68"/>
      <c r="D437" s="68"/>
      <c r="E437" s="68"/>
      <c r="F437" s="70"/>
      <c r="G437" s="61"/>
      <c r="H437" s="68"/>
      <c r="I437" s="68"/>
      <c r="J437" s="68"/>
      <c r="K437" s="71"/>
      <c r="L437" s="72"/>
      <c r="M437" s="68"/>
      <c r="N437" s="50"/>
      <c r="O437" s="68"/>
      <c r="P437" s="68"/>
      <c r="Q437" s="68"/>
      <c r="R437" s="68"/>
      <c r="S437" s="68"/>
      <c r="T437" s="68"/>
      <c r="U437" s="68"/>
      <c r="V437" s="68"/>
      <c r="W437" s="37"/>
      <c r="X437" s="37"/>
      <c r="Y437" s="37"/>
    </row>
    <row r="438" spans="1:25" ht="15.75" customHeight="1">
      <c r="A438" s="69"/>
      <c r="B438" s="65"/>
      <c r="C438" s="66"/>
      <c r="D438" s="66"/>
      <c r="E438" s="66"/>
      <c r="F438" s="73"/>
      <c r="G438" s="65"/>
      <c r="H438" s="66"/>
      <c r="I438" s="66"/>
      <c r="J438" s="66"/>
      <c r="K438" s="74"/>
      <c r="L438" s="75"/>
      <c r="M438" s="66"/>
      <c r="N438" s="50"/>
      <c r="O438" s="66"/>
      <c r="P438" s="66"/>
      <c r="Q438" s="66"/>
      <c r="R438" s="66"/>
      <c r="S438" s="66"/>
      <c r="T438" s="66"/>
      <c r="U438" s="66"/>
      <c r="V438" s="66"/>
      <c r="W438" s="37"/>
      <c r="X438" s="37"/>
      <c r="Y438" s="37"/>
    </row>
    <row r="439" spans="1:25" ht="15.75" customHeight="1">
      <c r="A439" s="67"/>
      <c r="B439" s="61"/>
      <c r="C439" s="68"/>
      <c r="D439" s="68"/>
      <c r="E439" s="68"/>
      <c r="F439" s="70"/>
      <c r="G439" s="61"/>
      <c r="H439" s="68"/>
      <c r="I439" s="68"/>
      <c r="J439" s="68"/>
      <c r="K439" s="71"/>
      <c r="L439" s="72"/>
      <c r="M439" s="68"/>
      <c r="N439" s="50"/>
      <c r="O439" s="68"/>
      <c r="P439" s="68"/>
      <c r="Q439" s="68"/>
      <c r="R439" s="68"/>
      <c r="S439" s="68"/>
      <c r="T439" s="68"/>
      <c r="U439" s="68"/>
      <c r="V439" s="68"/>
      <c r="W439" s="37"/>
      <c r="X439" s="37"/>
      <c r="Y439" s="37"/>
    </row>
    <row r="440" spans="1:25" ht="15.75" customHeight="1">
      <c r="A440" s="69"/>
      <c r="B440" s="65"/>
      <c r="C440" s="66"/>
      <c r="D440" s="66"/>
      <c r="E440" s="66"/>
      <c r="F440" s="73"/>
      <c r="G440" s="65"/>
      <c r="H440" s="66"/>
      <c r="I440" s="66"/>
      <c r="J440" s="66"/>
      <c r="K440" s="74"/>
      <c r="L440" s="75"/>
      <c r="M440" s="66"/>
      <c r="N440" s="50"/>
      <c r="O440" s="66"/>
      <c r="P440" s="66"/>
      <c r="Q440" s="66"/>
      <c r="R440" s="66"/>
      <c r="S440" s="66"/>
      <c r="T440" s="66"/>
      <c r="U440" s="66"/>
      <c r="V440" s="66"/>
      <c r="W440" s="37"/>
      <c r="X440" s="37"/>
      <c r="Y440" s="37"/>
    </row>
    <row r="441" spans="1:25" ht="15.75" customHeight="1">
      <c r="A441" s="67"/>
      <c r="B441" s="61"/>
      <c r="C441" s="68"/>
      <c r="D441" s="68"/>
      <c r="E441" s="68"/>
      <c r="F441" s="70"/>
      <c r="G441" s="61"/>
      <c r="H441" s="68"/>
      <c r="I441" s="68"/>
      <c r="J441" s="68"/>
      <c r="K441" s="71"/>
      <c r="L441" s="72"/>
      <c r="M441" s="68"/>
      <c r="N441" s="50"/>
      <c r="O441" s="68"/>
      <c r="P441" s="68"/>
      <c r="Q441" s="68"/>
      <c r="R441" s="68"/>
      <c r="S441" s="68"/>
      <c r="T441" s="68"/>
      <c r="U441" s="68"/>
      <c r="V441" s="68"/>
      <c r="W441" s="37"/>
      <c r="X441" s="37"/>
      <c r="Y441" s="37"/>
    </row>
    <row r="442" spans="1:25" ht="15.75" customHeight="1">
      <c r="A442" s="69"/>
      <c r="B442" s="65"/>
      <c r="C442" s="66"/>
      <c r="D442" s="66"/>
      <c r="E442" s="66"/>
      <c r="F442" s="73"/>
      <c r="G442" s="65"/>
      <c r="H442" s="66"/>
      <c r="I442" s="66"/>
      <c r="J442" s="66"/>
      <c r="K442" s="74"/>
      <c r="L442" s="75"/>
      <c r="M442" s="66"/>
      <c r="N442" s="50"/>
      <c r="O442" s="66"/>
      <c r="P442" s="66"/>
      <c r="Q442" s="66"/>
      <c r="R442" s="66"/>
      <c r="S442" s="66"/>
      <c r="T442" s="66"/>
      <c r="U442" s="66"/>
      <c r="V442" s="66"/>
      <c r="W442" s="37"/>
      <c r="X442" s="37"/>
      <c r="Y442" s="37"/>
    </row>
    <row r="443" spans="1:25" ht="15.75" customHeight="1">
      <c r="A443" s="67"/>
      <c r="B443" s="61"/>
      <c r="C443" s="68"/>
      <c r="D443" s="68"/>
      <c r="E443" s="68"/>
      <c r="F443" s="70"/>
      <c r="G443" s="61"/>
      <c r="H443" s="68"/>
      <c r="I443" s="68"/>
      <c r="J443" s="68"/>
      <c r="K443" s="71"/>
      <c r="L443" s="72"/>
      <c r="M443" s="68"/>
      <c r="N443" s="50"/>
      <c r="O443" s="68"/>
      <c r="P443" s="68"/>
      <c r="Q443" s="68"/>
      <c r="R443" s="68"/>
      <c r="S443" s="68"/>
      <c r="T443" s="68"/>
      <c r="U443" s="68"/>
      <c r="V443" s="68"/>
      <c r="W443" s="37"/>
      <c r="X443" s="37"/>
      <c r="Y443" s="37"/>
    </row>
    <row r="444" spans="1:25" ht="15.75" customHeight="1">
      <c r="A444" s="69"/>
      <c r="B444" s="65"/>
      <c r="C444" s="66"/>
      <c r="D444" s="66"/>
      <c r="E444" s="66"/>
      <c r="F444" s="73"/>
      <c r="G444" s="65"/>
      <c r="H444" s="66"/>
      <c r="I444" s="66"/>
      <c r="J444" s="66"/>
      <c r="K444" s="74"/>
      <c r="L444" s="75"/>
      <c r="M444" s="66"/>
      <c r="N444" s="50"/>
      <c r="O444" s="66"/>
      <c r="P444" s="66"/>
      <c r="Q444" s="66"/>
      <c r="R444" s="66"/>
      <c r="S444" s="66"/>
      <c r="T444" s="66"/>
      <c r="U444" s="66"/>
      <c r="V444" s="66"/>
      <c r="W444" s="37"/>
      <c r="X444" s="37"/>
      <c r="Y444" s="37"/>
    </row>
    <row r="445" spans="1:25" ht="15.75" customHeight="1">
      <c r="A445" s="67"/>
      <c r="B445" s="61"/>
      <c r="C445" s="68"/>
      <c r="D445" s="68"/>
      <c r="E445" s="68"/>
      <c r="F445" s="70"/>
      <c r="G445" s="61"/>
      <c r="H445" s="68"/>
      <c r="I445" s="68"/>
      <c r="J445" s="68"/>
      <c r="K445" s="71"/>
      <c r="L445" s="72"/>
      <c r="M445" s="68"/>
      <c r="N445" s="50"/>
      <c r="O445" s="68"/>
      <c r="P445" s="68"/>
      <c r="Q445" s="68"/>
      <c r="R445" s="68"/>
      <c r="S445" s="68"/>
      <c r="T445" s="68"/>
      <c r="U445" s="68"/>
      <c r="V445" s="68"/>
      <c r="W445" s="37"/>
      <c r="X445" s="37"/>
      <c r="Y445" s="37"/>
    </row>
    <row r="446" spans="1:25" ht="15.75" customHeight="1">
      <c r="A446" s="69"/>
      <c r="B446" s="65"/>
      <c r="C446" s="66"/>
      <c r="D446" s="66"/>
      <c r="E446" s="66"/>
      <c r="F446" s="73"/>
      <c r="G446" s="65"/>
      <c r="H446" s="66"/>
      <c r="I446" s="66"/>
      <c r="J446" s="66"/>
      <c r="K446" s="74"/>
      <c r="L446" s="75"/>
      <c r="M446" s="66"/>
      <c r="N446" s="50"/>
      <c r="O446" s="66"/>
      <c r="P446" s="66"/>
      <c r="Q446" s="66"/>
      <c r="R446" s="66"/>
      <c r="S446" s="66"/>
      <c r="T446" s="66"/>
      <c r="U446" s="66"/>
      <c r="V446" s="66"/>
      <c r="W446" s="37"/>
      <c r="X446" s="37"/>
      <c r="Y446" s="37"/>
    </row>
    <row r="447" spans="1:25" ht="15.75" customHeight="1">
      <c r="A447" s="67"/>
      <c r="B447" s="61"/>
      <c r="C447" s="68"/>
      <c r="D447" s="68"/>
      <c r="E447" s="68"/>
      <c r="F447" s="70"/>
      <c r="G447" s="61"/>
      <c r="H447" s="68"/>
      <c r="I447" s="68"/>
      <c r="J447" s="68"/>
      <c r="K447" s="71"/>
      <c r="L447" s="72"/>
      <c r="M447" s="68"/>
      <c r="N447" s="50"/>
      <c r="O447" s="68"/>
      <c r="P447" s="68"/>
      <c r="Q447" s="68"/>
      <c r="R447" s="68"/>
      <c r="S447" s="68"/>
      <c r="T447" s="68"/>
      <c r="U447" s="68"/>
      <c r="V447" s="68"/>
      <c r="W447" s="37"/>
      <c r="X447" s="37"/>
      <c r="Y447" s="37"/>
    </row>
    <row r="448" spans="1:25" ht="15.75" customHeight="1">
      <c r="A448" s="69"/>
      <c r="B448" s="65"/>
      <c r="C448" s="66"/>
      <c r="D448" s="66"/>
      <c r="E448" s="66"/>
      <c r="F448" s="73"/>
      <c r="G448" s="65"/>
      <c r="H448" s="66"/>
      <c r="I448" s="66"/>
      <c r="J448" s="66"/>
      <c r="K448" s="74"/>
      <c r="L448" s="75"/>
      <c r="M448" s="66"/>
      <c r="N448" s="50"/>
      <c r="O448" s="66"/>
      <c r="P448" s="66"/>
      <c r="Q448" s="66"/>
      <c r="R448" s="66"/>
      <c r="S448" s="66"/>
      <c r="T448" s="66"/>
      <c r="U448" s="66"/>
      <c r="V448" s="66"/>
      <c r="W448" s="37"/>
      <c r="X448" s="37"/>
      <c r="Y448" s="37"/>
    </row>
    <row r="449" spans="1:25" ht="15.75" customHeight="1">
      <c r="A449" s="67"/>
      <c r="B449" s="61"/>
      <c r="C449" s="68"/>
      <c r="D449" s="68"/>
      <c r="E449" s="68"/>
      <c r="F449" s="70"/>
      <c r="G449" s="61"/>
      <c r="H449" s="68"/>
      <c r="I449" s="68"/>
      <c r="J449" s="68"/>
      <c r="K449" s="71"/>
      <c r="L449" s="72"/>
      <c r="M449" s="68"/>
      <c r="N449" s="50"/>
      <c r="O449" s="68"/>
      <c r="P449" s="68"/>
      <c r="Q449" s="68"/>
      <c r="R449" s="68"/>
      <c r="S449" s="68"/>
      <c r="T449" s="68"/>
      <c r="U449" s="68"/>
      <c r="V449" s="68"/>
      <c r="W449" s="37"/>
      <c r="X449" s="37"/>
      <c r="Y449" s="37"/>
    </row>
    <row r="450" spans="1:25" ht="15.75" customHeight="1">
      <c r="A450" s="69"/>
      <c r="B450" s="65"/>
      <c r="C450" s="66"/>
      <c r="D450" s="66"/>
      <c r="E450" s="66"/>
      <c r="F450" s="73"/>
      <c r="G450" s="65"/>
      <c r="H450" s="66"/>
      <c r="I450" s="66"/>
      <c r="J450" s="66"/>
      <c r="K450" s="74"/>
      <c r="L450" s="75"/>
      <c r="M450" s="66"/>
      <c r="N450" s="50"/>
      <c r="O450" s="66"/>
      <c r="P450" s="66"/>
      <c r="Q450" s="66"/>
      <c r="R450" s="66"/>
      <c r="S450" s="66"/>
      <c r="T450" s="66"/>
      <c r="U450" s="66"/>
      <c r="V450" s="66"/>
      <c r="W450" s="37"/>
      <c r="X450" s="37"/>
      <c r="Y450" s="37"/>
    </row>
    <row r="451" spans="1:25" ht="15.75" customHeight="1">
      <c r="A451" s="67"/>
      <c r="B451" s="61"/>
      <c r="C451" s="68"/>
      <c r="D451" s="68"/>
      <c r="E451" s="68"/>
      <c r="F451" s="70"/>
      <c r="G451" s="61"/>
      <c r="H451" s="68"/>
      <c r="I451" s="68"/>
      <c r="J451" s="68"/>
      <c r="K451" s="71"/>
      <c r="L451" s="72"/>
      <c r="M451" s="68"/>
      <c r="N451" s="50"/>
      <c r="O451" s="68"/>
      <c r="P451" s="68"/>
      <c r="Q451" s="68"/>
      <c r="R451" s="68"/>
      <c r="S451" s="68"/>
      <c r="T451" s="68"/>
      <c r="U451" s="68"/>
      <c r="V451" s="68"/>
      <c r="W451" s="37"/>
      <c r="X451" s="37"/>
      <c r="Y451" s="37"/>
    </row>
    <row r="452" spans="1:25" ht="15.75" customHeight="1">
      <c r="A452" s="69"/>
      <c r="B452" s="65"/>
      <c r="C452" s="66"/>
      <c r="D452" s="66"/>
      <c r="E452" s="66"/>
      <c r="F452" s="73"/>
      <c r="G452" s="65"/>
      <c r="H452" s="66"/>
      <c r="I452" s="66"/>
      <c r="J452" s="66"/>
      <c r="K452" s="74"/>
      <c r="L452" s="75"/>
      <c r="M452" s="66"/>
      <c r="N452" s="50"/>
      <c r="O452" s="66"/>
      <c r="P452" s="66"/>
      <c r="Q452" s="66"/>
      <c r="R452" s="66"/>
      <c r="S452" s="66"/>
      <c r="T452" s="66"/>
      <c r="U452" s="66"/>
      <c r="V452" s="66"/>
      <c r="W452" s="37"/>
      <c r="X452" s="37"/>
      <c r="Y452" s="37"/>
    </row>
    <row r="453" spans="1:25" ht="15.75" customHeight="1">
      <c r="A453" s="67"/>
      <c r="B453" s="61"/>
      <c r="C453" s="68"/>
      <c r="D453" s="68"/>
      <c r="E453" s="68"/>
      <c r="F453" s="70"/>
      <c r="G453" s="61"/>
      <c r="H453" s="68"/>
      <c r="I453" s="68"/>
      <c r="J453" s="68"/>
      <c r="K453" s="71"/>
      <c r="L453" s="72"/>
      <c r="M453" s="68"/>
      <c r="N453" s="50"/>
      <c r="O453" s="68"/>
      <c r="P453" s="68"/>
      <c r="Q453" s="68"/>
      <c r="R453" s="68"/>
      <c r="S453" s="68"/>
      <c r="T453" s="68"/>
      <c r="U453" s="68"/>
      <c r="V453" s="68"/>
      <c r="W453" s="37"/>
      <c r="X453" s="37"/>
      <c r="Y453" s="37"/>
    </row>
    <row r="454" spans="1:25" ht="15.75" customHeight="1">
      <c r="A454" s="69"/>
      <c r="B454" s="65"/>
      <c r="C454" s="66"/>
      <c r="D454" s="66"/>
      <c r="E454" s="66"/>
      <c r="F454" s="73"/>
      <c r="G454" s="65"/>
      <c r="H454" s="66"/>
      <c r="I454" s="66"/>
      <c r="J454" s="66"/>
      <c r="K454" s="74"/>
      <c r="L454" s="75"/>
      <c r="M454" s="66"/>
      <c r="N454" s="50"/>
      <c r="O454" s="66"/>
      <c r="P454" s="66"/>
      <c r="Q454" s="66"/>
      <c r="R454" s="66"/>
      <c r="S454" s="66"/>
      <c r="T454" s="66"/>
      <c r="U454" s="66"/>
      <c r="V454" s="66"/>
      <c r="W454" s="37"/>
      <c r="X454" s="37"/>
      <c r="Y454" s="37"/>
    </row>
    <row r="455" spans="1:25" ht="15.75" customHeight="1">
      <c r="A455" s="67"/>
      <c r="B455" s="61"/>
      <c r="C455" s="68"/>
      <c r="D455" s="68"/>
      <c r="E455" s="68"/>
      <c r="F455" s="70"/>
      <c r="G455" s="61"/>
      <c r="H455" s="68"/>
      <c r="I455" s="68"/>
      <c r="J455" s="68"/>
      <c r="K455" s="71"/>
      <c r="L455" s="72"/>
      <c r="M455" s="68"/>
      <c r="N455" s="50"/>
      <c r="O455" s="68"/>
      <c r="P455" s="68"/>
      <c r="Q455" s="68"/>
      <c r="R455" s="68"/>
      <c r="S455" s="68"/>
      <c r="T455" s="68"/>
      <c r="U455" s="68"/>
      <c r="V455" s="68"/>
      <c r="W455" s="37"/>
      <c r="X455" s="37"/>
      <c r="Y455" s="37"/>
    </row>
    <row r="456" spans="1:25" ht="15.75" customHeight="1">
      <c r="A456" s="69"/>
      <c r="B456" s="65"/>
      <c r="C456" s="66"/>
      <c r="D456" s="66"/>
      <c r="E456" s="66"/>
      <c r="F456" s="73"/>
      <c r="G456" s="65"/>
      <c r="H456" s="66"/>
      <c r="I456" s="66"/>
      <c r="J456" s="66"/>
      <c r="K456" s="74"/>
      <c r="L456" s="75"/>
      <c r="M456" s="66"/>
      <c r="N456" s="50"/>
      <c r="O456" s="66"/>
      <c r="P456" s="66"/>
      <c r="Q456" s="66"/>
      <c r="R456" s="66"/>
      <c r="S456" s="66"/>
      <c r="T456" s="66"/>
      <c r="U456" s="66"/>
      <c r="V456" s="66"/>
      <c r="W456" s="37"/>
      <c r="X456" s="37"/>
      <c r="Y456" s="37"/>
    </row>
    <row r="457" spans="1:25" ht="15.75" customHeight="1">
      <c r="A457" s="67"/>
      <c r="B457" s="61"/>
      <c r="C457" s="68"/>
      <c r="D457" s="68"/>
      <c r="E457" s="68"/>
      <c r="F457" s="70"/>
      <c r="G457" s="61"/>
      <c r="H457" s="68"/>
      <c r="I457" s="68"/>
      <c r="J457" s="68"/>
      <c r="K457" s="71"/>
      <c r="L457" s="72"/>
      <c r="M457" s="68"/>
      <c r="N457" s="50"/>
      <c r="O457" s="68"/>
      <c r="P457" s="68"/>
      <c r="Q457" s="68"/>
      <c r="R457" s="68"/>
      <c r="S457" s="68"/>
      <c r="T457" s="68"/>
      <c r="U457" s="68"/>
      <c r="V457" s="68"/>
      <c r="W457" s="37"/>
      <c r="X457" s="37"/>
      <c r="Y457" s="37"/>
    </row>
    <row r="458" spans="1:25" ht="15.75" customHeight="1">
      <c r="A458" s="69"/>
      <c r="B458" s="65"/>
      <c r="C458" s="66"/>
      <c r="D458" s="66"/>
      <c r="E458" s="66"/>
      <c r="F458" s="73"/>
      <c r="G458" s="65"/>
      <c r="H458" s="66"/>
      <c r="I458" s="66"/>
      <c r="J458" s="66"/>
      <c r="K458" s="74"/>
      <c r="L458" s="75"/>
      <c r="M458" s="66"/>
      <c r="N458" s="50"/>
      <c r="O458" s="66"/>
      <c r="P458" s="66"/>
      <c r="Q458" s="66"/>
      <c r="R458" s="66"/>
      <c r="S458" s="66"/>
      <c r="T458" s="66"/>
      <c r="U458" s="66"/>
      <c r="V458" s="66"/>
      <c r="W458" s="37"/>
      <c r="X458" s="37"/>
      <c r="Y458" s="37"/>
    </row>
    <row r="459" spans="1:25" ht="15.75" customHeight="1">
      <c r="A459" s="67"/>
      <c r="B459" s="61"/>
      <c r="C459" s="68"/>
      <c r="D459" s="68"/>
      <c r="E459" s="68"/>
      <c r="F459" s="70"/>
      <c r="G459" s="61"/>
      <c r="H459" s="68"/>
      <c r="I459" s="68"/>
      <c r="J459" s="68"/>
      <c r="K459" s="71"/>
      <c r="L459" s="72"/>
      <c r="M459" s="68"/>
      <c r="N459" s="50"/>
      <c r="O459" s="68"/>
      <c r="P459" s="68"/>
      <c r="Q459" s="68"/>
      <c r="R459" s="68"/>
      <c r="S459" s="68"/>
      <c r="T459" s="68"/>
      <c r="U459" s="68"/>
      <c r="V459" s="68"/>
      <c r="W459" s="37"/>
      <c r="X459" s="37"/>
      <c r="Y459" s="37"/>
    </row>
    <row r="460" spans="1:25" ht="15.75" customHeight="1">
      <c r="A460" s="69"/>
      <c r="B460" s="65"/>
      <c r="C460" s="66"/>
      <c r="D460" s="66"/>
      <c r="E460" s="66"/>
      <c r="F460" s="73"/>
      <c r="G460" s="65"/>
      <c r="H460" s="66"/>
      <c r="I460" s="66"/>
      <c r="J460" s="66"/>
      <c r="K460" s="74"/>
      <c r="L460" s="75"/>
      <c r="M460" s="66"/>
      <c r="N460" s="50"/>
      <c r="O460" s="66"/>
      <c r="P460" s="66"/>
      <c r="Q460" s="66"/>
      <c r="R460" s="66"/>
      <c r="S460" s="66"/>
      <c r="T460" s="66"/>
      <c r="U460" s="66"/>
      <c r="V460" s="66"/>
      <c r="W460" s="37"/>
      <c r="X460" s="37"/>
      <c r="Y460" s="37"/>
    </row>
    <row r="461" spans="1:25" ht="15.75" customHeight="1">
      <c r="A461" s="67"/>
      <c r="B461" s="61"/>
      <c r="C461" s="68"/>
      <c r="D461" s="68"/>
      <c r="E461" s="68"/>
      <c r="F461" s="70"/>
      <c r="G461" s="61"/>
      <c r="H461" s="68"/>
      <c r="I461" s="68"/>
      <c r="J461" s="68"/>
      <c r="K461" s="71"/>
      <c r="L461" s="72"/>
      <c r="M461" s="68"/>
      <c r="N461" s="50"/>
      <c r="O461" s="68"/>
      <c r="P461" s="68"/>
      <c r="Q461" s="68"/>
      <c r="R461" s="68"/>
      <c r="S461" s="68"/>
      <c r="T461" s="68"/>
      <c r="U461" s="68"/>
      <c r="V461" s="68"/>
      <c r="W461" s="37"/>
      <c r="X461" s="37"/>
      <c r="Y461" s="37"/>
    </row>
    <row r="462" spans="1:25" ht="15.75" customHeight="1">
      <c r="A462" s="69"/>
      <c r="B462" s="65"/>
      <c r="C462" s="66"/>
      <c r="D462" s="66"/>
      <c r="E462" s="66"/>
      <c r="F462" s="73"/>
      <c r="G462" s="65"/>
      <c r="H462" s="66"/>
      <c r="I462" s="66"/>
      <c r="J462" s="66"/>
      <c r="K462" s="74"/>
      <c r="L462" s="75"/>
      <c r="M462" s="66"/>
      <c r="N462" s="50"/>
      <c r="O462" s="66"/>
      <c r="P462" s="66"/>
      <c r="Q462" s="66"/>
      <c r="R462" s="66"/>
      <c r="S462" s="66"/>
      <c r="T462" s="66"/>
      <c r="U462" s="66"/>
      <c r="V462" s="66"/>
      <c r="W462" s="37"/>
      <c r="X462" s="37"/>
      <c r="Y462" s="37"/>
    </row>
    <row r="463" spans="1:25" ht="15.75" customHeight="1">
      <c r="A463" s="67"/>
      <c r="B463" s="61"/>
      <c r="C463" s="68"/>
      <c r="D463" s="68"/>
      <c r="E463" s="68"/>
      <c r="F463" s="70"/>
      <c r="G463" s="61"/>
      <c r="H463" s="68"/>
      <c r="I463" s="68"/>
      <c r="J463" s="68"/>
      <c r="K463" s="71"/>
      <c r="L463" s="72"/>
      <c r="M463" s="68"/>
      <c r="N463" s="50"/>
      <c r="O463" s="68"/>
      <c r="P463" s="68"/>
      <c r="Q463" s="68"/>
      <c r="R463" s="68"/>
      <c r="S463" s="68"/>
      <c r="T463" s="68"/>
      <c r="U463" s="68"/>
      <c r="V463" s="68"/>
      <c r="W463" s="37"/>
      <c r="X463" s="37"/>
      <c r="Y463" s="37"/>
    </row>
    <row r="464" spans="1:25" ht="15.75" customHeight="1">
      <c r="A464" s="69"/>
      <c r="B464" s="65"/>
      <c r="C464" s="66"/>
      <c r="D464" s="66"/>
      <c r="E464" s="66"/>
      <c r="F464" s="73"/>
      <c r="G464" s="65"/>
      <c r="H464" s="66"/>
      <c r="I464" s="66"/>
      <c r="J464" s="66"/>
      <c r="K464" s="74"/>
      <c r="L464" s="75"/>
      <c r="M464" s="66"/>
      <c r="N464" s="50"/>
      <c r="O464" s="66"/>
      <c r="P464" s="66"/>
      <c r="Q464" s="66"/>
      <c r="R464" s="66"/>
      <c r="S464" s="66"/>
      <c r="T464" s="66"/>
      <c r="U464" s="66"/>
      <c r="V464" s="66"/>
      <c r="W464" s="37"/>
      <c r="X464" s="37"/>
      <c r="Y464" s="37"/>
    </row>
    <row r="465" spans="1:25" ht="15.75" customHeight="1">
      <c r="A465" s="67"/>
      <c r="B465" s="61"/>
      <c r="C465" s="68"/>
      <c r="D465" s="68"/>
      <c r="E465" s="68"/>
      <c r="F465" s="70"/>
      <c r="G465" s="61"/>
      <c r="H465" s="68"/>
      <c r="I465" s="68"/>
      <c r="J465" s="68"/>
      <c r="K465" s="71"/>
      <c r="L465" s="72"/>
      <c r="M465" s="68"/>
      <c r="N465" s="50"/>
      <c r="O465" s="68"/>
      <c r="P465" s="68"/>
      <c r="Q465" s="68"/>
      <c r="R465" s="68"/>
      <c r="S465" s="68"/>
      <c r="T465" s="68"/>
      <c r="U465" s="68"/>
      <c r="V465" s="68"/>
      <c r="W465" s="37"/>
      <c r="X465" s="37"/>
      <c r="Y465" s="37"/>
    </row>
    <row r="466" spans="1:25" ht="15.75" customHeight="1">
      <c r="A466" s="69"/>
      <c r="B466" s="65"/>
      <c r="C466" s="66"/>
      <c r="D466" s="66"/>
      <c r="E466" s="66"/>
      <c r="F466" s="73"/>
      <c r="G466" s="65"/>
      <c r="H466" s="66"/>
      <c r="I466" s="66"/>
      <c r="J466" s="66"/>
      <c r="K466" s="74"/>
      <c r="L466" s="75"/>
      <c r="M466" s="66"/>
      <c r="N466" s="50"/>
      <c r="O466" s="66"/>
      <c r="P466" s="66"/>
      <c r="Q466" s="66"/>
      <c r="R466" s="66"/>
      <c r="S466" s="66"/>
      <c r="T466" s="66"/>
      <c r="U466" s="66"/>
      <c r="V466" s="66"/>
      <c r="W466" s="37"/>
      <c r="X466" s="37"/>
      <c r="Y466" s="37"/>
    </row>
    <row r="467" spans="1:25" ht="15.75" customHeight="1">
      <c r="A467" s="67"/>
      <c r="B467" s="61"/>
      <c r="C467" s="68"/>
      <c r="D467" s="68"/>
      <c r="E467" s="68"/>
      <c r="F467" s="70"/>
      <c r="G467" s="61"/>
      <c r="H467" s="68"/>
      <c r="I467" s="68"/>
      <c r="J467" s="68"/>
      <c r="K467" s="71"/>
      <c r="L467" s="72"/>
      <c r="M467" s="68"/>
      <c r="N467" s="50"/>
      <c r="O467" s="68"/>
      <c r="P467" s="68"/>
      <c r="Q467" s="68"/>
      <c r="R467" s="68"/>
      <c r="S467" s="68"/>
      <c r="T467" s="68"/>
      <c r="U467" s="68"/>
      <c r="V467" s="68"/>
      <c r="W467" s="37"/>
      <c r="X467" s="37"/>
      <c r="Y467" s="37"/>
    </row>
    <row r="468" spans="1:25" ht="15.75" customHeight="1">
      <c r="A468" s="69"/>
      <c r="B468" s="65"/>
      <c r="C468" s="66"/>
      <c r="D468" s="66"/>
      <c r="E468" s="66"/>
      <c r="F468" s="73"/>
      <c r="G468" s="65"/>
      <c r="H468" s="66"/>
      <c r="I468" s="66"/>
      <c r="J468" s="66"/>
      <c r="K468" s="74"/>
      <c r="L468" s="75"/>
      <c r="M468" s="66"/>
      <c r="N468" s="50"/>
      <c r="O468" s="66"/>
      <c r="P468" s="66"/>
      <c r="Q468" s="66"/>
      <c r="R468" s="66"/>
      <c r="S468" s="66"/>
      <c r="T468" s="66"/>
      <c r="U468" s="66"/>
      <c r="V468" s="66"/>
      <c r="W468" s="37"/>
      <c r="X468" s="37"/>
      <c r="Y468" s="37"/>
    </row>
    <row r="469" spans="1:25" ht="15.75" customHeight="1">
      <c r="A469" s="67"/>
      <c r="B469" s="61"/>
      <c r="C469" s="68"/>
      <c r="D469" s="68"/>
      <c r="E469" s="68"/>
      <c r="F469" s="70"/>
      <c r="G469" s="61"/>
      <c r="H469" s="68"/>
      <c r="I469" s="68"/>
      <c r="J469" s="68"/>
      <c r="K469" s="71"/>
      <c r="L469" s="72"/>
      <c r="M469" s="68"/>
      <c r="N469" s="50"/>
      <c r="O469" s="68"/>
      <c r="P469" s="68"/>
      <c r="Q469" s="68"/>
      <c r="R469" s="68"/>
      <c r="S469" s="68"/>
      <c r="T469" s="68"/>
      <c r="U469" s="68"/>
      <c r="V469" s="68"/>
      <c r="W469" s="37"/>
      <c r="X469" s="37"/>
      <c r="Y469" s="37"/>
    </row>
    <row r="470" spans="1:25" ht="15.75" customHeight="1">
      <c r="A470" s="69"/>
      <c r="B470" s="65"/>
      <c r="C470" s="66"/>
      <c r="D470" s="66"/>
      <c r="E470" s="66"/>
      <c r="F470" s="73"/>
      <c r="G470" s="65"/>
      <c r="H470" s="66"/>
      <c r="I470" s="66"/>
      <c r="J470" s="66"/>
      <c r="K470" s="74"/>
      <c r="L470" s="75"/>
      <c r="M470" s="66"/>
      <c r="N470" s="50"/>
      <c r="O470" s="66"/>
      <c r="P470" s="66"/>
      <c r="Q470" s="66"/>
      <c r="R470" s="66"/>
      <c r="S470" s="66"/>
      <c r="T470" s="66"/>
      <c r="U470" s="66"/>
      <c r="V470" s="66"/>
      <c r="W470" s="37"/>
      <c r="X470" s="37"/>
      <c r="Y470" s="37"/>
    </row>
    <row r="471" spans="1:25" ht="15.75" customHeight="1">
      <c r="A471" s="67"/>
      <c r="B471" s="61"/>
      <c r="C471" s="68"/>
      <c r="D471" s="68"/>
      <c r="E471" s="68"/>
      <c r="F471" s="70"/>
      <c r="G471" s="61"/>
      <c r="H471" s="68"/>
      <c r="I471" s="68"/>
      <c r="J471" s="68"/>
      <c r="K471" s="71"/>
      <c r="L471" s="72"/>
      <c r="M471" s="68"/>
      <c r="N471" s="50"/>
      <c r="O471" s="68"/>
      <c r="P471" s="68"/>
      <c r="Q471" s="68"/>
      <c r="R471" s="68"/>
      <c r="S471" s="68"/>
      <c r="T471" s="68"/>
      <c r="U471" s="68"/>
      <c r="V471" s="68"/>
      <c r="W471" s="37"/>
      <c r="X471" s="37"/>
      <c r="Y471" s="37"/>
    </row>
    <row r="472" spans="1:25" ht="15.75" customHeight="1">
      <c r="A472" s="69"/>
      <c r="B472" s="65"/>
      <c r="C472" s="66"/>
      <c r="D472" s="66"/>
      <c r="E472" s="66"/>
      <c r="F472" s="73"/>
      <c r="G472" s="65"/>
      <c r="H472" s="66"/>
      <c r="I472" s="66"/>
      <c r="J472" s="66"/>
      <c r="K472" s="74"/>
      <c r="L472" s="75"/>
      <c r="M472" s="66"/>
      <c r="N472" s="50"/>
      <c r="O472" s="66"/>
      <c r="P472" s="66"/>
      <c r="Q472" s="66"/>
      <c r="R472" s="66"/>
      <c r="S472" s="66"/>
      <c r="T472" s="66"/>
      <c r="U472" s="66"/>
      <c r="V472" s="66"/>
      <c r="W472" s="37"/>
      <c r="X472" s="37"/>
      <c r="Y472" s="37"/>
    </row>
    <row r="473" spans="1:25" ht="15.75" customHeight="1">
      <c r="A473" s="67"/>
      <c r="B473" s="61"/>
      <c r="C473" s="68"/>
      <c r="D473" s="68"/>
      <c r="E473" s="68"/>
      <c r="F473" s="70"/>
      <c r="G473" s="61"/>
      <c r="H473" s="68"/>
      <c r="I473" s="68"/>
      <c r="J473" s="68"/>
      <c r="K473" s="71"/>
      <c r="L473" s="72"/>
      <c r="M473" s="68"/>
      <c r="N473" s="50"/>
      <c r="O473" s="68"/>
      <c r="P473" s="68"/>
      <c r="Q473" s="68"/>
      <c r="R473" s="68"/>
      <c r="S473" s="68"/>
      <c r="T473" s="68"/>
      <c r="U473" s="68"/>
      <c r="V473" s="68"/>
      <c r="W473" s="37"/>
      <c r="X473" s="37"/>
      <c r="Y473" s="37"/>
    </row>
    <row r="474" spans="1:25" ht="15.75" customHeight="1">
      <c r="A474" s="69"/>
      <c r="B474" s="65"/>
      <c r="C474" s="66"/>
      <c r="D474" s="66"/>
      <c r="E474" s="66"/>
      <c r="F474" s="73"/>
      <c r="G474" s="65"/>
      <c r="H474" s="66"/>
      <c r="I474" s="66"/>
      <c r="J474" s="66"/>
      <c r="K474" s="74"/>
      <c r="L474" s="75"/>
      <c r="M474" s="66"/>
      <c r="N474" s="50"/>
      <c r="O474" s="66"/>
      <c r="P474" s="66"/>
      <c r="Q474" s="66"/>
      <c r="R474" s="66"/>
      <c r="S474" s="66"/>
      <c r="T474" s="66"/>
      <c r="U474" s="66"/>
      <c r="V474" s="66"/>
      <c r="W474" s="37"/>
      <c r="X474" s="37"/>
      <c r="Y474" s="37"/>
    </row>
    <row r="475" spans="1:25" ht="15.75" customHeight="1">
      <c r="A475" s="67"/>
      <c r="B475" s="61"/>
      <c r="C475" s="68"/>
      <c r="D475" s="68"/>
      <c r="E475" s="68"/>
      <c r="F475" s="70"/>
      <c r="G475" s="61"/>
      <c r="H475" s="68"/>
      <c r="I475" s="68"/>
      <c r="J475" s="68"/>
      <c r="K475" s="71"/>
      <c r="L475" s="72"/>
      <c r="M475" s="68"/>
      <c r="N475" s="50"/>
      <c r="O475" s="68"/>
      <c r="P475" s="68"/>
      <c r="Q475" s="68"/>
      <c r="R475" s="68"/>
      <c r="S475" s="68"/>
      <c r="T475" s="68"/>
      <c r="U475" s="68"/>
      <c r="V475" s="68"/>
      <c r="W475" s="37"/>
      <c r="X475" s="37"/>
      <c r="Y475" s="37"/>
    </row>
    <row r="476" spans="1:25" ht="15.75" customHeight="1">
      <c r="A476" s="69"/>
      <c r="B476" s="65"/>
      <c r="C476" s="66"/>
      <c r="D476" s="66"/>
      <c r="E476" s="66"/>
      <c r="F476" s="73"/>
      <c r="G476" s="65"/>
      <c r="H476" s="66"/>
      <c r="I476" s="66"/>
      <c r="J476" s="66"/>
      <c r="K476" s="74"/>
      <c r="L476" s="75"/>
      <c r="M476" s="66"/>
      <c r="N476" s="50"/>
      <c r="O476" s="66"/>
      <c r="P476" s="66"/>
      <c r="Q476" s="66"/>
      <c r="R476" s="66"/>
      <c r="S476" s="66"/>
      <c r="T476" s="66"/>
      <c r="U476" s="66"/>
      <c r="V476" s="66"/>
      <c r="W476" s="37"/>
      <c r="X476" s="37"/>
      <c r="Y476" s="37"/>
    </row>
    <row r="477" spans="1:25" ht="15.75" customHeight="1">
      <c r="A477" s="67"/>
      <c r="B477" s="61"/>
      <c r="C477" s="68"/>
      <c r="D477" s="68"/>
      <c r="E477" s="68"/>
      <c r="F477" s="70"/>
      <c r="G477" s="61"/>
      <c r="H477" s="68"/>
      <c r="I477" s="68"/>
      <c r="J477" s="68"/>
      <c r="K477" s="71"/>
      <c r="L477" s="72"/>
      <c r="M477" s="68"/>
      <c r="N477" s="50"/>
      <c r="O477" s="68"/>
      <c r="P477" s="68"/>
      <c r="Q477" s="68"/>
      <c r="R477" s="68"/>
      <c r="S477" s="68"/>
      <c r="T477" s="68"/>
      <c r="U477" s="68"/>
      <c r="V477" s="68"/>
      <c r="W477" s="37"/>
      <c r="X477" s="37"/>
      <c r="Y477" s="37"/>
    </row>
    <row r="478" spans="1:25" ht="15.75" customHeight="1">
      <c r="A478" s="69"/>
      <c r="B478" s="65"/>
      <c r="C478" s="66"/>
      <c r="D478" s="66"/>
      <c r="E478" s="66"/>
      <c r="F478" s="73"/>
      <c r="G478" s="65"/>
      <c r="H478" s="66"/>
      <c r="I478" s="66"/>
      <c r="J478" s="66"/>
      <c r="K478" s="74"/>
      <c r="L478" s="75"/>
      <c r="M478" s="66"/>
      <c r="N478" s="50"/>
      <c r="O478" s="66"/>
      <c r="P478" s="66"/>
      <c r="Q478" s="66"/>
      <c r="R478" s="66"/>
      <c r="S478" s="66"/>
      <c r="T478" s="66"/>
      <c r="U478" s="66"/>
      <c r="V478" s="66"/>
      <c r="W478" s="37"/>
      <c r="X478" s="37"/>
      <c r="Y478" s="37"/>
    </row>
    <row r="479" spans="1:25" ht="15.75" customHeight="1">
      <c r="A479" s="67"/>
      <c r="B479" s="61"/>
      <c r="C479" s="68"/>
      <c r="D479" s="68"/>
      <c r="E479" s="68"/>
      <c r="F479" s="70"/>
      <c r="G479" s="61"/>
      <c r="H479" s="68"/>
      <c r="I479" s="68"/>
      <c r="J479" s="68"/>
      <c r="K479" s="71"/>
      <c r="L479" s="72"/>
      <c r="M479" s="68"/>
      <c r="N479" s="50"/>
      <c r="O479" s="68"/>
      <c r="P479" s="68"/>
      <c r="Q479" s="68"/>
      <c r="R479" s="68"/>
      <c r="S479" s="68"/>
      <c r="T479" s="68"/>
      <c r="U479" s="68"/>
      <c r="V479" s="68"/>
      <c r="W479" s="37"/>
      <c r="X479" s="37"/>
      <c r="Y479" s="37"/>
    </row>
    <row r="480" spans="1:25" ht="15.75" customHeight="1">
      <c r="A480" s="69"/>
      <c r="B480" s="65"/>
      <c r="C480" s="66"/>
      <c r="D480" s="66"/>
      <c r="E480" s="66"/>
      <c r="F480" s="73"/>
      <c r="G480" s="65"/>
      <c r="H480" s="66"/>
      <c r="I480" s="66"/>
      <c r="J480" s="66"/>
      <c r="K480" s="74"/>
      <c r="L480" s="75"/>
      <c r="M480" s="66"/>
      <c r="N480" s="50"/>
      <c r="O480" s="66"/>
      <c r="P480" s="66"/>
      <c r="Q480" s="66"/>
      <c r="R480" s="66"/>
      <c r="S480" s="66"/>
      <c r="T480" s="66"/>
      <c r="U480" s="66"/>
      <c r="V480" s="66"/>
      <c r="W480" s="37"/>
      <c r="X480" s="37"/>
      <c r="Y480" s="37"/>
    </row>
    <row r="481" spans="1:25" ht="15.75" customHeight="1">
      <c r="A481" s="67"/>
      <c r="B481" s="61"/>
      <c r="C481" s="68"/>
      <c r="D481" s="68"/>
      <c r="E481" s="68"/>
      <c r="F481" s="70"/>
      <c r="G481" s="61"/>
      <c r="H481" s="68"/>
      <c r="I481" s="68"/>
      <c r="J481" s="68"/>
      <c r="K481" s="71"/>
      <c r="L481" s="72"/>
      <c r="M481" s="68"/>
      <c r="N481" s="50"/>
      <c r="O481" s="68"/>
      <c r="P481" s="68"/>
      <c r="Q481" s="68"/>
      <c r="R481" s="68"/>
      <c r="S481" s="68"/>
      <c r="T481" s="68"/>
      <c r="U481" s="68"/>
      <c r="V481" s="68"/>
      <c r="W481" s="37"/>
      <c r="X481" s="37"/>
      <c r="Y481" s="37"/>
    </row>
    <row r="482" spans="1:25" ht="15.75" customHeight="1">
      <c r="A482" s="69"/>
      <c r="B482" s="65"/>
      <c r="C482" s="66"/>
      <c r="D482" s="66"/>
      <c r="E482" s="66"/>
      <c r="F482" s="73"/>
      <c r="G482" s="65"/>
      <c r="H482" s="66"/>
      <c r="I482" s="66"/>
      <c r="J482" s="66"/>
      <c r="K482" s="74"/>
      <c r="L482" s="75"/>
      <c r="M482" s="66"/>
      <c r="N482" s="50"/>
      <c r="O482" s="66"/>
      <c r="P482" s="66"/>
      <c r="Q482" s="66"/>
      <c r="R482" s="66"/>
      <c r="S482" s="66"/>
      <c r="T482" s="66"/>
      <c r="U482" s="66"/>
      <c r="V482" s="66"/>
      <c r="W482" s="37"/>
      <c r="X482" s="37"/>
      <c r="Y482" s="37"/>
    </row>
    <row r="483" spans="1:25" ht="15.75" customHeight="1">
      <c r="A483" s="67"/>
      <c r="B483" s="61"/>
      <c r="C483" s="68"/>
      <c r="D483" s="68"/>
      <c r="E483" s="68"/>
      <c r="F483" s="70"/>
      <c r="G483" s="61"/>
      <c r="H483" s="68"/>
      <c r="I483" s="68"/>
      <c r="J483" s="68"/>
      <c r="K483" s="71"/>
      <c r="L483" s="72"/>
      <c r="M483" s="68"/>
      <c r="N483" s="50"/>
      <c r="O483" s="68"/>
      <c r="P483" s="68"/>
      <c r="Q483" s="68"/>
      <c r="R483" s="68"/>
      <c r="S483" s="68"/>
      <c r="T483" s="68"/>
      <c r="U483" s="68"/>
      <c r="V483" s="68"/>
      <c r="W483" s="37"/>
      <c r="X483" s="37"/>
      <c r="Y483" s="37"/>
    </row>
    <row r="484" spans="1:25" ht="15.75" customHeight="1">
      <c r="A484" s="69"/>
      <c r="B484" s="65"/>
      <c r="C484" s="66"/>
      <c r="D484" s="66"/>
      <c r="E484" s="66"/>
      <c r="F484" s="73"/>
      <c r="G484" s="65"/>
      <c r="H484" s="66"/>
      <c r="I484" s="66"/>
      <c r="J484" s="66"/>
      <c r="K484" s="74"/>
      <c r="L484" s="75"/>
      <c r="M484" s="66"/>
      <c r="N484" s="50"/>
      <c r="O484" s="66"/>
      <c r="P484" s="66"/>
      <c r="Q484" s="66"/>
      <c r="R484" s="66"/>
      <c r="S484" s="66"/>
      <c r="T484" s="66"/>
      <c r="U484" s="66"/>
      <c r="V484" s="66"/>
      <c r="W484" s="37"/>
      <c r="X484" s="37"/>
      <c r="Y484" s="37"/>
    </row>
    <row r="485" spans="1:25" ht="15.75" customHeight="1">
      <c r="A485" s="67"/>
      <c r="B485" s="61"/>
      <c r="C485" s="68"/>
      <c r="D485" s="68"/>
      <c r="E485" s="68"/>
      <c r="F485" s="70"/>
      <c r="G485" s="61"/>
      <c r="H485" s="68"/>
      <c r="I485" s="68"/>
      <c r="J485" s="68"/>
      <c r="K485" s="71"/>
      <c r="L485" s="72"/>
      <c r="M485" s="68"/>
      <c r="N485" s="50"/>
      <c r="O485" s="68"/>
      <c r="P485" s="68"/>
      <c r="Q485" s="68"/>
      <c r="R485" s="68"/>
      <c r="S485" s="68"/>
      <c r="T485" s="68"/>
      <c r="U485" s="68"/>
      <c r="V485" s="68"/>
      <c r="W485" s="37"/>
      <c r="X485" s="37"/>
      <c r="Y485" s="37"/>
    </row>
    <row r="486" spans="1:25" ht="15.75" customHeight="1">
      <c r="A486" s="69"/>
      <c r="B486" s="65"/>
      <c r="C486" s="66"/>
      <c r="D486" s="66"/>
      <c r="E486" s="66"/>
      <c r="F486" s="73"/>
      <c r="G486" s="65"/>
      <c r="H486" s="66"/>
      <c r="I486" s="66"/>
      <c r="J486" s="66"/>
      <c r="K486" s="74"/>
      <c r="L486" s="75"/>
      <c r="M486" s="66"/>
      <c r="N486" s="50"/>
      <c r="O486" s="66"/>
      <c r="P486" s="66"/>
      <c r="Q486" s="66"/>
      <c r="R486" s="66"/>
      <c r="S486" s="66"/>
      <c r="T486" s="66"/>
      <c r="U486" s="66"/>
      <c r="V486" s="66"/>
      <c r="W486" s="37"/>
      <c r="X486" s="37"/>
      <c r="Y486" s="37"/>
    </row>
    <row r="487" spans="1:25" ht="15.75" customHeight="1">
      <c r="A487" s="67"/>
      <c r="B487" s="61"/>
      <c r="C487" s="68"/>
      <c r="D487" s="68"/>
      <c r="E487" s="68"/>
      <c r="F487" s="70"/>
      <c r="G487" s="61"/>
      <c r="H487" s="68"/>
      <c r="I487" s="68"/>
      <c r="J487" s="68"/>
      <c r="K487" s="71"/>
      <c r="L487" s="72"/>
      <c r="M487" s="68"/>
      <c r="N487" s="50"/>
      <c r="O487" s="68"/>
      <c r="P487" s="68"/>
      <c r="Q487" s="68"/>
      <c r="R487" s="68"/>
      <c r="S487" s="68"/>
      <c r="T487" s="68"/>
      <c r="U487" s="68"/>
      <c r="V487" s="68"/>
      <c r="W487" s="37"/>
      <c r="X487" s="37"/>
      <c r="Y487" s="37"/>
    </row>
    <row r="488" spans="1:25" ht="15.75" customHeight="1">
      <c r="A488" s="69"/>
      <c r="B488" s="65"/>
      <c r="C488" s="66"/>
      <c r="D488" s="66"/>
      <c r="E488" s="66"/>
      <c r="F488" s="73"/>
      <c r="G488" s="65"/>
      <c r="H488" s="66"/>
      <c r="I488" s="66"/>
      <c r="J488" s="66"/>
      <c r="K488" s="74"/>
      <c r="L488" s="75"/>
      <c r="M488" s="66"/>
      <c r="N488" s="50"/>
      <c r="O488" s="66"/>
      <c r="P488" s="66"/>
      <c r="Q488" s="66"/>
      <c r="R488" s="66"/>
      <c r="S488" s="66"/>
      <c r="T488" s="66"/>
      <c r="U488" s="66"/>
      <c r="V488" s="66"/>
      <c r="W488" s="37"/>
      <c r="X488" s="37"/>
      <c r="Y488" s="37"/>
    </row>
    <row r="489" spans="1:25" ht="15.75" customHeight="1">
      <c r="A489" s="67"/>
      <c r="B489" s="61"/>
      <c r="C489" s="68"/>
      <c r="D489" s="68"/>
      <c r="E489" s="68"/>
      <c r="F489" s="70"/>
      <c r="G489" s="61"/>
      <c r="H489" s="68"/>
      <c r="I489" s="68"/>
      <c r="J489" s="68"/>
      <c r="K489" s="71"/>
      <c r="L489" s="72"/>
      <c r="M489" s="68"/>
      <c r="N489" s="50"/>
      <c r="O489" s="68"/>
      <c r="P489" s="68"/>
      <c r="Q489" s="68"/>
      <c r="R489" s="68"/>
      <c r="S489" s="68"/>
      <c r="T489" s="68"/>
      <c r="U489" s="68"/>
      <c r="V489" s="68"/>
      <c r="W489" s="37"/>
      <c r="X489" s="37"/>
      <c r="Y489" s="37"/>
    </row>
    <row r="490" spans="1:25" ht="15.75" customHeight="1">
      <c r="A490" s="65"/>
      <c r="B490" s="65"/>
      <c r="C490" s="66"/>
      <c r="D490" s="66"/>
      <c r="E490" s="65"/>
      <c r="F490" s="65"/>
      <c r="G490" s="65"/>
      <c r="H490" s="65"/>
      <c r="I490" s="65"/>
      <c r="J490" s="65"/>
      <c r="K490" s="74"/>
      <c r="L490" s="75"/>
      <c r="M490" s="66"/>
      <c r="N490" s="50"/>
      <c r="O490" s="66"/>
      <c r="P490" s="66"/>
      <c r="Q490" s="66"/>
      <c r="R490" s="66"/>
      <c r="S490" s="66"/>
      <c r="T490" s="66"/>
      <c r="U490" s="66"/>
      <c r="V490" s="66"/>
      <c r="W490" s="37"/>
      <c r="X490" s="37"/>
      <c r="Y490" s="37"/>
    </row>
    <row r="491" spans="1:25" ht="15.75" customHeight="1">
      <c r="A491" s="61"/>
      <c r="B491" s="61"/>
      <c r="C491" s="68"/>
      <c r="D491" s="68"/>
      <c r="E491" s="61"/>
      <c r="F491" s="61"/>
      <c r="G491" s="61"/>
      <c r="H491" s="61"/>
      <c r="I491" s="61"/>
      <c r="J491" s="61"/>
      <c r="K491" s="71"/>
      <c r="L491" s="72"/>
      <c r="M491" s="68"/>
      <c r="N491" s="50"/>
      <c r="O491" s="68"/>
      <c r="P491" s="68"/>
      <c r="Q491" s="68"/>
      <c r="R491" s="68"/>
      <c r="S491" s="68"/>
      <c r="T491" s="68"/>
      <c r="U491" s="68"/>
      <c r="V491" s="68"/>
      <c r="W491" s="37"/>
      <c r="X491" s="37"/>
      <c r="Y491" s="37"/>
    </row>
    <row r="492" spans="1:25" ht="15.75" customHeight="1">
      <c r="A492" s="65"/>
      <c r="B492" s="65"/>
      <c r="C492" s="66"/>
      <c r="D492" s="66"/>
      <c r="E492" s="65"/>
      <c r="F492" s="65"/>
      <c r="G492" s="65"/>
      <c r="H492" s="65"/>
      <c r="I492" s="65"/>
      <c r="J492" s="65"/>
      <c r="K492" s="74"/>
      <c r="L492" s="75"/>
      <c r="M492" s="66"/>
      <c r="N492" s="50"/>
      <c r="O492" s="66"/>
      <c r="P492" s="66"/>
      <c r="Q492" s="66"/>
      <c r="R492" s="66"/>
      <c r="S492" s="66"/>
      <c r="T492" s="66"/>
      <c r="U492" s="66"/>
      <c r="V492" s="66"/>
      <c r="W492" s="37"/>
      <c r="X492" s="37"/>
      <c r="Y492" s="37"/>
    </row>
    <row r="493" spans="1:25" ht="15.75" customHeight="1">
      <c r="A493" s="61"/>
      <c r="B493" s="61"/>
      <c r="C493" s="68"/>
      <c r="D493" s="68"/>
      <c r="E493" s="61"/>
      <c r="F493" s="61"/>
      <c r="G493" s="61"/>
      <c r="H493" s="61"/>
      <c r="I493" s="61"/>
      <c r="J493" s="61"/>
      <c r="K493" s="71"/>
      <c r="L493" s="72"/>
      <c r="M493" s="68"/>
      <c r="N493" s="50"/>
      <c r="O493" s="68"/>
      <c r="P493" s="68"/>
      <c r="Q493" s="68"/>
      <c r="R493" s="68"/>
      <c r="S493" s="68"/>
      <c r="T493" s="68"/>
      <c r="U493" s="68"/>
      <c r="V493" s="68"/>
      <c r="W493" s="37"/>
      <c r="X493" s="37"/>
      <c r="Y493" s="37"/>
    </row>
    <row r="494" spans="1:25" ht="15.75" customHeight="1">
      <c r="A494" s="65"/>
      <c r="B494" s="65"/>
      <c r="C494" s="66"/>
      <c r="D494" s="66"/>
      <c r="E494" s="65"/>
      <c r="F494" s="65"/>
      <c r="G494" s="65"/>
      <c r="H494" s="65"/>
      <c r="I494" s="65"/>
      <c r="J494" s="65"/>
      <c r="K494" s="74"/>
      <c r="L494" s="75"/>
      <c r="M494" s="66"/>
      <c r="N494" s="50"/>
      <c r="O494" s="66"/>
      <c r="P494" s="66"/>
      <c r="Q494" s="66"/>
      <c r="R494" s="66"/>
      <c r="S494" s="66"/>
      <c r="T494" s="66"/>
      <c r="U494" s="66"/>
      <c r="V494" s="66"/>
      <c r="W494" s="37"/>
      <c r="X494" s="37"/>
      <c r="Y494" s="37"/>
    </row>
    <row r="495" spans="1:25" ht="15.75" customHeight="1">
      <c r="A495" s="61"/>
      <c r="B495" s="61"/>
      <c r="C495" s="68"/>
      <c r="D495" s="68"/>
      <c r="E495" s="61"/>
      <c r="F495" s="61"/>
      <c r="G495" s="61"/>
      <c r="H495" s="61"/>
      <c r="I495" s="61"/>
      <c r="J495" s="61"/>
      <c r="K495" s="71"/>
      <c r="L495" s="72"/>
      <c r="M495" s="68"/>
      <c r="N495" s="50"/>
      <c r="O495" s="68"/>
      <c r="P495" s="68"/>
      <c r="Q495" s="68"/>
      <c r="R495" s="68"/>
      <c r="S495" s="68"/>
      <c r="T495" s="68"/>
      <c r="U495" s="68"/>
      <c r="V495" s="68"/>
      <c r="W495" s="37"/>
      <c r="X495" s="37"/>
      <c r="Y495" s="37"/>
    </row>
    <row r="496" spans="1:25" ht="15.75" customHeight="1">
      <c r="A496" s="65"/>
      <c r="B496" s="65"/>
      <c r="C496" s="66"/>
      <c r="D496" s="66"/>
      <c r="E496" s="65"/>
      <c r="F496" s="65"/>
      <c r="G496" s="65"/>
      <c r="H496" s="65"/>
      <c r="I496" s="65"/>
      <c r="J496" s="65"/>
      <c r="K496" s="74"/>
      <c r="L496" s="75"/>
      <c r="M496" s="66"/>
      <c r="N496" s="50"/>
      <c r="O496" s="66"/>
      <c r="P496" s="66"/>
      <c r="Q496" s="66"/>
      <c r="R496" s="66"/>
      <c r="S496" s="66"/>
      <c r="T496" s="66"/>
      <c r="U496" s="66"/>
      <c r="V496" s="66"/>
      <c r="W496" s="37"/>
      <c r="X496" s="37"/>
      <c r="Y496" s="37"/>
    </row>
    <row r="497" spans="1:25" ht="15.75" customHeight="1">
      <c r="A497" s="61"/>
      <c r="B497" s="61"/>
      <c r="C497" s="68"/>
      <c r="D497" s="68"/>
      <c r="E497" s="61"/>
      <c r="F497" s="61"/>
      <c r="G497" s="61"/>
      <c r="H497" s="61"/>
      <c r="I497" s="61"/>
      <c r="J497" s="61"/>
      <c r="K497" s="71"/>
      <c r="L497" s="72"/>
      <c r="M497" s="68"/>
      <c r="N497" s="50"/>
      <c r="O497" s="68"/>
      <c r="P497" s="68"/>
      <c r="Q497" s="68"/>
      <c r="R497" s="68"/>
      <c r="S497" s="68"/>
      <c r="T497" s="68"/>
      <c r="U497" s="68"/>
      <c r="V497" s="68"/>
      <c r="W497" s="37"/>
      <c r="X497" s="37"/>
      <c r="Y497" s="37"/>
    </row>
    <row r="498" spans="1:25" ht="15.75" customHeight="1">
      <c r="A498" s="65"/>
      <c r="B498" s="65"/>
      <c r="C498" s="66"/>
      <c r="D498" s="66"/>
      <c r="E498" s="65"/>
      <c r="F498" s="65"/>
      <c r="G498" s="65"/>
      <c r="H498" s="65"/>
      <c r="I498" s="65"/>
      <c r="J498" s="65"/>
      <c r="K498" s="74"/>
      <c r="L498" s="75"/>
      <c r="M498" s="66"/>
      <c r="N498" s="50"/>
      <c r="O498" s="66"/>
      <c r="P498" s="66"/>
      <c r="Q498" s="66"/>
      <c r="R498" s="66"/>
      <c r="S498" s="66"/>
      <c r="T498" s="66"/>
      <c r="U498" s="66"/>
      <c r="V498" s="66"/>
      <c r="W498" s="37"/>
      <c r="X498" s="37"/>
      <c r="Y498" s="37"/>
    </row>
    <row r="499" spans="1:25" ht="15.75" customHeight="1">
      <c r="A499" s="61"/>
      <c r="B499" s="61"/>
      <c r="C499" s="68"/>
      <c r="D499" s="68"/>
      <c r="E499" s="61"/>
      <c r="F499" s="61"/>
      <c r="G499" s="61"/>
      <c r="H499" s="61"/>
      <c r="I499" s="61"/>
      <c r="J499" s="61"/>
      <c r="K499" s="71"/>
      <c r="L499" s="72"/>
      <c r="M499" s="68"/>
      <c r="N499" s="50"/>
      <c r="O499" s="68"/>
      <c r="P499" s="68"/>
      <c r="Q499" s="68"/>
      <c r="R499" s="68"/>
      <c r="S499" s="68"/>
      <c r="T499" s="68"/>
      <c r="U499" s="68"/>
      <c r="V499" s="68"/>
      <c r="W499" s="37"/>
      <c r="X499" s="37"/>
      <c r="Y499" s="37"/>
    </row>
    <row r="500" spans="1:25" ht="15.75" customHeight="1">
      <c r="A500" s="65"/>
      <c r="B500" s="65"/>
      <c r="C500" s="66"/>
      <c r="D500" s="66"/>
      <c r="E500" s="65"/>
      <c r="F500" s="65"/>
      <c r="G500" s="65"/>
      <c r="H500" s="65"/>
      <c r="I500" s="65"/>
      <c r="J500" s="65"/>
      <c r="K500" s="74"/>
      <c r="L500" s="75"/>
      <c r="M500" s="66"/>
      <c r="N500" s="50"/>
      <c r="O500" s="66"/>
      <c r="P500" s="66"/>
      <c r="Q500" s="66"/>
      <c r="R500" s="66"/>
      <c r="S500" s="66"/>
      <c r="T500" s="66"/>
      <c r="U500" s="66"/>
      <c r="V500" s="66"/>
      <c r="W500" s="37"/>
      <c r="X500" s="37"/>
      <c r="Y500" s="37"/>
    </row>
    <row r="501" spans="1:25" ht="15.75" customHeight="1">
      <c r="A501" s="61"/>
      <c r="B501" s="61"/>
      <c r="C501" s="68"/>
      <c r="D501" s="68"/>
      <c r="E501" s="61"/>
      <c r="F501" s="61"/>
      <c r="G501" s="61"/>
      <c r="H501" s="61"/>
      <c r="I501" s="61"/>
      <c r="J501" s="61"/>
      <c r="K501" s="71"/>
      <c r="L501" s="72"/>
      <c r="M501" s="68"/>
      <c r="N501" s="50"/>
      <c r="O501" s="68"/>
      <c r="P501" s="68"/>
      <c r="Q501" s="68"/>
      <c r="R501" s="68"/>
      <c r="S501" s="68"/>
      <c r="T501" s="68"/>
      <c r="U501" s="68"/>
      <c r="V501" s="68"/>
      <c r="W501" s="37"/>
      <c r="X501" s="37"/>
      <c r="Y501" s="37"/>
    </row>
    <row r="502" spans="1:25" ht="15.75" customHeight="1">
      <c r="A502" s="65"/>
      <c r="B502" s="65"/>
      <c r="C502" s="66"/>
      <c r="D502" s="66"/>
      <c r="E502" s="65"/>
      <c r="F502" s="65"/>
      <c r="G502" s="65"/>
      <c r="H502" s="65"/>
      <c r="I502" s="65"/>
      <c r="J502" s="65"/>
      <c r="K502" s="74"/>
      <c r="L502" s="75"/>
      <c r="M502" s="66"/>
      <c r="N502" s="50"/>
      <c r="O502" s="66"/>
      <c r="P502" s="66"/>
      <c r="Q502" s="66"/>
      <c r="R502" s="66"/>
      <c r="S502" s="66"/>
      <c r="T502" s="66"/>
      <c r="U502" s="66"/>
      <c r="V502" s="66"/>
      <c r="W502" s="37"/>
      <c r="X502" s="37"/>
      <c r="Y502" s="37"/>
    </row>
    <row r="503" spans="1:25" ht="15.75" customHeight="1">
      <c r="A503" s="61"/>
      <c r="B503" s="61"/>
      <c r="C503" s="68"/>
      <c r="D503" s="68"/>
      <c r="E503" s="61"/>
      <c r="F503" s="61"/>
      <c r="G503" s="61"/>
      <c r="H503" s="61"/>
      <c r="I503" s="61"/>
      <c r="J503" s="61"/>
      <c r="K503" s="71"/>
      <c r="L503" s="72"/>
      <c r="M503" s="68"/>
      <c r="N503" s="50"/>
      <c r="O503" s="68"/>
      <c r="P503" s="68"/>
      <c r="Q503" s="68"/>
      <c r="R503" s="68"/>
      <c r="S503" s="68"/>
      <c r="T503" s="68"/>
      <c r="U503" s="68"/>
      <c r="V503" s="68"/>
      <c r="W503" s="37"/>
      <c r="X503" s="37"/>
      <c r="Y503" s="37"/>
    </row>
    <row r="504" spans="1:25" ht="15.75" customHeight="1">
      <c r="A504" s="65"/>
      <c r="B504" s="65"/>
      <c r="C504" s="66"/>
      <c r="D504" s="66"/>
      <c r="E504" s="65"/>
      <c r="F504" s="65"/>
      <c r="G504" s="65"/>
      <c r="H504" s="65"/>
      <c r="I504" s="65"/>
      <c r="J504" s="65"/>
      <c r="K504" s="74"/>
      <c r="L504" s="75"/>
      <c r="M504" s="66"/>
      <c r="N504" s="50"/>
      <c r="O504" s="66"/>
      <c r="P504" s="66"/>
      <c r="Q504" s="66"/>
      <c r="R504" s="66"/>
      <c r="S504" s="66"/>
      <c r="T504" s="66"/>
      <c r="U504" s="66"/>
      <c r="V504" s="66"/>
      <c r="W504" s="37"/>
      <c r="X504" s="37"/>
      <c r="Y504" s="37"/>
    </row>
    <row r="505" spans="1:25" ht="15.75" customHeight="1">
      <c r="A505" s="61"/>
      <c r="B505" s="61"/>
      <c r="C505" s="68"/>
      <c r="D505" s="68"/>
      <c r="E505" s="61"/>
      <c r="F505" s="61"/>
      <c r="G505" s="61"/>
      <c r="H505" s="61"/>
      <c r="I505" s="61"/>
      <c r="J505" s="61"/>
      <c r="K505" s="71"/>
      <c r="L505" s="72"/>
      <c r="M505" s="68"/>
      <c r="N505" s="50"/>
      <c r="O505" s="68"/>
      <c r="P505" s="68"/>
      <c r="Q505" s="68"/>
      <c r="R505" s="68"/>
      <c r="S505" s="68"/>
      <c r="T505" s="68"/>
      <c r="U505" s="68"/>
      <c r="V505" s="68"/>
      <c r="W505" s="37"/>
      <c r="X505" s="37"/>
      <c r="Y505" s="37"/>
    </row>
    <row r="506" spans="1:25" ht="15.75" customHeight="1">
      <c r="A506" s="65"/>
      <c r="B506" s="65"/>
      <c r="C506" s="66"/>
      <c r="D506" s="66"/>
      <c r="E506" s="65"/>
      <c r="F506" s="65"/>
      <c r="G506" s="65"/>
      <c r="H506" s="65"/>
      <c r="I506" s="65"/>
      <c r="J506" s="65"/>
      <c r="K506" s="74"/>
      <c r="L506" s="75"/>
      <c r="M506" s="66"/>
      <c r="N506" s="50"/>
      <c r="O506" s="66"/>
      <c r="P506" s="66"/>
      <c r="Q506" s="66"/>
      <c r="R506" s="66"/>
      <c r="S506" s="66"/>
      <c r="T506" s="66"/>
      <c r="U506" s="66"/>
      <c r="V506" s="66"/>
      <c r="W506" s="37"/>
      <c r="X506" s="37"/>
      <c r="Y506" s="37"/>
    </row>
    <row r="507" spans="1:25" ht="15.75" customHeight="1">
      <c r="A507" s="61"/>
      <c r="B507" s="61"/>
      <c r="C507" s="68"/>
      <c r="D507" s="68"/>
      <c r="E507" s="61"/>
      <c r="F507" s="61"/>
      <c r="G507" s="61"/>
      <c r="H507" s="61"/>
      <c r="I507" s="61"/>
      <c r="J507" s="61"/>
      <c r="K507" s="71"/>
      <c r="L507" s="72"/>
      <c r="M507" s="68"/>
      <c r="N507" s="50"/>
      <c r="O507" s="68"/>
      <c r="P507" s="68"/>
      <c r="Q507" s="68"/>
      <c r="R507" s="68"/>
      <c r="S507" s="68"/>
      <c r="T507" s="68"/>
      <c r="U507" s="68"/>
      <c r="V507" s="68"/>
      <c r="W507" s="37"/>
      <c r="X507" s="37"/>
      <c r="Y507" s="37"/>
    </row>
    <row r="508" spans="1:25" ht="15.75" customHeight="1">
      <c r="A508" s="65"/>
      <c r="B508" s="65"/>
      <c r="C508" s="66"/>
      <c r="D508" s="66"/>
      <c r="E508" s="65"/>
      <c r="F508" s="65"/>
      <c r="G508" s="65"/>
      <c r="H508" s="65"/>
      <c r="I508" s="65"/>
      <c r="J508" s="65"/>
      <c r="K508" s="74"/>
      <c r="L508" s="75"/>
      <c r="M508" s="66"/>
      <c r="N508" s="50"/>
      <c r="O508" s="66"/>
      <c r="P508" s="66"/>
      <c r="Q508" s="66"/>
      <c r="R508" s="66"/>
      <c r="S508" s="66"/>
      <c r="T508" s="66"/>
      <c r="U508" s="66"/>
      <c r="V508" s="66"/>
      <c r="W508" s="37"/>
      <c r="X508" s="37"/>
      <c r="Y508" s="37"/>
    </row>
    <row r="509" spans="1:25" ht="15.75" customHeight="1">
      <c r="A509" s="61"/>
      <c r="B509" s="61"/>
      <c r="C509" s="68"/>
      <c r="D509" s="68"/>
      <c r="E509" s="61"/>
      <c r="F509" s="61"/>
      <c r="G509" s="61"/>
      <c r="H509" s="61"/>
      <c r="I509" s="61"/>
      <c r="J509" s="61"/>
      <c r="K509" s="71"/>
      <c r="L509" s="72"/>
      <c r="M509" s="68"/>
      <c r="N509" s="50"/>
      <c r="O509" s="68"/>
      <c r="P509" s="68"/>
      <c r="Q509" s="68"/>
      <c r="R509" s="68"/>
      <c r="S509" s="68"/>
      <c r="T509" s="68"/>
      <c r="U509" s="68"/>
      <c r="V509" s="68"/>
      <c r="W509" s="37"/>
      <c r="X509" s="37"/>
      <c r="Y509" s="37"/>
    </row>
    <row r="510" spans="1:25" ht="15.75" customHeight="1">
      <c r="A510" s="65"/>
      <c r="B510" s="65"/>
      <c r="C510" s="66"/>
      <c r="D510" s="66"/>
      <c r="E510" s="65"/>
      <c r="F510" s="65"/>
      <c r="G510" s="65"/>
      <c r="H510" s="65"/>
      <c r="I510" s="65"/>
      <c r="J510" s="65"/>
      <c r="K510" s="74"/>
      <c r="L510" s="75"/>
      <c r="M510" s="66"/>
      <c r="N510" s="50"/>
      <c r="O510" s="66"/>
      <c r="P510" s="66"/>
      <c r="Q510" s="66"/>
      <c r="R510" s="66"/>
      <c r="S510" s="66"/>
      <c r="T510" s="66"/>
      <c r="U510" s="66"/>
      <c r="V510" s="66"/>
      <c r="W510" s="37"/>
      <c r="X510" s="37"/>
      <c r="Y510" s="37"/>
    </row>
    <row r="511" spans="1:25" ht="15.75" customHeight="1">
      <c r="A511" s="61"/>
      <c r="B511" s="61"/>
      <c r="C511" s="68"/>
      <c r="D511" s="68"/>
      <c r="E511" s="61"/>
      <c r="F511" s="61"/>
      <c r="G511" s="61"/>
      <c r="H511" s="61"/>
      <c r="I511" s="61"/>
      <c r="J511" s="61"/>
      <c r="K511" s="71"/>
      <c r="L511" s="72"/>
      <c r="M511" s="68"/>
      <c r="N511" s="50"/>
      <c r="O511" s="68"/>
      <c r="P511" s="68"/>
      <c r="Q511" s="68"/>
      <c r="R511" s="68"/>
      <c r="S511" s="68"/>
      <c r="T511" s="68"/>
      <c r="U511" s="68"/>
      <c r="V511" s="68"/>
      <c r="W511" s="37"/>
      <c r="X511" s="37"/>
      <c r="Y511" s="37"/>
    </row>
    <row r="512" spans="1:25" ht="15.75" customHeight="1">
      <c r="A512" s="65"/>
      <c r="B512" s="65"/>
      <c r="C512" s="66"/>
      <c r="D512" s="66"/>
      <c r="E512" s="65"/>
      <c r="F512" s="65"/>
      <c r="G512" s="65"/>
      <c r="H512" s="65"/>
      <c r="I512" s="65"/>
      <c r="J512" s="65"/>
      <c r="K512" s="74"/>
      <c r="L512" s="75"/>
      <c r="M512" s="66"/>
      <c r="N512" s="50"/>
      <c r="O512" s="66"/>
      <c r="P512" s="66"/>
      <c r="Q512" s="66"/>
      <c r="R512" s="66"/>
      <c r="S512" s="66"/>
      <c r="T512" s="66"/>
      <c r="U512" s="66"/>
      <c r="V512" s="66"/>
      <c r="W512" s="37"/>
      <c r="X512" s="37"/>
      <c r="Y512" s="37"/>
    </row>
    <row r="513" spans="1:25" ht="15.75" customHeight="1">
      <c r="A513" s="61"/>
      <c r="B513" s="61"/>
      <c r="C513" s="68"/>
      <c r="D513" s="68"/>
      <c r="E513" s="61"/>
      <c r="F513" s="61"/>
      <c r="G513" s="61"/>
      <c r="H513" s="61"/>
      <c r="I513" s="61"/>
      <c r="J513" s="61"/>
      <c r="K513" s="71"/>
      <c r="L513" s="72"/>
      <c r="M513" s="68"/>
      <c r="N513" s="50"/>
      <c r="O513" s="68"/>
      <c r="P513" s="68"/>
      <c r="Q513" s="68"/>
      <c r="R513" s="68"/>
      <c r="S513" s="68"/>
      <c r="T513" s="68"/>
      <c r="U513" s="68"/>
      <c r="V513" s="68"/>
      <c r="W513" s="37"/>
      <c r="X513" s="37"/>
      <c r="Y513" s="37"/>
    </row>
    <row r="514" spans="1:25" ht="15.75" customHeight="1">
      <c r="A514" s="65"/>
      <c r="B514" s="65"/>
      <c r="C514" s="66"/>
      <c r="D514" s="66"/>
      <c r="E514" s="65"/>
      <c r="F514" s="65"/>
      <c r="G514" s="65"/>
      <c r="H514" s="65"/>
      <c r="I514" s="65"/>
      <c r="J514" s="65"/>
      <c r="K514" s="74"/>
      <c r="L514" s="75"/>
      <c r="M514" s="66"/>
      <c r="N514" s="50"/>
      <c r="O514" s="66"/>
      <c r="P514" s="66"/>
      <c r="Q514" s="66"/>
      <c r="R514" s="66"/>
      <c r="S514" s="66"/>
      <c r="T514" s="66"/>
      <c r="U514" s="66"/>
      <c r="V514" s="66"/>
      <c r="W514" s="37"/>
      <c r="X514" s="37"/>
      <c r="Y514" s="37"/>
    </row>
    <row r="515" spans="1:25" ht="15.75" customHeight="1">
      <c r="A515" s="61"/>
      <c r="B515" s="61"/>
      <c r="C515" s="68"/>
      <c r="D515" s="68"/>
      <c r="E515" s="61"/>
      <c r="F515" s="61"/>
      <c r="G515" s="61"/>
      <c r="H515" s="61"/>
      <c r="I515" s="61"/>
      <c r="J515" s="61"/>
      <c r="K515" s="71"/>
      <c r="L515" s="72"/>
      <c r="M515" s="68"/>
      <c r="N515" s="50"/>
      <c r="O515" s="68"/>
      <c r="P515" s="68"/>
      <c r="Q515" s="68"/>
      <c r="R515" s="68"/>
      <c r="S515" s="68"/>
      <c r="T515" s="68"/>
      <c r="U515" s="68"/>
      <c r="V515" s="68"/>
      <c r="W515" s="37"/>
      <c r="X515" s="37"/>
      <c r="Y515" s="37"/>
    </row>
    <row r="516" spans="1:25" ht="15.75" customHeight="1">
      <c r="A516" s="65"/>
      <c r="B516" s="65"/>
      <c r="C516" s="66"/>
      <c r="D516" s="66"/>
      <c r="E516" s="65"/>
      <c r="F516" s="65"/>
      <c r="G516" s="65"/>
      <c r="H516" s="65"/>
      <c r="I516" s="65"/>
      <c r="J516" s="65"/>
      <c r="K516" s="74"/>
      <c r="L516" s="75"/>
      <c r="M516" s="66"/>
      <c r="N516" s="50"/>
      <c r="O516" s="66"/>
      <c r="P516" s="66"/>
      <c r="Q516" s="66"/>
      <c r="R516" s="66"/>
      <c r="S516" s="66"/>
      <c r="T516" s="66"/>
      <c r="U516" s="66"/>
      <c r="V516" s="66"/>
      <c r="W516" s="37"/>
      <c r="X516" s="37"/>
      <c r="Y516" s="37"/>
    </row>
    <row r="517" spans="1:25" ht="15.75" customHeight="1">
      <c r="A517" s="61"/>
      <c r="B517" s="61"/>
      <c r="C517" s="68"/>
      <c r="D517" s="68"/>
      <c r="E517" s="61"/>
      <c r="F517" s="61"/>
      <c r="G517" s="61"/>
      <c r="H517" s="61"/>
      <c r="I517" s="61"/>
      <c r="J517" s="61"/>
      <c r="K517" s="71"/>
      <c r="L517" s="72"/>
      <c r="M517" s="68"/>
      <c r="N517" s="50"/>
      <c r="O517" s="68"/>
      <c r="P517" s="68"/>
      <c r="Q517" s="68"/>
      <c r="R517" s="68"/>
      <c r="S517" s="68"/>
      <c r="T517" s="68"/>
      <c r="U517" s="68"/>
      <c r="V517" s="68"/>
      <c r="W517" s="37"/>
      <c r="X517" s="37"/>
      <c r="Y517" s="37"/>
    </row>
    <row r="518" spans="1:25" ht="15.75" customHeight="1">
      <c r="A518" s="65"/>
      <c r="B518" s="65"/>
      <c r="C518" s="66"/>
      <c r="D518" s="66"/>
      <c r="E518" s="65"/>
      <c r="F518" s="65"/>
      <c r="G518" s="65"/>
      <c r="H518" s="65"/>
      <c r="I518" s="65"/>
      <c r="J518" s="65"/>
      <c r="K518" s="74"/>
      <c r="L518" s="75"/>
      <c r="M518" s="66"/>
      <c r="N518" s="50"/>
      <c r="O518" s="66"/>
      <c r="P518" s="66"/>
      <c r="Q518" s="66"/>
      <c r="R518" s="66"/>
      <c r="S518" s="66"/>
      <c r="T518" s="66"/>
      <c r="U518" s="66"/>
      <c r="V518" s="66"/>
      <c r="W518" s="37"/>
      <c r="X518" s="37"/>
      <c r="Y518" s="37"/>
    </row>
    <row r="519" spans="1:25" ht="15.75" customHeight="1">
      <c r="A519" s="61"/>
      <c r="B519" s="61"/>
      <c r="C519" s="68"/>
      <c r="D519" s="68"/>
      <c r="E519" s="61"/>
      <c r="F519" s="61"/>
      <c r="G519" s="61"/>
      <c r="H519" s="61"/>
      <c r="I519" s="61"/>
      <c r="J519" s="61"/>
      <c r="K519" s="71"/>
      <c r="L519" s="72"/>
      <c r="M519" s="68"/>
      <c r="N519" s="50"/>
      <c r="O519" s="68"/>
      <c r="P519" s="68"/>
      <c r="Q519" s="68"/>
      <c r="R519" s="68"/>
      <c r="S519" s="68"/>
      <c r="T519" s="68"/>
      <c r="U519" s="68"/>
      <c r="V519" s="68"/>
      <c r="W519" s="37"/>
      <c r="X519" s="37"/>
      <c r="Y519" s="37"/>
    </row>
    <row r="520" spans="1:25" ht="15.75" customHeight="1">
      <c r="A520" s="65"/>
      <c r="B520" s="65"/>
      <c r="C520" s="66"/>
      <c r="D520" s="66"/>
      <c r="E520" s="65"/>
      <c r="F520" s="65"/>
      <c r="G520" s="65"/>
      <c r="H520" s="65"/>
      <c r="I520" s="65"/>
      <c r="J520" s="65"/>
      <c r="K520" s="74"/>
      <c r="L520" s="75"/>
      <c r="M520" s="66"/>
      <c r="N520" s="50"/>
      <c r="O520" s="66"/>
      <c r="P520" s="66"/>
      <c r="Q520" s="66"/>
      <c r="R520" s="66"/>
      <c r="S520" s="66"/>
      <c r="T520" s="66"/>
      <c r="U520" s="66"/>
      <c r="V520" s="66"/>
      <c r="W520" s="37"/>
      <c r="X520" s="37"/>
      <c r="Y520" s="37"/>
    </row>
    <row r="521" spans="1:25" ht="15.75" customHeight="1">
      <c r="A521" s="61"/>
      <c r="B521" s="61"/>
      <c r="C521" s="68"/>
      <c r="D521" s="68"/>
      <c r="E521" s="61"/>
      <c r="F521" s="61"/>
      <c r="G521" s="61"/>
      <c r="H521" s="61"/>
      <c r="I521" s="61"/>
      <c r="J521" s="61"/>
      <c r="K521" s="71"/>
      <c r="L521" s="72"/>
      <c r="M521" s="68"/>
      <c r="N521" s="50"/>
      <c r="O521" s="68"/>
      <c r="P521" s="68"/>
      <c r="Q521" s="68"/>
      <c r="R521" s="68"/>
      <c r="S521" s="68"/>
      <c r="T521" s="68"/>
      <c r="U521" s="68"/>
      <c r="V521" s="68"/>
      <c r="W521" s="37"/>
      <c r="X521" s="37"/>
      <c r="Y521" s="37"/>
    </row>
    <row r="522" spans="1:25" ht="15.75" customHeight="1">
      <c r="A522" s="65"/>
      <c r="B522" s="65"/>
      <c r="C522" s="66"/>
      <c r="D522" s="66"/>
      <c r="E522" s="65"/>
      <c r="F522" s="65"/>
      <c r="G522" s="65"/>
      <c r="H522" s="65"/>
      <c r="I522" s="65"/>
      <c r="J522" s="65"/>
      <c r="K522" s="74"/>
      <c r="L522" s="75"/>
      <c r="M522" s="66"/>
      <c r="N522" s="50"/>
      <c r="O522" s="66"/>
      <c r="P522" s="66"/>
      <c r="Q522" s="66"/>
      <c r="R522" s="66"/>
      <c r="S522" s="66"/>
      <c r="T522" s="66"/>
      <c r="U522" s="66"/>
      <c r="V522" s="66"/>
      <c r="W522" s="37"/>
      <c r="X522" s="37"/>
      <c r="Y522" s="37"/>
    </row>
    <row r="523" spans="1:25" ht="15.75" customHeight="1">
      <c r="A523" s="61"/>
      <c r="B523" s="61"/>
      <c r="C523" s="68"/>
      <c r="D523" s="68"/>
      <c r="E523" s="61"/>
      <c r="F523" s="61"/>
      <c r="G523" s="61"/>
      <c r="H523" s="61"/>
      <c r="I523" s="61"/>
      <c r="J523" s="61"/>
      <c r="K523" s="71"/>
      <c r="L523" s="72"/>
      <c r="M523" s="68"/>
      <c r="N523" s="50"/>
      <c r="O523" s="68"/>
      <c r="P523" s="68"/>
      <c r="Q523" s="68"/>
      <c r="R523" s="68"/>
      <c r="S523" s="68"/>
      <c r="T523" s="68"/>
      <c r="U523" s="68"/>
      <c r="V523" s="68"/>
      <c r="W523" s="37"/>
      <c r="X523" s="37"/>
      <c r="Y523" s="37"/>
    </row>
    <row r="524" spans="1:25" ht="15.75" customHeight="1">
      <c r="A524" s="65"/>
      <c r="B524" s="65"/>
      <c r="C524" s="66"/>
      <c r="D524" s="66"/>
      <c r="E524" s="65"/>
      <c r="F524" s="65"/>
      <c r="G524" s="65"/>
      <c r="H524" s="65"/>
      <c r="I524" s="65"/>
      <c r="J524" s="65"/>
      <c r="K524" s="74"/>
      <c r="L524" s="75"/>
      <c r="M524" s="66"/>
      <c r="N524" s="50"/>
      <c r="O524" s="66"/>
      <c r="P524" s="66"/>
      <c r="Q524" s="66"/>
      <c r="R524" s="66"/>
      <c r="S524" s="66"/>
      <c r="T524" s="66"/>
      <c r="U524" s="66"/>
      <c r="V524" s="66"/>
      <c r="W524" s="37"/>
      <c r="X524" s="37"/>
      <c r="Y524" s="37"/>
    </row>
    <row r="525" spans="1:25" ht="15.75" customHeight="1">
      <c r="A525" s="61"/>
      <c r="B525" s="61"/>
      <c r="C525" s="68"/>
      <c r="D525" s="68"/>
      <c r="E525" s="61"/>
      <c r="F525" s="61"/>
      <c r="G525" s="61"/>
      <c r="H525" s="61"/>
      <c r="I525" s="61"/>
      <c r="J525" s="61"/>
      <c r="K525" s="71"/>
      <c r="L525" s="72"/>
      <c r="M525" s="68"/>
      <c r="N525" s="50"/>
      <c r="O525" s="68"/>
      <c r="P525" s="68"/>
      <c r="Q525" s="68"/>
      <c r="R525" s="68"/>
      <c r="S525" s="68"/>
      <c r="T525" s="68"/>
      <c r="U525" s="68"/>
      <c r="V525" s="68"/>
      <c r="W525" s="37"/>
      <c r="X525" s="37"/>
      <c r="Y525" s="37"/>
    </row>
    <row r="526" spans="1:25" ht="15.75" customHeight="1">
      <c r="A526" s="65"/>
      <c r="B526" s="65"/>
      <c r="C526" s="66"/>
      <c r="D526" s="66"/>
      <c r="E526" s="65"/>
      <c r="F526" s="65"/>
      <c r="G526" s="65"/>
      <c r="H526" s="65"/>
      <c r="I526" s="65"/>
      <c r="J526" s="65"/>
      <c r="K526" s="74"/>
      <c r="L526" s="75"/>
      <c r="M526" s="66"/>
      <c r="N526" s="50"/>
      <c r="O526" s="66"/>
      <c r="P526" s="66"/>
      <c r="Q526" s="66"/>
      <c r="R526" s="66"/>
      <c r="S526" s="66"/>
      <c r="T526" s="66"/>
      <c r="U526" s="66"/>
      <c r="V526" s="66"/>
      <c r="W526" s="37"/>
      <c r="X526" s="37"/>
      <c r="Y526" s="37"/>
    </row>
    <row r="527" spans="1:25" ht="15.75" customHeight="1">
      <c r="A527" s="61"/>
      <c r="B527" s="61"/>
      <c r="C527" s="68"/>
      <c r="D527" s="68"/>
      <c r="E527" s="61"/>
      <c r="F527" s="61"/>
      <c r="G527" s="61"/>
      <c r="H527" s="61"/>
      <c r="I527" s="61"/>
      <c r="J527" s="61"/>
      <c r="K527" s="71"/>
      <c r="L527" s="72"/>
      <c r="M527" s="68"/>
      <c r="N527" s="50"/>
      <c r="O527" s="68"/>
      <c r="P527" s="68"/>
      <c r="Q527" s="68"/>
      <c r="R527" s="68"/>
      <c r="S527" s="68"/>
      <c r="T527" s="68"/>
      <c r="U527" s="68"/>
      <c r="V527" s="68"/>
      <c r="W527" s="37"/>
      <c r="X527" s="37"/>
      <c r="Y527" s="37"/>
    </row>
    <row r="528" spans="1:25" ht="15.75" customHeight="1">
      <c r="A528" s="65"/>
      <c r="B528" s="65"/>
      <c r="C528" s="66"/>
      <c r="D528" s="66"/>
      <c r="E528" s="65"/>
      <c r="F528" s="65"/>
      <c r="G528" s="65"/>
      <c r="H528" s="65"/>
      <c r="I528" s="65"/>
      <c r="J528" s="65"/>
      <c r="K528" s="74"/>
      <c r="L528" s="75"/>
      <c r="M528" s="66"/>
      <c r="N528" s="50"/>
      <c r="O528" s="66"/>
      <c r="P528" s="66"/>
      <c r="Q528" s="66"/>
      <c r="R528" s="66"/>
      <c r="S528" s="66"/>
      <c r="T528" s="66"/>
      <c r="U528" s="66"/>
      <c r="V528" s="66"/>
      <c r="W528" s="37"/>
      <c r="X528" s="37"/>
      <c r="Y528" s="37"/>
    </row>
    <row r="529" spans="1:25" ht="15.75" customHeight="1">
      <c r="A529" s="61"/>
      <c r="B529" s="61"/>
      <c r="C529" s="68"/>
      <c r="D529" s="68"/>
      <c r="E529" s="61"/>
      <c r="F529" s="61"/>
      <c r="G529" s="61"/>
      <c r="H529" s="61"/>
      <c r="I529" s="61"/>
      <c r="J529" s="61"/>
      <c r="K529" s="71"/>
      <c r="L529" s="72"/>
      <c r="M529" s="68"/>
      <c r="N529" s="50"/>
      <c r="O529" s="68"/>
      <c r="P529" s="68"/>
      <c r="Q529" s="68"/>
      <c r="R529" s="68"/>
      <c r="S529" s="68"/>
      <c r="T529" s="68"/>
      <c r="U529" s="68"/>
      <c r="V529" s="68"/>
      <c r="W529" s="37"/>
      <c r="X529" s="37"/>
      <c r="Y529" s="37"/>
    </row>
    <row r="530" spans="1:25" ht="15.75" customHeight="1">
      <c r="A530" s="65"/>
      <c r="B530" s="65"/>
      <c r="C530" s="66"/>
      <c r="D530" s="66"/>
      <c r="E530" s="65"/>
      <c r="F530" s="65"/>
      <c r="G530" s="65"/>
      <c r="H530" s="65"/>
      <c r="I530" s="65"/>
      <c r="J530" s="65"/>
      <c r="K530" s="74"/>
      <c r="L530" s="75"/>
      <c r="M530" s="66"/>
      <c r="N530" s="50"/>
      <c r="O530" s="66"/>
      <c r="P530" s="66"/>
      <c r="Q530" s="66"/>
      <c r="R530" s="66"/>
      <c r="S530" s="66"/>
      <c r="T530" s="66"/>
      <c r="U530" s="66"/>
      <c r="V530" s="66"/>
      <c r="W530" s="37"/>
      <c r="X530" s="37"/>
      <c r="Y530" s="37"/>
    </row>
    <row r="531" spans="1:25" ht="15.75" customHeight="1">
      <c r="A531" s="61"/>
      <c r="B531" s="61"/>
      <c r="C531" s="68"/>
      <c r="D531" s="68"/>
      <c r="E531" s="61"/>
      <c r="F531" s="61"/>
      <c r="G531" s="61"/>
      <c r="H531" s="61"/>
      <c r="I531" s="61"/>
      <c r="J531" s="61"/>
      <c r="K531" s="71"/>
      <c r="L531" s="72"/>
      <c r="M531" s="68"/>
      <c r="N531" s="50"/>
      <c r="O531" s="68"/>
      <c r="P531" s="68"/>
      <c r="Q531" s="68"/>
      <c r="R531" s="68"/>
      <c r="S531" s="68"/>
      <c r="T531" s="68"/>
      <c r="U531" s="68"/>
      <c r="V531" s="68"/>
      <c r="W531" s="37"/>
      <c r="X531" s="37"/>
      <c r="Y531" s="37"/>
    </row>
    <row r="532" spans="1:25" ht="15.75" customHeight="1">
      <c r="A532" s="65"/>
      <c r="B532" s="65"/>
      <c r="C532" s="66"/>
      <c r="D532" s="66"/>
      <c r="E532" s="65"/>
      <c r="F532" s="65"/>
      <c r="G532" s="65"/>
      <c r="H532" s="65"/>
      <c r="I532" s="65"/>
      <c r="J532" s="65"/>
      <c r="K532" s="74"/>
      <c r="L532" s="75"/>
      <c r="M532" s="66"/>
      <c r="N532" s="50"/>
      <c r="O532" s="66"/>
      <c r="P532" s="66"/>
      <c r="Q532" s="66"/>
      <c r="R532" s="66"/>
      <c r="S532" s="66"/>
      <c r="T532" s="66"/>
      <c r="U532" s="66"/>
      <c r="V532" s="66"/>
      <c r="W532" s="37"/>
      <c r="X532" s="37"/>
      <c r="Y532" s="37"/>
    </row>
    <row r="533" spans="1:25" ht="15.75" customHeight="1">
      <c r="A533" s="61"/>
      <c r="B533" s="61"/>
      <c r="C533" s="68"/>
      <c r="D533" s="68"/>
      <c r="E533" s="61"/>
      <c r="F533" s="61"/>
      <c r="G533" s="61"/>
      <c r="H533" s="61"/>
      <c r="I533" s="61"/>
      <c r="J533" s="61"/>
      <c r="K533" s="71"/>
      <c r="L533" s="72"/>
      <c r="M533" s="68"/>
      <c r="N533" s="50"/>
      <c r="O533" s="68"/>
      <c r="P533" s="68"/>
      <c r="Q533" s="68"/>
      <c r="R533" s="68"/>
      <c r="S533" s="68"/>
      <c r="T533" s="68"/>
      <c r="U533" s="68"/>
      <c r="V533" s="68"/>
      <c r="W533" s="37"/>
      <c r="X533" s="37"/>
      <c r="Y533" s="37"/>
    </row>
    <row r="534" spans="1:25" ht="15.75" customHeight="1">
      <c r="A534" s="65"/>
      <c r="B534" s="65"/>
      <c r="C534" s="66"/>
      <c r="D534" s="66"/>
      <c r="E534" s="65"/>
      <c r="F534" s="65"/>
      <c r="G534" s="65"/>
      <c r="H534" s="65"/>
      <c r="I534" s="65"/>
      <c r="J534" s="65"/>
      <c r="K534" s="74"/>
      <c r="L534" s="75"/>
      <c r="M534" s="66"/>
      <c r="N534" s="50"/>
      <c r="O534" s="66"/>
      <c r="P534" s="66"/>
      <c r="Q534" s="66"/>
      <c r="R534" s="66"/>
      <c r="S534" s="66"/>
      <c r="T534" s="66"/>
      <c r="U534" s="66"/>
      <c r="V534" s="66"/>
      <c r="W534" s="37"/>
      <c r="X534" s="37"/>
      <c r="Y534" s="37"/>
    </row>
    <row r="535" spans="1:25" ht="15.75" customHeight="1">
      <c r="A535" s="61"/>
      <c r="B535" s="61"/>
      <c r="C535" s="68"/>
      <c r="D535" s="68"/>
      <c r="E535" s="61"/>
      <c r="F535" s="61"/>
      <c r="G535" s="61"/>
      <c r="H535" s="61"/>
      <c r="I535" s="61"/>
      <c r="J535" s="61"/>
      <c r="K535" s="71"/>
      <c r="L535" s="72"/>
      <c r="M535" s="68"/>
      <c r="N535" s="50"/>
      <c r="O535" s="68"/>
      <c r="P535" s="68"/>
      <c r="Q535" s="68"/>
      <c r="R535" s="68"/>
      <c r="S535" s="68"/>
      <c r="T535" s="68"/>
      <c r="U535" s="68"/>
      <c r="V535" s="68"/>
      <c r="W535" s="37"/>
      <c r="X535" s="37"/>
      <c r="Y535" s="37"/>
    </row>
    <row r="536" spans="1:25" ht="15.75" customHeight="1">
      <c r="A536" s="65"/>
      <c r="B536" s="65"/>
      <c r="C536" s="66"/>
      <c r="D536" s="66"/>
      <c r="E536" s="65"/>
      <c r="F536" s="65"/>
      <c r="G536" s="65"/>
      <c r="H536" s="65"/>
      <c r="I536" s="65"/>
      <c r="J536" s="65"/>
      <c r="K536" s="74"/>
      <c r="L536" s="75"/>
      <c r="M536" s="66"/>
      <c r="N536" s="50"/>
      <c r="O536" s="66"/>
      <c r="P536" s="66"/>
      <c r="Q536" s="66"/>
      <c r="R536" s="66"/>
      <c r="S536" s="66"/>
      <c r="T536" s="66"/>
      <c r="U536" s="66"/>
      <c r="V536" s="66"/>
      <c r="W536" s="37"/>
      <c r="X536" s="37"/>
      <c r="Y536" s="37"/>
    </row>
    <row r="537" spans="1:25" ht="15.75" customHeight="1">
      <c r="A537" s="61"/>
      <c r="B537" s="61"/>
      <c r="C537" s="68"/>
      <c r="D537" s="68"/>
      <c r="E537" s="61"/>
      <c r="F537" s="61"/>
      <c r="G537" s="61"/>
      <c r="H537" s="61"/>
      <c r="I537" s="61"/>
      <c r="J537" s="61"/>
      <c r="K537" s="71"/>
      <c r="L537" s="72"/>
      <c r="M537" s="68"/>
      <c r="N537" s="50"/>
      <c r="O537" s="68"/>
      <c r="P537" s="68"/>
      <c r="Q537" s="68"/>
      <c r="R537" s="68"/>
      <c r="S537" s="68"/>
      <c r="T537" s="68"/>
      <c r="U537" s="68"/>
      <c r="V537" s="68"/>
      <c r="W537" s="37"/>
      <c r="X537" s="37"/>
      <c r="Y537" s="37"/>
    </row>
    <row r="538" spans="1:25" ht="15.75" customHeight="1">
      <c r="A538" s="65"/>
      <c r="B538" s="65"/>
      <c r="C538" s="66"/>
      <c r="D538" s="66"/>
      <c r="E538" s="65"/>
      <c r="F538" s="65"/>
      <c r="G538" s="65"/>
      <c r="H538" s="65"/>
      <c r="I538" s="65"/>
      <c r="J538" s="65"/>
      <c r="K538" s="74"/>
      <c r="L538" s="75"/>
      <c r="M538" s="66"/>
      <c r="N538" s="50"/>
      <c r="O538" s="66"/>
      <c r="P538" s="66"/>
      <c r="Q538" s="66"/>
      <c r="R538" s="66"/>
      <c r="S538" s="66"/>
      <c r="T538" s="66"/>
      <c r="U538" s="66"/>
      <c r="V538" s="66"/>
      <c r="W538" s="37"/>
      <c r="X538" s="37"/>
      <c r="Y538" s="37"/>
    </row>
    <row r="539" spans="1:25" ht="15.75" customHeight="1">
      <c r="A539" s="61"/>
      <c r="B539" s="61"/>
      <c r="C539" s="68"/>
      <c r="D539" s="68"/>
      <c r="E539" s="61"/>
      <c r="F539" s="61"/>
      <c r="G539" s="61"/>
      <c r="H539" s="61"/>
      <c r="I539" s="61"/>
      <c r="J539" s="61"/>
      <c r="K539" s="71"/>
      <c r="L539" s="72"/>
      <c r="M539" s="68"/>
      <c r="N539" s="50"/>
      <c r="O539" s="68"/>
      <c r="P539" s="68"/>
      <c r="Q539" s="68"/>
      <c r="R539" s="68"/>
      <c r="S539" s="68"/>
      <c r="T539" s="68"/>
      <c r="U539" s="68"/>
      <c r="V539" s="68"/>
      <c r="W539" s="37"/>
      <c r="X539" s="37"/>
      <c r="Y539" s="37"/>
    </row>
    <row r="540" spans="1:25" ht="15.75" customHeight="1">
      <c r="A540" s="65"/>
      <c r="B540" s="65"/>
      <c r="C540" s="66"/>
      <c r="D540" s="66"/>
      <c r="E540" s="65"/>
      <c r="F540" s="65"/>
      <c r="G540" s="65"/>
      <c r="H540" s="65"/>
      <c r="I540" s="65"/>
      <c r="J540" s="65"/>
      <c r="K540" s="74"/>
      <c r="L540" s="75"/>
      <c r="M540" s="66"/>
      <c r="N540" s="50"/>
      <c r="O540" s="66"/>
      <c r="P540" s="66"/>
      <c r="Q540" s="66"/>
      <c r="R540" s="66"/>
      <c r="S540" s="66"/>
      <c r="T540" s="66"/>
      <c r="U540" s="66"/>
      <c r="V540" s="66"/>
      <c r="W540" s="37"/>
      <c r="X540" s="37"/>
      <c r="Y540" s="37"/>
    </row>
    <row r="541" spans="1:25" ht="15.75" customHeight="1">
      <c r="A541" s="61"/>
      <c r="B541" s="61"/>
      <c r="C541" s="68"/>
      <c r="D541" s="68"/>
      <c r="E541" s="61"/>
      <c r="F541" s="61"/>
      <c r="G541" s="61"/>
      <c r="H541" s="61"/>
      <c r="I541" s="61"/>
      <c r="J541" s="61"/>
      <c r="K541" s="71"/>
      <c r="L541" s="72"/>
      <c r="M541" s="68"/>
      <c r="N541" s="50"/>
      <c r="O541" s="68"/>
      <c r="P541" s="68"/>
      <c r="Q541" s="68"/>
      <c r="R541" s="68"/>
      <c r="S541" s="68"/>
      <c r="T541" s="68"/>
      <c r="U541" s="68"/>
      <c r="V541" s="68"/>
      <c r="W541" s="37"/>
      <c r="X541" s="37"/>
      <c r="Y541" s="37"/>
    </row>
    <row r="542" spans="1:25" ht="15.75" customHeight="1">
      <c r="A542" s="65"/>
      <c r="B542" s="65"/>
      <c r="C542" s="66"/>
      <c r="D542" s="66"/>
      <c r="E542" s="65"/>
      <c r="F542" s="65"/>
      <c r="G542" s="65"/>
      <c r="H542" s="65"/>
      <c r="I542" s="65"/>
      <c r="J542" s="65"/>
      <c r="K542" s="74"/>
      <c r="L542" s="75"/>
      <c r="M542" s="66"/>
      <c r="N542" s="50"/>
      <c r="O542" s="66"/>
      <c r="P542" s="66"/>
      <c r="Q542" s="66"/>
      <c r="R542" s="66"/>
      <c r="S542" s="66"/>
      <c r="T542" s="66"/>
      <c r="U542" s="66"/>
      <c r="V542" s="66"/>
      <c r="W542" s="37"/>
      <c r="X542" s="37"/>
      <c r="Y542" s="37"/>
    </row>
    <row r="543" spans="1:25" ht="15.75" customHeight="1">
      <c r="A543" s="61"/>
      <c r="B543" s="61"/>
      <c r="C543" s="68"/>
      <c r="D543" s="68"/>
      <c r="E543" s="61"/>
      <c r="F543" s="61"/>
      <c r="G543" s="61"/>
      <c r="H543" s="61"/>
      <c r="I543" s="61"/>
      <c r="J543" s="61"/>
      <c r="K543" s="71"/>
      <c r="L543" s="72"/>
      <c r="M543" s="68"/>
      <c r="N543" s="50"/>
      <c r="O543" s="68"/>
      <c r="P543" s="68"/>
      <c r="Q543" s="68"/>
      <c r="R543" s="68"/>
      <c r="S543" s="68"/>
      <c r="T543" s="68"/>
      <c r="U543" s="68"/>
      <c r="V543" s="68"/>
      <c r="W543" s="37"/>
      <c r="X543" s="37"/>
      <c r="Y543" s="37"/>
    </row>
    <row r="544" spans="1:25" ht="15.75" customHeight="1">
      <c r="A544" s="65"/>
      <c r="B544" s="65"/>
      <c r="C544" s="66"/>
      <c r="D544" s="66"/>
      <c r="E544" s="65"/>
      <c r="F544" s="65"/>
      <c r="G544" s="65"/>
      <c r="H544" s="65"/>
      <c r="I544" s="65"/>
      <c r="J544" s="65"/>
      <c r="K544" s="74"/>
      <c r="L544" s="75"/>
      <c r="M544" s="66"/>
      <c r="N544" s="50"/>
      <c r="O544" s="66"/>
      <c r="P544" s="66"/>
      <c r="Q544" s="66"/>
      <c r="R544" s="66"/>
      <c r="S544" s="66"/>
      <c r="T544" s="66"/>
      <c r="U544" s="66"/>
      <c r="V544" s="66"/>
      <c r="W544" s="37"/>
      <c r="X544" s="37"/>
      <c r="Y544" s="37"/>
    </row>
    <row r="545" spans="1:25" ht="15.75" customHeight="1">
      <c r="A545" s="61"/>
      <c r="B545" s="61"/>
      <c r="C545" s="68"/>
      <c r="D545" s="68"/>
      <c r="E545" s="61"/>
      <c r="F545" s="61"/>
      <c r="G545" s="61"/>
      <c r="H545" s="61"/>
      <c r="I545" s="61"/>
      <c r="J545" s="61"/>
      <c r="K545" s="71"/>
      <c r="L545" s="72"/>
      <c r="M545" s="68"/>
      <c r="N545" s="50"/>
      <c r="O545" s="68"/>
      <c r="P545" s="68"/>
      <c r="Q545" s="68"/>
      <c r="R545" s="68"/>
      <c r="S545" s="68"/>
      <c r="T545" s="68"/>
      <c r="U545" s="68"/>
      <c r="V545" s="68"/>
      <c r="W545" s="37"/>
      <c r="X545" s="37"/>
      <c r="Y545" s="37"/>
    </row>
    <row r="546" spans="1:25" ht="15.75" customHeight="1">
      <c r="A546" s="65"/>
      <c r="B546" s="65"/>
      <c r="C546" s="66"/>
      <c r="D546" s="66"/>
      <c r="E546" s="65"/>
      <c r="F546" s="65"/>
      <c r="G546" s="65"/>
      <c r="H546" s="65"/>
      <c r="I546" s="65"/>
      <c r="J546" s="65"/>
      <c r="K546" s="74"/>
      <c r="L546" s="75"/>
      <c r="M546" s="66"/>
      <c r="N546" s="50"/>
      <c r="O546" s="66"/>
      <c r="P546" s="66"/>
      <c r="Q546" s="66"/>
      <c r="R546" s="66"/>
      <c r="S546" s="66"/>
      <c r="T546" s="66"/>
      <c r="U546" s="66"/>
      <c r="V546" s="66"/>
      <c r="W546" s="37"/>
      <c r="X546" s="37"/>
      <c r="Y546" s="37"/>
    </row>
    <row r="547" spans="1:25" ht="15.75" customHeight="1">
      <c r="A547" s="61"/>
      <c r="B547" s="61"/>
      <c r="C547" s="68"/>
      <c r="D547" s="68"/>
      <c r="E547" s="61"/>
      <c r="F547" s="61"/>
      <c r="G547" s="61"/>
      <c r="H547" s="61"/>
      <c r="I547" s="61"/>
      <c r="J547" s="61"/>
      <c r="K547" s="71"/>
      <c r="L547" s="72"/>
      <c r="M547" s="68"/>
      <c r="N547" s="50"/>
      <c r="O547" s="68"/>
      <c r="P547" s="68"/>
      <c r="Q547" s="68"/>
      <c r="R547" s="68"/>
      <c r="S547" s="68"/>
      <c r="T547" s="68"/>
      <c r="U547" s="68"/>
      <c r="V547" s="68"/>
      <c r="W547" s="37"/>
      <c r="X547" s="37"/>
      <c r="Y547" s="37"/>
    </row>
    <row r="548" spans="1:25" ht="15.75" customHeight="1">
      <c r="A548" s="65"/>
      <c r="B548" s="65"/>
      <c r="C548" s="66"/>
      <c r="D548" s="66"/>
      <c r="E548" s="65"/>
      <c r="F548" s="65"/>
      <c r="G548" s="65"/>
      <c r="H548" s="65"/>
      <c r="I548" s="65"/>
      <c r="J548" s="65"/>
      <c r="K548" s="74"/>
      <c r="L548" s="75"/>
      <c r="M548" s="66"/>
      <c r="N548" s="50"/>
      <c r="O548" s="66"/>
      <c r="P548" s="66"/>
      <c r="Q548" s="66"/>
      <c r="R548" s="66"/>
      <c r="S548" s="66"/>
      <c r="T548" s="66"/>
      <c r="U548" s="66"/>
      <c r="V548" s="66"/>
      <c r="W548" s="37"/>
      <c r="X548" s="37"/>
      <c r="Y548" s="37"/>
    </row>
    <row r="549" spans="1:25" ht="15.75" customHeight="1">
      <c r="A549" s="61"/>
      <c r="B549" s="61"/>
      <c r="C549" s="68"/>
      <c r="D549" s="68"/>
      <c r="E549" s="61"/>
      <c r="F549" s="61"/>
      <c r="G549" s="61"/>
      <c r="H549" s="61"/>
      <c r="I549" s="61"/>
      <c r="J549" s="61"/>
      <c r="K549" s="71"/>
      <c r="L549" s="72"/>
      <c r="M549" s="68"/>
      <c r="N549" s="50"/>
      <c r="O549" s="68"/>
      <c r="P549" s="68"/>
      <c r="Q549" s="68"/>
      <c r="R549" s="68"/>
      <c r="S549" s="68"/>
      <c r="T549" s="68"/>
      <c r="U549" s="68"/>
      <c r="V549" s="68"/>
      <c r="W549" s="37"/>
      <c r="X549" s="37"/>
      <c r="Y549" s="37"/>
    </row>
    <row r="550" spans="1:25" ht="15.75" customHeight="1">
      <c r="A550" s="65"/>
      <c r="B550" s="65"/>
      <c r="C550" s="66"/>
      <c r="D550" s="66"/>
      <c r="E550" s="65"/>
      <c r="F550" s="65"/>
      <c r="G550" s="65"/>
      <c r="H550" s="65"/>
      <c r="I550" s="65"/>
      <c r="J550" s="65"/>
      <c r="K550" s="74"/>
      <c r="L550" s="75"/>
      <c r="M550" s="66"/>
      <c r="N550" s="50"/>
      <c r="O550" s="66"/>
      <c r="P550" s="66"/>
      <c r="Q550" s="66"/>
      <c r="R550" s="66"/>
      <c r="S550" s="66"/>
      <c r="T550" s="66"/>
      <c r="U550" s="66"/>
      <c r="V550" s="66"/>
      <c r="W550" s="37"/>
      <c r="X550" s="37"/>
      <c r="Y550" s="37"/>
    </row>
    <row r="551" spans="1:25" ht="15.75" customHeight="1">
      <c r="A551" s="61"/>
      <c r="B551" s="61"/>
      <c r="C551" s="68"/>
      <c r="D551" s="68"/>
      <c r="E551" s="61"/>
      <c r="F551" s="61"/>
      <c r="G551" s="61"/>
      <c r="H551" s="61"/>
      <c r="I551" s="61"/>
      <c r="J551" s="61"/>
      <c r="K551" s="71"/>
      <c r="L551" s="72"/>
      <c r="M551" s="68"/>
      <c r="N551" s="50"/>
      <c r="O551" s="68"/>
      <c r="P551" s="68"/>
      <c r="Q551" s="68"/>
      <c r="R551" s="68"/>
      <c r="S551" s="68"/>
      <c r="T551" s="68"/>
      <c r="U551" s="68"/>
      <c r="V551" s="68"/>
      <c r="W551" s="37"/>
      <c r="X551" s="37"/>
      <c r="Y551" s="37"/>
    </row>
    <row r="552" spans="1:25" ht="15.75" customHeight="1">
      <c r="A552" s="65"/>
      <c r="B552" s="65"/>
      <c r="C552" s="66"/>
      <c r="D552" s="66"/>
      <c r="E552" s="65"/>
      <c r="F552" s="65"/>
      <c r="G552" s="65"/>
      <c r="H552" s="65"/>
      <c r="I552" s="65"/>
      <c r="J552" s="65"/>
      <c r="K552" s="74"/>
      <c r="L552" s="75"/>
      <c r="M552" s="66"/>
      <c r="N552" s="50"/>
      <c r="O552" s="66"/>
      <c r="P552" s="66"/>
      <c r="Q552" s="66"/>
      <c r="R552" s="66"/>
      <c r="S552" s="66"/>
      <c r="T552" s="66"/>
      <c r="U552" s="66"/>
      <c r="V552" s="66"/>
      <c r="W552" s="37"/>
      <c r="X552" s="37"/>
      <c r="Y552" s="37"/>
    </row>
    <row r="553" spans="1:25" ht="15.75" customHeight="1">
      <c r="A553" s="61"/>
      <c r="B553" s="61"/>
      <c r="C553" s="68"/>
      <c r="D553" s="68"/>
      <c r="E553" s="61"/>
      <c r="F553" s="61"/>
      <c r="G553" s="61"/>
      <c r="H553" s="61"/>
      <c r="I553" s="61"/>
      <c r="J553" s="61"/>
      <c r="K553" s="71"/>
      <c r="L553" s="72"/>
      <c r="M553" s="68"/>
      <c r="N553" s="50"/>
      <c r="O553" s="68"/>
      <c r="P553" s="68"/>
      <c r="Q553" s="68"/>
      <c r="R553" s="68"/>
      <c r="S553" s="68"/>
      <c r="T553" s="68"/>
      <c r="U553" s="68"/>
      <c r="V553" s="68"/>
      <c r="W553" s="37"/>
      <c r="X553" s="37"/>
      <c r="Y553" s="37"/>
    </row>
    <row r="554" spans="1:25" ht="15.75" customHeight="1">
      <c r="A554" s="65"/>
      <c r="B554" s="65"/>
      <c r="C554" s="66"/>
      <c r="D554" s="66"/>
      <c r="E554" s="65"/>
      <c r="F554" s="65"/>
      <c r="G554" s="65"/>
      <c r="H554" s="65"/>
      <c r="I554" s="65"/>
      <c r="J554" s="65"/>
      <c r="K554" s="74"/>
      <c r="L554" s="75"/>
      <c r="M554" s="66"/>
      <c r="N554" s="50"/>
      <c r="O554" s="66"/>
      <c r="P554" s="66"/>
      <c r="Q554" s="66"/>
      <c r="R554" s="66"/>
      <c r="S554" s="66"/>
      <c r="T554" s="66"/>
      <c r="U554" s="66"/>
      <c r="V554" s="66"/>
      <c r="W554" s="37"/>
      <c r="X554" s="37"/>
      <c r="Y554" s="37"/>
    </row>
    <row r="555" spans="1:25" ht="15.75" customHeight="1">
      <c r="A555" s="61"/>
      <c r="B555" s="61"/>
      <c r="C555" s="68"/>
      <c r="D555" s="68"/>
      <c r="E555" s="61"/>
      <c r="F555" s="61"/>
      <c r="G555" s="61"/>
      <c r="H555" s="61"/>
      <c r="I555" s="61"/>
      <c r="J555" s="61"/>
      <c r="K555" s="71"/>
      <c r="L555" s="72"/>
      <c r="M555" s="68"/>
      <c r="N555" s="50"/>
      <c r="O555" s="68"/>
      <c r="P555" s="68"/>
      <c r="Q555" s="68"/>
      <c r="R555" s="68"/>
      <c r="S555" s="68"/>
      <c r="T555" s="68"/>
      <c r="U555" s="68"/>
      <c r="V555" s="68"/>
      <c r="W555" s="37"/>
      <c r="X555" s="37"/>
      <c r="Y555" s="37"/>
    </row>
    <row r="556" spans="1:25" ht="15.75" customHeight="1">
      <c r="A556" s="65"/>
      <c r="B556" s="65"/>
      <c r="C556" s="66"/>
      <c r="D556" s="66"/>
      <c r="E556" s="65"/>
      <c r="F556" s="65"/>
      <c r="G556" s="65"/>
      <c r="H556" s="65"/>
      <c r="I556" s="65"/>
      <c r="J556" s="65"/>
      <c r="K556" s="74"/>
      <c r="L556" s="75"/>
      <c r="M556" s="66"/>
      <c r="N556" s="50"/>
      <c r="O556" s="66"/>
      <c r="P556" s="66"/>
      <c r="Q556" s="66"/>
      <c r="R556" s="66"/>
      <c r="S556" s="66"/>
      <c r="T556" s="66"/>
      <c r="U556" s="66"/>
      <c r="V556" s="66"/>
      <c r="W556" s="37"/>
      <c r="X556" s="37"/>
      <c r="Y556" s="37"/>
    </row>
    <row r="557" spans="1:25" ht="15.75" customHeight="1">
      <c r="A557" s="61"/>
      <c r="B557" s="61"/>
      <c r="C557" s="68"/>
      <c r="D557" s="68"/>
      <c r="E557" s="61"/>
      <c r="F557" s="61"/>
      <c r="G557" s="61"/>
      <c r="H557" s="61"/>
      <c r="I557" s="61"/>
      <c r="J557" s="61"/>
      <c r="K557" s="71"/>
      <c r="L557" s="72"/>
      <c r="M557" s="68"/>
      <c r="N557" s="50"/>
      <c r="O557" s="68"/>
      <c r="P557" s="68"/>
      <c r="Q557" s="68"/>
      <c r="R557" s="68"/>
      <c r="S557" s="68"/>
      <c r="T557" s="68"/>
      <c r="U557" s="68"/>
      <c r="V557" s="68"/>
      <c r="W557" s="37"/>
      <c r="X557" s="37"/>
      <c r="Y557" s="37"/>
    </row>
    <row r="558" spans="1:25" ht="15.75" customHeight="1">
      <c r="A558" s="65"/>
      <c r="B558" s="65"/>
      <c r="C558" s="66"/>
      <c r="D558" s="66"/>
      <c r="E558" s="65"/>
      <c r="F558" s="65"/>
      <c r="G558" s="65"/>
      <c r="H558" s="65"/>
      <c r="I558" s="65"/>
      <c r="J558" s="65"/>
      <c r="K558" s="74"/>
      <c r="L558" s="75"/>
      <c r="M558" s="66"/>
      <c r="N558" s="50"/>
      <c r="O558" s="66"/>
      <c r="P558" s="66"/>
      <c r="Q558" s="66"/>
      <c r="R558" s="66"/>
      <c r="S558" s="66"/>
      <c r="T558" s="66"/>
      <c r="U558" s="66"/>
      <c r="V558" s="66"/>
      <c r="W558" s="37"/>
      <c r="X558" s="37"/>
      <c r="Y558" s="37"/>
    </row>
    <row r="559" spans="1:25" ht="15.75" customHeight="1">
      <c r="A559" s="61"/>
      <c r="B559" s="61"/>
      <c r="C559" s="68"/>
      <c r="D559" s="68"/>
      <c r="E559" s="61"/>
      <c r="F559" s="61"/>
      <c r="G559" s="61"/>
      <c r="H559" s="61"/>
      <c r="I559" s="61"/>
      <c r="J559" s="61"/>
      <c r="K559" s="71"/>
      <c r="L559" s="72"/>
      <c r="M559" s="68"/>
      <c r="N559" s="50"/>
      <c r="O559" s="68"/>
      <c r="P559" s="68"/>
      <c r="Q559" s="68"/>
      <c r="R559" s="68"/>
      <c r="S559" s="68"/>
      <c r="T559" s="68"/>
      <c r="U559" s="68"/>
      <c r="V559" s="68"/>
      <c r="W559" s="37"/>
      <c r="X559" s="37"/>
      <c r="Y559" s="37"/>
    </row>
    <row r="560" spans="1:25" ht="15.75" customHeight="1">
      <c r="A560" s="65"/>
      <c r="B560" s="65"/>
      <c r="C560" s="66"/>
      <c r="D560" s="66"/>
      <c r="E560" s="65"/>
      <c r="F560" s="65"/>
      <c r="G560" s="65"/>
      <c r="H560" s="65"/>
      <c r="I560" s="65"/>
      <c r="J560" s="65"/>
      <c r="K560" s="74"/>
      <c r="L560" s="75"/>
      <c r="M560" s="66"/>
      <c r="N560" s="50"/>
      <c r="O560" s="66"/>
      <c r="P560" s="66"/>
      <c r="Q560" s="66"/>
      <c r="R560" s="66"/>
      <c r="S560" s="66"/>
      <c r="T560" s="66"/>
      <c r="U560" s="66"/>
      <c r="V560" s="66"/>
      <c r="W560" s="37"/>
      <c r="X560" s="37"/>
      <c r="Y560" s="37"/>
    </row>
    <row r="561" spans="1:25" ht="15.75" customHeight="1">
      <c r="A561" s="61"/>
      <c r="B561" s="61"/>
      <c r="C561" s="68"/>
      <c r="D561" s="68"/>
      <c r="E561" s="61"/>
      <c r="F561" s="61"/>
      <c r="G561" s="61"/>
      <c r="H561" s="61"/>
      <c r="I561" s="61"/>
      <c r="J561" s="61"/>
      <c r="K561" s="71"/>
      <c r="L561" s="72"/>
      <c r="M561" s="68"/>
      <c r="N561" s="50"/>
      <c r="O561" s="68"/>
      <c r="P561" s="68"/>
      <c r="Q561" s="68"/>
      <c r="R561" s="68"/>
      <c r="S561" s="68"/>
      <c r="T561" s="68"/>
      <c r="U561" s="68"/>
      <c r="V561" s="68"/>
      <c r="W561" s="37"/>
      <c r="X561" s="37"/>
      <c r="Y561" s="37"/>
    </row>
    <row r="562" spans="1:25" ht="15.75" customHeight="1">
      <c r="A562" s="65"/>
      <c r="B562" s="65"/>
      <c r="C562" s="66"/>
      <c r="D562" s="66"/>
      <c r="E562" s="65"/>
      <c r="F562" s="65"/>
      <c r="G562" s="65"/>
      <c r="H562" s="65"/>
      <c r="I562" s="65"/>
      <c r="J562" s="65"/>
      <c r="K562" s="74"/>
      <c r="L562" s="75"/>
      <c r="M562" s="66"/>
      <c r="N562" s="50"/>
      <c r="O562" s="66"/>
      <c r="P562" s="66"/>
      <c r="Q562" s="66"/>
      <c r="R562" s="66"/>
      <c r="S562" s="66"/>
      <c r="T562" s="66"/>
      <c r="U562" s="66"/>
      <c r="V562" s="66"/>
      <c r="W562" s="37"/>
      <c r="X562" s="37"/>
      <c r="Y562" s="37"/>
    </row>
    <row r="563" spans="1:25" ht="15.75" customHeight="1">
      <c r="A563" s="61"/>
      <c r="B563" s="61"/>
      <c r="C563" s="68"/>
      <c r="D563" s="68"/>
      <c r="E563" s="61"/>
      <c r="F563" s="61"/>
      <c r="G563" s="61"/>
      <c r="H563" s="61"/>
      <c r="I563" s="61"/>
      <c r="J563" s="61"/>
      <c r="K563" s="71"/>
      <c r="L563" s="72"/>
      <c r="M563" s="68"/>
      <c r="N563" s="50"/>
      <c r="O563" s="68"/>
      <c r="P563" s="68"/>
      <c r="Q563" s="68"/>
      <c r="R563" s="68"/>
      <c r="S563" s="68"/>
      <c r="T563" s="68"/>
      <c r="U563" s="68"/>
      <c r="V563" s="68"/>
      <c r="W563" s="37"/>
      <c r="X563" s="37"/>
      <c r="Y563" s="37"/>
    </row>
    <row r="564" spans="1:25" ht="15.75" customHeight="1">
      <c r="A564" s="65"/>
      <c r="B564" s="65"/>
      <c r="C564" s="66"/>
      <c r="D564" s="66"/>
      <c r="E564" s="65"/>
      <c r="F564" s="65"/>
      <c r="G564" s="65"/>
      <c r="H564" s="65"/>
      <c r="I564" s="65"/>
      <c r="J564" s="65"/>
      <c r="K564" s="74"/>
      <c r="L564" s="75"/>
      <c r="M564" s="66"/>
      <c r="N564" s="50"/>
      <c r="O564" s="66"/>
      <c r="P564" s="66"/>
      <c r="Q564" s="66"/>
      <c r="R564" s="66"/>
      <c r="S564" s="66"/>
      <c r="T564" s="66"/>
      <c r="U564" s="66"/>
      <c r="V564" s="66"/>
      <c r="W564" s="37"/>
      <c r="X564" s="37"/>
      <c r="Y564" s="37"/>
    </row>
    <row r="565" spans="1:25" ht="15.75" customHeight="1">
      <c r="A565" s="61"/>
      <c r="B565" s="61"/>
      <c r="C565" s="68"/>
      <c r="D565" s="68"/>
      <c r="E565" s="61"/>
      <c r="F565" s="61"/>
      <c r="G565" s="61"/>
      <c r="H565" s="61"/>
      <c r="I565" s="61"/>
      <c r="J565" s="61"/>
      <c r="K565" s="71"/>
      <c r="L565" s="72"/>
      <c r="M565" s="68"/>
      <c r="N565" s="50"/>
      <c r="O565" s="68"/>
      <c r="P565" s="68"/>
      <c r="Q565" s="68"/>
      <c r="R565" s="68"/>
      <c r="S565" s="68"/>
      <c r="T565" s="68"/>
      <c r="U565" s="68"/>
      <c r="V565" s="68"/>
      <c r="W565" s="37"/>
      <c r="X565" s="37"/>
      <c r="Y565" s="37"/>
    </row>
    <row r="566" spans="1:25" ht="15.75" customHeight="1">
      <c r="A566" s="65"/>
      <c r="B566" s="65"/>
      <c r="C566" s="66"/>
      <c r="D566" s="66"/>
      <c r="E566" s="65"/>
      <c r="F566" s="65"/>
      <c r="G566" s="65"/>
      <c r="H566" s="65"/>
      <c r="I566" s="65"/>
      <c r="J566" s="65"/>
      <c r="K566" s="74"/>
      <c r="L566" s="75"/>
      <c r="M566" s="66"/>
      <c r="N566" s="50"/>
      <c r="O566" s="66"/>
      <c r="P566" s="66"/>
      <c r="Q566" s="66"/>
      <c r="R566" s="66"/>
      <c r="S566" s="66"/>
      <c r="T566" s="66"/>
      <c r="U566" s="66"/>
      <c r="V566" s="66"/>
      <c r="W566" s="37"/>
      <c r="X566" s="37"/>
      <c r="Y566" s="37"/>
    </row>
    <row r="567" spans="1:25" ht="15.75" customHeight="1">
      <c r="A567" s="61"/>
      <c r="B567" s="61"/>
      <c r="C567" s="68"/>
      <c r="D567" s="68"/>
      <c r="E567" s="61"/>
      <c r="F567" s="61"/>
      <c r="G567" s="61"/>
      <c r="H567" s="61"/>
      <c r="I567" s="61"/>
      <c r="J567" s="61"/>
      <c r="K567" s="71"/>
      <c r="L567" s="72"/>
      <c r="M567" s="68"/>
      <c r="N567" s="50"/>
      <c r="O567" s="68"/>
      <c r="P567" s="68"/>
      <c r="Q567" s="68"/>
      <c r="R567" s="68"/>
      <c r="S567" s="68"/>
      <c r="T567" s="68"/>
      <c r="U567" s="68"/>
      <c r="V567" s="68"/>
      <c r="W567" s="37"/>
      <c r="X567" s="37"/>
      <c r="Y567" s="37"/>
    </row>
    <row r="568" spans="1:25" ht="15.75" customHeight="1">
      <c r="A568" s="65"/>
      <c r="B568" s="65"/>
      <c r="C568" s="66"/>
      <c r="D568" s="66"/>
      <c r="E568" s="65"/>
      <c r="F568" s="65"/>
      <c r="G568" s="65"/>
      <c r="H568" s="65"/>
      <c r="I568" s="65"/>
      <c r="J568" s="65"/>
      <c r="K568" s="74"/>
      <c r="L568" s="75"/>
      <c r="M568" s="66"/>
      <c r="N568" s="50"/>
      <c r="O568" s="66"/>
      <c r="P568" s="66"/>
      <c r="Q568" s="66"/>
      <c r="R568" s="66"/>
      <c r="S568" s="66"/>
      <c r="T568" s="66"/>
      <c r="U568" s="66"/>
      <c r="V568" s="66"/>
      <c r="W568" s="37"/>
      <c r="X568" s="37"/>
      <c r="Y568" s="37"/>
    </row>
    <row r="569" spans="1:25" ht="15.75" customHeight="1">
      <c r="A569" s="61"/>
      <c r="B569" s="61"/>
      <c r="C569" s="68"/>
      <c r="D569" s="68"/>
      <c r="E569" s="61"/>
      <c r="F569" s="61"/>
      <c r="G569" s="61"/>
      <c r="H569" s="61"/>
      <c r="I569" s="61"/>
      <c r="J569" s="61"/>
      <c r="K569" s="71"/>
      <c r="L569" s="72"/>
      <c r="M569" s="68"/>
      <c r="N569" s="50"/>
      <c r="O569" s="68"/>
      <c r="P569" s="68"/>
      <c r="Q569" s="68"/>
      <c r="R569" s="68"/>
      <c r="S569" s="68"/>
      <c r="T569" s="68"/>
      <c r="U569" s="68"/>
      <c r="V569" s="68"/>
      <c r="W569" s="37"/>
      <c r="X569" s="37"/>
      <c r="Y569" s="37"/>
    </row>
    <row r="570" spans="1:25" ht="15.75" customHeight="1">
      <c r="A570" s="65"/>
      <c r="B570" s="65"/>
      <c r="C570" s="66"/>
      <c r="D570" s="66"/>
      <c r="E570" s="65"/>
      <c r="F570" s="65"/>
      <c r="G570" s="65"/>
      <c r="H570" s="65"/>
      <c r="I570" s="65"/>
      <c r="J570" s="65"/>
      <c r="K570" s="74"/>
      <c r="L570" s="75"/>
      <c r="M570" s="66"/>
      <c r="N570" s="50"/>
      <c r="O570" s="66"/>
      <c r="P570" s="66"/>
      <c r="Q570" s="66"/>
      <c r="R570" s="66"/>
      <c r="S570" s="66"/>
      <c r="T570" s="66"/>
      <c r="U570" s="66"/>
      <c r="V570" s="66"/>
      <c r="W570" s="37"/>
      <c r="X570" s="37"/>
      <c r="Y570" s="37"/>
    </row>
    <row r="571" spans="1:25" ht="15.75" customHeight="1">
      <c r="A571" s="61"/>
      <c r="B571" s="61"/>
      <c r="C571" s="68"/>
      <c r="D571" s="68"/>
      <c r="E571" s="61"/>
      <c r="F571" s="61"/>
      <c r="G571" s="61"/>
      <c r="H571" s="61"/>
      <c r="I571" s="61"/>
      <c r="J571" s="61"/>
      <c r="K571" s="71"/>
      <c r="L571" s="72"/>
      <c r="M571" s="68"/>
      <c r="N571" s="50"/>
      <c r="O571" s="68"/>
      <c r="P571" s="68"/>
      <c r="Q571" s="68"/>
      <c r="R571" s="68"/>
      <c r="S571" s="68"/>
      <c r="T571" s="68"/>
      <c r="U571" s="68"/>
      <c r="V571" s="68"/>
      <c r="W571" s="37"/>
      <c r="X571" s="37"/>
      <c r="Y571" s="37"/>
    </row>
    <row r="572" spans="1:25" ht="15.75" customHeight="1">
      <c r="A572" s="65"/>
      <c r="B572" s="65"/>
      <c r="C572" s="66"/>
      <c r="D572" s="66"/>
      <c r="E572" s="65"/>
      <c r="F572" s="65"/>
      <c r="G572" s="65"/>
      <c r="H572" s="65"/>
      <c r="I572" s="65"/>
      <c r="J572" s="65"/>
      <c r="K572" s="74"/>
      <c r="L572" s="75"/>
      <c r="M572" s="66"/>
      <c r="N572" s="50"/>
      <c r="O572" s="66"/>
      <c r="P572" s="66"/>
      <c r="Q572" s="66"/>
      <c r="R572" s="66"/>
      <c r="S572" s="66"/>
      <c r="T572" s="66"/>
      <c r="U572" s="66"/>
      <c r="V572" s="66"/>
      <c r="W572" s="37"/>
      <c r="X572" s="37"/>
      <c r="Y572" s="37"/>
    </row>
    <row r="573" spans="1:25" ht="15.75" customHeight="1">
      <c r="A573" s="61"/>
      <c r="B573" s="61"/>
      <c r="C573" s="68"/>
      <c r="D573" s="68"/>
      <c r="E573" s="61"/>
      <c r="F573" s="61"/>
      <c r="G573" s="61"/>
      <c r="H573" s="61"/>
      <c r="I573" s="61"/>
      <c r="J573" s="61"/>
      <c r="K573" s="71"/>
      <c r="L573" s="72"/>
      <c r="M573" s="68"/>
      <c r="N573" s="50"/>
      <c r="O573" s="68"/>
      <c r="P573" s="68"/>
      <c r="Q573" s="68"/>
      <c r="R573" s="68"/>
      <c r="S573" s="68"/>
      <c r="T573" s="68"/>
      <c r="U573" s="68"/>
      <c r="V573" s="68"/>
      <c r="W573" s="37"/>
      <c r="X573" s="37"/>
      <c r="Y573" s="37"/>
    </row>
    <row r="574" spans="1:25" ht="15.75" customHeight="1">
      <c r="A574" s="65"/>
      <c r="B574" s="65"/>
      <c r="C574" s="66"/>
      <c r="D574" s="66"/>
      <c r="E574" s="65"/>
      <c r="F574" s="65"/>
      <c r="G574" s="65"/>
      <c r="H574" s="65"/>
      <c r="I574" s="65"/>
      <c r="J574" s="65"/>
      <c r="K574" s="74"/>
      <c r="L574" s="75"/>
      <c r="M574" s="66"/>
      <c r="N574" s="50"/>
      <c r="O574" s="66"/>
      <c r="P574" s="66"/>
      <c r="Q574" s="66"/>
      <c r="R574" s="66"/>
      <c r="S574" s="66"/>
      <c r="T574" s="66"/>
      <c r="U574" s="66"/>
      <c r="V574" s="66"/>
      <c r="W574" s="37"/>
      <c r="X574" s="37"/>
      <c r="Y574" s="37"/>
    </row>
    <row r="575" spans="1:25" ht="15.75" customHeight="1">
      <c r="A575" s="61"/>
      <c r="B575" s="61"/>
      <c r="C575" s="68"/>
      <c r="D575" s="68"/>
      <c r="E575" s="61"/>
      <c r="F575" s="61"/>
      <c r="G575" s="61"/>
      <c r="H575" s="61"/>
      <c r="I575" s="61"/>
      <c r="J575" s="61"/>
      <c r="K575" s="71"/>
      <c r="L575" s="72"/>
      <c r="M575" s="68"/>
      <c r="N575" s="50"/>
      <c r="O575" s="68"/>
      <c r="P575" s="68"/>
      <c r="Q575" s="68"/>
      <c r="R575" s="68"/>
      <c r="S575" s="68"/>
      <c r="T575" s="68"/>
      <c r="U575" s="68"/>
      <c r="V575" s="68"/>
      <c r="W575" s="37"/>
      <c r="X575" s="37"/>
      <c r="Y575" s="37"/>
    </row>
    <row r="576" spans="1:25" ht="15.75" customHeight="1">
      <c r="A576" s="65"/>
      <c r="B576" s="65"/>
      <c r="C576" s="66"/>
      <c r="D576" s="66"/>
      <c r="E576" s="65"/>
      <c r="F576" s="65"/>
      <c r="G576" s="65"/>
      <c r="H576" s="65"/>
      <c r="I576" s="65"/>
      <c r="J576" s="65"/>
      <c r="K576" s="74"/>
      <c r="L576" s="75"/>
      <c r="M576" s="66"/>
      <c r="N576" s="50"/>
      <c r="O576" s="66"/>
      <c r="P576" s="66"/>
      <c r="Q576" s="66"/>
      <c r="R576" s="66"/>
      <c r="S576" s="66"/>
      <c r="T576" s="66"/>
      <c r="U576" s="66"/>
      <c r="V576" s="66"/>
      <c r="W576" s="37"/>
      <c r="X576" s="37"/>
      <c r="Y576" s="37"/>
    </row>
    <row r="577" spans="1:25" ht="15.75" customHeight="1">
      <c r="A577" s="61"/>
      <c r="B577" s="61"/>
      <c r="C577" s="68"/>
      <c r="D577" s="68"/>
      <c r="E577" s="61"/>
      <c r="F577" s="61"/>
      <c r="G577" s="61"/>
      <c r="H577" s="61"/>
      <c r="I577" s="61"/>
      <c r="J577" s="61"/>
      <c r="K577" s="71"/>
      <c r="L577" s="72"/>
      <c r="M577" s="68"/>
      <c r="N577" s="50"/>
      <c r="O577" s="68"/>
      <c r="P577" s="68"/>
      <c r="Q577" s="68"/>
      <c r="R577" s="68"/>
      <c r="S577" s="68"/>
      <c r="T577" s="68"/>
      <c r="U577" s="68"/>
      <c r="V577" s="68"/>
      <c r="W577" s="37"/>
      <c r="X577" s="37"/>
      <c r="Y577" s="37"/>
    </row>
    <row r="578" spans="1:25" ht="15.75" customHeight="1">
      <c r="A578" s="65"/>
      <c r="B578" s="65"/>
      <c r="C578" s="66"/>
      <c r="D578" s="66"/>
      <c r="E578" s="65"/>
      <c r="F578" s="65"/>
      <c r="G578" s="65"/>
      <c r="H578" s="65"/>
      <c r="I578" s="65"/>
      <c r="J578" s="65"/>
      <c r="K578" s="74"/>
      <c r="L578" s="75"/>
      <c r="M578" s="66"/>
      <c r="N578" s="50"/>
      <c r="O578" s="66"/>
      <c r="P578" s="66"/>
      <c r="Q578" s="66"/>
      <c r="R578" s="66"/>
      <c r="S578" s="66"/>
      <c r="T578" s="66"/>
      <c r="U578" s="66"/>
      <c r="V578" s="66"/>
      <c r="W578" s="37"/>
      <c r="X578" s="37"/>
      <c r="Y578" s="37"/>
    </row>
    <row r="579" spans="1:25" ht="15.75" customHeight="1">
      <c r="A579" s="61"/>
      <c r="B579" s="61"/>
      <c r="C579" s="68"/>
      <c r="D579" s="68"/>
      <c r="E579" s="61"/>
      <c r="F579" s="61"/>
      <c r="G579" s="61"/>
      <c r="H579" s="61"/>
      <c r="I579" s="61"/>
      <c r="J579" s="61"/>
      <c r="K579" s="71"/>
      <c r="L579" s="72"/>
      <c r="M579" s="68"/>
      <c r="N579" s="50"/>
      <c r="O579" s="68"/>
      <c r="P579" s="68"/>
      <c r="Q579" s="68"/>
      <c r="R579" s="68"/>
      <c r="S579" s="68"/>
      <c r="T579" s="68"/>
      <c r="U579" s="68"/>
      <c r="V579" s="68"/>
      <c r="W579" s="37"/>
      <c r="X579" s="37"/>
      <c r="Y579" s="37"/>
    </row>
    <row r="580" spans="1:25" ht="15.75" customHeight="1">
      <c r="A580" s="65"/>
      <c r="B580" s="65"/>
      <c r="C580" s="66"/>
      <c r="D580" s="66"/>
      <c r="E580" s="65"/>
      <c r="F580" s="65"/>
      <c r="G580" s="65"/>
      <c r="H580" s="65"/>
      <c r="I580" s="65"/>
      <c r="J580" s="65"/>
      <c r="K580" s="74"/>
      <c r="L580" s="75"/>
      <c r="M580" s="66"/>
      <c r="N580" s="50"/>
      <c r="O580" s="66"/>
      <c r="P580" s="66"/>
      <c r="Q580" s="66"/>
      <c r="R580" s="66"/>
      <c r="S580" s="66"/>
      <c r="T580" s="66"/>
      <c r="U580" s="66"/>
      <c r="V580" s="66"/>
      <c r="W580" s="37"/>
      <c r="X580" s="37"/>
      <c r="Y580" s="37"/>
    </row>
    <row r="581" spans="1:25" ht="15.75" customHeight="1">
      <c r="A581" s="61"/>
      <c r="B581" s="61"/>
      <c r="C581" s="68"/>
      <c r="D581" s="68"/>
      <c r="E581" s="61"/>
      <c r="F581" s="61"/>
      <c r="G581" s="61"/>
      <c r="H581" s="61"/>
      <c r="I581" s="61"/>
      <c r="J581" s="61"/>
      <c r="K581" s="71"/>
      <c r="L581" s="72"/>
      <c r="M581" s="68"/>
      <c r="N581" s="50"/>
      <c r="O581" s="68"/>
      <c r="P581" s="68"/>
      <c r="Q581" s="68"/>
      <c r="R581" s="68"/>
      <c r="S581" s="68"/>
      <c r="T581" s="68"/>
      <c r="U581" s="68"/>
      <c r="V581" s="68"/>
      <c r="W581" s="37"/>
      <c r="X581" s="37"/>
      <c r="Y581" s="37"/>
    </row>
    <row r="582" spans="1:25" ht="15.75" customHeight="1">
      <c r="A582" s="65"/>
      <c r="B582" s="65"/>
      <c r="C582" s="66"/>
      <c r="D582" s="66"/>
      <c r="E582" s="65"/>
      <c r="F582" s="65"/>
      <c r="G582" s="65"/>
      <c r="H582" s="65"/>
      <c r="I582" s="65"/>
      <c r="J582" s="65"/>
      <c r="K582" s="74"/>
      <c r="L582" s="75"/>
      <c r="M582" s="66"/>
      <c r="N582" s="50"/>
      <c r="O582" s="66"/>
      <c r="P582" s="66"/>
      <c r="Q582" s="66"/>
      <c r="R582" s="66"/>
      <c r="S582" s="66"/>
      <c r="T582" s="66"/>
      <c r="U582" s="66"/>
      <c r="V582" s="66"/>
      <c r="W582" s="37"/>
      <c r="X582" s="37"/>
      <c r="Y582" s="37"/>
    </row>
    <row r="583" spans="1:25" ht="15.75" customHeight="1">
      <c r="A583" s="61"/>
      <c r="B583" s="61"/>
      <c r="C583" s="68"/>
      <c r="D583" s="68"/>
      <c r="E583" s="61"/>
      <c r="F583" s="61"/>
      <c r="G583" s="61"/>
      <c r="H583" s="61"/>
      <c r="I583" s="61"/>
      <c r="J583" s="61"/>
      <c r="K583" s="71"/>
      <c r="L583" s="72"/>
      <c r="M583" s="68"/>
      <c r="N583" s="50"/>
      <c r="O583" s="68"/>
      <c r="P583" s="68"/>
      <c r="Q583" s="68"/>
      <c r="R583" s="68"/>
      <c r="S583" s="68"/>
      <c r="T583" s="68"/>
      <c r="U583" s="68"/>
      <c r="V583" s="68"/>
      <c r="W583" s="37"/>
      <c r="X583" s="37"/>
      <c r="Y583" s="37"/>
    </row>
    <row r="584" spans="1:25" ht="15.75" customHeight="1">
      <c r="A584" s="65"/>
      <c r="B584" s="65"/>
      <c r="C584" s="66"/>
      <c r="D584" s="66"/>
      <c r="E584" s="65"/>
      <c r="F584" s="65"/>
      <c r="G584" s="65"/>
      <c r="H584" s="65"/>
      <c r="I584" s="65"/>
      <c r="J584" s="65"/>
      <c r="K584" s="74"/>
      <c r="L584" s="75"/>
      <c r="M584" s="66"/>
      <c r="N584" s="50"/>
      <c r="O584" s="66"/>
      <c r="P584" s="66"/>
      <c r="Q584" s="66"/>
      <c r="R584" s="66"/>
      <c r="S584" s="66"/>
      <c r="T584" s="66"/>
      <c r="U584" s="66"/>
      <c r="V584" s="66"/>
      <c r="W584" s="37"/>
      <c r="X584" s="37"/>
      <c r="Y584" s="37"/>
    </row>
    <row r="585" spans="1:25" ht="15.75" customHeight="1">
      <c r="A585" s="61"/>
      <c r="B585" s="61"/>
      <c r="C585" s="68"/>
      <c r="D585" s="68"/>
      <c r="E585" s="61"/>
      <c r="F585" s="61"/>
      <c r="G585" s="61"/>
      <c r="H585" s="61"/>
      <c r="I585" s="61"/>
      <c r="J585" s="61"/>
      <c r="K585" s="71"/>
      <c r="L585" s="72"/>
      <c r="M585" s="68"/>
      <c r="N585" s="50"/>
      <c r="O585" s="68"/>
      <c r="P585" s="68"/>
      <c r="Q585" s="68"/>
      <c r="R585" s="68"/>
      <c r="S585" s="68"/>
      <c r="T585" s="68"/>
      <c r="U585" s="68"/>
      <c r="V585" s="68"/>
      <c r="W585" s="37"/>
      <c r="X585" s="37"/>
      <c r="Y585" s="37"/>
    </row>
    <row r="586" spans="1:25" ht="15.75" customHeight="1">
      <c r="A586" s="65"/>
      <c r="B586" s="65"/>
      <c r="C586" s="66"/>
      <c r="D586" s="66"/>
      <c r="E586" s="65"/>
      <c r="F586" s="65"/>
      <c r="G586" s="65"/>
      <c r="H586" s="65"/>
      <c r="I586" s="65"/>
      <c r="J586" s="65"/>
      <c r="K586" s="74"/>
      <c r="L586" s="75"/>
      <c r="M586" s="66"/>
      <c r="N586" s="50"/>
      <c r="O586" s="66"/>
      <c r="P586" s="66"/>
      <c r="Q586" s="66"/>
      <c r="R586" s="66"/>
      <c r="S586" s="66"/>
      <c r="T586" s="66"/>
      <c r="U586" s="66"/>
      <c r="V586" s="66"/>
      <c r="W586" s="37"/>
      <c r="X586" s="37"/>
      <c r="Y586" s="37"/>
    </row>
    <row r="587" spans="1:25" ht="15.75" customHeight="1">
      <c r="A587" s="61"/>
      <c r="B587" s="61"/>
      <c r="C587" s="68"/>
      <c r="D587" s="68"/>
      <c r="E587" s="61"/>
      <c r="F587" s="61"/>
      <c r="G587" s="61"/>
      <c r="H587" s="61"/>
      <c r="I587" s="61"/>
      <c r="J587" s="61"/>
      <c r="K587" s="71"/>
      <c r="L587" s="72"/>
      <c r="M587" s="68"/>
      <c r="N587" s="50"/>
      <c r="O587" s="68"/>
      <c r="P587" s="68"/>
      <c r="Q587" s="68"/>
      <c r="R587" s="68"/>
      <c r="S587" s="68"/>
      <c r="T587" s="68"/>
      <c r="U587" s="68"/>
      <c r="V587" s="68"/>
      <c r="W587" s="37"/>
      <c r="X587" s="37"/>
      <c r="Y587" s="37"/>
    </row>
    <row r="588" spans="1:25" ht="15.75" customHeight="1">
      <c r="A588" s="65"/>
      <c r="B588" s="65"/>
      <c r="C588" s="66"/>
      <c r="D588" s="66"/>
      <c r="E588" s="65"/>
      <c r="F588" s="65"/>
      <c r="G588" s="65"/>
      <c r="H588" s="65"/>
      <c r="I588" s="65"/>
      <c r="J588" s="65"/>
      <c r="K588" s="74"/>
      <c r="L588" s="75"/>
      <c r="M588" s="66"/>
      <c r="N588" s="50"/>
      <c r="O588" s="66"/>
      <c r="P588" s="66"/>
      <c r="Q588" s="66"/>
      <c r="R588" s="66"/>
      <c r="S588" s="66"/>
      <c r="T588" s="66"/>
      <c r="U588" s="66"/>
      <c r="V588" s="66"/>
      <c r="W588" s="37"/>
      <c r="X588" s="37"/>
      <c r="Y588" s="37"/>
    </row>
    <row r="589" spans="1:25" ht="15.75" customHeight="1">
      <c r="A589" s="61"/>
      <c r="B589" s="61"/>
      <c r="C589" s="68"/>
      <c r="D589" s="68"/>
      <c r="E589" s="61"/>
      <c r="F589" s="61"/>
      <c r="G589" s="61"/>
      <c r="H589" s="61"/>
      <c r="I589" s="61"/>
      <c r="J589" s="61"/>
      <c r="K589" s="71"/>
      <c r="L589" s="72"/>
      <c r="M589" s="68"/>
      <c r="N589" s="50"/>
      <c r="O589" s="68"/>
      <c r="P589" s="68"/>
      <c r="Q589" s="68"/>
      <c r="R589" s="68"/>
      <c r="S589" s="68"/>
      <c r="T589" s="68"/>
      <c r="U589" s="68"/>
      <c r="V589" s="68"/>
      <c r="W589" s="37"/>
      <c r="X589" s="37"/>
      <c r="Y589" s="37"/>
    </row>
    <row r="590" spans="1:25" ht="15.75" customHeight="1">
      <c r="A590" s="65"/>
      <c r="B590" s="65"/>
      <c r="C590" s="66"/>
      <c r="D590" s="66"/>
      <c r="E590" s="65"/>
      <c r="F590" s="65"/>
      <c r="G590" s="65"/>
      <c r="H590" s="65"/>
      <c r="I590" s="65"/>
      <c r="J590" s="65"/>
      <c r="K590" s="74"/>
      <c r="L590" s="75"/>
      <c r="M590" s="66"/>
      <c r="N590" s="50"/>
      <c r="O590" s="66"/>
      <c r="P590" s="66"/>
      <c r="Q590" s="66"/>
      <c r="R590" s="66"/>
      <c r="S590" s="66"/>
      <c r="T590" s="66"/>
      <c r="U590" s="66"/>
      <c r="V590" s="66"/>
      <c r="W590" s="37"/>
      <c r="X590" s="37"/>
      <c r="Y590" s="37"/>
    </row>
    <row r="591" spans="1:25" ht="15.75" customHeight="1">
      <c r="A591" s="61"/>
      <c r="B591" s="61"/>
      <c r="C591" s="68"/>
      <c r="D591" s="68"/>
      <c r="E591" s="61"/>
      <c r="F591" s="61"/>
      <c r="G591" s="61"/>
      <c r="H591" s="61"/>
      <c r="I591" s="61"/>
      <c r="J591" s="61"/>
      <c r="K591" s="71"/>
      <c r="L591" s="72"/>
      <c r="M591" s="68"/>
      <c r="N591" s="50"/>
      <c r="O591" s="68"/>
      <c r="P591" s="68"/>
      <c r="Q591" s="68"/>
      <c r="R591" s="68"/>
      <c r="S591" s="68"/>
      <c r="T591" s="68"/>
      <c r="U591" s="68"/>
      <c r="V591" s="68"/>
      <c r="W591" s="37"/>
      <c r="X591" s="37"/>
      <c r="Y591" s="37"/>
    </row>
    <row r="592" spans="1:25" ht="15.75" customHeight="1">
      <c r="A592" s="65"/>
      <c r="B592" s="65"/>
      <c r="C592" s="66"/>
      <c r="D592" s="66"/>
      <c r="E592" s="65"/>
      <c r="F592" s="65"/>
      <c r="G592" s="65"/>
      <c r="H592" s="65"/>
      <c r="I592" s="65"/>
      <c r="J592" s="65"/>
      <c r="K592" s="74"/>
      <c r="L592" s="75"/>
      <c r="M592" s="66"/>
      <c r="N592" s="50"/>
      <c r="O592" s="66"/>
      <c r="P592" s="66"/>
      <c r="Q592" s="66"/>
      <c r="R592" s="66"/>
      <c r="S592" s="66"/>
      <c r="T592" s="66"/>
      <c r="U592" s="66"/>
      <c r="V592" s="66"/>
      <c r="W592" s="37"/>
      <c r="X592" s="37"/>
      <c r="Y592" s="37"/>
    </row>
    <row r="593" spans="1:25" ht="15.75" customHeight="1">
      <c r="A593" s="61"/>
      <c r="B593" s="61"/>
      <c r="C593" s="68"/>
      <c r="D593" s="68"/>
      <c r="E593" s="61"/>
      <c r="F593" s="61"/>
      <c r="G593" s="61"/>
      <c r="H593" s="61"/>
      <c r="I593" s="61"/>
      <c r="J593" s="61"/>
      <c r="K593" s="71"/>
      <c r="L593" s="72"/>
      <c r="M593" s="68"/>
      <c r="N593" s="50"/>
      <c r="O593" s="68"/>
      <c r="P593" s="68"/>
      <c r="Q593" s="68"/>
      <c r="R593" s="68"/>
      <c r="S593" s="68"/>
      <c r="T593" s="68"/>
      <c r="U593" s="68"/>
      <c r="V593" s="68"/>
      <c r="W593" s="37"/>
      <c r="X593" s="37"/>
      <c r="Y593" s="37"/>
    </row>
    <row r="594" spans="1:25" ht="15.75" customHeight="1">
      <c r="A594" s="65"/>
      <c r="B594" s="65"/>
      <c r="C594" s="66"/>
      <c r="D594" s="66"/>
      <c r="E594" s="65"/>
      <c r="F594" s="65"/>
      <c r="G594" s="65"/>
      <c r="H594" s="65"/>
      <c r="I594" s="65"/>
      <c r="J594" s="65"/>
      <c r="K594" s="74"/>
      <c r="L594" s="75"/>
      <c r="M594" s="66"/>
      <c r="N594" s="50"/>
      <c r="O594" s="66"/>
      <c r="P594" s="66"/>
      <c r="Q594" s="66"/>
      <c r="R594" s="66"/>
      <c r="S594" s="66"/>
      <c r="T594" s="66"/>
      <c r="U594" s="66"/>
      <c r="V594" s="66"/>
      <c r="W594" s="37"/>
      <c r="X594" s="37"/>
      <c r="Y594" s="37"/>
    </row>
    <row r="595" spans="1:25" ht="15.75" customHeight="1">
      <c r="A595" s="61"/>
      <c r="B595" s="61"/>
      <c r="C595" s="68"/>
      <c r="D595" s="68"/>
      <c r="E595" s="61"/>
      <c r="F595" s="61"/>
      <c r="G595" s="61"/>
      <c r="H595" s="61"/>
      <c r="I595" s="61"/>
      <c r="J595" s="61"/>
      <c r="K595" s="71"/>
      <c r="L595" s="72"/>
      <c r="M595" s="68"/>
      <c r="N595" s="50"/>
      <c r="O595" s="68"/>
      <c r="P595" s="68"/>
      <c r="Q595" s="68"/>
      <c r="R595" s="68"/>
      <c r="S595" s="68"/>
      <c r="T595" s="68"/>
      <c r="U595" s="68"/>
      <c r="V595" s="68"/>
      <c r="W595" s="37"/>
      <c r="X595" s="37"/>
      <c r="Y595" s="37"/>
    </row>
    <row r="596" spans="1:25" ht="15.75" customHeight="1">
      <c r="A596" s="65"/>
      <c r="B596" s="65"/>
      <c r="C596" s="66"/>
      <c r="D596" s="66"/>
      <c r="E596" s="65"/>
      <c r="F596" s="65"/>
      <c r="G596" s="65"/>
      <c r="H596" s="65"/>
      <c r="I596" s="65"/>
      <c r="J596" s="65"/>
      <c r="K596" s="74"/>
      <c r="L596" s="75"/>
      <c r="M596" s="66"/>
      <c r="N596" s="50"/>
      <c r="O596" s="66"/>
      <c r="P596" s="66"/>
      <c r="Q596" s="66"/>
      <c r="R596" s="66"/>
      <c r="S596" s="66"/>
      <c r="T596" s="66"/>
      <c r="U596" s="66"/>
      <c r="V596" s="66"/>
      <c r="W596" s="37"/>
      <c r="X596" s="37"/>
      <c r="Y596" s="37"/>
    </row>
    <row r="597" spans="1:25" ht="15.75" customHeight="1">
      <c r="A597" s="61"/>
      <c r="B597" s="61"/>
      <c r="C597" s="68"/>
      <c r="D597" s="68"/>
      <c r="E597" s="61"/>
      <c r="F597" s="61"/>
      <c r="G597" s="61"/>
      <c r="H597" s="61"/>
      <c r="I597" s="61"/>
      <c r="J597" s="61"/>
      <c r="K597" s="71"/>
      <c r="L597" s="72"/>
      <c r="M597" s="68"/>
      <c r="N597" s="50"/>
      <c r="O597" s="68"/>
      <c r="P597" s="68"/>
      <c r="Q597" s="68"/>
      <c r="R597" s="68"/>
      <c r="S597" s="68"/>
      <c r="T597" s="68"/>
      <c r="U597" s="68"/>
      <c r="V597" s="68"/>
      <c r="W597" s="37"/>
      <c r="X597" s="37"/>
      <c r="Y597" s="37"/>
    </row>
    <row r="598" spans="1:25" ht="15.75" customHeight="1">
      <c r="A598" s="65"/>
      <c r="B598" s="65"/>
      <c r="C598" s="66"/>
      <c r="D598" s="66"/>
      <c r="E598" s="65"/>
      <c r="F598" s="65"/>
      <c r="G598" s="65"/>
      <c r="H598" s="65"/>
      <c r="I598" s="65"/>
      <c r="J598" s="65"/>
      <c r="K598" s="74"/>
      <c r="L598" s="75"/>
      <c r="M598" s="66"/>
      <c r="N598" s="50"/>
      <c r="O598" s="66"/>
      <c r="P598" s="66"/>
      <c r="Q598" s="66"/>
      <c r="R598" s="66"/>
      <c r="S598" s="66"/>
      <c r="T598" s="66"/>
      <c r="U598" s="66"/>
      <c r="V598" s="66"/>
      <c r="W598" s="37"/>
      <c r="X598" s="37"/>
      <c r="Y598" s="37"/>
    </row>
    <row r="599" spans="1:25" ht="15.75" customHeight="1">
      <c r="A599" s="61"/>
      <c r="B599" s="61"/>
      <c r="C599" s="68"/>
      <c r="D599" s="68"/>
      <c r="E599" s="61"/>
      <c r="F599" s="61"/>
      <c r="G599" s="61"/>
      <c r="H599" s="61"/>
      <c r="I599" s="61"/>
      <c r="J599" s="61"/>
      <c r="K599" s="71"/>
      <c r="L599" s="72"/>
      <c r="M599" s="68"/>
      <c r="N599" s="50"/>
      <c r="O599" s="68"/>
      <c r="P599" s="68"/>
      <c r="Q599" s="68"/>
      <c r="R599" s="68"/>
      <c r="S599" s="68"/>
      <c r="T599" s="68"/>
      <c r="U599" s="68"/>
      <c r="V599" s="68"/>
      <c r="W599" s="37"/>
      <c r="X599" s="37"/>
      <c r="Y599" s="37"/>
    </row>
    <row r="600" spans="1:25" ht="15.75" customHeight="1">
      <c r="A600" s="65"/>
      <c r="B600" s="65"/>
      <c r="C600" s="66"/>
      <c r="D600" s="66"/>
      <c r="E600" s="65"/>
      <c r="F600" s="65"/>
      <c r="G600" s="65"/>
      <c r="H600" s="65"/>
      <c r="I600" s="65"/>
      <c r="J600" s="65"/>
      <c r="K600" s="74"/>
      <c r="L600" s="75"/>
      <c r="M600" s="66"/>
      <c r="N600" s="50"/>
      <c r="O600" s="66"/>
      <c r="P600" s="66"/>
      <c r="Q600" s="66"/>
      <c r="R600" s="66"/>
      <c r="S600" s="66"/>
      <c r="T600" s="66"/>
      <c r="U600" s="66"/>
      <c r="V600" s="66"/>
      <c r="W600" s="37"/>
      <c r="X600" s="37"/>
      <c r="Y600" s="37"/>
    </row>
    <row r="601" spans="1:25" ht="15.75" customHeight="1">
      <c r="A601" s="61"/>
      <c r="B601" s="61"/>
      <c r="C601" s="68"/>
      <c r="D601" s="68"/>
      <c r="E601" s="61"/>
      <c r="F601" s="61"/>
      <c r="G601" s="61"/>
      <c r="H601" s="61"/>
      <c r="I601" s="61"/>
      <c r="J601" s="61"/>
      <c r="K601" s="71"/>
      <c r="L601" s="72"/>
      <c r="M601" s="68"/>
      <c r="N601" s="50"/>
      <c r="O601" s="68"/>
      <c r="P601" s="68"/>
      <c r="Q601" s="68"/>
      <c r="R601" s="68"/>
      <c r="S601" s="68"/>
      <c r="T601" s="68"/>
      <c r="U601" s="68"/>
      <c r="V601" s="68"/>
      <c r="W601" s="37"/>
      <c r="X601" s="37"/>
      <c r="Y601" s="37"/>
    </row>
    <row r="602" spans="1:25" ht="15.75" customHeight="1">
      <c r="A602" s="65"/>
      <c r="B602" s="65"/>
      <c r="C602" s="66"/>
      <c r="D602" s="66"/>
      <c r="E602" s="65"/>
      <c r="F602" s="65"/>
      <c r="G602" s="65"/>
      <c r="H602" s="65"/>
      <c r="I602" s="65"/>
      <c r="J602" s="65"/>
      <c r="K602" s="74"/>
      <c r="L602" s="75"/>
      <c r="M602" s="66"/>
      <c r="N602" s="50"/>
      <c r="O602" s="66"/>
      <c r="P602" s="66"/>
      <c r="Q602" s="66"/>
      <c r="R602" s="66"/>
      <c r="S602" s="66"/>
      <c r="T602" s="66"/>
      <c r="U602" s="66"/>
      <c r="V602" s="66"/>
      <c r="W602" s="37"/>
      <c r="X602" s="37"/>
      <c r="Y602" s="37"/>
    </row>
    <row r="603" spans="1:25" ht="15.75" customHeight="1">
      <c r="A603" s="61"/>
      <c r="B603" s="61"/>
      <c r="C603" s="68"/>
      <c r="D603" s="68"/>
      <c r="E603" s="61"/>
      <c r="F603" s="61"/>
      <c r="G603" s="61"/>
      <c r="H603" s="61"/>
      <c r="I603" s="61"/>
      <c r="J603" s="61"/>
      <c r="K603" s="71"/>
      <c r="L603" s="72"/>
      <c r="M603" s="68"/>
      <c r="N603" s="50"/>
      <c r="O603" s="68"/>
      <c r="P603" s="68"/>
      <c r="Q603" s="68"/>
      <c r="R603" s="68"/>
      <c r="S603" s="68"/>
      <c r="T603" s="68"/>
      <c r="U603" s="68"/>
      <c r="V603" s="68"/>
      <c r="W603" s="37"/>
      <c r="X603" s="37"/>
      <c r="Y603" s="37"/>
    </row>
    <row r="604" spans="1:25" ht="15.75" customHeight="1">
      <c r="A604" s="65"/>
      <c r="B604" s="65"/>
      <c r="C604" s="66"/>
      <c r="D604" s="66"/>
      <c r="E604" s="65"/>
      <c r="F604" s="65"/>
      <c r="G604" s="65"/>
      <c r="H604" s="65"/>
      <c r="I604" s="65"/>
      <c r="J604" s="65"/>
      <c r="K604" s="74"/>
      <c r="L604" s="75"/>
      <c r="M604" s="66"/>
      <c r="N604" s="50"/>
      <c r="O604" s="66"/>
      <c r="P604" s="66"/>
      <c r="Q604" s="66"/>
      <c r="R604" s="66"/>
      <c r="S604" s="66"/>
      <c r="T604" s="66"/>
      <c r="U604" s="66"/>
      <c r="V604" s="66"/>
      <c r="W604" s="37"/>
      <c r="X604" s="37"/>
      <c r="Y604" s="37"/>
    </row>
    <row r="605" spans="1:25" ht="15.75" customHeight="1">
      <c r="A605" s="61"/>
      <c r="B605" s="61"/>
      <c r="C605" s="68"/>
      <c r="D605" s="68"/>
      <c r="E605" s="61"/>
      <c r="F605" s="61"/>
      <c r="G605" s="61"/>
      <c r="H605" s="61"/>
      <c r="I605" s="61"/>
      <c r="J605" s="61"/>
      <c r="K605" s="71"/>
      <c r="L605" s="72"/>
      <c r="M605" s="68"/>
      <c r="N605" s="50"/>
      <c r="O605" s="68"/>
      <c r="P605" s="68"/>
      <c r="Q605" s="68"/>
      <c r="R605" s="68"/>
      <c r="S605" s="68"/>
      <c r="T605" s="68"/>
      <c r="U605" s="68"/>
      <c r="V605" s="68"/>
      <c r="W605" s="37"/>
      <c r="X605" s="37"/>
      <c r="Y605" s="37"/>
    </row>
    <row r="606" spans="1:25" ht="15.75" customHeight="1">
      <c r="A606" s="65"/>
      <c r="B606" s="65"/>
      <c r="C606" s="66"/>
      <c r="D606" s="66"/>
      <c r="E606" s="65"/>
      <c r="F606" s="65"/>
      <c r="G606" s="65"/>
      <c r="H606" s="65"/>
      <c r="I606" s="65"/>
      <c r="J606" s="65"/>
      <c r="K606" s="74"/>
      <c r="L606" s="75"/>
      <c r="M606" s="66"/>
      <c r="N606" s="50"/>
      <c r="O606" s="66"/>
      <c r="P606" s="66"/>
      <c r="Q606" s="66"/>
      <c r="R606" s="66"/>
      <c r="S606" s="66"/>
      <c r="T606" s="66"/>
      <c r="U606" s="66"/>
      <c r="V606" s="66"/>
      <c r="W606" s="37"/>
      <c r="X606" s="37"/>
      <c r="Y606" s="37"/>
    </row>
    <row r="607" spans="1:25" ht="15.75" customHeight="1">
      <c r="A607" s="61"/>
      <c r="B607" s="61"/>
      <c r="C607" s="68"/>
      <c r="D607" s="68"/>
      <c r="E607" s="61"/>
      <c r="F607" s="61"/>
      <c r="G607" s="61"/>
      <c r="H607" s="61"/>
      <c r="I607" s="61"/>
      <c r="J607" s="61"/>
      <c r="K607" s="71"/>
      <c r="L607" s="72"/>
      <c r="M607" s="68"/>
      <c r="N607" s="50"/>
      <c r="O607" s="68"/>
      <c r="P607" s="68"/>
      <c r="Q607" s="68"/>
      <c r="R607" s="68"/>
      <c r="S607" s="68"/>
      <c r="T607" s="68"/>
      <c r="U607" s="68"/>
      <c r="V607" s="68"/>
      <c r="W607" s="37"/>
      <c r="X607" s="37"/>
      <c r="Y607" s="37"/>
    </row>
    <row r="608" spans="1:25" ht="15.75" customHeight="1">
      <c r="A608" s="65"/>
      <c r="B608" s="65"/>
      <c r="C608" s="66"/>
      <c r="D608" s="66"/>
      <c r="E608" s="65"/>
      <c r="F608" s="65"/>
      <c r="G608" s="65"/>
      <c r="H608" s="65"/>
      <c r="I608" s="65"/>
      <c r="J608" s="65"/>
      <c r="K608" s="74"/>
      <c r="L608" s="75"/>
      <c r="M608" s="66"/>
      <c r="N608" s="50"/>
      <c r="O608" s="66"/>
      <c r="P608" s="66"/>
      <c r="Q608" s="66"/>
      <c r="R608" s="66"/>
      <c r="S608" s="66"/>
      <c r="T608" s="66"/>
      <c r="U608" s="66"/>
      <c r="V608" s="66"/>
      <c r="W608" s="37"/>
      <c r="X608" s="37"/>
      <c r="Y608" s="37"/>
    </row>
    <row r="609" spans="1:25" ht="15.75" customHeight="1">
      <c r="A609" s="61"/>
      <c r="B609" s="61"/>
      <c r="C609" s="68"/>
      <c r="D609" s="68"/>
      <c r="E609" s="61"/>
      <c r="F609" s="61"/>
      <c r="G609" s="61"/>
      <c r="H609" s="61"/>
      <c r="I609" s="61"/>
      <c r="J609" s="61"/>
      <c r="K609" s="71"/>
      <c r="L609" s="72"/>
      <c r="M609" s="68"/>
      <c r="N609" s="50"/>
      <c r="O609" s="68"/>
      <c r="P609" s="68"/>
      <c r="Q609" s="68"/>
      <c r="R609" s="68"/>
      <c r="S609" s="68"/>
      <c r="T609" s="68"/>
      <c r="U609" s="68"/>
      <c r="V609" s="68"/>
      <c r="W609" s="37"/>
      <c r="X609" s="37"/>
      <c r="Y609" s="37"/>
    </row>
    <row r="610" spans="1:25" ht="15.75" customHeight="1">
      <c r="A610" s="65"/>
      <c r="B610" s="65"/>
      <c r="C610" s="66"/>
      <c r="D610" s="66"/>
      <c r="E610" s="65"/>
      <c r="F610" s="65"/>
      <c r="G610" s="65"/>
      <c r="H610" s="65"/>
      <c r="I610" s="65"/>
      <c r="J610" s="65"/>
      <c r="K610" s="74"/>
      <c r="L610" s="75"/>
      <c r="M610" s="66"/>
      <c r="N610" s="50"/>
      <c r="O610" s="66"/>
      <c r="P610" s="66"/>
      <c r="Q610" s="66"/>
      <c r="R610" s="66"/>
      <c r="S610" s="66"/>
      <c r="T610" s="66"/>
      <c r="U610" s="66"/>
      <c r="V610" s="66"/>
      <c r="W610" s="37"/>
      <c r="X610" s="37"/>
      <c r="Y610" s="37"/>
    </row>
    <row r="611" spans="1:25" ht="15.75" customHeight="1">
      <c r="A611" s="61"/>
      <c r="B611" s="61"/>
      <c r="C611" s="68"/>
      <c r="D611" s="68"/>
      <c r="E611" s="61"/>
      <c r="F611" s="61"/>
      <c r="G611" s="61"/>
      <c r="H611" s="61"/>
      <c r="I611" s="61"/>
      <c r="J611" s="61"/>
      <c r="K611" s="71"/>
      <c r="L611" s="72"/>
      <c r="M611" s="68"/>
      <c r="N611" s="50"/>
      <c r="O611" s="68"/>
      <c r="P611" s="68"/>
      <c r="Q611" s="68"/>
      <c r="R611" s="68"/>
      <c r="S611" s="68"/>
      <c r="T611" s="68"/>
      <c r="U611" s="68"/>
      <c r="V611" s="68"/>
      <c r="W611" s="37"/>
      <c r="X611" s="37"/>
      <c r="Y611" s="37"/>
    </row>
    <row r="612" spans="1:25" ht="15.75" customHeight="1">
      <c r="A612" s="65"/>
      <c r="B612" s="65"/>
      <c r="C612" s="66"/>
      <c r="D612" s="66"/>
      <c r="E612" s="65"/>
      <c r="F612" s="65"/>
      <c r="G612" s="65"/>
      <c r="H612" s="65"/>
      <c r="I612" s="65"/>
      <c r="J612" s="65"/>
      <c r="K612" s="74"/>
      <c r="L612" s="75"/>
      <c r="M612" s="66"/>
      <c r="N612" s="50"/>
      <c r="O612" s="66"/>
      <c r="P612" s="66"/>
      <c r="Q612" s="66"/>
      <c r="R612" s="66"/>
      <c r="S612" s="66"/>
      <c r="T612" s="66"/>
      <c r="U612" s="66"/>
      <c r="V612" s="66"/>
      <c r="W612" s="37"/>
      <c r="X612" s="37"/>
      <c r="Y612" s="37"/>
    </row>
    <row r="613" spans="1:25" ht="15.75" customHeight="1">
      <c r="A613" s="61"/>
      <c r="B613" s="61"/>
      <c r="C613" s="68"/>
      <c r="D613" s="68"/>
      <c r="E613" s="61"/>
      <c r="F613" s="61"/>
      <c r="G613" s="61"/>
      <c r="H613" s="61"/>
      <c r="I613" s="61"/>
      <c r="J613" s="61"/>
      <c r="K613" s="71"/>
      <c r="L613" s="72"/>
      <c r="M613" s="68"/>
      <c r="N613" s="50"/>
      <c r="O613" s="68"/>
      <c r="P613" s="68"/>
      <c r="Q613" s="68"/>
      <c r="R613" s="68"/>
      <c r="S613" s="68"/>
      <c r="T613" s="68"/>
      <c r="U613" s="68"/>
      <c r="V613" s="68"/>
      <c r="W613" s="37"/>
      <c r="X613" s="37"/>
      <c r="Y613" s="37"/>
    </row>
    <row r="614" spans="1:25" ht="15.75" customHeight="1">
      <c r="A614" s="65"/>
      <c r="B614" s="65"/>
      <c r="C614" s="66"/>
      <c r="D614" s="66"/>
      <c r="E614" s="65"/>
      <c r="F614" s="65"/>
      <c r="G614" s="65"/>
      <c r="H614" s="65"/>
      <c r="I614" s="65"/>
      <c r="J614" s="65"/>
      <c r="K614" s="74"/>
      <c r="L614" s="75"/>
      <c r="M614" s="66"/>
      <c r="N614" s="50"/>
      <c r="O614" s="66"/>
      <c r="P614" s="66"/>
      <c r="Q614" s="66"/>
      <c r="R614" s="66"/>
      <c r="S614" s="66"/>
      <c r="T614" s="66"/>
      <c r="U614" s="66"/>
      <c r="V614" s="66"/>
      <c r="W614" s="37"/>
      <c r="X614" s="37"/>
      <c r="Y614" s="37"/>
    </row>
    <row r="615" spans="1:25" ht="15.75" customHeight="1">
      <c r="A615" s="61"/>
      <c r="B615" s="61"/>
      <c r="C615" s="68"/>
      <c r="D615" s="68"/>
      <c r="E615" s="61"/>
      <c r="F615" s="61"/>
      <c r="G615" s="61"/>
      <c r="H615" s="61"/>
      <c r="I615" s="61"/>
      <c r="J615" s="61"/>
      <c r="K615" s="71"/>
      <c r="L615" s="72"/>
      <c r="M615" s="68"/>
      <c r="N615" s="50"/>
      <c r="O615" s="68"/>
      <c r="P615" s="68"/>
      <c r="Q615" s="68"/>
      <c r="R615" s="68"/>
      <c r="S615" s="68"/>
      <c r="T615" s="68"/>
      <c r="U615" s="68"/>
      <c r="V615" s="68"/>
      <c r="W615" s="37"/>
      <c r="X615" s="37"/>
      <c r="Y615" s="37"/>
    </row>
    <row r="616" spans="1:25" ht="15.75" customHeight="1">
      <c r="A616" s="65"/>
      <c r="B616" s="65"/>
      <c r="C616" s="66"/>
      <c r="D616" s="66"/>
      <c r="E616" s="65"/>
      <c r="F616" s="65"/>
      <c r="G616" s="65"/>
      <c r="H616" s="65"/>
      <c r="I616" s="65"/>
      <c r="J616" s="65"/>
      <c r="K616" s="74"/>
      <c r="L616" s="75"/>
      <c r="M616" s="66"/>
      <c r="N616" s="50"/>
      <c r="O616" s="66"/>
      <c r="P616" s="66"/>
      <c r="Q616" s="66"/>
      <c r="R616" s="66"/>
      <c r="S616" s="66"/>
      <c r="T616" s="66"/>
      <c r="U616" s="66"/>
      <c r="V616" s="66"/>
      <c r="W616" s="37"/>
      <c r="X616" s="37"/>
      <c r="Y616" s="37"/>
    </row>
    <row r="617" spans="1:25" ht="15.75" customHeight="1">
      <c r="A617" s="61"/>
      <c r="B617" s="61"/>
      <c r="C617" s="68"/>
      <c r="D617" s="68"/>
      <c r="E617" s="61"/>
      <c r="F617" s="61"/>
      <c r="G617" s="61"/>
      <c r="H617" s="61"/>
      <c r="I617" s="61"/>
      <c r="J617" s="61"/>
      <c r="K617" s="71"/>
      <c r="L617" s="72"/>
      <c r="M617" s="68"/>
      <c r="N617" s="50"/>
      <c r="O617" s="68"/>
      <c r="P617" s="68"/>
      <c r="Q617" s="68"/>
      <c r="R617" s="68"/>
      <c r="S617" s="68"/>
      <c r="T617" s="68"/>
      <c r="U617" s="68"/>
      <c r="V617" s="68"/>
      <c r="W617" s="37"/>
      <c r="X617" s="37"/>
      <c r="Y617" s="37"/>
    </row>
    <row r="618" spans="1:25" ht="15.75" customHeight="1">
      <c r="A618" s="65"/>
      <c r="B618" s="65"/>
      <c r="C618" s="66"/>
      <c r="D618" s="66"/>
      <c r="E618" s="65"/>
      <c r="F618" s="65"/>
      <c r="G618" s="65"/>
      <c r="H618" s="65"/>
      <c r="I618" s="65"/>
      <c r="J618" s="65"/>
      <c r="K618" s="74"/>
      <c r="L618" s="75"/>
      <c r="M618" s="66"/>
      <c r="N618" s="50"/>
      <c r="O618" s="66"/>
      <c r="P618" s="66"/>
      <c r="Q618" s="66"/>
      <c r="R618" s="66"/>
      <c r="S618" s="66"/>
      <c r="T618" s="66"/>
      <c r="U618" s="66"/>
      <c r="V618" s="66"/>
      <c r="W618" s="37"/>
      <c r="X618" s="37"/>
      <c r="Y618" s="37"/>
    </row>
    <row r="619" spans="1:25" ht="15.75" customHeight="1">
      <c r="A619" s="61"/>
      <c r="B619" s="61"/>
      <c r="C619" s="68"/>
      <c r="D619" s="68"/>
      <c r="E619" s="61"/>
      <c r="F619" s="61"/>
      <c r="G619" s="61"/>
      <c r="H619" s="61"/>
      <c r="I619" s="61"/>
      <c r="J619" s="61"/>
      <c r="K619" s="71"/>
      <c r="L619" s="72"/>
      <c r="M619" s="68"/>
      <c r="N619" s="50"/>
      <c r="O619" s="68"/>
      <c r="P619" s="68"/>
      <c r="Q619" s="68"/>
      <c r="R619" s="68"/>
      <c r="S619" s="68"/>
      <c r="T619" s="68"/>
      <c r="U619" s="68"/>
      <c r="V619" s="68"/>
      <c r="W619" s="37"/>
      <c r="X619" s="37"/>
      <c r="Y619" s="37"/>
    </row>
    <row r="620" spans="1:25" ht="15.75" customHeight="1">
      <c r="A620" s="65"/>
      <c r="B620" s="65"/>
      <c r="C620" s="66"/>
      <c r="D620" s="66"/>
      <c r="E620" s="65"/>
      <c r="F620" s="65"/>
      <c r="G620" s="65"/>
      <c r="H620" s="65"/>
      <c r="I620" s="65"/>
      <c r="J620" s="65"/>
      <c r="K620" s="74"/>
      <c r="L620" s="75"/>
      <c r="M620" s="66"/>
      <c r="N620" s="50"/>
      <c r="O620" s="66"/>
      <c r="P620" s="66"/>
      <c r="Q620" s="66"/>
      <c r="R620" s="66"/>
      <c r="S620" s="66"/>
      <c r="T620" s="66"/>
      <c r="U620" s="66"/>
      <c r="V620" s="66"/>
      <c r="W620" s="37"/>
      <c r="X620" s="37"/>
      <c r="Y620" s="37"/>
    </row>
    <row r="621" spans="1:25" ht="15.75" customHeight="1">
      <c r="A621" s="61"/>
      <c r="B621" s="61"/>
      <c r="C621" s="68"/>
      <c r="D621" s="68"/>
      <c r="E621" s="61"/>
      <c r="F621" s="61"/>
      <c r="G621" s="61"/>
      <c r="H621" s="61"/>
      <c r="I621" s="61"/>
      <c r="J621" s="61"/>
      <c r="K621" s="71"/>
      <c r="L621" s="72"/>
      <c r="M621" s="68"/>
      <c r="N621" s="50"/>
      <c r="O621" s="68"/>
      <c r="P621" s="68"/>
      <c r="Q621" s="68"/>
      <c r="R621" s="68"/>
      <c r="S621" s="68"/>
      <c r="T621" s="68"/>
      <c r="U621" s="68"/>
      <c r="V621" s="68"/>
      <c r="W621" s="37"/>
      <c r="X621" s="37"/>
      <c r="Y621" s="37"/>
    </row>
    <row r="622" spans="1:25" ht="15.75" customHeight="1">
      <c r="A622" s="65"/>
      <c r="B622" s="65"/>
      <c r="C622" s="66"/>
      <c r="D622" s="66"/>
      <c r="E622" s="65"/>
      <c r="F622" s="65"/>
      <c r="G622" s="65"/>
      <c r="H622" s="65"/>
      <c r="I622" s="65"/>
      <c r="J622" s="65"/>
      <c r="K622" s="74"/>
      <c r="L622" s="75"/>
      <c r="M622" s="66"/>
      <c r="N622" s="50"/>
      <c r="O622" s="66"/>
      <c r="P622" s="66"/>
      <c r="Q622" s="66"/>
      <c r="R622" s="66"/>
      <c r="S622" s="66"/>
      <c r="T622" s="66"/>
      <c r="U622" s="66"/>
      <c r="V622" s="66"/>
      <c r="W622" s="37"/>
      <c r="X622" s="37"/>
      <c r="Y622" s="37"/>
    </row>
    <row r="623" spans="1:25" ht="15.75" customHeight="1">
      <c r="A623" s="61"/>
      <c r="B623" s="61"/>
      <c r="C623" s="68"/>
      <c r="D623" s="68"/>
      <c r="E623" s="61"/>
      <c r="F623" s="61"/>
      <c r="G623" s="61"/>
      <c r="H623" s="61"/>
      <c r="I623" s="61"/>
      <c r="J623" s="61"/>
      <c r="K623" s="71"/>
      <c r="L623" s="72"/>
      <c r="M623" s="68"/>
      <c r="N623" s="50"/>
      <c r="O623" s="68"/>
      <c r="P623" s="68"/>
      <c r="Q623" s="68"/>
      <c r="R623" s="68"/>
      <c r="S623" s="68"/>
      <c r="T623" s="68"/>
      <c r="U623" s="68"/>
      <c r="V623" s="68"/>
      <c r="W623" s="37"/>
      <c r="X623" s="37"/>
      <c r="Y623" s="37"/>
    </row>
    <row r="624" spans="1:25" ht="15.75" customHeight="1">
      <c r="A624" s="65"/>
      <c r="B624" s="65"/>
      <c r="C624" s="66"/>
      <c r="D624" s="66"/>
      <c r="E624" s="65"/>
      <c r="F624" s="65"/>
      <c r="G624" s="65"/>
      <c r="H624" s="65"/>
      <c r="I624" s="65"/>
      <c r="J624" s="65"/>
      <c r="K624" s="74"/>
      <c r="L624" s="75"/>
      <c r="M624" s="66"/>
      <c r="N624" s="50"/>
      <c r="O624" s="66"/>
      <c r="P624" s="66"/>
      <c r="Q624" s="66"/>
      <c r="R624" s="66"/>
      <c r="S624" s="66"/>
      <c r="T624" s="66"/>
      <c r="U624" s="66"/>
      <c r="V624" s="66"/>
      <c r="W624" s="37"/>
      <c r="X624" s="37"/>
      <c r="Y624" s="37"/>
    </row>
    <row r="625" spans="1:25" ht="15.75" customHeight="1">
      <c r="A625" s="61"/>
      <c r="B625" s="61"/>
      <c r="C625" s="68"/>
      <c r="D625" s="68"/>
      <c r="E625" s="61"/>
      <c r="F625" s="61"/>
      <c r="G625" s="61"/>
      <c r="H625" s="61"/>
      <c r="I625" s="61"/>
      <c r="J625" s="61"/>
      <c r="K625" s="71"/>
      <c r="L625" s="72"/>
      <c r="M625" s="68"/>
      <c r="N625" s="50"/>
      <c r="O625" s="68"/>
      <c r="P625" s="68"/>
      <c r="Q625" s="68"/>
      <c r="R625" s="68"/>
      <c r="S625" s="68"/>
      <c r="T625" s="68"/>
      <c r="U625" s="68"/>
      <c r="V625" s="68"/>
      <c r="W625" s="37"/>
      <c r="X625" s="37"/>
      <c r="Y625" s="37"/>
    </row>
    <row r="626" spans="1:25" ht="15.75" customHeight="1">
      <c r="A626" s="65"/>
      <c r="B626" s="65"/>
      <c r="C626" s="66"/>
      <c r="D626" s="66"/>
      <c r="E626" s="65"/>
      <c r="F626" s="65"/>
      <c r="G626" s="65"/>
      <c r="H626" s="65"/>
      <c r="I626" s="65"/>
      <c r="J626" s="65"/>
      <c r="K626" s="74"/>
      <c r="L626" s="75"/>
      <c r="M626" s="66"/>
      <c r="N626" s="50"/>
      <c r="O626" s="66"/>
      <c r="P626" s="66"/>
      <c r="Q626" s="66"/>
      <c r="R626" s="66"/>
      <c r="S626" s="66"/>
      <c r="T626" s="66"/>
      <c r="U626" s="66"/>
      <c r="V626" s="66"/>
      <c r="W626" s="37"/>
      <c r="X626" s="37"/>
      <c r="Y626" s="37"/>
    </row>
    <row r="627" spans="1:25" ht="15.75" customHeight="1">
      <c r="A627" s="61"/>
      <c r="B627" s="61"/>
      <c r="C627" s="68"/>
      <c r="D627" s="68"/>
      <c r="E627" s="61"/>
      <c r="F627" s="61"/>
      <c r="G627" s="61"/>
      <c r="H627" s="61"/>
      <c r="I627" s="61"/>
      <c r="J627" s="61"/>
      <c r="K627" s="71"/>
      <c r="L627" s="72"/>
      <c r="M627" s="68"/>
      <c r="N627" s="50"/>
      <c r="O627" s="68"/>
      <c r="P627" s="68"/>
      <c r="Q627" s="68"/>
      <c r="R627" s="68"/>
      <c r="S627" s="68"/>
      <c r="T627" s="68"/>
      <c r="U627" s="68"/>
      <c r="V627" s="68"/>
      <c r="W627" s="37"/>
      <c r="X627" s="37"/>
      <c r="Y627" s="37"/>
    </row>
    <row r="628" spans="1:25" ht="15.75" customHeight="1">
      <c r="A628" s="65"/>
      <c r="B628" s="65"/>
      <c r="C628" s="66"/>
      <c r="D628" s="66"/>
      <c r="E628" s="65"/>
      <c r="F628" s="65"/>
      <c r="G628" s="65"/>
      <c r="H628" s="65"/>
      <c r="I628" s="65"/>
      <c r="J628" s="65"/>
      <c r="K628" s="74"/>
      <c r="L628" s="75"/>
      <c r="M628" s="66"/>
      <c r="N628" s="50"/>
      <c r="O628" s="66"/>
      <c r="P628" s="66"/>
      <c r="Q628" s="66"/>
      <c r="R628" s="66"/>
      <c r="S628" s="66"/>
      <c r="T628" s="66"/>
      <c r="U628" s="66"/>
      <c r="V628" s="66"/>
      <c r="W628" s="37"/>
      <c r="X628" s="37"/>
      <c r="Y628" s="37"/>
    </row>
    <row r="629" spans="1:25" ht="15.75" customHeight="1">
      <c r="A629" s="61"/>
      <c r="B629" s="61"/>
      <c r="C629" s="68"/>
      <c r="D629" s="68"/>
      <c r="E629" s="61"/>
      <c r="F629" s="61"/>
      <c r="G629" s="61"/>
      <c r="H629" s="61"/>
      <c r="I629" s="61"/>
      <c r="J629" s="61"/>
      <c r="K629" s="71"/>
      <c r="L629" s="72"/>
      <c r="M629" s="68"/>
      <c r="N629" s="50"/>
      <c r="O629" s="68"/>
      <c r="P629" s="68"/>
      <c r="Q629" s="68"/>
      <c r="R629" s="68"/>
      <c r="S629" s="68"/>
      <c r="T629" s="68"/>
      <c r="U629" s="68"/>
      <c r="V629" s="68"/>
      <c r="W629" s="37"/>
      <c r="X629" s="37"/>
      <c r="Y629" s="37"/>
    </row>
    <row r="630" spans="1:25" ht="15.75" customHeight="1">
      <c r="A630" s="65"/>
      <c r="B630" s="65"/>
      <c r="C630" s="66"/>
      <c r="D630" s="66"/>
      <c r="E630" s="65"/>
      <c r="F630" s="65"/>
      <c r="G630" s="65"/>
      <c r="H630" s="65"/>
      <c r="I630" s="65"/>
      <c r="J630" s="65"/>
      <c r="K630" s="74"/>
      <c r="L630" s="75"/>
      <c r="M630" s="66"/>
      <c r="N630" s="50"/>
      <c r="O630" s="66"/>
      <c r="P630" s="66"/>
      <c r="Q630" s="66"/>
      <c r="R630" s="66"/>
      <c r="S630" s="66"/>
      <c r="T630" s="66"/>
      <c r="U630" s="66"/>
      <c r="V630" s="66"/>
      <c r="W630" s="37"/>
      <c r="X630" s="37"/>
      <c r="Y630" s="37"/>
    </row>
    <row r="631" spans="1:25" ht="15.75" customHeight="1">
      <c r="A631" s="61"/>
      <c r="B631" s="61"/>
      <c r="C631" s="68"/>
      <c r="D631" s="68"/>
      <c r="E631" s="61"/>
      <c r="F631" s="61"/>
      <c r="G631" s="61"/>
      <c r="H631" s="61"/>
      <c r="I631" s="61"/>
      <c r="J631" s="61"/>
      <c r="K631" s="71"/>
      <c r="L631" s="72"/>
      <c r="M631" s="68"/>
      <c r="N631" s="50"/>
      <c r="O631" s="68"/>
      <c r="P631" s="68"/>
      <c r="Q631" s="68"/>
      <c r="R631" s="68"/>
      <c r="S631" s="68"/>
      <c r="T631" s="68"/>
      <c r="U631" s="68"/>
      <c r="V631" s="68"/>
      <c r="W631" s="37"/>
      <c r="X631" s="37"/>
      <c r="Y631" s="37"/>
    </row>
    <row r="632" spans="1:25" ht="15.75" customHeight="1">
      <c r="A632" s="65"/>
      <c r="B632" s="65"/>
      <c r="C632" s="66"/>
      <c r="D632" s="66"/>
      <c r="E632" s="65"/>
      <c r="F632" s="65"/>
      <c r="G632" s="65"/>
      <c r="H632" s="65"/>
      <c r="I632" s="65"/>
      <c r="J632" s="65"/>
      <c r="K632" s="74"/>
      <c r="L632" s="75"/>
      <c r="M632" s="66"/>
      <c r="N632" s="50"/>
      <c r="O632" s="66"/>
      <c r="P632" s="66"/>
      <c r="Q632" s="66"/>
      <c r="R632" s="66"/>
      <c r="S632" s="66"/>
      <c r="T632" s="66"/>
      <c r="U632" s="66"/>
      <c r="V632" s="66"/>
      <c r="W632" s="37"/>
      <c r="X632" s="37"/>
      <c r="Y632" s="37"/>
    </row>
    <row r="633" spans="1:25" ht="15.75" customHeight="1">
      <c r="A633" s="61"/>
      <c r="B633" s="61"/>
      <c r="C633" s="68"/>
      <c r="D633" s="68"/>
      <c r="E633" s="61"/>
      <c r="F633" s="61"/>
      <c r="G633" s="61"/>
      <c r="H633" s="61"/>
      <c r="I633" s="61"/>
      <c r="J633" s="61"/>
      <c r="K633" s="71"/>
      <c r="L633" s="72"/>
      <c r="M633" s="68"/>
      <c r="N633" s="50"/>
      <c r="O633" s="68"/>
      <c r="P633" s="68"/>
      <c r="Q633" s="68"/>
      <c r="R633" s="68"/>
      <c r="S633" s="68"/>
      <c r="T633" s="68"/>
      <c r="U633" s="68"/>
      <c r="V633" s="68"/>
      <c r="W633" s="37"/>
      <c r="X633" s="37"/>
      <c r="Y633" s="37"/>
    </row>
    <row r="634" spans="1:25" ht="15.75" customHeight="1">
      <c r="A634" s="65"/>
      <c r="B634" s="65"/>
      <c r="C634" s="66"/>
      <c r="D634" s="66"/>
      <c r="E634" s="65"/>
      <c r="F634" s="65"/>
      <c r="G634" s="65"/>
      <c r="H634" s="65"/>
      <c r="I634" s="65"/>
      <c r="J634" s="65"/>
      <c r="K634" s="74"/>
      <c r="L634" s="75"/>
      <c r="M634" s="66"/>
      <c r="N634" s="50"/>
      <c r="O634" s="66"/>
      <c r="P634" s="66"/>
      <c r="Q634" s="66"/>
      <c r="R634" s="66"/>
      <c r="S634" s="66"/>
      <c r="T634" s="66"/>
      <c r="U634" s="66"/>
      <c r="V634" s="66"/>
      <c r="W634" s="37"/>
      <c r="X634" s="37"/>
      <c r="Y634" s="37"/>
    </row>
    <row r="635" spans="1:25" ht="15.75" customHeight="1">
      <c r="A635" s="61"/>
      <c r="B635" s="61"/>
      <c r="C635" s="68"/>
      <c r="D635" s="68"/>
      <c r="E635" s="61"/>
      <c r="F635" s="61"/>
      <c r="G635" s="61"/>
      <c r="H635" s="61"/>
      <c r="I635" s="61"/>
      <c r="J635" s="61"/>
      <c r="K635" s="71"/>
      <c r="L635" s="72"/>
      <c r="M635" s="68"/>
      <c r="N635" s="50"/>
      <c r="O635" s="68"/>
      <c r="P635" s="68"/>
      <c r="Q635" s="68"/>
      <c r="R635" s="68"/>
      <c r="S635" s="68"/>
      <c r="T635" s="68"/>
      <c r="U635" s="68"/>
      <c r="V635" s="68"/>
      <c r="W635" s="37"/>
      <c r="X635" s="37"/>
      <c r="Y635" s="37"/>
    </row>
    <row r="636" spans="1:25" ht="15.75" customHeight="1">
      <c r="A636" s="65"/>
      <c r="B636" s="65"/>
      <c r="C636" s="66"/>
      <c r="D636" s="66"/>
      <c r="E636" s="65"/>
      <c r="F636" s="65"/>
      <c r="G636" s="65"/>
      <c r="H636" s="65"/>
      <c r="I636" s="65"/>
      <c r="J636" s="65"/>
      <c r="K636" s="74"/>
      <c r="L636" s="75"/>
      <c r="M636" s="66"/>
      <c r="N636" s="50"/>
      <c r="O636" s="66"/>
      <c r="P636" s="66"/>
      <c r="Q636" s="66"/>
      <c r="R636" s="66"/>
      <c r="S636" s="66"/>
      <c r="T636" s="66"/>
      <c r="U636" s="66"/>
      <c r="V636" s="66"/>
      <c r="W636" s="37"/>
      <c r="X636" s="37"/>
      <c r="Y636" s="37"/>
    </row>
    <row r="637" spans="1:25" ht="15.75" customHeight="1">
      <c r="A637" s="61"/>
      <c r="B637" s="61"/>
      <c r="C637" s="68"/>
      <c r="D637" s="68"/>
      <c r="E637" s="61"/>
      <c r="F637" s="61"/>
      <c r="G637" s="61"/>
      <c r="H637" s="61"/>
      <c r="I637" s="61"/>
      <c r="J637" s="61"/>
      <c r="K637" s="71"/>
      <c r="L637" s="72"/>
      <c r="M637" s="68"/>
      <c r="N637" s="50"/>
      <c r="O637" s="68"/>
      <c r="P637" s="68"/>
      <c r="Q637" s="68"/>
      <c r="R637" s="68"/>
      <c r="S637" s="68"/>
      <c r="T637" s="68"/>
      <c r="U637" s="68"/>
      <c r="V637" s="68"/>
      <c r="W637" s="37"/>
      <c r="X637" s="37"/>
      <c r="Y637" s="37"/>
    </row>
    <row r="638" spans="1:25" ht="15.75" customHeight="1">
      <c r="A638" s="65"/>
      <c r="B638" s="65"/>
      <c r="C638" s="66"/>
      <c r="D638" s="66"/>
      <c r="E638" s="65"/>
      <c r="F638" s="65"/>
      <c r="G638" s="65"/>
      <c r="H638" s="65"/>
      <c r="I638" s="65"/>
      <c r="J638" s="65"/>
      <c r="K638" s="74"/>
      <c r="L638" s="75"/>
      <c r="M638" s="66"/>
      <c r="N638" s="50"/>
      <c r="O638" s="66"/>
      <c r="P638" s="66"/>
      <c r="Q638" s="66"/>
      <c r="R638" s="66"/>
      <c r="S638" s="66"/>
      <c r="T638" s="66"/>
      <c r="U638" s="66"/>
      <c r="V638" s="66"/>
      <c r="W638" s="37"/>
      <c r="X638" s="37"/>
      <c r="Y638" s="37"/>
    </row>
    <row r="639" spans="1:25" ht="15.75" customHeight="1">
      <c r="A639" s="61"/>
      <c r="B639" s="61"/>
      <c r="C639" s="68"/>
      <c r="D639" s="68"/>
      <c r="E639" s="61"/>
      <c r="F639" s="61"/>
      <c r="G639" s="61"/>
      <c r="H639" s="61"/>
      <c r="I639" s="61"/>
      <c r="J639" s="61"/>
      <c r="K639" s="71"/>
      <c r="L639" s="72"/>
      <c r="M639" s="68"/>
      <c r="N639" s="50"/>
      <c r="O639" s="68"/>
      <c r="P639" s="68"/>
      <c r="Q639" s="68"/>
      <c r="R639" s="68"/>
      <c r="S639" s="68"/>
      <c r="T639" s="68"/>
      <c r="U639" s="68"/>
      <c r="V639" s="68"/>
      <c r="W639" s="37"/>
      <c r="X639" s="37"/>
      <c r="Y639" s="37"/>
    </row>
    <row r="640" spans="1:25" ht="15.75" customHeight="1">
      <c r="A640" s="65"/>
      <c r="B640" s="65"/>
      <c r="C640" s="66"/>
      <c r="D640" s="66"/>
      <c r="E640" s="65"/>
      <c r="F640" s="65"/>
      <c r="G640" s="65"/>
      <c r="H640" s="65"/>
      <c r="I640" s="65"/>
      <c r="J640" s="65"/>
      <c r="K640" s="74"/>
      <c r="L640" s="75"/>
      <c r="M640" s="66"/>
      <c r="N640" s="50"/>
      <c r="O640" s="66"/>
      <c r="P640" s="66"/>
      <c r="Q640" s="66"/>
      <c r="R640" s="66"/>
      <c r="S640" s="66"/>
      <c r="T640" s="66"/>
      <c r="U640" s="66"/>
      <c r="V640" s="66"/>
      <c r="W640" s="37"/>
      <c r="X640" s="37"/>
      <c r="Y640" s="37"/>
    </row>
    <row r="641" spans="1:25" ht="15.75" customHeight="1">
      <c r="A641" s="61"/>
      <c r="B641" s="61"/>
      <c r="C641" s="68"/>
      <c r="D641" s="68"/>
      <c r="E641" s="61"/>
      <c r="F641" s="61"/>
      <c r="G641" s="61"/>
      <c r="H641" s="61"/>
      <c r="I641" s="61"/>
      <c r="J641" s="61"/>
      <c r="K641" s="71"/>
      <c r="L641" s="72"/>
      <c r="M641" s="68"/>
      <c r="N641" s="50"/>
      <c r="O641" s="68"/>
      <c r="P641" s="68"/>
      <c r="Q641" s="68"/>
      <c r="R641" s="68"/>
      <c r="S641" s="68"/>
      <c r="T641" s="68"/>
      <c r="U641" s="68"/>
      <c r="V641" s="68"/>
      <c r="W641" s="37"/>
      <c r="X641" s="37"/>
      <c r="Y641" s="37"/>
    </row>
    <row r="642" spans="1:25" ht="15.75" customHeight="1">
      <c r="A642" s="65"/>
      <c r="B642" s="65"/>
      <c r="C642" s="66"/>
      <c r="D642" s="66"/>
      <c r="E642" s="65"/>
      <c r="F642" s="65"/>
      <c r="G642" s="65"/>
      <c r="H642" s="65"/>
      <c r="I642" s="65"/>
      <c r="J642" s="65"/>
      <c r="K642" s="74"/>
      <c r="L642" s="75"/>
      <c r="M642" s="66"/>
      <c r="N642" s="50"/>
      <c r="O642" s="66"/>
      <c r="P642" s="66"/>
      <c r="Q642" s="66"/>
      <c r="R642" s="66"/>
      <c r="S642" s="66"/>
      <c r="T642" s="66"/>
      <c r="U642" s="66"/>
      <c r="V642" s="66"/>
      <c r="W642" s="37"/>
      <c r="X642" s="37"/>
      <c r="Y642" s="37"/>
    </row>
    <row r="643" spans="1:25" ht="15.75" customHeight="1">
      <c r="A643" s="61"/>
      <c r="B643" s="61"/>
      <c r="C643" s="68"/>
      <c r="D643" s="68"/>
      <c r="E643" s="61"/>
      <c r="F643" s="61"/>
      <c r="G643" s="61"/>
      <c r="H643" s="61"/>
      <c r="I643" s="61"/>
      <c r="J643" s="61"/>
      <c r="K643" s="71"/>
      <c r="L643" s="72"/>
      <c r="M643" s="68"/>
      <c r="N643" s="50"/>
      <c r="O643" s="68"/>
      <c r="P643" s="68"/>
      <c r="Q643" s="68"/>
      <c r="R643" s="68"/>
      <c r="S643" s="68"/>
      <c r="T643" s="68"/>
      <c r="U643" s="68"/>
      <c r="V643" s="68"/>
      <c r="W643" s="37"/>
      <c r="X643" s="37"/>
      <c r="Y643" s="37"/>
    </row>
    <row r="644" spans="1:25" ht="15.75" customHeight="1">
      <c r="A644" s="65"/>
      <c r="B644" s="65"/>
      <c r="C644" s="66"/>
      <c r="D644" s="66"/>
      <c r="E644" s="65"/>
      <c r="F644" s="65"/>
      <c r="G644" s="65"/>
      <c r="H644" s="65"/>
      <c r="I644" s="65"/>
      <c r="J644" s="65"/>
      <c r="K644" s="74"/>
      <c r="L644" s="75"/>
      <c r="M644" s="66"/>
      <c r="N644" s="50"/>
      <c r="O644" s="66"/>
      <c r="P644" s="66"/>
      <c r="Q644" s="66"/>
      <c r="R644" s="66"/>
      <c r="S644" s="66"/>
      <c r="T644" s="66"/>
      <c r="U644" s="66"/>
      <c r="V644" s="66"/>
      <c r="W644" s="37"/>
      <c r="X644" s="37"/>
      <c r="Y644" s="37"/>
    </row>
    <row r="645" spans="1:25" ht="15.75" customHeight="1">
      <c r="A645" s="61"/>
      <c r="B645" s="61"/>
      <c r="C645" s="68"/>
      <c r="D645" s="68"/>
      <c r="E645" s="61"/>
      <c r="F645" s="61"/>
      <c r="G645" s="61"/>
      <c r="H645" s="61"/>
      <c r="I645" s="61"/>
      <c r="J645" s="61"/>
      <c r="K645" s="71"/>
      <c r="L645" s="72"/>
      <c r="M645" s="68"/>
      <c r="N645" s="50"/>
      <c r="O645" s="68"/>
      <c r="P645" s="68"/>
      <c r="Q645" s="68"/>
      <c r="R645" s="68"/>
      <c r="S645" s="68"/>
      <c r="T645" s="68"/>
      <c r="U645" s="68"/>
      <c r="V645" s="68"/>
      <c r="W645" s="37"/>
      <c r="X645" s="37"/>
      <c r="Y645" s="37"/>
    </row>
    <row r="646" spans="1:25" ht="15.75" customHeight="1">
      <c r="A646" s="65"/>
      <c r="B646" s="65"/>
      <c r="C646" s="66"/>
      <c r="D646" s="66"/>
      <c r="E646" s="65"/>
      <c r="F646" s="65"/>
      <c r="G646" s="65"/>
      <c r="H646" s="65"/>
      <c r="I646" s="65"/>
      <c r="J646" s="65"/>
      <c r="K646" s="74"/>
      <c r="L646" s="75"/>
      <c r="M646" s="66"/>
      <c r="N646" s="50"/>
      <c r="O646" s="66"/>
      <c r="P646" s="66"/>
      <c r="Q646" s="66"/>
      <c r="R646" s="66"/>
      <c r="S646" s="66"/>
      <c r="T646" s="66"/>
      <c r="U646" s="66"/>
      <c r="V646" s="66"/>
      <c r="W646" s="37"/>
      <c r="X646" s="37"/>
      <c r="Y646" s="37"/>
    </row>
    <row r="647" spans="1:25" ht="15.75" customHeight="1">
      <c r="A647" s="61"/>
      <c r="B647" s="61"/>
      <c r="C647" s="68"/>
      <c r="D647" s="68"/>
      <c r="E647" s="61"/>
      <c r="F647" s="61"/>
      <c r="G647" s="61"/>
      <c r="H647" s="61"/>
      <c r="I647" s="61"/>
      <c r="J647" s="61"/>
      <c r="K647" s="71"/>
      <c r="L647" s="72"/>
      <c r="M647" s="68"/>
      <c r="N647" s="50"/>
      <c r="O647" s="68"/>
      <c r="P647" s="68"/>
      <c r="Q647" s="68"/>
      <c r="R647" s="68"/>
      <c r="S647" s="68"/>
      <c r="T647" s="68"/>
      <c r="U647" s="68"/>
      <c r="V647" s="68"/>
      <c r="W647" s="37"/>
      <c r="X647" s="37"/>
      <c r="Y647" s="37"/>
    </row>
    <row r="648" spans="1:25" ht="15.75" customHeight="1">
      <c r="A648" s="65"/>
      <c r="B648" s="65"/>
      <c r="C648" s="66"/>
      <c r="D648" s="66"/>
      <c r="E648" s="65"/>
      <c r="F648" s="65"/>
      <c r="G648" s="65"/>
      <c r="H648" s="65"/>
      <c r="I648" s="65"/>
      <c r="J648" s="65"/>
      <c r="K648" s="74"/>
      <c r="L648" s="75"/>
      <c r="M648" s="66"/>
      <c r="N648" s="50"/>
      <c r="O648" s="66"/>
      <c r="P648" s="66"/>
      <c r="Q648" s="66"/>
      <c r="R648" s="66"/>
      <c r="S648" s="66"/>
      <c r="T648" s="66"/>
      <c r="U648" s="66"/>
      <c r="V648" s="66"/>
      <c r="W648" s="37"/>
      <c r="X648" s="37"/>
      <c r="Y648" s="37"/>
    </row>
    <row r="649" spans="1:25" ht="15.75" customHeight="1">
      <c r="A649" s="61"/>
      <c r="B649" s="61"/>
      <c r="C649" s="68"/>
      <c r="D649" s="68"/>
      <c r="E649" s="61"/>
      <c r="F649" s="61"/>
      <c r="G649" s="61"/>
      <c r="H649" s="61"/>
      <c r="I649" s="61"/>
      <c r="J649" s="61"/>
      <c r="K649" s="71"/>
      <c r="L649" s="72"/>
      <c r="M649" s="68"/>
      <c r="N649" s="50"/>
      <c r="O649" s="68"/>
      <c r="P649" s="68"/>
      <c r="Q649" s="68"/>
      <c r="R649" s="68"/>
      <c r="S649" s="68"/>
      <c r="T649" s="68"/>
      <c r="U649" s="68"/>
      <c r="V649" s="68"/>
      <c r="W649" s="37"/>
      <c r="X649" s="37"/>
      <c r="Y649" s="37"/>
    </row>
    <row r="650" spans="1:25" ht="15.75" customHeight="1">
      <c r="A650" s="65"/>
      <c r="B650" s="65"/>
      <c r="C650" s="66"/>
      <c r="D650" s="66"/>
      <c r="E650" s="65"/>
      <c r="F650" s="65"/>
      <c r="G650" s="65"/>
      <c r="H650" s="65"/>
      <c r="I650" s="65"/>
      <c r="J650" s="65"/>
      <c r="K650" s="74"/>
      <c r="L650" s="75"/>
      <c r="M650" s="66"/>
      <c r="N650" s="50"/>
      <c r="O650" s="66"/>
      <c r="P650" s="66"/>
      <c r="Q650" s="66"/>
      <c r="R650" s="66"/>
      <c r="S650" s="66"/>
      <c r="T650" s="66"/>
      <c r="U650" s="66"/>
      <c r="V650" s="66"/>
      <c r="W650" s="37"/>
      <c r="X650" s="37"/>
      <c r="Y650" s="37"/>
    </row>
    <row r="651" spans="1:25" ht="15.75" customHeight="1">
      <c r="A651" s="61"/>
      <c r="B651" s="61"/>
      <c r="C651" s="68"/>
      <c r="D651" s="68"/>
      <c r="E651" s="61"/>
      <c r="F651" s="61"/>
      <c r="G651" s="61"/>
      <c r="H651" s="61"/>
      <c r="I651" s="61"/>
      <c r="J651" s="61"/>
      <c r="K651" s="71"/>
      <c r="L651" s="72"/>
      <c r="M651" s="68"/>
      <c r="N651" s="50"/>
      <c r="O651" s="68"/>
      <c r="P651" s="68"/>
      <c r="Q651" s="68"/>
      <c r="R651" s="68"/>
      <c r="S651" s="68"/>
      <c r="T651" s="68"/>
      <c r="U651" s="68"/>
      <c r="V651" s="68"/>
      <c r="W651" s="37"/>
      <c r="X651" s="37"/>
      <c r="Y651" s="37"/>
    </row>
    <row r="652" spans="1:25" ht="15.75" customHeight="1">
      <c r="A652" s="65"/>
      <c r="B652" s="65"/>
      <c r="C652" s="66"/>
      <c r="D652" s="66"/>
      <c r="E652" s="65"/>
      <c r="F652" s="65"/>
      <c r="G652" s="65"/>
      <c r="H652" s="65"/>
      <c r="I652" s="65"/>
      <c r="J652" s="65"/>
      <c r="K652" s="74"/>
      <c r="L652" s="75"/>
      <c r="M652" s="66"/>
      <c r="N652" s="50"/>
      <c r="O652" s="66"/>
      <c r="P652" s="66"/>
      <c r="Q652" s="66"/>
      <c r="R652" s="66"/>
      <c r="S652" s="66"/>
      <c r="T652" s="66"/>
      <c r="U652" s="66"/>
      <c r="V652" s="66"/>
      <c r="W652" s="37"/>
      <c r="X652" s="37"/>
      <c r="Y652" s="37"/>
    </row>
    <row r="653" spans="1:25" ht="15.75" customHeight="1">
      <c r="A653" s="61"/>
      <c r="B653" s="61"/>
      <c r="C653" s="68"/>
      <c r="D653" s="68"/>
      <c r="E653" s="61"/>
      <c r="F653" s="61"/>
      <c r="G653" s="61"/>
      <c r="H653" s="61"/>
      <c r="I653" s="61"/>
      <c r="J653" s="61"/>
      <c r="K653" s="71"/>
      <c r="L653" s="72"/>
      <c r="M653" s="68"/>
      <c r="N653" s="50"/>
      <c r="O653" s="68"/>
      <c r="P653" s="68"/>
      <c r="Q653" s="68"/>
      <c r="R653" s="68"/>
      <c r="S653" s="68"/>
      <c r="T653" s="68"/>
      <c r="U653" s="68"/>
      <c r="V653" s="68"/>
      <c r="W653" s="37"/>
      <c r="X653" s="37"/>
      <c r="Y653" s="37"/>
    </row>
    <row r="654" spans="1:25" ht="15.75" customHeight="1">
      <c r="A654" s="65"/>
      <c r="B654" s="65"/>
      <c r="C654" s="66"/>
      <c r="D654" s="66"/>
      <c r="E654" s="65"/>
      <c r="F654" s="65"/>
      <c r="G654" s="65"/>
      <c r="H654" s="65"/>
      <c r="I654" s="65"/>
      <c r="J654" s="65"/>
      <c r="K654" s="74"/>
      <c r="L654" s="75"/>
      <c r="M654" s="66"/>
      <c r="N654" s="50"/>
      <c r="O654" s="66"/>
      <c r="P654" s="66"/>
      <c r="Q654" s="66"/>
      <c r="R654" s="66"/>
      <c r="S654" s="66"/>
      <c r="T654" s="66"/>
      <c r="U654" s="66"/>
      <c r="V654" s="66"/>
      <c r="W654" s="37"/>
      <c r="X654" s="37"/>
      <c r="Y654" s="37"/>
    </row>
    <row r="655" spans="1:25" ht="15.75" customHeight="1">
      <c r="A655" s="61"/>
      <c r="B655" s="61"/>
      <c r="C655" s="68"/>
      <c r="D655" s="68"/>
      <c r="E655" s="61"/>
      <c r="F655" s="61"/>
      <c r="G655" s="61"/>
      <c r="H655" s="61"/>
      <c r="I655" s="61"/>
      <c r="J655" s="61"/>
      <c r="K655" s="71"/>
      <c r="L655" s="72"/>
      <c r="M655" s="68"/>
      <c r="N655" s="50"/>
      <c r="O655" s="68"/>
      <c r="P655" s="68"/>
      <c r="Q655" s="68"/>
      <c r="R655" s="68"/>
      <c r="S655" s="68"/>
      <c r="T655" s="68"/>
      <c r="U655" s="68"/>
      <c r="V655" s="68"/>
      <c r="W655" s="37"/>
      <c r="X655" s="37"/>
      <c r="Y655" s="37"/>
    </row>
    <row r="656" spans="1:25" ht="15.75" customHeight="1">
      <c r="A656" s="65"/>
      <c r="B656" s="65"/>
      <c r="C656" s="66"/>
      <c r="D656" s="66"/>
      <c r="E656" s="65"/>
      <c r="F656" s="65"/>
      <c r="G656" s="65"/>
      <c r="H656" s="65"/>
      <c r="I656" s="65"/>
      <c r="J656" s="65"/>
      <c r="K656" s="74"/>
      <c r="L656" s="75"/>
      <c r="M656" s="66"/>
      <c r="N656" s="50"/>
      <c r="O656" s="66"/>
      <c r="P656" s="66"/>
      <c r="Q656" s="66"/>
      <c r="R656" s="66"/>
      <c r="S656" s="66"/>
      <c r="T656" s="66"/>
      <c r="U656" s="66"/>
      <c r="V656" s="66"/>
      <c r="W656" s="37"/>
      <c r="X656" s="37"/>
      <c r="Y656" s="37"/>
    </row>
    <row r="657" spans="1:25" ht="15.75" customHeight="1">
      <c r="A657" s="61"/>
      <c r="B657" s="61"/>
      <c r="C657" s="68"/>
      <c r="D657" s="68"/>
      <c r="E657" s="61"/>
      <c r="F657" s="61"/>
      <c r="G657" s="61"/>
      <c r="H657" s="61"/>
      <c r="I657" s="61"/>
      <c r="J657" s="61"/>
      <c r="K657" s="71"/>
      <c r="L657" s="72"/>
      <c r="M657" s="68"/>
      <c r="N657" s="50"/>
      <c r="O657" s="68"/>
      <c r="P657" s="68"/>
      <c r="Q657" s="68"/>
      <c r="R657" s="68"/>
      <c r="S657" s="68"/>
      <c r="T657" s="68"/>
      <c r="U657" s="68"/>
      <c r="V657" s="68"/>
      <c r="W657" s="37"/>
      <c r="X657" s="37"/>
      <c r="Y657" s="37"/>
    </row>
    <row r="658" spans="1:25" ht="15.75" customHeight="1">
      <c r="A658" s="65"/>
      <c r="B658" s="65"/>
      <c r="C658" s="66"/>
      <c r="D658" s="66"/>
      <c r="E658" s="65"/>
      <c r="F658" s="65"/>
      <c r="G658" s="65"/>
      <c r="H658" s="65"/>
      <c r="I658" s="65"/>
      <c r="J658" s="65"/>
      <c r="K658" s="74"/>
      <c r="L658" s="75"/>
      <c r="M658" s="66"/>
      <c r="N658" s="50"/>
      <c r="O658" s="66"/>
      <c r="P658" s="66"/>
      <c r="Q658" s="66"/>
      <c r="R658" s="66"/>
      <c r="S658" s="66"/>
      <c r="T658" s="66"/>
      <c r="U658" s="66"/>
      <c r="V658" s="66"/>
      <c r="W658" s="37"/>
      <c r="X658" s="37"/>
      <c r="Y658" s="37"/>
    </row>
    <row r="659" spans="1:25" ht="15.75" customHeight="1">
      <c r="A659" s="61"/>
      <c r="B659" s="61"/>
      <c r="C659" s="68"/>
      <c r="D659" s="68"/>
      <c r="E659" s="61"/>
      <c r="F659" s="61"/>
      <c r="G659" s="61"/>
      <c r="H659" s="61"/>
      <c r="I659" s="61"/>
      <c r="J659" s="61"/>
      <c r="K659" s="71"/>
      <c r="L659" s="72"/>
      <c r="M659" s="68"/>
      <c r="N659" s="50"/>
      <c r="O659" s="68"/>
      <c r="P659" s="68"/>
      <c r="Q659" s="68"/>
      <c r="R659" s="68"/>
      <c r="S659" s="68"/>
      <c r="T659" s="68"/>
      <c r="U659" s="68"/>
      <c r="V659" s="68"/>
      <c r="W659" s="37"/>
      <c r="X659" s="37"/>
      <c r="Y659" s="37"/>
    </row>
    <row r="660" spans="1:25" ht="15.75" customHeight="1">
      <c r="A660" s="65"/>
      <c r="B660" s="65"/>
      <c r="C660" s="66"/>
      <c r="D660" s="66"/>
      <c r="E660" s="65"/>
      <c r="F660" s="65"/>
      <c r="G660" s="65"/>
      <c r="H660" s="65"/>
      <c r="I660" s="65"/>
      <c r="J660" s="65"/>
      <c r="K660" s="74"/>
      <c r="L660" s="75"/>
      <c r="M660" s="66"/>
      <c r="N660" s="50"/>
      <c r="O660" s="66"/>
      <c r="P660" s="66"/>
      <c r="Q660" s="66"/>
      <c r="R660" s="66"/>
      <c r="S660" s="66"/>
      <c r="T660" s="66"/>
      <c r="U660" s="66"/>
      <c r="V660" s="66"/>
      <c r="W660" s="37"/>
      <c r="X660" s="37"/>
      <c r="Y660" s="37"/>
    </row>
    <row r="661" spans="1:25" ht="15.75" customHeight="1">
      <c r="A661" s="61"/>
      <c r="B661" s="61"/>
      <c r="C661" s="68"/>
      <c r="D661" s="68"/>
      <c r="E661" s="61"/>
      <c r="F661" s="61"/>
      <c r="G661" s="61"/>
      <c r="H661" s="61"/>
      <c r="I661" s="61"/>
      <c r="J661" s="61"/>
      <c r="K661" s="71"/>
      <c r="L661" s="72"/>
      <c r="M661" s="68"/>
      <c r="N661" s="50"/>
      <c r="O661" s="68"/>
      <c r="P661" s="68"/>
      <c r="Q661" s="68"/>
      <c r="R661" s="68"/>
      <c r="S661" s="68"/>
      <c r="T661" s="68"/>
      <c r="U661" s="68"/>
      <c r="V661" s="68"/>
      <c r="W661" s="37"/>
      <c r="X661" s="37"/>
      <c r="Y661" s="37"/>
    </row>
    <row r="662" spans="1:25" ht="15.75" customHeight="1">
      <c r="A662" s="65"/>
      <c r="B662" s="65"/>
      <c r="C662" s="66"/>
      <c r="D662" s="66"/>
      <c r="E662" s="65"/>
      <c r="F662" s="65"/>
      <c r="G662" s="65"/>
      <c r="H662" s="65"/>
      <c r="I662" s="65"/>
      <c r="J662" s="65"/>
      <c r="K662" s="74"/>
      <c r="L662" s="75"/>
      <c r="M662" s="66"/>
      <c r="N662" s="50"/>
      <c r="O662" s="66"/>
      <c r="P662" s="66"/>
      <c r="Q662" s="66"/>
      <c r="R662" s="66"/>
      <c r="S662" s="66"/>
      <c r="T662" s="66"/>
      <c r="U662" s="66"/>
      <c r="V662" s="66"/>
      <c r="W662" s="37"/>
      <c r="X662" s="37"/>
      <c r="Y662" s="37"/>
    </row>
    <row r="663" spans="1:25" ht="15.75" customHeight="1">
      <c r="A663" s="61"/>
      <c r="B663" s="61"/>
      <c r="C663" s="68"/>
      <c r="D663" s="68"/>
      <c r="E663" s="61"/>
      <c r="F663" s="61"/>
      <c r="G663" s="61"/>
      <c r="H663" s="61"/>
      <c r="I663" s="61"/>
      <c r="J663" s="61"/>
      <c r="K663" s="71"/>
      <c r="L663" s="72"/>
      <c r="M663" s="68"/>
      <c r="N663" s="50"/>
      <c r="O663" s="68"/>
      <c r="P663" s="68"/>
      <c r="Q663" s="68"/>
      <c r="R663" s="68"/>
      <c r="S663" s="68"/>
      <c r="T663" s="68"/>
      <c r="U663" s="68"/>
      <c r="V663" s="68"/>
      <c r="W663" s="37"/>
      <c r="X663" s="37"/>
      <c r="Y663" s="37"/>
    </row>
    <row r="664" spans="1:25" ht="15.75" customHeight="1">
      <c r="A664" s="65"/>
      <c r="B664" s="65"/>
      <c r="C664" s="66"/>
      <c r="D664" s="66"/>
      <c r="E664" s="65"/>
      <c r="F664" s="65"/>
      <c r="G664" s="65"/>
      <c r="H664" s="65"/>
      <c r="I664" s="65"/>
      <c r="J664" s="65"/>
      <c r="K664" s="74"/>
      <c r="L664" s="75"/>
      <c r="M664" s="66"/>
      <c r="N664" s="50"/>
      <c r="O664" s="66"/>
      <c r="P664" s="66"/>
      <c r="Q664" s="66"/>
      <c r="R664" s="66"/>
      <c r="S664" s="66"/>
      <c r="T664" s="66"/>
      <c r="U664" s="66"/>
      <c r="V664" s="66"/>
      <c r="W664" s="37"/>
      <c r="X664" s="37"/>
      <c r="Y664" s="37"/>
    </row>
    <row r="665" spans="1:25" ht="15.75" customHeight="1">
      <c r="A665" s="61"/>
      <c r="B665" s="61"/>
      <c r="C665" s="68"/>
      <c r="D665" s="68"/>
      <c r="E665" s="61"/>
      <c r="F665" s="61"/>
      <c r="G665" s="61"/>
      <c r="H665" s="61"/>
      <c r="I665" s="61"/>
      <c r="J665" s="61"/>
      <c r="K665" s="71"/>
      <c r="L665" s="72"/>
      <c r="M665" s="68"/>
      <c r="N665" s="50"/>
      <c r="O665" s="68"/>
      <c r="P665" s="68"/>
      <c r="Q665" s="68"/>
      <c r="R665" s="68"/>
      <c r="S665" s="68"/>
      <c r="T665" s="68"/>
      <c r="U665" s="68"/>
      <c r="V665" s="68"/>
      <c r="W665" s="37"/>
      <c r="X665" s="37"/>
      <c r="Y665" s="37"/>
    </row>
    <row r="666" spans="1:25" ht="15.75" customHeight="1">
      <c r="A666" s="65"/>
      <c r="B666" s="65"/>
      <c r="C666" s="66"/>
      <c r="D666" s="66"/>
      <c r="E666" s="65"/>
      <c r="F666" s="65"/>
      <c r="G666" s="65"/>
      <c r="H666" s="65"/>
      <c r="I666" s="65"/>
      <c r="J666" s="65"/>
      <c r="K666" s="74"/>
      <c r="L666" s="75"/>
      <c r="M666" s="66"/>
      <c r="N666" s="50"/>
      <c r="O666" s="66"/>
      <c r="P666" s="66"/>
      <c r="Q666" s="66"/>
      <c r="R666" s="66"/>
      <c r="S666" s="66"/>
      <c r="T666" s="66"/>
      <c r="U666" s="66"/>
      <c r="V666" s="66"/>
      <c r="W666" s="37"/>
      <c r="X666" s="37"/>
      <c r="Y666" s="37"/>
    </row>
    <row r="667" spans="1:25" ht="15.75" customHeight="1">
      <c r="A667" s="61"/>
      <c r="B667" s="61"/>
      <c r="C667" s="68"/>
      <c r="D667" s="68"/>
      <c r="E667" s="61"/>
      <c r="F667" s="61"/>
      <c r="G667" s="61"/>
      <c r="H667" s="61"/>
      <c r="I667" s="61"/>
      <c r="J667" s="61"/>
      <c r="K667" s="71"/>
      <c r="L667" s="72"/>
      <c r="M667" s="68"/>
      <c r="N667" s="50"/>
      <c r="O667" s="68"/>
      <c r="P667" s="68"/>
      <c r="Q667" s="68"/>
      <c r="R667" s="68"/>
      <c r="S667" s="68"/>
      <c r="T667" s="68"/>
      <c r="U667" s="68"/>
      <c r="V667" s="68"/>
      <c r="W667" s="37"/>
      <c r="X667" s="37"/>
      <c r="Y667" s="37"/>
    </row>
    <row r="668" spans="1:25" ht="15.75" customHeight="1">
      <c r="A668" s="65"/>
      <c r="B668" s="65"/>
      <c r="C668" s="66"/>
      <c r="D668" s="66"/>
      <c r="E668" s="65"/>
      <c r="F668" s="65"/>
      <c r="G668" s="65"/>
      <c r="H668" s="65"/>
      <c r="I668" s="65"/>
      <c r="J668" s="65"/>
      <c r="K668" s="74"/>
      <c r="L668" s="75"/>
      <c r="M668" s="66"/>
      <c r="N668" s="50"/>
      <c r="O668" s="66"/>
      <c r="P668" s="66"/>
      <c r="Q668" s="66"/>
      <c r="R668" s="66"/>
      <c r="S668" s="66"/>
      <c r="T668" s="66"/>
      <c r="U668" s="66"/>
      <c r="V668" s="66"/>
      <c r="W668" s="37"/>
      <c r="X668" s="37"/>
      <c r="Y668" s="37"/>
    </row>
    <row r="669" spans="1:25" ht="15.75" customHeight="1">
      <c r="A669" s="61"/>
      <c r="B669" s="61"/>
      <c r="C669" s="68"/>
      <c r="D669" s="68"/>
      <c r="E669" s="61"/>
      <c r="F669" s="61"/>
      <c r="G669" s="61"/>
      <c r="H669" s="61"/>
      <c r="I669" s="61"/>
      <c r="J669" s="61"/>
      <c r="K669" s="71"/>
      <c r="L669" s="72"/>
      <c r="M669" s="68"/>
      <c r="N669" s="50"/>
      <c r="O669" s="68"/>
      <c r="P669" s="68"/>
      <c r="Q669" s="68"/>
      <c r="R669" s="68"/>
      <c r="S669" s="68"/>
      <c r="T669" s="68"/>
      <c r="U669" s="68"/>
      <c r="V669" s="68"/>
      <c r="W669" s="37"/>
      <c r="X669" s="37"/>
      <c r="Y669" s="37"/>
    </row>
    <row r="670" spans="1:25" ht="15.75" customHeight="1">
      <c r="A670" s="65"/>
      <c r="B670" s="65"/>
      <c r="C670" s="66"/>
      <c r="D670" s="66"/>
      <c r="E670" s="65"/>
      <c r="F670" s="65"/>
      <c r="G670" s="65"/>
      <c r="H670" s="65"/>
      <c r="I670" s="65"/>
      <c r="J670" s="65"/>
      <c r="K670" s="74"/>
      <c r="L670" s="75"/>
      <c r="M670" s="66"/>
      <c r="N670" s="50"/>
      <c r="O670" s="66"/>
      <c r="P670" s="66"/>
      <c r="Q670" s="66"/>
      <c r="R670" s="66"/>
      <c r="S670" s="66"/>
      <c r="T670" s="66"/>
      <c r="U670" s="66"/>
      <c r="V670" s="66"/>
      <c r="W670" s="37"/>
      <c r="X670" s="37"/>
      <c r="Y670" s="37"/>
    </row>
    <row r="671" spans="1:25" ht="15.75" customHeight="1">
      <c r="A671" s="61"/>
      <c r="B671" s="61"/>
      <c r="C671" s="68"/>
      <c r="D671" s="68"/>
      <c r="E671" s="61"/>
      <c r="F671" s="61"/>
      <c r="G671" s="61"/>
      <c r="H671" s="61"/>
      <c r="I671" s="61"/>
      <c r="J671" s="61"/>
      <c r="K671" s="71"/>
      <c r="L671" s="72"/>
      <c r="M671" s="68"/>
      <c r="N671" s="50"/>
      <c r="O671" s="68"/>
      <c r="P671" s="68"/>
      <c r="Q671" s="68"/>
      <c r="R671" s="68"/>
      <c r="S671" s="68"/>
      <c r="T671" s="68"/>
      <c r="U671" s="68"/>
      <c r="V671" s="68"/>
      <c r="W671" s="37"/>
      <c r="X671" s="37"/>
      <c r="Y671" s="37"/>
    </row>
    <row r="672" spans="1:25" ht="15.75" customHeight="1">
      <c r="A672" s="65"/>
      <c r="B672" s="65"/>
      <c r="C672" s="66"/>
      <c r="D672" s="66"/>
      <c r="E672" s="65"/>
      <c r="F672" s="65"/>
      <c r="G672" s="65"/>
      <c r="H672" s="65"/>
      <c r="I672" s="65"/>
      <c r="J672" s="65"/>
      <c r="K672" s="74"/>
      <c r="L672" s="75"/>
      <c r="M672" s="66"/>
      <c r="N672" s="50"/>
      <c r="O672" s="66"/>
      <c r="P672" s="66"/>
      <c r="Q672" s="66"/>
      <c r="R672" s="66"/>
      <c r="S672" s="66"/>
      <c r="T672" s="66"/>
      <c r="U672" s="66"/>
      <c r="V672" s="66"/>
      <c r="W672" s="37"/>
      <c r="X672" s="37"/>
      <c r="Y672" s="37"/>
    </row>
    <row r="673" spans="1:25" ht="15.75" customHeight="1">
      <c r="A673" s="61"/>
      <c r="B673" s="61"/>
      <c r="C673" s="68"/>
      <c r="D673" s="68"/>
      <c r="E673" s="61"/>
      <c r="F673" s="61"/>
      <c r="G673" s="61"/>
      <c r="H673" s="61"/>
      <c r="I673" s="61"/>
      <c r="J673" s="61"/>
      <c r="K673" s="71"/>
      <c r="L673" s="72"/>
      <c r="M673" s="68"/>
      <c r="N673" s="50"/>
      <c r="O673" s="68"/>
      <c r="P673" s="68"/>
      <c r="Q673" s="68"/>
      <c r="R673" s="68"/>
      <c r="S673" s="68"/>
      <c r="T673" s="68"/>
      <c r="U673" s="68"/>
      <c r="V673" s="68"/>
      <c r="W673" s="37"/>
      <c r="X673" s="37"/>
      <c r="Y673" s="37"/>
    </row>
    <row r="674" spans="1:25" ht="15.75" customHeight="1">
      <c r="A674" s="65"/>
      <c r="B674" s="65"/>
      <c r="C674" s="66"/>
      <c r="D674" s="66"/>
      <c r="E674" s="65"/>
      <c r="F674" s="65"/>
      <c r="G674" s="65"/>
      <c r="H674" s="65"/>
      <c r="I674" s="65"/>
      <c r="J674" s="65"/>
      <c r="K674" s="74"/>
      <c r="L674" s="75"/>
      <c r="M674" s="66"/>
      <c r="N674" s="50"/>
      <c r="O674" s="66"/>
      <c r="P674" s="66"/>
      <c r="Q674" s="66"/>
      <c r="R674" s="66"/>
      <c r="S674" s="66"/>
      <c r="T674" s="66"/>
      <c r="U674" s="66"/>
      <c r="V674" s="66"/>
      <c r="W674" s="37"/>
      <c r="X674" s="37"/>
      <c r="Y674" s="37"/>
    </row>
    <row r="675" spans="1:25" ht="15.75" customHeight="1">
      <c r="A675" s="61"/>
      <c r="B675" s="61"/>
      <c r="C675" s="68"/>
      <c r="D675" s="68"/>
      <c r="E675" s="61"/>
      <c r="F675" s="61"/>
      <c r="G675" s="61"/>
      <c r="H675" s="61"/>
      <c r="I675" s="61"/>
      <c r="J675" s="61"/>
      <c r="K675" s="71"/>
      <c r="L675" s="72"/>
      <c r="M675" s="68"/>
      <c r="N675" s="50"/>
      <c r="O675" s="68"/>
      <c r="P675" s="68"/>
      <c r="Q675" s="68"/>
      <c r="R675" s="68"/>
      <c r="S675" s="68"/>
      <c r="T675" s="68"/>
      <c r="U675" s="68"/>
      <c r="V675" s="68"/>
      <c r="W675" s="37"/>
      <c r="X675" s="37"/>
      <c r="Y675" s="37"/>
    </row>
    <row r="676" spans="1:25" ht="15.75" customHeight="1">
      <c r="A676" s="65"/>
      <c r="B676" s="65"/>
      <c r="C676" s="66"/>
      <c r="D676" s="66"/>
      <c r="E676" s="65"/>
      <c r="F676" s="65"/>
      <c r="G676" s="65"/>
      <c r="H676" s="65"/>
      <c r="I676" s="65"/>
      <c r="J676" s="65"/>
      <c r="K676" s="74"/>
      <c r="L676" s="75"/>
      <c r="M676" s="66"/>
      <c r="N676" s="50"/>
      <c r="O676" s="66"/>
      <c r="P676" s="66"/>
      <c r="Q676" s="66"/>
      <c r="R676" s="66"/>
      <c r="S676" s="66"/>
      <c r="T676" s="66"/>
      <c r="U676" s="66"/>
      <c r="V676" s="66"/>
      <c r="W676" s="37"/>
      <c r="X676" s="37"/>
      <c r="Y676" s="37"/>
    </row>
    <row r="677" spans="1:25" ht="15.75" customHeight="1">
      <c r="A677" s="61"/>
      <c r="B677" s="61"/>
      <c r="C677" s="68"/>
      <c r="D677" s="68"/>
      <c r="E677" s="61"/>
      <c r="F677" s="61"/>
      <c r="G677" s="61"/>
      <c r="H677" s="61"/>
      <c r="I677" s="61"/>
      <c r="J677" s="61"/>
      <c r="K677" s="71"/>
      <c r="L677" s="72"/>
      <c r="M677" s="68"/>
      <c r="N677" s="50"/>
      <c r="O677" s="68"/>
      <c r="P677" s="68"/>
      <c r="Q677" s="68"/>
      <c r="R677" s="68"/>
      <c r="S677" s="68"/>
      <c r="T677" s="68"/>
      <c r="U677" s="68"/>
      <c r="V677" s="68"/>
      <c r="W677" s="37"/>
      <c r="X677" s="37"/>
      <c r="Y677" s="37"/>
    </row>
    <row r="678" spans="1:25" ht="15.75" customHeight="1">
      <c r="A678" s="65"/>
      <c r="B678" s="65"/>
      <c r="C678" s="66"/>
      <c r="D678" s="66"/>
      <c r="E678" s="65"/>
      <c r="F678" s="65"/>
      <c r="G678" s="65"/>
      <c r="H678" s="65"/>
      <c r="I678" s="65"/>
      <c r="J678" s="65"/>
      <c r="K678" s="74"/>
      <c r="L678" s="75"/>
      <c r="M678" s="66"/>
      <c r="N678" s="50"/>
      <c r="O678" s="66"/>
      <c r="P678" s="66"/>
      <c r="Q678" s="66"/>
      <c r="R678" s="66"/>
      <c r="S678" s="66"/>
      <c r="T678" s="66"/>
      <c r="U678" s="66"/>
      <c r="V678" s="66"/>
      <c r="W678" s="37"/>
      <c r="X678" s="37"/>
      <c r="Y678" s="37"/>
    </row>
    <row r="679" spans="1:25" ht="15.75" customHeight="1">
      <c r="A679" s="61"/>
      <c r="B679" s="61"/>
      <c r="C679" s="68"/>
      <c r="D679" s="68"/>
      <c r="E679" s="61"/>
      <c r="F679" s="61"/>
      <c r="G679" s="61"/>
      <c r="H679" s="61"/>
      <c r="I679" s="61"/>
      <c r="J679" s="61"/>
      <c r="K679" s="71"/>
      <c r="L679" s="72"/>
      <c r="M679" s="68"/>
      <c r="N679" s="50"/>
      <c r="O679" s="68"/>
      <c r="P679" s="68"/>
      <c r="Q679" s="68"/>
      <c r="R679" s="68"/>
      <c r="S679" s="68"/>
      <c r="T679" s="68"/>
      <c r="U679" s="68"/>
      <c r="V679" s="68"/>
      <c r="W679" s="37"/>
      <c r="X679" s="37"/>
      <c r="Y679" s="37"/>
    </row>
    <row r="680" spans="1:25" ht="15.75" customHeight="1">
      <c r="A680" s="65"/>
      <c r="B680" s="65"/>
      <c r="C680" s="66"/>
      <c r="D680" s="66"/>
      <c r="E680" s="65"/>
      <c r="F680" s="65"/>
      <c r="G680" s="65"/>
      <c r="H680" s="65"/>
      <c r="I680" s="65"/>
      <c r="J680" s="65"/>
      <c r="K680" s="74"/>
      <c r="L680" s="75"/>
      <c r="M680" s="66"/>
      <c r="N680" s="50"/>
      <c r="O680" s="66"/>
      <c r="P680" s="66"/>
      <c r="Q680" s="66"/>
      <c r="R680" s="66"/>
      <c r="S680" s="66"/>
      <c r="T680" s="66"/>
      <c r="U680" s="66"/>
      <c r="V680" s="66"/>
      <c r="W680" s="37"/>
      <c r="X680" s="37"/>
      <c r="Y680" s="37"/>
    </row>
    <row r="681" spans="1:25" ht="15.75" customHeight="1">
      <c r="A681" s="61"/>
      <c r="B681" s="61"/>
      <c r="C681" s="68"/>
      <c r="D681" s="68"/>
      <c r="E681" s="61"/>
      <c r="F681" s="61"/>
      <c r="G681" s="61"/>
      <c r="H681" s="61"/>
      <c r="I681" s="61"/>
      <c r="J681" s="61"/>
      <c r="K681" s="71"/>
      <c r="L681" s="72"/>
      <c r="M681" s="68"/>
      <c r="N681" s="50"/>
      <c r="O681" s="68"/>
      <c r="P681" s="68"/>
      <c r="Q681" s="68"/>
      <c r="R681" s="68"/>
      <c r="S681" s="68"/>
      <c r="T681" s="68"/>
      <c r="U681" s="68"/>
      <c r="V681" s="68"/>
      <c r="W681" s="37"/>
      <c r="X681" s="37"/>
      <c r="Y681" s="37"/>
    </row>
    <row r="682" spans="1:25" ht="15.75" customHeight="1">
      <c r="A682" s="65"/>
      <c r="B682" s="65"/>
      <c r="C682" s="66"/>
      <c r="D682" s="66"/>
      <c r="E682" s="65"/>
      <c r="F682" s="65"/>
      <c r="G682" s="65"/>
      <c r="H682" s="65"/>
      <c r="I682" s="65"/>
      <c r="J682" s="65"/>
      <c r="K682" s="74"/>
      <c r="L682" s="75"/>
      <c r="M682" s="66"/>
      <c r="N682" s="50"/>
      <c r="O682" s="66"/>
      <c r="P682" s="66"/>
      <c r="Q682" s="66"/>
      <c r="R682" s="66"/>
      <c r="S682" s="66"/>
      <c r="T682" s="66"/>
      <c r="U682" s="66"/>
      <c r="V682" s="66"/>
      <c r="W682" s="37"/>
      <c r="X682" s="37"/>
      <c r="Y682" s="37"/>
    </row>
    <row r="683" spans="1:25" ht="15.75" customHeight="1">
      <c r="A683" s="61"/>
      <c r="B683" s="61"/>
      <c r="C683" s="68"/>
      <c r="D683" s="68"/>
      <c r="E683" s="61"/>
      <c r="F683" s="61"/>
      <c r="G683" s="61"/>
      <c r="H683" s="61"/>
      <c r="I683" s="61"/>
      <c r="J683" s="61"/>
      <c r="K683" s="71"/>
      <c r="L683" s="72"/>
      <c r="M683" s="68"/>
      <c r="N683" s="50"/>
      <c r="O683" s="68"/>
      <c r="P683" s="68"/>
      <c r="Q683" s="68"/>
      <c r="R683" s="68"/>
      <c r="S683" s="68"/>
      <c r="T683" s="68"/>
      <c r="U683" s="68"/>
      <c r="V683" s="68"/>
      <c r="W683" s="37"/>
      <c r="X683" s="37"/>
      <c r="Y683" s="37"/>
    </row>
    <row r="684" spans="1:25" ht="15.75" customHeight="1">
      <c r="A684" s="65"/>
      <c r="B684" s="65"/>
      <c r="C684" s="66"/>
      <c r="D684" s="66"/>
      <c r="E684" s="65"/>
      <c r="F684" s="65"/>
      <c r="G684" s="65"/>
      <c r="H684" s="65"/>
      <c r="I684" s="65"/>
      <c r="J684" s="65"/>
      <c r="K684" s="74"/>
      <c r="L684" s="75"/>
      <c r="M684" s="66"/>
      <c r="N684" s="50"/>
      <c r="O684" s="66"/>
      <c r="P684" s="66"/>
      <c r="Q684" s="66"/>
      <c r="R684" s="66"/>
      <c r="S684" s="66"/>
      <c r="T684" s="66"/>
      <c r="U684" s="66"/>
      <c r="V684" s="66"/>
      <c r="W684" s="37"/>
      <c r="X684" s="37"/>
      <c r="Y684" s="37"/>
    </row>
    <row r="685" spans="1:25" ht="15.75" customHeight="1">
      <c r="A685" s="61"/>
      <c r="B685" s="61"/>
      <c r="C685" s="68"/>
      <c r="D685" s="68"/>
      <c r="E685" s="61"/>
      <c r="F685" s="61"/>
      <c r="G685" s="61"/>
      <c r="H685" s="61"/>
      <c r="I685" s="61"/>
      <c r="J685" s="61"/>
      <c r="K685" s="71"/>
      <c r="L685" s="72"/>
      <c r="M685" s="68"/>
      <c r="N685" s="50"/>
      <c r="O685" s="68"/>
      <c r="P685" s="68"/>
      <c r="Q685" s="68"/>
      <c r="R685" s="68"/>
      <c r="S685" s="68"/>
      <c r="T685" s="68"/>
      <c r="U685" s="68"/>
      <c r="V685" s="68"/>
      <c r="W685" s="37"/>
      <c r="X685" s="37"/>
      <c r="Y685" s="37"/>
    </row>
    <row r="686" spans="1:25" ht="15.75" customHeight="1">
      <c r="A686" s="65"/>
      <c r="B686" s="65"/>
      <c r="C686" s="66"/>
      <c r="D686" s="66"/>
      <c r="E686" s="65"/>
      <c r="F686" s="65"/>
      <c r="G686" s="65"/>
      <c r="H686" s="65"/>
      <c r="I686" s="65"/>
      <c r="J686" s="65"/>
      <c r="K686" s="74"/>
      <c r="L686" s="75"/>
      <c r="M686" s="66"/>
      <c r="N686" s="50"/>
      <c r="O686" s="66"/>
      <c r="P686" s="66"/>
      <c r="Q686" s="66"/>
      <c r="R686" s="66"/>
      <c r="S686" s="66"/>
      <c r="T686" s="66"/>
      <c r="U686" s="66"/>
      <c r="V686" s="66"/>
      <c r="W686" s="37"/>
      <c r="X686" s="37"/>
      <c r="Y686" s="37"/>
    </row>
    <row r="687" spans="1:25" ht="15.75" customHeight="1">
      <c r="A687" s="61"/>
      <c r="B687" s="61"/>
      <c r="C687" s="68"/>
      <c r="D687" s="68"/>
      <c r="E687" s="61"/>
      <c r="F687" s="61"/>
      <c r="G687" s="61"/>
      <c r="H687" s="61"/>
      <c r="I687" s="61"/>
      <c r="J687" s="61"/>
      <c r="K687" s="71"/>
      <c r="L687" s="72"/>
      <c r="M687" s="68"/>
      <c r="N687" s="50"/>
      <c r="O687" s="68"/>
      <c r="P687" s="68"/>
      <c r="Q687" s="68"/>
      <c r="R687" s="68"/>
      <c r="S687" s="68"/>
      <c r="T687" s="68"/>
      <c r="U687" s="68"/>
      <c r="V687" s="68"/>
      <c r="W687" s="37"/>
      <c r="X687" s="37"/>
      <c r="Y687" s="37"/>
    </row>
    <row r="688" spans="1:25" ht="15.75" customHeight="1">
      <c r="A688" s="65"/>
      <c r="B688" s="65"/>
      <c r="C688" s="66"/>
      <c r="D688" s="66"/>
      <c r="E688" s="65"/>
      <c r="F688" s="65"/>
      <c r="G688" s="65"/>
      <c r="H688" s="65"/>
      <c r="I688" s="65"/>
      <c r="J688" s="65"/>
      <c r="K688" s="74"/>
      <c r="L688" s="75"/>
      <c r="M688" s="66"/>
      <c r="N688" s="50"/>
      <c r="O688" s="66"/>
      <c r="P688" s="66"/>
      <c r="Q688" s="66"/>
      <c r="R688" s="66"/>
      <c r="S688" s="66"/>
      <c r="T688" s="66"/>
      <c r="U688" s="66"/>
      <c r="V688" s="66"/>
      <c r="W688" s="37"/>
      <c r="X688" s="37"/>
      <c r="Y688" s="37"/>
    </row>
    <row r="689" spans="1:25" ht="15.75" customHeight="1">
      <c r="A689" s="61"/>
      <c r="B689" s="61"/>
      <c r="C689" s="68"/>
      <c r="D689" s="68"/>
      <c r="E689" s="61"/>
      <c r="F689" s="61"/>
      <c r="G689" s="61"/>
      <c r="H689" s="61"/>
      <c r="I689" s="61"/>
      <c r="J689" s="61"/>
      <c r="K689" s="71"/>
      <c r="L689" s="72"/>
      <c r="M689" s="68"/>
      <c r="N689" s="50"/>
      <c r="O689" s="68"/>
      <c r="P689" s="68"/>
      <c r="Q689" s="68"/>
      <c r="R689" s="68"/>
      <c r="S689" s="68"/>
      <c r="T689" s="68"/>
      <c r="U689" s="68"/>
      <c r="V689" s="68"/>
      <c r="W689" s="37"/>
      <c r="X689" s="37"/>
      <c r="Y689" s="37"/>
    </row>
    <row r="690" spans="1:25" ht="15.75" customHeight="1">
      <c r="A690" s="65"/>
      <c r="B690" s="65"/>
      <c r="C690" s="66"/>
      <c r="D690" s="66"/>
      <c r="E690" s="65"/>
      <c r="F690" s="65"/>
      <c r="G690" s="65"/>
      <c r="H690" s="65"/>
      <c r="I690" s="65"/>
      <c r="J690" s="65"/>
      <c r="K690" s="74"/>
      <c r="L690" s="75"/>
      <c r="M690" s="66"/>
      <c r="N690" s="50"/>
      <c r="O690" s="66"/>
      <c r="P690" s="66"/>
      <c r="Q690" s="66"/>
      <c r="R690" s="66"/>
      <c r="S690" s="66"/>
      <c r="T690" s="66"/>
      <c r="U690" s="66"/>
      <c r="V690" s="66"/>
      <c r="W690" s="37"/>
      <c r="X690" s="37"/>
      <c r="Y690" s="37"/>
    </row>
    <row r="691" spans="1:25" ht="15.75" customHeight="1">
      <c r="A691" s="61"/>
      <c r="B691" s="61"/>
      <c r="C691" s="68"/>
      <c r="D691" s="68"/>
      <c r="E691" s="61"/>
      <c r="F691" s="61"/>
      <c r="G691" s="61"/>
      <c r="H691" s="61"/>
      <c r="I691" s="61"/>
      <c r="J691" s="61"/>
      <c r="K691" s="71"/>
      <c r="L691" s="72"/>
      <c r="M691" s="68"/>
      <c r="N691" s="50"/>
      <c r="O691" s="68"/>
      <c r="P691" s="68"/>
      <c r="Q691" s="68"/>
      <c r="R691" s="68"/>
      <c r="S691" s="68"/>
      <c r="T691" s="68"/>
      <c r="U691" s="68"/>
      <c r="V691" s="68"/>
      <c r="W691" s="37"/>
      <c r="X691" s="37"/>
      <c r="Y691" s="37"/>
    </row>
    <row r="692" spans="1:25" ht="15.75" customHeight="1">
      <c r="A692" s="65"/>
      <c r="B692" s="65"/>
      <c r="C692" s="66"/>
      <c r="D692" s="66"/>
      <c r="E692" s="65"/>
      <c r="F692" s="65"/>
      <c r="G692" s="65"/>
      <c r="H692" s="65"/>
      <c r="I692" s="65"/>
      <c r="J692" s="65"/>
      <c r="K692" s="74"/>
      <c r="L692" s="75"/>
      <c r="M692" s="66"/>
      <c r="N692" s="50"/>
      <c r="O692" s="66"/>
      <c r="P692" s="66"/>
      <c r="Q692" s="66"/>
      <c r="R692" s="66"/>
      <c r="S692" s="66"/>
      <c r="T692" s="66"/>
      <c r="U692" s="66"/>
      <c r="V692" s="66"/>
      <c r="W692" s="37"/>
      <c r="X692" s="37"/>
      <c r="Y692" s="37"/>
    </row>
    <row r="693" spans="1:25" ht="15.75" customHeight="1">
      <c r="A693" s="61"/>
      <c r="B693" s="61"/>
      <c r="C693" s="68"/>
      <c r="D693" s="68"/>
      <c r="E693" s="61"/>
      <c r="F693" s="61"/>
      <c r="G693" s="61"/>
      <c r="H693" s="61"/>
      <c r="I693" s="61"/>
      <c r="J693" s="61"/>
      <c r="K693" s="71"/>
      <c r="L693" s="72"/>
      <c r="M693" s="68"/>
      <c r="N693" s="50"/>
      <c r="O693" s="68"/>
      <c r="P693" s="68"/>
      <c r="Q693" s="68"/>
      <c r="R693" s="68"/>
      <c r="S693" s="68"/>
      <c r="T693" s="68"/>
      <c r="U693" s="68"/>
      <c r="V693" s="68"/>
      <c r="W693" s="37"/>
      <c r="X693" s="37"/>
      <c r="Y693" s="37"/>
    </row>
    <row r="694" spans="1:25" ht="15.75" customHeight="1">
      <c r="A694" s="65"/>
      <c r="B694" s="65"/>
      <c r="C694" s="66"/>
      <c r="D694" s="66"/>
      <c r="E694" s="65"/>
      <c r="F694" s="65"/>
      <c r="G694" s="65"/>
      <c r="H694" s="65"/>
      <c r="I694" s="65"/>
      <c r="J694" s="65"/>
      <c r="K694" s="74"/>
      <c r="L694" s="75"/>
      <c r="M694" s="66"/>
      <c r="N694" s="50"/>
      <c r="O694" s="66"/>
      <c r="P694" s="66"/>
      <c r="Q694" s="66"/>
      <c r="R694" s="66"/>
      <c r="S694" s="66"/>
      <c r="T694" s="66"/>
      <c r="U694" s="66"/>
      <c r="V694" s="66"/>
      <c r="W694" s="37"/>
      <c r="X694" s="37"/>
      <c r="Y694" s="37"/>
    </row>
    <row r="695" spans="1:25" ht="15.75" customHeight="1">
      <c r="A695" s="61"/>
      <c r="B695" s="61"/>
      <c r="C695" s="68"/>
      <c r="D695" s="68"/>
      <c r="E695" s="61"/>
      <c r="F695" s="61"/>
      <c r="G695" s="61"/>
      <c r="H695" s="61"/>
      <c r="I695" s="61"/>
      <c r="J695" s="61"/>
      <c r="K695" s="71"/>
      <c r="L695" s="72"/>
      <c r="M695" s="68"/>
      <c r="N695" s="50"/>
      <c r="O695" s="68"/>
      <c r="P695" s="68"/>
      <c r="Q695" s="68"/>
      <c r="R695" s="68"/>
      <c r="S695" s="68"/>
      <c r="T695" s="68"/>
      <c r="U695" s="68"/>
      <c r="V695" s="68"/>
      <c r="W695" s="37"/>
      <c r="X695" s="37"/>
      <c r="Y695" s="37"/>
    </row>
    <row r="696" spans="1:25" ht="15.75" customHeight="1">
      <c r="A696" s="65"/>
      <c r="B696" s="65"/>
      <c r="C696" s="66"/>
      <c r="D696" s="66"/>
      <c r="E696" s="65"/>
      <c r="F696" s="65"/>
      <c r="G696" s="65"/>
      <c r="H696" s="65"/>
      <c r="I696" s="65"/>
      <c r="J696" s="65"/>
      <c r="K696" s="74"/>
      <c r="L696" s="75"/>
      <c r="M696" s="66"/>
      <c r="N696" s="50"/>
      <c r="O696" s="66"/>
      <c r="P696" s="66"/>
      <c r="Q696" s="66"/>
      <c r="R696" s="66"/>
      <c r="S696" s="66"/>
      <c r="T696" s="66"/>
      <c r="U696" s="66"/>
      <c r="V696" s="66"/>
      <c r="W696" s="37"/>
      <c r="X696" s="37"/>
      <c r="Y696" s="37"/>
    </row>
    <row r="697" spans="1:25" ht="15.75" customHeight="1">
      <c r="A697" s="61"/>
      <c r="B697" s="61"/>
      <c r="C697" s="68"/>
      <c r="D697" s="68"/>
      <c r="E697" s="61"/>
      <c r="F697" s="61"/>
      <c r="G697" s="61"/>
      <c r="H697" s="61"/>
      <c r="I697" s="61"/>
      <c r="J697" s="61"/>
      <c r="K697" s="71"/>
      <c r="L697" s="72"/>
      <c r="M697" s="68"/>
      <c r="N697" s="50"/>
      <c r="O697" s="68"/>
      <c r="P697" s="68"/>
      <c r="Q697" s="68"/>
      <c r="R697" s="68"/>
      <c r="S697" s="68"/>
      <c r="T697" s="68"/>
      <c r="U697" s="68"/>
      <c r="V697" s="68"/>
      <c r="W697" s="37"/>
      <c r="X697" s="37"/>
      <c r="Y697" s="37"/>
    </row>
    <row r="698" spans="1:25" ht="15.75" customHeight="1">
      <c r="A698" s="65"/>
      <c r="B698" s="65"/>
      <c r="C698" s="66"/>
      <c r="D698" s="66"/>
      <c r="E698" s="65"/>
      <c r="F698" s="65"/>
      <c r="G698" s="65"/>
      <c r="H698" s="65"/>
      <c r="I698" s="65"/>
      <c r="J698" s="65"/>
      <c r="K698" s="74"/>
      <c r="L698" s="75"/>
      <c r="M698" s="66"/>
      <c r="N698" s="50"/>
      <c r="O698" s="66"/>
      <c r="P698" s="66"/>
      <c r="Q698" s="66"/>
      <c r="R698" s="66"/>
      <c r="S698" s="66"/>
      <c r="T698" s="66"/>
      <c r="U698" s="66"/>
      <c r="V698" s="66"/>
      <c r="W698" s="37"/>
      <c r="X698" s="37"/>
      <c r="Y698" s="37"/>
    </row>
    <row r="699" spans="1:25" ht="15.75" customHeight="1">
      <c r="A699" s="61"/>
      <c r="B699" s="61"/>
      <c r="C699" s="68"/>
      <c r="D699" s="68"/>
      <c r="E699" s="61"/>
      <c r="F699" s="61"/>
      <c r="G699" s="61"/>
      <c r="H699" s="61"/>
      <c r="I699" s="61"/>
      <c r="J699" s="61"/>
      <c r="K699" s="71"/>
      <c r="L699" s="72"/>
      <c r="M699" s="68"/>
      <c r="N699" s="50"/>
      <c r="O699" s="68"/>
      <c r="P699" s="68"/>
      <c r="Q699" s="68"/>
      <c r="R699" s="68"/>
      <c r="S699" s="68"/>
      <c r="T699" s="68"/>
      <c r="U699" s="68"/>
      <c r="V699" s="68"/>
      <c r="W699" s="37"/>
      <c r="X699" s="37"/>
      <c r="Y699" s="37"/>
    </row>
    <row r="700" spans="1:25" ht="15.75" customHeight="1">
      <c r="A700" s="65"/>
      <c r="B700" s="65"/>
      <c r="C700" s="66"/>
      <c r="D700" s="66"/>
      <c r="E700" s="65"/>
      <c r="F700" s="65"/>
      <c r="G700" s="65"/>
      <c r="H700" s="65"/>
      <c r="I700" s="65"/>
      <c r="J700" s="65"/>
      <c r="K700" s="74"/>
      <c r="L700" s="75"/>
      <c r="M700" s="66"/>
      <c r="N700" s="50"/>
      <c r="O700" s="66"/>
      <c r="P700" s="66"/>
      <c r="Q700" s="66"/>
      <c r="R700" s="66"/>
      <c r="S700" s="66"/>
      <c r="T700" s="66"/>
      <c r="U700" s="66"/>
      <c r="V700" s="66"/>
      <c r="W700" s="37"/>
      <c r="X700" s="37"/>
      <c r="Y700" s="37"/>
    </row>
    <row r="701" spans="1:25" ht="15.75" customHeight="1">
      <c r="A701" s="61"/>
      <c r="B701" s="61"/>
      <c r="C701" s="68"/>
      <c r="D701" s="68"/>
      <c r="E701" s="61"/>
      <c r="F701" s="61"/>
      <c r="G701" s="61"/>
      <c r="H701" s="61"/>
      <c r="I701" s="61"/>
      <c r="J701" s="61"/>
      <c r="K701" s="71"/>
      <c r="L701" s="72"/>
      <c r="M701" s="68"/>
      <c r="N701" s="50"/>
      <c r="O701" s="68"/>
      <c r="P701" s="68"/>
      <c r="Q701" s="68"/>
      <c r="R701" s="68"/>
      <c r="S701" s="68"/>
      <c r="T701" s="68"/>
      <c r="U701" s="68"/>
      <c r="V701" s="68"/>
      <c r="W701" s="37"/>
      <c r="X701" s="37"/>
      <c r="Y701" s="37"/>
    </row>
    <row r="702" spans="1:25" ht="15.75" customHeight="1">
      <c r="A702" s="65"/>
      <c r="B702" s="65"/>
      <c r="C702" s="66"/>
      <c r="D702" s="66"/>
      <c r="E702" s="65"/>
      <c r="F702" s="65"/>
      <c r="G702" s="65"/>
      <c r="H702" s="65"/>
      <c r="I702" s="65"/>
      <c r="J702" s="65"/>
      <c r="K702" s="74"/>
      <c r="L702" s="75"/>
      <c r="M702" s="66"/>
      <c r="N702" s="50"/>
      <c r="O702" s="66"/>
      <c r="P702" s="66"/>
      <c r="Q702" s="66"/>
      <c r="R702" s="66"/>
      <c r="S702" s="66"/>
      <c r="T702" s="66"/>
      <c r="U702" s="66"/>
      <c r="V702" s="66"/>
      <c r="W702" s="37"/>
      <c r="X702" s="37"/>
      <c r="Y702" s="37"/>
    </row>
    <row r="703" spans="1:25" ht="15.75" customHeight="1">
      <c r="A703" s="61"/>
      <c r="B703" s="61"/>
      <c r="C703" s="68"/>
      <c r="D703" s="68"/>
      <c r="E703" s="61"/>
      <c r="F703" s="61"/>
      <c r="G703" s="61"/>
      <c r="H703" s="61"/>
      <c r="I703" s="61"/>
      <c r="J703" s="61"/>
      <c r="K703" s="71"/>
      <c r="L703" s="72"/>
      <c r="M703" s="68"/>
      <c r="N703" s="50"/>
      <c r="O703" s="68"/>
      <c r="P703" s="68"/>
      <c r="Q703" s="68"/>
      <c r="R703" s="68"/>
      <c r="S703" s="68"/>
      <c r="T703" s="68"/>
      <c r="U703" s="68"/>
      <c r="V703" s="68"/>
      <c r="W703" s="37"/>
      <c r="X703" s="37"/>
      <c r="Y703" s="37"/>
    </row>
    <row r="704" spans="1:25" ht="15.75" customHeight="1">
      <c r="A704" s="65"/>
      <c r="B704" s="65"/>
      <c r="C704" s="66"/>
      <c r="D704" s="66"/>
      <c r="E704" s="65"/>
      <c r="F704" s="65"/>
      <c r="G704" s="65"/>
      <c r="H704" s="65"/>
      <c r="I704" s="65"/>
      <c r="J704" s="65"/>
      <c r="K704" s="74"/>
      <c r="L704" s="75"/>
      <c r="M704" s="66"/>
      <c r="N704" s="50"/>
      <c r="O704" s="66"/>
      <c r="P704" s="66"/>
      <c r="Q704" s="66"/>
      <c r="R704" s="66"/>
      <c r="S704" s="66"/>
      <c r="T704" s="66"/>
      <c r="U704" s="66"/>
      <c r="V704" s="66"/>
      <c r="W704" s="37"/>
      <c r="X704" s="37"/>
      <c r="Y704" s="37"/>
    </row>
    <row r="705" spans="1:25" ht="15.75" customHeight="1">
      <c r="A705" s="61"/>
      <c r="B705" s="61"/>
      <c r="C705" s="68"/>
      <c r="D705" s="68"/>
      <c r="E705" s="61"/>
      <c r="F705" s="61"/>
      <c r="G705" s="61"/>
      <c r="H705" s="61"/>
      <c r="I705" s="61"/>
      <c r="J705" s="61"/>
      <c r="K705" s="71"/>
      <c r="L705" s="72"/>
      <c r="M705" s="68"/>
      <c r="N705" s="50"/>
      <c r="O705" s="68"/>
      <c r="P705" s="68"/>
      <c r="Q705" s="68"/>
      <c r="R705" s="68"/>
      <c r="S705" s="68"/>
      <c r="T705" s="68"/>
      <c r="U705" s="68"/>
      <c r="V705" s="68"/>
      <c r="W705" s="37"/>
      <c r="X705" s="37"/>
      <c r="Y705" s="37"/>
    </row>
    <row r="706" spans="1:25" ht="15.75" customHeight="1">
      <c r="A706" s="65"/>
      <c r="B706" s="65"/>
      <c r="C706" s="66"/>
      <c r="D706" s="66"/>
      <c r="E706" s="65"/>
      <c r="F706" s="65"/>
      <c r="G706" s="65"/>
      <c r="H706" s="65"/>
      <c r="I706" s="65"/>
      <c r="J706" s="65"/>
      <c r="K706" s="74"/>
      <c r="L706" s="75"/>
      <c r="M706" s="66"/>
      <c r="N706" s="50"/>
      <c r="O706" s="66"/>
      <c r="P706" s="66"/>
      <c r="Q706" s="66"/>
      <c r="R706" s="66"/>
      <c r="S706" s="66"/>
      <c r="T706" s="66"/>
      <c r="U706" s="66"/>
      <c r="V706" s="66"/>
      <c r="W706" s="37"/>
      <c r="X706" s="37"/>
      <c r="Y706" s="37"/>
    </row>
    <row r="707" spans="1:25" ht="15.75" customHeight="1">
      <c r="A707" s="61"/>
      <c r="B707" s="61"/>
      <c r="C707" s="68"/>
      <c r="D707" s="68"/>
      <c r="E707" s="61"/>
      <c r="F707" s="61"/>
      <c r="G707" s="61"/>
      <c r="H707" s="61"/>
      <c r="I707" s="61"/>
      <c r="J707" s="61"/>
      <c r="K707" s="71"/>
      <c r="L707" s="72"/>
      <c r="M707" s="68"/>
      <c r="N707" s="50"/>
      <c r="O707" s="68"/>
      <c r="P707" s="68"/>
      <c r="Q707" s="68"/>
      <c r="R707" s="68"/>
      <c r="S707" s="68"/>
      <c r="T707" s="68"/>
      <c r="U707" s="68"/>
      <c r="V707" s="68"/>
      <c r="W707" s="37"/>
      <c r="X707" s="37"/>
      <c r="Y707" s="37"/>
    </row>
    <row r="708" spans="1:25" ht="15.75" customHeight="1">
      <c r="A708" s="65"/>
      <c r="B708" s="65"/>
      <c r="C708" s="66"/>
      <c r="D708" s="66"/>
      <c r="E708" s="65"/>
      <c r="F708" s="65"/>
      <c r="G708" s="65"/>
      <c r="H708" s="65"/>
      <c r="I708" s="65"/>
      <c r="J708" s="65"/>
      <c r="K708" s="74"/>
      <c r="L708" s="75"/>
      <c r="M708" s="66"/>
      <c r="N708" s="50"/>
      <c r="O708" s="66"/>
      <c r="P708" s="66"/>
      <c r="Q708" s="66"/>
      <c r="R708" s="66"/>
      <c r="S708" s="66"/>
      <c r="T708" s="66"/>
      <c r="U708" s="66"/>
      <c r="V708" s="66"/>
      <c r="W708" s="37"/>
      <c r="X708" s="37"/>
      <c r="Y708" s="37"/>
    </row>
    <row r="709" spans="1:25" ht="15.75" customHeight="1">
      <c r="A709" s="61"/>
      <c r="B709" s="61"/>
      <c r="C709" s="68"/>
      <c r="D709" s="68"/>
      <c r="E709" s="61"/>
      <c r="F709" s="61"/>
      <c r="G709" s="61"/>
      <c r="H709" s="61"/>
      <c r="I709" s="61"/>
      <c r="J709" s="61"/>
      <c r="K709" s="71"/>
      <c r="L709" s="72"/>
      <c r="M709" s="68"/>
      <c r="N709" s="50"/>
      <c r="O709" s="68"/>
      <c r="P709" s="68"/>
      <c r="Q709" s="68"/>
      <c r="R709" s="68"/>
      <c r="S709" s="68"/>
      <c r="T709" s="68"/>
      <c r="U709" s="68"/>
      <c r="V709" s="68"/>
      <c r="W709" s="37"/>
      <c r="X709" s="37"/>
      <c r="Y709" s="37"/>
    </row>
    <row r="710" spans="1:25" ht="15.75" customHeight="1">
      <c r="A710" s="65"/>
      <c r="B710" s="65"/>
      <c r="C710" s="66"/>
      <c r="D710" s="66"/>
      <c r="E710" s="65"/>
      <c r="F710" s="65"/>
      <c r="G710" s="65"/>
      <c r="H710" s="65"/>
      <c r="I710" s="65"/>
      <c r="J710" s="65"/>
      <c r="K710" s="74"/>
      <c r="L710" s="75"/>
      <c r="M710" s="66"/>
      <c r="N710" s="50"/>
      <c r="O710" s="66"/>
      <c r="P710" s="66"/>
      <c r="Q710" s="66"/>
      <c r="R710" s="66"/>
      <c r="S710" s="66"/>
      <c r="T710" s="66"/>
      <c r="U710" s="66"/>
      <c r="V710" s="66"/>
      <c r="W710" s="37"/>
      <c r="X710" s="37"/>
      <c r="Y710" s="37"/>
    </row>
    <row r="711" spans="1:25" ht="15.75" customHeight="1">
      <c r="A711" s="61"/>
      <c r="B711" s="61"/>
      <c r="C711" s="68"/>
      <c r="D711" s="68"/>
      <c r="E711" s="61"/>
      <c r="F711" s="61"/>
      <c r="G711" s="61"/>
      <c r="H711" s="61"/>
      <c r="I711" s="61"/>
      <c r="J711" s="61"/>
      <c r="K711" s="71"/>
      <c r="L711" s="72"/>
      <c r="M711" s="68"/>
      <c r="N711" s="50"/>
      <c r="O711" s="68"/>
      <c r="P711" s="68"/>
      <c r="Q711" s="68"/>
      <c r="R711" s="68"/>
      <c r="S711" s="68"/>
      <c r="T711" s="68"/>
      <c r="U711" s="68"/>
      <c r="V711" s="68"/>
      <c r="W711" s="37"/>
      <c r="X711" s="37"/>
      <c r="Y711" s="37"/>
    </row>
    <row r="712" spans="1:25" ht="15.75" customHeight="1">
      <c r="A712" s="65"/>
      <c r="B712" s="65"/>
      <c r="C712" s="66"/>
      <c r="D712" s="66"/>
      <c r="E712" s="65"/>
      <c r="F712" s="65"/>
      <c r="G712" s="65"/>
      <c r="H712" s="65"/>
      <c r="I712" s="65"/>
      <c r="J712" s="65"/>
      <c r="K712" s="74"/>
      <c r="L712" s="75"/>
      <c r="M712" s="66"/>
      <c r="N712" s="50"/>
      <c r="O712" s="66"/>
      <c r="P712" s="66"/>
      <c r="Q712" s="66"/>
      <c r="R712" s="66"/>
      <c r="S712" s="66"/>
      <c r="T712" s="66"/>
      <c r="U712" s="66"/>
      <c r="V712" s="66"/>
      <c r="W712" s="37"/>
      <c r="X712" s="37"/>
      <c r="Y712" s="37"/>
    </row>
    <row r="713" spans="1:25" ht="15.75" customHeight="1">
      <c r="A713" s="61"/>
      <c r="B713" s="61"/>
      <c r="C713" s="68"/>
      <c r="D713" s="68"/>
      <c r="E713" s="61"/>
      <c r="F713" s="61"/>
      <c r="G713" s="61"/>
      <c r="H713" s="61"/>
      <c r="I713" s="61"/>
      <c r="J713" s="61"/>
      <c r="K713" s="71"/>
      <c r="L713" s="72"/>
      <c r="M713" s="68"/>
      <c r="N713" s="50"/>
      <c r="O713" s="68"/>
      <c r="P713" s="68"/>
      <c r="Q713" s="68"/>
      <c r="R713" s="68"/>
      <c r="S713" s="68"/>
      <c r="T713" s="68"/>
      <c r="U713" s="68"/>
      <c r="V713" s="68"/>
      <c r="W713" s="37"/>
      <c r="X713" s="37"/>
      <c r="Y713" s="37"/>
    </row>
    <row r="714" spans="1:25" ht="15.75" customHeight="1">
      <c r="A714" s="65"/>
      <c r="B714" s="65"/>
      <c r="C714" s="66"/>
      <c r="D714" s="66"/>
      <c r="E714" s="65"/>
      <c r="F714" s="65"/>
      <c r="G714" s="65"/>
      <c r="H714" s="65"/>
      <c r="I714" s="65"/>
      <c r="J714" s="65"/>
      <c r="K714" s="74"/>
      <c r="L714" s="75"/>
      <c r="M714" s="66"/>
      <c r="N714" s="50"/>
      <c r="O714" s="66"/>
      <c r="P714" s="66"/>
      <c r="Q714" s="66"/>
      <c r="R714" s="66"/>
      <c r="S714" s="66"/>
      <c r="T714" s="66"/>
      <c r="U714" s="66"/>
      <c r="V714" s="66"/>
      <c r="W714" s="37"/>
      <c r="X714" s="37"/>
      <c r="Y714" s="37"/>
    </row>
    <row r="715" spans="1:25" ht="15.75" customHeight="1">
      <c r="A715" s="61"/>
      <c r="B715" s="61"/>
      <c r="C715" s="68"/>
      <c r="D715" s="68"/>
      <c r="E715" s="61"/>
      <c r="F715" s="61"/>
      <c r="G715" s="61"/>
      <c r="H715" s="61"/>
      <c r="I715" s="61"/>
      <c r="J715" s="61"/>
      <c r="K715" s="71"/>
      <c r="L715" s="72"/>
      <c r="M715" s="68"/>
      <c r="N715" s="50"/>
      <c r="O715" s="68"/>
      <c r="P715" s="68"/>
      <c r="Q715" s="68"/>
      <c r="R715" s="68"/>
      <c r="S715" s="68"/>
      <c r="T715" s="68"/>
      <c r="U715" s="68"/>
      <c r="V715" s="68"/>
      <c r="W715" s="37"/>
      <c r="X715" s="37"/>
      <c r="Y715" s="37"/>
    </row>
    <row r="716" spans="1:25" ht="15.75" customHeight="1">
      <c r="A716" s="65"/>
      <c r="B716" s="65"/>
      <c r="C716" s="66"/>
      <c r="D716" s="66"/>
      <c r="E716" s="65"/>
      <c r="F716" s="65"/>
      <c r="G716" s="65"/>
      <c r="H716" s="65"/>
      <c r="I716" s="65"/>
      <c r="J716" s="65"/>
      <c r="K716" s="74"/>
      <c r="L716" s="75"/>
      <c r="M716" s="66"/>
      <c r="N716" s="50"/>
      <c r="O716" s="66"/>
      <c r="P716" s="66"/>
      <c r="Q716" s="66"/>
      <c r="R716" s="66"/>
      <c r="S716" s="66"/>
      <c r="T716" s="66"/>
      <c r="U716" s="66"/>
      <c r="V716" s="66"/>
      <c r="W716" s="37"/>
      <c r="X716" s="37"/>
      <c r="Y716" s="37"/>
    </row>
    <row r="717" spans="1:25" ht="15.75" customHeight="1">
      <c r="A717" s="61"/>
      <c r="B717" s="61"/>
      <c r="C717" s="68"/>
      <c r="D717" s="68"/>
      <c r="E717" s="61"/>
      <c r="F717" s="61"/>
      <c r="G717" s="61"/>
      <c r="H717" s="61"/>
      <c r="I717" s="61"/>
      <c r="J717" s="61"/>
      <c r="K717" s="71"/>
      <c r="L717" s="72"/>
      <c r="M717" s="68"/>
      <c r="N717" s="50"/>
      <c r="O717" s="68"/>
      <c r="P717" s="68"/>
      <c r="Q717" s="68"/>
      <c r="R717" s="68"/>
      <c r="S717" s="68"/>
      <c r="T717" s="68"/>
      <c r="U717" s="68"/>
      <c r="V717" s="68"/>
      <c r="W717" s="37"/>
      <c r="X717" s="37"/>
      <c r="Y717" s="37"/>
    </row>
    <row r="718" spans="1:25" ht="15.75" customHeight="1">
      <c r="A718" s="65"/>
      <c r="B718" s="65"/>
      <c r="C718" s="66"/>
      <c r="D718" s="66"/>
      <c r="E718" s="65"/>
      <c r="F718" s="65"/>
      <c r="G718" s="65"/>
      <c r="H718" s="65"/>
      <c r="I718" s="65"/>
      <c r="J718" s="65"/>
      <c r="K718" s="74"/>
      <c r="L718" s="75"/>
      <c r="M718" s="66"/>
      <c r="N718" s="50"/>
      <c r="O718" s="66"/>
      <c r="P718" s="66"/>
      <c r="Q718" s="66"/>
      <c r="R718" s="66"/>
      <c r="S718" s="66"/>
      <c r="T718" s="66"/>
      <c r="U718" s="66"/>
      <c r="V718" s="66"/>
      <c r="W718" s="37"/>
      <c r="X718" s="37"/>
      <c r="Y718" s="37"/>
    </row>
    <row r="719" spans="1:25" ht="15.75" customHeight="1">
      <c r="A719" s="61"/>
      <c r="B719" s="61"/>
      <c r="C719" s="68"/>
      <c r="D719" s="68"/>
      <c r="E719" s="61"/>
      <c r="F719" s="61"/>
      <c r="G719" s="61"/>
      <c r="H719" s="61"/>
      <c r="I719" s="61"/>
      <c r="J719" s="61"/>
      <c r="K719" s="71"/>
      <c r="L719" s="72"/>
      <c r="M719" s="68"/>
      <c r="N719" s="50"/>
      <c r="O719" s="68"/>
      <c r="P719" s="68"/>
      <c r="Q719" s="68"/>
      <c r="R719" s="68"/>
      <c r="S719" s="68"/>
      <c r="T719" s="68"/>
      <c r="U719" s="68"/>
      <c r="V719" s="68"/>
      <c r="W719" s="37"/>
      <c r="X719" s="37"/>
      <c r="Y719" s="37"/>
    </row>
    <row r="720" spans="1:25" ht="15.75" customHeight="1">
      <c r="A720" s="65"/>
      <c r="B720" s="65"/>
      <c r="C720" s="66"/>
      <c r="D720" s="66"/>
      <c r="E720" s="65"/>
      <c r="F720" s="65"/>
      <c r="G720" s="65"/>
      <c r="H720" s="65"/>
      <c r="I720" s="65"/>
      <c r="J720" s="65"/>
      <c r="K720" s="74"/>
      <c r="L720" s="75"/>
      <c r="M720" s="66"/>
      <c r="N720" s="50"/>
      <c r="O720" s="66"/>
      <c r="P720" s="66"/>
      <c r="Q720" s="66"/>
      <c r="R720" s="66"/>
      <c r="S720" s="66"/>
      <c r="T720" s="66"/>
      <c r="U720" s="66"/>
      <c r="V720" s="66"/>
      <c r="W720" s="37"/>
      <c r="X720" s="37"/>
      <c r="Y720" s="37"/>
    </row>
    <row r="721" spans="1:25" ht="15.75" customHeight="1">
      <c r="A721" s="61"/>
      <c r="B721" s="61"/>
      <c r="C721" s="68"/>
      <c r="D721" s="68"/>
      <c r="E721" s="61"/>
      <c r="F721" s="61"/>
      <c r="G721" s="61"/>
      <c r="H721" s="61"/>
      <c r="I721" s="61"/>
      <c r="J721" s="61"/>
      <c r="K721" s="71"/>
      <c r="L721" s="72"/>
      <c r="M721" s="68"/>
      <c r="N721" s="50"/>
      <c r="O721" s="68"/>
      <c r="P721" s="68"/>
      <c r="Q721" s="68"/>
      <c r="R721" s="68"/>
      <c r="S721" s="68"/>
      <c r="T721" s="68"/>
      <c r="U721" s="68"/>
      <c r="V721" s="68"/>
      <c r="W721" s="37"/>
      <c r="X721" s="37"/>
      <c r="Y721" s="37"/>
    </row>
    <row r="722" spans="1:25" ht="15.75" customHeight="1">
      <c r="A722" s="65"/>
      <c r="B722" s="65"/>
      <c r="C722" s="66"/>
      <c r="D722" s="66"/>
      <c r="E722" s="65"/>
      <c r="F722" s="65"/>
      <c r="G722" s="65"/>
      <c r="H722" s="65"/>
      <c r="I722" s="65"/>
      <c r="J722" s="65"/>
      <c r="K722" s="74"/>
      <c r="L722" s="75"/>
      <c r="M722" s="66"/>
      <c r="N722" s="50"/>
      <c r="O722" s="66"/>
      <c r="P722" s="66"/>
      <c r="Q722" s="66"/>
      <c r="R722" s="66"/>
      <c r="S722" s="66"/>
      <c r="T722" s="66"/>
      <c r="U722" s="66"/>
      <c r="V722" s="66"/>
      <c r="W722" s="37"/>
      <c r="X722" s="37"/>
      <c r="Y722" s="37"/>
    </row>
    <row r="723" spans="1:25" ht="15.75" customHeight="1">
      <c r="A723" s="61"/>
      <c r="B723" s="61"/>
      <c r="C723" s="68"/>
      <c r="D723" s="68"/>
      <c r="E723" s="61"/>
      <c r="F723" s="61"/>
      <c r="G723" s="61"/>
      <c r="H723" s="61"/>
      <c r="I723" s="61"/>
      <c r="J723" s="61"/>
      <c r="K723" s="71"/>
      <c r="L723" s="72"/>
      <c r="M723" s="68"/>
      <c r="N723" s="50"/>
      <c r="O723" s="68"/>
      <c r="P723" s="68"/>
      <c r="Q723" s="68"/>
      <c r="R723" s="68"/>
      <c r="S723" s="68"/>
      <c r="T723" s="68"/>
      <c r="U723" s="68"/>
      <c r="V723" s="68"/>
      <c r="W723" s="37"/>
      <c r="X723" s="37"/>
      <c r="Y723" s="37"/>
    </row>
    <row r="724" spans="1:25" ht="15.75" customHeight="1">
      <c r="A724" s="65"/>
      <c r="B724" s="65"/>
      <c r="C724" s="66"/>
      <c r="D724" s="66"/>
      <c r="E724" s="65"/>
      <c r="F724" s="65"/>
      <c r="G724" s="65"/>
      <c r="H724" s="65"/>
      <c r="I724" s="65"/>
      <c r="J724" s="65"/>
      <c r="K724" s="74"/>
      <c r="L724" s="75"/>
      <c r="M724" s="66"/>
      <c r="N724" s="50"/>
      <c r="O724" s="66"/>
      <c r="P724" s="66"/>
      <c r="Q724" s="66"/>
      <c r="R724" s="66"/>
      <c r="S724" s="66"/>
      <c r="T724" s="66"/>
      <c r="U724" s="66"/>
      <c r="V724" s="66"/>
      <c r="W724" s="37"/>
      <c r="X724" s="37"/>
      <c r="Y724" s="37"/>
    </row>
    <row r="725" spans="1:25" ht="15.75" customHeight="1">
      <c r="A725" s="61"/>
      <c r="B725" s="61"/>
      <c r="C725" s="68"/>
      <c r="D725" s="68"/>
      <c r="E725" s="61"/>
      <c r="F725" s="61"/>
      <c r="G725" s="61"/>
      <c r="H725" s="61"/>
      <c r="I725" s="61"/>
      <c r="J725" s="61"/>
      <c r="K725" s="71"/>
      <c r="L725" s="72"/>
      <c r="M725" s="68"/>
      <c r="N725" s="50"/>
      <c r="O725" s="68"/>
      <c r="P725" s="68"/>
      <c r="Q725" s="68"/>
      <c r="R725" s="68"/>
      <c r="S725" s="68"/>
      <c r="T725" s="68"/>
      <c r="U725" s="68"/>
      <c r="V725" s="68"/>
      <c r="W725" s="37"/>
      <c r="X725" s="37"/>
      <c r="Y725" s="37"/>
    </row>
    <row r="726" spans="1:25" ht="15.75" customHeight="1">
      <c r="A726" s="65"/>
      <c r="B726" s="65"/>
      <c r="C726" s="66"/>
      <c r="D726" s="66"/>
      <c r="E726" s="65"/>
      <c r="F726" s="65"/>
      <c r="G726" s="65"/>
      <c r="H726" s="65"/>
      <c r="I726" s="65"/>
      <c r="J726" s="65"/>
      <c r="K726" s="74"/>
      <c r="L726" s="75"/>
      <c r="M726" s="66"/>
      <c r="N726" s="50"/>
      <c r="O726" s="66"/>
      <c r="P726" s="66"/>
      <c r="Q726" s="66"/>
      <c r="R726" s="66"/>
      <c r="S726" s="66"/>
      <c r="T726" s="66"/>
      <c r="U726" s="66"/>
      <c r="V726" s="66"/>
      <c r="W726" s="37"/>
      <c r="X726" s="37"/>
      <c r="Y726" s="37"/>
    </row>
    <row r="727" spans="1:25" ht="15.75" customHeight="1">
      <c r="A727" s="61"/>
      <c r="B727" s="61"/>
      <c r="C727" s="68"/>
      <c r="D727" s="68"/>
      <c r="E727" s="61"/>
      <c r="F727" s="61"/>
      <c r="G727" s="61"/>
      <c r="H727" s="61"/>
      <c r="I727" s="61"/>
      <c r="J727" s="61"/>
      <c r="K727" s="71"/>
      <c r="L727" s="72"/>
      <c r="M727" s="68"/>
      <c r="N727" s="50"/>
      <c r="O727" s="68"/>
      <c r="P727" s="68"/>
      <c r="Q727" s="68"/>
      <c r="R727" s="68"/>
      <c r="S727" s="68"/>
      <c r="T727" s="68"/>
      <c r="U727" s="68"/>
      <c r="V727" s="68"/>
      <c r="W727" s="37"/>
      <c r="X727" s="37"/>
      <c r="Y727" s="37"/>
    </row>
    <row r="728" spans="1:25" ht="15.75" customHeight="1">
      <c r="A728" s="65"/>
      <c r="B728" s="65"/>
      <c r="C728" s="66"/>
      <c r="D728" s="66"/>
      <c r="E728" s="65"/>
      <c r="F728" s="65"/>
      <c r="G728" s="65"/>
      <c r="H728" s="65"/>
      <c r="I728" s="65"/>
      <c r="J728" s="65"/>
      <c r="K728" s="74"/>
      <c r="L728" s="75"/>
      <c r="M728" s="66"/>
      <c r="N728" s="50"/>
      <c r="O728" s="66"/>
      <c r="P728" s="66"/>
      <c r="Q728" s="66"/>
      <c r="R728" s="66"/>
      <c r="S728" s="66"/>
      <c r="T728" s="66"/>
      <c r="U728" s="66"/>
      <c r="V728" s="66"/>
      <c r="W728" s="37"/>
      <c r="X728" s="37"/>
      <c r="Y728" s="37"/>
    </row>
    <row r="729" spans="1:25" ht="15.75" customHeight="1">
      <c r="A729" s="61"/>
      <c r="B729" s="61"/>
      <c r="C729" s="68"/>
      <c r="D729" s="68"/>
      <c r="E729" s="61"/>
      <c r="F729" s="61"/>
      <c r="G729" s="61"/>
      <c r="H729" s="61"/>
      <c r="I729" s="61"/>
      <c r="J729" s="61"/>
      <c r="K729" s="71"/>
      <c r="L729" s="72"/>
      <c r="M729" s="68"/>
      <c r="N729" s="50"/>
      <c r="O729" s="68"/>
      <c r="P729" s="68"/>
      <c r="Q729" s="68"/>
      <c r="R729" s="68"/>
      <c r="S729" s="68"/>
      <c r="T729" s="68"/>
      <c r="U729" s="68"/>
      <c r="V729" s="68"/>
      <c r="W729" s="37"/>
      <c r="X729" s="37"/>
      <c r="Y729" s="37"/>
    </row>
    <row r="730" spans="1:25" ht="15.75" customHeight="1">
      <c r="A730" s="65"/>
      <c r="B730" s="65"/>
      <c r="C730" s="66"/>
      <c r="D730" s="66"/>
      <c r="E730" s="65"/>
      <c r="F730" s="65"/>
      <c r="G730" s="65"/>
      <c r="H730" s="65"/>
      <c r="I730" s="65"/>
      <c r="J730" s="65"/>
      <c r="K730" s="74"/>
      <c r="L730" s="75"/>
      <c r="M730" s="66"/>
      <c r="N730" s="50"/>
      <c r="O730" s="66"/>
      <c r="P730" s="66"/>
      <c r="Q730" s="66"/>
      <c r="R730" s="66"/>
      <c r="S730" s="66"/>
      <c r="T730" s="66"/>
      <c r="U730" s="66"/>
      <c r="V730" s="66"/>
      <c r="W730" s="37"/>
      <c r="X730" s="37"/>
      <c r="Y730" s="37"/>
    </row>
    <row r="731" spans="1:25" ht="15.75" customHeight="1">
      <c r="A731" s="61"/>
      <c r="B731" s="61"/>
      <c r="C731" s="68"/>
      <c r="D731" s="68"/>
      <c r="E731" s="61"/>
      <c r="F731" s="61"/>
      <c r="G731" s="61"/>
      <c r="H731" s="61"/>
      <c r="I731" s="61"/>
      <c r="J731" s="61"/>
      <c r="K731" s="71"/>
      <c r="L731" s="72"/>
      <c r="M731" s="68"/>
      <c r="N731" s="50"/>
      <c r="O731" s="68"/>
      <c r="P731" s="68"/>
      <c r="Q731" s="68"/>
      <c r="R731" s="68"/>
      <c r="S731" s="68"/>
      <c r="T731" s="68"/>
      <c r="U731" s="68"/>
      <c r="V731" s="68"/>
      <c r="W731" s="37"/>
      <c r="X731" s="37"/>
      <c r="Y731" s="37"/>
    </row>
    <row r="732" spans="1:25" ht="15.75" customHeight="1">
      <c r="A732" s="65"/>
      <c r="B732" s="65"/>
      <c r="C732" s="66"/>
      <c r="D732" s="66"/>
      <c r="E732" s="65"/>
      <c r="F732" s="65"/>
      <c r="G732" s="65"/>
      <c r="H732" s="65"/>
      <c r="I732" s="65"/>
      <c r="J732" s="65"/>
      <c r="K732" s="74"/>
      <c r="L732" s="75"/>
      <c r="M732" s="66"/>
      <c r="N732" s="50"/>
      <c r="O732" s="66"/>
      <c r="P732" s="66"/>
      <c r="Q732" s="66"/>
      <c r="R732" s="66"/>
      <c r="S732" s="66"/>
      <c r="T732" s="66"/>
      <c r="U732" s="66"/>
      <c r="V732" s="66"/>
      <c r="W732" s="37"/>
      <c r="X732" s="37"/>
      <c r="Y732" s="37"/>
    </row>
    <row r="733" spans="1:25" ht="15.75" customHeight="1">
      <c r="A733" s="61"/>
      <c r="B733" s="61"/>
      <c r="C733" s="68"/>
      <c r="D733" s="68"/>
      <c r="E733" s="61"/>
      <c r="F733" s="61"/>
      <c r="G733" s="61"/>
      <c r="H733" s="61"/>
      <c r="I733" s="61"/>
      <c r="J733" s="61"/>
      <c r="K733" s="71"/>
      <c r="L733" s="72"/>
      <c r="M733" s="68"/>
      <c r="N733" s="50"/>
      <c r="O733" s="68"/>
      <c r="P733" s="68"/>
      <c r="Q733" s="68"/>
      <c r="R733" s="68"/>
      <c r="S733" s="68"/>
      <c r="T733" s="68"/>
      <c r="U733" s="68"/>
      <c r="V733" s="68"/>
      <c r="W733" s="37"/>
      <c r="X733" s="37"/>
      <c r="Y733" s="37"/>
    </row>
    <row r="734" spans="1:25" ht="15.75" customHeight="1">
      <c r="A734" s="65"/>
      <c r="B734" s="65"/>
      <c r="C734" s="66"/>
      <c r="D734" s="66"/>
      <c r="E734" s="65"/>
      <c r="F734" s="65"/>
      <c r="G734" s="65"/>
      <c r="H734" s="65"/>
      <c r="I734" s="65"/>
      <c r="J734" s="65"/>
      <c r="K734" s="74"/>
      <c r="L734" s="75"/>
      <c r="M734" s="66"/>
      <c r="N734" s="50"/>
      <c r="O734" s="66"/>
      <c r="P734" s="66"/>
      <c r="Q734" s="66"/>
      <c r="R734" s="66"/>
      <c r="S734" s="66"/>
      <c r="T734" s="66"/>
      <c r="U734" s="66"/>
      <c r="V734" s="66"/>
      <c r="W734" s="37"/>
      <c r="X734" s="37"/>
      <c r="Y734" s="37"/>
    </row>
    <row r="735" spans="1:25" ht="15.75" customHeight="1">
      <c r="A735" s="61"/>
      <c r="B735" s="61"/>
      <c r="C735" s="68"/>
      <c r="D735" s="68"/>
      <c r="E735" s="61"/>
      <c r="F735" s="61"/>
      <c r="G735" s="61"/>
      <c r="H735" s="61"/>
      <c r="I735" s="61"/>
      <c r="J735" s="61"/>
      <c r="K735" s="71"/>
      <c r="L735" s="72"/>
      <c r="M735" s="68"/>
      <c r="N735" s="50"/>
      <c r="O735" s="68"/>
      <c r="P735" s="68"/>
      <c r="Q735" s="68"/>
      <c r="R735" s="68"/>
      <c r="S735" s="68"/>
      <c r="T735" s="68"/>
      <c r="U735" s="68"/>
      <c r="V735" s="68"/>
      <c r="W735" s="37"/>
      <c r="X735" s="37"/>
      <c r="Y735" s="37"/>
    </row>
    <row r="736" spans="1:25" ht="15.75" customHeight="1">
      <c r="A736" s="65"/>
      <c r="B736" s="65"/>
      <c r="C736" s="66"/>
      <c r="D736" s="66"/>
      <c r="E736" s="65"/>
      <c r="F736" s="65"/>
      <c r="G736" s="65"/>
      <c r="H736" s="65"/>
      <c r="I736" s="65"/>
      <c r="J736" s="65"/>
      <c r="K736" s="74"/>
      <c r="L736" s="75"/>
      <c r="M736" s="66"/>
      <c r="N736" s="50"/>
      <c r="O736" s="66"/>
      <c r="P736" s="66"/>
      <c r="Q736" s="66"/>
      <c r="R736" s="66"/>
      <c r="S736" s="66"/>
      <c r="T736" s="66"/>
      <c r="U736" s="66"/>
      <c r="V736" s="66"/>
      <c r="W736" s="37"/>
      <c r="X736" s="37"/>
      <c r="Y736" s="37"/>
    </row>
    <row r="737" spans="1:25" ht="15.75" customHeight="1">
      <c r="A737" s="61"/>
      <c r="B737" s="61"/>
      <c r="C737" s="68"/>
      <c r="D737" s="68"/>
      <c r="E737" s="61"/>
      <c r="F737" s="61"/>
      <c r="G737" s="61"/>
      <c r="H737" s="61"/>
      <c r="I737" s="61"/>
      <c r="J737" s="61"/>
      <c r="K737" s="71"/>
      <c r="L737" s="72"/>
      <c r="M737" s="68"/>
      <c r="N737" s="50"/>
      <c r="O737" s="68"/>
      <c r="P737" s="68"/>
      <c r="Q737" s="68"/>
      <c r="R737" s="68"/>
      <c r="S737" s="68"/>
      <c r="T737" s="68"/>
      <c r="U737" s="68"/>
      <c r="V737" s="68"/>
      <c r="W737" s="37"/>
      <c r="X737" s="37"/>
      <c r="Y737" s="37"/>
    </row>
    <row r="738" spans="1:25" ht="15.75" customHeight="1">
      <c r="A738" s="65"/>
      <c r="B738" s="65"/>
      <c r="C738" s="66"/>
      <c r="D738" s="66"/>
      <c r="E738" s="65"/>
      <c r="F738" s="65"/>
      <c r="G738" s="65"/>
      <c r="H738" s="65"/>
      <c r="I738" s="65"/>
      <c r="J738" s="65"/>
      <c r="K738" s="74"/>
      <c r="L738" s="75"/>
      <c r="M738" s="66"/>
      <c r="N738" s="50"/>
      <c r="O738" s="66"/>
      <c r="P738" s="66"/>
      <c r="Q738" s="66"/>
      <c r="R738" s="66"/>
      <c r="S738" s="66"/>
      <c r="T738" s="66"/>
      <c r="U738" s="66"/>
      <c r="V738" s="66"/>
      <c r="W738" s="37"/>
      <c r="X738" s="37"/>
      <c r="Y738" s="37"/>
    </row>
    <row r="739" spans="1:25" ht="15.75" customHeight="1">
      <c r="A739" s="61"/>
      <c r="B739" s="61"/>
      <c r="C739" s="68"/>
      <c r="D739" s="68"/>
      <c r="E739" s="61"/>
      <c r="F739" s="61"/>
      <c r="G739" s="61"/>
      <c r="H739" s="61"/>
      <c r="I739" s="61"/>
      <c r="J739" s="61"/>
      <c r="K739" s="71"/>
      <c r="L739" s="72"/>
      <c r="M739" s="68"/>
      <c r="N739" s="50"/>
      <c r="O739" s="68"/>
      <c r="P739" s="68"/>
      <c r="Q739" s="68"/>
      <c r="R739" s="68"/>
      <c r="S739" s="68"/>
      <c r="T739" s="68"/>
      <c r="U739" s="68"/>
      <c r="V739" s="68"/>
      <c r="W739" s="37"/>
      <c r="X739" s="37"/>
      <c r="Y739" s="37"/>
    </row>
    <row r="740" spans="1:25" ht="15.75" customHeight="1">
      <c r="A740" s="65"/>
      <c r="B740" s="65"/>
      <c r="C740" s="66"/>
      <c r="D740" s="66"/>
      <c r="E740" s="65"/>
      <c r="F740" s="65"/>
      <c r="G740" s="65"/>
      <c r="H740" s="65"/>
      <c r="I740" s="65"/>
      <c r="J740" s="65"/>
      <c r="K740" s="74"/>
      <c r="L740" s="75"/>
      <c r="M740" s="66"/>
      <c r="N740" s="50"/>
      <c r="O740" s="66"/>
      <c r="P740" s="66"/>
      <c r="Q740" s="66"/>
      <c r="R740" s="66"/>
      <c r="S740" s="66"/>
      <c r="T740" s="66"/>
      <c r="U740" s="66"/>
      <c r="V740" s="66"/>
      <c r="W740" s="37"/>
      <c r="X740" s="37"/>
      <c r="Y740" s="37"/>
    </row>
    <row r="741" spans="1:25" ht="15.75" customHeight="1">
      <c r="A741" s="61"/>
      <c r="B741" s="61"/>
      <c r="C741" s="68"/>
      <c r="D741" s="68"/>
      <c r="E741" s="61"/>
      <c r="F741" s="61"/>
      <c r="G741" s="61"/>
      <c r="H741" s="61"/>
      <c r="I741" s="61"/>
      <c r="J741" s="61"/>
      <c r="K741" s="71"/>
      <c r="L741" s="72"/>
      <c r="M741" s="68"/>
      <c r="N741" s="50"/>
      <c r="O741" s="68"/>
      <c r="P741" s="68"/>
      <c r="Q741" s="68"/>
      <c r="R741" s="68"/>
      <c r="S741" s="68"/>
      <c r="T741" s="68"/>
      <c r="U741" s="68"/>
      <c r="V741" s="68"/>
      <c r="W741" s="37"/>
      <c r="X741" s="37"/>
      <c r="Y741" s="37"/>
    </row>
    <row r="742" spans="1:25" ht="15.75" customHeight="1">
      <c r="A742" s="65"/>
      <c r="B742" s="65"/>
      <c r="C742" s="66"/>
      <c r="D742" s="66"/>
      <c r="E742" s="65"/>
      <c r="F742" s="65"/>
      <c r="G742" s="65"/>
      <c r="H742" s="65"/>
      <c r="I742" s="65"/>
      <c r="J742" s="65"/>
      <c r="K742" s="74"/>
      <c r="L742" s="75"/>
      <c r="M742" s="66"/>
      <c r="N742" s="50"/>
      <c r="O742" s="66"/>
      <c r="P742" s="66"/>
      <c r="Q742" s="66"/>
      <c r="R742" s="66"/>
      <c r="S742" s="66"/>
      <c r="T742" s="66"/>
      <c r="U742" s="66"/>
      <c r="V742" s="66"/>
      <c r="W742" s="37"/>
      <c r="X742" s="37"/>
      <c r="Y742" s="37"/>
    </row>
    <row r="743" spans="1:25" ht="15.75" customHeight="1">
      <c r="A743" s="61"/>
      <c r="B743" s="61"/>
      <c r="C743" s="68"/>
      <c r="D743" s="68"/>
      <c r="E743" s="61"/>
      <c r="F743" s="61"/>
      <c r="G743" s="61"/>
      <c r="H743" s="61"/>
      <c r="I743" s="61"/>
      <c r="J743" s="61"/>
      <c r="K743" s="71"/>
      <c r="L743" s="72"/>
      <c r="M743" s="68"/>
      <c r="N743" s="50"/>
      <c r="O743" s="68"/>
      <c r="P743" s="68"/>
      <c r="Q743" s="68"/>
      <c r="R743" s="68"/>
      <c r="S743" s="68"/>
      <c r="T743" s="68"/>
      <c r="U743" s="68"/>
      <c r="V743" s="68"/>
      <c r="W743" s="37"/>
      <c r="X743" s="37"/>
      <c r="Y743" s="37"/>
    </row>
    <row r="744" spans="1:25" ht="15.75" customHeight="1">
      <c r="A744" s="65"/>
      <c r="B744" s="65"/>
      <c r="C744" s="66"/>
      <c r="D744" s="66"/>
      <c r="E744" s="65"/>
      <c r="F744" s="65"/>
      <c r="G744" s="65"/>
      <c r="H744" s="65"/>
      <c r="I744" s="65"/>
      <c r="J744" s="65"/>
      <c r="K744" s="74"/>
      <c r="L744" s="75"/>
      <c r="M744" s="66"/>
      <c r="N744" s="50"/>
      <c r="O744" s="66"/>
      <c r="P744" s="66"/>
      <c r="Q744" s="66"/>
      <c r="R744" s="66"/>
      <c r="S744" s="66"/>
      <c r="T744" s="66"/>
      <c r="U744" s="66"/>
      <c r="V744" s="66"/>
      <c r="W744" s="37"/>
      <c r="X744" s="37"/>
      <c r="Y744" s="37"/>
    </row>
    <row r="745" spans="1:25" ht="15.75" customHeight="1">
      <c r="A745" s="61"/>
      <c r="B745" s="61"/>
      <c r="C745" s="68"/>
      <c r="D745" s="68"/>
      <c r="E745" s="61"/>
      <c r="F745" s="61"/>
      <c r="G745" s="61"/>
      <c r="H745" s="61"/>
      <c r="I745" s="61"/>
      <c r="J745" s="61"/>
      <c r="K745" s="71"/>
      <c r="L745" s="72"/>
      <c r="M745" s="68"/>
      <c r="N745" s="50"/>
      <c r="O745" s="68"/>
      <c r="P745" s="68"/>
      <c r="Q745" s="68"/>
      <c r="R745" s="68"/>
      <c r="S745" s="68"/>
      <c r="T745" s="68"/>
      <c r="U745" s="68"/>
      <c r="V745" s="68"/>
      <c r="W745" s="37"/>
      <c r="X745" s="37"/>
      <c r="Y745" s="37"/>
    </row>
    <row r="746" spans="1:25" ht="15.75" customHeight="1">
      <c r="A746" s="65"/>
      <c r="B746" s="65"/>
      <c r="C746" s="66"/>
      <c r="D746" s="66"/>
      <c r="E746" s="65"/>
      <c r="F746" s="65"/>
      <c r="G746" s="65"/>
      <c r="H746" s="65"/>
      <c r="I746" s="65"/>
      <c r="J746" s="65"/>
      <c r="K746" s="74"/>
      <c r="L746" s="75"/>
      <c r="M746" s="66"/>
      <c r="N746" s="50"/>
      <c r="O746" s="66"/>
      <c r="P746" s="66"/>
      <c r="Q746" s="66"/>
      <c r="R746" s="66"/>
      <c r="S746" s="66"/>
      <c r="T746" s="66"/>
      <c r="U746" s="66"/>
      <c r="V746" s="66"/>
      <c r="W746" s="37"/>
      <c r="X746" s="37"/>
      <c r="Y746" s="37"/>
    </row>
    <row r="747" spans="1:25" ht="15.75" customHeight="1">
      <c r="A747" s="61"/>
      <c r="B747" s="61"/>
      <c r="C747" s="68"/>
      <c r="D747" s="68"/>
      <c r="E747" s="61"/>
      <c r="F747" s="61"/>
      <c r="G747" s="61"/>
      <c r="H747" s="61"/>
      <c r="I747" s="61"/>
      <c r="J747" s="61"/>
      <c r="K747" s="71"/>
      <c r="L747" s="72"/>
      <c r="M747" s="68"/>
      <c r="N747" s="50"/>
      <c r="O747" s="68"/>
      <c r="P747" s="68"/>
      <c r="Q747" s="68"/>
      <c r="R747" s="68"/>
      <c r="S747" s="68"/>
      <c r="T747" s="68"/>
      <c r="U747" s="68"/>
      <c r="V747" s="68"/>
      <c r="W747" s="37"/>
      <c r="X747" s="37"/>
      <c r="Y747" s="37"/>
    </row>
    <row r="748" spans="1:25" ht="15.75" customHeight="1">
      <c r="A748" s="65"/>
      <c r="B748" s="65"/>
      <c r="C748" s="66"/>
      <c r="D748" s="66"/>
      <c r="E748" s="65"/>
      <c r="F748" s="65"/>
      <c r="G748" s="65"/>
      <c r="H748" s="65"/>
      <c r="I748" s="65"/>
      <c r="J748" s="65"/>
      <c r="K748" s="74"/>
      <c r="L748" s="75"/>
      <c r="M748" s="66"/>
      <c r="N748" s="50"/>
      <c r="O748" s="66"/>
      <c r="P748" s="66"/>
      <c r="Q748" s="66"/>
      <c r="R748" s="66"/>
      <c r="S748" s="66"/>
      <c r="T748" s="66"/>
      <c r="U748" s="66"/>
      <c r="V748" s="66"/>
      <c r="W748" s="37"/>
      <c r="X748" s="37"/>
      <c r="Y748" s="37"/>
    </row>
    <row r="749" spans="1:25" ht="15.75" customHeight="1">
      <c r="A749" s="61"/>
      <c r="B749" s="61"/>
      <c r="C749" s="68"/>
      <c r="D749" s="68"/>
      <c r="E749" s="61"/>
      <c r="F749" s="61"/>
      <c r="G749" s="61"/>
      <c r="H749" s="61"/>
      <c r="I749" s="61"/>
      <c r="J749" s="61"/>
      <c r="K749" s="71"/>
      <c r="L749" s="72"/>
      <c r="M749" s="68"/>
      <c r="N749" s="50"/>
      <c r="O749" s="68"/>
      <c r="P749" s="68"/>
      <c r="Q749" s="68"/>
      <c r="R749" s="68"/>
      <c r="S749" s="68"/>
      <c r="T749" s="68"/>
      <c r="U749" s="68"/>
      <c r="V749" s="68"/>
      <c r="W749" s="37"/>
      <c r="X749" s="37"/>
      <c r="Y749" s="37"/>
    </row>
    <row r="750" spans="1:25" ht="15.75" customHeight="1">
      <c r="A750" s="65"/>
      <c r="B750" s="65"/>
      <c r="C750" s="66"/>
      <c r="D750" s="66"/>
      <c r="E750" s="65"/>
      <c r="F750" s="65"/>
      <c r="G750" s="65"/>
      <c r="H750" s="65"/>
      <c r="I750" s="65"/>
      <c r="J750" s="65"/>
      <c r="K750" s="74"/>
      <c r="L750" s="75"/>
      <c r="M750" s="66"/>
      <c r="N750" s="50"/>
      <c r="O750" s="66"/>
      <c r="P750" s="66"/>
      <c r="Q750" s="66"/>
      <c r="R750" s="66"/>
      <c r="S750" s="66"/>
      <c r="T750" s="66"/>
      <c r="U750" s="66"/>
      <c r="V750" s="66"/>
      <c r="W750" s="37"/>
      <c r="X750" s="37"/>
      <c r="Y750" s="37"/>
    </row>
    <row r="751" spans="1:25" ht="15.75" customHeight="1">
      <c r="A751" s="61"/>
      <c r="B751" s="61"/>
      <c r="C751" s="68"/>
      <c r="D751" s="68"/>
      <c r="E751" s="61"/>
      <c r="F751" s="61"/>
      <c r="G751" s="61"/>
      <c r="H751" s="61"/>
      <c r="I751" s="61"/>
      <c r="J751" s="61"/>
      <c r="K751" s="71"/>
      <c r="L751" s="72"/>
      <c r="M751" s="68"/>
      <c r="N751" s="50"/>
      <c r="O751" s="68"/>
      <c r="P751" s="68"/>
      <c r="Q751" s="68"/>
      <c r="R751" s="68"/>
      <c r="S751" s="68"/>
      <c r="T751" s="68"/>
      <c r="U751" s="68"/>
      <c r="V751" s="68"/>
      <c r="W751" s="37"/>
      <c r="X751" s="37"/>
      <c r="Y751" s="37"/>
    </row>
    <row r="752" spans="1:25" ht="15.75" customHeight="1">
      <c r="A752" s="65"/>
      <c r="B752" s="65"/>
      <c r="C752" s="66"/>
      <c r="D752" s="66"/>
      <c r="E752" s="65"/>
      <c r="F752" s="65"/>
      <c r="G752" s="65"/>
      <c r="H752" s="65"/>
      <c r="I752" s="65"/>
      <c r="J752" s="65"/>
      <c r="K752" s="74"/>
      <c r="L752" s="75"/>
      <c r="M752" s="66"/>
      <c r="N752" s="50"/>
      <c r="O752" s="66"/>
      <c r="P752" s="66"/>
      <c r="Q752" s="66"/>
      <c r="R752" s="66"/>
      <c r="S752" s="66"/>
      <c r="T752" s="66"/>
      <c r="U752" s="66"/>
      <c r="V752" s="66"/>
      <c r="W752" s="37"/>
      <c r="X752" s="37"/>
      <c r="Y752" s="37"/>
    </row>
    <row r="753" spans="1:25" ht="15.75" customHeight="1">
      <c r="A753" s="61"/>
      <c r="B753" s="61"/>
      <c r="C753" s="68"/>
      <c r="D753" s="68"/>
      <c r="E753" s="61"/>
      <c r="F753" s="61"/>
      <c r="G753" s="61"/>
      <c r="H753" s="61"/>
      <c r="I753" s="61"/>
      <c r="J753" s="61"/>
      <c r="K753" s="71"/>
      <c r="L753" s="72"/>
      <c r="M753" s="68"/>
      <c r="N753" s="50"/>
      <c r="O753" s="68"/>
      <c r="P753" s="68"/>
      <c r="Q753" s="68"/>
      <c r="R753" s="68"/>
      <c r="S753" s="68"/>
      <c r="T753" s="68"/>
      <c r="U753" s="68"/>
      <c r="V753" s="68"/>
      <c r="W753" s="37"/>
      <c r="X753" s="37"/>
      <c r="Y753" s="37"/>
    </row>
    <row r="754" spans="1:25" ht="15.75" customHeight="1">
      <c r="A754" s="65"/>
      <c r="B754" s="65"/>
      <c r="C754" s="66"/>
      <c r="D754" s="66"/>
      <c r="E754" s="65"/>
      <c r="F754" s="65"/>
      <c r="G754" s="65"/>
      <c r="H754" s="65"/>
      <c r="I754" s="65"/>
      <c r="J754" s="65"/>
      <c r="K754" s="74"/>
      <c r="L754" s="75"/>
      <c r="M754" s="66"/>
      <c r="N754" s="50"/>
      <c r="O754" s="66"/>
      <c r="P754" s="66"/>
      <c r="Q754" s="66"/>
      <c r="R754" s="66"/>
      <c r="S754" s="66"/>
      <c r="T754" s="66"/>
      <c r="U754" s="66"/>
      <c r="V754" s="66"/>
      <c r="W754" s="37"/>
      <c r="X754" s="37"/>
      <c r="Y754" s="37"/>
    </row>
    <row r="755" spans="1:25" ht="15.75" customHeight="1">
      <c r="A755" s="61"/>
      <c r="B755" s="61"/>
      <c r="C755" s="68"/>
      <c r="D755" s="68"/>
      <c r="E755" s="61"/>
      <c r="F755" s="61"/>
      <c r="G755" s="61"/>
      <c r="H755" s="61"/>
      <c r="I755" s="61"/>
      <c r="J755" s="61"/>
      <c r="K755" s="71"/>
      <c r="L755" s="72"/>
      <c r="M755" s="68"/>
      <c r="N755" s="50"/>
      <c r="O755" s="68"/>
      <c r="P755" s="68"/>
      <c r="Q755" s="68"/>
      <c r="R755" s="68"/>
      <c r="S755" s="68"/>
      <c r="T755" s="68"/>
      <c r="U755" s="68"/>
      <c r="V755" s="68"/>
      <c r="W755" s="37"/>
      <c r="X755" s="37"/>
      <c r="Y755" s="37"/>
    </row>
    <row r="756" spans="1:25" ht="15.75" customHeight="1">
      <c r="A756" s="65"/>
      <c r="B756" s="65"/>
      <c r="C756" s="66"/>
      <c r="D756" s="66"/>
      <c r="E756" s="65"/>
      <c r="F756" s="65"/>
      <c r="G756" s="65"/>
      <c r="H756" s="65"/>
      <c r="I756" s="65"/>
      <c r="J756" s="65"/>
      <c r="K756" s="74"/>
      <c r="L756" s="75"/>
      <c r="M756" s="66"/>
      <c r="N756" s="50"/>
      <c r="O756" s="66"/>
      <c r="P756" s="66"/>
      <c r="Q756" s="66"/>
      <c r="R756" s="66"/>
      <c r="S756" s="66"/>
      <c r="T756" s="66"/>
      <c r="U756" s="66"/>
      <c r="V756" s="66"/>
      <c r="W756" s="37"/>
      <c r="X756" s="37"/>
      <c r="Y756" s="37"/>
    </row>
    <row r="757" spans="1:25" ht="15.75" customHeight="1">
      <c r="A757" s="61"/>
      <c r="B757" s="61"/>
      <c r="C757" s="68"/>
      <c r="D757" s="68"/>
      <c r="E757" s="61"/>
      <c r="F757" s="61"/>
      <c r="G757" s="61"/>
      <c r="H757" s="61"/>
      <c r="I757" s="61"/>
      <c r="J757" s="61"/>
      <c r="K757" s="71"/>
      <c r="L757" s="72"/>
      <c r="M757" s="68"/>
      <c r="N757" s="50"/>
      <c r="O757" s="68"/>
      <c r="P757" s="68"/>
      <c r="Q757" s="68"/>
      <c r="R757" s="68"/>
      <c r="S757" s="68"/>
      <c r="T757" s="68"/>
      <c r="U757" s="68"/>
      <c r="V757" s="68"/>
      <c r="W757" s="37"/>
      <c r="X757" s="37"/>
      <c r="Y757" s="37"/>
    </row>
    <row r="758" spans="1:25" ht="15.75" customHeight="1">
      <c r="A758" s="65"/>
      <c r="B758" s="65"/>
      <c r="C758" s="66"/>
      <c r="D758" s="66"/>
      <c r="E758" s="65"/>
      <c r="F758" s="65"/>
      <c r="G758" s="65"/>
      <c r="H758" s="65"/>
      <c r="I758" s="65"/>
      <c r="J758" s="65"/>
      <c r="K758" s="74"/>
      <c r="L758" s="75"/>
      <c r="M758" s="66"/>
      <c r="N758" s="50"/>
      <c r="O758" s="66"/>
      <c r="P758" s="66"/>
      <c r="Q758" s="66"/>
      <c r="R758" s="66"/>
      <c r="S758" s="66"/>
      <c r="T758" s="66"/>
      <c r="U758" s="66"/>
      <c r="V758" s="66"/>
      <c r="W758" s="37"/>
      <c r="X758" s="37"/>
      <c r="Y758" s="37"/>
    </row>
    <row r="759" spans="1:25" ht="15.75" customHeight="1">
      <c r="A759" s="61"/>
      <c r="B759" s="61"/>
      <c r="C759" s="68"/>
      <c r="D759" s="68"/>
      <c r="E759" s="61"/>
      <c r="F759" s="61"/>
      <c r="G759" s="61"/>
      <c r="H759" s="61"/>
      <c r="I759" s="61"/>
      <c r="J759" s="61"/>
      <c r="K759" s="71"/>
      <c r="L759" s="72"/>
      <c r="M759" s="68"/>
      <c r="N759" s="50"/>
      <c r="O759" s="68"/>
      <c r="P759" s="68"/>
      <c r="Q759" s="68"/>
      <c r="R759" s="68"/>
      <c r="S759" s="68"/>
      <c r="T759" s="68"/>
      <c r="U759" s="68"/>
      <c r="V759" s="68"/>
      <c r="W759" s="37"/>
      <c r="X759" s="37"/>
      <c r="Y759" s="37"/>
    </row>
    <row r="760" spans="1:25" ht="15.75" customHeight="1">
      <c r="A760" s="65"/>
      <c r="B760" s="65"/>
      <c r="C760" s="66"/>
      <c r="D760" s="66"/>
      <c r="E760" s="65"/>
      <c r="F760" s="65"/>
      <c r="G760" s="65"/>
      <c r="H760" s="65"/>
      <c r="I760" s="65"/>
      <c r="J760" s="65"/>
      <c r="K760" s="74"/>
      <c r="L760" s="75"/>
      <c r="M760" s="66"/>
      <c r="N760" s="50"/>
      <c r="O760" s="66"/>
      <c r="P760" s="66"/>
      <c r="Q760" s="66"/>
      <c r="R760" s="66"/>
      <c r="S760" s="66"/>
      <c r="T760" s="66"/>
      <c r="U760" s="66"/>
      <c r="V760" s="66"/>
      <c r="W760" s="37"/>
      <c r="X760" s="37"/>
      <c r="Y760" s="37"/>
    </row>
    <row r="761" spans="1:25" ht="15.75" customHeight="1">
      <c r="A761" s="61"/>
      <c r="B761" s="61"/>
      <c r="C761" s="68"/>
      <c r="D761" s="68"/>
      <c r="E761" s="61"/>
      <c r="F761" s="61"/>
      <c r="G761" s="61"/>
      <c r="H761" s="61"/>
      <c r="I761" s="61"/>
      <c r="J761" s="61"/>
      <c r="K761" s="71"/>
      <c r="L761" s="72"/>
      <c r="M761" s="68"/>
      <c r="N761" s="50"/>
      <c r="O761" s="68"/>
      <c r="P761" s="68"/>
      <c r="Q761" s="68"/>
      <c r="R761" s="68"/>
      <c r="S761" s="68"/>
      <c r="T761" s="68"/>
      <c r="U761" s="68"/>
      <c r="V761" s="68"/>
      <c r="W761" s="37"/>
      <c r="X761" s="37"/>
      <c r="Y761" s="37"/>
    </row>
    <row r="762" spans="1:25" ht="15.75" customHeight="1">
      <c r="A762" s="65"/>
      <c r="B762" s="65"/>
      <c r="C762" s="66"/>
      <c r="D762" s="66"/>
      <c r="E762" s="65"/>
      <c r="F762" s="65"/>
      <c r="G762" s="65"/>
      <c r="H762" s="65"/>
      <c r="I762" s="65"/>
      <c r="J762" s="65"/>
      <c r="K762" s="74"/>
      <c r="L762" s="75"/>
      <c r="M762" s="66"/>
      <c r="N762" s="50"/>
      <c r="O762" s="66"/>
      <c r="P762" s="66"/>
      <c r="Q762" s="66"/>
      <c r="R762" s="66"/>
      <c r="S762" s="66"/>
      <c r="T762" s="66"/>
      <c r="U762" s="66"/>
      <c r="V762" s="66"/>
      <c r="W762" s="37"/>
      <c r="X762" s="37"/>
      <c r="Y762" s="37"/>
    </row>
    <row r="763" spans="1:25" ht="15.75" customHeight="1">
      <c r="A763" s="61"/>
      <c r="B763" s="61"/>
      <c r="C763" s="68"/>
      <c r="D763" s="68"/>
      <c r="E763" s="61"/>
      <c r="F763" s="61"/>
      <c r="G763" s="61"/>
      <c r="H763" s="61"/>
      <c r="I763" s="61"/>
      <c r="J763" s="61"/>
      <c r="K763" s="71"/>
      <c r="L763" s="72"/>
      <c r="M763" s="68"/>
      <c r="N763" s="50"/>
      <c r="O763" s="68"/>
      <c r="P763" s="68"/>
      <c r="Q763" s="68"/>
      <c r="R763" s="68"/>
      <c r="S763" s="68"/>
      <c r="T763" s="68"/>
      <c r="U763" s="68"/>
      <c r="V763" s="68"/>
      <c r="W763" s="37"/>
      <c r="X763" s="37"/>
      <c r="Y763" s="37"/>
    </row>
    <row r="764" spans="1:25" ht="15.75" customHeight="1">
      <c r="A764" s="65"/>
      <c r="B764" s="65"/>
      <c r="C764" s="66"/>
      <c r="D764" s="66"/>
      <c r="E764" s="65"/>
      <c r="F764" s="65"/>
      <c r="G764" s="65"/>
      <c r="H764" s="65"/>
      <c r="I764" s="65"/>
      <c r="J764" s="65"/>
      <c r="K764" s="74"/>
      <c r="L764" s="75"/>
      <c r="M764" s="66"/>
      <c r="N764" s="50"/>
      <c r="O764" s="66"/>
      <c r="P764" s="66"/>
      <c r="Q764" s="66"/>
      <c r="R764" s="66"/>
      <c r="S764" s="66"/>
      <c r="T764" s="66"/>
      <c r="U764" s="66"/>
      <c r="V764" s="66"/>
      <c r="W764" s="37"/>
      <c r="X764" s="37"/>
      <c r="Y764" s="37"/>
    </row>
    <row r="765" spans="1:25" ht="15.75" customHeight="1">
      <c r="A765" s="61"/>
      <c r="B765" s="61"/>
      <c r="C765" s="68"/>
      <c r="D765" s="68"/>
      <c r="E765" s="61"/>
      <c r="F765" s="61"/>
      <c r="G765" s="61"/>
      <c r="H765" s="61"/>
      <c r="I765" s="61"/>
      <c r="J765" s="61"/>
      <c r="K765" s="71"/>
      <c r="L765" s="72"/>
      <c r="M765" s="68"/>
      <c r="N765" s="50"/>
      <c r="O765" s="68"/>
      <c r="P765" s="68"/>
      <c r="Q765" s="68"/>
      <c r="R765" s="68"/>
      <c r="S765" s="68"/>
      <c r="T765" s="68"/>
      <c r="U765" s="68"/>
      <c r="V765" s="68"/>
      <c r="W765" s="37"/>
      <c r="X765" s="37"/>
      <c r="Y765" s="37"/>
    </row>
    <row r="766" spans="1:25" ht="15.75" customHeight="1">
      <c r="A766" s="65"/>
      <c r="B766" s="65"/>
      <c r="C766" s="66"/>
      <c r="D766" s="66"/>
      <c r="E766" s="65"/>
      <c r="F766" s="65"/>
      <c r="G766" s="65"/>
      <c r="H766" s="65"/>
      <c r="I766" s="65"/>
      <c r="J766" s="65"/>
      <c r="K766" s="74"/>
      <c r="L766" s="75"/>
      <c r="M766" s="66"/>
      <c r="N766" s="50"/>
      <c r="O766" s="66"/>
      <c r="P766" s="66"/>
      <c r="Q766" s="66"/>
      <c r="R766" s="66"/>
      <c r="S766" s="66"/>
      <c r="T766" s="66"/>
      <c r="U766" s="66"/>
      <c r="V766" s="66"/>
      <c r="W766" s="37"/>
      <c r="X766" s="37"/>
      <c r="Y766" s="37"/>
    </row>
    <row r="767" spans="1:25" ht="15.75" customHeight="1">
      <c r="A767" s="61"/>
      <c r="B767" s="61"/>
      <c r="C767" s="68"/>
      <c r="D767" s="68"/>
      <c r="E767" s="61"/>
      <c r="F767" s="61"/>
      <c r="G767" s="61"/>
      <c r="H767" s="61"/>
      <c r="I767" s="61"/>
      <c r="J767" s="61"/>
      <c r="K767" s="71"/>
      <c r="L767" s="72"/>
      <c r="M767" s="68"/>
      <c r="N767" s="50"/>
      <c r="O767" s="68"/>
      <c r="P767" s="68"/>
      <c r="Q767" s="68"/>
      <c r="R767" s="68"/>
      <c r="S767" s="68"/>
      <c r="T767" s="68"/>
      <c r="U767" s="68"/>
      <c r="V767" s="68"/>
      <c r="W767" s="37"/>
      <c r="X767" s="37"/>
      <c r="Y767" s="37"/>
    </row>
    <row r="768" spans="1:25" ht="15.75" customHeight="1">
      <c r="A768" s="65"/>
      <c r="B768" s="65"/>
      <c r="C768" s="66"/>
      <c r="D768" s="66"/>
      <c r="E768" s="65"/>
      <c r="F768" s="65"/>
      <c r="G768" s="65"/>
      <c r="H768" s="65"/>
      <c r="I768" s="65"/>
      <c r="J768" s="65"/>
      <c r="K768" s="74"/>
      <c r="L768" s="75"/>
      <c r="M768" s="66"/>
      <c r="N768" s="50"/>
      <c r="O768" s="66"/>
      <c r="P768" s="66"/>
      <c r="Q768" s="66"/>
      <c r="R768" s="66"/>
      <c r="S768" s="66"/>
      <c r="T768" s="66"/>
      <c r="U768" s="66"/>
      <c r="V768" s="66"/>
      <c r="W768" s="37"/>
      <c r="X768" s="37"/>
      <c r="Y768" s="37"/>
    </row>
    <row r="769" spans="1:25" ht="15.75" customHeight="1">
      <c r="A769" s="61"/>
      <c r="B769" s="61"/>
      <c r="C769" s="68"/>
      <c r="D769" s="68"/>
      <c r="E769" s="61"/>
      <c r="F769" s="61"/>
      <c r="G769" s="61"/>
      <c r="H769" s="61"/>
      <c r="I769" s="61"/>
      <c r="J769" s="61"/>
      <c r="K769" s="71"/>
      <c r="L769" s="72"/>
      <c r="M769" s="68"/>
      <c r="N769" s="50"/>
      <c r="O769" s="68"/>
      <c r="P769" s="68"/>
      <c r="Q769" s="68"/>
      <c r="R769" s="68"/>
      <c r="S769" s="68"/>
      <c r="T769" s="68"/>
      <c r="U769" s="68"/>
      <c r="V769" s="68"/>
      <c r="W769" s="37"/>
      <c r="X769" s="37"/>
      <c r="Y769" s="37"/>
    </row>
    <row r="770" spans="1:25" ht="15.75" customHeight="1">
      <c r="A770" s="65"/>
      <c r="B770" s="65"/>
      <c r="C770" s="66"/>
      <c r="D770" s="66"/>
      <c r="E770" s="65"/>
      <c r="F770" s="65"/>
      <c r="G770" s="65"/>
      <c r="H770" s="65"/>
      <c r="I770" s="65"/>
      <c r="J770" s="65"/>
      <c r="K770" s="74"/>
      <c r="L770" s="75"/>
      <c r="M770" s="66"/>
      <c r="N770" s="50"/>
      <c r="O770" s="66"/>
      <c r="P770" s="66"/>
      <c r="Q770" s="66"/>
      <c r="R770" s="66"/>
      <c r="S770" s="66"/>
      <c r="T770" s="66"/>
      <c r="U770" s="66"/>
      <c r="V770" s="66"/>
      <c r="W770" s="37"/>
      <c r="X770" s="37"/>
      <c r="Y770" s="37"/>
    </row>
    <row r="771" spans="1:25" ht="15.75" customHeight="1">
      <c r="A771" s="61"/>
      <c r="B771" s="61"/>
      <c r="C771" s="68"/>
      <c r="D771" s="68"/>
      <c r="E771" s="61"/>
      <c r="F771" s="61"/>
      <c r="G771" s="61"/>
      <c r="H771" s="61"/>
      <c r="I771" s="61"/>
      <c r="J771" s="61"/>
      <c r="K771" s="71"/>
      <c r="L771" s="72"/>
      <c r="M771" s="68"/>
      <c r="N771" s="50"/>
      <c r="O771" s="68"/>
      <c r="P771" s="68"/>
      <c r="Q771" s="68"/>
      <c r="R771" s="68"/>
      <c r="S771" s="68"/>
      <c r="T771" s="68"/>
      <c r="U771" s="68"/>
      <c r="V771" s="68"/>
      <c r="W771" s="37"/>
      <c r="X771" s="37"/>
      <c r="Y771" s="37"/>
    </row>
    <row r="772" spans="1:25" ht="15.75" customHeight="1">
      <c r="A772" s="65"/>
      <c r="B772" s="65"/>
      <c r="C772" s="66"/>
      <c r="D772" s="66"/>
      <c r="E772" s="65"/>
      <c r="F772" s="65"/>
      <c r="G772" s="65"/>
      <c r="H772" s="65"/>
      <c r="I772" s="65"/>
      <c r="J772" s="65"/>
      <c r="K772" s="74"/>
      <c r="L772" s="75"/>
      <c r="M772" s="66"/>
      <c r="N772" s="50"/>
      <c r="O772" s="66"/>
      <c r="P772" s="66"/>
      <c r="Q772" s="66"/>
      <c r="R772" s="66"/>
      <c r="S772" s="66"/>
      <c r="T772" s="66"/>
      <c r="U772" s="66"/>
      <c r="V772" s="66"/>
      <c r="W772" s="37"/>
      <c r="X772" s="37"/>
      <c r="Y772" s="37"/>
    </row>
    <row r="773" spans="1:25" ht="15.75" customHeight="1">
      <c r="A773" s="61"/>
      <c r="B773" s="61"/>
      <c r="C773" s="68"/>
      <c r="D773" s="68"/>
      <c r="E773" s="61"/>
      <c r="F773" s="61"/>
      <c r="G773" s="61"/>
      <c r="H773" s="61"/>
      <c r="I773" s="61"/>
      <c r="J773" s="61"/>
      <c r="K773" s="71"/>
      <c r="L773" s="72"/>
      <c r="M773" s="68"/>
      <c r="N773" s="50"/>
      <c r="O773" s="68"/>
      <c r="P773" s="68"/>
      <c r="Q773" s="68"/>
      <c r="R773" s="68"/>
      <c r="S773" s="68"/>
      <c r="T773" s="68"/>
      <c r="U773" s="68"/>
      <c r="V773" s="68"/>
      <c r="W773" s="37"/>
      <c r="X773" s="37"/>
      <c r="Y773" s="37"/>
    </row>
    <row r="774" spans="1:25" ht="15.75" customHeight="1">
      <c r="A774" s="65"/>
      <c r="B774" s="65"/>
      <c r="C774" s="66"/>
      <c r="D774" s="66"/>
      <c r="E774" s="65"/>
      <c r="F774" s="65"/>
      <c r="G774" s="65"/>
      <c r="H774" s="65"/>
      <c r="I774" s="65"/>
      <c r="J774" s="65"/>
      <c r="K774" s="74"/>
      <c r="L774" s="75"/>
      <c r="M774" s="66"/>
      <c r="N774" s="50"/>
      <c r="O774" s="66"/>
      <c r="P774" s="66"/>
      <c r="Q774" s="66"/>
      <c r="R774" s="66"/>
      <c r="S774" s="66"/>
      <c r="T774" s="66"/>
      <c r="U774" s="66"/>
      <c r="V774" s="66"/>
      <c r="W774" s="37"/>
      <c r="X774" s="37"/>
      <c r="Y774" s="37"/>
    </row>
    <row r="775" spans="1:25" ht="15.75" customHeight="1">
      <c r="A775" s="61"/>
      <c r="B775" s="61"/>
      <c r="C775" s="68"/>
      <c r="D775" s="68"/>
      <c r="E775" s="61"/>
      <c r="F775" s="61"/>
      <c r="G775" s="61"/>
      <c r="H775" s="61"/>
      <c r="I775" s="61"/>
      <c r="J775" s="61"/>
      <c r="K775" s="71"/>
      <c r="L775" s="72"/>
      <c r="M775" s="68"/>
      <c r="N775" s="50"/>
      <c r="O775" s="68"/>
      <c r="P775" s="68"/>
      <c r="Q775" s="68"/>
      <c r="R775" s="68"/>
      <c r="S775" s="68"/>
      <c r="T775" s="68"/>
      <c r="U775" s="68"/>
      <c r="V775" s="68"/>
      <c r="W775" s="37"/>
      <c r="X775" s="37"/>
      <c r="Y775" s="37"/>
    </row>
    <row r="776" spans="1:25" ht="15.75" customHeight="1">
      <c r="A776" s="65"/>
      <c r="B776" s="65"/>
      <c r="C776" s="66"/>
      <c r="D776" s="66"/>
      <c r="E776" s="65"/>
      <c r="F776" s="65"/>
      <c r="G776" s="65"/>
      <c r="H776" s="65"/>
      <c r="I776" s="65"/>
      <c r="J776" s="65"/>
      <c r="K776" s="74"/>
      <c r="L776" s="75"/>
      <c r="M776" s="66"/>
      <c r="N776" s="50"/>
      <c r="O776" s="66"/>
      <c r="P776" s="66"/>
      <c r="Q776" s="66"/>
      <c r="R776" s="66"/>
      <c r="S776" s="66"/>
      <c r="T776" s="66"/>
      <c r="U776" s="66"/>
      <c r="V776" s="66"/>
      <c r="W776" s="37"/>
      <c r="X776" s="37"/>
      <c r="Y776" s="37"/>
    </row>
    <row r="777" spans="1:25" ht="15.75" customHeight="1">
      <c r="A777" s="61"/>
      <c r="B777" s="61"/>
      <c r="C777" s="68"/>
      <c r="D777" s="68"/>
      <c r="E777" s="61"/>
      <c r="F777" s="61"/>
      <c r="G777" s="61"/>
      <c r="H777" s="61"/>
      <c r="I777" s="61"/>
      <c r="J777" s="61"/>
      <c r="K777" s="71"/>
      <c r="L777" s="72"/>
      <c r="M777" s="68"/>
      <c r="N777" s="50"/>
      <c r="O777" s="68"/>
      <c r="P777" s="68"/>
      <c r="Q777" s="68"/>
      <c r="R777" s="68"/>
      <c r="S777" s="68"/>
      <c r="T777" s="68"/>
      <c r="U777" s="68"/>
      <c r="V777" s="68"/>
      <c r="W777" s="37"/>
      <c r="X777" s="37"/>
      <c r="Y777" s="37"/>
    </row>
    <row r="778" spans="1:25" ht="15.75" customHeight="1">
      <c r="A778" s="65"/>
      <c r="B778" s="65"/>
      <c r="C778" s="66"/>
      <c r="D778" s="66"/>
      <c r="E778" s="65"/>
      <c r="F778" s="65"/>
      <c r="G778" s="65"/>
      <c r="H778" s="65"/>
      <c r="I778" s="65"/>
      <c r="J778" s="65"/>
      <c r="K778" s="74"/>
      <c r="L778" s="75"/>
      <c r="M778" s="66"/>
      <c r="N778" s="50"/>
      <c r="O778" s="66"/>
      <c r="P778" s="66"/>
      <c r="Q778" s="66"/>
      <c r="R778" s="66"/>
      <c r="S778" s="66"/>
      <c r="T778" s="66"/>
      <c r="U778" s="66"/>
      <c r="V778" s="66"/>
      <c r="W778" s="37"/>
      <c r="X778" s="37"/>
      <c r="Y778" s="37"/>
    </row>
    <row r="779" spans="1:25" ht="15.75" customHeight="1">
      <c r="A779" s="61"/>
      <c r="B779" s="61"/>
      <c r="C779" s="68"/>
      <c r="D779" s="68"/>
      <c r="E779" s="61"/>
      <c r="F779" s="61"/>
      <c r="G779" s="61"/>
      <c r="H779" s="61"/>
      <c r="I779" s="61"/>
      <c r="J779" s="61"/>
      <c r="K779" s="71"/>
      <c r="L779" s="72"/>
      <c r="M779" s="68"/>
      <c r="N779" s="50"/>
      <c r="O779" s="68"/>
      <c r="P779" s="68"/>
      <c r="Q779" s="68"/>
      <c r="R779" s="68"/>
      <c r="S779" s="68"/>
      <c r="T779" s="68"/>
      <c r="U779" s="68"/>
      <c r="V779" s="68"/>
      <c r="W779" s="37"/>
      <c r="X779" s="37"/>
      <c r="Y779" s="37"/>
    </row>
    <row r="780" spans="1:25" ht="15.75" customHeight="1">
      <c r="A780" s="65"/>
      <c r="B780" s="65"/>
      <c r="C780" s="66"/>
      <c r="D780" s="66"/>
      <c r="E780" s="65"/>
      <c r="F780" s="65"/>
      <c r="G780" s="65"/>
      <c r="H780" s="65"/>
      <c r="I780" s="65"/>
      <c r="J780" s="65"/>
      <c r="K780" s="74"/>
      <c r="L780" s="75"/>
      <c r="M780" s="66"/>
      <c r="N780" s="50"/>
      <c r="O780" s="66"/>
      <c r="P780" s="66"/>
      <c r="Q780" s="66"/>
      <c r="R780" s="66"/>
      <c r="S780" s="66"/>
      <c r="T780" s="66"/>
      <c r="U780" s="66"/>
      <c r="V780" s="66"/>
      <c r="W780" s="37"/>
      <c r="X780" s="37"/>
      <c r="Y780" s="37"/>
    </row>
    <row r="781" spans="1:25" ht="15.75" customHeight="1">
      <c r="A781" s="61"/>
      <c r="B781" s="61"/>
      <c r="C781" s="68"/>
      <c r="D781" s="68"/>
      <c r="E781" s="61"/>
      <c r="F781" s="61"/>
      <c r="G781" s="61"/>
      <c r="H781" s="61"/>
      <c r="I781" s="61"/>
      <c r="J781" s="61"/>
      <c r="K781" s="71"/>
      <c r="L781" s="72"/>
      <c r="M781" s="68"/>
      <c r="N781" s="50"/>
      <c r="O781" s="68"/>
      <c r="P781" s="68"/>
      <c r="Q781" s="68"/>
      <c r="R781" s="68"/>
      <c r="S781" s="68"/>
      <c r="T781" s="68"/>
      <c r="U781" s="68"/>
      <c r="V781" s="68"/>
      <c r="W781" s="37"/>
      <c r="X781" s="37"/>
      <c r="Y781" s="37"/>
    </row>
    <row r="782" spans="1:25" ht="15.75" customHeight="1">
      <c r="A782" s="65"/>
      <c r="B782" s="65"/>
      <c r="C782" s="66"/>
      <c r="D782" s="66"/>
      <c r="E782" s="65"/>
      <c r="F782" s="65"/>
      <c r="G782" s="65"/>
      <c r="H782" s="65"/>
      <c r="I782" s="65"/>
      <c r="J782" s="65"/>
      <c r="K782" s="74"/>
      <c r="L782" s="75"/>
      <c r="M782" s="66"/>
      <c r="N782" s="50"/>
      <c r="O782" s="66"/>
      <c r="P782" s="66"/>
      <c r="Q782" s="66"/>
      <c r="R782" s="66"/>
      <c r="S782" s="66"/>
      <c r="T782" s="66"/>
      <c r="U782" s="66"/>
      <c r="V782" s="66"/>
      <c r="W782" s="37"/>
      <c r="X782" s="37"/>
      <c r="Y782" s="37"/>
    </row>
    <row r="783" spans="1:25" ht="15.75" customHeight="1">
      <c r="A783" s="61"/>
      <c r="B783" s="61"/>
      <c r="C783" s="68"/>
      <c r="D783" s="68"/>
      <c r="E783" s="61"/>
      <c r="F783" s="61"/>
      <c r="G783" s="61"/>
      <c r="H783" s="61"/>
      <c r="I783" s="61"/>
      <c r="J783" s="61"/>
      <c r="K783" s="71"/>
      <c r="L783" s="72"/>
      <c r="M783" s="68"/>
      <c r="N783" s="50"/>
      <c r="O783" s="68"/>
      <c r="P783" s="68"/>
      <c r="Q783" s="68"/>
      <c r="R783" s="68"/>
      <c r="S783" s="68"/>
      <c r="T783" s="68"/>
      <c r="U783" s="68"/>
      <c r="V783" s="68"/>
      <c r="W783" s="37"/>
      <c r="X783" s="37"/>
      <c r="Y783" s="37"/>
    </row>
    <row r="784" spans="1:25" ht="15.75" customHeight="1">
      <c r="A784" s="65"/>
      <c r="B784" s="65"/>
      <c r="C784" s="66"/>
      <c r="D784" s="66"/>
      <c r="E784" s="65"/>
      <c r="F784" s="65"/>
      <c r="G784" s="65"/>
      <c r="H784" s="65"/>
      <c r="I784" s="65"/>
      <c r="J784" s="65"/>
      <c r="K784" s="74"/>
      <c r="L784" s="75"/>
      <c r="M784" s="66"/>
      <c r="N784" s="50"/>
      <c r="O784" s="66"/>
      <c r="P784" s="66"/>
      <c r="Q784" s="66"/>
      <c r="R784" s="66"/>
      <c r="S784" s="66"/>
      <c r="T784" s="66"/>
      <c r="U784" s="66"/>
      <c r="V784" s="66"/>
      <c r="W784" s="37"/>
      <c r="X784" s="37"/>
      <c r="Y784" s="37"/>
    </row>
    <row r="785" spans="1:25" ht="15.75" customHeight="1">
      <c r="A785" s="61"/>
      <c r="B785" s="61"/>
      <c r="C785" s="68"/>
      <c r="D785" s="68"/>
      <c r="E785" s="61"/>
      <c r="F785" s="61"/>
      <c r="G785" s="61"/>
      <c r="H785" s="61"/>
      <c r="I785" s="61"/>
      <c r="J785" s="61"/>
      <c r="K785" s="71"/>
      <c r="L785" s="72"/>
      <c r="M785" s="68"/>
      <c r="N785" s="50"/>
      <c r="O785" s="68"/>
      <c r="P785" s="68"/>
      <c r="Q785" s="68"/>
      <c r="R785" s="68"/>
      <c r="S785" s="68"/>
      <c r="T785" s="68"/>
      <c r="U785" s="68"/>
      <c r="V785" s="68"/>
      <c r="W785" s="37"/>
      <c r="X785" s="37"/>
      <c r="Y785" s="37"/>
    </row>
    <row r="786" spans="1:25" ht="15.75" customHeight="1">
      <c r="A786" s="65"/>
      <c r="B786" s="65"/>
      <c r="C786" s="66"/>
      <c r="D786" s="66"/>
      <c r="E786" s="65"/>
      <c r="F786" s="65"/>
      <c r="G786" s="65"/>
      <c r="H786" s="65"/>
      <c r="I786" s="65"/>
      <c r="J786" s="65"/>
      <c r="K786" s="74"/>
      <c r="L786" s="75"/>
      <c r="M786" s="66"/>
      <c r="N786" s="50"/>
      <c r="O786" s="66"/>
      <c r="P786" s="66"/>
      <c r="Q786" s="66"/>
      <c r="R786" s="66"/>
      <c r="S786" s="66"/>
      <c r="T786" s="66"/>
      <c r="U786" s="66"/>
      <c r="V786" s="66"/>
      <c r="W786" s="37"/>
      <c r="X786" s="37"/>
      <c r="Y786" s="37"/>
    </row>
    <row r="787" spans="1:25" ht="15.75" customHeight="1">
      <c r="A787" s="61"/>
      <c r="B787" s="61"/>
      <c r="C787" s="68"/>
      <c r="D787" s="68"/>
      <c r="E787" s="61"/>
      <c r="F787" s="61"/>
      <c r="G787" s="61"/>
      <c r="H787" s="61"/>
      <c r="I787" s="61"/>
      <c r="J787" s="61"/>
      <c r="K787" s="71"/>
      <c r="L787" s="72"/>
      <c r="M787" s="68"/>
      <c r="N787" s="50"/>
      <c r="O787" s="68"/>
      <c r="P787" s="68"/>
      <c r="Q787" s="68"/>
      <c r="R787" s="68"/>
      <c r="S787" s="68"/>
      <c r="T787" s="68"/>
      <c r="U787" s="68"/>
      <c r="V787" s="68"/>
      <c r="W787" s="37"/>
      <c r="X787" s="37"/>
      <c r="Y787" s="37"/>
    </row>
    <row r="788" spans="1:25" ht="15.75" customHeight="1">
      <c r="A788" s="65"/>
      <c r="B788" s="65"/>
      <c r="C788" s="66"/>
      <c r="D788" s="66"/>
      <c r="E788" s="65"/>
      <c r="F788" s="65"/>
      <c r="G788" s="65"/>
      <c r="H788" s="65"/>
      <c r="I788" s="65"/>
      <c r="J788" s="65"/>
      <c r="K788" s="74"/>
      <c r="L788" s="75"/>
      <c r="M788" s="66"/>
      <c r="N788" s="50"/>
      <c r="O788" s="66"/>
      <c r="P788" s="66"/>
      <c r="Q788" s="66"/>
      <c r="R788" s="66"/>
      <c r="S788" s="66"/>
      <c r="T788" s="66"/>
      <c r="U788" s="66"/>
      <c r="V788" s="66"/>
      <c r="W788" s="37"/>
      <c r="X788" s="37"/>
      <c r="Y788" s="37"/>
    </row>
    <row r="789" spans="1:25" ht="15.75" customHeight="1">
      <c r="A789" s="61"/>
      <c r="B789" s="61"/>
      <c r="C789" s="68"/>
      <c r="D789" s="68"/>
      <c r="E789" s="61"/>
      <c r="F789" s="61"/>
      <c r="G789" s="61"/>
      <c r="H789" s="61"/>
      <c r="I789" s="61"/>
      <c r="J789" s="61"/>
      <c r="K789" s="71"/>
      <c r="L789" s="72"/>
      <c r="M789" s="68"/>
      <c r="N789" s="50"/>
      <c r="O789" s="68"/>
      <c r="P789" s="68"/>
      <c r="Q789" s="68"/>
      <c r="R789" s="68"/>
      <c r="S789" s="68"/>
      <c r="T789" s="68"/>
      <c r="U789" s="68"/>
      <c r="V789" s="68"/>
      <c r="W789" s="37"/>
      <c r="X789" s="37"/>
      <c r="Y789" s="37"/>
    </row>
    <row r="790" spans="1:25" ht="15.75" customHeight="1">
      <c r="A790" s="65"/>
      <c r="B790" s="65"/>
      <c r="C790" s="66"/>
      <c r="D790" s="66"/>
      <c r="E790" s="65"/>
      <c r="F790" s="65"/>
      <c r="G790" s="65"/>
      <c r="H790" s="65"/>
      <c r="I790" s="65"/>
      <c r="J790" s="65"/>
      <c r="K790" s="74"/>
      <c r="L790" s="75"/>
      <c r="M790" s="66"/>
      <c r="N790" s="50"/>
      <c r="O790" s="66"/>
      <c r="P790" s="66"/>
      <c r="Q790" s="66"/>
      <c r="R790" s="66"/>
      <c r="S790" s="66"/>
      <c r="T790" s="66"/>
      <c r="U790" s="66"/>
      <c r="V790" s="66"/>
      <c r="W790" s="37"/>
      <c r="X790" s="37"/>
      <c r="Y790" s="37"/>
    </row>
    <row r="791" spans="1:25" ht="15.75" customHeight="1">
      <c r="A791" s="61"/>
      <c r="B791" s="61"/>
      <c r="C791" s="68"/>
      <c r="D791" s="68"/>
      <c r="E791" s="61"/>
      <c r="F791" s="61"/>
      <c r="G791" s="61"/>
      <c r="H791" s="61"/>
      <c r="I791" s="61"/>
      <c r="J791" s="61"/>
      <c r="K791" s="71"/>
      <c r="L791" s="72"/>
      <c r="M791" s="68"/>
      <c r="N791" s="50"/>
      <c r="O791" s="68"/>
      <c r="P791" s="68"/>
      <c r="Q791" s="68"/>
      <c r="R791" s="68"/>
      <c r="S791" s="68"/>
      <c r="T791" s="68"/>
      <c r="U791" s="68"/>
      <c r="V791" s="68"/>
      <c r="W791" s="37"/>
      <c r="X791" s="37"/>
      <c r="Y791" s="37"/>
    </row>
    <row r="792" spans="1:25" ht="15.75" customHeight="1">
      <c r="A792" s="65"/>
      <c r="B792" s="65"/>
      <c r="C792" s="66"/>
      <c r="D792" s="66"/>
      <c r="E792" s="65"/>
      <c r="F792" s="65"/>
      <c r="G792" s="65"/>
      <c r="H792" s="65"/>
      <c r="I792" s="65"/>
      <c r="J792" s="65"/>
      <c r="K792" s="74"/>
      <c r="L792" s="75"/>
      <c r="M792" s="66"/>
      <c r="N792" s="50"/>
      <c r="O792" s="66"/>
      <c r="P792" s="66"/>
      <c r="Q792" s="66"/>
      <c r="R792" s="66"/>
      <c r="S792" s="66"/>
      <c r="T792" s="66"/>
      <c r="U792" s="66"/>
      <c r="V792" s="66"/>
      <c r="W792" s="37"/>
      <c r="X792" s="37"/>
      <c r="Y792" s="37"/>
    </row>
    <row r="793" spans="1:25" ht="15.75" customHeight="1">
      <c r="A793" s="61"/>
      <c r="B793" s="61"/>
      <c r="C793" s="68"/>
      <c r="D793" s="68"/>
      <c r="E793" s="61"/>
      <c r="F793" s="61"/>
      <c r="G793" s="61"/>
      <c r="H793" s="61"/>
      <c r="I793" s="61"/>
      <c r="J793" s="61"/>
      <c r="K793" s="71"/>
      <c r="L793" s="72"/>
      <c r="M793" s="68"/>
      <c r="N793" s="50"/>
      <c r="O793" s="68"/>
      <c r="P793" s="68"/>
      <c r="Q793" s="68"/>
      <c r="R793" s="68"/>
      <c r="S793" s="68"/>
      <c r="T793" s="68"/>
      <c r="U793" s="68"/>
      <c r="V793" s="68"/>
      <c r="W793" s="37"/>
      <c r="X793" s="37"/>
      <c r="Y793" s="37"/>
    </row>
    <row r="794" spans="1:25" ht="15.75" customHeight="1">
      <c r="A794" s="65"/>
      <c r="B794" s="65"/>
      <c r="C794" s="66"/>
      <c r="D794" s="66"/>
      <c r="E794" s="65"/>
      <c r="F794" s="65"/>
      <c r="G794" s="65"/>
      <c r="H794" s="65"/>
      <c r="I794" s="65"/>
      <c r="J794" s="65"/>
      <c r="K794" s="74"/>
      <c r="L794" s="75"/>
      <c r="M794" s="66"/>
      <c r="N794" s="50"/>
      <c r="O794" s="66"/>
      <c r="P794" s="66"/>
      <c r="Q794" s="66"/>
      <c r="R794" s="66"/>
      <c r="S794" s="66"/>
      <c r="T794" s="66"/>
      <c r="U794" s="66"/>
      <c r="V794" s="66"/>
      <c r="W794" s="37"/>
      <c r="X794" s="37"/>
      <c r="Y794" s="37"/>
    </row>
    <row r="795" spans="1:25" ht="15.75" customHeight="1">
      <c r="A795" s="61"/>
      <c r="B795" s="61"/>
      <c r="C795" s="68"/>
      <c r="D795" s="68"/>
      <c r="E795" s="61"/>
      <c r="F795" s="61"/>
      <c r="G795" s="61"/>
      <c r="H795" s="61"/>
      <c r="I795" s="61"/>
      <c r="J795" s="61"/>
      <c r="K795" s="71"/>
      <c r="L795" s="72"/>
      <c r="M795" s="68"/>
      <c r="N795" s="50"/>
      <c r="O795" s="68"/>
      <c r="P795" s="68"/>
      <c r="Q795" s="68"/>
      <c r="R795" s="68"/>
      <c r="S795" s="68"/>
      <c r="T795" s="68"/>
      <c r="U795" s="68"/>
      <c r="V795" s="68"/>
      <c r="W795" s="37"/>
      <c r="X795" s="37"/>
      <c r="Y795" s="37"/>
    </row>
    <row r="796" spans="1:25" ht="15.75" customHeight="1">
      <c r="A796" s="65"/>
      <c r="B796" s="65"/>
      <c r="C796" s="66"/>
      <c r="D796" s="66"/>
      <c r="E796" s="65"/>
      <c r="F796" s="65"/>
      <c r="G796" s="65"/>
      <c r="H796" s="65"/>
      <c r="I796" s="65"/>
      <c r="J796" s="65"/>
      <c r="K796" s="74"/>
      <c r="L796" s="75"/>
      <c r="M796" s="66"/>
      <c r="N796" s="50"/>
      <c r="O796" s="66"/>
      <c r="P796" s="66"/>
      <c r="Q796" s="66"/>
      <c r="R796" s="66"/>
      <c r="S796" s="66"/>
      <c r="T796" s="66"/>
      <c r="U796" s="66"/>
      <c r="V796" s="66"/>
      <c r="W796" s="37"/>
      <c r="X796" s="37"/>
      <c r="Y796" s="37"/>
    </row>
    <row r="797" spans="1:25" ht="15.75" customHeight="1">
      <c r="A797" s="61"/>
      <c r="B797" s="61"/>
      <c r="C797" s="68"/>
      <c r="D797" s="68"/>
      <c r="E797" s="61"/>
      <c r="F797" s="61"/>
      <c r="G797" s="61"/>
      <c r="H797" s="61"/>
      <c r="I797" s="61"/>
      <c r="J797" s="61"/>
      <c r="K797" s="71"/>
      <c r="L797" s="72"/>
      <c r="M797" s="68"/>
      <c r="N797" s="50"/>
      <c r="O797" s="68"/>
      <c r="P797" s="68"/>
      <c r="Q797" s="68"/>
      <c r="R797" s="68"/>
      <c r="S797" s="68"/>
      <c r="T797" s="68"/>
      <c r="U797" s="68"/>
      <c r="V797" s="68"/>
      <c r="W797" s="37"/>
      <c r="X797" s="37"/>
      <c r="Y797" s="37"/>
    </row>
    <row r="798" spans="1:25" ht="15.75" customHeight="1">
      <c r="A798" s="65"/>
      <c r="B798" s="65"/>
      <c r="C798" s="66"/>
      <c r="D798" s="66"/>
      <c r="E798" s="65"/>
      <c r="F798" s="65"/>
      <c r="G798" s="65"/>
      <c r="H798" s="65"/>
      <c r="I798" s="65"/>
      <c r="J798" s="65"/>
      <c r="K798" s="74"/>
      <c r="L798" s="75"/>
      <c r="M798" s="66"/>
      <c r="N798" s="50"/>
      <c r="O798" s="66"/>
      <c r="P798" s="66"/>
      <c r="Q798" s="66"/>
      <c r="R798" s="66"/>
      <c r="S798" s="66"/>
      <c r="T798" s="66"/>
      <c r="U798" s="66"/>
      <c r="V798" s="66"/>
      <c r="W798" s="37"/>
      <c r="X798" s="37"/>
      <c r="Y798" s="37"/>
    </row>
    <row r="799" spans="1:25" ht="15.75" customHeight="1">
      <c r="A799" s="61"/>
      <c r="B799" s="61"/>
      <c r="C799" s="68"/>
      <c r="D799" s="68"/>
      <c r="E799" s="61"/>
      <c r="F799" s="61"/>
      <c r="G799" s="61"/>
      <c r="H799" s="61"/>
      <c r="I799" s="61"/>
      <c r="J799" s="61"/>
      <c r="K799" s="71"/>
      <c r="L799" s="72"/>
      <c r="M799" s="68"/>
      <c r="N799" s="50"/>
      <c r="O799" s="68"/>
      <c r="P799" s="68"/>
      <c r="Q799" s="68"/>
      <c r="R799" s="68"/>
      <c r="S799" s="68"/>
      <c r="T799" s="68"/>
      <c r="U799" s="68"/>
      <c r="V799" s="68"/>
      <c r="W799" s="37"/>
      <c r="X799" s="37"/>
      <c r="Y799" s="37"/>
    </row>
    <row r="800" spans="1:25" ht="15.75" customHeight="1">
      <c r="A800" s="65"/>
      <c r="B800" s="65"/>
      <c r="C800" s="66"/>
      <c r="D800" s="66"/>
      <c r="E800" s="65"/>
      <c r="F800" s="65"/>
      <c r="G800" s="65"/>
      <c r="H800" s="65"/>
      <c r="I800" s="65"/>
      <c r="J800" s="65"/>
      <c r="K800" s="74"/>
      <c r="L800" s="75"/>
      <c r="M800" s="66"/>
      <c r="N800" s="50"/>
      <c r="O800" s="66"/>
      <c r="P800" s="66"/>
      <c r="Q800" s="66"/>
      <c r="R800" s="66"/>
      <c r="S800" s="66"/>
      <c r="T800" s="66"/>
      <c r="U800" s="66"/>
      <c r="V800" s="66"/>
      <c r="W800" s="37"/>
      <c r="X800" s="37"/>
      <c r="Y800" s="37"/>
    </row>
    <row r="801" spans="1:25" ht="15.75" customHeight="1">
      <c r="A801" s="61"/>
      <c r="B801" s="61"/>
      <c r="C801" s="68"/>
      <c r="D801" s="68"/>
      <c r="E801" s="61"/>
      <c r="F801" s="61"/>
      <c r="G801" s="61"/>
      <c r="H801" s="61"/>
      <c r="I801" s="61"/>
      <c r="J801" s="61"/>
      <c r="K801" s="71"/>
      <c r="L801" s="72"/>
      <c r="M801" s="68"/>
      <c r="N801" s="50"/>
      <c r="O801" s="68"/>
      <c r="P801" s="68"/>
      <c r="Q801" s="68"/>
      <c r="R801" s="68"/>
      <c r="S801" s="68"/>
      <c r="T801" s="68"/>
      <c r="U801" s="68"/>
      <c r="V801" s="68"/>
      <c r="W801" s="37"/>
      <c r="X801" s="37"/>
      <c r="Y801" s="37"/>
    </row>
    <row r="802" spans="1:25" ht="15.75" customHeight="1">
      <c r="A802" s="65"/>
      <c r="B802" s="65"/>
      <c r="C802" s="66"/>
      <c r="D802" s="66"/>
      <c r="E802" s="65"/>
      <c r="F802" s="65"/>
      <c r="G802" s="65"/>
      <c r="H802" s="65"/>
      <c r="I802" s="65"/>
      <c r="J802" s="65"/>
      <c r="K802" s="74"/>
      <c r="L802" s="75"/>
      <c r="M802" s="66"/>
      <c r="N802" s="50"/>
      <c r="O802" s="66"/>
      <c r="P802" s="66"/>
      <c r="Q802" s="66"/>
      <c r="R802" s="66"/>
      <c r="S802" s="66"/>
      <c r="T802" s="66"/>
      <c r="U802" s="66"/>
      <c r="V802" s="66"/>
      <c r="W802" s="37"/>
      <c r="X802" s="37"/>
      <c r="Y802" s="37"/>
    </row>
    <row r="803" spans="1:25" ht="15.75" customHeight="1">
      <c r="A803" s="61"/>
      <c r="B803" s="61"/>
      <c r="C803" s="68"/>
      <c r="D803" s="68"/>
      <c r="E803" s="61"/>
      <c r="F803" s="61"/>
      <c r="G803" s="61"/>
      <c r="H803" s="61"/>
      <c r="I803" s="61"/>
      <c r="J803" s="61"/>
      <c r="K803" s="71"/>
      <c r="L803" s="72"/>
      <c r="M803" s="68"/>
      <c r="N803" s="50"/>
      <c r="O803" s="68"/>
      <c r="P803" s="68"/>
      <c r="Q803" s="68"/>
      <c r="R803" s="68"/>
      <c r="S803" s="68"/>
      <c r="T803" s="68"/>
      <c r="U803" s="68"/>
      <c r="V803" s="68"/>
      <c r="W803" s="37"/>
      <c r="X803" s="37"/>
      <c r="Y803" s="37"/>
    </row>
    <row r="804" spans="1:25" ht="15.75" customHeight="1">
      <c r="A804" s="65"/>
      <c r="B804" s="65"/>
      <c r="C804" s="66"/>
      <c r="D804" s="66"/>
      <c r="E804" s="65"/>
      <c r="F804" s="65"/>
      <c r="G804" s="65"/>
      <c r="H804" s="65"/>
      <c r="I804" s="65"/>
      <c r="J804" s="65"/>
      <c r="K804" s="74"/>
      <c r="L804" s="75"/>
      <c r="M804" s="66"/>
      <c r="N804" s="50"/>
      <c r="O804" s="66"/>
      <c r="P804" s="66"/>
      <c r="Q804" s="66"/>
      <c r="R804" s="66"/>
      <c r="S804" s="66"/>
      <c r="T804" s="66"/>
      <c r="U804" s="66"/>
      <c r="V804" s="66"/>
      <c r="W804" s="37"/>
      <c r="X804" s="37"/>
      <c r="Y804" s="37"/>
    </row>
    <row r="805" spans="1:25" ht="15.75" customHeight="1">
      <c r="A805" s="61"/>
      <c r="B805" s="61"/>
      <c r="C805" s="68"/>
      <c r="D805" s="68"/>
      <c r="E805" s="61"/>
      <c r="F805" s="61"/>
      <c r="G805" s="61"/>
      <c r="H805" s="61"/>
      <c r="I805" s="61"/>
      <c r="J805" s="61"/>
      <c r="K805" s="71"/>
      <c r="L805" s="72"/>
      <c r="M805" s="68"/>
      <c r="N805" s="50"/>
      <c r="O805" s="68"/>
      <c r="P805" s="68"/>
      <c r="Q805" s="68"/>
      <c r="R805" s="68"/>
      <c r="S805" s="68"/>
      <c r="T805" s="68"/>
      <c r="U805" s="68"/>
      <c r="V805" s="68"/>
      <c r="W805" s="37"/>
      <c r="X805" s="37"/>
      <c r="Y805" s="37"/>
    </row>
    <row r="806" spans="1:25" ht="15.75" customHeight="1">
      <c r="A806" s="65"/>
      <c r="B806" s="65"/>
      <c r="C806" s="66"/>
      <c r="D806" s="66"/>
      <c r="E806" s="65"/>
      <c r="F806" s="65"/>
      <c r="G806" s="65"/>
      <c r="H806" s="65"/>
      <c r="I806" s="65"/>
      <c r="J806" s="65"/>
      <c r="K806" s="74"/>
      <c r="L806" s="75"/>
      <c r="M806" s="66"/>
      <c r="N806" s="50"/>
      <c r="O806" s="66"/>
      <c r="P806" s="66"/>
      <c r="Q806" s="66"/>
      <c r="R806" s="66"/>
      <c r="S806" s="66"/>
      <c r="T806" s="66"/>
      <c r="U806" s="66"/>
      <c r="V806" s="66"/>
      <c r="W806" s="37"/>
      <c r="X806" s="37"/>
      <c r="Y806" s="37"/>
    </row>
    <row r="807" spans="1:25" ht="15.75" customHeight="1">
      <c r="A807" s="61"/>
      <c r="B807" s="61"/>
      <c r="C807" s="68"/>
      <c r="D807" s="68"/>
      <c r="E807" s="61"/>
      <c r="F807" s="61"/>
      <c r="G807" s="61"/>
      <c r="H807" s="61"/>
      <c r="I807" s="61"/>
      <c r="J807" s="61"/>
      <c r="K807" s="71"/>
      <c r="L807" s="72"/>
      <c r="M807" s="68"/>
      <c r="N807" s="50"/>
      <c r="O807" s="68"/>
      <c r="P807" s="68"/>
      <c r="Q807" s="68"/>
      <c r="R807" s="68"/>
      <c r="S807" s="68"/>
      <c r="T807" s="68"/>
      <c r="U807" s="68"/>
      <c r="V807" s="68"/>
      <c r="W807" s="37"/>
      <c r="X807" s="37"/>
      <c r="Y807" s="37"/>
    </row>
    <row r="808" spans="1:25" ht="15.75" customHeight="1">
      <c r="A808" s="65"/>
      <c r="B808" s="65"/>
      <c r="C808" s="66"/>
      <c r="D808" s="66"/>
      <c r="E808" s="65"/>
      <c r="F808" s="65"/>
      <c r="G808" s="65"/>
      <c r="H808" s="65"/>
      <c r="I808" s="65"/>
      <c r="J808" s="65"/>
      <c r="K808" s="74"/>
      <c r="L808" s="75"/>
      <c r="M808" s="66"/>
      <c r="N808" s="50"/>
      <c r="O808" s="66"/>
      <c r="P808" s="66"/>
      <c r="Q808" s="66"/>
      <c r="R808" s="66"/>
      <c r="S808" s="66"/>
      <c r="T808" s="66"/>
      <c r="U808" s="66"/>
      <c r="V808" s="66"/>
      <c r="W808" s="37"/>
      <c r="X808" s="37"/>
      <c r="Y808" s="37"/>
    </row>
    <row r="809" spans="1:25" ht="15.75" customHeight="1">
      <c r="A809" s="61"/>
      <c r="B809" s="61"/>
      <c r="C809" s="68"/>
      <c r="D809" s="68"/>
      <c r="E809" s="61"/>
      <c r="F809" s="61"/>
      <c r="G809" s="61"/>
      <c r="H809" s="61"/>
      <c r="I809" s="61"/>
      <c r="J809" s="61"/>
      <c r="K809" s="71"/>
      <c r="L809" s="72"/>
      <c r="M809" s="68"/>
      <c r="N809" s="50"/>
      <c r="O809" s="68"/>
      <c r="P809" s="68"/>
      <c r="Q809" s="68"/>
      <c r="R809" s="68"/>
      <c r="S809" s="68"/>
      <c r="T809" s="68"/>
      <c r="U809" s="68"/>
      <c r="V809" s="68"/>
      <c r="W809" s="37"/>
      <c r="X809" s="37"/>
      <c r="Y809" s="37"/>
    </row>
    <row r="810" spans="1:25" ht="15.75" customHeight="1">
      <c r="A810" s="65"/>
      <c r="B810" s="65"/>
      <c r="C810" s="66"/>
      <c r="D810" s="66"/>
      <c r="E810" s="65"/>
      <c r="F810" s="65"/>
      <c r="G810" s="65"/>
      <c r="H810" s="65"/>
      <c r="I810" s="65"/>
      <c r="J810" s="65"/>
      <c r="K810" s="74"/>
      <c r="L810" s="75"/>
      <c r="M810" s="66"/>
      <c r="N810" s="50"/>
      <c r="O810" s="66"/>
      <c r="P810" s="66"/>
      <c r="Q810" s="66"/>
      <c r="R810" s="66"/>
      <c r="S810" s="66"/>
      <c r="T810" s="66"/>
      <c r="U810" s="66"/>
      <c r="V810" s="66"/>
      <c r="W810" s="37"/>
      <c r="X810" s="37"/>
      <c r="Y810" s="37"/>
    </row>
    <row r="811" spans="1:25" ht="15.75" customHeight="1">
      <c r="A811" s="61"/>
      <c r="B811" s="61"/>
      <c r="C811" s="68"/>
      <c r="D811" s="68"/>
      <c r="E811" s="61"/>
      <c r="F811" s="61"/>
      <c r="G811" s="61"/>
      <c r="H811" s="61"/>
      <c r="I811" s="61"/>
      <c r="J811" s="61"/>
      <c r="K811" s="71"/>
      <c r="L811" s="72"/>
      <c r="M811" s="68"/>
      <c r="N811" s="50"/>
      <c r="O811" s="68"/>
      <c r="P811" s="68"/>
      <c r="Q811" s="68"/>
      <c r="R811" s="68"/>
      <c r="S811" s="68"/>
      <c r="T811" s="68"/>
      <c r="U811" s="68"/>
      <c r="V811" s="68"/>
      <c r="W811" s="37"/>
      <c r="X811" s="37"/>
      <c r="Y811" s="37"/>
    </row>
    <row r="812" spans="1:25" ht="15.75" customHeight="1">
      <c r="A812" s="65"/>
      <c r="B812" s="65"/>
      <c r="C812" s="66"/>
      <c r="D812" s="66"/>
      <c r="E812" s="65"/>
      <c r="F812" s="65"/>
      <c r="G812" s="65"/>
      <c r="H812" s="65"/>
      <c r="I812" s="65"/>
      <c r="J812" s="65"/>
      <c r="K812" s="74"/>
      <c r="L812" s="75"/>
      <c r="M812" s="66"/>
      <c r="N812" s="50"/>
      <c r="O812" s="66"/>
      <c r="P812" s="66"/>
      <c r="Q812" s="66"/>
      <c r="R812" s="66"/>
      <c r="S812" s="66"/>
      <c r="T812" s="66"/>
      <c r="U812" s="66"/>
      <c r="V812" s="66"/>
      <c r="W812" s="37"/>
      <c r="X812" s="37"/>
      <c r="Y812" s="37"/>
    </row>
    <row r="813" spans="1:25" ht="15.75" customHeight="1">
      <c r="A813" s="61"/>
      <c r="B813" s="61"/>
      <c r="C813" s="68"/>
      <c r="D813" s="68"/>
      <c r="E813" s="61"/>
      <c r="F813" s="61"/>
      <c r="G813" s="61"/>
      <c r="H813" s="61"/>
      <c r="I813" s="61"/>
      <c r="J813" s="61"/>
      <c r="K813" s="71"/>
      <c r="L813" s="72"/>
      <c r="M813" s="68"/>
      <c r="N813" s="50"/>
      <c r="O813" s="68"/>
      <c r="P813" s="68"/>
      <c r="Q813" s="68"/>
      <c r="R813" s="68"/>
      <c r="S813" s="68"/>
      <c r="T813" s="68"/>
      <c r="U813" s="68"/>
      <c r="V813" s="68"/>
      <c r="W813" s="37"/>
      <c r="X813" s="37"/>
      <c r="Y813" s="37"/>
    </row>
    <row r="814" spans="1:25" ht="15.75" customHeight="1">
      <c r="A814" s="65"/>
      <c r="B814" s="65"/>
      <c r="C814" s="66"/>
      <c r="D814" s="66"/>
      <c r="E814" s="65"/>
      <c r="F814" s="65"/>
      <c r="G814" s="65"/>
      <c r="H814" s="65"/>
      <c r="I814" s="65"/>
      <c r="J814" s="65"/>
      <c r="K814" s="74"/>
      <c r="L814" s="75"/>
      <c r="M814" s="66"/>
      <c r="N814" s="50"/>
      <c r="O814" s="66"/>
      <c r="P814" s="66"/>
      <c r="Q814" s="66"/>
      <c r="R814" s="66"/>
      <c r="S814" s="66"/>
      <c r="T814" s="66"/>
      <c r="U814" s="66"/>
      <c r="V814" s="66"/>
      <c r="W814" s="37"/>
      <c r="X814" s="37"/>
      <c r="Y814" s="37"/>
    </row>
    <row r="815" spans="1:25" ht="15.75" customHeight="1">
      <c r="A815" s="61"/>
      <c r="B815" s="61"/>
      <c r="C815" s="68"/>
      <c r="D815" s="68"/>
      <c r="E815" s="61"/>
      <c r="F815" s="61"/>
      <c r="G815" s="61"/>
      <c r="H815" s="61"/>
      <c r="I815" s="61"/>
      <c r="J815" s="61"/>
      <c r="K815" s="71"/>
      <c r="L815" s="72"/>
      <c r="M815" s="68"/>
      <c r="N815" s="50"/>
      <c r="O815" s="68"/>
      <c r="P815" s="68"/>
      <c r="Q815" s="68"/>
      <c r="R815" s="68"/>
      <c r="S815" s="68"/>
      <c r="T815" s="68"/>
      <c r="U815" s="68"/>
      <c r="V815" s="68"/>
      <c r="W815" s="37"/>
      <c r="X815" s="37"/>
      <c r="Y815" s="37"/>
    </row>
    <row r="816" spans="1:25" ht="15.75" customHeight="1">
      <c r="A816" s="65"/>
      <c r="B816" s="65"/>
      <c r="C816" s="66"/>
      <c r="D816" s="66"/>
      <c r="E816" s="65"/>
      <c r="F816" s="65"/>
      <c r="G816" s="65"/>
      <c r="H816" s="65"/>
      <c r="I816" s="65"/>
      <c r="J816" s="65"/>
      <c r="K816" s="74"/>
      <c r="L816" s="75"/>
      <c r="M816" s="66"/>
      <c r="N816" s="50"/>
      <c r="O816" s="66"/>
      <c r="P816" s="66"/>
      <c r="Q816" s="66"/>
      <c r="R816" s="66"/>
      <c r="S816" s="66"/>
      <c r="T816" s="66"/>
      <c r="U816" s="66"/>
      <c r="V816" s="66"/>
      <c r="W816" s="37"/>
      <c r="X816" s="37"/>
      <c r="Y816" s="37"/>
    </row>
    <row r="817" spans="1:25" ht="15.75" customHeight="1">
      <c r="A817" s="61"/>
      <c r="B817" s="61"/>
      <c r="C817" s="68"/>
      <c r="D817" s="68"/>
      <c r="E817" s="61"/>
      <c r="F817" s="61"/>
      <c r="G817" s="61"/>
      <c r="H817" s="61"/>
      <c r="I817" s="61"/>
      <c r="J817" s="61"/>
      <c r="K817" s="71"/>
      <c r="L817" s="72"/>
      <c r="M817" s="68"/>
      <c r="N817" s="50"/>
      <c r="O817" s="68"/>
      <c r="P817" s="68"/>
      <c r="Q817" s="68"/>
      <c r="R817" s="68"/>
      <c r="S817" s="68"/>
      <c r="T817" s="68"/>
      <c r="U817" s="68"/>
      <c r="V817" s="68"/>
      <c r="W817" s="37"/>
      <c r="X817" s="37"/>
      <c r="Y817" s="37"/>
    </row>
    <row r="818" spans="1:25" ht="15.75" customHeight="1">
      <c r="A818" s="65"/>
      <c r="B818" s="65"/>
      <c r="C818" s="66"/>
      <c r="D818" s="66"/>
      <c r="E818" s="65"/>
      <c r="F818" s="65"/>
      <c r="G818" s="65"/>
      <c r="H818" s="65"/>
      <c r="I818" s="65"/>
      <c r="J818" s="65"/>
      <c r="K818" s="74"/>
      <c r="L818" s="75"/>
      <c r="M818" s="66"/>
      <c r="N818" s="50"/>
      <c r="O818" s="66"/>
      <c r="P818" s="66"/>
      <c r="Q818" s="66"/>
      <c r="R818" s="66"/>
      <c r="S818" s="66"/>
      <c r="T818" s="66"/>
      <c r="U818" s="66"/>
      <c r="V818" s="66"/>
      <c r="W818" s="37"/>
      <c r="X818" s="37"/>
      <c r="Y818" s="37"/>
    </row>
    <row r="819" spans="1:25" ht="15.75" customHeight="1">
      <c r="A819" s="61"/>
      <c r="B819" s="61"/>
      <c r="C819" s="68"/>
      <c r="D819" s="68"/>
      <c r="E819" s="61"/>
      <c r="F819" s="61"/>
      <c r="G819" s="61"/>
      <c r="H819" s="61"/>
      <c r="I819" s="61"/>
      <c r="J819" s="61"/>
      <c r="K819" s="71"/>
      <c r="L819" s="72"/>
      <c r="M819" s="68"/>
      <c r="N819" s="50"/>
      <c r="O819" s="68"/>
      <c r="P819" s="68"/>
      <c r="Q819" s="68"/>
      <c r="R819" s="68"/>
      <c r="S819" s="68"/>
      <c r="T819" s="68"/>
      <c r="U819" s="68"/>
      <c r="V819" s="68"/>
      <c r="W819" s="37"/>
      <c r="X819" s="37"/>
      <c r="Y819" s="37"/>
    </row>
    <row r="820" spans="1:25" ht="15.75" customHeight="1">
      <c r="A820" s="65"/>
      <c r="B820" s="65"/>
      <c r="C820" s="66"/>
      <c r="D820" s="66"/>
      <c r="E820" s="65"/>
      <c r="F820" s="65"/>
      <c r="G820" s="65"/>
      <c r="H820" s="65"/>
      <c r="I820" s="65"/>
      <c r="J820" s="65"/>
      <c r="K820" s="74"/>
      <c r="L820" s="75"/>
      <c r="M820" s="66"/>
      <c r="N820" s="50"/>
      <c r="O820" s="66"/>
      <c r="P820" s="66"/>
      <c r="Q820" s="66"/>
      <c r="R820" s="66"/>
      <c r="S820" s="66"/>
      <c r="T820" s="66"/>
      <c r="U820" s="66"/>
      <c r="V820" s="66"/>
      <c r="W820" s="37"/>
      <c r="X820" s="37"/>
      <c r="Y820" s="37"/>
    </row>
    <row r="821" spans="1:25" ht="15.75" customHeight="1">
      <c r="A821" s="61"/>
      <c r="B821" s="61"/>
      <c r="C821" s="68"/>
      <c r="D821" s="68"/>
      <c r="E821" s="61"/>
      <c r="F821" s="61"/>
      <c r="G821" s="61"/>
      <c r="H821" s="61"/>
      <c r="I821" s="61"/>
      <c r="J821" s="61"/>
      <c r="K821" s="71"/>
      <c r="L821" s="72"/>
      <c r="M821" s="68"/>
      <c r="N821" s="50"/>
      <c r="O821" s="68"/>
      <c r="P821" s="68"/>
      <c r="Q821" s="68"/>
      <c r="R821" s="68"/>
      <c r="S821" s="68"/>
      <c r="T821" s="68"/>
      <c r="U821" s="68"/>
      <c r="V821" s="68"/>
      <c r="W821" s="37"/>
      <c r="X821" s="37"/>
      <c r="Y821" s="37"/>
    </row>
    <row r="822" spans="1:25" ht="15.75" customHeight="1">
      <c r="A822" s="65"/>
      <c r="B822" s="65"/>
      <c r="C822" s="66"/>
      <c r="D822" s="66"/>
      <c r="E822" s="65"/>
      <c r="F822" s="65"/>
      <c r="G822" s="65"/>
      <c r="H822" s="65"/>
      <c r="I822" s="65"/>
      <c r="J822" s="65"/>
      <c r="K822" s="74"/>
      <c r="L822" s="75"/>
      <c r="M822" s="66"/>
      <c r="N822" s="50"/>
      <c r="O822" s="66"/>
      <c r="P822" s="66"/>
      <c r="Q822" s="66"/>
      <c r="R822" s="66"/>
      <c r="S822" s="66"/>
      <c r="T822" s="66"/>
      <c r="U822" s="66"/>
      <c r="V822" s="66"/>
      <c r="W822" s="37"/>
      <c r="X822" s="37"/>
      <c r="Y822" s="37"/>
    </row>
    <row r="823" spans="1:25" ht="15.75" customHeight="1">
      <c r="A823" s="61"/>
      <c r="B823" s="61"/>
      <c r="C823" s="68"/>
      <c r="D823" s="68"/>
      <c r="E823" s="61"/>
      <c r="F823" s="61"/>
      <c r="G823" s="61"/>
      <c r="H823" s="61"/>
      <c r="I823" s="61"/>
      <c r="J823" s="61"/>
      <c r="K823" s="71"/>
      <c r="L823" s="72"/>
      <c r="M823" s="68"/>
      <c r="N823" s="50"/>
      <c r="O823" s="68"/>
      <c r="P823" s="68"/>
      <c r="Q823" s="68"/>
      <c r="R823" s="68"/>
      <c r="S823" s="68"/>
      <c r="T823" s="68"/>
      <c r="U823" s="68"/>
      <c r="V823" s="68"/>
      <c r="W823" s="37"/>
      <c r="X823" s="37"/>
      <c r="Y823" s="37"/>
    </row>
    <row r="824" spans="1:25" ht="15.75" customHeight="1">
      <c r="A824" s="65"/>
      <c r="B824" s="65"/>
      <c r="C824" s="66"/>
      <c r="D824" s="66"/>
      <c r="E824" s="65"/>
      <c r="F824" s="65"/>
      <c r="G824" s="65"/>
      <c r="H824" s="65"/>
      <c r="I824" s="65"/>
      <c r="J824" s="65"/>
      <c r="K824" s="74"/>
      <c r="L824" s="75"/>
      <c r="M824" s="66"/>
      <c r="N824" s="50"/>
      <c r="O824" s="66"/>
      <c r="P824" s="66"/>
      <c r="Q824" s="66"/>
      <c r="R824" s="66"/>
      <c r="S824" s="66"/>
      <c r="T824" s="66"/>
      <c r="U824" s="66"/>
      <c r="V824" s="66"/>
      <c r="W824" s="37"/>
      <c r="X824" s="37"/>
      <c r="Y824" s="37"/>
    </row>
    <row r="825" spans="1:25" ht="15.75" customHeight="1">
      <c r="A825" s="61"/>
      <c r="B825" s="61"/>
      <c r="C825" s="68"/>
      <c r="D825" s="68"/>
      <c r="E825" s="61"/>
      <c r="F825" s="61"/>
      <c r="G825" s="61"/>
      <c r="H825" s="61"/>
      <c r="I825" s="61"/>
      <c r="J825" s="61"/>
      <c r="K825" s="71"/>
      <c r="L825" s="72"/>
      <c r="M825" s="68"/>
      <c r="N825" s="50"/>
      <c r="O825" s="68"/>
      <c r="P825" s="68"/>
      <c r="Q825" s="68"/>
      <c r="R825" s="68"/>
      <c r="S825" s="68"/>
      <c r="T825" s="68"/>
      <c r="U825" s="68"/>
      <c r="V825" s="68"/>
      <c r="W825" s="37"/>
      <c r="X825" s="37"/>
      <c r="Y825" s="37"/>
    </row>
    <row r="826" spans="1:25" ht="15.75" customHeight="1">
      <c r="A826" s="65"/>
      <c r="B826" s="65"/>
      <c r="C826" s="66"/>
      <c r="D826" s="66"/>
      <c r="E826" s="65"/>
      <c r="F826" s="65"/>
      <c r="G826" s="65"/>
      <c r="H826" s="65"/>
      <c r="I826" s="65"/>
      <c r="J826" s="65"/>
      <c r="K826" s="74"/>
      <c r="L826" s="75"/>
      <c r="M826" s="66"/>
      <c r="N826" s="50"/>
      <c r="O826" s="66"/>
      <c r="P826" s="66"/>
      <c r="Q826" s="66"/>
      <c r="R826" s="66"/>
      <c r="S826" s="66"/>
      <c r="T826" s="66"/>
      <c r="U826" s="66"/>
      <c r="V826" s="66"/>
      <c r="W826" s="37"/>
      <c r="X826" s="37"/>
      <c r="Y826" s="37"/>
    </row>
    <row r="827" spans="1:25" ht="15.75" customHeight="1">
      <c r="A827" s="61"/>
      <c r="B827" s="61"/>
      <c r="C827" s="68"/>
      <c r="D827" s="68"/>
      <c r="E827" s="61"/>
      <c r="F827" s="61"/>
      <c r="G827" s="61"/>
      <c r="H827" s="61"/>
      <c r="I827" s="61"/>
      <c r="J827" s="61"/>
      <c r="K827" s="71"/>
      <c r="L827" s="72"/>
      <c r="M827" s="68"/>
      <c r="N827" s="50"/>
      <c r="O827" s="68"/>
      <c r="P827" s="68"/>
      <c r="Q827" s="68"/>
      <c r="R827" s="68"/>
      <c r="S827" s="68"/>
      <c r="T827" s="68"/>
      <c r="U827" s="68"/>
      <c r="V827" s="68"/>
      <c r="W827" s="37"/>
      <c r="X827" s="37"/>
      <c r="Y827" s="37"/>
    </row>
    <row r="828" spans="1:25" ht="15.75" customHeight="1">
      <c r="A828" s="65"/>
      <c r="B828" s="65"/>
      <c r="C828" s="66"/>
      <c r="D828" s="66"/>
      <c r="E828" s="65"/>
      <c r="F828" s="65"/>
      <c r="G828" s="65"/>
      <c r="H828" s="65"/>
      <c r="I828" s="65"/>
      <c r="J828" s="65"/>
      <c r="K828" s="74"/>
      <c r="L828" s="75"/>
      <c r="M828" s="66"/>
      <c r="N828" s="50"/>
      <c r="O828" s="66"/>
      <c r="P828" s="66"/>
      <c r="Q828" s="66"/>
      <c r="R828" s="66"/>
      <c r="S828" s="66"/>
      <c r="T828" s="66"/>
      <c r="U828" s="66"/>
      <c r="V828" s="66"/>
      <c r="W828" s="37"/>
      <c r="X828" s="37"/>
      <c r="Y828" s="37"/>
    </row>
    <row r="829" spans="1:25" ht="15.75" customHeight="1">
      <c r="A829" s="61"/>
      <c r="B829" s="61"/>
      <c r="C829" s="68"/>
      <c r="D829" s="68"/>
      <c r="E829" s="61"/>
      <c r="F829" s="61"/>
      <c r="G829" s="61"/>
      <c r="H829" s="61"/>
      <c r="I829" s="61"/>
      <c r="J829" s="61"/>
      <c r="K829" s="71"/>
      <c r="L829" s="72"/>
      <c r="M829" s="68"/>
      <c r="N829" s="50"/>
      <c r="O829" s="68"/>
      <c r="P829" s="68"/>
      <c r="Q829" s="68"/>
      <c r="R829" s="68"/>
      <c r="S829" s="68"/>
      <c r="T829" s="68"/>
      <c r="U829" s="68"/>
      <c r="V829" s="68"/>
      <c r="W829" s="37"/>
      <c r="X829" s="37"/>
      <c r="Y829" s="37"/>
    </row>
    <row r="830" spans="1:25" ht="15.75" customHeight="1">
      <c r="A830" s="65"/>
      <c r="B830" s="65"/>
      <c r="C830" s="66"/>
      <c r="D830" s="66"/>
      <c r="E830" s="65"/>
      <c r="F830" s="65"/>
      <c r="G830" s="65"/>
      <c r="H830" s="65"/>
      <c r="I830" s="65"/>
      <c r="J830" s="65"/>
      <c r="K830" s="74"/>
      <c r="L830" s="75"/>
      <c r="M830" s="66"/>
      <c r="N830" s="50"/>
      <c r="O830" s="66"/>
      <c r="P830" s="66"/>
      <c r="Q830" s="66"/>
      <c r="R830" s="66"/>
      <c r="S830" s="66"/>
      <c r="T830" s="66"/>
      <c r="U830" s="66"/>
      <c r="V830" s="66"/>
      <c r="W830" s="37"/>
      <c r="X830" s="37"/>
      <c r="Y830" s="37"/>
    </row>
    <row r="831" spans="1:25" ht="15.75" customHeight="1">
      <c r="A831" s="61"/>
      <c r="B831" s="61"/>
      <c r="C831" s="68"/>
      <c r="D831" s="68"/>
      <c r="E831" s="61"/>
      <c r="F831" s="61"/>
      <c r="G831" s="61"/>
      <c r="H831" s="61"/>
      <c r="I831" s="61"/>
      <c r="J831" s="61"/>
      <c r="K831" s="71"/>
      <c r="L831" s="72"/>
      <c r="M831" s="68"/>
      <c r="N831" s="50"/>
      <c r="O831" s="68"/>
      <c r="P831" s="68"/>
      <c r="Q831" s="68"/>
      <c r="R831" s="68"/>
      <c r="S831" s="68"/>
      <c r="T831" s="68"/>
      <c r="U831" s="68"/>
      <c r="V831" s="68"/>
      <c r="W831" s="37"/>
      <c r="X831" s="37"/>
      <c r="Y831" s="37"/>
    </row>
    <row r="832" spans="1:25" ht="15.75" customHeight="1">
      <c r="A832" s="65"/>
      <c r="B832" s="65"/>
      <c r="C832" s="66"/>
      <c r="D832" s="66"/>
      <c r="E832" s="65"/>
      <c r="F832" s="65"/>
      <c r="G832" s="65"/>
      <c r="H832" s="65"/>
      <c r="I832" s="65"/>
      <c r="J832" s="65"/>
      <c r="K832" s="74"/>
      <c r="L832" s="75"/>
      <c r="M832" s="66"/>
      <c r="N832" s="50"/>
      <c r="O832" s="66"/>
      <c r="P832" s="66"/>
      <c r="Q832" s="66"/>
      <c r="R832" s="66"/>
      <c r="S832" s="66"/>
      <c r="T832" s="66"/>
      <c r="U832" s="66"/>
      <c r="V832" s="66"/>
      <c r="W832" s="37"/>
      <c r="X832" s="37"/>
      <c r="Y832" s="37"/>
    </row>
    <row r="833" spans="1:25" ht="15.75" customHeight="1">
      <c r="A833" s="61"/>
      <c r="B833" s="61"/>
      <c r="C833" s="68"/>
      <c r="D833" s="68"/>
      <c r="E833" s="61"/>
      <c r="F833" s="61"/>
      <c r="G833" s="61"/>
      <c r="H833" s="61"/>
      <c r="I833" s="61"/>
      <c r="J833" s="61"/>
      <c r="K833" s="71"/>
      <c r="L833" s="72"/>
      <c r="M833" s="68"/>
      <c r="N833" s="50"/>
      <c r="O833" s="68"/>
      <c r="P833" s="68"/>
      <c r="Q833" s="68"/>
      <c r="R833" s="68"/>
      <c r="S833" s="68"/>
      <c r="T833" s="68"/>
      <c r="U833" s="68"/>
      <c r="V833" s="68"/>
      <c r="W833" s="37"/>
      <c r="X833" s="37"/>
      <c r="Y833" s="37"/>
    </row>
    <row r="834" spans="1:25" ht="15.75" customHeight="1">
      <c r="A834" s="65"/>
      <c r="B834" s="65"/>
      <c r="C834" s="66"/>
      <c r="D834" s="66"/>
      <c r="E834" s="65"/>
      <c r="F834" s="65"/>
      <c r="G834" s="65"/>
      <c r="H834" s="65"/>
      <c r="I834" s="65"/>
      <c r="J834" s="65"/>
      <c r="K834" s="74"/>
      <c r="L834" s="75"/>
      <c r="M834" s="66"/>
      <c r="N834" s="50"/>
      <c r="O834" s="66"/>
      <c r="P834" s="66"/>
      <c r="Q834" s="66"/>
      <c r="R834" s="66"/>
      <c r="S834" s="66"/>
      <c r="T834" s="66"/>
      <c r="U834" s="66"/>
      <c r="V834" s="66"/>
      <c r="W834" s="37"/>
      <c r="X834" s="37"/>
      <c r="Y834" s="37"/>
    </row>
    <row r="835" spans="1:25" ht="15.75" customHeight="1">
      <c r="A835" s="61"/>
      <c r="B835" s="61"/>
      <c r="C835" s="68"/>
      <c r="D835" s="68"/>
      <c r="E835" s="61"/>
      <c r="F835" s="61"/>
      <c r="G835" s="61"/>
      <c r="H835" s="61"/>
      <c r="I835" s="61"/>
      <c r="J835" s="61"/>
      <c r="K835" s="71"/>
      <c r="L835" s="72"/>
      <c r="M835" s="68"/>
      <c r="N835" s="50"/>
      <c r="O835" s="68"/>
      <c r="P835" s="68"/>
      <c r="Q835" s="68"/>
      <c r="R835" s="68"/>
      <c r="S835" s="68"/>
      <c r="T835" s="68"/>
      <c r="U835" s="68"/>
      <c r="V835" s="68"/>
      <c r="W835" s="37"/>
      <c r="X835" s="37"/>
      <c r="Y835" s="37"/>
    </row>
    <row r="836" spans="1:25" ht="15.75" customHeight="1">
      <c r="A836" s="65"/>
      <c r="B836" s="65"/>
      <c r="C836" s="66"/>
      <c r="D836" s="66"/>
      <c r="E836" s="65"/>
      <c r="F836" s="65"/>
      <c r="G836" s="65"/>
      <c r="H836" s="65"/>
      <c r="I836" s="65"/>
      <c r="J836" s="65"/>
      <c r="K836" s="74"/>
      <c r="L836" s="75"/>
      <c r="M836" s="66"/>
      <c r="N836" s="50"/>
      <c r="O836" s="66"/>
      <c r="P836" s="66"/>
      <c r="Q836" s="66"/>
      <c r="R836" s="66"/>
      <c r="S836" s="66"/>
      <c r="T836" s="66"/>
      <c r="U836" s="66"/>
      <c r="V836" s="66"/>
      <c r="W836" s="37"/>
      <c r="X836" s="37"/>
      <c r="Y836" s="37"/>
    </row>
    <row r="837" spans="1:25" ht="15.75" customHeight="1">
      <c r="A837" s="61"/>
      <c r="B837" s="61"/>
      <c r="C837" s="68"/>
      <c r="D837" s="68"/>
      <c r="E837" s="61"/>
      <c r="F837" s="61"/>
      <c r="G837" s="61"/>
      <c r="H837" s="61"/>
      <c r="I837" s="61"/>
      <c r="J837" s="61"/>
      <c r="K837" s="71"/>
      <c r="L837" s="72"/>
      <c r="M837" s="68"/>
      <c r="N837" s="50"/>
      <c r="O837" s="68"/>
      <c r="P837" s="68"/>
      <c r="Q837" s="68"/>
      <c r="R837" s="68"/>
      <c r="S837" s="68"/>
      <c r="T837" s="68"/>
      <c r="U837" s="68"/>
      <c r="V837" s="68"/>
      <c r="W837" s="37"/>
      <c r="X837" s="37"/>
      <c r="Y837" s="37"/>
    </row>
    <row r="838" spans="1:25" ht="15.75" customHeight="1">
      <c r="A838" s="65"/>
      <c r="B838" s="65"/>
      <c r="C838" s="66"/>
      <c r="D838" s="66"/>
      <c r="E838" s="65"/>
      <c r="F838" s="65"/>
      <c r="G838" s="65"/>
      <c r="H838" s="65"/>
      <c r="I838" s="65"/>
      <c r="J838" s="65"/>
      <c r="K838" s="74"/>
      <c r="L838" s="75"/>
      <c r="M838" s="66"/>
      <c r="N838" s="50"/>
      <c r="O838" s="66"/>
      <c r="P838" s="66"/>
      <c r="Q838" s="66"/>
      <c r="R838" s="66"/>
      <c r="S838" s="66"/>
      <c r="T838" s="66"/>
      <c r="U838" s="66"/>
      <c r="V838" s="66"/>
      <c r="W838" s="37"/>
      <c r="X838" s="37"/>
      <c r="Y838" s="37"/>
    </row>
    <row r="839" spans="1:25" ht="15.75" customHeight="1">
      <c r="A839" s="61"/>
      <c r="B839" s="61"/>
      <c r="C839" s="68"/>
      <c r="D839" s="68"/>
      <c r="E839" s="61"/>
      <c r="F839" s="61"/>
      <c r="G839" s="61"/>
      <c r="H839" s="61"/>
      <c r="I839" s="61"/>
      <c r="J839" s="61"/>
      <c r="K839" s="71"/>
      <c r="L839" s="72"/>
      <c r="M839" s="68"/>
      <c r="N839" s="50"/>
      <c r="O839" s="68"/>
      <c r="P839" s="68"/>
      <c r="Q839" s="68"/>
      <c r="R839" s="68"/>
      <c r="S839" s="68"/>
      <c r="T839" s="68"/>
      <c r="U839" s="68"/>
      <c r="V839" s="68"/>
      <c r="W839" s="37"/>
      <c r="X839" s="37"/>
      <c r="Y839" s="37"/>
    </row>
    <row r="840" spans="1:25" ht="15.75" customHeight="1">
      <c r="A840" s="65"/>
      <c r="B840" s="65"/>
      <c r="C840" s="66"/>
      <c r="D840" s="66"/>
      <c r="E840" s="65"/>
      <c r="F840" s="65"/>
      <c r="G840" s="65"/>
      <c r="H840" s="65"/>
      <c r="I840" s="65"/>
      <c r="J840" s="65"/>
      <c r="K840" s="74"/>
      <c r="L840" s="75"/>
      <c r="M840" s="66"/>
      <c r="N840" s="50"/>
      <c r="O840" s="66"/>
      <c r="P840" s="66"/>
      <c r="Q840" s="66"/>
      <c r="R840" s="66"/>
      <c r="S840" s="66"/>
      <c r="T840" s="66"/>
      <c r="U840" s="66"/>
      <c r="V840" s="66"/>
      <c r="W840" s="37"/>
      <c r="X840" s="37"/>
      <c r="Y840" s="37"/>
    </row>
    <row r="841" spans="1:25" ht="15.75" customHeight="1">
      <c r="A841" s="61"/>
      <c r="B841" s="61"/>
      <c r="C841" s="68"/>
      <c r="D841" s="68"/>
      <c r="E841" s="61"/>
      <c r="F841" s="61"/>
      <c r="G841" s="61"/>
      <c r="H841" s="61"/>
      <c r="I841" s="61"/>
      <c r="J841" s="61"/>
      <c r="K841" s="71"/>
      <c r="L841" s="72"/>
      <c r="M841" s="68"/>
      <c r="N841" s="50"/>
      <c r="O841" s="68"/>
      <c r="P841" s="68"/>
      <c r="Q841" s="68"/>
      <c r="R841" s="68"/>
      <c r="S841" s="68"/>
      <c r="T841" s="68"/>
      <c r="U841" s="68"/>
      <c r="V841" s="68"/>
      <c r="W841" s="37"/>
      <c r="X841" s="37"/>
      <c r="Y841" s="37"/>
    </row>
    <row r="842" spans="1:25" ht="15.75" customHeight="1">
      <c r="A842" s="65"/>
      <c r="B842" s="65"/>
      <c r="C842" s="66"/>
      <c r="D842" s="66"/>
      <c r="E842" s="65"/>
      <c r="F842" s="65"/>
      <c r="G842" s="65"/>
      <c r="H842" s="65"/>
      <c r="I842" s="65"/>
      <c r="J842" s="65"/>
      <c r="K842" s="74"/>
      <c r="L842" s="75"/>
      <c r="M842" s="66"/>
      <c r="N842" s="50"/>
      <c r="O842" s="66"/>
      <c r="P842" s="66"/>
      <c r="Q842" s="66"/>
      <c r="R842" s="66"/>
      <c r="S842" s="66"/>
      <c r="T842" s="66"/>
      <c r="U842" s="66"/>
      <c r="V842" s="66"/>
      <c r="W842" s="37"/>
      <c r="X842" s="37"/>
      <c r="Y842" s="37"/>
    </row>
    <row r="843" spans="1:25" ht="15.75" customHeight="1">
      <c r="A843" s="61"/>
      <c r="B843" s="61"/>
      <c r="C843" s="68"/>
      <c r="D843" s="68"/>
      <c r="E843" s="61"/>
      <c r="F843" s="61"/>
      <c r="G843" s="61"/>
      <c r="H843" s="61"/>
      <c r="I843" s="61"/>
      <c r="J843" s="61"/>
      <c r="K843" s="71"/>
      <c r="L843" s="72"/>
      <c r="M843" s="68"/>
      <c r="N843" s="50"/>
      <c r="O843" s="68"/>
      <c r="P843" s="68"/>
      <c r="Q843" s="68"/>
      <c r="R843" s="68"/>
      <c r="S843" s="68"/>
      <c r="T843" s="68"/>
      <c r="U843" s="68"/>
      <c r="V843" s="68"/>
      <c r="W843" s="37"/>
      <c r="X843" s="37"/>
      <c r="Y843" s="37"/>
    </row>
    <row r="844" spans="1:25" ht="15.75" customHeight="1">
      <c r="A844" s="65"/>
      <c r="B844" s="65"/>
      <c r="C844" s="66"/>
      <c r="D844" s="66"/>
      <c r="E844" s="65"/>
      <c r="F844" s="65"/>
      <c r="G844" s="65"/>
      <c r="H844" s="65"/>
      <c r="I844" s="65"/>
      <c r="J844" s="65"/>
      <c r="K844" s="74"/>
      <c r="L844" s="75"/>
      <c r="M844" s="66"/>
      <c r="N844" s="50"/>
      <c r="O844" s="66"/>
      <c r="P844" s="66"/>
      <c r="Q844" s="66"/>
      <c r="R844" s="66"/>
      <c r="S844" s="66"/>
      <c r="T844" s="66"/>
      <c r="U844" s="66"/>
      <c r="V844" s="66"/>
      <c r="W844" s="37"/>
      <c r="X844" s="37"/>
      <c r="Y844" s="37"/>
    </row>
    <row r="845" spans="1:25" ht="15.75" customHeight="1">
      <c r="A845" s="61"/>
      <c r="B845" s="61"/>
      <c r="C845" s="68"/>
      <c r="D845" s="68"/>
      <c r="E845" s="61"/>
      <c r="F845" s="61"/>
      <c r="G845" s="61"/>
      <c r="H845" s="61"/>
      <c r="I845" s="61"/>
      <c r="J845" s="61"/>
      <c r="K845" s="71"/>
      <c r="L845" s="72"/>
      <c r="M845" s="68"/>
      <c r="N845" s="50"/>
      <c r="O845" s="68"/>
      <c r="P845" s="68"/>
      <c r="Q845" s="68"/>
      <c r="R845" s="68"/>
      <c r="S845" s="68"/>
      <c r="T845" s="68"/>
      <c r="U845" s="68"/>
      <c r="V845" s="68"/>
      <c r="W845" s="37"/>
      <c r="X845" s="37"/>
      <c r="Y845" s="37"/>
    </row>
    <row r="846" spans="1:25" ht="15.75" customHeight="1">
      <c r="A846" s="65"/>
      <c r="B846" s="65"/>
      <c r="C846" s="66"/>
      <c r="D846" s="66"/>
      <c r="E846" s="65"/>
      <c r="F846" s="65"/>
      <c r="G846" s="65"/>
      <c r="H846" s="65"/>
      <c r="I846" s="65"/>
      <c r="J846" s="65"/>
      <c r="K846" s="74"/>
      <c r="L846" s="75"/>
      <c r="M846" s="66"/>
      <c r="N846" s="50"/>
      <c r="O846" s="66"/>
      <c r="P846" s="66"/>
      <c r="Q846" s="66"/>
      <c r="R846" s="66"/>
      <c r="S846" s="66"/>
      <c r="T846" s="66"/>
      <c r="U846" s="66"/>
      <c r="V846" s="66"/>
      <c r="W846" s="37"/>
      <c r="X846" s="37"/>
      <c r="Y846" s="37"/>
    </row>
    <row r="847" spans="1:25" ht="15.75" customHeight="1">
      <c r="A847" s="61"/>
      <c r="B847" s="61"/>
      <c r="C847" s="68"/>
      <c r="D847" s="68"/>
      <c r="E847" s="61"/>
      <c r="F847" s="61"/>
      <c r="G847" s="61"/>
      <c r="H847" s="61"/>
      <c r="I847" s="61"/>
      <c r="J847" s="61"/>
      <c r="K847" s="71"/>
      <c r="L847" s="72"/>
      <c r="M847" s="68"/>
      <c r="N847" s="50"/>
      <c r="O847" s="68"/>
      <c r="P847" s="68"/>
      <c r="Q847" s="68"/>
      <c r="R847" s="68"/>
      <c r="S847" s="68"/>
      <c r="T847" s="68"/>
      <c r="U847" s="68"/>
      <c r="V847" s="68"/>
      <c r="W847" s="37"/>
      <c r="X847" s="37"/>
      <c r="Y847" s="37"/>
    </row>
    <row r="848" spans="1:25" ht="15.75" customHeight="1">
      <c r="A848" s="65"/>
      <c r="B848" s="65"/>
      <c r="C848" s="66"/>
      <c r="D848" s="66"/>
      <c r="E848" s="65"/>
      <c r="F848" s="65"/>
      <c r="G848" s="65"/>
      <c r="H848" s="65"/>
      <c r="I848" s="65"/>
      <c r="J848" s="65"/>
      <c r="K848" s="74"/>
      <c r="L848" s="75"/>
      <c r="M848" s="66"/>
      <c r="N848" s="50"/>
      <c r="O848" s="66"/>
      <c r="P848" s="66"/>
      <c r="Q848" s="66"/>
      <c r="R848" s="66"/>
      <c r="S848" s="66"/>
      <c r="T848" s="66"/>
      <c r="U848" s="66"/>
      <c r="V848" s="66"/>
      <c r="W848" s="37"/>
      <c r="X848" s="37"/>
      <c r="Y848" s="37"/>
    </row>
    <row r="849" spans="1:25" ht="15.75" customHeight="1">
      <c r="A849" s="61"/>
      <c r="B849" s="61"/>
      <c r="C849" s="68"/>
      <c r="D849" s="68"/>
      <c r="E849" s="61"/>
      <c r="F849" s="61"/>
      <c r="G849" s="61"/>
      <c r="H849" s="61"/>
      <c r="I849" s="61"/>
      <c r="J849" s="61"/>
      <c r="K849" s="71"/>
      <c r="L849" s="72"/>
      <c r="M849" s="68"/>
      <c r="N849" s="50"/>
      <c r="O849" s="68"/>
      <c r="P849" s="68"/>
      <c r="Q849" s="68"/>
      <c r="R849" s="68"/>
      <c r="S849" s="68"/>
      <c r="T849" s="68"/>
      <c r="U849" s="68"/>
      <c r="V849" s="68"/>
      <c r="W849" s="37"/>
      <c r="X849" s="37"/>
      <c r="Y849" s="37"/>
    </row>
    <row r="850" spans="1:25" ht="15.75" customHeight="1">
      <c r="A850" s="65"/>
      <c r="B850" s="65"/>
      <c r="C850" s="66"/>
      <c r="D850" s="66"/>
      <c r="E850" s="65"/>
      <c r="F850" s="65"/>
      <c r="G850" s="65"/>
      <c r="H850" s="65"/>
      <c r="I850" s="65"/>
      <c r="J850" s="65"/>
      <c r="K850" s="74"/>
      <c r="L850" s="75"/>
      <c r="M850" s="66"/>
      <c r="N850" s="50"/>
      <c r="O850" s="66"/>
      <c r="P850" s="66"/>
      <c r="Q850" s="66"/>
      <c r="R850" s="66"/>
      <c r="S850" s="66"/>
      <c r="T850" s="66"/>
      <c r="U850" s="66"/>
      <c r="V850" s="66"/>
      <c r="W850" s="37"/>
      <c r="X850" s="37"/>
      <c r="Y850" s="37"/>
    </row>
    <row r="851" spans="1:25" ht="15.75" customHeight="1">
      <c r="A851" s="61"/>
      <c r="B851" s="61"/>
      <c r="C851" s="68"/>
      <c r="D851" s="68"/>
      <c r="E851" s="61"/>
      <c r="F851" s="61"/>
      <c r="G851" s="61"/>
      <c r="H851" s="61"/>
      <c r="I851" s="61"/>
      <c r="J851" s="61"/>
      <c r="K851" s="71"/>
      <c r="L851" s="72"/>
      <c r="M851" s="68"/>
      <c r="N851" s="50"/>
      <c r="O851" s="68"/>
      <c r="P851" s="68"/>
      <c r="Q851" s="68"/>
      <c r="R851" s="68"/>
      <c r="S851" s="68"/>
      <c r="T851" s="68"/>
      <c r="U851" s="68"/>
      <c r="V851" s="68"/>
      <c r="W851" s="37"/>
      <c r="X851" s="37"/>
      <c r="Y851" s="37"/>
    </row>
    <row r="852" spans="1:25" ht="15.75" customHeight="1">
      <c r="A852" s="65"/>
      <c r="B852" s="65"/>
      <c r="C852" s="66"/>
      <c r="D852" s="66"/>
      <c r="E852" s="65"/>
      <c r="F852" s="65"/>
      <c r="G852" s="65"/>
      <c r="H852" s="65"/>
      <c r="I852" s="65"/>
      <c r="J852" s="65"/>
      <c r="K852" s="74"/>
      <c r="L852" s="75"/>
      <c r="M852" s="66"/>
      <c r="N852" s="50"/>
      <c r="O852" s="66"/>
      <c r="P852" s="66"/>
      <c r="Q852" s="66"/>
      <c r="R852" s="66"/>
      <c r="S852" s="66"/>
      <c r="T852" s="66"/>
      <c r="U852" s="66"/>
      <c r="V852" s="66"/>
      <c r="W852" s="37"/>
      <c r="X852" s="37"/>
      <c r="Y852" s="37"/>
    </row>
    <row r="853" spans="1:25" ht="15.75" customHeight="1">
      <c r="A853" s="61"/>
      <c r="B853" s="61"/>
      <c r="C853" s="68"/>
      <c r="D853" s="68"/>
      <c r="E853" s="61"/>
      <c r="F853" s="61"/>
      <c r="G853" s="61"/>
      <c r="H853" s="61"/>
      <c r="I853" s="61"/>
      <c r="J853" s="61"/>
      <c r="K853" s="71"/>
      <c r="L853" s="72"/>
      <c r="M853" s="68"/>
      <c r="N853" s="50"/>
      <c r="O853" s="68"/>
      <c r="P853" s="68"/>
      <c r="Q853" s="68"/>
      <c r="R853" s="68"/>
      <c r="S853" s="68"/>
      <c r="T853" s="68"/>
      <c r="U853" s="68"/>
      <c r="V853" s="68"/>
      <c r="W853" s="37"/>
      <c r="X853" s="37"/>
      <c r="Y853" s="37"/>
    </row>
    <row r="854" spans="1:25" ht="15.75" customHeight="1">
      <c r="A854" s="65"/>
      <c r="B854" s="65"/>
      <c r="C854" s="66"/>
      <c r="D854" s="66"/>
      <c r="E854" s="65"/>
      <c r="F854" s="65"/>
      <c r="G854" s="65"/>
      <c r="H854" s="65"/>
      <c r="I854" s="65"/>
      <c r="J854" s="65"/>
      <c r="K854" s="74"/>
      <c r="L854" s="75"/>
      <c r="M854" s="66"/>
      <c r="N854" s="50"/>
      <c r="O854" s="66"/>
      <c r="P854" s="66"/>
      <c r="Q854" s="66"/>
      <c r="R854" s="66"/>
      <c r="S854" s="66"/>
      <c r="T854" s="66"/>
      <c r="U854" s="66"/>
      <c r="V854" s="66"/>
      <c r="W854" s="37"/>
      <c r="X854" s="37"/>
      <c r="Y854" s="37"/>
    </row>
    <row r="855" spans="1:25" ht="15.75" customHeight="1">
      <c r="A855" s="61"/>
      <c r="B855" s="61"/>
      <c r="C855" s="68"/>
      <c r="D855" s="68"/>
      <c r="E855" s="61"/>
      <c r="F855" s="61"/>
      <c r="G855" s="61"/>
      <c r="H855" s="61"/>
      <c r="I855" s="61"/>
      <c r="J855" s="61"/>
      <c r="K855" s="71"/>
      <c r="L855" s="72"/>
      <c r="M855" s="68"/>
      <c r="N855" s="50"/>
      <c r="O855" s="68"/>
      <c r="P855" s="68"/>
      <c r="Q855" s="68"/>
      <c r="R855" s="68"/>
      <c r="S855" s="68"/>
      <c r="T855" s="68"/>
      <c r="U855" s="68"/>
      <c r="V855" s="68"/>
      <c r="W855" s="37"/>
      <c r="X855" s="37"/>
      <c r="Y855" s="37"/>
    </row>
    <row r="856" spans="1:25" ht="15.75" customHeight="1">
      <c r="A856" s="65"/>
      <c r="B856" s="65"/>
      <c r="C856" s="66"/>
      <c r="D856" s="66"/>
      <c r="E856" s="65"/>
      <c r="F856" s="65"/>
      <c r="G856" s="65"/>
      <c r="H856" s="65"/>
      <c r="I856" s="65"/>
      <c r="J856" s="65"/>
      <c r="K856" s="74"/>
      <c r="L856" s="75"/>
      <c r="M856" s="66"/>
      <c r="N856" s="50"/>
      <c r="O856" s="66"/>
      <c r="P856" s="66"/>
      <c r="Q856" s="66"/>
      <c r="R856" s="66"/>
      <c r="S856" s="66"/>
      <c r="T856" s="66"/>
      <c r="U856" s="66"/>
      <c r="V856" s="66"/>
      <c r="W856" s="37"/>
      <c r="X856" s="37"/>
      <c r="Y856" s="37"/>
    </row>
    <row r="857" spans="1:25" ht="15.75" customHeight="1">
      <c r="A857" s="61"/>
      <c r="B857" s="61"/>
      <c r="C857" s="68"/>
      <c r="D857" s="68"/>
      <c r="E857" s="61"/>
      <c r="F857" s="61"/>
      <c r="G857" s="61"/>
      <c r="H857" s="61"/>
      <c r="I857" s="61"/>
      <c r="J857" s="61"/>
      <c r="K857" s="71"/>
      <c r="L857" s="72"/>
      <c r="M857" s="68"/>
      <c r="N857" s="50"/>
      <c r="O857" s="68"/>
      <c r="P857" s="68"/>
      <c r="Q857" s="68"/>
      <c r="R857" s="68"/>
      <c r="S857" s="68"/>
      <c r="T857" s="68"/>
      <c r="U857" s="68"/>
      <c r="V857" s="68"/>
      <c r="W857" s="37"/>
      <c r="X857" s="37"/>
      <c r="Y857" s="37"/>
    </row>
    <row r="858" spans="1:25" ht="15.75" customHeight="1">
      <c r="A858" s="65"/>
      <c r="B858" s="65"/>
      <c r="C858" s="66"/>
      <c r="D858" s="66"/>
      <c r="E858" s="65"/>
      <c r="F858" s="65"/>
      <c r="G858" s="65"/>
      <c r="H858" s="65"/>
      <c r="I858" s="65"/>
      <c r="J858" s="65"/>
      <c r="K858" s="74"/>
      <c r="L858" s="75"/>
      <c r="M858" s="66"/>
      <c r="N858" s="50"/>
      <c r="O858" s="66"/>
      <c r="P858" s="66"/>
      <c r="Q858" s="66"/>
      <c r="R858" s="66"/>
      <c r="S858" s="66"/>
      <c r="T858" s="66"/>
      <c r="U858" s="66"/>
      <c r="V858" s="66"/>
      <c r="W858" s="37"/>
      <c r="X858" s="37"/>
      <c r="Y858" s="37"/>
    </row>
    <row r="859" spans="1:25" ht="15.75" customHeight="1">
      <c r="A859" s="61"/>
      <c r="B859" s="61"/>
      <c r="C859" s="68"/>
      <c r="D859" s="68"/>
      <c r="E859" s="61"/>
      <c r="F859" s="61"/>
      <c r="G859" s="61"/>
      <c r="H859" s="61"/>
      <c r="I859" s="61"/>
      <c r="J859" s="61"/>
      <c r="K859" s="71"/>
      <c r="L859" s="72"/>
      <c r="M859" s="68"/>
      <c r="N859" s="50"/>
      <c r="O859" s="68"/>
      <c r="P859" s="68"/>
      <c r="Q859" s="68"/>
      <c r="R859" s="68"/>
      <c r="S859" s="68"/>
      <c r="T859" s="68"/>
      <c r="U859" s="68"/>
      <c r="V859" s="68"/>
      <c r="W859" s="37"/>
      <c r="X859" s="37"/>
      <c r="Y859" s="37"/>
    </row>
    <row r="860" spans="1:25" ht="15.75" customHeight="1">
      <c r="A860" s="65"/>
      <c r="B860" s="65"/>
      <c r="C860" s="66"/>
      <c r="D860" s="66"/>
      <c r="E860" s="65"/>
      <c r="F860" s="65"/>
      <c r="G860" s="65"/>
      <c r="H860" s="65"/>
      <c r="I860" s="65"/>
      <c r="J860" s="65"/>
      <c r="K860" s="74"/>
      <c r="L860" s="75"/>
      <c r="M860" s="66"/>
      <c r="N860" s="50"/>
      <c r="O860" s="66"/>
      <c r="P860" s="66"/>
      <c r="Q860" s="66"/>
      <c r="R860" s="66"/>
      <c r="S860" s="66"/>
      <c r="T860" s="66"/>
      <c r="U860" s="66"/>
      <c r="V860" s="66"/>
      <c r="W860" s="37"/>
      <c r="X860" s="37"/>
      <c r="Y860" s="37"/>
    </row>
    <row r="861" spans="1:25" ht="15.75" customHeight="1">
      <c r="A861" s="61"/>
      <c r="B861" s="61"/>
      <c r="C861" s="68"/>
      <c r="D861" s="68"/>
      <c r="E861" s="61"/>
      <c r="F861" s="61"/>
      <c r="G861" s="61"/>
      <c r="H861" s="61"/>
      <c r="I861" s="61"/>
      <c r="J861" s="61"/>
      <c r="K861" s="71"/>
      <c r="L861" s="72"/>
      <c r="M861" s="68"/>
      <c r="N861" s="50"/>
      <c r="O861" s="68"/>
      <c r="P861" s="68"/>
      <c r="Q861" s="68"/>
      <c r="R861" s="68"/>
      <c r="S861" s="68"/>
      <c r="T861" s="68"/>
      <c r="U861" s="68"/>
      <c r="V861" s="68"/>
      <c r="W861" s="37"/>
      <c r="X861" s="37"/>
      <c r="Y861" s="37"/>
    </row>
    <row r="862" spans="1:25" ht="15.75" customHeight="1">
      <c r="A862" s="65"/>
      <c r="B862" s="65"/>
      <c r="C862" s="66"/>
      <c r="D862" s="66"/>
      <c r="E862" s="65"/>
      <c r="F862" s="65"/>
      <c r="G862" s="65"/>
      <c r="H862" s="65"/>
      <c r="I862" s="65"/>
      <c r="J862" s="65"/>
      <c r="K862" s="74"/>
      <c r="L862" s="75"/>
      <c r="M862" s="66"/>
      <c r="N862" s="50"/>
      <c r="O862" s="66"/>
      <c r="P862" s="66"/>
      <c r="Q862" s="66"/>
      <c r="R862" s="66"/>
      <c r="S862" s="66"/>
      <c r="T862" s="66"/>
      <c r="U862" s="66"/>
      <c r="V862" s="66"/>
      <c r="W862" s="37"/>
      <c r="X862" s="37"/>
      <c r="Y862" s="37"/>
    </row>
    <row r="863" spans="1:25" ht="15.75" customHeight="1">
      <c r="A863" s="61"/>
      <c r="B863" s="61"/>
      <c r="C863" s="68"/>
      <c r="D863" s="68"/>
      <c r="E863" s="61"/>
      <c r="F863" s="61"/>
      <c r="G863" s="61"/>
      <c r="H863" s="61"/>
      <c r="I863" s="61"/>
      <c r="J863" s="61"/>
      <c r="K863" s="71"/>
      <c r="L863" s="72"/>
      <c r="M863" s="68"/>
      <c r="N863" s="50"/>
      <c r="O863" s="68"/>
      <c r="P863" s="68"/>
      <c r="Q863" s="68"/>
      <c r="R863" s="68"/>
      <c r="S863" s="68"/>
      <c r="T863" s="68"/>
      <c r="U863" s="68"/>
      <c r="V863" s="68"/>
      <c r="W863" s="37"/>
      <c r="X863" s="37"/>
      <c r="Y863" s="37"/>
    </row>
    <row r="864" spans="1:25" ht="15.75" customHeight="1">
      <c r="A864" s="65"/>
      <c r="B864" s="65"/>
      <c r="C864" s="66"/>
      <c r="D864" s="66"/>
      <c r="E864" s="65"/>
      <c r="F864" s="65"/>
      <c r="G864" s="65"/>
      <c r="H864" s="65"/>
      <c r="I864" s="65"/>
      <c r="J864" s="65"/>
      <c r="K864" s="74"/>
      <c r="L864" s="75"/>
      <c r="M864" s="66"/>
      <c r="N864" s="50"/>
      <c r="O864" s="66"/>
      <c r="P864" s="66"/>
      <c r="Q864" s="66"/>
      <c r="R864" s="66"/>
      <c r="S864" s="66"/>
      <c r="T864" s="66"/>
      <c r="U864" s="66"/>
      <c r="V864" s="66"/>
      <c r="W864" s="37"/>
      <c r="X864" s="37"/>
      <c r="Y864" s="37"/>
    </row>
    <row r="865" spans="1:25" ht="15.75" customHeight="1">
      <c r="A865" s="61"/>
      <c r="B865" s="61"/>
      <c r="C865" s="68"/>
      <c r="D865" s="68"/>
      <c r="E865" s="61"/>
      <c r="F865" s="61"/>
      <c r="G865" s="61"/>
      <c r="H865" s="61"/>
      <c r="I865" s="61"/>
      <c r="J865" s="61"/>
      <c r="K865" s="71"/>
      <c r="L865" s="72"/>
      <c r="M865" s="68"/>
      <c r="N865" s="50"/>
      <c r="O865" s="68"/>
      <c r="P865" s="68"/>
      <c r="Q865" s="68"/>
      <c r="R865" s="68"/>
      <c r="S865" s="68"/>
      <c r="T865" s="68"/>
      <c r="U865" s="68"/>
      <c r="V865" s="68"/>
      <c r="W865" s="37"/>
      <c r="X865" s="37"/>
      <c r="Y865" s="37"/>
    </row>
    <row r="866" spans="1:25" ht="15.75" customHeight="1">
      <c r="A866" s="65"/>
      <c r="B866" s="65"/>
      <c r="C866" s="66"/>
      <c r="D866" s="66"/>
      <c r="E866" s="65"/>
      <c r="F866" s="65"/>
      <c r="G866" s="65"/>
      <c r="H866" s="65"/>
      <c r="I866" s="65"/>
      <c r="J866" s="65"/>
      <c r="K866" s="74"/>
      <c r="L866" s="75"/>
      <c r="M866" s="66"/>
      <c r="N866" s="50"/>
      <c r="O866" s="66"/>
      <c r="P866" s="66"/>
      <c r="Q866" s="66"/>
      <c r="R866" s="66"/>
      <c r="S866" s="66"/>
      <c r="T866" s="66"/>
      <c r="U866" s="66"/>
      <c r="V866" s="66"/>
      <c r="W866" s="37"/>
      <c r="X866" s="37"/>
      <c r="Y866" s="37"/>
    </row>
    <row r="867" spans="1:25" ht="15.75" customHeight="1">
      <c r="A867" s="61"/>
      <c r="B867" s="61"/>
      <c r="C867" s="68"/>
      <c r="D867" s="68"/>
      <c r="E867" s="61"/>
      <c r="F867" s="61"/>
      <c r="G867" s="61"/>
      <c r="H867" s="61"/>
      <c r="I867" s="61"/>
      <c r="J867" s="61"/>
      <c r="K867" s="71"/>
      <c r="L867" s="72"/>
      <c r="M867" s="68"/>
      <c r="N867" s="50"/>
      <c r="O867" s="68"/>
      <c r="P867" s="68"/>
      <c r="Q867" s="68"/>
      <c r="R867" s="68"/>
      <c r="S867" s="68"/>
      <c r="T867" s="68"/>
      <c r="U867" s="68"/>
      <c r="V867" s="68"/>
      <c r="W867" s="37"/>
      <c r="X867" s="37"/>
      <c r="Y867" s="37"/>
    </row>
    <row r="868" spans="1:25" ht="15.75" customHeight="1">
      <c r="A868" s="65"/>
      <c r="B868" s="65"/>
      <c r="C868" s="66"/>
      <c r="D868" s="66"/>
      <c r="E868" s="65"/>
      <c r="F868" s="65"/>
      <c r="G868" s="65"/>
      <c r="H868" s="65"/>
      <c r="I868" s="65"/>
      <c r="J868" s="65"/>
      <c r="K868" s="74"/>
      <c r="L868" s="75"/>
      <c r="M868" s="66"/>
      <c r="N868" s="50"/>
      <c r="O868" s="66"/>
      <c r="P868" s="66"/>
      <c r="Q868" s="66"/>
      <c r="R868" s="66"/>
      <c r="S868" s="66"/>
      <c r="T868" s="66"/>
      <c r="U868" s="66"/>
      <c r="V868" s="66"/>
      <c r="W868" s="37"/>
      <c r="X868" s="37"/>
      <c r="Y868" s="37"/>
    </row>
    <row r="869" spans="1:25" ht="15.75" customHeight="1">
      <c r="A869" s="61"/>
      <c r="B869" s="61"/>
      <c r="C869" s="68"/>
      <c r="D869" s="68"/>
      <c r="E869" s="61"/>
      <c r="F869" s="61"/>
      <c r="G869" s="61"/>
      <c r="H869" s="61"/>
      <c r="I869" s="61"/>
      <c r="J869" s="61"/>
      <c r="K869" s="71"/>
      <c r="L869" s="72"/>
      <c r="M869" s="68"/>
      <c r="N869" s="50"/>
      <c r="O869" s="68"/>
      <c r="P869" s="68"/>
      <c r="Q869" s="68"/>
      <c r="R869" s="68"/>
      <c r="S869" s="68"/>
      <c r="T869" s="68"/>
      <c r="U869" s="68"/>
      <c r="V869" s="68"/>
      <c r="W869" s="37"/>
      <c r="X869" s="37"/>
      <c r="Y869" s="37"/>
    </row>
    <row r="870" spans="1:25" ht="15.75" customHeight="1">
      <c r="A870" s="65"/>
      <c r="B870" s="65"/>
      <c r="C870" s="66"/>
      <c r="D870" s="66"/>
      <c r="E870" s="65"/>
      <c r="F870" s="65"/>
      <c r="G870" s="65"/>
      <c r="H870" s="65"/>
      <c r="I870" s="65"/>
      <c r="J870" s="65"/>
      <c r="K870" s="74"/>
      <c r="L870" s="75"/>
      <c r="M870" s="66"/>
      <c r="N870" s="50"/>
      <c r="O870" s="66"/>
      <c r="P870" s="66"/>
      <c r="Q870" s="66"/>
      <c r="R870" s="66"/>
      <c r="S870" s="66"/>
      <c r="T870" s="66"/>
      <c r="U870" s="66"/>
      <c r="V870" s="66"/>
      <c r="W870" s="37"/>
      <c r="X870" s="37"/>
      <c r="Y870" s="37"/>
    </row>
    <row r="871" spans="1:25" ht="15.75" customHeight="1">
      <c r="A871" s="61"/>
      <c r="B871" s="61"/>
      <c r="C871" s="68"/>
      <c r="D871" s="68"/>
      <c r="E871" s="61"/>
      <c r="F871" s="61"/>
      <c r="G871" s="61"/>
      <c r="H871" s="61"/>
      <c r="I871" s="61"/>
      <c r="J871" s="61"/>
      <c r="K871" s="71"/>
      <c r="L871" s="72"/>
      <c r="M871" s="68"/>
      <c r="N871" s="50"/>
      <c r="O871" s="68"/>
      <c r="P871" s="68"/>
      <c r="Q871" s="68"/>
      <c r="R871" s="68"/>
      <c r="S871" s="68"/>
      <c r="T871" s="68"/>
      <c r="U871" s="68"/>
      <c r="V871" s="68"/>
      <c r="W871" s="37"/>
      <c r="X871" s="37"/>
      <c r="Y871" s="37"/>
    </row>
    <row r="872" spans="1:25" ht="15.75" customHeight="1">
      <c r="A872" s="65"/>
      <c r="B872" s="65"/>
      <c r="C872" s="66"/>
      <c r="D872" s="66"/>
      <c r="E872" s="65"/>
      <c r="F872" s="65"/>
      <c r="G872" s="65"/>
      <c r="H872" s="65"/>
      <c r="I872" s="65"/>
      <c r="J872" s="65"/>
      <c r="K872" s="74"/>
      <c r="L872" s="75"/>
      <c r="M872" s="66"/>
      <c r="N872" s="50"/>
      <c r="O872" s="66"/>
      <c r="P872" s="66"/>
      <c r="Q872" s="66"/>
      <c r="R872" s="66"/>
      <c r="S872" s="66"/>
      <c r="T872" s="66"/>
      <c r="U872" s="66"/>
      <c r="V872" s="66"/>
      <c r="W872" s="37"/>
      <c r="X872" s="37"/>
      <c r="Y872" s="37"/>
    </row>
    <row r="873" spans="1:25" ht="15.75" customHeight="1">
      <c r="A873" s="61"/>
      <c r="B873" s="61"/>
      <c r="C873" s="68"/>
      <c r="D873" s="68"/>
      <c r="E873" s="61"/>
      <c r="F873" s="61"/>
      <c r="G873" s="61"/>
      <c r="H873" s="61"/>
      <c r="I873" s="61"/>
      <c r="J873" s="61"/>
      <c r="K873" s="71"/>
      <c r="L873" s="72"/>
      <c r="M873" s="68"/>
      <c r="N873" s="50"/>
      <c r="O873" s="68"/>
      <c r="P873" s="68"/>
      <c r="Q873" s="68"/>
      <c r="R873" s="68"/>
      <c r="S873" s="68"/>
      <c r="T873" s="68"/>
      <c r="U873" s="68"/>
      <c r="V873" s="68"/>
      <c r="W873" s="37"/>
      <c r="X873" s="37"/>
      <c r="Y873" s="37"/>
    </row>
    <row r="874" spans="1:25" ht="15.75" customHeight="1">
      <c r="A874" s="65"/>
      <c r="B874" s="65"/>
      <c r="C874" s="66"/>
      <c r="D874" s="66"/>
      <c r="E874" s="65"/>
      <c r="F874" s="65"/>
      <c r="G874" s="65"/>
      <c r="H874" s="65"/>
      <c r="I874" s="65"/>
      <c r="J874" s="65"/>
      <c r="K874" s="74"/>
      <c r="L874" s="75"/>
      <c r="M874" s="66"/>
      <c r="N874" s="50"/>
      <c r="O874" s="66"/>
      <c r="P874" s="66"/>
      <c r="Q874" s="66"/>
      <c r="R874" s="66"/>
      <c r="S874" s="66"/>
      <c r="T874" s="66"/>
      <c r="U874" s="66"/>
      <c r="V874" s="66"/>
      <c r="W874" s="37"/>
      <c r="X874" s="37"/>
      <c r="Y874" s="37"/>
    </row>
    <row r="875" spans="1:25" ht="15.75" customHeight="1">
      <c r="A875" s="61"/>
      <c r="B875" s="61"/>
      <c r="C875" s="68"/>
      <c r="D875" s="68"/>
      <c r="E875" s="61"/>
      <c r="F875" s="61"/>
      <c r="G875" s="61"/>
      <c r="H875" s="61"/>
      <c r="I875" s="61"/>
      <c r="J875" s="61"/>
      <c r="K875" s="71"/>
      <c r="L875" s="72"/>
      <c r="M875" s="68"/>
      <c r="N875" s="50"/>
      <c r="O875" s="68"/>
      <c r="P875" s="68"/>
      <c r="Q875" s="68"/>
      <c r="R875" s="68"/>
      <c r="S875" s="68"/>
      <c r="T875" s="68"/>
      <c r="U875" s="68"/>
      <c r="V875" s="68"/>
      <c r="W875" s="37"/>
      <c r="X875" s="37"/>
      <c r="Y875" s="37"/>
    </row>
    <row r="876" spans="1:25" ht="15.75" customHeight="1">
      <c r="A876" s="65"/>
      <c r="B876" s="65"/>
      <c r="C876" s="66"/>
      <c r="D876" s="66"/>
      <c r="E876" s="65"/>
      <c r="F876" s="65"/>
      <c r="G876" s="65"/>
      <c r="H876" s="65"/>
      <c r="I876" s="65"/>
      <c r="J876" s="65"/>
      <c r="K876" s="74"/>
      <c r="L876" s="75"/>
      <c r="M876" s="66"/>
      <c r="N876" s="50"/>
      <c r="O876" s="66"/>
      <c r="P876" s="66"/>
      <c r="Q876" s="66"/>
      <c r="R876" s="66"/>
      <c r="S876" s="66"/>
      <c r="T876" s="66"/>
      <c r="U876" s="66"/>
      <c r="V876" s="66"/>
      <c r="W876" s="37"/>
      <c r="X876" s="37"/>
      <c r="Y876" s="37"/>
    </row>
    <row r="877" spans="1:25" ht="15.75" customHeight="1">
      <c r="A877" s="61"/>
      <c r="B877" s="61"/>
      <c r="C877" s="68"/>
      <c r="D877" s="68"/>
      <c r="E877" s="61"/>
      <c r="F877" s="61"/>
      <c r="G877" s="61"/>
      <c r="H877" s="61"/>
      <c r="I877" s="61"/>
      <c r="J877" s="61"/>
      <c r="K877" s="71"/>
      <c r="L877" s="72"/>
      <c r="M877" s="68"/>
      <c r="N877" s="50"/>
      <c r="O877" s="68"/>
      <c r="P877" s="68"/>
      <c r="Q877" s="68"/>
      <c r="R877" s="68"/>
      <c r="S877" s="68"/>
      <c r="T877" s="68"/>
      <c r="U877" s="68"/>
      <c r="V877" s="68"/>
      <c r="W877" s="37"/>
      <c r="X877" s="37"/>
      <c r="Y877" s="37"/>
    </row>
    <row r="878" spans="1:25" ht="15.75" customHeight="1">
      <c r="A878" s="65"/>
      <c r="B878" s="65"/>
      <c r="C878" s="66"/>
      <c r="D878" s="66"/>
      <c r="E878" s="65"/>
      <c r="F878" s="65"/>
      <c r="G878" s="65"/>
      <c r="H878" s="65"/>
      <c r="I878" s="65"/>
      <c r="J878" s="65"/>
      <c r="K878" s="74"/>
      <c r="L878" s="75"/>
      <c r="M878" s="66"/>
      <c r="N878" s="50"/>
      <c r="O878" s="66"/>
      <c r="P878" s="66"/>
      <c r="Q878" s="66"/>
      <c r="R878" s="66"/>
      <c r="S878" s="66"/>
      <c r="T878" s="66"/>
      <c r="U878" s="66"/>
      <c r="V878" s="66"/>
      <c r="W878" s="37"/>
      <c r="X878" s="37"/>
      <c r="Y878" s="37"/>
    </row>
    <row r="879" spans="1:25" ht="15.75" customHeight="1">
      <c r="A879" s="61"/>
      <c r="B879" s="61"/>
      <c r="C879" s="68"/>
      <c r="D879" s="68"/>
      <c r="E879" s="61"/>
      <c r="F879" s="61"/>
      <c r="G879" s="61"/>
      <c r="H879" s="61"/>
      <c r="I879" s="61"/>
      <c r="J879" s="61"/>
      <c r="K879" s="71"/>
      <c r="L879" s="72"/>
      <c r="M879" s="68"/>
      <c r="N879" s="50"/>
      <c r="O879" s="68"/>
      <c r="P879" s="68"/>
      <c r="Q879" s="68"/>
      <c r="R879" s="68"/>
      <c r="S879" s="68"/>
      <c r="T879" s="68"/>
      <c r="U879" s="68"/>
      <c r="V879" s="68"/>
      <c r="W879" s="37"/>
      <c r="X879" s="37"/>
      <c r="Y879" s="37"/>
    </row>
    <row r="880" spans="1:25" ht="15.75" customHeight="1">
      <c r="A880" s="65"/>
      <c r="B880" s="65"/>
      <c r="C880" s="66"/>
      <c r="D880" s="66"/>
      <c r="E880" s="65"/>
      <c r="F880" s="65"/>
      <c r="G880" s="65"/>
      <c r="H880" s="65"/>
      <c r="I880" s="65"/>
      <c r="J880" s="65"/>
      <c r="K880" s="74"/>
      <c r="L880" s="75"/>
      <c r="M880" s="66"/>
      <c r="N880" s="50"/>
      <c r="O880" s="66"/>
      <c r="P880" s="66"/>
      <c r="Q880" s="66"/>
      <c r="R880" s="66"/>
      <c r="S880" s="66"/>
      <c r="T880" s="66"/>
      <c r="U880" s="66"/>
      <c r="V880" s="66"/>
      <c r="W880" s="37"/>
      <c r="X880" s="37"/>
      <c r="Y880" s="37"/>
    </row>
    <row r="881" spans="1:25" ht="15.75" customHeight="1">
      <c r="A881" s="61"/>
      <c r="B881" s="61"/>
      <c r="C881" s="68"/>
      <c r="D881" s="68"/>
      <c r="E881" s="61"/>
      <c r="F881" s="61"/>
      <c r="G881" s="61"/>
      <c r="H881" s="61"/>
      <c r="I881" s="61"/>
      <c r="J881" s="61"/>
      <c r="K881" s="71"/>
      <c r="L881" s="72"/>
      <c r="M881" s="68"/>
      <c r="N881" s="50"/>
      <c r="O881" s="68"/>
      <c r="P881" s="68"/>
      <c r="Q881" s="68"/>
      <c r="R881" s="68"/>
      <c r="S881" s="68"/>
      <c r="T881" s="68"/>
      <c r="U881" s="68"/>
      <c r="V881" s="68"/>
      <c r="W881" s="37"/>
      <c r="X881" s="37"/>
      <c r="Y881" s="37"/>
    </row>
    <row r="882" spans="1:25" ht="15.75" customHeight="1">
      <c r="A882" s="65"/>
      <c r="B882" s="65"/>
      <c r="C882" s="66"/>
      <c r="D882" s="66"/>
      <c r="E882" s="65"/>
      <c r="F882" s="65"/>
      <c r="G882" s="65"/>
      <c r="H882" s="65"/>
      <c r="I882" s="65"/>
      <c r="J882" s="65"/>
      <c r="K882" s="74"/>
      <c r="L882" s="75"/>
      <c r="M882" s="66"/>
      <c r="N882" s="50"/>
      <c r="O882" s="66"/>
      <c r="P882" s="66"/>
      <c r="Q882" s="66"/>
      <c r="R882" s="66"/>
      <c r="S882" s="66"/>
      <c r="T882" s="66"/>
      <c r="U882" s="66"/>
      <c r="V882" s="66"/>
      <c r="W882" s="37"/>
      <c r="X882" s="37"/>
      <c r="Y882" s="37"/>
    </row>
    <row r="883" spans="1:25" ht="15.75" customHeight="1">
      <c r="A883" s="61"/>
      <c r="B883" s="61"/>
      <c r="C883" s="68"/>
      <c r="D883" s="68"/>
      <c r="E883" s="61"/>
      <c r="F883" s="61"/>
      <c r="G883" s="61"/>
      <c r="H883" s="61"/>
      <c r="I883" s="61"/>
      <c r="J883" s="61"/>
      <c r="K883" s="71"/>
      <c r="L883" s="72"/>
      <c r="M883" s="68"/>
      <c r="N883" s="50"/>
      <c r="O883" s="68"/>
      <c r="P883" s="68"/>
      <c r="Q883" s="68"/>
      <c r="R883" s="68"/>
      <c r="S883" s="68"/>
      <c r="T883" s="68"/>
      <c r="U883" s="68"/>
      <c r="V883" s="68"/>
      <c r="W883" s="37"/>
      <c r="X883" s="37"/>
      <c r="Y883" s="37"/>
    </row>
    <row r="884" spans="1:25" ht="15.75" customHeight="1">
      <c r="A884" s="65"/>
      <c r="B884" s="65"/>
      <c r="C884" s="66"/>
      <c r="D884" s="66"/>
      <c r="E884" s="65"/>
      <c r="F884" s="65"/>
      <c r="G884" s="65"/>
      <c r="H884" s="65"/>
      <c r="I884" s="65"/>
      <c r="J884" s="65"/>
      <c r="K884" s="74"/>
      <c r="L884" s="75"/>
      <c r="M884" s="66"/>
      <c r="N884" s="50"/>
      <c r="O884" s="66"/>
      <c r="P884" s="66"/>
      <c r="Q884" s="66"/>
      <c r="R884" s="66"/>
      <c r="S884" s="66"/>
      <c r="T884" s="66"/>
      <c r="U884" s="66"/>
      <c r="V884" s="66"/>
      <c r="W884" s="37"/>
      <c r="X884" s="37"/>
      <c r="Y884" s="37"/>
    </row>
    <row r="885" spans="1:25" ht="15.75" customHeight="1">
      <c r="A885" s="61"/>
      <c r="B885" s="61"/>
      <c r="C885" s="68"/>
      <c r="D885" s="68"/>
      <c r="E885" s="61"/>
      <c r="F885" s="61"/>
      <c r="G885" s="61"/>
      <c r="H885" s="61"/>
      <c r="I885" s="61"/>
      <c r="J885" s="61"/>
      <c r="K885" s="71"/>
      <c r="L885" s="72"/>
      <c r="M885" s="68"/>
      <c r="N885" s="50"/>
      <c r="O885" s="68"/>
      <c r="P885" s="68"/>
      <c r="Q885" s="68"/>
      <c r="R885" s="68"/>
      <c r="S885" s="68"/>
      <c r="T885" s="68"/>
      <c r="U885" s="68"/>
      <c r="V885" s="68"/>
      <c r="W885" s="37"/>
      <c r="X885" s="37"/>
      <c r="Y885" s="37"/>
    </row>
    <row r="886" spans="1:25" ht="15.75" customHeight="1">
      <c r="A886" s="65"/>
      <c r="B886" s="65"/>
      <c r="C886" s="66"/>
      <c r="D886" s="66"/>
      <c r="E886" s="65"/>
      <c r="F886" s="65"/>
      <c r="G886" s="65"/>
      <c r="H886" s="65"/>
      <c r="I886" s="65"/>
      <c r="J886" s="65"/>
      <c r="K886" s="74"/>
      <c r="L886" s="75"/>
      <c r="M886" s="66"/>
      <c r="N886" s="50"/>
      <c r="O886" s="66"/>
      <c r="P886" s="66"/>
      <c r="Q886" s="66"/>
      <c r="R886" s="66"/>
      <c r="S886" s="66"/>
      <c r="T886" s="66"/>
      <c r="U886" s="66"/>
      <c r="V886" s="66"/>
      <c r="W886" s="37"/>
      <c r="X886" s="37"/>
      <c r="Y886" s="37"/>
    </row>
    <row r="887" spans="1:25" ht="15.75" customHeight="1">
      <c r="A887" s="61"/>
      <c r="B887" s="61"/>
      <c r="C887" s="68"/>
      <c r="D887" s="68"/>
      <c r="E887" s="61"/>
      <c r="F887" s="61"/>
      <c r="G887" s="61"/>
      <c r="H887" s="61"/>
      <c r="I887" s="61"/>
      <c r="J887" s="61"/>
      <c r="K887" s="71"/>
      <c r="L887" s="72"/>
      <c r="M887" s="68"/>
      <c r="N887" s="50"/>
      <c r="O887" s="68"/>
      <c r="P887" s="68"/>
      <c r="Q887" s="68"/>
      <c r="R887" s="68"/>
      <c r="S887" s="68"/>
      <c r="T887" s="68"/>
      <c r="U887" s="68"/>
      <c r="V887" s="68"/>
      <c r="W887" s="37"/>
      <c r="X887" s="37"/>
      <c r="Y887" s="37"/>
    </row>
    <row r="888" spans="1:25" ht="15.75" customHeight="1">
      <c r="A888" s="65"/>
      <c r="B888" s="65"/>
      <c r="C888" s="66"/>
      <c r="D888" s="66"/>
      <c r="E888" s="65"/>
      <c r="F888" s="65"/>
      <c r="G888" s="65"/>
      <c r="H888" s="65"/>
      <c r="I888" s="65"/>
      <c r="J888" s="65"/>
      <c r="K888" s="74"/>
      <c r="L888" s="75"/>
      <c r="M888" s="66"/>
      <c r="N888" s="50"/>
      <c r="O888" s="66"/>
      <c r="P888" s="66"/>
      <c r="Q888" s="66"/>
      <c r="R888" s="66"/>
      <c r="S888" s="66"/>
      <c r="T888" s="66"/>
      <c r="U888" s="66"/>
      <c r="V888" s="66"/>
      <c r="W888" s="37"/>
      <c r="X888" s="37"/>
      <c r="Y888" s="37"/>
    </row>
    <row r="889" spans="1:25" ht="15.75" customHeight="1">
      <c r="A889" s="61"/>
      <c r="B889" s="61"/>
      <c r="C889" s="68"/>
      <c r="D889" s="68"/>
      <c r="E889" s="61"/>
      <c r="F889" s="61"/>
      <c r="G889" s="61"/>
      <c r="H889" s="61"/>
      <c r="I889" s="61"/>
      <c r="J889" s="61"/>
      <c r="K889" s="71"/>
      <c r="L889" s="72"/>
      <c r="M889" s="68"/>
      <c r="N889" s="50"/>
      <c r="O889" s="68"/>
      <c r="P889" s="68"/>
      <c r="Q889" s="68"/>
      <c r="R889" s="68"/>
      <c r="S889" s="68"/>
      <c r="T889" s="68"/>
      <c r="U889" s="68"/>
      <c r="V889" s="68"/>
      <c r="W889" s="37"/>
      <c r="X889" s="37"/>
      <c r="Y889" s="37"/>
    </row>
    <row r="890" spans="1:25" ht="15.75" customHeight="1">
      <c r="A890" s="65"/>
      <c r="B890" s="65"/>
      <c r="C890" s="66"/>
      <c r="D890" s="66"/>
      <c r="E890" s="65"/>
      <c r="F890" s="65"/>
      <c r="G890" s="65"/>
      <c r="H890" s="65"/>
      <c r="I890" s="65"/>
      <c r="J890" s="65"/>
      <c r="K890" s="74"/>
      <c r="L890" s="75"/>
      <c r="M890" s="66"/>
      <c r="N890" s="50"/>
      <c r="O890" s="66"/>
      <c r="P890" s="66"/>
      <c r="Q890" s="66"/>
      <c r="R890" s="66"/>
      <c r="S890" s="66"/>
      <c r="T890" s="66"/>
      <c r="U890" s="66"/>
      <c r="V890" s="66"/>
      <c r="W890" s="37"/>
      <c r="X890" s="37"/>
      <c r="Y890" s="37"/>
    </row>
    <row r="891" spans="1:25" ht="15.75" customHeight="1">
      <c r="A891" s="61"/>
      <c r="B891" s="61"/>
      <c r="C891" s="68"/>
      <c r="D891" s="68"/>
      <c r="E891" s="61"/>
      <c r="F891" s="61"/>
      <c r="G891" s="61"/>
      <c r="H891" s="61"/>
      <c r="I891" s="61"/>
      <c r="J891" s="61"/>
      <c r="K891" s="71"/>
      <c r="L891" s="72"/>
      <c r="M891" s="68"/>
      <c r="N891" s="50"/>
      <c r="O891" s="68"/>
      <c r="P891" s="68"/>
      <c r="Q891" s="68"/>
      <c r="R891" s="68"/>
      <c r="S891" s="68"/>
      <c r="T891" s="68"/>
      <c r="U891" s="68"/>
      <c r="V891" s="68"/>
      <c r="W891" s="37"/>
      <c r="X891" s="37"/>
      <c r="Y891" s="37"/>
    </row>
    <row r="892" spans="1:25" ht="15.75" customHeight="1">
      <c r="A892" s="65"/>
      <c r="B892" s="65"/>
      <c r="C892" s="66"/>
      <c r="D892" s="66"/>
      <c r="E892" s="65"/>
      <c r="F892" s="65"/>
      <c r="G892" s="65"/>
      <c r="H892" s="65"/>
      <c r="I892" s="65"/>
      <c r="J892" s="65"/>
      <c r="K892" s="74"/>
      <c r="L892" s="75"/>
      <c r="M892" s="66"/>
      <c r="N892" s="50"/>
      <c r="O892" s="66"/>
      <c r="P892" s="66"/>
      <c r="Q892" s="66"/>
      <c r="R892" s="66"/>
      <c r="S892" s="66"/>
      <c r="T892" s="66"/>
      <c r="U892" s="66"/>
      <c r="V892" s="66"/>
      <c r="W892" s="37"/>
      <c r="X892" s="37"/>
      <c r="Y892" s="37"/>
    </row>
    <row r="893" spans="1:25" ht="15.75" customHeight="1">
      <c r="A893" s="61"/>
      <c r="B893" s="61"/>
      <c r="C893" s="68"/>
      <c r="D893" s="68"/>
      <c r="E893" s="61"/>
      <c r="F893" s="61"/>
      <c r="G893" s="61"/>
      <c r="H893" s="61"/>
      <c r="I893" s="61"/>
      <c r="J893" s="61"/>
      <c r="K893" s="71"/>
      <c r="L893" s="72"/>
      <c r="M893" s="68"/>
      <c r="N893" s="50"/>
      <c r="O893" s="68"/>
      <c r="P893" s="68"/>
      <c r="Q893" s="68"/>
      <c r="R893" s="68"/>
      <c r="S893" s="68"/>
      <c r="T893" s="68"/>
      <c r="U893" s="68"/>
      <c r="V893" s="68"/>
      <c r="W893" s="37"/>
      <c r="X893" s="37"/>
      <c r="Y893" s="37"/>
    </row>
    <row r="894" spans="1:25" ht="15.75" customHeight="1">
      <c r="A894" s="65"/>
      <c r="B894" s="65"/>
      <c r="C894" s="66"/>
      <c r="D894" s="66"/>
      <c r="E894" s="65"/>
      <c r="F894" s="65"/>
      <c r="G894" s="65"/>
      <c r="H894" s="65"/>
      <c r="I894" s="65"/>
      <c r="J894" s="65"/>
      <c r="K894" s="74"/>
      <c r="L894" s="75"/>
      <c r="M894" s="66"/>
      <c r="N894" s="50"/>
      <c r="O894" s="66"/>
      <c r="P894" s="66"/>
      <c r="Q894" s="66"/>
      <c r="R894" s="66"/>
      <c r="S894" s="66"/>
      <c r="T894" s="66"/>
      <c r="U894" s="66"/>
      <c r="V894" s="66"/>
      <c r="W894" s="37"/>
      <c r="X894" s="37"/>
      <c r="Y894" s="37"/>
    </row>
    <row r="895" spans="1:25" ht="15.75" customHeight="1">
      <c r="A895" s="61"/>
      <c r="B895" s="61"/>
      <c r="C895" s="68"/>
      <c r="D895" s="68"/>
      <c r="E895" s="61"/>
      <c r="F895" s="61"/>
      <c r="G895" s="61"/>
      <c r="H895" s="61"/>
      <c r="I895" s="61"/>
      <c r="J895" s="61"/>
      <c r="K895" s="71"/>
      <c r="L895" s="72"/>
      <c r="M895" s="68"/>
      <c r="N895" s="50"/>
      <c r="O895" s="68"/>
      <c r="P895" s="68"/>
      <c r="Q895" s="68"/>
      <c r="R895" s="68"/>
      <c r="S895" s="68"/>
      <c r="T895" s="68"/>
      <c r="U895" s="68"/>
      <c r="V895" s="68"/>
      <c r="W895" s="37"/>
      <c r="X895" s="37"/>
      <c r="Y895" s="37"/>
    </row>
    <row r="896" spans="1:25" ht="15.75" customHeight="1">
      <c r="A896" s="65"/>
      <c r="B896" s="65"/>
      <c r="C896" s="66"/>
      <c r="D896" s="66"/>
      <c r="E896" s="65"/>
      <c r="F896" s="65"/>
      <c r="G896" s="65"/>
      <c r="H896" s="65"/>
      <c r="I896" s="65"/>
      <c r="J896" s="65"/>
      <c r="K896" s="74"/>
      <c r="L896" s="75"/>
      <c r="M896" s="66"/>
      <c r="N896" s="50"/>
      <c r="O896" s="66"/>
      <c r="P896" s="66"/>
      <c r="Q896" s="66"/>
      <c r="R896" s="66"/>
      <c r="S896" s="66"/>
      <c r="T896" s="66"/>
      <c r="U896" s="66"/>
      <c r="V896" s="66"/>
      <c r="W896" s="37"/>
      <c r="X896" s="37"/>
      <c r="Y896" s="37"/>
    </row>
    <row r="897" spans="1:25" ht="15.75" customHeight="1">
      <c r="A897" s="61"/>
      <c r="B897" s="61"/>
      <c r="C897" s="68"/>
      <c r="D897" s="68"/>
      <c r="E897" s="61"/>
      <c r="F897" s="61"/>
      <c r="G897" s="61"/>
      <c r="H897" s="61"/>
      <c r="I897" s="61"/>
      <c r="J897" s="61"/>
      <c r="K897" s="71"/>
      <c r="L897" s="72"/>
      <c r="M897" s="68"/>
      <c r="N897" s="50"/>
      <c r="O897" s="68"/>
      <c r="P897" s="68"/>
      <c r="Q897" s="68"/>
      <c r="R897" s="68"/>
      <c r="S897" s="68"/>
      <c r="T897" s="68"/>
      <c r="U897" s="68"/>
      <c r="V897" s="68"/>
      <c r="W897" s="37"/>
      <c r="X897" s="37"/>
      <c r="Y897" s="37"/>
    </row>
    <row r="898" spans="1:25" ht="15.75" customHeight="1">
      <c r="A898" s="65"/>
      <c r="B898" s="65"/>
      <c r="C898" s="66"/>
      <c r="D898" s="66"/>
      <c r="E898" s="65"/>
      <c r="F898" s="65"/>
      <c r="G898" s="65"/>
      <c r="H898" s="65"/>
      <c r="I898" s="65"/>
      <c r="J898" s="65"/>
      <c r="K898" s="74"/>
      <c r="L898" s="75"/>
      <c r="M898" s="66"/>
      <c r="N898" s="50"/>
      <c r="O898" s="66"/>
      <c r="P898" s="66"/>
      <c r="Q898" s="66"/>
      <c r="R898" s="66"/>
      <c r="S898" s="66"/>
      <c r="T898" s="66"/>
      <c r="U898" s="66"/>
      <c r="V898" s="66"/>
      <c r="W898" s="37"/>
      <c r="X898" s="37"/>
      <c r="Y898" s="37"/>
    </row>
    <row r="899" spans="1:25" ht="15.75" customHeight="1">
      <c r="A899" s="61"/>
      <c r="B899" s="61"/>
      <c r="C899" s="68"/>
      <c r="D899" s="68"/>
      <c r="E899" s="61"/>
      <c r="F899" s="61"/>
      <c r="G899" s="61"/>
      <c r="H899" s="61"/>
      <c r="I899" s="61"/>
      <c r="J899" s="61"/>
      <c r="K899" s="71"/>
      <c r="L899" s="72"/>
      <c r="M899" s="68"/>
      <c r="N899" s="50"/>
      <c r="O899" s="68"/>
      <c r="P899" s="68"/>
      <c r="Q899" s="68"/>
      <c r="R899" s="68"/>
      <c r="S899" s="68"/>
      <c r="T899" s="68"/>
      <c r="U899" s="68"/>
      <c r="V899" s="68"/>
      <c r="W899" s="37"/>
      <c r="X899" s="37"/>
      <c r="Y899" s="37"/>
    </row>
    <row r="900" spans="1:25" ht="15.75" customHeight="1">
      <c r="A900" s="65"/>
      <c r="B900" s="65"/>
      <c r="C900" s="66"/>
      <c r="D900" s="66"/>
      <c r="E900" s="65"/>
      <c r="F900" s="65"/>
      <c r="G900" s="65"/>
      <c r="H900" s="65"/>
      <c r="I900" s="65"/>
      <c r="J900" s="65"/>
      <c r="K900" s="74"/>
      <c r="L900" s="75"/>
      <c r="M900" s="66"/>
      <c r="N900" s="50"/>
      <c r="O900" s="66"/>
      <c r="P900" s="66"/>
      <c r="Q900" s="66"/>
      <c r="R900" s="66"/>
      <c r="S900" s="66"/>
      <c r="T900" s="66"/>
      <c r="U900" s="66"/>
      <c r="V900" s="66"/>
      <c r="W900" s="37"/>
      <c r="X900" s="37"/>
      <c r="Y900" s="37"/>
    </row>
    <row r="901" spans="1:25" ht="15.75" customHeight="1">
      <c r="A901" s="61"/>
      <c r="B901" s="61"/>
      <c r="C901" s="68"/>
      <c r="D901" s="68"/>
      <c r="E901" s="61"/>
      <c r="F901" s="61"/>
      <c r="G901" s="61"/>
      <c r="H901" s="61"/>
      <c r="I901" s="61"/>
      <c r="J901" s="61"/>
      <c r="K901" s="71"/>
      <c r="L901" s="72"/>
      <c r="M901" s="68"/>
      <c r="N901" s="50"/>
      <c r="O901" s="68"/>
      <c r="P901" s="68"/>
      <c r="Q901" s="68"/>
      <c r="R901" s="68"/>
      <c r="S901" s="68"/>
      <c r="T901" s="68"/>
      <c r="U901" s="68"/>
      <c r="V901" s="68"/>
      <c r="W901" s="37"/>
      <c r="X901" s="37"/>
      <c r="Y901" s="37"/>
    </row>
    <row r="902" spans="1:25" ht="15.75" customHeight="1">
      <c r="A902" s="65"/>
      <c r="B902" s="65"/>
      <c r="C902" s="66"/>
      <c r="D902" s="66"/>
      <c r="E902" s="65"/>
      <c r="F902" s="65"/>
      <c r="G902" s="65"/>
      <c r="H902" s="65"/>
      <c r="I902" s="65"/>
      <c r="J902" s="65"/>
      <c r="K902" s="74"/>
      <c r="L902" s="75"/>
      <c r="M902" s="66"/>
      <c r="N902" s="50"/>
      <c r="O902" s="66"/>
      <c r="P902" s="66"/>
      <c r="Q902" s="66"/>
      <c r="R902" s="66"/>
      <c r="S902" s="66"/>
      <c r="T902" s="66"/>
      <c r="U902" s="66"/>
      <c r="V902" s="66"/>
      <c r="W902" s="37"/>
      <c r="X902" s="37"/>
      <c r="Y902" s="37"/>
    </row>
    <row r="903" spans="1:25" ht="15.75" customHeight="1">
      <c r="A903" s="61"/>
      <c r="B903" s="61"/>
      <c r="C903" s="68"/>
      <c r="D903" s="68"/>
      <c r="E903" s="61"/>
      <c r="F903" s="61"/>
      <c r="G903" s="61"/>
      <c r="H903" s="61"/>
      <c r="I903" s="61"/>
      <c r="J903" s="61"/>
      <c r="K903" s="71"/>
      <c r="L903" s="72"/>
      <c r="M903" s="68"/>
      <c r="N903" s="50"/>
      <c r="O903" s="68"/>
      <c r="P903" s="68"/>
      <c r="Q903" s="68"/>
      <c r="R903" s="68"/>
      <c r="S903" s="68"/>
      <c r="T903" s="68"/>
      <c r="U903" s="68"/>
      <c r="V903" s="68"/>
      <c r="W903" s="37"/>
      <c r="X903" s="37"/>
      <c r="Y903" s="37"/>
    </row>
    <row r="904" spans="1:25" ht="15.75" customHeight="1">
      <c r="A904" s="65"/>
      <c r="B904" s="65"/>
      <c r="C904" s="66"/>
      <c r="D904" s="66"/>
      <c r="E904" s="65"/>
      <c r="F904" s="65"/>
      <c r="G904" s="65"/>
      <c r="H904" s="65"/>
      <c r="I904" s="65"/>
      <c r="J904" s="65"/>
      <c r="K904" s="74"/>
      <c r="L904" s="75"/>
      <c r="M904" s="66"/>
      <c r="N904" s="50"/>
      <c r="O904" s="66"/>
      <c r="P904" s="66"/>
      <c r="Q904" s="66"/>
      <c r="R904" s="66"/>
      <c r="S904" s="66"/>
      <c r="T904" s="66"/>
      <c r="U904" s="66"/>
      <c r="V904" s="66"/>
      <c r="W904" s="37"/>
      <c r="X904" s="37"/>
      <c r="Y904" s="37"/>
    </row>
    <row r="905" spans="1:25" ht="15.75" customHeight="1">
      <c r="A905" s="61"/>
      <c r="B905" s="61"/>
      <c r="C905" s="68"/>
      <c r="D905" s="68"/>
      <c r="E905" s="61"/>
      <c r="F905" s="61"/>
      <c r="G905" s="61"/>
      <c r="H905" s="61"/>
      <c r="I905" s="61"/>
      <c r="J905" s="61"/>
      <c r="K905" s="71"/>
      <c r="L905" s="72"/>
      <c r="M905" s="68"/>
      <c r="N905" s="50"/>
      <c r="O905" s="68"/>
      <c r="P905" s="68"/>
      <c r="Q905" s="68"/>
      <c r="R905" s="68"/>
      <c r="S905" s="68"/>
      <c r="T905" s="68"/>
      <c r="U905" s="68"/>
      <c r="V905" s="68"/>
      <c r="W905" s="37"/>
      <c r="X905" s="37"/>
      <c r="Y905" s="37"/>
    </row>
    <row r="906" spans="1:25" ht="15.75" customHeight="1">
      <c r="A906" s="65"/>
      <c r="B906" s="65"/>
      <c r="C906" s="66"/>
      <c r="D906" s="66"/>
      <c r="E906" s="65"/>
      <c r="F906" s="65"/>
      <c r="G906" s="65"/>
      <c r="H906" s="65"/>
      <c r="I906" s="65"/>
      <c r="J906" s="65"/>
      <c r="K906" s="74"/>
      <c r="L906" s="75"/>
      <c r="M906" s="66"/>
      <c r="N906" s="50"/>
      <c r="O906" s="66"/>
      <c r="P906" s="66"/>
      <c r="Q906" s="66"/>
      <c r="R906" s="66"/>
      <c r="S906" s="66"/>
      <c r="T906" s="66"/>
      <c r="U906" s="66"/>
      <c r="V906" s="66"/>
      <c r="W906" s="37"/>
      <c r="X906" s="37"/>
      <c r="Y906" s="37"/>
    </row>
    <row r="907" spans="1:25" ht="15.75" customHeight="1">
      <c r="A907" s="61"/>
      <c r="B907" s="61"/>
      <c r="C907" s="68"/>
      <c r="D907" s="68"/>
      <c r="E907" s="61"/>
      <c r="F907" s="61"/>
      <c r="G907" s="61"/>
      <c r="H907" s="61"/>
      <c r="I907" s="61"/>
      <c r="J907" s="61"/>
      <c r="K907" s="71"/>
      <c r="L907" s="72"/>
      <c r="M907" s="68"/>
      <c r="N907" s="50"/>
      <c r="O907" s="68"/>
      <c r="P907" s="68"/>
      <c r="Q907" s="68"/>
      <c r="R907" s="68"/>
      <c r="S907" s="68"/>
      <c r="T907" s="68"/>
      <c r="U907" s="68"/>
      <c r="V907" s="68"/>
      <c r="W907" s="37"/>
      <c r="X907" s="37"/>
      <c r="Y907" s="37"/>
    </row>
    <row r="908" spans="1:25" ht="15.75" customHeight="1">
      <c r="A908" s="65"/>
      <c r="B908" s="65"/>
      <c r="C908" s="66"/>
      <c r="D908" s="66"/>
      <c r="E908" s="65"/>
      <c r="F908" s="65"/>
      <c r="G908" s="65"/>
      <c r="H908" s="65"/>
      <c r="I908" s="65"/>
      <c r="J908" s="65"/>
      <c r="K908" s="74"/>
      <c r="L908" s="75"/>
      <c r="M908" s="66"/>
      <c r="N908" s="50"/>
      <c r="O908" s="66"/>
      <c r="P908" s="66"/>
      <c r="Q908" s="66"/>
      <c r="R908" s="66"/>
      <c r="S908" s="66"/>
      <c r="T908" s="66"/>
      <c r="U908" s="66"/>
      <c r="V908" s="66"/>
      <c r="W908" s="37"/>
      <c r="X908" s="37"/>
      <c r="Y908" s="37"/>
    </row>
    <row r="909" spans="1:25" ht="15.75" customHeight="1">
      <c r="A909" s="61"/>
      <c r="B909" s="61"/>
      <c r="C909" s="68"/>
      <c r="D909" s="68"/>
      <c r="E909" s="61"/>
      <c r="F909" s="61"/>
      <c r="G909" s="61"/>
      <c r="H909" s="61"/>
      <c r="I909" s="61"/>
      <c r="J909" s="61"/>
      <c r="K909" s="71"/>
      <c r="L909" s="72"/>
      <c r="M909" s="68"/>
      <c r="N909" s="50"/>
      <c r="O909" s="68"/>
      <c r="P909" s="68"/>
      <c r="Q909" s="68"/>
      <c r="R909" s="68"/>
      <c r="S909" s="68"/>
      <c r="T909" s="68"/>
      <c r="U909" s="68"/>
      <c r="V909" s="68"/>
      <c r="W909" s="37"/>
      <c r="X909" s="37"/>
      <c r="Y909" s="37"/>
    </row>
    <row r="910" spans="1:25" ht="15.75" customHeight="1">
      <c r="A910" s="65"/>
      <c r="B910" s="65"/>
      <c r="C910" s="66"/>
      <c r="D910" s="66"/>
      <c r="E910" s="65"/>
      <c r="F910" s="65"/>
      <c r="G910" s="65"/>
      <c r="H910" s="65"/>
      <c r="I910" s="65"/>
      <c r="J910" s="65"/>
      <c r="K910" s="74"/>
      <c r="L910" s="75"/>
      <c r="M910" s="66"/>
      <c r="N910" s="50"/>
      <c r="O910" s="66"/>
      <c r="P910" s="66"/>
      <c r="Q910" s="66"/>
      <c r="R910" s="66"/>
      <c r="S910" s="66"/>
      <c r="T910" s="66"/>
      <c r="U910" s="66"/>
      <c r="V910" s="66"/>
      <c r="W910" s="37"/>
      <c r="X910" s="37"/>
      <c r="Y910" s="37"/>
    </row>
    <row r="911" spans="1:25" ht="15.75" customHeight="1">
      <c r="A911" s="61"/>
      <c r="B911" s="61"/>
      <c r="C911" s="68"/>
      <c r="D911" s="68"/>
      <c r="E911" s="61"/>
      <c r="F911" s="61"/>
      <c r="G911" s="61"/>
      <c r="H911" s="61"/>
      <c r="I911" s="61"/>
      <c r="J911" s="61"/>
      <c r="K911" s="71"/>
      <c r="L911" s="72"/>
      <c r="M911" s="68"/>
      <c r="N911" s="50"/>
      <c r="O911" s="68"/>
      <c r="P911" s="68"/>
      <c r="Q911" s="68"/>
      <c r="R911" s="68"/>
      <c r="S911" s="68"/>
      <c r="T911" s="68"/>
      <c r="U911" s="68"/>
      <c r="V911" s="68"/>
      <c r="W911" s="37"/>
      <c r="X911" s="37"/>
      <c r="Y911" s="37"/>
    </row>
    <row r="912" spans="1:25" ht="15.75" customHeight="1">
      <c r="A912" s="65"/>
      <c r="B912" s="65"/>
      <c r="C912" s="66"/>
      <c r="D912" s="66"/>
      <c r="E912" s="65"/>
      <c r="F912" s="65"/>
      <c r="G912" s="65"/>
      <c r="H912" s="65"/>
      <c r="I912" s="65"/>
      <c r="J912" s="65"/>
      <c r="K912" s="74"/>
      <c r="L912" s="75"/>
      <c r="M912" s="66"/>
      <c r="N912" s="50"/>
      <c r="O912" s="66"/>
      <c r="P912" s="66"/>
      <c r="Q912" s="66"/>
      <c r="R912" s="66"/>
      <c r="S912" s="66"/>
      <c r="T912" s="66"/>
      <c r="U912" s="66"/>
      <c r="V912" s="66"/>
      <c r="W912" s="37"/>
      <c r="X912" s="37"/>
      <c r="Y912" s="37"/>
    </row>
    <row r="913" spans="1:25" ht="15.75" customHeight="1">
      <c r="A913" s="61"/>
      <c r="B913" s="61"/>
      <c r="C913" s="68"/>
      <c r="D913" s="68"/>
      <c r="E913" s="61"/>
      <c r="F913" s="61"/>
      <c r="G913" s="61"/>
      <c r="H913" s="61"/>
      <c r="I913" s="61"/>
      <c r="J913" s="61"/>
      <c r="K913" s="71"/>
      <c r="L913" s="72"/>
      <c r="M913" s="68"/>
      <c r="N913" s="50"/>
      <c r="O913" s="68"/>
      <c r="P913" s="68"/>
      <c r="Q913" s="68"/>
      <c r="R913" s="68"/>
      <c r="S913" s="68"/>
      <c r="T913" s="68"/>
      <c r="U913" s="68"/>
      <c r="V913" s="68"/>
      <c r="W913" s="37"/>
      <c r="X913" s="37"/>
      <c r="Y913" s="37"/>
    </row>
    <row r="914" spans="1:25" ht="15.75" customHeight="1">
      <c r="A914" s="65"/>
      <c r="B914" s="65"/>
      <c r="C914" s="66"/>
      <c r="D914" s="66"/>
      <c r="E914" s="65"/>
      <c r="F914" s="65"/>
      <c r="G914" s="65"/>
      <c r="H914" s="65"/>
      <c r="I914" s="65"/>
      <c r="J914" s="65"/>
      <c r="K914" s="74"/>
      <c r="L914" s="75"/>
      <c r="M914" s="66"/>
      <c r="N914" s="50"/>
      <c r="O914" s="66"/>
      <c r="P914" s="66"/>
      <c r="Q914" s="66"/>
      <c r="R914" s="66"/>
      <c r="S914" s="66"/>
      <c r="T914" s="66"/>
      <c r="U914" s="66"/>
      <c r="V914" s="66"/>
      <c r="W914" s="37"/>
      <c r="X914" s="37"/>
      <c r="Y914" s="37"/>
    </row>
    <row r="915" spans="1:25" ht="15.75" customHeight="1">
      <c r="A915" s="61"/>
      <c r="B915" s="61"/>
      <c r="C915" s="68"/>
      <c r="D915" s="68"/>
      <c r="E915" s="61"/>
      <c r="F915" s="61"/>
      <c r="G915" s="61"/>
      <c r="H915" s="61"/>
      <c r="I915" s="61"/>
      <c r="J915" s="61"/>
      <c r="K915" s="71"/>
      <c r="L915" s="72"/>
      <c r="M915" s="68"/>
      <c r="N915" s="50"/>
      <c r="O915" s="68"/>
      <c r="P915" s="68"/>
      <c r="Q915" s="68"/>
      <c r="R915" s="68"/>
      <c r="S915" s="68"/>
      <c r="T915" s="68"/>
      <c r="U915" s="68"/>
      <c r="V915" s="68"/>
      <c r="W915" s="37"/>
      <c r="X915" s="37"/>
      <c r="Y915" s="37"/>
    </row>
    <row r="916" spans="1:25" ht="15.75" customHeight="1">
      <c r="A916" s="65"/>
      <c r="B916" s="65"/>
      <c r="C916" s="66"/>
      <c r="D916" s="66"/>
      <c r="E916" s="65"/>
      <c r="F916" s="65"/>
      <c r="G916" s="65"/>
      <c r="H916" s="65"/>
      <c r="I916" s="65"/>
      <c r="J916" s="65"/>
      <c r="K916" s="74"/>
      <c r="L916" s="75"/>
      <c r="M916" s="66"/>
      <c r="N916" s="50"/>
      <c r="O916" s="66"/>
      <c r="P916" s="66"/>
      <c r="Q916" s="66"/>
      <c r="R916" s="66"/>
      <c r="S916" s="66"/>
      <c r="T916" s="66"/>
      <c r="U916" s="66"/>
      <c r="V916" s="66"/>
      <c r="W916" s="37"/>
      <c r="X916" s="37"/>
      <c r="Y916" s="37"/>
    </row>
    <row r="917" spans="1:25" ht="15.75" customHeight="1">
      <c r="A917" s="61"/>
      <c r="B917" s="61"/>
      <c r="C917" s="68"/>
      <c r="D917" s="68"/>
      <c r="E917" s="61"/>
      <c r="F917" s="61"/>
      <c r="G917" s="61"/>
      <c r="H917" s="61"/>
      <c r="I917" s="61"/>
      <c r="J917" s="61"/>
      <c r="K917" s="71"/>
      <c r="L917" s="72"/>
      <c r="M917" s="68"/>
      <c r="N917" s="50"/>
      <c r="O917" s="68"/>
      <c r="P917" s="68"/>
      <c r="Q917" s="68"/>
      <c r="R917" s="68"/>
      <c r="S917" s="68"/>
      <c r="T917" s="68"/>
      <c r="U917" s="68"/>
      <c r="V917" s="68"/>
      <c r="W917" s="37"/>
      <c r="X917" s="37"/>
      <c r="Y917" s="37"/>
    </row>
    <row r="918" spans="1:25" ht="15.75" customHeight="1">
      <c r="A918" s="65"/>
      <c r="B918" s="65"/>
      <c r="C918" s="66"/>
      <c r="D918" s="66"/>
      <c r="E918" s="65"/>
      <c r="F918" s="65"/>
      <c r="G918" s="65"/>
      <c r="H918" s="65"/>
      <c r="I918" s="65"/>
      <c r="J918" s="65"/>
      <c r="K918" s="74"/>
      <c r="L918" s="75"/>
      <c r="M918" s="66"/>
      <c r="N918" s="50"/>
      <c r="O918" s="66"/>
      <c r="P918" s="66"/>
      <c r="Q918" s="66"/>
      <c r="R918" s="66"/>
      <c r="S918" s="66"/>
      <c r="T918" s="66"/>
      <c r="U918" s="66"/>
      <c r="V918" s="66"/>
      <c r="W918" s="37"/>
      <c r="X918" s="37"/>
      <c r="Y918" s="37"/>
    </row>
    <row r="919" spans="1:25" ht="15.75" customHeight="1">
      <c r="A919" s="61"/>
      <c r="B919" s="61"/>
      <c r="C919" s="68"/>
      <c r="D919" s="68"/>
      <c r="E919" s="61"/>
      <c r="F919" s="61"/>
      <c r="G919" s="61"/>
      <c r="H919" s="61"/>
      <c r="I919" s="61"/>
      <c r="J919" s="61"/>
      <c r="K919" s="71"/>
      <c r="L919" s="72"/>
      <c r="M919" s="68"/>
      <c r="N919" s="50"/>
      <c r="O919" s="68"/>
      <c r="P919" s="68"/>
      <c r="Q919" s="68"/>
      <c r="R919" s="68"/>
      <c r="S919" s="68"/>
      <c r="T919" s="68"/>
      <c r="U919" s="68"/>
      <c r="V919" s="68"/>
      <c r="W919" s="37"/>
      <c r="X919" s="37"/>
      <c r="Y919" s="37"/>
    </row>
    <row r="920" spans="1:25" ht="15.75" customHeight="1">
      <c r="A920" s="65"/>
      <c r="B920" s="65"/>
      <c r="C920" s="66"/>
      <c r="D920" s="66"/>
      <c r="E920" s="65"/>
      <c r="F920" s="65"/>
      <c r="G920" s="65"/>
      <c r="H920" s="65"/>
      <c r="I920" s="65"/>
      <c r="J920" s="65"/>
      <c r="K920" s="74"/>
      <c r="L920" s="75"/>
      <c r="M920" s="66"/>
      <c r="N920" s="50"/>
      <c r="O920" s="66"/>
      <c r="P920" s="66"/>
      <c r="Q920" s="66"/>
      <c r="R920" s="66"/>
      <c r="S920" s="66"/>
      <c r="T920" s="66"/>
      <c r="U920" s="66"/>
      <c r="V920" s="66"/>
      <c r="W920" s="37"/>
      <c r="X920" s="37"/>
      <c r="Y920" s="37"/>
    </row>
    <row r="921" spans="1:25" ht="15.75" customHeight="1">
      <c r="A921" s="61"/>
      <c r="B921" s="61"/>
      <c r="C921" s="68"/>
      <c r="D921" s="68"/>
      <c r="E921" s="61"/>
      <c r="F921" s="61"/>
      <c r="G921" s="61"/>
      <c r="H921" s="61"/>
      <c r="I921" s="61"/>
      <c r="J921" s="61"/>
      <c r="K921" s="71"/>
      <c r="L921" s="72"/>
      <c r="M921" s="68"/>
      <c r="N921" s="50"/>
      <c r="O921" s="68"/>
      <c r="P921" s="68"/>
      <c r="Q921" s="68"/>
      <c r="R921" s="68"/>
      <c r="S921" s="68"/>
      <c r="T921" s="68"/>
      <c r="U921" s="68"/>
      <c r="V921" s="68"/>
      <c r="W921" s="37"/>
      <c r="X921" s="37"/>
      <c r="Y921" s="37"/>
    </row>
    <row r="922" spans="1:25" ht="15.75" customHeight="1">
      <c r="A922" s="65"/>
      <c r="B922" s="65"/>
      <c r="C922" s="66"/>
      <c r="D922" s="66"/>
      <c r="E922" s="65"/>
      <c r="F922" s="65"/>
      <c r="G922" s="65"/>
      <c r="H922" s="65"/>
      <c r="I922" s="65"/>
      <c r="J922" s="65"/>
      <c r="K922" s="74"/>
      <c r="L922" s="75"/>
      <c r="M922" s="66"/>
      <c r="N922" s="50"/>
      <c r="O922" s="66"/>
      <c r="P922" s="66"/>
      <c r="Q922" s="66"/>
      <c r="R922" s="66"/>
      <c r="S922" s="66"/>
      <c r="T922" s="66"/>
      <c r="U922" s="66"/>
      <c r="V922" s="66"/>
      <c r="W922" s="37"/>
      <c r="X922" s="37"/>
      <c r="Y922" s="37"/>
    </row>
    <row r="923" spans="1:25" ht="15.75" customHeight="1">
      <c r="A923" s="61"/>
      <c r="B923" s="61"/>
      <c r="C923" s="68"/>
      <c r="D923" s="68"/>
      <c r="E923" s="61"/>
      <c r="F923" s="61"/>
      <c r="G923" s="61"/>
      <c r="H923" s="61"/>
      <c r="I923" s="61"/>
      <c r="J923" s="61"/>
      <c r="K923" s="71"/>
      <c r="L923" s="72"/>
      <c r="M923" s="68"/>
      <c r="N923" s="50"/>
      <c r="O923" s="68"/>
      <c r="P923" s="68"/>
      <c r="Q923" s="68"/>
      <c r="R923" s="68"/>
      <c r="S923" s="68"/>
      <c r="T923" s="68"/>
      <c r="U923" s="68"/>
      <c r="V923" s="68"/>
      <c r="W923" s="37"/>
      <c r="X923" s="37"/>
      <c r="Y923" s="37"/>
    </row>
    <row r="924" spans="1:25" ht="15.75" customHeight="1">
      <c r="A924" s="65"/>
      <c r="B924" s="65"/>
      <c r="C924" s="66"/>
      <c r="D924" s="66"/>
      <c r="E924" s="65"/>
      <c r="F924" s="65"/>
      <c r="G924" s="65"/>
      <c r="H924" s="65"/>
      <c r="I924" s="65"/>
      <c r="J924" s="65"/>
      <c r="K924" s="74"/>
      <c r="L924" s="75"/>
      <c r="M924" s="66"/>
      <c r="N924" s="50"/>
      <c r="O924" s="66"/>
      <c r="P924" s="66"/>
      <c r="Q924" s="66"/>
      <c r="R924" s="66"/>
      <c r="S924" s="66"/>
      <c r="T924" s="66"/>
      <c r="U924" s="66"/>
      <c r="V924" s="66"/>
      <c r="W924" s="37"/>
      <c r="X924" s="37"/>
      <c r="Y924" s="37"/>
    </row>
    <row r="925" spans="1:25" ht="15.75" customHeight="1">
      <c r="A925" s="61"/>
      <c r="B925" s="61"/>
      <c r="C925" s="68"/>
      <c r="D925" s="68"/>
      <c r="E925" s="61"/>
      <c r="F925" s="61"/>
      <c r="G925" s="61"/>
      <c r="H925" s="61"/>
      <c r="I925" s="61"/>
      <c r="J925" s="61"/>
      <c r="K925" s="71"/>
      <c r="L925" s="72"/>
      <c r="M925" s="68"/>
      <c r="N925" s="50"/>
      <c r="O925" s="68"/>
      <c r="P925" s="68"/>
      <c r="Q925" s="68"/>
      <c r="R925" s="68"/>
      <c r="S925" s="68"/>
      <c r="T925" s="68"/>
      <c r="U925" s="68"/>
      <c r="V925" s="68"/>
      <c r="W925" s="37"/>
      <c r="X925" s="37"/>
      <c r="Y925" s="37"/>
    </row>
    <row r="926" spans="1:25" ht="15.75" customHeight="1">
      <c r="A926" s="65"/>
      <c r="B926" s="65"/>
      <c r="C926" s="66"/>
      <c r="D926" s="66"/>
      <c r="E926" s="65"/>
      <c r="F926" s="65"/>
      <c r="G926" s="65"/>
      <c r="H926" s="65"/>
      <c r="I926" s="65"/>
      <c r="J926" s="65"/>
      <c r="K926" s="74"/>
      <c r="L926" s="75"/>
      <c r="M926" s="66"/>
      <c r="N926" s="50"/>
      <c r="O926" s="66"/>
      <c r="P926" s="66"/>
      <c r="Q926" s="66"/>
      <c r="R926" s="66"/>
      <c r="S926" s="66"/>
      <c r="T926" s="66"/>
      <c r="U926" s="66"/>
      <c r="V926" s="66"/>
      <c r="W926" s="37"/>
      <c r="X926" s="37"/>
      <c r="Y926" s="37"/>
    </row>
    <row r="927" spans="1:25" ht="15.75" customHeight="1">
      <c r="A927" s="61"/>
      <c r="B927" s="61"/>
      <c r="C927" s="68"/>
      <c r="D927" s="68"/>
      <c r="E927" s="61"/>
      <c r="F927" s="61"/>
      <c r="G927" s="61"/>
      <c r="H927" s="61"/>
      <c r="I927" s="61"/>
      <c r="J927" s="61"/>
      <c r="K927" s="71"/>
      <c r="L927" s="72"/>
      <c r="M927" s="68"/>
      <c r="N927" s="50"/>
      <c r="O927" s="68"/>
      <c r="P927" s="68"/>
      <c r="Q927" s="68"/>
      <c r="R927" s="68"/>
      <c r="S927" s="68"/>
      <c r="T927" s="68"/>
      <c r="U927" s="68"/>
      <c r="V927" s="68"/>
      <c r="W927" s="37"/>
      <c r="X927" s="37"/>
      <c r="Y927" s="37"/>
    </row>
    <row r="928" spans="1:25" ht="15.75" customHeight="1">
      <c r="A928" s="65"/>
      <c r="B928" s="65"/>
      <c r="C928" s="66"/>
      <c r="D928" s="66"/>
      <c r="E928" s="65"/>
      <c r="F928" s="65"/>
      <c r="G928" s="65"/>
      <c r="H928" s="65"/>
      <c r="I928" s="65"/>
      <c r="J928" s="65"/>
      <c r="K928" s="74"/>
      <c r="L928" s="75"/>
      <c r="M928" s="66"/>
      <c r="N928" s="50"/>
      <c r="O928" s="66"/>
      <c r="P928" s="66"/>
      <c r="Q928" s="66"/>
      <c r="R928" s="66"/>
      <c r="S928" s="66"/>
      <c r="T928" s="66"/>
      <c r="U928" s="66"/>
      <c r="V928" s="66"/>
      <c r="W928" s="37"/>
      <c r="X928" s="37"/>
      <c r="Y928" s="37"/>
    </row>
    <row r="929" spans="1:25" ht="15.75" customHeight="1">
      <c r="A929" s="61"/>
      <c r="B929" s="61"/>
      <c r="C929" s="68"/>
      <c r="D929" s="68"/>
      <c r="E929" s="61"/>
      <c r="F929" s="61"/>
      <c r="G929" s="61"/>
      <c r="H929" s="61"/>
      <c r="I929" s="61"/>
      <c r="J929" s="61"/>
      <c r="K929" s="71"/>
      <c r="L929" s="72"/>
      <c r="M929" s="68"/>
      <c r="N929" s="50"/>
      <c r="O929" s="68"/>
      <c r="P929" s="68"/>
      <c r="Q929" s="68"/>
      <c r="R929" s="68"/>
      <c r="S929" s="68"/>
      <c r="T929" s="68"/>
      <c r="U929" s="68"/>
      <c r="V929" s="68"/>
      <c r="W929" s="37"/>
      <c r="X929" s="37"/>
      <c r="Y929" s="37"/>
    </row>
    <row r="930" spans="1:25" ht="15.75" customHeight="1">
      <c r="A930" s="65"/>
      <c r="B930" s="65"/>
      <c r="C930" s="66"/>
      <c r="D930" s="66"/>
      <c r="E930" s="65"/>
      <c r="F930" s="65"/>
      <c r="G930" s="65"/>
      <c r="H930" s="65"/>
      <c r="I930" s="65"/>
      <c r="J930" s="65"/>
      <c r="K930" s="74"/>
      <c r="L930" s="75"/>
      <c r="M930" s="66"/>
      <c r="N930" s="50"/>
      <c r="O930" s="66"/>
      <c r="P930" s="66"/>
      <c r="Q930" s="66"/>
      <c r="R930" s="66"/>
      <c r="S930" s="66"/>
      <c r="T930" s="66"/>
      <c r="U930" s="66"/>
      <c r="V930" s="66"/>
      <c r="W930" s="37"/>
      <c r="X930" s="37"/>
      <c r="Y930" s="37"/>
    </row>
    <row r="931" spans="1:25" ht="15.75" customHeight="1">
      <c r="A931" s="61"/>
      <c r="B931" s="61"/>
      <c r="C931" s="68"/>
      <c r="D931" s="68"/>
      <c r="E931" s="61"/>
      <c r="F931" s="61"/>
      <c r="G931" s="61"/>
      <c r="H931" s="61"/>
      <c r="I931" s="61"/>
      <c r="J931" s="61"/>
      <c r="K931" s="71"/>
      <c r="L931" s="72"/>
      <c r="M931" s="68"/>
      <c r="N931" s="50"/>
      <c r="O931" s="68"/>
      <c r="P931" s="68"/>
      <c r="Q931" s="68"/>
      <c r="R931" s="68"/>
      <c r="S931" s="68"/>
      <c r="T931" s="68"/>
      <c r="U931" s="68"/>
      <c r="V931" s="68"/>
      <c r="W931" s="37"/>
      <c r="X931" s="37"/>
      <c r="Y931" s="37"/>
    </row>
    <row r="932" spans="1:25" ht="15.75" customHeight="1">
      <c r="A932" s="65"/>
      <c r="B932" s="65"/>
      <c r="C932" s="66"/>
      <c r="D932" s="66"/>
      <c r="E932" s="65"/>
      <c r="F932" s="65"/>
      <c r="G932" s="65"/>
      <c r="H932" s="65"/>
      <c r="I932" s="65"/>
      <c r="J932" s="65"/>
      <c r="K932" s="74"/>
      <c r="L932" s="75"/>
      <c r="M932" s="66"/>
      <c r="N932" s="50"/>
      <c r="O932" s="66"/>
      <c r="P932" s="66"/>
      <c r="Q932" s="66"/>
      <c r="R932" s="66"/>
      <c r="S932" s="66"/>
      <c r="T932" s="66"/>
      <c r="U932" s="66"/>
      <c r="V932" s="66"/>
      <c r="W932" s="37"/>
      <c r="X932" s="37"/>
      <c r="Y932" s="37"/>
    </row>
    <row r="933" spans="1:25" ht="15.75" customHeight="1">
      <c r="A933" s="61"/>
      <c r="B933" s="61"/>
      <c r="C933" s="68"/>
      <c r="D933" s="68"/>
      <c r="E933" s="61"/>
      <c r="F933" s="61"/>
      <c r="G933" s="61"/>
      <c r="H933" s="61"/>
      <c r="I933" s="61"/>
      <c r="J933" s="61"/>
      <c r="K933" s="71"/>
      <c r="L933" s="72"/>
      <c r="M933" s="68"/>
      <c r="N933" s="50"/>
      <c r="O933" s="68"/>
      <c r="P933" s="68"/>
      <c r="Q933" s="68"/>
      <c r="R933" s="68"/>
      <c r="S933" s="68"/>
      <c r="T933" s="68"/>
      <c r="U933" s="68"/>
      <c r="V933" s="68"/>
      <c r="W933" s="37"/>
      <c r="X933" s="37"/>
      <c r="Y933" s="37"/>
    </row>
    <row r="934" spans="1:25" ht="15.75" customHeight="1">
      <c r="A934" s="65"/>
      <c r="B934" s="65"/>
      <c r="C934" s="66"/>
      <c r="D934" s="66"/>
      <c r="E934" s="65"/>
      <c r="F934" s="65"/>
      <c r="G934" s="65"/>
      <c r="H934" s="65"/>
      <c r="I934" s="65"/>
      <c r="J934" s="65"/>
      <c r="K934" s="74"/>
      <c r="L934" s="75"/>
      <c r="M934" s="66"/>
      <c r="N934" s="50"/>
      <c r="O934" s="66"/>
      <c r="P934" s="66"/>
      <c r="Q934" s="66"/>
      <c r="R934" s="66"/>
      <c r="S934" s="66"/>
      <c r="T934" s="66"/>
      <c r="U934" s="66"/>
      <c r="V934" s="66"/>
      <c r="W934" s="37"/>
      <c r="X934" s="37"/>
      <c r="Y934" s="37"/>
    </row>
    <row r="935" spans="1:25" ht="15.75" customHeight="1">
      <c r="A935" s="61"/>
      <c r="B935" s="61"/>
      <c r="C935" s="68"/>
      <c r="D935" s="68"/>
      <c r="E935" s="61"/>
      <c r="F935" s="61"/>
      <c r="G935" s="61"/>
      <c r="H935" s="61"/>
      <c r="I935" s="61"/>
      <c r="J935" s="61"/>
      <c r="K935" s="71"/>
      <c r="L935" s="72"/>
      <c r="M935" s="68"/>
      <c r="N935" s="50"/>
      <c r="O935" s="68"/>
      <c r="P935" s="68"/>
      <c r="Q935" s="68"/>
      <c r="R935" s="68"/>
      <c r="S935" s="68"/>
      <c r="T935" s="68"/>
      <c r="U935" s="68"/>
      <c r="V935" s="68"/>
      <c r="W935" s="37"/>
      <c r="X935" s="37"/>
      <c r="Y935" s="37"/>
    </row>
    <row r="936" spans="1:25" ht="15.75" customHeight="1">
      <c r="A936" s="65"/>
      <c r="B936" s="65"/>
      <c r="C936" s="66"/>
      <c r="D936" s="66"/>
      <c r="E936" s="65"/>
      <c r="F936" s="65"/>
      <c r="G936" s="65"/>
      <c r="H936" s="65"/>
      <c r="I936" s="65"/>
      <c r="J936" s="65"/>
      <c r="K936" s="74"/>
      <c r="L936" s="75"/>
      <c r="M936" s="66"/>
      <c r="N936" s="50"/>
      <c r="O936" s="66"/>
      <c r="P936" s="66"/>
      <c r="Q936" s="66"/>
      <c r="R936" s="66"/>
      <c r="S936" s="66"/>
      <c r="T936" s="66"/>
      <c r="U936" s="66"/>
      <c r="V936" s="66"/>
      <c r="W936" s="37"/>
      <c r="X936" s="37"/>
      <c r="Y936" s="37"/>
    </row>
    <row r="937" spans="1:25" ht="15.75" customHeight="1">
      <c r="A937" s="61"/>
      <c r="B937" s="61"/>
      <c r="C937" s="68"/>
      <c r="D937" s="68"/>
      <c r="E937" s="61"/>
      <c r="F937" s="61"/>
      <c r="G937" s="61"/>
      <c r="H937" s="61"/>
      <c r="I937" s="61"/>
      <c r="J937" s="61"/>
      <c r="K937" s="71"/>
      <c r="L937" s="72"/>
      <c r="M937" s="68"/>
      <c r="N937" s="50"/>
      <c r="O937" s="68"/>
      <c r="P937" s="68"/>
      <c r="Q937" s="68"/>
      <c r="R937" s="68"/>
      <c r="S937" s="68"/>
      <c r="T937" s="68"/>
      <c r="U937" s="68"/>
      <c r="V937" s="68"/>
      <c r="W937" s="37"/>
      <c r="X937" s="37"/>
      <c r="Y937" s="37"/>
    </row>
    <row r="938" spans="1:25" ht="15.75" customHeight="1">
      <c r="A938" s="65"/>
      <c r="B938" s="65"/>
      <c r="C938" s="66"/>
      <c r="D938" s="66"/>
      <c r="E938" s="65"/>
      <c r="F938" s="65"/>
      <c r="G938" s="65"/>
      <c r="H938" s="65"/>
      <c r="I938" s="65"/>
      <c r="J938" s="65"/>
      <c r="K938" s="74"/>
      <c r="L938" s="75"/>
      <c r="M938" s="66"/>
      <c r="N938" s="50"/>
      <c r="O938" s="66"/>
      <c r="P938" s="66"/>
      <c r="Q938" s="66"/>
      <c r="R938" s="66"/>
      <c r="S938" s="66"/>
      <c r="T938" s="66"/>
      <c r="U938" s="66"/>
      <c r="V938" s="66"/>
      <c r="W938" s="37"/>
      <c r="X938" s="37"/>
      <c r="Y938" s="37"/>
    </row>
    <row r="939" spans="1:25" ht="15.75" customHeight="1">
      <c r="A939" s="61"/>
      <c r="B939" s="61"/>
      <c r="C939" s="68"/>
      <c r="D939" s="68"/>
      <c r="E939" s="61"/>
      <c r="F939" s="61"/>
      <c r="G939" s="61"/>
      <c r="H939" s="61"/>
      <c r="I939" s="61"/>
      <c r="J939" s="61"/>
      <c r="K939" s="71"/>
      <c r="L939" s="72"/>
      <c r="M939" s="68"/>
      <c r="N939" s="50"/>
      <c r="O939" s="68"/>
      <c r="P939" s="68"/>
      <c r="Q939" s="68"/>
      <c r="R939" s="68"/>
      <c r="S939" s="68"/>
      <c r="T939" s="68"/>
      <c r="U939" s="68"/>
      <c r="V939" s="68"/>
      <c r="W939" s="37"/>
      <c r="X939" s="37"/>
      <c r="Y939" s="37"/>
    </row>
    <row r="940" spans="1:25" ht="15.75" customHeight="1">
      <c r="A940" s="65"/>
      <c r="B940" s="65"/>
      <c r="C940" s="66"/>
      <c r="D940" s="66"/>
      <c r="E940" s="65"/>
      <c r="F940" s="65"/>
      <c r="G940" s="65"/>
      <c r="H940" s="65"/>
      <c r="I940" s="65"/>
      <c r="J940" s="65"/>
      <c r="K940" s="74"/>
      <c r="L940" s="75"/>
      <c r="M940" s="66"/>
      <c r="N940" s="50"/>
      <c r="O940" s="66"/>
      <c r="P940" s="66"/>
      <c r="Q940" s="66"/>
      <c r="R940" s="66"/>
      <c r="S940" s="66"/>
      <c r="T940" s="66"/>
      <c r="U940" s="66"/>
      <c r="V940" s="66"/>
      <c r="W940" s="37"/>
      <c r="X940" s="37"/>
      <c r="Y940" s="37"/>
    </row>
    <row r="941" spans="1:25" ht="15.75" customHeight="1">
      <c r="A941" s="61"/>
      <c r="B941" s="61"/>
      <c r="C941" s="68"/>
      <c r="D941" s="68"/>
      <c r="E941" s="61"/>
      <c r="F941" s="61"/>
      <c r="G941" s="61"/>
      <c r="H941" s="61"/>
      <c r="I941" s="61"/>
      <c r="J941" s="61"/>
      <c r="K941" s="71"/>
      <c r="L941" s="72"/>
      <c r="M941" s="68"/>
      <c r="N941" s="50"/>
      <c r="O941" s="68"/>
      <c r="P941" s="68"/>
      <c r="Q941" s="68"/>
      <c r="R941" s="68"/>
      <c r="S941" s="68"/>
      <c r="T941" s="68"/>
      <c r="U941" s="68"/>
      <c r="V941" s="68"/>
      <c r="W941" s="37"/>
      <c r="X941" s="37"/>
      <c r="Y941" s="37"/>
    </row>
    <row r="942" spans="1:25" ht="15.75" customHeight="1">
      <c r="A942" s="65"/>
      <c r="B942" s="65"/>
      <c r="C942" s="66"/>
      <c r="D942" s="66"/>
      <c r="E942" s="65"/>
      <c r="F942" s="65"/>
      <c r="G942" s="65"/>
      <c r="H942" s="65"/>
      <c r="I942" s="65"/>
      <c r="J942" s="65"/>
      <c r="K942" s="74"/>
      <c r="L942" s="75"/>
      <c r="M942" s="66"/>
      <c r="N942" s="50"/>
      <c r="O942" s="66"/>
      <c r="P942" s="66"/>
      <c r="Q942" s="66"/>
      <c r="R942" s="66"/>
      <c r="S942" s="66"/>
      <c r="T942" s="66"/>
      <c r="U942" s="66"/>
      <c r="V942" s="66"/>
      <c r="W942" s="37"/>
      <c r="X942" s="37"/>
      <c r="Y942" s="37"/>
    </row>
    <row r="943" spans="1:25" ht="15.75" customHeight="1">
      <c r="A943" s="61"/>
      <c r="B943" s="61"/>
      <c r="C943" s="68"/>
      <c r="D943" s="68"/>
      <c r="E943" s="61"/>
      <c r="F943" s="61"/>
      <c r="G943" s="61"/>
      <c r="H943" s="61"/>
      <c r="I943" s="61"/>
      <c r="J943" s="61"/>
      <c r="K943" s="71"/>
      <c r="L943" s="72"/>
      <c r="M943" s="68"/>
      <c r="N943" s="50"/>
      <c r="O943" s="68"/>
      <c r="P943" s="68"/>
      <c r="Q943" s="68"/>
      <c r="R943" s="68"/>
      <c r="S943" s="68"/>
      <c r="T943" s="68"/>
      <c r="U943" s="68"/>
      <c r="V943" s="68"/>
      <c r="W943" s="37"/>
      <c r="X943" s="37"/>
      <c r="Y943" s="37"/>
    </row>
    <row r="944" spans="1:25" ht="15.75" customHeight="1">
      <c r="A944" s="65"/>
      <c r="B944" s="65"/>
      <c r="C944" s="66"/>
      <c r="D944" s="66"/>
      <c r="E944" s="65"/>
      <c r="F944" s="65"/>
      <c r="G944" s="65"/>
      <c r="H944" s="65"/>
      <c r="I944" s="65"/>
      <c r="J944" s="65"/>
      <c r="K944" s="74"/>
      <c r="L944" s="75"/>
      <c r="M944" s="66"/>
      <c r="N944" s="50"/>
      <c r="O944" s="66"/>
      <c r="P944" s="66"/>
      <c r="Q944" s="66"/>
      <c r="R944" s="66"/>
      <c r="S944" s="66"/>
      <c r="T944" s="66"/>
      <c r="U944" s="66"/>
      <c r="V944" s="66"/>
      <c r="W944" s="37"/>
      <c r="X944" s="37"/>
      <c r="Y944" s="37"/>
    </row>
    <row r="945" spans="1:25" ht="15.75" customHeight="1">
      <c r="A945" s="61"/>
      <c r="B945" s="61"/>
      <c r="C945" s="68"/>
      <c r="D945" s="68"/>
      <c r="E945" s="61"/>
      <c r="F945" s="61"/>
      <c r="G945" s="61"/>
      <c r="H945" s="61"/>
      <c r="I945" s="61"/>
      <c r="J945" s="61"/>
      <c r="K945" s="71"/>
      <c r="L945" s="72"/>
      <c r="M945" s="68"/>
      <c r="N945" s="50"/>
      <c r="O945" s="68"/>
      <c r="P945" s="68"/>
      <c r="Q945" s="68"/>
      <c r="R945" s="68"/>
      <c r="S945" s="68"/>
      <c r="T945" s="68"/>
      <c r="U945" s="68"/>
      <c r="V945" s="68"/>
      <c r="W945" s="37"/>
      <c r="X945" s="37"/>
      <c r="Y945" s="37"/>
    </row>
    <row r="946" spans="1:25" ht="15.75" customHeight="1">
      <c r="A946" s="65"/>
      <c r="B946" s="65"/>
      <c r="C946" s="66"/>
      <c r="D946" s="66"/>
      <c r="E946" s="65"/>
      <c r="F946" s="65"/>
      <c r="G946" s="65"/>
      <c r="H946" s="65"/>
      <c r="I946" s="65"/>
      <c r="J946" s="65"/>
      <c r="K946" s="74"/>
      <c r="L946" s="75"/>
      <c r="M946" s="66"/>
      <c r="N946" s="50"/>
      <c r="O946" s="66"/>
      <c r="P946" s="66"/>
      <c r="Q946" s="66"/>
      <c r="R946" s="66"/>
      <c r="S946" s="66"/>
      <c r="T946" s="66"/>
      <c r="U946" s="66"/>
      <c r="V946" s="66"/>
      <c r="W946" s="37"/>
      <c r="X946" s="37"/>
      <c r="Y946" s="37"/>
    </row>
    <row r="947" spans="1:25" ht="15.75" customHeight="1">
      <c r="A947" s="61"/>
      <c r="B947" s="61"/>
      <c r="C947" s="68"/>
      <c r="D947" s="68"/>
      <c r="E947" s="61"/>
      <c r="F947" s="61"/>
      <c r="G947" s="61"/>
      <c r="H947" s="61"/>
      <c r="I947" s="61"/>
      <c r="J947" s="61"/>
      <c r="K947" s="71"/>
      <c r="L947" s="72"/>
      <c r="M947" s="68"/>
      <c r="N947" s="50"/>
      <c r="O947" s="68"/>
      <c r="P947" s="68"/>
      <c r="Q947" s="68"/>
      <c r="R947" s="68"/>
      <c r="S947" s="68"/>
      <c r="T947" s="68"/>
      <c r="U947" s="68"/>
      <c r="V947" s="68"/>
      <c r="W947" s="37"/>
      <c r="X947" s="37"/>
      <c r="Y947" s="37"/>
    </row>
    <row r="948" spans="1:25" ht="15.75" customHeight="1">
      <c r="A948" s="65"/>
      <c r="B948" s="65"/>
      <c r="C948" s="66"/>
      <c r="D948" s="66"/>
      <c r="E948" s="65"/>
      <c r="F948" s="65"/>
      <c r="G948" s="65"/>
      <c r="H948" s="65"/>
      <c r="I948" s="65"/>
      <c r="J948" s="65"/>
      <c r="K948" s="74"/>
      <c r="L948" s="75"/>
      <c r="M948" s="66"/>
      <c r="N948" s="50"/>
      <c r="O948" s="66"/>
      <c r="P948" s="66"/>
      <c r="Q948" s="66"/>
      <c r="R948" s="66"/>
      <c r="S948" s="66"/>
      <c r="T948" s="66"/>
      <c r="U948" s="66"/>
      <c r="V948" s="66"/>
      <c r="W948" s="37"/>
      <c r="X948" s="37"/>
      <c r="Y948" s="37"/>
    </row>
    <row r="949" spans="1:25" ht="15.75" customHeight="1">
      <c r="A949" s="61"/>
      <c r="B949" s="61"/>
      <c r="C949" s="68"/>
      <c r="D949" s="68"/>
      <c r="E949" s="61"/>
      <c r="F949" s="61"/>
      <c r="G949" s="61"/>
      <c r="H949" s="61"/>
      <c r="I949" s="61"/>
      <c r="J949" s="61"/>
      <c r="K949" s="71"/>
      <c r="L949" s="72"/>
      <c r="M949" s="68"/>
      <c r="N949" s="50"/>
      <c r="O949" s="68"/>
      <c r="P949" s="68"/>
      <c r="Q949" s="68"/>
      <c r="R949" s="68"/>
      <c r="S949" s="68"/>
      <c r="T949" s="68"/>
      <c r="U949" s="68"/>
      <c r="V949" s="68"/>
      <c r="W949" s="37"/>
      <c r="X949" s="37"/>
      <c r="Y949" s="37"/>
    </row>
    <row r="950" spans="1:25" ht="15.75" customHeight="1">
      <c r="A950" s="65"/>
      <c r="B950" s="65"/>
      <c r="C950" s="66"/>
      <c r="D950" s="66"/>
      <c r="E950" s="65"/>
      <c r="F950" s="65"/>
      <c r="G950" s="65"/>
      <c r="H950" s="65"/>
      <c r="I950" s="65"/>
      <c r="J950" s="65"/>
      <c r="K950" s="74"/>
      <c r="L950" s="75"/>
      <c r="M950" s="66"/>
      <c r="N950" s="50"/>
      <c r="O950" s="66"/>
      <c r="P950" s="66"/>
      <c r="Q950" s="66"/>
      <c r="R950" s="66"/>
      <c r="S950" s="66"/>
      <c r="T950" s="66"/>
      <c r="U950" s="66"/>
      <c r="V950" s="66"/>
      <c r="W950" s="37"/>
      <c r="X950" s="37"/>
      <c r="Y950" s="37"/>
    </row>
    <row r="951" spans="1:25" ht="15.75" customHeight="1">
      <c r="A951" s="61"/>
      <c r="B951" s="61"/>
      <c r="C951" s="68"/>
      <c r="D951" s="68"/>
      <c r="E951" s="61"/>
      <c r="F951" s="61"/>
      <c r="G951" s="61"/>
      <c r="H951" s="61"/>
      <c r="I951" s="61"/>
      <c r="J951" s="61"/>
      <c r="K951" s="71"/>
      <c r="L951" s="72"/>
      <c r="M951" s="68"/>
      <c r="N951" s="50"/>
      <c r="O951" s="68"/>
      <c r="P951" s="68"/>
      <c r="Q951" s="68"/>
      <c r="R951" s="68"/>
      <c r="S951" s="68"/>
      <c r="T951" s="68"/>
      <c r="U951" s="68"/>
      <c r="V951" s="68"/>
      <c r="W951" s="37"/>
      <c r="X951" s="37"/>
      <c r="Y951" s="37"/>
    </row>
    <row r="952" spans="1:25" ht="15.75" customHeight="1">
      <c r="A952" s="65"/>
      <c r="B952" s="65"/>
      <c r="C952" s="66"/>
      <c r="D952" s="66"/>
      <c r="E952" s="65"/>
      <c r="F952" s="65"/>
      <c r="G952" s="65"/>
      <c r="H952" s="65"/>
      <c r="I952" s="65"/>
      <c r="J952" s="65"/>
      <c r="K952" s="74"/>
      <c r="L952" s="75"/>
      <c r="M952" s="66"/>
      <c r="N952" s="50"/>
      <c r="O952" s="66"/>
      <c r="P952" s="66"/>
      <c r="Q952" s="66"/>
      <c r="R952" s="66"/>
      <c r="S952" s="66"/>
      <c r="T952" s="66"/>
      <c r="U952" s="66"/>
      <c r="V952" s="66"/>
      <c r="W952" s="37"/>
      <c r="X952" s="37"/>
      <c r="Y952" s="37"/>
    </row>
    <row r="953" spans="1:25" ht="15.75" customHeight="1">
      <c r="A953" s="61"/>
      <c r="B953" s="61"/>
      <c r="C953" s="68"/>
      <c r="D953" s="68"/>
      <c r="E953" s="61"/>
      <c r="F953" s="61"/>
      <c r="G953" s="61"/>
      <c r="H953" s="61"/>
      <c r="I953" s="61"/>
      <c r="J953" s="61"/>
      <c r="K953" s="71"/>
      <c r="L953" s="72"/>
      <c r="M953" s="68"/>
      <c r="N953" s="50"/>
      <c r="O953" s="68"/>
      <c r="P953" s="68"/>
      <c r="Q953" s="68"/>
      <c r="R953" s="68"/>
      <c r="S953" s="68"/>
      <c r="T953" s="68"/>
      <c r="U953" s="68"/>
      <c r="V953" s="68"/>
      <c r="W953" s="37"/>
      <c r="X953" s="37"/>
      <c r="Y953" s="37"/>
    </row>
    <row r="954" spans="1:25" ht="15.75" customHeight="1">
      <c r="A954" s="65"/>
      <c r="B954" s="65"/>
      <c r="C954" s="66"/>
      <c r="D954" s="66"/>
      <c r="E954" s="65"/>
      <c r="F954" s="65"/>
      <c r="G954" s="65"/>
      <c r="H954" s="65"/>
      <c r="I954" s="65"/>
      <c r="J954" s="65"/>
      <c r="K954" s="74"/>
      <c r="L954" s="75"/>
      <c r="M954" s="66"/>
      <c r="N954" s="50"/>
      <c r="O954" s="66"/>
      <c r="P954" s="66"/>
      <c r="Q954" s="66"/>
      <c r="R954" s="66"/>
      <c r="S954" s="66"/>
      <c r="T954" s="66"/>
      <c r="U954" s="66"/>
      <c r="V954" s="66"/>
      <c r="W954" s="37"/>
      <c r="X954" s="37"/>
      <c r="Y954" s="37"/>
    </row>
    <row r="955" spans="1:25" ht="15.75" customHeight="1">
      <c r="A955" s="61"/>
      <c r="B955" s="61"/>
      <c r="C955" s="68"/>
      <c r="D955" s="68"/>
      <c r="E955" s="61"/>
      <c r="F955" s="61"/>
      <c r="G955" s="61"/>
      <c r="H955" s="61"/>
      <c r="I955" s="61"/>
      <c r="J955" s="61"/>
      <c r="K955" s="71"/>
      <c r="L955" s="72"/>
      <c r="M955" s="68"/>
      <c r="N955" s="50"/>
      <c r="O955" s="68"/>
      <c r="P955" s="68"/>
      <c r="Q955" s="68"/>
      <c r="R955" s="68"/>
      <c r="S955" s="68"/>
      <c r="T955" s="68"/>
      <c r="U955" s="68"/>
      <c r="V955" s="68"/>
      <c r="W955" s="37"/>
      <c r="X955" s="37"/>
      <c r="Y955" s="37"/>
    </row>
    <row r="956" spans="1:25" ht="15.75" customHeight="1">
      <c r="A956" s="65"/>
      <c r="B956" s="65"/>
      <c r="C956" s="66"/>
      <c r="D956" s="66"/>
      <c r="E956" s="65"/>
      <c r="F956" s="65"/>
      <c r="G956" s="65"/>
      <c r="H956" s="65"/>
      <c r="I956" s="65"/>
      <c r="J956" s="65"/>
      <c r="K956" s="74"/>
      <c r="L956" s="75"/>
      <c r="M956" s="66"/>
      <c r="N956" s="50"/>
      <c r="O956" s="66"/>
      <c r="P956" s="66"/>
      <c r="Q956" s="66"/>
      <c r="R956" s="66"/>
      <c r="S956" s="66"/>
      <c r="T956" s="66"/>
      <c r="U956" s="66"/>
      <c r="V956" s="66"/>
      <c r="W956" s="37"/>
      <c r="X956" s="37"/>
      <c r="Y956" s="37"/>
    </row>
    <row r="957" spans="1:25" ht="15.75" customHeight="1">
      <c r="A957" s="61"/>
      <c r="B957" s="61"/>
      <c r="C957" s="68"/>
      <c r="D957" s="68"/>
      <c r="E957" s="61"/>
      <c r="F957" s="61"/>
      <c r="G957" s="61"/>
      <c r="H957" s="61"/>
      <c r="I957" s="61"/>
      <c r="J957" s="61"/>
      <c r="K957" s="71"/>
      <c r="L957" s="72"/>
      <c r="M957" s="68"/>
      <c r="N957" s="50"/>
      <c r="O957" s="68"/>
      <c r="P957" s="68"/>
      <c r="Q957" s="68"/>
      <c r="R957" s="68"/>
      <c r="S957" s="68"/>
      <c r="T957" s="68"/>
      <c r="U957" s="68"/>
      <c r="V957" s="68"/>
      <c r="W957" s="37"/>
      <c r="X957" s="37"/>
      <c r="Y957" s="37"/>
    </row>
    <row r="958" spans="1:25" ht="15.75" customHeight="1">
      <c r="A958" s="65"/>
      <c r="B958" s="65"/>
      <c r="C958" s="66"/>
      <c r="D958" s="66"/>
      <c r="E958" s="65"/>
      <c r="F958" s="65"/>
      <c r="G958" s="65"/>
      <c r="H958" s="65"/>
      <c r="I958" s="65"/>
      <c r="J958" s="65"/>
      <c r="K958" s="74"/>
      <c r="L958" s="75"/>
      <c r="M958" s="66"/>
      <c r="N958" s="50"/>
      <c r="O958" s="66"/>
      <c r="P958" s="66"/>
      <c r="Q958" s="66"/>
      <c r="R958" s="66"/>
      <c r="S958" s="66"/>
      <c r="T958" s="66"/>
      <c r="U958" s="66"/>
      <c r="V958" s="66"/>
      <c r="W958" s="37"/>
      <c r="X958" s="37"/>
      <c r="Y958" s="37"/>
    </row>
    <row r="959" spans="1:25" ht="15.75" customHeight="1">
      <c r="A959" s="61"/>
      <c r="B959" s="61"/>
      <c r="C959" s="68"/>
      <c r="D959" s="68"/>
      <c r="E959" s="61"/>
      <c r="F959" s="61"/>
      <c r="G959" s="61"/>
      <c r="H959" s="61"/>
      <c r="I959" s="61"/>
      <c r="J959" s="61"/>
      <c r="K959" s="71"/>
      <c r="L959" s="72"/>
      <c r="M959" s="68"/>
      <c r="N959" s="50"/>
      <c r="O959" s="68"/>
      <c r="P959" s="68"/>
      <c r="Q959" s="68"/>
      <c r="R959" s="68"/>
      <c r="S959" s="68"/>
      <c r="T959" s="68"/>
      <c r="U959" s="68"/>
      <c r="V959" s="68"/>
      <c r="W959" s="37"/>
      <c r="X959" s="37"/>
      <c r="Y959" s="37"/>
    </row>
    <row r="960" spans="1:25" ht="15.75" customHeight="1">
      <c r="A960" s="65"/>
      <c r="B960" s="65"/>
      <c r="C960" s="66"/>
      <c r="D960" s="66"/>
      <c r="E960" s="65"/>
      <c r="F960" s="65"/>
      <c r="G960" s="65"/>
      <c r="H960" s="65"/>
      <c r="I960" s="65"/>
      <c r="J960" s="65"/>
      <c r="K960" s="74"/>
      <c r="L960" s="75"/>
      <c r="M960" s="66"/>
      <c r="N960" s="50"/>
      <c r="O960" s="66"/>
      <c r="P960" s="66"/>
      <c r="Q960" s="66"/>
      <c r="R960" s="66"/>
      <c r="S960" s="66"/>
      <c r="T960" s="66"/>
      <c r="U960" s="66"/>
      <c r="V960" s="66"/>
      <c r="W960" s="37"/>
      <c r="X960" s="37"/>
      <c r="Y960" s="37"/>
    </row>
    <row r="961" spans="1:25" ht="15.75" customHeight="1">
      <c r="A961" s="61"/>
      <c r="B961" s="61"/>
      <c r="C961" s="68"/>
      <c r="D961" s="68"/>
      <c r="E961" s="61"/>
      <c r="F961" s="61"/>
      <c r="G961" s="61"/>
      <c r="H961" s="61"/>
      <c r="I961" s="61"/>
      <c r="J961" s="61"/>
      <c r="K961" s="71"/>
      <c r="L961" s="72"/>
      <c r="M961" s="68"/>
      <c r="N961" s="50"/>
      <c r="O961" s="68"/>
      <c r="P961" s="68"/>
      <c r="Q961" s="68"/>
      <c r="R961" s="68"/>
      <c r="S961" s="68"/>
      <c r="T961" s="68"/>
      <c r="U961" s="68"/>
      <c r="V961" s="68"/>
      <c r="W961" s="37"/>
      <c r="X961" s="37"/>
      <c r="Y961" s="37"/>
    </row>
    <row r="962" spans="1:25" ht="15.75" customHeight="1">
      <c r="A962" s="65"/>
      <c r="B962" s="65"/>
      <c r="C962" s="66"/>
      <c r="D962" s="66"/>
      <c r="E962" s="65"/>
      <c r="F962" s="65"/>
      <c r="G962" s="65"/>
      <c r="H962" s="65"/>
      <c r="I962" s="65"/>
      <c r="J962" s="65"/>
      <c r="K962" s="74"/>
      <c r="L962" s="75"/>
      <c r="M962" s="66"/>
      <c r="N962" s="50"/>
      <c r="O962" s="66"/>
      <c r="P962" s="66"/>
      <c r="Q962" s="66"/>
      <c r="R962" s="66"/>
      <c r="S962" s="66"/>
      <c r="T962" s="66"/>
      <c r="U962" s="66"/>
      <c r="V962" s="66"/>
      <c r="W962" s="37"/>
      <c r="X962" s="37"/>
      <c r="Y962" s="37"/>
    </row>
    <row r="963" spans="1:25" ht="15.75" customHeight="1">
      <c r="A963" s="61"/>
      <c r="B963" s="61"/>
      <c r="C963" s="68"/>
      <c r="D963" s="68"/>
      <c r="E963" s="61"/>
      <c r="F963" s="61"/>
      <c r="G963" s="61"/>
      <c r="H963" s="61"/>
      <c r="I963" s="61"/>
      <c r="J963" s="61"/>
      <c r="K963" s="71"/>
      <c r="L963" s="72"/>
      <c r="M963" s="68"/>
      <c r="N963" s="50"/>
      <c r="O963" s="68"/>
      <c r="P963" s="68"/>
      <c r="Q963" s="68"/>
      <c r="R963" s="68"/>
      <c r="S963" s="68"/>
      <c r="T963" s="68"/>
      <c r="U963" s="68"/>
      <c r="V963" s="68"/>
      <c r="W963" s="37"/>
      <c r="X963" s="37"/>
      <c r="Y963" s="37"/>
    </row>
    <row r="964" spans="1:25" ht="15.75" customHeight="1">
      <c r="A964" s="65"/>
      <c r="B964" s="65"/>
      <c r="C964" s="66"/>
      <c r="D964" s="66"/>
      <c r="E964" s="65"/>
      <c r="F964" s="65"/>
      <c r="G964" s="65"/>
      <c r="H964" s="65"/>
      <c r="I964" s="65"/>
      <c r="J964" s="65"/>
      <c r="K964" s="74"/>
      <c r="L964" s="75"/>
      <c r="M964" s="66"/>
      <c r="N964" s="50"/>
      <c r="O964" s="66"/>
      <c r="P964" s="66"/>
      <c r="Q964" s="66"/>
      <c r="R964" s="66"/>
      <c r="S964" s="66"/>
      <c r="T964" s="66"/>
      <c r="U964" s="66"/>
      <c r="V964" s="66"/>
      <c r="W964" s="37"/>
      <c r="X964" s="37"/>
      <c r="Y964" s="37"/>
    </row>
    <row r="965" spans="1:25" ht="15.75" customHeight="1">
      <c r="A965" s="61"/>
      <c r="B965" s="61"/>
      <c r="C965" s="68"/>
      <c r="D965" s="68"/>
      <c r="E965" s="61"/>
      <c r="F965" s="61"/>
      <c r="G965" s="61"/>
      <c r="H965" s="61"/>
      <c r="I965" s="61"/>
      <c r="J965" s="61"/>
      <c r="K965" s="71"/>
      <c r="L965" s="72"/>
      <c r="M965" s="68"/>
      <c r="N965" s="50"/>
      <c r="O965" s="68"/>
      <c r="P965" s="68"/>
      <c r="Q965" s="68"/>
      <c r="R965" s="68"/>
      <c r="S965" s="68"/>
      <c r="T965" s="68"/>
      <c r="U965" s="68"/>
      <c r="V965" s="68"/>
      <c r="W965" s="37"/>
      <c r="X965" s="37"/>
      <c r="Y965" s="37"/>
    </row>
    <row r="966" spans="1:25" ht="15.75" customHeight="1">
      <c r="A966" s="65"/>
      <c r="B966" s="65"/>
      <c r="C966" s="66"/>
      <c r="D966" s="66"/>
      <c r="E966" s="65"/>
      <c r="F966" s="65"/>
      <c r="G966" s="65"/>
      <c r="H966" s="65"/>
      <c r="I966" s="65"/>
      <c r="J966" s="65"/>
      <c r="K966" s="74"/>
      <c r="L966" s="75"/>
      <c r="M966" s="66"/>
      <c r="N966" s="50"/>
      <c r="O966" s="66"/>
      <c r="P966" s="66"/>
      <c r="Q966" s="66"/>
      <c r="R966" s="66"/>
      <c r="S966" s="66"/>
      <c r="T966" s="66"/>
      <c r="U966" s="66"/>
      <c r="V966" s="66"/>
      <c r="W966" s="37"/>
      <c r="X966" s="37"/>
      <c r="Y966" s="37"/>
    </row>
    <row r="967" spans="1:25" ht="15.75" customHeight="1">
      <c r="A967" s="61"/>
      <c r="B967" s="61"/>
      <c r="C967" s="68"/>
      <c r="D967" s="68"/>
      <c r="E967" s="61"/>
      <c r="F967" s="61"/>
      <c r="G967" s="61"/>
      <c r="H967" s="61"/>
      <c r="I967" s="61"/>
      <c r="J967" s="61"/>
      <c r="K967" s="71"/>
      <c r="L967" s="72"/>
      <c r="M967" s="68"/>
      <c r="N967" s="50"/>
      <c r="O967" s="68"/>
      <c r="P967" s="68"/>
      <c r="Q967" s="68"/>
      <c r="R967" s="68"/>
      <c r="S967" s="68"/>
      <c r="T967" s="68"/>
      <c r="U967" s="68"/>
      <c r="V967" s="68"/>
      <c r="W967" s="37"/>
      <c r="X967" s="37"/>
      <c r="Y967" s="37"/>
    </row>
    <row r="968" spans="1:25" ht="15.75" customHeight="1">
      <c r="A968" s="65"/>
      <c r="B968" s="65"/>
      <c r="C968" s="66"/>
      <c r="D968" s="66"/>
      <c r="E968" s="65"/>
      <c r="F968" s="65"/>
      <c r="G968" s="65"/>
      <c r="H968" s="65"/>
      <c r="I968" s="65"/>
      <c r="J968" s="65"/>
      <c r="K968" s="74"/>
      <c r="L968" s="75"/>
      <c r="M968" s="66"/>
      <c r="N968" s="50"/>
      <c r="O968" s="66"/>
      <c r="P968" s="66"/>
      <c r="Q968" s="66"/>
      <c r="R968" s="66"/>
      <c r="S968" s="66"/>
      <c r="T968" s="66"/>
      <c r="U968" s="66"/>
      <c r="V968" s="66"/>
      <c r="W968" s="37"/>
      <c r="X968" s="37"/>
      <c r="Y968" s="37"/>
    </row>
    <row r="969" spans="1:25" ht="15.75" customHeight="1">
      <c r="A969" s="61"/>
      <c r="B969" s="61"/>
      <c r="C969" s="68"/>
      <c r="D969" s="68"/>
      <c r="E969" s="61"/>
      <c r="F969" s="61"/>
      <c r="G969" s="61"/>
      <c r="H969" s="61"/>
      <c r="I969" s="61"/>
      <c r="J969" s="61"/>
      <c r="K969" s="71"/>
      <c r="L969" s="72"/>
      <c r="M969" s="68"/>
      <c r="N969" s="50"/>
      <c r="O969" s="68"/>
      <c r="P969" s="68"/>
      <c r="Q969" s="68"/>
      <c r="R969" s="68"/>
      <c r="S969" s="68"/>
      <c r="T969" s="68"/>
      <c r="U969" s="68"/>
      <c r="V969" s="68"/>
      <c r="W969" s="37"/>
      <c r="X969" s="37"/>
      <c r="Y969" s="37"/>
    </row>
    <row r="970" spans="1:25" ht="15.75" customHeight="1">
      <c r="A970" s="65"/>
      <c r="B970" s="65"/>
      <c r="C970" s="66"/>
      <c r="D970" s="66"/>
      <c r="E970" s="65"/>
      <c r="F970" s="65"/>
      <c r="G970" s="65"/>
      <c r="H970" s="65"/>
      <c r="I970" s="65"/>
      <c r="J970" s="65"/>
      <c r="K970" s="74"/>
      <c r="L970" s="75"/>
      <c r="M970" s="66"/>
      <c r="N970" s="50"/>
      <c r="O970" s="66"/>
      <c r="P970" s="66"/>
      <c r="Q970" s="66"/>
      <c r="R970" s="66"/>
      <c r="S970" s="66"/>
      <c r="T970" s="66"/>
      <c r="U970" s="66"/>
      <c r="V970" s="66"/>
      <c r="W970" s="37"/>
      <c r="X970" s="37"/>
      <c r="Y970" s="37"/>
    </row>
    <row r="971" spans="1:25" ht="15.75" customHeight="1">
      <c r="A971" s="61"/>
      <c r="B971" s="61"/>
      <c r="C971" s="68"/>
      <c r="D971" s="68"/>
      <c r="E971" s="61"/>
      <c r="F971" s="61"/>
      <c r="G971" s="61"/>
      <c r="H971" s="61"/>
      <c r="I971" s="61"/>
      <c r="J971" s="61"/>
      <c r="K971" s="71"/>
      <c r="L971" s="72"/>
      <c r="M971" s="68"/>
      <c r="N971" s="50"/>
      <c r="O971" s="68"/>
      <c r="P971" s="68"/>
      <c r="Q971" s="68"/>
      <c r="R971" s="68"/>
      <c r="S971" s="68"/>
      <c r="T971" s="68"/>
      <c r="U971" s="68"/>
      <c r="V971" s="68"/>
      <c r="W971" s="37"/>
      <c r="X971" s="37"/>
      <c r="Y971" s="37"/>
    </row>
    <row r="972" spans="1:25" ht="15.75" customHeight="1">
      <c r="A972" s="65"/>
      <c r="B972" s="65"/>
      <c r="C972" s="66"/>
      <c r="D972" s="66"/>
      <c r="E972" s="65"/>
      <c r="F972" s="65"/>
      <c r="G972" s="65"/>
      <c r="H972" s="65"/>
      <c r="I972" s="65"/>
      <c r="J972" s="65"/>
      <c r="K972" s="74"/>
      <c r="L972" s="75"/>
      <c r="M972" s="66"/>
      <c r="N972" s="50"/>
      <c r="O972" s="66"/>
      <c r="P972" s="66"/>
      <c r="Q972" s="66"/>
      <c r="R972" s="66"/>
      <c r="S972" s="66"/>
      <c r="T972" s="66"/>
      <c r="U972" s="66"/>
      <c r="V972" s="66"/>
      <c r="W972" s="37"/>
      <c r="X972" s="37"/>
      <c r="Y972" s="37"/>
    </row>
    <row r="973" spans="1:25" ht="15.75" customHeight="1">
      <c r="A973" s="61"/>
      <c r="B973" s="61"/>
      <c r="C973" s="68"/>
      <c r="D973" s="68"/>
      <c r="E973" s="61"/>
      <c r="F973" s="61"/>
      <c r="G973" s="61"/>
      <c r="H973" s="61"/>
      <c r="I973" s="61"/>
      <c r="J973" s="61"/>
      <c r="K973" s="71"/>
      <c r="L973" s="72"/>
      <c r="M973" s="68"/>
      <c r="N973" s="50"/>
      <c r="O973" s="68"/>
      <c r="P973" s="68"/>
      <c r="Q973" s="68"/>
      <c r="R973" s="68"/>
      <c r="S973" s="68"/>
      <c r="T973" s="68"/>
      <c r="U973" s="68"/>
      <c r="V973" s="68"/>
      <c r="W973" s="37"/>
      <c r="X973" s="37"/>
      <c r="Y973" s="37"/>
    </row>
    <row r="974" spans="1:25" ht="15.75" customHeight="1">
      <c r="A974" s="65"/>
      <c r="B974" s="65"/>
      <c r="C974" s="66"/>
      <c r="D974" s="66"/>
      <c r="E974" s="65"/>
      <c r="F974" s="65"/>
      <c r="G974" s="65"/>
      <c r="H974" s="65"/>
      <c r="I974" s="65"/>
      <c r="J974" s="65"/>
      <c r="K974" s="74"/>
      <c r="L974" s="75"/>
      <c r="M974" s="66"/>
      <c r="N974" s="50"/>
      <c r="O974" s="66"/>
      <c r="P974" s="66"/>
      <c r="Q974" s="66"/>
      <c r="R974" s="66"/>
      <c r="S974" s="66"/>
      <c r="T974" s="66"/>
      <c r="U974" s="66"/>
      <c r="V974" s="66"/>
      <c r="W974" s="37"/>
      <c r="X974" s="37"/>
      <c r="Y974" s="37"/>
    </row>
    <row r="975" spans="1:25" ht="15.75" customHeight="1">
      <c r="A975" s="61"/>
      <c r="B975" s="61"/>
      <c r="C975" s="68"/>
      <c r="D975" s="68"/>
      <c r="E975" s="61"/>
      <c r="F975" s="61"/>
      <c r="G975" s="61"/>
      <c r="H975" s="61"/>
      <c r="I975" s="61"/>
      <c r="J975" s="61"/>
      <c r="K975" s="71"/>
      <c r="L975" s="72"/>
      <c r="M975" s="68"/>
      <c r="N975" s="50"/>
      <c r="O975" s="68"/>
      <c r="P975" s="68"/>
      <c r="Q975" s="68"/>
      <c r="R975" s="68"/>
      <c r="S975" s="68"/>
      <c r="T975" s="68"/>
      <c r="U975" s="68"/>
      <c r="V975" s="68"/>
      <c r="W975" s="37"/>
      <c r="X975" s="37"/>
      <c r="Y975" s="37"/>
    </row>
    <row r="976" spans="1:25" ht="15.75" customHeight="1">
      <c r="A976" s="65"/>
      <c r="B976" s="65"/>
      <c r="C976" s="66"/>
      <c r="D976" s="66"/>
      <c r="E976" s="65"/>
      <c r="F976" s="65"/>
      <c r="G976" s="65"/>
      <c r="H976" s="65"/>
      <c r="I976" s="65"/>
      <c r="J976" s="65"/>
      <c r="K976" s="74"/>
      <c r="L976" s="75"/>
      <c r="M976" s="66"/>
      <c r="N976" s="50"/>
      <c r="O976" s="66"/>
      <c r="P976" s="66"/>
      <c r="Q976" s="66"/>
      <c r="R976" s="66"/>
      <c r="S976" s="66"/>
      <c r="T976" s="66"/>
      <c r="U976" s="66"/>
      <c r="V976" s="66"/>
      <c r="W976" s="37"/>
      <c r="X976" s="37"/>
      <c r="Y976" s="37"/>
    </row>
    <row r="977" spans="1:25" ht="15.75" customHeight="1">
      <c r="A977" s="61"/>
      <c r="B977" s="61"/>
      <c r="C977" s="68"/>
      <c r="D977" s="68"/>
      <c r="E977" s="61"/>
      <c r="F977" s="61"/>
      <c r="G977" s="61"/>
      <c r="H977" s="61"/>
      <c r="I977" s="61"/>
      <c r="J977" s="61"/>
      <c r="K977" s="71"/>
      <c r="L977" s="72"/>
      <c r="M977" s="68"/>
      <c r="N977" s="50"/>
      <c r="O977" s="68"/>
      <c r="P977" s="68"/>
      <c r="Q977" s="68"/>
      <c r="R977" s="68"/>
      <c r="S977" s="68"/>
      <c r="T977" s="68"/>
      <c r="U977" s="68"/>
      <c r="V977" s="68"/>
      <c r="W977" s="37"/>
      <c r="X977" s="37"/>
      <c r="Y977" s="37"/>
    </row>
    <row r="978" spans="1:25" ht="15.75" customHeight="1">
      <c r="A978" s="65"/>
      <c r="B978" s="65"/>
      <c r="C978" s="66"/>
      <c r="D978" s="66"/>
      <c r="E978" s="65"/>
      <c r="F978" s="65"/>
      <c r="G978" s="65"/>
      <c r="H978" s="65"/>
      <c r="I978" s="65"/>
      <c r="J978" s="65"/>
      <c r="K978" s="74"/>
      <c r="L978" s="75"/>
      <c r="M978" s="66"/>
      <c r="N978" s="50"/>
      <c r="O978" s="66"/>
      <c r="P978" s="66"/>
      <c r="Q978" s="66"/>
      <c r="R978" s="66"/>
      <c r="S978" s="66"/>
      <c r="T978" s="66"/>
      <c r="U978" s="66"/>
      <c r="V978" s="66"/>
      <c r="W978" s="37"/>
      <c r="X978" s="37"/>
      <c r="Y978" s="37"/>
    </row>
    <row r="979" spans="1:25" ht="15.75" customHeight="1">
      <c r="A979" s="61"/>
      <c r="B979" s="61"/>
      <c r="C979" s="68"/>
      <c r="D979" s="68"/>
      <c r="E979" s="61"/>
      <c r="F979" s="61"/>
      <c r="G979" s="61"/>
      <c r="H979" s="61"/>
      <c r="I979" s="61"/>
      <c r="J979" s="61"/>
      <c r="K979" s="71"/>
      <c r="L979" s="72"/>
      <c r="M979" s="68"/>
      <c r="N979" s="50"/>
      <c r="O979" s="68"/>
      <c r="P979" s="68"/>
      <c r="Q979" s="68"/>
      <c r="R979" s="68"/>
      <c r="S979" s="68"/>
      <c r="T979" s="68"/>
      <c r="U979" s="68"/>
      <c r="V979" s="68"/>
      <c r="W979" s="37"/>
      <c r="X979" s="37"/>
      <c r="Y979" s="37"/>
    </row>
    <row r="980" spans="1:25" ht="15.75" customHeight="1">
      <c r="A980" s="65"/>
      <c r="B980" s="65"/>
      <c r="C980" s="66"/>
      <c r="D980" s="66"/>
      <c r="E980" s="65"/>
      <c r="F980" s="65"/>
      <c r="G980" s="65"/>
      <c r="H980" s="65"/>
      <c r="I980" s="65"/>
      <c r="J980" s="65"/>
      <c r="K980" s="74"/>
      <c r="L980" s="75"/>
      <c r="M980" s="66"/>
      <c r="N980" s="50"/>
      <c r="O980" s="66"/>
      <c r="P980" s="66"/>
      <c r="Q980" s="66"/>
      <c r="R980" s="66"/>
      <c r="S980" s="66"/>
      <c r="T980" s="66"/>
      <c r="U980" s="66"/>
      <c r="V980" s="66"/>
      <c r="W980" s="37"/>
      <c r="X980" s="37"/>
      <c r="Y980" s="37"/>
    </row>
    <row r="981" spans="1:25" ht="15.75" customHeight="1">
      <c r="A981" s="61"/>
      <c r="B981" s="61"/>
      <c r="C981" s="68"/>
      <c r="D981" s="68"/>
      <c r="E981" s="61"/>
      <c r="F981" s="61"/>
      <c r="G981" s="61"/>
      <c r="H981" s="61"/>
      <c r="I981" s="61"/>
      <c r="J981" s="61"/>
      <c r="K981" s="71"/>
      <c r="L981" s="72"/>
      <c r="M981" s="68"/>
      <c r="N981" s="50"/>
      <c r="O981" s="68"/>
      <c r="P981" s="68"/>
      <c r="Q981" s="68"/>
      <c r="R981" s="68"/>
      <c r="S981" s="68"/>
      <c r="T981" s="68"/>
      <c r="U981" s="68"/>
      <c r="V981" s="68"/>
      <c r="W981" s="37"/>
      <c r="X981" s="37"/>
      <c r="Y981" s="37"/>
    </row>
    <row r="982" spans="1:25" ht="15.75" customHeight="1">
      <c r="A982" s="65"/>
      <c r="B982" s="65"/>
      <c r="C982" s="66"/>
      <c r="D982" s="66"/>
      <c r="E982" s="65"/>
      <c r="F982" s="65"/>
      <c r="G982" s="65"/>
      <c r="H982" s="65"/>
      <c r="I982" s="65"/>
      <c r="J982" s="65"/>
      <c r="K982" s="74"/>
      <c r="L982" s="75"/>
      <c r="M982" s="66"/>
      <c r="N982" s="50"/>
      <c r="O982" s="66"/>
      <c r="P982" s="66"/>
      <c r="Q982" s="66"/>
      <c r="R982" s="66"/>
      <c r="S982" s="66"/>
      <c r="T982" s="66"/>
      <c r="U982" s="66"/>
      <c r="V982" s="66"/>
      <c r="W982" s="37"/>
      <c r="X982" s="37"/>
      <c r="Y982" s="37"/>
    </row>
    <row r="983" spans="1:25" ht="15.75" customHeight="1">
      <c r="A983" s="61"/>
      <c r="B983" s="61"/>
      <c r="C983" s="68"/>
      <c r="D983" s="68"/>
      <c r="E983" s="61"/>
      <c r="F983" s="61"/>
      <c r="G983" s="61"/>
      <c r="H983" s="61"/>
      <c r="I983" s="61"/>
      <c r="J983" s="61"/>
      <c r="K983" s="71"/>
      <c r="L983" s="72"/>
      <c r="M983" s="68"/>
      <c r="N983" s="50"/>
      <c r="O983" s="68"/>
      <c r="P983" s="68"/>
      <c r="Q983" s="68"/>
      <c r="R983" s="68"/>
      <c r="S983" s="68"/>
      <c r="T983" s="68"/>
      <c r="U983" s="68"/>
      <c r="V983" s="68"/>
      <c r="W983" s="37"/>
      <c r="X983" s="37"/>
      <c r="Y983" s="37"/>
    </row>
    <row r="984" spans="1:25" ht="15.75" customHeight="1">
      <c r="A984" s="65"/>
      <c r="B984" s="65"/>
      <c r="C984" s="66"/>
      <c r="D984" s="66"/>
      <c r="E984" s="65"/>
      <c r="F984" s="65"/>
      <c r="G984" s="65"/>
      <c r="H984" s="65"/>
      <c r="I984" s="65"/>
      <c r="J984" s="65"/>
      <c r="K984" s="74"/>
      <c r="L984" s="75"/>
      <c r="M984" s="66"/>
      <c r="N984" s="50"/>
      <c r="O984" s="66"/>
      <c r="P984" s="66"/>
      <c r="Q984" s="66"/>
      <c r="R984" s="66"/>
      <c r="S984" s="66"/>
      <c r="T984" s="66"/>
      <c r="U984" s="66"/>
      <c r="V984" s="66"/>
      <c r="W984" s="37"/>
      <c r="X984" s="37"/>
      <c r="Y984" s="37"/>
    </row>
    <row r="985" spans="1:25" ht="15.75" customHeight="1">
      <c r="A985" s="61"/>
      <c r="B985" s="61"/>
      <c r="C985" s="68"/>
      <c r="D985" s="68"/>
      <c r="E985" s="61"/>
      <c r="F985" s="61"/>
      <c r="G985" s="61"/>
      <c r="H985" s="61"/>
      <c r="I985" s="61"/>
      <c r="J985" s="61"/>
      <c r="K985" s="71"/>
      <c r="L985" s="72"/>
      <c r="M985" s="68"/>
      <c r="N985" s="50"/>
      <c r="O985" s="68"/>
      <c r="P985" s="68"/>
      <c r="Q985" s="68"/>
      <c r="R985" s="68"/>
      <c r="S985" s="68"/>
      <c r="T985" s="68"/>
      <c r="U985" s="68"/>
      <c r="V985" s="68"/>
      <c r="W985" s="37"/>
      <c r="X985" s="37"/>
      <c r="Y985" s="37"/>
    </row>
    <row r="986" spans="1:25" ht="15.75" customHeight="1">
      <c r="A986" s="65"/>
      <c r="B986" s="65"/>
      <c r="C986" s="66"/>
      <c r="D986" s="66"/>
      <c r="E986" s="65"/>
      <c r="F986" s="65"/>
      <c r="G986" s="65"/>
      <c r="H986" s="65"/>
      <c r="I986" s="65"/>
      <c r="J986" s="65"/>
      <c r="K986" s="74"/>
      <c r="L986" s="75"/>
      <c r="M986" s="66"/>
      <c r="N986" s="50"/>
      <c r="O986" s="66"/>
      <c r="P986" s="66"/>
      <c r="Q986" s="66"/>
      <c r="R986" s="66"/>
      <c r="S986" s="66"/>
      <c r="T986" s="66"/>
      <c r="U986" s="66"/>
      <c r="V986" s="66"/>
      <c r="W986" s="37"/>
      <c r="X986" s="37"/>
      <c r="Y986" s="37"/>
    </row>
    <row r="987" spans="1:25" ht="15.75" customHeight="1">
      <c r="A987" s="61"/>
      <c r="B987" s="61"/>
      <c r="C987" s="68"/>
      <c r="D987" s="68"/>
      <c r="E987" s="61"/>
      <c r="F987" s="61"/>
      <c r="G987" s="61"/>
      <c r="H987" s="61"/>
      <c r="I987" s="61"/>
      <c r="J987" s="61"/>
      <c r="K987" s="71"/>
      <c r="L987" s="72"/>
      <c r="M987" s="68"/>
      <c r="N987" s="50"/>
      <c r="O987" s="68"/>
      <c r="P987" s="68"/>
      <c r="Q987" s="68"/>
      <c r="R987" s="68"/>
      <c r="S987" s="68"/>
      <c r="T987" s="68"/>
      <c r="U987" s="68"/>
      <c r="V987" s="68"/>
      <c r="W987" s="37"/>
      <c r="X987" s="37"/>
      <c r="Y987" s="37"/>
    </row>
    <row r="988" spans="1:25" ht="15.75" customHeight="1">
      <c r="A988" s="65"/>
      <c r="B988" s="65"/>
      <c r="C988" s="66"/>
      <c r="D988" s="66"/>
      <c r="E988" s="65"/>
      <c r="F988" s="65"/>
      <c r="G988" s="65"/>
      <c r="H988" s="65"/>
      <c r="I988" s="65"/>
      <c r="J988" s="65"/>
      <c r="K988" s="74"/>
      <c r="L988" s="75"/>
      <c r="M988" s="66"/>
      <c r="N988" s="50"/>
      <c r="O988" s="66"/>
      <c r="P988" s="66"/>
      <c r="Q988" s="66"/>
      <c r="R988" s="66"/>
      <c r="S988" s="66"/>
      <c r="T988" s="66"/>
      <c r="U988" s="66"/>
      <c r="V988" s="66"/>
      <c r="W988" s="37"/>
      <c r="X988" s="37"/>
      <c r="Y988" s="37"/>
    </row>
    <row r="989" spans="1:25" ht="15.75" customHeight="1">
      <c r="A989" s="61"/>
      <c r="B989" s="61"/>
      <c r="C989" s="68"/>
      <c r="D989" s="68"/>
      <c r="E989" s="61"/>
      <c r="F989" s="61"/>
      <c r="G989" s="61"/>
      <c r="H989" s="61"/>
      <c r="I989" s="61"/>
      <c r="J989" s="61"/>
      <c r="K989" s="71"/>
      <c r="L989" s="72"/>
      <c r="M989" s="68"/>
      <c r="N989" s="50"/>
      <c r="O989" s="68"/>
      <c r="P989" s="68"/>
      <c r="Q989" s="68"/>
      <c r="R989" s="68"/>
      <c r="S989" s="68"/>
      <c r="T989" s="68"/>
      <c r="U989" s="68"/>
      <c r="V989" s="68"/>
      <c r="W989" s="37"/>
      <c r="X989" s="37"/>
      <c r="Y989" s="37"/>
    </row>
    <row r="990" spans="1:25" ht="15.75" customHeight="1">
      <c r="A990" s="65"/>
      <c r="B990" s="65"/>
      <c r="C990" s="66"/>
      <c r="D990" s="66"/>
      <c r="E990" s="65"/>
      <c r="F990" s="65"/>
      <c r="G990" s="65"/>
      <c r="H990" s="65"/>
      <c r="I990" s="65"/>
      <c r="J990" s="65"/>
      <c r="K990" s="74"/>
      <c r="L990" s="75"/>
      <c r="M990" s="66"/>
      <c r="N990" s="50"/>
      <c r="O990" s="66"/>
      <c r="P990" s="66"/>
      <c r="Q990" s="66"/>
      <c r="R990" s="66"/>
      <c r="S990" s="66"/>
      <c r="T990" s="66"/>
      <c r="U990" s="66"/>
      <c r="V990" s="66"/>
      <c r="W990" s="37"/>
      <c r="X990" s="37"/>
      <c r="Y990" s="37"/>
    </row>
    <row r="991" spans="1:25" ht="15.75" customHeight="1">
      <c r="A991" s="61"/>
      <c r="B991" s="61"/>
      <c r="C991" s="68"/>
      <c r="D991" s="68"/>
      <c r="E991" s="61"/>
      <c r="F991" s="61"/>
      <c r="G991" s="61"/>
      <c r="H991" s="61"/>
      <c r="I991" s="61"/>
      <c r="J991" s="61"/>
      <c r="K991" s="71"/>
      <c r="L991" s="72"/>
      <c r="M991" s="68"/>
      <c r="N991" s="50"/>
      <c r="O991" s="68"/>
      <c r="P991" s="68"/>
      <c r="Q991" s="68"/>
      <c r="R991" s="68"/>
      <c r="S991" s="68"/>
      <c r="T991" s="68"/>
      <c r="U991" s="68"/>
      <c r="V991" s="68"/>
      <c r="W991" s="37"/>
      <c r="X991" s="37"/>
      <c r="Y991" s="37"/>
    </row>
    <row r="992" spans="1:25" ht="15.75" customHeight="1">
      <c r="A992" s="65"/>
      <c r="B992" s="65"/>
      <c r="C992" s="66"/>
      <c r="D992" s="66"/>
      <c r="E992" s="65"/>
      <c r="F992" s="65"/>
      <c r="G992" s="65"/>
      <c r="H992" s="65"/>
      <c r="I992" s="65"/>
      <c r="J992" s="65"/>
      <c r="K992" s="74"/>
      <c r="L992" s="75"/>
      <c r="M992" s="66"/>
      <c r="N992" s="50"/>
      <c r="O992" s="66"/>
      <c r="P992" s="66"/>
      <c r="Q992" s="66"/>
      <c r="R992" s="66"/>
      <c r="S992" s="66"/>
      <c r="T992" s="66"/>
      <c r="U992" s="66"/>
      <c r="V992" s="66"/>
      <c r="W992" s="37"/>
      <c r="X992" s="37"/>
      <c r="Y992" s="37"/>
    </row>
    <row r="993" spans="1:25" ht="15.75" customHeight="1">
      <c r="A993" s="61"/>
      <c r="B993" s="61"/>
      <c r="C993" s="68"/>
      <c r="D993" s="68"/>
      <c r="E993" s="61"/>
      <c r="F993" s="61"/>
      <c r="G993" s="61"/>
      <c r="H993" s="61"/>
      <c r="I993" s="61"/>
      <c r="J993" s="61"/>
      <c r="K993" s="71"/>
      <c r="L993" s="72"/>
      <c r="M993" s="68"/>
      <c r="N993" s="50"/>
      <c r="O993" s="68"/>
      <c r="P993" s="68"/>
      <c r="Q993" s="68"/>
      <c r="R993" s="68"/>
      <c r="S993" s="68"/>
      <c r="T993" s="68"/>
      <c r="U993" s="68"/>
      <c r="V993" s="68"/>
      <c r="W993" s="37"/>
      <c r="X993" s="37"/>
      <c r="Y993" s="37"/>
    </row>
    <row r="994" spans="1:25" ht="15.75" customHeight="1">
      <c r="A994" s="65"/>
      <c r="B994" s="65"/>
      <c r="C994" s="66"/>
      <c r="D994" s="66"/>
      <c r="E994" s="65"/>
      <c r="F994" s="65"/>
      <c r="G994" s="65"/>
      <c r="H994" s="65"/>
      <c r="I994" s="65"/>
      <c r="J994" s="65"/>
      <c r="K994" s="74"/>
      <c r="L994" s="75"/>
      <c r="M994" s="66"/>
      <c r="N994" s="50"/>
      <c r="O994" s="66"/>
      <c r="P994" s="66"/>
      <c r="Q994" s="66"/>
      <c r="R994" s="66"/>
      <c r="S994" s="66"/>
      <c r="T994" s="66"/>
      <c r="U994" s="66"/>
      <c r="V994" s="66"/>
      <c r="W994" s="37"/>
      <c r="X994" s="37"/>
      <c r="Y994" s="37"/>
    </row>
    <row r="995" spans="1:25" ht="15.75" customHeight="1">
      <c r="A995" s="61"/>
      <c r="B995" s="61"/>
      <c r="C995" s="68"/>
      <c r="D995" s="68"/>
      <c r="E995" s="61"/>
      <c r="F995" s="61"/>
      <c r="G995" s="61"/>
      <c r="H995" s="61"/>
      <c r="I995" s="61"/>
      <c r="J995" s="61"/>
      <c r="K995" s="71"/>
      <c r="L995" s="72"/>
      <c r="M995" s="68"/>
      <c r="N995" s="50"/>
      <c r="O995" s="68"/>
      <c r="P995" s="68"/>
      <c r="Q995" s="68"/>
      <c r="R995" s="68"/>
      <c r="S995" s="68"/>
      <c r="T995" s="68"/>
      <c r="U995" s="68"/>
      <c r="V995" s="68"/>
      <c r="W995" s="37"/>
      <c r="X995" s="37"/>
      <c r="Y995" s="37"/>
    </row>
    <row r="996" spans="1:25" ht="15.75" customHeight="1">
      <c r="A996" s="65"/>
      <c r="B996" s="65"/>
      <c r="C996" s="66"/>
      <c r="D996" s="66"/>
      <c r="E996" s="65"/>
      <c r="F996" s="65"/>
      <c r="G996" s="65"/>
      <c r="H996" s="65"/>
      <c r="I996" s="65"/>
      <c r="J996" s="65"/>
      <c r="K996" s="74"/>
      <c r="L996" s="75"/>
      <c r="M996" s="66"/>
      <c r="N996" s="50"/>
      <c r="O996" s="66"/>
      <c r="P996" s="66"/>
      <c r="Q996" s="66"/>
      <c r="R996" s="66"/>
      <c r="S996" s="66"/>
      <c r="T996" s="66"/>
      <c r="U996" s="66"/>
      <c r="V996" s="66"/>
      <c r="W996" s="37"/>
      <c r="X996" s="37"/>
      <c r="Y996" s="37"/>
    </row>
    <row r="997" spans="1:25" ht="15.75" customHeight="1">
      <c r="A997" s="61"/>
      <c r="B997" s="61"/>
      <c r="C997" s="68"/>
      <c r="D997" s="68"/>
      <c r="E997" s="61"/>
      <c r="F997" s="61"/>
      <c r="G997" s="61"/>
      <c r="H997" s="61"/>
      <c r="I997" s="61"/>
      <c r="J997" s="61"/>
      <c r="K997" s="71"/>
      <c r="L997" s="72"/>
      <c r="M997" s="68"/>
      <c r="N997" s="50"/>
      <c r="O997" s="68"/>
      <c r="P997" s="68"/>
      <c r="Q997" s="68"/>
      <c r="R997" s="68"/>
      <c r="S997" s="68"/>
      <c r="T997" s="68"/>
      <c r="U997" s="68"/>
      <c r="V997" s="68"/>
      <c r="W997" s="37"/>
      <c r="X997" s="37"/>
      <c r="Y997" s="37"/>
    </row>
    <row r="998" spans="1:25" ht="15.75" customHeight="1">
      <c r="A998" s="65"/>
      <c r="B998" s="65"/>
      <c r="C998" s="66"/>
      <c r="D998" s="66"/>
      <c r="E998" s="65"/>
      <c r="F998" s="65"/>
      <c r="G998" s="65"/>
      <c r="H998" s="65"/>
      <c r="I998" s="65"/>
      <c r="J998" s="65"/>
      <c r="K998" s="74"/>
      <c r="L998" s="75"/>
      <c r="M998" s="66"/>
      <c r="N998" s="50"/>
      <c r="O998" s="66"/>
      <c r="P998" s="66"/>
      <c r="Q998" s="66"/>
      <c r="R998" s="66"/>
      <c r="S998" s="66"/>
      <c r="T998" s="66"/>
      <c r="U998" s="66"/>
      <c r="V998" s="66"/>
      <c r="W998" s="37"/>
      <c r="X998" s="37"/>
      <c r="Y998" s="37"/>
    </row>
    <row r="999" spans="1:25" ht="15.75" customHeight="1">
      <c r="A999" s="61"/>
      <c r="B999" s="61"/>
      <c r="C999" s="68"/>
      <c r="D999" s="68"/>
      <c r="E999" s="61"/>
      <c r="F999" s="61"/>
      <c r="G999" s="61"/>
      <c r="H999" s="61"/>
      <c r="I999" s="61"/>
      <c r="J999" s="61"/>
      <c r="K999" s="71"/>
      <c r="L999" s="72"/>
      <c r="M999" s="68"/>
      <c r="N999" s="50"/>
      <c r="O999" s="68"/>
      <c r="P999" s="68"/>
      <c r="Q999" s="68"/>
      <c r="R999" s="68"/>
      <c r="S999" s="68"/>
      <c r="T999" s="68"/>
      <c r="U999" s="68"/>
      <c r="V999" s="68"/>
      <c r="W999" s="37"/>
      <c r="X999" s="37"/>
      <c r="Y999" s="37"/>
    </row>
    <row r="1000" spans="1:25" ht="15.75" customHeight="1">
      <c r="A1000" s="65"/>
      <c r="B1000" s="65"/>
      <c r="C1000" s="66"/>
      <c r="D1000" s="66"/>
      <c r="E1000" s="65"/>
      <c r="F1000" s="65"/>
      <c r="G1000" s="65"/>
      <c r="H1000" s="65"/>
      <c r="I1000" s="65"/>
      <c r="J1000" s="65"/>
      <c r="K1000" s="74"/>
      <c r="L1000" s="75"/>
      <c r="M1000" s="66"/>
      <c r="N1000" s="50"/>
      <c r="O1000" s="66"/>
      <c r="P1000" s="66"/>
      <c r="Q1000" s="66"/>
      <c r="R1000" s="66"/>
      <c r="S1000" s="66"/>
      <c r="T1000" s="66"/>
      <c r="U1000" s="66"/>
      <c r="V1000" s="66"/>
      <c r="W1000" s="37"/>
      <c r="X1000" s="37"/>
      <c r="Y1000" s="37"/>
    </row>
    <row r="1001" spans="1:25" ht="15.75" customHeight="1">
      <c r="A1001" s="61"/>
      <c r="B1001" s="61"/>
      <c r="C1001" s="68"/>
      <c r="D1001" s="68"/>
      <c r="E1001" s="61"/>
      <c r="F1001" s="61"/>
      <c r="G1001" s="61"/>
      <c r="H1001" s="61"/>
      <c r="I1001" s="61"/>
      <c r="J1001" s="61"/>
      <c r="K1001" s="71"/>
      <c r="L1001" s="72"/>
      <c r="M1001" s="68"/>
      <c r="N1001" s="50"/>
      <c r="O1001" s="68"/>
      <c r="P1001" s="68"/>
      <c r="Q1001" s="68"/>
      <c r="R1001" s="68"/>
      <c r="S1001" s="68"/>
      <c r="T1001" s="68"/>
      <c r="U1001" s="68"/>
      <c r="V1001" s="68"/>
      <c r="W1001" s="37"/>
      <c r="X1001" s="37"/>
      <c r="Y1001" s="37"/>
    </row>
    <row r="1002" spans="1:25" ht="15.75" customHeight="1">
      <c r="A1002" s="65"/>
      <c r="B1002" s="65"/>
      <c r="C1002" s="66"/>
      <c r="D1002" s="66"/>
      <c r="E1002" s="65"/>
      <c r="F1002" s="65"/>
      <c r="G1002" s="65"/>
      <c r="H1002" s="65"/>
      <c r="I1002" s="65"/>
      <c r="J1002" s="65"/>
      <c r="K1002" s="74"/>
      <c r="L1002" s="75"/>
      <c r="M1002" s="66"/>
      <c r="N1002" s="50"/>
      <c r="O1002" s="66"/>
      <c r="P1002" s="66"/>
      <c r="Q1002" s="66"/>
      <c r="R1002" s="66"/>
      <c r="S1002" s="66"/>
      <c r="T1002" s="66"/>
      <c r="U1002" s="66"/>
      <c r="V1002" s="66"/>
      <c r="W1002" s="37"/>
      <c r="X1002" s="37"/>
      <c r="Y1002" s="37"/>
    </row>
  </sheetData>
  <autoFilter ref="A2:Y306" xr:uid="{00000000-0009-0000-0000-000001000000}"/>
  <conditionalFormatting sqref="A3:A1000">
    <cfRule type="expression" dxfId="5" priority="4">
      <formula>COUNTIF(A:A, A3)&gt;1</formula>
    </cfRule>
  </conditionalFormatting>
  <conditionalFormatting sqref="A2:L1002">
    <cfRule type="expression" dxfId="4" priority="2" stopIfTrue="1">
      <formula>$E2="Inactive"</formula>
    </cfRule>
  </conditionalFormatting>
  <conditionalFormatting sqref="K2:K1002">
    <cfRule type="cellIs" dxfId="3" priority="3" stopIfTrue="1" operator="greaterThan">
      <formula>30</formula>
    </cfRule>
  </conditionalFormatting>
  <conditionalFormatting sqref="L2:L1002">
    <cfRule type="containsText" dxfId="2" priority="1" stopIfTrue="1" operator="containsText" text="⚠">
      <formula>NOT(ISERROR(SEARCH(("⚠"),(L2))))</formula>
    </cfRule>
  </conditionalFormatting>
  <dataValidations count="6">
    <dataValidation type="list" allowBlank="1" showErrorMessage="1" sqref="M3:M1002" xr:uid="{00000000-0002-0000-0100-000000000000}">
      <formula1>"Completed (no continuation),Discontinued mid-course"</formula1>
    </dataValidation>
    <dataValidation type="list" allowBlank="1" showErrorMessage="1" sqref="N3:N1002" xr:uid="{00000000-0002-0000-0100-000001000000}">
      <formula1>"High workload,Learning goal achieved,Maternity leave,Prefer different learning format,Team restructuring,Violate Class Rule,Resign"</formula1>
    </dataValidation>
    <dataValidation type="list" allowBlank="1" sqref="V20 V84 V151 V161 V244 V248 V263" xr:uid="{00000000-0002-0000-0100-000002000000}">
      <formula1>"High workload,Maternity leave,Above the team's level,Prefer different learning format,Team restructuring,Class rule violation,Learning goal achieved"</formula1>
    </dataValidation>
    <dataValidation type="list" allowBlank="1" sqref="E1002" xr:uid="{00000000-0002-0000-0100-000003000000}">
      <formula1>"Active,Inactive,Waiting for class"</formula1>
    </dataValidation>
    <dataValidation type="list" allowBlank="1" showErrorMessage="1" sqref="E3:E1001" xr:uid="{00000000-0002-0000-0100-000004000000}">
      <formula1>"Active,Inactive,Waiting for class"</formula1>
    </dataValidation>
    <dataValidation type="custom" allowBlank="1" showDropDown="1" showInputMessage="1" showErrorMessage="1" prompt="Emp Code này đã tồn tại. Mỗi nhân viên chỉ có 1 dòng trong STUDENTS." sqref="A3:A1002" xr:uid="{00000000-0002-0000-0100-000005000000}">
      <formula1>COUNTIF($A$3:$A$1002,A3)&lt;=1</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workbookViewId="0">
      <pane ySplit="1" topLeftCell="A2" activePane="bottomLeft" state="frozen"/>
      <selection pane="bottomLeft" activeCell="B3" sqref="B3"/>
    </sheetView>
  </sheetViews>
  <sheetFormatPr defaultColWidth="14.42578125" defaultRowHeight="15" customHeight="1"/>
  <cols>
    <col min="1" max="1" width="30.7109375" customWidth="1"/>
    <col min="2" max="3" width="23.85546875" customWidth="1"/>
    <col min="4" max="4" width="101.7109375" customWidth="1"/>
    <col min="5" max="5" width="27.140625" customWidth="1"/>
    <col min="6" max="6" width="14.42578125" customWidth="1"/>
    <col min="7" max="7" width="31.28515625" customWidth="1"/>
    <col min="8" max="8" width="14.42578125" customWidth="1"/>
    <col min="9" max="9" width="17.42578125" customWidth="1"/>
    <col min="10" max="13" width="15.7109375" customWidth="1"/>
  </cols>
  <sheetData>
    <row r="1" spans="1:28">
      <c r="A1" s="76" t="s">
        <v>757</v>
      </c>
      <c r="B1" s="77" t="s">
        <v>758</v>
      </c>
      <c r="C1" s="77" t="s">
        <v>759</v>
      </c>
      <c r="D1" s="76" t="s">
        <v>760</v>
      </c>
      <c r="E1" s="78" t="s">
        <v>761</v>
      </c>
      <c r="F1" s="79" t="s">
        <v>762</v>
      </c>
      <c r="G1" s="80"/>
      <c r="H1" s="80" t="s">
        <v>763</v>
      </c>
      <c r="I1" s="80"/>
      <c r="J1" s="80"/>
      <c r="K1" s="80"/>
      <c r="L1" s="80"/>
      <c r="M1" s="80"/>
      <c r="N1" s="80"/>
      <c r="O1" s="80"/>
      <c r="P1" s="80"/>
      <c r="Q1" s="80"/>
      <c r="R1" s="80"/>
      <c r="S1" s="80"/>
      <c r="T1" s="80"/>
      <c r="U1" s="80"/>
      <c r="V1" s="80"/>
      <c r="W1" s="80"/>
      <c r="X1" s="80"/>
      <c r="Y1" s="80"/>
      <c r="Z1" s="80"/>
      <c r="AA1" s="80"/>
      <c r="AB1" s="80"/>
    </row>
    <row r="2" spans="1:28" ht="60">
      <c r="A2" s="81" t="s">
        <v>764</v>
      </c>
      <c r="B2" s="82"/>
      <c r="C2" s="82" t="s">
        <v>765</v>
      </c>
      <c r="D2" s="83" t="s">
        <v>766</v>
      </c>
      <c r="E2" s="84" t="s">
        <v>767</v>
      </c>
      <c r="F2" s="85" t="s">
        <v>768</v>
      </c>
      <c r="G2" s="80"/>
      <c r="H2" s="86" t="s">
        <v>15</v>
      </c>
      <c r="I2" s="84" t="s">
        <v>769</v>
      </c>
      <c r="J2" s="226" t="s">
        <v>770</v>
      </c>
      <c r="K2" s="209"/>
      <c r="L2" s="209"/>
      <c r="M2" s="209"/>
      <c r="N2" s="80"/>
      <c r="O2" s="80"/>
      <c r="P2" s="80"/>
      <c r="Q2" s="80"/>
      <c r="R2" s="80"/>
      <c r="S2" s="80"/>
      <c r="T2" s="80"/>
      <c r="U2" s="80"/>
      <c r="V2" s="80"/>
      <c r="W2" s="80"/>
      <c r="X2" s="80"/>
      <c r="Y2" s="80"/>
      <c r="Z2" s="80"/>
      <c r="AA2" s="80"/>
      <c r="AB2" s="80"/>
    </row>
    <row r="3" spans="1:28" ht="90.75" customHeight="1">
      <c r="A3" s="81" t="s">
        <v>764</v>
      </c>
      <c r="B3" s="82" t="s">
        <v>771</v>
      </c>
      <c r="C3" s="82"/>
      <c r="D3" s="83" t="s">
        <v>772</v>
      </c>
      <c r="E3" s="86"/>
      <c r="F3" s="85"/>
      <c r="G3" s="80"/>
      <c r="H3" s="86" t="s">
        <v>773</v>
      </c>
      <c r="I3" s="80"/>
      <c r="J3" s="209"/>
      <c r="K3" s="209"/>
      <c r="L3" s="209"/>
      <c r="M3" s="209"/>
      <c r="N3" s="80"/>
      <c r="O3" s="80"/>
      <c r="P3" s="80"/>
      <c r="Q3" s="80"/>
      <c r="R3" s="80"/>
      <c r="S3" s="80"/>
      <c r="T3" s="80"/>
      <c r="U3" s="80"/>
      <c r="V3" s="80"/>
      <c r="W3" s="80"/>
      <c r="X3" s="80"/>
      <c r="Y3" s="80"/>
      <c r="Z3" s="80"/>
      <c r="AA3" s="80"/>
      <c r="AB3" s="80"/>
    </row>
    <row r="4" spans="1:28" ht="60">
      <c r="A4" s="81" t="s">
        <v>764</v>
      </c>
      <c r="B4" s="82"/>
      <c r="C4" s="82" t="s">
        <v>774</v>
      </c>
      <c r="D4" s="87" t="s">
        <v>775</v>
      </c>
      <c r="E4" s="86"/>
      <c r="F4" s="85"/>
      <c r="G4" s="80"/>
      <c r="H4" s="86" t="s">
        <v>776</v>
      </c>
      <c r="I4" s="80"/>
      <c r="J4" s="209"/>
      <c r="K4" s="209"/>
      <c r="L4" s="209"/>
      <c r="M4" s="209"/>
      <c r="N4" s="80"/>
      <c r="O4" s="80"/>
      <c r="P4" s="80"/>
      <c r="Q4" s="80"/>
      <c r="R4" s="80"/>
      <c r="S4" s="80"/>
      <c r="T4" s="80"/>
      <c r="U4" s="80"/>
      <c r="V4" s="80"/>
      <c r="W4" s="80"/>
      <c r="X4" s="80"/>
      <c r="Y4" s="80"/>
      <c r="Z4" s="80"/>
      <c r="AA4" s="80"/>
      <c r="AB4" s="80"/>
    </row>
    <row r="5" spans="1:28" ht="30">
      <c r="A5" s="81" t="s">
        <v>764</v>
      </c>
      <c r="B5" s="82" t="s">
        <v>42</v>
      </c>
      <c r="C5" s="82"/>
      <c r="D5" s="82" t="s">
        <v>777</v>
      </c>
      <c r="E5" s="86"/>
      <c r="F5" s="85"/>
      <c r="G5" s="80"/>
      <c r="H5" s="80"/>
      <c r="I5" s="80"/>
      <c r="J5" s="80"/>
      <c r="K5" s="80"/>
      <c r="L5" s="80"/>
      <c r="M5" s="80"/>
      <c r="N5" s="80"/>
      <c r="O5" s="80"/>
      <c r="P5" s="80"/>
      <c r="Q5" s="80"/>
      <c r="R5" s="80"/>
      <c r="S5" s="80"/>
      <c r="T5" s="80"/>
      <c r="U5" s="80"/>
      <c r="V5" s="80"/>
      <c r="W5" s="80"/>
      <c r="X5" s="80"/>
      <c r="Y5" s="80"/>
      <c r="Z5" s="80"/>
      <c r="AA5" s="80"/>
      <c r="AB5" s="80"/>
    </row>
    <row r="6" spans="1:28" ht="30">
      <c r="A6" s="81" t="s">
        <v>764</v>
      </c>
      <c r="B6" s="82"/>
      <c r="C6" s="82" t="s">
        <v>778</v>
      </c>
      <c r="D6" s="83" t="s">
        <v>779</v>
      </c>
      <c r="E6" s="86"/>
      <c r="F6" s="85"/>
      <c r="G6" s="80"/>
      <c r="H6" s="80" t="s">
        <v>780</v>
      </c>
      <c r="I6" s="80"/>
      <c r="J6" s="80"/>
      <c r="K6" s="80"/>
      <c r="L6" s="80"/>
      <c r="M6" s="80"/>
      <c r="N6" s="80"/>
      <c r="O6" s="80"/>
      <c r="P6" s="80"/>
      <c r="Q6" s="80"/>
      <c r="R6" s="80"/>
      <c r="S6" s="80"/>
      <c r="T6" s="80"/>
      <c r="U6" s="80"/>
      <c r="V6" s="80"/>
      <c r="W6" s="80"/>
      <c r="X6" s="80"/>
      <c r="Y6" s="80"/>
      <c r="Z6" s="80"/>
      <c r="AA6" s="80"/>
      <c r="AB6" s="80"/>
    </row>
    <row r="7" spans="1:28" ht="60">
      <c r="A7" s="81" t="s">
        <v>764</v>
      </c>
      <c r="B7" s="82" t="s">
        <v>781</v>
      </c>
      <c r="C7" s="82"/>
      <c r="D7" s="82" t="s">
        <v>782</v>
      </c>
      <c r="E7" s="86"/>
      <c r="F7" s="85"/>
      <c r="G7" s="80"/>
      <c r="H7" s="80" t="s">
        <v>783</v>
      </c>
      <c r="I7" s="80" t="s">
        <v>784</v>
      </c>
      <c r="J7" s="80"/>
      <c r="K7" s="80"/>
      <c r="L7" s="80"/>
      <c r="M7" s="80"/>
      <c r="N7" s="80"/>
      <c r="O7" s="80"/>
      <c r="P7" s="80"/>
      <c r="Q7" s="80"/>
      <c r="R7" s="80"/>
      <c r="S7" s="80"/>
      <c r="T7" s="80"/>
      <c r="U7" s="80"/>
      <c r="V7" s="80"/>
      <c r="W7" s="80"/>
      <c r="X7" s="80"/>
      <c r="Y7" s="80"/>
      <c r="Z7" s="80"/>
      <c r="AA7" s="80"/>
      <c r="AB7" s="80"/>
    </row>
    <row r="8" spans="1:28" ht="30">
      <c r="A8" s="81" t="s">
        <v>764</v>
      </c>
      <c r="B8" s="82" t="s">
        <v>781</v>
      </c>
      <c r="C8" s="82" t="s">
        <v>785</v>
      </c>
      <c r="D8" s="82" t="s">
        <v>786</v>
      </c>
      <c r="E8" s="86"/>
      <c r="F8" s="85" t="s">
        <v>768</v>
      </c>
      <c r="G8" s="80"/>
      <c r="H8" s="80"/>
      <c r="I8" s="80"/>
      <c r="J8" s="80"/>
      <c r="K8" s="80"/>
      <c r="L8" s="80"/>
      <c r="M8" s="80"/>
      <c r="N8" s="80"/>
      <c r="O8" s="80"/>
      <c r="P8" s="80"/>
      <c r="Q8" s="80"/>
      <c r="R8" s="80"/>
      <c r="S8" s="80"/>
      <c r="T8" s="80"/>
      <c r="U8" s="80"/>
      <c r="V8" s="80"/>
      <c r="W8" s="80"/>
      <c r="X8" s="80"/>
      <c r="Y8" s="80"/>
      <c r="Z8" s="80"/>
      <c r="AA8" s="80"/>
      <c r="AB8" s="80"/>
    </row>
    <row r="9" spans="1:28" ht="30">
      <c r="A9" s="81" t="s">
        <v>764</v>
      </c>
      <c r="B9" s="82" t="s">
        <v>781</v>
      </c>
      <c r="C9" s="82" t="s">
        <v>787</v>
      </c>
      <c r="D9" s="82" t="s">
        <v>788</v>
      </c>
      <c r="E9" s="86"/>
      <c r="F9" s="85" t="s">
        <v>768</v>
      </c>
      <c r="G9" s="80"/>
      <c r="H9" s="80"/>
      <c r="I9" s="80"/>
      <c r="J9" s="80"/>
      <c r="K9" s="80"/>
      <c r="L9" s="80"/>
      <c r="M9" s="80"/>
      <c r="N9" s="80"/>
      <c r="O9" s="80"/>
      <c r="P9" s="80"/>
      <c r="Q9" s="80"/>
      <c r="R9" s="80"/>
      <c r="S9" s="80"/>
      <c r="T9" s="80"/>
      <c r="U9" s="80"/>
      <c r="V9" s="80"/>
      <c r="W9" s="80"/>
      <c r="X9" s="80"/>
      <c r="Y9" s="80"/>
      <c r="Z9" s="80"/>
      <c r="AA9" s="80"/>
      <c r="AB9" s="80"/>
    </row>
    <row r="10" spans="1:28" ht="45">
      <c r="A10" s="81" t="s">
        <v>764</v>
      </c>
      <c r="B10" s="82" t="s">
        <v>781</v>
      </c>
      <c r="C10" s="82"/>
      <c r="D10" s="82" t="s">
        <v>789</v>
      </c>
      <c r="E10" s="86"/>
      <c r="F10" s="85" t="s">
        <v>768</v>
      </c>
      <c r="G10" s="80"/>
      <c r="H10" s="80" t="s">
        <v>783</v>
      </c>
      <c r="I10" s="80" t="s">
        <v>784</v>
      </c>
      <c r="J10" s="80"/>
      <c r="K10" s="80"/>
      <c r="L10" s="80"/>
      <c r="M10" s="80"/>
      <c r="N10" s="80"/>
      <c r="O10" s="80"/>
      <c r="P10" s="80"/>
      <c r="Q10" s="80"/>
      <c r="R10" s="80"/>
      <c r="S10" s="80"/>
      <c r="T10" s="80"/>
      <c r="U10" s="80"/>
      <c r="V10" s="80"/>
      <c r="W10" s="80"/>
      <c r="X10" s="80"/>
      <c r="Y10" s="80"/>
      <c r="Z10" s="80"/>
      <c r="AA10" s="80"/>
      <c r="AB10" s="80"/>
    </row>
    <row r="11" spans="1:28" ht="80.25" customHeight="1">
      <c r="A11" s="227" t="s">
        <v>764</v>
      </c>
      <c r="B11" s="82"/>
      <c r="C11" s="228" t="s">
        <v>790</v>
      </c>
      <c r="D11" s="83"/>
      <c r="E11" s="86"/>
      <c r="F11" s="85"/>
      <c r="G11" s="80"/>
      <c r="H11" s="80"/>
      <c r="I11" s="80"/>
      <c r="J11" s="80"/>
      <c r="K11" s="80"/>
      <c r="L11" s="80"/>
      <c r="M11" s="80"/>
      <c r="N11" s="80"/>
      <c r="O11" s="80"/>
      <c r="P11" s="80"/>
      <c r="Q11" s="80"/>
      <c r="R11" s="80"/>
      <c r="S11" s="80"/>
      <c r="T11" s="80"/>
      <c r="U11" s="80"/>
      <c r="V11" s="80"/>
      <c r="W11" s="80"/>
      <c r="X11" s="80"/>
      <c r="Y11" s="80"/>
      <c r="Z11" s="80"/>
      <c r="AA11" s="80"/>
      <c r="AB11" s="80"/>
    </row>
    <row r="12" spans="1:28">
      <c r="A12" s="209"/>
      <c r="B12" s="82"/>
      <c r="C12" s="209"/>
      <c r="D12" s="83" t="s">
        <v>791</v>
      </c>
      <c r="E12" s="86"/>
      <c r="F12" s="85"/>
      <c r="G12" s="80"/>
      <c r="H12" s="80" t="s">
        <v>792</v>
      </c>
      <c r="I12" s="80"/>
      <c r="J12" s="80"/>
      <c r="K12" s="80"/>
      <c r="L12" s="80"/>
      <c r="M12" s="80"/>
      <c r="N12" s="80"/>
      <c r="O12" s="80"/>
      <c r="P12" s="80"/>
      <c r="Q12" s="80"/>
      <c r="R12" s="80"/>
      <c r="S12" s="80"/>
      <c r="T12" s="80"/>
      <c r="U12" s="80"/>
      <c r="V12" s="80"/>
      <c r="W12" s="80"/>
      <c r="X12" s="80"/>
      <c r="Y12" s="80"/>
      <c r="Z12" s="80"/>
      <c r="AA12" s="80"/>
      <c r="AB12" s="80"/>
    </row>
    <row r="13" spans="1:28" ht="75">
      <c r="A13" s="81" t="s">
        <v>764</v>
      </c>
      <c r="B13" s="82" t="s">
        <v>781</v>
      </c>
      <c r="C13" s="82"/>
      <c r="D13" s="82" t="s">
        <v>793</v>
      </c>
      <c r="E13" s="86"/>
      <c r="F13" s="85"/>
      <c r="G13" s="80"/>
      <c r="H13" s="80" t="s">
        <v>794</v>
      </c>
      <c r="I13" s="80" t="s">
        <v>795</v>
      </c>
      <c r="J13" s="80"/>
      <c r="K13" s="80"/>
      <c r="L13" s="80"/>
      <c r="M13" s="80"/>
      <c r="N13" s="80"/>
      <c r="O13" s="80"/>
      <c r="P13" s="80"/>
      <c r="Q13" s="80"/>
      <c r="R13" s="80"/>
      <c r="S13" s="80"/>
      <c r="T13" s="80"/>
      <c r="U13" s="80"/>
      <c r="V13" s="80"/>
      <c r="W13" s="80"/>
      <c r="X13" s="80"/>
      <c r="Y13" s="80"/>
      <c r="Z13" s="80"/>
      <c r="AA13" s="80"/>
      <c r="AB13" s="80"/>
    </row>
    <row r="14" spans="1:28">
      <c r="A14" s="81" t="s">
        <v>764</v>
      </c>
      <c r="B14" s="82" t="s">
        <v>796</v>
      </c>
      <c r="C14" s="82"/>
      <c r="D14" s="82" t="s">
        <v>797</v>
      </c>
      <c r="E14" s="86"/>
      <c r="F14" s="85"/>
      <c r="G14" s="80"/>
      <c r="H14" s="80" t="s">
        <v>794</v>
      </c>
      <c r="I14" s="80" t="s">
        <v>795</v>
      </c>
      <c r="J14" s="80"/>
      <c r="K14" s="80"/>
      <c r="L14" s="80"/>
      <c r="M14" s="80"/>
      <c r="N14" s="80"/>
      <c r="O14" s="80"/>
      <c r="P14" s="80"/>
      <c r="Q14" s="80"/>
      <c r="R14" s="80"/>
      <c r="S14" s="80"/>
      <c r="T14" s="80"/>
      <c r="U14" s="80"/>
      <c r="V14" s="80"/>
      <c r="W14" s="80"/>
      <c r="X14" s="80"/>
      <c r="Y14" s="80"/>
      <c r="Z14" s="80"/>
      <c r="AA14" s="80"/>
      <c r="AB14" s="80"/>
    </row>
    <row r="15" spans="1:28" ht="30">
      <c r="A15" s="81" t="s">
        <v>798</v>
      </c>
      <c r="B15" s="82"/>
      <c r="C15" s="82"/>
      <c r="D15" s="83" t="s">
        <v>799</v>
      </c>
      <c r="E15" s="86"/>
      <c r="F15" s="85"/>
      <c r="G15" s="80"/>
      <c r="H15" s="80" t="s">
        <v>800</v>
      </c>
      <c r="I15" s="80" t="s">
        <v>801</v>
      </c>
      <c r="J15" s="80"/>
      <c r="K15" s="80"/>
      <c r="L15" s="80"/>
      <c r="M15" s="80"/>
      <c r="N15" s="80"/>
      <c r="O15" s="80"/>
      <c r="P15" s="80"/>
      <c r="Q15" s="80"/>
      <c r="R15" s="80"/>
      <c r="S15" s="80"/>
      <c r="T15" s="80"/>
      <c r="U15" s="80"/>
      <c r="V15" s="80"/>
      <c r="W15" s="80"/>
      <c r="X15" s="80"/>
      <c r="Y15" s="80"/>
      <c r="Z15" s="80"/>
      <c r="AA15" s="80"/>
      <c r="AB15" s="80"/>
    </row>
    <row r="16" spans="1:28" ht="30">
      <c r="A16" s="88" t="s">
        <v>802</v>
      </c>
      <c r="B16" s="82"/>
      <c r="C16" s="82"/>
      <c r="D16" s="82" t="s">
        <v>803</v>
      </c>
      <c r="E16" s="86"/>
      <c r="F16" s="85"/>
      <c r="G16" s="80"/>
      <c r="H16" s="80"/>
      <c r="I16" s="80"/>
      <c r="J16" s="80"/>
      <c r="K16" s="80"/>
      <c r="L16" s="80"/>
      <c r="M16" s="80"/>
      <c r="N16" s="80"/>
      <c r="O16" s="80"/>
      <c r="P16" s="80"/>
      <c r="Q16" s="80"/>
      <c r="R16" s="80"/>
      <c r="S16" s="80"/>
      <c r="T16" s="80"/>
      <c r="U16" s="80"/>
      <c r="V16" s="80"/>
      <c r="W16" s="80"/>
      <c r="X16" s="80"/>
      <c r="Y16" s="80"/>
      <c r="Z16" s="80"/>
      <c r="AA16" s="80"/>
      <c r="AB16" s="80"/>
    </row>
    <row r="17" spans="1:28" ht="30">
      <c r="A17" s="88" t="s">
        <v>804</v>
      </c>
      <c r="B17" s="82"/>
      <c r="C17" s="82"/>
      <c r="D17" s="82" t="s">
        <v>805</v>
      </c>
      <c r="E17" s="89" t="s">
        <v>800</v>
      </c>
      <c r="F17" s="90" t="str">
        <f ca="1">IFERROR(__xludf.DUMMYFUNCTION("INDEX(H17:V17, MAX(FILTER(COLUMN(H18:V18)-COLUMN(H18)+1, H18:V18&lt;&gt;"""")))"),"6th")</f>
        <v>6th</v>
      </c>
      <c r="G17" s="90" t="s">
        <v>22</v>
      </c>
      <c r="H17" s="91" t="s">
        <v>806</v>
      </c>
      <c r="I17" s="91" t="s">
        <v>807</v>
      </c>
      <c r="J17" s="92" t="s">
        <v>808</v>
      </c>
      <c r="K17" s="92" t="s">
        <v>809</v>
      </c>
      <c r="L17" s="92" t="s">
        <v>810</v>
      </c>
      <c r="M17" s="92" t="s">
        <v>811</v>
      </c>
      <c r="N17" s="80"/>
      <c r="O17" s="80"/>
      <c r="P17" s="80"/>
      <c r="Q17" s="80"/>
      <c r="R17" s="80"/>
      <c r="S17" s="80"/>
      <c r="T17" s="80"/>
      <c r="U17" s="80"/>
      <c r="V17" s="80"/>
      <c r="W17" s="80"/>
      <c r="X17" s="80"/>
      <c r="Y17" s="80"/>
      <c r="Z17" s="80"/>
      <c r="AA17" s="80"/>
      <c r="AB17" s="80"/>
    </row>
    <row r="18" spans="1:28" ht="87" customHeight="1">
      <c r="A18" s="93" t="s">
        <v>812</v>
      </c>
      <c r="B18" s="94"/>
      <c r="C18" s="94"/>
      <c r="D18" s="94" t="s">
        <v>813</v>
      </c>
      <c r="E18" s="95" t="s">
        <v>21</v>
      </c>
      <c r="F18" s="96"/>
      <c r="G18" s="97" t="s">
        <v>814</v>
      </c>
      <c r="H18" s="98"/>
      <c r="I18" s="98"/>
      <c r="J18" s="99" t="s">
        <v>815</v>
      </c>
      <c r="K18" s="99" t="s">
        <v>815</v>
      </c>
      <c r="L18" s="100" t="s">
        <v>815</v>
      </c>
      <c r="M18" s="99" t="s">
        <v>815</v>
      </c>
      <c r="N18" s="80"/>
      <c r="O18" s="80"/>
      <c r="P18" s="80"/>
      <c r="Q18" s="80"/>
      <c r="R18" s="80"/>
      <c r="S18" s="80"/>
      <c r="T18" s="80"/>
      <c r="U18" s="80"/>
      <c r="V18" s="80"/>
      <c r="W18" s="80"/>
      <c r="X18" s="80"/>
      <c r="Y18" s="80"/>
      <c r="Z18" s="80"/>
      <c r="AA18" s="80"/>
      <c r="AB18" s="80"/>
    </row>
    <row r="19" spans="1:28">
      <c r="A19" s="2"/>
      <c r="B19" s="2"/>
      <c r="C19" s="2"/>
      <c r="D19" s="2"/>
      <c r="E19" s="95" t="s">
        <v>21</v>
      </c>
      <c r="F19" s="96"/>
      <c r="G19" s="101" t="s">
        <v>748</v>
      </c>
      <c r="H19" s="98"/>
      <c r="I19" s="98"/>
      <c r="J19" s="99">
        <v>46113.583333333343</v>
      </c>
      <c r="K19" s="99">
        <v>46120.416666666657</v>
      </c>
      <c r="L19" s="99" t="s">
        <v>815</v>
      </c>
      <c r="M19" s="99">
        <v>46134.416666666657</v>
      </c>
      <c r="N19" s="80"/>
      <c r="O19" s="80"/>
      <c r="P19" s="80"/>
      <c r="Q19" s="80"/>
      <c r="R19" s="80"/>
      <c r="S19" s="80"/>
      <c r="T19" s="80"/>
      <c r="U19" s="80"/>
      <c r="V19" s="80"/>
      <c r="W19" s="80"/>
      <c r="X19" s="80"/>
      <c r="Y19" s="80"/>
      <c r="Z19" s="80"/>
      <c r="AA19" s="80"/>
      <c r="AB19" s="80"/>
    </row>
    <row r="20" spans="1:28">
      <c r="A20" s="83"/>
      <c r="B20" s="82"/>
      <c r="C20" s="82"/>
      <c r="D20" s="83"/>
      <c r="E20" s="95" t="s">
        <v>21</v>
      </c>
      <c r="F20" s="96"/>
      <c r="G20" s="101" t="s">
        <v>750</v>
      </c>
      <c r="H20" s="98"/>
      <c r="I20" s="98"/>
      <c r="J20" s="99">
        <v>46113.583333333343</v>
      </c>
      <c r="K20" s="99">
        <v>46120.416666666657</v>
      </c>
      <c r="L20" s="99">
        <v>46127.416666666657</v>
      </c>
      <c r="M20" s="99">
        <v>46134.416666666657</v>
      </c>
      <c r="N20" s="80"/>
      <c r="O20" s="80"/>
      <c r="P20" s="80"/>
      <c r="Q20" s="80"/>
      <c r="R20" s="80"/>
      <c r="S20" s="80"/>
      <c r="T20" s="80"/>
      <c r="U20" s="80"/>
      <c r="V20" s="80"/>
      <c r="W20" s="80"/>
      <c r="X20" s="80"/>
      <c r="Y20" s="80"/>
      <c r="Z20" s="80"/>
      <c r="AA20" s="80"/>
      <c r="AB20" s="80"/>
    </row>
    <row r="21" spans="1:28" ht="15.75" customHeight="1">
      <c r="A21" s="83"/>
      <c r="B21" s="82"/>
      <c r="C21" s="82"/>
      <c r="D21" s="83"/>
      <c r="E21" s="95" t="s">
        <v>21</v>
      </c>
      <c r="F21" s="96"/>
      <c r="G21" s="101" t="s">
        <v>746</v>
      </c>
      <c r="H21" s="98"/>
      <c r="I21" s="98"/>
      <c r="J21" s="99">
        <v>46113.583333333343</v>
      </c>
      <c r="K21" s="99">
        <v>46120.416666666657</v>
      </c>
      <c r="L21" s="99">
        <v>46127.416666666657</v>
      </c>
      <c r="M21" s="99">
        <v>46134.416666666657</v>
      </c>
      <c r="N21" s="80"/>
      <c r="O21" s="80"/>
      <c r="P21" s="80"/>
      <c r="Q21" s="80"/>
      <c r="R21" s="80"/>
      <c r="S21" s="80"/>
      <c r="T21" s="80"/>
      <c r="U21" s="80"/>
      <c r="V21" s="80"/>
      <c r="W21" s="80"/>
      <c r="X21" s="80"/>
      <c r="Y21" s="80"/>
      <c r="Z21" s="80"/>
      <c r="AA21" s="80"/>
      <c r="AB21" s="80"/>
    </row>
    <row r="22" spans="1:28" ht="15.75" customHeight="1">
      <c r="A22" s="83"/>
      <c r="B22" s="82"/>
      <c r="C22" s="82"/>
      <c r="D22" s="83"/>
      <c r="E22" s="95" t="s">
        <v>21</v>
      </c>
      <c r="F22" s="96"/>
      <c r="G22" s="101" t="s">
        <v>752</v>
      </c>
      <c r="H22" s="98"/>
      <c r="I22" s="98"/>
      <c r="J22" s="99" t="s">
        <v>815</v>
      </c>
      <c r="K22" s="99">
        <v>46120.416666666657</v>
      </c>
      <c r="L22" s="99">
        <v>46127.416666666657</v>
      </c>
      <c r="M22" s="99">
        <v>46134.416666666657</v>
      </c>
      <c r="N22" s="80"/>
      <c r="O22" s="80"/>
      <c r="P22" s="80"/>
      <c r="Q22" s="80"/>
      <c r="R22" s="80"/>
      <c r="S22" s="80"/>
      <c r="T22" s="80"/>
      <c r="U22" s="80"/>
      <c r="V22" s="80"/>
      <c r="W22" s="80"/>
      <c r="X22" s="80"/>
      <c r="Y22" s="80"/>
      <c r="Z22" s="80"/>
      <c r="AA22" s="80"/>
      <c r="AB22" s="80"/>
    </row>
    <row r="23" spans="1:28" ht="15.75" customHeight="1">
      <c r="A23" s="83"/>
      <c r="B23" s="82"/>
      <c r="C23" s="82"/>
      <c r="D23" s="83"/>
      <c r="E23" s="95" t="s">
        <v>21</v>
      </c>
      <c r="F23" s="96"/>
      <c r="G23" s="97" t="s">
        <v>754</v>
      </c>
      <c r="H23" s="98"/>
      <c r="I23" s="98"/>
      <c r="J23" s="99">
        <v>46113.583333333343</v>
      </c>
      <c r="K23" s="99">
        <v>46120.416666666657</v>
      </c>
      <c r="L23" s="99">
        <v>46127.416666666657</v>
      </c>
      <c r="M23" s="99">
        <v>46134.416666666657</v>
      </c>
      <c r="N23" s="80"/>
      <c r="O23" s="80"/>
      <c r="P23" s="80"/>
      <c r="Q23" s="80"/>
      <c r="R23" s="80"/>
      <c r="S23" s="80"/>
      <c r="T23" s="80"/>
      <c r="U23" s="80"/>
      <c r="V23" s="80"/>
      <c r="W23" s="80"/>
      <c r="X23" s="80"/>
      <c r="Y23" s="80"/>
      <c r="Z23" s="80"/>
      <c r="AA23" s="80"/>
      <c r="AB23" s="80"/>
    </row>
    <row r="24" spans="1:28" ht="15.75" customHeight="1">
      <c r="A24" s="83"/>
      <c r="B24" s="82"/>
      <c r="C24" s="82"/>
      <c r="D24" s="83"/>
      <c r="E24" s="95" t="s">
        <v>21</v>
      </c>
      <c r="F24" s="96"/>
      <c r="G24" s="97" t="s">
        <v>756</v>
      </c>
      <c r="H24" s="98"/>
      <c r="I24" s="98"/>
      <c r="J24" s="99">
        <v>46113.583333333343</v>
      </c>
      <c r="K24" s="99">
        <v>46120.416666666657</v>
      </c>
      <c r="L24" s="99">
        <v>46127.416666666657</v>
      </c>
      <c r="M24" s="99">
        <v>46134.416666666657</v>
      </c>
      <c r="N24" s="80"/>
      <c r="O24" s="80"/>
      <c r="P24" s="80"/>
      <c r="Q24" s="80"/>
      <c r="R24" s="80"/>
      <c r="S24" s="80"/>
      <c r="T24" s="80"/>
      <c r="U24" s="80"/>
      <c r="V24" s="80"/>
      <c r="W24" s="80"/>
      <c r="X24" s="80"/>
      <c r="Y24" s="80"/>
      <c r="Z24" s="80"/>
      <c r="AA24" s="80"/>
      <c r="AB24" s="80"/>
    </row>
    <row r="25" spans="1:28" ht="15.75" customHeight="1">
      <c r="A25" s="83"/>
      <c r="B25" s="82"/>
      <c r="C25" s="82"/>
      <c r="D25" s="83"/>
      <c r="E25" s="95" t="s">
        <v>21</v>
      </c>
      <c r="F25" s="96"/>
      <c r="G25" s="101" t="s">
        <v>816</v>
      </c>
      <c r="H25" s="98"/>
      <c r="I25" s="98"/>
      <c r="J25" s="99">
        <v>46113.583333333343</v>
      </c>
      <c r="K25" s="99">
        <v>46120.416666666657</v>
      </c>
      <c r="L25" s="100" t="s">
        <v>815</v>
      </c>
      <c r="M25" s="99">
        <v>46134.416666666657</v>
      </c>
      <c r="N25" s="80"/>
      <c r="O25" s="80"/>
      <c r="P25" s="80"/>
      <c r="Q25" s="80"/>
      <c r="R25" s="80"/>
      <c r="S25" s="80"/>
      <c r="T25" s="80"/>
      <c r="U25" s="80"/>
      <c r="V25" s="80"/>
      <c r="W25" s="80"/>
      <c r="X25" s="80"/>
      <c r="Y25" s="80"/>
      <c r="Z25" s="80"/>
      <c r="AA25" s="80"/>
      <c r="AB25" s="80"/>
    </row>
    <row r="26" spans="1:28" ht="15.75" customHeight="1">
      <c r="A26" s="83"/>
      <c r="B26" s="82"/>
      <c r="C26" s="82"/>
      <c r="D26" s="83"/>
      <c r="E26" s="89" t="s">
        <v>794</v>
      </c>
      <c r="F26" s="90" t="str">
        <f ca="1">IFERROR(__xludf.DUMMYFUNCTION("INDEX(H26:V26, MAX(FILTER(COLUMN(H27:V27)-COLUMN(H27)+1, H27:V27&lt;&gt;"""")))"),"8th")</f>
        <v>8th</v>
      </c>
      <c r="G26" s="90" t="s">
        <v>21</v>
      </c>
      <c r="H26" s="92" t="s">
        <v>806</v>
      </c>
      <c r="I26" s="92" t="s">
        <v>807</v>
      </c>
      <c r="J26" s="92" t="s">
        <v>808</v>
      </c>
      <c r="K26" s="92" t="s">
        <v>809</v>
      </c>
      <c r="L26" s="92" t="s">
        <v>810</v>
      </c>
      <c r="M26" s="92" t="s">
        <v>811</v>
      </c>
      <c r="N26" s="92" t="s">
        <v>817</v>
      </c>
      <c r="O26" s="92" t="s">
        <v>818</v>
      </c>
      <c r="P26" s="80"/>
      <c r="Q26" s="80"/>
      <c r="R26" s="80"/>
      <c r="S26" s="80"/>
      <c r="T26" s="80"/>
      <c r="U26" s="80"/>
      <c r="V26" s="80"/>
      <c r="W26" s="80"/>
      <c r="X26" s="80"/>
      <c r="Y26" s="80"/>
      <c r="Z26" s="80"/>
      <c r="AA26" s="80"/>
      <c r="AB26" s="80"/>
    </row>
    <row r="27" spans="1:28" ht="15.75" customHeight="1">
      <c r="A27" s="83"/>
      <c r="B27" s="82"/>
      <c r="C27" s="82"/>
      <c r="D27" s="83"/>
      <c r="E27" s="95" t="s">
        <v>21</v>
      </c>
      <c r="F27" s="96"/>
      <c r="G27" s="97" t="s">
        <v>736</v>
      </c>
      <c r="H27" s="99">
        <v>46085.625</v>
      </c>
      <c r="I27" s="99">
        <v>46093.416666666657</v>
      </c>
      <c r="J27" s="99">
        <v>46099.583333333343</v>
      </c>
      <c r="K27" s="99">
        <v>46107.416666666657</v>
      </c>
      <c r="L27" s="99">
        <v>46115.625</v>
      </c>
      <c r="M27" s="99">
        <v>46128.625</v>
      </c>
      <c r="N27" s="99">
        <v>46129.416666666657</v>
      </c>
      <c r="O27" s="99">
        <v>46135.625</v>
      </c>
      <c r="P27" s="80"/>
      <c r="Q27" s="80"/>
      <c r="R27" s="80"/>
      <c r="S27" s="80"/>
      <c r="T27" s="80"/>
      <c r="U27" s="80"/>
      <c r="V27" s="80"/>
      <c r="W27" s="80"/>
      <c r="X27" s="80"/>
      <c r="Y27" s="80"/>
      <c r="Z27" s="80"/>
      <c r="AA27" s="80"/>
      <c r="AB27" s="80"/>
    </row>
    <row r="28" spans="1:28" ht="15.75" customHeight="1">
      <c r="A28" s="83"/>
      <c r="B28" s="82"/>
      <c r="C28" s="82"/>
      <c r="D28" s="83"/>
      <c r="E28" s="95" t="s">
        <v>21</v>
      </c>
      <c r="F28" s="96"/>
      <c r="G28" s="101" t="s">
        <v>738</v>
      </c>
      <c r="H28" s="99">
        <v>46085.625</v>
      </c>
      <c r="I28" s="99">
        <v>46093.416666666657</v>
      </c>
      <c r="J28" s="99">
        <v>46099.583333333343</v>
      </c>
      <c r="K28" s="99">
        <v>46107.416666666657</v>
      </c>
      <c r="L28" s="100" t="s">
        <v>815</v>
      </c>
      <c r="M28" s="99">
        <v>46128.625</v>
      </c>
      <c r="N28" s="99">
        <v>46129.416666666657</v>
      </c>
      <c r="O28" s="99">
        <v>46135.625</v>
      </c>
      <c r="P28" s="80"/>
      <c r="Q28" s="80"/>
      <c r="R28" s="80"/>
      <c r="S28" s="80"/>
      <c r="T28" s="80"/>
      <c r="U28" s="80"/>
      <c r="V28" s="80"/>
      <c r="W28" s="80"/>
      <c r="X28" s="80"/>
      <c r="Y28" s="80"/>
      <c r="Z28" s="80"/>
      <c r="AA28" s="80"/>
      <c r="AB28" s="80"/>
    </row>
    <row r="29" spans="1:28" ht="15.75" customHeight="1">
      <c r="A29" s="83"/>
      <c r="B29" s="82"/>
      <c r="C29" s="82"/>
      <c r="D29" s="83"/>
      <c r="E29" s="95" t="s">
        <v>21</v>
      </c>
      <c r="F29" s="96"/>
      <c r="G29" s="101" t="s">
        <v>740</v>
      </c>
      <c r="H29" s="99">
        <v>46085.625</v>
      </c>
      <c r="I29" s="99">
        <v>46093.416666666657</v>
      </c>
      <c r="J29" s="100" t="s">
        <v>815</v>
      </c>
      <c r="K29" s="99">
        <v>46107.416666666657</v>
      </c>
      <c r="L29" s="99">
        <v>46115.625</v>
      </c>
      <c r="M29" s="99">
        <v>46128.625</v>
      </c>
      <c r="N29" s="99">
        <v>46129.416666666657</v>
      </c>
      <c r="O29" s="99">
        <v>46135.625</v>
      </c>
      <c r="P29" s="80"/>
      <c r="Q29" s="80"/>
      <c r="R29" s="80"/>
      <c r="S29" s="80"/>
      <c r="T29" s="80"/>
      <c r="U29" s="80"/>
      <c r="V29" s="80"/>
      <c r="W29" s="80"/>
      <c r="X29" s="80"/>
      <c r="Y29" s="80"/>
      <c r="Z29" s="80"/>
      <c r="AA29" s="80"/>
      <c r="AB29" s="80"/>
    </row>
    <row r="30" spans="1:28" ht="15.75" customHeight="1">
      <c r="A30" s="83"/>
      <c r="B30" s="82"/>
      <c r="C30" s="82"/>
      <c r="D30" s="83"/>
      <c r="E30" s="95" t="s">
        <v>21</v>
      </c>
      <c r="F30" s="96"/>
      <c r="G30" s="101" t="s">
        <v>742</v>
      </c>
      <c r="H30" s="99">
        <v>46085.625</v>
      </c>
      <c r="I30" s="99">
        <v>46093.416666666657</v>
      </c>
      <c r="J30" s="100" t="s">
        <v>815</v>
      </c>
      <c r="K30" s="99">
        <v>46107.416666666657</v>
      </c>
      <c r="L30" s="99">
        <v>46115.625</v>
      </c>
      <c r="M30" s="99">
        <v>46128.625</v>
      </c>
      <c r="N30" s="99">
        <v>46129.416666666657</v>
      </c>
      <c r="O30" s="99">
        <v>46135.625</v>
      </c>
      <c r="P30" s="80"/>
      <c r="Q30" s="80"/>
      <c r="R30" s="80"/>
      <c r="S30" s="80"/>
      <c r="T30" s="80"/>
      <c r="U30" s="80"/>
      <c r="V30" s="80"/>
      <c r="W30" s="80"/>
      <c r="X30" s="80"/>
      <c r="Y30" s="80"/>
      <c r="Z30" s="80"/>
      <c r="AA30" s="80"/>
      <c r="AB30" s="80"/>
    </row>
    <row r="31" spans="1:28" ht="15.75" customHeight="1">
      <c r="A31" s="83"/>
      <c r="B31" s="82"/>
      <c r="C31" s="82"/>
      <c r="D31" s="83"/>
      <c r="E31" s="95" t="s">
        <v>21</v>
      </c>
      <c r="F31" s="96"/>
      <c r="G31" s="101" t="s">
        <v>744</v>
      </c>
      <c r="H31" s="99">
        <v>46085.625</v>
      </c>
      <c r="I31" s="99">
        <v>46093.416666666657</v>
      </c>
      <c r="J31" s="99">
        <v>46099.583333333343</v>
      </c>
      <c r="K31" s="99">
        <v>46107.416666666657</v>
      </c>
      <c r="L31" s="99">
        <v>46115.625</v>
      </c>
      <c r="M31" s="99">
        <v>46128.625</v>
      </c>
      <c r="N31" s="99">
        <v>46129.416666666657</v>
      </c>
      <c r="O31" s="99">
        <v>46135.625</v>
      </c>
      <c r="P31" s="80"/>
      <c r="Q31" s="80"/>
      <c r="R31" s="80"/>
      <c r="S31" s="80"/>
      <c r="T31" s="80"/>
      <c r="U31" s="80"/>
      <c r="V31" s="80"/>
      <c r="W31" s="80"/>
      <c r="X31" s="80"/>
      <c r="Y31" s="80"/>
      <c r="Z31" s="80"/>
      <c r="AA31" s="80"/>
      <c r="AB31" s="80"/>
    </row>
    <row r="32" spans="1:28" ht="15.75" customHeight="1">
      <c r="A32" s="83"/>
      <c r="B32" s="82"/>
      <c r="C32" s="82"/>
      <c r="D32" s="83"/>
      <c r="E32" s="95" t="s">
        <v>22</v>
      </c>
      <c r="F32" s="96"/>
      <c r="G32" s="101" t="s">
        <v>819</v>
      </c>
      <c r="H32" s="98"/>
      <c r="I32" s="102"/>
      <c r="J32" s="102"/>
      <c r="K32" s="99">
        <v>46107.416666666657</v>
      </c>
      <c r="L32" s="100" t="s">
        <v>815</v>
      </c>
      <c r="M32" s="99">
        <v>46128.625</v>
      </c>
      <c r="N32" s="99">
        <v>46129.416666666657</v>
      </c>
      <c r="O32" s="99">
        <v>46135.625</v>
      </c>
      <c r="P32" s="80"/>
      <c r="Q32" s="80"/>
      <c r="R32" s="80"/>
      <c r="S32" s="80"/>
      <c r="T32" s="80"/>
      <c r="U32" s="80"/>
      <c r="V32" s="80"/>
      <c r="W32" s="80"/>
      <c r="X32" s="80"/>
      <c r="Y32" s="80"/>
      <c r="Z32" s="80"/>
      <c r="AA32" s="80"/>
      <c r="AB32" s="80"/>
    </row>
    <row r="33" spans="1:28" ht="15.75" customHeight="1">
      <c r="A33" s="83"/>
      <c r="B33" s="82"/>
      <c r="C33" s="82"/>
      <c r="D33" s="83"/>
      <c r="E33" s="89" t="s">
        <v>783</v>
      </c>
      <c r="F33" s="90" t="str">
        <f ca="1">IFERROR(__xludf.DUMMYFUNCTION("INDEX(H33:V33, MAX(FILTER(COLUMN(H34:V34)-COLUMN(H34)+1, H34:V34&lt;&gt;"""")))"),"8th")</f>
        <v>8th</v>
      </c>
      <c r="G33" s="90" t="s">
        <v>21</v>
      </c>
      <c r="H33" s="92" t="s">
        <v>806</v>
      </c>
      <c r="I33" s="92" t="s">
        <v>807</v>
      </c>
      <c r="J33" s="92" t="s">
        <v>808</v>
      </c>
      <c r="K33" s="92" t="s">
        <v>809</v>
      </c>
      <c r="L33" s="92" t="s">
        <v>810</v>
      </c>
      <c r="M33" s="92" t="s">
        <v>811</v>
      </c>
      <c r="N33" s="92" t="s">
        <v>817</v>
      </c>
      <c r="O33" s="92" t="s">
        <v>818</v>
      </c>
      <c r="P33" s="80"/>
      <c r="Q33" s="80"/>
      <c r="R33" s="80"/>
      <c r="S33" s="80"/>
      <c r="T33" s="80"/>
      <c r="U33" s="80"/>
      <c r="V33" s="80"/>
      <c r="W33" s="80"/>
      <c r="X33" s="80"/>
      <c r="Y33" s="80"/>
      <c r="Z33" s="80"/>
      <c r="AA33" s="80"/>
      <c r="AB33" s="80"/>
    </row>
    <row r="34" spans="1:28" ht="15.75" customHeight="1">
      <c r="A34" s="83"/>
      <c r="B34" s="82"/>
      <c r="C34" s="82"/>
      <c r="D34" s="83"/>
      <c r="E34" s="95" t="s">
        <v>21</v>
      </c>
      <c r="F34" s="96"/>
      <c r="G34" s="97" t="s">
        <v>726</v>
      </c>
      <c r="H34" s="99">
        <v>46085.583333333343</v>
      </c>
      <c r="I34" s="99">
        <v>46093.583333333343</v>
      </c>
      <c r="J34" s="99">
        <v>46099.583333333343</v>
      </c>
      <c r="K34" s="99">
        <v>46108.416666666657</v>
      </c>
      <c r="L34" s="99">
        <v>46114.625</v>
      </c>
      <c r="M34" s="99">
        <v>46121.625</v>
      </c>
      <c r="N34" s="99">
        <v>46129.416666666657</v>
      </c>
      <c r="O34" s="99">
        <v>46135.541666666657</v>
      </c>
      <c r="P34" s="80"/>
      <c r="Q34" s="80"/>
      <c r="R34" s="80"/>
      <c r="S34" s="80"/>
      <c r="T34" s="80"/>
      <c r="U34" s="80"/>
      <c r="V34" s="80"/>
      <c r="W34" s="80"/>
      <c r="X34" s="80"/>
      <c r="Y34" s="80"/>
      <c r="Z34" s="80"/>
      <c r="AA34" s="80"/>
      <c r="AB34" s="80"/>
    </row>
    <row r="35" spans="1:28" ht="15.75" customHeight="1">
      <c r="A35" s="83"/>
      <c r="B35" s="82"/>
      <c r="C35" s="82"/>
      <c r="D35" s="83"/>
      <c r="E35" s="95" t="s">
        <v>21</v>
      </c>
      <c r="F35" s="96"/>
      <c r="G35" s="101" t="s">
        <v>728</v>
      </c>
      <c r="H35" s="99">
        <v>46085.583333333343</v>
      </c>
      <c r="I35" s="99">
        <v>46093.583333333343</v>
      </c>
      <c r="J35" s="99">
        <v>46099.583333333343</v>
      </c>
      <c r="K35" s="99">
        <v>46108.416666666657</v>
      </c>
      <c r="L35" s="99">
        <v>46114.625</v>
      </c>
      <c r="M35" s="99">
        <v>46121.625</v>
      </c>
      <c r="N35" s="99">
        <v>46129.416666666657</v>
      </c>
      <c r="O35" s="100" t="s">
        <v>815</v>
      </c>
      <c r="P35" s="80"/>
      <c r="Q35" s="80"/>
      <c r="R35" s="80"/>
      <c r="S35" s="80"/>
      <c r="T35" s="80"/>
      <c r="U35" s="80"/>
      <c r="V35" s="80"/>
      <c r="W35" s="80"/>
      <c r="X35" s="80"/>
      <c r="Y35" s="80"/>
      <c r="Z35" s="80"/>
      <c r="AA35" s="80"/>
      <c r="AB35" s="80"/>
    </row>
    <row r="36" spans="1:28" ht="15.75" customHeight="1">
      <c r="A36" s="83"/>
      <c r="B36" s="82"/>
      <c r="C36" s="82"/>
      <c r="D36" s="83"/>
      <c r="E36" s="95" t="s">
        <v>21</v>
      </c>
      <c r="F36" s="96"/>
      <c r="G36" s="101" t="s">
        <v>730</v>
      </c>
      <c r="H36" s="99">
        <v>46085.583333333343</v>
      </c>
      <c r="I36" s="99">
        <v>46093.583333333343</v>
      </c>
      <c r="J36" s="99">
        <v>46099.583333333343</v>
      </c>
      <c r="K36" s="99">
        <v>46108.416666666657</v>
      </c>
      <c r="L36" s="99">
        <v>46114.625</v>
      </c>
      <c r="M36" s="99">
        <v>46121.625</v>
      </c>
      <c r="N36" s="99">
        <v>46129.416666666657</v>
      </c>
      <c r="O36" s="99">
        <v>46135.541666666657</v>
      </c>
      <c r="P36" s="80"/>
      <c r="Q36" s="80"/>
      <c r="R36" s="80"/>
      <c r="S36" s="80"/>
      <c r="T36" s="80"/>
      <c r="U36" s="80"/>
      <c r="V36" s="80"/>
      <c r="W36" s="80"/>
      <c r="X36" s="80"/>
      <c r="Y36" s="80"/>
      <c r="Z36" s="80"/>
      <c r="AA36" s="80"/>
      <c r="AB36" s="80"/>
    </row>
    <row r="37" spans="1:28" ht="15.75" customHeight="1">
      <c r="A37" s="83"/>
      <c r="B37" s="82"/>
      <c r="C37" s="82"/>
      <c r="D37" s="83"/>
      <c r="E37" s="95" t="s">
        <v>21</v>
      </c>
      <c r="F37" s="96"/>
      <c r="G37" s="101" t="s">
        <v>732</v>
      </c>
      <c r="H37" s="99">
        <v>46085.583333333343</v>
      </c>
      <c r="I37" s="99">
        <v>46093.583333333343</v>
      </c>
      <c r="J37" s="99">
        <v>46099.583333333343</v>
      </c>
      <c r="K37" s="99">
        <v>46108.416666666657</v>
      </c>
      <c r="L37" s="99">
        <v>46114.625</v>
      </c>
      <c r="M37" s="99">
        <v>46121.625</v>
      </c>
      <c r="N37" s="99">
        <v>46129.416666666657</v>
      </c>
      <c r="O37" s="99">
        <v>46135.541666666657</v>
      </c>
      <c r="P37" s="80"/>
      <c r="Q37" s="80"/>
      <c r="R37" s="80"/>
      <c r="S37" s="80"/>
      <c r="T37" s="80"/>
      <c r="U37" s="80"/>
      <c r="V37" s="80"/>
      <c r="W37" s="80"/>
      <c r="X37" s="80"/>
      <c r="Y37" s="80"/>
      <c r="Z37" s="80"/>
      <c r="AA37" s="80"/>
      <c r="AB37" s="80"/>
    </row>
    <row r="38" spans="1:28" ht="15.75" customHeight="1">
      <c r="A38" s="83"/>
      <c r="B38" s="82"/>
      <c r="C38" s="82"/>
      <c r="D38" s="83"/>
      <c r="E38" s="95" t="s">
        <v>21</v>
      </c>
      <c r="F38" s="96"/>
      <c r="G38" s="101" t="s">
        <v>734</v>
      </c>
      <c r="H38" s="99">
        <v>46085.583333333343</v>
      </c>
      <c r="I38" s="99">
        <v>46093.583333333343</v>
      </c>
      <c r="J38" s="100" t="s">
        <v>815</v>
      </c>
      <c r="K38" s="99">
        <v>46108.416666666657</v>
      </c>
      <c r="L38" s="99">
        <v>46114.625</v>
      </c>
      <c r="M38" s="99">
        <v>46121.625</v>
      </c>
      <c r="N38" s="100" t="s">
        <v>815</v>
      </c>
      <c r="O38" s="99">
        <v>46135.541666666657</v>
      </c>
      <c r="P38" s="80"/>
      <c r="Q38" s="80"/>
      <c r="R38" s="80"/>
      <c r="S38" s="80"/>
      <c r="T38" s="80"/>
      <c r="U38" s="80"/>
      <c r="V38" s="80"/>
      <c r="W38" s="80"/>
      <c r="X38" s="80"/>
      <c r="Y38" s="80"/>
      <c r="Z38" s="80"/>
      <c r="AA38" s="80"/>
      <c r="AB38" s="80"/>
    </row>
    <row r="39" spans="1:28" ht="15.75" customHeight="1">
      <c r="A39" s="83"/>
      <c r="B39" s="82"/>
      <c r="C39" s="82"/>
      <c r="D39" s="83"/>
      <c r="E39" s="95" t="s">
        <v>21</v>
      </c>
      <c r="F39" s="96"/>
      <c r="G39" s="97" t="s">
        <v>724</v>
      </c>
      <c r="H39" s="99">
        <v>46085.583333333343</v>
      </c>
      <c r="I39" s="99">
        <v>46093.583333333343</v>
      </c>
      <c r="J39" s="100" t="s">
        <v>815</v>
      </c>
      <c r="K39" s="99">
        <v>46108.416666666657</v>
      </c>
      <c r="L39" s="99">
        <v>46114.625</v>
      </c>
      <c r="M39" s="99">
        <v>46121.625</v>
      </c>
      <c r="N39" s="99">
        <v>46129.416666666657</v>
      </c>
      <c r="O39" s="99">
        <v>46135.541666666657</v>
      </c>
      <c r="P39" s="80"/>
      <c r="Q39" s="80"/>
      <c r="R39" s="80"/>
      <c r="S39" s="80"/>
      <c r="T39" s="80"/>
      <c r="U39" s="80"/>
      <c r="V39" s="80"/>
      <c r="W39" s="80"/>
      <c r="X39" s="80"/>
      <c r="Y39" s="80"/>
      <c r="Z39" s="80"/>
      <c r="AA39" s="80"/>
      <c r="AB39" s="80"/>
    </row>
    <row r="40" spans="1:28" ht="15.75" customHeight="1">
      <c r="A40" s="83"/>
      <c r="B40" s="82"/>
      <c r="C40" s="82"/>
      <c r="D40" s="83"/>
      <c r="E40" s="86"/>
      <c r="F40" s="85"/>
      <c r="G40" s="80"/>
      <c r="H40" s="80"/>
      <c r="I40" s="80"/>
      <c r="J40" s="80"/>
      <c r="K40" s="80"/>
      <c r="L40" s="80"/>
      <c r="M40" s="80"/>
      <c r="N40" s="80"/>
      <c r="O40" s="80"/>
      <c r="P40" s="80"/>
      <c r="Q40" s="80"/>
      <c r="R40" s="80"/>
      <c r="S40" s="80"/>
      <c r="T40" s="80"/>
      <c r="U40" s="80"/>
      <c r="V40" s="80"/>
      <c r="W40" s="80"/>
      <c r="X40" s="80"/>
      <c r="Y40" s="80"/>
      <c r="Z40" s="80"/>
      <c r="AA40" s="80"/>
      <c r="AB40" s="80"/>
    </row>
    <row r="41" spans="1:28" ht="15.75" customHeight="1">
      <c r="A41" s="83"/>
      <c r="B41" s="82"/>
      <c r="C41" s="82"/>
      <c r="D41" s="83"/>
      <c r="E41" s="86"/>
      <c r="F41" s="85"/>
      <c r="G41" s="80"/>
      <c r="H41" s="80"/>
      <c r="I41" s="80"/>
      <c r="J41" s="80"/>
      <c r="K41" s="80"/>
      <c r="L41" s="80"/>
      <c r="M41" s="80"/>
      <c r="N41" s="80"/>
      <c r="O41" s="80"/>
      <c r="P41" s="80"/>
      <c r="Q41" s="80"/>
      <c r="R41" s="80"/>
      <c r="S41" s="80"/>
      <c r="T41" s="80"/>
      <c r="U41" s="80"/>
      <c r="V41" s="80"/>
      <c r="W41" s="80"/>
      <c r="X41" s="80"/>
      <c r="Y41" s="80"/>
      <c r="Z41" s="80"/>
      <c r="AA41" s="80"/>
      <c r="AB41" s="80"/>
    </row>
    <row r="42" spans="1:28" ht="15.75" customHeight="1">
      <c r="A42" s="83"/>
      <c r="B42" s="82"/>
      <c r="C42" s="82"/>
      <c r="D42" s="83"/>
      <c r="E42" s="86"/>
      <c r="F42" s="85"/>
      <c r="G42" s="80"/>
      <c r="H42" s="80"/>
      <c r="I42" s="80"/>
      <c r="J42" s="80"/>
      <c r="K42" s="80"/>
      <c r="L42" s="80"/>
      <c r="M42" s="80"/>
      <c r="N42" s="80"/>
      <c r="O42" s="80"/>
      <c r="P42" s="80"/>
      <c r="Q42" s="80"/>
      <c r="R42" s="80"/>
      <c r="S42" s="80"/>
      <c r="T42" s="80"/>
      <c r="U42" s="80"/>
      <c r="V42" s="80"/>
      <c r="W42" s="80"/>
      <c r="X42" s="80"/>
      <c r="Y42" s="80"/>
      <c r="Z42" s="80"/>
      <c r="AA42" s="80"/>
      <c r="AB42" s="80"/>
    </row>
    <row r="43" spans="1:28" ht="15.75" customHeight="1">
      <c r="A43" s="83"/>
      <c r="B43" s="82"/>
      <c r="C43" s="82"/>
      <c r="D43" s="83"/>
      <c r="E43" s="86"/>
      <c r="F43" s="85"/>
      <c r="G43" s="80"/>
      <c r="H43" s="80"/>
      <c r="I43" s="80"/>
      <c r="J43" s="80"/>
      <c r="K43" s="80"/>
      <c r="L43" s="80"/>
      <c r="M43" s="80"/>
      <c r="N43" s="80"/>
      <c r="O43" s="80"/>
      <c r="P43" s="80"/>
      <c r="Q43" s="80"/>
      <c r="R43" s="80"/>
      <c r="S43" s="80"/>
      <c r="T43" s="80"/>
      <c r="U43" s="80"/>
      <c r="V43" s="80"/>
      <c r="W43" s="80"/>
      <c r="X43" s="80"/>
      <c r="Y43" s="80"/>
      <c r="Z43" s="80"/>
      <c r="AA43" s="80"/>
      <c r="AB43" s="80"/>
    </row>
    <row r="44" spans="1:28" ht="15.75" customHeight="1">
      <c r="A44" s="83"/>
      <c r="B44" s="82"/>
      <c r="C44" s="82"/>
      <c r="D44" s="83"/>
      <c r="E44" s="86"/>
      <c r="F44" s="85"/>
      <c r="G44" s="80"/>
      <c r="H44" s="80"/>
      <c r="I44" s="80"/>
      <c r="J44" s="80"/>
      <c r="K44" s="80"/>
      <c r="L44" s="80"/>
      <c r="M44" s="80"/>
      <c r="N44" s="80"/>
      <c r="O44" s="80"/>
      <c r="P44" s="80"/>
      <c r="Q44" s="80"/>
      <c r="R44" s="80"/>
      <c r="S44" s="80"/>
      <c r="T44" s="80"/>
      <c r="U44" s="80"/>
      <c r="V44" s="80"/>
      <c r="W44" s="80"/>
      <c r="X44" s="80"/>
      <c r="Y44" s="80"/>
      <c r="Z44" s="80"/>
      <c r="AA44" s="80"/>
      <c r="AB44" s="80"/>
    </row>
    <row r="45" spans="1:28" ht="15.75" customHeight="1">
      <c r="A45" s="83"/>
      <c r="B45" s="82"/>
      <c r="C45" s="82"/>
      <c r="D45" s="83"/>
      <c r="E45" s="86"/>
      <c r="F45" s="85"/>
      <c r="G45" s="80"/>
      <c r="H45" s="80"/>
      <c r="I45" s="80"/>
      <c r="J45" s="80"/>
      <c r="K45" s="80"/>
      <c r="L45" s="80"/>
      <c r="M45" s="80"/>
      <c r="N45" s="80"/>
      <c r="O45" s="80"/>
      <c r="P45" s="80"/>
      <c r="Q45" s="80"/>
      <c r="R45" s="80"/>
      <c r="S45" s="80"/>
      <c r="T45" s="80"/>
      <c r="U45" s="80"/>
      <c r="V45" s="80"/>
      <c r="W45" s="80"/>
      <c r="X45" s="80"/>
      <c r="Y45" s="80"/>
      <c r="Z45" s="80"/>
      <c r="AA45" s="80"/>
      <c r="AB45" s="80"/>
    </row>
    <row r="46" spans="1:28" ht="15.75" customHeight="1">
      <c r="A46" s="83"/>
      <c r="B46" s="82"/>
      <c r="C46" s="82"/>
      <c r="D46" s="83"/>
      <c r="E46" s="86"/>
      <c r="F46" s="85"/>
      <c r="G46" s="80"/>
      <c r="H46" s="80"/>
      <c r="I46" s="80"/>
      <c r="J46" s="80"/>
      <c r="K46" s="80"/>
      <c r="L46" s="80"/>
      <c r="M46" s="80"/>
      <c r="N46" s="80"/>
      <c r="O46" s="80"/>
      <c r="P46" s="80"/>
      <c r="Q46" s="80"/>
      <c r="R46" s="80"/>
      <c r="S46" s="80"/>
      <c r="T46" s="80"/>
      <c r="U46" s="80"/>
      <c r="V46" s="80"/>
      <c r="W46" s="80"/>
      <c r="X46" s="80"/>
      <c r="Y46" s="80"/>
      <c r="Z46" s="80"/>
      <c r="AA46" s="80"/>
      <c r="AB46" s="80"/>
    </row>
    <row r="47" spans="1:28" ht="15.75" customHeight="1">
      <c r="A47" s="83"/>
      <c r="B47" s="82"/>
      <c r="C47" s="82"/>
      <c r="D47" s="83"/>
      <c r="E47" s="86"/>
      <c r="F47" s="85"/>
      <c r="G47" s="80"/>
      <c r="H47" s="80"/>
      <c r="I47" s="80"/>
      <c r="J47" s="80"/>
      <c r="K47" s="80"/>
      <c r="L47" s="80"/>
      <c r="M47" s="80"/>
      <c r="N47" s="80"/>
      <c r="O47" s="80"/>
      <c r="P47" s="80"/>
      <c r="Q47" s="80"/>
      <c r="R47" s="80"/>
      <c r="S47" s="80"/>
      <c r="T47" s="80"/>
      <c r="U47" s="80"/>
      <c r="V47" s="80"/>
      <c r="W47" s="80"/>
      <c r="X47" s="80"/>
      <c r="Y47" s="80"/>
      <c r="Z47" s="80"/>
      <c r="AA47" s="80"/>
      <c r="AB47" s="80"/>
    </row>
    <row r="48" spans="1:28" ht="15.75" customHeight="1">
      <c r="A48" s="83"/>
      <c r="B48" s="82"/>
      <c r="C48" s="82"/>
      <c r="D48" s="83"/>
      <c r="E48" s="86"/>
      <c r="F48" s="85"/>
      <c r="G48" s="80"/>
      <c r="H48" s="80"/>
      <c r="I48" s="80"/>
      <c r="J48" s="80"/>
      <c r="K48" s="80"/>
      <c r="L48" s="80"/>
      <c r="M48" s="80"/>
      <c r="N48" s="80"/>
      <c r="O48" s="80"/>
      <c r="P48" s="80"/>
      <c r="Q48" s="80"/>
      <c r="R48" s="80"/>
      <c r="S48" s="80"/>
      <c r="T48" s="80"/>
      <c r="U48" s="80"/>
      <c r="V48" s="80"/>
      <c r="W48" s="80"/>
      <c r="X48" s="80"/>
      <c r="Y48" s="80"/>
      <c r="Z48" s="80"/>
      <c r="AA48" s="80"/>
      <c r="AB48" s="80"/>
    </row>
    <row r="49" spans="1:28" ht="15.75" customHeight="1">
      <c r="A49" s="83"/>
      <c r="B49" s="82"/>
      <c r="C49" s="82"/>
      <c r="D49" s="83"/>
      <c r="E49" s="86"/>
      <c r="F49" s="85"/>
      <c r="G49" s="80"/>
      <c r="H49" s="80"/>
      <c r="I49" s="80"/>
      <c r="J49" s="80"/>
      <c r="K49" s="80"/>
      <c r="L49" s="80"/>
      <c r="M49" s="80"/>
      <c r="N49" s="80"/>
      <c r="O49" s="80"/>
      <c r="P49" s="80"/>
      <c r="Q49" s="80"/>
      <c r="R49" s="80"/>
      <c r="S49" s="80"/>
      <c r="T49" s="80"/>
      <c r="U49" s="80"/>
      <c r="V49" s="80"/>
      <c r="W49" s="80"/>
      <c r="X49" s="80"/>
      <c r="Y49" s="80"/>
      <c r="Z49" s="80"/>
      <c r="AA49" s="80"/>
      <c r="AB49" s="80"/>
    </row>
    <row r="50" spans="1:28" ht="15.75" customHeight="1">
      <c r="A50" s="83"/>
      <c r="B50" s="82"/>
      <c r="C50" s="82"/>
      <c r="D50" s="83"/>
      <c r="E50" s="86"/>
      <c r="F50" s="85"/>
      <c r="G50" s="80"/>
      <c r="H50" s="80"/>
      <c r="I50" s="80"/>
      <c r="J50" s="80"/>
      <c r="K50" s="80"/>
      <c r="L50" s="80"/>
      <c r="M50" s="80"/>
      <c r="N50" s="80"/>
      <c r="O50" s="80"/>
      <c r="P50" s="80"/>
      <c r="Q50" s="80"/>
      <c r="R50" s="80"/>
      <c r="S50" s="80"/>
      <c r="T50" s="80"/>
      <c r="U50" s="80"/>
      <c r="V50" s="80"/>
      <c r="W50" s="80"/>
      <c r="X50" s="80"/>
      <c r="Y50" s="80"/>
      <c r="Z50" s="80"/>
      <c r="AA50" s="80"/>
      <c r="AB50" s="80"/>
    </row>
    <row r="51" spans="1:28" ht="15.75" customHeight="1">
      <c r="A51" s="83"/>
      <c r="B51" s="82"/>
      <c r="C51" s="82"/>
      <c r="D51" s="83"/>
      <c r="E51" s="86"/>
      <c r="F51" s="85"/>
      <c r="G51" s="80"/>
      <c r="H51" s="80"/>
      <c r="I51" s="80"/>
      <c r="J51" s="80"/>
      <c r="K51" s="80"/>
      <c r="L51" s="80"/>
      <c r="M51" s="80"/>
      <c r="N51" s="80"/>
      <c r="O51" s="80"/>
      <c r="P51" s="80"/>
      <c r="Q51" s="80"/>
      <c r="R51" s="80"/>
      <c r="S51" s="80"/>
      <c r="T51" s="80"/>
      <c r="U51" s="80"/>
      <c r="V51" s="80"/>
      <c r="W51" s="80"/>
      <c r="X51" s="80"/>
      <c r="Y51" s="80"/>
      <c r="Z51" s="80"/>
      <c r="AA51" s="80"/>
      <c r="AB51" s="80"/>
    </row>
    <row r="52" spans="1:28" ht="15.75" customHeight="1">
      <c r="A52" s="83"/>
      <c r="B52" s="82"/>
      <c r="C52" s="82"/>
      <c r="D52" s="83"/>
      <c r="E52" s="86"/>
      <c r="F52" s="85"/>
      <c r="G52" s="80"/>
      <c r="H52" s="80"/>
      <c r="I52" s="80"/>
      <c r="J52" s="80"/>
      <c r="K52" s="80"/>
      <c r="L52" s="80"/>
      <c r="M52" s="80"/>
      <c r="N52" s="80"/>
      <c r="O52" s="80"/>
      <c r="P52" s="80"/>
      <c r="Q52" s="80"/>
      <c r="R52" s="80"/>
      <c r="S52" s="80"/>
      <c r="T52" s="80"/>
      <c r="U52" s="80"/>
      <c r="V52" s="80"/>
      <c r="W52" s="80"/>
      <c r="X52" s="80"/>
      <c r="Y52" s="80"/>
      <c r="Z52" s="80"/>
      <c r="AA52" s="80"/>
      <c r="AB52" s="80"/>
    </row>
    <row r="53" spans="1:28" ht="15.75" customHeight="1">
      <c r="A53" s="83"/>
      <c r="B53" s="82"/>
      <c r="C53" s="82"/>
      <c r="D53" s="83"/>
      <c r="E53" s="86"/>
      <c r="F53" s="85"/>
      <c r="G53" s="80"/>
      <c r="H53" s="80"/>
      <c r="I53" s="80"/>
      <c r="J53" s="80"/>
      <c r="K53" s="80"/>
      <c r="L53" s="80"/>
      <c r="M53" s="80"/>
      <c r="N53" s="80"/>
      <c r="O53" s="80"/>
      <c r="P53" s="80"/>
      <c r="Q53" s="80"/>
      <c r="R53" s="80"/>
      <c r="S53" s="80"/>
      <c r="T53" s="80"/>
      <c r="U53" s="80"/>
      <c r="V53" s="80"/>
      <c r="W53" s="80"/>
      <c r="X53" s="80"/>
      <c r="Y53" s="80"/>
      <c r="Z53" s="80"/>
      <c r="AA53" s="80"/>
      <c r="AB53" s="80"/>
    </row>
    <row r="54" spans="1:28" ht="15.75" customHeight="1">
      <c r="A54" s="83"/>
      <c r="B54" s="82"/>
      <c r="C54" s="82"/>
      <c r="D54" s="83"/>
      <c r="E54" s="86"/>
      <c r="F54" s="85"/>
      <c r="G54" s="80"/>
      <c r="H54" s="80"/>
      <c r="I54" s="80"/>
      <c r="J54" s="80"/>
      <c r="K54" s="80"/>
      <c r="L54" s="80"/>
      <c r="M54" s="80"/>
      <c r="N54" s="80"/>
      <c r="O54" s="80"/>
      <c r="P54" s="80"/>
      <c r="Q54" s="80"/>
      <c r="R54" s="80"/>
      <c r="S54" s="80"/>
      <c r="T54" s="80"/>
      <c r="U54" s="80"/>
      <c r="V54" s="80"/>
      <c r="W54" s="80"/>
      <c r="X54" s="80"/>
      <c r="Y54" s="80"/>
      <c r="Z54" s="80"/>
      <c r="AA54" s="80"/>
      <c r="AB54" s="80"/>
    </row>
    <row r="55" spans="1:28" ht="15.75" customHeight="1">
      <c r="A55" s="83"/>
      <c r="B55" s="82"/>
      <c r="C55" s="82"/>
      <c r="D55" s="83"/>
      <c r="E55" s="86"/>
      <c r="F55" s="85"/>
      <c r="G55" s="80"/>
      <c r="H55" s="80"/>
      <c r="I55" s="80"/>
      <c r="J55" s="80"/>
      <c r="K55" s="80"/>
      <c r="L55" s="80"/>
      <c r="M55" s="80"/>
      <c r="N55" s="80"/>
      <c r="O55" s="80"/>
      <c r="P55" s="80"/>
      <c r="Q55" s="80"/>
      <c r="R55" s="80"/>
      <c r="S55" s="80"/>
      <c r="T55" s="80"/>
      <c r="U55" s="80"/>
      <c r="V55" s="80"/>
      <c r="W55" s="80"/>
      <c r="X55" s="80"/>
      <c r="Y55" s="80"/>
      <c r="Z55" s="80"/>
      <c r="AA55" s="80"/>
      <c r="AB55" s="80"/>
    </row>
    <row r="56" spans="1:28" ht="15.75" customHeight="1">
      <c r="A56" s="83"/>
      <c r="B56" s="82"/>
      <c r="C56" s="82"/>
      <c r="D56" s="83"/>
      <c r="E56" s="86"/>
      <c r="F56" s="85"/>
      <c r="G56" s="80"/>
      <c r="H56" s="80"/>
      <c r="I56" s="80"/>
      <c r="J56" s="80"/>
      <c r="K56" s="80"/>
      <c r="L56" s="80"/>
      <c r="M56" s="80"/>
      <c r="N56" s="80"/>
      <c r="O56" s="80"/>
      <c r="P56" s="80"/>
      <c r="Q56" s="80"/>
      <c r="R56" s="80"/>
      <c r="S56" s="80"/>
      <c r="T56" s="80"/>
      <c r="U56" s="80"/>
      <c r="V56" s="80"/>
      <c r="W56" s="80"/>
      <c r="X56" s="80"/>
      <c r="Y56" s="80"/>
      <c r="Z56" s="80"/>
      <c r="AA56" s="80"/>
      <c r="AB56" s="80"/>
    </row>
    <row r="57" spans="1:28" ht="15.75" customHeight="1">
      <c r="A57" s="83"/>
      <c r="B57" s="82"/>
      <c r="C57" s="82"/>
      <c r="D57" s="83"/>
      <c r="E57" s="86"/>
      <c r="F57" s="85"/>
      <c r="G57" s="80"/>
      <c r="H57" s="80"/>
      <c r="I57" s="80"/>
      <c r="J57" s="80"/>
      <c r="K57" s="80"/>
      <c r="L57" s="80"/>
      <c r="M57" s="80"/>
      <c r="N57" s="80"/>
      <c r="O57" s="80"/>
      <c r="P57" s="80"/>
      <c r="Q57" s="80"/>
      <c r="R57" s="80"/>
      <c r="S57" s="80"/>
      <c r="T57" s="80"/>
      <c r="U57" s="80"/>
      <c r="V57" s="80"/>
      <c r="W57" s="80"/>
      <c r="X57" s="80"/>
      <c r="Y57" s="80"/>
      <c r="Z57" s="80"/>
      <c r="AA57" s="80"/>
      <c r="AB57" s="80"/>
    </row>
    <row r="58" spans="1:28" ht="15.75" customHeight="1">
      <c r="A58" s="83"/>
      <c r="B58" s="82"/>
      <c r="C58" s="82"/>
      <c r="D58" s="83"/>
      <c r="E58" s="86"/>
      <c r="F58" s="85"/>
      <c r="G58" s="80"/>
      <c r="H58" s="80"/>
      <c r="I58" s="80"/>
      <c r="J58" s="80"/>
      <c r="K58" s="80"/>
      <c r="L58" s="80"/>
      <c r="M58" s="80"/>
      <c r="N58" s="80"/>
      <c r="O58" s="80"/>
      <c r="P58" s="80"/>
      <c r="Q58" s="80"/>
      <c r="R58" s="80"/>
      <c r="S58" s="80"/>
      <c r="T58" s="80"/>
      <c r="U58" s="80"/>
      <c r="V58" s="80"/>
      <c r="W58" s="80"/>
      <c r="X58" s="80"/>
      <c r="Y58" s="80"/>
      <c r="Z58" s="80"/>
      <c r="AA58" s="80"/>
      <c r="AB58" s="80"/>
    </row>
    <row r="59" spans="1:28" ht="15.75" customHeight="1">
      <c r="A59" s="83"/>
      <c r="B59" s="82"/>
      <c r="C59" s="82"/>
      <c r="D59" s="83"/>
      <c r="E59" s="86"/>
      <c r="F59" s="85"/>
      <c r="G59" s="80"/>
      <c r="H59" s="80"/>
      <c r="I59" s="80"/>
      <c r="J59" s="80"/>
      <c r="K59" s="80"/>
      <c r="L59" s="80"/>
      <c r="M59" s="80"/>
      <c r="N59" s="80"/>
      <c r="O59" s="80"/>
      <c r="P59" s="80"/>
      <c r="Q59" s="80"/>
      <c r="R59" s="80"/>
      <c r="S59" s="80"/>
      <c r="T59" s="80"/>
      <c r="U59" s="80"/>
      <c r="V59" s="80"/>
      <c r="W59" s="80"/>
      <c r="X59" s="80"/>
      <c r="Y59" s="80"/>
      <c r="Z59" s="80"/>
      <c r="AA59" s="80"/>
      <c r="AB59" s="80"/>
    </row>
    <row r="60" spans="1:28" ht="15.75" customHeight="1">
      <c r="A60" s="83"/>
      <c r="B60" s="82"/>
      <c r="C60" s="82"/>
      <c r="D60" s="83"/>
      <c r="E60" s="86"/>
      <c r="F60" s="85"/>
      <c r="G60" s="80"/>
      <c r="H60" s="80"/>
      <c r="I60" s="80"/>
      <c r="J60" s="80"/>
      <c r="K60" s="80"/>
      <c r="L60" s="80"/>
      <c r="M60" s="80"/>
      <c r="N60" s="80"/>
      <c r="O60" s="80"/>
      <c r="P60" s="80"/>
      <c r="Q60" s="80"/>
      <c r="R60" s="80"/>
      <c r="S60" s="80"/>
      <c r="T60" s="80"/>
      <c r="U60" s="80"/>
      <c r="V60" s="80"/>
      <c r="W60" s="80"/>
      <c r="X60" s="80"/>
      <c r="Y60" s="80"/>
      <c r="Z60" s="80"/>
      <c r="AA60" s="80"/>
      <c r="AB60" s="80"/>
    </row>
    <row r="61" spans="1:28" ht="15.75" customHeight="1">
      <c r="A61" s="83"/>
      <c r="B61" s="82"/>
      <c r="C61" s="82"/>
      <c r="D61" s="83"/>
      <c r="E61" s="86"/>
      <c r="F61" s="85"/>
      <c r="G61" s="80"/>
      <c r="H61" s="80"/>
      <c r="I61" s="80"/>
      <c r="J61" s="80"/>
      <c r="K61" s="80"/>
      <c r="L61" s="80"/>
      <c r="M61" s="80"/>
      <c r="N61" s="80"/>
      <c r="O61" s="80"/>
      <c r="P61" s="80"/>
      <c r="Q61" s="80"/>
      <c r="R61" s="80"/>
      <c r="S61" s="80"/>
      <c r="T61" s="80"/>
      <c r="U61" s="80"/>
      <c r="V61" s="80"/>
      <c r="W61" s="80"/>
      <c r="X61" s="80"/>
      <c r="Y61" s="80"/>
      <c r="Z61" s="80"/>
      <c r="AA61" s="80"/>
      <c r="AB61" s="80"/>
    </row>
    <row r="62" spans="1:28" ht="15.75" customHeight="1">
      <c r="A62" s="83"/>
      <c r="B62" s="82"/>
      <c r="C62" s="82"/>
      <c r="D62" s="83"/>
      <c r="E62" s="86"/>
      <c r="F62" s="85"/>
      <c r="G62" s="80"/>
      <c r="H62" s="80"/>
      <c r="I62" s="80"/>
      <c r="J62" s="80"/>
      <c r="K62" s="80"/>
      <c r="L62" s="80"/>
      <c r="M62" s="80"/>
      <c r="N62" s="80"/>
      <c r="O62" s="80"/>
      <c r="P62" s="80"/>
      <c r="Q62" s="80"/>
      <c r="R62" s="80"/>
      <c r="S62" s="80"/>
      <c r="T62" s="80"/>
      <c r="U62" s="80"/>
      <c r="V62" s="80"/>
      <c r="W62" s="80"/>
      <c r="X62" s="80"/>
      <c r="Y62" s="80"/>
      <c r="Z62" s="80"/>
      <c r="AA62" s="80"/>
      <c r="AB62" s="80"/>
    </row>
    <row r="63" spans="1:28" ht="15.75" customHeight="1">
      <c r="A63" s="83"/>
      <c r="B63" s="82"/>
      <c r="C63" s="82"/>
      <c r="D63" s="83"/>
      <c r="E63" s="86"/>
      <c r="F63" s="85"/>
      <c r="G63" s="80"/>
      <c r="H63" s="80"/>
      <c r="I63" s="80"/>
      <c r="J63" s="80"/>
      <c r="K63" s="80"/>
      <c r="L63" s="80"/>
      <c r="M63" s="80"/>
      <c r="N63" s="80"/>
      <c r="O63" s="80"/>
      <c r="P63" s="80"/>
      <c r="Q63" s="80"/>
      <c r="R63" s="80"/>
      <c r="S63" s="80"/>
      <c r="T63" s="80"/>
      <c r="U63" s="80"/>
      <c r="V63" s="80"/>
      <c r="W63" s="80"/>
      <c r="X63" s="80"/>
      <c r="Y63" s="80"/>
      <c r="Z63" s="80"/>
      <c r="AA63" s="80"/>
      <c r="AB63" s="80"/>
    </row>
    <row r="64" spans="1:28" ht="15.75" customHeight="1">
      <c r="A64" s="83"/>
      <c r="B64" s="82"/>
      <c r="C64" s="82"/>
      <c r="D64" s="83"/>
      <c r="E64" s="86"/>
      <c r="F64" s="85"/>
      <c r="G64" s="80"/>
      <c r="H64" s="80"/>
      <c r="I64" s="80"/>
      <c r="J64" s="80"/>
      <c r="K64" s="80"/>
      <c r="L64" s="80"/>
      <c r="M64" s="80"/>
      <c r="N64" s="80"/>
      <c r="O64" s="80"/>
      <c r="P64" s="80"/>
      <c r="Q64" s="80"/>
      <c r="R64" s="80"/>
      <c r="S64" s="80"/>
      <c r="T64" s="80"/>
      <c r="U64" s="80"/>
      <c r="V64" s="80"/>
      <c r="W64" s="80"/>
      <c r="X64" s="80"/>
      <c r="Y64" s="80"/>
      <c r="Z64" s="80"/>
      <c r="AA64" s="80"/>
      <c r="AB64" s="80"/>
    </row>
    <row r="65" spans="1:28" ht="15.75" customHeight="1">
      <c r="A65" s="83"/>
      <c r="B65" s="82"/>
      <c r="C65" s="82"/>
      <c r="D65" s="83"/>
      <c r="E65" s="86"/>
      <c r="F65" s="85"/>
      <c r="G65" s="80"/>
      <c r="H65" s="80"/>
      <c r="I65" s="80"/>
      <c r="J65" s="80"/>
      <c r="K65" s="80"/>
      <c r="L65" s="80"/>
      <c r="M65" s="80"/>
      <c r="N65" s="80"/>
      <c r="O65" s="80"/>
      <c r="P65" s="80"/>
      <c r="Q65" s="80"/>
      <c r="R65" s="80"/>
      <c r="S65" s="80"/>
      <c r="T65" s="80"/>
      <c r="U65" s="80"/>
      <c r="V65" s="80"/>
      <c r="W65" s="80"/>
      <c r="X65" s="80"/>
      <c r="Y65" s="80"/>
      <c r="Z65" s="80"/>
      <c r="AA65" s="80"/>
      <c r="AB65" s="80"/>
    </row>
    <row r="66" spans="1:28" ht="15.75" customHeight="1">
      <c r="A66" s="83"/>
      <c r="B66" s="82"/>
      <c r="C66" s="82"/>
      <c r="D66" s="83"/>
      <c r="E66" s="86"/>
      <c r="F66" s="85"/>
      <c r="G66" s="80"/>
      <c r="H66" s="80"/>
      <c r="I66" s="80"/>
      <c r="J66" s="80"/>
      <c r="K66" s="80"/>
      <c r="L66" s="80"/>
      <c r="M66" s="80"/>
      <c r="N66" s="80"/>
      <c r="O66" s="80"/>
      <c r="P66" s="80"/>
      <c r="Q66" s="80"/>
      <c r="R66" s="80"/>
      <c r="S66" s="80"/>
      <c r="T66" s="80"/>
      <c r="U66" s="80"/>
      <c r="V66" s="80"/>
      <c r="W66" s="80"/>
      <c r="X66" s="80"/>
      <c r="Y66" s="80"/>
      <c r="Z66" s="80"/>
      <c r="AA66" s="80"/>
      <c r="AB66" s="80"/>
    </row>
    <row r="67" spans="1:28" ht="15.75" customHeight="1">
      <c r="A67" s="83"/>
      <c r="B67" s="82"/>
      <c r="C67" s="82"/>
      <c r="D67" s="83"/>
      <c r="E67" s="86"/>
      <c r="F67" s="85"/>
      <c r="G67" s="80"/>
      <c r="H67" s="80"/>
      <c r="I67" s="80"/>
      <c r="J67" s="80"/>
      <c r="K67" s="80"/>
      <c r="L67" s="80"/>
      <c r="M67" s="80"/>
      <c r="N67" s="80"/>
      <c r="O67" s="80"/>
      <c r="P67" s="80"/>
      <c r="Q67" s="80"/>
      <c r="R67" s="80"/>
      <c r="S67" s="80"/>
      <c r="T67" s="80"/>
      <c r="U67" s="80"/>
      <c r="V67" s="80"/>
      <c r="W67" s="80"/>
      <c r="X67" s="80"/>
      <c r="Y67" s="80"/>
      <c r="Z67" s="80"/>
      <c r="AA67" s="80"/>
      <c r="AB67" s="80"/>
    </row>
    <row r="68" spans="1:28" ht="15.75" customHeight="1">
      <c r="A68" s="83"/>
      <c r="B68" s="82"/>
      <c r="C68" s="82"/>
      <c r="D68" s="83"/>
      <c r="E68" s="86"/>
      <c r="F68" s="85"/>
      <c r="G68" s="80"/>
      <c r="H68" s="80"/>
      <c r="I68" s="80"/>
      <c r="J68" s="80"/>
      <c r="K68" s="80"/>
      <c r="L68" s="80"/>
      <c r="M68" s="80"/>
      <c r="N68" s="80"/>
      <c r="O68" s="80"/>
      <c r="P68" s="80"/>
      <c r="Q68" s="80"/>
      <c r="R68" s="80"/>
      <c r="S68" s="80"/>
      <c r="T68" s="80"/>
      <c r="U68" s="80"/>
      <c r="V68" s="80"/>
      <c r="W68" s="80"/>
      <c r="X68" s="80"/>
      <c r="Y68" s="80"/>
      <c r="Z68" s="80"/>
      <c r="AA68" s="80"/>
      <c r="AB68" s="80"/>
    </row>
    <row r="69" spans="1:28" ht="15.75" customHeight="1">
      <c r="A69" s="83"/>
      <c r="B69" s="82"/>
      <c r="C69" s="82"/>
      <c r="D69" s="83"/>
      <c r="E69" s="86"/>
      <c r="F69" s="85"/>
      <c r="G69" s="80"/>
      <c r="H69" s="80"/>
      <c r="I69" s="80"/>
      <c r="J69" s="80"/>
      <c r="K69" s="80"/>
      <c r="L69" s="80"/>
      <c r="M69" s="80"/>
      <c r="N69" s="80"/>
      <c r="O69" s="80"/>
      <c r="P69" s="80"/>
      <c r="Q69" s="80"/>
      <c r="R69" s="80"/>
      <c r="S69" s="80"/>
      <c r="T69" s="80"/>
      <c r="U69" s="80"/>
      <c r="V69" s="80"/>
      <c r="W69" s="80"/>
      <c r="X69" s="80"/>
      <c r="Y69" s="80"/>
      <c r="Z69" s="80"/>
      <c r="AA69" s="80"/>
      <c r="AB69" s="80"/>
    </row>
    <row r="70" spans="1:28" ht="15.75" customHeight="1">
      <c r="A70" s="83"/>
      <c r="B70" s="82"/>
      <c r="C70" s="82"/>
      <c r="D70" s="83"/>
      <c r="E70" s="86"/>
      <c r="F70" s="85"/>
      <c r="G70" s="80"/>
      <c r="H70" s="80"/>
      <c r="I70" s="80"/>
      <c r="J70" s="80"/>
      <c r="K70" s="80"/>
      <c r="L70" s="80"/>
      <c r="M70" s="80"/>
      <c r="N70" s="80"/>
      <c r="O70" s="80"/>
      <c r="P70" s="80"/>
      <c r="Q70" s="80"/>
      <c r="R70" s="80"/>
      <c r="S70" s="80"/>
      <c r="T70" s="80"/>
      <c r="U70" s="80"/>
      <c r="V70" s="80"/>
      <c r="W70" s="80"/>
      <c r="X70" s="80"/>
      <c r="Y70" s="80"/>
      <c r="Z70" s="80"/>
      <c r="AA70" s="80"/>
      <c r="AB70" s="80"/>
    </row>
    <row r="71" spans="1:28" ht="15.75" customHeight="1">
      <c r="A71" s="83"/>
      <c r="B71" s="82"/>
      <c r="C71" s="82"/>
      <c r="D71" s="83"/>
      <c r="E71" s="86"/>
      <c r="F71" s="85"/>
      <c r="G71" s="80"/>
      <c r="H71" s="80"/>
      <c r="I71" s="80"/>
      <c r="J71" s="80"/>
      <c r="K71" s="80"/>
      <c r="L71" s="80"/>
      <c r="M71" s="80"/>
      <c r="N71" s="80"/>
      <c r="O71" s="80"/>
      <c r="P71" s="80"/>
      <c r="Q71" s="80"/>
      <c r="R71" s="80"/>
      <c r="S71" s="80"/>
      <c r="T71" s="80"/>
      <c r="U71" s="80"/>
      <c r="V71" s="80"/>
      <c r="W71" s="80"/>
      <c r="X71" s="80"/>
      <c r="Y71" s="80"/>
      <c r="Z71" s="80"/>
      <c r="AA71" s="80"/>
      <c r="AB71" s="80"/>
    </row>
    <row r="72" spans="1:28" ht="15.75" customHeight="1">
      <c r="A72" s="83"/>
      <c r="B72" s="82"/>
      <c r="C72" s="82"/>
      <c r="D72" s="83"/>
      <c r="E72" s="86"/>
      <c r="F72" s="85"/>
      <c r="G72" s="80"/>
      <c r="H72" s="80"/>
      <c r="I72" s="80"/>
      <c r="J72" s="80"/>
      <c r="K72" s="80"/>
      <c r="L72" s="80"/>
      <c r="M72" s="80"/>
      <c r="N72" s="80"/>
      <c r="O72" s="80"/>
      <c r="P72" s="80"/>
      <c r="Q72" s="80"/>
      <c r="R72" s="80"/>
      <c r="S72" s="80"/>
      <c r="T72" s="80"/>
      <c r="U72" s="80"/>
      <c r="V72" s="80"/>
      <c r="W72" s="80"/>
      <c r="X72" s="80"/>
      <c r="Y72" s="80"/>
      <c r="Z72" s="80"/>
      <c r="AA72" s="80"/>
      <c r="AB72" s="80"/>
    </row>
    <row r="73" spans="1:28" ht="15.75" customHeight="1">
      <c r="A73" s="83"/>
      <c r="B73" s="82"/>
      <c r="C73" s="82"/>
      <c r="D73" s="83"/>
      <c r="E73" s="86"/>
      <c r="F73" s="85"/>
      <c r="G73" s="80"/>
      <c r="H73" s="80"/>
      <c r="I73" s="80"/>
      <c r="J73" s="80"/>
      <c r="K73" s="80"/>
      <c r="L73" s="80"/>
      <c r="M73" s="80"/>
      <c r="N73" s="80"/>
      <c r="O73" s="80"/>
      <c r="P73" s="80"/>
      <c r="Q73" s="80"/>
      <c r="R73" s="80"/>
      <c r="S73" s="80"/>
      <c r="T73" s="80"/>
      <c r="U73" s="80"/>
      <c r="V73" s="80"/>
      <c r="W73" s="80"/>
      <c r="X73" s="80"/>
      <c r="Y73" s="80"/>
      <c r="Z73" s="80"/>
      <c r="AA73" s="80"/>
      <c r="AB73" s="80"/>
    </row>
    <row r="74" spans="1:28" ht="15.75" customHeight="1">
      <c r="A74" s="83"/>
      <c r="B74" s="82"/>
      <c r="C74" s="82"/>
      <c r="D74" s="83"/>
      <c r="E74" s="86"/>
      <c r="F74" s="85"/>
      <c r="G74" s="80"/>
      <c r="H74" s="80"/>
      <c r="I74" s="80"/>
      <c r="J74" s="80"/>
      <c r="K74" s="80"/>
      <c r="L74" s="80"/>
      <c r="M74" s="80"/>
      <c r="N74" s="80"/>
      <c r="O74" s="80"/>
      <c r="P74" s="80"/>
      <c r="Q74" s="80"/>
      <c r="R74" s="80"/>
      <c r="S74" s="80"/>
      <c r="T74" s="80"/>
      <c r="U74" s="80"/>
      <c r="V74" s="80"/>
      <c r="W74" s="80"/>
      <c r="X74" s="80"/>
      <c r="Y74" s="80"/>
      <c r="Z74" s="80"/>
      <c r="AA74" s="80"/>
      <c r="AB74" s="80"/>
    </row>
    <row r="75" spans="1:28" ht="15.75" customHeight="1">
      <c r="A75" s="83"/>
      <c r="B75" s="82"/>
      <c r="C75" s="82"/>
      <c r="D75" s="83"/>
      <c r="E75" s="86"/>
      <c r="F75" s="85"/>
      <c r="G75" s="80"/>
      <c r="H75" s="80"/>
      <c r="I75" s="80"/>
      <c r="J75" s="80"/>
      <c r="K75" s="80"/>
      <c r="L75" s="80"/>
      <c r="M75" s="80"/>
      <c r="N75" s="80"/>
      <c r="O75" s="80"/>
      <c r="P75" s="80"/>
      <c r="Q75" s="80"/>
      <c r="R75" s="80"/>
      <c r="S75" s="80"/>
      <c r="T75" s="80"/>
      <c r="U75" s="80"/>
      <c r="V75" s="80"/>
      <c r="W75" s="80"/>
      <c r="X75" s="80"/>
      <c r="Y75" s="80"/>
      <c r="Z75" s="80"/>
      <c r="AA75" s="80"/>
      <c r="AB75" s="80"/>
    </row>
    <row r="76" spans="1:28" ht="15.75" customHeight="1">
      <c r="A76" s="83"/>
      <c r="B76" s="82"/>
      <c r="C76" s="82"/>
      <c r="D76" s="83"/>
      <c r="E76" s="86"/>
      <c r="F76" s="85"/>
      <c r="G76" s="80"/>
      <c r="H76" s="80"/>
      <c r="I76" s="80"/>
      <c r="J76" s="80"/>
      <c r="K76" s="80"/>
      <c r="L76" s="80"/>
      <c r="M76" s="80"/>
      <c r="N76" s="80"/>
      <c r="O76" s="80"/>
      <c r="P76" s="80"/>
      <c r="Q76" s="80"/>
      <c r="R76" s="80"/>
      <c r="S76" s="80"/>
      <c r="T76" s="80"/>
      <c r="U76" s="80"/>
      <c r="V76" s="80"/>
      <c r="W76" s="80"/>
      <c r="X76" s="80"/>
      <c r="Y76" s="80"/>
      <c r="Z76" s="80"/>
      <c r="AA76" s="80"/>
      <c r="AB76" s="80"/>
    </row>
    <row r="77" spans="1:28" ht="15.75" customHeight="1">
      <c r="A77" s="83"/>
      <c r="B77" s="82"/>
      <c r="C77" s="82"/>
      <c r="D77" s="83"/>
      <c r="E77" s="86"/>
      <c r="F77" s="85"/>
      <c r="G77" s="80"/>
      <c r="H77" s="80"/>
      <c r="I77" s="80"/>
      <c r="J77" s="80"/>
      <c r="K77" s="80"/>
      <c r="L77" s="80"/>
      <c r="M77" s="80"/>
      <c r="N77" s="80"/>
      <c r="O77" s="80"/>
      <c r="P77" s="80"/>
      <c r="Q77" s="80"/>
      <c r="R77" s="80"/>
      <c r="S77" s="80"/>
      <c r="T77" s="80"/>
      <c r="U77" s="80"/>
      <c r="V77" s="80"/>
      <c r="W77" s="80"/>
      <c r="X77" s="80"/>
      <c r="Y77" s="80"/>
      <c r="Z77" s="80"/>
      <c r="AA77" s="80"/>
      <c r="AB77" s="80"/>
    </row>
    <row r="78" spans="1:28" ht="15.75" customHeight="1">
      <c r="A78" s="83"/>
      <c r="B78" s="82"/>
      <c r="C78" s="82"/>
      <c r="D78" s="83"/>
      <c r="E78" s="86"/>
      <c r="F78" s="85"/>
      <c r="G78" s="80"/>
      <c r="H78" s="80"/>
      <c r="I78" s="80"/>
      <c r="J78" s="80"/>
      <c r="K78" s="80"/>
      <c r="L78" s="80"/>
      <c r="M78" s="80"/>
      <c r="N78" s="80"/>
      <c r="O78" s="80"/>
      <c r="P78" s="80"/>
      <c r="Q78" s="80"/>
      <c r="R78" s="80"/>
      <c r="S78" s="80"/>
      <c r="T78" s="80"/>
      <c r="U78" s="80"/>
      <c r="V78" s="80"/>
      <c r="W78" s="80"/>
      <c r="X78" s="80"/>
      <c r="Y78" s="80"/>
      <c r="Z78" s="80"/>
      <c r="AA78" s="80"/>
      <c r="AB78" s="80"/>
    </row>
    <row r="79" spans="1:28" ht="15.75" customHeight="1">
      <c r="A79" s="83"/>
      <c r="B79" s="82"/>
      <c r="C79" s="82"/>
      <c r="D79" s="83"/>
      <c r="E79" s="86"/>
      <c r="F79" s="85"/>
      <c r="G79" s="80"/>
      <c r="H79" s="80"/>
      <c r="I79" s="80"/>
      <c r="J79" s="80"/>
      <c r="K79" s="80"/>
      <c r="L79" s="80"/>
      <c r="M79" s="80"/>
      <c r="N79" s="80"/>
      <c r="O79" s="80"/>
      <c r="P79" s="80"/>
      <c r="Q79" s="80"/>
      <c r="R79" s="80"/>
      <c r="S79" s="80"/>
      <c r="T79" s="80"/>
      <c r="U79" s="80"/>
      <c r="V79" s="80"/>
      <c r="W79" s="80"/>
      <c r="X79" s="80"/>
      <c r="Y79" s="80"/>
      <c r="Z79" s="80"/>
      <c r="AA79" s="80"/>
      <c r="AB79" s="80"/>
    </row>
    <row r="80" spans="1:28" ht="15.75" customHeight="1">
      <c r="A80" s="83"/>
      <c r="B80" s="82"/>
      <c r="C80" s="82"/>
      <c r="D80" s="83"/>
      <c r="E80" s="86"/>
      <c r="F80" s="85"/>
      <c r="G80" s="80"/>
      <c r="H80" s="80"/>
      <c r="I80" s="80"/>
      <c r="J80" s="80"/>
      <c r="K80" s="80"/>
      <c r="L80" s="80"/>
      <c r="M80" s="80"/>
      <c r="N80" s="80"/>
      <c r="O80" s="80"/>
      <c r="P80" s="80"/>
      <c r="Q80" s="80"/>
      <c r="R80" s="80"/>
      <c r="S80" s="80"/>
      <c r="T80" s="80"/>
      <c r="U80" s="80"/>
      <c r="V80" s="80"/>
      <c r="W80" s="80"/>
      <c r="X80" s="80"/>
      <c r="Y80" s="80"/>
      <c r="Z80" s="80"/>
      <c r="AA80" s="80"/>
      <c r="AB80" s="80"/>
    </row>
    <row r="81" spans="1:28" ht="15.75" customHeight="1">
      <c r="A81" s="83"/>
      <c r="B81" s="82"/>
      <c r="C81" s="82"/>
      <c r="D81" s="83"/>
      <c r="E81" s="86"/>
      <c r="F81" s="85"/>
      <c r="G81" s="80"/>
      <c r="H81" s="80"/>
      <c r="I81" s="80"/>
      <c r="J81" s="80"/>
      <c r="K81" s="80"/>
      <c r="L81" s="80"/>
      <c r="M81" s="80"/>
      <c r="N81" s="80"/>
      <c r="O81" s="80"/>
      <c r="P81" s="80"/>
      <c r="Q81" s="80"/>
      <c r="R81" s="80"/>
      <c r="S81" s="80"/>
      <c r="T81" s="80"/>
      <c r="U81" s="80"/>
      <c r="V81" s="80"/>
      <c r="W81" s="80"/>
      <c r="X81" s="80"/>
      <c r="Y81" s="80"/>
      <c r="Z81" s="80"/>
      <c r="AA81" s="80"/>
      <c r="AB81" s="80"/>
    </row>
    <row r="82" spans="1:28" ht="15.75" customHeight="1">
      <c r="A82" s="83"/>
      <c r="B82" s="82"/>
      <c r="C82" s="82"/>
      <c r="D82" s="83"/>
      <c r="E82" s="86"/>
      <c r="F82" s="85"/>
      <c r="G82" s="80"/>
      <c r="H82" s="80"/>
      <c r="I82" s="80"/>
      <c r="J82" s="80"/>
      <c r="K82" s="80"/>
      <c r="L82" s="80"/>
      <c r="M82" s="80"/>
      <c r="N82" s="80"/>
      <c r="O82" s="80"/>
      <c r="P82" s="80"/>
      <c r="Q82" s="80"/>
      <c r="R82" s="80"/>
      <c r="S82" s="80"/>
      <c r="T82" s="80"/>
      <c r="U82" s="80"/>
      <c r="V82" s="80"/>
      <c r="W82" s="80"/>
      <c r="X82" s="80"/>
      <c r="Y82" s="80"/>
      <c r="Z82" s="80"/>
      <c r="AA82" s="80"/>
      <c r="AB82" s="80"/>
    </row>
    <row r="83" spans="1:28" ht="15.75" customHeight="1">
      <c r="A83" s="83"/>
      <c r="B83" s="82"/>
      <c r="C83" s="82"/>
      <c r="D83" s="83"/>
      <c r="E83" s="86"/>
      <c r="F83" s="85"/>
      <c r="G83" s="80"/>
      <c r="H83" s="80"/>
      <c r="I83" s="80"/>
      <c r="J83" s="80"/>
      <c r="K83" s="80"/>
      <c r="L83" s="80"/>
      <c r="M83" s="80"/>
      <c r="N83" s="80"/>
      <c r="O83" s="80"/>
      <c r="P83" s="80"/>
      <c r="Q83" s="80"/>
      <c r="R83" s="80"/>
      <c r="S83" s="80"/>
      <c r="T83" s="80"/>
      <c r="U83" s="80"/>
      <c r="V83" s="80"/>
      <c r="W83" s="80"/>
      <c r="X83" s="80"/>
      <c r="Y83" s="80"/>
      <c r="Z83" s="80"/>
      <c r="AA83" s="80"/>
      <c r="AB83" s="80"/>
    </row>
    <row r="84" spans="1:28" ht="15.75" customHeight="1">
      <c r="A84" s="83"/>
      <c r="B84" s="82"/>
      <c r="C84" s="82"/>
      <c r="D84" s="83"/>
      <c r="E84" s="86"/>
      <c r="F84" s="85"/>
      <c r="G84" s="80"/>
      <c r="H84" s="80"/>
      <c r="I84" s="80"/>
      <c r="J84" s="80"/>
      <c r="K84" s="80"/>
      <c r="L84" s="80"/>
      <c r="M84" s="80"/>
      <c r="N84" s="80"/>
      <c r="O84" s="80"/>
      <c r="P84" s="80"/>
      <c r="Q84" s="80"/>
      <c r="R84" s="80"/>
      <c r="S84" s="80"/>
      <c r="T84" s="80"/>
      <c r="U84" s="80"/>
      <c r="V84" s="80"/>
      <c r="W84" s="80"/>
      <c r="X84" s="80"/>
      <c r="Y84" s="80"/>
      <c r="Z84" s="80"/>
      <c r="AA84" s="80"/>
      <c r="AB84" s="80"/>
    </row>
    <row r="85" spans="1:28" ht="15.75" customHeight="1">
      <c r="A85" s="83"/>
      <c r="B85" s="82"/>
      <c r="C85" s="82"/>
      <c r="D85" s="83"/>
      <c r="E85" s="86"/>
      <c r="F85" s="85"/>
      <c r="G85" s="80"/>
      <c r="H85" s="80"/>
      <c r="I85" s="80"/>
      <c r="J85" s="80"/>
      <c r="K85" s="80"/>
      <c r="L85" s="80"/>
      <c r="M85" s="80"/>
      <c r="N85" s="80"/>
      <c r="O85" s="80"/>
      <c r="P85" s="80"/>
      <c r="Q85" s="80"/>
      <c r="R85" s="80"/>
      <c r="S85" s="80"/>
      <c r="T85" s="80"/>
      <c r="U85" s="80"/>
      <c r="V85" s="80"/>
      <c r="W85" s="80"/>
      <c r="X85" s="80"/>
      <c r="Y85" s="80"/>
      <c r="Z85" s="80"/>
      <c r="AA85" s="80"/>
      <c r="AB85" s="80"/>
    </row>
    <row r="86" spans="1:28" ht="15.75" customHeight="1">
      <c r="A86" s="83"/>
      <c r="B86" s="82"/>
      <c r="C86" s="82"/>
      <c r="D86" s="83"/>
      <c r="E86" s="86"/>
      <c r="F86" s="85"/>
      <c r="G86" s="80"/>
      <c r="H86" s="80"/>
      <c r="I86" s="80"/>
      <c r="J86" s="80"/>
      <c r="K86" s="80"/>
      <c r="L86" s="80"/>
      <c r="M86" s="80"/>
      <c r="N86" s="80"/>
      <c r="O86" s="80"/>
      <c r="P86" s="80"/>
      <c r="Q86" s="80"/>
      <c r="R86" s="80"/>
      <c r="S86" s="80"/>
      <c r="T86" s="80"/>
      <c r="U86" s="80"/>
      <c r="V86" s="80"/>
      <c r="W86" s="80"/>
      <c r="X86" s="80"/>
      <c r="Y86" s="80"/>
      <c r="Z86" s="80"/>
      <c r="AA86" s="80"/>
      <c r="AB86" s="80"/>
    </row>
    <row r="87" spans="1:28" ht="15.75" customHeight="1">
      <c r="A87" s="83"/>
      <c r="B87" s="82"/>
      <c r="C87" s="82"/>
      <c r="D87" s="83"/>
      <c r="E87" s="86"/>
      <c r="F87" s="85"/>
      <c r="G87" s="80"/>
      <c r="H87" s="80"/>
      <c r="I87" s="80"/>
      <c r="J87" s="80"/>
      <c r="K87" s="80"/>
      <c r="L87" s="80"/>
      <c r="M87" s="80"/>
      <c r="N87" s="80"/>
      <c r="O87" s="80"/>
      <c r="P87" s="80"/>
      <c r="Q87" s="80"/>
      <c r="R87" s="80"/>
      <c r="S87" s="80"/>
      <c r="T87" s="80"/>
      <c r="U87" s="80"/>
      <c r="V87" s="80"/>
      <c r="W87" s="80"/>
      <c r="X87" s="80"/>
      <c r="Y87" s="80"/>
      <c r="Z87" s="80"/>
      <c r="AA87" s="80"/>
      <c r="AB87" s="80"/>
    </row>
    <row r="88" spans="1:28" ht="15.75" customHeight="1">
      <c r="A88" s="83"/>
      <c r="B88" s="82"/>
      <c r="C88" s="82"/>
      <c r="D88" s="83"/>
      <c r="E88" s="86"/>
      <c r="F88" s="85"/>
      <c r="G88" s="80"/>
      <c r="H88" s="80"/>
      <c r="I88" s="80"/>
      <c r="J88" s="80"/>
      <c r="K88" s="80"/>
      <c r="L88" s="80"/>
      <c r="M88" s="80"/>
      <c r="N88" s="80"/>
      <c r="O88" s="80"/>
      <c r="P88" s="80"/>
      <c r="Q88" s="80"/>
      <c r="R88" s="80"/>
      <c r="S88" s="80"/>
      <c r="T88" s="80"/>
      <c r="U88" s="80"/>
      <c r="V88" s="80"/>
      <c r="W88" s="80"/>
      <c r="X88" s="80"/>
      <c r="Y88" s="80"/>
      <c r="Z88" s="80"/>
      <c r="AA88" s="80"/>
      <c r="AB88" s="80"/>
    </row>
    <row r="89" spans="1:28" ht="15.75" customHeight="1">
      <c r="A89" s="83"/>
      <c r="B89" s="82"/>
      <c r="C89" s="82"/>
      <c r="D89" s="83"/>
      <c r="E89" s="86"/>
      <c r="F89" s="85"/>
      <c r="G89" s="80"/>
      <c r="H89" s="80"/>
      <c r="I89" s="80"/>
      <c r="J89" s="80"/>
      <c r="K89" s="80"/>
      <c r="L89" s="80"/>
      <c r="M89" s="80"/>
      <c r="N89" s="80"/>
      <c r="O89" s="80"/>
      <c r="P89" s="80"/>
      <c r="Q89" s="80"/>
      <c r="R89" s="80"/>
      <c r="S89" s="80"/>
      <c r="T89" s="80"/>
      <c r="U89" s="80"/>
      <c r="V89" s="80"/>
      <c r="W89" s="80"/>
      <c r="X89" s="80"/>
      <c r="Y89" s="80"/>
      <c r="Z89" s="80"/>
      <c r="AA89" s="80"/>
      <c r="AB89" s="80"/>
    </row>
    <row r="90" spans="1:28" ht="15.75" customHeight="1">
      <c r="A90" s="83"/>
      <c r="B90" s="82"/>
      <c r="C90" s="82"/>
      <c r="D90" s="83"/>
      <c r="E90" s="86"/>
      <c r="F90" s="85"/>
      <c r="G90" s="80"/>
      <c r="H90" s="80"/>
      <c r="I90" s="80"/>
      <c r="J90" s="80"/>
      <c r="K90" s="80"/>
      <c r="L90" s="80"/>
      <c r="M90" s="80"/>
      <c r="N90" s="80"/>
      <c r="O90" s="80"/>
      <c r="P90" s="80"/>
      <c r="Q90" s="80"/>
      <c r="R90" s="80"/>
      <c r="S90" s="80"/>
      <c r="T90" s="80"/>
      <c r="U90" s="80"/>
      <c r="V90" s="80"/>
      <c r="W90" s="80"/>
      <c r="X90" s="80"/>
      <c r="Y90" s="80"/>
      <c r="Z90" s="80"/>
      <c r="AA90" s="80"/>
      <c r="AB90" s="80"/>
    </row>
    <row r="91" spans="1:28" ht="15.75" customHeight="1">
      <c r="A91" s="83"/>
      <c r="B91" s="82"/>
      <c r="C91" s="82"/>
      <c r="D91" s="83"/>
      <c r="E91" s="86"/>
      <c r="F91" s="85"/>
      <c r="G91" s="80"/>
      <c r="H91" s="80"/>
      <c r="I91" s="80"/>
      <c r="J91" s="80"/>
      <c r="K91" s="80"/>
      <c r="L91" s="80"/>
      <c r="M91" s="80"/>
      <c r="N91" s="80"/>
      <c r="O91" s="80"/>
      <c r="P91" s="80"/>
      <c r="Q91" s="80"/>
      <c r="R91" s="80"/>
      <c r="S91" s="80"/>
      <c r="T91" s="80"/>
      <c r="U91" s="80"/>
      <c r="V91" s="80"/>
      <c r="W91" s="80"/>
      <c r="X91" s="80"/>
      <c r="Y91" s="80"/>
      <c r="Z91" s="80"/>
      <c r="AA91" s="80"/>
      <c r="AB91" s="80"/>
    </row>
    <row r="92" spans="1:28" ht="15.75" customHeight="1">
      <c r="A92" s="83"/>
      <c r="B92" s="82"/>
      <c r="C92" s="82"/>
      <c r="D92" s="83"/>
      <c r="E92" s="86"/>
      <c r="F92" s="85"/>
      <c r="G92" s="80"/>
      <c r="H92" s="80"/>
      <c r="I92" s="80"/>
      <c r="J92" s="80"/>
      <c r="K92" s="80"/>
      <c r="L92" s="80"/>
      <c r="M92" s="80"/>
      <c r="N92" s="80"/>
      <c r="O92" s="80"/>
      <c r="P92" s="80"/>
      <c r="Q92" s="80"/>
      <c r="R92" s="80"/>
      <c r="S92" s="80"/>
      <c r="T92" s="80"/>
      <c r="U92" s="80"/>
      <c r="V92" s="80"/>
      <c r="W92" s="80"/>
      <c r="X92" s="80"/>
      <c r="Y92" s="80"/>
      <c r="Z92" s="80"/>
      <c r="AA92" s="80"/>
      <c r="AB92" s="80"/>
    </row>
    <row r="93" spans="1:28" ht="15.75" customHeight="1">
      <c r="A93" s="83"/>
      <c r="B93" s="82"/>
      <c r="C93" s="82"/>
      <c r="D93" s="83"/>
      <c r="E93" s="86"/>
      <c r="F93" s="85"/>
      <c r="G93" s="80"/>
      <c r="H93" s="80"/>
      <c r="I93" s="80"/>
      <c r="J93" s="80"/>
      <c r="K93" s="80"/>
      <c r="L93" s="80"/>
      <c r="M93" s="80"/>
      <c r="N93" s="80"/>
      <c r="O93" s="80"/>
      <c r="P93" s="80"/>
      <c r="Q93" s="80"/>
      <c r="R93" s="80"/>
      <c r="S93" s="80"/>
      <c r="T93" s="80"/>
      <c r="U93" s="80"/>
      <c r="V93" s="80"/>
      <c r="W93" s="80"/>
      <c r="X93" s="80"/>
      <c r="Y93" s="80"/>
      <c r="Z93" s="80"/>
      <c r="AA93" s="80"/>
      <c r="AB93" s="80"/>
    </row>
    <row r="94" spans="1:28" ht="15.75" customHeight="1">
      <c r="A94" s="83"/>
      <c r="B94" s="82"/>
      <c r="C94" s="82"/>
      <c r="D94" s="83"/>
      <c r="E94" s="86"/>
      <c r="F94" s="85"/>
      <c r="G94" s="80"/>
      <c r="H94" s="80"/>
      <c r="I94" s="80"/>
      <c r="J94" s="80"/>
      <c r="K94" s="80"/>
      <c r="L94" s="80"/>
      <c r="M94" s="80"/>
      <c r="N94" s="80"/>
      <c r="O94" s="80"/>
      <c r="P94" s="80"/>
      <c r="Q94" s="80"/>
      <c r="R94" s="80"/>
      <c r="S94" s="80"/>
      <c r="T94" s="80"/>
      <c r="U94" s="80"/>
      <c r="V94" s="80"/>
      <c r="W94" s="80"/>
      <c r="X94" s="80"/>
      <c r="Y94" s="80"/>
      <c r="Z94" s="80"/>
      <c r="AA94" s="80"/>
      <c r="AB94" s="80"/>
    </row>
    <row r="95" spans="1:28" ht="15.75" customHeight="1">
      <c r="A95" s="83"/>
      <c r="B95" s="82"/>
      <c r="C95" s="82"/>
      <c r="D95" s="83"/>
      <c r="E95" s="86"/>
      <c r="F95" s="85"/>
      <c r="G95" s="80"/>
      <c r="H95" s="80"/>
      <c r="I95" s="80"/>
      <c r="J95" s="80"/>
      <c r="K95" s="80"/>
      <c r="L95" s="80"/>
      <c r="M95" s="80"/>
      <c r="N95" s="80"/>
      <c r="O95" s="80"/>
      <c r="P95" s="80"/>
      <c r="Q95" s="80"/>
      <c r="R95" s="80"/>
      <c r="S95" s="80"/>
      <c r="T95" s="80"/>
      <c r="U95" s="80"/>
      <c r="V95" s="80"/>
      <c r="W95" s="80"/>
      <c r="X95" s="80"/>
      <c r="Y95" s="80"/>
      <c r="Z95" s="80"/>
      <c r="AA95" s="80"/>
      <c r="AB95" s="80"/>
    </row>
    <row r="96" spans="1:28" ht="15.75" customHeight="1">
      <c r="A96" s="83"/>
      <c r="B96" s="82"/>
      <c r="C96" s="82"/>
      <c r="D96" s="83"/>
      <c r="E96" s="86"/>
      <c r="F96" s="85"/>
      <c r="G96" s="80"/>
      <c r="H96" s="80"/>
      <c r="I96" s="80"/>
      <c r="J96" s="80"/>
      <c r="K96" s="80"/>
      <c r="L96" s="80"/>
      <c r="M96" s="80"/>
      <c r="N96" s="80"/>
      <c r="O96" s="80"/>
      <c r="P96" s="80"/>
      <c r="Q96" s="80"/>
      <c r="R96" s="80"/>
      <c r="S96" s="80"/>
      <c r="T96" s="80"/>
      <c r="U96" s="80"/>
      <c r="V96" s="80"/>
      <c r="W96" s="80"/>
      <c r="X96" s="80"/>
      <c r="Y96" s="80"/>
      <c r="Z96" s="80"/>
      <c r="AA96" s="80"/>
      <c r="AB96" s="80"/>
    </row>
    <row r="97" spans="1:28" ht="15.75" customHeight="1">
      <c r="A97" s="83"/>
      <c r="B97" s="82"/>
      <c r="C97" s="82"/>
      <c r="D97" s="83"/>
      <c r="E97" s="86"/>
      <c r="F97" s="85"/>
      <c r="G97" s="80"/>
      <c r="H97" s="80"/>
      <c r="I97" s="80"/>
      <c r="J97" s="80"/>
      <c r="K97" s="80"/>
      <c r="L97" s="80"/>
      <c r="M97" s="80"/>
      <c r="N97" s="80"/>
      <c r="O97" s="80"/>
      <c r="P97" s="80"/>
      <c r="Q97" s="80"/>
      <c r="R97" s="80"/>
      <c r="S97" s="80"/>
      <c r="T97" s="80"/>
      <c r="U97" s="80"/>
      <c r="V97" s="80"/>
      <c r="W97" s="80"/>
      <c r="X97" s="80"/>
      <c r="Y97" s="80"/>
      <c r="Z97" s="80"/>
      <c r="AA97" s="80"/>
      <c r="AB97" s="80"/>
    </row>
    <row r="98" spans="1:28" ht="15.75" customHeight="1">
      <c r="A98" s="83"/>
      <c r="B98" s="82"/>
      <c r="C98" s="82"/>
      <c r="D98" s="83"/>
      <c r="E98" s="86"/>
      <c r="F98" s="85"/>
      <c r="G98" s="80"/>
      <c r="H98" s="80"/>
      <c r="I98" s="80"/>
      <c r="J98" s="80"/>
      <c r="K98" s="80"/>
      <c r="L98" s="80"/>
      <c r="M98" s="80"/>
      <c r="N98" s="80"/>
      <c r="O98" s="80"/>
      <c r="P98" s="80"/>
      <c r="Q98" s="80"/>
      <c r="R98" s="80"/>
      <c r="S98" s="80"/>
      <c r="T98" s="80"/>
      <c r="U98" s="80"/>
      <c r="V98" s="80"/>
      <c r="W98" s="80"/>
      <c r="X98" s="80"/>
      <c r="Y98" s="80"/>
      <c r="Z98" s="80"/>
      <c r="AA98" s="80"/>
      <c r="AB98" s="80"/>
    </row>
    <row r="99" spans="1:28" ht="15.75" customHeight="1">
      <c r="A99" s="83"/>
      <c r="B99" s="82"/>
      <c r="C99" s="82"/>
      <c r="D99" s="83"/>
      <c r="E99" s="86"/>
      <c r="F99" s="85"/>
      <c r="G99" s="80"/>
      <c r="H99" s="80"/>
      <c r="I99" s="80"/>
      <c r="J99" s="80"/>
      <c r="K99" s="80"/>
      <c r="L99" s="80"/>
      <c r="M99" s="80"/>
      <c r="N99" s="80"/>
      <c r="O99" s="80"/>
      <c r="P99" s="80"/>
      <c r="Q99" s="80"/>
      <c r="R99" s="80"/>
      <c r="S99" s="80"/>
      <c r="T99" s="80"/>
      <c r="U99" s="80"/>
      <c r="V99" s="80"/>
      <c r="W99" s="80"/>
      <c r="X99" s="80"/>
      <c r="Y99" s="80"/>
      <c r="Z99" s="80"/>
      <c r="AA99" s="80"/>
      <c r="AB99" s="80"/>
    </row>
    <row r="100" spans="1:28" ht="15.75" customHeight="1">
      <c r="A100" s="83"/>
      <c r="B100" s="82"/>
      <c r="C100" s="82"/>
      <c r="D100" s="83"/>
      <c r="E100" s="86"/>
      <c r="F100" s="85"/>
      <c r="G100" s="80"/>
      <c r="H100" s="80"/>
      <c r="I100" s="80"/>
      <c r="J100" s="80"/>
      <c r="K100" s="80"/>
      <c r="L100" s="80"/>
      <c r="M100" s="80"/>
      <c r="N100" s="80"/>
      <c r="O100" s="80"/>
      <c r="P100" s="80"/>
      <c r="Q100" s="80"/>
      <c r="R100" s="80"/>
      <c r="S100" s="80"/>
      <c r="T100" s="80"/>
      <c r="U100" s="80"/>
      <c r="V100" s="80"/>
      <c r="W100" s="80"/>
      <c r="X100" s="80"/>
      <c r="Y100" s="80"/>
      <c r="Z100" s="80"/>
      <c r="AA100" s="80"/>
      <c r="AB100" s="80"/>
    </row>
    <row r="101" spans="1:28" ht="15.75" customHeight="1">
      <c r="A101" s="83"/>
      <c r="B101" s="82"/>
      <c r="C101" s="82"/>
      <c r="D101" s="83"/>
      <c r="E101" s="86"/>
      <c r="F101" s="85"/>
      <c r="G101" s="80"/>
      <c r="H101" s="80"/>
      <c r="I101" s="80"/>
      <c r="J101" s="80"/>
      <c r="K101" s="80"/>
      <c r="L101" s="80"/>
      <c r="M101" s="80"/>
      <c r="N101" s="80"/>
      <c r="O101" s="80"/>
      <c r="P101" s="80"/>
      <c r="Q101" s="80"/>
      <c r="R101" s="80"/>
      <c r="S101" s="80"/>
      <c r="T101" s="80"/>
      <c r="U101" s="80"/>
      <c r="V101" s="80"/>
      <c r="W101" s="80"/>
      <c r="X101" s="80"/>
      <c r="Y101" s="80"/>
      <c r="Z101" s="80"/>
      <c r="AA101" s="80"/>
      <c r="AB101" s="80"/>
    </row>
    <row r="102" spans="1:28" ht="15.75" customHeight="1">
      <c r="A102" s="83"/>
      <c r="B102" s="82"/>
      <c r="C102" s="82"/>
      <c r="D102" s="83"/>
      <c r="E102" s="86"/>
      <c r="F102" s="85"/>
      <c r="G102" s="80"/>
      <c r="H102" s="80"/>
      <c r="I102" s="80"/>
      <c r="J102" s="80"/>
      <c r="K102" s="80"/>
      <c r="L102" s="80"/>
      <c r="M102" s="80"/>
      <c r="N102" s="80"/>
      <c r="O102" s="80"/>
      <c r="P102" s="80"/>
      <c r="Q102" s="80"/>
      <c r="R102" s="80"/>
      <c r="S102" s="80"/>
      <c r="T102" s="80"/>
      <c r="U102" s="80"/>
      <c r="V102" s="80"/>
      <c r="W102" s="80"/>
      <c r="X102" s="80"/>
      <c r="Y102" s="80"/>
      <c r="Z102" s="80"/>
      <c r="AA102" s="80"/>
      <c r="AB102" s="80"/>
    </row>
    <row r="103" spans="1:28" ht="15.75" customHeight="1">
      <c r="A103" s="83"/>
      <c r="B103" s="82"/>
      <c r="C103" s="82"/>
      <c r="D103" s="83"/>
      <c r="E103" s="86"/>
      <c r="F103" s="85"/>
      <c r="G103" s="80"/>
      <c r="H103" s="80"/>
      <c r="I103" s="80"/>
      <c r="J103" s="80"/>
      <c r="K103" s="80"/>
      <c r="L103" s="80"/>
      <c r="M103" s="80"/>
      <c r="N103" s="80"/>
      <c r="O103" s="80"/>
      <c r="P103" s="80"/>
      <c r="Q103" s="80"/>
      <c r="R103" s="80"/>
      <c r="S103" s="80"/>
      <c r="T103" s="80"/>
      <c r="U103" s="80"/>
      <c r="V103" s="80"/>
      <c r="W103" s="80"/>
      <c r="X103" s="80"/>
      <c r="Y103" s="80"/>
      <c r="Z103" s="80"/>
      <c r="AA103" s="80"/>
      <c r="AB103" s="80"/>
    </row>
    <row r="104" spans="1:28" ht="15.75" customHeight="1">
      <c r="A104" s="83"/>
      <c r="B104" s="82"/>
      <c r="C104" s="82"/>
      <c r="D104" s="83"/>
      <c r="E104" s="86"/>
      <c r="F104" s="85"/>
      <c r="G104" s="80"/>
      <c r="H104" s="80"/>
      <c r="I104" s="80"/>
      <c r="J104" s="80"/>
      <c r="K104" s="80"/>
      <c r="L104" s="80"/>
      <c r="M104" s="80"/>
      <c r="N104" s="80"/>
      <c r="O104" s="80"/>
      <c r="P104" s="80"/>
      <c r="Q104" s="80"/>
      <c r="R104" s="80"/>
      <c r="S104" s="80"/>
      <c r="T104" s="80"/>
      <c r="U104" s="80"/>
      <c r="V104" s="80"/>
      <c r="W104" s="80"/>
      <c r="X104" s="80"/>
      <c r="Y104" s="80"/>
      <c r="Z104" s="80"/>
      <c r="AA104" s="80"/>
      <c r="AB104" s="80"/>
    </row>
    <row r="105" spans="1:28" ht="15.75" customHeight="1">
      <c r="A105" s="83"/>
      <c r="B105" s="82"/>
      <c r="C105" s="82"/>
      <c r="D105" s="83"/>
      <c r="E105" s="86"/>
      <c r="F105" s="85"/>
      <c r="G105" s="80"/>
      <c r="H105" s="80"/>
      <c r="I105" s="80"/>
      <c r="J105" s="80"/>
      <c r="K105" s="80"/>
      <c r="L105" s="80"/>
      <c r="M105" s="80"/>
      <c r="N105" s="80"/>
      <c r="O105" s="80"/>
      <c r="P105" s="80"/>
      <c r="Q105" s="80"/>
      <c r="R105" s="80"/>
      <c r="S105" s="80"/>
      <c r="T105" s="80"/>
      <c r="U105" s="80"/>
      <c r="V105" s="80"/>
      <c r="W105" s="80"/>
      <c r="X105" s="80"/>
      <c r="Y105" s="80"/>
      <c r="Z105" s="80"/>
      <c r="AA105" s="80"/>
      <c r="AB105" s="80"/>
    </row>
    <row r="106" spans="1:28" ht="15.75" customHeight="1">
      <c r="A106" s="83"/>
      <c r="B106" s="82"/>
      <c r="C106" s="82"/>
      <c r="D106" s="83"/>
      <c r="E106" s="86"/>
      <c r="F106" s="85"/>
      <c r="G106" s="80"/>
      <c r="H106" s="80"/>
      <c r="I106" s="80"/>
      <c r="J106" s="80"/>
      <c r="K106" s="80"/>
      <c r="L106" s="80"/>
      <c r="M106" s="80"/>
      <c r="N106" s="80"/>
      <c r="O106" s="80"/>
      <c r="P106" s="80"/>
      <c r="Q106" s="80"/>
      <c r="R106" s="80"/>
      <c r="S106" s="80"/>
      <c r="T106" s="80"/>
      <c r="U106" s="80"/>
      <c r="V106" s="80"/>
      <c r="W106" s="80"/>
      <c r="X106" s="80"/>
      <c r="Y106" s="80"/>
      <c r="Z106" s="80"/>
      <c r="AA106" s="80"/>
      <c r="AB106" s="80"/>
    </row>
    <row r="107" spans="1:28" ht="15.75" customHeight="1">
      <c r="A107" s="83"/>
      <c r="B107" s="82"/>
      <c r="C107" s="82"/>
      <c r="D107" s="83"/>
      <c r="E107" s="86"/>
      <c r="F107" s="85"/>
      <c r="G107" s="80"/>
      <c r="H107" s="80"/>
      <c r="I107" s="80"/>
      <c r="J107" s="80"/>
      <c r="K107" s="80"/>
      <c r="L107" s="80"/>
      <c r="M107" s="80"/>
      <c r="N107" s="80"/>
      <c r="O107" s="80"/>
      <c r="P107" s="80"/>
      <c r="Q107" s="80"/>
      <c r="R107" s="80"/>
      <c r="S107" s="80"/>
      <c r="T107" s="80"/>
      <c r="U107" s="80"/>
      <c r="V107" s="80"/>
      <c r="W107" s="80"/>
      <c r="X107" s="80"/>
      <c r="Y107" s="80"/>
      <c r="Z107" s="80"/>
      <c r="AA107" s="80"/>
      <c r="AB107" s="80"/>
    </row>
    <row r="108" spans="1:28" ht="15.75" customHeight="1">
      <c r="A108" s="83"/>
      <c r="B108" s="82"/>
      <c r="C108" s="82"/>
      <c r="D108" s="83"/>
      <c r="E108" s="86"/>
      <c r="F108" s="85"/>
      <c r="G108" s="80"/>
      <c r="H108" s="80"/>
      <c r="I108" s="80"/>
      <c r="J108" s="80"/>
      <c r="K108" s="80"/>
      <c r="L108" s="80"/>
      <c r="M108" s="80"/>
      <c r="N108" s="80"/>
      <c r="O108" s="80"/>
      <c r="P108" s="80"/>
      <c r="Q108" s="80"/>
      <c r="R108" s="80"/>
      <c r="S108" s="80"/>
      <c r="T108" s="80"/>
      <c r="U108" s="80"/>
      <c r="V108" s="80"/>
      <c r="W108" s="80"/>
      <c r="X108" s="80"/>
      <c r="Y108" s="80"/>
      <c r="Z108" s="80"/>
      <c r="AA108" s="80"/>
      <c r="AB108" s="80"/>
    </row>
    <row r="109" spans="1:28" ht="15.75" customHeight="1">
      <c r="A109" s="83"/>
      <c r="B109" s="82"/>
      <c r="C109" s="82"/>
      <c r="D109" s="83"/>
      <c r="E109" s="86"/>
      <c r="F109" s="85"/>
      <c r="G109" s="80"/>
      <c r="H109" s="80"/>
      <c r="I109" s="80"/>
      <c r="J109" s="80"/>
      <c r="K109" s="80"/>
      <c r="L109" s="80"/>
      <c r="M109" s="80"/>
      <c r="N109" s="80"/>
      <c r="O109" s="80"/>
      <c r="P109" s="80"/>
      <c r="Q109" s="80"/>
      <c r="R109" s="80"/>
      <c r="S109" s="80"/>
      <c r="T109" s="80"/>
      <c r="U109" s="80"/>
      <c r="V109" s="80"/>
      <c r="W109" s="80"/>
      <c r="X109" s="80"/>
      <c r="Y109" s="80"/>
      <c r="Z109" s="80"/>
      <c r="AA109" s="80"/>
      <c r="AB109" s="80"/>
    </row>
    <row r="110" spans="1:28" ht="15.75" customHeight="1">
      <c r="A110" s="83"/>
      <c r="B110" s="82"/>
      <c r="C110" s="82"/>
      <c r="D110" s="83"/>
      <c r="E110" s="86"/>
      <c r="F110" s="85"/>
      <c r="G110" s="80"/>
      <c r="H110" s="80"/>
      <c r="I110" s="80"/>
      <c r="J110" s="80"/>
      <c r="K110" s="80"/>
      <c r="L110" s="80"/>
      <c r="M110" s="80"/>
      <c r="N110" s="80"/>
      <c r="O110" s="80"/>
      <c r="P110" s="80"/>
      <c r="Q110" s="80"/>
      <c r="R110" s="80"/>
      <c r="S110" s="80"/>
      <c r="T110" s="80"/>
      <c r="U110" s="80"/>
      <c r="V110" s="80"/>
      <c r="W110" s="80"/>
      <c r="X110" s="80"/>
      <c r="Y110" s="80"/>
      <c r="Z110" s="80"/>
      <c r="AA110" s="80"/>
      <c r="AB110" s="80"/>
    </row>
    <row r="111" spans="1:28" ht="15.75" customHeight="1">
      <c r="A111" s="83"/>
      <c r="B111" s="82"/>
      <c r="C111" s="82"/>
      <c r="D111" s="83"/>
      <c r="E111" s="86"/>
      <c r="F111" s="85"/>
      <c r="G111" s="80"/>
      <c r="H111" s="80"/>
      <c r="I111" s="80"/>
      <c r="J111" s="80"/>
      <c r="K111" s="80"/>
      <c r="L111" s="80"/>
      <c r="M111" s="80"/>
      <c r="N111" s="80"/>
      <c r="O111" s="80"/>
      <c r="P111" s="80"/>
      <c r="Q111" s="80"/>
      <c r="R111" s="80"/>
      <c r="S111" s="80"/>
      <c r="T111" s="80"/>
      <c r="U111" s="80"/>
      <c r="V111" s="80"/>
      <c r="W111" s="80"/>
      <c r="X111" s="80"/>
      <c r="Y111" s="80"/>
      <c r="Z111" s="80"/>
      <c r="AA111" s="80"/>
      <c r="AB111" s="80"/>
    </row>
    <row r="112" spans="1:28" ht="15.75" customHeight="1">
      <c r="A112" s="83"/>
      <c r="B112" s="82"/>
      <c r="C112" s="82"/>
      <c r="D112" s="83"/>
      <c r="E112" s="86"/>
      <c r="F112" s="85"/>
      <c r="G112" s="80"/>
      <c r="H112" s="80"/>
      <c r="I112" s="80"/>
      <c r="J112" s="80"/>
      <c r="K112" s="80"/>
      <c r="L112" s="80"/>
      <c r="M112" s="80"/>
      <c r="N112" s="80"/>
      <c r="O112" s="80"/>
      <c r="P112" s="80"/>
      <c r="Q112" s="80"/>
      <c r="R112" s="80"/>
      <c r="S112" s="80"/>
      <c r="T112" s="80"/>
      <c r="U112" s="80"/>
      <c r="V112" s="80"/>
      <c r="W112" s="80"/>
      <c r="X112" s="80"/>
      <c r="Y112" s="80"/>
      <c r="Z112" s="80"/>
      <c r="AA112" s="80"/>
      <c r="AB112" s="80"/>
    </row>
    <row r="113" spans="1:28" ht="15.75" customHeight="1">
      <c r="A113" s="83"/>
      <c r="B113" s="82"/>
      <c r="C113" s="82"/>
      <c r="D113" s="83"/>
      <c r="E113" s="86"/>
      <c r="F113" s="85"/>
      <c r="G113" s="80"/>
      <c r="H113" s="80"/>
      <c r="I113" s="80"/>
      <c r="J113" s="80"/>
      <c r="K113" s="80"/>
      <c r="L113" s="80"/>
      <c r="M113" s="80"/>
      <c r="N113" s="80"/>
      <c r="O113" s="80"/>
      <c r="P113" s="80"/>
      <c r="Q113" s="80"/>
      <c r="R113" s="80"/>
      <c r="S113" s="80"/>
      <c r="T113" s="80"/>
      <c r="U113" s="80"/>
      <c r="V113" s="80"/>
      <c r="W113" s="80"/>
      <c r="X113" s="80"/>
      <c r="Y113" s="80"/>
      <c r="Z113" s="80"/>
      <c r="AA113" s="80"/>
      <c r="AB113" s="80"/>
    </row>
    <row r="114" spans="1:28" ht="15.75" customHeight="1">
      <c r="A114" s="83"/>
      <c r="B114" s="82"/>
      <c r="C114" s="82"/>
      <c r="D114" s="83"/>
      <c r="E114" s="86"/>
      <c r="F114" s="85"/>
      <c r="G114" s="80"/>
      <c r="H114" s="80"/>
      <c r="I114" s="80"/>
      <c r="J114" s="80"/>
      <c r="K114" s="80"/>
      <c r="L114" s="80"/>
      <c r="M114" s="80"/>
      <c r="N114" s="80"/>
      <c r="O114" s="80"/>
      <c r="P114" s="80"/>
      <c r="Q114" s="80"/>
      <c r="R114" s="80"/>
      <c r="S114" s="80"/>
      <c r="T114" s="80"/>
      <c r="U114" s="80"/>
      <c r="V114" s="80"/>
      <c r="W114" s="80"/>
      <c r="X114" s="80"/>
      <c r="Y114" s="80"/>
      <c r="Z114" s="80"/>
      <c r="AA114" s="80"/>
      <c r="AB114" s="80"/>
    </row>
    <row r="115" spans="1:28" ht="15.75" customHeight="1">
      <c r="A115" s="83"/>
      <c r="B115" s="82"/>
      <c r="C115" s="82"/>
      <c r="D115" s="83"/>
      <c r="E115" s="86"/>
      <c r="F115" s="85"/>
      <c r="G115" s="80"/>
      <c r="H115" s="80"/>
      <c r="I115" s="80"/>
      <c r="J115" s="80"/>
      <c r="K115" s="80"/>
      <c r="L115" s="80"/>
      <c r="M115" s="80"/>
      <c r="N115" s="80"/>
      <c r="O115" s="80"/>
      <c r="P115" s="80"/>
      <c r="Q115" s="80"/>
      <c r="R115" s="80"/>
      <c r="S115" s="80"/>
      <c r="T115" s="80"/>
      <c r="U115" s="80"/>
      <c r="V115" s="80"/>
      <c r="W115" s="80"/>
      <c r="X115" s="80"/>
      <c r="Y115" s="80"/>
      <c r="Z115" s="80"/>
      <c r="AA115" s="80"/>
      <c r="AB115" s="80"/>
    </row>
    <row r="116" spans="1:28" ht="15.75" customHeight="1">
      <c r="A116" s="83"/>
      <c r="B116" s="82"/>
      <c r="C116" s="82"/>
      <c r="D116" s="83"/>
      <c r="E116" s="86"/>
      <c r="F116" s="85"/>
      <c r="G116" s="80"/>
      <c r="H116" s="80"/>
      <c r="I116" s="80"/>
      <c r="J116" s="80"/>
      <c r="K116" s="80"/>
      <c r="L116" s="80"/>
      <c r="M116" s="80"/>
      <c r="N116" s="80"/>
      <c r="O116" s="80"/>
      <c r="P116" s="80"/>
      <c r="Q116" s="80"/>
      <c r="R116" s="80"/>
      <c r="S116" s="80"/>
      <c r="T116" s="80"/>
      <c r="U116" s="80"/>
      <c r="V116" s="80"/>
      <c r="W116" s="80"/>
      <c r="X116" s="80"/>
      <c r="Y116" s="80"/>
      <c r="Z116" s="80"/>
      <c r="AA116" s="80"/>
      <c r="AB116" s="80"/>
    </row>
    <row r="117" spans="1:28" ht="15.75" customHeight="1">
      <c r="A117" s="83"/>
      <c r="B117" s="82"/>
      <c r="C117" s="82"/>
      <c r="D117" s="83"/>
      <c r="E117" s="86"/>
      <c r="F117" s="85"/>
      <c r="G117" s="80"/>
      <c r="H117" s="80"/>
      <c r="I117" s="80"/>
      <c r="J117" s="80"/>
      <c r="K117" s="80"/>
      <c r="L117" s="80"/>
      <c r="M117" s="80"/>
      <c r="N117" s="80"/>
      <c r="O117" s="80"/>
      <c r="P117" s="80"/>
      <c r="Q117" s="80"/>
      <c r="R117" s="80"/>
      <c r="S117" s="80"/>
      <c r="T117" s="80"/>
      <c r="U117" s="80"/>
      <c r="V117" s="80"/>
      <c r="W117" s="80"/>
      <c r="X117" s="80"/>
      <c r="Y117" s="80"/>
      <c r="Z117" s="80"/>
      <c r="AA117" s="80"/>
      <c r="AB117" s="80"/>
    </row>
    <row r="118" spans="1:28" ht="15.75" customHeight="1">
      <c r="A118" s="83"/>
      <c r="B118" s="82"/>
      <c r="C118" s="82"/>
      <c r="D118" s="83"/>
      <c r="E118" s="86"/>
      <c r="F118" s="85"/>
      <c r="G118" s="80"/>
      <c r="H118" s="80"/>
      <c r="I118" s="80"/>
      <c r="J118" s="80"/>
      <c r="K118" s="80"/>
      <c r="L118" s="80"/>
      <c r="M118" s="80"/>
      <c r="N118" s="80"/>
      <c r="O118" s="80"/>
      <c r="P118" s="80"/>
      <c r="Q118" s="80"/>
      <c r="R118" s="80"/>
      <c r="S118" s="80"/>
      <c r="T118" s="80"/>
      <c r="U118" s="80"/>
      <c r="V118" s="80"/>
      <c r="W118" s="80"/>
      <c r="X118" s="80"/>
      <c r="Y118" s="80"/>
      <c r="Z118" s="80"/>
      <c r="AA118" s="80"/>
      <c r="AB118" s="80"/>
    </row>
    <row r="119" spans="1:28" ht="15.75" customHeight="1">
      <c r="A119" s="83"/>
      <c r="B119" s="82"/>
      <c r="C119" s="82"/>
      <c r="D119" s="83"/>
      <c r="E119" s="86"/>
      <c r="F119" s="85"/>
      <c r="G119" s="80"/>
      <c r="H119" s="80"/>
      <c r="I119" s="80"/>
      <c r="J119" s="80"/>
      <c r="K119" s="80"/>
      <c r="L119" s="80"/>
      <c r="M119" s="80"/>
      <c r="N119" s="80"/>
      <c r="O119" s="80"/>
      <c r="P119" s="80"/>
      <c r="Q119" s="80"/>
      <c r="R119" s="80"/>
      <c r="S119" s="80"/>
      <c r="T119" s="80"/>
      <c r="U119" s="80"/>
      <c r="V119" s="80"/>
      <c r="W119" s="80"/>
      <c r="X119" s="80"/>
      <c r="Y119" s="80"/>
      <c r="Z119" s="80"/>
      <c r="AA119" s="80"/>
      <c r="AB119" s="80"/>
    </row>
    <row r="120" spans="1:28" ht="15.75" customHeight="1">
      <c r="A120" s="83"/>
      <c r="B120" s="82"/>
      <c r="C120" s="82"/>
      <c r="D120" s="83"/>
      <c r="E120" s="86"/>
      <c r="F120" s="85"/>
      <c r="G120" s="80"/>
      <c r="H120" s="80"/>
      <c r="I120" s="80"/>
      <c r="J120" s="80"/>
      <c r="K120" s="80"/>
      <c r="L120" s="80"/>
      <c r="M120" s="80"/>
      <c r="N120" s="80"/>
      <c r="O120" s="80"/>
      <c r="P120" s="80"/>
      <c r="Q120" s="80"/>
      <c r="R120" s="80"/>
      <c r="S120" s="80"/>
      <c r="T120" s="80"/>
      <c r="U120" s="80"/>
      <c r="V120" s="80"/>
      <c r="W120" s="80"/>
      <c r="X120" s="80"/>
      <c r="Y120" s="80"/>
      <c r="Z120" s="80"/>
      <c r="AA120" s="80"/>
      <c r="AB120" s="80"/>
    </row>
    <row r="121" spans="1:28" ht="15.75" customHeight="1">
      <c r="A121" s="83"/>
      <c r="B121" s="82"/>
      <c r="C121" s="82"/>
      <c r="D121" s="83"/>
      <c r="E121" s="86"/>
      <c r="F121" s="85"/>
      <c r="G121" s="80"/>
      <c r="H121" s="80"/>
      <c r="I121" s="80"/>
      <c r="J121" s="80"/>
      <c r="K121" s="80"/>
      <c r="L121" s="80"/>
      <c r="M121" s="80"/>
      <c r="N121" s="80"/>
      <c r="O121" s="80"/>
      <c r="P121" s="80"/>
      <c r="Q121" s="80"/>
      <c r="R121" s="80"/>
      <c r="S121" s="80"/>
      <c r="T121" s="80"/>
      <c r="U121" s="80"/>
      <c r="V121" s="80"/>
      <c r="W121" s="80"/>
      <c r="X121" s="80"/>
      <c r="Y121" s="80"/>
      <c r="Z121" s="80"/>
      <c r="AA121" s="80"/>
      <c r="AB121" s="80"/>
    </row>
    <row r="122" spans="1:28" ht="15.75" customHeight="1">
      <c r="A122" s="83"/>
      <c r="B122" s="82"/>
      <c r="C122" s="82"/>
      <c r="D122" s="83"/>
      <c r="E122" s="86"/>
      <c r="F122" s="85"/>
      <c r="G122" s="80"/>
      <c r="H122" s="80"/>
      <c r="I122" s="80"/>
      <c r="J122" s="80"/>
      <c r="K122" s="80"/>
      <c r="L122" s="80"/>
      <c r="M122" s="80"/>
      <c r="N122" s="80"/>
      <c r="O122" s="80"/>
      <c r="P122" s="80"/>
      <c r="Q122" s="80"/>
      <c r="R122" s="80"/>
      <c r="S122" s="80"/>
      <c r="T122" s="80"/>
      <c r="U122" s="80"/>
      <c r="V122" s="80"/>
      <c r="W122" s="80"/>
      <c r="X122" s="80"/>
      <c r="Y122" s="80"/>
      <c r="Z122" s="80"/>
      <c r="AA122" s="80"/>
      <c r="AB122" s="80"/>
    </row>
    <row r="123" spans="1:28" ht="15.75" customHeight="1">
      <c r="A123" s="83"/>
      <c r="B123" s="82"/>
      <c r="C123" s="82"/>
      <c r="D123" s="83"/>
      <c r="E123" s="86"/>
      <c r="F123" s="85"/>
      <c r="G123" s="80"/>
      <c r="H123" s="80"/>
      <c r="I123" s="80"/>
      <c r="J123" s="80"/>
      <c r="K123" s="80"/>
      <c r="L123" s="80"/>
      <c r="M123" s="80"/>
      <c r="N123" s="80"/>
      <c r="O123" s="80"/>
      <c r="P123" s="80"/>
      <c r="Q123" s="80"/>
      <c r="R123" s="80"/>
      <c r="S123" s="80"/>
      <c r="T123" s="80"/>
      <c r="U123" s="80"/>
      <c r="V123" s="80"/>
      <c r="W123" s="80"/>
      <c r="X123" s="80"/>
      <c r="Y123" s="80"/>
      <c r="Z123" s="80"/>
      <c r="AA123" s="80"/>
      <c r="AB123" s="80"/>
    </row>
    <row r="124" spans="1:28" ht="15.75" customHeight="1">
      <c r="A124" s="83"/>
      <c r="B124" s="82"/>
      <c r="C124" s="82"/>
      <c r="D124" s="83"/>
      <c r="E124" s="86"/>
      <c r="F124" s="85"/>
      <c r="G124" s="80"/>
      <c r="H124" s="80"/>
      <c r="I124" s="80"/>
      <c r="J124" s="80"/>
      <c r="K124" s="80"/>
      <c r="L124" s="80"/>
      <c r="M124" s="80"/>
      <c r="N124" s="80"/>
      <c r="O124" s="80"/>
      <c r="P124" s="80"/>
      <c r="Q124" s="80"/>
      <c r="R124" s="80"/>
      <c r="S124" s="80"/>
      <c r="T124" s="80"/>
      <c r="U124" s="80"/>
      <c r="V124" s="80"/>
      <c r="W124" s="80"/>
      <c r="X124" s="80"/>
      <c r="Y124" s="80"/>
      <c r="Z124" s="80"/>
      <c r="AA124" s="80"/>
      <c r="AB124" s="80"/>
    </row>
    <row r="125" spans="1:28" ht="15.75" customHeight="1">
      <c r="A125" s="83"/>
      <c r="B125" s="82"/>
      <c r="C125" s="82"/>
      <c r="D125" s="83"/>
      <c r="E125" s="86"/>
      <c r="F125" s="85"/>
      <c r="G125" s="80"/>
      <c r="H125" s="80"/>
      <c r="I125" s="80"/>
      <c r="J125" s="80"/>
      <c r="K125" s="80"/>
      <c r="L125" s="80"/>
      <c r="M125" s="80"/>
      <c r="N125" s="80"/>
      <c r="O125" s="80"/>
      <c r="P125" s="80"/>
      <c r="Q125" s="80"/>
      <c r="R125" s="80"/>
      <c r="S125" s="80"/>
      <c r="T125" s="80"/>
      <c r="U125" s="80"/>
      <c r="V125" s="80"/>
      <c r="W125" s="80"/>
      <c r="X125" s="80"/>
      <c r="Y125" s="80"/>
      <c r="Z125" s="80"/>
      <c r="AA125" s="80"/>
      <c r="AB125" s="80"/>
    </row>
    <row r="126" spans="1:28" ht="15.75" customHeight="1">
      <c r="A126" s="83"/>
      <c r="B126" s="82"/>
      <c r="C126" s="82"/>
      <c r="D126" s="83"/>
      <c r="E126" s="86"/>
      <c r="F126" s="85"/>
      <c r="G126" s="80"/>
      <c r="H126" s="80"/>
      <c r="I126" s="80"/>
      <c r="J126" s="80"/>
      <c r="K126" s="80"/>
      <c r="L126" s="80"/>
      <c r="M126" s="80"/>
      <c r="N126" s="80"/>
      <c r="O126" s="80"/>
      <c r="P126" s="80"/>
      <c r="Q126" s="80"/>
      <c r="R126" s="80"/>
      <c r="S126" s="80"/>
      <c r="T126" s="80"/>
      <c r="U126" s="80"/>
      <c r="V126" s="80"/>
      <c r="W126" s="80"/>
      <c r="X126" s="80"/>
      <c r="Y126" s="80"/>
      <c r="Z126" s="80"/>
      <c r="AA126" s="80"/>
      <c r="AB126" s="80"/>
    </row>
    <row r="127" spans="1:28" ht="15.75" customHeight="1">
      <c r="A127" s="83"/>
      <c r="B127" s="82"/>
      <c r="C127" s="82"/>
      <c r="D127" s="83"/>
      <c r="E127" s="86"/>
      <c r="F127" s="85"/>
      <c r="G127" s="80"/>
      <c r="H127" s="80"/>
      <c r="I127" s="80"/>
      <c r="J127" s="80"/>
      <c r="K127" s="80"/>
      <c r="L127" s="80"/>
      <c r="M127" s="80"/>
      <c r="N127" s="80"/>
      <c r="O127" s="80"/>
      <c r="P127" s="80"/>
      <c r="Q127" s="80"/>
      <c r="R127" s="80"/>
      <c r="S127" s="80"/>
      <c r="T127" s="80"/>
      <c r="U127" s="80"/>
      <c r="V127" s="80"/>
      <c r="W127" s="80"/>
      <c r="X127" s="80"/>
      <c r="Y127" s="80"/>
      <c r="Z127" s="80"/>
      <c r="AA127" s="80"/>
      <c r="AB127" s="80"/>
    </row>
    <row r="128" spans="1:28" ht="15.75" customHeight="1">
      <c r="A128" s="83"/>
      <c r="B128" s="82"/>
      <c r="C128" s="82"/>
      <c r="D128" s="83"/>
      <c r="E128" s="86"/>
      <c r="F128" s="85"/>
      <c r="G128" s="80"/>
      <c r="H128" s="80"/>
      <c r="I128" s="80"/>
      <c r="J128" s="80"/>
      <c r="K128" s="80"/>
      <c r="L128" s="80"/>
      <c r="M128" s="80"/>
      <c r="N128" s="80"/>
      <c r="O128" s="80"/>
      <c r="P128" s="80"/>
      <c r="Q128" s="80"/>
      <c r="R128" s="80"/>
      <c r="S128" s="80"/>
      <c r="T128" s="80"/>
      <c r="U128" s="80"/>
      <c r="V128" s="80"/>
      <c r="W128" s="80"/>
      <c r="X128" s="80"/>
      <c r="Y128" s="80"/>
      <c r="Z128" s="80"/>
      <c r="AA128" s="80"/>
      <c r="AB128" s="80"/>
    </row>
    <row r="129" spans="1:28" ht="15.75" customHeight="1">
      <c r="A129" s="83"/>
      <c r="B129" s="82"/>
      <c r="C129" s="82"/>
      <c r="D129" s="83"/>
      <c r="E129" s="86"/>
      <c r="F129" s="85"/>
      <c r="G129" s="80"/>
      <c r="H129" s="80"/>
      <c r="I129" s="80"/>
      <c r="J129" s="80"/>
      <c r="K129" s="80"/>
      <c r="L129" s="80"/>
      <c r="M129" s="80"/>
      <c r="N129" s="80"/>
      <c r="O129" s="80"/>
      <c r="P129" s="80"/>
      <c r="Q129" s="80"/>
      <c r="R129" s="80"/>
      <c r="S129" s="80"/>
      <c r="T129" s="80"/>
      <c r="U129" s="80"/>
      <c r="V129" s="80"/>
      <c r="W129" s="80"/>
      <c r="X129" s="80"/>
      <c r="Y129" s="80"/>
      <c r="Z129" s="80"/>
      <c r="AA129" s="80"/>
      <c r="AB129" s="80"/>
    </row>
    <row r="130" spans="1:28" ht="15.75" customHeight="1">
      <c r="A130" s="83"/>
      <c r="B130" s="82"/>
      <c r="C130" s="82"/>
      <c r="D130" s="83"/>
      <c r="E130" s="86"/>
      <c r="F130" s="85"/>
      <c r="G130" s="80"/>
      <c r="H130" s="80"/>
      <c r="I130" s="80"/>
      <c r="J130" s="80"/>
      <c r="K130" s="80"/>
      <c r="L130" s="80"/>
      <c r="M130" s="80"/>
      <c r="N130" s="80"/>
      <c r="O130" s="80"/>
      <c r="P130" s="80"/>
      <c r="Q130" s="80"/>
      <c r="R130" s="80"/>
      <c r="S130" s="80"/>
      <c r="T130" s="80"/>
      <c r="U130" s="80"/>
      <c r="V130" s="80"/>
      <c r="W130" s="80"/>
      <c r="X130" s="80"/>
      <c r="Y130" s="80"/>
      <c r="Z130" s="80"/>
      <c r="AA130" s="80"/>
      <c r="AB130" s="80"/>
    </row>
    <row r="131" spans="1:28" ht="15.75" customHeight="1">
      <c r="A131" s="83"/>
      <c r="B131" s="82"/>
      <c r="C131" s="82"/>
      <c r="D131" s="83"/>
      <c r="E131" s="86"/>
      <c r="F131" s="85"/>
      <c r="G131" s="80"/>
      <c r="H131" s="80"/>
      <c r="I131" s="80"/>
      <c r="J131" s="80"/>
      <c r="K131" s="80"/>
      <c r="L131" s="80"/>
      <c r="M131" s="80"/>
      <c r="N131" s="80"/>
      <c r="O131" s="80"/>
      <c r="P131" s="80"/>
      <c r="Q131" s="80"/>
      <c r="R131" s="80"/>
      <c r="S131" s="80"/>
      <c r="T131" s="80"/>
      <c r="U131" s="80"/>
      <c r="V131" s="80"/>
      <c r="W131" s="80"/>
      <c r="X131" s="80"/>
      <c r="Y131" s="80"/>
      <c r="Z131" s="80"/>
      <c r="AA131" s="80"/>
      <c r="AB131" s="80"/>
    </row>
    <row r="132" spans="1:28" ht="15.75" customHeight="1">
      <c r="A132" s="83"/>
      <c r="B132" s="82"/>
      <c r="C132" s="82"/>
      <c r="D132" s="83"/>
      <c r="E132" s="86"/>
      <c r="F132" s="85"/>
      <c r="G132" s="80"/>
      <c r="H132" s="80"/>
      <c r="I132" s="80"/>
      <c r="J132" s="80"/>
      <c r="K132" s="80"/>
      <c r="L132" s="80"/>
      <c r="M132" s="80"/>
      <c r="N132" s="80"/>
      <c r="O132" s="80"/>
      <c r="P132" s="80"/>
      <c r="Q132" s="80"/>
      <c r="R132" s="80"/>
      <c r="S132" s="80"/>
      <c r="T132" s="80"/>
      <c r="U132" s="80"/>
      <c r="V132" s="80"/>
      <c r="W132" s="80"/>
      <c r="X132" s="80"/>
      <c r="Y132" s="80"/>
      <c r="Z132" s="80"/>
      <c r="AA132" s="80"/>
      <c r="AB132" s="80"/>
    </row>
    <row r="133" spans="1:28" ht="15.75" customHeight="1">
      <c r="A133" s="83"/>
      <c r="B133" s="82"/>
      <c r="C133" s="82"/>
      <c r="D133" s="83"/>
      <c r="E133" s="86"/>
      <c r="F133" s="85"/>
      <c r="G133" s="80"/>
      <c r="H133" s="80"/>
      <c r="I133" s="80"/>
      <c r="J133" s="80"/>
      <c r="K133" s="80"/>
      <c r="L133" s="80"/>
      <c r="M133" s="80"/>
      <c r="N133" s="80"/>
      <c r="O133" s="80"/>
      <c r="P133" s="80"/>
      <c r="Q133" s="80"/>
      <c r="R133" s="80"/>
      <c r="S133" s="80"/>
      <c r="T133" s="80"/>
      <c r="U133" s="80"/>
      <c r="V133" s="80"/>
      <c r="W133" s="80"/>
      <c r="X133" s="80"/>
      <c r="Y133" s="80"/>
      <c r="Z133" s="80"/>
      <c r="AA133" s="80"/>
      <c r="AB133" s="80"/>
    </row>
    <row r="134" spans="1:28" ht="15.75" customHeight="1">
      <c r="A134" s="83"/>
      <c r="B134" s="82"/>
      <c r="C134" s="82"/>
      <c r="D134" s="83"/>
      <c r="E134" s="86"/>
      <c r="F134" s="85"/>
      <c r="G134" s="80"/>
      <c r="H134" s="80"/>
      <c r="I134" s="80"/>
      <c r="J134" s="80"/>
      <c r="K134" s="80"/>
      <c r="L134" s="80"/>
      <c r="M134" s="80"/>
      <c r="N134" s="80"/>
      <c r="O134" s="80"/>
      <c r="P134" s="80"/>
      <c r="Q134" s="80"/>
      <c r="R134" s="80"/>
      <c r="S134" s="80"/>
      <c r="T134" s="80"/>
      <c r="U134" s="80"/>
      <c r="V134" s="80"/>
      <c r="W134" s="80"/>
      <c r="X134" s="80"/>
      <c r="Y134" s="80"/>
      <c r="Z134" s="80"/>
      <c r="AA134" s="80"/>
      <c r="AB134" s="80"/>
    </row>
    <row r="135" spans="1:28" ht="15.75" customHeight="1">
      <c r="A135" s="83"/>
      <c r="B135" s="82"/>
      <c r="C135" s="82"/>
      <c r="D135" s="83"/>
      <c r="E135" s="86"/>
      <c r="F135" s="85"/>
      <c r="G135" s="80"/>
      <c r="H135" s="80"/>
      <c r="I135" s="80"/>
      <c r="J135" s="80"/>
      <c r="K135" s="80"/>
      <c r="L135" s="80"/>
      <c r="M135" s="80"/>
      <c r="N135" s="80"/>
      <c r="O135" s="80"/>
      <c r="P135" s="80"/>
      <c r="Q135" s="80"/>
      <c r="R135" s="80"/>
      <c r="S135" s="80"/>
      <c r="T135" s="80"/>
      <c r="U135" s="80"/>
      <c r="V135" s="80"/>
      <c r="W135" s="80"/>
      <c r="X135" s="80"/>
      <c r="Y135" s="80"/>
      <c r="Z135" s="80"/>
      <c r="AA135" s="80"/>
      <c r="AB135" s="80"/>
    </row>
    <row r="136" spans="1:28" ht="15.75" customHeight="1">
      <c r="A136" s="83"/>
      <c r="B136" s="82"/>
      <c r="C136" s="82"/>
      <c r="D136" s="83"/>
      <c r="E136" s="86"/>
      <c r="F136" s="85"/>
      <c r="G136" s="80"/>
      <c r="H136" s="80"/>
      <c r="I136" s="80"/>
      <c r="J136" s="80"/>
      <c r="K136" s="80"/>
      <c r="L136" s="80"/>
      <c r="M136" s="80"/>
      <c r="N136" s="80"/>
      <c r="O136" s="80"/>
      <c r="P136" s="80"/>
      <c r="Q136" s="80"/>
      <c r="R136" s="80"/>
      <c r="S136" s="80"/>
      <c r="T136" s="80"/>
      <c r="U136" s="80"/>
      <c r="V136" s="80"/>
      <c r="W136" s="80"/>
      <c r="X136" s="80"/>
      <c r="Y136" s="80"/>
      <c r="Z136" s="80"/>
      <c r="AA136" s="80"/>
      <c r="AB136" s="80"/>
    </row>
    <row r="137" spans="1:28" ht="15.75" customHeight="1">
      <c r="A137" s="83"/>
      <c r="B137" s="82"/>
      <c r="C137" s="82"/>
      <c r="D137" s="83"/>
      <c r="E137" s="86"/>
      <c r="F137" s="85"/>
      <c r="G137" s="80"/>
      <c r="H137" s="80"/>
      <c r="I137" s="80"/>
      <c r="J137" s="80"/>
      <c r="K137" s="80"/>
      <c r="L137" s="80"/>
      <c r="M137" s="80"/>
      <c r="N137" s="80"/>
      <c r="O137" s="80"/>
      <c r="P137" s="80"/>
      <c r="Q137" s="80"/>
      <c r="R137" s="80"/>
      <c r="S137" s="80"/>
      <c r="T137" s="80"/>
      <c r="U137" s="80"/>
      <c r="V137" s="80"/>
      <c r="W137" s="80"/>
      <c r="X137" s="80"/>
      <c r="Y137" s="80"/>
      <c r="Z137" s="80"/>
      <c r="AA137" s="80"/>
      <c r="AB137" s="80"/>
    </row>
    <row r="138" spans="1:28" ht="15.75" customHeight="1">
      <c r="A138" s="83"/>
      <c r="B138" s="82"/>
      <c r="C138" s="82"/>
      <c r="D138" s="83"/>
      <c r="E138" s="86"/>
      <c r="F138" s="85"/>
      <c r="G138" s="80"/>
      <c r="H138" s="80"/>
      <c r="I138" s="80"/>
      <c r="J138" s="80"/>
      <c r="K138" s="80"/>
      <c r="L138" s="80"/>
      <c r="M138" s="80"/>
      <c r="N138" s="80"/>
      <c r="O138" s="80"/>
      <c r="P138" s="80"/>
      <c r="Q138" s="80"/>
      <c r="R138" s="80"/>
      <c r="S138" s="80"/>
      <c r="T138" s="80"/>
      <c r="U138" s="80"/>
      <c r="V138" s="80"/>
      <c r="W138" s="80"/>
      <c r="X138" s="80"/>
      <c r="Y138" s="80"/>
      <c r="Z138" s="80"/>
      <c r="AA138" s="80"/>
      <c r="AB138" s="80"/>
    </row>
    <row r="139" spans="1:28" ht="15.75" customHeight="1">
      <c r="A139" s="83"/>
      <c r="B139" s="82"/>
      <c r="C139" s="82"/>
      <c r="D139" s="83"/>
      <c r="E139" s="86"/>
      <c r="F139" s="85"/>
      <c r="G139" s="80"/>
      <c r="H139" s="80"/>
      <c r="I139" s="80"/>
      <c r="J139" s="80"/>
      <c r="K139" s="80"/>
      <c r="L139" s="80"/>
      <c r="M139" s="80"/>
      <c r="N139" s="80"/>
      <c r="O139" s="80"/>
      <c r="P139" s="80"/>
      <c r="Q139" s="80"/>
      <c r="R139" s="80"/>
      <c r="S139" s="80"/>
      <c r="T139" s="80"/>
      <c r="U139" s="80"/>
      <c r="V139" s="80"/>
      <c r="W139" s="80"/>
      <c r="X139" s="80"/>
      <c r="Y139" s="80"/>
      <c r="Z139" s="80"/>
      <c r="AA139" s="80"/>
      <c r="AB139" s="80"/>
    </row>
    <row r="140" spans="1:28" ht="15.75" customHeight="1">
      <c r="A140" s="83"/>
      <c r="B140" s="82"/>
      <c r="C140" s="82"/>
      <c r="D140" s="83"/>
      <c r="E140" s="86"/>
      <c r="F140" s="85"/>
      <c r="G140" s="80"/>
      <c r="H140" s="80"/>
      <c r="I140" s="80"/>
      <c r="J140" s="80"/>
      <c r="K140" s="80"/>
      <c r="L140" s="80"/>
      <c r="M140" s="80"/>
      <c r="N140" s="80"/>
      <c r="O140" s="80"/>
      <c r="P140" s="80"/>
      <c r="Q140" s="80"/>
      <c r="R140" s="80"/>
      <c r="S140" s="80"/>
      <c r="T140" s="80"/>
      <c r="U140" s="80"/>
      <c r="V140" s="80"/>
      <c r="W140" s="80"/>
      <c r="X140" s="80"/>
      <c r="Y140" s="80"/>
      <c r="Z140" s="80"/>
      <c r="AA140" s="80"/>
      <c r="AB140" s="80"/>
    </row>
    <row r="141" spans="1:28" ht="15.75" customHeight="1">
      <c r="A141" s="83"/>
      <c r="B141" s="82"/>
      <c r="C141" s="82"/>
      <c r="D141" s="83"/>
      <c r="E141" s="86"/>
      <c r="F141" s="85"/>
      <c r="G141" s="80"/>
      <c r="H141" s="80"/>
      <c r="I141" s="80"/>
      <c r="J141" s="80"/>
      <c r="K141" s="80"/>
      <c r="L141" s="80"/>
      <c r="M141" s="80"/>
      <c r="N141" s="80"/>
      <c r="O141" s="80"/>
      <c r="P141" s="80"/>
      <c r="Q141" s="80"/>
      <c r="R141" s="80"/>
      <c r="S141" s="80"/>
      <c r="T141" s="80"/>
      <c r="U141" s="80"/>
      <c r="V141" s="80"/>
      <c r="W141" s="80"/>
      <c r="X141" s="80"/>
      <c r="Y141" s="80"/>
      <c r="Z141" s="80"/>
      <c r="AA141" s="80"/>
      <c r="AB141" s="80"/>
    </row>
    <row r="142" spans="1:28" ht="15.75" customHeight="1">
      <c r="A142" s="83"/>
      <c r="B142" s="82"/>
      <c r="C142" s="82"/>
      <c r="D142" s="83"/>
      <c r="E142" s="86"/>
      <c r="F142" s="85"/>
      <c r="G142" s="80"/>
      <c r="H142" s="80"/>
      <c r="I142" s="80"/>
      <c r="J142" s="80"/>
      <c r="K142" s="80"/>
      <c r="L142" s="80"/>
      <c r="M142" s="80"/>
      <c r="N142" s="80"/>
      <c r="O142" s="80"/>
      <c r="P142" s="80"/>
      <c r="Q142" s="80"/>
      <c r="R142" s="80"/>
      <c r="S142" s="80"/>
      <c r="T142" s="80"/>
      <c r="U142" s="80"/>
      <c r="V142" s="80"/>
      <c r="W142" s="80"/>
      <c r="X142" s="80"/>
      <c r="Y142" s="80"/>
      <c r="Z142" s="80"/>
      <c r="AA142" s="80"/>
      <c r="AB142" s="80"/>
    </row>
    <row r="143" spans="1:28" ht="15.75" customHeight="1">
      <c r="A143" s="83"/>
      <c r="B143" s="82"/>
      <c r="C143" s="82"/>
      <c r="D143" s="83"/>
      <c r="E143" s="86"/>
      <c r="F143" s="85"/>
      <c r="G143" s="80"/>
      <c r="H143" s="80"/>
      <c r="I143" s="80"/>
      <c r="J143" s="80"/>
      <c r="K143" s="80"/>
      <c r="L143" s="80"/>
      <c r="M143" s="80"/>
      <c r="N143" s="80"/>
      <c r="O143" s="80"/>
      <c r="P143" s="80"/>
      <c r="Q143" s="80"/>
      <c r="R143" s="80"/>
      <c r="S143" s="80"/>
      <c r="T143" s="80"/>
      <c r="U143" s="80"/>
      <c r="V143" s="80"/>
      <c r="W143" s="80"/>
      <c r="X143" s="80"/>
      <c r="Y143" s="80"/>
      <c r="Z143" s="80"/>
      <c r="AA143" s="80"/>
      <c r="AB143" s="80"/>
    </row>
    <row r="144" spans="1:28" ht="15.75" customHeight="1">
      <c r="A144" s="83"/>
      <c r="B144" s="82"/>
      <c r="C144" s="82"/>
      <c r="D144" s="83"/>
      <c r="E144" s="86"/>
      <c r="F144" s="85"/>
      <c r="G144" s="80"/>
      <c r="H144" s="80"/>
      <c r="I144" s="80"/>
      <c r="J144" s="80"/>
      <c r="K144" s="80"/>
      <c r="L144" s="80"/>
      <c r="M144" s="80"/>
      <c r="N144" s="80"/>
      <c r="O144" s="80"/>
      <c r="P144" s="80"/>
      <c r="Q144" s="80"/>
      <c r="R144" s="80"/>
      <c r="S144" s="80"/>
      <c r="T144" s="80"/>
      <c r="U144" s="80"/>
      <c r="V144" s="80"/>
      <c r="W144" s="80"/>
      <c r="X144" s="80"/>
      <c r="Y144" s="80"/>
      <c r="Z144" s="80"/>
      <c r="AA144" s="80"/>
      <c r="AB144" s="80"/>
    </row>
    <row r="145" spans="1:28" ht="15.75" customHeight="1">
      <c r="A145" s="83"/>
      <c r="B145" s="82"/>
      <c r="C145" s="82"/>
      <c r="D145" s="83"/>
      <c r="E145" s="86"/>
      <c r="F145" s="85"/>
      <c r="G145" s="80"/>
      <c r="H145" s="80"/>
      <c r="I145" s="80"/>
      <c r="J145" s="80"/>
      <c r="K145" s="80"/>
      <c r="L145" s="80"/>
      <c r="M145" s="80"/>
      <c r="N145" s="80"/>
      <c r="O145" s="80"/>
      <c r="P145" s="80"/>
      <c r="Q145" s="80"/>
      <c r="R145" s="80"/>
      <c r="S145" s="80"/>
      <c r="T145" s="80"/>
      <c r="U145" s="80"/>
      <c r="V145" s="80"/>
      <c r="W145" s="80"/>
      <c r="X145" s="80"/>
      <c r="Y145" s="80"/>
      <c r="Z145" s="80"/>
      <c r="AA145" s="80"/>
      <c r="AB145" s="80"/>
    </row>
    <row r="146" spans="1:28" ht="15.75" customHeight="1">
      <c r="A146" s="83"/>
      <c r="B146" s="82"/>
      <c r="C146" s="82"/>
      <c r="D146" s="83"/>
      <c r="E146" s="86"/>
      <c r="F146" s="85"/>
      <c r="G146" s="80"/>
      <c r="H146" s="80"/>
      <c r="I146" s="80"/>
      <c r="J146" s="80"/>
      <c r="K146" s="80"/>
      <c r="L146" s="80"/>
      <c r="M146" s="80"/>
      <c r="N146" s="80"/>
      <c r="O146" s="80"/>
      <c r="P146" s="80"/>
      <c r="Q146" s="80"/>
      <c r="R146" s="80"/>
      <c r="S146" s="80"/>
      <c r="T146" s="80"/>
      <c r="U146" s="80"/>
      <c r="V146" s="80"/>
      <c r="W146" s="80"/>
      <c r="X146" s="80"/>
      <c r="Y146" s="80"/>
      <c r="Z146" s="80"/>
      <c r="AA146" s="80"/>
      <c r="AB146" s="80"/>
    </row>
    <row r="147" spans="1:28" ht="15.75" customHeight="1">
      <c r="A147" s="83"/>
      <c r="B147" s="82"/>
      <c r="C147" s="82"/>
      <c r="D147" s="83"/>
      <c r="E147" s="86"/>
      <c r="F147" s="85"/>
      <c r="G147" s="80"/>
      <c r="H147" s="80"/>
      <c r="I147" s="80"/>
      <c r="J147" s="80"/>
      <c r="K147" s="80"/>
      <c r="L147" s="80"/>
      <c r="M147" s="80"/>
      <c r="N147" s="80"/>
      <c r="O147" s="80"/>
      <c r="P147" s="80"/>
      <c r="Q147" s="80"/>
      <c r="R147" s="80"/>
      <c r="S147" s="80"/>
      <c r="T147" s="80"/>
      <c r="U147" s="80"/>
      <c r="V147" s="80"/>
      <c r="W147" s="80"/>
      <c r="X147" s="80"/>
      <c r="Y147" s="80"/>
      <c r="Z147" s="80"/>
      <c r="AA147" s="80"/>
      <c r="AB147" s="80"/>
    </row>
    <row r="148" spans="1:28" ht="15.75" customHeight="1">
      <c r="A148" s="83"/>
      <c r="B148" s="82"/>
      <c r="C148" s="82"/>
      <c r="D148" s="83"/>
      <c r="E148" s="86"/>
      <c r="F148" s="85"/>
      <c r="G148" s="80"/>
      <c r="H148" s="80"/>
      <c r="I148" s="80"/>
      <c r="J148" s="80"/>
      <c r="K148" s="80"/>
      <c r="L148" s="80"/>
      <c r="M148" s="80"/>
      <c r="N148" s="80"/>
      <c r="O148" s="80"/>
      <c r="P148" s="80"/>
      <c r="Q148" s="80"/>
      <c r="R148" s="80"/>
      <c r="S148" s="80"/>
      <c r="T148" s="80"/>
      <c r="U148" s="80"/>
      <c r="V148" s="80"/>
      <c r="W148" s="80"/>
      <c r="X148" s="80"/>
      <c r="Y148" s="80"/>
      <c r="Z148" s="80"/>
      <c r="AA148" s="80"/>
      <c r="AB148" s="80"/>
    </row>
    <row r="149" spans="1:28" ht="15.75" customHeight="1">
      <c r="A149" s="83"/>
      <c r="B149" s="82"/>
      <c r="C149" s="82"/>
      <c r="D149" s="83"/>
      <c r="E149" s="86"/>
      <c r="F149" s="85"/>
      <c r="G149" s="80"/>
      <c r="H149" s="80"/>
      <c r="I149" s="80"/>
      <c r="J149" s="80"/>
      <c r="K149" s="80"/>
      <c r="L149" s="80"/>
      <c r="M149" s="80"/>
      <c r="N149" s="80"/>
      <c r="O149" s="80"/>
      <c r="P149" s="80"/>
      <c r="Q149" s="80"/>
      <c r="R149" s="80"/>
      <c r="S149" s="80"/>
      <c r="T149" s="80"/>
      <c r="U149" s="80"/>
      <c r="V149" s="80"/>
      <c r="W149" s="80"/>
      <c r="X149" s="80"/>
      <c r="Y149" s="80"/>
      <c r="Z149" s="80"/>
      <c r="AA149" s="80"/>
      <c r="AB149" s="80"/>
    </row>
    <row r="150" spans="1:28" ht="15.75" customHeight="1">
      <c r="A150" s="83"/>
      <c r="B150" s="82"/>
      <c r="C150" s="82"/>
      <c r="D150" s="83"/>
      <c r="E150" s="86"/>
      <c r="F150" s="85"/>
      <c r="G150" s="80"/>
      <c r="H150" s="80"/>
      <c r="I150" s="80"/>
      <c r="J150" s="80"/>
      <c r="K150" s="80"/>
      <c r="L150" s="80"/>
      <c r="M150" s="80"/>
      <c r="N150" s="80"/>
      <c r="O150" s="80"/>
      <c r="P150" s="80"/>
      <c r="Q150" s="80"/>
      <c r="R150" s="80"/>
      <c r="S150" s="80"/>
      <c r="T150" s="80"/>
      <c r="U150" s="80"/>
      <c r="V150" s="80"/>
      <c r="W150" s="80"/>
      <c r="X150" s="80"/>
      <c r="Y150" s="80"/>
      <c r="Z150" s="80"/>
      <c r="AA150" s="80"/>
      <c r="AB150" s="80"/>
    </row>
    <row r="151" spans="1:28" ht="15.75" customHeight="1">
      <c r="A151" s="83"/>
      <c r="B151" s="82"/>
      <c r="C151" s="82"/>
      <c r="D151" s="83"/>
      <c r="E151" s="86"/>
      <c r="F151" s="85"/>
      <c r="G151" s="80"/>
      <c r="H151" s="80"/>
      <c r="I151" s="80"/>
      <c r="J151" s="80"/>
      <c r="K151" s="80"/>
      <c r="L151" s="80"/>
      <c r="M151" s="80"/>
      <c r="N151" s="80"/>
      <c r="O151" s="80"/>
      <c r="P151" s="80"/>
      <c r="Q151" s="80"/>
      <c r="R151" s="80"/>
      <c r="S151" s="80"/>
      <c r="T151" s="80"/>
      <c r="U151" s="80"/>
      <c r="V151" s="80"/>
      <c r="W151" s="80"/>
      <c r="X151" s="80"/>
      <c r="Y151" s="80"/>
      <c r="Z151" s="80"/>
      <c r="AA151" s="80"/>
      <c r="AB151" s="80"/>
    </row>
    <row r="152" spans="1:28" ht="15.75" customHeight="1">
      <c r="A152" s="83"/>
      <c r="B152" s="82"/>
      <c r="C152" s="82"/>
      <c r="D152" s="83"/>
      <c r="E152" s="86"/>
      <c r="F152" s="85"/>
      <c r="G152" s="80"/>
      <c r="H152" s="80"/>
      <c r="I152" s="80"/>
      <c r="J152" s="80"/>
      <c r="K152" s="80"/>
      <c r="L152" s="80"/>
      <c r="M152" s="80"/>
      <c r="N152" s="80"/>
      <c r="O152" s="80"/>
      <c r="P152" s="80"/>
      <c r="Q152" s="80"/>
      <c r="R152" s="80"/>
      <c r="S152" s="80"/>
      <c r="T152" s="80"/>
      <c r="U152" s="80"/>
      <c r="V152" s="80"/>
      <c r="W152" s="80"/>
      <c r="X152" s="80"/>
      <c r="Y152" s="80"/>
      <c r="Z152" s="80"/>
      <c r="AA152" s="80"/>
      <c r="AB152" s="80"/>
    </row>
    <row r="153" spans="1:28" ht="15.75" customHeight="1">
      <c r="A153" s="83"/>
      <c r="B153" s="82"/>
      <c r="C153" s="82"/>
      <c r="D153" s="83"/>
      <c r="E153" s="86"/>
      <c r="F153" s="85"/>
      <c r="G153" s="80"/>
      <c r="H153" s="80"/>
      <c r="I153" s="80"/>
      <c r="J153" s="80"/>
      <c r="K153" s="80"/>
      <c r="L153" s="80"/>
      <c r="M153" s="80"/>
      <c r="N153" s="80"/>
      <c r="O153" s="80"/>
      <c r="P153" s="80"/>
      <c r="Q153" s="80"/>
      <c r="R153" s="80"/>
      <c r="S153" s="80"/>
      <c r="T153" s="80"/>
      <c r="U153" s="80"/>
      <c r="V153" s="80"/>
      <c r="W153" s="80"/>
      <c r="X153" s="80"/>
      <c r="Y153" s="80"/>
      <c r="Z153" s="80"/>
      <c r="AA153" s="80"/>
      <c r="AB153" s="80"/>
    </row>
    <row r="154" spans="1:28" ht="15.75" customHeight="1">
      <c r="A154" s="83"/>
      <c r="B154" s="82"/>
      <c r="C154" s="82"/>
      <c r="D154" s="83"/>
      <c r="E154" s="86"/>
      <c r="F154" s="85"/>
      <c r="G154" s="80"/>
      <c r="H154" s="80"/>
      <c r="I154" s="80"/>
      <c r="J154" s="80"/>
      <c r="K154" s="80"/>
      <c r="L154" s="80"/>
      <c r="M154" s="80"/>
      <c r="N154" s="80"/>
      <c r="O154" s="80"/>
      <c r="P154" s="80"/>
      <c r="Q154" s="80"/>
      <c r="R154" s="80"/>
      <c r="S154" s="80"/>
      <c r="T154" s="80"/>
      <c r="U154" s="80"/>
      <c r="V154" s="80"/>
      <c r="W154" s="80"/>
      <c r="X154" s="80"/>
      <c r="Y154" s="80"/>
      <c r="Z154" s="80"/>
      <c r="AA154" s="80"/>
      <c r="AB154" s="80"/>
    </row>
    <row r="155" spans="1:28" ht="15.75" customHeight="1">
      <c r="A155" s="83"/>
      <c r="B155" s="82"/>
      <c r="C155" s="82"/>
      <c r="D155" s="83"/>
      <c r="E155" s="86"/>
      <c r="F155" s="85"/>
      <c r="G155" s="80"/>
      <c r="H155" s="80"/>
      <c r="I155" s="80"/>
      <c r="J155" s="80"/>
      <c r="K155" s="80"/>
      <c r="L155" s="80"/>
      <c r="M155" s="80"/>
      <c r="N155" s="80"/>
      <c r="O155" s="80"/>
      <c r="P155" s="80"/>
      <c r="Q155" s="80"/>
      <c r="R155" s="80"/>
      <c r="S155" s="80"/>
      <c r="T155" s="80"/>
      <c r="U155" s="80"/>
      <c r="V155" s="80"/>
      <c r="W155" s="80"/>
      <c r="X155" s="80"/>
      <c r="Y155" s="80"/>
      <c r="Z155" s="80"/>
      <c r="AA155" s="80"/>
      <c r="AB155" s="80"/>
    </row>
    <row r="156" spans="1:28" ht="15.75" customHeight="1">
      <c r="A156" s="83"/>
      <c r="B156" s="82"/>
      <c r="C156" s="82"/>
      <c r="D156" s="83"/>
      <c r="E156" s="86"/>
      <c r="F156" s="85"/>
      <c r="G156" s="80"/>
      <c r="H156" s="80"/>
      <c r="I156" s="80"/>
      <c r="J156" s="80"/>
      <c r="K156" s="80"/>
      <c r="L156" s="80"/>
      <c r="M156" s="80"/>
      <c r="N156" s="80"/>
      <c r="O156" s="80"/>
      <c r="P156" s="80"/>
      <c r="Q156" s="80"/>
      <c r="R156" s="80"/>
      <c r="S156" s="80"/>
      <c r="T156" s="80"/>
      <c r="U156" s="80"/>
      <c r="V156" s="80"/>
      <c r="W156" s="80"/>
      <c r="X156" s="80"/>
      <c r="Y156" s="80"/>
      <c r="Z156" s="80"/>
      <c r="AA156" s="80"/>
      <c r="AB156" s="80"/>
    </row>
    <row r="157" spans="1:28" ht="15.75" customHeight="1">
      <c r="A157" s="83"/>
      <c r="B157" s="82"/>
      <c r="C157" s="82"/>
      <c r="D157" s="83"/>
      <c r="E157" s="86"/>
      <c r="F157" s="85"/>
      <c r="G157" s="80"/>
      <c r="H157" s="80"/>
      <c r="I157" s="80"/>
      <c r="J157" s="80"/>
      <c r="K157" s="80"/>
      <c r="L157" s="80"/>
      <c r="M157" s="80"/>
      <c r="N157" s="80"/>
      <c r="O157" s="80"/>
      <c r="P157" s="80"/>
      <c r="Q157" s="80"/>
      <c r="R157" s="80"/>
      <c r="S157" s="80"/>
      <c r="T157" s="80"/>
      <c r="U157" s="80"/>
      <c r="V157" s="80"/>
      <c r="W157" s="80"/>
      <c r="X157" s="80"/>
      <c r="Y157" s="80"/>
      <c r="Z157" s="80"/>
      <c r="AA157" s="80"/>
      <c r="AB157" s="80"/>
    </row>
    <row r="158" spans="1:28" ht="15.75" customHeight="1">
      <c r="A158" s="83"/>
      <c r="B158" s="82"/>
      <c r="C158" s="82"/>
      <c r="D158" s="83"/>
      <c r="E158" s="86"/>
      <c r="F158" s="85"/>
      <c r="G158" s="80"/>
      <c r="H158" s="80"/>
      <c r="I158" s="80"/>
      <c r="J158" s="80"/>
      <c r="K158" s="80"/>
      <c r="L158" s="80"/>
      <c r="M158" s="80"/>
      <c r="N158" s="80"/>
      <c r="O158" s="80"/>
      <c r="P158" s="80"/>
      <c r="Q158" s="80"/>
      <c r="R158" s="80"/>
      <c r="S158" s="80"/>
      <c r="T158" s="80"/>
      <c r="U158" s="80"/>
      <c r="V158" s="80"/>
      <c r="W158" s="80"/>
      <c r="X158" s="80"/>
      <c r="Y158" s="80"/>
      <c r="Z158" s="80"/>
      <c r="AA158" s="80"/>
      <c r="AB158" s="80"/>
    </row>
    <row r="159" spans="1:28" ht="15.75" customHeight="1">
      <c r="A159" s="83"/>
      <c r="B159" s="82"/>
      <c r="C159" s="82"/>
      <c r="D159" s="83"/>
      <c r="E159" s="86"/>
      <c r="F159" s="85"/>
      <c r="G159" s="80"/>
      <c r="H159" s="80"/>
      <c r="I159" s="80"/>
      <c r="J159" s="80"/>
      <c r="K159" s="80"/>
      <c r="L159" s="80"/>
      <c r="M159" s="80"/>
      <c r="N159" s="80"/>
      <c r="O159" s="80"/>
      <c r="P159" s="80"/>
      <c r="Q159" s="80"/>
      <c r="R159" s="80"/>
      <c r="S159" s="80"/>
      <c r="T159" s="80"/>
      <c r="U159" s="80"/>
      <c r="V159" s="80"/>
      <c r="W159" s="80"/>
      <c r="X159" s="80"/>
      <c r="Y159" s="80"/>
      <c r="Z159" s="80"/>
      <c r="AA159" s="80"/>
      <c r="AB159" s="80"/>
    </row>
    <row r="160" spans="1:28" ht="15.75" customHeight="1">
      <c r="A160" s="83"/>
      <c r="B160" s="82"/>
      <c r="C160" s="82"/>
      <c r="D160" s="83"/>
      <c r="E160" s="86"/>
      <c r="F160" s="85"/>
      <c r="G160" s="80"/>
      <c r="H160" s="80"/>
      <c r="I160" s="80"/>
      <c r="J160" s="80"/>
      <c r="K160" s="80"/>
      <c r="L160" s="80"/>
      <c r="M160" s="80"/>
      <c r="N160" s="80"/>
      <c r="O160" s="80"/>
      <c r="P160" s="80"/>
      <c r="Q160" s="80"/>
      <c r="R160" s="80"/>
      <c r="S160" s="80"/>
      <c r="T160" s="80"/>
      <c r="U160" s="80"/>
      <c r="V160" s="80"/>
      <c r="W160" s="80"/>
      <c r="X160" s="80"/>
      <c r="Y160" s="80"/>
      <c r="Z160" s="80"/>
      <c r="AA160" s="80"/>
      <c r="AB160" s="80"/>
    </row>
    <row r="161" spans="1:28" ht="15.75" customHeight="1">
      <c r="A161" s="83"/>
      <c r="B161" s="82"/>
      <c r="C161" s="82"/>
      <c r="D161" s="83"/>
      <c r="E161" s="86"/>
      <c r="F161" s="85"/>
      <c r="G161" s="80"/>
      <c r="H161" s="80"/>
      <c r="I161" s="80"/>
      <c r="J161" s="80"/>
      <c r="K161" s="80"/>
      <c r="L161" s="80"/>
      <c r="M161" s="80"/>
      <c r="N161" s="80"/>
      <c r="O161" s="80"/>
      <c r="P161" s="80"/>
      <c r="Q161" s="80"/>
      <c r="R161" s="80"/>
      <c r="S161" s="80"/>
      <c r="T161" s="80"/>
      <c r="U161" s="80"/>
      <c r="V161" s="80"/>
      <c r="W161" s="80"/>
      <c r="X161" s="80"/>
      <c r="Y161" s="80"/>
      <c r="Z161" s="80"/>
      <c r="AA161" s="80"/>
      <c r="AB161" s="80"/>
    </row>
    <row r="162" spans="1:28" ht="15.75" customHeight="1">
      <c r="A162" s="83"/>
      <c r="B162" s="82"/>
      <c r="C162" s="82"/>
      <c r="D162" s="83"/>
      <c r="E162" s="86"/>
      <c r="F162" s="85"/>
      <c r="G162" s="80"/>
      <c r="H162" s="80"/>
      <c r="I162" s="80"/>
      <c r="J162" s="80"/>
      <c r="K162" s="80"/>
      <c r="L162" s="80"/>
      <c r="M162" s="80"/>
      <c r="N162" s="80"/>
      <c r="O162" s="80"/>
      <c r="P162" s="80"/>
      <c r="Q162" s="80"/>
      <c r="R162" s="80"/>
      <c r="S162" s="80"/>
      <c r="T162" s="80"/>
      <c r="U162" s="80"/>
      <c r="V162" s="80"/>
      <c r="W162" s="80"/>
      <c r="X162" s="80"/>
      <c r="Y162" s="80"/>
      <c r="Z162" s="80"/>
      <c r="AA162" s="80"/>
      <c r="AB162" s="80"/>
    </row>
    <row r="163" spans="1:28" ht="15.75" customHeight="1">
      <c r="A163" s="83"/>
      <c r="B163" s="82"/>
      <c r="C163" s="82"/>
      <c r="D163" s="83"/>
      <c r="E163" s="86"/>
      <c r="F163" s="85"/>
      <c r="G163" s="80"/>
      <c r="H163" s="80"/>
      <c r="I163" s="80"/>
      <c r="J163" s="80"/>
      <c r="K163" s="80"/>
      <c r="L163" s="80"/>
      <c r="M163" s="80"/>
      <c r="N163" s="80"/>
      <c r="O163" s="80"/>
      <c r="P163" s="80"/>
      <c r="Q163" s="80"/>
      <c r="R163" s="80"/>
      <c r="S163" s="80"/>
      <c r="T163" s="80"/>
      <c r="U163" s="80"/>
      <c r="V163" s="80"/>
      <c r="W163" s="80"/>
      <c r="X163" s="80"/>
      <c r="Y163" s="80"/>
      <c r="Z163" s="80"/>
      <c r="AA163" s="80"/>
      <c r="AB163" s="80"/>
    </row>
    <row r="164" spans="1:28" ht="15.75" customHeight="1">
      <c r="A164" s="83"/>
      <c r="B164" s="82"/>
      <c r="C164" s="82"/>
      <c r="D164" s="83"/>
      <c r="E164" s="86"/>
      <c r="F164" s="85"/>
      <c r="G164" s="80"/>
      <c r="H164" s="80"/>
      <c r="I164" s="80"/>
      <c r="J164" s="80"/>
      <c r="K164" s="80"/>
      <c r="L164" s="80"/>
      <c r="M164" s="80"/>
      <c r="N164" s="80"/>
      <c r="O164" s="80"/>
      <c r="P164" s="80"/>
      <c r="Q164" s="80"/>
      <c r="R164" s="80"/>
      <c r="S164" s="80"/>
      <c r="T164" s="80"/>
      <c r="U164" s="80"/>
      <c r="V164" s="80"/>
      <c r="W164" s="80"/>
      <c r="X164" s="80"/>
      <c r="Y164" s="80"/>
      <c r="Z164" s="80"/>
      <c r="AA164" s="80"/>
      <c r="AB164" s="80"/>
    </row>
    <row r="165" spans="1:28" ht="15.75" customHeight="1">
      <c r="A165" s="83"/>
      <c r="B165" s="82"/>
      <c r="C165" s="82"/>
      <c r="D165" s="83"/>
      <c r="E165" s="86"/>
      <c r="F165" s="85"/>
      <c r="G165" s="80"/>
      <c r="H165" s="80"/>
      <c r="I165" s="80"/>
      <c r="J165" s="80"/>
      <c r="K165" s="80"/>
      <c r="L165" s="80"/>
      <c r="M165" s="80"/>
      <c r="N165" s="80"/>
      <c r="O165" s="80"/>
      <c r="P165" s="80"/>
      <c r="Q165" s="80"/>
      <c r="R165" s="80"/>
      <c r="S165" s="80"/>
      <c r="T165" s="80"/>
      <c r="U165" s="80"/>
      <c r="V165" s="80"/>
      <c r="W165" s="80"/>
      <c r="X165" s="80"/>
      <c r="Y165" s="80"/>
      <c r="Z165" s="80"/>
      <c r="AA165" s="80"/>
      <c r="AB165" s="80"/>
    </row>
    <row r="166" spans="1:28" ht="15.75" customHeight="1">
      <c r="A166" s="83"/>
      <c r="B166" s="82"/>
      <c r="C166" s="82"/>
      <c r="D166" s="83"/>
      <c r="E166" s="86"/>
      <c r="F166" s="85"/>
      <c r="G166" s="80"/>
      <c r="H166" s="80"/>
      <c r="I166" s="80"/>
      <c r="J166" s="80"/>
      <c r="K166" s="80"/>
      <c r="L166" s="80"/>
      <c r="M166" s="80"/>
      <c r="N166" s="80"/>
      <c r="O166" s="80"/>
      <c r="P166" s="80"/>
      <c r="Q166" s="80"/>
      <c r="R166" s="80"/>
      <c r="S166" s="80"/>
      <c r="T166" s="80"/>
      <c r="U166" s="80"/>
      <c r="V166" s="80"/>
      <c r="W166" s="80"/>
      <c r="X166" s="80"/>
      <c r="Y166" s="80"/>
      <c r="Z166" s="80"/>
      <c r="AA166" s="80"/>
      <c r="AB166" s="80"/>
    </row>
    <row r="167" spans="1:28" ht="15.75" customHeight="1">
      <c r="A167" s="83"/>
      <c r="B167" s="82"/>
      <c r="C167" s="82"/>
      <c r="D167" s="83"/>
      <c r="E167" s="86"/>
      <c r="F167" s="85"/>
      <c r="G167" s="80"/>
      <c r="H167" s="80"/>
      <c r="I167" s="80"/>
      <c r="J167" s="80"/>
      <c r="K167" s="80"/>
      <c r="L167" s="80"/>
      <c r="M167" s="80"/>
      <c r="N167" s="80"/>
      <c r="O167" s="80"/>
      <c r="P167" s="80"/>
      <c r="Q167" s="80"/>
      <c r="R167" s="80"/>
      <c r="S167" s="80"/>
      <c r="T167" s="80"/>
      <c r="U167" s="80"/>
      <c r="V167" s="80"/>
      <c r="W167" s="80"/>
      <c r="X167" s="80"/>
      <c r="Y167" s="80"/>
      <c r="Z167" s="80"/>
      <c r="AA167" s="80"/>
      <c r="AB167" s="80"/>
    </row>
    <row r="168" spans="1:28" ht="15.75" customHeight="1">
      <c r="A168" s="83"/>
      <c r="B168" s="82"/>
      <c r="C168" s="82"/>
      <c r="D168" s="83"/>
      <c r="E168" s="86"/>
      <c r="F168" s="85"/>
      <c r="G168" s="80"/>
      <c r="H168" s="80"/>
      <c r="I168" s="80"/>
      <c r="J168" s="80"/>
      <c r="K168" s="80"/>
      <c r="L168" s="80"/>
      <c r="M168" s="80"/>
      <c r="N168" s="80"/>
      <c r="O168" s="80"/>
      <c r="P168" s="80"/>
      <c r="Q168" s="80"/>
      <c r="R168" s="80"/>
      <c r="S168" s="80"/>
      <c r="T168" s="80"/>
      <c r="U168" s="80"/>
      <c r="V168" s="80"/>
      <c r="W168" s="80"/>
      <c r="X168" s="80"/>
      <c r="Y168" s="80"/>
      <c r="Z168" s="80"/>
      <c r="AA168" s="80"/>
      <c r="AB168" s="80"/>
    </row>
    <row r="169" spans="1:28" ht="15.75" customHeight="1">
      <c r="A169" s="83"/>
      <c r="B169" s="82"/>
      <c r="C169" s="82"/>
      <c r="D169" s="83"/>
      <c r="E169" s="86"/>
      <c r="F169" s="85"/>
      <c r="G169" s="80"/>
      <c r="H169" s="80"/>
      <c r="I169" s="80"/>
      <c r="J169" s="80"/>
      <c r="K169" s="80"/>
      <c r="L169" s="80"/>
      <c r="M169" s="80"/>
      <c r="N169" s="80"/>
      <c r="O169" s="80"/>
      <c r="P169" s="80"/>
      <c r="Q169" s="80"/>
      <c r="R169" s="80"/>
      <c r="S169" s="80"/>
      <c r="T169" s="80"/>
      <c r="U169" s="80"/>
      <c r="V169" s="80"/>
      <c r="W169" s="80"/>
      <c r="X169" s="80"/>
      <c r="Y169" s="80"/>
      <c r="Z169" s="80"/>
      <c r="AA169" s="80"/>
      <c r="AB169" s="80"/>
    </row>
    <row r="170" spans="1:28" ht="15.75" customHeight="1">
      <c r="A170" s="83"/>
      <c r="B170" s="82"/>
      <c r="C170" s="82"/>
      <c r="D170" s="83"/>
      <c r="E170" s="86"/>
      <c r="F170" s="85"/>
      <c r="G170" s="80"/>
      <c r="H170" s="80"/>
      <c r="I170" s="80"/>
      <c r="J170" s="80"/>
      <c r="K170" s="80"/>
      <c r="L170" s="80"/>
      <c r="M170" s="80"/>
      <c r="N170" s="80"/>
      <c r="O170" s="80"/>
      <c r="P170" s="80"/>
      <c r="Q170" s="80"/>
      <c r="R170" s="80"/>
      <c r="S170" s="80"/>
      <c r="T170" s="80"/>
      <c r="U170" s="80"/>
      <c r="V170" s="80"/>
      <c r="W170" s="80"/>
      <c r="X170" s="80"/>
      <c r="Y170" s="80"/>
      <c r="Z170" s="80"/>
      <c r="AA170" s="80"/>
      <c r="AB170" s="80"/>
    </row>
    <row r="171" spans="1:28" ht="15.75" customHeight="1">
      <c r="A171" s="83"/>
      <c r="B171" s="82"/>
      <c r="C171" s="82"/>
      <c r="D171" s="83"/>
      <c r="E171" s="86"/>
      <c r="F171" s="85"/>
      <c r="G171" s="80"/>
      <c r="H171" s="80"/>
      <c r="I171" s="80"/>
      <c r="J171" s="80"/>
      <c r="K171" s="80"/>
      <c r="L171" s="80"/>
      <c r="M171" s="80"/>
      <c r="N171" s="80"/>
      <c r="O171" s="80"/>
      <c r="P171" s="80"/>
      <c r="Q171" s="80"/>
      <c r="R171" s="80"/>
      <c r="S171" s="80"/>
      <c r="T171" s="80"/>
      <c r="U171" s="80"/>
      <c r="V171" s="80"/>
      <c r="W171" s="80"/>
      <c r="X171" s="80"/>
      <c r="Y171" s="80"/>
      <c r="Z171" s="80"/>
      <c r="AA171" s="80"/>
      <c r="AB171" s="80"/>
    </row>
    <row r="172" spans="1:28" ht="15.75" customHeight="1">
      <c r="A172" s="83"/>
      <c r="B172" s="82"/>
      <c r="C172" s="82"/>
      <c r="D172" s="83"/>
      <c r="E172" s="86"/>
      <c r="F172" s="85"/>
      <c r="G172" s="80"/>
      <c r="H172" s="80"/>
      <c r="I172" s="80"/>
      <c r="J172" s="80"/>
      <c r="K172" s="80"/>
      <c r="L172" s="80"/>
      <c r="M172" s="80"/>
      <c r="N172" s="80"/>
      <c r="O172" s="80"/>
      <c r="P172" s="80"/>
      <c r="Q172" s="80"/>
      <c r="R172" s="80"/>
      <c r="S172" s="80"/>
      <c r="T172" s="80"/>
      <c r="U172" s="80"/>
      <c r="V172" s="80"/>
      <c r="W172" s="80"/>
      <c r="X172" s="80"/>
      <c r="Y172" s="80"/>
      <c r="Z172" s="80"/>
      <c r="AA172" s="80"/>
      <c r="AB172" s="80"/>
    </row>
    <row r="173" spans="1:28" ht="15.75" customHeight="1">
      <c r="A173" s="83"/>
      <c r="B173" s="82"/>
      <c r="C173" s="82"/>
      <c r="D173" s="83"/>
      <c r="E173" s="86"/>
      <c r="F173" s="85"/>
      <c r="G173" s="80"/>
      <c r="H173" s="80"/>
      <c r="I173" s="80"/>
      <c r="J173" s="80"/>
      <c r="K173" s="80"/>
      <c r="L173" s="80"/>
      <c r="M173" s="80"/>
      <c r="N173" s="80"/>
      <c r="O173" s="80"/>
      <c r="P173" s="80"/>
      <c r="Q173" s="80"/>
      <c r="R173" s="80"/>
      <c r="S173" s="80"/>
      <c r="T173" s="80"/>
      <c r="U173" s="80"/>
      <c r="V173" s="80"/>
      <c r="W173" s="80"/>
      <c r="X173" s="80"/>
      <c r="Y173" s="80"/>
      <c r="Z173" s="80"/>
      <c r="AA173" s="80"/>
      <c r="AB173" s="80"/>
    </row>
    <row r="174" spans="1:28" ht="15.75" customHeight="1">
      <c r="A174" s="83"/>
      <c r="B174" s="82"/>
      <c r="C174" s="82"/>
      <c r="D174" s="83"/>
      <c r="E174" s="86"/>
      <c r="F174" s="85"/>
      <c r="G174" s="80"/>
      <c r="H174" s="80"/>
      <c r="I174" s="80"/>
      <c r="J174" s="80"/>
      <c r="K174" s="80"/>
      <c r="L174" s="80"/>
      <c r="M174" s="80"/>
      <c r="N174" s="80"/>
      <c r="O174" s="80"/>
      <c r="P174" s="80"/>
      <c r="Q174" s="80"/>
      <c r="R174" s="80"/>
      <c r="S174" s="80"/>
      <c r="T174" s="80"/>
      <c r="U174" s="80"/>
      <c r="V174" s="80"/>
      <c r="W174" s="80"/>
      <c r="X174" s="80"/>
      <c r="Y174" s="80"/>
      <c r="Z174" s="80"/>
      <c r="AA174" s="80"/>
      <c r="AB174" s="80"/>
    </row>
    <row r="175" spans="1:28" ht="15.75" customHeight="1">
      <c r="A175" s="83"/>
      <c r="B175" s="82"/>
      <c r="C175" s="82"/>
      <c r="D175" s="83"/>
      <c r="E175" s="86"/>
      <c r="F175" s="85"/>
      <c r="G175" s="80"/>
      <c r="H175" s="80"/>
      <c r="I175" s="80"/>
      <c r="J175" s="80"/>
      <c r="K175" s="80"/>
      <c r="L175" s="80"/>
      <c r="M175" s="80"/>
      <c r="N175" s="80"/>
      <c r="O175" s="80"/>
      <c r="P175" s="80"/>
      <c r="Q175" s="80"/>
      <c r="R175" s="80"/>
      <c r="S175" s="80"/>
      <c r="T175" s="80"/>
      <c r="U175" s="80"/>
      <c r="V175" s="80"/>
      <c r="W175" s="80"/>
      <c r="X175" s="80"/>
      <c r="Y175" s="80"/>
      <c r="Z175" s="80"/>
      <c r="AA175" s="80"/>
      <c r="AB175" s="80"/>
    </row>
    <row r="176" spans="1:28" ht="15.75" customHeight="1">
      <c r="A176" s="83"/>
      <c r="B176" s="82"/>
      <c r="C176" s="82"/>
      <c r="D176" s="83"/>
      <c r="E176" s="86"/>
      <c r="F176" s="85"/>
      <c r="G176" s="80"/>
      <c r="H176" s="80"/>
      <c r="I176" s="80"/>
      <c r="J176" s="80"/>
      <c r="K176" s="80"/>
      <c r="L176" s="80"/>
      <c r="M176" s="80"/>
      <c r="N176" s="80"/>
      <c r="O176" s="80"/>
      <c r="P176" s="80"/>
      <c r="Q176" s="80"/>
      <c r="R176" s="80"/>
      <c r="S176" s="80"/>
      <c r="T176" s="80"/>
      <c r="U176" s="80"/>
      <c r="V176" s="80"/>
      <c r="W176" s="80"/>
      <c r="X176" s="80"/>
      <c r="Y176" s="80"/>
      <c r="Z176" s="80"/>
      <c r="AA176" s="80"/>
      <c r="AB176" s="80"/>
    </row>
    <row r="177" spans="1:28" ht="15.75" customHeight="1">
      <c r="A177" s="83"/>
      <c r="B177" s="82"/>
      <c r="C177" s="82"/>
      <c r="D177" s="83"/>
      <c r="E177" s="86"/>
      <c r="F177" s="85"/>
      <c r="G177" s="80"/>
      <c r="H177" s="80"/>
      <c r="I177" s="80"/>
      <c r="J177" s="80"/>
      <c r="K177" s="80"/>
      <c r="L177" s="80"/>
      <c r="M177" s="80"/>
      <c r="N177" s="80"/>
      <c r="O177" s="80"/>
      <c r="P177" s="80"/>
      <c r="Q177" s="80"/>
      <c r="R177" s="80"/>
      <c r="S177" s="80"/>
      <c r="T177" s="80"/>
      <c r="U177" s="80"/>
      <c r="V177" s="80"/>
      <c r="W177" s="80"/>
      <c r="X177" s="80"/>
      <c r="Y177" s="80"/>
      <c r="Z177" s="80"/>
      <c r="AA177" s="80"/>
      <c r="AB177" s="80"/>
    </row>
    <row r="178" spans="1:28" ht="15.75" customHeight="1">
      <c r="A178" s="83"/>
      <c r="B178" s="82"/>
      <c r="C178" s="82"/>
      <c r="D178" s="83"/>
      <c r="E178" s="86"/>
      <c r="F178" s="85"/>
      <c r="G178" s="80"/>
      <c r="H178" s="80"/>
      <c r="I178" s="80"/>
      <c r="J178" s="80"/>
      <c r="K178" s="80"/>
      <c r="L178" s="80"/>
      <c r="M178" s="80"/>
      <c r="N178" s="80"/>
      <c r="O178" s="80"/>
      <c r="P178" s="80"/>
      <c r="Q178" s="80"/>
      <c r="R178" s="80"/>
      <c r="S178" s="80"/>
      <c r="T178" s="80"/>
      <c r="U178" s="80"/>
      <c r="V178" s="80"/>
      <c r="W178" s="80"/>
      <c r="X178" s="80"/>
      <c r="Y178" s="80"/>
      <c r="Z178" s="80"/>
      <c r="AA178" s="80"/>
      <c r="AB178" s="80"/>
    </row>
    <row r="179" spans="1:28" ht="15.75" customHeight="1">
      <c r="A179" s="83"/>
      <c r="B179" s="82"/>
      <c r="C179" s="82"/>
      <c r="D179" s="83"/>
      <c r="E179" s="86"/>
      <c r="F179" s="85"/>
      <c r="G179" s="80"/>
      <c r="H179" s="80"/>
      <c r="I179" s="80"/>
      <c r="J179" s="80"/>
      <c r="K179" s="80"/>
      <c r="L179" s="80"/>
      <c r="M179" s="80"/>
      <c r="N179" s="80"/>
      <c r="O179" s="80"/>
      <c r="P179" s="80"/>
      <c r="Q179" s="80"/>
      <c r="R179" s="80"/>
      <c r="S179" s="80"/>
      <c r="T179" s="80"/>
      <c r="U179" s="80"/>
      <c r="V179" s="80"/>
      <c r="W179" s="80"/>
      <c r="X179" s="80"/>
      <c r="Y179" s="80"/>
      <c r="Z179" s="80"/>
      <c r="AA179" s="80"/>
      <c r="AB179" s="80"/>
    </row>
    <row r="180" spans="1:28" ht="15.75" customHeight="1">
      <c r="A180" s="83"/>
      <c r="B180" s="82"/>
      <c r="C180" s="82"/>
      <c r="D180" s="83"/>
      <c r="E180" s="86"/>
      <c r="F180" s="85"/>
      <c r="G180" s="80"/>
      <c r="H180" s="80"/>
      <c r="I180" s="80"/>
      <c r="J180" s="80"/>
      <c r="K180" s="80"/>
      <c r="L180" s="80"/>
      <c r="M180" s="80"/>
      <c r="N180" s="80"/>
      <c r="O180" s="80"/>
      <c r="P180" s="80"/>
      <c r="Q180" s="80"/>
      <c r="R180" s="80"/>
      <c r="S180" s="80"/>
      <c r="T180" s="80"/>
      <c r="U180" s="80"/>
      <c r="V180" s="80"/>
      <c r="W180" s="80"/>
      <c r="X180" s="80"/>
      <c r="Y180" s="80"/>
      <c r="Z180" s="80"/>
      <c r="AA180" s="80"/>
      <c r="AB180" s="80"/>
    </row>
    <row r="181" spans="1:28" ht="15.75" customHeight="1">
      <c r="A181" s="83"/>
      <c r="B181" s="82"/>
      <c r="C181" s="82"/>
      <c r="D181" s="83"/>
      <c r="E181" s="86"/>
      <c r="F181" s="85"/>
      <c r="G181" s="80"/>
      <c r="H181" s="80"/>
      <c r="I181" s="80"/>
      <c r="J181" s="80"/>
      <c r="K181" s="80"/>
      <c r="L181" s="80"/>
      <c r="M181" s="80"/>
      <c r="N181" s="80"/>
      <c r="O181" s="80"/>
      <c r="P181" s="80"/>
      <c r="Q181" s="80"/>
      <c r="R181" s="80"/>
      <c r="S181" s="80"/>
      <c r="T181" s="80"/>
      <c r="U181" s="80"/>
      <c r="V181" s="80"/>
      <c r="W181" s="80"/>
      <c r="X181" s="80"/>
      <c r="Y181" s="80"/>
      <c r="Z181" s="80"/>
      <c r="AA181" s="80"/>
      <c r="AB181" s="80"/>
    </row>
    <row r="182" spans="1:28" ht="15.75" customHeight="1">
      <c r="A182" s="83"/>
      <c r="B182" s="82"/>
      <c r="C182" s="82"/>
      <c r="D182" s="83"/>
      <c r="E182" s="86"/>
      <c r="F182" s="85"/>
      <c r="G182" s="80"/>
      <c r="H182" s="80"/>
      <c r="I182" s="80"/>
      <c r="J182" s="80"/>
      <c r="K182" s="80"/>
      <c r="L182" s="80"/>
      <c r="M182" s="80"/>
      <c r="N182" s="80"/>
      <c r="O182" s="80"/>
      <c r="P182" s="80"/>
      <c r="Q182" s="80"/>
      <c r="R182" s="80"/>
      <c r="S182" s="80"/>
      <c r="T182" s="80"/>
      <c r="U182" s="80"/>
      <c r="V182" s="80"/>
      <c r="W182" s="80"/>
      <c r="X182" s="80"/>
      <c r="Y182" s="80"/>
      <c r="Z182" s="80"/>
      <c r="AA182" s="80"/>
      <c r="AB182" s="80"/>
    </row>
    <row r="183" spans="1:28" ht="15.75" customHeight="1">
      <c r="A183" s="83"/>
      <c r="B183" s="82"/>
      <c r="C183" s="82"/>
      <c r="D183" s="83"/>
      <c r="E183" s="86"/>
      <c r="F183" s="85"/>
      <c r="G183" s="80"/>
      <c r="H183" s="80"/>
      <c r="I183" s="80"/>
      <c r="J183" s="80"/>
      <c r="K183" s="80"/>
      <c r="L183" s="80"/>
      <c r="M183" s="80"/>
      <c r="N183" s="80"/>
      <c r="O183" s="80"/>
      <c r="P183" s="80"/>
      <c r="Q183" s="80"/>
      <c r="R183" s="80"/>
      <c r="S183" s="80"/>
      <c r="T183" s="80"/>
      <c r="U183" s="80"/>
      <c r="V183" s="80"/>
      <c r="W183" s="80"/>
      <c r="X183" s="80"/>
      <c r="Y183" s="80"/>
      <c r="Z183" s="80"/>
      <c r="AA183" s="80"/>
      <c r="AB183" s="80"/>
    </row>
    <row r="184" spans="1:28" ht="15.75" customHeight="1">
      <c r="A184" s="83"/>
      <c r="B184" s="82"/>
      <c r="C184" s="82"/>
      <c r="D184" s="83"/>
      <c r="E184" s="86"/>
      <c r="F184" s="85"/>
      <c r="G184" s="80"/>
      <c r="H184" s="80"/>
      <c r="I184" s="80"/>
      <c r="J184" s="80"/>
      <c r="K184" s="80"/>
      <c r="L184" s="80"/>
      <c r="M184" s="80"/>
      <c r="N184" s="80"/>
      <c r="O184" s="80"/>
      <c r="P184" s="80"/>
      <c r="Q184" s="80"/>
      <c r="R184" s="80"/>
      <c r="S184" s="80"/>
      <c r="T184" s="80"/>
      <c r="U184" s="80"/>
      <c r="V184" s="80"/>
      <c r="W184" s="80"/>
      <c r="X184" s="80"/>
      <c r="Y184" s="80"/>
      <c r="Z184" s="80"/>
      <c r="AA184" s="80"/>
      <c r="AB184" s="80"/>
    </row>
    <row r="185" spans="1:28" ht="15.75" customHeight="1">
      <c r="A185" s="83"/>
      <c r="B185" s="82"/>
      <c r="C185" s="82"/>
      <c r="D185" s="83"/>
      <c r="E185" s="86"/>
      <c r="F185" s="85"/>
      <c r="G185" s="80"/>
      <c r="H185" s="80"/>
      <c r="I185" s="80"/>
      <c r="J185" s="80"/>
      <c r="K185" s="80"/>
      <c r="L185" s="80"/>
      <c r="M185" s="80"/>
      <c r="N185" s="80"/>
      <c r="O185" s="80"/>
      <c r="P185" s="80"/>
      <c r="Q185" s="80"/>
      <c r="R185" s="80"/>
      <c r="S185" s="80"/>
      <c r="T185" s="80"/>
      <c r="U185" s="80"/>
      <c r="V185" s="80"/>
      <c r="W185" s="80"/>
      <c r="X185" s="80"/>
      <c r="Y185" s="80"/>
      <c r="Z185" s="80"/>
      <c r="AA185" s="80"/>
      <c r="AB185" s="80"/>
    </row>
    <row r="186" spans="1:28" ht="15.75" customHeight="1">
      <c r="A186" s="83"/>
      <c r="B186" s="82"/>
      <c r="C186" s="82"/>
      <c r="D186" s="83"/>
      <c r="E186" s="86"/>
      <c r="F186" s="85"/>
      <c r="G186" s="80"/>
      <c r="H186" s="80"/>
      <c r="I186" s="80"/>
      <c r="J186" s="80"/>
      <c r="K186" s="80"/>
      <c r="L186" s="80"/>
      <c r="M186" s="80"/>
      <c r="N186" s="80"/>
      <c r="O186" s="80"/>
      <c r="P186" s="80"/>
      <c r="Q186" s="80"/>
      <c r="R186" s="80"/>
      <c r="S186" s="80"/>
      <c r="T186" s="80"/>
      <c r="U186" s="80"/>
      <c r="V186" s="80"/>
      <c r="W186" s="80"/>
      <c r="X186" s="80"/>
      <c r="Y186" s="80"/>
      <c r="Z186" s="80"/>
      <c r="AA186" s="80"/>
      <c r="AB186" s="80"/>
    </row>
    <row r="187" spans="1:28" ht="15.75" customHeight="1">
      <c r="A187" s="83"/>
      <c r="B187" s="82"/>
      <c r="C187" s="82"/>
      <c r="D187" s="83"/>
      <c r="E187" s="86"/>
      <c r="F187" s="85"/>
      <c r="G187" s="80"/>
      <c r="H187" s="80"/>
      <c r="I187" s="80"/>
      <c r="J187" s="80"/>
      <c r="K187" s="80"/>
      <c r="L187" s="80"/>
      <c r="M187" s="80"/>
      <c r="N187" s="80"/>
      <c r="O187" s="80"/>
      <c r="P187" s="80"/>
      <c r="Q187" s="80"/>
      <c r="R187" s="80"/>
      <c r="S187" s="80"/>
      <c r="T187" s="80"/>
      <c r="U187" s="80"/>
      <c r="V187" s="80"/>
      <c r="W187" s="80"/>
      <c r="X187" s="80"/>
      <c r="Y187" s="80"/>
      <c r="Z187" s="80"/>
      <c r="AA187" s="80"/>
      <c r="AB187" s="80"/>
    </row>
    <row r="188" spans="1:28" ht="15.75" customHeight="1">
      <c r="A188" s="83"/>
      <c r="B188" s="82"/>
      <c r="C188" s="82"/>
      <c r="D188" s="83"/>
      <c r="E188" s="86"/>
      <c r="F188" s="85"/>
      <c r="G188" s="80"/>
      <c r="H188" s="80"/>
      <c r="I188" s="80"/>
      <c r="J188" s="80"/>
      <c r="K188" s="80"/>
      <c r="L188" s="80"/>
      <c r="M188" s="80"/>
      <c r="N188" s="80"/>
      <c r="O188" s="80"/>
      <c r="P188" s="80"/>
      <c r="Q188" s="80"/>
      <c r="R188" s="80"/>
      <c r="S188" s="80"/>
      <c r="T188" s="80"/>
      <c r="U188" s="80"/>
      <c r="V188" s="80"/>
      <c r="W188" s="80"/>
      <c r="X188" s="80"/>
      <c r="Y188" s="80"/>
      <c r="Z188" s="80"/>
      <c r="AA188" s="80"/>
      <c r="AB188" s="80"/>
    </row>
    <row r="189" spans="1:28" ht="15.75" customHeight="1">
      <c r="A189" s="83"/>
      <c r="B189" s="82"/>
      <c r="C189" s="82"/>
      <c r="D189" s="83"/>
      <c r="E189" s="86"/>
      <c r="F189" s="85"/>
      <c r="G189" s="80"/>
      <c r="H189" s="80"/>
      <c r="I189" s="80"/>
      <c r="J189" s="80"/>
      <c r="K189" s="80"/>
      <c r="L189" s="80"/>
      <c r="M189" s="80"/>
      <c r="N189" s="80"/>
      <c r="O189" s="80"/>
      <c r="P189" s="80"/>
      <c r="Q189" s="80"/>
      <c r="R189" s="80"/>
      <c r="S189" s="80"/>
      <c r="T189" s="80"/>
      <c r="U189" s="80"/>
      <c r="V189" s="80"/>
      <c r="W189" s="80"/>
      <c r="X189" s="80"/>
      <c r="Y189" s="80"/>
      <c r="Z189" s="80"/>
      <c r="AA189" s="80"/>
      <c r="AB189" s="80"/>
    </row>
    <row r="190" spans="1:28" ht="15.75" customHeight="1">
      <c r="A190" s="83"/>
      <c r="B190" s="82"/>
      <c r="C190" s="82"/>
      <c r="D190" s="83"/>
      <c r="E190" s="86"/>
      <c r="F190" s="85"/>
      <c r="G190" s="80"/>
      <c r="H190" s="80"/>
      <c r="I190" s="80"/>
      <c r="J190" s="80"/>
      <c r="K190" s="80"/>
      <c r="L190" s="80"/>
      <c r="M190" s="80"/>
      <c r="N190" s="80"/>
      <c r="O190" s="80"/>
      <c r="P190" s="80"/>
      <c r="Q190" s="80"/>
      <c r="R190" s="80"/>
      <c r="S190" s="80"/>
      <c r="T190" s="80"/>
      <c r="U190" s="80"/>
      <c r="V190" s="80"/>
      <c r="W190" s="80"/>
      <c r="X190" s="80"/>
      <c r="Y190" s="80"/>
      <c r="Z190" s="80"/>
      <c r="AA190" s="80"/>
      <c r="AB190" s="80"/>
    </row>
    <row r="191" spans="1:28" ht="15.75" customHeight="1">
      <c r="A191" s="83"/>
      <c r="B191" s="82"/>
      <c r="C191" s="82"/>
      <c r="D191" s="83"/>
      <c r="E191" s="86"/>
      <c r="F191" s="85"/>
      <c r="G191" s="80"/>
      <c r="H191" s="80"/>
      <c r="I191" s="80"/>
      <c r="J191" s="80"/>
      <c r="K191" s="80"/>
      <c r="L191" s="80"/>
      <c r="M191" s="80"/>
      <c r="N191" s="80"/>
      <c r="O191" s="80"/>
      <c r="P191" s="80"/>
      <c r="Q191" s="80"/>
      <c r="R191" s="80"/>
      <c r="S191" s="80"/>
      <c r="T191" s="80"/>
      <c r="U191" s="80"/>
      <c r="V191" s="80"/>
      <c r="W191" s="80"/>
      <c r="X191" s="80"/>
      <c r="Y191" s="80"/>
      <c r="Z191" s="80"/>
      <c r="AA191" s="80"/>
      <c r="AB191" s="80"/>
    </row>
    <row r="192" spans="1:28" ht="15.75" customHeight="1">
      <c r="A192" s="83"/>
      <c r="B192" s="82"/>
      <c r="C192" s="82"/>
      <c r="D192" s="83"/>
      <c r="E192" s="86"/>
      <c r="F192" s="85"/>
      <c r="G192" s="80"/>
      <c r="H192" s="80"/>
      <c r="I192" s="80"/>
      <c r="J192" s="80"/>
      <c r="K192" s="80"/>
      <c r="L192" s="80"/>
      <c r="M192" s="80"/>
      <c r="N192" s="80"/>
      <c r="O192" s="80"/>
      <c r="P192" s="80"/>
      <c r="Q192" s="80"/>
      <c r="R192" s="80"/>
      <c r="S192" s="80"/>
      <c r="T192" s="80"/>
      <c r="U192" s="80"/>
      <c r="V192" s="80"/>
      <c r="W192" s="80"/>
      <c r="X192" s="80"/>
      <c r="Y192" s="80"/>
      <c r="Z192" s="80"/>
      <c r="AA192" s="80"/>
      <c r="AB192" s="80"/>
    </row>
    <row r="193" spans="1:28" ht="15.75" customHeight="1">
      <c r="A193" s="83"/>
      <c r="B193" s="82"/>
      <c r="C193" s="82"/>
      <c r="D193" s="83"/>
      <c r="E193" s="86"/>
      <c r="F193" s="85"/>
      <c r="G193" s="80"/>
      <c r="H193" s="80"/>
      <c r="I193" s="80"/>
      <c r="J193" s="80"/>
      <c r="K193" s="80"/>
      <c r="L193" s="80"/>
      <c r="M193" s="80"/>
      <c r="N193" s="80"/>
      <c r="O193" s="80"/>
      <c r="P193" s="80"/>
      <c r="Q193" s="80"/>
      <c r="R193" s="80"/>
      <c r="S193" s="80"/>
      <c r="T193" s="80"/>
      <c r="U193" s="80"/>
      <c r="V193" s="80"/>
      <c r="W193" s="80"/>
      <c r="X193" s="80"/>
      <c r="Y193" s="80"/>
      <c r="Z193" s="80"/>
      <c r="AA193" s="80"/>
      <c r="AB193" s="80"/>
    </row>
    <row r="194" spans="1:28" ht="15.75" customHeight="1">
      <c r="A194" s="83"/>
      <c r="B194" s="82"/>
      <c r="C194" s="82"/>
      <c r="D194" s="83"/>
      <c r="E194" s="86"/>
      <c r="F194" s="85"/>
      <c r="G194" s="80"/>
      <c r="H194" s="80"/>
      <c r="I194" s="80"/>
      <c r="J194" s="80"/>
      <c r="K194" s="80"/>
      <c r="L194" s="80"/>
      <c r="M194" s="80"/>
      <c r="N194" s="80"/>
      <c r="O194" s="80"/>
      <c r="P194" s="80"/>
      <c r="Q194" s="80"/>
      <c r="R194" s="80"/>
      <c r="S194" s="80"/>
      <c r="T194" s="80"/>
      <c r="U194" s="80"/>
      <c r="V194" s="80"/>
      <c r="W194" s="80"/>
      <c r="X194" s="80"/>
      <c r="Y194" s="80"/>
      <c r="Z194" s="80"/>
      <c r="AA194" s="80"/>
      <c r="AB194" s="80"/>
    </row>
    <row r="195" spans="1:28" ht="15.75" customHeight="1">
      <c r="A195" s="83"/>
      <c r="B195" s="82"/>
      <c r="C195" s="82"/>
      <c r="D195" s="83"/>
      <c r="E195" s="86"/>
      <c r="F195" s="85"/>
      <c r="G195" s="80"/>
      <c r="H195" s="80"/>
      <c r="I195" s="80"/>
      <c r="J195" s="80"/>
      <c r="K195" s="80"/>
      <c r="L195" s="80"/>
      <c r="M195" s="80"/>
      <c r="N195" s="80"/>
      <c r="O195" s="80"/>
      <c r="P195" s="80"/>
      <c r="Q195" s="80"/>
      <c r="R195" s="80"/>
      <c r="S195" s="80"/>
      <c r="T195" s="80"/>
      <c r="U195" s="80"/>
      <c r="V195" s="80"/>
      <c r="W195" s="80"/>
      <c r="X195" s="80"/>
      <c r="Y195" s="80"/>
      <c r="Z195" s="80"/>
      <c r="AA195" s="80"/>
      <c r="AB195" s="80"/>
    </row>
    <row r="196" spans="1:28" ht="15.75" customHeight="1">
      <c r="A196" s="83"/>
      <c r="B196" s="82"/>
      <c r="C196" s="82"/>
      <c r="D196" s="83"/>
      <c r="E196" s="86"/>
      <c r="F196" s="85"/>
      <c r="G196" s="80"/>
      <c r="H196" s="80"/>
      <c r="I196" s="80"/>
      <c r="J196" s="80"/>
      <c r="K196" s="80"/>
      <c r="L196" s="80"/>
      <c r="M196" s="80"/>
      <c r="N196" s="80"/>
      <c r="O196" s="80"/>
      <c r="P196" s="80"/>
      <c r="Q196" s="80"/>
      <c r="R196" s="80"/>
      <c r="S196" s="80"/>
      <c r="T196" s="80"/>
      <c r="U196" s="80"/>
      <c r="V196" s="80"/>
      <c r="W196" s="80"/>
      <c r="X196" s="80"/>
      <c r="Y196" s="80"/>
      <c r="Z196" s="80"/>
      <c r="AA196" s="80"/>
      <c r="AB196" s="80"/>
    </row>
    <row r="197" spans="1:28" ht="15.75" customHeight="1">
      <c r="A197" s="83"/>
      <c r="B197" s="82"/>
      <c r="C197" s="82"/>
      <c r="D197" s="83"/>
      <c r="E197" s="86"/>
      <c r="F197" s="85"/>
      <c r="G197" s="80"/>
      <c r="H197" s="80"/>
      <c r="I197" s="80"/>
      <c r="J197" s="80"/>
      <c r="K197" s="80"/>
      <c r="L197" s="80"/>
      <c r="M197" s="80"/>
      <c r="N197" s="80"/>
      <c r="O197" s="80"/>
      <c r="P197" s="80"/>
      <c r="Q197" s="80"/>
      <c r="R197" s="80"/>
      <c r="S197" s="80"/>
      <c r="T197" s="80"/>
      <c r="U197" s="80"/>
      <c r="V197" s="80"/>
      <c r="W197" s="80"/>
      <c r="X197" s="80"/>
      <c r="Y197" s="80"/>
      <c r="Z197" s="80"/>
      <c r="AA197" s="80"/>
      <c r="AB197" s="80"/>
    </row>
    <row r="198" spans="1:28" ht="15.75" customHeight="1">
      <c r="A198" s="83"/>
      <c r="B198" s="82"/>
      <c r="C198" s="82"/>
      <c r="D198" s="83"/>
      <c r="E198" s="86"/>
      <c r="F198" s="85"/>
      <c r="G198" s="80"/>
      <c r="H198" s="80"/>
      <c r="I198" s="80"/>
      <c r="J198" s="80"/>
      <c r="K198" s="80"/>
      <c r="L198" s="80"/>
      <c r="M198" s="80"/>
      <c r="N198" s="80"/>
      <c r="O198" s="80"/>
      <c r="P198" s="80"/>
      <c r="Q198" s="80"/>
      <c r="R198" s="80"/>
      <c r="S198" s="80"/>
      <c r="T198" s="80"/>
      <c r="U198" s="80"/>
      <c r="V198" s="80"/>
      <c r="W198" s="80"/>
      <c r="X198" s="80"/>
      <c r="Y198" s="80"/>
      <c r="Z198" s="80"/>
      <c r="AA198" s="80"/>
      <c r="AB198" s="80"/>
    </row>
    <row r="199" spans="1:28" ht="15.75" customHeight="1">
      <c r="A199" s="83"/>
      <c r="B199" s="82"/>
      <c r="C199" s="82"/>
      <c r="D199" s="83"/>
      <c r="E199" s="86"/>
      <c r="F199" s="85"/>
      <c r="G199" s="80"/>
      <c r="H199" s="80"/>
      <c r="I199" s="80"/>
      <c r="J199" s="80"/>
      <c r="K199" s="80"/>
      <c r="L199" s="80"/>
      <c r="M199" s="80"/>
      <c r="N199" s="80"/>
      <c r="O199" s="80"/>
      <c r="P199" s="80"/>
      <c r="Q199" s="80"/>
      <c r="R199" s="80"/>
      <c r="S199" s="80"/>
      <c r="T199" s="80"/>
      <c r="U199" s="80"/>
      <c r="V199" s="80"/>
      <c r="W199" s="80"/>
      <c r="X199" s="80"/>
      <c r="Y199" s="80"/>
      <c r="Z199" s="80"/>
      <c r="AA199" s="80"/>
      <c r="AB199" s="80"/>
    </row>
    <row r="200" spans="1:28" ht="15.75" customHeight="1">
      <c r="A200" s="83"/>
      <c r="B200" s="82"/>
      <c r="C200" s="82"/>
      <c r="D200" s="83"/>
      <c r="E200" s="86"/>
      <c r="F200" s="85"/>
      <c r="G200" s="80"/>
      <c r="H200" s="80"/>
      <c r="I200" s="80"/>
      <c r="J200" s="80"/>
      <c r="K200" s="80"/>
      <c r="L200" s="80"/>
      <c r="M200" s="80"/>
      <c r="N200" s="80"/>
      <c r="O200" s="80"/>
      <c r="P200" s="80"/>
      <c r="Q200" s="80"/>
      <c r="R200" s="80"/>
      <c r="S200" s="80"/>
      <c r="T200" s="80"/>
      <c r="U200" s="80"/>
      <c r="V200" s="80"/>
      <c r="W200" s="80"/>
      <c r="X200" s="80"/>
      <c r="Y200" s="80"/>
      <c r="Z200" s="80"/>
      <c r="AA200" s="80"/>
      <c r="AB200" s="80"/>
    </row>
    <row r="201" spans="1:28" ht="15.75" customHeight="1">
      <c r="A201" s="83"/>
      <c r="B201" s="82"/>
      <c r="C201" s="82"/>
      <c r="D201" s="83"/>
      <c r="E201" s="86"/>
      <c r="F201" s="85"/>
      <c r="G201" s="80"/>
      <c r="H201" s="80"/>
      <c r="I201" s="80"/>
      <c r="J201" s="80"/>
      <c r="K201" s="80"/>
      <c r="L201" s="80"/>
      <c r="M201" s="80"/>
      <c r="N201" s="80"/>
      <c r="O201" s="80"/>
      <c r="P201" s="80"/>
      <c r="Q201" s="80"/>
      <c r="R201" s="80"/>
      <c r="S201" s="80"/>
      <c r="T201" s="80"/>
      <c r="U201" s="80"/>
      <c r="V201" s="80"/>
      <c r="W201" s="80"/>
      <c r="X201" s="80"/>
      <c r="Y201" s="80"/>
      <c r="Z201" s="80"/>
      <c r="AA201" s="80"/>
      <c r="AB201" s="80"/>
    </row>
    <row r="202" spans="1:28" ht="15.75" customHeight="1">
      <c r="A202" s="83"/>
      <c r="B202" s="82"/>
      <c r="C202" s="82"/>
      <c r="D202" s="83"/>
      <c r="E202" s="86"/>
      <c r="F202" s="85"/>
      <c r="G202" s="80"/>
      <c r="H202" s="80"/>
      <c r="I202" s="80"/>
      <c r="J202" s="80"/>
      <c r="K202" s="80"/>
      <c r="L202" s="80"/>
      <c r="M202" s="80"/>
      <c r="N202" s="80"/>
      <c r="O202" s="80"/>
      <c r="P202" s="80"/>
      <c r="Q202" s="80"/>
      <c r="R202" s="80"/>
      <c r="S202" s="80"/>
      <c r="T202" s="80"/>
      <c r="U202" s="80"/>
      <c r="V202" s="80"/>
      <c r="W202" s="80"/>
      <c r="X202" s="80"/>
      <c r="Y202" s="80"/>
      <c r="Z202" s="80"/>
      <c r="AA202" s="80"/>
      <c r="AB202" s="80"/>
    </row>
    <row r="203" spans="1:28" ht="15.75" customHeight="1">
      <c r="A203" s="83"/>
      <c r="B203" s="82"/>
      <c r="C203" s="82"/>
      <c r="D203" s="83"/>
      <c r="E203" s="86"/>
      <c r="F203" s="85"/>
      <c r="G203" s="80"/>
      <c r="H203" s="80"/>
      <c r="I203" s="80"/>
      <c r="J203" s="80"/>
      <c r="K203" s="80"/>
      <c r="L203" s="80"/>
      <c r="M203" s="80"/>
      <c r="N203" s="80"/>
      <c r="O203" s="80"/>
      <c r="P203" s="80"/>
      <c r="Q203" s="80"/>
      <c r="R203" s="80"/>
      <c r="S203" s="80"/>
      <c r="T203" s="80"/>
      <c r="U203" s="80"/>
      <c r="V203" s="80"/>
      <c r="W203" s="80"/>
      <c r="X203" s="80"/>
      <c r="Y203" s="80"/>
      <c r="Z203" s="80"/>
      <c r="AA203" s="80"/>
      <c r="AB203" s="80"/>
    </row>
    <row r="204" spans="1:28" ht="15.75" customHeight="1">
      <c r="A204" s="83"/>
      <c r="B204" s="82"/>
      <c r="C204" s="82"/>
      <c r="D204" s="83"/>
      <c r="E204" s="86"/>
      <c r="F204" s="85"/>
      <c r="G204" s="80"/>
      <c r="H204" s="80"/>
      <c r="I204" s="80"/>
      <c r="J204" s="80"/>
      <c r="K204" s="80"/>
      <c r="L204" s="80"/>
      <c r="M204" s="80"/>
      <c r="N204" s="80"/>
      <c r="O204" s="80"/>
      <c r="P204" s="80"/>
      <c r="Q204" s="80"/>
      <c r="R204" s="80"/>
      <c r="S204" s="80"/>
      <c r="T204" s="80"/>
      <c r="U204" s="80"/>
      <c r="V204" s="80"/>
      <c r="W204" s="80"/>
      <c r="X204" s="80"/>
      <c r="Y204" s="80"/>
      <c r="Z204" s="80"/>
      <c r="AA204" s="80"/>
      <c r="AB204" s="80"/>
    </row>
    <row r="205" spans="1:28" ht="15.75" customHeight="1">
      <c r="A205" s="83"/>
      <c r="B205" s="82"/>
      <c r="C205" s="82"/>
      <c r="D205" s="83"/>
      <c r="E205" s="86"/>
      <c r="F205" s="85"/>
      <c r="G205" s="80"/>
      <c r="H205" s="80"/>
      <c r="I205" s="80"/>
      <c r="J205" s="80"/>
      <c r="K205" s="80"/>
      <c r="L205" s="80"/>
      <c r="M205" s="80"/>
      <c r="N205" s="80"/>
      <c r="O205" s="80"/>
      <c r="P205" s="80"/>
      <c r="Q205" s="80"/>
      <c r="R205" s="80"/>
      <c r="S205" s="80"/>
      <c r="T205" s="80"/>
      <c r="U205" s="80"/>
      <c r="V205" s="80"/>
      <c r="W205" s="80"/>
      <c r="X205" s="80"/>
      <c r="Y205" s="80"/>
      <c r="Z205" s="80"/>
      <c r="AA205" s="80"/>
      <c r="AB205" s="80"/>
    </row>
    <row r="206" spans="1:28" ht="15.75" customHeight="1">
      <c r="A206" s="83"/>
      <c r="B206" s="82"/>
      <c r="C206" s="82"/>
      <c r="D206" s="83"/>
      <c r="E206" s="86"/>
      <c r="F206" s="85"/>
      <c r="G206" s="80"/>
      <c r="H206" s="80"/>
      <c r="I206" s="80"/>
      <c r="J206" s="80"/>
      <c r="K206" s="80"/>
      <c r="L206" s="80"/>
      <c r="M206" s="80"/>
      <c r="N206" s="80"/>
      <c r="O206" s="80"/>
      <c r="P206" s="80"/>
      <c r="Q206" s="80"/>
      <c r="R206" s="80"/>
      <c r="S206" s="80"/>
      <c r="T206" s="80"/>
      <c r="U206" s="80"/>
      <c r="V206" s="80"/>
      <c r="W206" s="80"/>
      <c r="X206" s="80"/>
      <c r="Y206" s="80"/>
      <c r="Z206" s="80"/>
      <c r="AA206" s="80"/>
      <c r="AB206" s="80"/>
    </row>
    <row r="207" spans="1:28" ht="15.75" customHeight="1">
      <c r="A207" s="83"/>
      <c r="B207" s="82"/>
      <c r="C207" s="82"/>
      <c r="D207" s="83"/>
      <c r="E207" s="86"/>
      <c r="F207" s="85"/>
      <c r="G207" s="80"/>
      <c r="H207" s="80"/>
      <c r="I207" s="80"/>
      <c r="J207" s="80"/>
      <c r="K207" s="80"/>
      <c r="L207" s="80"/>
      <c r="M207" s="80"/>
      <c r="N207" s="80"/>
      <c r="O207" s="80"/>
      <c r="P207" s="80"/>
      <c r="Q207" s="80"/>
      <c r="R207" s="80"/>
      <c r="S207" s="80"/>
      <c r="T207" s="80"/>
      <c r="U207" s="80"/>
      <c r="V207" s="80"/>
      <c r="W207" s="80"/>
      <c r="X207" s="80"/>
      <c r="Y207" s="80"/>
      <c r="Z207" s="80"/>
      <c r="AA207" s="80"/>
      <c r="AB207" s="80"/>
    </row>
    <row r="208" spans="1:28" ht="15.75" customHeight="1">
      <c r="A208" s="83"/>
      <c r="B208" s="82"/>
      <c r="C208" s="82"/>
      <c r="D208" s="83"/>
      <c r="E208" s="86"/>
      <c r="F208" s="85"/>
      <c r="G208" s="80"/>
      <c r="H208" s="80"/>
      <c r="I208" s="80"/>
      <c r="J208" s="80"/>
      <c r="K208" s="80"/>
      <c r="L208" s="80"/>
      <c r="M208" s="80"/>
      <c r="N208" s="80"/>
      <c r="O208" s="80"/>
      <c r="P208" s="80"/>
      <c r="Q208" s="80"/>
      <c r="R208" s="80"/>
      <c r="S208" s="80"/>
      <c r="T208" s="80"/>
      <c r="U208" s="80"/>
      <c r="V208" s="80"/>
      <c r="W208" s="80"/>
      <c r="X208" s="80"/>
      <c r="Y208" s="80"/>
      <c r="Z208" s="80"/>
      <c r="AA208" s="80"/>
      <c r="AB208" s="80"/>
    </row>
    <row r="209" spans="1:28" ht="15.75" customHeight="1">
      <c r="A209" s="83"/>
      <c r="B209" s="82"/>
      <c r="C209" s="82"/>
      <c r="D209" s="83"/>
      <c r="E209" s="86"/>
      <c r="F209" s="85"/>
      <c r="G209" s="80"/>
      <c r="H209" s="80"/>
      <c r="I209" s="80"/>
      <c r="J209" s="80"/>
      <c r="K209" s="80"/>
      <c r="L209" s="80"/>
      <c r="M209" s="80"/>
      <c r="N209" s="80"/>
      <c r="O209" s="80"/>
      <c r="P209" s="80"/>
      <c r="Q209" s="80"/>
      <c r="R209" s="80"/>
      <c r="S209" s="80"/>
      <c r="T209" s="80"/>
      <c r="U209" s="80"/>
      <c r="V209" s="80"/>
      <c r="W209" s="80"/>
      <c r="X209" s="80"/>
      <c r="Y209" s="80"/>
      <c r="Z209" s="80"/>
      <c r="AA209" s="80"/>
      <c r="AB209" s="80"/>
    </row>
    <row r="210" spans="1:28" ht="15.75" customHeight="1">
      <c r="A210" s="83"/>
      <c r="B210" s="82"/>
      <c r="C210" s="82"/>
      <c r="D210" s="83"/>
      <c r="E210" s="86"/>
      <c r="F210" s="85"/>
      <c r="G210" s="80"/>
      <c r="H210" s="80"/>
      <c r="I210" s="80"/>
      <c r="J210" s="80"/>
      <c r="K210" s="80"/>
      <c r="L210" s="80"/>
      <c r="M210" s="80"/>
      <c r="N210" s="80"/>
      <c r="O210" s="80"/>
      <c r="P210" s="80"/>
      <c r="Q210" s="80"/>
      <c r="R210" s="80"/>
      <c r="S210" s="80"/>
      <c r="T210" s="80"/>
      <c r="U210" s="80"/>
      <c r="V210" s="80"/>
      <c r="W210" s="80"/>
      <c r="X210" s="80"/>
      <c r="Y210" s="80"/>
      <c r="Z210" s="80"/>
      <c r="AA210" s="80"/>
      <c r="AB210" s="80"/>
    </row>
    <row r="211" spans="1:28" ht="15.75" customHeight="1">
      <c r="A211" s="83"/>
      <c r="B211" s="82"/>
      <c r="C211" s="82"/>
      <c r="D211" s="83"/>
      <c r="E211" s="86"/>
      <c r="F211" s="85"/>
      <c r="G211" s="80"/>
      <c r="H211" s="80"/>
      <c r="I211" s="80"/>
      <c r="J211" s="80"/>
      <c r="K211" s="80"/>
      <c r="L211" s="80"/>
      <c r="M211" s="80"/>
      <c r="N211" s="80"/>
      <c r="O211" s="80"/>
      <c r="P211" s="80"/>
      <c r="Q211" s="80"/>
      <c r="R211" s="80"/>
      <c r="S211" s="80"/>
      <c r="T211" s="80"/>
      <c r="U211" s="80"/>
      <c r="V211" s="80"/>
      <c r="W211" s="80"/>
      <c r="X211" s="80"/>
      <c r="Y211" s="80"/>
      <c r="Z211" s="80"/>
      <c r="AA211" s="80"/>
      <c r="AB211" s="80"/>
    </row>
    <row r="212" spans="1:28" ht="15.75" customHeight="1">
      <c r="A212" s="83"/>
      <c r="B212" s="82"/>
      <c r="C212" s="82"/>
      <c r="D212" s="83"/>
      <c r="E212" s="86"/>
      <c r="F212" s="85"/>
      <c r="G212" s="80"/>
      <c r="H212" s="80"/>
      <c r="I212" s="80"/>
      <c r="J212" s="80"/>
      <c r="K212" s="80"/>
      <c r="L212" s="80"/>
      <c r="M212" s="80"/>
      <c r="N212" s="80"/>
      <c r="O212" s="80"/>
      <c r="P212" s="80"/>
      <c r="Q212" s="80"/>
      <c r="R212" s="80"/>
      <c r="S212" s="80"/>
      <c r="T212" s="80"/>
      <c r="U212" s="80"/>
      <c r="V212" s="80"/>
      <c r="W212" s="80"/>
      <c r="X212" s="80"/>
      <c r="Y212" s="80"/>
      <c r="Z212" s="80"/>
      <c r="AA212" s="80"/>
      <c r="AB212" s="80"/>
    </row>
    <row r="213" spans="1:28" ht="15.75" customHeight="1">
      <c r="A213" s="83"/>
      <c r="B213" s="82"/>
      <c r="C213" s="82"/>
      <c r="D213" s="83"/>
      <c r="E213" s="86"/>
      <c r="F213" s="85"/>
      <c r="G213" s="80"/>
      <c r="H213" s="80"/>
      <c r="I213" s="80"/>
      <c r="J213" s="80"/>
      <c r="K213" s="80"/>
      <c r="L213" s="80"/>
      <c r="M213" s="80"/>
      <c r="N213" s="80"/>
      <c r="O213" s="80"/>
      <c r="P213" s="80"/>
      <c r="Q213" s="80"/>
      <c r="R213" s="80"/>
      <c r="S213" s="80"/>
      <c r="T213" s="80"/>
      <c r="U213" s="80"/>
      <c r="V213" s="80"/>
      <c r="W213" s="80"/>
      <c r="X213" s="80"/>
      <c r="Y213" s="80"/>
      <c r="Z213" s="80"/>
      <c r="AA213" s="80"/>
      <c r="AB213" s="80"/>
    </row>
    <row r="214" spans="1:28" ht="15.75" customHeight="1">
      <c r="A214" s="83"/>
      <c r="B214" s="82"/>
      <c r="C214" s="82"/>
      <c r="D214" s="83"/>
      <c r="E214" s="86"/>
      <c r="F214" s="85"/>
      <c r="G214" s="80"/>
      <c r="H214" s="80"/>
      <c r="I214" s="80"/>
      <c r="J214" s="80"/>
      <c r="K214" s="80"/>
      <c r="L214" s="80"/>
      <c r="M214" s="80"/>
      <c r="N214" s="80"/>
      <c r="O214" s="80"/>
      <c r="P214" s="80"/>
      <c r="Q214" s="80"/>
      <c r="R214" s="80"/>
      <c r="S214" s="80"/>
      <c r="T214" s="80"/>
      <c r="U214" s="80"/>
      <c r="V214" s="80"/>
      <c r="W214" s="80"/>
      <c r="X214" s="80"/>
      <c r="Y214" s="80"/>
      <c r="Z214" s="80"/>
      <c r="AA214" s="80"/>
      <c r="AB214" s="80"/>
    </row>
    <row r="215" spans="1:28" ht="15.75" customHeight="1">
      <c r="A215" s="83"/>
      <c r="B215" s="82"/>
      <c r="C215" s="82"/>
      <c r="D215" s="83"/>
      <c r="E215" s="86"/>
      <c r="F215" s="85"/>
      <c r="G215" s="80"/>
      <c r="H215" s="80"/>
      <c r="I215" s="80"/>
      <c r="J215" s="80"/>
      <c r="K215" s="80"/>
      <c r="L215" s="80"/>
      <c r="M215" s="80"/>
      <c r="N215" s="80"/>
      <c r="O215" s="80"/>
      <c r="P215" s="80"/>
      <c r="Q215" s="80"/>
      <c r="R215" s="80"/>
      <c r="S215" s="80"/>
      <c r="T215" s="80"/>
      <c r="U215" s="80"/>
      <c r="V215" s="80"/>
      <c r="W215" s="80"/>
      <c r="X215" s="80"/>
      <c r="Y215" s="80"/>
      <c r="Z215" s="80"/>
      <c r="AA215" s="80"/>
      <c r="AB215" s="80"/>
    </row>
    <row r="216" spans="1:28" ht="15.75" customHeight="1">
      <c r="A216" s="83"/>
      <c r="B216" s="82"/>
      <c r="C216" s="82"/>
      <c r="D216" s="83"/>
      <c r="E216" s="86"/>
      <c r="F216" s="85"/>
      <c r="G216" s="80"/>
      <c r="H216" s="80"/>
      <c r="I216" s="80"/>
      <c r="J216" s="80"/>
      <c r="K216" s="80"/>
      <c r="L216" s="80"/>
      <c r="M216" s="80"/>
      <c r="N216" s="80"/>
      <c r="O216" s="80"/>
      <c r="P216" s="80"/>
      <c r="Q216" s="80"/>
      <c r="R216" s="80"/>
      <c r="S216" s="80"/>
      <c r="T216" s="80"/>
      <c r="U216" s="80"/>
      <c r="V216" s="80"/>
      <c r="W216" s="80"/>
      <c r="X216" s="80"/>
      <c r="Y216" s="80"/>
      <c r="Z216" s="80"/>
      <c r="AA216" s="80"/>
      <c r="AB216" s="80"/>
    </row>
    <row r="217" spans="1:28" ht="15.75" customHeight="1">
      <c r="A217" s="83"/>
      <c r="B217" s="82"/>
      <c r="C217" s="82"/>
      <c r="D217" s="83"/>
      <c r="E217" s="86"/>
      <c r="F217" s="85"/>
      <c r="G217" s="80"/>
      <c r="H217" s="80"/>
      <c r="I217" s="80"/>
      <c r="J217" s="80"/>
      <c r="K217" s="80"/>
      <c r="L217" s="80"/>
      <c r="M217" s="80"/>
      <c r="N217" s="80"/>
      <c r="O217" s="80"/>
      <c r="P217" s="80"/>
      <c r="Q217" s="80"/>
      <c r="R217" s="80"/>
      <c r="S217" s="80"/>
      <c r="T217" s="80"/>
      <c r="U217" s="80"/>
      <c r="V217" s="80"/>
      <c r="W217" s="80"/>
      <c r="X217" s="80"/>
      <c r="Y217" s="80"/>
      <c r="Z217" s="80"/>
      <c r="AA217" s="80"/>
      <c r="AB217" s="80"/>
    </row>
    <row r="218" spans="1:28" ht="15.75" customHeight="1">
      <c r="A218" s="83"/>
      <c r="B218" s="82"/>
      <c r="C218" s="82"/>
      <c r="D218" s="83"/>
      <c r="E218" s="86"/>
      <c r="F218" s="85"/>
      <c r="G218" s="80"/>
      <c r="H218" s="80"/>
      <c r="I218" s="80"/>
      <c r="J218" s="80"/>
      <c r="K218" s="80"/>
      <c r="L218" s="80"/>
      <c r="M218" s="80"/>
      <c r="N218" s="80"/>
      <c r="O218" s="80"/>
      <c r="P218" s="80"/>
      <c r="Q218" s="80"/>
      <c r="R218" s="80"/>
      <c r="S218" s="80"/>
      <c r="T218" s="80"/>
      <c r="U218" s="80"/>
      <c r="V218" s="80"/>
      <c r="W218" s="80"/>
      <c r="X218" s="80"/>
      <c r="Y218" s="80"/>
      <c r="Z218" s="80"/>
      <c r="AA218" s="80"/>
      <c r="AB218" s="80"/>
    </row>
    <row r="219" spans="1:28" ht="15.75" customHeight="1">
      <c r="A219" s="83"/>
      <c r="B219" s="82"/>
      <c r="C219" s="82"/>
      <c r="D219" s="83"/>
      <c r="E219" s="86"/>
      <c r="F219" s="85"/>
      <c r="G219" s="80"/>
      <c r="H219" s="80"/>
      <c r="I219" s="80"/>
      <c r="J219" s="80"/>
      <c r="K219" s="80"/>
      <c r="L219" s="80"/>
      <c r="M219" s="80"/>
      <c r="N219" s="80"/>
      <c r="O219" s="80"/>
      <c r="P219" s="80"/>
      <c r="Q219" s="80"/>
      <c r="R219" s="80"/>
      <c r="S219" s="80"/>
      <c r="T219" s="80"/>
      <c r="U219" s="80"/>
      <c r="V219" s="80"/>
      <c r="W219" s="80"/>
      <c r="X219" s="80"/>
      <c r="Y219" s="80"/>
      <c r="Z219" s="80"/>
      <c r="AA219" s="80"/>
      <c r="AB219" s="80"/>
    </row>
    <row r="220" spans="1:28" ht="15.75" customHeight="1">
      <c r="A220" s="83"/>
      <c r="B220" s="82"/>
      <c r="C220" s="82"/>
      <c r="D220" s="83"/>
      <c r="E220" s="86"/>
      <c r="F220" s="85"/>
      <c r="G220" s="80"/>
      <c r="H220" s="80"/>
      <c r="I220" s="80"/>
      <c r="J220" s="80"/>
      <c r="K220" s="80"/>
      <c r="L220" s="80"/>
      <c r="M220" s="80"/>
      <c r="N220" s="80"/>
      <c r="O220" s="80"/>
      <c r="P220" s="80"/>
      <c r="Q220" s="80"/>
      <c r="R220" s="80"/>
      <c r="S220" s="80"/>
      <c r="T220" s="80"/>
      <c r="U220" s="80"/>
      <c r="V220" s="80"/>
      <c r="W220" s="80"/>
      <c r="X220" s="80"/>
      <c r="Y220" s="80"/>
      <c r="Z220" s="80"/>
      <c r="AA220" s="80"/>
      <c r="AB220" s="80"/>
    </row>
    <row r="221" spans="1:28" ht="15.75" customHeight="1">
      <c r="A221" s="83"/>
      <c r="B221" s="82"/>
      <c r="C221" s="82"/>
      <c r="D221" s="83"/>
      <c r="E221" s="86"/>
      <c r="F221" s="85"/>
      <c r="G221" s="80"/>
      <c r="H221" s="80"/>
      <c r="I221" s="80"/>
      <c r="J221" s="80"/>
      <c r="K221" s="80"/>
      <c r="L221" s="80"/>
      <c r="M221" s="80"/>
      <c r="N221" s="80"/>
      <c r="O221" s="80"/>
      <c r="P221" s="80"/>
      <c r="Q221" s="80"/>
      <c r="R221" s="80"/>
      <c r="S221" s="80"/>
      <c r="T221" s="80"/>
      <c r="U221" s="80"/>
      <c r="V221" s="80"/>
      <c r="W221" s="80"/>
      <c r="X221" s="80"/>
      <c r="Y221" s="80"/>
      <c r="Z221" s="80"/>
      <c r="AA221" s="80"/>
      <c r="AB221" s="80"/>
    </row>
    <row r="222" spans="1:28" ht="15.75" customHeight="1">
      <c r="A222" s="83"/>
      <c r="B222" s="82"/>
      <c r="C222" s="82"/>
      <c r="D222" s="83"/>
      <c r="E222" s="86"/>
      <c r="F222" s="85"/>
      <c r="G222" s="80"/>
      <c r="H222" s="80"/>
      <c r="I222" s="80"/>
      <c r="J222" s="80"/>
      <c r="K222" s="80"/>
      <c r="L222" s="80"/>
      <c r="M222" s="80"/>
      <c r="N222" s="80"/>
      <c r="O222" s="80"/>
      <c r="P222" s="80"/>
      <c r="Q222" s="80"/>
      <c r="R222" s="80"/>
      <c r="S222" s="80"/>
      <c r="T222" s="80"/>
      <c r="U222" s="80"/>
      <c r="V222" s="80"/>
      <c r="W222" s="80"/>
      <c r="X222" s="80"/>
      <c r="Y222" s="80"/>
      <c r="Z222" s="80"/>
      <c r="AA222" s="80"/>
      <c r="AB222" s="80"/>
    </row>
    <row r="223" spans="1:28" ht="15.75" customHeight="1">
      <c r="A223" s="83"/>
      <c r="B223" s="82"/>
      <c r="C223" s="82"/>
      <c r="D223" s="83"/>
      <c r="E223" s="86"/>
      <c r="F223" s="85"/>
      <c r="G223" s="80"/>
      <c r="H223" s="80"/>
      <c r="I223" s="80"/>
      <c r="J223" s="80"/>
      <c r="K223" s="80"/>
      <c r="L223" s="80"/>
      <c r="M223" s="80"/>
      <c r="N223" s="80"/>
      <c r="O223" s="80"/>
      <c r="P223" s="80"/>
      <c r="Q223" s="80"/>
      <c r="R223" s="80"/>
      <c r="S223" s="80"/>
      <c r="T223" s="80"/>
      <c r="U223" s="80"/>
      <c r="V223" s="80"/>
      <c r="W223" s="80"/>
      <c r="X223" s="80"/>
      <c r="Y223" s="80"/>
      <c r="Z223" s="80"/>
      <c r="AA223" s="80"/>
      <c r="AB223" s="80"/>
    </row>
    <row r="224" spans="1:28" ht="15.75" customHeight="1">
      <c r="A224" s="83"/>
      <c r="B224" s="82"/>
      <c r="C224" s="82"/>
      <c r="D224" s="83"/>
      <c r="E224" s="86"/>
      <c r="F224" s="85"/>
      <c r="G224" s="80"/>
      <c r="H224" s="80"/>
      <c r="I224" s="80"/>
      <c r="J224" s="80"/>
      <c r="K224" s="80"/>
      <c r="L224" s="80"/>
      <c r="M224" s="80"/>
      <c r="N224" s="80"/>
      <c r="O224" s="80"/>
      <c r="P224" s="80"/>
      <c r="Q224" s="80"/>
      <c r="R224" s="80"/>
      <c r="S224" s="80"/>
      <c r="T224" s="80"/>
      <c r="U224" s="80"/>
      <c r="V224" s="80"/>
      <c r="W224" s="80"/>
      <c r="X224" s="80"/>
      <c r="Y224" s="80"/>
      <c r="Z224" s="80"/>
      <c r="AA224" s="80"/>
      <c r="AB224" s="80"/>
    </row>
    <row r="225" spans="1:28" ht="15.75" customHeight="1">
      <c r="A225" s="83"/>
      <c r="B225" s="82"/>
      <c r="C225" s="82"/>
      <c r="D225" s="83"/>
      <c r="E225" s="86"/>
      <c r="F225" s="85"/>
      <c r="G225" s="80"/>
      <c r="H225" s="80"/>
      <c r="I225" s="80"/>
      <c r="J225" s="80"/>
      <c r="K225" s="80"/>
      <c r="L225" s="80"/>
      <c r="M225" s="80"/>
      <c r="N225" s="80"/>
      <c r="O225" s="80"/>
      <c r="P225" s="80"/>
      <c r="Q225" s="80"/>
      <c r="R225" s="80"/>
      <c r="S225" s="80"/>
      <c r="T225" s="80"/>
      <c r="U225" s="80"/>
      <c r="V225" s="80"/>
      <c r="W225" s="80"/>
      <c r="X225" s="80"/>
      <c r="Y225" s="80"/>
      <c r="Z225" s="80"/>
      <c r="AA225" s="80"/>
      <c r="AB225" s="80"/>
    </row>
    <row r="226" spans="1:28" ht="15.75" customHeight="1">
      <c r="A226" s="83"/>
      <c r="B226" s="82"/>
      <c r="C226" s="82"/>
      <c r="D226" s="83"/>
      <c r="E226" s="86"/>
      <c r="F226" s="85"/>
      <c r="G226" s="80"/>
      <c r="H226" s="80"/>
      <c r="I226" s="80"/>
      <c r="J226" s="80"/>
      <c r="K226" s="80"/>
      <c r="L226" s="80"/>
      <c r="M226" s="80"/>
      <c r="N226" s="80"/>
      <c r="O226" s="80"/>
      <c r="P226" s="80"/>
      <c r="Q226" s="80"/>
      <c r="R226" s="80"/>
      <c r="S226" s="80"/>
      <c r="T226" s="80"/>
      <c r="U226" s="80"/>
      <c r="V226" s="80"/>
      <c r="W226" s="80"/>
      <c r="X226" s="80"/>
      <c r="Y226" s="80"/>
      <c r="Z226" s="80"/>
      <c r="AA226" s="80"/>
      <c r="AB226" s="80"/>
    </row>
    <row r="227" spans="1:28" ht="15.75" customHeight="1">
      <c r="A227" s="83"/>
      <c r="B227" s="82"/>
      <c r="C227" s="82"/>
      <c r="D227" s="83"/>
      <c r="E227" s="86"/>
      <c r="F227" s="85"/>
      <c r="G227" s="80"/>
      <c r="H227" s="80"/>
      <c r="I227" s="80"/>
      <c r="J227" s="80"/>
      <c r="K227" s="80"/>
      <c r="L227" s="80"/>
      <c r="M227" s="80"/>
      <c r="N227" s="80"/>
      <c r="O227" s="80"/>
      <c r="P227" s="80"/>
      <c r="Q227" s="80"/>
      <c r="R227" s="80"/>
      <c r="S227" s="80"/>
      <c r="T227" s="80"/>
      <c r="U227" s="80"/>
      <c r="V227" s="80"/>
      <c r="W227" s="80"/>
      <c r="X227" s="80"/>
      <c r="Y227" s="80"/>
      <c r="Z227" s="80"/>
      <c r="AA227" s="80"/>
      <c r="AB227" s="80"/>
    </row>
    <row r="228" spans="1:28" ht="15.75" customHeight="1">
      <c r="A228" s="83"/>
      <c r="B228" s="82"/>
      <c r="C228" s="82"/>
      <c r="D228" s="83"/>
      <c r="E228" s="86"/>
      <c r="F228" s="85"/>
      <c r="G228" s="80"/>
      <c r="H228" s="80"/>
      <c r="I228" s="80"/>
      <c r="J228" s="80"/>
      <c r="K228" s="80"/>
      <c r="L228" s="80"/>
      <c r="M228" s="80"/>
      <c r="N228" s="80"/>
      <c r="O228" s="80"/>
      <c r="P228" s="80"/>
      <c r="Q228" s="80"/>
      <c r="R228" s="80"/>
      <c r="S228" s="80"/>
      <c r="T228" s="80"/>
      <c r="U228" s="80"/>
      <c r="V228" s="80"/>
      <c r="W228" s="80"/>
      <c r="X228" s="80"/>
      <c r="Y228" s="80"/>
      <c r="Z228" s="80"/>
      <c r="AA228" s="80"/>
      <c r="AB228" s="80"/>
    </row>
    <row r="229" spans="1:28" ht="15.75" customHeight="1">
      <c r="A229" s="83"/>
      <c r="B229" s="82"/>
      <c r="C229" s="82"/>
      <c r="D229" s="83"/>
      <c r="E229" s="86"/>
      <c r="F229" s="85"/>
      <c r="G229" s="80"/>
      <c r="H229" s="80"/>
      <c r="I229" s="80"/>
      <c r="J229" s="80"/>
      <c r="K229" s="80"/>
      <c r="L229" s="80"/>
      <c r="M229" s="80"/>
      <c r="N229" s="80"/>
      <c r="O229" s="80"/>
      <c r="P229" s="80"/>
      <c r="Q229" s="80"/>
      <c r="R229" s="80"/>
      <c r="S229" s="80"/>
      <c r="T229" s="80"/>
      <c r="U229" s="80"/>
      <c r="V229" s="80"/>
      <c r="W229" s="80"/>
      <c r="X229" s="80"/>
      <c r="Y229" s="80"/>
      <c r="Z229" s="80"/>
      <c r="AA229" s="80"/>
      <c r="AB229" s="80"/>
    </row>
    <row r="230" spans="1:28" ht="15.75" customHeight="1">
      <c r="A230" s="83"/>
      <c r="B230" s="82"/>
      <c r="C230" s="82"/>
      <c r="D230" s="83"/>
      <c r="E230" s="86"/>
      <c r="F230" s="85"/>
      <c r="G230" s="80"/>
      <c r="H230" s="80"/>
      <c r="I230" s="80"/>
      <c r="J230" s="80"/>
      <c r="K230" s="80"/>
      <c r="L230" s="80"/>
      <c r="M230" s="80"/>
      <c r="N230" s="80"/>
      <c r="O230" s="80"/>
      <c r="P230" s="80"/>
      <c r="Q230" s="80"/>
      <c r="R230" s="80"/>
      <c r="S230" s="80"/>
      <c r="T230" s="80"/>
      <c r="U230" s="80"/>
      <c r="V230" s="80"/>
      <c r="W230" s="80"/>
      <c r="X230" s="80"/>
      <c r="Y230" s="80"/>
      <c r="Z230" s="80"/>
      <c r="AA230" s="80"/>
      <c r="AB230" s="80"/>
    </row>
    <row r="231" spans="1:28" ht="15.75" customHeight="1">
      <c r="A231" s="83"/>
      <c r="B231" s="82"/>
      <c r="C231" s="82"/>
      <c r="D231" s="83"/>
      <c r="E231" s="86"/>
      <c r="F231" s="85"/>
      <c r="G231" s="80"/>
      <c r="H231" s="80"/>
      <c r="I231" s="80"/>
      <c r="J231" s="80"/>
      <c r="K231" s="80"/>
      <c r="L231" s="80"/>
      <c r="M231" s="80"/>
      <c r="N231" s="80"/>
      <c r="O231" s="80"/>
      <c r="P231" s="80"/>
      <c r="Q231" s="80"/>
      <c r="R231" s="80"/>
      <c r="S231" s="80"/>
      <c r="T231" s="80"/>
      <c r="U231" s="80"/>
      <c r="V231" s="80"/>
      <c r="W231" s="80"/>
      <c r="X231" s="80"/>
      <c r="Y231" s="80"/>
      <c r="Z231" s="80"/>
      <c r="AA231" s="80"/>
      <c r="AB231" s="80"/>
    </row>
    <row r="232" spans="1:28" ht="15.75" customHeight="1">
      <c r="A232" s="83"/>
      <c r="B232" s="82"/>
      <c r="C232" s="82"/>
      <c r="D232" s="83"/>
      <c r="E232" s="86"/>
      <c r="F232" s="85"/>
      <c r="G232" s="80"/>
      <c r="H232" s="80"/>
      <c r="I232" s="80"/>
      <c r="J232" s="80"/>
      <c r="K232" s="80"/>
      <c r="L232" s="80"/>
      <c r="M232" s="80"/>
      <c r="N232" s="80"/>
      <c r="O232" s="80"/>
      <c r="P232" s="80"/>
      <c r="Q232" s="80"/>
      <c r="R232" s="80"/>
      <c r="S232" s="80"/>
      <c r="T232" s="80"/>
      <c r="U232" s="80"/>
      <c r="V232" s="80"/>
      <c r="W232" s="80"/>
      <c r="X232" s="80"/>
      <c r="Y232" s="80"/>
      <c r="Z232" s="80"/>
      <c r="AA232" s="80"/>
      <c r="AB232" s="80"/>
    </row>
    <row r="233" spans="1:28" ht="15.75" customHeight="1">
      <c r="A233" s="83"/>
      <c r="B233" s="82"/>
      <c r="C233" s="82"/>
      <c r="D233" s="83"/>
      <c r="E233" s="86"/>
      <c r="F233" s="85"/>
      <c r="G233" s="80"/>
      <c r="H233" s="80"/>
      <c r="I233" s="80"/>
      <c r="J233" s="80"/>
      <c r="K233" s="80"/>
      <c r="L233" s="80"/>
      <c r="M233" s="80"/>
      <c r="N233" s="80"/>
      <c r="O233" s="80"/>
      <c r="P233" s="80"/>
      <c r="Q233" s="80"/>
      <c r="R233" s="80"/>
      <c r="S233" s="80"/>
      <c r="T233" s="80"/>
      <c r="U233" s="80"/>
      <c r="V233" s="80"/>
      <c r="W233" s="80"/>
      <c r="X233" s="80"/>
      <c r="Y233" s="80"/>
      <c r="Z233" s="80"/>
      <c r="AA233" s="80"/>
      <c r="AB233" s="80"/>
    </row>
    <row r="234" spans="1:28" ht="15.75" customHeight="1">
      <c r="A234" s="83"/>
      <c r="B234" s="82"/>
      <c r="C234" s="82"/>
      <c r="D234" s="83"/>
      <c r="E234" s="86"/>
      <c r="F234" s="85"/>
      <c r="G234" s="80"/>
      <c r="H234" s="80"/>
      <c r="I234" s="80"/>
      <c r="J234" s="80"/>
      <c r="K234" s="80"/>
      <c r="L234" s="80"/>
      <c r="M234" s="80"/>
      <c r="N234" s="80"/>
      <c r="O234" s="80"/>
      <c r="P234" s="80"/>
      <c r="Q234" s="80"/>
      <c r="R234" s="80"/>
      <c r="S234" s="80"/>
      <c r="T234" s="80"/>
      <c r="U234" s="80"/>
      <c r="V234" s="80"/>
      <c r="W234" s="80"/>
      <c r="X234" s="80"/>
      <c r="Y234" s="80"/>
      <c r="Z234" s="80"/>
      <c r="AA234" s="80"/>
      <c r="AB234" s="80"/>
    </row>
    <row r="235" spans="1:28" ht="15.75" customHeight="1">
      <c r="A235" s="83"/>
      <c r="B235" s="82"/>
      <c r="C235" s="82"/>
      <c r="D235" s="83"/>
      <c r="E235" s="86"/>
      <c r="F235" s="85"/>
      <c r="G235" s="80"/>
      <c r="H235" s="80"/>
      <c r="I235" s="80"/>
      <c r="J235" s="80"/>
      <c r="K235" s="80"/>
      <c r="L235" s="80"/>
      <c r="M235" s="80"/>
      <c r="N235" s="80"/>
      <c r="O235" s="80"/>
      <c r="P235" s="80"/>
      <c r="Q235" s="80"/>
      <c r="R235" s="80"/>
      <c r="S235" s="80"/>
      <c r="T235" s="80"/>
      <c r="U235" s="80"/>
      <c r="V235" s="80"/>
      <c r="W235" s="80"/>
      <c r="X235" s="80"/>
      <c r="Y235" s="80"/>
      <c r="Z235" s="80"/>
      <c r="AA235" s="80"/>
      <c r="AB235" s="80"/>
    </row>
    <row r="236" spans="1:28" ht="15.75" customHeight="1">
      <c r="A236" s="83"/>
      <c r="B236" s="82"/>
      <c r="C236" s="82"/>
      <c r="D236" s="83"/>
      <c r="E236" s="86"/>
      <c r="F236" s="85"/>
      <c r="G236" s="80"/>
      <c r="H236" s="80"/>
      <c r="I236" s="80"/>
      <c r="J236" s="80"/>
      <c r="K236" s="80"/>
      <c r="L236" s="80"/>
      <c r="M236" s="80"/>
      <c r="N236" s="80"/>
      <c r="O236" s="80"/>
      <c r="P236" s="80"/>
      <c r="Q236" s="80"/>
      <c r="R236" s="80"/>
      <c r="S236" s="80"/>
      <c r="T236" s="80"/>
      <c r="U236" s="80"/>
      <c r="V236" s="80"/>
      <c r="W236" s="80"/>
      <c r="X236" s="80"/>
      <c r="Y236" s="80"/>
      <c r="Z236" s="80"/>
      <c r="AA236" s="80"/>
      <c r="AB236" s="80"/>
    </row>
    <row r="237" spans="1:28" ht="15.75" customHeight="1">
      <c r="A237" s="83"/>
      <c r="B237" s="82"/>
      <c r="C237" s="82"/>
      <c r="D237" s="83"/>
      <c r="E237" s="86"/>
      <c r="F237" s="85"/>
      <c r="G237" s="80"/>
      <c r="H237" s="80"/>
      <c r="I237" s="80"/>
      <c r="J237" s="80"/>
      <c r="K237" s="80"/>
      <c r="L237" s="80"/>
      <c r="M237" s="80"/>
      <c r="N237" s="80"/>
      <c r="O237" s="80"/>
      <c r="P237" s="80"/>
      <c r="Q237" s="80"/>
      <c r="R237" s="80"/>
      <c r="S237" s="80"/>
      <c r="T237" s="80"/>
      <c r="U237" s="80"/>
      <c r="V237" s="80"/>
      <c r="W237" s="80"/>
      <c r="X237" s="80"/>
      <c r="Y237" s="80"/>
      <c r="Z237" s="80"/>
      <c r="AA237" s="80"/>
      <c r="AB237" s="80"/>
    </row>
    <row r="238" spans="1:28" ht="15.75" customHeight="1">
      <c r="A238" s="83"/>
      <c r="B238" s="82"/>
      <c r="C238" s="82"/>
      <c r="D238" s="83"/>
      <c r="E238" s="86"/>
      <c r="F238" s="85"/>
      <c r="G238" s="80"/>
      <c r="H238" s="80"/>
      <c r="I238" s="80"/>
      <c r="J238" s="80"/>
      <c r="K238" s="80"/>
      <c r="L238" s="80"/>
      <c r="M238" s="80"/>
      <c r="N238" s="80"/>
      <c r="O238" s="80"/>
      <c r="P238" s="80"/>
      <c r="Q238" s="80"/>
      <c r="R238" s="80"/>
      <c r="S238" s="80"/>
      <c r="T238" s="80"/>
      <c r="U238" s="80"/>
      <c r="V238" s="80"/>
      <c r="W238" s="80"/>
      <c r="X238" s="80"/>
      <c r="Y238" s="80"/>
      <c r="Z238" s="80"/>
      <c r="AA238" s="80"/>
      <c r="AB238" s="80"/>
    </row>
    <row r="239" spans="1:28" ht="15.75" customHeight="1">
      <c r="A239" s="83"/>
      <c r="B239" s="82"/>
      <c r="C239" s="82"/>
      <c r="D239" s="83"/>
      <c r="E239" s="86"/>
      <c r="F239" s="85"/>
      <c r="G239" s="80"/>
      <c r="H239" s="80"/>
      <c r="I239" s="80"/>
      <c r="J239" s="80"/>
      <c r="K239" s="80"/>
      <c r="L239" s="80"/>
      <c r="M239" s="80"/>
      <c r="N239" s="80"/>
      <c r="O239" s="80"/>
      <c r="P239" s="80"/>
      <c r="Q239" s="80"/>
      <c r="R239" s="80"/>
      <c r="S239" s="80"/>
      <c r="T239" s="80"/>
      <c r="U239" s="80"/>
      <c r="V239" s="80"/>
      <c r="W239" s="80"/>
      <c r="X239" s="80"/>
      <c r="Y239" s="80"/>
      <c r="Z239" s="80"/>
      <c r="AA239" s="80"/>
      <c r="AB239" s="80"/>
    </row>
    <row r="240" spans="1:2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2:M4"/>
    <mergeCell ref="A11:A12"/>
    <mergeCell ref="C11:C12"/>
  </mergeCells>
  <pageMargins left="0.75" right="0.75" top="1" bottom="1"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Z999"/>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ColWidth="14.42578125" defaultRowHeight="15" customHeight="1"/>
  <cols>
    <col min="1" max="1" width="12" customWidth="1"/>
    <col min="2" max="2" width="25" customWidth="1"/>
    <col min="3" max="3" width="12" customWidth="1"/>
    <col min="4" max="4" width="15" customWidth="1"/>
    <col min="5" max="5" width="20" customWidth="1"/>
    <col min="6" max="21" width="13" customWidth="1"/>
    <col min="22" max="22" width="20.7109375" customWidth="1"/>
    <col min="23" max="23" width="21.140625" customWidth="1"/>
  </cols>
  <sheetData>
    <row r="1" spans="1:26" ht="20.25" customHeight="1">
      <c r="A1" s="103" t="s">
        <v>123</v>
      </c>
      <c r="B1" s="103" t="s">
        <v>124</v>
      </c>
      <c r="C1" s="104" t="s">
        <v>44</v>
      </c>
      <c r="D1" s="104" t="s">
        <v>45</v>
      </c>
      <c r="E1" s="103" t="s">
        <v>14</v>
      </c>
      <c r="F1" s="105" t="s">
        <v>806</v>
      </c>
      <c r="G1" s="105" t="s">
        <v>807</v>
      </c>
      <c r="H1" s="105" t="s">
        <v>808</v>
      </c>
      <c r="I1" s="105" t="s">
        <v>809</v>
      </c>
      <c r="J1" s="105" t="s">
        <v>810</v>
      </c>
      <c r="K1" s="105" t="s">
        <v>811</v>
      </c>
      <c r="L1" s="105" t="s">
        <v>817</v>
      </c>
      <c r="M1" s="105" t="s">
        <v>818</v>
      </c>
      <c r="N1" s="105" t="s">
        <v>820</v>
      </c>
      <c r="O1" s="105" t="s">
        <v>821</v>
      </c>
      <c r="P1" s="105" t="s">
        <v>822</v>
      </c>
      <c r="Q1" s="105" t="s">
        <v>823</v>
      </c>
      <c r="R1" s="105" t="s">
        <v>824</v>
      </c>
      <c r="S1" s="105" t="s">
        <v>825</v>
      </c>
      <c r="T1" s="105" t="s">
        <v>826</v>
      </c>
      <c r="U1" s="105" t="s">
        <v>827</v>
      </c>
      <c r="V1" s="106" t="s">
        <v>828</v>
      </c>
      <c r="W1" s="106"/>
      <c r="X1" s="106"/>
      <c r="Y1" s="106"/>
      <c r="Z1" s="107"/>
    </row>
    <row r="2" spans="1:26" ht="15.75" customHeight="1">
      <c r="A2" s="108" t="s">
        <v>296</v>
      </c>
      <c r="B2" s="108" t="str">
        <f>IFERROR(VLOOKUP(A2&amp;"", STUDENTS!A:B, 2, 0), "")</f>
        <v>LÊ THỊ THU HIỀN</v>
      </c>
      <c r="C2" s="109" t="s">
        <v>51</v>
      </c>
      <c r="D2" s="109" t="str">
        <f>IFERROR(VLOOKUP(C2, PIC!A:B, 2, 0), "")</f>
        <v>Anh Vu</v>
      </c>
      <c r="E2" s="110" t="s">
        <v>21</v>
      </c>
      <c r="F2" s="111" t="s">
        <v>815</v>
      </c>
      <c r="G2" s="112">
        <v>45712.458333333343</v>
      </c>
      <c r="H2" s="112">
        <v>45763.583333333343</v>
      </c>
      <c r="I2" s="111">
        <v>45770.541666666657</v>
      </c>
      <c r="J2" s="112">
        <v>45784.458333333343</v>
      </c>
      <c r="K2" s="111">
        <v>45819.583333333343</v>
      </c>
      <c r="L2" s="112">
        <v>45824.541666666657</v>
      </c>
      <c r="M2" s="112">
        <v>45831.541666666657</v>
      </c>
      <c r="N2" s="111">
        <v>45840.541666666657</v>
      </c>
      <c r="O2" s="111">
        <v>45867.416666666657</v>
      </c>
      <c r="P2" s="111"/>
      <c r="Q2" s="111"/>
      <c r="R2" s="111"/>
      <c r="S2" s="111"/>
      <c r="T2" s="111"/>
      <c r="U2" s="112"/>
      <c r="V2" s="113">
        <f t="shared" ref="V2:V147" si="0">MAX(F2:U2)</f>
        <v>45867.416666666657</v>
      </c>
      <c r="W2" s="114"/>
      <c r="X2" s="114"/>
      <c r="Y2" s="114"/>
      <c r="Z2" s="115"/>
    </row>
    <row r="3" spans="1:26" ht="15.75" customHeight="1">
      <c r="A3" s="116" t="s">
        <v>296</v>
      </c>
      <c r="B3" s="116" t="str">
        <f>IFERROR(VLOOKUP(A3&amp;"", STUDENTS!A:B, 2, 0), "")</f>
        <v>LÊ THỊ THU HIỀN</v>
      </c>
      <c r="C3" s="117" t="s">
        <v>51</v>
      </c>
      <c r="D3" s="117" t="str">
        <f>IFERROR(VLOOKUP(C3, PIC!A:B, 2, 0), "")</f>
        <v>Anh Vu</v>
      </c>
      <c r="E3" s="118" t="s">
        <v>22</v>
      </c>
      <c r="F3" s="119">
        <v>45889.458333333343</v>
      </c>
      <c r="G3" s="120">
        <v>45896.458333333343</v>
      </c>
      <c r="H3" s="120"/>
      <c r="I3" s="119">
        <v>45922.541666666657</v>
      </c>
      <c r="J3" s="120">
        <v>45930.458333333343</v>
      </c>
      <c r="K3" s="119">
        <v>45937.458333333343</v>
      </c>
      <c r="L3" s="120">
        <v>45944.458333333343</v>
      </c>
      <c r="M3" s="120">
        <v>45950.458333333343</v>
      </c>
      <c r="N3" s="119">
        <v>45957.458333333343</v>
      </c>
      <c r="O3" s="119">
        <v>45965.458333333343</v>
      </c>
      <c r="P3" s="119">
        <v>45972.458333333343</v>
      </c>
      <c r="Q3" s="119">
        <v>45979.458333333343</v>
      </c>
      <c r="R3" s="119" t="s">
        <v>815</v>
      </c>
      <c r="S3" s="119">
        <v>45993.416666666657</v>
      </c>
      <c r="T3" s="119">
        <v>46000.458333333343</v>
      </c>
      <c r="U3" s="120">
        <v>46042.416666666657</v>
      </c>
      <c r="V3" s="121">
        <f t="shared" si="0"/>
        <v>46042.416666666657</v>
      </c>
      <c r="W3" s="122"/>
      <c r="X3" s="122"/>
      <c r="Y3" s="2"/>
    </row>
    <row r="4" spans="1:26" ht="15.75" customHeight="1">
      <c r="A4" s="108" t="s">
        <v>319</v>
      </c>
      <c r="B4" s="108" t="str">
        <f>IFERROR(VLOOKUP(A4&amp;"", STUDENTS!A:B, 2, 0), "")</f>
        <v>LÝ THỊ DIỄM MY</v>
      </c>
      <c r="C4" s="109" t="s">
        <v>51</v>
      </c>
      <c r="D4" s="109" t="str">
        <f>IFERROR(VLOOKUP(C4, PIC!A:B, 2, 0), "")</f>
        <v>Anh Vu</v>
      </c>
      <c r="E4" s="110" t="s">
        <v>21</v>
      </c>
      <c r="F4" s="111" t="s">
        <v>815</v>
      </c>
      <c r="G4" s="111" t="s">
        <v>815</v>
      </c>
      <c r="H4" s="112">
        <v>45763.583333333343</v>
      </c>
      <c r="I4" s="111">
        <v>45770.541666666657</v>
      </c>
      <c r="J4" s="112">
        <v>45784.458333333343</v>
      </c>
      <c r="K4" s="111">
        <v>45819.583333333343</v>
      </c>
      <c r="L4" s="112">
        <v>45824.541666666657</v>
      </c>
      <c r="M4" s="112">
        <v>45831.541666666657</v>
      </c>
      <c r="N4" s="111">
        <v>45840.541666666657</v>
      </c>
      <c r="O4" s="111">
        <v>45867.416666666657</v>
      </c>
      <c r="P4" s="111"/>
      <c r="Q4" s="111"/>
      <c r="R4" s="111"/>
      <c r="S4" s="111"/>
      <c r="T4" s="111"/>
      <c r="U4" s="112"/>
      <c r="V4" s="113">
        <f t="shared" si="0"/>
        <v>45867.416666666657</v>
      </c>
      <c r="W4" s="114"/>
      <c r="X4" s="114"/>
      <c r="Y4" s="2"/>
    </row>
    <row r="5" spans="1:26" ht="15.75" customHeight="1">
      <c r="A5" s="116" t="s">
        <v>319</v>
      </c>
      <c r="B5" s="116" t="str">
        <f>IFERROR(VLOOKUP(A5&amp;"", STUDENTS!A:B, 2, 0), "")</f>
        <v>LÝ THỊ DIỄM MY</v>
      </c>
      <c r="C5" s="117" t="s">
        <v>51</v>
      </c>
      <c r="D5" s="117" t="str">
        <f>IFERROR(VLOOKUP(C5, PIC!A:B, 2, 0), "")</f>
        <v>Anh Vu</v>
      </c>
      <c r="E5" s="118" t="s">
        <v>22</v>
      </c>
      <c r="F5" s="119">
        <v>45889.458333333343</v>
      </c>
      <c r="G5" s="120">
        <v>45896.458333333343</v>
      </c>
      <c r="H5" s="120"/>
      <c r="I5" s="119">
        <v>45922.541666666657</v>
      </c>
      <c r="J5" s="120">
        <v>45930.458333333343</v>
      </c>
      <c r="K5" s="119">
        <v>45937.458333333343</v>
      </c>
      <c r="L5" s="120">
        <v>45944.458333333343</v>
      </c>
      <c r="M5" s="120">
        <v>45950.458333333343</v>
      </c>
      <c r="N5" s="119">
        <v>45957.458333333343</v>
      </c>
      <c r="O5" s="119">
        <v>45965.458333333343</v>
      </c>
      <c r="P5" s="119">
        <v>45972.458333333343</v>
      </c>
      <c r="Q5" s="119">
        <v>45979.458333333343</v>
      </c>
      <c r="R5" s="119">
        <v>45986.458333333343</v>
      </c>
      <c r="S5" s="119">
        <v>45993.416666666657</v>
      </c>
      <c r="T5" s="119">
        <v>46000.458333333343</v>
      </c>
      <c r="U5" s="120">
        <v>46042.416666666657</v>
      </c>
      <c r="V5" s="121">
        <f t="shared" si="0"/>
        <v>46042.416666666657</v>
      </c>
      <c r="W5" s="122"/>
      <c r="X5" s="122"/>
      <c r="Y5" s="2"/>
    </row>
    <row r="6" spans="1:26" ht="15.75" customHeight="1">
      <c r="A6" s="108" t="s">
        <v>474</v>
      </c>
      <c r="B6" s="108" t="str">
        <f>IFERROR(VLOOKUP(A6&amp;"", STUDENTS!A:B, 2, 0), "")</f>
        <v>NGUYỄN THỊ NGỌC DUNG</v>
      </c>
      <c r="C6" s="109" t="s">
        <v>51</v>
      </c>
      <c r="D6" s="109" t="str">
        <f>IFERROR(VLOOKUP(C6, PIC!A:B, 2, 0), "")</f>
        <v>Anh Vu</v>
      </c>
      <c r="E6" s="110" t="s">
        <v>21</v>
      </c>
      <c r="F6" s="111">
        <v>45700.416666666657</v>
      </c>
      <c r="G6" s="112">
        <v>45712.458333333343</v>
      </c>
      <c r="H6" s="112">
        <v>45763.583333333343</v>
      </c>
      <c r="I6" s="111">
        <v>45770.541666666657</v>
      </c>
      <c r="J6" s="112">
        <v>45784.458333333343</v>
      </c>
      <c r="K6" s="111">
        <v>45819.583333333343</v>
      </c>
      <c r="L6" s="112">
        <v>45824.541666666657</v>
      </c>
      <c r="M6" s="112">
        <v>45831.541666666657</v>
      </c>
      <c r="N6" s="111">
        <v>45840.541666666657</v>
      </c>
      <c r="O6" s="111">
        <v>45867.416666666657</v>
      </c>
      <c r="P6" s="111"/>
      <c r="Q6" s="111"/>
      <c r="R6" s="111"/>
      <c r="S6" s="111"/>
      <c r="T6" s="111"/>
      <c r="U6" s="112"/>
      <c r="V6" s="113">
        <f t="shared" si="0"/>
        <v>45867.416666666657</v>
      </c>
      <c r="W6" s="114"/>
      <c r="X6" s="114"/>
      <c r="Y6" s="2"/>
    </row>
    <row r="7" spans="1:26" ht="15.75" customHeight="1">
      <c r="A7" s="116" t="s">
        <v>474</v>
      </c>
      <c r="B7" s="116" t="str">
        <f>IFERROR(VLOOKUP(A7&amp;"", STUDENTS!A:B, 2, 0), "")</f>
        <v>NGUYỄN THỊ NGỌC DUNG</v>
      </c>
      <c r="C7" s="117" t="s">
        <v>51</v>
      </c>
      <c r="D7" s="117" t="str">
        <f>IFERROR(VLOOKUP(C7, PIC!A:B, 2, 0), "")</f>
        <v>Anh Vu</v>
      </c>
      <c r="E7" s="118" t="s">
        <v>22</v>
      </c>
      <c r="F7" s="119">
        <v>45889.458333333343</v>
      </c>
      <c r="G7" s="120">
        <v>45896.458333333343</v>
      </c>
      <c r="H7" s="120"/>
      <c r="I7" s="119">
        <v>45922.541666666657</v>
      </c>
      <c r="J7" s="120">
        <v>45930.458333333343</v>
      </c>
      <c r="K7" s="119">
        <v>45937.458333333343</v>
      </c>
      <c r="L7" s="120">
        <v>45944.458333333343</v>
      </c>
      <c r="M7" s="120">
        <v>45950.458333333343</v>
      </c>
      <c r="N7" s="119">
        <v>45957.458333333343</v>
      </c>
      <c r="O7" s="119">
        <v>45965.458333333343</v>
      </c>
      <c r="P7" s="119">
        <v>45972.458333333343</v>
      </c>
      <c r="Q7" s="119">
        <v>45979.458333333343</v>
      </c>
      <c r="R7" s="119">
        <v>45986.458333333343</v>
      </c>
      <c r="S7" s="119">
        <v>45993.416666666657</v>
      </c>
      <c r="T7" s="119">
        <v>46000.458333333343</v>
      </c>
      <c r="U7" s="120">
        <v>46042.416666666657</v>
      </c>
      <c r="V7" s="121">
        <f t="shared" si="0"/>
        <v>46042.416666666657</v>
      </c>
      <c r="W7" s="122"/>
      <c r="X7" s="122"/>
      <c r="Y7" s="2"/>
    </row>
    <row r="8" spans="1:26" ht="15.75" customHeight="1">
      <c r="A8" s="108" t="s">
        <v>657</v>
      </c>
      <c r="B8" s="108" t="str">
        <f>IFERROR(VLOOKUP(A8&amp;"", STUDENTS!A:B, 2, 0), "")</f>
        <v>TRẦN THỊ THANH NGA</v>
      </c>
      <c r="C8" s="109" t="s">
        <v>51</v>
      </c>
      <c r="D8" s="109" t="str">
        <f>IFERROR(VLOOKUP(C8, PIC!A:B, 2, 0), "")</f>
        <v>Anh Vu</v>
      </c>
      <c r="E8" s="110" t="s">
        <v>24</v>
      </c>
      <c r="F8" s="111">
        <v>46084.541666666657</v>
      </c>
      <c r="G8" s="112">
        <v>46091.583333333343</v>
      </c>
      <c r="H8" s="112">
        <v>46098.583333333343</v>
      </c>
      <c r="I8" s="111">
        <v>46105.583333333343</v>
      </c>
      <c r="J8" s="112">
        <v>46120.583333333343</v>
      </c>
      <c r="K8" s="111">
        <v>46127.583333333343</v>
      </c>
      <c r="L8" s="112"/>
      <c r="M8" s="112"/>
      <c r="N8" s="111"/>
      <c r="O8" s="111"/>
      <c r="P8" s="111"/>
      <c r="Q8" s="111"/>
      <c r="R8" s="111"/>
      <c r="S8" s="111"/>
      <c r="T8" s="111"/>
      <c r="U8" s="112"/>
      <c r="V8" s="113">
        <f t="shared" si="0"/>
        <v>46127.583333333343</v>
      </c>
      <c r="W8" s="114"/>
      <c r="X8" s="114"/>
      <c r="Y8" s="2"/>
    </row>
    <row r="9" spans="1:26" ht="15.75" customHeight="1">
      <c r="A9" s="116" t="s">
        <v>657</v>
      </c>
      <c r="B9" s="116" t="str">
        <f>IFERROR(VLOOKUP(A9&amp;"", STUDENTS!A:B, 2, 0), "")</f>
        <v>TRẦN THỊ THANH NGA</v>
      </c>
      <c r="C9" s="117" t="s">
        <v>51</v>
      </c>
      <c r="D9" s="117" t="str">
        <f>IFERROR(VLOOKUP(C9, PIC!A:B, 2, 0), "")</f>
        <v>Anh Vu</v>
      </c>
      <c r="E9" s="118" t="s">
        <v>21</v>
      </c>
      <c r="F9" s="119">
        <v>45700.416666666657</v>
      </c>
      <c r="G9" s="120">
        <v>45712.458333333343</v>
      </c>
      <c r="H9" s="120">
        <v>45763.583333333343</v>
      </c>
      <c r="I9" s="119">
        <v>45770.541666666657</v>
      </c>
      <c r="J9" s="120">
        <v>45784.458333333343</v>
      </c>
      <c r="K9" s="119">
        <v>45819.583333333343</v>
      </c>
      <c r="L9" s="120">
        <v>45824.541666666657</v>
      </c>
      <c r="M9" s="120">
        <v>45831.541666666657</v>
      </c>
      <c r="N9" s="119">
        <v>45840.541666666657</v>
      </c>
      <c r="O9" s="119">
        <v>45867.416666666657</v>
      </c>
      <c r="P9" s="119"/>
      <c r="Q9" s="119"/>
      <c r="R9" s="119"/>
      <c r="S9" s="119"/>
      <c r="T9" s="119"/>
      <c r="U9" s="120"/>
      <c r="V9" s="121">
        <f t="shared" si="0"/>
        <v>45867.416666666657</v>
      </c>
      <c r="W9" s="122"/>
      <c r="X9" s="122"/>
      <c r="Y9" s="2"/>
    </row>
    <row r="10" spans="1:26" ht="15.75" customHeight="1">
      <c r="A10" s="108" t="s">
        <v>657</v>
      </c>
      <c r="B10" s="108" t="str">
        <f>IFERROR(VLOOKUP(A10&amp;"", STUDENTS!A:B, 2, 0), "")</f>
        <v>TRẦN THỊ THANH NGA</v>
      </c>
      <c r="C10" s="109" t="s">
        <v>51</v>
      </c>
      <c r="D10" s="109" t="str">
        <f>IFERROR(VLOOKUP(C10, PIC!A:B, 2, 0), "")</f>
        <v>Anh Vu</v>
      </c>
      <c r="E10" s="110" t="s">
        <v>22</v>
      </c>
      <c r="F10" s="111">
        <v>45889.458333333343</v>
      </c>
      <c r="G10" s="112">
        <v>45896.458333333343</v>
      </c>
      <c r="H10" s="112"/>
      <c r="I10" s="111">
        <v>45922.541666666657</v>
      </c>
      <c r="J10" s="112">
        <v>45930.458333333343</v>
      </c>
      <c r="K10" s="111">
        <v>45937.458333333343</v>
      </c>
      <c r="L10" s="112">
        <v>45944.458333333343</v>
      </c>
      <c r="M10" s="112">
        <v>45950.458333333343</v>
      </c>
      <c r="N10" s="111">
        <v>45957.458333333343</v>
      </c>
      <c r="O10" s="111">
        <v>45965.458333333343</v>
      </c>
      <c r="P10" s="111">
        <v>45972.458333333343</v>
      </c>
      <c r="Q10" s="111">
        <v>45979.458333333343</v>
      </c>
      <c r="R10" s="111">
        <v>45986.458333333343</v>
      </c>
      <c r="S10" s="111">
        <v>45993.416666666657</v>
      </c>
      <c r="T10" s="111">
        <v>46000.458333333343</v>
      </c>
      <c r="U10" s="112">
        <v>46042.416666666657</v>
      </c>
      <c r="V10" s="113">
        <f t="shared" si="0"/>
        <v>46042.416666666657</v>
      </c>
      <c r="W10" s="114"/>
      <c r="X10" s="114"/>
      <c r="Y10" s="2"/>
    </row>
    <row r="11" spans="1:26" ht="15.75" customHeight="1">
      <c r="A11" s="116" t="s">
        <v>659</v>
      </c>
      <c r="B11" s="116" t="str">
        <f>IFERROR(VLOOKUP(A11&amp;"", STUDENTS!A:B, 2, 0), "")</f>
        <v>TRẦN THỊ THÙY DUNG</v>
      </c>
      <c r="C11" s="117" t="s">
        <v>51</v>
      </c>
      <c r="D11" s="117" t="str">
        <f>IFERROR(VLOOKUP(C11, PIC!A:B, 2, 0), "")</f>
        <v>Anh Vu</v>
      </c>
      <c r="E11" s="118" t="s">
        <v>24</v>
      </c>
      <c r="F11" s="119">
        <v>46084.541666666657</v>
      </c>
      <c r="G11" s="120">
        <v>46091.583333333343</v>
      </c>
      <c r="H11" s="120">
        <v>46098.583333333343</v>
      </c>
      <c r="I11" s="119">
        <v>46105.583333333343</v>
      </c>
      <c r="J11" s="120">
        <v>46120.583333333343</v>
      </c>
      <c r="K11" s="119">
        <v>46127.583333333343</v>
      </c>
      <c r="L11" s="120"/>
      <c r="M11" s="120"/>
      <c r="N11" s="119"/>
      <c r="O11" s="119"/>
      <c r="P11" s="119"/>
      <c r="Q11" s="119"/>
      <c r="R11" s="119"/>
      <c r="S11" s="119"/>
      <c r="T11" s="119"/>
      <c r="U11" s="120"/>
      <c r="V11" s="121">
        <f t="shared" si="0"/>
        <v>46127.583333333343</v>
      </c>
      <c r="W11" s="122"/>
      <c r="X11" s="122"/>
      <c r="Y11" s="2"/>
    </row>
    <row r="12" spans="1:26" ht="15.75" customHeight="1">
      <c r="A12" s="108" t="s">
        <v>659</v>
      </c>
      <c r="B12" s="108" t="str">
        <f>IFERROR(VLOOKUP(A12&amp;"", STUDENTS!A:B, 2, 0), "")</f>
        <v>TRẦN THỊ THÙY DUNG</v>
      </c>
      <c r="C12" s="109" t="s">
        <v>51</v>
      </c>
      <c r="D12" s="109" t="str">
        <f>IFERROR(VLOOKUP(C12, PIC!A:B, 2, 0), "")</f>
        <v>Anh Vu</v>
      </c>
      <c r="E12" s="110" t="s">
        <v>21</v>
      </c>
      <c r="F12" s="111">
        <v>45700.416666666657</v>
      </c>
      <c r="G12" s="112">
        <v>45712.458333333343</v>
      </c>
      <c r="H12" s="112">
        <v>45763.583333333343</v>
      </c>
      <c r="I12" s="111">
        <v>45770.541666666657</v>
      </c>
      <c r="J12" s="112">
        <v>45784.458333333343</v>
      </c>
      <c r="K12" s="111">
        <v>45819.583333333343</v>
      </c>
      <c r="L12" s="112">
        <v>45824.541666666657</v>
      </c>
      <c r="M12" s="112">
        <v>45831.541666666657</v>
      </c>
      <c r="N12" s="111">
        <v>45840.541666666657</v>
      </c>
      <c r="O12" s="111">
        <v>45867.416666666657</v>
      </c>
      <c r="P12" s="111"/>
      <c r="Q12" s="111"/>
      <c r="R12" s="111"/>
      <c r="S12" s="111"/>
      <c r="T12" s="111"/>
      <c r="U12" s="112"/>
      <c r="V12" s="113">
        <f t="shared" si="0"/>
        <v>45867.416666666657</v>
      </c>
      <c r="W12" s="114"/>
      <c r="X12" s="114"/>
      <c r="Y12" s="2"/>
    </row>
    <row r="13" spans="1:26" ht="15.75" customHeight="1">
      <c r="A13" s="116" t="s">
        <v>659</v>
      </c>
      <c r="B13" s="116" t="str">
        <f>IFERROR(VLOOKUP(A13&amp;"", STUDENTS!A:B, 2, 0), "")</f>
        <v>TRẦN THỊ THÙY DUNG</v>
      </c>
      <c r="C13" s="117" t="s">
        <v>51</v>
      </c>
      <c r="D13" s="117" t="str">
        <f>IFERROR(VLOOKUP(C13, PIC!A:B, 2, 0), "")</f>
        <v>Anh Vu</v>
      </c>
      <c r="E13" s="118" t="s">
        <v>22</v>
      </c>
      <c r="F13" s="119">
        <v>45889.458333333343</v>
      </c>
      <c r="G13" s="120">
        <v>45896.458333333343</v>
      </c>
      <c r="H13" s="120"/>
      <c r="I13" s="119">
        <v>45922.541666666657</v>
      </c>
      <c r="J13" s="120">
        <v>45930.458333333343</v>
      </c>
      <c r="K13" s="119">
        <v>45937.458333333343</v>
      </c>
      <c r="L13" s="120">
        <v>45944.458333333343</v>
      </c>
      <c r="M13" s="120">
        <v>45950.458333333343</v>
      </c>
      <c r="N13" s="119">
        <v>45957.458333333343</v>
      </c>
      <c r="O13" s="119">
        <v>45965.458333333343</v>
      </c>
      <c r="P13" s="119">
        <v>45972.458333333343</v>
      </c>
      <c r="Q13" s="119">
        <v>45979.458333333343</v>
      </c>
      <c r="R13" s="119">
        <v>45986.458333333343</v>
      </c>
      <c r="S13" s="119">
        <v>45993.416666666657</v>
      </c>
      <c r="T13" s="119">
        <v>46000.458333333343</v>
      </c>
      <c r="U13" s="120">
        <v>46042.416666666657</v>
      </c>
      <c r="V13" s="121">
        <f t="shared" si="0"/>
        <v>46042.416666666657</v>
      </c>
      <c r="W13" s="122"/>
      <c r="X13" s="122"/>
      <c r="Y13" s="2"/>
    </row>
    <row r="14" spans="1:26" ht="15.75" customHeight="1">
      <c r="A14" s="108" t="s">
        <v>721</v>
      </c>
      <c r="B14" s="108" t="str">
        <f>IFERROR(VLOOKUP(A14&amp;"", STUDENTS!A:B, 2, 0), "")</f>
        <v>VŨ TÚ ANH</v>
      </c>
      <c r="C14" s="109" t="s">
        <v>51</v>
      </c>
      <c r="D14" s="109" t="str">
        <f>IFERROR(VLOOKUP(C14, PIC!A:B, 2, 0), "")</f>
        <v>Anh Vu</v>
      </c>
      <c r="E14" s="110" t="s">
        <v>24</v>
      </c>
      <c r="F14" s="111">
        <v>46084.541666666657</v>
      </c>
      <c r="G14" s="112">
        <v>46091.583333333343</v>
      </c>
      <c r="H14" s="112">
        <v>46098.583333333343</v>
      </c>
      <c r="I14" s="111">
        <v>46105.583333333343</v>
      </c>
      <c r="J14" s="112">
        <v>46120.583333333343</v>
      </c>
      <c r="K14" s="111">
        <v>46127.583333333343</v>
      </c>
      <c r="L14" s="112"/>
      <c r="M14" s="112"/>
      <c r="N14" s="111"/>
      <c r="O14" s="111"/>
      <c r="P14" s="111"/>
      <c r="Q14" s="111"/>
      <c r="R14" s="111"/>
      <c r="S14" s="111"/>
      <c r="T14" s="111"/>
      <c r="U14" s="112"/>
      <c r="V14" s="113">
        <f t="shared" si="0"/>
        <v>46127.583333333343</v>
      </c>
      <c r="W14" s="114"/>
      <c r="X14" s="114"/>
      <c r="Y14" s="2"/>
    </row>
    <row r="15" spans="1:26" ht="15.75" customHeight="1">
      <c r="A15" s="116" t="s">
        <v>721</v>
      </c>
      <c r="B15" s="116" t="str">
        <f>IFERROR(VLOOKUP(A15&amp;"", STUDENTS!A:B, 2, 0), "")</f>
        <v>VŨ TÚ ANH</v>
      </c>
      <c r="C15" s="117" t="s">
        <v>51</v>
      </c>
      <c r="D15" s="117" t="str">
        <f>IFERROR(VLOOKUP(C15, PIC!A:B, 2, 0), "")</f>
        <v>Anh Vu</v>
      </c>
      <c r="E15" s="118" t="s">
        <v>21</v>
      </c>
      <c r="F15" s="119">
        <v>45700.416666666657</v>
      </c>
      <c r="G15" s="120">
        <v>45712.458333333343</v>
      </c>
      <c r="H15" s="120">
        <v>45763.583333333343</v>
      </c>
      <c r="I15" s="119">
        <v>45770.541666666657</v>
      </c>
      <c r="J15" s="120">
        <v>45784.458333333343</v>
      </c>
      <c r="K15" s="119">
        <v>45819.583333333343</v>
      </c>
      <c r="L15" s="120">
        <v>45824.541666666657</v>
      </c>
      <c r="M15" s="120">
        <v>45831.541666666657</v>
      </c>
      <c r="N15" s="119">
        <v>45840.541666666657</v>
      </c>
      <c r="O15" s="119">
        <v>45867.416666666657</v>
      </c>
      <c r="P15" s="119"/>
      <c r="Q15" s="119"/>
      <c r="R15" s="119"/>
      <c r="S15" s="119"/>
      <c r="T15" s="119"/>
      <c r="U15" s="120"/>
      <c r="V15" s="121">
        <f t="shared" si="0"/>
        <v>45867.416666666657</v>
      </c>
      <c r="W15" s="122"/>
      <c r="X15" s="122"/>
      <c r="Y15" s="2"/>
    </row>
    <row r="16" spans="1:26" ht="15.75" customHeight="1">
      <c r="A16" s="108" t="s">
        <v>721</v>
      </c>
      <c r="B16" s="108" t="str">
        <f>IFERROR(VLOOKUP(A16&amp;"", STUDENTS!A:B, 2, 0), "")</f>
        <v>VŨ TÚ ANH</v>
      </c>
      <c r="C16" s="109" t="s">
        <v>51</v>
      </c>
      <c r="D16" s="109" t="str">
        <f>IFERROR(VLOOKUP(C16, PIC!A:B, 2, 0), "")</f>
        <v>Anh Vu</v>
      </c>
      <c r="E16" s="110" t="s">
        <v>22</v>
      </c>
      <c r="F16" s="111">
        <v>45889.458333333343</v>
      </c>
      <c r="G16" s="112">
        <v>45896.458333333343</v>
      </c>
      <c r="H16" s="112"/>
      <c r="I16" s="111">
        <v>45922.541666666657</v>
      </c>
      <c r="J16" s="112">
        <v>45930.458333333343</v>
      </c>
      <c r="K16" s="111">
        <v>45937.458333333343</v>
      </c>
      <c r="L16" s="112">
        <v>45944.458333333343</v>
      </c>
      <c r="M16" s="112">
        <v>45950.458333333343</v>
      </c>
      <c r="N16" s="111">
        <v>45957.458333333343</v>
      </c>
      <c r="O16" s="111">
        <v>45965.458333333343</v>
      </c>
      <c r="P16" s="111">
        <v>45972.458333333343</v>
      </c>
      <c r="Q16" s="111">
        <v>45979.458333333343</v>
      </c>
      <c r="R16" s="111">
        <v>45986.458333333343</v>
      </c>
      <c r="S16" s="111">
        <v>45993.416666666657</v>
      </c>
      <c r="T16" s="111">
        <v>46000.458333333343</v>
      </c>
      <c r="U16" s="112">
        <v>46042.416666666657</v>
      </c>
      <c r="V16" s="113">
        <f t="shared" si="0"/>
        <v>46042.416666666657</v>
      </c>
      <c r="W16" s="114"/>
      <c r="X16" s="114"/>
      <c r="Y16" s="2"/>
    </row>
    <row r="17" spans="1:25" ht="15.75" customHeight="1">
      <c r="A17" s="116" t="s">
        <v>170</v>
      </c>
      <c r="B17" s="116" t="str">
        <f>IFERROR(VLOOKUP(A17&amp;"", STUDENTS!A:B, 2, 0), "")</f>
        <v>ĐỖ CHÂU BỬU</v>
      </c>
      <c r="C17" s="117" t="s">
        <v>52</v>
      </c>
      <c r="D17" s="117" t="str">
        <f>IFERROR(VLOOKUP(C17, PIC!A:B, 2, 0), "")</f>
        <v>Buu Do 1</v>
      </c>
      <c r="E17" s="118" t="s">
        <v>21</v>
      </c>
      <c r="F17" s="119">
        <v>45715.416666666657</v>
      </c>
      <c r="G17" s="120">
        <v>45765.541666666657</v>
      </c>
      <c r="H17" s="120" t="s">
        <v>815</v>
      </c>
      <c r="I17" s="119" t="s">
        <v>815</v>
      </c>
      <c r="J17" s="120">
        <v>45793.541666666657</v>
      </c>
      <c r="K17" s="119">
        <v>45800.541666666657</v>
      </c>
      <c r="L17" s="120" t="s">
        <v>815</v>
      </c>
      <c r="M17" s="120" t="s">
        <v>815</v>
      </c>
      <c r="N17" s="119" t="s">
        <v>815</v>
      </c>
      <c r="O17" s="119" t="s">
        <v>815</v>
      </c>
      <c r="P17" s="119"/>
      <c r="Q17" s="119"/>
      <c r="R17" s="119"/>
      <c r="S17" s="119"/>
      <c r="T17" s="119"/>
      <c r="U17" s="120"/>
      <c r="V17" s="121">
        <f t="shared" si="0"/>
        <v>45800.541666666657</v>
      </c>
      <c r="W17" s="122"/>
      <c r="X17" s="122"/>
      <c r="Y17" s="2"/>
    </row>
    <row r="18" spans="1:25" ht="15.75" customHeight="1">
      <c r="A18" s="108" t="s">
        <v>196</v>
      </c>
      <c r="B18" s="108" t="str">
        <f>IFERROR(VLOOKUP(A18&amp;"", STUDENTS!A:B, 2, 0), "")</f>
        <v>ĐOÀN TRẦN BÁ ĐẠT</v>
      </c>
      <c r="C18" s="109" t="s">
        <v>52</v>
      </c>
      <c r="D18" s="109" t="str">
        <f>IFERROR(VLOOKUP(C18, PIC!A:B, 2, 0), "")</f>
        <v>Buu Do 1</v>
      </c>
      <c r="E18" s="110" t="s">
        <v>21</v>
      </c>
      <c r="F18" s="111">
        <v>45715.416666666657</v>
      </c>
      <c r="G18" s="112">
        <v>45765.541666666657</v>
      </c>
      <c r="H18" s="112">
        <v>45771.583333333343</v>
      </c>
      <c r="I18" s="111">
        <v>45785.541666666657</v>
      </c>
      <c r="J18" s="112">
        <v>45793.541666666657</v>
      </c>
      <c r="K18" s="111">
        <v>45800.541666666657</v>
      </c>
      <c r="L18" s="112">
        <v>45827.583333333343</v>
      </c>
      <c r="M18" s="112">
        <v>45869.625</v>
      </c>
      <c r="N18" s="111">
        <v>45912.416666666657</v>
      </c>
      <c r="O18" s="111">
        <v>45954.375</v>
      </c>
      <c r="P18" s="111"/>
      <c r="Q18" s="111"/>
      <c r="R18" s="111"/>
      <c r="S18" s="111"/>
      <c r="T18" s="111"/>
      <c r="U18" s="112"/>
      <c r="V18" s="113">
        <f t="shared" si="0"/>
        <v>45954.375</v>
      </c>
      <c r="W18" s="114"/>
      <c r="X18" s="114"/>
      <c r="Y18" s="2"/>
    </row>
    <row r="19" spans="1:25" ht="15.75" customHeight="1">
      <c r="A19" s="116" t="s">
        <v>328</v>
      </c>
      <c r="B19" s="116" t="str">
        <f>IFERROR(VLOOKUP(A19&amp;"", STUDENTS!A:B, 2, 0), "")</f>
        <v>NGÔ TRỌNG NGHĨA</v>
      </c>
      <c r="C19" s="117" t="s">
        <v>52</v>
      </c>
      <c r="D19" s="117" t="str">
        <f>IFERROR(VLOOKUP(C19, PIC!A:B, 2, 0), "")</f>
        <v>Buu Do 1</v>
      </c>
      <c r="E19" s="118" t="s">
        <v>21</v>
      </c>
      <c r="F19" s="119">
        <v>45715.458333333343</v>
      </c>
      <c r="G19" s="120">
        <v>45765.541666666657</v>
      </c>
      <c r="H19" s="120">
        <v>45771.583333333343</v>
      </c>
      <c r="I19" s="119" t="s">
        <v>815</v>
      </c>
      <c r="J19" s="120">
        <v>45793.541666666657</v>
      </c>
      <c r="K19" s="119">
        <v>45800.541666666657</v>
      </c>
      <c r="L19" s="120">
        <v>45827.583333333343</v>
      </c>
      <c r="M19" s="120">
        <v>45869.625</v>
      </c>
      <c r="N19" s="119">
        <v>45912.416666666657</v>
      </c>
      <c r="O19" s="119">
        <v>45954.375</v>
      </c>
      <c r="P19" s="119"/>
      <c r="Q19" s="119"/>
      <c r="R19" s="119"/>
      <c r="S19" s="119"/>
      <c r="T19" s="119"/>
      <c r="U19" s="120"/>
      <c r="V19" s="121">
        <f t="shared" si="0"/>
        <v>45954.375</v>
      </c>
      <c r="W19" s="122"/>
      <c r="X19" s="122"/>
      <c r="Y19" s="2"/>
    </row>
    <row r="20" spans="1:25" ht="15.75" customHeight="1">
      <c r="A20" s="108" t="s">
        <v>506</v>
      </c>
      <c r="B20" s="108" t="str">
        <f>IFERROR(VLOOKUP(A20&amp;"", STUDENTS!A:B, 2, 0), "")</f>
        <v>NGUYỄN VĂN HOÀNG</v>
      </c>
      <c r="C20" s="109" t="s">
        <v>52</v>
      </c>
      <c r="D20" s="109" t="str">
        <f>IFERROR(VLOOKUP(C20, PIC!A:B, 2, 0), "")</f>
        <v>Buu Do 1</v>
      </c>
      <c r="E20" s="110" t="s">
        <v>21</v>
      </c>
      <c r="F20" s="111">
        <v>45715.416666666657</v>
      </c>
      <c r="G20" s="112">
        <v>45765.541666666657</v>
      </c>
      <c r="H20" s="112">
        <v>45771.583333333343</v>
      </c>
      <c r="I20" s="111">
        <v>45785.541666666657</v>
      </c>
      <c r="J20" s="112" t="s">
        <v>815</v>
      </c>
      <c r="K20" s="111">
        <v>45800.541666666657</v>
      </c>
      <c r="L20" s="112">
        <v>45827.583333333343</v>
      </c>
      <c r="M20" s="112" t="s">
        <v>815</v>
      </c>
      <c r="N20" s="111" t="s">
        <v>815</v>
      </c>
      <c r="O20" s="111" t="s">
        <v>815</v>
      </c>
      <c r="P20" s="111"/>
      <c r="Q20" s="111"/>
      <c r="R20" s="111"/>
      <c r="S20" s="111"/>
      <c r="T20" s="111"/>
      <c r="U20" s="112"/>
      <c r="V20" s="113">
        <f t="shared" si="0"/>
        <v>45827.583333333343</v>
      </c>
      <c r="W20" s="114"/>
      <c r="X20" s="114"/>
      <c r="Y20" s="2"/>
    </row>
    <row r="21" spans="1:25" ht="15.75" customHeight="1">
      <c r="A21" s="116" t="s">
        <v>605</v>
      </c>
      <c r="B21" s="116" t="str">
        <f>IFERROR(VLOOKUP(A21&amp;"", STUDENTS!A:B, 2, 0), "")</f>
        <v>TRẦN ĐỨC LỢI</v>
      </c>
      <c r="C21" s="117" t="s">
        <v>52</v>
      </c>
      <c r="D21" s="117" t="str">
        <f>IFERROR(VLOOKUP(C21, PIC!A:B, 2, 0), "")</f>
        <v>Buu Do 1</v>
      </c>
      <c r="E21" s="118" t="s">
        <v>21</v>
      </c>
      <c r="F21" s="119">
        <v>45715.416666666657</v>
      </c>
      <c r="G21" s="120">
        <v>45765.541666666657</v>
      </c>
      <c r="H21" s="120" t="s">
        <v>815</v>
      </c>
      <c r="I21" s="119" t="s">
        <v>815</v>
      </c>
      <c r="J21" s="120" t="s">
        <v>815</v>
      </c>
      <c r="K21" s="119">
        <v>45800.541666666657</v>
      </c>
      <c r="L21" s="120">
        <v>45827.583333333343</v>
      </c>
      <c r="M21" s="120" t="s">
        <v>815</v>
      </c>
      <c r="N21" s="119" t="s">
        <v>815</v>
      </c>
      <c r="O21" s="119" t="s">
        <v>815</v>
      </c>
      <c r="P21" s="119"/>
      <c r="Q21" s="119"/>
      <c r="R21" s="119"/>
      <c r="S21" s="119"/>
      <c r="T21" s="119"/>
      <c r="U21" s="120"/>
      <c r="V21" s="121">
        <f t="shared" si="0"/>
        <v>45827.583333333343</v>
      </c>
      <c r="W21" s="122"/>
      <c r="X21" s="122"/>
      <c r="Y21" s="2"/>
    </row>
    <row r="22" spans="1:25" ht="15.75" customHeight="1">
      <c r="A22" s="108" t="s">
        <v>677</v>
      </c>
      <c r="B22" s="108" t="str">
        <f>IFERROR(VLOOKUP(A22&amp;"", STUDENTS!A:B, 2, 0), "")</f>
        <v>TRƯƠNG ĐĂNG QUANG</v>
      </c>
      <c r="C22" s="109" t="s">
        <v>52</v>
      </c>
      <c r="D22" s="109" t="str">
        <f>IFERROR(VLOOKUP(C22, PIC!A:B, 2, 0), "")</f>
        <v>Buu Do 1</v>
      </c>
      <c r="E22" s="110" t="s">
        <v>21</v>
      </c>
      <c r="F22" s="111">
        <v>45715.416666666657</v>
      </c>
      <c r="G22" s="112">
        <v>45765.541666666657</v>
      </c>
      <c r="H22" s="112">
        <v>45771.583333333343</v>
      </c>
      <c r="I22" s="111">
        <v>45785.541666666657</v>
      </c>
      <c r="J22" s="112">
        <v>45793.541666666657</v>
      </c>
      <c r="K22" s="111">
        <v>45800.541666666657</v>
      </c>
      <c r="L22" s="112" t="s">
        <v>815</v>
      </c>
      <c r="M22" s="112">
        <v>45869.625</v>
      </c>
      <c r="N22" s="111">
        <v>45912.416666666657</v>
      </c>
      <c r="O22" s="111">
        <v>45954.375</v>
      </c>
      <c r="P22" s="111"/>
      <c r="Q22" s="111"/>
      <c r="R22" s="111"/>
      <c r="S22" s="111"/>
      <c r="T22" s="111"/>
      <c r="U22" s="112"/>
      <c r="V22" s="113">
        <f t="shared" si="0"/>
        <v>45954.375</v>
      </c>
      <c r="W22" s="114"/>
      <c r="X22" s="114"/>
      <c r="Y22" s="2"/>
    </row>
    <row r="23" spans="1:25" ht="15.75" customHeight="1">
      <c r="A23" s="116" t="s">
        <v>687</v>
      </c>
      <c r="B23" s="116" t="str">
        <f>IFERROR(VLOOKUP(A23&amp;"", STUDENTS!A:B, 2, 0), "")</f>
        <v>VĂN TÂN LỢI</v>
      </c>
      <c r="C23" s="117" t="s">
        <v>52</v>
      </c>
      <c r="D23" s="117" t="str">
        <f>IFERROR(VLOOKUP(C23, PIC!A:B, 2, 0), "")</f>
        <v>Buu Do 1</v>
      </c>
      <c r="E23" s="118" t="s">
        <v>21</v>
      </c>
      <c r="F23" s="119">
        <v>45715.416666666657</v>
      </c>
      <c r="G23" s="120">
        <v>45765.541666666657</v>
      </c>
      <c r="H23" s="120">
        <v>45771.583333333343</v>
      </c>
      <c r="I23" s="119">
        <v>45785.541666666657</v>
      </c>
      <c r="J23" s="120">
        <v>45793.541666666657</v>
      </c>
      <c r="K23" s="119">
        <v>45800.541666666657</v>
      </c>
      <c r="L23" s="120" t="s">
        <v>815</v>
      </c>
      <c r="M23" s="120">
        <v>45869.625</v>
      </c>
      <c r="N23" s="119">
        <v>45912.416666666657</v>
      </c>
      <c r="O23" s="119">
        <v>45954.375</v>
      </c>
      <c r="P23" s="119"/>
      <c r="Q23" s="119"/>
      <c r="R23" s="119"/>
      <c r="S23" s="119"/>
      <c r="T23" s="119"/>
      <c r="U23" s="120"/>
      <c r="V23" s="121">
        <f t="shared" si="0"/>
        <v>45954.375</v>
      </c>
      <c r="W23" s="122"/>
      <c r="X23" s="122"/>
      <c r="Y23" s="2"/>
    </row>
    <row r="24" spans="1:25" ht="15.75" customHeight="1">
      <c r="A24" s="108" t="s">
        <v>701</v>
      </c>
      <c r="B24" s="108" t="str">
        <f>IFERROR(VLOOKUP(A24&amp;"", STUDENTS!A:B, 2, 0), "")</f>
        <v>VÕ PHÚ PHÁT</v>
      </c>
      <c r="C24" s="109" t="s">
        <v>52</v>
      </c>
      <c r="D24" s="109" t="str">
        <f>IFERROR(VLOOKUP(C24, PIC!A:B, 2, 0), "")</f>
        <v>Buu Do 1</v>
      </c>
      <c r="E24" s="110" t="s">
        <v>21</v>
      </c>
      <c r="F24" s="111">
        <v>45715.416666666657</v>
      </c>
      <c r="G24" s="112">
        <v>45765.541666666657</v>
      </c>
      <c r="H24" s="112">
        <v>45771.583333333343</v>
      </c>
      <c r="I24" s="111">
        <v>45785.541666666657</v>
      </c>
      <c r="J24" s="112">
        <v>45793.541666666657</v>
      </c>
      <c r="K24" s="111">
        <v>45800.541666666657</v>
      </c>
      <c r="L24" s="112">
        <v>45827.583333333343</v>
      </c>
      <c r="M24" s="112">
        <v>45869.625</v>
      </c>
      <c r="N24" s="111">
        <v>45912.416666666657</v>
      </c>
      <c r="O24" s="111">
        <v>45954.375</v>
      </c>
      <c r="P24" s="111"/>
      <c r="Q24" s="111"/>
      <c r="R24" s="111"/>
      <c r="S24" s="111"/>
      <c r="T24" s="111"/>
      <c r="U24" s="112"/>
      <c r="V24" s="113">
        <f t="shared" si="0"/>
        <v>45954.375</v>
      </c>
      <c r="W24" s="114"/>
      <c r="X24" s="114"/>
      <c r="Y24" s="2"/>
    </row>
    <row r="25" spans="1:25" ht="15.75" customHeight="1">
      <c r="A25" s="116" t="s">
        <v>325</v>
      </c>
      <c r="B25" s="116" t="str">
        <f>IFERROR(VLOOKUP(A25&amp;"", STUDENTS!A:B, 2, 0), "")</f>
        <v>NGÔ THỤY THANH NHƯ</v>
      </c>
      <c r="C25" s="117" t="s">
        <v>53</v>
      </c>
      <c r="D25" s="117" t="str">
        <f>IFERROR(VLOOKUP(C25, PIC!A:B, 2, 0), "")</f>
        <v>Buu Do 2</v>
      </c>
      <c r="E25" s="118" t="s">
        <v>21</v>
      </c>
      <c r="F25" s="119">
        <v>45715.458333333343</v>
      </c>
      <c r="G25" s="120" t="s">
        <v>815</v>
      </c>
      <c r="H25" s="120">
        <v>45772.541666666657</v>
      </c>
      <c r="I25" s="119">
        <v>45793.583333333343</v>
      </c>
      <c r="J25" s="120">
        <v>45800.583333333343</v>
      </c>
      <c r="K25" s="119">
        <v>45813.583333333343</v>
      </c>
      <c r="L25" s="120">
        <v>45820.625</v>
      </c>
      <c r="M25" s="120">
        <v>45827.625</v>
      </c>
      <c r="N25" s="119">
        <v>45834.583333333343</v>
      </c>
      <c r="O25" s="119">
        <v>45882.541666666657</v>
      </c>
      <c r="P25" s="119"/>
      <c r="Q25" s="119"/>
      <c r="R25" s="119"/>
      <c r="S25" s="119"/>
      <c r="T25" s="119"/>
      <c r="U25" s="120"/>
      <c r="V25" s="121">
        <f t="shared" si="0"/>
        <v>45882.541666666657</v>
      </c>
      <c r="W25" s="122"/>
      <c r="X25" s="122"/>
      <c r="Y25" s="2"/>
    </row>
    <row r="26" spans="1:25" ht="15.75" customHeight="1">
      <c r="A26" s="108" t="s">
        <v>415</v>
      </c>
      <c r="B26" s="108" t="str">
        <f>IFERROR(VLOOKUP(A26&amp;"", STUDENTS!A:B, 2, 0), "")</f>
        <v>NGUYỄN NGỌC NGUYỆT NGÂN</v>
      </c>
      <c r="C26" s="109" t="s">
        <v>53</v>
      </c>
      <c r="D26" s="109" t="str">
        <f>IFERROR(VLOOKUP(C26, PIC!A:B, 2, 0), "")</f>
        <v>Buu Do 2</v>
      </c>
      <c r="E26" s="110" t="s">
        <v>21</v>
      </c>
      <c r="F26" s="111">
        <v>45715.458333333343</v>
      </c>
      <c r="G26" s="112">
        <v>45763.458333333343</v>
      </c>
      <c r="H26" s="112">
        <v>45772.541666666657</v>
      </c>
      <c r="I26" s="111">
        <v>45793.583333333343</v>
      </c>
      <c r="J26" s="112">
        <v>45800.583333333343</v>
      </c>
      <c r="K26" s="111">
        <v>45813.583333333343</v>
      </c>
      <c r="L26" s="112">
        <v>45820.625</v>
      </c>
      <c r="M26" s="112" t="s">
        <v>815</v>
      </c>
      <c r="N26" s="111">
        <v>45834.583333333343</v>
      </c>
      <c r="O26" s="111">
        <v>45882.541666666657</v>
      </c>
      <c r="P26" s="111"/>
      <c r="Q26" s="111"/>
      <c r="R26" s="111"/>
      <c r="S26" s="111"/>
      <c r="T26" s="111"/>
      <c r="U26" s="112"/>
      <c r="V26" s="113">
        <f t="shared" si="0"/>
        <v>45882.541666666657</v>
      </c>
      <c r="W26" s="114"/>
      <c r="X26" s="114"/>
      <c r="Y26" s="2"/>
    </row>
    <row r="27" spans="1:25" ht="15.75" customHeight="1">
      <c r="A27" s="116" t="s">
        <v>461</v>
      </c>
      <c r="B27" s="116" t="str">
        <f>IFERROR(VLOOKUP(A27&amp;"", STUDENTS!A:B, 2, 0), "")</f>
        <v>NGUYỄN THỊ HIỀN NI</v>
      </c>
      <c r="C27" s="117" t="s">
        <v>53</v>
      </c>
      <c r="D27" s="117" t="str">
        <f>IFERROR(VLOOKUP(C27, PIC!A:B, 2, 0), "")</f>
        <v>Buu Do 2</v>
      </c>
      <c r="E27" s="118" t="s">
        <v>21</v>
      </c>
      <c r="F27" s="119" t="s">
        <v>815</v>
      </c>
      <c r="G27" s="120">
        <v>45763.458333333343</v>
      </c>
      <c r="H27" s="120">
        <v>45772.541666666657</v>
      </c>
      <c r="I27" s="119" t="s">
        <v>815</v>
      </c>
      <c r="J27" s="120">
        <v>45800.583333333343</v>
      </c>
      <c r="K27" s="119">
        <v>45813.583333333343</v>
      </c>
      <c r="L27" s="120">
        <v>45820.625</v>
      </c>
      <c r="M27" s="120">
        <v>45827.625</v>
      </c>
      <c r="N27" s="119">
        <v>45834.583333333343</v>
      </c>
      <c r="O27" s="119">
        <v>45882.541666666657</v>
      </c>
      <c r="P27" s="119"/>
      <c r="Q27" s="119"/>
      <c r="R27" s="119"/>
      <c r="S27" s="119"/>
      <c r="T27" s="119"/>
      <c r="U27" s="120"/>
      <c r="V27" s="121">
        <f t="shared" si="0"/>
        <v>45882.541666666657</v>
      </c>
      <c r="W27" s="122"/>
      <c r="X27" s="122"/>
      <c r="Y27" s="2"/>
    </row>
    <row r="28" spans="1:25" ht="15.75" customHeight="1">
      <c r="A28" s="108" t="s">
        <v>534</v>
      </c>
      <c r="B28" s="108" t="str">
        <f>IFERROR(VLOOKUP(A28&amp;"", STUDENTS!A:B, 2, 0), "")</f>
        <v>PHẠM LÊ HOÀI PHƯƠNG</v>
      </c>
      <c r="C28" s="109" t="s">
        <v>53</v>
      </c>
      <c r="D28" s="109" t="str">
        <f>IFERROR(VLOOKUP(C28, PIC!A:B, 2, 0), "")</f>
        <v>Buu Do 2</v>
      </c>
      <c r="E28" s="110" t="s">
        <v>21</v>
      </c>
      <c r="F28" s="111">
        <v>45715.458333333343</v>
      </c>
      <c r="G28" s="112">
        <v>45763.458333333343</v>
      </c>
      <c r="H28" s="112">
        <v>45772.541666666657</v>
      </c>
      <c r="I28" s="111">
        <v>45793.583333333343</v>
      </c>
      <c r="J28" s="112">
        <v>45800.583333333343</v>
      </c>
      <c r="K28" s="111">
        <v>45813.625</v>
      </c>
      <c r="L28" s="112">
        <v>45820.625</v>
      </c>
      <c r="M28" s="112">
        <v>45827.625</v>
      </c>
      <c r="N28" s="111">
        <v>45834.583333333343</v>
      </c>
      <c r="O28" s="111">
        <v>45882.541666666657</v>
      </c>
      <c r="P28" s="111"/>
      <c r="Q28" s="111"/>
      <c r="R28" s="111"/>
      <c r="S28" s="111"/>
      <c r="T28" s="111"/>
      <c r="U28" s="112"/>
      <c r="V28" s="113">
        <f t="shared" si="0"/>
        <v>45882.541666666657</v>
      </c>
      <c r="W28" s="114"/>
      <c r="X28" s="114"/>
      <c r="Y28" s="2"/>
    </row>
    <row r="29" spans="1:25" ht="15.75" customHeight="1">
      <c r="A29" s="116" t="s">
        <v>560</v>
      </c>
      <c r="B29" s="116" t="str">
        <f>IFERROR(VLOOKUP(A29&amp;"", STUDENTS!A:B, 2, 0), "")</f>
        <v>PHAN HỮU CƯỜNG</v>
      </c>
      <c r="C29" s="117" t="s">
        <v>53</v>
      </c>
      <c r="D29" s="117" t="str">
        <f>IFERROR(VLOOKUP(C29, PIC!A:B, 2, 0), "")</f>
        <v>Buu Do 2</v>
      </c>
      <c r="E29" s="118" t="s">
        <v>21</v>
      </c>
      <c r="F29" s="119">
        <v>45715.458333333343</v>
      </c>
      <c r="G29" s="120">
        <v>45763.458333333343</v>
      </c>
      <c r="H29" s="120">
        <v>45772.541666666657</v>
      </c>
      <c r="I29" s="119" t="s">
        <v>815</v>
      </c>
      <c r="J29" s="120">
        <v>45800.583333333343</v>
      </c>
      <c r="K29" s="119">
        <v>45813.583333333343</v>
      </c>
      <c r="L29" s="120">
        <v>45820.625</v>
      </c>
      <c r="M29" s="120">
        <v>45827.625</v>
      </c>
      <c r="N29" s="119">
        <v>45834.583333333343</v>
      </c>
      <c r="O29" s="119">
        <v>45882.541666666657</v>
      </c>
      <c r="P29" s="119"/>
      <c r="Q29" s="119"/>
      <c r="R29" s="119"/>
      <c r="S29" s="119"/>
      <c r="T29" s="119"/>
      <c r="U29" s="120"/>
      <c r="V29" s="121">
        <f t="shared" si="0"/>
        <v>45882.541666666657</v>
      </c>
      <c r="W29" s="122"/>
      <c r="X29" s="122"/>
      <c r="Y29" s="2"/>
    </row>
    <row r="30" spans="1:25" ht="15.75" customHeight="1">
      <c r="A30" s="108" t="s">
        <v>144</v>
      </c>
      <c r="B30" s="108" t="str">
        <f>IFERROR(VLOOKUP(A30&amp;"", STUDENTS!A:B, 2, 0), "")</f>
        <v>BÙI NGỌC QUỐC</v>
      </c>
      <c r="C30" s="109" t="s">
        <v>54</v>
      </c>
      <c r="D30" s="109" t="str">
        <f>IFERROR(VLOOKUP(C30, PIC!A:B, 2, 0), "")</f>
        <v>Cuong Nguyen</v>
      </c>
      <c r="E30" s="110" t="s">
        <v>21</v>
      </c>
      <c r="F30" s="111" t="s">
        <v>815</v>
      </c>
      <c r="G30" s="112">
        <v>45665.375</v>
      </c>
      <c r="H30" s="112">
        <v>45679.416666666657</v>
      </c>
      <c r="I30" s="111" t="s">
        <v>815</v>
      </c>
      <c r="J30" s="112">
        <v>45702.583333333343</v>
      </c>
      <c r="K30" s="111" t="s">
        <v>815</v>
      </c>
      <c r="L30" s="112">
        <v>45716.375</v>
      </c>
      <c r="M30" s="112">
        <v>45764.375</v>
      </c>
      <c r="N30" s="111" t="s">
        <v>815</v>
      </c>
      <c r="O30" s="111">
        <v>45820.375</v>
      </c>
      <c r="P30" s="111"/>
      <c r="Q30" s="111"/>
      <c r="R30" s="111"/>
      <c r="S30" s="111"/>
      <c r="T30" s="111"/>
      <c r="U30" s="112"/>
      <c r="V30" s="113">
        <f t="shared" si="0"/>
        <v>45820.375</v>
      </c>
      <c r="W30" s="114"/>
      <c r="X30" s="114"/>
      <c r="Y30" s="2"/>
    </row>
    <row r="31" spans="1:25" ht="15.75" customHeight="1">
      <c r="A31" s="116" t="s">
        <v>144</v>
      </c>
      <c r="B31" s="116" t="str">
        <f>IFERROR(VLOOKUP(A31&amp;"", STUDENTS!A:B, 2, 0), "")</f>
        <v>BÙI NGỌC QUỐC</v>
      </c>
      <c r="C31" s="117" t="s">
        <v>54</v>
      </c>
      <c r="D31" s="117" t="str">
        <f>IFERROR(VLOOKUP(C31, PIC!A:B, 2, 0), "")</f>
        <v>Cuong Nguyen</v>
      </c>
      <c r="E31" s="118" t="s">
        <v>22</v>
      </c>
      <c r="F31" s="119">
        <v>45869.583333333343</v>
      </c>
      <c r="G31" s="120">
        <v>45881.375</v>
      </c>
      <c r="H31" s="120">
        <v>45890.375</v>
      </c>
      <c r="I31" s="119">
        <v>45897.625</v>
      </c>
      <c r="J31" s="120" t="s">
        <v>815</v>
      </c>
      <c r="K31" s="119">
        <v>45909.375</v>
      </c>
      <c r="L31" s="120">
        <v>45917.375</v>
      </c>
      <c r="M31" s="120" t="s">
        <v>815</v>
      </c>
      <c r="N31" s="119" t="s">
        <v>815</v>
      </c>
      <c r="O31" s="119">
        <v>45939.375</v>
      </c>
      <c r="P31" s="119" t="s">
        <v>815</v>
      </c>
      <c r="Q31" s="119">
        <v>45966.416666666657</v>
      </c>
      <c r="R31" s="119" t="s">
        <v>815</v>
      </c>
      <c r="S31" s="119" t="s">
        <v>815</v>
      </c>
      <c r="T31" s="119">
        <v>46035.416666666657</v>
      </c>
      <c r="U31" s="120">
        <v>46084.416666666657</v>
      </c>
      <c r="V31" s="121">
        <f t="shared" si="0"/>
        <v>46084.416666666657</v>
      </c>
      <c r="W31" s="122"/>
      <c r="X31" s="122"/>
      <c r="Y31" s="2"/>
    </row>
    <row r="32" spans="1:25" ht="15.75" customHeight="1">
      <c r="A32" s="108" t="s">
        <v>155</v>
      </c>
      <c r="B32" s="108" t="str">
        <f>IFERROR(VLOOKUP(A32&amp;"", STUDENTS!A:B, 2, 0), "")</f>
        <v>ĐẶNG QUỐC MẠNH</v>
      </c>
      <c r="C32" s="109" t="s">
        <v>54</v>
      </c>
      <c r="D32" s="109" t="str">
        <f>IFERROR(VLOOKUP(C32, PIC!A:B, 2, 0), "")</f>
        <v>Cuong Nguyen</v>
      </c>
      <c r="E32" s="110" t="s">
        <v>21</v>
      </c>
      <c r="F32" s="111">
        <v>45639.583333333343</v>
      </c>
      <c r="G32" s="112">
        <v>45672.416666666657</v>
      </c>
      <c r="H32" s="112" t="s">
        <v>815</v>
      </c>
      <c r="I32" s="111" t="s">
        <v>815</v>
      </c>
      <c r="J32" s="112">
        <v>45716.375</v>
      </c>
      <c r="K32" s="111">
        <v>45764.375</v>
      </c>
      <c r="L32" s="112">
        <v>45769.375</v>
      </c>
      <c r="M32" s="112">
        <v>45785.416666666657</v>
      </c>
      <c r="N32" s="111" t="s">
        <v>815</v>
      </c>
      <c r="O32" s="111">
        <v>45820.375</v>
      </c>
      <c r="P32" s="111"/>
      <c r="Q32" s="111"/>
      <c r="R32" s="111"/>
      <c r="S32" s="111"/>
      <c r="T32" s="111"/>
      <c r="U32" s="112"/>
      <c r="V32" s="113">
        <f t="shared" si="0"/>
        <v>45820.375</v>
      </c>
      <c r="W32" s="114"/>
      <c r="X32" s="114"/>
      <c r="Y32" s="2"/>
    </row>
    <row r="33" spans="1:25" ht="15.75" customHeight="1">
      <c r="A33" s="116" t="s">
        <v>155</v>
      </c>
      <c r="B33" s="116" t="str">
        <f>IFERROR(VLOOKUP(A33&amp;"", STUDENTS!A:B, 2, 0), "")</f>
        <v>ĐẶNG QUỐC MẠNH</v>
      </c>
      <c r="C33" s="117" t="s">
        <v>54</v>
      </c>
      <c r="D33" s="117" t="str">
        <f>IFERROR(VLOOKUP(C33, PIC!A:B, 2, 0), "")</f>
        <v>Cuong Nguyen</v>
      </c>
      <c r="E33" s="118" t="s">
        <v>22</v>
      </c>
      <c r="F33" s="119">
        <v>45869.583333333343</v>
      </c>
      <c r="G33" s="120">
        <v>45881.375</v>
      </c>
      <c r="H33" s="120" t="s">
        <v>815</v>
      </c>
      <c r="I33" s="119">
        <v>45897.625</v>
      </c>
      <c r="J33" s="120" t="s">
        <v>815</v>
      </c>
      <c r="K33" s="119">
        <v>45909.375</v>
      </c>
      <c r="L33" s="120">
        <v>45917.375</v>
      </c>
      <c r="M33" s="120">
        <v>45923.375</v>
      </c>
      <c r="N33" s="119" t="s">
        <v>815</v>
      </c>
      <c r="O33" s="119">
        <v>45939.375</v>
      </c>
      <c r="P33" s="119">
        <v>45944.416666666657</v>
      </c>
      <c r="Q33" s="119" t="s">
        <v>815</v>
      </c>
      <c r="R33" s="119">
        <v>46007.416666666657</v>
      </c>
      <c r="S33" s="119" t="s">
        <v>815</v>
      </c>
      <c r="T33" s="119">
        <v>46035.416666666657</v>
      </c>
      <c r="U33" s="120">
        <v>46084.416666666657</v>
      </c>
      <c r="V33" s="121">
        <f t="shared" si="0"/>
        <v>46084.416666666657</v>
      </c>
      <c r="W33" s="122"/>
      <c r="X33" s="122"/>
      <c r="Y33" s="2"/>
    </row>
    <row r="34" spans="1:25" ht="15.75" customHeight="1">
      <c r="A34" s="108" t="s">
        <v>226</v>
      </c>
      <c r="B34" s="108" t="str">
        <f>IFERROR(VLOOKUP(A34&amp;"", STUDENTS!A:B, 2, 0), "")</f>
        <v>HOÀNG XUÂN MẪN</v>
      </c>
      <c r="C34" s="109" t="s">
        <v>54</v>
      </c>
      <c r="D34" s="109" t="str">
        <f>IFERROR(VLOOKUP(C34, PIC!A:B, 2, 0), "")</f>
        <v>Cuong Nguyen</v>
      </c>
      <c r="E34" s="110" t="s">
        <v>21</v>
      </c>
      <c r="F34" s="111">
        <v>45639.583333333343</v>
      </c>
      <c r="G34" s="112">
        <v>45665.375</v>
      </c>
      <c r="H34" s="112">
        <v>45679.416666666657</v>
      </c>
      <c r="I34" s="111">
        <v>45709.375</v>
      </c>
      <c r="J34" s="112" t="s">
        <v>815</v>
      </c>
      <c r="K34" s="111" t="s">
        <v>815</v>
      </c>
      <c r="L34" s="112">
        <v>45769.375</v>
      </c>
      <c r="M34" s="112" t="s">
        <v>815</v>
      </c>
      <c r="N34" s="111">
        <v>45792.416666666657</v>
      </c>
      <c r="O34" s="111">
        <v>45820.375</v>
      </c>
      <c r="P34" s="111"/>
      <c r="Q34" s="111"/>
      <c r="R34" s="111"/>
      <c r="S34" s="111"/>
      <c r="T34" s="111"/>
      <c r="U34" s="112"/>
      <c r="V34" s="113">
        <f t="shared" si="0"/>
        <v>45820.375</v>
      </c>
      <c r="W34" s="114"/>
      <c r="X34" s="114"/>
      <c r="Y34" s="2"/>
    </row>
    <row r="35" spans="1:25" ht="15.75" customHeight="1">
      <c r="A35" s="116" t="s">
        <v>226</v>
      </c>
      <c r="B35" s="116" t="str">
        <f>IFERROR(VLOOKUP(A35&amp;"", STUDENTS!A:B, 2, 0), "")</f>
        <v>HOÀNG XUÂN MẪN</v>
      </c>
      <c r="C35" s="117" t="s">
        <v>54</v>
      </c>
      <c r="D35" s="117" t="str">
        <f>IFERROR(VLOOKUP(C35, PIC!A:B, 2, 0), "")</f>
        <v>Cuong Nguyen</v>
      </c>
      <c r="E35" s="118" t="s">
        <v>22</v>
      </c>
      <c r="F35" s="119">
        <v>45869.583333333343</v>
      </c>
      <c r="G35" s="120">
        <v>45881.375</v>
      </c>
      <c r="H35" s="120" t="s">
        <v>815</v>
      </c>
      <c r="I35" s="119" t="s">
        <v>815</v>
      </c>
      <c r="J35" s="120">
        <v>45904.375</v>
      </c>
      <c r="K35" s="119">
        <v>45909.375</v>
      </c>
      <c r="L35" s="120">
        <v>45917.375</v>
      </c>
      <c r="M35" s="120">
        <v>45923.375</v>
      </c>
      <c r="N35" s="119">
        <v>45932.375</v>
      </c>
      <c r="O35" s="119">
        <v>45939.375</v>
      </c>
      <c r="P35" s="119">
        <v>45944.416666666657</v>
      </c>
      <c r="Q35" s="119" t="s">
        <v>815</v>
      </c>
      <c r="R35" s="119" t="s">
        <v>815</v>
      </c>
      <c r="S35" s="119">
        <v>46021.416666666657</v>
      </c>
      <c r="T35" s="119">
        <v>46035.416666666657</v>
      </c>
      <c r="U35" s="120">
        <v>46084.416666666657</v>
      </c>
      <c r="V35" s="121">
        <f t="shared" si="0"/>
        <v>46084.416666666657</v>
      </c>
      <c r="W35" s="122"/>
      <c r="X35" s="122"/>
      <c r="Y35" s="2"/>
    </row>
    <row r="36" spans="1:25" ht="15.75" customHeight="1">
      <c r="A36" s="108" t="s">
        <v>245</v>
      </c>
      <c r="B36" s="108" t="str">
        <f>IFERROR(VLOOKUP(A36&amp;"", STUDENTS!A:B, 2, 0), "")</f>
        <v>HUỲNH TUẤN KHANH</v>
      </c>
      <c r="C36" s="109" t="s">
        <v>54</v>
      </c>
      <c r="D36" s="109" t="str">
        <f>IFERROR(VLOOKUP(C36, PIC!A:B, 2, 0), "")</f>
        <v>Cuong Nguyen</v>
      </c>
      <c r="E36" s="110" t="s">
        <v>21</v>
      </c>
      <c r="F36" s="111">
        <v>45639.583333333343</v>
      </c>
      <c r="G36" s="112">
        <v>45672.416666666657</v>
      </c>
      <c r="H36" s="112">
        <v>45702.583333333343</v>
      </c>
      <c r="I36" s="111">
        <v>45709.375</v>
      </c>
      <c r="J36" s="112">
        <v>45716.375</v>
      </c>
      <c r="K36" s="111">
        <v>45764.375</v>
      </c>
      <c r="L36" s="112">
        <v>45769.375</v>
      </c>
      <c r="M36" s="112">
        <v>45785.416666666657</v>
      </c>
      <c r="N36" s="111">
        <v>45792.416666666657</v>
      </c>
      <c r="O36" s="111">
        <v>45820.375</v>
      </c>
      <c r="P36" s="111"/>
      <c r="Q36" s="111"/>
      <c r="R36" s="111"/>
      <c r="S36" s="111"/>
      <c r="T36" s="111"/>
      <c r="U36" s="112"/>
      <c r="V36" s="113">
        <f t="shared" si="0"/>
        <v>45820.375</v>
      </c>
      <c r="W36" s="114"/>
      <c r="X36" s="114"/>
      <c r="Y36" s="2"/>
    </row>
    <row r="37" spans="1:25" ht="15.75" customHeight="1">
      <c r="A37" s="116" t="s">
        <v>245</v>
      </c>
      <c r="B37" s="116" t="str">
        <f>IFERROR(VLOOKUP(A37&amp;"", STUDENTS!A:B, 2, 0), "")</f>
        <v>HUỲNH TUẤN KHANH</v>
      </c>
      <c r="C37" s="117" t="s">
        <v>54</v>
      </c>
      <c r="D37" s="117" t="str">
        <f>IFERROR(VLOOKUP(C37, PIC!A:B, 2, 0), "")</f>
        <v>Cuong Nguyen</v>
      </c>
      <c r="E37" s="118" t="s">
        <v>22</v>
      </c>
      <c r="F37" s="119">
        <v>45869.583333333343</v>
      </c>
      <c r="G37" s="120">
        <v>45881.375</v>
      </c>
      <c r="H37" s="120">
        <v>45890.375</v>
      </c>
      <c r="I37" s="119">
        <v>45897.625</v>
      </c>
      <c r="J37" s="120" t="s">
        <v>815</v>
      </c>
      <c r="K37" s="119">
        <v>45909.375</v>
      </c>
      <c r="L37" s="120">
        <v>45917.375</v>
      </c>
      <c r="M37" s="120">
        <v>45923.375</v>
      </c>
      <c r="N37" s="119">
        <v>45932.375</v>
      </c>
      <c r="O37" s="119">
        <v>45939.375</v>
      </c>
      <c r="P37" s="119">
        <v>45944.416666666657</v>
      </c>
      <c r="Q37" s="119">
        <v>45966.416666666657</v>
      </c>
      <c r="R37" s="119">
        <v>46007.416666666657</v>
      </c>
      <c r="S37" s="119">
        <v>46021.416666666657</v>
      </c>
      <c r="T37" s="119">
        <v>46035.416666666657</v>
      </c>
      <c r="U37" s="120">
        <v>46084.416666666657</v>
      </c>
      <c r="V37" s="121">
        <f t="shared" si="0"/>
        <v>46084.416666666657</v>
      </c>
      <c r="W37" s="122"/>
      <c r="X37" s="122"/>
      <c r="Y37" s="2"/>
    </row>
    <row r="38" spans="1:25" ht="15.75" customHeight="1">
      <c r="A38" s="108" t="s">
        <v>352</v>
      </c>
      <c r="B38" s="108" t="str">
        <f>IFERROR(VLOOKUP(A38&amp;"", STUDENTS!A:B, 2, 0), "")</f>
        <v>NGUYỄN ĐÔNG HỒ</v>
      </c>
      <c r="C38" s="109" t="s">
        <v>54</v>
      </c>
      <c r="D38" s="109" t="str">
        <f>IFERROR(VLOOKUP(C38, PIC!A:B, 2, 0), "")</f>
        <v>Cuong Nguyen</v>
      </c>
      <c r="E38" s="110" t="s">
        <v>21</v>
      </c>
      <c r="F38" s="111">
        <v>45639.583333333343</v>
      </c>
      <c r="G38" s="112">
        <v>45672.416666666657</v>
      </c>
      <c r="H38" s="112">
        <v>45702.583333333343</v>
      </c>
      <c r="I38" s="111">
        <v>45709.375</v>
      </c>
      <c r="J38" s="112">
        <v>45716.375</v>
      </c>
      <c r="K38" s="111">
        <v>45764.375</v>
      </c>
      <c r="L38" s="112">
        <v>45769.375</v>
      </c>
      <c r="M38" s="112">
        <v>45785.416666666657</v>
      </c>
      <c r="N38" s="111" t="s">
        <v>815</v>
      </c>
      <c r="O38" s="111">
        <v>45820.375</v>
      </c>
      <c r="P38" s="111"/>
      <c r="Q38" s="111"/>
      <c r="R38" s="111"/>
      <c r="S38" s="111"/>
      <c r="T38" s="111"/>
      <c r="U38" s="112"/>
      <c r="V38" s="113">
        <f t="shared" si="0"/>
        <v>45820.375</v>
      </c>
      <c r="W38" s="114"/>
      <c r="X38" s="114"/>
      <c r="Y38" s="2"/>
    </row>
    <row r="39" spans="1:25" ht="15.75" customHeight="1">
      <c r="A39" s="116" t="s">
        <v>352</v>
      </c>
      <c r="B39" s="116" t="str">
        <f>IFERROR(VLOOKUP(A39&amp;"", STUDENTS!A:B, 2, 0), "")</f>
        <v>NGUYỄN ĐÔNG HỒ</v>
      </c>
      <c r="C39" s="117" t="s">
        <v>54</v>
      </c>
      <c r="D39" s="117" t="str">
        <f>IFERROR(VLOOKUP(C39, PIC!A:B, 2, 0), "")</f>
        <v>Cuong Nguyen</v>
      </c>
      <c r="E39" s="118" t="s">
        <v>22</v>
      </c>
      <c r="F39" s="119">
        <v>45869.583333333343</v>
      </c>
      <c r="G39" s="120">
        <v>45881.375</v>
      </c>
      <c r="H39" s="120">
        <v>45890.375</v>
      </c>
      <c r="I39" s="119" t="s">
        <v>815</v>
      </c>
      <c r="J39" s="120">
        <v>45904.375</v>
      </c>
      <c r="K39" s="119" t="s">
        <v>815</v>
      </c>
      <c r="L39" s="120">
        <v>45917.375</v>
      </c>
      <c r="M39" s="120">
        <v>45923.375</v>
      </c>
      <c r="N39" s="119">
        <v>45932.375</v>
      </c>
      <c r="O39" s="119">
        <v>45939.375</v>
      </c>
      <c r="P39" s="119" t="s">
        <v>815</v>
      </c>
      <c r="Q39" s="119">
        <v>45966.416666666657</v>
      </c>
      <c r="R39" s="119">
        <v>46007.416666666657</v>
      </c>
      <c r="S39" s="119" t="s">
        <v>815</v>
      </c>
      <c r="T39" s="119">
        <v>46035.416666666657</v>
      </c>
      <c r="U39" s="120">
        <v>46084.416666666657</v>
      </c>
      <c r="V39" s="121">
        <f t="shared" si="0"/>
        <v>46084.416666666657</v>
      </c>
      <c r="W39" s="122"/>
      <c r="X39" s="122"/>
      <c r="Y39" s="2"/>
    </row>
    <row r="40" spans="1:25" ht="15.75" customHeight="1">
      <c r="A40" s="108" t="s">
        <v>510</v>
      </c>
      <c r="B40" s="108" t="str">
        <f>IFERROR(VLOOKUP(A40&amp;"", STUDENTS!A:B, 2, 0), "")</f>
        <v>NGUYỄN VĂN MẠNH CƯỜNG</v>
      </c>
      <c r="C40" s="109" t="s">
        <v>54</v>
      </c>
      <c r="D40" s="109" t="str">
        <f>IFERROR(VLOOKUP(C40, PIC!A:B, 2, 0), "")</f>
        <v>Cuong Nguyen</v>
      </c>
      <c r="E40" s="110" t="s">
        <v>21</v>
      </c>
      <c r="F40" s="111">
        <v>45639.583333333343</v>
      </c>
      <c r="G40" s="112">
        <v>45672.416666666657</v>
      </c>
      <c r="H40" s="112">
        <v>45679.416666666657</v>
      </c>
      <c r="I40" s="111">
        <v>45709.375</v>
      </c>
      <c r="J40" s="112">
        <v>45716.375</v>
      </c>
      <c r="K40" s="111">
        <v>45764.375</v>
      </c>
      <c r="L40" s="112">
        <v>45769.375</v>
      </c>
      <c r="M40" s="112">
        <v>45785.416666666657</v>
      </c>
      <c r="N40" s="111">
        <v>45792.416666666657</v>
      </c>
      <c r="O40" s="111">
        <v>45820.375</v>
      </c>
      <c r="P40" s="111"/>
      <c r="Q40" s="111"/>
      <c r="R40" s="111"/>
      <c r="S40" s="111"/>
      <c r="T40" s="111"/>
      <c r="U40" s="112"/>
      <c r="V40" s="113">
        <f t="shared" si="0"/>
        <v>45820.375</v>
      </c>
      <c r="W40" s="114"/>
      <c r="X40" s="114"/>
      <c r="Y40" s="2"/>
    </row>
    <row r="41" spans="1:25" ht="15.75" customHeight="1">
      <c r="A41" s="116" t="s">
        <v>510</v>
      </c>
      <c r="B41" s="116" t="str">
        <f>IFERROR(VLOOKUP(A41&amp;"", STUDENTS!A:B, 2, 0), "")</f>
        <v>NGUYỄN VĂN MẠNH CƯỜNG</v>
      </c>
      <c r="C41" s="117" t="s">
        <v>54</v>
      </c>
      <c r="D41" s="117" t="str">
        <f>IFERROR(VLOOKUP(C41, PIC!A:B, 2, 0), "")</f>
        <v>Cuong Nguyen</v>
      </c>
      <c r="E41" s="118" t="s">
        <v>22</v>
      </c>
      <c r="F41" s="119">
        <v>45869.583333333343</v>
      </c>
      <c r="G41" s="120">
        <v>45881.375</v>
      </c>
      <c r="H41" s="120">
        <v>45890.375</v>
      </c>
      <c r="I41" s="119">
        <v>45897.625</v>
      </c>
      <c r="J41" s="120">
        <v>45904.375</v>
      </c>
      <c r="K41" s="119">
        <v>45909.375</v>
      </c>
      <c r="L41" s="120">
        <v>45917.375</v>
      </c>
      <c r="M41" s="120">
        <v>45923.375</v>
      </c>
      <c r="N41" s="119">
        <v>45932.375</v>
      </c>
      <c r="O41" s="119">
        <v>45939.375</v>
      </c>
      <c r="P41" s="119">
        <v>45944.416666666657</v>
      </c>
      <c r="Q41" s="119">
        <v>45966.416666666657</v>
      </c>
      <c r="R41" s="119">
        <v>46007.416666666657</v>
      </c>
      <c r="S41" s="119" t="s">
        <v>815</v>
      </c>
      <c r="T41" s="119">
        <v>46035.416666666657</v>
      </c>
      <c r="U41" s="120">
        <v>46084.416666666657</v>
      </c>
      <c r="V41" s="121">
        <f t="shared" si="0"/>
        <v>46084.416666666657</v>
      </c>
      <c r="W41" s="122"/>
      <c r="X41" s="122"/>
      <c r="Y41" s="2"/>
    </row>
    <row r="42" spans="1:25" ht="15.75" customHeight="1">
      <c r="A42" s="108" t="s">
        <v>553</v>
      </c>
      <c r="B42" s="108" t="str">
        <f>IFERROR(VLOOKUP(A42&amp;"", STUDENTS!A:B, 2, 0), "")</f>
        <v>PHAN CÔNG TOẠI</v>
      </c>
      <c r="C42" s="109" t="s">
        <v>54</v>
      </c>
      <c r="D42" s="109" t="str">
        <f>IFERROR(VLOOKUP(C42, PIC!A:B, 2, 0), "")</f>
        <v>Cuong Nguyen</v>
      </c>
      <c r="E42" s="110" t="s">
        <v>21</v>
      </c>
      <c r="F42" s="111">
        <v>45639.583333333343</v>
      </c>
      <c r="G42" s="112">
        <v>45672.416666666657</v>
      </c>
      <c r="H42" s="112" t="s">
        <v>815</v>
      </c>
      <c r="I42" s="111">
        <v>45709.375</v>
      </c>
      <c r="J42" s="112">
        <v>45716.375</v>
      </c>
      <c r="K42" s="111">
        <v>45764.375</v>
      </c>
      <c r="L42" s="112">
        <v>45769.375</v>
      </c>
      <c r="M42" s="112">
        <v>45785.416666666657</v>
      </c>
      <c r="N42" s="111">
        <v>45792.416666666657</v>
      </c>
      <c r="O42" s="111">
        <v>45820.375</v>
      </c>
      <c r="P42" s="111"/>
      <c r="Q42" s="111"/>
      <c r="R42" s="111"/>
      <c r="S42" s="111"/>
      <c r="T42" s="111"/>
      <c r="U42" s="112"/>
      <c r="V42" s="113">
        <f t="shared" si="0"/>
        <v>45820.375</v>
      </c>
      <c r="W42" s="114"/>
      <c r="X42" s="114"/>
      <c r="Y42" s="2"/>
    </row>
    <row r="43" spans="1:25" ht="15.75" customHeight="1">
      <c r="A43" s="116" t="s">
        <v>553</v>
      </c>
      <c r="B43" s="116" t="str">
        <f>IFERROR(VLOOKUP(A43&amp;"", STUDENTS!A:B, 2, 0), "")</f>
        <v>PHAN CÔNG TOẠI</v>
      </c>
      <c r="C43" s="117" t="s">
        <v>54</v>
      </c>
      <c r="D43" s="117" t="str">
        <f>IFERROR(VLOOKUP(C43, PIC!A:B, 2, 0), "")</f>
        <v>Cuong Nguyen</v>
      </c>
      <c r="E43" s="118" t="s">
        <v>22</v>
      </c>
      <c r="F43" s="119">
        <v>45869.583333333343</v>
      </c>
      <c r="G43" s="120">
        <v>45881.375</v>
      </c>
      <c r="H43" s="120">
        <v>45890.375</v>
      </c>
      <c r="I43" s="119">
        <v>45897.625</v>
      </c>
      <c r="J43" s="120">
        <v>45904.375</v>
      </c>
      <c r="K43" s="119">
        <v>45909.375</v>
      </c>
      <c r="L43" s="120" t="s">
        <v>815</v>
      </c>
      <c r="M43" s="120">
        <v>45923.375</v>
      </c>
      <c r="N43" s="119" t="s">
        <v>815</v>
      </c>
      <c r="O43" s="119">
        <v>45939.375</v>
      </c>
      <c r="P43" s="119">
        <v>45944.416666666657</v>
      </c>
      <c r="Q43" s="119">
        <v>45966.416666666657</v>
      </c>
      <c r="R43" s="119">
        <v>46007.416666666657</v>
      </c>
      <c r="S43" s="119">
        <v>46021.416666666657</v>
      </c>
      <c r="T43" s="119">
        <v>46035.416666666657</v>
      </c>
      <c r="U43" s="120">
        <v>46084.416666666657</v>
      </c>
      <c r="V43" s="121">
        <f t="shared" si="0"/>
        <v>46084.416666666657</v>
      </c>
      <c r="W43" s="122"/>
      <c r="X43" s="122"/>
      <c r="Y43" s="2"/>
    </row>
    <row r="44" spans="1:25" ht="15.75" customHeight="1">
      <c r="A44" s="108" t="s">
        <v>617</v>
      </c>
      <c r="B44" s="108" t="str">
        <f>IFERROR(VLOOKUP(A44&amp;"", STUDENTS!A:B, 2, 0), "")</f>
        <v>TRẦN KHANG</v>
      </c>
      <c r="C44" s="109" t="s">
        <v>54</v>
      </c>
      <c r="D44" s="109" t="str">
        <f>IFERROR(VLOOKUP(C44, PIC!A:B, 2, 0), "")</f>
        <v>Cuong Nguyen</v>
      </c>
      <c r="E44" s="110" t="s">
        <v>21</v>
      </c>
      <c r="F44" s="111">
        <v>45639.583333333343</v>
      </c>
      <c r="G44" s="112">
        <v>45665.375</v>
      </c>
      <c r="H44" s="112">
        <v>45679.416666666657</v>
      </c>
      <c r="I44" s="111">
        <v>45709.375</v>
      </c>
      <c r="J44" s="112" t="s">
        <v>815</v>
      </c>
      <c r="K44" s="111">
        <v>45764.375</v>
      </c>
      <c r="L44" s="112">
        <v>45769.375</v>
      </c>
      <c r="M44" s="112" t="s">
        <v>815</v>
      </c>
      <c r="N44" s="111">
        <v>45792.416666666657</v>
      </c>
      <c r="O44" s="111">
        <v>45820.375</v>
      </c>
      <c r="P44" s="111"/>
      <c r="Q44" s="111"/>
      <c r="R44" s="111"/>
      <c r="S44" s="111"/>
      <c r="T44" s="111"/>
      <c r="U44" s="112"/>
      <c r="V44" s="113">
        <f t="shared" si="0"/>
        <v>45820.375</v>
      </c>
      <c r="W44" s="114"/>
      <c r="X44" s="114"/>
      <c r="Y44" s="2"/>
    </row>
    <row r="45" spans="1:25" ht="15.75" customHeight="1">
      <c r="A45" s="116" t="s">
        <v>617</v>
      </c>
      <c r="B45" s="116" t="str">
        <f>IFERROR(VLOOKUP(A45&amp;"", STUDENTS!A:B, 2, 0), "")</f>
        <v>TRẦN KHANG</v>
      </c>
      <c r="C45" s="117" t="s">
        <v>54</v>
      </c>
      <c r="D45" s="117" t="str">
        <f>IFERROR(VLOOKUP(C45, PIC!A:B, 2, 0), "")</f>
        <v>Cuong Nguyen</v>
      </c>
      <c r="E45" s="118" t="s">
        <v>22</v>
      </c>
      <c r="F45" s="119" t="s">
        <v>815</v>
      </c>
      <c r="G45" s="120">
        <v>45881.375</v>
      </c>
      <c r="H45" s="120">
        <v>45890.375</v>
      </c>
      <c r="I45" s="119">
        <v>45897.625</v>
      </c>
      <c r="J45" s="120">
        <v>45904.375</v>
      </c>
      <c r="K45" s="119" t="s">
        <v>815</v>
      </c>
      <c r="L45" s="120">
        <v>45917.375</v>
      </c>
      <c r="M45" s="120" t="s">
        <v>815</v>
      </c>
      <c r="N45" s="119">
        <v>45932.375</v>
      </c>
      <c r="O45" s="119">
        <v>45939.375</v>
      </c>
      <c r="P45" s="119">
        <v>45944.416666666657</v>
      </c>
      <c r="Q45" s="119">
        <v>45966.416666666657</v>
      </c>
      <c r="R45" s="119">
        <v>46007.416666666657</v>
      </c>
      <c r="S45" s="119">
        <v>46021.416666666657</v>
      </c>
      <c r="T45" s="119">
        <v>46035.416666666657</v>
      </c>
      <c r="U45" s="120">
        <v>46084.416666666657</v>
      </c>
      <c r="V45" s="121">
        <f t="shared" si="0"/>
        <v>46084.416666666657</v>
      </c>
      <c r="W45" s="122"/>
      <c r="X45" s="122"/>
      <c r="Y45" s="2"/>
    </row>
    <row r="46" spans="1:25" ht="15.75" customHeight="1">
      <c r="A46" s="108" t="s">
        <v>695</v>
      </c>
      <c r="B46" s="108" t="str">
        <f>IFERROR(VLOOKUP(A46&amp;"", STUDENTS!A:B, 2, 0), "")</f>
        <v>VÕ ĐỒNG ĐỨC DUY</v>
      </c>
      <c r="C46" s="109" t="s">
        <v>54</v>
      </c>
      <c r="D46" s="109" t="str">
        <f>IFERROR(VLOOKUP(C46, PIC!A:B, 2, 0), "")</f>
        <v>Cuong Nguyen</v>
      </c>
      <c r="E46" s="110" t="s">
        <v>21</v>
      </c>
      <c r="F46" s="111">
        <v>45639.583333333343</v>
      </c>
      <c r="G46" s="112">
        <v>45672.416666666657</v>
      </c>
      <c r="H46" s="112">
        <v>45702.583333333343</v>
      </c>
      <c r="I46" s="111">
        <v>45709.375</v>
      </c>
      <c r="J46" s="112">
        <v>45716.375</v>
      </c>
      <c r="K46" s="111">
        <v>45764.375</v>
      </c>
      <c r="L46" s="112" t="s">
        <v>815</v>
      </c>
      <c r="M46" s="112">
        <v>45785.416666666657</v>
      </c>
      <c r="N46" s="111">
        <v>45792.416666666657</v>
      </c>
      <c r="O46" s="111">
        <v>45820.375</v>
      </c>
      <c r="P46" s="111"/>
      <c r="Q46" s="111"/>
      <c r="R46" s="111"/>
      <c r="S46" s="111"/>
      <c r="T46" s="111"/>
      <c r="U46" s="112"/>
      <c r="V46" s="113">
        <f t="shared" si="0"/>
        <v>45820.375</v>
      </c>
      <c r="W46" s="114"/>
      <c r="X46" s="114"/>
      <c r="Y46" s="2"/>
    </row>
    <row r="47" spans="1:25" ht="15.75" customHeight="1">
      <c r="A47" s="116" t="s">
        <v>695</v>
      </c>
      <c r="B47" s="116" t="str">
        <f>IFERROR(VLOOKUP(A47&amp;"", STUDENTS!A:B, 2, 0), "")</f>
        <v>VÕ ĐỒNG ĐỨC DUY</v>
      </c>
      <c r="C47" s="117" t="s">
        <v>54</v>
      </c>
      <c r="D47" s="117" t="str">
        <f>IFERROR(VLOOKUP(C47, PIC!A:B, 2, 0), "")</f>
        <v>Cuong Nguyen</v>
      </c>
      <c r="E47" s="118" t="s">
        <v>22</v>
      </c>
      <c r="F47" s="119" t="s">
        <v>815</v>
      </c>
      <c r="G47" s="120" t="s">
        <v>815</v>
      </c>
      <c r="H47" s="120" t="s">
        <v>815</v>
      </c>
      <c r="I47" s="119" t="s">
        <v>815</v>
      </c>
      <c r="J47" s="120" t="s">
        <v>815</v>
      </c>
      <c r="K47" s="119" t="s">
        <v>815</v>
      </c>
      <c r="L47" s="120" t="s">
        <v>815</v>
      </c>
      <c r="M47" s="120" t="s">
        <v>815</v>
      </c>
      <c r="N47" s="119" t="s">
        <v>815</v>
      </c>
      <c r="O47" s="119" t="s">
        <v>815</v>
      </c>
      <c r="P47" s="119" t="s">
        <v>815</v>
      </c>
      <c r="Q47" s="119" t="s">
        <v>815</v>
      </c>
      <c r="R47" s="119" t="s">
        <v>815</v>
      </c>
      <c r="S47" s="119" t="s">
        <v>815</v>
      </c>
      <c r="T47" s="119" t="s">
        <v>815</v>
      </c>
      <c r="U47" s="120" t="s">
        <v>815</v>
      </c>
      <c r="V47" s="121">
        <f t="shared" si="0"/>
        <v>0</v>
      </c>
      <c r="W47" s="122"/>
      <c r="X47" s="122"/>
      <c r="Y47" s="2"/>
    </row>
    <row r="48" spans="1:25" ht="15.75" customHeight="1">
      <c r="A48" s="108" t="s">
        <v>294</v>
      </c>
      <c r="B48" s="108" t="str">
        <f>IFERROR(VLOOKUP(A48&amp;"", STUDENTS!A:B, 2, 0), "")</f>
        <v>LÊ THỊ LAN HƯƠNG</v>
      </c>
      <c r="C48" s="109" t="s">
        <v>55</v>
      </c>
      <c r="D48" s="109" t="str">
        <f>IFERROR(VLOOKUP(C48, PIC!A:B, 2, 0), "")</f>
        <v>Duc Nguyen</v>
      </c>
      <c r="E48" s="110" t="s">
        <v>21</v>
      </c>
      <c r="F48" s="111">
        <v>45639.625</v>
      </c>
      <c r="G48" s="112">
        <v>45649.458333333343</v>
      </c>
      <c r="H48" s="112">
        <v>45670.583333333343</v>
      </c>
      <c r="I48" s="111">
        <v>45693.541666666657</v>
      </c>
      <c r="J48" s="112">
        <v>45707.541666666657</v>
      </c>
      <c r="K48" s="111">
        <v>45715.541666666657</v>
      </c>
      <c r="L48" s="112" t="s">
        <v>815</v>
      </c>
      <c r="M48" s="112">
        <v>45782.583333333343</v>
      </c>
      <c r="N48" s="111">
        <v>45803.583333333343</v>
      </c>
      <c r="O48" s="111">
        <v>45839.583333333343</v>
      </c>
      <c r="P48" s="111"/>
      <c r="Q48" s="111"/>
      <c r="R48" s="111"/>
      <c r="S48" s="111"/>
      <c r="T48" s="111"/>
      <c r="U48" s="112"/>
      <c r="V48" s="113">
        <f t="shared" si="0"/>
        <v>45839.583333333343</v>
      </c>
      <c r="W48" s="114"/>
      <c r="X48" s="114"/>
      <c r="Y48" s="2"/>
    </row>
    <row r="49" spans="1:25" ht="15.75" customHeight="1">
      <c r="A49" s="116" t="s">
        <v>330</v>
      </c>
      <c r="B49" s="116" t="str">
        <f>IFERROR(VLOOKUP(A49&amp;"", STUDENTS!A:B, 2, 0), "")</f>
        <v>NGUYỄN ANH ĐỨC</v>
      </c>
      <c r="C49" s="117" t="s">
        <v>55</v>
      </c>
      <c r="D49" s="117" t="str">
        <f>IFERROR(VLOOKUP(C49, PIC!A:B, 2, 0), "")</f>
        <v>Duc Nguyen</v>
      </c>
      <c r="E49" s="118" t="s">
        <v>21</v>
      </c>
      <c r="F49" s="119">
        <v>45637.416666666657</v>
      </c>
      <c r="G49" s="120">
        <v>45656.458333333343</v>
      </c>
      <c r="H49" s="120">
        <v>45670.583333333343</v>
      </c>
      <c r="I49" s="119">
        <v>45693.541666666657</v>
      </c>
      <c r="J49" s="120">
        <v>45707.541666666657</v>
      </c>
      <c r="K49" s="119">
        <v>45715.541666666657</v>
      </c>
      <c r="L49" s="120">
        <v>45764.541666666657</v>
      </c>
      <c r="M49" s="120">
        <v>45782.541666666657</v>
      </c>
      <c r="N49" s="119" t="s">
        <v>815</v>
      </c>
      <c r="O49" s="119">
        <v>45839.583333333343</v>
      </c>
      <c r="P49" s="119"/>
      <c r="Q49" s="119"/>
      <c r="R49" s="119"/>
      <c r="S49" s="119"/>
      <c r="T49" s="119"/>
      <c r="U49" s="120"/>
      <c r="V49" s="121">
        <f t="shared" si="0"/>
        <v>45839.583333333343</v>
      </c>
      <c r="W49" s="122"/>
      <c r="X49" s="122"/>
      <c r="Y49" s="2"/>
    </row>
    <row r="50" spans="1:25" ht="15.75" customHeight="1">
      <c r="A50" s="108" t="s">
        <v>411</v>
      </c>
      <c r="B50" s="108" t="str">
        <f>IFERROR(VLOOKUP(A50&amp;"", STUDENTS!A:B, 2, 0), "")</f>
        <v>NGUYỄN MINH THƯ</v>
      </c>
      <c r="C50" s="109" t="s">
        <v>55</v>
      </c>
      <c r="D50" s="109" t="str">
        <f>IFERROR(VLOOKUP(C50, PIC!A:B, 2, 0), "")</f>
        <v>Duc Nguyen</v>
      </c>
      <c r="E50" s="110" t="s">
        <v>21</v>
      </c>
      <c r="F50" s="111">
        <v>45637.416666666657</v>
      </c>
      <c r="G50" s="112">
        <v>45656.458333333343</v>
      </c>
      <c r="H50" s="112">
        <v>45670.583333333343</v>
      </c>
      <c r="I50" s="111">
        <v>45693.541666666657</v>
      </c>
      <c r="J50" s="112">
        <v>45707.541666666657</v>
      </c>
      <c r="K50" s="111">
        <v>45715.541666666657</v>
      </c>
      <c r="L50" s="112">
        <v>45764.541666666657</v>
      </c>
      <c r="M50" s="112" t="s">
        <v>815</v>
      </c>
      <c r="N50" s="111">
        <v>45803.583333333343</v>
      </c>
      <c r="O50" s="111">
        <v>45839.583333333343</v>
      </c>
      <c r="P50" s="111"/>
      <c r="Q50" s="111"/>
      <c r="R50" s="111"/>
      <c r="S50" s="111"/>
      <c r="T50" s="111"/>
      <c r="U50" s="112"/>
      <c r="V50" s="113">
        <f t="shared" si="0"/>
        <v>45839.583333333343</v>
      </c>
      <c r="W50" s="114"/>
      <c r="X50" s="114"/>
      <c r="Y50" s="2"/>
    </row>
    <row r="51" spans="1:25" ht="15.75" customHeight="1">
      <c r="A51" s="116" t="s">
        <v>496</v>
      </c>
      <c r="B51" s="116" t="str">
        <f>IFERROR(VLOOKUP(A51&amp;"", STUDENTS!A:B, 2, 0), "")</f>
        <v>NGUYỄN TRỌNG BÌNH NGUYÊN</v>
      </c>
      <c r="C51" s="117" t="s">
        <v>55</v>
      </c>
      <c r="D51" s="117" t="str">
        <f>IFERROR(VLOOKUP(C51, PIC!A:B, 2, 0), "")</f>
        <v>Duc Nguyen</v>
      </c>
      <c r="E51" s="118" t="s">
        <v>21</v>
      </c>
      <c r="F51" s="119">
        <v>45639.625</v>
      </c>
      <c r="G51" s="120">
        <v>45649.458333333343</v>
      </c>
      <c r="H51" s="120">
        <v>45670.583333333343</v>
      </c>
      <c r="I51" s="119">
        <v>45693.541666666657</v>
      </c>
      <c r="J51" s="120">
        <v>45707.541666666657</v>
      </c>
      <c r="K51" s="119">
        <v>45715.541666666657</v>
      </c>
      <c r="L51" s="120">
        <v>45764.541666666657</v>
      </c>
      <c r="M51" s="120">
        <v>45782.583333333343</v>
      </c>
      <c r="N51" s="119">
        <v>45803.583333333343</v>
      </c>
      <c r="O51" s="119">
        <v>45839.583333333343</v>
      </c>
      <c r="P51" s="119"/>
      <c r="Q51" s="119"/>
      <c r="R51" s="119"/>
      <c r="S51" s="119"/>
      <c r="T51" s="119"/>
      <c r="U51" s="120"/>
      <c r="V51" s="121">
        <f t="shared" si="0"/>
        <v>45839.583333333343</v>
      </c>
      <c r="W51" s="122"/>
      <c r="X51" s="122"/>
      <c r="Y51" s="2"/>
    </row>
    <row r="52" spans="1:25" ht="15.75" customHeight="1">
      <c r="A52" s="108" t="s">
        <v>547</v>
      </c>
      <c r="B52" s="108" t="str">
        <f>IFERROR(VLOOKUP(A52&amp;"", STUDENTS!A:B, 2, 0), "")</f>
        <v>PHẠM THỊ BÍCH THÚY</v>
      </c>
      <c r="C52" s="109" t="s">
        <v>55</v>
      </c>
      <c r="D52" s="109" t="str">
        <f>IFERROR(VLOOKUP(C52, PIC!A:B, 2, 0), "")</f>
        <v>Duc Nguyen</v>
      </c>
      <c r="E52" s="110" t="s">
        <v>21</v>
      </c>
      <c r="F52" s="111">
        <v>45639.625</v>
      </c>
      <c r="G52" s="112">
        <v>45649.458333333343</v>
      </c>
      <c r="H52" s="112">
        <v>45670.583333333343</v>
      </c>
      <c r="I52" s="111">
        <v>45693.541666666657</v>
      </c>
      <c r="J52" s="112">
        <v>45707.541666666657</v>
      </c>
      <c r="K52" s="111">
        <v>45715.541666666657</v>
      </c>
      <c r="L52" s="112">
        <v>45764.541666666657</v>
      </c>
      <c r="M52" s="112" t="s">
        <v>815</v>
      </c>
      <c r="N52" s="111">
        <v>45803.583333333343</v>
      </c>
      <c r="O52" s="111">
        <v>45839.583333333343</v>
      </c>
      <c r="P52" s="111"/>
      <c r="Q52" s="111"/>
      <c r="R52" s="111"/>
      <c r="S52" s="111"/>
      <c r="T52" s="111"/>
      <c r="U52" s="112"/>
      <c r="V52" s="113">
        <f t="shared" si="0"/>
        <v>45839.583333333343</v>
      </c>
      <c r="W52" s="114"/>
      <c r="X52" s="114"/>
      <c r="Y52" s="2"/>
    </row>
    <row r="53" spans="1:25" ht="15.75" customHeight="1">
      <c r="A53" s="116" t="s">
        <v>176</v>
      </c>
      <c r="B53" s="116" t="str">
        <f>IFERROR(VLOOKUP(A53&amp;"", STUDENTS!A:B, 2, 0), "")</f>
        <v>ĐỖ HOÀNG MINH HUY</v>
      </c>
      <c r="C53" s="117" t="s">
        <v>56</v>
      </c>
      <c r="D53" s="117" t="str">
        <f>IFERROR(VLOOKUP(C53, PIC!A:B, 2, 0), "")</f>
        <v>Dat Nguyen</v>
      </c>
      <c r="E53" s="118" t="s">
        <v>21</v>
      </c>
      <c r="F53" s="119" t="s">
        <v>815</v>
      </c>
      <c r="G53" s="120">
        <v>45660.416666666657</v>
      </c>
      <c r="H53" s="120">
        <v>45663.541666666657</v>
      </c>
      <c r="I53" s="119">
        <v>45678.375</v>
      </c>
      <c r="J53" s="120" t="s">
        <v>815</v>
      </c>
      <c r="K53" s="119">
        <v>45709.541666666657</v>
      </c>
      <c r="L53" s="120">
        <v>45714.541666666657</v>
      </c>
      <c r="M53" s="120">
        <v>45762.541666666657</v>
      </c>
      <c r="N53" s="119">
        <v>45769.416666666657</v>
      </c>
      <c r="O53" s="119">
        <v>45807.583333333343</v>
      </c>
      <c r="P53" s="119"/>
      <c r="Q53" s="119"/>
      <c r="R53" s="119"/>
      <c r="S53" s="119"/>
      <c r="T53" s="119"/>
      <c r="U53" s="120"/>
      <c r="V53" s="121">
        <f t="shared" si="0"/>
        <v>45807.583333333343</v>
      </c>
      <c r="W53" s="122"/>
      <c r="X53" s="122"/>
      <c r="Y53" s="2"/>
    </row>
    <row r="54" spans="1:25" ht="15.75" customHeight="1">
      <c r="A54" s="108" t="s">
        <v>228</v>
      </c>
      <c r="B54" s="108" t="str">
        <f>IFERROR(VLOOKUP(A54&amp;"", STUDENTS!A:B, 2, 0), "")</f>
        <v>HUỲNH BỬU BỬU</v>
      </c>
      <c r="C54" s="109" t="s">
        <v>56</v>
      </c>
      <c r="D54" s="109" t="str">
        <f>IFERROR(VLOOKUP(C54, PIC!A:B, 2, 0), "")</f>
        <v>Dat Nguyen</v>
      </c>
      <c r="E54" s="110" t="s">
        <v>21</v>
      </c>
      <c r="F54" s="111">
        <v>45639.416666666657</v>
      </c>
      <c r="G54" s="112">
        <v>45660.416666666657</v>
      </c>
      <c r="H54" s="112">
        <v>45663.541666666657</v>
      </c>
      <c r="I54" s="111">
        <v>45678.375</v>
      </c>
      <c r="J54" s="112">
        <v>45700.541666666657</v>
      </c>
      <c r="K54" s="111" t="s">
        <v>815</v>
      </c>
      <c r="L54" s="112">
        <v>45714.541666666657</v>
      </c>
      <c r="M54" s="112">
        <v>45762.541666666657</v>
      </c>
      <c r="N54" s="111">
        <v>45769.416666666657</v>
      </c>
      <c r="O54" s="111">
        <v>45807.583333333343</v>
      </c>
      <c r="P54" s="111"/>
      <c r="Q54" s="111"/>
      <c r="R54" s="111"/>
      <c r="S54" s="111"/>
      <c r="T54" s="111"/>
      <c r="U54" s="112"/>
      <c r="V54" s="113">
        <f t="shared" si="0"/>
        <v>45807.583333333343</v>
      </c>
      <c r="W54" s="114"/>
      <c r="X54" s="114"/>
      <c r="Y54" s="2"/>
    </row>
    <row r="55" spans="1:25" ht="15.75" customHeight="1">
      <c r="A55" s="116" t="s">
        <v>445</v>
      </c>
      <c r="B55" s="116" t="str">
        <f>IFERROR(VLOOKUP(A55&amp;"", STUDENTS!A:B, 2, 0), "")</f>
        <v>NGUYỄN TẤT ĐẠT</v>
      </c>
      <c r="C55" s="117" t="s">
        <v>56</v>
      </c>
      <c r="D55" s="117" t="str">
        <f>IFERROR(VLOOKUP(C55, PIC!A:B, 2, 0), "")</f>
        <v>Dat Nguyen</v>
      </c>
      <c r="E55" s="118" t="s">
        <v>21</v>
      </c>
      <c r="F55" s="119">
        <v>45639.416666666657</v>
      </c>
      <c r="G55" s="120">
        <v>45660.416666666657</v>
      </c>
      <c r="H55" s="120">
        <v>45663.541666666657</v>
      </c>
      <c r="I55" s="119">
        <v>45678.375</v>
      </c>
      <c r="J55" s="120">
        <v>45700.541666666657</v>
      </c>
      <c r="K55" s="119">
        <v>45709.541666666657</v>
      </c>
      <c r="L55" s="120">
        <v>45714.541666666657</v>
      </c>
      <c r="M55" s="120">
        <v>45762.541666666657</v>
      </c>
      <c r="N55" s="119">
        <v>45769.416666666657</v>
      </c>
      <c r="O55" s="119">
        <v>45807.583333333343</v>
      </c>
      <c r="P55" s="119"/>
      <c r="Q55" s="119"/>
      <c r="R55" s="119"/>
      <c r="S55" s="119"/>
      <c r="T55" s="119"/>
      <c r="U55" s="120"/>
      <c r="V55" s="121">
        <f t="shared" si="0"/>
        <v>45807.583333333343</v>
      </c>
      <c r="W55" s="122"/>
      <c r="X55" s="122"/>
      <c r="Y55" s="2"/>
    </row>
    <row r="56" spans="1:25" ht="15.75" customHeight="1">
      <c r="A56" s="108" t="s">
        <v>482</v>
      </c>
      <c r="B56" s="108" t="str">
        <f>IFERROR(VLOOKUP(A56&amp;"", STUDENTS!A:B, 2, 0), "")</f>
        <v>NGUYỄN THIÊN ÂN</v>
      </c>
      <c r="C56" s="109" t="s">
        <v>56</v>
      </c>
      <c r="D56" s="109" t="str">
        <f>IFERROR(VLOOKUP(C56, PIC!A:B, 2, 0), "")</f>
        <v>Dat Nguyen</v>
      </c>
      <c r="E56" s="110" t="s">
        <v>21</v>
      </c>
      <c r="F56" s="111">
        <v>45639.416666666657</v>
      </c>
      <c r="G56" s="112" t="s">
        <v>815</v>
      </c>
      <c r="H56" s="112">
        <v>45663.541666666657</v>
      </c>
      <c r="I56" s="111">
        <v>45678.375</v>
      </c>
      <c r="J56" s="112">
        <v>45700.541666666657</v>
      </c>
      <c r="K56" s="111">
        <v>45709.541666666657</v>
      </c>
      <c r="L56" s="112">
        <v>45714.541666666657</v>
      </c>
      <c r="M56" s="112">
        <v>45762.541666666657</v>
      </c>
      <c r="N56" s="111">
        <v>45769.416666666657</v>
      </c>
      <c r="O56" s="111">
        <v>45807.583333333343</v>
      </c>
      <c r="P56" s="111"/>
      <c r="Q56" s="111"/>
      <c r="R56" s="111"/>
      <c r="S56" s="111"/>
      <c r="T56" s="111"/>
      <c r="U56" s="112"/>
      <c r="V56" s="113">
        <f t="shared" si="0"/>
        <v>45807.583333333343</v>
      </c>
      <c r="W56" s="114"/>
      <c r="X56" s="114"/>
      <c r="Y56" s="2"/>
    </row>
    <row r="57" spans="1:25" ht="15.75" customHeight="1">
      <c r="A57" s="116" t="s">
        <v>167</v>
      </c>
      <c r="B57" s="116" t="str">
        <f>IFERROR(VLOOKUP(A57&amp;"", STUDENTS!A:B, 2, 0), "")</f>
        <v>ĐINH TRƯƠNG THANH TUYỀN</v>
      </c>
      <c r="C57" s="117" t="s">
        <v>57</v>
      </c>
      <c r="D57" s="117" t="str">
        <f>IFERROR(VLOOKUP(C57, PIC!A:B, 2, 0), "")</f>
        <v>Nhat Nguyen</v>
      </c>
      <c r="E57" s="118" t="s">
        <v>22</v>
      </c>
      <c r="F57" s="119">
        <v>45841.583333333343</v>
      </c>
      <c r="G57" s="120">
        <v>45853.416666666657</v>
      </c>
      <c r="H57" s="120" t="s">
        <v>815</v>
      </c>
      <c r="I57" s="119">
        <v>45889.625</v>
      </c>
      <c r="J57" s="120" t="s">
        <v>815</v>
      </c>
      <c r="K57" s="119">
        <v>45924.625</v>
      </c>
      <c r="L57" s="120">
        <v>45931.625</v>
      </c>
      <c r="M57" s="120">
        <v>45953.416666666657</v>
      </c>
      <c r="N57" s="119">
        <v>45960.416666666657</v>
      </c>
      <c r="O57" s="119">
        <v>45982.458333333343</v>
      </c>
      <c r="P57" s="119">
        <v>45989.458333333343</v>
      </c>
      <c r="Q57" s="119">
        <v>45996.416666666657</v>
      </c>
      <c r="R57" s="119">
        <v>46010.416666666657</v>
      </c>
      <c r="S57" s="119">
        <v>46021.375</v>
      </c>
      <c r="T57" s="119">
        <v>46038.458333333343</v>
      </c>
      <c r="U57" s="120">
        <v>46083.458333333343</v>
      </c>
      <c r="V57" s="121">
        <f t="shared" si="0"/>
        <v>46083.458333333343</v>
      </c>
      <c r="W57" s="122"/>
      <c r="X57" s="122"/>
      <c r="Y57" s="2"/>
    </row>
    <row r="58" spans="1:25" ht="15.75" customHeight="1">
      <c r="A58" s="108" t="s">
        <v>184</v>
      </c>
      <c r="B58" s="108" t="str">
        <f>IFERROR(VLOOKUP(A58&amp;"", STUDENTS!A:B, 2, 0), "")</f>
        <v>ĐỖ VŨ GIA LONG</v>
      </c>
      <c r="C58" s="109" t="s">
        <v>57</v>
      </c>
      <c r="D58" s="109" t="str">
        <f>IFERROR(VLOOKUP(C58, PIC!A:B, 2, 0), "")</f>
        <v>Nhat Nguyen</v>
      </c>
      <c r="E58" s="110" t="s">
        <v>22</v>
      </c>
      <c r="F58" s="111">
        <v>45841.583333333343</v>
      </c>
      <c r="G58" s="112">
        <v>45853.416666666657</v>
      </c>
      <c r="H58" s="112">
        <v>45882.625</v>
      </c>
      <c r="I58" s="111">
        <v>45889.625</v>
      </c>
      <c r="J58" s="112">
        <v>45917.625</v>
      </c>
      <c r="K58" s="111">
        <v>45924.625</v>
      </c>
      <c r="L58" s="112">
        <v>45931.625</v>
      </c>
      <c r="M58" s="112">
        <v>45953.416666666657</v>
      </c>
      <c r="N58" s="111">
        <v>45960.416666666657</v>
      </c>
      <c r="O58" s="111">
        <v>45982.458333333343</v>
      </c>
      <c r="P58" s="111">
        <v>45989.458333333343</v>
      </c>
      <c r="Q58" s="111">
        <v>45996.416666666657</v>
      </c>
      <c r="R58" s="111">
        <v>46010.416666666657</v>
      </c>
      <c r="S58" s="111">
        <v>46021.375</v>
      </c>
      <c r="T58" s="111">
        <v>46038.458333333343</v>
      </c>
      <c r="U58" s="112">
        <v>46083.458333333343</v>
      </c>
      <c r="V58" s="113">
        <f t="shared" si="0"/>
        <v>46083.458333333343</v>
      </c>
      <c r="W58" s="114"/>
      <c r="X58" s="114"/>
      <c r="Y58" s="2"/>
    </row>
    <row r="59" spans="1:25" ht="15.75" customHeight="1">
      <c r="A59" s="116" t="s">
        <v>188</v>
      </c>
      <c r="B59" s="116" t="str">
        <f>IFERROR(VLOOKUP(A59&amp;"", STUDENTS!A:B, 2, 0), "")</f>
        <v>ĐOÀN KHÁNH NGUYÊN</v>
      </c>
      <c r="C59" s="117" t="s">
        <v>57</v>
      </c>
      <c r="D59" s="117" t="str">
        <f>IFERROR(VLOOKUP(C59, PIC!A:B, 2, 0), "")</f>
        <v>Nhat Nguyen</v>
      </c>
      <c r="E59" s="118" t="s">
        <v>22</v>
      </c>
      <c r="F59" s="119">
        <v>45841.583333333343</v>
      </c>
      <c r="G59" s="120">
        <v>45853.416666666657</v>
      </c>
      <c r="H59" s="120">
        <v>45882.625</v>
      </c>
      <c r="I59" s="119">
        <v>45889.625</v>
      </c>
      <c r="J59" s="120">
        <v>45917.625</v>
      </c>
      <c r="K59" s="119">
        <v>45924.625</v>
      </c>
      <c r="L59" s="120">
        <v>45931.625</v>
      </c>
      <c r="M59" s="120">
        <v>45953.416666666657</v>
      </c>
      <c r="N59" s="119">
        <v>45960.416666666657</v>
      </c>
      <c r="O59" s="119">
        <v>45982.458333333343</v>
      </c>
      <c r="P59" s="119">
        <v>45989.458333333343</v>
      </c>
      <c r="Q59" s="119" t="s">
        <v>815</v>
      </c>
      <c r="R59" s="119" t="s">
        <v>815</v>
      </c>
      <c r="S59" s="119" t="s">
        <v>815</v>
      </c>
      <c r="T59" s="119" t="s">
        <v>815</v>
      </c>
      <c r="U59" s="120"/>
      <c r="V59" s="121">
        <f t="shared" si="0"/>
        <v>45989.458333333343</v>
      </c>
      <c r="W59" s="122"/>
      <c r="X59" s="122"/>
      <c r="Y59" s="2"/>
    </row>
    <row r="60" spans="1:25" ht="15.75" customHeight="1">
      <c r="A60" s="108" t="s">
        <v>230</v>
      </c>
      <c r="B60" s="108" t="str">
        <f>IFERROR(VLOOKUP(A60&amp;"", STUDENTS!A:B, 2, 0), "")</f>
        <v>HUỲNH NGUYÊN KHANG</v>
      </c>
      <c r="C60" s="109" t="s">
        <v>57</v>
      </c>
      <c r="D60" s="109" t="str">
        <f>IFERROR(VLOOKUP(C60, PIC!A:B, 2, 0), "")</f>
        <v>Nhat Nguyen</v>
      </c>
      <c r="E60" s="110" t="s">
        <v>21</v>
      </c>
      <c r="F60" s="111">
        <v>45702.458333333343</v>
      </c>
      <c r="G60" s="112">
        <v>45709.458333333343</v>
      </c>
      <c r="H60" s="112">
        <v>45716.458333333343</v>
      </c>
      <c r="I60" s="111">
        <v>45765.458333333343</v>
      </c>
      <c r="J60" s="112">
        <v>45770.458333333343</v>
      </c>
      <c r="K60" s="111">
        <v>45785.458333333343</v>
      </c>
      <c r="L60" s="112">
        <v>45792.458333333343</v>
      </c>
      <c r="M60" s="112">
        <v>45800.458333333343</v>
      </c>
      <c r="N60" s="111">
        <v>45806.541666666657</v>
      </c>
      <c r="O60" s="111">
        <v>45813.416666666657</v>
      </c>
      <c r="P60" s="111">
        <v>45820.416666666657</v>
      </c>
      <c r="Q60" s="111">
        <v>45841.416666666657</v>
      </c>
      <c r="R60" s="111"/>
      <c r="S60" s="111"/>
      <c r="T60" s="111"/>
      <c r="U60" s="112"/>
      <c r="V60" s="113">
        <f t="shared" si="0"/>
        <v>45841.416666666657</v>
      </c>
      <c r="W60" s="114"/>
      <c r="X60" s="114"/>
      <c r="Y60" s="2"/>
    </row>
    <row r="61" spans="1:25" ht="15.75" customHeight="1">
      <c r="A61" s="116" t="s">
        <v>230</v>
      </c>
      <c r="B61" s="116" t="str">
        <f>IFERROR(VLOOKUP(A61&amp;"", STUDENTS!A:B, 2, 0), "")</f>
        <v>HUỲNH NGUYÊN KHANG</v>
      </c>
      <c r="C61" s="117" t="s">
        <v>57</v>
      </c>
      <c r="D61" s="117" t="str">
        <f>IFERROR(VLOOKUP(C61, PIC!A:B, 2, 0), "")</f>
        <v>Nhat Nguyen</v>
      </c>
      <c r="E61" s="118" t="s">
        <v>22</v>
      </c>
      <c r="F61" s="119">
        <v>45890.416666666657</v>
      </c>
      <c r="G61" s="120">
        <v>45897.416666666657</v>
      </c>
      <c r="H61" s="120">
        <v>45904.416666666657</v>
      </c>
      <c r="I61" s="119">
        <v>45911.416666666657</v>
      </c>
      <c r="J61" s="120">
        <v>45925.416666666657</v>
      </c>
      <c r="K61" s="119">
        <v>45939.416666666657</v>
      </c>
      <c r="L61" s="120">
        <v>45946.416666666657</v>
      </c>
      <c r="M61" s="120">
        <v>45953.416666666657</v>
      </c>
      <c r="N61" s="119">
        <v>45960.416666666657</v>
      </c>
      <c r="O61" s="119">
        <v>45982.458333333343</v>
      </c>
      <c r="P61" s="119" t="s">
        <v>815</v>
      </c>
      <c r="Q61" s="119" t="s">
        <v>815</v>
      </c>
      <c r="R61" s="119">
        <v>46010.416666666657</v>
      </c>
      <c r="S61" s="119">
        <v>46021.375</v>
      </c>
      <c r="T61" s="119"/>
      <c r="U61" s="120"/>
      <c r="V61" s="121">
        <f t="shared" si="0"/>
        <v>46021.375</v>
      </c>
      <c r="W61" s="122"/>
      <c r="X61" s="122"/>
      <c r="Y61" s="2"/>
    </row>
    <row r="62" spans="1:25" ht="15.75" customHeight="1">
      <c r="A62" s="108" t="s">
        <v>357</v>
      </c>
      <c r="B62" s="108" t="str">
        <f>IFERROR(VLOOKUP(A62&amp;"", STUDENTS!A:B, 2, 0), "")</f>
        <v>NGUYỄN ĐỨC NHẬT</v>
      </c>
      <c r="C62" s="109" t="s">
        <v>57</v>
      </c>
      <c r="D62" s="109" t="str">
        <f>IFERROR(VLOOKUP(C62, PIC!A:B, 2, 0), "")</f>
        <v>Nhat Nguyen</v>
      </c>
      <c r="E62" s="110" t="s">
        <v>21</v>
      </c>
      <c r="F62" s="111">
        <v>45702.458333333343</v>
      </c>
      <c r="G62" s="112">
        <v>45709.458333333343</v>
      </c>
      <c r="H62" s="112">
        <v>45716.458333333343</v>
      </c>
      <c r="I62" s="111">
        <v>45765.458333333343</v>
      </c>
      <c r="J62" s="112">
        <v>45770.458333333343</v>
      </c>
      <c r="K62" s="111">
        <v>45785.458333333343</v>
      </c>
      <c r="L62" s="112">
        <v>45792.458333333343</v>
      </c>
      <c r="M62" s="112">
        <v>45800.458333333343</v>
      </c>
      <c r="N62" s="111">
        <v>45806.541666666657</v>
      </c>
      <c r="O62" s="111">
        <v>45813.416666666657</v>
      </c>
      <c r="P62" s="111">
        <v>45820.416666666657</v>
      </c>
      <c r="Q62" s="111">
        <v>45841.416666666657</v>
      </c>
      <c r="R62" s="111"/>
      <c r="S62" s="111"/>
      <c r="T62" s="111"/>
      <c r="U62" s="112"/>
      <c r="V62" s="113">
        <f t="shared" si="0"/>
        <v>45841.416666666657</v>
      </c>
      <c r="W62" s="114"/>
      <c r="X62" s="114"/>
      <c r="Y62" s="2"/>
    </row>
    <row r="63" spans="1:25" ht="15.75" customHeight="1">
      <c r="A63" s="116" t="s">
        <v>357</v>
      </c>
      <c r="B63" s="116" t="str">
        <f>IFERROR(VLOOKUP(A63&amp;"", STUDENTS!A:B, 2, 0), "")</f>
        <v>NGUYỄN ĐỨC NHẬT</v>
      </c>
      <c r="C63" s="117" t="s">
        <v>57</v>
      </c>
      <c r="D63" s="117" t="str">
        <f>IFERROR(VLOOKUP(C63, PIC!A:B, 2, 0), "")</f>
        <v>Nhat Nguyen</v>
      </c>
      <c r="E63" s="118" t="s">
        <v>22</v>
      </c>
      <c r="F63" s="119">
        <v>45890.416666666657</v>
      </c>
      <c r="G63" s="120">
        <v>45897.416666666657</v>
      </c>
      <c r="H63" s="120">
        <v>45904.416666666657</v>
      </c>
      <c r="I63" s="119">
        <v>45911.416666666657</v>
      </c>
      <c r="J63" s="120">
        <v>45925.416666666657</v>
      </c>
      <c r="K63" s="119">
        <v>45939.416666666657</v>
      </c>
      <c r="L63" s="120">
        <v>45946.416666666657</v>
      </c>
      <c r="M63" s="120">
        <v>45953.416666666657</v>
      </c>
      <c r="N63" s="119">
        <v>45960.416666666657</v>
      </c>
      <c r="O63" s="119">
        <v>45982.458333333343</v>
      </c>
      <c r="P63" s="119">
        <v>45989.458333333343</v>
      </c>
      <c r="Q63" s="119">
        <v>45996.416666666657</v>
      </c>
      <c r="R63" s="119">
        <v>46010.416666666657</v>
      </c>
      <c r="S63" s="119">
        <v>46021.375</v>
      </c>
      <c r="T63" s="119"/>
      <c r="U63" s="120"/>
      <c r="V63" s="121">
        <f t="shared" si="0"/>
        <v>46021.375</v>
      </c>
      <c r="W63" s="122"/>
      <c r="X63" s="122"/>
      <c r="Y63" s="2"/>
    </row>
    <row r="64" spans="1:25" ht="15.75" customHeight="1">
      <c r="A64" s="108" t="s">
        <v>568</v>
      </c>
      <c r="B64" s="108" t="str">
        <f>IFERROR(VLOOKUP(A64&amp;"", STUDENTS!A:B, 2, 0), "")</f>
        <v>PHAN THẾ AN</v>
      </c>
      <c r="C64" s="109" t="s">
        <v>57</v>
      </c>
      <c r="D64" s="109" t="str">
        <f>IFERROR(VLOOKUP(C64, PIC!A:B, 2, 0), "")</f>
        <v>Nhat Nguyen</v>
      </c>
      <c r="E64" s="110" t="s">
        <v>21</v>
      </c>
      <c r="F64" s="111">
        <v>45702.458333333343</v>
      </c>
      <c r="G64" s="112">
        <v>45709.458333333343</v>
      </c>
      <c r="H64" s="112">
        <v>45716.458333333343</v>
      </c>
      <c r="I64" s="111">
        <v>45765.458333333343</v>
      </c>
      <c r="J64" s="112">
        <v>45770.458333333343</v>
      </c>
      <c r="K64" s="111">
        <v>45785.458333333343</v>
      </c>
      <c r="L64" s="112">
        <v>45792.458333333343</v>
      </c>
      <c r="M64" s="112">
        <v>45800.458333333343</v>
      </c>
      <c r="N64" s="111">
        <v>45806.541666666657</v>
      </c>
      <c r="O64" s="111">
        <v>45813.416666666657</v>
      </c>
      <c r="P64" s="111">
        <v>45820.416666666657</v>
      </c>
      <c r="Q64" s="111">
        <v>45841.416666666657</v>
      </c>
      <c r="R64" s="111"/>
      <c r="S64" s="111"/>
      <c r="T64" s="111"/>
      <c r="U64" s="112"/>
      <c r="V64" s="113">
        <f t="shared" si="0"/>
        <v>45841.416666666657</v>
      </c>
      <c r="W64" s="114"/>
      <c r="X64" s="114"/>
      <c r="Y64" s="2"/>
    </row>
    <row r="65" spans="1:25" ht="15.75" customHeight="1">
      <c r="A65" s="116" t="s">
        <v>568</v>
      </c>
      <c r="B65" s="116" t="str">
        <f>IFERROR(VLOOKUP(A65&amp;"", STUDENTS!A:B, 2, 0), "")</f>
        <v>PHAN THẾ AN</v>
      </c>
      <c r="C65" s="117" t="s">
        <v>57</v>
      </c>
      <c r="D65" s="117" t="str">
        <f>IFERROR(VLOOKUP(C65, PIC!A:B, 2, 0), "")</f>
        <v>Nhat Nguyen</v>
      </c>
      <c r="E65" s="118" t="s">
        <v>22</v>
      </c>
      <c r="F65" s="119">
        <v>45890.416666666657</v>
      </c>
      <c r="G65" s="120">
        <v>45897.416666666657</v>
      </c>
      <c r="H65" s="120">
        <v>45904.416666666657</v>
      </c>
      <c r="I65" s="119">
        <v>45911.416666666657</v>
      </c>
      <c r="J65" s="120">
        <v>45925.416666666657</v>
      </c>
      <c r="K65" s="119">
        <v>45939.416666666657</v>
      </c>
      <c r="L65" s="120">
        <v>45946.416666666657</v>
      </c>
      <c r="M65" s="120">
        <v>45953.416666666657</v>
      </c>
      <c r="N65" s="119">
        <v>45960.416666666657</v>
      </c>
      <c r="O65" s="119">
        <v>45982.458333333343</v>
      </c>
      <c r="P65" s="119">
        <v>45989.458333333343</v>
      </c>
      <c r="Q65" s="119">
        <v>45996.416666666657</v>
      </c>
      <c r="R65" s="119">
        <v>46010.416666666657</v>
      </c>
      <c r="S65" s="119">
        <v>46021.375</v>
      </c>
      <c r="T65" s="119">
        <v>46038.458333333343</v>
      </c>
      <c r="U65" s="120">
        <v>46083.458333333343</v>
      </c>
      <c r="V65" s="121">
        <f t="shared" si="0"/>
        <v>46083.458333333343</v>
      </c>
      <c r="W65" s="122"/>
      <c r="X65" s="122"/>
      <c r="Y65" s="2"/>
    </row>
    <row r="66" spans="1:25" ht="15.75" customHeight="1">
      <c r="A66" s="108" t="s">
        <v>625</v>
      </c>
      <c r="B66" s="108" t="str">
        <f>IFERROR(VLOOKUP(A66&amp;"", STUDENTS!A:B, 2, 0), "")</f>
        <v>TRẦN NGỌC PHƯỚC HOÀNG</v>
      </c>
      <c r="C66" s="109" t="s">
        <v>57</v>
      </c>
      <c r="D66" s="109" t="str">
        <f>IFERROR(VLOOKUP(C66, PIC!A:B, 2, 0), "")</f>
        <v>Nhat Nguyen</v>
      </c>
      <c r="E66" s="110" t="s">
        <v>21</v>
      </c>
      <c r="F66" s="111">
        <v>45702.458333333343</v>
      </c>
      <c r="G66" s="112">
        <v>45709.458333333343</v>
      </c>
      <c r="H66" s="112">
        <v>45716.458333333343</v>
      </c>
      <c r="I66" s="111">
        <v>45765.458333333343</v>
      </c>
      <c r="J66" s="112">
        <v>45770.458333333343</v>
      </c>
      <c r="K66" s="111">
        <v>45785.458333333343</v>
      </c>
      <c r="L66" s="112">
        <v>45792.458333333343</v>
      </c>
      <c r="M66" s="112">
        <v>45800.458333333343</v>
      </c>
      <c r="N66" s="111">
        <v>45806.541666666657</v>
      </c>
      <c r="O66" s="111">
        <v>45813.416666666657</v>
      </c>
      <c r="P66" s="111">
        <v>45820.416666666657</v>
      </c>
      <c r="Q66" s="111">
        <v>45841.416666666657</v>
      </c>
      <c r="R66" s="111"/>
      <c r="S66" s="111"/>
      <c r="T66" s="111"/>
      <c r="U66" s="112"/>
      <c r="V66" s="113">
        <f t="shared" si="0"/>
        <v>45841.416666666657</v>
      </c>
      <c r="W66" s="114"/>
      <c r="X66" s="114"/>
      <c r="Y66" s="2"/>
    </row>
    <row r="67" spans="1:25" ht="15.75" customHeight="1">
      <c r="A67" s="116" t="s">
        <v>625</v>
      </c>
      <c r="B67" s="116" t="str">
        <f>IFERROR(VLOOKUP(A67&amp;"", STUDENTS!A:B, 2, 0), "")</f>
        <v>TRẦN NGỌC PHƯỚC HOÀNG</v>
      </c>
      <c r="C67" s="117" t="s">
        <v>57</v>
      </c>
      <c r="D67" s="117" t="str">
        <f>IFERROR(VLOOKUP(C67, PIC!A:B, 2, 0), "")</f>
        <v>Nhat Nguyen</v>
      </c>
      <c r="E67" s="118" t="s">
        <v>22</v>
      </c>
      <c r="F67" s="119">
        <v>45890.416666666657</v>
      </c>
      <c r="G67" s="120">
        <v>45897.416666666657</v>
      </c>
      <c r="H67" s="120">
        <v>45904.416666666657</v>
      </c>
      <c r="I67" s="119">
        <v>45911.416666666657</v>
      </c>
      <c r="J67" s="120">
        <v>45925.416666666657</v>
      </c>
      <c r="K67" s="119">
        <v>45939.416666666657</v>
      </c>
      <c r="L67" s="120">
        <v>45946.416666666657</v>
      </c>
      <c r="M67" s="120">
        <v>45953.416666666657</v>
      </c>
      <c r="N67" s="119">
        <v>45960.416666666657</v>
      </c>
      <c r="O67" s="119" t="s">
        <v>815</v>
      </c>
      <c r="P67" s="119">
        <v>45989.458333333343</v>
      </c>
      <c r="Q67" s="119">
        <v>45996.416666666657</v>
      </c>
      <c r="R67" s="119">
        <v>46010.416666666657</v>
      </c>
      <c r="S67" s="119">
        <v>46021.375</v>
      </c>
      <c r="T67" s="119"/>
      <c r="U67" s="120"/>
      <c r="V67" s="121">
        <f t="shared" si="0"/>
        <v>46021.375</v>
      </c>
      <c r="W67" s="122"/>
      <c r="X67" s="122"/>
      <c r="Y67" s="2"/>
    </row>
    <row r="68" spans="1:25" ht="15.75" customHeight="1">
      <c r="A68" s="108" t="s">
        <v>675</v>
      </c>
      <c r="B68" s="108" t="str">
        <f>IFERROR(VLOOKUP(A68&amp;"", STUDENTS!A:B, 2, 0), "")</f>
        <v>TRANG KỲ ANH</v>
      </c>
      <c r="C68" s="109" t="s">
        <v>57</v>
      </c>
      <c r="D68" s="109" t="str">
        <f>IFERROR(VLOOKUP(C68, PIC!A:B, 2, 0), "")</f>
        <v>Nhat Nguyen</v>
      </c>
      <c r="E68" s="110" t="s">
        <v>21</v>
      </c>
      <c r="F68" s="111">
        <v>45702.458333333343</v>
      </c>
      <c r="G68" s="112">
        <v>45709.458333333343</v>
      </c>
      <c r="H68" s="112">
        <v>45716.458333333343</v>
      </c>
      <c r="I68" s="111">
        <v>45765.458333333343</v>
      </c>
      <c r="J68" s="112">
        <v>45770.458333333343</v>
      </c>
      <c r="K68" s="111">
        <v>45785.458333333343</v>
      </c>
      <c r="L68" s="112">
        <v>45792.458333333343</v>
      </c>
      <c r="M68" s="112" t="s">
        <v>815</v>
      </c>
      <c r="N68" s="111">
        <v>45806.541666666657</v>
      </c>
      <c r="O68" s="111">
        <v>45813.416666666657</v>
      </c>
      <c r="P68" s="111">
        <v>45820.416666666657</v>
      </c>
      <c r="Q68" s="111">
        <v>45841.416666666657</v>
      </c>
      <c r="R68" s="111"/>
      <c r="S68" s="111"/>
      <c r="T68" s="111"/>
      <c r="U68" s="112"/>
      <c r="V68" s="113">
        <f t="shared" si="0"/>
        <v>45841.416666666657</v>
      </c>
      <c r="W68" s="114"/>
      <c r="X68" s="114"/>
      <c r="Y68" s="2"/>
    </row>
    <row r="69" spans="1:25" ht="15.75" customHeight="1">
      <c r="A69" s="116" t="s">
        <v>697</v>
      </c>
      <c r="B69" s="116" t="str">
        <f>IFERROR(VLOOKUP(A69&amp;"", STUDENTS!A:B, 2, 0), "")</f>
        <v>VÕ DUY KIỆT</v>
      </c>
      <c r="C69" s="117" t="s">
        <v>57</v>
      </c>
      <c r="D69" s="117" t="str">
        <f>IFERROR(VLOOKUP(C69, PIC!A:B, 2, 0), "")</f>
        <v>Nhat Nguyen</v>
      </c>
      <c r="E69" s="118" t="s">
        <v>22</v>
      </c>
      <c r="F69" s="119">
        <v>45841.583333333343</v>
      </c>
      <c r="G69" s="120">
        <v>45853.416666666657</v>
      </c>
      <c r="H69" s="120">
        <v>45882.625</v>
      </c>
      <c r="I69" s="119">
        <v>45889.625</v>
      </c>
      <c r="J69" s="120">
        <v>45917.625</v>
      </c>
      <c r="K69" s="119">
        <v>45924.625</v>
      </c>
      <c r="L69" s="120">
        <v>45931.625</v>
      </c>
      <c r="M69" s="120" t="s">
        <v>815</v>
      </c>
      <c r="N69" s="119">
        <v>45960.416666666657</v>
      </c>
      <c r="O69" s="119">
        <v>45982.458333333343</v>
      </c>
      <c r="P69" s="119" t="s">
        <v>815</v>
      </c>
      <c r="Q69" s="119">
        <v>45996.416666666657</v>
      </c>
      <c r="R69" s="119" t="s">
        <v>815</v>
      </c>
      <c r="S69" s="119" t="s">
        <v>815</v>
      </c>
      <c r="T69" s="119" t="s">
        <v>815</v>
      </c>
      <c r="U69" s="120"/>
      <c r="V69" s="121">
        <f t="shared" si="0"/>
        <v>45996.416666666657</v>
      </c>
      <c r="W69" s="122"/>
      <c r="X69" s="122"/>
      <c r="Y69" s="2"/>
    </row>
    <row r="70" spans="1:25" ht="15.75" customHeight="1">
      <c r="A70" s="108" t="s">
        <v>239</v>
      </c>
      <c r="B70" s="108" t="str">
        <f>IFERROR(VLOOKUP(A70&amp;"", STUDENTS!A:B, 2, 0), "")</f>
        <v>HUỲNH TẤN PHÁT</v>
      </c>
      <c r="C70" s="109" t="s">
        <v>58</v>
      </c>
      <c r="D70" s="109" t="str">
        <f>IFERROR(VLOOKUP(C70, PIC!A:B, 2, 0), "")</f>
        <v>Hung Nguyen</v>
      </c>
      <c r="E70" s="110" t="s">
        <v>24</v>
      </c>
      <c r="F70" s="111"/>
      <c r="G70" s="112"/>
      <c r="H70" s="112"/>
      <c r="I70" s="111"/>
      <c r="J70" s="112"/>
      <c r="K70" s="111"/>
      <c r="L70" s="112"/>
      <c r="M70" s="112"/>
      <c r="N70" s="111"/>
      <c r="O70" s="111"/>
      <c r="P70" s="111"/>
      <c r="Q70" s="111"/>
      <c r="R70" s="111"/>
      <c r="S70" s="111"/>
      <c r="T70" s="111"/>
      <c r="U70" s="112"/>
      <c r="V70" s="113">
        <f t="shared" si="0"/>
        <v>0</v>
      </c>
      <c r="W70" s="114"/>
      <c r="X70" s="114"/>
      <c r="Y70" s="2"/>
    </row>
    <row r="71" spans="1:25" ht="15.75" customHeight="1">
      <c r="A71" s="116" t="s">
        <v>239</v>
      </c>
      <c r="B71" s="116" t="str">
        <f>IFERROR(VLOOKUP(A71&amp;"", STUDENTS!A:B, 2, 0), "")</f>
        <v>HUỲNH TẤN PHÁT</v>
      </c>
      <c r="C71" s="117" t="s">
        <v>58</v>
      </c>
      <c r="D71" s="117" t="str">
        <f>IFERROR(VLOOKUP(C71, PIC!A:B, 2, 0), "")</f>
        <v>Hung Nguyen</v>
      </c>
      <c r="E71" s="118" t="s">
        <v>21</v>
      </c>
      <c r="F71" s="119">
        <v>45772.583333333343</v>
      </c>
      <c r="G71" s="120">
        <v>45786.583333333343</v>
      </c>
      <c r="H71" s="120" t="s">
        <v>815</v>
      </c>
      <c r="I71" s="119">
        <v>45849.458333333343</v>
      </c>
      <c r="J71" s="120">
        <v>45849.458333333343</v>
      </c>
      <c r="K71" s="119">
        <v>45862.625</v>
      </c>
      <c r="L71" s="120">
        <v>45869.416666666657</v>
      </c>
      <c r="M71" s="120">
        <v>45890.583333333343</v>
      </c>
      <c r="N71" s="119">
        <v>45897.541666666657</v>
      </c>
      <c r="O71" s="119">
        <v>45918.416666666657</v>
      </c>
      <c r="P71" s="119"/>
      <c r="Q71" s="119"/>
      <c r="R71" s="119"/>
      <c r="S71" s="119"/>
      <c r="T71" s="119"/>
      <c r="U71" s="120"/>
      <c r="V71" s="121">
        <f t="shared" si="0"/>
        <v>45918.416666666657</v>
      </c>
      <c r="W71" s="122"/>
      <c r="X71" s="122"/>
      <c r="Y71" s="2"/>
    </row>
    <row r="72" spans="1:25" ht="15.75" customHeight="1">
      <c r="A72" s="108" t="s">
        <v>239</v>
      </c>
      <c r="B72" s="108" t="str">
        <f>IFERROR(VLOOKUP(A72&amp;"", STUDENTS!A:B, 2, 0), "")</f>
        <v>HUỲNH TẤN PHÁT</v>
      </c>
      <c r="C72" s="109" t="s">
        <v>58</v>
      </c>
      <c r="D72" s="109" t="str">
        <f>IFERROR(VLOOKUP(C72, PIC!A:B, 2, 0), "")</f>
        <v>Hung Nguyen</v>
      </c>
      <c r="E72" s="110" t="s">
        <v>22</v>
      </c>
      <c r="F72" s="111">
        <v>45946.458333333343</v>
      </c>
      <c r="G72" s="112">
        <v>45953.458333333343</v>
      </c>
      <c r="H72" s="112">
        <v>45960.458333333343</v>
      </c>
      <c r="I72" s="111">
        <v>45961.625</v>
      </c>
      <c r="J72" s="112">
        <v>45974.416666666657</v>
      </c>
      <c r="K72" s="111">
        <v>45981.416666666657</v>
      </c>
      <c r="L72" s="112">
        <v>45988.416666666657</v>
      </c>
      <c r="M72" s="112">
        <v>45995.416666666657</v>
      </c>
      <c r="N72" s="111">
        <v>46002.625</v>
      </c>
      <c r="O72" s="111">
        <v>46010.625</v>
      </c>
      <c r="P72" s="111">
        <v>46017.583333333343</v>
      </c>
      <c r="Q72" s="111">
        <v>46038.583333333343</v>
      </c>
      <c r="R72" s="111">
        <v>46044.416666666657</v>
      </c>
      <c r="S72" s="111">
        <v>46051.625</v>
      </c>
      <c r="T72" s="111">
        <v>46052.625</v>
      </c>
      <c r="U72" s="112">
        <v>46104.416666666657</v>
      </c>
      <c r="V72" s="113">
        <f t="shared" si="0"/>
        <v>46104.416666666657</v>
      </c>
      <c r="W72" s="114"/>
      <c r="X72" s="114"/>
      <c r="Y72" s="2"/>
    </row>
    <row r="73" spans="1:25" ht="15.75" customHeight="1">
      <c r="A73" s="116" t="s">
        <v>263</v>
      </c>
      <c r="B73" s="116" t="str">
        <f>IFERROR(VLOOKUP(A73&amp;"", STUDENTS!A:B, 2, 0), "")</f>
        <v>LÊ HOÀNG NGUYỄN</v>
      </c>
      <c r="C73" s="117" t="s">
        <v>58</v>
      </c>
      <c r="D73" s="117" t="str">
        <f>IFERROR(VLOOKUP(C73, PIC!A:B, 2, 0), "")</f>
        <v>Hung Nguyen</v>
      </c>
      <c r="E73" s="118" t="s">
        <v>24</v>
      </c>
      <c r="F73" s="119"/>
      <c r="G73" s="120"/>
      <c r="H73" s="120"/>
      <c r="I73" s="119"/>
      <c r="J73" s="120"/>
      <c r="K73" s="119"/>
      <c r="L73" s="120"/>
      <c r="M73" s="120"/>
      <c r="N73" s="119"/>
      <c r="O73" s="119"/>
      <c r="P73" s="119"/>
      <c r="Q73" s="119"/>
      <c r="R73" s="119"/>
      <c r="S73" s="119"/>
      <c r="T73" s="119"/>
      <c r="U73" s="120"/>
      <c r="V73" s="121">
        <f t="shared" si="0"/>
        <v>0</v>
      </c>
      <c r="W73" s="122"/>
      <c r="X73" s="122"/>
      <c r="Y73" s="2"/>
    </row>
    <row r="74" spans="1:25" ht="15.75" customHeight="1">
      <c r="A74" s="108" t="s">
        <v>263</v>
      </c>
      <c r="B74" s="108" t="str">
        <f>IFERROR(VLOOKUP(A74&amp;"", STUDENTS!A:B, 2, 0), "")</f>
        <v>LÊ HOÀNG NGUYỄN</v>
      </c>
      <c r="C74" s="109" t="s">
        <v>58</v>
      </c>
      <c r="D74" s="109" t="str">
        <f>IFERROR(VLOOKUP(C74, PIC!A:B, 2, 0), "")</f>
        <v>Hung Nguyen</v>
      </c>
      <c r="E74" s="110" t="s">
        <v>21</v>
      </c>
      <c r="F74" s="111">
        <v>45772.583333333343</v>
      </c>
      <c r="G74" s="112">
        <v>45786.583333333343</v>
      </c>
      <c r="H74" s="112">
        <v>45841.541666666657</v>
      </c>
      <c r="I74" s="111">
        <v>45849.458333333343</v>
      </c>
      <c r="J74" s="112">
        <v>45849.458333333343</v>
      </c>
      <c r="K74" s="111">
        <v>45862.625</v>
      </c>
      <c r="L74" s="112">
        <v>45869.416666666657</v>
      </c>
      <c r="M74" s="112">
        <v>45890.583333333343</v>
      </c>
      <c r="N74" s="111">
        <v>45897.541666666657</v>
      </c>
      <c r="O74" s="111">
        <v>45918.416666666657</v>
      </c>
      <c r="P74" s="111"/>
      <c r="Q74" s="111"/>
      <c r="R74" s="111"/>
      <c r="S74" s="111"/>
      <c r="T74" s="111"/>
      <c r="U74" s="112"/>
      <c r="V74" s="113">
        <f t="shared" si="0"/>
        <v>45918.416666666657</v>
      </c>
      <c r="W74" s="114"/>
      <c r="X74" s="114"/>
      <c r="Y74" s="2"/>
    </row>
    <row r="75" spans="1:25" ht="15.75" customHeight="1">
      <c r="A75" s="116" t="s">
        <v>263</v>
      </c>
      <c r="B75" s="116" t="str">
        <f>IFERROR(VLOOKUP(A75&amp;"", STUDENTS!A:B, 2, 0), "")</f>
        <v>LÊ HOÀNG NGUYỄN</v>
      </c>
      <c r="C75" s="117" t="s">
        <v>58</v>
      </c>
      <c r="D75" s="117" t="str">
        <f>IFERROR(VLOOKUP(C75, PIC!A:B, 2, 0), "")</f>
        <v>Hung Nguyen</v>
      </c>
      <c r="E75" s="118" t="s">
        <v>22</v>
      </c>
      <c r="F75" s="119">
        <v>45946.458333333343</v>
      </c>
      <c r="G75" s="120">
        <v>45953.458333333343</v>
      </c>
      <c r="H75" s="120">
        <v>45960.458333333343</v>
      </c>
      <c r="I75" s="119">
        <v>45961.625</v>
      </c>
      <c r="J75" s="120">
        <v>45974.416666666657</v>
      </c>
      <c r="K75" s="119">
        <v>45981.416666666657</v>
      </c>
      <c r="L75" s="120">
        <v>45988.416666666657</v>
      </c>
      <c r="M75" s="120">
        <v>45995.416666666657</v>
      </c>
      <c r="N75" s="119">
        <v>46002.625</v>
      </c>
      <c r="O75" s="119">
        <v>46010.625</v>
      </c>
      <c r="P75" s="119">
        <v>46017.583333333343</v>
      </c>
      <c r="Q75" s="119">
        <v>46038.583333333343</v>
      </c>
      <c r="R75" s="119">
        <v>46044.416666666657</v>
      </c>
      <c r="S75" s="119">
        <v>46051.625</v>
      </c>
      <c r="T75" s="119">
        <v>46052.625</v>
      </c>
      <c r="U75" s="120">
        <v>46104.416666666657</v>
      </c>
      <c r="V75" s="121">
        <f t="shared" si="0"/>
        <v>46104.416666666657</v>
      </c>
      <c r="W75" s="122"/>
      <c r="X75" s="122"/>
      <c r="Y75" s="2"/>
    </row>
    <row r="76" spans="1:25" ht="15.75" customHeight="1">
      <c r="A76" s="108" t="s">
        <v>383</v>
      </c>
      <c r="B76" s="108" t="str">
        <f>IFERROR(VLOOKUP(A76&amp;"", STUDENTS!A:B, 2, 0), "")</f>
        <v>Nguyễn Hồng Mỹ</v>
      </c>
      <c r="C76" s="109" t="s">
        <v>58</v>
      </c>
      <c r="D76" s="109" t="str">
        <f>IFERROR(VLOOKUP(C76, PIC!A:B, 2, 0), "")</f>
        <v>Hung Nguyen</v>
      </c>
      <c r="E76" s="110" t="s">
        <v>24</v>
      </c>
      <c r="F76" s="111"/>
      <c r="G76" s="112"/>
      <c r="H76" s="112"/>
      <c r="I76" s="111"/>
      <c r="J76" s="112"/>
      <c r="K76" s="111"/>
      <c r="L76" s="112"/>
      <c r="M76" s="112"/>
      <c r="N76" s="111"/>
      <c r="O76" s="111"/>
      <c r="P76" s="111"/>
      <c r="Q76" s="111"/>
      <c r="R76" s="111"/>
      <c r="S76" s="111"/>
      <c r="T76" s="111"/>
      <c r="U76" s="112"/>
      <c r="V76" s="113">
        <f t="shared" si="0"/>
        <v>0</v>
      </c>
      <c r="W76" s="114"/>
      <c r="X76" s="114"/>
      <c r="Y76" s="2"/>
    </row>
    <row r="77" spans="1:25" ht="15.75" customHeight="1">
      <c r="A77" s="116" t="s">
        <v>528</v>
      </c>
      <c r="B77" s="116" t="str">
        <f>IFERROR(VLOOKUP(A77&amp;"", STUDENTS!A:B, 2, 0), "")</f>
        <v>PHẠM HỮU TUẤN</v>
      </c>
      <c r="C77" s="117" t="s">
        <v>58</v>
      </c>
      <c r="D77" s="117" t="str">
        <f>IFERROR(VLOOKUP(C77, PIC!A:B, 2, 0), "")</f>
        <v>Hung Nguyen</v>
      </c>
      <c r="E77" s="118" t="s">
        <v>24</v>
      </c>
      <c r="F77" s="119"/>
      <c r="G77" s="120"/>
      <c r="H77" s="120"/>
      <c r="I77" s="119"/>
      <c r="J77" s="120"/>
      <c r="K77" s="119"/>
      <c r="L77" s="120"/>
      <c r="M77" s="120"/>
      <c r="N77" s="119"/>
      <c r="O77" s="119"/>
      <c r="P77" s="119"/>
      <c r="Q77" s="119"/>
      <c r="R77" s="119"/>
      <c r="S77" s="119"/>
      <c r="T77" s="119"/>
      <c r="U77" s="120"/>
      <c r="V77" s="121">
        <f t="shared" si="0"/>
        <v>0</v>
      </c>
      <c r="W77" s="122"/>
      <c r="X77" s="122"/>
      <c r="Y77" s="2"/>
    </row>
    <row r="78" spans="1:25" ht="15.75" customHeight="1">
      <c r="A78" s="108" t="s">
        <v>528</v>
      </c>
      <c r="B78" s="108" t="str">
        <f>IFERROR(VLOOKUP(A78&amp;"", STUDENTS!A:B, 2, 0), "")</f>
        <v>PHẠM HỮU TUẤN</v>
      </c>
      <c r="C78" s="109" t="s">
        <v>58</v>
      </c>
      <c r="D78" s="109" t="str">
        <f>IFERROR(VLOOKUP(C78, PIC!A:B, 2, 0), "")</f>
        <v>Hung Nguyen</v>
      </c>
      <c r="E78" s="110" t="s">
        <v>21</v>
      </c>
      <c r="F78" s="111">
        <v>45772.583333333343</v>
      </c>
      <c r="G78" s="112">
        <v>45786.583333333343</v>
      </c>
      <c r="H78" s="112">
        <v>45841.541666666657</v>
      </c>
      <c r="I78" s="111">
        <v>45849.458333333343</v>
      </c>
      <c r="J78" s="112">
        <v>45849.458333333343</v>
      </c>
      <c r="K78" s="111">
        <v>45862.625</v>
      </c>
      <c r="L78" s="112">
        <v>45869.416666666657</v>
      </c>
      <c r="M78" s="112" t="s">
        <v>815</v>
      </c>
      <c r="N78" s="111">
        <v>45897.541666666657</v>
      </c>
      <c r="O78" s="111">
        <v>45918.416666666657</v>
      </c>
      <c r="P78" s="111"/>
      <c r="Q78" s="111"/>
      <c r="R78" s="111"/>
      <c r="S78" s="111"/>
      <c r="T78" s="111"/>
      <c r="U78" s="112"/>
      <c r="V78" s="113">
        <f t="shared" si="0"/>
        <v>45918.416666666657</v>
      </c>
      <c r="W78" s="114"/>
      <c r="X78" s="114"/>
      <c r="Y78" s="2"/>
    </row>
    <row r="79" spans="1:25" ht="15.75" customHeight="1">
      <c r="A79" s="116" t="s">
        <v>528</v>
      </c>
      <c r="B79" s="116" t="str">
        <f>IFERROR(VLOOKUP(A79&amp;"", STUDENTS!A:B, 2, 0), "")</f>
        <v>PHẠM HỮU TUẤN</v>
      </c>
      <c r="C79" s="117" t="s">
        <v>58</v>
      </c>
      <c r="D79" s="117" t="str">
        <f>IFERROR(VLOOKUP(C79, PIC!A:B, 2, 0), "")</f>
        <v>Hung Nguyen</v>
      </c>
      <c r="E79" s="118" t="s">
        <v>22</v>
      </c>
      <c r="F79" s="119">
        <v>45946.458333333343</v>
      </c>
      <c r="G79" s="120">
        <v>45953.458333333343</v>
      </c>
      <c r="H79" s="120">
        <v>45960.458333333343</v>
      </c>
      <c r="I79" s="119">
        <v>45961.625</v>
      </c>
      <c r="J79" s="120">
        <v>45974.416666666657</v>
      </c>
      <c r="K79" s="119">
        <v>45981.416666666657</v>
      </c>
      <c r="L79" s="120"/>
      <c r="M79" s="120">
        <v>45995.416666666657</v>
      </c>
      <c r="N79" s="119">
        <v>46002.625</v>
      </c>
      <c r="O79" s="119">
        <v>46010.625</v>
      </c>
      <c r="P79" s="119">
        <v>46017.583333333343</v>
      </c>
      <c r="Q79" s="119" t="s">
        <v>815</v>
      </c>
      <c r="R79" s="119">
        <v>46044.416666666657</v>
      </c>
      <c r="S79" s="119">
        <v>46051.625</v>
      </c>
      <c r="T79" s="119">
        <v>46052.625</v>
      </c>
      <c r="U79" s="120">
        <v>46104.416666666657</v>
      </c>
      <c r="V79" s="121">
        <f t="shared" si="0"/>
        <v>46104.416666666657</v>
      </c>
      <c r="W79" s="122"/>
      <c r="X79" s="122"/>
      <c r="Y79" s="2"/>
    </row>
    <row r="80" spans="1:25" ht="15.75" customHeight="1">
      <c r="A80" s="108" t="s">
        <v>603</v>
      </c>
      <c r="B80" s="108" t="str">
        <f>IFERROR(VLOOKUP(A80&amp;"", STUDENTS!A:B, 2, 0), "")</f>
        <v>TRẦN ĐÌNH CHIẾN</v>
      </c>
      <c r="C80" s="109" t="s">
        <v>58</v>
      </c>
      <c r="D80" s="109" t="str">
        <f>IFERROR(VLOOKUP(C80, PIC!A:B, 2, 0), "")</f>
        <v>Hung Nguyen</v>
      </c>
      <c r="E80" s="110" t="s">
        <v>24</v>
      </c>
      <c r="F80" s="111"/>
      <c r="G80" s="112"/>
      <c r="H80" s="112"/>
      <c r="I80" s="111"/>
      <c r="J80" s="112"/>
      <c r="K80" s="111"/>
      <c r="L80" s="112"/>
      <c r="M80" s="112"/>
      <c r="N80" s="111"/>
      <c r="O80" s="111"/>
      <c r="P80" s="111"/>
      <c r="Q80" s="111"/>
      <c r="R80" s="111"/>
      <c r="S80" s="111"/>
      <c r="T80" s="111"/>
      <c r="U80" s="112"/>
      <c r="V80" s="113">
        <f t="shared" si="0"/>
        <v>0</v>
      </c>
      <c r="W80" s="114"/>
      <c r="X80" s="114"/>
      <c r="Y80" s="2"/>
    </row>
    <row r="81" spans="1:25" ht="15.75" customHeight="1">
      <c r="A81" s="116" t="s">
        <v>603</v>
      </c>
      <c r="B81" s="116" t="str">
        <f>IFERROR(VLOOKUP(A81&amp;"", STUDENTS!A:B, 2, 0), "")</f>
        <v>TRẦN ĐÌNH CHIẾN</v>
      </c>
      <c r="C81" s="117" t="s">
        <v>58</v>
      </c>
      <c r="D81" s="117" t="str">
        <f>IFERROR(VLOOKUP(C81, PIC!A:B, 2, 0), "")</f>
        <v>Hung Nguyen</v>
      </c>
      <c r="E81" s="118" t="s">
        <v>21</v>
      </c>
      <c r="F81" s="119">
        <v>45772.583333333343</v>
      </c>
      <c r="G81" s="120">
        <v>45786.583333333343</v>
      </c>
      <c r="H81" s="120">
        <v>45841.541666666657</v>
      </c>
      <c r="I81" s="119">
        <v>45849.458333333343</v>
      </c>
      <c r="J81" s="120">
        <v>45855.541666666657</v>
      </c>
      <c r="K81" s="119">
        <v>45862.625</v>
      </c>
      <c r="L81" s="120">
        <v>45869.416666666657</v>
      </c>
      <c r="M81" s="120">
        <v>45890.583333333343</v>
      </c>
      <c r="N81" s="119">
        <v>45897.541666666657</v>
      </c>
      <c r="O81" s="119">
        <v>45918.416666666657</v>
      </c>
      <c r="P81" s="119"/>
      <c r="Q81" s="119"/>
      <c r="R81" s="119"/>
      <c r="S81" s="119"/>
      <c r="T81" s="119"/>
      <c r="U81" s="120"/>
      <c r="V81" s="121">
        <f t="shared" si="0"/>
        <v>45918.416666666657</v>
      </c>
      <c r="W81" s="122"/>
      <c r="X81" s="122"/>
      <c r="Y81" s="2"/>
    </row>
    <row r="82" spans="1:25" ht="15.75" customHeight="1">
      <c r="A82" s="108" t="s">
        <v>603</v>
      </c>
      <c r="B82" s="108" t="str">
        <f>IFERROR(VLOOKUP(A82&amp;"", STUDENTS!A:B, 2, 0), "")</f>
        <v>TRẦN ĐÌNH CHIẾN</v>
      </c>
      <c r="C82" s="109" t="s">
        <v>58</v>
      </c>
      <c r="D82" s="109" t="str">
        <f>IFERROR(VLOOKUP(C82, PIC!A:B, 2, 0), "")</f>
        <v>Hung Nguyen</v>
      </c>
      <c r="E82" s="110" t="s">
        <v>22</v>
      </c>
      <c r="F82" s="111">
        <v>45946.458333333343</v>
      </c>
      <c r="G82" s="112">
        <v>45953.458333333343</v>
      </c>
      <c r="H82" s="112">
        <v>45960.458333333343</v>
      </c>
      <c r="I82" s="111">
        <v>45961.625</v>
      </c>
      <c r="J82" s="112">
        <v>45974.416666666657</v>
      </c>
      <c r="K82" s="111">
        <v>45981.416666666657</v>
      </c>
      <c r="L82" s="112">
        <v>45988.416666666657</v>
      </c>
      <c r="M82" s="112">
        <v>45995.416666666657</v>
      </c>
      <c r="N82" s="111">
        <v>46002.625</v>
      </c>
      <c r="O82" s="111">
        <v>46010.625</v>
      </c>
      <c r="P82" s="111">
        <v>46017.583333333343</v>
      </c>
      <c r="Q82" s="111">
        <v>46038.583333333343</v>
      </c>
      <c r="R82" s="111">
        <v>46044.416666666657</v>
      </c>
      <c r="S82" s="111">
        <v>46051.625</v>
      </c>
      <c r="T82" s="111">
        <v>46052.625</v>
      </c>
      <c r="U82" s="112">
        <v>46104.416666666657</v>
      </c>
      <c r="V82" s="113">
        <f t="shared" si="0"/>
        <v>46104.416666666657</v>
      </c>
      <c r="W82" s="114"/>
      <c r="X82" s="114"/>
      <c r="Y82" s="2"/>
    </row>
    <row r="83" spans="1:25" ht="15.75" customHeight="1">
      <c r="A83" s="116" t="s">
        <v>665</v>
      </c>
      <c r="B83" s="116" t="str">
        <f>IFERROR(VLOOKUP(A83&amp;"", STUDENTS!A:B, 2, 0), "")</f>
        <v>TRẦN VĂN HÀ</v>
      </c>
      <c r="C83" s="117" t="s">
        <v>58</v>
      </c>
      <c r="D83" s="117" t="str">
        <f>IFERROR(VLOOKUP(C83, PIC!A:B, 2, 0), "")</f>
        <v>Hung Nguyen</v>
      </c>
      <c r="E83" s="118" t="s">
        <v>24</v>
      </c>
      <c r="F83" s="119"/>
      <c r="G83" s="120"/>
      <c r="H83" s="120"/>
      <c r="I83" s="119"/>
      <c r="J83" s="120"/>
      <c r="K83" s="119"/>
      <c r="L83" s="120"/>
      <c r="M83" s="120"/>
      <c r="N83" s="119"/>
      <c r="O83" s="119"/>
      <c r="P83" s="119"/>
      <c r="Q83" s="119"/>
      <c r="R83" s="119"/>
      <c r="S83" s="119"/>
      <c r="T83" s="119"/>
      <c r="U83" s="120"/>
      <c r="V83" s="121">
        <f t="shared" si="0"/>
        <v>0</v>
      </c>
      <c r="W83" s="122"/>
      <c r="X83" s="122"/>
      <c r="Y83" s="2"/>
    </row>
    <row r="84" spans="1:25" ht="15.75" customHeight="1">
      <c r="A84" s="108" t="s">
        <v>665</v>
      </c>
      <c r="B84" s="108" t="str">
        <f>IFERROR(VLOOKUP(A84&amp;"", STUDENTS!A:B, 2, 0), "")</f>
        <v>TRẦN VĂN HÀ</v>
      </c>
      <c r="C84" s="109" t="s">
        <v>58</v>
      </c>
      <c r="D84" s="109" t="str">
        <f>IFERROR(VLOOKUP(C84, PIC!A:B, 2, 0), "")</f>
        <v>Hung Nguyen</v>
      </c>
      <c r="E84" s="110" t="s">
        <v>21</v>
      </c>
      <c r="F84" s="111">
        <v>45772.583333333343</v>
      </c>
      <c r="G84" s="112">
        <v>45786.583333333343</v>
      </c>
      <c r="H84" s="112">
        <v>45841.541666666657</v>
      </c>
      <c r="I84" s="111">
        <v>45849.458333333343</v>
      </c>
      <c r="J84" s="112">
        <v>45849.458333333343</v>
      </c>
      <c r="K84" s="111">
        <v>45862.625</v>
      </c>
      <c r="L84" s="112">
        <v>45869.416666666657</v>
      </c>
      <c r="M84" s="112">
        <v>45890.583333333343</v>
      </c>
      <c r="N84" s="111">
        <v>45897.541666666657</v>
      </c>
      <c r="O84" s="111">
        <v>45918.416666666657</v>
      </c>
      <c r="P84" s="111"/>
      <c r="Q84" s="111"/>
      <c r="R84" s="111"/>
      <c r="S84" s="111"/>
      <c r="T84" s="111"/>
      <c r="U84" s="112"/>
      <c r="V84" s="113">
        <f t="shared" si="0"/>
        <v>45918.416666666657</v>
      </c>
      <c r="W84" s="114"/>
      <c r="X84" s="114"/>
      <c r="Y84" s="2"/>
    </row>
    <row r="85" spans="1:25" ht="15.75" customHeight="1">
      <c r="A85" s="116" t="s">
        <v>665</v>
      </c>
      <c r="B85" s="116" t="str">
        <f>IFERROR(VLOOKUP(A85&amp;"", STUDENTS!A:B, 2, 0), "")</f>
        <v>TRẦN VĂN HÀ</v>
      </c>
      <c r="C85" s="117" t="s">
        <v>58</v>
      </c>
      <c r="D85" s="117" t="str">
        <f>IFERROR(VLOOKUP(C85, PIC!A:B, 2, 0), "")</f>
        <v>Hung Nguyen</v>
      </c>
      <c r="E85" s="118" t="s">
        <v>22</v>
      </c>
      <c r="F85" s="119">
        <v>45946.458333333343</v>
      </c>
      <c r="G85" s="120">
        <v>45953.458333333343</v>
      </c>
      <c r="H85" s="120">
        <v>45960.458333333343</v>
      </c>
      <c r="I85" s="119">
        <v>45961.625</v>
      </c>
      <c r="J85" s="120">
        <v>45974.416666666657</v>
      </c>
      <c r="K85" s="119">
        <v>45981.416666666657</v>
      </c>
      <c r="L85" s="120">
        <v>45988.416666666657</v>
      </c>
      <c r="M85" s="120">
        <v>45995.416666666657</v>
      </c>
      <c r="N85" s="119">
        <v>46002.625</v>
      </c>
      <c r="O85" s="119">
        <v>46010.625</v>
      </c>
      <c r="P85" s="119">
        <v>46017.583333333343</v>
      </c>
      <c r="Q85" s="119">
        <v>46038.583333333343</v>
      </c>
      <c r="R85" s="119">
        <v>46044.416666666657</v>
      </c>
      <c r="S85" s="119">
        <v>46051.625</v>
      </c>
      <c r="T85" s="119">
        <v>46052.625</v>
      </c>
      <c r="U85" s="120">
        <v>46104.416666666657</v>
      </c>
      <c r="V85" s="121">
        <f t="shared" si="0"/>
        <v>46104.416666666657</v>
      </c>
      <c r="W85" s="122"/>
      <c r="X85" s="122"/>
      <c r="Y85" s="2"/>
    </row>
    <row r="86" spans="1:25" ht="15.75" customHeight="1">
      <c r="A86" s="108" t="s">
        <v>159</v>
      </c>
      <c r="B86" s="108" t="str">
        <f>IFERROR(VLOOKUP(A86&amp;"", STUDENTS!A:B, 2, 0), "")</f>
        <v>ĐÀO SỸ THỜI</v>
      </c>
      <c r="C86" s="109" t="s">
        <v>59</v>
      </c>
      <c r="D86" s="109" t="str">
        <f>IFERROR(VLOOKUP(C86, PIC!A:B, 2, 0), "")</f>
        <v>Huong Le</v>
      </c>
      <c r="E86" s="110" t="s">
        <v>21</v>
      </c>
      <c r="F86" s="111">
        <v>45663.583333333343</v>
      </c>
      <c r="G86" s="112" t="s">
        <v>815</v>
      </c>
      <c r="H86" s="112">
        <v>45716.583333333343</v>
      </c>
      <c r="I86" s="111">
        <v>45762.583333333343</v>
      </c>
      <c r="J86" s="112">
        <v>45768.583333333343</v>
      </c>
      <c r="K86" s="111" t="s">
        <v>815</v>
      </c>
      <c r="L86" s="112">
        <v>45806.583333333343</v>
      </c>
      <c r="M86" s="112">
        <v>45810.541666666657</v>
      </c>
      <c r="N86" s="111">
        <v>45824.583333333343</v>
      </c>
      <c r="O86" s="111">
        <v>45852.541666666657</v>
      </c>
      <c r="P86" s="111"/>
      <c r="Q86" s="111"/>
      <c r="R86" s="111"/>
      <c r="S86" s="111"/>
      <c r="T86" s="111"/>
      <c r="U86" s="112"/>
      <c r="V86" s="113">
        <f t="shared" si="0"/>
        <v>45852.541666666657</v>
      </c>
      <c r="W86" s="114"/>
      <c r="X86" s="114"/>
      <c r="Y86" s="2"/>
    </row>
    <row r="87" spans="1:25" ht="15.75" customHeight="1">
      <c r="A87" s="116" t="s">
        <v>247</v>
      </c>
      <c r="B87" s="116" t="str">
        <f>IFERROR(VLOOKUP(A87&amp;"", STUDENTS!A:B, 2, 0), "")</f>
        <v>LẠC MINH HOÀNG</v>
      </c>
      <c r="C87" s="117" t="s">
        <v>59</v>
      </c>
      <c r="D87" s="117" t="str">
        <f>IFERROR(VLOOKUP(C87, PIC!A:B, 2, 0), "")</f>
        <v>Huong Le</v>
      </c>
      <c r="E87" s="118" t="s">
        <v>22</v>
      </c>
      <c r="F87" s="119">
        <v>45915.541666666657</v>
      </c>
      <c r="G87" s="120">
        <v>45922.583333333343</v>
      </c>
      <c r="H87" s="120">
        <v>45929.541666666657</v>
      </c>
      <c r="I87" s="119">
        <v>45943.541666666657</v>
      </c>
      <c r="J87" s="120">
        <v>45950.583333333343</v>
      </c>
      <c r="K87" s="119">
        <v>45957.541666666657</v>
      </c>
      <c r="L87" s="120">
        <v>45972.583333333343</v>
      </c>
      <c r="M87" s="120">
        <v>45980.583333333343</v>
      </c>
      <c r="N87" s="119">
        <v>45981.583333333343</v>
      </c>
      <c r="O87" s="119">
        <v>45996.583333333343</v>
      </c>
      <c r="P87" s="119" t="s">
        <v>815</v>
      </c>
      <c r="Q87" s="119">
        <v>46008.583333333343</v>
      </c>
      <c r="R87" s="119" t="s">
        <v>815</v>
      </c>
      <c r="S87" s="119">
        <v>46021.541666666657</v>
      </c>
      <c r="T87" s="119">
        <v>46041.541666666657</v>
      </c>
      <c r="U87" s="120">
        <v>46115.541666666657</v>
      </c>
      <c r="V87" s="121">
        <f t="shared" si="0"/>
        <v>46115.541666666657</v>
      </c>
      <c r="W87" s="122"/>
      <c r="X87" s="122"/>
      <c r="Y87" s="2"/>
    </row>
    <row r="88" spans="1:25" ht="15.75" customHeight="1">
      <c r="A88" s="108" t="s">
        <v>294</v>
      </c>
      <c r="B88" s="108" t="str">
        <f>IFERROR(VLOOKUP(A88&amp;"", STUDENTS!A:B, 2, 0), "")</f>
        <v>LÊ THỊ LAN HƯƠNG</v>
      </c>
      <c r="C88" s="109" t="s">
        <v>59</v>
      </c>
      <c r="D88" s="109" t="str">
        <f>IFERROR(VLOOKUP(C88, PIC!A:B, 2, 0), "")</f>
        <v>Huong Le</v>
      </c>
      <c r="E88" s="110" t="s">
        <v>22</v>
      </c>
      <c r="F88" s="111">
        <v>45915.541666666657</v>
      </c>
      <c r="G88" s="112" t="s">
        <v>815</v>
      </c>
      <c r="H88" s="112">
        <v>45929.541666666657</v>
      </c>
      <c r="I88" s="111" t="s">
        <v>815</v>
      </c>
      <c r="J88" s="112">
        <v>45950.583333333343</v>
      </c>
      <c r="K88" s="111">
        <v>45957.541666666657</v>
      </c>
      <c r="L88" s="112">
        <v>45972.583333333343</v>
      </c>
      <c r="M88" s="112">
        <v>45980.583333333343</v>
      </c>
      <c r="N88" s="111">
        <v>45981.583333333343</v>
      </c>
      <c r="O88" s="111">
        <v>45996.583333333343</v>
      </c>
      <c r="P88" s="111">
        <v>46006.583333333343</v>
      </c>
      <c r="Q88" s="111">
        <v>46008.583333333343</v>
      </c>
      <c r="R88" s="111">
        <v>46017.541666666657</v>
      </c>
      <c r="S88" s="111">
        <v>46021.541666666657</v>
      </c>
      <c r="T88" s="111">
        <v>46041.541666666657</v>
      </c>
      <c r="U88" s="112">
        <v>46115.541666666657</v>
      </c>
      <c r="V88" s="113">
        <f t="shared" si="0"/>
        <v>46115.541666666657</v>
      </c>
      <c r="W88" s="114"/>
      <c r="X88" s="114"/>
      <c r="Y88" s="2"/>
    </row>
    <row r="89" spans="1:25" ht="15.75" customHeight="1">
      <c r="A89" s="116" t="s">
        <v>313</v>
      </c>
      <c r="B89" s="116" t="str">
        <f>IFERROR(VLOOKUP(A89&amp;"", STUDENTS!A:B, 2, 0), "")</f>
        <v>LƯƠNG TRÀ VY</v>
      </c>
      <c r="C89" s="117" t="s">
        <v>59</v>
      </c>
      <c r="D89" s="117" t="str">
        <f>IFERROR(VLOOKUP(C89, PIC!A:B, 2, 0), "")</f>
        <v>Huong Le</v>
      </c>
      <c r="E89" s="118" t="s">
        <v>21</v>
      </c>
      <c r="F89" s="119">
        <v>45663.583333333343</v>
      </c>
      <c r="G89" s="120">
        <v>45698.583333333343</v>
      </c>
      <c r="H89" s="120">
        <v>45716.583333333343</v>
      </c>
      <c r="I89" s="119">
        <v>45762.583333333343</v>
      </c>
      <c r="J89" s="120">
        <v>45768.583333333343</v>
      </c>
      <c r="K89" s="119" t="s">
        <v>815</v>
      </c>
      <c r="L89" s="120">
        <v>45806.583333333343</v>
      </c>
      <c r="M89" s="120">
        <v>45810.541666666657</v>
      </c>
      <c r="N89" s="119">
        <v>45824.583333333343</v>
      </c>
      <c r="O89" s="119">
        <v>45852.541666666657</v>
      </c>
      <c r="P89" s="119"/>
      <c r="Q89" s="119"/>
      <c r="R89" s="119"/>
      <c r="S89" s="119"/>
      <c r="T89" s="119"/>
      <c r="U89" s="120"/>
      <c r="V89" s="121">
        <f t="shared" si="0"/>
        <v>45852.541666666657</v>
      </c>
      <c r="W89" s="122"/>
      <c r="X89" s="122"/>
      <c r="Y89" s="2"/>
    </row>
    <row r="90" spans="1:25" ht="15.75" customHeight="1">
      <c r="A90" s="108" t="s">
        <v>313</v>
      </c>
      <c r="B90" s="108" t="str">
        <f>IFERROR(VLOOKUP(A90&amp;"", STUDENTS!A:B, 2, 0), "")</f>
        <v>LƯƠNG TRÀ VY</v>
      </c>
      <c r="C90" s="109" t="s">
        <v>59</v>
      </c>
      <c r="D90" s="109" t="str">
        <f>IFERROR(VLOOKUP(C90, PIC!A:B, 2, 0), "")</f>
        <v>Huong Le</v>
      </c>
      <c r="E90" s="110" t="s">
        <v>22</v>
      </c>
      <c r="F90" s="111">
        <v>45915.541666666657</v>
      </c>
      <c r="G90" s="112">
        <v>45922.583333333343</v>
      </c>
      <c r="H90" s="112">
        <v>45929.541666666657</v>
      </c>
      <c r="I90" s="111">
        <v>45943.541666666657</v>
      </c>
      <c r="J90" s="112">
        <v>45950.583333333343</v>
      </c>
      <c r="K90" s="111" t="s">
        <v>815</v>
      </c>
      <c r="L90" s="112" t="s">
        <v>815</v>
      </c>
      <c r="M90" s="112">
        <v>45980.583333333343</v>
      </c>
      <c r="N90" s="111">
        <v>45981.583333333343</v>
      </c>
      <c r="O90" s="111">
        <v>45996.583333333343</v>
      </c>
      <c r="P90" s="111">
        <v>46006.583333333343</v>
      </c>
      <c r="Q90" s="111">
        <v>46008.583333333343</v>
      </c>
      <c r="R90" s="111">
        <v>46017.541666666657</v>
      </c>
      <c r="S90" s="111">
        <v>46021.541666666657</v>
      </c>
      <c r="T90" s="111">
        <v>46041.541666666657</v>
      </c>
      <c r="U90" s="112">
        <v>46115.541666666657</v>
      </c>
      <c r="V90" s="113">
        <f t="shared" si="0"/>
        <v>46115.541666666657</v>
      </c>
      <c r="W90" s="114"/>
      <c r="X90" s="114"/>
      <c r="Y90" s="2"/>
    </row>
    <row r="91" spans="1:25" ht="15.75" customHeight="1">
      <c r="A91" s="116" t="s">
        <v>330</v>
      </c>
      <c r="B91" s="116" t="str">
        <f>IFERROR(VLOOKUP(A91&amp;"", STUDENTS!A:B, 2, 0), "")</f>
        <v>NGUYỄN ANH ĐỨC</v>
      </c>
      <c r="C91" s="117" t="s">
        <v>59</v>
      </c>
      <c r="D91" s="117" t="str">
        <f>IFERROR(VLOOKUP(C91, PIC!A:B, 2, 0), "")</f>
        <v>Huong Le</v>
      </c>
      <c r="E91" s="118" t="s">
        <v>22</v>
      </c>
      <c r="F91" s="119">
        <v>45915.541666666657</v>
      </c>
      <c r="G91" s="120">
        <v>45922.583333333343</v>
      </c>
      <c r="H91" s="120">
        <v>45929.541666666657</v>
      </c>
      <c r="I91" s="119">
        <v>45943.541666666657</v>
      </c>
      <c r="J91" s="120">
        <v>45950.583333333343</v>
      </c>
      <c r="K91" s="119">
        <v>45957.541666666657</v>
      </c>
      <c r="L91" s="120" t="s">
        <v>815</v>
      </c>
      <c r="M91" s="120">
        <v>45980.583333333343</v>
      </c>
      <c r="N91" s="119">
        <v>45981.583333333343</v>
      </c>
      <c r="O91" s="119">
        <v>45996.583333333343</v>
      </c>
      <c r="P91" s="119">
        <v>46006.583333333343</v>
      </c>
      <c r="Q91" s="119">
        <v>46008.583333333343</v>
      </c>
      <c r="R91" s="119">
        <v>46017.541666666657</v>
      </c>
      <c r="S91" s="119">
        <v>46021.541666666657</v>
      </c>
      <c r="T91" s="119">
        <v>46041.541666666657</v>
      </c>
      <c r="U91" s="120">
        <v>46115.541666666657</v>
      </c>
      <c r="V91" s="121">
        <f t="shared" si="0"/>
        <v>46115.541666666657</v>
      </c>
      <c r="W91" s="122"/>
      <c r="X91" s="122"/>
      <c r="Y91" s="2"/>
    </row>
    <row r="92" spans="1:25" ht="15.75" customHeight="1">
      <c r="A92" s="108" t="s">
        <v>411</v>
      </c>
      <c r="B92" s="108" t="str">
        <f>IFERROR(VLOOKUP(A92&amp;"", STUDENTS!A:B, 2, 0), "")</f>
        <v>NGUYỄN MINH THƯ</v>
      </c>
      <c r="C92" s="109" t="s">
        <v>59</v>
      </c>
      <c r="D92" s="109" t="str">
        <f>IFERROR(VLOOKUP(C92, PIC!A:B, 2, 0), "")</f>
        <v>Huong Le</v>
      </c>
      <c r="E92" s="110" t="s">
        <v>22</v>
      </c>
      <c r="F92" s="111">
        <v>45915.541666666657</v>
      </c>
      <c r="G92" s="112" t="s">
        <v>815</v>
      </c>
      <c r="H92" s="112" t="s">
        <v>815</v>
      </c>
      <c r="I92" s="111">
        <v>45943.541666666657</v>
      </c>
      <c r="J92" s="112">
        <v>45950.583333333343</v>
      </c>
      <c r="K92" s="111">
        <v>45957.541666666657</v>
      </c>
      <c r="L92" s="112" t="s">
        <v>815</v>
      </c>
      <c r="M92" s="112">
        <v>45980.583333333343</v>
      </c>
      <c r="N92" s="111">
        <v>45981.583333333343</v>
      </c>
      <c r="O92" s="111">
        <v>45996.583333333343</v>
      </c>
      <c r="P92" s="111">
        <v>46006.583333333343</v>
      </c>
      <c r="Q92" s="111">
        <v>46008.583333333343</v>
      </c>
      <c r="R92" s="111">
        <v>46017.541666666657</v>
      </c>
      <c r="S92" s="111">
        <v>46021.541666666657</v>
      </c>
      <c r="T92" s="111">
        <v>46041.541666666657</v>
      </c>
      <c r="U92" s="112">
        <v>46115.541666666657</v>
      </c>
      <c r="V92" s="113">
        <f t="shared" si="0"/>
        <v>46115.541666666657</v>
      </c>
      <c r="W92" s="114"/>
      <c r="X92" s="114"/>
      <c r="Y92" s="2"/>
    </row>
    <row r="93" spans="1:25" ht="15.75" customHeight="1">
      <c r="A93" s="116" t="s">
        <v>433</v>
      </c>
      <c r="B93" s="116" t="str">
        <f>IFERROR(VLOOKUP(A93&amp;"", STUDENTS!A:B, 2, 0), "")</f>
        <v>NGUYỄN QUANG TRUNG</v>
      </c>
      <c r="C93" s="117" t="s">
        <v>59</v>
      </c>
      <c r="D93" s="117" t="str">
        <f>IFERROR(VLOOKUP(C93, PIC!A:B, 2, 0), "")</f>
        <v>Huong Le</v>
      </c>
      <c r="E93" s="118" t="s">
        <v>21</v>
      </c>
      <c r="F93" s="119">
        <v>45663.583333333343</v>
      </c>
      <c r="G93" s="120">
        <v>45698.583333333343</v>
      </c>
      <c r="H93" s="120">
        <v>45716.583333333343</v>
      </c>
      <c r="I93" s="119">
        <v>45762.583333333343</v>
      </c>
      <c r="J93" s="120">
        <v>45768.583333333343</v>
      </c>
      <c r="K93" s="119">
        <v>45782.541666666657</v>
      </c>
      <c r="L93" s="120">
        <v>45806.583333333343</v>
      </c>
      <c r="M93" s="120">
        <v>45810.541666666657</v>
      </c>
      <c r="N93" s="119">
        <v>45824.583333333343</v>
      </c>
      <c r="O93" s="119">
        <v>45852.541666666657</v>
      </c>
      <c r="P93" s="119"/>
      <c r="Q93" s="119"/>
      <c r="R93" s="119"/>
      <c r="S93" s="119"/>
      <c r="T93" s="119"/>
      <c r="U93" s="120"/>
      <c r="V93" s="121">
        <f t="shared" si="0"/>
        <v>45852.541666666657</v>
      </c>
      <c r="W93" s="122"/>
      <c r="X93" s="122"/>
      <c r="Y93" s="2"/>
    </row>
    <row r="94" spans="1:25" ht="15.75" customHeight="1">
      <c r="A94" s="108" t="s">
        <v>451</v>
      </c>
      <c r="B94" s="108" t="str">
        <f>IFERROR(VLOOKUP(A94&amp;"", STUDENTS!A:B, 2, 0), "")</f>
        <v>NGUYỄN THÀNH PHI</v>
      </c>
      <c r="C94" s="109" t="s">
        <v>59</v>
      </c>
      <c r="D94" s="109" t="str">
        <f>IFERROR(VLOOKUP(C94, PIC!A:B, 2, 0), "")</f>
        <v>Huong Le</v>
      </c>
      <c r="E94" s="110" t="s">
        <v>21</v>
      </c>
      <c r="F94" s="111" t="s">
        <v>815</v>
      </c>
      <c r="G94" s="112">
        <v>45698.583333333343</v>
      </c>
      <c r="H94" s="112">
        <v>45716.583333333343</v>
      </c>
      <c r="I94" s="111">
        <v>45762.583333333343</v>
      </c>
      <c r="J94" s="112">
        <v>45768.583333333343</v>
      </c>
      <c r="K94" s="111">
        <v>45782.541666666657</v>
      </c>
      <c r="L94" s="112">
        <v>45806.583333333343</v>
      </c>
      <c r="M94" s="112">
        <v>45810.541666666657</v>
      </c>
      <c r="N94" s="111">
        <v>45824.583333333343</v>
      </c>
      <c r="O94" s="111">
        <v>45852.541666666657</v>
      </c>
      <c r="P94" s="111"/>
      <c r="Q94" s="111"/>
      <c r="R94" s="111"/>
      <c r="S94" s="111"/>
      <c r="T94" s="111"/>
      <c r="U94" s="112"/>
      <c r="V94" s="113">
        <f t="shared" si="0"/>
        <v>45852.541666666657</v>
      </c>
      <c r="W94" s="114"/>
      <c r="X94" s="114"/>
      <c r="Y94" s="2"/>
    </row>
    <row r="95" spans="1:25" ht="15.75" customHeight="1">
      <c r="A95" s="116" t="s">
        <v>451</v>
      </c>
      <c r="B95" s="116" t="str">
        <f>IFERROR(VLOOKUP(A95&amp;"", STUDENTS!A:B, 2, 0), "")</f>
        <v>NGUYỄN THÀNH PHI</v>
      </c>
      <c r="C95" s="117" t="s">
        <v>59</v>
      </c>
      <c r="D95" s="117" t="str">
        <f>IFERROR(VLOOKUP(C95, PIC!A:B, 2, 0), "")</f>
        <v>Huong Le</v>
      </c>
      <c r="E95" s="118" t="s">
        <v>22</v>
      </c>
      <c r="F95" s="119" t="s">
        <v>815</v>
      </c>
      <c r="G95" s="120">
        <v>45922.583333333343</v>
      </c>
      <c r="H95" s="120">
        <v>45929.541666666657</v>
      </c>
      <c r="I95" s="119" t="s">
        <v>815</v>
      </c>
      <c r="J95" s="120">
        <v>45950.583333333343</v>
      </c>
      <c r="K95" s="119">
        <v>45957.541666666657</v>
      </c>
      <c r="L95" s="120" t="s">
        <v>815</v>
      </c>
      <c r="M95" s="120">
        <v>45980.583333333343</v>
      </c>
      <c r="N95" s="119">
        <v>45981.583333333343</v>
      </c>
      <c r="O95" s="119">
        <v>45996.583333333343</v>
      </c>
      <c r="P95" s="119">
        <v>46006.583333333343</v>
      </c>
      <c r="Q95" s="119">
        <v>46008.583333333343</v>
      </c>
      <c r="R95" s="119">
        <v>46017.541666666657</v>
      </c>
      <c r="S95" s="119" t="s">
        <v>815</v>
      </c>
      <c r="T95" s="119">
        <v>46041.541666666657</v>
      </c>
      <c r="U95" s="120">
        <v>46115.541666666657</v>
      </c>
      <c r="V95" s="121">
        <f t="shared" si="0"/>
        <v>46115.541666666657</v>
      </c>
      <c r="W95" s="122"/>
      <c r="X95" s="122"/>
      <c r="Y95" s="2"/>
    </row>
    <row r="96" spans="1:25" ht="15.75" customHeight="1">
      <c r="A96" s="108" t="s">
        <v>466</v>
      </c>
      <c r="B96" s="108" t="str">
        <f>IFERROR(VLOOKUP(A96&amp;"", STUDENTS!A:B, 2, 0), "")</f>
        <v>NGUYỄN THỊ HỒNG ĐÀO</v>
      </c>
      <c r="C96" s="109" t="s">
        <v>59</v>
      </c>
      <c r="D96" s="109" t="str">
        <f>IFERROR(VLOOKUP(C96, PIC!A:B, 2, 0), "")</f>
        <v>Huong Le</v>
      </c>
      <c r="E96" s="110" t="s">
        <v>21</v>
      </c>
      <c r="F96" s="111">
        <v>45663.583333333343</v>
      </c>
      <c r="G96" s="112" t="s">
        <v>815</v>
      </c>
      <c r="H96" s="112">
        <v>45716.583333333343</v>
      </c>
      <c r="I96" s="111" t="s">
        <v>815</v>
      </c>
      <c r="J96" s="112">
        <v>45768.583333333343</v>
      </c>
      <c r="K96" s="111">
        <v>45782.541666666657</v>
      </c>
      <c r="L96" s="112">
        <v>45806.583333333343</v>
      </c>
      <c r="M96" s="112">
        <v>45810.541666666657</v>
      </c>
      <c r="N96" s="111">
        <v>45824.583333333343</v>
      </c>
      <c r="O96" s="111">
        <v>45852.541666666657</v>
      </c>
      <c r="P96" s="111"/>
      <c r="Q96" s="111"/>
      <c r="R96" s="111"/>
      <c r="S96" s="111"/>
      <c r="T96" s="111"/>
      <c r="U96" s="112"/>
      <c r="V96" s="113">
        <f t="shared" si="0"/>
        <v>45852.541666666657</v>
      </c>
      <c r="W96" s="114"/>
      <c r="X96" s="114"/>
      <c r="Y96" s="2"/>
    </row>
    <row r="97" spans="1:25" ht="15.75" customHeight="1">
      <c r="A97" s="116" t="s">
        <v>466</v>
      </c>
      <c r="B97" s="116" t="str">
        <f>IFERROR(VLOOKUP(A97&amp;"", STUDENTS!A:B, 2, 0), "")</f>
        <v>NGUYỄN THỊ HỒNG ĐÀO</v>
      </c>
      <c r="C97" s="117" t="s">
        <v>59</v>
      </c>
      <c r="D97" s="117" t="str">
        <f>IFERROR(VLOOKUP(C97, PIC!A:B, 2, 0), "")</f>
        <v>Huong Le</v>
      </c>
      <c r="E97" s="118" t="s">
        <v>22</v>
      </c>
      <c r="F97" s="119">
        <v>45915.541666666657</v>
      </c>
      <c r="G97" s="120" t="s">
        <v>815</v>
      </c>
      <c r="H97" s="120" t="s">
        <v>815</v>
      </c>
      <c r="I97" s="119">
        <v>45943.541666666657</v>
      </c>
      <c r="J97" s="120">
        <v>45950.583333333343</v>
      </c>
      <c r="K97" s="119">
        <v>45957.541666666657</v>
      </c>
      <c r="L97" s="120">
        <v>45972.583333333343</v>
      </c>
      <c r="M97" s="120">
        <v>45980.583333333343</v>
      </c>
      <c r="N97" s="119">
        <v>45981.583333333343</v>
      </c>
      <c r="O97" s="119">
        <v>45996.583333333343</v>
      </c>
      <c r="P97" s="119">
        <v>46006.583333333343</v>
      </c>
      <c r="Q97" s="119">
        <v>46008.583333333343</v>
      </c>
      <c r="R97" s="119">
        <v>46017.541666666657</v>
      </c>
      <c r="S97" s="119">
        <v>46021.541666666657</v>
      </c>
      <c r="T97" s="119">
        <v>46041.541666666657</v>
      </c>
      <c r="U97" s="120">
        <v>46115.541666666657</v>
      </c>
      <c r="V97" s="121">
        <f t="shared" si="0"/>
        <v>46115.541666666657</v>
      </c>
      <c r="W97" s="122"/>
      <c r="X97" s="122"/>
      <c r="Y97" s="2"/>
    </row>
    <row r="98" spans="1:25" ht="15.75" customHeight="1">
      <c r="A98" s="108" t="s">
        <v>484</v>
      </c>
      <c r="B98" s="108" t="str">
        <f>IFERROR(VLOOKUP(A98&amp;"", STUDENTS!A:B, 2, 0), "")</f>
        <v>NGUYỄN THÙY GIANG</v>
      </c>
      <c r="C98" s="109" t="s">
        <v>59</v>
      </c>
      <c r="D98" s="109" t="str">
        <f>IFERROR(VLOOKUP(C98, PIC!A:B, 2, 0), "")</f>
        <v>Huong Le</v>
      </c>
      <c r="E98" s="110" t="s">
        <v>21</v>
      </c>
      <c r="F98" s="111">
        <v>45663.583333333343</v>
      </c>
      <c r="G98" s="112">
        <v>45698.583333333343</v>
      </c>
      <c r="H98" s="112" t="s">
        <v>815</v>
      </c>
      <c r="I98" s="111">
        <v>45762.583333333343</v>
      </c>
      <c r="J98" s="112">
        <v>45768.583333333343</v>
      </c>
      <c r="K98" s="111">
        <v>45782.541666666657</v>
      </c>
      <c r="L98" s="112">
        <v>45806.583333333343</v>
      </c>
      <c r="M98" s="112">
        <v>45810.541666666657</v>
      </c>
      <c r="N98" s="111">
        <v>45824.583333333343</v>
      </c>
      <c r="O98" s="111">
        <v>45852.541666666657</v>
      </c>
      <c r="P98" s="111"/>
      <c r="Q98" s="111"/>
      <c r="R98" s="111"/>
      <c r="S98" s="111"/>
      <c r="T98" s="111"/>
      <c r="U98" s="112"/>
      <c r="V98" s="113">
        <f t="shared" si="0"/>
        <v>45852.541666666657</v>
      </c>
      <c r="W98" s="114"/>
      <c r="X98" s="114"/>
      <c r="Y98" s="2"/>
    </row>
    <row r="99" spans="1:25" ht="15.75" customHeight="1">
      <c r="A99" s="116" t="s">
        <v>484</v>
      </c>
      <c r="B99" s="116" t="str">
        <f>IFERROR(VLOOKUP(A99&amp;"", STUDENTS!A:B, 2, 0), "")</f>
        <v>NGUYỄN THÙY GIANG</v>
      </c>
      <c r="C99" s="117" t="s">
        <v>59</v>
      </c>
      <c r="D99" s="117" t="str">
        <f>IFERROR(VLOOKUP(C99, PIC!A:B, 2, 0), "")</f>
        <v>Huong Le</v>
      </c>
      <c r="E99" s="118" t="s">
        <v>22</v>
      </c>
      <c r="F99" s="119">
        <v>45915.541666666657</v>
      </c>
      <c r="G99" s="120">
        <v>45922.583333333343</v>
      </c>
      <c r="H99" s="120">
        <v>45929.541666666657</v>
      </c>
      <c r="I99" s="119" t="s">
        <v>815</v>
      </c>
      <c r="J99" s="120">
        <v>45950.583333333343</v>
      </c>
      <c r="K99" s="119">
        <v>45957.541666666657</v>
      </c>
      <c r="L99" s="120">
        <v>45972.583333333343</v>
      </c>
      <c r="M99" s="120">
        <v>45980.583333333343</v>
      </c>
      <c r="N99" s="119">
        <v>45981.583333333343</v>
      </c>
      <c r="O99" s="119">
        <v>45996.583333333343</v>
      </c>
      <c r="P99" s="119">
        <v>46006.583333333343</v>
      </c>
      <c r="Q99" s="119">
        <v>46008.583333333343</v>
      </c>
      <c r="R99" s="119">
        <v>46017.541666666657</v>
      </c>
      <c r="S99" s="119" t="s">
        <v>815</v>
      </c>
      <c r="T99" s="119" t="s">
        <v>815</v>
      </c>
      <c r="U99" s="120" t="s">
        <v>815</v>
      </c>
      <c r="V99" s="121">
        <f t="shared" si="0"/>
        <v>46017.541666666657</v>
      </c>
      <c r="W99" s="122"/>
      <c r="X99" s="122"/>
      <c r="Y99" s="2"/>
    </row>
    <row r="100" spans="1:25" ht="15.75" customHeight="1">
      <c r="A100" s="108" t="s">
        <v>547</v>
      </c>
      <c r="B100" s="108" t="str">
        <f>IFERROR(VLOOKUP(A100&amp;"", STUDENTS!A:B, 2, 0), "")</f>
        <v>PHẠM THỊ BÍCH THÚY</v>
      </c>
      <c r="C100" s="109" t="s">
        <v>59</v>
      </c>
      <c r="D100" s="109" t="str">
        <f>IFERROR(VLOOKUP(C100, PIC!A:B, 2, 0), "")</f>
        <v>Huong Le</v>
      </c>
      <c r="E100" s="110" t="s">
        <v>22</v>
      </c>
      <c r="F100" s="111">
        <v>45915.541666666657</v>
      </c>
      <c r="G100" s="112">
        <v>45922.583333333343</v>
      </c>
      <c r="H100" s="112">
        <v>45929.541666666657</v>
      </c>
      <c r="I100" s="111" t="s">
        <v>815</v>
      </c>
      <c r="J100" s="112">
        <v>45950.583333333343</v>
      </c>
      <c r="K100" s="111">
        <v>45957.541666666657</v>
      </c>
      <c r="L100" s="112">
        <v>45972.583333333343</v>
      </c>
      <c r="M100" s="112">
        <v>45980.583333333343</v>
      </c>
      <c r="N100" s="111">
        <v>45981.583333333343</v>
      </c>
      <c r="O100" s="111">
        <v>45996.583333333343</v>
      </c>
      <c r="P100" s="111">
        <v>46006.583333333343</v>
      </c>
      <c r="Q100" s="111">
        <v>46008.583333333343</v>
      </c>
      <c r="R100" s="111" t="s">
        <v>815</v>
      </c>
      <c r="S100" s="111">
        <v>46021.541666666657</v>
      </c>
      <c r="T100" s="111">
        <v>46041.541666666657</v>
      </c>
      <c r="U100" s="112">
        <v>46115.541666666657</v>
      </c>
      <c r="V100" s="113">
        <f t="shared" si="0"/>
        <v>46115.541666666657</v>
      </c>
      <c r="W100" s="114"/>
      <c r="X100" s="114"/>
      <c r="Y100" s="2"/>
    </row>
    <row r="101" spans="1:25" ht="15.75" customHeight="1">
      <c r="A101" s="116" t="s">
        <v>140</v>
      </c>
      <c r="B101" s="116" t="str">
        <f>IFERROR(VLOOKUP(A101&amp;"", STUDENTS!A:B, 2, 0), "")</f>
        <v>BÙI HUỲNH TRUNG TÍN</v>
      </c>
      <c r="C101" s="117" t="s">
        <v>60</v>
      </c>
      <c r="D101" s="117" t="str">
        <f>IFERROR(VLOOKUP(C101, PIC!A:B, 2, 0), "")</f>
        <v>Huy Tran 1</v>
      </c>
      <c r="E101" s="118" t="s">
        <v>22</v>
      </c>
      <c r="F101" s="119">
        <v>45853.375</v>
      </c>
      <c r="G101" s="120">
        <v>45853.458333333343</v>
      </c>
      <c r="H101" s="120">
        <v>45888.375</v>
      </c>
      <c r="I101" s="119">
        <v>45895.458333333343</v>
      </c>
      <c r="J101" s="120"/>
      <c r="K101" s="119"/>
      <c r="L101" s="120"/>
      <c r="M101" s="120"/>
      <c r="N101" s="119"/>
      <c r="O101" s="119"/>
      <c r="P101" s="119"/>
      <c r="Q101" s="119"/>
      <c r="R101" s="119"/>
      <c r="S101" s="119"/>
      <c r="T101" s="119"/>
      <c r="U101" s="120"/>
      <c r="V101" s="121">
        <f t="shared" si="0"/>
        <v>45895.458333333343</v>
      </c>
      <c r="W101" s="122"/>
      <c r="X101" s="122"/>
      <c r="Y101" s="2"/>
    </row>
    <row r="102" spans="1:25" ht="15.75" customHeight="1">
      <c r="A102" s="108" t="s">
        <v>216</v>
      </c>
      <c r="B102" s="108" t="str">
        <f>IFERROR(VLOOKUP(A102&amp;"", STUDENTS!A:B, 2, 0), "")</f>
        <v>HOÀNG MINH DUY</v>
      </c>
      <c r="C102" s="109" t="s">
        <v>60</v>
      </c>
      <c r="D102" s="109" t="str">
        <f>IFERROR(VLOOKUP(C102, PIC!A:B, 2, 0), "")</f>
        <v>Huy Tran 1</v>
      </c>
      <c r="E102" s="110" t="s">
        <v>21</v>
      </c>
      <c r="F102" s="111">
        <v>45644.375</v>
      </c>
      <c r="G102" s="112">
        <v>45652.375</v>
      </c>
      <c r="H102" s="112">
        <v>45659.375</v>
      </c>
      <c r="I102" s="111">
        <v>45671.375</v>
      </c>
      <c r="J102" s="112">
        <v>45694.375</v>
      </c>
      <c r="K102" s="111">
        <v>45701.375</v>
      </c>
      <c r="L102" s="112">
        <v>45707.458333333343</v>
      </c>
      <c r="M102" s="112" t="s">
        <v>815</v>
      </c>
      <c r="N102" s="111">
        <v>45762.458333333343</v>
      </c>
      <c r="O102" s="111">
        <v>45799.375</v>
      </c>
      <c r="P102" s="111"/>
      <c r="Q102" s="111"/>
      <c r="R102" s="111"/>
      <c r="S102" s="111"/>
      <c r="T102" s="111"/>
      <c r="U102" s="112"/>
      <c r="V102" s="113">
        <f t="shared" si="0"/>
        <v>45799.375</v>
      </c>
      <c r="W102" s="114"/>
      <c r="X102" s="114"/>
      <c r="Y102" s="2"/>
    </row>
    <row r="103" spans="1:25" ht="15.75" customHeight="1">
      <c r="A103" s="116" t="s">
        <v>216</v>
      </c>
      <c r="B103" s="116" t="str">
        <f>IFERROR(VLOOKUP(A103&amp;"", STUDENTS!A:B, 2, 0), "")</f>
        <v>HOÀNG MINH DUY</v>
      </c>
      <c r="C103" s="117" t="s">
        <v>60</v>
      </c>
      <c r="D103" s="117" t="str">
        <f>IFERROR(VLOOKUP(C103, PIC!A:B, 2, 0), "")</f>
        <v>Huy Tran 1</v>
      </c>
      <c r="E103" s="118" t="s">
        <v>22</v>
      </c>
      <c r="F103" s="119">
        <v>45853.375</v>
      </c>
      <c r="G103" s="120">
        <v>45853.458333333343</v>
      </c>
      <c r="H103" s="120">
        <v>45888.375</v>
      </c>
      <c r="I103" s="119">
        <v>45895.458333333343</v>
      </c>
      <c r="J103" s="120"/>
      <c r="K103" s="119"/>
      <c r="L103" s="120"/>
      <c r="M103" s="120"/>
      <c r="N103" s="119"/>
      <c r="O103" s="119"/>
      <c r="P103" s="119"/>
      <c r="Q103" s="119"/>
      <c r="R103" s="119"/>
      <c r="S103" s="119"/>
      <c r="T103" s="119"/>
      <c r="U103" s="120"/>
      <c r="V103" s="121">
        <f t="shared" si="0"/>
        <v>45895.458333333343</v>
      </c>
      <c r="W103" s="122"/>
      <c r="X103" s="122"/>
      <c r="Y103" s="2"/>
    </row>
    <row r="104" spans="1:25" ht="15.75" customHeight="1">
      <c r="A104" s="108" t="s">
        <v>232</v>
      </c>
      <c r="B104" s="108" t="str">
        <f>IFERROR(VLOOKUP(A104&amp;"", STUDENTS!A:B, 2, 0), "")</f>
        <v>HUỲNH NHẬT DUY</v>
      </c>
      <c r="C104" s="109" t="s">
        <v>60</v>
      </c>
      <c r="D104" s="109" t="str">
        <f>IFERROR(VLOOKUP(C104, PIC!A:B, 2, 0), "")</f>
        <v>Huy Tran 1</v>
      </c>
      <c r="E104" s="110" t="s">
        <v>21</v>
      </c>
      <c r="F104" s="111">
        <v>45644.375</v>
      </c>
      <c r="G104" s="112">
        <v>45652.375</v>
      </c>
      <c r="H104" s="112">
        <v>45659.375</v>
      </c>
      <c r="I104" s="111">
        <v>45671.375</v>
      </c>
      <c r="J104" s="112">
        <v>45694.375</v>
      </c>
      <c r="K104" s="111">
        <v>45701.375</v>
      </c>
      <c r="L104" s="112">
        <v>45707.458333333343</v>
      </c>
      <c r="M104" s="112">
        <v>45715.375</v>
      </c>
      <c r="N104" s="111">
        <v>45762.458333333343</v>
      </c>
      <c r="O104" s="111">
        <v>45799.375</v>
      </c>
      <c r="P104" s="111"/>
      <c r="Q104" s="111"/>
      <c r="R104" s="111"/>
      <c r="S104" s="111"/>
      <c r="T104" s="111"/>
      <c r="U104" s="112"/>
      <c r="V104" s="113">
        <f t="shared" si="0"/>
        <v>45799.375</v>
      </c>
      <c r="W104" s="114"/>
      <c r="X104" s="114"/>
      <c r="Y104" s="2"/>
    </row>
    <row r="105" spans="1:25" ht="15.75" customHeight="1">
      <c r="A105" s="116" t="s">
        <v>232</v>
      </c>
      <c r="B105" s="116" t="str">
        <f>IFERROR(VLOOKUP(A105&amp;"", STUDENTS!A:B, 2, 0), "")</f>
        <v>HUỲNH NHẬT DUY</v>
      </c>
      <c r="C105" s="117" t="s">
        <v>60</v>
      </c>
      <c r="D105" s="117" t="str">
        <f>IFERROR(VLOOKUP(C105, PIC!A:B, 2, 0), "")</f>
        <v>Huy Tran 1</v>
      </c>
      <c r="E105" s="118" t="s">
        <v>22</v>
      </c>
      <c r="F105" s="119">
        <v>45853.375</v>
      </c>
      <c r="G105" s="120">
        <v>45853.458333333343</v>
      </c>
      <c r="H105" s="120">
        <v>45888.375</v>
      </c>
      <c r="I105" s="119">
        <v>45895.458333333343</v>
      </c>
      <c r="J105" s="120"/>
      <c r="K105" s="119"/>
      <c r="L105" s="120"/>
      <c r="M105" s="120"/>
      <c r="N105" s="119"/>
      <c r="O105" s="119"/>
      <c r="P105" s="119"/>
      <c r="Q105" s="119"/>
      <c r="R105" s="119"/>
      <c r="S105" s="119"/>
      <c r="T105" s="119"/>
      <c r="U105" s="120"/>
      <c r="V105" s="121">
        <f t="shared" si="0"/>
        <v>45895.458333333343</v>
      </c>
      <c r="W105" s="122"/>
      <c r="X105" s="122"/>
      <c r="Y105" s="2"/>
    </row>
    <row r="106" spans="1:25" ht="15.75" customHeight="1">
      <c r="A106" s="108" t="s">
        <v>321</v>
      </c>
      <c r="B106" s="108" t="str">
        <f>IFERROR(VLOOKUP(A106&amp;"", STUDENTS!A:B, 2, 0), "")</f>
        <v>MAI THỊ THÙY TRANG</v>
      </c>
      <c r="C106" s="109" t="s">
        <v>60</v>
      </c>
      <c r="D106" s="109" t="str">
        <f>IFERROR(VLOOKUP(C106, PIC!A:B, 2, 0), "")</f>
        <v>Huy Tran 1</v>
      </c>
      <c r="E106" s="110" t="s">
        <v>21</v>
      </c>
      <c r="F106" s="111">
        <v>45644.375</v>
      </c>
      <c r="G106" s="112" t="s">
        <v>815</v>
      </c>
      <c r="H106" s="112">
        <v>45659.375</v>
      </c>
      <c r="I106" s="111">
        <v>45671.375</v>
      </c>
      <c r="J106" s="112">
        <v>45694.375</v>
      </c>
      <c r="K106" s="111">
        <v>45701.375</v>
      </c>
      <c r="L106" s="112">
        <v>45707.458333333343</v>
      </c>
      <c r="M106" s="112">
        <v>45715.375</v>
      </c>
      <c r="N106" s="111">
        <v>45762.458333333343</v>
      </c>
      <c r="O106" s="111">
        <v>45799.375</v>
      </c>
      <c r="P106" s="111"/>
      <c r="Q106" s="111"/>
      <c r="R106" s="111"/>
      <c r="S106" s="111"/>
      <c r="T106" s="111"/>
      <c r="U106" s="112"/>
      <c r="V106" s="113">
        <f t="shared" si="0"/>
        <v>45799.375</v>
      </c>
      <c r="W106" s="114"/>
      <c r="X106" s="114"/>
      <c r="Y106" s="2"/>
    </row>
    <row r="107" spans="1:25" ht="15.75" customHeight="1">
      <c r="A107" s="116" t="s">
        <v>321</v>
      </c>
      <c r="B107" s="116" t="str">
        <f>IFERROR(VLOOKUP(A107&amp;"", STUDENTS!A:B, 2, 0), "")</f>
        <v>MAI THỊ THÙY TRANG</v>
      </c>
      <c r="C107" s="117" t="s">
        <v>60</v>
      </c>
      <c r="D107" s="117" t="str">
        <f>IFERROR(VLOOKUP(C107, PIC!A:B, 2, 0), "")</f>
        <v>Huy Tran 1</v>
      </c>
      <c r="E107" s="118" t="s">
        <v>22</v>
      </c>
      <c r="F107" s="119">
        <v>45853.375</v>
      </c>
      <c r="G107" s="120">
        <v>45853.458333333343</v>
      </c>
      <c r="H107" s="120">
        <v>45888.375</v>
      </c>
      <c r="I107" s="119">
        <v>45895.458333333343</v>
      </c>
      <c r="J107" s="120"/>
      <c r="K107" s="119"/>
      <c r="L107" s="120"/>
      <c r="M107" s="120"/>
      <c r="N107" s="119"/>
      <c r="O107" s="119"/>
      <c r="P107" s="119"/>
      <c r="Q107" s="119"/>
      <c r="R107" s="119"/>
      <c r="S107" s="119"/>
      <c r="T107" s="119"/>
      <c r="U107" s="120"/>
      <c r="V107" s="121">
        <f t="shared" si="0"/>
        <v>45895.458333333343</v>
      </c>
      <c r="W107" s="122"/>
      <c r="X107" s="122"/>
      <c r="Y107" s="2"/>
    </row>
    <row r="108" spans="1:25" ht="15.75" customHeight="1">
      <c r="A108" s="108" t="s">
        <v>340</v>
      </c>
      <c r="B108" s="108" t="str">
        <f>IFERROR(VLOOKUP(A108&amp;"", STUDENTS!A:B, 2, 0), "")</f>
        <v>NGUYỄN CÔNG ĐOÀN</v>
      </c>
      <c r="C108" s="109" t="s">
        <v>60</v>
      </c>
      <c r="D108" s="109" t="str">
        <f>IFERROR(VLOOKUP(C108, PIC!A:B, 2, 0), "")</f>
        <v>Huy Tran 1</v>
      </c>
      <c r="E108" s="110" t="s">
        <v>22</v>
      </c>
      <c r="F108" s="111">
        <v>45853.375</v>
      </c>
      <c r="G108" s="112">
        <v>45853.458333333343</v>
      </c>
      <c r="H108" s="112">
        <v>45888.375</v>
      </c>
      <c r="I108" s="111">
        <v>45895.458333333343</v>
      </c>
      <c r="J108" s="112"/>
      <c r="K108" s="111"/>
      <c r="L108" s="112"/>
      <c r="M108" s="112"/>
      <c r="N108" s="111"/>
      <c r="O108" s="111"/>
      <c r="P108" s="111"/>
      <c r="Q108" s="111"/>
      <c r="R108" s="111"/>
      <c r="S108" s="111"/>
      <c r="T108" s="111"/>
      <c r="U108" s="112"/>
      <c r="V108" s="113">
        <f t="shared" si="0"/>
        <v>45895.458333333343</v>
      </c>
      <c r="W108" s="114"/>
      <c r="X108" s="114"/>
      <c r="Y108" s="2"/>
    </row>
    <row r="109" spans="1:25" ht="15.75" customHeight="1">
      <c r="A109" s="116" t="s">
        <v>395</v>
      </c>
      <c r="B109" s="116" t="str">
        <f>IFERROR(VLOOKUP(A109&amp;"", STUDENTS!A:B, 2, 0), "")</f>
        <v>NGUYỄN KHÁNH UYÊN</v>
      </c>
      <c r="C109" s="117" t="s">
        <v>60</v>
      </c>
      <c r="D109" s="117" t="str">
        <f>IFERROR(VLOOKUP(C109, PIC!A:B, 2, 0), "")</f>
        <v>Huy Tran 1</v>
      </c>
      <c r="E109" s="118" t="s">
        <v>22</v>
      </c>
      <c r="F109" s="119">
        <v>45853.375</v>
      </c>
      <c r="G109" s="120">
        <v>45853.458333333343</v>
      </c>
      <c r="H109" s="120">
        <v>45888.375</v>
      </c>
      <c r="I109" s="119">
        <v>45895.458333333343</v>
      </c>
      <c r="J109" s="120"/>
      <c r="K109" s="119"/>
      <c r="L109" s="120"/>
      <c r="M109" s="120"/>
      <c r="N109" s="119"/>
      <c r="O109" s="119"/>
      <c r="P109" s="119"/>
      <c r="Q109" s="119"/>
      <c r="R109" s="119"/>
      <c r="S109" s="119"/>
      <c r="T109" s="119"/>
      <c r="U109" s="120"/>
      <c r="V109" s="121">
        <f t="shared" si="0"/>
        <v>45895.458333333343</v>
      </c>
      <c r="W109" s="122"/>
      <c r="X109" s="122"/>
      <c r="Y109" s="2"/>
    </row>
    <row r="110" spans="1:25" ht="15.75" customHeight="1">
      <c r="A110" s="108" t="s">
        <v>504</v>
      </c>
      <c r="B110" s="108" t="str">
        <f>IFERROR(VLOOKUP(A110&amp;"", STUDENTS!A:B, 2, 0), "")</f>
        <v>NGUYỄN VĂN ĐỨC</v>
      </c>
      <c r="C110" s="109" t="s">
        <v>60</v>
      </c>
      <c r="D110" s="109" t="str">
        <f>IFERROR(VLOOKUP(C110, PIC!A:B, 2, 0), "")</f>
        <v>Huy Tran 1</v>
      </c>
      <c r="E110" s="110" t="s">
        <v>22</v>
      </c>
      <c r="F110" s="111">
        <v>45853.375</v>
      </c>
      <c r="G110" s="112" t="s">
        <v>815</v>
      </c>
      <c r="H110" s="112" t="s">
        <v>815</v>
      </c>
      <c r="I110" s="111" t="s">
        <v>815</v>
      </c>
      <c r="J110" s="112"/>
      <c r="K110" s="111"/>
      <c r="L110" s="112"/>
      <c r="M110" s="112"/>
      <c r="N110" s="111"/>
      <c r="O110" s="111"/>
      <c r="P110" s="111"/>
      <c r="Q110" s="111"/>
      <c r="R110" s="111"/>
      <c r="S110" s="111"/>
      <c r="T110" s="111"/>
      <c r="U110" s="112"/>
      <c r="V110" s="113">
        <f t="shared" si="0"/>
        <v>45853.375</v>
      </c>
      <c r="W110" s="114"/>
      <c r="X110" s="114"/>
      <c r="Y110" s="2"/>
    </row>
    <row r="111" spans="1:25" ht="15.75" customHeight="1">
      <c r="A111" s="116" t="s">
        <v>583</v>
      </c>
      <c r="B111" s="116" t="str">
        <f>IFERROR(VLOOKUP(A111&amp;"", STUDENTS!A:B, 2, 0), "")</f>
        <v>TĂNG HOÀNG YẾN</v>
      </c>
      <c r="C111" s="117" t="s">
        <v>60</v>
      </c>
      <c r="D111" s="117" t="str">
        <f>IFERROR(VLOOKUP(C111, PIC!A:B, 2, 0), "")</f>
        <v>Huy Tran 1</v>
      </c>
      <c r="E111" s="118" t="s">
        <v>22</v>
      </c>
      <c r="F111" s="119">
        <v>45853.375</v>
      </c>
      <c r="G111" s="120">
        <v>45853.458333333343</v>
      </c>
      <c r="H111" s="120">
        <v>45888.375</v>
      </c>
      <c r="I111" s="119">
        <v>45895.458333333343</v>
      </c>
      <c r="J111" s="120"/>
      <c r="K111" s="119"/>
      <c r="L111" s="120"/>
      <c r="M111" s="120"/>
      <c r="N111" s="119"/>
      <c r="O111" s="119"/>
      <c r="P111" s="119"/>
      <c r="Q111" s="119"/>
      <c r="R111" s="119"/>
      <c r="S111" s="119"/>
      <c r="T111" s="119"/>
      <c r="U111" s="120"/>
      <c r="V111" s="121">
        <f t="shared" si="0"/>
        <v>45895.458333333343</v>
      </c>
      <c r="W111" s="122"/>
      <c r="X111" s="122"/>
      <c r="Y111" s="2"/>
    </row>
    <row r="112" spans="1:25" ht="15.75" customHeight="1">
      <c r="A112" s="108" t="s">
        <v>627</v>
      </c>
      <c r="B112" s="108" t="str">
        <f>IFERROR(VLOOKUP(A112&amp;"", STUDENTS!A:B, 2, 0), "")</f>
        <v>TRẦN NHƯ TRÂM ANH</v>
      </c>
      <c r="C112" s="109" t="s">
        <v>60</v>
      </c>
      <c r="D112" s="109" t="str">
        <f>IFERROR(VLOOKUP(C112, PIC!A:B, 2, 0), "")</f>
        <v>Huy Tran 1</v>
      </c>
      <c r="E112" s="110" t="s">
        <v>21</v>
      </c>
      <c r="F112" s="111">
        <v>45644.375</v>
      </c>
      <c r="G112" s="112">
        <v>45652.375</v>
      </c>
      <c r="H112" s="112">
        <v>45659.375</v>
      </c>
      <c r="I112" s="111">
        <v>45671.375</v>
      </c>
      <c r="J112" s="112">
        <v>45694.375</v>
      </c>
      <c r="K112" s="111">
        <v>45701.375</v>
      </c>
      <c r="L112" s="112">
        <v>45707.458333333343</v>
      </c>
      <c r="M112" s="112">
        <v>45715.375</v>
      </c>
      <c r="N112" s="111">
        <v>45762.458333333343</v>
      </c>
      <c r="O112" s="111">
        <v>45799.375</v>
      </c>
      <c r="P112" s="111"/>
      <c r="Q112" s="111"/>
      <c r="R112" s="111"/>
      <c r="S112" s="111"/>
      <c r="T112" s="111"/>
      <c r="U112" s="112"/>
      <c r="V112" s="113">
        <f t="shared" si="0"/>
        <v>45799.375</v>
      </c>
      <c r="W112" s="114"/>
      <c r="X112" s="114"/>
      <c r="Y112" s="2"/>
    </row>
    <row r="113" spans="1:25" ht="15.75" customHeight="1">
      <c r="A113" s="116" t="s">
        <v>689</v>
      </c>
      <c r="B113" s="116" t="str">
        <f>IFERROR(VLOOKUP(A113&amp;"", STUDENTS!A:B, 2, 0), "")</f>
        <v>VÕ CAO TRÍ</v>
      </c>
      <c r="C113" s="117" t="s">
        <v>60</v>
      </c>
      <c r="D113" s="117" t="str">
        <f>IFERROR(VLOOKUP(C113, PIC!A:B, 2, 0), "")</f>
        <v>Huy Tran 1</v>
      </c>
      <c r="E113" s="118" t="s">
        <v>21</v>
      </c>
      <c r="F113" s="119">
        <v>45644.375</v>
      </c>
      <c r="G113" s="120">
        <v>45652.375</v>
      </c>
      <c r="H113" s="120">
        <v>45659.375</v>
      </c>
      <c r="I113" s="119">
        <v>45671.375</v>
      </c>
      <c r="J113" s="120">
        <v>45694.375</v>
      </c>
      <c r="K113" s="119">
        <v>45701.375</v>
      </c>
      <c r="L113" s="120">
        <v>45707.458333333343</v>
      </c>
      <c r="M113" s="120">
        <v>45715.375</v>
      </c>
      <c r="N113" s="119">
        <v>45762.458333333343</v>
      </c>
      <c r="O113" s="119">
        <v>45799.375</v>
      </c>
      <c r="P113" s="119"/>
      <c r="Q113" s="119"/>
      <c r="R113" s="119"/>
      <c r="S113" s="119"/>
      <c r="T113" s="119"/>
      <c r="U113" s="120"/>
      <c r="V113" s="121">
        <f t="shared" si="0"/>
        <v>45799.375</v>
      </c>
      <c r="W113" s="122"/>
      <c r="X113" s="122"/>
      <c r="Y113" s="2"/>
    </row>
    <row r="114" spans="1:25" ht="15.75" customHeight="1">
      <c r="A114" s="108" t="s">
        <v>140</v>
      </c>
      <c r="B114" s="108" t="str">
        <f>IFERROR(VLOOKUP(A114&amp;"", STUDENTS!A:B, 2, 0), "")</f>
        <v>BÙI HUỲNH TRUNG TÍN</v>
      </c>
      <c r="C114" s="109" t="s">
        <v>61</v>
      </c>
      <c r="D114" s="109" t="str">
        <f>IFERROR(VLOOKUP(C114, PIC!A:B, 2, 0), "")</f>
        <v>Huy Tran 2</v>
      </c>
      <c r="E114" s="110" t="s">
        <v>21</v>
      </c>
      <c r="F114" s="111">
        <v>45644.375</v>
      </c>
      <c r="G114" s="112">
        <v>45652.375</v>
      </c>
      <c r="H114" s="112">
        <v>45666.375</v>
      </c>
      <c r="I114" s="111">
        <v>45692.375</v>
      </c>
      <c r="J114" s="112">
        <v>45700.458333333343</v>
      </c>
      <c r="K114" s="111">
        <v>45708.375</v>
      </c>
      <c r="L114" s="112">
        <v>45714.458333333343</v>
      </c>
      <c r="M114" s="112">
        <v>45756.458333333343</v>
      </c>
      <c r="N114" s="111">
        <v>45762.375</v>
      </c>
      <c r="O114" s="111">
        <v>45799.375</v>
      </c>
      <c r="P114" s="111"/>
      <c r="Q114" s="111"/>
      <c r="R114" s="111"/>
      <c r="S114" s="111"/>
      <c r="T114" s="111"/>
      <c r="U114" s="112"/>
      <c r="V114" s="113">
        <f t="shared" si="0"/>
        <v>45799.375</v>
      </c>
      <c r="W114" s="114"/>
      <c r="X114" s="114"/>
      <c r="Y114" s="2"/>
    </row>
    <row r="115" spans="1:25" ht="15.75" customHeight="1">
      <c r="A115" s="116" t="s">
        <v>340</v>
      </c>
      <c r="B115" s="116" t="str">
        <f>IFERROR(VLOOKUP(A115&amp;"", STUDENTS!A:B, 2, 0), "")</f>
        <v>NGUYỄN CÔNG ĐOÀN</v>
      </c>
      <c r="C115" s="117" t="s">
        <v>61</v>
      </c>
      <c r="D115" s="117" t="str">
        <f>IFERROR(VLOOKUP(C115, PIC!A:B, 2, 0), "")</f>
        <v>Huy Tran 2</v>
      </c>
      <c r="E115" s="118" t="s">
        <v>21</v>
      </c>
      <c r="F115" s="119">
        <v>45644.375</v>
      </c>
      <c r="G115" s="120">
        <v>45652.375</v>
      </c>
      <c r="H115" s="120">
        <v>45666.375</v>
      </c>
      <c r="I115" s="119">
        <v>45692.375</v>
      </c>
      <c r="J115" s="120">
        <v>45700.458333333343</v>
      </c>
      <c r="K115" s="119">
        <v>45708.375</v>
      </c>
      <c r="L115" s="120">
        <v>45714.458333333343</v>
      </c>
      <c r="M115" s="120">
        <v>45756.458333333343</v>
      </c>
      <c r="N115" s="119">
        <v>45762.375</v>
      </c>
      <c r="O115" s="119">
        <v>45799.375</v>
      </c>
      <c r="P115" s="119"/>
      <c r="Q115" s="119"/>
      <c r="R115" s="119"/>
      <c r="S115" s="119"/>
      <c r="T115" s="119"/>
      <c r="U115" s="120"/>
      <c r="V115" s="121">
        <f t="shared" si="0"/>
        <v>45799.375</v>
      </c>
      <c r="W115" s="122"/>
      <c r="X115" s="122"/>
      <c r="Y115" s="2"/>
    </row>
    <row r="116" spans="1:25" ht="15.75" customHeight="1">
      <c r="A116" s="108" t="s">
        <v>395</v>
      </c>
      <c r="B116" s="108" t="str">
        <f>IFERROR(VLOOKUP(A116&amp;"", STUDENTS!A:B, 2, 0), "")</f>
        <v>NGUYỄN KHÁNH UYÊN</v>
      </c>
      <c r="C116" s="109" t="s">
        <v>61</v>
      </c>
      <c r="D116" s="109" t="str">
        <f>IFERROR(VLOOKUP(C116, PIC!A:B, 2, 0), "")</f>
        <v>Huy Tran 2</v>
      </c>
      <c r="E116" s="110" t="s">
        <v>21</v>
      </c>
      <c r="F116" s="111">
        <v>45644.375</v>
      </c>
      <c r="G116" s="112" t="s">
        <v>815</v>
      </c>
      <c r="H116" s="112">
        <v>45666.375</v>
      </c>
      <c r="I116" s="111">
        <v>45692.375</v>
      </c>
      <c r="J116" s="112">
        <v>45700.458333333343</v>
      </c>
      <c r="K116" s="111">
        <v>45708.375</v>
      </c>
      <c r="L116" s="112">
        <v>45714.458333333343</v>
      </c>
      <c r="M116" s="112">
        <v>45756.458333333343</v>
      </c>
      <c r="N116" s="111">
        <v>45762.375</v>
      </c>
      <c r="O116" s="111">
        <v>45799.375</v>
      </c>
      <c r="P116" s="111"/>
      <c r="Q116" s="111"/>
      <c r="R116" s="111"/>
      <c r="S116" s="111"/>
      <c r="T116" s="111"/>
      <c r="U116" s="112"/>
      <c r="V116" s="113">
        <f t="shared" si="0"/>
        <v>45799.375</v>
      </c>
      <c r="W116" s="114"/>
      <c r="X116" s="114"/>
      <c r="Y116" s="2"/>
    </row>
    <row r="117" spans="1:25" ht="15.75" customHeight="1">
      <c r="A117" s="116" t="s">
        <v>504</v>
      </c>
      <c r="B117" s="116" t="str">
        <f>IFERROR(VLOOKUP(A117&amp;"", STUDENTS!A:B, 2, 0), "")</f>
        <v>NGUYỄN VĂN ĐỨC</v>
      </c>
      <c r="C117" s="117" t="s">
        <v>61</v>
      </c>
      <c r="D117" s="117" t="str">
        <f>IFERROR(VLOOKUP(C117, PIC!A:B, 2, 0), "")</f>
        <v>Huy Tran 2</v>
      </c>
      <c r="E117" s="118" t="s">
        <v>21</v>
      </c>
      <c r="F117" s="119">
        <v>45644.375</v>
      </c>
      <c r="G117" s="120">
        <v>45652.375</v>
      </c>
      <c r="H117" s="120">
        <v>45666.375</v>
      </c>
      <c r="I117" s="119">
        <v>45692.375</v>
      </c>
      <c r="J117" s="120">
        <v>45700.458333333343</v>
      </c>
      <c r="K117" s="119" t="s">
        <v>815</v>
      </c>
      <c r="L117" s="120">
        <v>45714.458333333343</v>
      </c>
      <c r="M117" s="120">
        <v>45756.458333333343</v>
      </c>
      <c r="N117" s="119">
        <v>45762.375</v>
      </c>
      <c r="O117" s="119">
        <v>45799.375</v>
      </c>
      <c r="P117" s="119"/>
      <c r="Q117" s="119"/>
      <c r="R117" s="119"/>
      <c r="S117" s="119"/>
      <c r="T117" s="119"/>
      <c r="U117" s="120"/>
      <c r="V117" s="121">
        <f t="shared" si="0"/>
        <v>45799.375</v>
      </c>
      <c r="W117" s="122"/>
      <c r="X117" s="122"/>
      <c r="Y117" s="2"/>
    </row>
    <row r="118" spans="1:25" ht="15.75" customHeight="1">
      <c r="A118" s="108" t="s">
        <v>583</v>
      </c>
      <c r="B118" s="108" t="str">
        <f>IFERROR(VLOOKUP(A118&amp;"", STUDENTS!A:B, 2, 0), "")</f>
        <v>TĂNG HOÀNG YẾN</v>
      </c>
      <c r="C118" s="109" t="s">
        <v>61</v>
      </c>
      <c r="D118" s="109" t="str">
        <f>IFERROR(VLOOKUP(C118, PIC!A:B, 2, 0), "")</f>
        <v>Huy Tran 2</v>
      </c>
      <c r="E118" s="110" t="s">
        <v>21</v>
      </c>
      <c r="F118" s="111">
        <v>45644.375</v>
      </c>
      <c r="G118" s="112">
        <v>45652.375</v>
      </c>
      <c r="H118" s="112">
        <v>45666.375</v>
      </c>
      <c r="I118" s="111">
        <v>45692.375</v>
      </c>
      <c r="J118" s="112">
        <v>45700.458333333343</v>
      </c>
      <c r="K118" s="111">
        <v>45708.375</v>
      </c>
      <c r="L118" s="112">
        <v>45714.458333333343</v>
      </c>
      <c r="M118" s="112">
        <v>45756.458333333343</v>
      </c>
      <c r="N118" s="111">
        <v>45762.375</v>
      </c>
      <c r="O118" s="111">
        <v>45799.375</v>
      </c>
      <c r="P118" s="111"/>
      <c r="Q118" s="111"/>
      <c r="R118" s="111"/>
      <c r="S118" s="111"/>
      <c r="T118" s="111"/>
      <c r="U118" s="112"/>
      <c r="V118" s="113">
        <f t="shared" si="0"/>
        <v>45799.375</v>
      </c>
      <c r="W118" s="114"/>
      <c r="X118" s="114"/>
      <c r="Y118" s="2"/>
    </row>
    <row r="119" spans="1:25" ht="15.75" customHeight="1">
      <c r="A119" s="116" t="s">
        <v>190</v>
      </c>
      <c r="B119" s="116" t="str">
        <f>IFERROR(VLOOKUP(A119&amp;"", STUDENTS!A:B, 2, 0), "")</f>
        <v>ĐOÀN NHẬT QUANG</v>
      </c>
      <c r="C119" s="117" t="s">
        <v>62</v>
      </c>
      <c r="D119" s="117" t="str">
        <f>IFERROR(VLOOKUP(C119, PIC!A:B, 2, 0), "")</f>
        <v>Huyen Vo</v>
      </c>
      <c r="E119" s="118" t="s">
        <v>21</v>
      </c>
      <c r="F119" s="119">
        <v>45646.375</v>
      </c>
      <c r="G119" s="120">
        <v>45653.375</v>
      </c>
      <c r="H119" s="120">
        <v>45673.416666666657</v>
      </c>
      <c r="I119" s="119" t="s">
        <v>815</v>
      </c>
      <c r="J119" s="120">
        <v>45700.583333333343</v>
      </c>
      <c r="K119" s="119">
        <v>45707.583333333343</v>
      </c>
      <c r="L119" s="120">
        <v>45714.583333333343</v>
      </c>
      <c r="M119" s="120">
        <v>45756.375</v>
      </c>
      <c r="N119" s="119">
        <v>45784.375</v>
      </c>
      <c r="O119" s="119"/>
      <c r="P119" s="119"/>
      <c r="Q119" s="119"/>
      <c r="R119" s="119"/>
      <c r="S119" s="119"/>
      <c r="T119" s="119"/>
      <c r="U119" s="120"/>
      <c r="V119" s="121">
        <f t="shared" si="0"/>
        <v>45784.375</v>
      </c>
      <c r="W119" s="122"/>
      <c r="X119" s="122"/>
      <c r="Y119" s="2"/>
    </row>
    <row r="120" spans="1:25" ht="15.75" customHeight="1">
      <c r="A120" s="108" t="s">
        <v>198</v>
      </c>
      <c r="B120" s="108" t="str">
        <f>IFERROR(VLOOKUP(A120&amp;"", STUDENTS!A:B, 2, 0), "")</f>
        <v>DƯƠNG HOÀNG LONG</v>
      </c>
      <c r="C120" s="109" t="s">
        <v>62</v>
      </c>
      <c r="D120" s="109" t="str">
        <f>IFERROR(VLOOKUP(C120, PIC!A:B, 2, 0), "")</f>
        <v>Huyen Vo</v>
      </c>
      <c r="E120" s="110" t="s">
        <v>21</v>
      </c>
      <c r="F120" s="111">
        <v>45646.375</v>
      </c>
      <c r="G120" s="112">
        <v>45653.375</v>
      </c>
      <c r="H120" s="112">
        <v>45673.375</v>
      </c>
      <c r="I120" s="111">
        <v>45680.375</v>
      </c>
      <c r="J120" s="112">
        <v>45700.583333333343</v>
      </c>
      <c r="K120" s="111">
        <v>45707.583333333343</v>
      </c>
      <c r="L120" s="112">
        <v>45714.583333333343</v>
      </c>
      <c r="M120" s="112">
        <v>45756.375</v>
      </c>
      <c r="N120" s="111" t="s">
        <v>815</v>
      </c>
      <c r="O120" s="111"/>
      <c r="P120" s="111"/>
      <c r="Q120" s="111"/>
      <c r="R120" s="111"/>
      <c r="S120" s="111"/>
      <c r="T120" s="111"/>
      <c r="U120" s="112"/>
      <c r="V120" s="113">
        <f t="shared" si="0"/>
        <v>45756.375</v>
      </c>
      <c r="W120" s="114"/>
      <c r="X120" s="114"/>
      <c r="Y120" s="2"/>
    </row>
    <row r="121" spans="1:25" ht="15.75" customHeight="1">
      <c r="A121" s="116" t="s">
        <v>237</v>
      </c>
      <c r="B121" s="116" t="str">
        <f>IFERROR(VLOOKUP(A121&amp;"", STUDENTS!A:B, 2, 0), "")</f>
        <v>HUỲNH TẤN LỘC</v>
      </c>
      <c r="C121" s="117" t="s">
        <v>62</v>
      </c>
      <c r="D121" s="117" t="str">
        <f>IFERROR(VLOOKUP(C121, PIC!A:B, 2, 0), "")</f>
        <v>Huyen Vo</v>
      </c>
      <c r="E121" s="118" t="s">
        <v>21</v>
      </c>
      <c r="F121" s="119">
        <v>45646.375</v>
      </c>
      <c r="G121" s="120">
        <v>45653.375</v>
      </c>
      <c r="H121" s="120">
        <v>45673.416666666657</v>
      </c>
      <c r="I121" s="119">
        <v>45680.416666666657</v>
      </c>
      <c r="J121" s="120">
        <v>45700.583333333343</v>
      </c>
      <c r="K121" s="119">
        <v>45707.583333333343</v>
      </c>
      <c r="L121" s="120" t="s">
        <v>815</v>
      </c>
      <c r="M121" s="120">
        <v>45756.375</v>
      </c>
      <c r="N121" s="119" t="s">
        <v>815</v>
      </c>
      <c r="O121" s="119"/>
      <c r="P121" s="119"/>
      <c r="Q121" s="119"/>
      <c r="R121" s="119"/>
      <c r="S121" s="119"/>
      <c r="T121" s="119"/>
      <c r="U121" s="120"/>
      <c r="V121" s="121">
        <f t="shared" si="0"/>
        <v>45756.375</v>
      </c>
      <c r="W121" s="122"/>
      <c r="X121" s="122"/>
      <c r="Y121" s="2"/>
    </row>
    <row r="122" spans="1:25" ht="15.75" customHeight="1">
      <c r="A122" s="108" t="s">
        <v>249</v>
      </c>
      <c r="B122" s="108" t="str">
        <f>IFERROR(VLOOKUP(A122&amp;"", STUDENTS!A:B, 2, 0), "")</f>
        <v>LẠI MINH HIẾU</v>
      </c>
      <c r="C122" s="109" t="s">
        <v>62</v>
      </c>
      <c r="D122" s="109" t="str">
        <f>IFERROR(VLOOKUP(C122, PIC!A:B, 2, 0), "")</f>
        <v>Huyen Vo</v>
      </c>
      <c r="E122" s="110" t="s">
        <v>21</v>
      </c>
      <c r="F122" s="111">
        <v>45646.375</v>
      </c>
      <c r="G122" s="112">
        <v>45653.375</v>
      </c>
      <c r="H122" s="112">
        <v>45673.375</v>
      </c>
      <c r="I122" s="111" t="s">
        <v>815</v>
      </c>
      <c r="J122" s="112">
        <v>45700.583333333343</v>
      </c>
      <c r="K122" s="111">
        <v>45707.583333333343</v>
      </c>
      <c r="L122" s="112">
        <v>45714.583333333343</v>
      </c>
      <c r="M122" s="112">
        <v>45756.375</v>
      </c>
      <c r="N122" s="111">
        <v>45784.375</v>
      </c>
      <c r="O122" s="111"/>
      <c r="P122" s="111"/>
      <c r="Q122" s="111"/>
      <c r="R122" s="111"/>
      <c r="S122" s="111"/>
      <c r="T122" s="111"/>
      <c r="U122" s="112"/>
      <c r="V122" s="113">
        <f t="shared" si="0"/>
        <v>45784.375</v>
      </c>
      <c r="W122" s="114"/>
      <c r="X122" s="114"/>
      <c r="Y122" s="2"/>
    </row>
    <row r="123" spans="1:25" ht="15.75" customHeight="1">
      <c r="A123" s="116" t="s">
        <v>307</v>
      </c>
      <c r="B123" s="116" t="str">
        <f>IFERROR(VLOOKUP(A123&amp;"", STUDENTS!A:B, 2, 0), "")</f>
        <v>LƯƠNG ANH TUẤN</v>
      </c>
      <c r="C123" s="117" t="s">
        <v>62</v>
      </c>
      <c r="D123" s="117" t="str">
        <f>IFERROR(VLOOKUP(C123, PIC!A:B, 2, 0), "")</f>
        <v>Huyen Vo</v>
      </c>
      <c r="E123" s="118" t="s">
        <v>21</v>
      </c>
      <c r="F123" s="119">
        <v>45646.375</v>
      </c>
      <c r="G123" s="120">
        <v>45653.375</v>
      </c>
      <c r="H123" s="120">
        <v>45673.416666666657</v>
      </c>
      <c r="I123" s="119">
        <v>45680.416666666657</v>
      </c>
      <c r="J123" s="120">
        <v>45694.375</v>
      </c>
      <c r="K123" s="119">
        <v>45701.375</v>
      </c>
      <c r="L123" s="120">
        <v>45708.375</v>
      </c>
      <c r="M123" s="120">
        <v>45756.375</v>
      </c>
      <c r="N123" s="119">
        <v>45784.375</v>
      </c>
      <c r="O123" s="119"/>
      <c r="P123" s="119"/>
      <c r="Q123" s="119"/>
      <c r="R123" s="119"/>
      <c r="S123" s="119"/>
      <c r="T123" s="119"/>
      <c r="U123" s="120"/>
      <c r="V123" s="121">
        <f t="shared" si="0"/>
        <v>45784.375</v>
      </c>
      <c r="W123" s="122"/>
      <c r="X123" s="122"/>
      <c r="Y123" s="2"/>
    </row>
    <row r="124" spans="1:25" ht="15.75" customHeight="1">
      <c r="A124" s="108" t="s">
        <v>376</v>
      </c>
      <c r="B124" s="108" t="str">
        <f>IFERROR(VLOOKUP(A124&amp;"", STUDENTS!A:B, 2, 0), "")</f>
        <v>NGUYỄN HOÀNG HẠ UYÊN</v>
      </c>
      <c r="C124" s="109" t="s">
        <v>62</v>
      </c>
      <c r="D124" s="109" t="str">
        <f>IFERROR(VLOOKUP(C124, PIC!A:B, 2, 0), "")</f>
        <v>Huyen Vo</v>
      </c>
      <c r="E124" s="110" t="s">
        <v>21</v>
      </c>
      <c r="F124" s="111">
        <v>45646.375</v>
      </c>
      <c r="G124" s="112">
        <v>45653.375</v>
      </c>
      <c r="H124" s="112" t="s">
        <v>815</v>
      </c>
      <c r="I124" s="111" t="s">
        <v>815</v>
      </c>
      <c r="J124" s="112">
        <v>45700.583333333343</v>
      </c>
      <c r="K124" s="111">
        <v>45707.583333333343</v>
      </c>
      <c r="L124" s="112" t="s">
        <v>815</v>
      </c>
      <c r="M124" s="112" t="s">
        <v>815</v>
      </c>
      <c r="N124" s="111">
        <v>45784.375</v>
      </c>
      <c r="O124" s="111"/>
      <c r="P124" s="111"/>
      <c r="Q124" s="111"/>
      <c r="R124" s="111"/>
      <c r="S124" s="111"/>
      <c r="T124" s="111"/>
      <c r="U124" s="112"/>
      <c r="V124" s="113">
        <f t="shared" si="0"/>
        <v>45784.375</v>
      </c>
      <c r="W124" s="114"/>
      <c r="X124" s="114"/>
      <c r="Y124" s="2"/>
    </row>
    <row r="125" spans="1:25" ht="15.75" customHeight="1">
      <c r="A125" s="116" t="s">
        <v>387</v>
      </c>
      <c r="B125" s="116" t="str">
        <f>IFERROR(VLOOKUP(A125&amp;"", STUDENTS!A:B, 2, 0), "")</f>
        <v>NGUYỄN HỮU NGHỊ</v>
      </c>
      <c r="C125" s="117" t="s">
        <v>62</v>
      </c>
      <c r="D125" s="117" t="str">
        <f>IFERROR(VLOOKUP(C125, PIC!A:B, 2, 0), "")</f>
        <v>Huyen Vo</v>
      </c>
      <c r="E125" s="118" t="s">
        <v>21</v>
      </c>
      <c r="F125" s="119" t="s">
        <v>815</v>
      </c>
      <c r="G125" s="120">
        <v>45653.375</v>
      </c>
      <c r="H125" s="120">
        <v>45673.375</v>
      </c>
      <c r="I125" s="119">
        <v>45680.375</v>
      </c>
      <c r="J125" s="120">
        <v>45700.583333333343</v>
      </c>
      <c r="K125" s="119">
        <v>45707.583333333343</v>
      </c>
      <c r="L125" s="120">
        <v>45714.583333333343</v>
      </c>
      <c r="M125" s="120">
        <v>45756.375</v>
      </c>
      <c r="N125" s="119">
        <v>45784.375</v>
      </c>
      <c r="O125" s="119"/>
      <c r="P125" s="119"/>
      <c r="Q125" s="119"/>
      <c r="R125" s="119"/>
      <c r="S125" s="119"/>
      <c r="T125" s="119"/>
      <c r="U125" s="120"/>
      <c r="V125" s="121">
        <f t="shared" si="0"/>
        <v>45784.375</v>
      </c>
      <c r="W125" s="122"/>
      <c r="X125" s="122"/>
      <c r="Y125" s="2"/>
    </row>
    <row r="126" spans="1:25" ht="15.75" customHeight="1">
      <c r="A126" s="108" t="s">
        <v>220</v>
      </c>
      <c r="B126" s="108" t="str">
        <f>IFERROR(VLOOKUP(A126&amp;"", STUDENTS!A:B, 2, 0), "")</f>
        <v>HOÀNG NGỌC THẲNG</v>
      </c>
      <c r="C126" s="109" t="s">
        <v>63</v>
      </c>
      <c r="D126" s="109" t="str">
        <f>IFERROR(VLOOKUP(C126, PIC!A:B, 2, 0), "")</f>
        <v>Lanh Le</v>
      </c>
      <c r="E126" s="110" t="s">
        <v>21</v>
      </c>
      <c r="F126" s="111">
        <v>45637.375</v>
      </c>
      <c r="G126" s="112">
        <v>45645.375</v>
      </c>
      <c r="H126" s="112">
        <v>45667.416666666657</v>
      </c>
      <c r="I126" s="111">
        <v>45674.416666666657</v>
      </c>
      <c r="J126" s="112">
        <v>45695.416666666657</v>
      </c>
      <c r="K126" s="111">
        <v>45702.416666666657</v>
      </c>
      <c r="L126" s="112">
        <v>45709.583333333343</v>
      </c>
      <c r="M126" s="112">
        <v>45716.541666666657</v>
      </c>
      <c r="N126" s="111">
        <v>45765.625</v>
      </c>
      <c r="O126" s="111">
        <v>45806.416666666657</v>
      </c>
      <c r="P126" s="111"/>
      <c r="Q126" s="111"/>
      <c r="R126" s="111"/>
      <c r="S126" s="111"/>
      <c r="T126" s="111"/>
      <c r="U126" s="112"/>
      <c r="V126" s="113">
        <f t="shared" si="0"/>
        <v>45806.416666666657</v>
      </c>
      <c r="W126" s="114"/>
      <c r="X126" s="114"/>
      <c r="Y126" s="2"/>
    </row>
    <row r="127" spans="1:25" ht="15.75" customHeight="1">
      <c r="A127" s="116" t="s">
        <v>220</v>
      </c>
      <c r="B127" s="116" t="str">
        <f>IFERROR(VLOOKUP(A127&amp;"", STUDENTS!A:B, 2, 0), "")</f>
        <v>HOÀNG NGỌC THẲNG</v>
      </c>
      <c r="C127" s="117" t="s">
        <v>63</v>
      </c>
      <c r="D127" s="117" t="str">
        <f>IFERROR(VLOOKUP(C127, PIC!A:B, 2, 0), "")</f>
        <v>Lanh Le</v>
      </c>
      <c r="E127" s="118" t="s">
        <v>22</v>
      </c>
      <c r="F127" s="119">
        <v>45841.375</v>
      </c>
      <c r="G127" s="120">
        <v>45849.375</v>
      </c>
      <c r="H127" s="120">
        <v>45862.375</v>
      </c>
      <c r="I127" s="119" t="s">
        <v>815</v>
      </c>
      <c r="J127" s="120">
        <v>45888.416666666657</v>
      </c>
      <c r="K127" s="119">
        <v>45895.416666666657</v>
      </c>
      <c r="L127" s="120">
        <v>45911.458333333343</v>
      </c>
      <c r="M127" s="120">
        <v>45925.416666666657</v>
      </c>
      <c r="N127" s="119" t="s">
        <v>815</v>
      </c>
      <c r="O127" s="119">
        <v>45939.458333333343</v>
      </c>
      <c r="P127" s="119">
        <v>45946.375</v>
      </c>
      <c r="Q127" s="119">
        <v>45961.458333333343</v>
      </c>
      <c r="R127" s="119">
        <v>45967.625</v>
      </c>
      <c r="S127" s="119">
        <v>45974.625</v>
      </c>
      <c r="T127" s="119">
        <v>46006.416666666657</v>
      </c>
      <c r="U127" s="120">
        <v>46045.416666666657</v>
      </c>
      <c r="V127" s="121">
        <f t="shared" si="0"/>
        <v>46045.416666666657</v>
      </c>
      <c r="W127" s="122"/>
      <c r="X127" s="122"/>
      <c r="Y127" s="2"/>
    </row>
    <row r="128" spans="1:25" ht="15.75" customHeight="1">
      <c r="A128" s="108" t="s">
        <v>220</v>
      </c>
      <c r="B128" s="108" t="str">
        <f>IFERROR(VLOOKUP(A128&amp;"", STUDENTS!A:B, 2, 0), "")</f>
        <v>HOÀNG NGỌC THẲNG</v>
      </c>
      <c r="C128" s="109" t="s">
        <v>63</v>
      </c>
      <c r="D128" s="109" t="str">
        <f>IFERROR(VLOOKUP(C128, PIC!A:B, 2, 0), "")</f>
        <v>Lanh Le</v>
      </c>
      <c r="E128" s="110" t="s">
        <v>23</v>
      </c>
      <c r="F128" s="111">
        <v>45729.458333333343</v>
      </c>
      <c r="G128" s="112">
        <v>45743.458333333343</v>
      </c>
      <c r="H128" s="112">
        <v>46113.458333333336</v>
      </c>
      <c r="I128" s="111"/>
      <c r="J128" s="112"/>
      <c r="K128" s="111"/>
      <c r="L128" s="112"/>
      <c r="M128" s="112"/>
      <c r="N128" s="111"/>
      <c r="O128" s="111"/>
      <c r="P128" s="111"/>
      <c r="Q128" s="111"/>
      <c r="R128" s="111"/>
      <c r="S128" s="111"/>
      <c r="T128" s="111"/>
      <c r="U128" s="112"/>
      <c r="V128" s="113">
        <f t="shared" si="0"/>
        <v>46113.458333333336</v>
      </c>
      <c r="W128" s="114"/>
      <c r="X128" s="114"/>
      <c r="Y128" s="2"/>
    </row>
    <row r="129" spans="1:25" ht="15.75" customHeight="1">
      <c r="A129" s="116" t="s">
        <v>234</v>
      </c>
      <c r="B129" s="116" t="str">
        <f>IFERROR(VLOOKUP(A129&amp;"", STUDENTS!A:B, 2, 0), "")</f>
        <v>HUỲNH PHÚC TRƯỜNG</v>
      </c>
      <c r="C129" s="117" t="s">
        <v>63</v>
      </c>
      <c r="D129" s="117" t="str">
        <f>IFERROR(VLOOKUP(C129, PIC!A:B, 2, 0), "")</f>
        <v>Lanh Le</v>
      </c>
      <c r="E129" s="118" t="s">
        <v>21</v>
      </c>
      <c r="F129" s="119">
        <v>45637.375</v>
      </c>
      <c r="G129" s="120">
        <v>45645.375</v>
      </c>
      <c r="H129" s="120">
        <v>45667.416666666657</v>
      </c>
      <c r="I129" s="119">
        <v>45674.416666666657</v>
      </c>
      <c r="J129" s="120">
        <v>45695.416666666657</v>
      </c>
      <c r="K129" s="119">
        <v>45702.416666666657</v>
      </c>
      <c r="L129" s="120">
        <v>45709.583333333343</v>
      </c>
      <c r="M129" s="120">
        <v>45716.541666666657</v>
      </c>
      <c r="N129" s="119">
        <v>45765.625</v>
      </c>
      <c r="O129" s="119">
        <v>45806.416666666657</v>
      </c>
      <c r="P129" s="119"/>
      <c r="Q129" s="119"/>
      <c r="R129" s="119"/>
      <c r="S129" s="119"/>
      <c r="T129" s="119"/>
      <c r="U129" s="120"/>
      <c r="V129" s="121">
        <f t="shared" si="0"/>
        <v>45806.416666666657</v>
      </c>
      <c r="W129" s="122"/>
      <c r="X129" s="122"/>
      <c r="Y129" s="2"/>
    </row>
    <row r="130" spans="1:25" ht="15.75" customHeight="1">
      <c r="A130" s="108" t="s">
        <v>234</v>
      </c>
      <c r="B130" s="108" t="str">
        <f>IFERROR(VLOOKUP(A130&amp;"", STUDENTS!A:B, 2, 0), "")</f>
        <v>HUỲNH PHÚC TRƯỜNG</v>
      </c>
      <c r="C130" s="109" t="s">
        <v>63</v>
      </c>
      <c r="D130" s="109" t="str">
        <f>IFERROR(VLOOKUP(C130, PIC!A:B, 2, 0), "")</f>
        <v>Lanh Le</v>
      </c>
      <c r="E130" s="110" t="s">
        <v>22</v>
      </c>
      <c r="F130" s="111">
        <v>45841.375</v>
      </c>
      <c r="G130" s="112">
        <v>45849.375</v>
      </c>
      <c r="H130" s="112">
        <v>45862.375</v>
      </c>
      <c r="I130" s="111">
        <v>45881.416666666657</v>
      </c>
      <c r="J130" s="112">
        <v>45888.416666666657</v>
      </c>
      <c r="K130" s="111">
        <v>45895.416666666657</v>
      </c>
      <c r="L130" s="112">
        <v>45911.458333333343</v>
      </c>
      <c r="M130" s="112">
        <v>45925.416666666657</v>
      </c>
      <c r="N130" s="111">
        <v>45932.458333333343</v>
      </c>
      <c r="O130" s="111">
        <v>45939.458333333343</v>
      </c>
      <c r="P130" s="111">
        <v>45946.375</v>
      </c>
      <c r="Q130" s="111">
        <v>45961.458333333343</v>
      </c>
      <c r="R130" s="111">
        <v>45967.625</v>
      </c>
      <c r="S130" s="111">
        <v>45974.625</v>
      </c>
      <c r="T130" s="111">
        <v>46006.416666666657</v>
      </c>
      <c r="U130" s="112">
        <v>46045.416666666657</v>
      </c>
      <c r="V130" s="113">
        <f t="shared" si="0"/>
        <v>46045.416666666657</v>
      </c>
      <c r="W130" s="114"/>
      <c r="X130" s="114"/>
      <c r="Y130" s="2"/>
    </row>
    <row r="131" spans="1:25" ht="15.75" customHeight="1">
      <c r="A131" s="116" t="s">
        <v>234</v>
      </c>
      <c r="B131" s="116" t="str">
        <f>IFERROR(VLOOKUP(A131&amp;"", STUDENTS!A:B, 2, 0), "")</f>
        <v>HUỲNH PHÚC TRƯỜNG</v>
      </c>
      <c r="C131" s="117" t="s">
        <v>63</v>
      </c>
      <c r="D131" s="117" t="str">
        <f>IFERROR(VLOOKUP(C131, PIC!A:B, 2, 0), "")</f>
        <v>Lanh Le</v>
      </c>
      <c r="E131" s="118" t="s">
        <v>23</v>
      </c>
      <c r="F131" s="119">
        <v>45729.458333333343</v>
      </c>
      <c r="G131" s="120">
        <v>45743.458333333343</v>
      </c>
      <c r="H131" s="120">
        <v>46113.458333333336</v>
      </c>
      <c r="I131" s="119"/>
      <c r="J131" s="120"/>
      <c r="K131" s="119"/>
      <c r="L131" s="120"/>
      <c r="M131" s="120"/>
      <c r="N131" s="119"/>
      <c r="O131" s="119"/>
      <c r="P131" s="119"/>
      <c r="Q131" s="119"/>
      <c r="R131" s="119"/>
      <c r="S131" s="119"/>
      <c r="T131" s="119"/>
      <c r="U131" s="120"/>
      <c r="V131" s="121">
        <f t="shared" si="0"/>
        <v>46113.458333333336</v>
      </c>
      <c r="W131" s="122"/>
      <c r="X131" s="122"/>
      <c r="Y131" s="2"/>
    </row>
    <row r="132" spans="1:25" ht="15.75" customHeight="1">
      <c r="A132" s="108" t="s">
        <v>298</v>
      </c>
      <c r="B132" s="108" t="str">
        <f>IFERROR(VLOOKUP(A132&amp;"", STUDENTS!A:B, 2, 0), "")</f>
        <v>LÊ TRẦN XUÂN LÃNH</v>
      </c>
      <c r="C132" s="109" t="s">
        <v>63</v>
      </c>
      <c r="D132" s="109" t="str">
        <f>IFERROR(VLOOKUP(C132, PIC!A:B, 2, 0), "")</f>
        <v>Lanh Le</v>
      </c>
      <c r="E132" s="110" t="s">
        <v>21</v>
      </c>
      <c r="F132" s="111">
        <v>45639.375</v>
      </c>
      <c r="G132" s="112">
        <v>45645.375</v>
      </c>
      <c r="H132" s="112">
        <v>45667.416666666657</v>
      </c>
      <c r="I132" s="111">
        <v>45674.416666666657</v>
      </c>
      <c r="J132" s="112">
        <v>45695.416666666657</v>
      </c>
      <c r="K132" s="111">
        <v>45702.416666666657</v>
      </c>
      <c r="L132" s="112" t="s">
        <v>815</v>
      </c>
      <c r="M132" s="112">
        <v>45716.541666666657</v>
      </c>
      <c r="N132" s="111">
        <v>45765.625</v>
      </c>
      <c r="O132" s="111">
        <v>45806.416666666657</v>
      </c>
      <c r="P132" s="111"/>
      <c r="Q132" s="111"/>
      <c r="R132" s="111"/>
      <c r="S132" s="111"/>
      <c r="T132" s="111"/>
      <c r="U132" s="112"/>
      <c r="V132" s="113">
        <f t="shared" si="0"/>
        <v>45806.416666666657</v>
      </c>
      <c r="W132" s="114"/>
      <c r="X132" s="114"/>
      <c r="Y132" s="2"/>
    </row>
    <row r="133" spans="1:25" ht="15.75" customHeight="1">
      <c r="A133" s="116" t="s">
        <v>298</v>
      </c>
      <c r="B133" s="116" t="str">
        <f>IFERROR(VLOOKUP(A133&amp;"", STUDENTS!A:B, 2, 0), "")</f>
        <v>LÊ TRẦN XUÂN LÃNH</v>
      </c>
      <c r="C133" s="117" t="s">
        <v>63</v>
      </c>
      <c r="D133" s="117" t="str">
        <f>IFERROR(VLOOKUP(C133, PIC!A:B, 2, 0), "")</f>
        <v>Lanh Le</v>
      </c>
      <c r="E133" s="118" t="s">
        <v>22</v>
      </c>
      <c r="F133" s="119">
        <v>45841.375</v>
      </c>
      <c r="G133" s="120" t="s">
        <v>815</v>
      </c>
      <c r="H133" s="120">
        <v>45862.375</v>
      </c>
      <c r="I133" s="119">
        <v>45881.416666666657</v>
      </c>
      <c r="J133" s="120">
        <v>45888.416666666657</v>
      </c>
      <c r="K133" s="119">
        <v>45895.416666666657</v>
      </c>
      <c r="L133" s="120">
        <v>45911.458333333343</v>
      </c>
      <c r="M133" s="120" t="s">
        <v>815</v>
      </c>
      <c r="N133" s="119">
        <v>45932.458333333343</v>
      </c>
      <c r="O133" s="119">
        <v>45939.458333333343</v>
      </c>
      <c r="P133" s="119">
        <v>45946.375</v>
      </c>
      <c r="Q133" s="119">
        <v>45961.458333333343</v>
      </c>
      <c r="R133" s="119">
        <v>45967.625</v>
      </c>
      <c r="S133" s="119">
        <v>45974.625</v>
      </c>
      <c r="T133" s="119">
        <v>46006.416666666657</v>
      </c>
      <c r="U133" s="120">
        <v>46045.416666666657</v>
      </c>
      <c r="V133" s="121">
        <f t="shared" si="0"/>
        <v>46045.416666666657</v>
      </c>
      <c r="W133" s="122"/>
      <c r="X133" s="122"/>
      <c r="Y133" s="2"/>
    </row>
    <row r="134" spans="1:25" ht="15.75" customHeight="1">
      <c r="A134" s="108" t="s">
        <v>298</v>
      </c>
      <c r="B134" s="108" t="str">
        <f>IFERROR(VLOOKUP(A134&amp;"", STUDENTS!A:B, 2, 0), "")</f>
        <v>LÊ TRẦN XUÂN LÃNH</v>
      </c>
      <c r="C134" s="109" t="s">
        <v>63</v>
      </c>
      <c r="D134" s="109" t="str">
        <f>IFERROR(VLOOKUP(C134, PIC!A:B, 2, 0), "")</f>
        <v>Lanh Le</v>
      </c>
      <c r="E134" s="110" t="s">
        <v>23</v>
      </c>
      <c r="F134" s="111">
        <v>45729.458333333343</v>
      </c>
      <c r="G134" s="112">
        <v>45743.458333333343</v>
      </c>
      <c r="H134" s="112">
        <v>46113.458333333336</v>
      </c>
      <c r="I134" s="111"/>
      <c r="J134" s="112"/>
      <c r="K134" s="111"/>
      <c r="L134" s="112"/>
      <c r="M134" s="112"/>
      <c r="N134" s="111"/>
      <c r="O134" s="111"/>
      <c r="P134" s="111"/>
      <c r="Q134" s="111"/>
      <c r="R134" s="111"/>
      <c r="S134" s="111"/>
      <c r="T134" s="111"/>
      <c r="U134" s="112"/>
      <c r="V134" s="113">
        <f t="shared" si="0"/>
        <v>46113.458333333336</v>
      </c>
      <c r="W134" s="114"/>
      <c r="X134" s="114"/>
      <c r="Y134" s="2"/>
    </row>
    <row r="135" spans="1:25" ht="15.75" customHeight="1">
      <c r="A135" s="116" t="s">
        <v>438</v>
      </c>
      <c r="B135" s="116" t="str">
        <f>IFERROR(VLOOKUP(A135&amp;"", STUDENTS!A:B, 2, 0), "")</f>
        <v>NGUYỄN QUỐC TUẤN</v>
      </c>
      <c r="C135" s="117" t="s">
        <v>63</v>
      </c>
      <c r="D135" s="117" t="str">
        <f>IFERROR(VLOOKUP(C135, PIC!A:B, 2, 0), "")</f>
        <v>Lanh Le</v>
      </c>
      <c r="E135" s="118" t="s">
        <v>21</v>
      </c>
      <c r="F135" s="119" t="s">
        <v>815</v>
      </c>
      <c r="G135" s="120">
        <v>45645.375</v>
      </c>
      <c r="H135" s="120">
        <v>45667.416666666657</v>
      </c>
      <c r="I135" s="119" t="s">
        <v>815</v>
      </c>
      <c r="J135" s="120">
        <v>45695.416666666657</v>
      </c>
      <c r="K135" s="119">
        <v>45702.416666666657</v>
      </c>
      <c r="L135" s="120">
        <v>45709.583333333343</v>
      </c>
      <c r="M135" s="120">
        <v>45716.541666666657</v>
      </c>
      <c r="N135" s="119">
        <v>45765.625</v>
      </c>
      <c r="O135" s="119">
        <v>45806.416666666657</v>
      </c>
      <c r="P135" s="119"/>
      <c r="Q135" s="119"/>
      <c r="R135" s="119"/>
      <c r="S135" s="119"/>
      <c r="T135" s="119"/>
      <c r="U135" s="120"/>
      <c r="V135" s="121">
        <f t="shared" si="0"/>
        <v>45806.416666666657</v>
      </c>
      <c r="W135" s="122"/>
      <c r="X135" s="122"/>
      <c r="Y135" s="2"/>
    </row>
    <row r="136" spans="1:25" ht="15.75" customHeight="1">
      <c r="A136" s="108" t="s">
        <v>438</v>
      </c>
      <c r="B136" s="108" t="str">
        <f>IFERROR(VLOOKUP(A136&amp;"", STUDENTS!A:B, 2, 0), "")</f>
        <v>NGUYỄN QUỐC TUẤN</v>
      </c>
      <c r="C136" s="109" t="s">
        <v>63</v>
      </c>
      <c r="D136" s="109" t="str">
        <f>IFERROR(VLOOKUP(C136, PIC!A:B, 2, 0), "")</f>
        <v>Lanh Le</v>
      </c>
      <c r="E136" s="110" t="s">
        <v>22</v>
      </c>
      <c r="F136" s="111" t="s">
        <v>815</v>
      </c>
      <c r="G136" s="112">
        <v>45849.375</v>
      </c>
      <c r="H136" s="112">
        <v>45862.375</v>
      </c>
      <c r="I136" s="111">
        <v>45881.416666666657</v>
      </c>
      <c r="J136" s="112">
        <v>45888.416666666657</v>
      </c>
      <c r="K136" s="111">
        <v>45895.416666666657</v>
      </c>
      <c r="L136" s="112" t="s">
        <v>815</v>
      </c>
      <c r="M136" s="112" t="s">
        <v>815</v>
      </c>
      <c r="N136" s="111" t="s">
        <v>815</v>
      </c>
      <c r="O136" s="111" t="s">
        <v>815</v>
      </c>
      <c r="P136" s="111" t="s">
        <v>815</v>
      </c>
      <c r="Q136" s="111" t="s">
        <v>815</v>
      </c>
      <c r="R136" s="111">
        <v>45967.625</v>
      </c>
      <c r="S136" s="111" t="s">
        <v>815</v>
      </c>
      <c r="T136" s="111" t="s">
        <v>815</v>
      </c>
      <c r="U136" s="112" t="s">
        <v>815</v>
      </c>
      <c r="V136" s="113">
        <f t="shared" si="0"/>
        <v>45967.625</v>
      </c>
      <c r="W136" s="114"/>
      <c r="X136" s="114"/>
      <c r="Y136" s="2"/>
    </row>
    <row r="137" spans="1:25" ht="15.75" customHeight="1">
      <c r="A137" s="116" t="s">
        <v>553</v>
      </c>
      <c r="B137" s="116" t="str">
        <f>IFERROR(VLOOKUP(A137&amp;"", STUDENTS!A:B, 2, 0), "")</f>
        <v>PHAN CÔNG TOẠI</v>
      </c>
      <c r="C137" s="117" t="s">
        <v>63</v>
      </c>
      <c r="D137" s="117" t="str">
        <f>IFERROR(VLOOKUP(C137, PIC!A:B, 2, 0), "")</f>
        <v>Lanh Le</v>
      </c>
      <c r="E137" s="118" t="s">
        <v>23</v>
      </c>
      <c r="F137" s="119">
        <v>45729.458333333328</v>
      </c>
      <c r="G137" s="120">
        <v>45743.458333333328</v>
      </c>
      <c r="H137" s="120">
        <v>46113.458333333336</v>
      </c>
      <c r="I137" s="119"/>
      <c r="J137" s="120"/>
      <c r="K137" s="119"/>
      <c r="L137" s="120"/>
      <c r="M137" s="120"/>
      <c r="N137" s="119"/>
      <c r="O137" s="119"/>
      <c r="P137" s="119"/>
      <c r="Q137" s="119"/>
      <c r="R137" s="119"/>
      <c r="S137" s="119"/>
      <c r="T137" s="119"/>
      <c r="U137" s="120"/>
      <c r="V137" s="121">
        <f t="shared" si="0"/>
        <v>46113.458333333336</v>
      </c>
      <c r="W137" s="122"/>
      <c r="X137" s="122"/>
      <c r="Y137" s="2"/>
    </row>
    <row r="138" spans="1:25" ht="15.75" customHeight="1">
      <c r="A138" s="108" t="s">
        <v>599</v>
      </c>
      <c r="B138" s="108" t="str">
        <f>IFERROR(VLOOKUP(A138&amp;"", STUDENTS!A:B, 2, 0), "")</f>
        <v>TRẦN ANH DUY</v>
      </c>
      <c r="C138" s="109" t="s">
        <v>63</v>
      </c>
      <c r="D138" s="109" t="str">
        <f>IFERROR(VLOOKUP(C138, PIC!A:B, 2, 0), "")</f>
        <v>Lanh Le</v>
      </c>
      <c r="E138" s="110" t="s">
        <v>21</v>
      </c>
      <c r="F138" s="111">
        <v>45636.458333333343</v>
      </c>
      <c r="G138" s="112">
        <v>45653.458333333343</v>
      </c>
      <c r="H138" s="112">
        <v>45667.416666666657</v>
      </c>
      <c r="I138" s="111">
        <v>45674.416666666657</v>
      </c>
      <c r="J138" s="112" t="s">
        <v>815</v>
      </c>
      <c r="K138" s="111">
        <v>45702.416666666657</v>
      </c>
      <c r="L138" s="112">
        <v>45709.583333333343</v>
      </c>
      <c r="M138" s="112" t="s">
        <v>815</v>
      </c>
      <c r="N138" s="111" t="s">
        <v>815</v>
      </c>
      <c r="O138" s="111">
        <v>45806.416666666657</v>
      </c>
      <c r="P138" s="111"/>
      <c r="Q138" s="111"/>
      <c r="R138" s="111"/>
      <c r="S138" s="111"/>
      <c r="T138" s="111"/>
      <c r="U138" s="112"/>
      <c r="V138" s="113">
        <f t="shared" si="0"/>
        <v>45806.416666666657</v>
      </c>
      <c r="W138" s="114"/>
      <c r="X138" s="114"/>
      <c r="Y138" s="2"/>
    </row>
    <row r="139" spans="1:25" ht="15.75" customHeight="1">
      <c r="A139" s="116" t="s">
        <v>599</v>
      </c>
      <c r="B139" s="116" t="str">
        <f>IFERROR(VLOOKUP(A139&amp;"", STUDENTS!A:B, 2, 0), "")</f>
        <v>TRẦN ANH DUY</v>
      </c>
      <c r="C139" s="117" t="s">
        <v>63</v>
      </c>
      <c r="D139" s="117" t="str">
        <f>IFERROR(VLOOKUP(C139, PIC!A:B, 2, 0), "")</f>
        <v>Lanh Le</v>
      </c>
      <c r="E139" s="118" t="s">
        <v>22</v>
      </c>
      <c r="F139" s="119">
        <v>45841.375</v>
      </c>
      <c r="G139" s="120">
        <v>45849.375</v>
      </c>
      <c r="H139" s="120">
        <v>45862.375</v>
      </c>
      <c r="I139" s="119">
        <v>45881.416666666657</v>
      </c>
      <c r="J139" s="120">
        <v>45888.416666666657</v>
      </c>
      <c r="K139" s="119">
        <v>45895.416666666657</v>
      </c>
      <c r="L139" s="120">
        <v>45911.458333333343</v>
      </c>
      <c r="M139" s="120">
        <v>45925.416666666657</v>
      </c>
      <c r="N139" s="119">
        <v>45932.458333333343</v>
      </c>
      <c r="O139" s="119" t="s">
        <v>815</v>
      </c>
      <c r="P139" s="119">
        <v>45946.375</v>
      </c>
      <c r="Q139" s="119">
        <v>45961.458333333343</v>
      </c>
      <c r="R139" s="119">
        <v>45967.625</v>
      </c>
      <c r="S139" s="119">
        <v>45974.625</v>
      </c>
      <c r="T139" s="119">
        <v>46006.416666666657</v>
      </c>
      <c r="U139" s="120">
        <v>46045.416666666657</v>
      </c>
      <c r="V139" s="121">
        <f t="shared" si="0"/>
        <v>46045.416666666657</v>
      </c>
      <c r="W139" s="122"/>
      <c r="X139" s="122"/>
      <c r="Y139" s="2"/>
    </row>
    <row r="140" spans="1:25" ht="15.75" customHeight="1">
      <c r="A140" s="108" t="s">
        <v>599</v>
      </c>
      <c r="B140" s="108" t="str">
        <f>IFERROR(VLOOKUP(A140&amp;"", STUDENTS!A:B, 2, 0), "")</f>
        <v>TRẦN ANH DUY</v>
      </c>
      <c r="C140" s="109" t="s">
        <v>63</v>
      </c>
      <c r="D140" s="109" t="str">
        <f>IFERROR(VLOOKUP(C140, PIC!A:B, 2, 0), "")</f>
        <v>Lanh Le</v>
      </c>
      <c r="E140" s="110" t="s">
        <v>23</v>
      </c>
      <c r="F140" s="111">
        <v>45729.458333333328</v>
      </c>
      <c r="G140" s="112">
        <v>45743.458333333328</v>
      </c>
      <c r="H140" s="112">
        <v>46113.458333333336</v>
      </c>
      <c r="I140" s="111"/>
      <c r="J140" s="112"/>
      <c r="K140" s="111"/>
      <c r="L140" s="112"/>
      <c r="M140" s="112"/>
      <c r="N140" s="111"/>
      <c r="O140" s="111"/>
      <c r="P140" s="111"/>
      <c r="Q140" s="111"/>
      <c r="R140" s="111"/>
      <c r="S140" s="111"/>
      <c r="T140" s="111"/>
      <c r="U140" s="112"/>
      <c r="V140" s="113">
        <f t="shared" si="0"/>
        <v>46113.458333333336</v>
      </c>
      <c r="W140" s="114"/>
      <c r="X140" s="114"/>
      <c r="Y140" s="2"/>
    </row>
    <row r="141" spans="1:25" ht="15.75" customHeight="1">
      <c r="A141" s="116" t="s">
        <v>611</v>
      </c>
      <c r="B141" s="116" t="str">
        <f>IFERROR(VLOOKUP(A141&amp;"", STUDENTS!A:B, 2, 0), "")</f>
        <v>TRẦN DƯƠNG HOÀN MỸ</v>
      </c>
      <c r="C141" s="123" t="s">
        <v>63</v>
      </c>
      <c r="D141" s="117" t="str">
        <f>IFERROR(VLOOKUP(C141, PIC!A:B, 2, 0), "")</f>
        <v>Lanh Le</v>
      </c>
      <c r="E141" s="118" t="s">
        <v>21</v>
      </c>
      <c r="F141" s="119">
        <v>45639.375</v>
      </c>
      <c r="G141" s="120">
        <v>45645.375</v>
      </c>
      <c r="H141" s="120">
        <v>45667.416666666657</v>
      </c>
      <c r="I141" s="119">
        <v>45674.416666666657</v>
      </c>
      <c r="J141" s="120">
        <v>45695.416666666657</v>
      </c>
      <c r="K141" s="119">
        <v>45702.416666666657</v>
      </c>
      <c r="L141" s="120">
        <v>45709.583333333343</v>
      </c>
      <c r="M141" s="120">
        <v>45716.541666666657</v>
      </c>
      <c r="N141" s="119">
        <v>45765.625</v>
      </c>
      <c r="O141" s="119">
        <v>45806.416666666657</v>
      </c>
      <c r="P141" s="119"/>
      <c r="Q141" s="119"/>
      <c r="R141" s="119"/>
      <c r="S141" s="119"/>
      <c r="T141" s="119"/>
      <c r="U141" s="120"/>
      <c r="V141" s="121">
        <f t="shared" si="0"/>
        <v>45806.416666666657</v>
      </c>
      <c r="W141" s="122"/>
      <c r="X141" s="122"/>
      <c r="Y141" s="2"/>
    </row>
    <row r="142" spans="1:25" ht="15.75" customHeight="1">
      <c r="A142" s="108" t="s">
        <v>611</v>
      </c>
      <c r="B142" s="108" t="str">
        <f>IFERROR(VLOOKUP(A142&amp;"", STUDENTS!A:B, 2, 0), "")</f>
        <v>TRẦN DƯƠNG HOÀN MỸ</v>
      </c>
      <c r="C142" s="109" t="s">
        <v>63</v>
      </c>
      <c r="D142" s="109" t="str">
        <f>IFERROR(VLOOKUP(C142, PIC!A:B, 2, 0), "")</f>
        <v>Lanh Le</v>
      </c>
      <c r="E142" s="110" t="s">
        <v>22</v>
      </c>
      <c r="F142" s="111">
        <v>45841.375</v>
      </c>
      <c r="G142" s="112">
        <v>45849.375</v>
      </c>
      <c r="H142" s="112">
        <v>45862.375</v>
      </c>
      <c r="I142" s="111">
        <v>45881.416666666657</v>
      </c>
      <c r="J142" s="112">
        <v>45888.416666666657</v>
      </c>
      <c r="K142" s="111">
        <v>45895.416666666657</v>
      </c>
      <c r="L142" s="112">
        <v>45911.458333333343</v>
      </c>
      <c r="M142" s="112">
        <v>45925.416666666657</v>
      </c>
      <c r="N142" s="111" t="s">
        <v>815</v>
      </c>
      <c r="O142" s="111">
        <v>45939.458333333343</v>
      </c>
      <c r="P142" s="111">
        <v>45946.375</v>
      </c>
      <c r="Q142" s="111" t="s">
        <v>815</v>
      </c>
      <c r="R142" s="111">
        <v>45967.625</v>
      </c>
      <c r="S142" s="111">
        <v>45974.625</v>
      </c>
      <c r="T142" s="111">
        <v>46006.416666666657</v>
      </c>
      <c r="U142" s="112">
        <v>46045.416666666657</v>
      </c>
      <c r="V142" s="113">
        <f t="shared" si="0"/>
        <v>46045.416666666657</v>
      </c>
      <c r="W142" s="114"/>
      <c r="X142" s="114"/>
      <c r="Y142" s="2"/>
    </row>
    <row r="143" spans="1:25" ht="15.75" customHeight="1">
      <c r="A143" s="116" t="s">
        <v>611</v>
      </c>
      <c r="B143" s="116" t="str">
        <f>IFERROR(VLOOKUP(A143&amp;"", STUDENTS!A:B, 2, 0), "")</f>
        <v>TRẦN DƯƠNG HOÀN MỸ</v>
      </c>
      <c r="C143" s="117" t="s">
        <v>63</v>
      </c>
      <c r="D143" s="117" t="str">
        <f>IFERROR(VLOOKUP(C143, PIC!A:B, 2, 0), "")</f>
        <v>Lanh Le</v>
      </c>
      <c r="E143" s="118" t="s">
        <v>23</v>
      </c>
      <c r="F143" s="119">
        <v>45729.458333333328</v>
      </c>
      <c r="G143" s="120">
        <v>45743.458333333328</v>
      </c>
      <c r="H143" s="120">
        <v>46113.458333333336</v>
      </c>
      <c r="I143" s="119"/>
      <c r="J143" s="120"/>
      <c r="K143" s="119"/>
      <c r="L143" s="120"/>
      <c r="M143" s="120"/>
      <c r="N143" s="119"/>
      <c r="O143" s="119"/>
      <c r="P143" s="119"/>
      <c r="Q143" s="119"/>
      <c r="R143" s="119"/>
      <c r="S143" s="119"/>
      <c r="T143" s="119"/>
      <c r="U143" s="120"/>
      <c r="V143" s="121">
        <f t="shared" si="0"/>
        <v>46113.458333333336</v>
      </c>
      <c r="W143" s="122"/>
      <c r="X143" s="122"/>
      <c r="Y143" s="2"/>
    </row>
    <row r="144" spans="1:25" ht="15.75" customHeight="1">
      <c r="A144" s="108" t="s">
        <v>317</v>
      </c>
      <c r="B144" s="108" t="str">
        <f>IFERROR(VLOOKUP(A144&amp;"", STUDENTS!A:B, 2, 0), "")</f>
        <v>LÝ THỊ BÉ XÍU</v>
      </c>
      <c r="C144" s="109" t="s">
        <v>64</v>
      </c>
      <c r="D144" s="109" t="str">
        <f>IFERROR(VLOOKUP(C144, PIC!A:B, 2, 0), "")</f>
        <v>Thao Vu 1</v>
      </c>
      <c r="E144" s="110" t="s">
        <v>21</v>
      </c>
      <c r="F144" s="111">
        <v>45637.375</v>
      </c>
      <c r="G144" s="112">
        <v>45660.375</v>
      </c>
      <c r="H144" s="112">
        <v>45664.416666666657</v>
      </c>
      <c r="I144" s="111">
        <v>45671.458333333343</v>
      </c>
      <c r="J144" s="112">
        <v>45678.458333333343</v>
      </c>
      <c r="K144" s="111">
        <v>45692.416666666657</v>
      </c>
      <c r="L144" s="112">
        <v>45699.458333333343</v>
      </c>
      <c r="M144" s="112">
        <v>45706.416666666657</v>
      </c>
      <c r="N144" s="111">
        <v>45706.541666666657</v>
      </c>
      <c r="O144" s="111">
        <v>45801.416666666657</v>
      </c>
      <c r="P144" s="111"/>
      <c r="Q144" s="111"/>
      <c r="R144" s="111"/>
      <c r="S144" s="111"/>
      <c r="T144" s="111"/>
      <c r="U144" s="112"/>
      <c r="V144" s="113">
        <f t="shared" si="0"/>
        <v>45801.416666666657</v>
      </c>
      <c r="W144" s="114"/>
      <c r="X144" s="114"/>
      <c r="Y144" s="2"/>
    </row>
    <row r="145" spans="1:25" ht="15.75" customHeight="1">
      <c r="A145" s="116" t="s">
        <v>342</v>
      </c>
      <c r="B145" s="116" t="str">
        <f>IFERROR(VLOOKUP(A145&amp;"", STUDENTS!A:B, 2, 0), "")</f>
        <v>NGUYỄN CÔNG HẬU</v>
      </c>
      <c r="C145" s="117" t="s">
        <v>64</v>
      </c>
      <c r="D145" s="117" t="str">
        <f>IFERROR(VLOOKUP(C145, PIC!A:B, 2, 0), "")</f>
        <v>Thao Vu 1</v>
      </c>
      <c r="E145" s="118" t="s">
        <v>21</v>
      </c>
      <c r="F145" s="119">
        <v>45635.4375</v>
      </c>
      <c r="G145" s="120">
        <v>45660.375</v>
      </c>
      <c r="H145" s="120">
        <v>45664.416666666657</v>
      </c>
      <c r="I145" s="119">
        <v>45671.458333333343</v>
      </c>
      <c r="J145" s="120">
        <v>45678.458333333343</v>
      </c>
      <c r="K145" s="119">
        <v>45692.416666666657</v>
      </c>
      <c r="L145" s="120">
        <v>45699.375</v>
      </c>
      <c r="M145" s="120">
        <v>45706.416666666657</v>
      </c>
      <c r="N145" s="119">
        <v>45713.416666666657</v>
      </c>
      <c r="O145" s="119">
        <v>45801.416666666657</v>
      </c>
      <c r="P145" s="119"/>
      <c r="Q145" s="119"/>
      <c r="R145" s="119"/>
      <c r="S145" s="119"/>
      <c r="T145" s="119"/>
      <c r="U145" s="120"/>
      <c r="V145" s="121">
        <f t="shared" si="0"/>
        <v>45801.416666666657</v>
      </c>
      <c r="W145" s="122"/>
      <c r="X145" s="122"/>
      <c r="Y145" s="2"/>
    </row>
    <row r="146" spans="1:25" ht="15.75" customHeight="1">
      <c r="A146" s="108" t="s">
        <v>370</v>
      </c>
      <c r="B146" s="108" t="str">
        <f>IFERROR(VLOOKUP(A146&amp;"", STUDENTS!A:B, 2, 0), "")</f>
        <v>Nguyen Hoai Nam</v>
      </c>
      <c r="C146" s="109" t="s">
        <v>64</v>
      </c>
      <c r="D146" s="109" t="str">
        <f>IFERROR(VLOOKUP(C146, PIC!A:B, 2, 0), "")</f>
        <v>Thao Vu 1</v>
      </c>
      <c r="E146" s="110" t="s">
        <v>21</v>
      </c>
      <c r="F146" s="111">
        <v>45635.4375</v>
      </c>
      <c r="G146" s="112">
        <v>45660.375</v>
      </c>
      <c r="H146" s="112">
        <v>45664.416666666657</v>
      </c>
      <c r="I146" s="111" t="s">
        <v>815</v>
      </c>
      <c r="J146" s="112">
        <v>45678.458333333343</v>
      </c>
      <c r="K146" s="111">
        <v>45699.375</v>
      </c>
      <c r="L146" s="112" t="s">
        <v>815</v>
      </c>
      <c r="M146" s="112">
        <v>45706.416666666657</v>
      </c>
      <c r="N146" s="111">
        <v>45713.416666666657</v>
      </c>
      <c r="O146" s="111">
        <v>45801.416666666657</v>
      </c>
      <c r="P146" s="111"/>
      <c r="Q146" s="111"/>
      <c r="R146" s="111"/>
      <c r="S146" s="111"/>
      <c r="T146" s="111"/>
      <c r="U146" s="112"/>
      <c r="V146" s="113">
        <f t="shared" si="0"/>
        <v>45801.416666666657</v>
      </c>
      <c r="W146" s="114"/>
      <c r="X146" s="114"/>
      <c r="Y146" s="2"/>
    </row>
    <row r="147" spans="1:25" ht="15.75" customHeight="1">
      <c r="A147" s="116" t="s">
        <v>717</v>
      </c>
      <c r="B147" s="116" t="str">
        <f>IFERROR(VLOOKUP(A147&amp;"", STUDENTS!A:B, 2, 0), "")</f>
        <v>VŨ THANH THẢO</v>
      </c>
      <c r="C147" s="117" t="s">
        <v>64</v>
      </c>
      <c r="D147" s="117" t="str">
        <f>IFERROR(VLOOKUP(C147, PIC!A:B, 2, 0), "")</f>
        <v>Thao Vu 1</v>
      </c>
      <c r="E147" s="118" t="s">
        <v>21</v>
      </c>
      <c r="F147" s="119">
        <v>45635.4375</v>
      </c>
      <c r="G147" s="120">
        <v>45660.375</v>
      </c>
      <c r="H147" s="120">
        <v>45664.416666666657</v>
      </c>
      <c r="I147" s="119">
        <v>45671.458333333343</v>
      </c>
      <c r="J147" s="120">
        <v>45678.458333333343</v>
      </c>
      <c r="K147" s="119">
        <v>45692.416666666657</v>
      </c>
      <c r="L147" s="120">
        <v>45699.375</v>
      </c>
      <c r="M147" s="120">
        <v>45706.416666666657</v>
      </c>
      <c r="N147" s="119">
        <v>45713.416666666657</v>
      </c>
      <c r="O147" s="119">
        <v>45801.416666666657</v>
      </c>
      <c r="P147" s="119"/>
      <c r="Q147" s="119"/>
      <c r="R147" s="119"/>
      <c r="S147" s="119"/>
      <c r="T147" s="119"/>
      <c r="U147" s="120"/>
      <c r="V147" s="121">
        <f t="shared" si="0"/>
        <v>45801.416666666657</v>
      </c>
      <c r="W147" s="122"/>
      <c r="X147" s="122"/>
      <c r="Y147" s="2"/>
    </row>
    <row r="148" spans="1:25" ht="15.75" customHeight="1">
      <c r="A148" s="108">
        <v>213820</v>
      </c>
      <c r="B148" s="108" t="s">
        <v>723</v>
      </c>
      <c r="C148" s="109" t="s">
        <v>64</v>
      </c>
      <c r="D148" s="109" t="s">
        <v>829</v>
      </c>
      <c r="E148" s="110" t="s">
        <v>21</v>
      </c>
      <c r="F148" s="111">
        <v>45635.4375</v>
      </c>
      <c r="G148" s="112">
        <v>45660.375</v>
      </c>
      <c r="H148" s="112">
        <v>45664.416666666657</v>
      </c>
      <c r="I148" s="111">
        <v>45671.458333333343</v>
      </c>
      <c r="J148" s="112">
        <v>45678.458333333343</v>
      </c>
      <c r="K148" s="111">
        <v>45692.416666666657</v>
      </c>
      <c r="L148" s="112">
        <v>45699.375</v>
      </c>
      <c r="M148" s="112">
        <v>45706.416666666657</v>
      </c>
      <c r="N148" s="111">
        <v>45713.416666666657</v>
      </c>
      <c r="O148" s="111">
        <v>45801.416666666657</v>
      </c>
      <c r="P148" s="111"/>
      <c r="Q148" s="111"/>
      <c r="R148" s="111"/>
      <c r="S148" s="111"/>
      <c r="T148" s="111"/>
      <c r="U148" s="112"/>
      <c r="V148" s="114"/>
      <c r="W148" s="114"/>
      <c r="X148" s="114"/>
      <c r="Y148" s="2"/>
    </row>
    <row r="149" spans="1:25" ht="15.75" customHeight="1">
      <c r="A149" s="116" t="s">
        <v>149</v>
      </c>
      <c r="B149" s="116" t="str">
        <f>IFERROR(VLOOKUP(A149&amp;"", STUDENTS!A:B, 2, 0), "")</f>
        <v>Chu Thị Lệ Quỳnh</v>
      </c>
      <c r="C149" s="117" t="s">
        <v>65</v>
      </c>
      <c r="D149" s="117" t="str">
        <f>IFERROR(VLOOKUP(C149, PIC!A:B, 2, 0), "")</f>
        <v>Thao Vu 2</v>
      </c>
      <c r="E149" s="118" t="s">
        <v>21</v>
      </c>
      <c r="F149" s="119" t="s">
        <v>815</v>
      </c>
      <c r="G149" s="120">
        <v>45656.375</v>
      </c>
      <c r="H149" s="120">
        <v>45665.458333333343</v>
      </c>
      <c r="I149" s="119">
        <v>45672.458333333343</v>
      </c>
      <c r="J149" s="120" t="s">
        <v>815</v>
      </c>
      <c r="K149" s="119">
        <v>45694.458333333343</v>
      </c>
      <c r="L149" s="120">
        <v>45699.458333333343</v>
      </c>
      <c r="M149" s="120">
        <v>45706.541666666657</v>
      </c>
      <c r="N149" s="119">
        <v>45713.541666666657</v>
      </c>
      <c r="O149" s="119">
        <v>45801.416666666657</v>
      </c>
      <c r="P149" s="119"/>
      <c r="Q149" s="119"/>
      <c r="R149" s="119"/>
      <c r="S149" s="119"/>
      <c r="T149" s="119"/>
      <c r="U149" s="120"/>
      <c r="V149" s="121">
        <f t="shared" ref="V149:V403" si="1">MAX(F149:U149)</f>
        <v>45801.416666666657</v>
      </c>
      <c r="W149" s="122"/>
      <c r="X149" s="122"/>
      <c r="Y149" s="2"/>
    </row>
    <row r="150" spans="1:25" ht="15.75" customHeight="1">
      <c r="A150" s="108" t="s">
        <v>212</v>
      </c>
      <c r="B150" s="108" t="str">
        <f>IFERROR(VLOOKUP(A150&amp;"", STUDENTS!A:B, 2, 0), "")</f>
        <v>HỒ MẠNH DŨNG</v>
      </c>
      <c r="C150" s="109" t="s">
        <v>65</v>
      </c>
      <c r="D150" s="109" t="str">
        <f>IFERROR(VLOOKUP(C150, PIC!A:B, 2, 0), "")</f>
        <v>Thao Vu 2</v>
      </c>
      <c r="E150" s="110" t="s">
        <v>21</v>
      </c>
      <c r="F150" s="111" t="s">
        <v>815</v>
      </c>
      <c r="G150" s="112">
        <v>45656.375</v>
      </c>
      <c r="H150" s="112">
        <v>45665.458333333343</v>
      </c>
      <c r="I150" s="111">
        <v>45672.458333333343</v>
      </c>
      <c r="J150" s="112">
        <v>45679.458333333343</v>
      </c>
      <c r="K150" s="111">
        <v>45694.458333333343</v>
      </c>
      <c r="L150" s="112">
        <v>45699.458333333343</v>
      </c>
      <c r="M150" s="112">
        <v>45706.541666666657</v>
      </c>
      <c r="N150" s="111">
        <v>45713.541666666657</v>
      </c>
      <c r="O150" s="111">
        <v>45801.416666666657</v>
      </c>
      <c r="P150" s="111"/>
      <c r="Q150" s="111"/>
      <c r="R150" s="111"/>
      <c r="S150" s="111"/>
      <c r="T150" s="111"/>
      <c r="U150" s="112"/>
      <c r="V150" s="113">
        <f t="shared" si="1"/>
        <v>45801.416666666657</v>
      </c>
      <c r="W150" s="114"/>
      <c r="X150" s="114"/>
      <c r="Y150" s="2"/>
    </row>
    <row r="151" spans="1:25" ht="15.75" customHeight="1">
      <c r="A151" s="116" t="s">
        <v>212</v>
      </c>
      <c r="B151" s="116" t="str">
        <f>IFERROR(VLOOKUP(A151&amp;"", STUDENTS!A:B, 2, 0), "")</f>
        <v>HỒ MẠNH DŨNG</v>
      </c>
      <c r="C151" s="117" t="s">
        <v>65</v>
      </c>
      <c r="D151" s="117" t="str">
        <f>IFERROR(VLOOKUP(C151, PIC!A:B, 2, 0), "")</f>
        <v>Thao Vu 2</v>
      </c>
      <c r="E151" s="118" t="s">
        <v>22</v>
      </c>
      <c r="F151" s="119">
        <v>45839.375</v>
      </c>
      <c r="G151" s="120">
        <v>45846.375</v>
      </c>
      <c r="H151" s="120">
        <v>45852.416666666657</v>
      </c>
      <c r="I151" s="119">
        <v>45859.416666666657</v>
      </c>
      <c r="J151" s="120"/>
      <c r="K151" s="119"/>
      <c r="L151" s="120"/>
      <c r="M151" s="120"/>
      <c r="N151" s="119"/>
      <c r="O151" s="119"/>
      <c r="P151" s="119"/>
      <c r="Q151" s="119"/>
      <c r="R151" s="119"/>
      <c r="S151" s="119"/>
      <c r="T151" s="119"/>
      <c r="U151" s="120"/>
      <c r="V151" s="121">
        <f t="shared" si="1"/>
        <v>45859.416666666657</v>
      </c>
      <c r="W151" s="122"/>
      <c r="X151" s="122"/>
      <c r="Y151" s="2"/>
    </row>
    <row r="152" spans="1:25" ht="15.75" customHeight="1">
      <c r="A152" s="108" t="s">
        <v>267</v>
      </c>
      <c r="B152" s="108" t="str">
        <f>IFERROR(VLOOKUP(A152&amp;"", STUDENTS!A:B, 2, 0), "")</f>
        <v>LÊ MINH DUY</v>
      </c>
      <c r="C152" s="109" t="s">
        <v>65</v>
      </c>
      <c r="D152" s="109" t="str">
        <f>IFERROR(VLOOKUP(C152, PIC!A:B, 2, 0), "")</f>
        <v>Thao Vu 2</v>
      </c>
      <c r="E152" s="110" t="s">
        <v>21</v>
      </c>
      <c r="F152" s="111">
        <v>45644.458333333343</v>
      </c>
      <c r="G152" s="112">
        <v>45656.375</v>
      </c>
      <c r="H152" s="112">
        <v>45665.458333333343</v>
      </c>
      <c r="I152" s="111">
        <v>45672.458333333343</v>
      </c>
      <c r="J152" s="112">
        <v>45679.458333333343</v>
      </c>
      <c r="K152" s="111">
        <v>45694.458333333343</v>
      </c>
      <c r="L152" s="112" t="s">
        <v>815</v>
      </c>
      <c r="M152" s="112">
        <v>45706.541666666657</v>
      </c>
      <c r="N152" s="111">
        <v>45713.541666666657</v>
      </c>
      <c r="O152" s="111">
        <v>45801.416666666657</v>
      </c>
      <c r="P152" s="111"/>
      <c r="Q152" s="111"/>
      <c r="R152" s="111"/>
      <c r="S152" s="111"/>
      <c r="T152" s="111"/>
      <c r="U152" s="112"/>
      <c r="V152" s="113">
        <f t="shared" si="1"/>
        <v>45801.416666666657</v>
      </c>
      <c r="W152" s="114"/>
      <c r="X152" s="114"/>
      <c r="Y152" s="2"/>
    </row>
    <row r="153" spans="1:25" ht="15.75" customHeight="1">
      <c r="A153" s="116" t="s">
        <v>267</v>
      </c>
      <c r="B153" s="116" t="str">
        <f>IFERROR(VLOOKUP(A153&amp;"", STUDENTS!A:B, 2, 0), "")</f>
        <v>LÊ MINH DUY</v>
      </c>
      <c r="C153" s="117" t="s">
        <v>65</v>
      </c>
      <c r="D153" s="117" t="str">
        <f>IFERROR(VLOOKUP(C153, PIC!A:B, 2, 0), "")</f>
        <v>Thao Vu 2</v>
      </c>
      <c r="E153" s="118" t="s">
        <v>22</v>
      </c>
      <c r="F153" s="119">
        <v>45839.375</v>
      </c>
      <c r="G153" s="120">
        <v>45846.375</v>
      </c>
      <c r="H153" s="120">
        <v>45852.416666666657</v>
      </c>
      <c r="I153" s="119">
        <v>45859.416666666657</v>
      </c>
      <c r="J153" s="120"/>
      <c r="K153" s="119"/>
      <c r="L153" s="120"/>
      <c r="M153" s="120"/>
      <c r="N153" s="119"/>
      <c r="O153" s="119"/>
      <c r="P153" s="119"/>
      <c r="Q153" s="119"/>
      <c r="R153" s="119"/>
      <c r="S153" s="119"/>
      <c r="T153" s="119"/>
      <c r="U153" s="120"/>
      <c r="V153" s="121">
        <f t="shared" si="1"/>
        <v>45859.416666666657</v>
      </c>
      <c r="W153" s="122"/>
      <c r="X153" s="122"/>
      <c r="Y153" s="2"/>
    </row>
    <row r="154" spans="1:25" ht="15.75" customHeight="1">
      <c r="A154" s="108" t="s">
        <v>413</v>
      </c>
      <c r="B154" s="108" t="str">
        <f>IFERROR(VLOOKUP(A154&amp;"", STUDENTS!A:B, 2, 0), "")</f>
        <v>NGUYỄN NGỌC HOÀNG BẢO TRÂN</v>
      </c>
      <c r="C154" s="109" t="s">
        <v>65</v>
      </c>
      <c r="D154" s="109" t="str">
        <f>IFERROR(VLOOKUP(C154, PIC!A:B, 2, 0), "")</f>
        <v>Thao Vu 2</v>
      </c>
      <c r="E154" s="110" t="s">
        <v>21</v>
      </c>
      <c r="F154" s="111">
        <v>45637.375</v>
      </c>
      <c r="G154" s="112">
        <v>45656.375</v>
      </c>
      <c r="H154" s="112">
        <v>45665.458333333343</v>
      </c>
      <c r="I154" s="111">
        <v>45672.458333333343</v>
      </c>
      <c r="J154" s="112">
        <v>45679.458333333343</v>
      </c>
      <c r="K154" s="111">
        <v>45694.458333333343</v>
      </c>
      <c r="L154" s="112">
        <v>45699.458333333343</v>
      </c>
      <c r="M154" s="112">
        <v>45706.541666666657</v>
      </c>
      <c r="N154" s="111">
        <v>45713.541666666657</v>
      </c>
      <c r="O154" s="111">
        <v>45801.416666666657</v>
      </c>
      <c r="P154" s="111"/>
      <c r="Q154" s="111"/>
      <c r="R154" s="111"/>
      <c r="S154" s="111"/>
      <c r="T154" s="111"/>
      <c r="U154" s="112"/>
      <c r="V154" s="113">
        <f t="shared" si="1"/>
        <v>45801.416666666657</v>
      </c>
      <c r="W154" s="114"/>
      <c r="X154" s="114"/>
      <c r="Y154" s="2"/>
    </row>
    <row r="155" spans="1:25" ht="15.75" customHeight="1">
      <c r="A155" s="116" t="s">
        <v>413</v>
      </c>
      <c r="B155" s="116" t="str">
        <f>IFERROR(VLOOKUP(A155&amp;"", STUDENTS!A:B, 2, 0), "")</f>
        <v>NGUYỄN NGỌC HOÀNG BẢO TRÂN</v>
      </c>
      <c r="C155" s="117" t="s">
        <v>65</v>
      </c>
      <c r="D155" s="117" t="str">
        <f>IFERROR(VLOOKUP(C155, PIC!A:B, 2, 0), "")</f>
        <v>Thao Vu 2</v>
      </c>
      <c r="E155" s="118" t="s">
        <v>22</v>
      </c>
      <c r="F155" s="119">
        <v>45839.375</v>
      </c>
      <c r="G155" s="120">
        <v>45846.375</v>
      </c>
      <c r="H155" s="120">
        <v>45852.416666666657</v>
      </c>
      <c r="I155" s="119">
        <v>45859.416666666657</v>
      </c>
      <c r="J155" s="120"/>
      <c r="K155" s="119"/>
      <c r="L155" s="120"/>
      <c r="M155" s="120"/>
      <c r="N155" s="119"/>
      <c r="O155" s="119"/>
      <c r="P155" s="119"/>
      <c r="Q155" s="119"/>
      <c r="R155" s="119"/>
      <c r="S155" s="119"/>
      <c r="T155" s="119"/>
      <c r="U155" s="120"/>
      <c r="V155" s="121">
        <f t="shared" si="1"/>
        <v>45859.416666666657</v>
      </c>
      <c r="W155" s="122"/>
      <c r="X155" s="122"/>
      <c r="Y155" s="2"/>
    </row>
    <row r="156" spans="1:25" ht="15.75" customHeight="1">
      <c r="A156" s="108" t="s">
        <v>601</v>
      </c>
      <c r="B156" s="108" t="str">
        <f>IFERROR(VLOOKUP(A156&amp;"", STUDENTS!A:B, 2, 0), "")</f>
        <v>TRẦN ĐÌNH AN</v>
      </c>
      <c r="C156" s="109" t="s">
        <v>65</v>
      </c>
      <c r="D156" s="109" t="str">
        <f>IFERROR(VLOOKUP(C156, PIC!A:B, 2, 0), "")</f>
        <v>Thao Vu 2</v>
      </c>
      <c r="E156" s="110" t="s">
        <v>21</v>
      </c>
      <c r="F156" s="111">
        <v>45637.375</v>
      </c>
      <c r="G156" s="112">
        <v>45656.375</v>
      </c>
      <c r="H156" s="112">
        <v>45665.458333333343</v>
      </c>
      <c r="I156" s="111">
        <v>45671.458333333343</v>
      </c>
      <c r="J156" s="112">
        <v>45678.458333333343</v>
      </c>
      <c r="K156" s="111">
        <v>45692.416666666657</v>
      </c>
      <c r="L156" s="112">
        <v>45699.458333333343</v>
      </c>
      <c r="M156" s="112">
        <v>45706.541666666657</v>
      </c>
      <c r="N156" s="111">
        <v>45713.541666666657</v>
      </c>
      <c r="O156" s="111">
        <v>45801.416666666657</v>
      </c>
      <c r="P156" s="111"/>
      <c r="Q156" s="111"/>
      <c r="R156" s="111"/>
      <c r="S156" s="111"/>
      <c r="T156" s="111"/>
      <c r="U156" s="112"/>
      <c r="V156" s="113">
        <f t="shared" si="1"/>
        <v>45801.416666666657</v>
      </c>
      <c r="W156" s="114"/>
      <c r="X156" s="114"/>
      <c r="Y156" s="2"/>
    </row>
    <row r="157" spans="1:25" ht="15.75" customHeight="1">
      <c r="A157" s="116" t="s">
        <v>699</v>
      </c>
      <c r="B157" s="116" t="str">
        <f>IFERROR(VLOOKUP(A157&amp;"", STUDENTS!A:B, 2, 0), "")</f>
        <v>VÕ NGUYỄN DUY ANH</v>
      </c>
      <c r="C157" s="117" t="s">
        <v>65</v>
      </c>
      <c r="D157" s="117" t="str">
        <f>IFERROR(VLOOKUP(C157, PIC!A:B, 2, 0), "")</f>
        <v>Thao Vu 2</v>
      </c>
      <c r="E157" s="118" t="s">
        <v>21</v>
      </c>
      <c r="F157" s="119">
        <v>45644.458333333343</v>
      </c>
      <c r="G157" s="120">
        <v>45656.375</v>
      </c>
      <c r="H157" s="120">
        <v>45665.458333333343</v>
      </c>
      <c r="I157" s="119">
        <v>45672.458333333343</v>
      </c>
      <c r="J157" s="120">
        <v>45679.458333333343</v>
      </c>
      <c r="K157" s="119">
        <v>45694.458333333343</v>
      </c>
      <c r="L157" s="120">
        <v>45699.458333333343</v>
      </c>
      <c r="M157" s="120">
        <v>45706.541666666657</v>
      </c>
      <c r="N157" s="119">
        <v>45713.541666666657</v>
      </c>
      <c r="O157" s="119">
        <v>45801.416666666657</v>
      </c>
      <c r="P157" s="119"/>
      <c r="Q157" s="119"/>
      <c r="R157" s="119"/>
      <c r="S157" s="119"/>
      <c r="T157" s="119"/>
      <c r="U157" s="120"/>
      <c r="V157" s="121">
        <f t="shared" si="1"/>
        <v>45801.416666666657</v>
      </c>
      <c r="W157" s="122"/>
      <c r="X157" s="122"/>
      <c r="Y157" s="2"/>
    </row>
    <row r="158" spans="1:25" ht="15.75" customHeight="1">
      <c r="A158" s="108" t="s">
        <v>699</v>
      </c>
      <c r="B158" s="108" t="str">
        <f>IFERROR(VLOOKUP(A158&amp;"", STUDENTS!A:B, 2, 0), "")</f>
        <v>VÕ NGUYỄN DUY ANH</v>
      </c>
      <c r="C158" s="109" t="s">
        <v>65</v>
      </c>
      <c r="D158" s="109" t="str">
        <f>IFERROR(VLOOKUP(C158, PIC!A:B, 2, 0), "")</f>
        <v>Thao Vu 2</v>
      </c>
      <c r="E158" s="110" t="s">
        <v>22</v>
      </c>
      <c r="F158" s="111">
        <v>45839.375</v>
      </c>
      <c r="G158" s="112">
        <v>45846.375</v>
      </c>
      <c r="H158" s="112">
        <v>45852.416666666657</v>
      </c>
      <c r="I158" s="111">
        <v>45859.416666666657</v>
      </c>
      <c r="J158" s="112"/>
      <c r="K158" s="111"/>
      <c r="L158" s="112"/>
      <c r="M158" s="112"/>
      <c r="N158" s="111"/>
      <c r="O158" s="111"/>
      <c r="P158" s="111"/>
      <c r="Q158" s="111"/>
      <c r="R158" s="111"/>
      <c r="S158" s="111"/>
      <c r="T158" s="111"/>
      <c r="U158" s="112"/>
      <c r="V158" s="113">
        <f t="shared" si="1"/>
        <v>45859.416666666657</v>
      </c>
      <c r="W158" s="114"/>
      <c r="X158" s="114"/>
      <c r="Y158" s="2"/>
    </row>
    <row r="159" spans="1:25" ht="15.75" customHeight="1">
      <c r="A159" s="116" t="s">
        <v>346</v>
      </c>
      <c r="B159" s="116" t="str">
        <f>IFERROR(VLOOKUP(A159&amp;"", STUDENTS!A:B, 2, 0), "")</f>
        <v>NGUYỄN ĐẶNG NGỌC MINH</v>
      </c>
      <c r="C159" s="117" t="s">
        <v>66</v>
      </c>
      <c r="D159" s="117" t="str">
        <f>IFERROR(VLOOKUP(C159, PIC!A:B, 2, 0), "")</f>
        <v>Minh Nguyen</v>
      </c>
      <c r="E159" s="118" t="s">
        <v>21</v>
      </c>
      <c r="F159" s="119">
        <v>45693.458333333343</v>
      </c>
      <c r="G159" s="120">
        <v>45705.583333333343</v>
      </c>
      <c r="H159" s="120">
        <v>45712.583333333343</v>
      </c>
      <c r="I159" s="119"/>
      <c r="J159" s="120"/>
      <c r="K159" s="119"/>
      <c r="L159" s="120"/>
      <c r="M159" s="120"/>
      <c r="N159" s="119"/>
      <c r="O159" s="119"/>
      <c r="P159" s="119"/>
      <c r="Q159" s="119"/>
      <c r="R159" s="119"/>
      <c r="S159" s="119"/>
      <c r="T159" s="119"/>
      <c r="U159" s="120"/>
      <c r="V159" s="121">
        <f t="shared" si="1"/>
        <v>45712.583333333343</v>
      </c>
      <c r="W159" s="122"/>
      <c r="X159" s="122"/>
      <c r="Y159" s="2"/>
    </row>
    <row r="160" spans="1:25" ht="15.75" customHeight="1">
      <c r="A160" s="108" t="s">
        <v>514</v>
      </c>
      <c r="B160" s="108" t="str">
        <f>IFERROR(VLOOKUP(A160&amp;"", STUDENTS!A:B, 2, 0), "")</f>
        <v>NGUYỄN VĂN THÁI</v>
      </c>
      <c r="C160" s="109" t="s">
        <v>66</v>
      </c>
      <c r="D160" s="109" t="str">
        <f>IFERROR(VLOOKUP(C160, PIC!A:B, 2, 0), "")</f>
        <v>Minh Nguyen</v>
      </c>
      <c r="E160" s="110" t="s">
        <v>21</v>
      </c>
      <c r="F160" s="111">
        <v>45693.458333333343</v>
      </c>
      <c r="G160" s="112">
        <v>45705.583333333343</v>
      </c>
      <c r="H160" s="112" t="s">
        <v>815</v>
      </c>
      <c r="I160" s="111"/>
      <c r="J160" s="112"/>
      <c r="K160" s="111"/>
      <c r="L160" s="112"/>
      <c r="M160" s="112"/>
      <c r="N160" s="111"/>
      <c r="O160" s="111"/>
      <c r="P160" s="111"/>
      <c r="Q160" s="111"/>
      <c r="R160" s="111"/>
      <c r="S160" s="111"/>
      <c r="T160" s="111"/>
      <c r="U160" s="112"/>
      <c r="V160" s="113">
        <f t="shared" si="1"/>
        <v>45705.583333333343</v>
      </c>
      <c r="W160" s="114"/>
      <c r="X160" s="114"/>
      <c r="Y160" s="2"/>
    </row>
    <row r="161" spans="1:25" ht="15.75" customHeight="1">
      <c r="A161" s="116" t="s">
        <v>518</v>
      </c>
      <c r="B161" s="116" t="str">
        <f>IFERROR(VLOOKUP(A161&amp;"", STUDENTS!A:B, 2, 0), "")</f>
        <v>ÔNG HOÀI THỊNH</v>
      </c>
      <c r="C161" s="117" t="s">
        <v>66</v>
      </c>
      <c r="D161" s="117" t="str">
        <f>IFERROR(VLOOKUP(C161, PIC!A:B, 2, 0), "")</f>
        <v>Minh Nguyen</v>
      </c>
      <c r="E161" s="118" t="s">
        <v>21</v>
      </c>
      <c r="F161" s="119">
        <v>45693.458333333343</v>
      </c>
      <c r="G161" s="120">
        <v>45705.583333333343</v>
      </c>
      <c r="H161" s="120" t="s">
        <v>815</v>
      </c>
      <c r="I161" s="119"/>
      <c r="J161" s="120"/>
      <c r="K161" s="119"/>
      <c r="L161" s="120"/>
      <c r="M161" s="120"/>
      <c r="N161" s="119"/>
      <c r="O161" s="119"/>
      <c r="P161" s="119"/>
      <c r="Q161" s="119"/>
      <c r="R161" s="119"/>
      <c r="S161" s="119"/>
      <c r="T161" s="119"/>
      <c r="U161" s="120"/>
      <c r="V161" s="121">
        <f t="shared" si="1"/>
        <v>45705.583333333343</v>
      </c>
      <c r="W161" s="122"/>
      <c r="X161" s="122"/>
      <c r="Y161" s="2"/>
    </row>
    <row r="162" spans="1:25" ht="15.75" customHeight="1">
      <c r="A162" s="108" t="s">
        <v>522</v>
      </c>
      <c r="B162" s="108" t="str">
        <f>IFERROR(VLOOKUP(A162&amp;"", STUDENTS!A:B, 2, 0), "")</f>
        <v>PHẠM HỒ LƯỢNG</v>
      </c>
      <c r="C162" s="109" t="s">
        <v>66</v>
      </c>
      <c r="D162" s="109" t="str">
        <f>IFERROR(VLOOKUP(C162, PIC!A:B, 2, 0), "")</f>
        <v>Minh Nguyen</v>
      </c>
      <c r="E162" s="110" t="s">
        <v>21</v>
      </c>
      <c r="F162" s="111">
        <v>45693.458333333343</v>
      </c>
      <c r="G162" s="112">
        <v>45705.583333333343</v>
      </c>
      <c r="H162" s="112">
        <v>45712.583333333343</v>
      </c>
      <c r="I162" s="111"/>
      <c r="J162" s="112"/>
      <c r="K162" s="111"/>
      <c r="L162" s="112"/>
      <c r="M162" s="112"/>
      <c r="N162" s="111"/>
      <c r="O162" s="111"/>
      <c r="P162" s="111"/>
      <c r="Q162" s="111"/>
      <c r="R162" s="111"/>
      <c r="S162" s="111"/>
      <c r="T162" s="111"/>
      <c r="U162" s="112"/>
      <c r="V162" s="113">
        <f t="shared" si="1"/>
        <v>45712.583333333343</v>
      </c>
      <c r="W162" s="114"/>
      <c r="X162" s="114"/>
      <c r="Y162" s="2"/>
    </row>
    <row r="163" spans="1:25" ht="15.75" customHeight="1">
      <c r="A163" s="116" t="s">
        <v>589</v>
      </c>
      <c r="B163" s="116" t="str">
        <f>IFERROR(VLOOKUP(A163&amp;"", STUDENTS!A:B, 2, 0), "")</f>
        <v>THÁI TRẦN HỒNG PHÚC</v>
      </c>
      <c r="C163" s="117" t="s">
        <v>66</v>
      </c>
      <c r="D163" s="117" t="str">
        <f>IFERROR(VLOOKUP(C163, PIC!A:B, 2, 0), "")</f>
        <v>Minh Nguyen</v>
      </c>
      <c r="E163" s="118" t="s">
        <v>21</v>
      </c>
      <c r="F163" s="119">
        <v>45693.458333333343</v>
      </c>
      <c r="G163" s="120">
        <v>45705.583333333343</v>
      </c>
      <c r="H163" s="120" t="s">
        <v>815</v>
      </c>
      <c r="I163" s="119"/>
      <c r="J163" s="120"/>
      <c r="K163" s="119"/>
      <c r="L163" s="120"/>
      <c r="M163" s="120"/>
      <c r="N163" s="119"/>
      <c r="O163" s="119"/>
      <c r="P163" s="119"/>
      <c r="Q163" s="119"/>
      <c r="R163" s="119"/>
      <c r="S163" s="119"/>
      <c r="T163" s="119"/>
      <c r="U163" s="120"/>
      <c r="V163" s="121">
        <f t="shared" si="1"/>
        <v>45705.583333333343</v>
      </c>
      <c r="W163" s="122"/>
      <c r="X163" s="122"/>
      <c r="Y163" s="2"/>
    </row>
    <row r="164" spans="1:25" ht="15.75" customHeight="1">
      <c r="A164" s="108" t="s">
        <v>645</v>
      </c>
      <c r="B164" s="108" t="str">
        <f>IFERROR(VLOOKUP(A164&amp;"", STUDENTS!A:B, 2, 0), "")</f>
        <v>TRẦN THẾ ANH</v>
      </c>
      <c r="C164" s="109" t="s">
        <v>66</v>
      </c>
      <c r="D164" s="109" t="str">
        <f>IFERROR(VLOOKUP(C164, PIC!A:B, 2, 0), "")</f>
        <v>Minh Nguyen</v>
      </c>
      <c r="E164" s="110" t="s">
        <v>21</v>
      </c>
      <c r="F164" s="111">
        <v>45693.458333333343</v>
      </c>
      <c r="G164" s="112">
        <v>45705.583333333343</v>
      </c>
      <c r="H164" s="112">
        <v>45712.583333333343</v>
      </c>
      <c r="I164" s="111"/>
      <c r="J164" s="112"/>
      <c r="K164" s="111"/>
      <c r="L164" s="112"/>
      <c r="M164" s="112"/>
      <c r="N164" s="111"/>
      <c r="O164" s="111"/>
      <c r="P164" s="111"/>
      <c r="Q164" s="111"/>
      <c r="R164" s="111"/>
      <c r="S164" s="111"/>
      <c r="T164" s="111"/>
      <c r="U164" s="112"/>
      <c r="V164" s="113">
        <f t="shared" si="1"/>
        <v>45712.583333333343</v>
      </c>
      <c r="W164" s="114"/>
      <c r="X164" s="114"/>
      <c r="Y164" s="2"/>
    </row>
    <row r="165" spans="1:25" ht="15.75" customHeight="1">
      <c r="A165" s="116" t="s">
        <v>142</v>
      </c>
      <c r="B165" s="116" t="str">
        <f>IFERROR(VLOOKUP(A165&amp;"", STUDENTS!A:B, 2, 0), "")</f>
        <v>BÙI MINH NHẬT</v>
      </c>
      <c r="C165" s="117" t="s">
        <v>67</v>
      </c>
      <c r="D165" s="117" t="str">
        <f>IFERROR(VLOOKUP(C165, PIC!A:B, 2, 0), "")</f>
        <v>Nhat Bui</v>
      </c>
      <c r="E165" s="118" t="s">
        <v>21</v>
      </c>
      <c r="F165" s="119">
        <v>45639.458333333336</v>
      </c>
      <c r="G165" s="120">
        <v>45643.395833333336</v>
      </c>
      <c r="H165" s="120">
        <v>45653.416666666664</v>
      </c>
      <c r="I165" s="119">
        <v>45667.375</v>
      </c>
      <c r="J165" s="120">
        <v>45674.375</v>
      </c>
      <c r="K165" s="119">
        <v>45693.583333333336</v>
      </c>
      <c r="L165" s="120" t="s">
        <v>815</v>
      </c>
      <c r="M165" s="120">
        <v>45707.416666666664</v>
      </c>
      <c r="N165" s="119">
        <v>45714.416666666664</v>
      </c>
      <c r="O165" s="119">
        <v>45769.583333333336</v>
      </c>
      <c r="P165" s="119"/>
      <c r="Q165" s="119"/>
      <c r="R165" s="119"/>
      <c r="S165" s="119"/>
      <c r="T165" s="119"/>
      <c r="U165" s="120"/>
      <c r="V165" s="121">
        <f t="shared" si="1"/>
        <v>45769.583333333336</v>
      </c>
      <c r="W165" s="122"/>
      <c r="X165" s="122"/>
      <c r="Y165" s="2"/>
    </row>
    <row r="166" spans="1:25" ht="15.75" customHeight="1">
      <c r="A166" s="108" t="s">
        <v>204</v>
      </c>
      <c r="B166" s="108" t="str">
        <f>IFERROR(VLOOKUP(A166&amp;"", STUDENTS!A:B, 2, 0), "")</f>
        <v>DƯƠNG THỊ HƯƠNG LAN</v>
      </c>
      <c r="C166" s="109" t="s">
        <v>67</v>
      </c>
      <c r="D166" s="109" t="str">
        <f>IFERROR(VLOOKUP(C166, PIC!A:B, 2, 0), "")</f>
        <v>Nhat Bui</v>
      </c>
      <c r="E166" s="110" t="s">
        <v>21</v>
      </c>
      <c r="F166" s="111">
        <v>45639.458333333336</v>
      </c>
      <c r="G166" s="112" t="s">
        <v>815</v>
      </c>
      <c r="H166" s="112">
        <v>45653.416666666664</v>
      </c>
      <c r="I166" s="111" t="s">
        <v>815</v>
      </c>
      <c r="J166" s="112">
        <v>45674.375</v>
      </c>
      <c r="K166" s="111">
        <v>45693.583333333336</v>
      </c>
      <c r="L166" s="112">
        <v>45698.541666666664</v>
      </c>
      <c r="M166" s="112">
        <v>45707.416666666664</v>
      </c>
      <c r="N166" s="111">
        <v>45714.416666666664</v>
      </c>
      <c r="O166" s="111">
        <v>45769.583333333336</v>
      </c>
      <c r="P166" s="111"/>
      <c r="Q166" s="111"/>
      <c r="R166" s="111"/>
      <c r="S166" s="111"/>
      <c r="T166" s="111"/>
      <c r="U166" s="112"/>
      <c r="V166" s="113">
        <f t="shared" si="1"/>
        <v>45769.583333333336</v>
      </c>
      <c r="W166" s="114"/>
      <c r="X166" s="114"/>
      <c r="Y166" s="2"/>
    </row>
    <row r="167" spans="1:25" ht="15.75" customHeight="1">
      <c r="A167" s="116" t="s">
        <v>222</v>
      </c>
      <c r="B167" s="116" t="str">
        <f>IFERROR(VLOOKUP(A167&amp;"", STUDENTS!A:B, 2, 0), "")</f>
        <v>HOÀNG NHƯ QUỲNH</v>
      </c>
      <c r="C167" s="117" t="s">
        <v>67</v>
      </c>
      <c r="D167" s="117" t="str">
        <f>IFERROR(VLOOKUP(C167, PIC!A:B, 2, 0), "")</f>
        <v>Nhat Bui</v>
      </c>
      <c r="E167" s="118" t="s">
        <v>21</v>
      </c>
      <c r="F167" s="119">
        <v>45639.458333333336</v>
      </c>
      <c r="G167" s="120">
        <v>45643.395833333336</v>
      </c>
      <c r="H167" s="120">
        <v>45653.416666666664</v>
      </c>
      <c r="I167" s="119" t="s">
        <v>815</v>
      </c>
      <c r="J167" s="120" t="s">
        <v>815</v>
      </c>
      <c r="K167" s="119">
        <v>45693.583333333336</v>
      </c>
      <c r="L167" s="120">
        <v>45698.541666666664</v>
      </c>
      <c r="M167" s="120">
        <v>45707.416666666664</v>
      </c>
      <c r="N167" s="119">
        <v>45714.416666666664</v>
      </c>
      <c r="O167" s="119">
        <v>45769.583333333336</v>
      </c>
      <c r="P167" s="119"/>
      <c r="Q167" s="119"/>
      <c r="R167" s="119"/>
      <c r="S167" s="119"/>
      <c r="T167" s="119"/>
      <c r="U167" s="120"/>
      <c r="V167" s="121">
        <f t="shared" si="1"/>
        <v>45769.583333333336</v>
      </c>
      <c r="W167" s="122"/>
      <c r="X167" s="122"/>
      <c r="Y167" s="2"/>
    </row>
    <row r="168" spans="1:25" ht="15.75" customHeight="1">
      <c r="A168" s="108" t="s">
        <v>292</v>
      </c>
      <c r="B168" s="108" t="str">
        <f>IFERROR(VLOOKUP(A168&amp;"", STUDENTS!A:B, 2, 0), "")</f>
        <v>LÊ THỊ LAN ANH</v>
      </c>
      <c r="C168" s="109" t="s">
        <v>67</v>
      </c>
      <c r="D168" s="109" t="str">
        <f>IFERROR(VLOOKUP(C168, PIC!A:B, 2, 0), "")</f>
        <v>Nhat Bui</v>
      </c>
      <c r="E168" s="110" t="s">
        <v>21</v>
      </c>
      <c r="F168" s="111">
        <v>45639.458333333336</v>
      </c>
      <c r="G168" s="112" t="s">
        <v>815</v>
      </c>
      <c r="H168" s="112" t="s">
        <v>815</v>
      </c>
      <c r="I168" s="111">
        <v>45667.375</v>
      </c>
      <c r="J168" s="112">
        <v>45674.375</v>
      </c>
      <c r="K168" s="111">
        <v>45693.583333333336</v>
      </c>
      <c r="L168" s="112">
        <v>45698.541666666664</v>
      </c>
      <c r="M168" s="112">
        <v>45707.416666666664</v>
      </c>
      <c r="N168" s="111" t="s">
        <v>815</v>
      </c>
      <c r="O168" s="111">
        <v>45769.583333333336</v>
      </c>
      <c r="P168" s="111"/>
      <c r="Q168" s="111"/>
      <c r="R168" s="111"/>
      <c r="S168" s="111"/>
      <c r="T168" s="111"/>
      <c r="U168" s="112"/>
      <c r="V168" s="113">
        <f t="shared" si="1"/>
        <v>45769.583333333336</v>
      </c>
      <c r="W168" s="114"/>
      <c r="X168" s="114"/>
      <c r="Y168" s="2"/>
    </row>
    <row r="169" spans="1:25" ht="15.75" customHeight="1">
      <c r="A169" s="116" t="s">
        <v>348</v>
      </c>
      <c r="B169" s="116" t="str">
        <f>IFERROR(VLOOKUP(A169&amp;"", STUDENTS!A:B, 2, 0), "")</f>
        <v>NGUYỄN ĐẠT THỊNH</v>
      </c>
      <c r="C169" s="117" t="s">
        <v>67</v>
      </c>
      <c r="D169" s="117" t="str">
        <f>IFERROR(VLOOKUP(C169, PIC!A:B, 2, 0), "")</f>
        <v>Nhat Bui</v>
      </c>
      <c r="E169" s="118" t="s">
        <v>21</v>
      </c>
      <c r="F169" s="119">
        <v>45639.458333333336</v>
      </c>
      <c r="G169" s="120">
        <v>45643.395833333336</v>
      </c>
      <c r="H169" s="120">
        <v>45653.416666666664</v>
      </c>
      <c r="I169" s="119">
        <v>45667.375</v>
      </c>
      <c r="J169" s="120">
        <v>45674.375</v>
      </c>
      <c r="K169" s="119">
        <v>45693.583333333336</v>
      </c>
      <c r="L169" s="120">
        <v>45698.541666666664</v>
      </c>
      <c r="M169" s="120">
        <v>45707.416666666664</v>
      </c>
      <c r="N169" s="119">
        <v>45714.416666666664</v>
      </c>
      <c r="O169" s="119">
        <v>45769.583333333336</v>
      </c>
      <c r="P169" s="119"/>
      <c r="Q169" s="119"/>
      <c r="R169" s="119"/>
      <c r="S169" s="119"/>
      <c r="T169" s="119"/>
      <c r="U169" s="120"/>
      <c r="V169" s="121">
        <f t="shared" si="1"/>
        <v>45769.583333333336</v>
      </c>
      <c r="W169" s="122"/>
      <c r="X169" s="122"/>
      <c r="Y169" s="2"/>
    </row>
    <row r="170" spans="1:25" ht="15.75" customHeight="1">
      <c r="A170" s="108" t="s">
        <v>480</v>
      </c>
      <c r="B170" s="108" t="str">
        <f>IFERROR(VLOOKUP(A170&amp;"", STUDENTS!A:B, 2, 0), "")</f>
        <v>NGUYỄN THỊ THÙY TRANG</v>
      </c>
      <c r="C170" s="109" t="s">
        <v>67</v>
      </c>
      <c r="D170" s="109" t="str">
        <f>IFERROR(VLOOKUP(C170, PIC!A:B, 2, 0), "")</f>
        <v>Nhat Bui</v>
      </c>
      <c r="E170" s="110" t="s">
        <v>21</v>
      </c>
      <c r="F170" s="111">
        <v>45639.458333333336</v>
      </c>
      <c r="G170" s="112">
        <v>45643.395833333336</v>
      </c>
      <c r="H170" s="112">
        <v>45653.416666666664</v>
      </c>
      <c r="I170" s="111">
        <v>45667.375</v>
      </c>
      <c r="J170" s="112">
        <v>45674.375</v>
      </c>
      <c r="K170" s="111">
        <v>45693.583333333336</v>
      </c>
      <c r="L170" s="112">
        <v>45698.541666666664</v>
      </c>
      <c r="M170" s="112">
        <v>45707.416666666664</v>
      </c>
      <c r="N170" s="111">
        <v>45714.416666666664</v>
      </c>
      <c r="O170" s="111">
        <v>45769.583333333336</v>
      </c>
      <c r="P170" s="111"/>
      <c r="Q170" s="111"/>
      <c r="R170" s="111"/>
      <c r="S170" s="111"/>
      <c r="T170" s="111"/>
      <c r="U170" s="112"/>
      <c r="V170" s="113">
        <f t="shared" si="1"/>
        <v>45769.583333333336</v>
      </c>
      <c r="W170" s="114"/>
      <c r="X170" s="114"/>
      <c r="Y170" s="2"/>
    </row>
    <row r="171" spans="1:25" ht="15.75" customHeight="1">
      <c r="A171" s="116" t="s">
        <v>564</v>
      </c>
      <c r="B171" s="116" t="str">
        <f>IFERROR(VLOOKUP(A171&amp;"", STUDENTS!A:B, 2, 0), "")</f>
        <v>PHAN LÊ HỒNG LEL</v>
      </c>
      <c r="C171" s="117" t="s">
        <v>67</v>
      </c>
      <c r="D171" s="117" t="str">
        <f>IFERROR(VLOOKUP(C171, PIC!A:B, 2, 0), "")</f>
        <v>Nhat Bui</v>
      </c>
      <c r="E171" s="118" t="s">
        <v>21</v>
      </c>
      <c r="F171" s="119">
        <v>45639.458333333336</v>
      </c>
      <c r="G171" s="120">
        <v>45643.395833333336</v>
      </c>
      <c r="H171" s="120">
        <v>45653.416666666664</v>
      </c>
      <c r="I171" s="119" t="s">
        <v>815</v>
      </c>
      <c r="J171" s="120" t="s">
        <v>815</v>
      </c>
      <c r="K171" s="119" t="s">
        <v>815</v>
      </c>
      <c r="L171" s="120" t="s">
        <v>815</v>
      </c>
      <c r="M171" s="120" t="s">
        <v>815</v>
      </c>
      <c r="N171" s="119" t="s">
        <v>815</v>
      </c>
      <c r="O171" s="119" t="s">
        <v>815</v>
      </c>
      <c r="P171" s="119"/>
      <c r="Q171" s="119"/>
      <c r="R171" s="119"/>
      <c r="S171" s="119"/>
      <c r="T171" s="119"/>
      <c r="U171" s="120"/>
      <c r="V171" s="121">
        <f t="shared" si="1"/>
        <v>45653.416666666664</v>
      </c>
      <c r="W171" s="122"/>
      <c r="X171" s="122"/>
      <c r="Y171" s="2"/>
    </row>
    <row r="172" spans="1:25" ht="15.75" customHeight="1">
      <c r="A172" s="108" t="s">
        <v>647</v>
      </c>
      <c r="B172" s="108" t="str">
        <f>IFERROR(VLOOKUP(A172&amp;"", STUDENTS!A:B, 2, 0), "")</f>
        <v>TRẦN THỊ ÁNH NGUYỆT</v>
      </c>
      <c r="C172" s="109" t="s">
        <v>67</v>
      </c>
      <c r="D172" s="109" t="str">
        <f>IFERROR(VLOOKUP(C172, PIC!A:B, 2, 0), "")</f>
        <v>Nhat Bui</v>
      </c>
      <c r="E172" s="110" t="s">
        <v>21</v>
      </c>
      <c r="F172" s="111">
        <v>45639.458333333336</v>
      </c>
      <c r="G172" s="112">
        <v>45643.395833333336</v>
      </c>
      <c r="H172" s="112">
        <v>45653.416666666664</v>
      </c>
      <c r="I172" s="111">
        <v>45667.375</v>
      </c>
      <c r="J172" s="112">
        <v>45674.375</v>
      </c>
      <c r="K172" s="111" t="s">
        <v>815</v>
      </c>
      <c r="L172" s="112">
        <v>45698.541666666664</v>
      </c>
      <c r="M172" s="112" t="s">
        <v>815</v>
      </c>
      <c r="N172" s="111" t="s">
        <v>815</v>
      </c>
      <c r="O172" s="111" t="s">
        <v>815</v>
      </c>
      <c r="P172" s="111"/>
      <c r="Q172" s="111"/>
      <c r="R172" s="111"/>
      <c r="S172" s="111"/>
      <c r="T172" s="111"/>
      <c r="U172" s="112"/>
      <c r="V172" s="113">
        <f t="shared" si="1"/>
        <v>45698.541666666664</v>
      </c>
      <c r="W172" s="114"/>
      <c r="X172" s="114"/>
      <c r="Y172" s="2"/>
    </row>
    <row r="173" spans="1:25" ht="15.75" customHeight="1">
      <c r="A173" s="116" t="s">
        <v>218</v>
      </c>
      <c r="B173" s="116" t="str">
        <f>IFERROR(VLOOKUP(A173&amp;"", STUDENTS!A:B, 2, 0), "")</f>
        <v>HOÀNG NAM VƯƠNG</v>
      </c>
      <c r="C173" s="117" t="s">
        <v>68</v>
      </c>
      <c r="D173" s="117" t="str">
        <f>IFERROR(VLOOKUP(C173, PIC!A:B, 2, 0), "")</f>
        <v>Nhat Phan 1</v>
      </c>
      <c r="E173" s="118" t="s">
        <v>21</v>
      </c>
      <c r="F173" s="119">
        <v>45645.416666666657</v>
      </c>
      <c r="G173" s="120">
        <v>45665.416666666657</v>
      </c>
      <c r="H173" s="120" t="s">
        <v>815</v>
      </c>
      <c r="I173" s="119" t="s">
        <v>815</v>
      </c>
      <c r="J173" s="120">
        <v>45756.416666666657</v>
      </c>
      <c r="K173" s="119">
        <v>45763.416666666657</v>
      </c>
      <c r="L173" s="120">
        <v>45789.416666666657</v>
      </c>
      <c r="M173" s="120">
        <v>45800.416666666657</v>
      </c>
      <c r="N173" s="119">
        <v>45803.375</v>
      </c>
      <c r="O173" s="119">
        <v>45819.416666666657</v>
      </c>
      <c r="P173" s="119">
        <v>45826.416666666657</v>
      </c>
      <c r="Q173" s="119">
        <v>45853.416666666657</v>
      </c>
      <c r="R173" s="119"/>
      <c r="S173" s="119"/>
      <c r="T173" s="119"/>
      <c r="U173" s="120"/>
      <c r="V173" s="121">
        <f t="shared" si="1"/>
        <v>45853.416666666657</v>
      </c>
      <c r="W173" s="122"/>
      <c r="X173" s="122"/>
      <c r="Y173" s="2"/>
    </row>
    <row r="174" spans="1:25" ht="15.75" customHeight="1">
      <c r="A174" s="108" t="s">
        <v>218</v>
      </c>
      <c r="B174" s="108" t="str">
        <f>IFERROR(VLOOKUP(A174&amp;"", STUDENTS!A:B, 2, 0), "")</f>
        <v>HOÀNG NAM VƯƠNG</v>
      </c>
      <c r="C174" s="109" t="s">
        <v>68</v>
      </c>
      <c r="D174" s="109" t="str">
        <f>IFERROR(VLOOKUP(C174, PIC!A:B, 2, 0), "")</f>
        <v>Nhat Phan 1</v>
      </c>
      <c r="E174" s="110" t="s">
        <v>22</v>
      </c>
      <c r="F174" s="111">
        <v>45887.375</v>
      </c>
      <c r="G174" s="112" t="s">
        <v>815</v>
      </c>
      <c r="H174" s="112">
        <v>45912.583333333343</v>
      </c>
      <c r="I174" s="111">
        <v>45915.583333333343</v>
      </c>
      <c r="J174" s="112">
        <v>45922.625</v>
      </c>
      <c r="K174" s="111">
        <v>45926.583333333343</v>
      </c>
      <c r="L174" s="112">
        <v>45940.625</v>
      </c>
      <c r="M174" s="112">
        <v>45943.625</v>
      </c>
      <c r="N174" s="111">
        <v>45950.625</v>
      </c>
      <c r="O174" s="111">
        <v>45957.625</v>
      </c>
      <c r="P174" s="111">
        <v>46007.625</v>
      </c>
      <c r="Q174" s="111">
        <v>46021.583333333343</v>
      </c>
      <c r="R174" s="111"/>
      <c r="S174" s="111"/>
      <c r="T174" s="111"/>
      <c r="U174" s="112"/>
      <c r="V174" s="113">
        <f t="shared" si="1"/>
        <v>46021.583333333343</v>
      </c>
      <c r="W174" s="114"/>
      <c r="X174" s="114"/>
      <c r="Y174" s="2"/>
    </row>
    <row r="175" spans="1:25" ht="15.75" customHeight="1">
      <c r="A175" s="116" t="s">
        <v>323</v>
      </c>
      <c r="B175" s="116" t="str">
        <f>IFERROR(VLOOKUP(A175&amp;"", STUDENTS!A:B, 2, 0), "")</f>
        <v>NGÔ MINH HIẾU</v>
      </c>
      <c r="C175" s="117" t="s">
        <v>68</v>
      </c>
      <c r="D175" s="117" t="str">
        <f>IFERROR(VLOOKUP(C175, PIC!A:B, 2, 0), "")</f>
        <v>Nhat Phan 1</v>
      </c>
      <c r="E175" s="118" t="s">
        <v>22</v>
      </c>
      <c r="F175" s="119">
        <v>45887.375</v>
      </c>
      <c r="G175" s="120">
        <v>45894.458333333343</v>
      </c>
      <c r="H175" s="120">
        <v>45912.583333333343</v>
      </c>
      <c r="I175" s="119">
        <v>45915.583333333343</v>
      </c>
      <c r="J175" s="120">
        <v>45922.625</v>
      </c>
      <c r="K175" s="119">
        <v>45926.583333333343</v>
      </c>
      <c r="L175" s="120" t="s">
        <v>815</v>
      </c>
      <c r="M175" s="120">
        <v>45943.625</v>
      </c>
      <c r="N175" s="119">
        <v>45950.625</v>
      </c>
      <c r="O175" s="119">
        <v>45957.625</v>
      </c>
      <c r="P175" s="119">
        <v>46007.625</v>
      </c>
      <c r="Q175" s="119">
        <v>46021.583333333343</v>
      </c>
      <c r="R175" s="119"/>
      <c r="S175" s="119"/>
      <c r="T175" s="119"/>
      <c r="U175" s="120"/>
      <c r="V175" s="121">
        <f t="shared" si="1"/>
        <v>46021.583333333343</v>
      </c>
      <c r="W175" s="122"/>
      <c r="X175" s="122"/>
      <c r="Y175" s="2"/>
    </row>
    <row r="176" spans="1:25" ht="15.75" customHeight="1">
      <c r="A176" s="108" t="s">
        <v>374</v>
      </c>
      <c r="B176" s="108" t="str">
        <f>IFERROR(VLOOKUP(A176&amp;"", STUDENTS!A:B, 2, 0), "")</f>
        <v>NGUYỄN HOÀNG GIANG</v>
      </c>
      <c r="C176" s="109" t="s">
        <v>68</v>
      </c>
      <c r="D176" s="109" t="str">
        <f>IFERROR(VLOOKUP(C176, PIC!A:B, 2, 0), "")</f>
        <v>Nhat Phan 1</v>
      </c>
      <c r="E176" s="110" t="s">
        <v>21</v>
      </c>
      <c r="F176" s="111">
        <v>45645.416666666657</v>
      </c>
      <c r="G176" s="112">
        <v>45665.416666666657</v>
      </c>
      <c r="H176" s="112">
        <v>45707.375</v>
      </c>
      <c r="I176" s="111">
        <v>45714.375</v>
      </c>
      <c r="J176" s="112">
        <v>45756.416666666657</v>
      </c>
      <c r="K176" s="111">
        <v>45763.416666666657</v>
      </c>
      <c r="L176" s="112">
        <v>45789.416666666657</v>
      </c>
      <c r="M176" s="112">
        <v>45800.416666666657</v>
      </c>
      <c r="N176" s="111">
        <v>45803.375</v>
      </c>
      <c r="O176" s="111">
        <v>45819.416666666657</v>
      </c>
      <c r="P176" s="111" t="s">
        <v>815</v>
      </c>
      <c r="Q176" s="111" t="s">
        <v>815</v>
      </c>
      <c r="R176" s="111"/>
      <c r="S176" s="111"/>
      <c r="T176" s="111"/>
      <c r="U176" s="112"/>
      <c r="V176" s="113">
        <f t="shared" si="1"/>
        <v>45819.416666666657</v>
      </c>
      <c r="W176" s="114"/>
      <c r="X176" s="114"/>
      <c r="Y176" s="2"/>
    </row>
    <row r="177" spans="1:25" ht="15.75" customHeight="1">
      <c r="A177" s="116" t="s">
        <v>556</v>
      </c>
      <c r="B177" s="116" t="str">
        <f>IFERROR(VLOOKUP(A177&amp;"", STUDENTS!A:B, 2, 0), "")</f>
        <v>PHAN ĐÌNH MINH NHẬT</v>
      </c>
      <c r="C177" s="117" t="s">
        <v>68</v>
      </c>
      <c r="D177" s="117" t="str">
        <f>IFERROR(VLOOKUP(C177, PIC!A:B, 2, 0), "")</f>
        <v>Nhat Phan 1</v>
      </c>
      <c r="E177" s="118" t="s">
        <v>21</v>
      </c>
      <c r="F177" s="119"/>
      <c r="G177" s="120">
        <v>45665.416666666657</v>
      </c>
      <c r="H177" s="120">
        <v>45707.375</v>
      </c>
      <c r="I177" s="119">
        <v>45714.375</v>
      </c>
      <c r="J177" s="120" t="s">
        <v>815</v>
      </c>
      <c r="K177" s="119">
        <v>45763.416666666657</v>
      </c>
      <c r="L177" s="120">
        <v>45789.416666666657</v>
      </c>
      <c r="M177" s="120">
        <v>45800.416666666657</v>
      </c>
      <c r="N177" s="119">
        <v>45803.375</v>
      </c>
      <c r="O177" s="119">
        <v>45819.416666666657</v>
      </c>
      <c r="P177" s="119">
        <v>45826.416666666657</v>
      </c>
      <c r="Q177" s="119">
        <v>45853.416666666657</v>
      </c>
      <c r="R177" s="119"/>
      <c r="S177" s="119"/>
      <c r="T177" s="119"/>
      <c r="U177" s="120"/>
      <c r="V177" s="121">
        <f t="shared" si="1"/>
        <v>45853.416666666657</v>
      </c>
      <c r="W177" s="122"/>
      <c r="X177" s="122"/>
      <c r="Y177" s="2"/>
    </row>
    <row r="178" spans="1:25" ht="15.75" customHeight="1">
      <c r="A178" s="108" t="s">
        <v>556</v>
      </c>
      <c r="B178" s="108" t="str">
        <f>IFERROR(VLOOKUP(A178&amp;"", STUDENTS!A:B, 2, 0), "")</f>
        <v>PHAN ĐÌNH MINH NHẬT</v>
      </c>
      <c r="C178" s="109" t="s">
        <v>68</v>
      </c>
      <c r="D178" s="109" t="str">
        <f>IFERROR(VLOOKUP(C178, PIC!A:B, 2, 0), "")</f>
        <v>Nhat Phan 1</v>
      </c>
      <c r="E178" s="110" t="s">
        <v>22</v>
      </c>
      <c r="F178" s="111">
        <v>45887.375</v>
      </c>
      <c r="G178" s="112">
        <v>45894.458333333343</v>
      </c>
      <c r="H178" s="112">
        <v>45912.583333333343</v>
      </c>
      <c r="I178" s="111">
        <v>45915.583333333343</v>
      </c>
      <c r="J178" s="112">
        <v>45922.625</v>
      </c>
      <c r="K178" s="111">
        <v>45926.583333333343</v>
      </c>
      <c r="L178" s="112">
        <v>45940.625</v>
      </c>
      <c r="M178" s="112">
        <v>45943.625</v>
      </c>
      <c r="N178" s="111">
        <v>45950.625</v>
      </c>
      <c r="O178" s="111">
        <v>45957.625</v>
      </c>
      <c r="P178" s="111" t="s">
        <v>815</v>
      </c>
      <c r="Q178" s="111">
        <v>46021.583333333343</v>
      </c>
      <c r="R178" s="111"/>
      <c r="S178" s="111"/>
      <c r="T178" s="111"/>
      <c r="U178" s="112"/>
      <c r="V178" s="113">
        <f t="shared" si="1"/>
        <v>46021.583333333343</v>
      </c>
      <c r="W178" s="114"/>
      <c r="X178" s="114"/>
      <c r="Y178" s="2"/>
    </row>
    <row r="179" spans="1:25" ht="15.75" customHeight="1">
      <c r="A179" s="116" t="s">
        <v>639</v>
      </c>
      <c r="B179" s="116" t="str">
        <f>IFERROR(VLOOKUP(A179&amp;"", STUDENTS!A:B, 2, 0), "")</f>
        <v>TRẦN QUỐC VIỆT</v>
      </c>
      <c r="C179" s="117" t="s">
        <v>68</v>
      </c>
      <c r="D179" s="117" t="str">
        <f>IFERROR(VLOOKUP(C179, PIC!A:B, 2, 0), "")</f>
        <v>Nhat Phan 1</v>
      </c>
      <c r="E179" s="118" t="s">
        <v>22</v>
      </c>
      <c r="F179" s="119">
        <v>45887.375</v>
      </c>
      <c r="G179" s="120">
        <v>45894.458333333343</v>
      </c>
      <c r="H179" s="120">
        <v>45912.583333333343</v>
      </c>
      <c r="I179" s="119">
        <v>45915.583333333343</v>
      </c>
      <c r="J179" s="120">
        <v>45922.625</v>
      </c>
      <c r="K179" s="119">
        <v>45926.583333333343</v>
      </c>
      <c r="L179" s="120">
        <v>45940.625</v>
      </c>
      <c r="M179" s="120">
        <v>45943.625</v>
      </c>
      <c r="N179" s="119">
        <v>45950.625</v>
      </c>
      <c r="O179" s="119">
        <v>45957.625</v>
      </c>
      <c r="P179" s="119">
        <v>46007.625</v>
      </c>
      <c r="Q179" s="119">
        <v>46021.583333333343</v>
      </c>
      <c r="R179" s="119"/>
      <c r="S179" s="119"/>
      <c r="T179" s="119"/>
      <c r="U179" s="120"/>
      <c r="V179" s="121">
        <f t="shared" si="1"/>
        <v>46021.583333333343</v>
      </c>
      <c r="W179" s="122"/>
      <c r="X179" s="122"/>
      <c r="Y179" s="2"/>
    </row>
    <row r="180" spans="1:25" ht="15.75" customHeight="1">
      <c r="A180" s="108" t="s">
        <v>643</v>
      </c>
      <c r="B180" s="108" t="str">
        <f>IFERROR(VLOOKUP(A180&amp;"", STUDENTS!A:B, 2, 0), "")</f>
        <v>TRẦN THANH HIẾU</v>
      </c>
      <c r="C180" s="109" t="s">
        <v>68</v>
      </c>
      <c r="D180" s="109" t="str">
        <f>IFERROR(VLOOKUP(C180, PIC!A:B, 2, 0), "")</f>
        <v>Nhat Phan 1</v>
      </c>
      <c r="E180" s="110" t="s">
        <v>21</v>
      </c>
      <c r="F180" s="111">
        <v>45645.416666666657</v>
      </c>
      <c r="G180" s="112">
        <v>45665.416666666657</v>
      </c>
      <c r="H180" s="112">
        <v>45707.375</v>
      </c>
      <c r="I180" s="111">
        <v>45714.375</v>
      </c>
      <c r="J180" s="112">
        <v>45756.416666666657</v>
      </c>
      <c r="K180" s="111">
        <v>45763.416666666657</v>
      </c>
      <c r="L180" s="112">
        <v>45789.416666666657</v>
      </c>
      <c r="M180" s="112">
        <v>45800.416666666657</v>
      </c>
      <c r="N180" s="111">
        <v>45803.375</v>
      </c>
      <c r="O180" s="111">
        <v>45819.416666666657</v>
      </c>
      <c r="P180" s="111">
        <v>45826.416666666657</v>
      </c>
      <c r="Q180" s="111">
        <v>45853.416666666657</v>
      </c>
      <c r="R180" s="111"/>
      <c r="S180" s="111"/>
      <c r="T180" s="111"/>
      <c r="U180" s="112"/>
      <c r="V180" s="113">
        <f t="shared" si="1"/>
        <v>45853.416666666657</v>
      </c>
      <c r="W180" s="114"/>
      <c r="X180" s="114"/>
      <c r="Y180" s="2"/>
    </row>
    <row r="181" spans="1:25" ht="15.75" customHeight="1">
      <c r="A181" s="116" t="s">
        <v>643</v>
      </c>
      <c r="B181" s="116" t="str">
        <f>IFERROR(VLOOKUP(A181&amp;"", STUDENTS!A:B, 2, 0), "")</f>
        <v>TRẦN THANH HIẾU</v>
      </c>
      <c r="C181" s="117" t="s">
        <v>68</v>
      </c>
      <c r="D181" s="117" t="str">
        <f>IFERROR(VLOOKUP(C181, PIC!A:B, 2, 0), "")</f>
        <v>Nhat Phan 1</v>
      </c>
      <c r="E181" s="118" t="s">
        <v>22</v>
      </c>
      <c r="F181" s="119">
        <v>45887.375</v>
      </c>
      <c r="G181" s="120">
        <v>45894.458333333343</v>
      </c>
      <c r="H181" s="120">
        <v>45912.583333333343</v>
      </c>
      <c r="I181" s="119" t="s">
        <v>815</v>
      </c>
      <c r="J181" s="120">
        <v>45922.625</v>
      </c>
      <c r="K181" s="119">
        <v>45926.583333333343</v>
      </c>
      <c r="L181" s="120">
        <v>45940.625</v>
      </c>
      <c r="M181" s="120">
        <v>45943.625</v>
      </c>
      <c r="N181" s="119">
        <v>45950.625</v>
      </c>
      <c r="O181" s="119">
        <v>45957.625</v>
      </c>
      <c r="P181" s="119">
        <v>46007.625</v>
      </c>
      <c r="Q181" s="119">
        <v>46021.583333333343</v>
      </c>
      <c r="R181" s="119"/>
      <c r="S181" s="119"/>
      <c r="T181" s="119"/>
      <c r="U181" s="120"/>
      <c r="V181" s="121">
        <f t="shared" si="1"/>
        <v>46021.583333333343</v>
      </c>
      <c r="W181" s="122"/>
      <c r="X181" s="122"/>
      <c r="Y181" s="2"/>
    </row>
    <row r="182" spans="1:25" ht="15.75" customHeight="1">
      <c r="A182" s="108" t="s">
        <v>715</v>
      </c>
      <c r="B182" s="108" t="str">
        <f>IFERROR(VLOOKUP(A182&amp;"", STUDENTS!A:B, 2, 0), "")</f>
        <v>VŨ NHẬT MINH TRƯỜNG</v>
      </c>
      <c r="C182" s="109" t="s">
        <v>68</v>
      </c>
      <c r="D182" s="109" t="str">
        <f>IFERROR(VLOOKUP(C182, PIC!A:B, 2, 0), "")</f>
        <v>Nhat Phan 1</v>
      </c>
      <c r="E182" s="110" t="s">
        <v>22</v>
      </c>
      <c r="F182" s="111">
        <v>45887.375</v>
      </c>
      <c r="G182" s="112">
        <v>45894.458333333343</v>
      </c>
      <c r="H182" s="112">
        <v>45912.583333333343</v>
      </c>
      <c r="I182" s="111" t="s">
        <v>815</v>
      </c>
      <c r="J182" s="112">
        <v>45922.625</v>
      </c>
      <c r="K182" s="111">
        <v>45926.583333333343</v>
      </c>
      <c r="L182" s="112">
        <v>45940.625</v>
      </c>
      <c r="M182" s="112">
        <v>45943.625</v>
      </c>
      <c r="N182" s="111">
        <v>45950.625</v>
      </c>
      <c r="O182" s="111">
        <v>45957.625</v>
      </c>
      <c r="P182" s="111">
        <v>46007.625</v>
      </c>
      <c r="Q182" s="111">
        <v>46021.583333333343</v>
      </c>
      <c r="R182" s="111"/>
      <c r="S182" s="111"/>
      <c r="T182" s="111"/>
      <c r="U182" s="112"/>
      <c r="V182" s="113">
        <f t="shared" si="1"/>
        <v>46021.583333333343</v>
      </c>
      <c r="W182" s="114"/>
      <c r="X182" s="114"/>
      <c r="Y182" s="2"/>
    </row>
    <row r="183" spans="1:25" ht="15.75" customHeight="1">
      <c r="A183" s="116" t="s">
        <v>257</v>
      </c>
      <c r="B183" s="116" t="str">
        <f>IFERROR(VLOOKUP(A183&amp;"", STUDENTS!A:B, 2, 0), "")</f>
        <v>LÊ ANH TIẾN</v>
      </c>
      <c r="C183" s="117" t="s">
        <v>69</v>
      </c>
      <c r="D183" s="117" t="str">
        <f>IFERROR(VLOOKUP(C183, PIC!A:B, 2, 0), "")</f>
        <v>Nhat Phan 2</v>
      </c>
      <c r="E183" s="118" t="s">
        <v>21</v>
      </c>
      <c r="F183" s="119">
        <v>45663.416666666657</v>
      </c>
      <c r="G183" s="120">
        <v>45671.416666666657</v>
      </c>
      <c r="H183" s="120">
        <v>45677.416666666657</v>
      </c>
      <c r="I183" s="119">
        <v>45695.458333333343</v>
      </c>
      <c r="J183" s="120">
        <v>45702.541666666657</v>
      </c>
      <c r="K183" s="119">
        <v>45706.458333333343</v>
      </c>
      <c r="L183" s="120">
        <v>45709.416666666657</v>
      </c>
      <c r="M183" s="120">
        <v>45713.458333333343</v>
      </c>
      <c r="N183" s="119">
        <v>45716.416666666657</v>
      </c>
      <c r="O183" s="119">
        <v>45758.416666666657</v>
      </c>
      <c r="P183" s="119">
        <v>45765.416666666657</v>
      </c>
      <c r="Q183" s="119">
        <v>45772.416666666657</v>
      </c>
      <c r="R183" s="119"/>
      <c r="S183" s="119"/>
      <c r="T183" s="119"/>
      <c r="U183" s="120"/>
      <c r="V183" s="121">
        <f t="shared" si="1"/>
        <v>45772.416666666657</v>
      </c>
      <c r="W183" s="122"/>
      <c r="X183" s="122"/>
      <c r="Y183" s="2"/>
    </row>
    <row r="184" spans="1:25" ht="15.75" customHeight="1">
      <c r="A184" s="108" t="s">
        <v>311</v>
      </c>
      <c r="B184" s="108" t="str">
        <f>IFERROR(VLOOKUP(A184&amp;"", STUDENTS!A:B, 2, 0), "")</f>
        <v>LƯƠNG MINH QUÂN</v>
      </c>
      <c r="C184" s="109" t="s">
        <v>69</v>
      </c>
      <c r="D184" s="109" t="str">
        <f>IFERROR(VLOOKUP(C184, PIC!A:B, 2, 0), "")</f>
        <v>Nhat Phan 2</v>
      </c>
      <c r="E184" s="110" t="s">
        <v>21</v>
      </c>
      <c r="F184" s="111">
        <v>45663.416666666657</v>
      </c>
      <c r="G184" s="112">
        <v>45671.416666666657</v>
      </c>
      <c r="H184" s="112">
        <v>45677.416666666657</v>
      </c>
      <c r="I184" s="111">
        <v>45695.458333333343</v>
      </c>
      <c r="J184" s="112">
        <v>45702.541666666657</v>
      </c>
      <c r="K184" s="111">
        <v>45706.458333333343</v>
      </c>
      <c r="L184" s="112" t="s">
        <v>815</v>
      </c>
      <c r="M184" s="112">
        <v>45713.458333333343</v>
      </c>
      <c r="N184" s="111">
        <v>45716.416666666657</v>
      </c>
      <c r="O184" s="111">
        <v>45758.416666666657</v>
      </c>
      <c r="P184" s="111">
        <v>45765.416666666657</v>
      </c>
      <c r="Q184" s="111">
        <v>45772.416666666657</v>
      </c>
      <c r="R184" s="111"/>
      <c r="S184" s="111"/>
      <c r="T184" s="111"/>
      <c r="U184" s="112"/>
      <c r="V184" s="113">
        <f t="shared" si="1"/>
        <v>45772.416666666657</v>
      </c>
      <c r="W184" s="114"/>
      <c r="X184" s="114"/>
      <c r="Y184" s="2"/>
    </row>
    <row r="185" spans="1:25" ht="15.75" customHeight="1">
      <c r="A185" s="116" t="s">
        <v>323</v>
      </c>
      <c r="B185" s="116" t="str">
        <f>IFERROR(VLOOKUP(A185&amp;"", STUDENTS!A:B, 2, 0), "")</f>
        <v>NGÔ MINH HIẾU</v>
      </c>
      <c r="C185" s="117" t="s">
        <v>69</v>
      </c>
      <c r="D185" s="117" t="str">
        <f>IFERROR(VLOOKUP(C185, PIC!A:B, 2, 0), "")</f>
        <v>Nhat Phan 2</v>
      </c>
      <c r="E185" s="118" t="s">
        <v>21</v>
      </c>
      <c r="F185" s="119">
        <v>45663.416666666657</v>
      </c>
      <c r="G185" s="120">
        <v>45671.416666666657</v>
      </c>
      <c r="H185" s="120">
        <v>45677.416666666657</v>
      </c>
      <c r="I185" s="119">
        <v>45695.458333333343</v>
      </c>
      <c r="J185" s="120">
        <v>45702.541666666657</v>
      </c>
      <c r="K185" s="119">
        <v>45706.458333333343</v>
      </c>
      <c r="L185" s="120">
        <v>45709.416666666657</v>
      </c>
      <c r="M185" s="120">
        <v>45713.458333333343</v>
      </c>
      <c r="N185" s="119">
        <v>45716.416666666657</v>
      </c>
      <c r="O185" s="119" t="s">
        <v>815</v>
      </c>
      <c r="P185" s="119">
        <v>45765.416666666657</v>
      </c>
      <c r="Q185" s="119">
        <v>45772.416666666657</v>
      </c>
      <c r="R185" s="119"/>
      <c r="S185" s="119"/>
      <c r="T185" s="119"/>
      <c r="U185" s="120"/>
      <c r="V185" s="121">
        <f t="shared" si="1"/>
        <v>45772.416666666657</v>
      </c>
      <c r="W185" s="122"/>
      <c r="X185" s="122"/>
      <c r="Y185" s="2"/>
    </row>
    <row r="186" spans="1:25" ht="15.75" customHeight="1">
      <c r="A186" s="108" t="s">
        <v>403</v>
      </c>
      <c r="B186" s="108" t="str">
        <f>IFERROR(VLOOKUP(A186&amp;"", STUDENTS!A:B, 2, 0), "")</f>
        <v>NGUYỄN MINH DUY</v>
      </c>
      <c r="C186" s="109" t="s">
        <v>69</v>
      </c>
      <c r="D186" s="109" t="str">
        <f>IFERROR(VLOOKUP(C186, PIC!A:B, 2, 0), "")</f>
        <v>Nhat Phan 2</v>
      </c>
      <c r="E186" s="110" t="s">
        <v>21</v>
      </c>
      <c r="F186" s="111">
        <v>45663.416666666657</v>
      </c>
      <c r="G186" s="112">
        <v>45671.416666666657</v>
      </c>
      <c r="H186" s="112">
        <v>45677.416666666657</v>
      </c>
      <c r="I186" s="111">
        <v>45695.458333333343</v>
      </c>
      <c r="J186" s="112" t="s">
        <v>815</v>
      </c>
      <c r="K186" s="111">
        <v>45706.458333333343</v>
      </c>
      <c r="L186" s="112">
        <v>45709.416666666657</v>
      </c>
      <c r="M186" s="112">
        <v>45713.458333333343</v>
      </c>
      <c r="N186" s="111">
        <v>45716.416666666657</v>
      </c>
      <c r="O186" s="111">
        <v>45758.416666666657</v>
      </c>
      <c r="P186" s="111" t="s">
        <v>815</v>
      </c>
      <c r="Q186" s="111">
        <v>45772.416666666657</v>
      </c>
      <c r="R186" s="111"/>
      <c r="S186" s="111"/>
      <c r="T186" s="111"/>
      <c r="U186" s="112"/>
      <c r="V186" s="113">
        <f t="shared" si="1"/>
        <v>45772.416666666657</v>
      </c>
      <c r="W186" s="114"/>
      <c r="X186" s="114"/>
      <c r="Y186" s="2"/>
    </row>
    <row r="187" spans="1:25" ht="15.75" customHeight="1">
      <c r="A187" s="116" t="s">
        <v>639</v>
      </c>
      <c r="B187" s="116" t="str">
        <f>IFERROR(VLOOKUP(A187&amp;"", STUDENTS!A:B, 2, 0), "")</f>
        <v>TRẦN QUỐC VIỆT</v>
      </c>
      <c r="C187" s="117" t="s">
        <v>69</v>
      </c>
      <c r="D187" s="117" t="str">
        <f>IFERROR(VLOOKUP(C187, PIC!A:B, 2, 0), "")</f>
        <v>Nhat Phan 2</v>
      </c>
      <c r="E187" s="118" t="s">
        <v>21</v>
      </c>
      <c r="F187" s="119">
        <v>45663.416666666657</v>
      </c>
      <c r="G187" s="120">
        <v>45671.416666666657</v>
      </c>
      <c r="H187" s="120">
        <v>45677.416666666657</v>
      </c>
      <c r="I187" s="119">
        <v>45695.458333333343</v>
      </c>
      <c r="J187" s="120">
        <v>45702.541666666657</v>
      </c>
      <c r="K187" s="119">
        <v>45706.458333333343</v>
      </c>
      <c r="L187" s="120">
        <v>45709.416666666657</v>
      </c>
      <c r="M187" s="120">
        <v>45713.458333333343</v>
      </c>
      <c r="N187" s="119">
        <v>45716.416666666657</v>
      </c>
      <c r="O187" s="119">
        <v>45758.416666666657</v>
      </c>
      <c r="P187" s="119">
        <v>45765.416666666657</v>
      </c>
      <c r="Q187" s="119">
        <v>45772.416666666657</v>
      </c>
      <c r="R187" s="119"/>
      <c r="S187" s="119"/>
      <c r="T187" s="119"/>
      <c r="U187" s="120"/>
      <c r="V187" s="121">
        <f t="shared" si="1"/>
        <v>45772.416666666657</v>
      </c>
      <c r="W187" s="122"/>
      <c r="X187" s="122"/>
      <c r="Y187" s="2"/>
    </row>
    <row r="188" spans="1:25" ht="15.75" customHeight="1">
      <c r="A188" s="108" t="s">
        <v>715</v>
      </c>
      <c r="B188" s="108" t="str">
        <f>IFERROR(VLOOKUP(A188&amp;"", STUDENTS!A:B, 2, 0), "")</f>
        <v>VŨ NHẬT MINH TRƯỜNG</v>
      </c>
      <c r="C188" s="109" t="s">
        <v>69</v>
      </c>
      <c r="D188" s="109" t="str">
        <f>IFERROR(VLOOKUP(C188, PIC!A:B, 2, 0), "")</f>
        <v>Nhat Phan 2</v>
      </c>
      <c r="E188" s="110" t="s">
        <v>21</v>
      </c>
      <c r="F188" s="111">
        <v>45663.416666666657</v>
      </c>
      <c r="G188" s="112">
        <v>45671.416666666657</v>
      </c>
      <c r="H188" s="112">
        <v>45677.416666666657</v>
      </c>
      <c r="I188" s="111">
        <v>45695.458333333343</v>
      </c>
      <c r="J188" s="112">
        <v>45702.541666666657</v>
      </c>
      <c r="K188" s="111">
        <v>45706.458333333343</v>
      </c>
      <c r="L188" s="112">
        <v>45709.416666666657</v>
      </c>
      <c r="M188" s="112">
        <v>45713.458333333343</v>
      </c>
      <c r="N188" s="111">
        <v>45716.416666666657</v>
      </c>
      <c r="O188" s="111" t="s">
        <v>815</v>
      </c>
      <c r="P188" s="111">
        <v>45765.416666666657</v>
      </c>
      <c r="Q188" s="111">
        <v>45772.416666666657</v>
      </c>
      <c r="R188" s="111"/>
      <c r="S188" s="111"/>
      <c r="T188" s="111"/>
      <c r="U188" s="112"/>
      <c r="V188" s="113">
        <f t="shared" si="1"/>
        <v>45772.416666666657</v>
      </c>
      <c r="W188" s="114"/>
      <c r="X188" s="114"/>
      <c r="Y188" s="2"/>
    </row>
    <row r="189" spans="1:25" ht="15.75" customHeight="1">
      <c r="A189" s="116" t="s">
        <v>167</v>
      </c>
      <c r="B189" s="116" t="str">
        <f>IFERROR(VLOOKUP(A189&amp;"", STUDENTS!A:B, 2, 0), "")</f>
        <v>ĐINH TRƯƠNG THANH TUYỀN</v>
      </c>
      <c r="C189" s="117" t="s">
        <v>70</v>
      </c>
      <c r="D189" s="117" t="str">
        <f>IFERROR(VLOOKUP(C189, PIC!A:B, 2, 0), "")</f>
        <v>Qui Em</v>
      </c>
      <c r="E189" s="118" t="s">
        <v>21</v>
      </c>
      <c r="F189" s="119">
        <v>45638.416666666657</v>
      </c>
      <c r="G189" s="120">
        <v>45649.416666666657</v>
      </c>
      <c r="H189" s="120">
        <v>45666.416666666664</v>
      </c>
      <c r="I189" s="119">
        <v>45678.416666666657</v>
      </c>
      <c r="J189" s="120">
        <v>45694.416666666657</v>
      </c>
      <c r="K189" s="119" t="s">
        <v>815</v>
      </c>
      <c r="L189" s="120" t="s">
        <v>815</v>
      </c>
      <c r="M189" s="120" t="s">
        <v>815</v>
      </c>
      <c r="N189" s="119">
        <v>45772.458333333343</v>
      </c>
      <c r="O189" s="119">
        <v>45807.416666666657</v>
      </c>
      <c r="P189" s="119"/>
      <c r="Q189" s="119"/>
      <c r="R189" s="119"/>
      <c r="S189" s="119"/>
      <c r="T189" s="119"/>
      <c r="U189" s="120"/>
      <c r="V189" s="121">
        <f t="shared" si="1"/>
        <v>45807.416666666657</v>
      </c>
      <c r="W189" s="122"/>
      <c r="X189" s="122"/>
      <c r="Y189" s="2"/>
    </row>
    <row r="190" spans="1:25" ht="15.75" customHeight="1">
      <c r="A190" s="108" t="s">
        <v>167</v>
      </c>
      <c r="B190" s="108" t="str">
        <f>IFERROR(VLOOKUP(A190&amp;"", STUDENTS!A:B, 2, 0), "")</f>
        <v>ĐINH TRƯƠNG THANH TUYỀN</v>
      </c>
      <c r="C190" s="109" t="s">
        <v>70</v>
      </c>
      <c r="D190" s="109" t="str">
        <f>IFERROR(VLOOKUP(C190, PIC!A:B, 2, 0), "")</f>
        <v>Qui Em</v>
      </c>
      <c r="E190" s="110" t="s">
        <v>22</v>
      </c>
      <c r="F190" s="111">
        <v>45841.583333333343</v>
      </c>
      <c r="G190" s="112">
        <v>45853.416666666657</v>
      </c>
      <c r="H190" s="112" t="s">
        <v>815</v>
      </c>
      <c r="I190" s="111">
        <v>45889.625</v>
      </c>
      <c r="J190" s="112" t="s">
        <v>815</v>
      </c>
      <c r="K190" s="111">
        <v>45924.625</v>
      </c>
      <c r="L190" s="112">
        <v>45931.625</v>
      </c>
      <c r="M190" s="112"/>
      <c r="N190" s="111"/>
      <c r="O190" s="111"/>
      <c r="P190" s="111"/>
      <c r="Q190" s="111"/>
      <c r="R190" s="111"/>
      <c r="S190" s="111"/>
      <c r="T190" s="111"/>
      <c r="U190" s="112"/>
      <c r="V190" s="113">
        <f t="shared" si="1"/>
        <v>45931.625</v>
      </c>
      <c r="W190" s="114"/>
      <c r="X190" s="114"/>
      <c r="Y190" s="2"/>
    </row>
    <row r="191" spans="1:25" ht="15.75" customHeight="1">
      <c r="A191" s="116" t="s">
        <v>184</v>
      </c>
      <c r="B191" s="116" t="str">
        <f>IFERROR(VLOOKUP(A191&amp;"", STUDENTS!A:B, 2, 0), "")</f>
        <v>ĐỖ VŨ GIA LONG</v>
      </c>
      <c r="C191" s="117" t="s">
        <v>70</v>
      </c>
      <c r="D191" s="117" t="str">
        <f>IFERROR(VLOOKUP(C191, PIC!A:B, 2, 0), "")</f>
        <v>Qui Em</v>
      </c>
      <c r="E191" s="118" t="s">
        <v>21</v>
      </c>
      <c r="F191" s="116"/>
      <c r="G191" s="120">
        <v>45649.416666666657</v>
      </c>
      <c r="H191" s="120">
        <v>45656.416666666657</v>
      </c>
      <c r="I191" s="119" t="s">
        <v>815</v>
      </c>
      <c r="J191" s="120">
        <v>45701.416666666657</v>
      </c>
      <c r="K191" s="119">
        <v>45705.416666666657</v>
      </c>
      <c r="L191" s="120">
        <v>45712.416666666657</v>
      </c>
      <c r="M191" s="120">
        <v>45756.541666666657</v>
      </c>
      <c r="N191" s="119">
        <v>45772.458333333343</v>
      </c>
      <c r="O191" s="119">
        <v>45807.416666666657</v>
      </c>
      <c r="P191" s="119"/>
      <c r="Q191" s="119"/>
      <c r="R191" s="119"/>
      <c r="S191" s="119"/>
      <c r="T191" s="119"/>
      <c r="U191" s="120"/>
      <c r="V191" s="122">
        <f t="shared" si="1"/>
        <v>45807.416666666657</v>
      </c>
      <c r="W191" s="122"/>
      <c r="X191" s="122"/>
      <c r="Y191" s="2"/>
    </row>
    <row r="192" spans="1:25" ht="15.75" customHeight="1">
      <c r="A192" s="108" t="s">
        <v>184</v>
      </c>
      <c r="B192" s="108" t="str">
        <f>IFERROR(VLOOKUP(A192&amp;"", STUDENTS!A:B, 2, 0), "")</f>
        <v>ĐỖ VŨ GIA LONG</v>
      </c>
      <c r="C192" s="109" t="s">
        <v>70</v>
      </c>
      <c r="D192" s="109" t="str">
        <f>IFERROR(VLOOKUP(C192, PIC!A:B, 2, 0), "")</f>
        <v>Qui Em</v>
      </c>
      <c r="E192" s="110" t="s">
        <v>22</v>
      </c>
      <c r="F192" s="111">
        <v>45841.583333333343</v>
      </c>
      <c r="G192" s="112">
        <v>45853.416666666657</v>
      </c>
      <c r="H192" s="112">
        <v>45882.625</v>
      </c>
      <c r="I192" s="111">
        <v>45889.625</v>
      </c>
      <c r="J192" s="112">
        <v>45917.625</v>
      </c>
      <c r="K192" s="111">
        <v>45924.625</v>
      </c>
      <c r="L192" s="112">
        <v>45931.625</v>
      </c>
      <c r="M192" s="112"/>
      <c r="N192" s="111"/>
      <c r="O192" s="111"/>
      <c r="P192" s="111"/>
      <c r="Q192" s="111"/>
      <c r="R192" s="111"/>
      <c r="S192" s="111"/>
      <c r="T192" s="111"/>
      <c r="U192" s="112"/>
      <c r="V192" s="113">
        <f t="shared" si="1"/>
        <v>45931.625</v>
      </c>
      <c r="W192" s="114"/>
      <c r="X192" s="114"/>
      <c r="Y192" s="2"/>
    </row>
    <row r="193" spans="1:25" ht="15.75" customHeight="1">
      <c r="A193" s="116" t="s">
        <v>188</v>
      </c>
      <c r="B193" s="116" t="str">
        <f>IFERROR(VLOOKUP(A193&amp;"", STUDENTS!A:B, 2, 0), "")</f>
        <v>ĐOÀN KHÁNH NGUYÊN</v>
      </c>
      <c r="C193" s="117" t="s">
        <v>70</v>
      </c>
      <c r="D193" s="117" t="str">
        <f>IFERROR(VLOOKUP(C193, PIC!A:B, 2, 0), "")</f>
        <v>Qui Em</v>
      </c>
      <c r="E193" s="118" t="s">
        <v>21</v>
      </c>
      <c r="F193" s="119">
        <v>45638.416666666657</v>
      </c>
      <c r="G193" s="120">
        <v>45649.416666666657</v>
      </c>
      <c r="H193" s="120">
        <v>45666.416666666664</v>
      </c>
      <c r="I193" s="119">
        <v>45678.416666666657</v>
      </c>
      <c r="J193" s="120">
        <v>45701.416666666657</v>
      </c>
      <c r="K193" s="119" t="s">
        <v>815</v>
      </c>
      <c r="L193" s="120">
        <v>45712.416666666657</v>
      </c>
      <c r="M193" s="120">
        <v>45756.541666666657</v>
      </c>
      <c r="N193" s="119">
        <v>45772.458333333343</v>
      </c>
      <c r="O193" s="119">
        <v>45807.416666666657</v>
      </c>
      <c r="P193" s="119"/>
      <c r="Q193" s="119"/>
      <c r="R193" s="119"/>
      <c r="S193" s="119"/>
      <c r="T193" s="119"/>
      <c r="U193" s="120"/>
      <c r="V193" s="121">
        <f t="shared" si="1"/>
        <v>45807.416666666657</v>
      </c>
      <c r="W193" s="122"/>
      <c r="X193" s="122"/>
      <c r="Y193" s="2"/>
    </row>
    <row r="194" spans="1:25" ht="15.75" customHeight="1">
      <c r="A194" s="108" t="s">
        <v>188</v>
      </c>
      <c r="B194" s="108" t="str">
        <f>IFERROR(VLOOKUP(A194&amp;"", STUDENTS!A:B, 2, 0), "")</f>
        <v>ĐOÀN KHÁNH NGUYÊN</v>
      </c>
      <c r="C194" s="109" t="s">
        <v>70</v>
      </c>
      <c r="D194" s="109" t="str">
        <f>IFERROR(VLOOKUP(C194, PIC!A:B, 2, 0), "")</f>
        <v>Qui Em</v>
      </c>
      <c r="E194" s="110" t="s">
        <v>22</v>
      </c>
      <c r="F194" s="111">
        <v>45841.583333333343</v>
      </c>
      <c r="G194" s="112">
        <v>45853.416666666657</v>
      </c>
      <c r="H194" s="112">
        <v>45882.625</v>
      </c>
      <c r="I194" s="111">
        <v>45889.625</v>
      </c>
      <c r="J194" s="112">
        <v>45917.625</v>
      </c>
      <c r="K194" s="111">
        <v>45924.625</v>
      </c>
      <c r="L194" s="112">
        <v>45931.625</v>
      </c>
      <c r="M194" s="112"/>
      <c r="N194" s="111"/>
      <c r="O194" s="111"/>
      <c r="P194" s="111"/>
      <c r="Q194" s="111"/>
      <c r="R194" s="111"/>
      <c r="S194" s="111"/>
      <c r="T194" s="111"/>
      <c r="U194" s="112"/>
      <c r="V194" s="113">
        <f t="shared" si="1"/>
        <v>45931.625</v>
      </c>
      <c r="W194" s="114"/>
      <c r="X194" s="114"/>
      <c r="Y194" s="2"/>
    </row>
    <row r="195" spans="1:25" ht="15.75" customHeight="1">
      <c r="A195" s="116" t="s">
        <v>192</v>
      </c>
      <c r="B195" s="116" t="str">
        <f>IFERROR(VLOOKUP(A195&amp;"", STUDENTS!A:B, 2, 0), "")</f>
        <v>ĐOÀN QUANG TUẤN</v>
      </c>
      <c r="C195" s="117" t="s">
        <v>70</v>
      </c>
      <c r="D195" s="117" t="str">
        <f>IFERROR(VLOOKUP(C195, PIC!A:B, 2, 0), "")</f>
        <v>Qui Em</v>
      </c>
      <c r="E195" s="118" t="s">
        <v>21</v>
      </c>
      <c r="F195" s="119">
        <v>45638.416666666657</v>
      </c>
      <c r="G195" s="120" t="s">
        <v>815</v>
      </c>
      <c r="H195" s="120">
        <v>45656.416666666657</v>
      </c>
      <c r="I195" s="119">
        <v>45670.416666666657</v>
      </c>
      <c r="J195" s="120">
        <v>45701.416666666657</v>
      </c>
      <c r="K195" s="119">
        <v>45705.416666666657</v>
      </c>
      <c r="L195" s="120">
        <v>45712.416666666657</v>
      </c>
      <c r="M195" s="120">
        <v>45756.541666666657</v>
      </c>
      <c r="N195" s="119">
        <v>45772.458333333343</v>
      </c>
      <c r="O195" s="119">
        <v>45807.416666666657</v>
      </c>
      <c r="P195" s="119"/>
      <c r="Q195" s="119"/>
      <c r="R195" s="119"/>
      <c r="S195" s="119"/>
      <c r="T195" s="119"/>
      <c r="U195" s="120"/>
      <c r="V195" s="121">
        <f t="shared" si="1"/>
        <v>45807.416666666657</v>
      </c>
      <c r="W195" s="122"/>
      <c r="X195" s="122"/>
      <c r="Y195" s="2"/>
    </row>
    <row r="196" spans="1:25" ht="15.75" customHeight="1">
      <c r="A196" s="108" t="s">
        <v>202</v>
      </c>
      <c r="B196" s="108" t="str">
        <f>IFERROR(VLOOKUP(A196&amp;"", STUDENTS!A:B, 2, 0), "")</f>
        <v>ĐƯỜNG QUANG HUY</v>
      </c>
      <c r="C196" s="109" t="s">
        <v>70</v>
      </c>
      <c r="D196" s="109" t="str">
        <f>IFERROR(VLOOKUP(C196, PIC!A:B, 2, 0), "")</f>
        <v>Qui Em</v>
      </c>
      <c r="E196" s="110" t="s">
        <v>21</v>
      </c>
      <c r="F196" s="111">
        <v>45638.416666666657</v>
      </c>
      <c r="G196" s="112">
        <v>45649.416666666657</v>
      </c>
      <c r="H196" s="112">
        <v>45656.416666666657</v>
      </c>
      <c r="I196" s="111">
        <v>45670.416666666657</v>
      </c>
      <c r="J196" s="112">
        <v>45694.416666666657</v>
      </c>
      <c r="K196" s="111">
        <v>45705.416666666657</v>
      </c>
      <c r="L196" s="112">
        <v>45712.416666666657</v>
      </c>
      <c r="M196" s="112">
        <v>45756.541666666657</v>
      </c>
      <c r="N196" s="111">
        <v>45772.458333333343</v>
      </c>
      <c r="O196" s="111">
        <v>45807.416666666657</v>
      </c>
      <c r="P196" s="111"/>
      <c r="Q196" s="111"/>
      <c r="R196" s="111"/>
      <c r="S196" s="111"/>
      <c r="T196" s="111"/>
      <c r="U196" s="112"/>
      <c r="V196" s="113">
        <f t="shared" si="1"/>
        <v>45807.416666666657</v>
      </c>
      <c r="W196" s="114"/>
      <c r="X196" s="114"/>
      <c r="Y196" s="2"/>
    </row>
    <row r="197" spans="1:25" ht="15.75" customHeight="1">
      <c r="A197" s="116" t="s">
        <v>434</v>
      </c>
      <c r="B197" s="116" t="str">
        <f>IFERROR(VLOOKUP(A197&amp;"", STUDENTS!A:B, 2, 0), "")</f>
        <v>NGUYỄN QUÍ EM</v>
      </c>
      <c r="C197" s="117" t="s">
        <v>70</v>
      </c>
      <c r="D197" s="117" t="str">
        <f>IFERROR(VLOOKUP(C197, PIC!A:B, 2, 0), "")</f>
        <v>Qui Em</v>
      </c>
      <c r="E197" s="118" t="s">
        <v>21</v>
      </c>
      <c r="F197" s="119" t="s">
        <v>815</v>
      </c>
      <c r="G197" s="120">
        <v>45649.416666666657</v>
      </c>
      <c r="H197" s="120">
        <v>45666.416666666664</v>
      </c>
      <c r="I197" s="119">
        <v>45678.416666666657</v>
      </c>
      <c r="J197" s="120">
        <v>45701.416666666657</v>
      </c>
      <c r="K197" s="119">
        <v>45705.416666666657</v>
      </c>
      <c r="L197" s="120" t="s">
        <v>815</v>
      </c>
      <c r="M197" s="120">
        <v>45756.541666666657</v>
      </c>
      <c r="N197" s="119">
        <v>45772.458333333343</v>
      </c>
      <c r="O197" s="119">
        <v>45807.416666666657</v>
      </c>
      <c r="P197" s="119"/>
      <c r="Q197" s="119"/>
      <c r="R197" s="119"/>
      <c r="S197" s="119"/>
      <c r="T197" s="119"/>
      <c r="U197" s="120"/>
      <c r="V197" s="121">
        <f t="shared" si="1"/>
        <v>45807.416666666657</v>
      </c>
      <c r="W197" s="122"/>
      <c r="X197" s="122"/>
      <c r="Y197" s="2"/>
    </row>
    <row r="198" spans="1:25" ht="15.75" customHeight="1">
      <c r="A198" s="108" t="s">
        <v>434</v>
      </c>
      <c r="B198" s="108" t="str">
        <f>IFERROR(VLOOKUP(A198&amp;"", STUDENTS!A:B, 2, 0), "")</f>
        <v>NGUYỄN QUÍ EM</v>
      </c>
      <c r="C198" s="109" t="s">
        <v>70</v>
      </c>
      <c r="D198" s="109" t="str">
        <f>IFERROR(VLOOKUP(C198, PIC!A:B, 2, 0), "")</f>
        <v>Qui Em</v>
      </c>
      <c r="E198" s="110" t="s">
        <v>22</v>
      </c>
      <c r="F198" s="111">
        <v>45841.583333333343</v>
      </c>
      <c r="G198" s="112">
        <v>45853.416666666657</v>
      </c>
      <c r="H198" s="112" t="s">
        <v>815</v>
      </c>
      <c r="I198" s="111">
        <v>45889.625</v>
      </c>
      <c r="J198" s="112">
        <v>45917.625</v>
      </c>
      <c r="K198" s="111">
        <v>45924.625</v>
      </c>
      <c r="L198" s="112" t="s">
        <v>815</v>
      </c>
      <c r="M198" s="112"/>
      <c r="N198" s="111"/>
      <c r="O198" s="111"/>
      <c r="P198" s="111"/>
      <c r="Q198" s="111"/>
      <c r="R198" s="111"/>
      <c r="S198" s="111"/>
      <c r="T198" s="111"/>
      <c r="U198" s="112"/>
      <c r="V198" s="113">
        <f t="shared" si="1"/>
        <v>45924.625</v>
      </c>
      <c r="W198" s="114"/>
      <c r="X198" s="114"/>
      <c r="Y198" s="2"/>
    </row>
    <row r="199" spans="1:25" ht="15.75" customHeight="1">
      <c r="A199" s="116" t="s">
        <v>607</v>
      </c>
      <c r="B199" s="116" t="str">
        <f>IFERROR(VLOOKUP(A199&amp;"", STUDENTS!A:B, 2, 0), "")</f>
        <v>TRẦN ĐỨC NAM</v>
      </c>
      <c r="C199" s="117" t="s">
        <v>70</v>
      </c>
      <c r="D199" s="117" t="str">
        <f>IFERROR(VLOOKUP(C199, PIC!A:B, 2, 0), "")</f>
        <v>Qui Em</v>
      </c>
      <c r="E199" s="118" t="s">
        <v>21</v>
      </c>
      <c r="F199" s="119" t="s">
        <v>815</v>
      </c>
      <c r="G199" s="120">
        <v>45649.416666666657</v>
      </c>
      <c r="H199" s="120">
        <v>45666.416666666664</v>
      </c>
      <c r="I199" s="119" t="s">
        <v>815</v>
      </c>
      <c r="J199" s="120">
        <v>45694.416666666657</v>
      </c>
      <c r="K199" s="119" t="s">
        <v>815</v>
      </c>
      <c r="L199" s="120">
        <v>45712.416666666657</v>
      </c>
      <c r="M199" s="120" t="s">
        <v>815</v>
      </c>
      <c r="N199" s="119">
        <v>45772.458333333343</v>
      </c>
      <c r="O199" s="119">
        <v>45807.416666666657</v>
      </c>
      <c r="P199" s="119"/>
      <c r="Q199" s="119"/>
      <c r="R199" s="119"/>
      <c r="S199" s="119"/>
      <c r="T199" s="119"/>
      <c r="U199" s="120"/>
      <c r="V199" s="121">
        <f t="shared" si="1"/>
        <v>45807.416666666657</v>
      </c>
      <c r="W199" s="122"/>
      <c r="X199" s="122"/>
      <c r="Y199" s="2"/>
    </row>
    <row r="200" spans="1:25" ht="15.75" customHeight="1">
      <c r="A200" s="108" t="s">
        <v>697</v>
      </c>
      <c r="B200" s="108" t="str">
        <f>IFERROR(VLOOKUP(A200&amp;"", STUDENTS!A:B, 2, 0), "")</f>
        <v>VÕ DUY KIỆT</v>
      </c>
      <c r="C200" s="109" t="s">
        <v>70</v>
      </c>
      <c r="D200" s="109" t="str">
        <f>IFERROR(VLOOKUP(C200, PIC!A:B, 2, 0), "")</f>
        <v>Qui Em</v>
      </c>
      <c r="E200" s="110" t="s">
        <v>21</v>
      </c>
      <c r="F200" s="111">
        <v>45638.416666666657</v>
      </c>
      <c r="G200" s="112">
        <v>45649.416666666657</v>
      </c>
      <c r="H200" s="112">
        <v>45656.416666666657</v>
      </c>
      <c r="I200" s="111">
        <v>45670.416666666657</v>
      </c>
      <c r="J200" s="112">
        <v>45694.416666666657</v>
      </c>
      <c r="K200" s="111">
        <v>45705.416666666657</v>
      </c>
      <c r="L200" s="112">
        <v>45712.416666666657</v>
      </c>
      <c r="M200" s="112">
        <v>45756.541666666657</v>
      </c>
      <c r="N200" s="111">
        <v>45772.458333333343</v>
      </c>
      <c r="O200" s="111">
        <v>45807.416666666657</v>
      </c>
      <c r="P200" s="111"/>
      <c r="Q200" s="111"/>
      <c r="R200" s="111"/>
      <c r="S200" s="111"/>
      <c r="T200" s="111"/>
      <c r="U200" s="112"/>
      <c r="V200" s="113">
        <f t="shared" si="1"/>
        <v>45807.416666666657</v>
      </c>
      <c r="W200" s="114"/>
      <c r="X200" s="114"/>
      <c r="Y200" s="2"/>
    </row>
    <row r="201" spans="1:25" ht="15.75" customHeight="1">
      <c r="A201" s="116" t="s">
        <v>697</v>
      </c>
      <c r="B201" s="116" t="str">
        <f>IFERROR(VLOOKUP(A201&amp;"", STUDENTS!A:B, 2, 0), "")</f>
        <v>VÕ DUY KIỆT</v>
      </c>
      <c r="C201" s="117" t="s">
        <v>70</v>
      </c>
      <c r="D201" s="117" t="str">
        <f>IFERROR(VLOOKUP(C201, PIC!A:B, 2, 0), "")</f>
        <v>Qui Em</v>
      </c>
      <c r="E201" s="118" t="s">
        <v>22</v>
      </c>
      <c r="F201" s="119">
        <v>45841.583333333343</v>
      </c>
      <c r="G201" s="120">
        <v>45853.416666666657</v>
      </c>
      <c r="H201" s="120">
        <v>45882.625</v>
      </c>
      <c r="I201" s="119">
        <v>45889.625</v>
      </c>
      <c r="J201" s="120">
        <v>45917.625</v>
      </c>
      <c r="K201" s="119">
        <v>45924.625</v>
      </c>
      <c r="L201" s="120">
        <v>45931.625</v>
      </c>
      <c r="M201" s="120"/>
      <c r="N201" s="119"/>
      <c r="O201" s="119"/>
      <c r="P201" s="119"/>
      <c r="Q201" s="119"/>
      <c r="R201" s="119"/>
      <c r="S201" s="119"/>
      <c r="T201" s="119"/>
      <c r="U201" s="120"/>
      <c r="V201" s="121">
        <f t="shared" si="1"/>
        <v>45931.625</v>
      </c>
      <c r="W201" s="122"/>
      <c r="X201" s="122"/>
      <c r="Y201" s="2"/>
    </row>
    <row r="202" spans="1:25" ht="15.75" customHeight="1">
      <c r="A202" s="108" t="s">
        <v>288</v>
      </c>
      <c r="B202" s="108" t="str">
        <f>IFERROR(VLOOKUP(A202&amp;"", STUDENTS!A:B, 2, 0), "")</f>
        <v>LÊ THỊ DIỄM QUYÊN</v>
      </c>
      <c r="C202" s="109" t="s">
        <v>71</v>
      </c>
      <c r="D202" s="109" t="str">
        <f>IFERROR(VLOOKUP(C202, PIC!A:B, 2, 0), "")</f>
        <v>Tan Tran</v>
      </c>
      <c r="E202" s="110" t="s">
        <v>24</v>
      </c>
      <c r="F202" s="111">
        <v>45713.583333333343</v>
      </c>
      <c r="G202" s="112">
        <v>45827.458333333343</v>
      </c>
      <c r="H202" s="112">
        <v>45833.625</v>
      </c>
      <c r="I202" s="111">
        <v>45853.625</v>
      </c>
      <c r="J202" s="112">
        <v>45869.375</v>
      </c>
      <c r="K202" s="111">
        <v>45882.458333333343</v>
      </c>
      <c r="L202" s="112" t="s">
        <v>815</v>
      </c>
      <c r="M202" s="112">
        <v>45917.375</v>
      </c>
      <c r="N202" s="111">
        <v>45924.416666666657</v>
      </c>
      <c r="O202" s="111">
        <v>45952.458333333343</v>
      </c>
      <c r="P202" s="111">
        <v>45981.625</v>
      </c>
      <c r="Q202" s="111" t="s">
        <v>815</v>
      </c>
      <c r="R202" s="111">
        <v>45994.458333333343</v>
      </c>
      <c r="S202" s="111">
        <v>46008.458333333343</v>
      </c>
      <c r="T202" s="111">
        <v>46050.541666666657</v>
      </c>
      <c r="U202" s="112"/>
      <c r="V202" s="113">
        <f t="shared" si="1"/>
        <v>46050.541666666657</v>
      </c>
      <c r="W202" s="114"/>
      <c r="X202" s="114"/>
      <c r="Y202" s="2"/>
    </row>
    <row r="203" spans="1:25" ht="15.75" customHeight="1">
      <c r="A203" s="116" t="s">
        <v>348</v>
      </c>
      <c r="B203" s="116" t="str">
        <f>IFERROR(VLOOKUP(A203&amp;"", STUDENTS!A:B, 2, 0), "")</f>
        <v>NGUYỄN ĐẠT THỊNH</v>
      </c>
      <c r="C203" s="117" t="s">
        <v>71</v>
      </c>
      <c r="D203" s="117" t="str">
        <f>IFERROR(VLOOKUP(C203, PIC!A:B, 2, 0), "")</f>
        <v>Tan Tran</v>
      </c>
      <c r="E203" s="118" t="s">
        <v>24</v>
      </c>
      <c r="F203" s="119" t="s">
        <v>815</v>
      </c>
      <c r="G203" s="120" t="s">
        <v>815</v>
      </c>
      <c r="H203" s="120">
        <v>45833.625</v>
      </c>
      <c r="I203" s="119">
        <v>45853.625</v>
      </c>
      <c r="J203" s="120">
        <v>45869.375</v>
      </c>
      <c r="K203" s="119">
        <v>45882.458333333343</v>
      </c>
      <c r="L203" s="120">
        <v>45896.625</v>
      </c>
      <c r="M203" s="120">
        <v>45917.375</v>
      </c>
      <c r="N203" s="119">
        <v>45924.416666666657</v>
      </c>
      <c r="O203" s="119">
        <v>45952.458333333343</v>
      </c>
      <c r="P203" s="119">
        <v>45981.625</v>
      </c>
      <c r="Q203" s="119" t="s">
        <v>815</v>
      </c>
      <c r="R203" s="119">
        <v>45994.458333333343</v>
      </c>
      <c r="S203" s="119">
        <v>46008.458333333343</v>
      </c>
      <c r="T203" s="119" t="s">
        <v>815</v>
      </c>
      <c r="U203" s="120"/>
      <c r="V203" s="121">
        <f t="shared" si="1"/>
        <v>46008.458333333343</v>
      </c>
      <c r="W203" s="122"/>
      <c r="X203" s="122"/>
      <c r="Y203" s="2"/>
    </row>
    <row r="204" spans="1:25" ht="15.75" customHeight="1">
      <c r="A204" s="108" t="s">
        <v>570</v>
      </c>
      <c r="B204" s="108" t="str">
        <f>IFERROR(VLOOKUP(A204&amp;"", STUDENTS!A:B, 2, 0), "")</f>
        <v>PHAN THU THẢO</v>
      </c>
      <c r="C204" s="109" t="s">
        <v>71</v>
      </c>
      <c r="D204" s="109" t="str">
        <f>IFERROR(VLOOKUP(C204, PIC!A:B, 2, 0), "")</f>
        <v>Tan Tran</v>
      </c>
      <c r="E204" s="110" t="s">
        <v>24</v>
      </c>
      <c r="F204" s="111" t="s">
        <v>815</v>
      </c>
      <c r="G204" s="112" t="s">
        <v>815</v>
      </c>
      <c r="H204" s="112" t="s">
        <v>815</v>
      </c>
      <c r="I204" s="111" t="s">
        <v>815</v>
      </c>
      <c r="J204" s="112">
        <v>45869.375</v>
      </c>
      <c r="K204" s="111">
        <v>45882.458333333343</v>
      </c>
      <c r="L204" s="112" t="s">
        <v>815</v>
      </c>
      <c r="M204" s="112">
        <v>45917.375</v>
      </c>
      <c r="N204" s="111">
        <v>45924.416666666657</v>
      </c>
      <c r="O204" s="111">
        <v>45952.458333333343</v>
      </c>
      <c r="P204" s="111" t="s">
        <v>815</v>
      </c>
      <c r="Q204" s="111">
        <v>45987.458333333343</v>
      </c>
      <c r="R204" s="111">
        <v>45994.458333333343</v>
      </c>
      <c r="S204" s="111">
        <v>46008.458333333343</v>
      </c>
      <c r="T204" s="111">
        <v>46050.541666666657</v>
      </c>
      <c r="U204" s="112"/>
      <c r="V204" s="113">
        <f t="shared" si="1"/>
        <v>46050.541666666657</v>
      </c>
      <c r="W204" s="114"/>
      <c r="X204" s="114"/>
      <c r="Y204" s="2"/>
    </row>
    <row r="205" spans="1:25" ht="15.75" customHeight="1">
      <c r="A205" s="116" t="s">
        <v>619</v>
      </c>
      <c r="B205" s="116" t="str">
        <f>IFERROR(VLOOKUP(A205&amp;"", STUDENTS!A:B, 2, 0), "")</f>
        <v>TRẦN KIM HẰNG</v>
      </c>
      <c r="C205" s="117" t="s">
        <v>71</v>
      </c>
      <c r="D205" s="117" t="str">
        <f>IFERROR(VLOOKUP(C205, PIC!A:B, 2, 0), "")</f>
        <v>Tan Tran</v>
      </c>
      <c r="E205" s="118" t="s">
        <v>24</v>
      </c>
      <c r="F205" s="119">
        <v>45713.583333333343</v>
      </c>
      <c r="G205" s="120">
        <v>45827.458333333343</v>
      </c>
      <c r="H205" s="120">
        <v>45833.625</v>
      </c>
      <c r="I205" s="119">
        <v>45853.625</v>
      </c>
      <c r="J205" s="120">
        <v>45869.375</v>
      </c>
      <c r="K205" s="119">
        <v>45882.458333333343</v>
      </c>
      <c r="L205" s="120">
        <v>45896.625</v>
      </c>
      <c r="M205" s="120">
        <v>45917.375</v>
      </c>
      <c r="N205" s="119">
        <v>45924.416666666657</v>
      </c>
      <c r="O205" s="119">
        <v>45952.458333333343</v>
      </c>
      <c r="P205" s="119" t="s">
        <v>815</v>
      </c>
      <c r="Q205" s="119">
        <v>45987.458333333343</v>
      </c>
      <c r="R205" s="119">
        <v>45994.458333333343</v>
      </c>
      <c r="S205" s="119">
        <v>46008.458333333343</v>
      </c>
      <c r="T205" s="119">
        <v>46050.541666666657</v>
      </c>
      <c r="U205" s="120"/>
      <c r="V205" s="121">
        <f t="shared" si="1"/>
        <v>46050.541666666657</v>
      </c>
      <c r="W205" s="122"/>
      <c r="X205" s="122"/>
      <c r="Y205" s="2"/>
    </row>
    <row r="206" spans="1:25" ht="15.75" customHeight="1">
      <c r="A206" s="108" t="s">
        <v>631</v>
      </c>
      <c r="B206" s="108" t="str">
        <f>IFERROR(VLOOKUP(A206&amp;"", STUDENTS!A:B, 2, 0), "")</f>
        <v>TRẦN NHỰT TÂN</v>
      </c>
      <c r="C206" s="109" t="s">
        <v>71</v>
      </c>
      <c r="D206" s="109" t="str">
        <f>IFERROR(VLOOKUP(C206, PIC!A:B, 2, 0), "")</f>
        <v>Tan Tran</v>
      </c>
      <c r="E206" s="110" t="s">
        <v>24</v>
      </c>
      <c r="F206" s="111">
        <v>45713.583333333343</v>
      </c>
      <c r="G206" s="112">
        <v>45827.458333333343</v>
      </c>
      <c r="H206" s="112">
        <v>45833.625</v>
      </c>
      <c r="I206" s="111">
        <v>45853.625</v>
      </c>
      <c r="J206" s="112">
        <v>45869.375</v>
      </c>
      <c r="K206" s="111">
        <v>45882.458333333343</v>
      </c>
      <c r="L206" s="112" t="s">
        <v>815</v>
      </c>
      <c r="M206" s="112">
        <v>45917.375</v>
      </c>
      <c r="N206" s="111">
        <v>45924.416666666657</v>
      </c>
      <c r="O206" s="111">
        <v>45952.458333333343</v>
      </c>
      <c r="P206" s="111">
        <v>45981.625</v>
      </c>
      <c r="Q206" s="111">
        <v>45987.458333333343</v>
      </c>
      <c r="R206" s="111">
        <v>45994.458333333343</v>
      </c>
      <c r="S206" s="111">
        <v>46008.458333333343</v>
      </c>
      <c r="T206" s="111">
        <v>46050.541666666657</v>
      </c>
      <c r="U206" s="112"/>
      <c r="V206" s="113">
        <f t="shared" si="1"/>
        <v>46050.541666666657</v>
      </c>
      <c r="W206" s="114"/>
      <c r="X206" s="114"/>
      <c r="Y206" s="2"/>
    </row>
    <row r="207" spans="1:25" ht="15.75" customHeight="1">
      <c r="A207" s="116" t="s">
        <v>635</v>
      </c>
      <c r="B207" s="116" t="str">
        <f>IFERROR(VLOOKUP(A207&amp;"", STUDENTS!A:B, 2, 0), "")</f>
        <v>TRẦN QUANG TỐNG</v>
      </c>
      <c r="C207" s="117" t="s">
        <v>71</v>
      </c>
      <c r="D207" s="117" t="str">
        <f>IFERROR(VLOOKUP(C207, PIC!A:B, 2, 0), "")</f>
        <v>Tan Tran</v>
      </c>
      <c r="E207" s="118" t="s">
        <v>24</v>
      </c>
      <c r="F207" s="119">
        <v>45713.583333333343</v>
      </c>
      <c r="G207" s="120">
        <v>45827.458333333343</v>
      </c>
      <c r="H207" s="120">
        <v>45833.625</v>
      </c>
      <c r="I207" s="119">
        <v>45853.625</v>
      </c>
      <c r="J207" s="120">
        <v>45869.375</v>
      </c>
      <c r="K207" s="119">
        <v>45882.458333333343</v>
      </c>
      <c r="L207" s="120">
        <v>45896.625</v>
      </c>
      <c r="M207" s="120">
        <v>45917.375</v>
      </c>
      <c r="N207" s="119">
        <v>45924.416666666657</v>
      </c>
      <c r="O207" s="119" t="s">
        <v>815</v>
      </c>
      <c r="P207" s="119">
        <v>45981.625</v>
      </c>
      <c r="Q207" s="119">
        <v>45987.458333333343</v>
      </c>
      <c r="R207" s="119">
        <v>45994.458333333343</v>
      </c>
      <c r="S207" s="119">
        <v>46008.458333333343</v>
      </c>
      <c r="T207" s="119">
        <v>46050.541666666657</v>
      </c>
      <c r="U207" s="120"/>
      <c r="V207" s="121">
        <f t="shared" si="1"/>
        <v>46050.541666666657</v>
      </c>
      <c r="W207" s="122"/>
      <c r="X207" s="122"/>
      <c r="Y207" s="2"/>
    </row>
    <row r="208" spans="1:25" ht="15.75" customHeight="1">
      <c r="A208" s="108" t="s">
        <v>667</v>
      </c>
      <c r="B208" s="108" t="str">
        <f>IFERROR(VLOOKUP(A208&amp;"", STUDENTS!A:B, 2, 0), "")</f>
        <v>TRẦN VĨNH PHÚC</v>
      </c>
      <c r="C208" s="109" t="s">
        <v>71</v>
      </c>
      <c r="D208" s="109" t="str">
        <f>IFERROR(VLOOKUP(C208, PIC!A:B, 2, 0), "")</f>
        <v>Tan Tran</v>
      </c>
      <c r="E208" s="110" t="s">
        <v>24</v>
      </c>
      <c r="F208" s="111">
        <v>45713.583333333343</v>
      </c>
      <c r="G208" s="112">
        <v>45827.458333333343</v>
      </c>
      <c r="H208" s="112">
        <v>45833.625</v>
      </c>
      <c r="I208" s="111">
        <v>45853.625</v>
      </c>
      <c r="J208" s="112">
        <v>45869.375</v>
      </c>
      <c r="K208" s="111">
        <v>45882.458333333343</v>
      </c>
      <c r="L208" s="112">
        <v>45896.625</v>
      </c>
      <c r="M208" s="112">
        <v>45917.375</v>
      </c>
      <c r="N208" s="111">
        <v>45924.416666666657</v>
      </c>
      <c r="O208" s="111">
        <v>45952.458333333343</v>
      </c>
      <c r="P208" s="111">
        <v>45981.625</v>
      </c>
      <c r="Q208" s="111">
        <v>45987.458333333343</v>
      </c>
      <c r="R208" s="111">
        <v>45994.458333333343</v>
      </c>
      <c r="S208" s="111">
        <v>46008.458333333343</v>
      </c>
      <c r="T208" s="111">
        <v>46050.541666666657</v>
      </c>
      <c r="U208" s="112"/>
      <c r="V208" s="113">
        <f t="shared" si="1"/>
        <v>46050.541666666657</v>
      </c>
      <c r="W208" s="114"/>
      <c r="X208" s="114"/>
      <c r="Y208" s="2"/>
    </row>
    <row r="209" spans="1:25" ht="15.75" customHeight="1">
      <c r="A209" s="116" t="s">
        <v>265</v>
      </c>
      <c r="B209" s="116" t="str">
        <f>IFERROR(VLOOKUP(A209&amp;"", STUDENTS!A:B, 2, 0), "")</f>
        <v>LÊ HỒNG QUÂN</v>
      </c>
      <c r="C209" s="117" t="s">
        <v>72</v>
      </c>
      <c r="D209" s="117" t="str">
        <f>IFERROR(VLOOKUP(C209, PIC!A:B, 2, 0), "")</f>
        <v>Thien Truong</v>
      </c>
      <c r="E209" s="118" t="s">
        <v>21</v>
      </c>
      <c r="F209" s="119">
        <v>45670.541666666657</v>
      </c>
      <c r="G209" s="120">
        <v>45679.375</v>
      </c>
      <c r="H209" s="120">
        <v>45698.458333333343</v>
      </c>
      <c r="I209" s="119">
        <v>45705.458333333343</v>
      </c>
      <c r="J209" s="120">
        <v>45712.541666666657</v>
      </c>
      <c r="K209" s="119">
        <v>45761.458333333343</v>
      </c>
      <c r="L209" s="120">
        <v>45769.458333333343</v>
      </c>
      <c r="M209" s="120" t="s">
        <v>815</v>
      </c>
      <c r="N209" s="119">
        <v>45789.458333333343</v>
      </c>
      <c r="O209" s="119">
        <v>45803.541666666657</v>
      </c>
      <c r="P209" s="119">
        <v>45812.416666666657</v>
      </c>
      <c r="Q209" s="119">
        <v>45832.375</v>
      </c>
      <c r="R209" s="119"/>
      <c r="S209" s="119"/>
      <c r="T209" s="119"/>
      <c r="U209" s="120"/>
      <c r="V209" s="121">
        <f t="shared" si="1"/>
        <v>45832.375</v>
      </c>
      <c r="W209" s="122"/>
      <c r="X209" s="122"/>
      <c r="Y209" s="2"/>
    </row>
    <row r="210" spans="1:25" ht="15.75" customHeight="1">
      <c r="A210" s="108" t="s">
        <v>265</v>
      </c>
      <c r="B210" s="108" t="str">
        <f>IFERROR(VLOOKUP(A210&amp;"", STUDENTS!A:B, 2, 0), "")</f>
        <v>LÊ HỒNG QUÂN</v>
      </c>
      <c r="C210" s="109" t="s">
        <v>72</v>
      </c>
      <c r="D210" s="109" t="str">
        <f>IFERROR(VLOOKUP(C210, PIC!A:B, 2, 0), "")</f>
        <v>Thien Truong</v>
      </c>
      <c r="E210" s="110" t="s">
        <v>22</v>
      </c>
      <c r="F210" s="111">
        <v>45866.541666666657</v>
      </c>
      <c r="G210" s="112">
        <v>45910.458333333343</v>
      </c>
      <c r="H210" s="112">
        <v>45915.458333333343</v>
      </c>
      <c r="I210" s="111">
        <v>45922.458333333343</v>
      </c>
      <c r="J210" s="112">
        <v>45929.458333333343</v>
      </c>
      <c r="K210" s="111">
        <v>45943.416666666657</v>
      </c>
      <c r="L210" s="112">
        <v>45944.583333333343</v>
      </c>
      <c r="M210" s="112"/>
      <c r="N210" s="111">
        <v>45957.416666666657</v>
      </c>
      <c r="O210" s="111">
        <v>45964.583333333343</v>
      </c>
      <c r="P210" s="111">
        <v>45971.541666666657</v>
      </c>
      <c r="Q210" s="111">
        <v>45985.583333333343</v>
      </c>
      <c r="R210" s="111">
        <v>45992.541666666657</v>
      </c>
      <c r="S210" s="111" t="s">
        <v>815</v>
      </c>
      <c r="T210" s="111">
        <v>46006.458333333343</v>
      </c>
      <c r="U210" s="112">
        <v>46048.416666666657</v>
      </c>
      <c r="V210" s="113">
        <f t="shared" si="1"/>
        <v>46048.416666666657</v>
      </c>
      <c r="W210" s="114"/>
      <c r="X210" s="114"/>
      <c r="Y210" s="2"/>
    </row>
    <row r="211" spans="1:25" ht="15.75" customHeight="1">
      <c r="A211" s="116" t="s">
        <v>265</v>
      </c>
      <c r="B211" s="116" t="str">
        <f>IFERROR(VLOOKUP(A211&amp;"", STUDENTS!A:B, 2, 0), "")</f>
        <v>LÊ HỒNG QUÂN</v>
      </c>
      <c r="C211" s="117" t="s">
        <v>72</v>
      </c>
      <c r="D211" s="117" t="str">
        <f>IFERROR(VLOOKUP(C211, PIC!A:B, 2, 0), "")</f>
        <v>Thien Truong</v>
      </c>
      <c r="E211" s="118" t="s">
        <v>23</v>
      </c>
      <c r="F211" s="119">
        <v>46084.583333333343</v>
      </c>
      <c r="G211" s="120" t="s">
        <v>815</v>
      </c>
      <c r="H211" s="120">
        <v>46106.458333333343</v>
      </c>
      <c r="I211" s="119">
        <v>46119.458333333343</v>
      </c>
      <c r="J211" s="120">
        <v>46127.541666666657</v>
      </c>
      <c r="K211" s="119">
        <v>46134.583333333343</v>
      </c>
      <c r="L211" s="120"/>
      <c r="M211" s="120"/>
      <c r="N211" s="119"/>
      <c r="O211" s="119"/>
      <c r="P211" s="119"/>
      <c r="Q211" s="119"/>
      <c r="R211" s="119"/>
      <c r="S211" s="119"/>
      <c r="T211" s="119"/>
      <c r="U211" s="120"/>
      <c r="V211" s="121">
        <f t="shared" si="1"/>
        <v>46134.583333333343</v>
      </c>
      <c r="W211" s="122"/>
      <c r="X211" s="122"/>
      <c r="Y211" s="2"/>
    </row>
    <row r="212" spans="1:25" ht="15.75" customHeight="1">
      <c r="A212" s="108" t="s">
        <v>108</v>
      </c>
      <c r="B212" s="108" t="str">
        <f>IFERROR(VLOOKUP(A212&amp;"", STUDENTS!A:B, 2, 0), "")</f>
        <v>LÊ THANH SƠN</v>
      </c>
      <c r="C212" s="109" t="s">
        <v>72</v>
      </c>
      <c r="D212" s="109" t="str">
        <f>IFERROR(VLOOKUP(C212, PIC!A:B, 2, 0), "")</f>
        <v>Thien Truong</v>
      </c>
      <c r="E212" s="110" t="s">
        <v>21</v>
      </c>
      <c r="F212" s="111">
        <v>45670.541666666657</v>
      </c>
      <c r="G212" s="112">
        <v>45679.375</v>
      </c>
      <c r="H212" s="112">
        <v>45698.458333333343</v>
      </c>
      <c r="I212" s="111">
        <v>45705.458333333343</v>
      </c>
      <c r="J212" s="112">
        <v>45712.541666666657</v>
      </c>
      <c r="K212" s="111">
        <v>45761.458333333343</v>
      </c>
      <c r="L212" s="112">
        <v>45769.458333333343</v>
      </c>
      <c r="M212" s="112">
        <v>45782.458333333343</v>
      </c>
      <c r="N212" s="111">
        <v>45789.458333333343</v>
      </c>
      <c r="O212" s="111">
        <v>45803.541666666657</v>
      </c>
      <c r="P212" s="111">
        <v>45812.416666666657</v>
      </c>
      <c r="Q212" s="111">
        <v>45832.375</v>
      </c>
      <c r="R212" s="111"/>
      <c r="S212" s="111"/>
      <c r="T212" s="111"/>
      <c r="U212" s="112"/>
      <c r="V212" s="113">
        <f t="shared" si="1"/>
        <v>45832.375</v>
      </c>
      <c r="W212" s="114"/>
      <c r="X212" s="114"/>
      <c r="Y212" s="2"/>
    </row>
    <row r="213" spans="1:25" ht="15.75" customHeight="1">
      <c r="A213" s="116" t="s">
        <v>108</v>
      </c>
      <c r="B213" s="116" t="str">
        <f>IFERROR(VLOOKUP(A213&amp;"", STUDENTS!A:B, 2, 0), "")</f>
        <v>LÊ THANH SƠN</v>
      </c>
      <c r="C213" s="117" t="s">
        <v>72</v>
      </c>
      <c r="D213" s="117" t="str">
        <f>IFERROR(VLOOKUP(C213, PIC!A:B, 2, 0), "")</f>
        <v>Thien Truong</v>
      </c>
      <c r="E213" s="118" t="s">
        <v>22</v>
      </c>
      <c r="F213" s="119">
        <v>45866.541666666657</v>
      </c>
      <c r="G213" s="120">
        <v>45910.458333333343</v>
      </c>
      <c r="H213" s="120">
        <v>45915.458333333343</v>
      </c>
      <c r="I213" s="119">
        <v>45922.458333333343</v>
      </c>
      <c r="J213" s="120">
        <v>45929.458333333343</v>
      </c>
      <c r="K213" s="119">
        <v>45943.416666666657</v>
      </c>
      <c r="L213" s="120">
        <v>45944.583333333343</v>
      </c>
      <c r="M213" s="120"/>
      <c r="N213" s="119">
        <v>45957.416666666657</v>
      </c>
      <c r="O213" s="119">
        <v>45964.583333333343</v>
      </c>
      <c r="P213" s="119">
        <v>45971.541666666657</v>
      </c>
      <c r="Q213" s="119">
        <v>45985.583333333343</v>
      </c>
      <c r="R213" s="119">
        <v>45992.541666666657</v>
      </c>
      <c r="S213" s="119">
        <v>45999.416666666657</v>
      </c>
      <c r="T213" s="119">
        <v>46006.458333333343</v>
      </c>
      <c r="U213" s="120">
        <v>46048.416666666657</v>
      </c>
      <c r="V213" s="121">
        <f t="shared" si="1"/>
        <v>46048.416666666657</v>
      </c>
      <c r="W213" s="122"/>
      <c r="X213" s="122"/>
      <c r="Y213" s="2"/>
    </row>
    <row r="214" spans="1:25" ht="15.75" customHeight="1">
      <c r="A214" s="108" t="s">
        <v>108</v>
      </c>
      <c r="B214" s="108" t="str">
        <f>IFERROR(VLOOKUP(A214&amp;"", STUDENTS!A:B, 2, 0), "")</f>
        <v>LÊ THANH SƠN</v>
      </c>
      <c r="C214" s="109" t="s">
        <v>72</v>
      </c>
      <c r="D214" s="109" t="str">
        <f>IFERROR(VLOOKUP(C214, PIC!A:B, 2, 0), "")</f>
        <v>Thien Truong</v>
      </c>
      <c r="E214" s="110" t="s">
        <v>23</v>
      </c>
      <c r="F214" s="111">
        <v>46084.583333333343</v>
      </c>
      <c r="G214" s="112">
        <v>46099.458333333343</v>
      </c>
      <c r="H214" s="112">
        <v>46106.458333333343</v>
      </c>
      <c r="I214" s="111">
        <v>46119.458333333343</v>
      </c>
      <c r="J214" s="112">
        <v>46127.541666666657</v>
      </c>
      <c r="K214" s="111">
        <v>46134.583333333343</v>
      </c>
      <c r="L214" s="112"/>
      <c r="M214" s="112"/>
      <c r="N214" s="111"/>
      <c r="O214" s="111"/>
      <c r="P214" s="111"/>
      <c r="Q214" s="111"/>
      <c r="R214" s="111"/>
      <c r="S214" s="111"/>
      <c r="T214" s="111"/>
      <c r="U214" s="112"/>
      <c r="V214" s="113">
        <f t="shared" si="1"/>
        <v>46134.583333333343</v>
      </c>
      <c r="W214" s="114"/>
      <c r="X214" s="114"/>
      <c r="Y214" s="2"/>
    </row>
    <row r="215" spans="1:25" ht="15.75" customHeight="1">
      <c r="A215" s="116" t="s">
        <v>296</v>
      </c>
      <c r="B215" s="116" t="str">
        <f>IFERROR(VLOOKUP(A215&amp;"", STUDENTS!A:B, 2, 0), "")</f>
        <v>LÊ THỊ THU HIỀN</v>
      </c>
      <c r="C215" s="117" t="s">
        <v>72</v>
      </c>
      <c r="D215" s="117" t="str">
        <f>IFERROR(VLOOKUP(C215, PIC!A:B, 2, 0), "")</f>
        <v>Thien Truong</v>
      </c>
      <c r="E215" s="118" t="s">
        <v>23</v>
      </c>
      <c r="F215" s="119">
        <v>46084.583333333343</v>
      </c>
      <c r="G215" s="120">
        <v>46099.458333333343</v>
      </c>
      <c r="H215" s="120">
        <v>46106.458333333343</v>
      </c>
      <c r="I215" s="119" t="s">
        <v>815</v>
      </c>
      <c r="J215" s="120">
        <v>46127.541666666657</v>
      </c>
      <c r="K215" s="119">
        <v>46134.583333333343</v>
      </c>
      <c r="L215" s="120"/>
      <c r="M215" s="120"/>
      <c r="N215" s="119"/>
      <c r="O215" s="119"/>
      <c r="P215" s="119"/>
      <c r="Q215" s="119"/>
      <c r="R215" s="119"/>
      <c r="S215" s="119"/>
      <c r="T215" s="119"/>
      <c r="U215" s="120"/>
      <c r="V215" s="121">
        <f t="shared" si="1"/>
        <v>46134.583333333343</v>
      </c>
      <c r="W215" s="122"/>
      <c r="X215" s="122"/>
      <c r="Y215" s="2"/>
    </row>
    <row r="216" spans="1:25" ht="15.75" customHeight="1">
      <c r="A216" s="108" t="s">
        <v>315</v>
      </c>
      <c r="B216" s="108" t="str">
        <f>IFERROR(VLOOKUP(A216&amp;"", STUDENTS!A:B, 2, 0), "")</f>
        <v>LÝ KHÁNH LONG</v>
      </c>
      <c r="C216" s="109" t="s">
        <v>72</v>
      </c>
      <c r="D216" s="109" t="str">
        <f>IFERROR(VLOOKUP(C216, PIC!A:B, 2, 0), "")</f>
        <v>Thien Truong</v>
      </c>
      <c r="E216" s="110" t="s">
        <v>21</v>
      </c>
      <c r="F216" s="111">
        <v>45670.541666666657</v>
      </c>
      <c r="G216" s="112">
        <v>45679.375</v>
      </c>
      <c r="H216" s="112">
        <v>45698.458333333343</v>
      </c>
      <c r="I216" s="111">
        <v>45705.458333333343</v>
      </c>
      <c r="J216" s="112">
        <v>45712.541666666657</v>
      </c>
      <c r="K216" s="111">
        <v>45761.458333333343</v>
      </c>
      <c r="L216" s="112">
        <v>45769.458333333343</v>
      </c>
      <c r="M216" s="112">
        <v>45782.458333333343</v>
      </c>
      <c r="N216" s="111" t="s">
        <v>815</v>
      </c>
      <c r="O216" s="111">
        <v>45803.541666666657</v>
      </c>
      <c r="P216" s="111">
        <v>45812.416666666657</v>
      </c>
      <c r="Q216" s="111">
        <v>45832.375</v>
      </c>
      <c r="R216" s="111"/>
      <c r="S216" s="111"/>
      <c r="T216" s="111"/>
      <c r="U216" s="112"/>
      <c r="V216" s="113">
        <f t="shared" si="1"/>
        <v>45832.375</v>
      </c>
      <c r="W216" s="114"/>
      <c r="X216" s="114"/>
      <c r="Y216" s="2"/>
    </row>
    <row r="217" spans="1:25" ht="15.75" customHeight="1">
      <c r="A217" s="116" t="s">
        <v>315</v>
      </c>
      <c r="B217" s="116" t="str">
        <f>IFERROR(VLOOKUP(A217&amp;"", STUDENTS!A:B, 2, 0), "")</f>
        <v>LÝ KHÁNH LONG</v>
      </c>
      <c r="C217" s="117" t="s">
        <v>72</v>
      </c>
      <c r="D217" s="117" t="str">
        <f>IFERROR(VLOOKUP(C217, PIC!A:B, 2, 0), "")</f>
        <v>Thien Truong</v>
      </c>
      <c r="E217" s="118" t="s">
        <v>22</v>
      </c>
      <c r="F217" s="119" t="s">
        <v>815</v>
      </c>
      <c r="G217" s="120">
        <v>45910.458333333343</v>
      </c>
      <c r="H217" s="120">
        <v>45915.458333333343</v>
      </c>
      <c r="I217" s="119">
        <v>45922.458333333343</v>
      </c>
      <c r="J217" s="120">
        <v>45929.458333333343</v>
      </c>
      <c r="K217" s="119">
        <v>45943.416666666657</v>
      </c>
      <c r="L217" s="120">
        <v>45944.583333333343</v>
      </c>
      <c r="M217" s="120"/>
      <c r="N217" s="119">
        <v>45957.416666666657</v>
      </c>
      <c r="O217" s="119">
        <v>45964.583333333343</v>
      </c>
      <c r="P217" s="119">
        <v>45971.541666666657</v>
      </c>
      <c r="Q217" s="119">
        <v>45985.583333333343</v>
      </c>
      <c r="R217" s="119">
        <v>45992.541666666657</v>
      </c>
      <c r="S217" s="119">
        <v>45999.416666666657</v>
      </c>
      <c r="T217" s="119">
        <v>46006.458333333343</v>
      </c>
      <c r="U217" s="120">
        <v>46048.416666666657</v>
      </c>
      <c r="V217" s="121">
        <f t="shared" si="1"/>
        <v>46048.416666666657</v>
      </c>
      <c r="W217" s="122"/>
      <c r="X217" s="122"/>
      <c r="Y217" s="2"/>
    </row>
    <row r="218" spans="1:25" ht="15.75" customHeight="1">
      <c r="A218" s="108" t="s">
        <v>315</v>
      </c>
      <c r="B218" s="108" t="str">
        <f>IFERROR(VLOOKUP(A218&amp;"", STUDENTS!A:B, 2, 0), "")</f>
        <v>LÝ KHÁNH LONG</v>
      </c>
      <c r="C218" s="109" t="s">
        <v>72</v>
      </c>
      <c r="D218" s="109" t="str">
        <f>IFERROR(VLOOKUP(C218, PIC!A:B, 2, 0), "")</f>
        <v>Thien Truong</v>
      </c>
      <c r="E218" s="110" t="s">
        <v>23</v>
      </c>
      <c r="F218" s="111">
        <v>46084.583333333343</v>
      </c>
      <c r="G218" s="112">
        <v>46099.458333333343</v>
      </c>
      <c r="H218" s="112">
        <v>46106.458333333343</v>
      </c>
      <c r="I218" s="111">
        <v>46119.458333333343</v>
      </c>
      <c r="J218" s="112">
        <v>46127.541666666657</v>
      </c>
      <c r="K218" s="111">
        <v>46134.583333333343</v>
      </c>
      <c r="L218" s="112"/>
      <c r="M218" s="112"/>
      <c r="N218" s="111"/>
      <c r="O218" s="111"/>
      <c r="P218" s="111"/>
      <c r="Q218" s="111"/>
      <c r="R218" s="111"/>
      <c r="S218" s="111"/>
      <c r="T218" s="111"/>
      <c r="U218" s="112"/>
      <c r="V218" s="113">
        <f t="shared" si="1"/>
        <v>46134.583333333343</v>
      </c>
      <c r="W218" s="114"/>
      <c r="X218" s="114"/>
      <c r="Y218" s="2"/>
    </row>
    <row r="219" spans="1:25" ht="15.75" customHeight="1">
      <c r="A219" s="116" t="s">
        <v>319</v>
      </c>
      <c r="B219" s="116" t="str">
        <f>IFERROR(VLOOKUP(A219&amp;"", STUDENTS!A:B, 2, 0), "")</f>
        <v>LÝ THỊ DIỄM MY</v>
      </c>
      <c r="C219" s="117" t="s">
        <v>72</v>
      </c>
      <c r="D219" s="117" t="str">
        <f>IFERROR(VLOOKUP(C219, PIC!A:B, 2, 0), "")</f>
        <v>Thien Truong</v>
      </c>
      <c r="E219" s="118" t="s">
        <v>23</v>
      </c>
      <c r="F219" s="119">
        <v>46084.583333333343</v>
      </c>
      <c r="G219" s="120">
        <v>46099.458333333343</v>
      </c>
      <c r="H219" s="120">
        <v>46106.458333333343</v>
      </c>
      <c r="I219" s="119" t="s">
        <v>815</v>
      </c>
      <c r="J219" s="120">
        <v>46127.541666666657</v>
      </c>
      <c r="K219" s="119">
        <v>46134.583333333343</v>
      </c>
      <c r="L219" s="120"/>
      <c r="M219" s="120"/>
      <c r="N219" s="119"/>
      <c r="O219" s="119"/>
      <c r="P219" s="119"/>
      <c r="Q219" s="119"/>
      <c r="R219" s="119"/>
      <c r="S219" s="119"/>
      <c r="T219" s="119"/>
      <c r="U219" s="120"/>
      <c r="V219" s="121">
        <f t="shared" si="1"/>
        <v>46134.583333333343</v>
      </c>
      <c r="W219" s="122"/>
      <c r="X219" s="122"/>
      <c r="Y219" s="2"/>
    </row>
    <row r="220" spans="1:25" ht="15.75" customHeight="1">
      <c r="A220" s="108" t="s">
        <v>334</v>
      </c>
      <c r="B220" s="108" t="str">
        <f>IFERROR(VLOOKUP(A220&amp;"", STUDENTS!A:B, 2, 0), "")</f>
        <v>NGUYỄN BÁ PHI NHẬT</v>
      </c>
      <c r="C220" s="109" t="s">
        <v>72</v>
      </c>
      <c r="D220" s="109" t="str">
        <f>IFERROR(VLOOKUP(C220, PIC!A:B, 2, 0), "")</f>
        <v>Thien Truong</v>
      </c>
      <c r="E220" s="110" t="s">
        <v>21</v>
      </c>
      <c r="F220" s="111">
        <v>45670.541666666657</v>
      </c>
      <c r="G220" s="112">
        <v>45679.375</v>
      </c>
      <c r="H220" s="112">
        <v>45698.458333333343</v>
      </c>
      <c r="I220" s="111">
        <v>45705.458333333343</v>
      </c>
      <c r="J220" s="112">
        <v>45712.541666666657</v>
      </c>
      <c r="K220" s="111">
        <v>45761.458333333343</v>
      </c>
      <c r="L220" s="112">
        <v>45769.458333333343</v>
      </c>
      <c r="M220" s="112">
        <v>45782.458333333343</v>
      </c>
      <c r="N220" s="111" t="s">
        <v>815</v>
      </c>
      <c r="O220" s="111">
        <v>45803.541666666657</v>
      </c>
      <c r="P220" s="111" t="s">
        <v>815</v>
      </c>
      <c r="Q220" s="111">
        <v>45832.375</v>
      </c>
      <c r="R220" s="111"/>
      <c r="S220" s="111"/>
      <c r="T220" s="111"/>
      <c r="U220" s="112"/>
      <c r="V220" s="113">
        <f t="shared" si="1"/>
        <v>45832.375</v>
      </c>
      <c r="W220" s="114"/>
      <c r="X220" s="114"/>
      <c r="Y220" s="2"/>
    </row>
    <row r="221" spans="1:25" ht="15.75" customHeight="1">
      <c r="A221" s="116" t="s">
        <v>334</v>
      </c>
      <c r="B221" s="116" t="str">
        <f>IFERROR(VLOOKUP(A221&amp;"", STUDENTS!A:B, 2, 0), "")</f>
        <v>NGUYỄN BÁ PHI NHẬT</v>
      </c>
      <c r="C221" s="117" t="s">
        <v>72</v>
      </c>
      <c r="D221" s="117" t="str">
        <f>IFERROR(VLOOKUP(C221, PIC!A:B, 2, 0), "")</f>
        <v>Thien Truong</v>
      </c>
      <c r="E221" s="118" t="s">
        <v>22</v>
      </c>
      <c r="F221" s="119">
        <v>45866.541666666657</v>
      </c>
      <c r="G221" s="120">
        <v>45910.458333333343</v>
      </c>
      <c r="H221" s="120">
        <v>45915.458333333343</v>
      </c>
      <c r="I221" s="119">
        <v>45922.458333333343</v>
      </c>
      <c r="J221" s="120" t="s">
        <v>815</v>
      </c>
      <c r="K221" s="119">
        <v>45943.416666666657</v>
      </c>
      <c r="L221" s="120">
        <v>45944.583333333343</v>
      </c>
      <c r="M221" s="120"/>
      <c r="N221" s="119">
        <v>45957.416666666657</v>
      </c>
      <c r="O221" s="119">
        <v>45964.583333333343</v>
      </c>
      <c r="P221" s="119">
        <v>45971.541666666657</v>
      </c>
      <c r="Q221" s="119">
        <v>45985.583333333343</v>
      </c>
      <c r="R221" s="119">
        <v>45992.541666666657</v>
      </c>
      <c r="S221" s="119" t="s">
        <v>815</v>
      </c>
      <c r="T221" s="119">
        <v>46006.458333333343</v>
      </c>
      <c r="U221" s="120" t="s">
        <v>815</v>
      </c>
      <c r="V221" s="121">
        <f t="shared" si="1"/>
        <v>46006.458333333343</v>
      </c>
      <c r="W221" s="122"/>
      <c r="X221" s="122"/>
      <c r="Y221" s="2"/>
    </row>
    <row r="222" spans="1:25" ht="15.75" customHeight="1">
      <c r="A222" s="108" t="s">
        <v>401</v>
      </c>
      <c r="B222" s="108" t="str">
        <f>IFERROR(VLOOKUP(A222&amp;"", STUDENTS!A:B, 2, 0), "")</f>
        <v>NGUYỄN LÝ KHÁNH HUY</v>
      </c>
      <c r="C222" s="109" t="s">
        <v>72</v>
      </c>
      <c r="D222" s="109" t="str">
        <f>IFERROR(VLOOKUP(C222, PIC!A:B, 2, 0), "")</f>
        <v>Thien Truong</v>
      </c>
      <c r="E222" s="110" t="s">
        <v>21</v>
      </c>
      <c r="F222" s="111">
        <v>45670.541666666657</v>
      </c>
      <c r="G222" s="112">
        <v>45679.375</v>
      </c>
      <c r="H222" s="112" t="s">
        <v>815</v>
      </c>
      <c r="I222" s="111">
        <v>45705.458333333343</v>
      </c>
      <c r="J222" s="112">
        <v>45712.541666666657</v>
      </c>
      <c r="K222" s="111">
        <v>45761.458333333343</v>
      </c>
      <c r="L222" s="112">
        <v>45769.458333333343</v>
      </c>
      <c r="M222" s="112">
        <v>45782.458333333343</v>
      </c>
      <c r="N222" s="111">
        <v>45789.458333333343</v>
      </c>
      <c r="O222" s="111">
        <v>45803.541666666657</v>
      </c>
      <c r="P222" s="111">
        <v>45812.416666666657</v>
      </c>
      <c r="Q222" s="111">
        <v>45832.375</v>
      </c>
      <c r="R222" s="111"/>
      <c r="S222" s="111"/>
      <c r="T222" s="111"/>
      <c r="U222" s="112"/>
      <c r="V222" s="113">
        <f t="shared" si="1"/>
        <v>45832.375</v>
      </c>
      <c r="W222" s="114"/>
      <c r="X222" s="114"/>
      <c r="Y222" s="2"/>
    </row>
    <row r="223" spans="1:25" ht="15.75" customHeight="1">
      <c r="A223" s="116" t="s">
        <v>401</v>
      </c>
      <c r="B223" s="116" t="str">
        <f>IFERROR(VLOOKUP(A223&amp;"", STUDENTS!A:B, 2, 0), "")</f>
        <v>NGUYỄN LÝ KHÁNH HUY</v>
      </c>
      <c r="C223" s="117" t="s">
        <v>72</v>
      </c>
      <c r="D223" s="117" t="str">
        <f>IFERROR(VLOOKUP(C223, PIC!A:B, 2, 0), "")</f>
        <v>Thien Truong</v>
      </c>
      <c r="E223" s="118" t="s">
        <v>22</v>
      </c>
      <c r="F223" s="119" t="s">
        <v>815</v>
      </c>
      <c r="G223" s="120">
        <v>45910.458333333343</v>
      </c>
      <c r="H223" s="120">
        <v>45915.458333333343</v>
      </c>
      <c r="I223" s="119">
        <v>45922.458333333343</v>
      </c>
      <c r="J223" s="120">
        <v>45929.458333333343</v>
      </c>
      <c r="K223" s="119" t="s">
        <v>815</v>
      </c>
      <c r="L223" s="120">
        <v>45944.583333333343</v>
      </c>
      <c r="M223" s="120"/>
      <c r="N223" s="119">
        <v>45957.416666666657</v>
      </c>
      <c r="O223" s="119">
        <v>45964.583333333343</v>
      </c>
      <c r="P223" s="119">
        <v>45971.541666666657</v>
      </c>
      <c r="Q223" s="119">
        <v>45985.583333333343</v>
      </c>
      <c r="R223" s="119">
        <v>45992.541666666657</v>
      </c>
      <c r="S223" s="119">
        <v>45999.416666666657</v>
      </c>
      <c r="T223" s="119">
        <v>46006.458333333343</v>
      </c>
      <c r="U223" s="120">
        <v>46048.416666666657</v>
      </c>
      <c r="V223" s="121">
        <f t="shared" si="1"/>
        <v>46048.416666666657</v>
      </c>
      <c r="W223" s="122"/>
      <c r="X223" s="122"/>
      <c r="Y223" s="2"/>
    </row>
    <row r="224" spans="1:25" ht="15.75" customHeight="1">
      <c r="A224" s="108" t="s">
        <v>401</v>
      </c>
      <c r="B224" s="108" t="str">
        <f>IFERROR(VLOOKUP(A224&amp;"", STUDENTS!A:B, 2, 0), "")</f>
        <v>NGUYỄN LÝ KHÁNH HUY</v>
      </c>
      <c r="C224" s="109" t="s">
        <v>72</v>
      </c>
      <c r="D224" s="109" t="str">
        <f>IFERROR(VLOOKUP(C224, PIC!A:B, 2, 0), "")</f>
        <v>Thien Truong</v>
      </c>
      <c r="E224" s="110" t="s">
        <v>23</v>
      </c>
      <c r="F224" s="111">
        <v>46084.583333333343</v>
      </c>
      <c r="G224" s="112">
        <v>46099.458333333343</v>
      </c>
      <c r="H224" s="112" t="s">
        <v>815</v>
      </c>
      <c r="I224" s="111">
        <v>46119.458333333343</v>
      </c>
      <c r="J224" s="112">
        <v>46127.541666666657</v>
      </c>
      <c r="K224" s="111">
        <v>46134.583333333343</v>
      </c>
      <c r="L224" s="112"/>
      <c r="M224" s="112"/>
      <c r="N224" s="111"/>
      <c r="O224" s="111"/>
      <c r="P224" s="111"/>
      <c r="Q224" s="111"/>
      <c r="R224" s="111"/>
      <c r="S224" s="111"/>
      <c r="T224" s="111"/>
      <c r="U224" s="112"/>
      <c r="V224" s="113">
        <f t="shared" si="1"/>
        <v>46134.583333333343</v>
      </c>
      <c r="W224" s="114"/>
      <c r="X224" s="114"/>
      <c r="Y224" s="2"/>
    </row>
    <row r="225" spans="1:25" ht="15.75" customHeight="1">
      <c r="A225" s="116" t="s">
        <v>474</v>
      </c>
      <c r="B225" s="116" t="str">
        <f>IFERROR(VLOOKUP(A225&amp;"", STUDENTS!A:B, 2, 0), "")</f>
        <v>NGUYỄN THỊ NGỌC DUNG</v>
      </c>
      <c r="C225" s="117" t="s">
        <v>72</v>
      </c>
      <c r="D225" s="117" t="str">
        <f>IFERROR(VLOOKUP(C225, PIC!A:B, 2, 0), "")</f>
        <v>Thien Truong</v>
      </c>
      <c r="E225" s="118" t="s">
        <v>23</v>
      </c>
      <c r="F225" s="119"/>
      <c r="G225" s="120">
        <v>46099.458333333343</v>
      </c>
      <c r="H225" s="120">
        <v>46106.458333333343</v>
      </c>
      <c r="I225" s="119" t="s">
        <v>815</v>
      </c>
      <c r="J225" s="120">
        <v>46127.541666666657</v>
      </c>
      <c r="K225" s="119">
        <v>46134.583333333343</v>
      </c>
      <c r="L225" s="120"/>
      <c r="M225" s="120"/>
      <c r="N225" s="119"/>
      <c r="O225" s="119"/>
      <c r="P225" s="119"/>
      <c r="Q225" s="119"/>
      <c r="R225" s="119"/>
      <c r="S225" s="119"/>
      <c r="T225" s="119"/>
      <c r="U225" s="120"/>
      <c r="V225" s="121">
        <f t="shared" si="1"/>
        <v>46134.583333333343</v>
      </c>
      <c r="W225" s="122"/>
      <c r="X225" s="122"/>
      <c r="Y225" s="2"/>
    </row>
    <row r="226" spans="1:25" ht="15.75" customHeight="1">
      <c r="A226" s="108" t="s">
        <v>572</v>
      </c>
      <c r="B226" s="108" t="str">
        <f>IFERROR(VLOOKUP(A226&amp;"", STUDENTS!A:B, 2, 0), "")</f>
        <v>PHÙNG ĐÌNH HUY</v>
      </c>
      <c r="C226" s="109" t="s">
        <v>72</v>
      </c>
      <c r="D226" s="109" t="str">
        <f>IFERROR(VLOOKUP(C226, PIC!A:B, 2, 0), "")</f>
        <v>Thien Truong</v>
      </c>
      <c r="E226" s="110" t="s">
        <v>21</v>
      </c>
      <c r="F226" s="111">
        <v>45670.541666666657</v>
      </c>
      <c r="G226" s="112">
        <v>45679.375</v>
      </c>
      <c r="H226" s="112">
        <v>45698.458333333343</v>
      </c>
      <c r="I226" s="111">
        <v>45705.458333333343</v>
      </c>
      <c r="J226" s="112">
        <v>45712.541666666657</v>
      </c>
      <c r="K226" s="111">
        <v>45761.458333333343</v>
      </c>
      <c r="L226" s="112">
        <v>45769.458333333343</v>
      </c>
      <c r="M226" s="112">
        <v>45782.458333333343</v>
      </c>
      <c r="N226" s="111">
        <v>45789.458333333343</v>
      </c>
      <c r="O226" s="111">
        <v>45803.541666666657</v>
      </c>
      <c r="P226" s="111">
        <v>45812.416666666657</v>
      </c>
      <c r="Q226" s="111">
        <v>45832.375</v>
      </c>
      <c r="R226" s="111"/>
      <c r="S226" s="111"/>
      <c r="T226" s="111"/>
      <c r="U226" s="112"/>
      <c r="V226" s="113">
        <f t="shared" si="1"/>
        <v>45832.375</v>
      </c>
      <c r="W226" s="114"/>
      <c r="X226" s="114"/>
      <c r="Y226" s="2"/>
    </row>
    <row r="227" spans="1:25" ht="15.75" customHeight="1">
      <c r="A227" s="116" t="s">
        <v>572</v>
      </c>
      <c r="B227" s="116" t="str">
        <f>IFERROR(VLOOKUP(A227&amp;"", STUDENTS!A:B, 2, 0), "")</f>
        <v>PHÙNG ĐÌNH HUY</v>
      </c>
      <c r="C227" s="117" t="s">
        <v>72</v>
      </c>
      <c r="D227" s="117" t="str">
        <f>IFERROR(VLOOKUP(C227, PIC!A:B, 2, 0), "")</f>
        <v>Thien Truong</v>
      </c>
      <c r="E227" s="118" t="s">
        <v>22</v>
      </c>
      <c r="F227" s="119">
        <v>45866.541666666657</v>
      </c>
      <c r="G227" s="120">
        <v>45910.458333333343</v>
      </c>
      <c r="H227" s="120">
        <v>45915.458333333343</v>
      </c>
      <c r="I227" s="119">
        <v>45922.458333333343</v>
      </c>
      <c r="J227" s="120">
        <v>45929.458333333343</v>
      </c>
      <c r="K227" s="119">
        <v>45943.416666666657</v>
      </c>
      <c r="L227" s="120">
        <v>45944.583333333343</v>
      </c>
      <c r="M227" s="120"/>
      <c r="N227" s="119">
        <v>45957.416666666657</v>
      </c>
      <c r="O227" s="119">
        <v>45964.583333333343</v>
      </c>
      <c r="P227" s="119">
        <v>45971.541666666657</v>
      </c>
      <c r="Q227" s="119">
        <v>45985.583333333343</v>
      </c>
      <c r="R227" s="119">
        <v>45992.541666666657</v>
      </c>
      <c r="S227" s="119">
        <v>45999.416666666657</v>
      </c>
      <c r="T227" s="119" t="s">
        <v>815</v>
      </c>
      <c r="U227" s="120">
        <v>46048.416666666657</v>
      </c>
      <c r="V227" s="121">
        <f t="shared" si="1"/>
        <v>46048.416666666657</v>
      </c>
      <c r="W227" s="122"/>
      <c r="X227" s="122"/>
      <c r="Y227" s="2"/>
    </row>
    <row r="228" spans="1:25" ht="15.75" customHeight="1">
      <c r="A228" s="108" t="s">
        <v>576</v>
      </c>
      <c r="B228" s="108" t="str">
        <f>IFERROR(VLOOKUP(A228&amp;"", STUDENTS!A:B, 2, 0), "")</f>
        <v>QUÁCH NHẬT TRUNG</v>
      </c>
      <c r="C228" s="109" t="s">
        <v>72</v>
      </c>
      <c r="D228" s="109" t="str">
        <f>IFERROR(VLOOKUP(C228, PIC!A:B, 2, 0), "")</f>
        <v>Thien Truong</v>
      </c>
      <c r="E228" s="110" t="s">
        <v>21</v>
      </c>
      <c r="F228" s="111">
        <v>45670.541666666657</v>
      </c>
      <c r="G228" s="112">
        <v>45679.375</v>
      </c>
      <c r="H228" s="112">
        <v>45698.458333333343</v>
      </c>
      <c r="I228" s="111">
        <v>45705.458333333343</v>
      </c>
      <c r="J228" s="112">
        <v>45712.541666666657</v>
      </c>
      <c r="K228" s="111">
        <v>45761.458333333343</v>
      </c>
      <c r="L228" s="112">
        <v>45769.458333333343</v>
      </c>
      <c r="M228" s="112">
        <v>45782.458333333343</v>
      </c>
      <c r="N228" s="111" t="s">
        <v>815</v>
      </c>
      <c r="O228" s="111">
        <v>45803.541666666657</v>
      </c>
      <c r="P228" s="111">
        <v>45812.416666666657</v>
      </c>
      <c r="Q228" s="111">
        <v>45832.375</v>
      </c>
      <c r="R228" s="111"/>
      <c r="S228" s="111"/>
      <c r="T228" s="111"/>
      <c r="U228" s="112"/>
      <c r="V228" s="113">
        <f t="shared" si="1"/>
        <v>45832.375</v>
      </c>
      <c r="W228" s="114"/>
      <c r="X228" s="114"/>
      <c r="Y228" s="2"/>
    </row>
    <row r="229" spans="1:25" ht="15.75" customHeight="1">
      <c r="A229" s="116" t="s">
        <v>576</v>
      </c>
      <c r="B229" s="116" t="str">
        <f>IFERROR(VLOOKUP(A229&amp;"", STUDENTS!A:B, 2, 0), "")</f>
        <v>QUÁCH NHẬT TRUNG</v>
      </c>
      <c r="C229" s="117" t="s">
        <v>72</v>
      </c>
      <c r="D229" s="117" t="str">
        <f>IFERROR(VLOOKUP(C229, PIC!A:B, 2, 0), "")</f>
        <v>Thien Truong</v>
      </c>
      <c r="E229" s="118" t="s">
        <v>22</v>
      </c>
      <c r="F229" s="119">
        <v>45866.541666666657</v>
      </c>
      <c r="G229" s="120" t="s">
        <v>815</v>
      </c>
      <c r="H229" s="120">
        <v>45915.458333333343</v>
      </c>
      <c r="I229" s="119">
        <v>45922.458333333343</v>
      </c>
      <c r="J229" s="120">
        <v>45929.458333333343</v>
      </c>
      <c r="K229" s="119">
        <v>45943.416666666657</v>
      </c>
      <c r="L229" s="120">
        <v>45944.583333333343</v>
      </c>
      <c r="M229" s="120"/>
      <c r="N229" s="119">
        <v>45957.416666666657</v>
      </c>
      <c r="O229" s="119">
        <v>45964.583333333343</v>
      </c>
      <c r="P229" s="119">
        <v>45971.541666666657</v>
      </c>
      <c r="Q229" s="119">
        <v>45985.583333333343</v>
      </c>
      <c r="R229" s="119">
        <v>45992.541666666657</v>
      </c>
      <c r="S229" s="119">
        <v>45999.416666666657</v>
      </c>
      <c r="T229" s="119">
        <v>46006.458333333343</v>
      </c>
      <c r="U229" s="120">
        <v>46048.416666666657</v>
      </c>
      <c r="V229" s="121">
        <f t="shared" si="1"/>
        <v>46048.416666666657</v>
      </c>
      <c r="W229" s="122"/>
      <c r="X229" s="122"/>
      <c r="Y229" s="2"/>
    </row>
    <row r="230" spans="1:25" ht="15.75" customHeight="1">
      <c r="A230" s="108" t="s">
        <v>683</v>
      </c>
      <c r="B230" s="108" t="str">
        <f>IFERROR(VLOOKUP(A230&amp;"", STUDENTS!A:B, 2, 0), "")</f>
        <v>TRƯƠNG TRUNG THIÊN</v>
      </c>
      <c r="C230" s="109" t="s">
        <v>72</v>
      </c>
      <c r="D230" s="109" t="str">
        <f>IFERROR(VLOOKUP(C230, PIC!A:B, 2, 0), "")</f>
        <v>Thien Truong</v>
      </c>
      <c r="E230" s="110" t="s">
        <v>21</v>
      </c>
      <c r="F230" s="111">
        <v>45670.541666666657</v>
      </c>
      <c r="G230" s="112">
        <v>45679.375</v>
      </c>
      <c r="H230" s="112">
        <v>45698.458333333343</v>
      </c>
      <c r="I230" s="111">
        <v>45705.458333333343</v>
      </c>
      <c r="J230" s="112">
        <v>45712.541666666657</v>
      </c>
      <c r="K230" s="111">
        <v>45761.458333333343</v>
      </c>
      <c r="L230" s="112">
        <v>45769.458333333343</v>
      </c>
      <c r="M230" s="112">
        <v>45782.458333333343</v>
      </c>
      <c r="N230" s="111">
        <v>45789.458333333343</v>
      </c>
      <c r="O230" s="111" t="s">
        <v>815</v>
      </c>
      <c r="P230" s="111">
        <v>45812.416666666657</v>
      </c>
      <c r="Q230" s="111">
        <v>45832.375</v>
      </c>
      <c r="R230" s="111"/>
      <c r="S230" s="111"/>
      <c r="T230" s="111"/>
      <c r="U230" s="112"/>
      <c r="V230" s="113">
        <f t="shared" si="1"/>
        <v>45832.375</v>
      </c>
      <c r="W230" s="114"/>
      <c r="X230" s="114"/>
      <c r="Y230" s="2"/>
    </row>
    <row r="231" spans="1:25" ht="15.75" customHeight="1">
      <c r="A231" s="116" t="s">
        <v>683</v>
      </c>
      <c r="B231" s="116" t="str">
        <f>IFERROR(VLOOKUP(A231&amp;"", STUDENTS!A:B, 2, 0), "")</f>
        <v>TRƯƠNG TRUNG THIÊN</v>
      </c>
      <c r="C231" s="117" t="s">
        <v>72</v>
      </c>
      <c r="D231" s="117" t="str">
        <f>IFERROR(VLOOKUP(C231, PIC!A:B, 2, 0), "")</f>
        <v>Thien Truong</v>
      </c>
      <c r="E231" s="118" t="s">
        <v>22</v>
      </c>
      <c r="F231" s="119">
        <v>45866.541666666657</v>
      </c>
      <c r="G231" s="120" t="s">
        <v>815</v>
      </c>
      <c r="H231" s="120">
        <v>45915.458333333343</v>
      </c>
      <c r="I231" s="119">
        <v>45922.458333333343</v>
      </c>
      <c r="J231" s="120">
        <v>45929.458333333343</v>
      </c>
      <c r="K231" s="119">
        <v>45943.416666666657</v>
      </c>
      <c r="L231" s="120">
        <v>45944.583333333343</v>
      </c>
      <c r="M231" s="120"/>
      <c r="N231" s="119">
        <v>45957.416666666657</v>
      </c>
      <c r="O231" s="119">
        <v>45964.583333333343</v>
      </c>
      <c r="P231" s="119" t="s">
        <v>815</v>
      </c>
      <c r="Q231" s="119">
        <v>45985.583333333343</v>
      </c>
      <c r="R231" s="119">
        <v>45992.541666666657</v>
      </c>
      <c r="S231" s="119">
        <v>45999.416666666657</v>
      </c>
      <c r="T231" s="119">
        <v>46006.458333333343</v>
      </c>
      <c r="U231" s="120">
        <v>46048.416666666657</v>
      </c>
      <c r="V231" s="121">
        <f t="shared" si="1"/>
        <v>46048.416666666657</v>
      </c>
      <c r="W231" s="122"/>
      <c r="X231" s="122"/>
      <c r="Y231" s="2"/>
    </row>
    <row r="232" spans="1:25" ht="15.75" customHeight="1">
      <c r="A232" s="108" t="s">
        <v>683</v>
      </c>
      <c r="B232" s="108" t="str">
        <f>IFERROR(VLOOKUP(A232&amp;"", STUDENTS!A:B, 2, 0), "")</f>
        <v>TRƯƠNG TRUNG THIÊN</v>
      </c>
      <c r="C232" s="109" t="s">
        <v>72</v>
      </c>
      <c r="D232" s="109" t="str">
        <f>IFERROR(VLOOKUP(C232, PIC!A:B, 2, 0), "")</f>
        <v>Thien Truong</v>
      </c>
      <c r="E232" s="110" t="s">
        <v>23</v>
      </c>
      <c r="F232" s="111">
        <v>46084.583333333343</v>
      </c>
      <c r="G232" s="112">
        <v>46099.458333333343</v>
      </c>
      <c r="H232" s="112" t="s">
        <v>815</v>
      </c>
      <c r="I232" s="111">
        <v>46119.458333333343</v>
      </c>
      <c r="J232" s="112">
        <v>46127.541666666657</v>
      </c>
      <c r="K232" s="111">
        <v>46134.583333333343</v>
      </c>
      <c r="L232" s="112"/>
      <c r="M232" s="112"/>
      <c r="N232" s="111"/>
      <c r="O232" s="111"/>
      <c r="P232" s="111"/>
      <c r="Q232" s="111"/>
      <c r="R232" s="111"/>
      <c r="S232" s="111"/>
      <c r="T232" s="111"/>
      <c r="U232" s="112"/>
      <c r="V232" s="113">
        <f t="shared" si="1"/>
        <v>46134.583333333343</v>
      </c>
      <c r="W232" s="114"/>
      <c r="X232" s="114"/>
      <c r="Y232" s="2"/>
    </row>
    <row r="233" spans="1:25" ht="15.75" customHeight="1">
      <c r="A233" s="116" t="s">
        <v>309</v>
      </c>
      <c r="B233" s="116" t="str">
        <f>IFERROR(VLOOKUP(A233&amp;"", STUDENTS!A:B, 2, 0), "")</f>
        <v>LƯƠNG CÔNG KỲ</v>
      </c>
      <c r="C233" s="117" t="s">
        <v>73</v>
      </c>
      <c r="D233" s="117" t="str">
        <f>IFERROR(VLOOKUP(C233, PIC!A:B, 2, 0), "")</f>
        <v>Ky Luong</v>
      </c>
      <c r="E233" s="118" t="s">
        <v>21</v>
      </c>
      <c r="F233" s="119">
        <v>45765.375</v>
      </c>
      <c r="G233" s="120">
        <v>45783.416666666657</v>
      </c>
      <c r="H233" s="120">
        <v>45790.416666666657</v>
      </c>
      <c r="I233" s="119">
        <v>45804.416666666657</v>
      </c>
      <c r="J233" s="120">
        <v>45811.625</v>
      </c>
      <c r="K233" s="119">
        <v>45818.625</v>
      </c>
      <c r="L233" s="120">
        <v>45825.625</v>
      </c>
      <c r="M233" s="120">
        <v>45832.625</v>
      </c>
      <c r="N233" s="119">
        <v>45846.625</v>
      </c>
      <c r="O233" s="119">
        <v>45867.583333333343</v>
      </c>
      <c r="P233" s="119"/>
      <c r="Q233" s="119"/>
      <c r="R233" s="119"/>
      <c r="S233" s="119"/>
      <c r="T233" s="119"/>
      <c r="U233" s="120"/>
      <c r="V233" s="121">
        <f t="shared" si="1"/>
        <v>45867.583333333343</v>
      </c>
      <c r="W233" s="122"/>
      <c r="X233" s="122"/>
      <c r="Y233" s="2"/>
    </row>
    <row r="234" spans="1:25" ht="15.75" customHeight="1">
      <c r="A234" s="108" t="s">
        <v>332</v>
      </c>
      <c r="B234" s="108" t="str">
        <f>IFERROR(VLOOKUP(A234&amp;"", STUDENTS!A:B, 2, 0), "")</f>
        <v>NGUYỄN BÁ NGỌC</v>
      </c>
      <c r="C234" s="109" t="s">
        <v>73</v>
      </c>
      <c r="D234" s="109" t="str">
        <f>IFERROR(VLOOKUP(C234, PIC!A:B, 2, 0), "")</f>
        <v>Ky Luong</v>
      </c>
      <c r="E234" s="110" t="s">
        <v>21</v>
      </c>
      <c r="F234" s="111">
        <v>45765.375</v>
      </c>
      <c r="G234" s="112">
        <v>45783.416666666657</v>
      </c>
      <c r="H234" s="112">
        <v>45790.416666666657</v>
      </c>
      <c r="I234" s="111">
        <v>45804.416666666657</v>
      </c>
      <c r="J234" s="112">
        <v>45811.625</v>
      </c>
      <c r="K234" s="111">
        <v>45818.625</v>
      </c>
      <c r="L234" s="112">
        <v>45825.625</v>
      </c>
      <c r="M234" s="112">
        <v>45832.625</v>
      </c>
      <c r="N234" s="111">
        <v>45846.625</v>
      </c>
      <c r="O234" s="111">
        <v>45867.583333333343</v>
      </c>
      <c r="P234" s="111"/>
      <c r="Q234" s="111"/>
      <c r="R234" s="111"/>
      <c r="S234" s="111"/>
      <c r="T234" s="111"/>
      <c r="U234" s="112"/>
      <c r="V234" s="113">
        <f t="shared" si="1"/>
        <v>45867.583333333343</v>
      </c>
      <c r="W234" s="114"/>
      <c r="X234" s="114"/>
      <c r="Y234" s="2"/>
    </row>
    <row r="235" spans="1:25" ht="15.75" customHeight="1">
      <c r="A235" s="116" t="s">
        <v>419</v>
      </c>
      <c r="B235" s="116" t="str">
        <f>IFERROR(VLOOKUP(A235&amp;"", STUDENTS!A:B, 2, 0), "")</f>
        <v>NGUYỄN NHẬT HÀO</v>
      </c>
      <c r="C235" s="117" t="s">
        <v>73</v>
      </c>
      <c r="D235" s="117" t="str">
        <f>IFERROR(VLOOKUP(C235, PIC!A:B, 2, 0), "")</f>
        <v>Ky Luong</v>
      </c>
      <c r="E235" s="118" t="s">
        <v>21</v>
      </c>
      <c r="F235" s="119">
        <v>45765.375</v>
      </c>
      <c r="G235" s="120">
        <v>45783.416666666657</v>
      </c>
      <c r="H235" s="120">
        <v>45790.416666666657</v>
      </c>
      <c r="I235" s="119">
        <v>45804.416666666657</v>
      </c>
      <c r="J235" s="120">
        <v>45811.625</v>
      </c>
      <c r="K235" s="119">
        <v>45818.625</v>
      </c>
      <c r="L235" s="120">
        <v>45825.625</v>
      </c>
      <c r="M235" s="120">
        <v>45832.625</v>
      </c>
      <c r="N235" s="119">
        <v>45846.625</v>
      </c>
      <c r="O235" s="119">
        <v>45867.583333333343</v>
      </c>
      <c r="P235" s="119"/>
      <c r="Q235" s="119"/>
      <c r="R235" s="119"/>
      <c r="S235" s="119"/>
      <c r="T235" s="119"/>
      <c r="U235" s="120"/>
      <c r="V235" s="121">
        <f t="shared" si="1"/>
        <v>45867.583333333343</v>
      </c>
      <c r="W235" s="122"/>
      <c r="X235" s="122"/>
      <c r="Y235" s="2"/>
    </row>
    <row r="236" spans="1:25" ht="15.75" customHeight="1">
      <c r="A236" s="108" t="s">
        <v>562</v>
      </c>
      <c r="B236" s="108" t="str">
        <f>IFERROR(VLOOKUP(A236&amp;"", STUDENTS!A:B, 2, 0), "")</f>
        <v>PHAN HUY NHÂN</v>
      </c>
      <c r="C236" s="109" t="s">
        <v>73</v>
      </c>
      <c r="D236" s="109" t="str">
        <f>IFERROR(VLOOKUP(C236, PIC!A:B, 2, 0), "")</f>
        <v>Ky Luong</v>
      </c>
      <c r="E236" s="110" t="s">
        <v>21</v>
      </c>
      <c r="F236" s="111">
        <v>45765.375</v>
      </c>
      <c r="G236" s="112">
        <v>45783.416666666657</v>
      </c>
      <c r="H236" s="112">
        <v>45790.416666666657</v>
      </c>
      <c r="I236" s="111">
        <v>45804.416666666657</v>
      </c>
      <c r="J236" s="112">
        <v>45811.625</v>
      </c>
      <c r="K236" s="111">
        <v>45818.625</v>
      </c>
      <c r="L236" s="112">
        <v>45825.625</v>
      </c>
      <c r="M236" s="112" t="s">
        <v>815</v>
      </c>
      <c r="N236" s="111">
        <v>45846.625</v>
      </c>
      <c r="O236" s="111">
        <v>45867.583333333343</v>
      </c>
      <c r="P236" s="111"/>
      <c r="Q236" s="111"/>
      <c r="R236" s="111"/>
      <c r="S236" s="111"/>
      <c r="T236" s="111"/>
      <c r="U236" s="112"/>
      <c r="V236" s="113">
        <f t="shared" si="1"/>
        <v>45867.583333333343</v>
      </c>
      <c r="W236" s="114"/>
      <c r="X236" s="114"/>
      <c r="Y236" s="2"/>
    </row>
    <row r="237" spans="1:25" ht="15.75" customHeight="1">
      <c r="A237" s="116" t="s">
        <v>693</v>
      </c>
      <c r="B237" s="116" t="str">
        <f>IFERROR(VLOOKUP(A237&amp;"", STUDENTS!A:B, 2, 0), "")</f>
        <v>VÕ CHÍ THIỆN</v>
      </c>
      <c r="C237" s="117" t="s">
        <v>73</v>
      </c>
      <c r="D237" s="117" t="str">
        <f>IFERROR(VLOOKUP(C237, PIC!A:B, 2, 0), "")</f>
        <v>Ky Luong</v>
      </c>
      <c r="E237" s="118" t="s">
        <v>21</v>
      </c>
      <c r="F237" s="119">
        <v>45765.375</v>
      </c>
      <c r="G237" s="120">
        <v>45783.416666666657</v>
      </c>
      <c r="H237" s="120">
        <v>45790.416666666657</v>
      </c>
      <c r="I237" s="119">
        <v>45804.416666666657</v>
      </c>
      <c r="J237" s="120">
        <v>45811.625</v>
      </c>
      <c r="K237" s="119">
        <v>45818.625</v>
      </c>
      <c r="L237" s="120">
        <v>45825.625</v>
      </c>
      <c r="M237" s="120">
        <v>45832.625</v>
      </c>
      <c r="N237" s="119">
        <v>45846.625</v>
      </c>
      <c r="O237" s="119">
        <v>45867.583333333343</v>
      </c>
      <c r="P237" s="119"/>
      <c r="Q237" s="119"/>
      <c r="R237" s="119"/>
      <c r="S237" s="119"/>
      <c r="T237" s="119"/>
      <c r="U237" s="120"/>
      <c r="V237" s="121">
        <f t="shared" si="1"/>
        <v>45867.583333333343</v>
      </c>
      <c r="W237" s="122"/>
      <c r="X237" s="122"/>
      <c r="Y237" s="2"/>
    </row>
    <row r="238" spans="1:25" ht="15.75" customHeight="1">
      <c r="A238" s="108" t="s">
        <v>186</v>
      </c>
      <c r="B238" s="108" t="str">
        <f>IFERROR(VLOOKUP(A238&amp;"", STUDENTS!A:B, 2, 0), "")</f>
        <v>ĐOÀN ANH MINH</v>
      </c>
      <c r="C238" s="109" t="s">
        <v>74</v>
      </c>
      <c r="D238" s="109" t="str">
        <f>IFERROR(VLOOKUP(C238, PIC!A:B, 2, 0), "")</f>
        <v>Dung Hoang</v>
      </c>
      <c r="E238" s="110" t="s">
        <v>21</v>
      </c>
      <c r="F238" s="111">
        <v>45813.375</v>
      </c>
      <c r="G238" s="112">
        <v>45818.375</v>
      </c>
      <c r="H238" s="112">
        <v>45827.375</v>
      </c>
      <c r="I238" s="111">
        <v>45831.375</v>
      </c>
      <c r="J238" s="112">
        <v>45917.458333333343</v>
      </c>
      <c r="K238" s="111">
        <v>45923.458333333343</v>
      </c>
      <c r="L238" s="112">
        <v>45926.625</v>
      </c>
      <c r="M238" s="112">
        <v>45939.583333333343</v>
      </c>
      <c r="N238" s="111">
        <v>45940.541666666657</v>
      </c>
      <c r="O238" s="111">
        <v>45947.458333333343</v>
      </c>
      <c r="P238" s="111">
        <v>45957.583333333343</v>
      </c>
      <c r="Q238" s="111">
        <v>45964.458333333343</v>
      </c>
      <c r="R238" s="111">
        <v>45971.583333333343</v>
      </c>
      <c r="S238" s="111">
        <v>45985.416666666657</v>
      </c>
      <c r="T238" s="111"/>
      <c r="U238" s="112"/>
      <c r="V238" s="113">
        <f t="shared" si="1"/>
        <v>45985.416666666657</v>
      </c>
      <c r="W238" s="114"/>
      <c r="X238" s="114"/>
      <c r="Y238" s="2"/>
    </row>
    <row r="239" spans="1:25" ht="15.75" customHeight="1">
      <c r="A239" s="116" t="s">
        <v>186</v>
      </c>
      <c r="B239" s="116" t="str">
        <f>IFERROR(VLOOKUP(A239&amp;"", STUDENTS!A:B, 2, 0), "")</f>
        <v>ĐOÀN ANH MINH</v>
      </c>
      <c r="C239" s="117" t="s">
        <v>74</v>
      </c>
      <c r="D239" s="117" t="str">
        <f>IFERROR(VLOOKUP(C239, PIC!A:B, 2, 0), "")</f>
        <v>Dung Hoang</v>
      </c>
      <c r="E239" s="118" t="s">
        <v>22</v>
      </c>
      <c r="F239" s="119"/>
      <c r="G239" s="120">
        <v>46106.416666666657</v>
      </c>
      <c r="H239" s="120" t="s">
        <v>815</v>
      </c>
      <c r="I239" s="119">
        <v>46119.583333333343</v>
      </c>
      <c r="J239" s="120">
        <v>46126.416666666657</v>
      </c>
      <c r="K239" s="119">
        <v>46135.416666666657</v>
      </c>
      <c r="L239" s="120"/>
      <c r="M239" s="120"/>
      <c r="N239" s="119"/>
      <c r="O239" s="119"/>
      <c r="P239" s="119"/>
      <c r="Q239" s="119"/>
      <c r="R239" s="119"/>
      <c r="S239" s="119"/>
      <c r="T239" s="119"/>
      <c r="U239" s="120"/>
      <c r="V239" s="121">
        <f t="shared" si="1"/>
        <v>46135.416666666657</v>
      </c>
      <c r="W239" s="122"/>
      <c r="X239" s="122"/>
      <c r="Y239" s="2"/>
    </row>
    <row r="240" spans="1:25" ht="15.75" customHeight="1">
      <c r="A240" s="108" t="s">
        <v>186</v>
      </c>
      <c r="B240" s="108" t="str">
        <f>IFERROR(VLOOKUP(A240&amp;"", STUDENTS!A:B, 2, 0), "")</f>
        <v>ĐOÀN ANH MINH</v>
      </c>
      <c r="C240" s="109" t="s">
        <v>74</v>
      </c>
      <c r="D240" s="109" t="str">
        <f>IFERROR(VLOOKUP(C240, PIC!A:B, 2, 0), "")</f>
        <v>Dung Hoang</v>
      </c>
      <c r="E240" s="110" t="s">
        <v>25</v>
      </c>
      <c r="F240" s="111">
        <v>45818.375</v>
      </c>
      <c r="G240" s="112">
        <v>45827.375</v>
      </c>
      <c r="H240" s="112">
        <v>45831.375</v>
      </c>
      <c r="I240" s="111">
        <v>45840.458333333343</v>
      </c>
      <c r="J240" s="112">
        <v>45852.458333333343</v>
      </c>
      <c r="K240" s="111">
        <v>45855.458333333343</v>
      </c>
      <c r="L240" s="112">
        <v>45866.458333333343</v>
      </c>
      <c r="M240" s="112">
        <v>45881.625</v>
      </c>
      <c r="N240" s="111">
        <v>45884.583333333343</v>
      </c>
      <c r="O240" s="111">
        <v>45884.625</v>
      </c>
      <c r="P240" s="111">
        <v>45887.416666666657</v>
      </c>
      <c r="Q240" s="111">
        <v>45903.458333333343</v>
      </c>
      <c r="R240" s="111">
        <v>45904.458333333343</v>
      </c>
      <c r="S240" s="111">
        <v>45909.458333333343</v>
      </c>
      <c r="T240" s="111">
        <v>45989.625</v>
      </c>
      <c r="U240" s="112">
        <v>46041.416666666657</v>
      </c>
      <c r="V240" s="113">
        <f t="shared" si="1"/>
        <v>46041.416666666657</v>
      </c>
      <c r="W240" s="114"/>
      <c r="X240" s="114"/>
      <c r="Y240" s="2"/>
    </row>
    <row r="241" spans="1:25" ht="15.75" customHeight="1">
      <c r="A241" s="116" t="s">
        <v>224</v>
      </c>
      <c r="B241" s="116" t="str">
        <f>IFERROR(VLOOKUP(A241&amp;"", STUDENTS!A:B, 2, 0), "")</f>
        <v>HOÀNG TIẾN DŨNG</v>
      </c>
      <c r="C241" s="117" t="s">
        <v>74</v>
      </c>
      <c r="D241" s="117" t="str">
        <f>IFERROR(VLOOKUP(C241, PIC!A:B, 2, 0), "")</f>
        <v>Dung Hoang</v>
      </c>
      <c r="E241" s="118" t="s">
        <v>21</v>
      </c>
      <c r="F241" s="119">
        <v>45813.375</v>
      </c>
      <c r="G241" s="120">
        <v>45818.375</v>
      </c>
      <c r="H241" s="120">
        <v>45827.375</v>
      </c>
      <c r="I241" s="119" t="s">
        <v>815</v>
      </c>
      <c r="J241" s="120">
        <v>45917.458333333343</v>
      </c>
      <c r="K241" s="119">
        <v>45923.458333333343</v>
      </c>
      <c r="L241" s="120">
        <v>45926.625</v>
      </c>
      <c r="M241" s="120">
        <v>45939.583333333343</v>
      </c>
      <c r="N241" s="119">
        <v>45940.541666666657</v>
      </c>
      <c r="O241" s="119">
        <v>45947.458333333343</v>
      </c>
      <c r="P241" s="119">
        <v>45957.583333333343</v>
      </c>
      <c r="Q241" s="119">
        <v>45964.458333333343</v>
      </c>
      <c r="R241" s="119">
        <v>45971.583333333343</v>
      </c>
      <c r="S241" s="119">
        <v>45985.416666666657</v>
      </c>
      <c r="T241" s="119"/>
      <c r="U241" s="120"/>
      <c r="V241" s="121">
        <f t="shared" si="1"/>
        <v>45985.416666666657</v>
      </c>
      <c r="W241" s="122"/>
      <c r="X241" s="122"/>
      <c r="Y241" s="2"/>
    </row>
    <row r="242" spans="1:25" ht="15.75" customHeight="1">
      <c r="A242" s="108" t="s">
        <v>224</v>
      </c>
      <c r="B242" s="108" t="str">
        <f>IFERROR(VLOOKUP(A242&amp;"", STUDENTS!A:B, 2, 0), "")</f>
        <v>HOÀNG TIẾN DŨNG</v>
      </c>
      <c r="C242" s="109" t="s">
        <v>74</v>
      </c>
      <c r="D242" s="109" t="str">
        <f>IFERROR(VLOOKUP(C242, PIC!A:B, 2, 0), "")</f>
        <v>Dung Hoang</v>
      </c>
      <c r="E242" s="110" t="s">
        <v>22</v>
      </c>
      <c r="F242" s="111"/>
      <c r="G242" s="112">
        <v>46106.416666666657</v>
      </c>
      <c r="H242" s="112">
        <v>46114.458333333343</v>
      </c>
      <c r="I242" s="111">
        <v>46119.583333333343</v>
      </c>
      <c r="J242" s="112">
        <v>46126.416666666657</v>
      </c>
      <c r="K242" s="111">
        <v>46135.416666666657</v>
      </c>
      <c r="L242" s="112"/>
      <c r="M242" s="112"/>
      <c r="N242" s="111"/>
      <c r="O242" s="111"/>
      <c r="P242" s="111"/>
      <c r="Q242" s="111"/>
      <c r="R242" s="111"/>
      <c r="S242" s="111"/>
      <c r="T242" s="111"/>
      <c r="U242" s="112"/>
      <c r="V242" s="113">
        <f t="shared" si="1"/>
        <v>46135.416666666657</v>
      </c>
      <c r="W242" s="114"/>
      <c r="X242" s="114"/>
      <c r="Y242" s="2"/>
    </row>
    <row r="243" spans="1:25" ht="15.75" customHeight="1">
      <c r="A243" s="116" t="s">
        <v>224</v>
      </c>
      <c r="B243" s="116" t="str">
        <f>IFERROR(VLOOKUP(A243&amp;"", STUDENTS!A:B, 2, 0), "")</f>
        <v>HOÀNG TIẾN DŨNG</v>
      </c>
      <c r="C243" s="117" t="s">
        <v>74</v>
      </c>
      <c r="D243" s="117" t="str">
        <f>IFERROR(VLOOKUP(C243, PIC!A:B, 2, 0), "")</f>
        <v>Dung Hoang</v>
      </c>
      <c r="E243" s="118" t="s">
        <v>25</v>
      </c>
      <c r="F243" s="119">
        <v>45818.375</v>
      </c>
      <c r="G243" s="120">
        <v>45827.375</v>
      </c>
      <c r="H243" s="120" t="s">
        <v>815</v>
      </c>
      <c r="I243" s="119">
        <v>45840.458333333343</v>
      </c>
      <c r="J243" s="120">
        <v>45852.458333333343</v>
      </c>
      <c r="K243" s="119">
        <v>45855.458333333343</v>
      </c>
      <c r="L243" s="120">
        <v>45866.458333333343</v>
      </c>
      <c r="M243" s="120">
        <v>45881.625</v>
      </c>
      <c r="N243" s="119">
        <v>45884.583333333343</v>
      </c>
      <c r="O243" s="119">
        <v>45884.625</v>
      </c>
      <c r="P243" s="119">
        <v>45887.416666666657</v>
      </c>
      <c r="Q243" s="119">
        <v>45903.458333333343</v>
      </c>
      <c r="R243" s="119">
        <v>45904.458333333343</v>
      </c>
      <c r="S243" s="119">
        <v>45909.458333333343</v>
      </c>
      <c r="T243" s="119">
        <v>45989.625</v>
      </c>
      <c r="U243" s="120">
        <v>46041.416666666657</v>
      </c>
      <c r="V243" s="121">
        <f t="shared" si="1"/>
        <v>46041.416666666657</v>
      </c>
      <c r="W243" s="122"/>
      <c r="X243" s="122"/>
      <c r="Y243" s="2"/>
    </row>
    <row r="244" spans="1:25" ht="15.75" customHeight="1">
      <c r="A244" s="108" t="s">
        <v>382</v>
      </c>
      <c r="B244" s="108" t="str">
        <f>IFERROR(VLOOKUP(A244&amp;"", STUDENTS!A:B, 2, 0), "")</f>
        <v>NGUYỄN HOÀNG PHÚC</v>
      </c>
      <c r="C244" s="109" t="s">
        <v>74</v>
      </c>
      <c r="D244" s="109" t="str">
        <f>IFERROR(VLOOKUP(C244, PIC!A:B, 2, 0), "")</f>
        <v>Dung Hoang</v>
      </c>
      <c r="E244" s="110" t="s">
        <v>21</v>
      </c>
      <c r="F244" s="111" t="s">
        <v>815</v>
      </c>
      <c r="G244" s="112">
        <v>45818.375</v>
      </c>
      <c r="H244" s="112">
        <v>45827.375</v>
      </c>
      <c r="I244" s="111" t="s">
        <v>815</v>
      </c>
      <c r="J244" s="112">
        <v>45917.458333333343</v>
      </c>
      <c r="K244" s="111">
        <v>45923.458333333343</v>
      </c>
      <c r="L244" s="112">
        <v>45926.625</v>
      </c>
      <c r="M244" s="112">
        <v>45939.583333333343</v>
      </c>
      <c r="N244" s="111" t="s">
        <v>815</v>
      </c>
      <c r="O244" s="111">
        <v>45947.458333333343</v>
      </c>
      <c r="P244" s="111">
        <v>45957.583333333343</v>
      </c>
      <c r="Q244" s="111">
        <v>45964.458333333343</v>
      </c>
      <c r="R244" s="111" t="s">
        <v>815</v>
      </c>
      <c r="S244" s="111">
        <v>45985.416666666657</v>
      </c>
      <c r="T244" s="111"/>
      <c r="U244" s="112"/>
      <c r="V244" s="113">
        <f t="shared" si="1"/>
        <v>45985.416666666657</v>
      </c>
      <c r="W244" s="114"/>
      <c r="X244" s="114"/>
      <c r="Y244" s="2"/>
    </row>
    <row r="245" spans="1:25" ht="15.75" customHeight="1">
      <c r="A245" s="116" t="s">
        <v>382</v>
      </c>
      <c r="B245" s="116" t="str">
        <f>IFERROR(VLOOKUP(A245&amp;"", STUDENTS!A:B, 2, 0), "")</f>
        <v>NGUYỄN HOÀNG PHÚC</v>
      </c>
      <c r="C245" s="117" t="s">
        <v>74</v>
      </c>
      <c r="D245" s="117" t="str">
        <f>IFERROR(VLOOKUP(C245, PIC!A:B, 2, 0), "")</f>
        <v>Dung Hoang</v>
      </c>
      <c r="E245" s="118" t="s">
        <v>22</v>
      </c>
      <c r="F245" s="119"/>
      <c r="G245" s="120">
        <v>46106.416666666657</v>
      </c>
      <c r="H245" s="120">
        <v>46114.458333333343</v>
      </c>
      <c r="I245" s="119">
        <v>46119.583333333343</v>
      </c>
      <c r="J245" s="120">
        <v>46126.416666666657</v>
      </c>
      <c r="K245" s="119">
        <v>46135.416666666657</v>
      </c>
      <c r="L245" s="120"/>
      <c r="M245" s="120"/>
      <c r="N245" s="119"/>
      <c r="O245" s="119"/>
      <c r="P245" s="119"/>
      <c r="Q245" s="119"/>
      <c r="R245" s="119"/>
      <c r="S245" s="119"/>
      <c r="T245" s="119"/>
      <c r="U245" s="120"/>
      <c r="V245" s="121">
        <f t="shared" si="1"/>
        <v>46135.416666666657</v>
      </c>
      <c r="W245" s="122"/>
      <c r="X245" s="122"/>
      <c r="Y245" s="2"/>
    </row>
    <row r="246" spans="1:25" ht="15.75" customHeight="1">
      <c r="A246" s="108" t="s">
        <v>382</v>
      </c>
      <c r="B246" s="108" t="str">
        <f>IFERROR(VLOOKUP(A246&amp;"", STUDENTS!A:B, 2, 0), "")</f>
        <v>NGUYỄN HOÀNG PHÚC</v>
      </c>
      <c r="C246" s="109" t="s">
        <v>74</v>
      </c>
      <c r="D246" s="109" t="str">
        <f>IFERROR(VLOOKUP(C246, PIC!A:B, 2, 0), "")</f>
        <v>Dung Hoang</v>
      </c>
      <c r="E246" s="110" t="s">
        <v>25</v>
      </c>
      <c r="F246" s="111">
        <v>45818.375</v>
      </c>
      <c r="G246" s="112">
        <v>45827.375</v>
      </c>
      <c r="H246" s="112" t="s">
        <v>815</v>
      </c>
      <c r="I246" s="111">
        <v>45840.458333333343</v>
      </c>
      <c r="J246" s="112">
        <v>45852.458333333343</v>
      </c>
      <c r="K246" s="111">
        <v>45855.458333333343</v>
      </c>
      <c r="L246" s="112">
        <v>45866.458333333343</v>
      </c>
      <c r="M246" s="112">
        <v>45881.625</v>
      </c>
      <c r="N246" s="111">
        <v>45884.583333333343</v>
      </c>
      <c r="O246" s="111">
        <v>45884.625</v>
      </c>
      <c r="P246" s="111">
        <v>45887.416666666657</v>
      </c>
      <c r="Q246" s="111">
        <v>45903.458333333343</v>
      </c>
      <c r="R246" s="111">
        <v>45904.458333333343</v>
      </c>
      <c r="S246" s="111">
        <v>45909.458333333343</v>
      </c>
      <c r="T246" s="111">
        <v>45989.625</v>
      </c>
      <c r="U246" s="112">
        <v>46041.416666666657</v>
      </c>
      <c r="V246" s="113">
        <f t="shared" si="1"/>
        <v>46041.416666666657</v>
      </c>
      <c r="W246" s="114"/>
      <c r="X246" s="114"/>
      <c r="Y246" s="2"/>
    </row>
    <row r="247" spans="1:25" ht="15.75" customHeight="1">
      <c r="A247" s="116" t="s">
        <v>425</v>
      </c>
      <c r="B247" s="116" t="str">
        <f>IFERROR(VLOOKUP(A247&amp;"", STUDENTS!A:B, 2, 0), "")</f>
        <v>NGUYỄN PHÚC THANH TOÀN</v>
      </c>
      <c r="C247" s="117" t="s">
        <v>74</v>
      </c>
      <c r="D247" s="117" t="str">
        <f>IFERROR(VLOOKUP(C247, PIC!A:B, 2, 0), "")</f>
        <v>Dung Hoang</v>
      </c>
      <c r="E247" s="118" t="s">
        <v>21</v>
      </c>
      <c r="F247" s="119">
        <v>45813.375</v>
      </c>
      <c r="G247" s="120">
        <v>45818.375</v>
      </c>
      <c r="H247" s="120">
        <v>45827.375</v>
      </c>
      <c r="I247" s="119">
        <v>45831.375</v>
      </c>
      <c r="J247" s="120">
        <v>45917.458333333343</v>
      </c>
      <c r="K247" s="119">
        <v>45923.458333333343</v>
      </c>
      <c r="L247" s="120">
        <v>45926.625</v>
      </c>
      <c r="M247" s="120">
        <v>45939.583333333343</v>
      </c>
      <c r="N247" s="119">
        <v>45940.541666666657</v>
      </c>
      <c r="O247" s="119">
        <v>45947.458333333343</v>
      </c>
      <c r="P247" s="119">
        <v>45957.583333333343</v>
      </c>
      <c r="Q247" s="119">
        <v>45964.458333333343</v>
      </c>
      <c r="R247" s="119">
        <v>45971.583333333343</v>
      </c>
      <c r="S247" s="119">
        <v>45985.416666666657</v>
      </c>
      <c r="T247" s="119"/>
      <c r="U247" s="120"/>
      <c r="V247" s="121">
        <f t="shared" si="1"/>
        <v>45985.416666666657</v>
      </c>
      <c r="W247" s="122"/>
      <c r="X247" s="122"/>
      <c r="Y247" s="2"/>
    </row>
    <row r="248" spans="1:25" ht="15.75" customHeight="1">
      <c r="A248" s="108" t="s">
        <v>425</v>
      </c>
      <c r="B248" s="108" t="str">
        <f>IFERROR(VLOOKUP(A248&amp;"", STUDENTS!A:B, 2, 0), "")</f>
        <v>NGUYỄN PHÚC THANH TOÀN</v>
      </c>
      <c r="C248" s="109" t="s">
        <v>74</v>
      </c>
      <c r="D248" s="109" t="str">
        <f>IFERROR(VLOOKUP(C248, PIC!A:B, 2, 0), "")</f>
        <v>Dung Hoang</v>
      </c>
      <c r="E248" s="110" t="s">
        <v>22</v>
      </c>
      <c r="F248" s="111"/>
      <c r="G248" s="112">
        <v>46106.416666666657</v>
      </c>
      <c r="H248" s="112">
        <v>46114.458333333343</v>
      </c>
      <c r="I248" s="111">
        <v>46119.583333333343</v>
      </c>
      <c r="J248" s="112">
        <v>46126.416666666657</v>
      </c>
      <c r="K248" s="111">
        <v>46135.416666666657</v>
      </c>
      <c r="L248" s="112"/>
      <c r="M248" s="112"/>
      <c r="N248" s="111"/>
      <c r="O248" s="111"/>
      <c r="P248" s="111"/>
      <c r="Q248" s="111"/>
      <c r="R248" s="111"/>
      <c r="S248" s="111"/>
      <c r="T248" s="111"/>
      <c r="U248" s="112"/>
      <c r="V248" s="113">
        <f t="shared" si="1"/>
        <v>46135.416666666657</v>
      </c>
      <c r="W248" s="114"/>
      <c r="X248" s="114"/>
      <c r="Y248" s="2"/>
    </row>
    <row r="249" spans="1:25" ht="15.75" customHeight="1">
      <c r="A249" s="116" t="s">
        <v>425</v>
      </c>
      <c r="B249" s="116" t="str">
        <f>IFERROR(VLOOKUP(A249&amp;"", STUDENTS!A:B, 2, 0), "")</f>
        <v>NGUYỄN PHÚC THANH TOÀN</v>
      </c>
      <c r="C249" s="117" t="s">
        <v>74</v>
      </c>
      <c r="D249" s="117" t="str">
        <f>IFERROR(VLOOKUP(C249, PIC!A:B, 2, 0), "")</f>
        <v>Dung Hoang</v>
      </c>
      <c r="E249" s="118" t="s">
        <v>25</v>
      </c>
      <c r="F249" s="119">
        <v>45818.375</v>
      </c>
      <c r="G249" s="120">
        <v>45827.375</v>
      </c>
      <c r="H249" s="120">
        <v>45831.375</v>
      </c>
      <c r="I249" s="119">
        <v>45840.458333333343</v>
      </c>
      <c r="J249" s="120">
        <v>45852.458333333343</v>
      </c>
      <c r="K249" s="119">
        <v>45855.458333333343</v>
      </c>
      <c r="L249" s="120">
        <v>45866.458333333343</v>
      </c>
      <c r="M249" s="120" t="s">
        <v>815</v>
      </c>
      <c r="N249" s="119">
        <v>45884.583333333343</v>
      </c>
      <c r="O249" s="119">
        <v>45884.625</v>
      </c>
      <c r="P249" s="119">
        <v>45887.416666666657</v>
      </c>
      <c r="Q249" s="119">
        <v>45903.458333333343</v>
      </c>
      <c r="R249" s="119">
        <v>45904.458333333343</v>
      </c>
      <c r="S249" s="119">
        <v>45909.458333333343</v>
      </c>
      <c r="T249" s="119">
        <v>45989.625</v>
      </c>
      <c r="U249" s="120">
        <v>46041.416666666657</v>
      </c>
      <c r="V249" s="121">
        <f t="shared" si="1"/>
        <v>46041.416666666657</v>
      </c>
      <c r="W249" s="122"/>
      <c r="X249" s="122"/>
      <c r="Y249" s="2"/>
    </row>
    <row r="250" spans="1:25" ht="15.75" customHeight="1">
      <c r="A250" s="108" t="s">
        <v>431</v>
      </c>
      <c r="B250" s="108" t="str">
        <f>IFERROR(VLOOKUP(A250&amp;"", STUDENTS!A:B, 2, 0), "")</f>
        <v>NGUYỄN QUANG TRUNG</v>
      </c>
      <c r="C250" s="109" t="s">
        <v>74</v>
      </c>
      <c r="D250" s="109" t="str">
        <f>IFERROR(VLOOKUP(C250, PIC!A:B, 2, 0), "")</f>
        <v>Dung Hoang</v>
      </c>
      <c r="E250" s="110" t="s">
        <v>21</v>
      </c>
      <c r="F250" s="111">
        <v>45813.375</v>
      </c>
      <c r="G250" s="112">
        <v>45818.375</v>
      </c>
      <c r="H250" s="112">
        <v>45827.375</v>
      </c>
      <c r="I250" s="111">
        <v>45831.375</v>
      </c>
      <c r="J250" s="112">
        <v>45917.458333333343</v>
      </c>
      <c r="K250" s="111">
        <v>45923.458333333343</v>
      </c>
      <c r="L250" s="112">
        <v>45926.625</v>
      </c>
      <c r="M250" s="112">
        <v>45939.583333333343</v>
      </c>
      <c r="N250" s="111">
        <v>45940.541666666657</v>
      </c>
      <c r="O250" s="111">
        <v>45947.458333333343</v>
      </c>
      <c r="P250" s="111">
        <v>45957.583333333343</v>
      </c>
      <c r="Q250" s="111">
        <v>45964.458333333343</v>
      </c>
      <c r="R250" s="111">
        <v>45971.583333333343</v>
      </c>
      <c r="S250" s="111">
        <v>45985.416666666657</v>
      </c>
      <c r="T250" s="111"/>
      <c r="U250" s="112"/>
      <c r="V250" s="113">
        <f t="shared" si="1"/>
        <v>45985.416666666657</v>
      </c>
      <c r="W250" s="114"/>
      <c r="X250" s="114"/>
      <c r="Y250" s="2"/>
    </row>
    <row r="251" spans="1:25" ht="15.75" customHeight="1">
      <c r="A251" s="116" t="s">
        <v>431</v>
      </c>
      <c r="B251" s="116" t="str">
        <f>IFERROR(VLOOKUP(A251&amp;"", STUDENTS!A:B, 2, 0), "")</f>
        <v>NGUYỄN QUANG TRUNG</v>
      </c>
      <c r="C251" s="117" t="s">
        <v>74</v>
      </c>
      <c r="D251" s="117" t="str">
        <f>IFERROR(VLOOKUP(C251, PIC!A:B, 2, 0), "")</f>
        <v>Dung Hoang</v>
      </c>
      <c r="E251" s="118" t="s">
        <v>22</v>
      </c>
      <c r="F251" s="119"/>
      <c r="G251" s="120">
        <v>46106.416666666657</v>
      </c>
      <c r="H251" s="120">
        <v>46114.458333333343</v>
      </c>
      <c r="I251" s="119">
        <v>46119.583333333343</v>
      </c>
      <c r="J251" s="120">
        <v>46126.416666666657</v>
      </c>
      <c r="K251" s="119">
        <v>46135.416666666657</v>
      </c>
      <c r="L251" s="120"/>
      <c r="M251" s="120"/>
      <c r="N251" s="119"/>
      <c r="O251" s="119"/>
      <c r="P251" s="119"/>
      <c r="Q251" s="119"/>
      <c r="R251" s="119"/>
      <c r="S251" s="119"/>
      <c r="T251" s="119"/>
      <c r="U251" s="120"/>
      <c r="V251" s="121">
        <f t="shared" si="1"/>
        <v>46135.416666666657</v>
      </c>
      <c r="W251" s="122"/>
      <c r="X251" s="122"/>
      <c r="Y251" s="2"/>
    </row>
    <row r="252" spans="1:25" ht="15.75" customHeight="1">
      <c r="A252" s="108" t="s">
        <v>431</v>
      </c>
      <c r="B252" s="108" t="str">
        <f>IFERROR(VLOOKUP(A252&amp;"", STUDENTS!A:B, 2, 0), "")</f>
        <v>NGUYỄN QUANG TRUNG</v>
      </c>
      <c r="C252" s="109" t="s">
        <v>74</v>
      </c>
      <c r="D252" s="109" t="str">
        <f>IFERROR(VLOOKUP(C252, PIC!A:B, 2, 0), "")</f>
        <v>Dung Hoang</v>
      </c>
      <c r="E252" s="110" t="s">
        <v>25</v>
      </c>
      <c r="F252" s="111">
        <v>45818.375</v>
      </c>
      <c r="G252" s="112">
        <v>45827.375</v>
      </c>
      <c r="H252" s="112">
        <v>45831.375</v>
      </c>
      <c r="I252" s="111">
        <v>45840.458333333343</v>
      </c>
      <c r="J252" s="112">
        <v>45852.458333333343</v>
      </c>
      <c r="K252" s="111">
        <v>45855.458333333343</v>
      </c>
      <c r="L252" s="112">
        <v>45866.458333333343</v>
      </c>
      <c r="M252" s="112">
        <v>45881.625</v>
      </c>
      <c r="N252" s="111">
        <v>45884.583333333343</v>
      </c>
      <c r="O252" s="111">
        <v>45884.625</v>
      </c>
      <c r="P252" s="111">
        <v>45887.416666666657</v>
      </c>
      <c r="Q252" s="111">
        <v>45903.458333333343</v>
      </c>
      <c r="R252" s="111">
        <v>45904.458333333343</v>
      </c>
      <c r="S252" s="111">
        <v>45909.458333333343</v>
      </c>
      <c r="T252" s="111">
        <v>45989.625</v>
      </c>
      <c r="U252" s="112">
        <v>46041.416666666657</v>
      </c>
      <c r="V252" s="113">
        <f t="shared" si="1"/>
        <v>46041.416666666657</v>
      </c>
      <c r="W252" s="114"/>
      <c r="X252" s="114"/>
      <c r="Y252" s="2"/>
    </row>
    <row r="253" spans="1:25" ht="15.75" customHeight="1">
      <c r="A253" s="116" t="s">
        <v>453</v>
      </c>
      <c r="B253" s="116" t="str">
        <f>IFERROR(VLOOKUP(A253&amp;"", STUDENTS!A:B, 2, 0), "")</f>
        <v>NGUYỄN THÀNH PHƯỚC</v>
      </c>
      <c r="C253" s="117" t="s">
        <v>74</v>
      </c>
      <c r="D253" s="117" t="str">
        <f>IFERROR(VLOOKUP(C253, PIC!A:B, 2, 0), "")</f>
        <v>Dung Hoang</v>
      </c>
      <c r="E253" s="118" t="s">
        <v>21</v>
      </c>
      <c r="F253" s="119" t="s">
        <v>815</v>
      </c>
      <c r="G253" s="120">
        <v>45818.375</v>
      </c>
      <c r="H253" s="120">
        <v>45827.375</v>
      </c>
      <c r="I253" s="119">
        <v>45831.375</v>
      </c>
      <c r="J253" s="120">
        <v>45917.458333333343</v>
      </c>
      <c r="K253" s="119">
        <v>45923.458333333343</v>
      </c>
      <c r="L253" s="120">
        <v>45926.625</v>
      </c>
      <c r="M253" s="120">
        <v>45939.583333333343</v>
      </c>
      <c r="N253" s="119">
        <v>45940.541666666657</v>
      </c>
      <c r="O253" s="119">
        <v>45947.458333333343</v>
      </c>
      <c r="P253" s="119">
        <v>45957.583333333343</v>
      </c>
      <c r="Q253" s="119">
        <v>45964.458333333343</v>
      </c>
      <c r="R253" s="119">
        <v>45971.583333333343</v>
      </c>
      <c r="S253" s="119">
        <v>45985.416666666657</v>
      </c>
      <c r="T253" s="119"/>
      <c r="U253" s="120"/>
      <c r="V253" s="121">
        <f t="shared" si="1"/>
        <v>45985.416666666657</v>
      </c>
      <c r="W253" s="122"/>
      <c r="X253" s="122"/>
      <c r="Y253" s="2"/>
    </row>
    <row r="254" spans="1:25" ht="15.75" customHeight="1">
      <c r="A254" s="108" t="s">
        <v>453</v>
      </c>
      <c r="B254" s="108" t="str">
        <f>IFERROR(VLOOKUP(A254&amp;"", STUDENTS!A:B, 2, 0), "")</f>
        <v>NGUYỄN THÀNH PHƯỚC</v>
      </c>
      <c r="C254" s="109" t="s">
        <v>74</v>
      </c>
      <c r="D254" s="109" t="str">
        <f>IFERROR(VLOOKUP(C254, PIC!A:B, 2, 0), "")</f>
        <v>Dung Hoang</v>
      </c>
      <c r="E254" s="110" t="s">
        <v>22</v>
      </c>
      <c r="F254" s="111"/>
      <c r="G254" s="112">
        <v>46106.416666666657</v>
      </c>
      <c r="H254" s="112">
        <v>46114.458333333343</v>
      </c>
      <c r="I254" s="111">
        <v>46119.583333333343</v>
      </c>
      <c r="J254" s="112">
        <v>46126.416666666657</v>
      </c>
      <c r="K254" s="111">
        <v>46135.416666666657</v>
      </c>
      <c r="L254" s="112"/>
      <c r="M254" s="112"/>
      <c r="N254" s="111"/>
      <c r="O254" s="111"/>
      <c r="P254" s="111"/>
      <c r="Q254" s="111"/>
      <c r="R254" s="111"/>
      <c r="S254" s="111"/>
      <c r="T254" s="111"/>
      <c r="U254" s="112"/>
      <c r="V254" s="113">
        <f t="shared" si="1"/>
        <v>46135.416666666657</v>
      </c>
      <c r="W254" s="114"/>
      <c r="X254" s="114"/>
      <c r="Y254" s="2"/>
    </row>
    <row r="255" spans="1:25" ht="15.75" customHeight="1">
      <c r="A255" s="116" t="s">
        <v>453</v>
      </c>
      <c r="B255" s="116" t="str">
        <f>IFERROR(VLOOKUP(A255&amp;"", STUDENTS!A:B, 2, 0), "")</f>
        <v>NGUYỄN THÀNH PHƯỚC</v>
      </c>
      <c r="C255" s="117" t="s">
        <v>74</v>
      </c>
      <c r="D255" s="117" t="str">
        <f>IFERROR(VLOOKUP(C255, PIC!A:B, 2, 0), "")</f>
        <v>Dung Hoang</v>
      </c>
      <c r="E255" s="118" t="s">
        <v>25</v>
      </c>
      <c r="F255" s="119">
        <v>45818.375</v>
      </c>
      <c r="G255" s="120">
        <v>45827.375</v>
      </c>
      <c r="H255" s="120">
        <v>45831.375</v>
      </c>
      <c r="I255" s="119">
        <v>45840.458333333343</v>
      </c>
      <c r="J255" s="120">
        <v>45852.458333333343</v>
      </c>
      <c r="K255" s="119">
        <v>45855.458333333343</v>
      </c>
      <c r="L255" s="120">
        <v>45866.458333333343</v>
      </c>
      <c r="M255" s="120">
        <v>45881.625</v>
      </c>
      <c r="N255" s="119">
        <v>45884.583333333343</v>
      </c>
      <c r="O255" s="119">
        <v>45884.625</v>
      </c>
      <c r="P255" s="119">
        <v>45887.416666666657</v>
      </c>
      <c r="Q255" s="119">
        <v>45903.458333333343</v>
      </c>
      <c r="R255" s="119">
        <v>45904.458333333343</v>
      </c>
      <c r="S255" s="119" t="s">
        <v>815</v>
      </c>
      <c r="T255" s="119">
        <v>45989.625</v>
      </c>
      <c r="U255" s="120">
        <v>46041.416666666657</v>
      </c>
      <c r="V255" s="121">
        <f t="shared" si="1"/>
        <v>46041.416666666657</v>
      </c>
      <c r="W255" s="122"/>
      <c r="X255" s="122"/>
      <c r="Y255" s="2"/>
    </row>
    <row r="256" spans="1:25" ht="15.75" customHeight="1">
      <c r="A256" s="108" t="s">
        <v>492</v>
      </c>
      <c r="B256" s="108" t="str">
        <f>IFERROR(VLOOKUP(A256&amp;"", STUDENTS!A:B, 2, 0), "")</f>
        <v>NGUYỄN TRẦN NGỌC HƯNG</v>
      </c>
      <c r="C256" s="109" t="s">
        <v>74</v>
      </c>
      <c r="D256" s="109" t="str">
        <f>IFERROR(VLOOKUP(C256, PIC!A:B, 2, 0), "")</f>
        <v>Dung Hoang</v>
      </c>
      <c r="E256" s="110" t="s">
        <v>21</v>
      </c>
      <c r="F256" s="111" t="s">
        <v>815</v>
      </c>
      <c r="G256" s="112"/>
      <c r="H256" s="112"/>
      <c r="I256" s="111"/>
      <c r="J256" s="112" t="s">
        <v>815</v>
      </c>
      <c r="K256" s="111" t="s">
        <v>815</v>
      </c>
      <c r="L256" s="112"/>
      <c r="M256" s="112" t="s">
        <v>815</v>
      </c>
      <c r="N256" s="111" t="s">
        <v>815</v>
      </c>
      <c r="O256" s="111" t="s">
        <v>815</v>
      </c>
      <c r="P256" s="111" t="s">
        <v>815</v>
      </c>
      <c r="Q256" s="111" t="s">
        <v>815</v>
      </c>
      <c r="R256" s="111" t="s">
        <v>815</v>
      </c>
      <c r="S256" s="111" t="s">
        <v>815</v>
      </c>
      <c r="T256" s="111"/>
      <c r="U256" s="112"/>
      <c r="V256" s="113">
        <f t="shared" si="1"/>
        <v>0</v>
      </c>
      <c r="W256" s="114"/>
      <c r="X256" s="114"/>
      <c r="Y256" s="2"/>
    </row>
    <row r="257" spans="1:25" ht="15.75" customHeight="1">
      <c r="A257" s="116" t="s">
        <v>492</v>
      </c>
      <c r="B257" s="116" t="str">
        <f>IFERROR(VLOOKUP(A257&amp;"", STUDENTS!A:B, 2, 0), "")</f>
        <v>NGUYỄN TRẦN NGỌC HƯNG</v>
      </c>
      <c r="C257" s="117" t="s">
        <v>74</v>
      </c>
      <c r="D257" s="117" t="str">
        <f>IFERROR(VLOOKUP(C257, PIC!A:B, 2, 0), "")</f>
        <v>Dung Hoang</v>
      </c>
      <c r="E257" s="118" t="s">
        <v>22</v>
      </c>
      <c r="F257" s="119"/>
      <c r="G257" s="120" t="s">
        <v>815</v>
      </c>
      <c r="H257" s="120" t="s">
        <v>815</v>
      </c>
      <c r="I257" s="119" t="s">
        <v>815</v>
      </c>
      <c r="J257" s="120" t="s">
        <v>815</v>
      </c>
      <c r="K257" s="116" t="s">
        <v>815</v>
      </c>
      <c r="L257" s="120"/>
      <c r="M257" s="120"/>
      <c r="N257" s="119"/>
      <c r="O257" s="119"/>
      <c r="P257" s="119"/>
      <c r="Q257" s="119"/>
      <c r="R257" s="119"/>
      <c r="S257" s="119"/>
      <c r="T257" s="119"/>
      <c r="U257" s="120"/>
      <c r="V257" s="121">
        <f t="shared" si="1"/>
        <v>0</v>
      </c>
      <c r="W257" s="122"/>
      <c r="X257" s="122"/>
      <c r="Y257" s="2"/>
    </row>
    <row r="258" spans="1:25" ht="15.75" customHeight="1">
      <c r="A258" s="108" t="s">
        <v>591</v>
      </c>
      <c r="B258" s="108" t="str">
        <f>IFERROR(VLOOKUP(A258&amp;"", STUDENTS!A:B, 2, 0), "")</f>
        <v>THỚI PHI LONG</v>
      </c>
      <c r="C258" s="109" t="s">
        <v>74</v>
      </c>
      <c r="D258" s="109" t="str">
        <f>IFERROR(VLOOKUP(C258, PIC!A:B, 2, 0), "")</f>
        <v>Dung Hoang</v>
      </c>
      <c r="E258" s="110" t="s">
        <v>21</v>
      </c>
      <c r="F258" s="111">
        <v>45813.375</v>
      </c>
      <c r="G258" s="112">
        <v>45818.375</v>
      </c>
      <c r="H258" s="112" t="s">
        <v>815</v>
      </c>
      <c r="I258" s="111" t="s">
        <v>815</v>
      </c>
      <c r="J258" s="112" t="s">
        <v>815</v>
      </c>
      <c r="K258" s="111" t="s">
        <v>815</v>
      </c>
      <c r="L258" s="112"/>
      <c r="M258" s="112" t="s">
        <v>815</v>
      </c>
      <c r="N258" s="111" t="s">
        <v>815</v>
      </c>
      <c r="O258" s="111" t="s">
        <v>815</v>
      </c>
      <c r="P258" s="111" t="s">
        <v>815</v>
      </c>
      <c r="Q258" s="111" t="s">
        <v>815</v>
      </c>
      <c r="R258" s="111" t="s">
        <v>815</v>
      </c>
      <c r="S258" s="111" t="s">
        <v>815</v>
      </c>
      <c r="T258" s="111"/>
      <c r="U258" s="112"/>
      <c r="V258" s="113">
        <f t="shared" si="1"/>
        <v>45818.375</v>
      </c>
      <c r="W258" s="114"/>
      <c r="X258" s="114"/>
      <c r="Y258" s="2"/>
    </row>
    <row r="259" spans="1:25" ht="15.75" customHeight="1">
      <c r="A259" s="116" t="s">
        <v>591</v>
      </c>
      <c r="B259" s="116" t="str">
        <f>IFERROR(VLOOKUP(A259&amp;"", STUDENTS!A:B, 2, 0), "")</f>
        <v>THỚI PHI LONG</v>
      </c>
      <c r="C259" s="117" t="s">
        <v>74</v>
      </c>
      <c r="D259" s="117" t="str">
        <f>IFERROR(VLOOKUP(C259, PIC!A:B, 2, 0), "")</f>
        <v>Dung Hoang</v>
      </c>
      <c r="E259" s="118" t="s">
        <v>22</v>
      </c>
      <c r="F259" s="119"/>
      <c r="G259" s="120" t="s">
        <v>815</v>
      </c>
      <c r="H259" s="120" t="s">
        <v>815</v>
      </c>
      <c r="I259" s="119" t="s">
        <v>815</v>
      </c>
      <c r="J259" s="120" t="s">
        <v>815</v>
      </c>
      <c r="K259" s="116" t="s">
        <v>815</v>
      </c>
      <c r="L259" s="120"/>
      <c r="M259" s="120"/>
      <c r="N259" s="119"/>
      <c r="O259" s="119"/>
      <c r="P259" s="119"/>
      <c r="Q259" s="119"/>
      <c r="R259" s="119"/>
      <c r="S259" s="119"/>
      <c r="T259" s="119"/>
      <c r="U259" s="120"/>
      <c r="V259" s="121">
        <f t="shared" si="1"/>
        <v>0</v>
      </c>
      <c r="W259" s="122"/>
      <c r="X259" s="122"/>
      <c r="Y259" s="2"/>
    </row>
    <row r="260" spans="1:25" ht="15.75" customHeight="1">
      <c r="A260" s="108" t="s">
        <v>173</v>
      </c>
      <c r="B260" s="108" t="str">
        <f>IFERROR(VLOOKUP(A260&amp;"", STUDENTS!A:B, 2, 0), "")</f>
        <v>ĐỖ GIA KHÁNH</v>
      </c>
      <c r="C260" s="109" t="s">
        <v>75</v>
      </c>
      <c r="D260" s="109" t="str">
        <f>IFERROR(VLOOKUP(C260, PIC!A:B, 2, 0), "")</f>
        <v>Anh To</v>
      </c>
      <c r="E260" s="110" t="s">
        <v>21</v>
      </c>
      <c r="F260" s="111">
        <v>45761.416666666657</v>
      </c>
      <c r="G260" s="112">
        <v>45786.458333333343</v>
      </c>
      <c r="H260" s="112">
        <v>45793.458333333343</v>
      </c>
      <c r="I260" s="111">
        <v>45803.458333333343</v>
      </c>
      <c r="J260" s="112">
        <v>45817.458333333343</v>
      </c>
      <c r="K260" s="111">
        <v>45824.458333333343</v>
      </c>
      <c r="L260" s="112">
        <v>45852.625</v>
      </c>
      <c r="M260" s="112">
        <v>45859.375</v>
      </c>
      <c r="N260" s="111">
        <v>45866.416666666657</v>
      </c>
      <c r="O260" s="111">
        <v>45894.541666666657</v>
      </c>
      <c r="P260" s="111"/>
      <c r="Q260" s="111"/>
      <c r="R260" s="111"/>
      <c r="S260" s="111"/>
      <c r="T260" s="111"/>
      <c r="U260" s="112"/>
      <c r="V260" s="113">
        <f t="shared" si="1"/>
        <v>45894.541666666657</v>
      </c>
      <c r="W260" s="114"/>
      <c r="X260" s="114"/>
      <c r="Y260" s="2"/>
    </row>
    <row r="261" spans="1:25" ht="15.75" customHeight="1">
      <c r="A261" s="116" t="s">
        <v>173</v>
      </c>
      <c r="B261" s="116" t="str">
        <f>IFERROR(VLOOKUP(A261&amp;"", STUDENTS!A:B, 2, 0), "")</f>
        <v>ĐỖ GIA KHÁNH</v>
      </c>
      <c r="C261" s="117" t="s">
        <v>75</v>
      </c>
      <c r="D261" s="117" t="str">
        <f>IFERROR(VLOOKUP(C261, PIC!A:B, 2, 0), "")</f>
        <v>Anh To</v>
      </c>
      <c r="E261" s="118" t="s">
        <v>22</v>
      </c>
      <c r="F261" s="119">
        <v>45922.416666666657</v>
      </c>
      <c r="G261" s="120">
        <v>45926.541666666657</v>
      </c>
      <c r="H261" s="120">
        <v>45929.416666666657</v>
      </c>
      <c r="I261" s="119"/>
      <c r="J261" s="120">
        <v>45947.416666666657</v>
      </c>
      <c r="K261" s="119">
        <v>45950.416666666657</v>
      </c>
      <c r="L261" s="120">
        <v>45971.625</v>
      </c>
      <c r="M261" s="120">
        <v>45980.625</v>
      </c>
      <c r="N261" s="119">
        <v>46008.625</v>
      </c>
      <c r="O261" s="119">
        <v>46017.625</v>
      </c>
      <c r="P261" s="119">
        <v>46041.625</v>
      </c>
      <c r="Q261" s="119">
        <v>46048.541666666657</v>
      </c>
      <c r="R261" s="119">
        <v>46086.416666666657</v>
      </c>
      <c r="S261" s="119">
        <v>46087.416666666657</v>
      </c>
      <c r="T261" s="119">
        <v>46094.416666666657</v>
      </c>
      <c r="U261" s="120"/>
      <c r="V261" s="121">
        <f t="shared" si="1"/>
        <v>46094.416666666657</v>
      </c>
      <c r="W261" s="122"/>
      <c r="X261" s="122"/>
      <c r="Y261" s="2"/>
    </row>
    <row r="262" spans="1:25" ht="15.75" customHeight="1">
      <c r="A262" s="108" t="s">
        <v>281</v>
      </c>
      <c r="B262" s="108" t="str">
        <f>IFERROR(VLOOKUP(A262&amp;"", STUDENTS!A:B, 2, 0), "")</f>
        <v>LÊ PHƯỚC THIỆN</v>
      </c>
      <c r="C262" s="109" t="s">
        <v>75</v>
      </c>
      <c r="D262" s="109" t="str">
        <f>IFERROR(VLOOKUP(C262, PIC!A:B, 2, 0), "")</f>
        <v>Anh To</v>
      </c>
      <c r="E262" s="110" t="s">
        <v>21</v>
      </c>
      <c r="F262" s="111">
        <v>45761.416666666657</v>
      </c>
      <c r="G262" s="112">
        <v>45786.458333333343</v>
      </c>
      <c r="H262" s="112">
        <v>45793.458333333343</v>
      </c>
      <c r="I262" s="111">
        <v>45803.458333333343</v>
      </c>
      <c r="J262" s="112">
        <v>45817.458333333343</v>
      </c>
      <c r="K262" s="111">
        <v>45824.458333333343</v>
      </c>
      <c r="L262" s="112">
        <v>45852.625</v>
      </c>
      <c r="M262" s="112">
        <v>45859.375</v>
      </c>
      <c r="N262" s="111" t="s">
        <v>815</v>
      </c>
      <c r="O262" s="111">
        <v>45894.541666666657</v>
      </c>
      <c r="P262" s="111"/>
      <c r="Q262" s="111"/>
      <c r="R262" s="111"/>
      <c r="S262" s="111"/>
      <c r="T262" s="111"/>
      <c r="U262" s="112"/>
      <c r="V262" s="113">
        <f t="shared" si="1"/>
        <v>45894.541666666657</v>
      </c>
      <c r="W262" s="114"/>
      <c r="X262" s="114"/>
      <c r="Y262" s="2"/>
    </row>
    <row r="263" spans="1:25" ht="15.75" customHeight="1">
      <c r="A263" s="116" t="s">
        <v>281</v>
      </c>
      <c r="B263" s="116" t="str">
        <f>IFERROR(VLOOKUP(A263&amp;"", STUDENTS!A:B, 2, 0), "")</f>
        <v>LÊ PHƯỚC THIỆN</v>
      </c>
      <c r="C263" s="117" t="s">
        <v>75</v>
      </c>
      <c r="D263" s="117" t="str">
        <f>IFERROR(VLOOKUP(C263, PIC!A:B, 2, 0), "")</f>
        <v>Anh To</v>
      </c>
      <c r="E263" s="118" t="s">
        <v>22</v>
      </c>
      <c r="F263" s="119">
        <v>45922.416666666657</v>
      </c>
      <c r="G263" s="120">
        <v>45926.541666666657</v>
      </c>
      <c r="H263" s="120">
        <v>45929.416666666657</v>
      </c>
      <c r="I263" s="119"/>
      <c r="J263" s="120" t="s">
        <v>815</v>
      </c>
      <c r="K263" s="119">
        <v>45950.416666666657</v>
      </c>
      <c r="L263" s="120">
        <v>45971.625</v>
      </c>
      <c r="M263" s="120">
        <v>45980.625</v>
      </c>
      <c r="N263" s="119">
        <v>46008.625</v>
      </c>
      <c r="O263" s="119" t="s">
        <v>815</v>
      </c>
      <c r="P263" s="119">
        <v>46041.625</v>
      </c>
      <c r="Q263" s="119">
        <v>46048.541666666657</v>
      </c>
      <c r="R263" s="119">
        <v>46086.416666666657</v>
      </c>
      <c r="S263" s="119" t="s">
        <v>815</v>
      </c>
      <c r="T263" s="119" t="s">
        <v>815</v>
      </c>
      <c r="U263" s="120"/>
      <c r="V263" s="121">
        <f t="shared" si="1"/>
        <v>46086.416666666657</v>
      </c>
      <c r="W263" s="122"/>
      <c r="X263" s="122"/>
      <c r="Y263" s="2"/>
    </row>
    <row r="264" spans="1:25" ht="15.75" customHeight="1">
      <c r="A264" s="108" t="s">
        <v>336</v>
      </c>
      <c r="B264" s="108" t="str">
        <f>IFERROR(VLOOKUP(A264&amp;"", STUDENTS!A:B, 2, 0), "")</f>
        <v>NGUYỄN BẢO ĐẠT</v>
      </c>
      <c r="C264" s="109" t="s">
        <v>75</v>
      </c>
      <c r="D264" s="109" t="str">
        <f>IFERROR(VLOOKUP(C264, PIC!A:B, 2, 0), "")</f>
        <v>Anh To</v>
      </c>
      <c r="E264" s="110" t="s">
        <v>21</v>
      </c>
      <c r="F264" s="111">
        <v>45761.416666666657</v>
      </c>
      <c r="G264" s="112">
        <v>45786.458333333343</v>
      </c>
      <c r="H264" s="112">
        <v>45793.458333333343</v>
      </c>
      <c r="I264" s="111">
        <v>45803.458333333343</v>
      </c>
      <c r="J264" s="112">
        <v>45817.458333333343</v>
      </c>
      <c r="K264" s="111">
        <v>45824.458333333343</v>
      </c>
      <c r="L264" s="112">
        <v>45852.625</v>
      </c>
      <c r="M264" s="112">
        <v>45859.375</v>
      </c>
      <c r="N264" s="111">
        <v>45866.416666666657</v>
      </c>
      <c r="O264" s="111">
        <v>45894.541666666657</v>
      </c>
      <c r="P264" s="111"/>
      <c r="Q264" s="111"/>
      <c r="R264" s="111"/>
      <c r="S264" s="111"/>
      <c r="T264" s="111"/>
      <c r="U264" s="112"/>
      <c r="V264" s="113">
        <f t="shared" si="1"/>
        <v>45894.541666666657</v>
      </c>
      <c r="W264" s="114"/>
      <c r="X264" s="114"/>
      <c r="Y264" s="2"/>
    </row>
    <row r="265" spans="1:25" ht="15.75" customHeight="1">
      <c r="A265" s="116" t="s">
        <v>336</v>
      </c>
      <c r="B265" s="116" t="str">
        <f>IFERROR(VLOOKUP(A265&amp;"", STUDENTS!A:B, 2, 0), "")</f>
        <v>NGUYỄN BẢO ĐẠT</v>
      </c>
      <c r="C265" s="117" t="s">
        <v>75</v>
      </c>
      <c r="D265" s="117" t="str">
        <f>IFERROR(VLOOKUP(C265, PIC!A:B, 2, 0), "")</f>
        <v>Anh To</v>
      </c>
      <c r="E265" s="118" t="s">
        <v>22</v>
      </c>
      <c r="F265" s="119">
        <v>45922.416666666657</v>
      </c>
      <c r="G265" s="120">
        <v>45926.541666666657</v>
      </c>
      <c r="H265" s="120" t="s">
        <v>815</v>
      </c>
      <c r="I265" s="119"/>
      <c r="J265" s="120">
        <v>45947.416666666657</v>
      </c>
      <c r="K265" s="119">
        <v>45950.416666666657</v>
      </c>
      <c r="L265" s="120">
        <v>45971.625</v>
      </c>
      <c r="M265" s="120">
        <v>45980.625</v>
      </c>
      <c r="N265" s="119" t="s">
        <v>815</v>
      </c>
      <c r="O265" s="119">
        <v>46017.625</v>
      </c>
      <c r="P265" s="119">
        <v>46041.625</v>
      </c>
      <c r="Q265" s="119">
        <v>46048.541666666657</v>
      </c>
      <c r="R265" s="119">
        <v>46086.416666666657</v>
      </c>
      <c r="S265" s="119">
        <v>46087.416666666657</v>
      </c>
      <c r="T265" s="119">
        <v>46094.416666666657</v>
      </c>
      <c r="U265" s="120"/>
      <c r="V265" s="121">
        <f t="shared" si="1"/>
        <v>46094.416666666657</v>
      </c>
      <c r="W265" s="122"/>
      <c r="X265" s="122"/>
      <c r="Y265" s="2"/>
    </row>
    <row r="266" spans="1:25" ht="15.75" customHeight="1">
      <c r="A266" s="108" t="s">
        <v>417</v>
      </c>
      <c r="B266" s="108" t="str">
        <f>IFERROR(VLOOKUP(A266&amp;"", STUDENTS!A:B, 2, 0), "")</f>
        <v>NGUYỄN NGỌC PHƯƠNG NHI</v>
      </c>
      <c r="C266" s="109" t="s">
        <v>75</v>
      </c>
      <c r="D266" s="109" t="str">
        <f>IFERROR(VLOOKUP(C266, PIC!A:B, 2, 0), "")</f>
        <v>Anh To</v>
      </c>
      <c r="E266" s="110" t="s">
        <v>21</v>
      </c>
      <c r="F266" s="111">
        <v>45761.416666666657</v>
      </c>
      <c r="G266" s="112" t="s">
        <v>815</v>
      </c>
      <c r="H266" s="112">
        <v>45793.458333333343</v>
      </c>
      <c r="I266" s="111">
        <v>45803.458333333343</v>
      </c>
      <c r="J266" s="112">
        <v>45817.458333333343</v>
      </c>
      <c r="K266" s="111">
        <v>45824.458333333343</v>
      </c>
      <c r="L266" s="112">
        <v>45852.625</v>
      </c>
      <c r="M266" s="112">
        <v>45859.375</v>
      </c>
      <c r="N266" s="111">
        <v>45866.416666666657</v>
      </c>
      <c r="O266" s="111">
        <v>45894.541666666657</v>
      </c>
      <c r="P266" s="111"/>
      <c r="Q266" s="111"/>
      <c r="R266" s="111"/>
      <c r="S266" s="111"/>
      <c r="T266" s="111"/>
      <c r="U266" s="112"/>
      <c r="V266" s="113">
        <f t="shared" si="1"/>
        <v>45894.541666666657</v>
      </c>
      <c r="W266" s="114"/>
      <c r="X266" s="114"/>
      <c r="Y266" s="2"/>
    </row>
    <row r="267" spans="1:25" ht="15.75" customHeight="1">
      <c r="A267" s="116" t="s">
        <v>417</v>
      </c>
      <c r="B267" s="116" t="str">
        <f>IFERROR(VLOOKUP(A267&amp;"", STUDENTS!A:B, 2, 0), "")</f>
        <v>NGUYỄN NGỌC PHƯƠNG NHI</v>
      </c>
      <c r="C267" s="117" t="s">
        <v>75</v>
      </c>
      <c r="D267" s="117" t="str">
        <f>IFERROR(VLOOKUP(C267, PIC!A:B, 2, 0), "")</f>
        <v>Anh To</v>
      </c>
      <c r="E267" s="118" t="s">
        <v>22</v>
      </c>
      <c r="F267" s="119">
        <v>45922.416666666657</v>
      </c>
      <c r="G267" s="120">
        <v>45926.541666666657</v>
      </c>
      <c r="H267" s="120">
        <v>45929.416666666657</v>
      </c>
      <c r="I267" s="119"/>
      <c r="J267" s="120">
        <v>45947.416666666657</v>
      </c>
      <c r="K267" s="119">
        <v>45950.416666666657</v>
      </c>
      <c r="L267" s="120">
        <v>45971.625</v>
      </c>
      <c r="M267" s="120">
        <v>45980.625</v>
      </c>
      <c r="N267" s="119">
        <v>46008.625</v>
      </c>
      <c r="O267" s="119" t="s">
        <v>815</v>
      </c>
      <c r="P267" s="119">
        <v>46041.625</v>
      </c>
      <c r="Q267" s="119">
        <v>46048.541666666657</v>
      </c>
      <c r="R267" s="119">
        <v>46086.416666666657</v>
      </c>
      <c r="S267" s="119">
        <v>46087.416666666657</v>
      </c>
      <c r="T267" s="119">
        <v>46094.416666666657</v>
      </c>
      <c r="U267" s="120"/>
      <c r="V267" s="121">
        <f t="shared" si="1"/>
        <v>46094.416666666657</v>
      </c>
      <c r="W267" s="122"/>
      <c r="X267" s="122"/>
      <c r="Y267" s="2"/>
    </row>
    <row r="268" spans="1:25" ht="15.75" customHeight="1">
      <c r="A268" s="108" t="s">
        <v>587</v>
      </c>
      <c r="B268" s="108" t="str">
        <f>IFERROR(VLOOKUP(A268&amp;"", STUDENTS!A:B, 2, 0), "")</f>
        <v>THÁI NHẬT TÂN</v>
      </c>
      <c r="C268" s="109" t="s">
        <v>75</v>
      </c>
      <c r="D268" s="109" t="str">
        <f>IFERROR(VLOOKUP(C268, PIC!A:B, 2, 0), "")</f>
        <v>Anh To</v>
      </c>
      <c r="E268" s="110" t="s">
        <v>21</v>
      </c>
      <c r="F268" s="111">
        <v>45761.416666666657</v>
      </c>
      <c r="G268" s="112">
        <v>45786.458333333343</v>
      </c>
      <c r="H268" s="112">
        <v>45793.458333333343</v>
      </c>
      <c r="I268" s="111" t="s">
        <v>815</v>
      </c>
      <c r="J268" s="112">
        <v>45817.458333333343</v>
      </c>
      <c r="K268" s="111">
        <v>45824.458333333343</v>
      </c>
      <c r="L268" s="112">
        <v>45852.625</v>
      </c>
      <c r="M268" s="112">
        <v>45859.375</v>
      </c>
      <c r="N268" s="111" t="s">
        <v>815</v>
      </c>
      <c r="O268" s="111">
        <v>45894.541666666657</v>
      </c>
      <c r="P268" s="111"/>
      <c r="Q268" s="111"/>
      <c r="R268" s="111"/>
      <c r="S268" s="111"/>
      <c r="T268" s="111"/>
      <c r="U268" s="112"/>
      <c r="V268" s="113">
        <f t="shared" si="1"/>
        <v>45894.541666666657</v>
      </c>
      <c r="W268" s="114"/>
      <c r="X268" s="114"/>
      <c r="Y268" s="2"/>
    </row>
    <row r="269" spans="1:25" ht="15.75" customHeight="1">
      <c r="A269" s="116" t="s">
        <v>587</v>
      </c>
      <c r="B269" s="116" t="str">
        <f>IFERROR(VLOOKUP(A269&amp;"", STUDENTS!A:B, 2, 0), "")</f>
        <v>THÁI NHẬT TÂN</v>
      </c>
      <c r="C269" s="117" t="s">
        <v>75</v>
      </c>
      <c r="D269" s="117" t="str">
        <f>IFERROR(VLOOKUP(C269, PIC!A:B, 2, 0), "")</f>
        <v>Anh To</v>
      </c>
      <c r="E269" s="118" t="s">
        <v>22</v>
      </c>
      <c r="F269" s="119" t="s">
        <v>815</v>
      </c>
      <c r="G269" s="120" t="s">
        <v>815</v>
      </c>
      <c r="H269" s="120" t="s">
        <v>815</v>
      </c>
      <c r="I269" s="119"/>
      <c r="J269" s="120" t="s">
        <v>815</v>
      </c>
      <c r="K269" s="119" t="s">
        <v>815</v>
      </c>
      <c r="L269" s="120" t="s">
        <v>815</v>
      </c>
      <c r="M269" s="120" t="s">
        <v>815</v>
      </c>
      <c r="N269" s="119" t="s">
        <v>815</v>
      </c>
      <c r="O269" s="119" t="s">
        <v>815</v>
      </c>
      <c r="P269" s="119" t="s">
        <v>815</v>
      </c>
      <c r="Q269" s="119" t="s">
        <v>815</v>
      </c>
      <c r="R269" s="119"/>
      <c r="S269" s="119"/>
      <c r="T269" s="119"/>
      <c r="U269" s="120"/>
      <c r="V269" s="121">
        <f t="shared" si="1"/>
        <v>0</v>
      </c>
      <c r="W269" s="122"/>
      <c r="X269" s="122"/>
      <c r="Y269" s="2"/>
    </row>
    <row r="270" spans="1:25" ht="15.75" customHeight="1">
      <c r="A270" s="108" t="s">
        <v>593</v>
      </c>
      <c r="B270" s="108" t="str">
        <f>IFERROR(VLOOKUP(A270&amp;"", STUDENTS!A:B, 2, 0), "")</f>
        <v>TÔ DIỆP THIÊN ANH</v>
      </c>
      <c r="C270" s="109" t="s">
        <v>75</v>
      </c>
      <c r="D270" s="109" t="str">
        <f>IFERROR(VLOOKUP(C270, PIC!A:B, 2, 0), "")</f>
        <v>Anh To</v>
      </c>
      <c r="E270" s="110" t="s">
        <v>21</v>
      </c>
      <c r="F270" s="111">
        <v>45761.416666666657</v>
      </c>
      <c r="G270" s="112">
        <v>45786.458333333343</v>
      </c>
      <c r="H270" s="112" t="s">
        <v>815</v>
      </c>
      <c r="I270" s="111">
        <v>45803.458333333343</v>
      </c>
      <c r="J270" s="112">
        <v>45817.458333333343</v>
      </c>
      <c r="K270" s="111">
        <v>45824.458333333343</v>
      </c>
      <c r="L270" s="112">
        <v>45852.625</v>
      </c>
      <c r="M270" s="112">
        <v>45859.375</v>
      </c>
      <c r="N270" s="111">
        <v>45866.416666666657</v>
      </c>
      <c r="O270" s="111">
        <v>45894.541666666657</v>
      </c>
      <c r="P270" s="111"/>
      <c r="Q270" s="111"/>
      <c r="R270" s="111"/>
      <c r="S270" s="111"/>
      <c r="T270" s="111"/>
      <c r="U270" s="112"/>
      <c r="V270" s="113">
        <f t="shared" si="1"/>
        <v>45894.541666666657</v>
      </c>
      <c r="W270" s="114"/>
      <c r="X270" s="114"/>
      <c r="Y270" s="2"/>
    </row>
    <row r="271" spans="1:25" ht="15.75" customHeight="1">
      <c r="A271" s="116" t="s">
        <v>593</v>
      </c>
      <c r="B271" s="116" t="str">
        <f>IFERROR(VLOOKUP(A271&amp;"", STUDENTS!A:B, 2, 0), "")</f>
        <v>TÔ DIỆP THIÊN ANH</v>
      </c>
      <c r="C271" s="117" t="s">
        <v>75</v>
      </c>
      <c r="D271" s="117" t="str">
        <f>IFERROR(VLOOKUP(C271, PIC!A:B, 2, 0), "")</f>
        <v>Anh To</v>
      </c>
      <c r="E271" s="118" t="s">
        <v>22</v>
      </c>
      <c r="F271" s="119">
        <v>45922.416666666657</v>
      </c>
      <c r="G271" s="120">
        <v>45926.541666666657</v>
      </c>
      <c r="H271" s="120">
        <v>45929.416666666657</v>
      </c>
      <c r="I271" s="119"/>
      <c r="J271" s="120">
        <v>45947.416666666657</v>
      </c>
      <c r="K271" s="119" t="s">
        <v>815</v>
      </c>
      <c r="L271" s="120">
        <v>45971.625</v>
      </c>
      <c r="M271" s="120">
        <v>45980.625</v>
      </c>
      <c r="N271" s="119">
        <v>46008.625</v>
      </c>
      <c r="O271" s="119">
        <v>46017.625</v>
      </c>
      <c r="P271" s="119">
        <v>46041.625</v>
      </c>
      <c r="Q271" s="119">
        <v>46048.541666666657</v>
      </c>
      <c r="R271" s="119">
        <v>46086.416666666657</v>
      </c>
      <c r="S271" s="119">
        <v>46087.416666666657</v>
      </c>
      <c r="T271" s="119">
        <v>46094.416666666657</v>
      </c>
      <c r="U271" s="120"/>
      <c r="V271" s="121">
        <f t="shared" si="1"/>
        <v>46094.416666666657</v>
      </c>
      <c r="W271" s="122"/>
      <c r="X271" s="122"/>
      <c r="Y271" s="2"/>
    </row>
    <row r="272" spans="1:25" ht="15.75" customHeight="1">
      <c r="A272" s="108" t="s">
        <v>210</v>
      </c>
      <c r="B272" s="108" t="str">
        <f>IFERROR(VLOOKUP(A272&amp;"", STUDENTS!A:B, 2, 0), "")</f>
        <v>HỒ HUỲNH THÔNG</v>
      </c>
      <c r="C272" s="109" t="s">
        <v>76</v>
      </c>
      <c r="D272" s="109" t="str">
        <f>IFERROR(VLOOKUP(C272, PIC!A:B, 2, 0), "")</f>
        <v>My Tran</v>
      </c>
      <c r="E272" s="110" t="s">
        <v>21</v>
      </c>
      <c r="F272" s="111">
        <v>45763.541666666657</v>
      </c>
      <c r="G272" s="112">
        <v>45769.541666666657</v>
      </c>
      <c r="H272" s="112">
        <v>45786.416666666657</v>
      </c>
      <c r="I272" s="111">
        <v>45804.541666666657</v>
      </c>
      <c r="J272" s="112">
        <v>45811.583333333343</v>
      </c>
      <c r="K272" s="111">
        <v>45818.583333333343</v>
      </c>
      <c r="L272" s="112">
        <v>45825.583333333343</v>
      </c>
      <c r="M272" s="112">
        <v>45832.583333333343</v>
      </c>
      <c r="N272" s="111">
        <v>45846.583333333343</v>
      </c>
      <c r="O272" s="111">
        <v>45868.375</v>
      </c>
      <c r="P272" s="111"/>
      <c r="Q272" s="111"/>
      <c r="R272" s="111"/>
      <c r="S272" s="111"/>
      <c r="T272" s="111"/>
      <c r="U272" s="112"/>
      <c r="V272" s="113">
        <f t="shared" si="1"/>
        <v>45868.375</v>
      </c>
      <c r="W272" s="114"/>
      <c r="X272" s="114"/>
      <c r="Y272" s="2"/>
    </row>
    <row r="273" spans="1:25" ht="15.75" customHeight="1">
      <c r="A273" s="116" t="s">
        <v>210</v>
      </c>
      <c r="B273" s="116" t="str">
        <f>IFERROR(VLOOKUP(A273&amp;"", STUDENTS!A:B, 2, 0), "")</f>
        <v>HỒ HUỲNH THÔNG</v>
      </c>
      <c r="C273" s="117" t="s">
        <v>76</v>
      </c>
      <c r="D273" s="117" t="str">
        <f>IFERROR(VLOOKUP(C273, PIC!A:B, 2, 0), "")</f>
        <v>My Tran</v>
      </c>
      <c r="E273" s="118" t="s">
        <v>22</v>
      </c>
      <c r="F273" s="119">
        <v>45895.583333333343</v>
      </c>
      <c r="G273" s="120">
        <v>45895.583333333343</v>
      </c>
      <c r="H273" s="120" t="s">
        <v>815</v>
      </c>
      <c r="I273" s="119">
        <v>45953.625</v>
      </c>
      <c r="J273" s="120" t="s">
        <v>815</v>
      </c>
      <c r="K273" s="119">
        <v>45964.625</v>
      </c>
      <c r="L273" s="120" t="s">
        <v>815</v>
      </c>
      <c r="M273" s="120">
        <v>45993.583333333343</v>
      </c>
      <c r="N273" s="119">
        <v>46000.583333333343</v>
      </c>
      <c r="O273" s="119">
        <v>46007.583333333343</v>
      </c>
      <c r="P273" s="119">
        <v>46013.583333333343</v>
      </c>
      <c r="Q273" s="119"/>
      <c r="R273" s="119"/>
      <c r="S273" s="119"/>
      <c r="T273" s="119"/>
      <c r="U273" s="120"/>
      <c r="V273" s="121">
        <f t="shared" si="1"/>
        <v>46013.583333333343</v>
      </c>
      <c r="W273" s="122"/>
      <c r="X273" s="122"/>
      <c r="Y273" s="2"/>
    </row>
    <row r="274" spans="1:25" ht="15.75" customHeight="1">
      <c r="A274" s="108" t="s">
        <v>228</v>
      </c>
      <c r="B274" s="108" t="str">
        <f>IFERROR(VLOOKUP(A274&amp;"", STUDENTS!A:B, 2, 0), "")</f>
        <v>HUỲNH BỬU BỬU</v>
      </c>
      <c r="C274" s="109" t="s">
        <v>76</v>
      </c>
      <c r="D274" s="109" t="str">
        <f>IFERROR(VLOOKUP(C274, PIC!A:B, 2, 0), "")</f>
        <v>My Tran</v>
      </c>
      <c r="E274" s="110" t="s">
        <v>22</v>
      </c>
      <c r="F274" s="111">
        <v>45895.583333333343</v>
      </c>
      <c r="G274" s="112" t="s">
        <v>815</v>
      </c>
      <c r="H274" s="112" t="s">
        <v>815</v>
      </c>
      <c r="I274" s="111">
        <v>45923.625</v>
      </c>
      <c r="J274" s="112">
        <v>45930.625</v>
      </c>
      <c r="K274" s="111">
        <v>45964.625</v>
      </c>
      <c r="L274" s="112">
        <v>45979.625</v>
      </c>
      <c r="M274" s="112">
        <v>45993.583333333343</v>
      </c>
      <c r="N274" s="111">
        <v>46000.583333333343</v>
      </c>
      <c r="O274" s="111">
        <v>46007.583333333343</v>
      </c>
      <c r="P274" s="111">
        <v>46013.583333333343</v>
      </c>
      <c r="Q274" s="111"/>
      <c r="R274" s="111"/>
      <c r="S274" s="111"/>
      <c r="T274" s="111"/>
      <c r="U274" s="112"/>
      <c r="V274" s="113">
        <f t="shared" si="1"/>
        <v>46013.583333333343</v>
      </c>
      <c r="W274" s="114"/>
      <c r="X274" s="114"/>
      <c r="Y274" s="2"/>
    </row>
    <row r="275" spans="1:25" ht="15.75" customHeight="1">
      <c r="A275" s="116" t="s">
        <v>399</v>
      </c>
      <c r="B275" s="116" t="str">
        <f>IFERROR(VLOOKUP(A275&amp;"", STUDENTS!A:B, 2, 0), "")</f>
        <v>NGUYỄN LÊ KHOA</v>
      </c>
      <c r="C275" s="117" t="s">
        <v>76</v>
      </c>
      <c r="D275" s="117" t="str">
        <f>IFERROR(VLOOKUP(C275, PIC!A:B, 2, 0), "")</f>
        <v>My Tran</v>
      </c>
      <c r="E275" s="118" t="s">
        <v>22</v>
      </c>
      <c r="F275" s="119">
        <v>45895.583333333343</v>
      </c>
      <c r="G275" s="120">
        <v>45895.583333333343</v>
      </c>
      <c r="H275" s="120">
        <v>45916.625</v>
      </c>
      <c r="I275" s="119">
        <v>45923.625</v>
      </c>
      <c r="J275" s="120">
        <v>45930.625</v>
      </c>
      <c r="K275" s="119">
        <v>45964.625</v>
      </c>
      <c r="L275" s="120">
        <v>45979.625</v>
      </c>
      <c r="M275" s="120">
        <v>45993.583333333343</v>
      </c>
      <c r="N275" s="119">
        <v>46000.583333333343</v>
      </c>
      <c r="O275" s="119" t="s">
        <v>815</v>
      </c>
      <c r="P275" s="119">
        <v>46013.583333333343</v>
      </c>
      <c r="Q275" s="119"/>
      <c r="R275" s="119"/>
      <c r="S275" s="119"/>
      <c r="T275" s="119"/>
      <c r="U275" s="120"/>
      <c r="V275" s="121">
        <f t="shared" si="1"/>
        <v>46013.583333333343</v>
      </c>
      <c r="W275" s="122"/>
      <c r="X275" s="122"/>
      <c r="Y275" s="2"/>
    </row>
    <row r="276" spans="1:25" ht="15.75" customHeight="1">
      <c r="A276" s="108" t="s">
        <v>440</v>
      </c>
      <c r="B276" s="108" t="str">
        <f>IFERROR(VLOOKUP(A276&amp;"", STUDENTS!A:B, 2, 0), "")</f>
        <v>NGUYỄN TẤN HUY</v>
      </c>
      <c r="C276" s="109" t="s">
        <v>76</v>
      </c>
      <c r="D276" s="109" t="str">
        <f>IFERROR(VLOOKUP(C276, PIC!A:B, 2, 0), "")</f>
        <v>My Tran</v>
      </c>
      <c r="E276" s="110" t="s">
        <v>21</v>
      </c>
      <c r="F276" s="111">
        <v>45763.541666666657</v>
      </c>
      <c r="G276" s="112">
        <v>45769.541666666657</v>
      </c>
      <c r="H276" s="112">
        <v>45786.416666666657</v>
      </c>
      <c r="I276" s="111">
        <v>45804.541666666657</v>
      </c>
      <c r="J276" s="112">
        <v>45811.583333333343</v>
      </c>
      <c r="K276" s="111">
        <v>45818.583333333343</v>
      </c>
      <c r="L276" s="112">
        <v>45825.583333333343</v>
      </c>
      <c r="M276" s="112">
        <v>45832.583333333343</v>
      </c>
      <c r="N276" s="111">
        <v>45846.583333333343</v>
      </c>
      <c r="O276" s="111">
        <v>45868.375</v>
      </c>
      <c r="P276" s="111"/>
      <c r="Q276" s="111"/>
      <c r="R276" s="111"/>
      <c r="S276" s="111"/>
      <c r="T276" s="111"/>
      <c r="U276" s="112"/>
      <c r="V276" s="113">
        <f t="shared" si="1"/>
        <v>45868.375</v>
      </c>
      <c r="W276" s="114"/>
      <c r="X276" s="114"/>
      <c r="Y276" s="2"/>
    </row>
    <row r="277" spans="1:25" ht="15.75" customHeight="1">
      <c r="A277" s="116" t="s">
        <v>520</v>
      </c>
      <c r="B277" s="116" t="str">
        <f>IFERROR(VLOOKUP(A277&amp;"", STUDENTS!A:B, 2, 0), "")</f>
        <v>PHẠM ĐỨC ÁO</v>
      </c>
      <c r="C277" s="117" t="s">
        <v>76</v>
      </c>
      <c r="D277" s="117" t="str">
        <f>IFERROR(VLOOKUP(C277, PIC!A:B, 2, 0), "")</f>
        <v>My Tran</v>
      </c>
      <c r="E277" s="118" t="s">
        <v>21</v>
      </c>
      <c r="F277" s="119">
        <v>45763.541666666657</v>
      </c>
      <c r="G277" s="120">
        <v>45769.541666666657</v>
      </c>
      <c r="H277" s="120">
        <v>45786.416666666657</v>
      </c>
      <c r="I277" s="119">
        <v>45804.541666666657</v>
      </c>
      <c r="J277" s="120">
        <v>45811.583333333343</v>
      </c>
      <c r="K277" s="119">
        <v>45818.583333333343</v>
      </c>
      <c r="L277" s="120">
        <v>45825.583333333343</v>
      </c>
      <c r="M277" s="120">
        <v>45832.583333333343</v>
      </c>
      <c r="N277" s="119">
        <v>45846.583333333343</v>
      </c>
      <c r="O277" s="119">
        <v>45868.375</v>
      </c>
      <c r="P277" s="119"/>
      <c r="Q277" s="119"/>
      <c r="R277" s="119"/>
      <c r="S277" s="119"/>
      <c r="T277" s="119"/>
      <c r="U277" s="120"/>
      <c r="V277" s="121">
        <f t="shared" si="1"/>
        <v>45868.375</v>
      </c>
      <c r="W277" s="122"/>
      <c r="X277" s="122"/>
      <c r="Y277" s="2"/>
    </row>
    <row r="278" spans="1:25" ht="15.75" customHeight="1">
      <c r="A278" s="108" t="s">
        <v>534</v>
      </c>
      <c r="B278" s="108" t="str">
        <f>IFERROR(VLOOKUP(A278&amp;"", STUDENTS!A:B, 2, 0), "")</f>
        <v>PHẠM LÊ HOÀI PHƯƠNG</v>
      </c>
      <c r="C278" s="109" t="s">
        <v>76</v>
      </c>
      <c r="D278" s="109" t="str">
        <f>IFERROR(VLOOKUP(C278, PIC!A:B, 2, 0), "")</f>
        <v>My Tran</v>
      </c>
      <c r="E278" s="110" t="s">
        <v>22</v>
      </c>
      <c r="F278" s="111">
        <v>45895.583333333343</v>
      </c>
      <c r="G278" s="112">
        <v>45895.583333333343</v>
      </c>
      <c r="H278" s="112">
        <v>45916.625</v>
      </c>
      <c r="I278" s="111">
        <v>45923.625</v>
      </c>
      <c r="J278" s="112">
        <v>45930.625</v>
      </c>
      <c r="K278" s="111">
        <v>45964.625</v>
      </c>
      <c r="L278" s="112">
        <v>45979.625</v>
      </c>
      <c r="M278" s="112">
        <v>45993.583333333343</v>
      </c>
      <c r="N278" s="111">
        <v>46000.583333333343</v>
      </c>
      <c r="O278" s="111">
        <v>46007.583333333343</v>
      </c>
      <c r="P278" s="111">
        <v>46013.583333333343</v>
      </c>
      <c r="Q278" s="111"/>
      <c r="R278" s="111"/>
      <c r="S278" s="111"/>
      <c r="T278" s="111"/>
      <c r="U278" s="112"/>
      <c r="V278" s="113">
        <f t="shared" si="1"/>
        <v>46013.583333333343</v>
      </c>
      <c r="W278" s="114"/>
      <c r="X278" s="114"/>
      <c r="Y278" s="2"/>
    </row>
    <row r="279" spans="1:25" ht="15.75" customHeight="1">
      <c r="A279" s="116" t="s">
        <v>595</v>
      </c>
      <c r="B279" s="116" t="str">
        <f>IFERROR(VLOOKUP(A279&amp;"", STUDENTS!A:B, 2, 0), "")</f>
        <v>TÔ PHƯỚC THÁI</v>
      </c>
      <c r="C279" s="117" t="s">
        <v>76</v>
      </c>
      <c r="D279" s="117" t="str">
        <f>IFERROR(VLOOKUP(C279, PIC!A:B, 2, 0), "")</f>
        <v>My Tran</v>
      </c>
      <c r="E279" s="118" t="s">
        <v>21</v>
      </c>
      <c r="F279" s="119">
        <v>45763.541666666657</v>
      </c>
      <c r="G279" s="120">
        <v>45769.541666666657</v>
      </c>
      <c r="H279" s="120" t="s">
        <v>815</v>
      </c>
      <c r="I279" s="119">
        <v>45804.541666666657</v>
      </c>
      <c r="J279" s="120">
        <v>45811.583333333343</v>
      </c>
      <c r="K279" s="119">
        <v>45818.583333333343</v>
      </c>
      <c r="L279" s="120">
        <v>45825.583333333343</v>
      </c>
      <c r="M279" s="120">
        <v>45832.583333333343</v>
      </c>
      <c r="N279" s="119" t="s">
        <v>815</v>
      </c>
      <c r="O279" s="119">
        <v>45868.375</v>
      </c>
      <c r="P279" s="119"/>
      <c r="Q279" s="119"/>
      <c r="R279" s="119"/>
      <c r="S279" s="119"/>
      <c r="T279" s="119"/>
      <c r="U279" s="120"/>
      <c r="V279" s="121">
        <f t="shared" si="1"/>
        <v>45868.375</v>
      </c>
      <c r="W279" s="122"/>
      <c r="X279" s="122"/>
      <c r="Y279" s="2"/>
    </row>
    <row r="280" spans="1:25" ht="15.75" customHeight="1">
      <c r="A280" s="108" t="s">
        <v>595</v>
      </c>
      <c r="B280" s="108" t="str">
        <f>IFERROR(VLOOKUP(A280&amp;"", STUDENTS!A:B, 2, 0), "")</f>
        <v>TÔ PHƯỚC THÁI</v>
      </c>
      <c r="C280" s="109" t="s">
        <v>76</v>
      </c>
      <c r="D280" s="109" t="str">
        <f>IFERROR(VLOOKUP(C280, PIC!A:B, 2, 0), "")</f>
        <v>My Tran</v>
      </c>
      <c r="E280" s="110" t="s">
        <v>22</v>
      </c>
      <c r="F280" s="111">
        <v>45895.583333333343</v>
      </c>
      <c r="G280" s="112">
        <v>45895.583333333343</v>
      </c>
      <c r="H280" s="112">
        <v>45916.625</v>
      </c>
      <c r="I280" s="111">
        <v>45923.625</v>
      </c>
      <c r="J280" s="112">
        <v>45930.625</v>
      </c>
      <c r="K280" s="111" t="s">
        <v>815</v>
      </c>
      <c r="L280" s="112">
        <v>45979.625</v>
      </c>
      <c r="M280" s="112">
        <v>45993.583333333343</v>
      </c>
      <c r="N280" s="111">
        <v>46000.583333333343</v>
      </c>
      <c r="O280" s="111">
        <v>46007.583333333343</v>
      </c>
      <c r="P280" s="111">
        <v>46013.583333333343</v>
      </c>
      <c r="Q280" s="111"/>
      <c r="R280" s="111"/>
      <c r="S280" s="111"/>
      <c r="T280" s="111"/>
      <c r="U280" s="112"/>
      <c r="V280" s="113">
        <f t="shared" si="1"/>
        <v>46013.583333333343</v>
      </c>
      <c r="W280" s="114"/>
      <c r="X280" s="114"/>
      <c r="Y280" s="2"/>
    </row>
    <row r="281" spans="1:25" ht="15.75" customHeight="1">
      <c r="A281" s="116" t="s">
        <v>615</v>
      </c>
      <c r="B281" s="116" t="str">
        <f>IFERROR(VLOOKUP(A281&amp;"", STUDENTS!A:B, 2, 0), "")</f>
        <v>TRẦN HƯƠNG QUỲNH</v>
      </c>
      <c r="C281" s="117" t="s">
        <v>76</v>
      </c>
      <c r="D281" s="117" t="str">
        <f>IFERROR(VLOOKUP(C281, PIC!A:B, 2, 0), "")</f>
        <v>My Tran</v>
      </c>
      <c r="E281" s="118" t="s">
        <v>21</v>
      </c>
      <c r="F281" s="119">
        <v>45763.541666666657</v>
      </c>
      <c r="G281" s="120">
        <v>45769.541666666657</v>
      </c>
      <c r="H281" s="120">
        <v>45786.416666666657</v>
      </c>
      <c r="I281" s="119">
        <v>45804.541666666657</v>
      </c>
      <c r="J281" s="120">
        <v>45811.583333333343</v>
      </c>
      <c r="K281" s="119">
        <v>45818.583333333343</v>
      </c>
      <c r="L281" s="120">
        <v>45825.583333333343</v>
      </c>
      <c r="M281" s="120" t="s">
        <v>815</v>
      </c>
      <c r="N281" s="119">
        <v>45846.583333333343</v>
      </c>
      <c r="O281" s="119">
        <v>45868.375</v>
      </c>
      <c r="P281" s="119"/>
      <c r="Q281" s="119"/>
      <c r="R281" s="119"/>
      <c r="S281" s="119"/>
      <c r="T281" s="119"/>
      <c r="U281" s="120"/>
      <c r="V281" s="121">
        <f t="shared" si="1"/>
        <v>45868.375</v>
      </c>
      <c r="W281" s="122"/>
      <c r="X281" s="122"/>
      <c r="Y281" s="2"/>
    </row>
    <row r="282" spans="1:25" ht="15.75" customHeight="1">
      <c r="A282" s="108" t="s">
        <v>615</v>
      </c>
      <c r="B282" s="108" t="str">
        <f>IFERROR(VLOOKUP(A282&amp;"", STUDENTS!A:B, 2, 0), "")</f>
        <v>TRẦN HƯƠNG QUỲNH</v>
      </c>
      <c r="C282" s="109" t="s">
        <v>76</v>
      </c>
      <c r="D282" s="109" t="str">
        <f>IFERROR(VLOOKUP(C282, PIC!A:B, 2, 0), "")</f>
        <v>My Tran</v>
      </c>
      <c r="E282" s="110" t="s">
        <v>22</v>
      </c>
      <c r="F282" s="111">
        <v>45895.583333333343</v>
      </c>
      <c r="G282" s="112">
        <v>45895.583333333343</v>
      </c>
      <c r="H282" s="112">
        <v>45916.625</v>
      </c>
      <c r="I282" s="111">
        <v>45923.625</v>
      </c>
      <c r="J282" s="112">
        <v>45930.625</v>
      </c>
      <c r="K282" s="111">
        <v>45964.625</v>
      </c>
      <c r="L282" s="112">
        <v>45979.625</v>
      </c>
      <c r="M282" s="112">
        <v>45993.583333333343</v>
      </c>
      <c r="N282" s="111">
        <v>46000.583333333343</v>
      </c>
      <c r="O282" s="111" t="s">
        <v>815</v>
      </c>
      <c r="P282" s="111">
        <v>46013.583333333343</v>
      </c>
      <c r="Q282" s="111"/>
      <c r="R282" s="111"/>
      <c r="S282" s="111"/>
      <c r="T282" s="111"/>
      <c r="U282" s="112"/>
      <c r="V282" s="113">
        <f t="shared" si="1"/>
        <v>46013.583333333343</v>
      </c>
      <c r="W282" s="114"/>
      <c r="X282" s="114"/>
      <c r="Y282" s="2"/>
    </row>
    <row r="283" spans="1:25" ht="15.75" customHeight="1">
      <c r="A283" s="116" t="s">
        <v>651</v>
      </c>
      <c r="B283" s="116" t="str">
        <f>IFERROR(VLOOKUP(A283&amp;"", STUDENTS!A:B, 2, 0), "")</f>
        <v>TRẦN THỊ HOÀN MỸ</v>
      </c>
      <c r="C283" s="117" t="s">
        <v>76</v>
      </c>
      <c r="D283" s="117" t="str">
        <f>IFERROR(VLOOKUP(C283, PIC!A:B, 2, 0), "")</f>
        <v>My Tran</v>
      </c>
      <c r="E283" s="118" t="s">
        <v>21</v>
      </c>
      <c r="F283" s="119">
        <v>45763.541666666657</v>
      </c>
      <c r="G283" s="120">
        <v>45769.541666666657</v>
      </c>
      <c r="H283" s="120">
        <v>45786.416666666657</v>
      </c>
      <c r="I283" s="119">
        <v>45804.541666666657</v>
      </c>
      <c r="J283" s="120">
        <v>45811.583333333343</v>
      </c>
      <c r="K283" s="119">
        <v>45818.583333333343</v>
      </c>
      <c r="L283" s="120">
        <v>45825.583333333343</v>
      </c>
      <c r="M283" s="120">
        <v>45832.583333333343</v>
      </c>
      <c r="N283" s="119">
        <v>45846.583333333343</v>
      </c>
      <c r="O283" s="119">
        <v>45868.375</v>
      </c>
      <c r="P283" s="119"/>
      <c r="Q283" s="119"/>
      <c r="R283" s="119"/>
      <c r="S283" s="119"/>
      <c r="T283" s="119"/>
      <c r="U283" s="120"/>
      <c r="V283" s="121">
        <f t="shared" si="1"/>
        <v>45868.375</v>
      </c>
      <c r="W283" s="122"/>
      <c r="X283" s="122"/>
      <c r="Y283" s="2"/>
    </row>
    <row r="284" spans="1:25" ht="15.75" customHeight="1">
      <c r="A284" s="108" t="s">
        <v>651</v>
      </c>
      <c r="B284" s="108" t="str">
        <f>IFERROR(VLOOKUP(A284&amp;"", STUDENTS!A:B, 2, 0), "")</f>
        <v>TRẦN THỊ HOÀN MỸ</v>
      </c>
      <c r="C284" s="109" t="s">
        <v>76</v>
      </c>
      <c r="D284" s="109" t="str">
        <f>IFERROR(VLOOKUP(C284, PIC!A:B, 2, 0), "")</f>
        <v>My Tran</v>
      </c>
      <c r="E284" s="110" t="s">
        <v>22</v>
      </c>
      <c r="F284" s="111">
        <v>45895.583333333343</v>
      </c>
      <c r="G284" s="112">
        <v>45895.583333333343</v>
      </c>
      <c r="H284" s="112">
        <v>45916.625</v>
      </c>
      <c r="I284" s="111">
        <v>45953.625</v>
      </c>
      <c r="J284" s="112" t="s">
        <v>815</v>
      </c>
      <c r="K284" s="111">
        <v>45964.625</v>
      </c>
      <c r="L284" s="112">
        <v>45979.625</v>
      </c>
      <c r="M284" s="112">
        <v>45993.583333333343</v>
      </c>
      <c r="N284" s="111">
        <v>46000.583333333343</v>
      </c>
      <c r="O284" s="111">
        <v>46007.583333333343</v>
      </c>
      <c r="P284" s="111">
        <v>46013.583333333343</v>
      </c>
      <c r="Q284" s="111"/>
      <c r="R284" s="111"/>
      <c r="S284" s="111"/>
      <c r="T284" s="111"/>
      <c r="U284" s="112"/>
      <c r="V284" s="113">
        <f t="shared" si="1"/>
        <v>46013.583333333343</v>
      </c>
      <c r="W284" s="114"/>
      <c r="X284" s="114"/>
      <c r="Y284" s="2"/>
    </row>
    <row r="285" spans="1:25" ht="15.75" customHeight="1">
      <c r="A285" s="116" t="s">
        <v>685</v>
      </c>
      <c r="B285" s="116" t="str">
        <f>IFERROR(VLOOKUP(A285&amp;"", STUDENTS!A:B, 2, 0), "")</f>
        <v>TỪ NGUYỄN MINH NHẬT</v>
      </c>
      <c r="C285" s="117" t="s">
        <v>76</v>
      </c>
      <c r="D285" s="117" t="str">
        <f>IFERROR(VLOOKUP(C285, PIC!A:B, 2, 0), "")</f>
        <v>My Tran</v>
      </c>
      <c r="E285" s="118" t="s">
        <v>21</v>
      </c>
      <c r="F285" s="119">
        <v>45763.541666666657</v>
      </c>
      <c r="G285" s="120">
        <v>45769.541666666657</v>
      </c>
      <c r="H285" s="120">
        <v>45786.416666666657</v>
      </c>
      <c r="I285" s="119">
        <v>45804.541666666657</v>
      </c>
      <c r="J285" s="120">
        <v>45811.583333333343</v>
      </c>
      <c r="K285" s="119">
        <v>45818.583333333343</v>
      </c>
      <c r="L285" s="120">
        <v>45825.583333333343</v>
      </c>
      <c r="M285" s="120">
        <v>45832.583333333343</v>
      </c>
      <c r="N285" s="119">
        <v>45846.583333333343</v>
      </c>
      <c r="O285" s="119">
        <v>45868.375</v>
      </c>
      <c r="P285" s="119"/>
      <c r="Q285" s="119"/>
      <c r="R285" s="119"/>
      <c r="S285" s="119"/>
      <c r="T285" s="119"/>
      <c r="U285" s="120"/>
      <c r="V285" s="121">
        <f t="shared" si="1"/>
        <v>45868.375</v>
      </c>
      <c r="W285" s="122"/>
      <c r="X285" s="122"/>
      <c r="Y285" s="2"/>
    </row>
    <row r="286" spans="1:25" ht="15.75" customHeight="1">
      <c r="A286" s="108" t="s">
        <v>709</v>
      </c>
      <c r="B286" s="108" t="str">
        <f>IFERROR(VLOOKUP(A286&amp;"", STUDENTS!A:B, 2, 0), "")</f>
        <v>VÕ THỊ TUYẾT HỒNG</v>
      </c>
      <c r="C286" s="109" t="s">
        <v>76</v>
      </c>
      <c r="D286" s="109" t="str">
        <f>IFERROR(VLOOKUP(C286, PIC!A:B, 2, 0), "")</f>
        <v>My Tran</v>
      </c>
      <c r="E286" s="110" t="s">
        <v>21</v>
      </c>
      <c r="F286" s="111">
        <v>45763.541666666657</v>
      </c>
      <c r="G286" s="112">
        <v>45769.541666666657</v>
      </c>
      <c r="H286" s="112">
        <v>45786.416666666657</v>
      </c>
      <c r="I286" s="111">
        <v>45804.541666666657</v>
      </c>
      <c r="J286" s="112">
        <v>45811.583333333343</v>
      </c>
      <c r="K286" s="111">
        <v>45818.583333333343</v>
      </c>
      <c r="L286" s="112">
        <v>45825.583333333343</v>
      </c>
      <c r="M286" s="112">
        <v>45832.583333333343</v>
      </c>
      <c r="N286" s="111">
        <v>45846.583333333343</v>
      </c>
      <c r="O286" s="111">
        <v>45868.375</v>
      </c>
      <c r="P286" s="111"/>
      <c r="Q286" s="111"/>
      <c r="R286" s="111"/>
      <c r="S286" s="111"/>
      <c r="T286" s="111"/>
      <c r="U286" s="112"/>
      <c r="V286" s="113">
        <f t="shared" si="1"/>
        <v>45868.375</v>
      </c>
      <c r="W286" s="114"/>
      <c r="X286" s="114"/>
      <c r="Y286" s="2"/>
    </row>
    <row r="287" spans="1:25" ht="15.75" customHeight="1">
      <c r="A287" s="116" t="s">
        <v>147</v>
      </c>
      <c r="B287" s="116" t="str">
        <f>IFERROR(VLOOKUP(A287&amp;"", STUDENTS!A:B, 2, 0), "")</f>
        <v>CHU KHÁNH LINH</v>
      </c>
      <c r="C287" s="117" t="s">
        <v>77</v>
      </c>
      <c r="D287" s="117" t="str">
        <f>IFERROR(VLOOKUP(C287, PIC!A:B, 2, 0), "")</f>
        <v>Vinh Nguyen</v>
      </c>
      <c r="E287" s="118" t="s">
        <v>21</v>
      </c>
      <c r="F287" s="119">
        <v>45715.583333333343</v>
      </c>
      <c r="G287" s="120">
        <v>45756.583333333343</v>
      </c>
      <c r="H287" s="120">
        <v>45771.541666666657</v>
      </c>
      <c r="I287" s="119">
        <v>45786.541666666657</v>
      </c>
      <c r="J287" s="120">
        <v>45790.541666666657</v>
      </c>
      <c r="K287" s="119">
        <v>45799.541666666657</v>
      </c>
      <c r="L287" s="120">
        <v>45805.541666666657</v>
      </c>
      <c r="M287" s="120">
        <v>45813.583333333343</v>
      </c>
      <c r="N287" s="119">
        <v>45820.583333333343</v>
      </c>
      <c r="O287" s="119">
        <v>45849.541666666657</v>
      </c>
      <c r="P287" s="119"/>
      <c r="Q287" s="119"/>
      <c r="R287" s="119"/>
      <c r="S287" s="119"/>
      <c r="T287" s="119"/>
      <c r="U287" s="120"/>
      <c r="V287" s="121">
        <f t="shared" si="1"/>
        <v>45849.541666666657</v>
      </c>
      <c r="W287" s="122"/>
      <c r="X287" s="122"/>
      <c r="Y287" s="2"/>
    </row>
    <row r="288" spans="1:25" ht="15.75" customHeight="1">
      <c r="A288" s="108" t="s">
        <v>147</v>
      </c>
      <c r="B288" s="108" t="str">
        <f>IFERROR(VLOOKUP(A288&amp;"", STUDENTS!A:B, 2, 0), "")</f>
        <v>CHU KHÁNH LINH</v>
      </c>
      <c r="C288" s="109" t="s">
        <v>77</v>
      </c>
      <c r="D288" s="109" t="str">
        <f>IFERROR(VLOOKUP(C288, PIC!A:B, 2, 0), "")</f>
        <v>Vinh Nguyen</v>
      </c>
      <c r="E288" s="110" t="s">
        <v>22</v>
      </c>
      <c r="F288" s="111">
        <v>45890.541666666657</v>
      </c>
      <c r="G288" s="112">
        <v>45897.583333333343</v>
      </c>
      <c r="H288" s="112">
        <v>45911.583333333343</v>
      </c>
      <c r="I288" s="111">
        <v>45918.583333333343</v>
      </c>
      <c r="J288" s="112">
        <v>45925.583333333343</v>
      </c>
      <c r="K288" s="111">
        <v>45932.583333333343</v>
      </c>
      <c r="L288" s="112">
        <v>45946.583333333343</v>
      </c>
      <c r="M288" s="112">
        <v>45953.583333333343</v>
      </c>
      <c r="N288" s="111">
        <v>45960.583333333343</v>
      </c>
      <c r="O288" s="111">
        <v>45966.583333333343</v>
      </c>
      <c r="P288" s="111">
        <v>45982.583333333343</v>
      </c>
      <c r="Q288" s="111">
        <v>45988.583333333343</v>
      </c>
      <c r="R288" s="111">
        <v>45995.583333333343</v>
      </c>
      <c r="S288" s="111">
        <v>45999.458333333343</v>
      </c>
      <c r="T288" s="111">
        <v>46014.625</v>
      </c>
      <c r="U288" s="112">
        <v>46044.541666666657</v>
      </c>
      <c r="V288" s="113">
        <f t="shared" si="1"/>
        <v>46044.541666666657</v>
      </c>
      <c r="W288" s="114"/>
      <c r="X288" s="114"/>
      <c r="Y288" s="2"/>
    </row>
    <row r="289" spans="1:25" ht="15.75" customHeight="1">
      <c r="A289" s="116" t="s">
        <v>147</v>
      </c>
      <c r="B289" s="116" t="str">
        <f>IFERROR(VLOOKUP(A289&amp;"", STUDENTS!A:B, 2, 0), "")</f>
        <v>CHU KHÁNH LINH</v>
      </c>
      <c r="C289" s="117" t="s">
        <v>77</v>
      </c>
      <c r="D289" s="117" t="str">
        <f>IFERROR(VLOOKUP(C289, PIC!A:B, 2, 0), "")</f>
        <v>Vinh Nguyen</v>
      </c>
      <c r="E289" s="118" t="s">
        <v>23</v>
      </c>
      <c r="F289" s="119"/>
      <c r="G289" s="120">
        <v>46107.583333333343</v>
      </c>
      <c r="H289" s="120">
        <v>46114.583333333343</v>
      </c>
      <c r="I289" s="119">
        <v>46121.583333333343</v>
      </c>
      <c r="J289" s="120">
        <v>46128.583333333343</v>
      </c>
      <c r="K289" s="116" t="s">
        <v>815</v>
      </c>
      <c r="L289" s="120"/>
      <c r="M289" s="120"/>
      <c r="N289" s="119"/>
      <c r="O289" s="119"/>
      <c r="P289" s="119"/>
      <c r="Q289" s="119"/>
      <c r="R289" s="119"/>
      <c r="S289" s="119"/>
      <c r="T289" s="119"/>
      <c r="U289" s="120"/>
      <c r="V289" s="121">
        <f t="shared" si="1"/>
        <v>46128.583333333343</v>
      </c>
      <c r="W289" s="122"/>
      <c r="X289" s="122"/>
      <c r="Y289" s="2"/>
    </row>
    <row r="290" spans="1:25" ht="15.75" customHeight="1">
      <c r="A290" s="108" t="s">
        <v>159</v>
      </c>
      <c r="B290" s="108" t="str">
        <f>IFERROR(VLOOKUP(A290&amp;"", STUDENTS!A:B, 2, 0), "")</f>
        <v>ĐÀO SỸ THỜI</v>
      </c>
      <c r="C290" s="109" t="s">
        <v>77</v>
      </c>
      <c r="D290" s="109" t="str">
        <f>IFERROR(VLOOKUP(C290, PIC!A:B, 2, 0), "")</f>
        <v>Vinh Nguyen</v>
      </c>
      <c r="E290" s="110" t="s">
        <v>22</v>
      </c>
      <c r="F290" s="111">
        <v>45890.541666666657</v>
      </c>
      <c r="G290" s="112">
        <v>45897.583333333343</v>
      </c>
      <c r="H290" s="112">
        <v>45911.583333333343</v>
      </c>
      <c r="I290" s="111">
        <v>45918.583333333343</v>
      </c>
      <c r="J290" s="112">
        <v>45925.583333333343</v>
      </c>
      <c r="K290" s="111">
        <v>45932.583333333343</v>
      </c>
      <c r="L290" s="112">
        <v>45946.583333333343</v>
      </c>
      <c r="M290" s="112">
        <v>45953.583333333343</v>
      </c>
      <c r="N290" s="111">
        <v>45960.583333333343</v>
      </c>
      <c r="O290" s="111">
        <v>45966.583333333343</v>
      </c>
      <c r="P290" s="111">
        <v>45982.583333333343</v>
      </c>
      <c r="Q290" s="111">
        <v>45988.583333333343</v>
      </c>
      <c r="R290" s="111">
        <v>45995.583333333343</v>
      </c>
      <c r="S290" s="111" t="s">
        <v>815</v>
      </c>
      <c r="T290" s="111">
        <v>46014.625</v>
      </c>
      <c r="U290" s="112">
        <v>46044.541666666657</v>
      </c>
      <c r="V290" s="113">
        <f t="shared" si="1"/>
        <v>46044.541666666657</v>
      </c>
      <c r="W290" s="114"/>
      <c r="X290" s="114"/>
      <c r="Y290" s="2"/>
    </row>
    <row r="291" spans="1:25" ht="15.75" customHeight="1">
      <c r="A291" s="116" t="s">
        <v>159</v>
      </c>
      <c r="B291" s="116" t="str">
        <f>IFERROR(VLOOKUP(A291&amp;"", STUDENTS!A:B, 2, 0), "")</f>
        <v>ĐÀO SỸ THỜI</v>
      </c>
      <c r="C291" s="117" t="s">
        <v>77</v>
      </c>
      <c r="D291" s="117" t="str">
        <f>IFERROR(VLOOKUP(C291, PIC!A:B, 2, 0), "")</f>
        <v>Vinh Nguyen</v>
      </c>
      <c r="E291" s="118" t="s">
        <v>23</v>
      </c>
      <c r="F291" s="119"/>
      <c r="G291" s="120">
        <v>46107.583333333343</v>
      </c>
      <c r="H291" s="120">
        <v>46114.583333333343</v>
      </c>
      <c r="I291" s="119" t="s">
        <v>815</v>
      </c>
      <c r="J291" s="120" t="s">
        <v>815</v>
      </c>
      <c r="K291" s="116" t="s">
        <v>815</v>
      </c>
      <c r="L291" s="120"/>
      <c r="M291" s="120"/>
      <c r="N291" s="119"/>
      <c r="O291" s="119"/>
      <c r="P291" s="119"/>
      <c r="Q291" s="119"/>
      <c r="R291" s="119"/>
      <c r="S291" s="119"/>
      <c r="T291" s="119"/>
      <c r="U291" s="120"/>
      <c r="V291" s="121">
        <f t="shared" si="1"/>
        <v>46114.583333333343</v>
      </c>
      <c r="W291" s="122"/>
      <c r="X291" s="122"/>
      <c r="Y291" s="2"/>
    </row>
    <row r="292" spans="1:25" ht="15.75" customHeight="1">
      <c r="A292" s="108" t="s">
        <v>247</v>
      </c>
      <c r="B292" s="108" t="str">
        <f>IFERROR(VLOOKUP(A292&amp;"", STUDENTS!A:B, 2, 0), "")</f>
        <v>LẠC MINH HOÀNG</v>
      </c>
      <c r="C292" s="109" t="s">
        <v>77</v>
      </c>
      <c r="D292" s="109" t="str">
        <f>IFERROR(VLOOKUP(C292, PIC!A:B, 2, 0), "")</f>
        <v>Vinh Nguyen</v>
      </c>
      <c r="E292" s="110" t="s">
        <v>21</v>
      </c>
      <c r="F292" s="111">
        <v>45715.583333333343</v>
      </c>
      <c r="G292" s="112">
        <v>45756.583333333343</v>
      </c>
      <c r="H292" s="112">
        <v>45771.541666666657</v>
      </c>
      <c r="I292" s="111">
        <v>45786.541666666657</v>
      </c>
      <c r="J292" s="112">
        <v>45790.541666666657</v>
      </c>
      <c r="K292" s="111">
        <v>45799.541666666657</v>
      </c>
      <c r="L292" s="112">
        <v>45805.541666666657</v>
      </c>
      <c r="M292" s="112">
        <v>45813.583333333343</v>
      </c>
      <c r="N292" s="111">
        <v>45820.583333333343</v>
      </c>
      <c r="O292" s="111">
        <v>45849.541666666657</v>
      </c>
      <c r="P292" s="111"/>
      <c r="Q292" s="111"/>
      <c r="R292" s="111"/>
      <c r="S292" s="111"/>
      <c r="T292" s="111"/>
      <c r="U292" s="112"/>
      <c r="V292" s="113">
        <f t="shared" si="1"/>
        <v>45849.541666666657</v>
      </c>
      <c r="W292" s="114"/>
      <c r="X292" s="114"/>
      <c r="Y292" s="2"/>
    </row>
    <row r="293" spans="1:25" ht="15.75" customHeight="1">
      <c r="A293" s="116" t="s">
        <v>255</v>
      </c>
      <c r="B293" s="116" t="str">
        <f>IFERROR(VLOOKUP(A293&amp;"", STUDENTS!A:B, 2, 0), "")</f>
        <v>LÂM VĂN TIẾN</v>
      </c>
      <c r="C293" s="117" t="s">
        <v>77</v>
      </c>
      <c r="D293" s="117" t="str">
        <f>IFERROR(VLOOKUP(C293, PIC!A:B, 2, 0), "")</f>
        <v>Vinh Nguyen</v>
      </c>
      <c r="E293" s="118" t="s">
        <v>21</v>
      </c>
      <c r="F293" s="119">
        <v>45715.583333333343</v>
      </c>
      <c r="G293" s="120">
        <v>45756.583333333343</v>
      </c>
      <c r="H293" s="120">
        <v>45771.541666666657</v>
      </c>
      <c r="I293" s="119">
        <v>45786.541666666657</v>
      </c>
      <c r="J293" s="120">
        <v>45790.541666666657</v>
      </c>
      <c r="K293" s="119">
        <v>45799.541666666657</v>
      </c>
      <c r="L293" s="120">
        <v>45805.541666666657</v>
      </c>
      <c r="M293" s="120">
        <v>45813.583333333343</v>
      </c>
      <c r="N293" s="119">
        <v>45820.583333333343</v>
      </c>
      <c r="O293" s="119">
        <v>45849.541666666657</v>
      </c>
      <c r="P293" s="119"/>
      <c r="Q293" s="119"/>
      <c r="R293" s="119"/>
      <c r="S293" s="119"/>
      <c r="T293" s="119"/>
      <c r="U293" s="120"/>
      <c r="V293" s="121">
        <f t="shared" si="1"/>
        <v>45849.541666666657</v>
      </c>
      <c r="W293" s="122"/>
      <c r="X293" s="122"/>
      <c r="Y293" s="2"/>
    </row>
    <row r="294" spans="1:25" ht="15.75" customHeight="1">
      <c r="A294" s="108" t="s">
        <v>255</v>
      </c>
      <c r="B294" s="108" t="str">
        <f>IFERROR(VLOOKUP(A294&amp;"", STUDENTS!A:B, 2, 0), "")</f>
        <v>LÂM VĂN TIẾN</v>
      </c>
      <c r="C294" s="109" t="s">
        <v>77</v>
      </c>
      <c r="D294" s="109" t="str">
        <f>IFERROR(VLOOKUP(C294, PIC!A:B, 2, 0), "")</f>
        <v>Vinh Nguyen</v>
      </c>
      <c r="E294" s="110" t="s">
        <v>22</v>
      </c>
      <c r="F294" s="111">
        <v>45890.541666666657</v>
      </c>
      <c r="G294" s="112">
        <v>45897.583333333343</v>
      </c>
      <c r="H294" s="112">
        <v>45911.583333333343</v>
      </c>
      <c r="I294" s="111">
        <v>45918.583333333343</v>
      </c>
      <c r="J294" s="112">
        <v>45925.583333333343</v>
      </c>
      <c r="K294" s="111">
        <v>45932.583333333343</v>
      </c>
      <c r="L294" s="112">
        <v>45946.583333333343</v>
      </c>
      <c r="M294" s="112">
        <v>45953.583333333343</v>
      </c>
      <c r="N294" s="111">
        <v>45960.583333333343</v>
      </c>
      <c r="O294" s="111">
        <v>45966.583333333343</v>
      </c>
      <c r="P294" s="111">
        <v>45982.583333333343</v>
      </c>
      <c r="Q294" s="111">
        <v>45988.583333333343</v>
      </c>
      <c r="R294" s="111">
        <v>45995.583333333343</v>
      </c>
      <c r="S294" s="111" t="s">
        <v>815</v>
      </c>
      <c r="T294" s="111">
        <v>46014.625</v>
      </c>
      <c r="U294" s="112">
        <v>46044.541666666657</v>
      </c>
      <c r="V294" s="113">
        <f t="shared" si="1"/>
        <v>46044.541666666657</v>
      </c>
      <c r="W294" s="114"/>
      <c r="X294" s="114"/>
      <c r="Y294" s="2"/>
    </row>
    <row r="295" spans="1:25" ht="15.75" customHeight="1">
      <c r="A295" s="116" t="s">
        <v>255</v>
      </c>
      <c r="B295" s="116" t="str">
        <f>IFERROR(VLOOKUP(A295&amp;"", STUDENTS!A:B, 2, 0), "")</f>
        <v>LÂM VĂN TIẾN</v>
      </c>
      <c r="C295" s="117" t="s">
        <v>77</v>
      </c>
      <c r="D295" s="117" t="str">
        <f>IFERROR(VLOOKUP(C295, PIC!A:B, 2, 0), "")</f>
        <v>Vinh Nguyen</v>
      </c>
      <c r="E295" s="118" t="s">
        <v>23</v>
      </c>
      <c r="F295" s="119"/>
      <c r="G295" s="120">
        <v>46107.583333333343</v>
      </c>
      <c r="H295" s="120">
        <v>46114.583333333343</v>
      </c>
      <c r="I295" s="119">
        <v>46121.583333333343</v>
      </c>
      <c r="J295" s="120">
        <v>46128.583333333343</v>
      </c>
      <c r="K295" s="119">
        <v>46135.583333333343</v>
      </c>
      <c r="L295" s="120"/>
      <c r="M295" s="120"/>
      <c r="N295" s="119"/>
      <c r="O295" s="119"/>
      <c r="P295" s="119"/>
      <c r="Q295" s="119"/>
      <c r="R295" s="119"/>
      <c r="S295" s="119"/>
      <c r="T295" s="119"/>
      <c r="U295" s="120"/>
      <c r="V295" s="121">
        <f t="shared" si="1"/>
        <v>46135.583333333343</v>
      </c>
      <c r="W295" s="122"/>
      <c r="X295" s="122"/>
      <c r="Y295" s="2"/>
    </row>
    <row r="296" spans="1:25" ht="15.75" customHeight="1">
      <c r="A296" s="108" t="s">
        <v>273</v>
      </c>
      <c r="B296" s="108" t="str">
        <f>IFERROR(VLOOKUP(A296&amp;"", STUDENTS!A:B, 2, 0), "")</f>
        <v>LE MINH TRUONG</v>
      </c>
      <c r="C296" s="109" t="s">
        <v>77</v>
      </c>
      <c r="D296" s="109" t="str">
        <f>IFERROR(VLOOKUP(C296, PIC!A:B, 2, 0), "")</f>
        <v>Vinh Nguyen</v>
      </c>
      <c r="E296" s="110" t="s">
        <v>21</v>
      </c>
      <c r="F296" s="111" t="s">
        <v>815</v>
      </c>
      <c r="G296" s="112">
        <v>45756.583333333343</v>
      </c>
      <c r="H296" s="112" t="s">
        <v>815</v>
      </c>
      <c r="I296" s="111" t="s">
        <v>815</v>
      </c>
      <c r="J296" s="112" t="s">
        <v>815</v>
      </c>
      <c r="K296" s="111" t="s">
        <v>815</v>
      </c>
      <c r="L296" s="112">
        <v>45805.541666666657</v>
      </c>
      <c r="M296" s="112">
        <v>45813.583333333343</v>
      </c>
      <c r="N296" s="111">
        <v>45820.583333333343</v>
      </c>
      <c r="O296" s="111">
        <v>45849.541666666657</v>
      </c>
      <c r="P296" s="111"/>
      <c r="Q296" s="111"/>
      <c r="R296" s="111"/>
      <c r="S296" s="111"/>
      <c r="T296" s="111"/>
      <c r="U296" s="112"/>
      <c r="V296" s="113">
        <f t="shared" si="1"/>
        <v>45849.541666666657</v>
      </c>
      <c r="W296" s="114"/>
      <c r="X296" s="114"/>
      <c r="Y296" s="2"/>
    </row>
    <row r="297" spans="1:25" ht="15.75" customHeight="1">
      <c r="A297" s="116" t="s">
        <v>302</v>
      </c>
      <c r="B297" s="116" t="str">
        <f>IFERROR(VLOOKUP(A297&amp;"", STUDENTS!A:B, 2, 0), "")</f>
        <v>LE VAN DONG TAM</v>
      </c>
      <c r="C297" s="117" t="s">
        <v>77</v>
      </c>
      <c r="D297" s="117" t="str">
        <f>IFERROR(VLOOKUP(C297, PIC!A:B, 2, 0), "")</f>
        <v>Vinh Nguyen</v>
      </c>
      <c r="E297" s="118" t="s">
        <v>21</v>
      </c>
      <c r="F297" s="119">
        <v>45715.583333333343</v>
      </c>
      <c r="G297" s="120">
        <v>45756.583333333343</v>
      </c>
      <c r="H297" s="120">
        <v>45771.541666666657</v>
      </c>
      <c r="I297" s="119" t="s">
        <v>815</v>
      </c>
      <c r="J297" s="120">
        <v>45790.541666666657</v>
      </c>
      <c r="K297" s="119" t="s">
        <v>815</v>
      </c>
      <c r="L297" s="120">
        <v>45805.541666666657</v>
      </c>
      <c r="M297" s="120">
        <v>45813.583333333343</v>
      </c>
      <c r="N297" s="119">
        <v>45820.583333333343</v>
      </c>
      <c r="O297" s="119">
        <v>45849.541666666657</v>
      </c>
      <c r="P297" s="119"/>
      <c r="Q297" s="119"/>
      <c r="R297" s="119"/>
      <c r="S297" s="119"/>
      <c r="T297" s="119"/>
      <c r="U297" s="120"/>
      <c r="V297" s="121">
        <f t="shared" si="1"/>
        <v>45849.541666666657</v>
      </c>
      <c r="W297" s="122"/>
      <c r="X297" s="122"/>
      <c r="Y297" s="2"/>
    </row>
    <row r="298" spans="1:25" ht="15.75" customHeight="1">
      <c r="A298" s="108" t="s">
        <v>421</v>
      </c>
      <c r="B298" s="108" t="str">
        <f>IFERROR(VLOOKUP(A298&amp;"", STUDENTS!A:B, 2, 0), "")</f>
        <v>NGUYỄN PHAN THẾ VINH</v>
      </c>
      <c r="C298" s="109" t="s">
        <v>77</v>
      </c>
      <c r="D298" s="109" t="str">
        <f>IFERROR(VLOOKUP(C298, PIC!A:B, 2, 0), "")</f>
        <v>Vinh Nguyen</v>
      </c>
      <c r="E298" s="110" t="s">
        <v>21</v>
      </c>
      <c r="F298" s="111">
        <v>45715.583333333343</v>
      </c>
      <c r="G298" s="112">
        <v>45756.583333333343</v>
      </c>
      <c r="H298" s="112">
        <v>45771.541666666657</v>
      </c>
      <c r="I298" s="111">
        <v>45786.541666666657</v>
      </c>
      <c r="J298" s="112">
        <v>45790.541666666657</v>
      </c>
      <c r="K298" s="111">
        <v>45799.541666666657</v>
      </c>
      <c r="L298" s="112">
        <v>45805.541666666657</v>
      </c>
      <c r="M298" s="112">
        <v>45813.583333333343</v>
      </c>
      <c r="N298" s="111">
        <v>45820.583333333343</v>
      </c>
      <c r="O298" s="111">
        <v>45849.541666666657</v>
      </c>
      <c r="P298" s="111"/>
      <c r="Q298" s="111"/>
      <c r="R298" s="111"/>
      <c r="S298" s="111"/>
      <c r="T298" s="111"/>
      <c r="U298" s="112"/>
      <c r="V298" s="113">
        <f t="shared" si="1"/>
        <v>45849.541666666657</v>
      </c>
      <c r="W298" s="114"/>
      <c r="X298" s="114"/>
      <c r="Y298" s="2"/>
    </row>
    <row r="299" spans="1:25" ht="15.75" customHeight="1">
      <c r="A299" s="116" t="s">
        <v>421</v>
      </c>
      <c r="B299" s="116" t="str">
        <f>IFERROR(VLOOKUP(A299&amp;"", STUDENTS!A:B, 2, 0), "")</f>
        <v>NGUYỄN PHAN THẾ VINH</v>
      </c>
      <c r="C299" s="117" t="s">
        <v>77</v>
      </c>
      <c r="D299" s="117" t="str">
        <f>IFERROR(VLOOKUP(C299, PIC!A:B, 2, 0), "")</f>
        <v>Vinh Nguyen</v>
      </c>
      <c r="E299" s="118" t="s">
        <v>22</v>
      </c>
      <c r="F299" s="119">
        <v>45890.541666666657</v>
      </c>
      <c r="G299" s="120">
        <v>45897.583333333343</v>
      </c>
      <c r="H299" s="120" t="s">
        <v>815</v>
      </c>
      <c r="I299" s="119">
        <v>45918.583333333343</v>
      </c>
      <c r="J299" s="120">
        <v>45925.583333333343</v>
      </c>
      <c r="K299" s="119">
        <v>45932.583333333343</v>
      </c>
      <c r="L299" s="120">
        <v>45946.583333333343</v>
      </c>
      <c r="M299" s="120">
        <v>45953.583333333343</v>
      </c>
      <c r="N299" s="119">
        <v>45960.583333333343</v>
      </c>
      <c r="O299" s="119">
        <v>45966.583333333343</v>
      </c>
      <c r="P299" s="119">
        <v>45982.583333333343</v>
      </c>
      <c r="Q299" s="119">
        <v>45988.583333333343</v>
      </c>
      <c r="R299" s="119">
        <v>45995.583333333343</v>
      </c>
      <c r="S299" s="119">
        <v>45999.458333333343</v>
      </c>
      <c r="T299" s="119">
        <v>46014.625</v>
      </c>
      <c r="U299" s="120">
        <v>46044.541666666657</v>
      </c>
      <c r="V299" s="121">
        <f t="shared" si="1"/>
        <v>46044.541666666657</v>
      </c>
      <c r="W299" s="122"/>
      <c r="X299" s="122"/>
      <c r="Y299" s="2"/>
    </row>
    <row r="300" spans="1:25" ht="15.75" customHeight="1">
      <c r="A300" s="108" t="s">
        <v>421</v>
      </c>
      <c r="B300" s="108" t="str">
        <f>IFERROR(VLOOKUP(A300&amp;"", STUDENTS!A:B, 2, 0), "")</f>
        <v>NGUYỄN PHAN THẾ VINH</v>
      </c>
      <c r="C300" s="109" t="s">
        <v>77</v>
      </c>
      <c r="D300" s="109" t="str">
        <f>IFERROR(VLOOKUP(C300, PIC!A:B, 2, 0), "")</f>
        <v>Vinh Nguyen</v>
      </c>
      <c r="E300" s="110" t="s">
        <v>23</v>
      </c>
      <c r="F300" s="111"/>
      <c r="G300" s="112">
        <v>46107.583333333343</v>
      </c>
      <c r="H300" s="112">
        <v>46114.583333333343</v>
      </c>
      <c r="I300" s="111">
        <v>46121.583333333343</v>
      </c>
      <c r="J300" s="112">
        <v>46128.583333333343</v>
      </c>
      <c r="K300" s="108" t="s">
        <v>815</v>
      </c>
      <c r="L300" s="112"/>
      <c r="M300" s="112"/>
      <c r="N300" s="111"/>
      <c r="O300" s="111"/>
      <c r="P300" s="111"/>
      <c r="Q300" s="111"/>
      <c r="R300" s="111"/>
      <c r="S300" s="111"/>
      <c r="T300" s="111"/>
      <c r="U300" s="112"/>
      <c r="V300" s="113">
        <f t="shared" si="1"/>
        <v>46128.583333333343</v>
      </c>
      <c r="W300" s="114"/>
      <c r="X300" s="114"/>
      <c r="Y300" s="2"/>
    </row>
    <row r="301" spans="1:25" ht="15.75" customHeight="1">
      <c r="A301" s="116" t="s">
        <v>433</v>
      </c>
      <c r="B301" s="116" t="str">
        <f>IFERROR(VLOOKUP(A301&amp;"", STUDENTS!A:B, 2, 0), "")</f>
        <v>NGUYỄN QUANG TRUNG</v>
      </c>
      <c r="C301" s="117" t="s">
        <v>77</v>
      </c>
      <c r="D301" s="117" t="str">
        <f>IFERROR(VLOOKUP(C301, PIC!A:B, 2, 0), "")</f>
        <v>Vinh Nguyen</v>
      </c>
      <c r="E301" s="118" t="s">
        <v>22</v>
      </c>
      <c r="F301" s="119">
        <v>45890.541666666657</v>
      </c>
      <c r="G301" s="120">
        <v>45897.583333333343</v>
      </c>
      <c r="H301" s="120">
        <v>45911.583333333343</v>
      </c>
      <c r="I301" s="119">
        <v>45918.583333333343</v>
      </c>
      <c r="J301" s="120">
        <v>45925.583333333343</v>
      </c>
      <c r="K301" s="119">
        <v>45932.583333333343</v>
      </c>
      <c r="L301" s="120">
        <v>45946.583333333343</v>
      </c>
      <c r="M301" s="120" t="s">
        <v>815</v>
      </c>
      <c r="N301" s="119" t="s">
        <v>815</v>
      </c>
      <c r="O301" s="119">
        <v>45966.583333333343</v>
      </c>
      <c r="P301" s="119">
        <v>45982.583333333343</v>
      </c>
      <c r="Q301" s="119" t="s">
        <v>815</v>
      </c>
      <c r="R301" s="119">
        <v>45995.583333333343</v>
      </c>
      <c r="S301" s="119">
        <v>45999.458333333343</v>
      </c>
      <c r="T301" s="119">
        <v>46014.625</v>
      </c>
      <c r="U301" s="120">
        <v>46044.541666666657</v>
      </c>
      <c r="V301" s="121">
        <f t="shared" si="1"/>
        <v>46044.541666666657</v>
      </c>
      <c r="W301" s="122"/>
      <c r="X301" s="122"/>
      <c r="Y301" s="2"/>
    </row>
    <row r="302" spans="1:25" ht="15.75" customHeight="1">
      <c r="A302" s="108" t="s">
        <v>433</v>
      </c>
      <c r="B302" s="108" t="str">
        <f>IFERROR(VLOOKUP(A302&amp;"", STUDENTS!A:B, 2, 0), "")</f>
        <v>NGUYỄN QUANG TRUNG</v>
      </c>
      <c r="C302" s="109" t="s">
        <v>77</v>
      </c>
      <c r="D302" s="109" t="str">
        <f>IFERROR(VLOOKUP(C302, PIC!A:B, 2, 0), "")</f>
        <v>Vinh Nguyen</v>
      </c>
      <c r="E302" s="110" t="s">
        <v>23</v>
      </c>
      <c r="F302" s="111"/>
      <c r="G302" s="112">
        <v>46107.583333333343</v>
      </c>
      <c r="H302" s="112">
        <v>46114.583333333343</v>
      </c>
      <c r="I302" s="111">
        <v>46121.583333333343</v>
      </c>
      <c r="J302" s="112">
        <v>46128.583333333343</v>
      </c>
      <c r="K302" s="111">
        <v>46135.583333333343</v>
      </c>
      <c r="L302" s="112"/>
      <c r="M302" s="112"/>
      <c r="N302" s="111"/>
      <c r="O302" s="111"/>
      <c r="P302" s="111"/>
      <c r="Q302" s="111"/>
      <c r="R302" s="111"/>
      <c r="S302" s="111"/>
      <c r="T302" s="111"/>
      <c r="U302" s="112"/>
      <c r="V302" s="113">
        <f t="shared" si="1"/>
        <v>46135.583333333343</v>
      </c>
      <c r="W302" s="114"/>
      <c r="X302" s="114"/>
      <c r="Y302" s="2"/>
    </row>
    <row r="303" spans="1:25" ht="15.75" customHeight="1">
      <c r="A303" s="116" t="s">
        <v>494</v>
      </c>
      <c r="B303" s="116" t="str">
        <f>IFERROR(VLOOKUP(A303&amp;"", STUDENTS!A:B, 2, 0), "")</f>
        <v>NGUYỄN TRANG QUỲNH NHƯ</v>
      </c>
      <c r="C303" s="117" t="s">
        <v>77</v>
      </c>
      <c r="D303" s="117" t="str">
        <f>IFERROR(VLOOKUP(C303, PIC!A:B, 2, 0), "")</f>
        <v>Vinh Nguyen</v>
      </c>
      <c r="E303" s="118" t="s">
        <v>21</v>
      </c>
      <c r="F303" s="119">
        <v>45715.583333333343</v>
      </c>
      <c r="G303" s="120">
        <v>45756.583333333343</v>
      </c>
      <c r="H303" s="120">
        <v>45771.541666666657</v>
      </c>
      <c r="I303" s="119">
        <v>45786.541666666657</v>
      </c>
      <c r="J303" s="120">
        <v>45790.541666666657</v>
      </c>
      <c r="K303" s="119">
        <v>45799.541666666657</v>
      </c>
      <c r="L303" s="120">
        <v>45805.541666666657</v>
      </c>
      <c r="M303" s="120" t="s">
        <v>815</v>
      </c>
      <c r="N303" s="119">
        <v>45820.583333333343</v>
      </c>
      <c r="O303" s="119">
        <v>45849.541666666657</v>
      </c>
      <c r="P303" s="119"/>
      <c r="Q303" s="119"/>
      <c r="R303" s="119"/>
      <c r="S303" s="119"/>
      <c r="T303" s="119"/>
      <c r="U303" s="120"/>
      <c r="V303" s="121">
        <f t="shared" si="1"/>
        <v>45849.541666666657</v>
      </c>
      <c r="W303" s="122"/>
      <c r="X303" s="122"/>
      <c r="Y303" s="2"/>
    </row>
    <row r="304" spans="1:25" ht="15.75" customHeight="1">
      <c r="A304" s="108" t="s">
        <v>494</v>
      </c>
      <c r="B304" s="108" t="str">
        <f>IFERROR(VLOOKUP(A304&amp;"", STUDENTS!A:B, 2, 0), "")</f>
        <v>NGUYỄN TRANG QUỲNH NHƯ</v>
      </c>
      <c r="C304" s="109" t="s">
        <v>77</v>
      </c>
      <c r="D304" s="109" t="str">
        <f>IFERROR(VLOOKUP(C304, PIC!A:B, 2, 0), "")</f>
        <v>Vinh Nguyen</v>
      </c>
      <c r="E304" s="110" t="s">
        <v>22</v>
      </c>
      <c r="F304" s="111">
        <v>45890.541666666657</v>
      </c>
      <c r="G304" s="112">
        <v>45897.583333333343</v>
      </c>
      <c r="H304" s="112" t="s">
        <v>815</v>
      </c>
      <c r="I304" s="111">
        <v>45918.583333333343</v>
      </c>
      <c r="J304" s="112">
        <v>45925.583333333343</v>
      </c>
      <c r="K304" s="111">
        <v>45932.583333333343</v>
      </c>
      <c r="L304" s="112">
        <v>45946.583333333343</v>
      </c>
      <c r="M304" s="112">
        <v>45953.583333333343</v>
      </c>
      <c r="N304" s="111">
        <v>45960.583333333343</v>
      </c>
      <c r="O304" s="111">
        <v>45966.583333333343</v>
      </c>
      <c r="P304" s="111">
        <v>45982.583333333343</v>
      </c>
      <c r="Q304" s="111" t="s">
        <v>815</v>
      </c>
      <c r="R304" s="111">
        <v>45995.583333333343</v>
      </c>
      <c r="S304" s="111">
        <v>45999.458333333343</v>
      </c>
      <c r="T304" s="111">
        <v>46014.625</v>
      </c>
      <c r="U304" s="112">
        <v>46044.541666666657</v>
      </c>
      <c r="V304" s="113">
        <f t="shared" si="1"/>
        <v>46044.541666666657</v>
      </c>
      <c r="W304" s="114"/>
      <c r="X304" s="114"/>
      <c r="Y304" s="2"/>
    </row>
    <row r="305" spans="1:25" ht="15.75" customHeight="1">
      <c r="A305" s="116" t="s">
        <v>494</v>
      </c>
      <c r="B305" s="116" t="str">
        <f>IFERROR(VLOOKUP(A305&amp;"", STUDENTS!A:B, 2, 0), "")</f>
        <v>NGUYỄN TRANG QUỲNH NHƯ</v>
      </c>
      <c r="C305" s="117" t="s">
        <v>77</v>
      </c>
      <c r="D305" s="117" t="str">
        <f>IFERROR(VLOOKUP(C305, PIC!A:B, 2, 0), "")</f>
        <v>Vinh Nguyen</v>
      </c>
      <c r="E305" s="118" t="s">
        <v>23</v>
      </c>
      <c r="F305" s="119"/>
      <c r="G305" s="120">
        <v>46107.583333333343</v>
      </c>
      <c r="H305" s="120" t="s">
        <v>815</v>
      </c>
      <c r="I305" s="119">
        <v>46121.583333333343</v>
      </c>
      <c r="J305" s="120">
        <v>46128.583333333343</v>
      </c>
      <c r="K305" s="119">
        <v>46135.583333333343</v>
      </c>
      <c r="L305" s="120"/>
      <c r="M305" s="120"/>
      <c r="N305" s="119"/>
      <c r="O305" s="119"/>
      <c r="P305" s="119"/>
      <c r="Q305" s="119"/>
      <c r="R305" s="119"/>
      <c r="S305" s="119"/>
      <c r="T305" s="119"/>
      <c r="U305" s="120"/>
      <c r="V305" s="121">
        <f t="shared" si="1"/>
        <v>46135.583333333343</v>
      </c>
      <c r="W305" s="122"/>
      <c r="X305" s="122"/>
      <c r="Y305" s="2"/>
    </row>
    <row r="306" spans="1:25" ht="15.75" customHeight="1">
      <c r="A306" s="108" t="s">
        <v>498</v>
      </c>
      <c r="B306" s="108" t="str">
        <f>IFERROR(VLOOKUP(A306&amp;"", STUDENTS!A:B, 2, 0), "")</f>
        <v>NGUYỄN TRÚC DUYÊN</v>
      </c>
      <c r="C306" s="109" t="s">
        <v>77</v>
      </c>
      <c r="D306" s="109" t="str">
        <f>IFERROR(VLOOKUP(C306, PIC!A:B, 2, 0), "")</f>
        <v>Vinh Nguyen</v>
      </c>
      <c r="E306" s="110" t="s">
        <v>21</v>
      </c>
      <c r="F306" s="111">
        <v>45715.583333333343</v>
      </c>
      <c r="G306" s="112" t="s">
        <v>815</v>
      </c>
      <c r="H306" s="112">
        <v>45771.541666666657</v>
      </c>
      <c r="I306" s="111">
        <v>45786.541666666657</v>
      </c>
      <c r="J306" s="112">
        <v>45790.541666666657</v>
      </c>
      <c r="K306" s="111" t="s">
        <v>815</v>
      </c>
      <c r="L306" s="112">
        <v>45805.541666666657</v>
      </c>
      <c r="M306" s="112">
        <v>45813.583333333343</v>
      </c>
      <c r="N306" s="111">
        <v>45820.583333333343</v>
      </c>
      <c r="O306" s="111">
        <v>45849.541666666657</v>
      </c>
      <c r="P306" s="111"/>
      <c r="Q306" s="111"/>
      <c r="R306" s="111"/>
      <c r="S306" s="111"/>
      <c r="T306" s="111"/>
      <c r="U306" s="112"/>
      <c r="V306" s="113">
        <f t="shared" si="1"/>
        <v>45849.541666666657</v>
      </c>
      <c r="W306" s="114"/>
      <c r="X306" s="114"/>
      <c r="Y306" s="2"/>
    </row>
    <row r="307" spans="1:25" ht="15.75" customHeight="1">
      <c r="A307" s="116" t="s">
        <v>498</v>
      </c>
      <c r="B307" s="116" t="str">
        <f>IFERROR(VLOOKUP(A307&amp;"", STUDENTS!A:B, 2, 0), "")</f>
        <v>NGUYỄN TRÚC DUYÊN</v>
      </c>
      <c r="C307" s="117" t="s">
        <v>77</v>
      </c>
      <c r="D307" s="117" t="str">
        <f>IFERROR(VLOOKUP(C307, PIC!A:B, 2, 0), "")</f>
        <v>Vinh Nguyen</v>
      </c>
      <c r="E307" s="118" t="s">
        <v>22</v>
      </c>
      <c r="F307" s="119">
        <v>45890.541666666657</v>
      </c>
      <c r="G307" s="120">
        <v>45897.583333333343</v>
      </c>
      <c r="H307" s="120">
        <v>45911.583333333343</v>
      </c>
      <c r="I307" s="119">
        <v>45918.583333333343</v>
      </c>
      <c r="J307" s="120">
        <v>45925.583333333343</v>
      </c>
      <c r="K307" s="119" t="s">
        <v>815</v>
      </c>
      <c r="L307" s="120">
        <v>45946.583333333343</v>
      </c>
      <c r="M307" s="120" t="s">
        <v>815</v>
      </c>
      <c r="N307" s="119">
        <v>45960.583333333343</v>
      </c>
      <c r="O307" s="119">
        <v>45966.583333333343</v>
      </c>
      <c r="P307" s="119">
        <v>45982.583333333343</v>
      </c>
      <c r="Q307" s="119">
        <v>45988.583333333343</v>
      </c>
      <c r="R307" s="119">
        <v>45995.583333333343</v>
      </c>
      <c r="S307" s="119">
        <v>45999.458333333343</v>
      </c>
      <c r="T307" s="119">
        <v>46014.625</v>
      </c>
      <c r="U307" s="120">
        <v>46044.541666666657</v>
      </c>
      <c r="V307" s="121">
        <f t="shared" si="1"/>
        <v>46044.541666666657</v>
      </c>
      <c r="W307" s="122"/>
      <c r="X307" s="122"/>
      <c r="Y307" s="2"/>
    </row>
    <row r="308" spans="1:25" ht="15.75" customHeight="1">
      <c r="A308" s="108" t="s">
        <v>498</v>
      </c>
      <c r="B308" s="108" t="str">
        <f>IFERROR(VLOOKUP(A308&amp;"", STUDENTS!A:B, 2, 0), "")</f>
        <v>NGUYỄN TRÚC DUYÊN</v>
      </c>
      <c r="C308" s="109" t="s">
        <v>77</v>
      </c>
      <c r="D308" s="109" t="str">
        <f>IFERROR(VLOOKUP(C308, PIC!A:B, 2, 0), "")</f>
        <v>Vinh Nguyen</v>
      </c>
      <c r="E308" s="110" t="s">
        <v>23</v>
      </c>
      <c r="F308" s="111"/>
      <c r="G308" s="112">
        <v>46107.583333333343</v>
      </c>
      <c r="H308" s="112">
        <v>46114.583333333343</v>
      </c>
      <c r="I308" s="111" t="s">
        <v>815</v>
      </c>
      <c r="J308" s="112">
        <v>46128.583333333343</v>
      </c>
      <c r="K308" s="111">
        <v>46135.583333333343</v>
      </c>
      <c r="L308" s="112"/>
      <c r="M308" s="112"/>
      <c r="N308" s="111"/>
      <c r="O308" s="111"/>
      <c r="P308" s="111"/>
      <c r="Q308" s="111"/>
      <c r="R308" s="111"/>
      <c r="S308" s="111"/>
      <c r="T308" s="111"/>
      <c r="U308" s="112"/>
      <c r="V308" s="113">
        <f t="shared" si="1"/>
        <v>46135.583333333343</v>
      </c>
      <c r="W308" s="114"/>
      <c r="X308" s="114"/>
      <c r="Y308" s="2"/>
    </row>
    <row r="309" spans="1:25" ht="15.75" customHeight="1">
      <c r="A309" s="116" t="s">
        <v>566</v>
      </c>
      <c r="B309" s="116" t="str">
        <f>IFERROR(VLOOKUP(A309&amp;"", STUDENTS!A:B, 2, 0), "")</f>
        <v>PHAN QUỐC BÌNH</v>
      </c>
      <c r="C309" s="117" t="s">
        <v>77</v>
      </c>
      <c r="D309" s="117" t="str">
        <f>IFERROR(VLOOKUP(C309, PIC!A:B, 2, 0), "")</f>
        <v>Vinh Nguyen</v>
      </c>
      <c r="E309" s="118" t="s">
        <v>21</v>
      </c>
      <c r="F309" s="119">
        <v>45715.583333333343</v>
      </c>
      <c r="G309" s="120">
        <v>45756.583333333343</v>
      </c>
      <c r="H309" s="120">
        <v>45771.541666666657</v>
      </c>
      <c r="I309" s="119">
        <v>45786.541666666657</v>
      </c>
      <c r="J309" s="120">
        <v>45790.541666666657</v>
      </c>
      <c r="K309" s="119">
        <v>45799.541666666657</v>
      </c>
      <c r="L309" s="120">
        <v>45805.541666666657</v>
      </c>
      <c r="M309" s="120">
        <v>45813.583333333343</v>
      </c>
      <c r="N309" s="119">
        <v>45820.583333333343</v>
      </c>
      <c r="O309" s="119">
        <v>45849.541666666657</v>
      </c>
      <c r="P309" s="119"/>
      <c r="Q309" s="119"/>
      <c r="R309" s="119"/>
      <c r="S309" s="119"/>
      <c r="T309" s="119"/>
      <c r="U309" s="120"/>
      <c r="V309" s="121">
        <f t="shared" si="1"/>
        <v>45849.541666666657</v>
      </c>
      <c r="W309" s="122"/>
      <c r="X309" s="122"/>
      <c r="Y309" s="2"/>
    </row>
    <row r="310" spans="1:25" ht="15.75" customHeight="1">
      <c r="A310" s="108" t="s">
        <v>566</v>
      </c>
      <c r="B310" s="108" t="str">
        <f>IFERROR(VLOOKUP(A310&amp;"", STUDENTS!A:B, 2, 0), "")</f>
        <v>PHAN QUỐC BÌNH</v>
      </c>
      <c r="C310" s="109" t="s">
        <v>77</v>
      </c>
      <c r="D310" s="109" t="str">
        <f>IFERROR(VLOOKUP(C310, PIC!A:B, 2, 0), "")</f>
        <v>Vinh Nguyen</v>
      </c>
      <c r="E310" s="110" t="s">
        <v>22</v>
      </c>
      <c r="F310" s="111" t="s">
        <v>815</v>
      </c>
      <c r="G310" s="112">
        <v>45897.583333333343</v>
      </c>
      <c r="H310" s="112" t="s">
        <v>815</v>
      </c>
      <c r="I310" s="111"/>
      <c r="J310" s="112" t="s">
        <v>815</v>
      </c>
      <c r="K310" s="111" t="s">
        <v>815</v>
      </c>
      <c r="L310" s="112" t="s">
        <v>815</v>
      </c>
      <c r="M310" s="112" t="s">
        <v>815</v>
      </c>
      <c r="N310" s="111" t="s">
        <v>815</v>
      </c>
      <c r="O310" s="111" t="s">
        <v>815</v>
      </c>
      <c r="P310" s="111" t="s">
        <v>815</v>
      </c>
      <c r="Q310" s="111" t="s">
        <v>815</v>
      </c>
      <c r="R310" s="111" t="s">
        <v>815</v>
      </c>
      <c r="S310" s="111" t="s">
        <v>815</v>
      </c>
      <c r="T310" s="111" t="s">
        <v>815</v>
      </c>
      <c r="U310" s="112" t="s">
        <v>815</v>
      </c>
      <c r="V310" s="113">
        <f t="shared" si="1"/>
        <v>45897.583333333343</v>
      </c>
      <c r="W310" s="114"/>
      <c r="X310" s="114"/>
      <c r="Y310" s="2"/>
    </row>
    <row r="311" spans="1:25" ht="15.75" customHeight="1">
      <c r="A311" s="116" t="s">
        <v>566</v>
      </c>
      <c r="B311" s="116" t="str">
        <f>IFERROR(VLOOKUP(A311&amp;"", STUDENTS!A:B, 2, 0), "")</f>
        <v>PHAN QUỐC BÌNH</v>
      </c>
      <c r="C311" s="117" t="s">
        <v>77</v>
      </c>
      <c r="D311" s="117" t="str">
        <f>IFERROR(VLOOKUP(C311, PIC!A:B, 2, 0), "")</f>
        <v>Vinh Nguyen</v>
      </c>
      <c r="E311" s="118" t="s">
        <v>23</v>
      </c>
      <c r="F311" s="119"/>
      <c r="G311" s="120" t="s">
        <v>815</v>
      </c>
      <c r="H311" s="120" t="s">
        <v>815</v>
      </c>
      <c r="I311" s="119" t="s">
        <v>815</v>
      </c>
      <c r="J311" s="120" t="s">
        <v>815</v>
      </c>
      <c r="K311" s="116" t="s">
        <v>815</v>
      </c>
      <c r="L311" s="120"/>
      <c r="M311" s="120"/>
      <c r="N311" s="119"/>
      <c r="O311" s="119"/>
      <c r="P311" s="119"/>
      <c r="Q311" s="119"/>
      <c r="R311" s="119"/>
      <c r="S311" s="119"/>
      <c r="T311" s="119"/>
      <c r="U311" s="120"/>
      <c r="V311" s="121">
        <f t="shared" si="1"/>
        <v>0</v>
      </c>
      <c r="W311" s="122"/>
      <c r="X311" s="122"/>
      <c r="Y311" s="2"/>
    </row>
    <row r="312" spans="1:25" ht="15.75" customHeight="1">
      <c r="A312" s="108" t="s">
        <v>182</v>
      </c>
      <c r="B312" s="108" t="str">
        <f>IFERROR(VLOOKUP(A312&amp;"", STUDENTS!A:B, 2, 0), "")</f>
        <v>ĐỖ THANH TÙNG</v>
      </c>
      <c r="C312" s="109" t="s">
        <v>78</v>
      </c>
      <c r="D312" s="109" t="str">
        <f>IFERROR(VLOOKUP(C312, PIC!A:B, 2, 0), "")</f>
        <v>Yen Tran 1</v>
      </c>
      <c r="E312" s="110" t="s">
        <v>21</v>
      </c>
      <c r="F312" s="111">
        <v>45638.458333333343</v>
      </c>
      <c r="G312" s="112">
        <v>45659.458333333343</v>
      </c>
      <c r="H312" s="112">
        <v>45677.458333333343</v>
      </c>
      <c r="I312" s="111">
        <v>45692.458333333343</v>
      </c>
      <c r="J312" s="112">
        <v>45768.541666666657</v>
      </c>
      <c r="K312" s="111">
        <v>45817.541666666657</v>
      </c>
      <c r="L312" s="112">
        <v>45831.583333333343</v>
      </c>
      <c r="M312" s="112">
        <v>45861.416666666657</v>
      </c>
      <c r="N312" s="111">
        <v>45861.458333333343</v>
      </c>
      <c r="O312" s="111">
        <v>45887.541666666657</v>
      </c>
      <c r="P312" s="111"/>
      <c r="Q312" s="111"/>
      <c r="R312" s="111"/>
      <c r="S312" s="111"/>
      <c r="T312" s="111"/>
      <c r="U312" s="112"/>
      <c r="V312" s="113">
        <f t="shared" si="1"/>
        <v>45887.541666666657</v>
      </c>
      <c r="W312" s="114"/>
      <c r="X312" s="114"/>
      <c r="Y312" s="2"/>
    </row>
    <row r="313" spans="1:25" ht="15.75" customHeight="1">
      <c r="A313" s="116" t="s">
        <v>182</v>
      </c>
      <c r="B313" s="116" t="str">
        <f>IFERROR(VLOOKUP(A313&amp;"", STUDENTS!A:B, 2, 0), "")</f>
        <v>ĐỖ THANH TÙNG</v>
      </c>
      <c r="C313" s="117" t="s">
        <v>78</v>
      </c>
      <c r="D313" s="117" t="str">
        <f>IFERROR(VLOOKUP(C313, PIC!A:B, 2, 0), "")</f>
        <v>Yen Tran 1</v>
      </c>
      <c r="E313" s="118" t="s">
        <v>22</v>
      </c>
      <c r="F313" s="119"/>
      <c r="G313" s="120"/>
      <c r="H313" s="120"/>
      <c r="I313" s="119"/>
      <c r="J313" s="120"/>
      <c r="K313" s="119"/>
      <c r="L313" s="120"/>
      <c r="M313" s="120"/>
      <c r="N313" s="119"/>
      <c r="O313" s="119"/>
      <c r="P313" s="119"/>
      <c r="Q313" s="119"/>
      <c r="R313" s="119"/>
      <c r="S313" s="119"/>
      <c r="T313" s="119"/>
      <c r="U313" s="120"/>
      <c r="V313" s="121">
        <f t="shared" si="1"/>
        <v>0</v>
      </c>
      <c r="W313" s="122"/>
      <c r="X313" s="122"/>
      <c r="Y313" s="2"/>
    </row>
    <row r="314" spans="1:25" ht="15.75" customHeight="1">
      <c r="A314" s="108" t="s">
        <v>259</v>
      </c>
      <c r="B314" s="108" t="str">
        <f>IFERROR(VLOOKUP(A314&amp;"", STUDENTS!A:B, 2, 0), "")</f>
        <v>LÊ CÔNG DUY</v>
      </c>
      <c r="C314" s="109" t="s">
        <v>78</v>
      </c>
      <c r="D314" s="109" t="str">
        <f>IFERROR(VLOOKUP(C314, PIC!A:B, 2, 0), "")</f>
        <v>Yen Tran 1</v>
      </c>
      <c r="E314" s="110" t="s">
        <v>21</v>
      </c>
      <c r="F314" s="111">
        <v>45638.458333333343</v>
      </c>
      <c r="G314" s="112">
        <v>45659.458333333343</v>
      </c>
      <c r="H314" s="112">
        <v>45677.458333333343</v>
      </c>
      <c r="I314" s="111">
        <v>45692.458333333343</v>
      </c>
      <c r="J314" s="112">
        <v>45768.541666666657</v>
      </c>
      <c r="K314" s="111">
        <v>45817.541666666657</v>
      </c>
      <c r="L314" s="112" t="s">
        <v>815</v>
      </c>
      <c r="M314" s="112" t="s">
        <v>815</v>
      </c>
      <c r="N314" s="111" t="s">
        <v>815</v>
      </c>
      <c r="O314" s="111">
        <v>45887.541666666657</v>
      </c>
      <c r="P314" s="111"/>
      <c r="Q314" s="111"/>
      <c r="R314" s="111"/>
      <c r="S314" s="111"/>
      <c r="T314" s="111"/>
      <c r="U314" s="112"/>
      <c r="V314" s="113">
        <f t="shared" si="1"/>
        <v>45887.541666666657</v>
      </c>
      <c r="W314" s="114"/>
      <c r="X314" s="114"/>
      <c r="Y314" s="2"/>
    </row>
    <row r="315" spans="1:25" ht="15.75" customHeight="1">
      <c r="A315" s="116" t="s">
        <v>261</v>
      </c>
      <c r="B315" s="116" t="str">
        <f>IFERROR(VLOOKUP(A315&amp;"", STUDENTS!A:B, 2, 0), "")</f>
        <v>LÊ ĐẮC CƯỜNG</v>
      </c>
      <c r="C315" s="117" t="s">
        <v>78</v>
      </c>
      <c r="D315" s="117" t="str">
        <f>IFERROR(VLOOKUP(C315, PIC!A:B, 2, 0), "")</f>
        <v>Yen Tran 1</v>
      </c>
      <c r="E315" s="118" t="s">
        <v>21</v>
      </c>
      <c r="F315" s="119">
        <v>45638.458333333343</v>
      </c>
      <c r="G315" s="120">
        <v>45659.458333333343</v>
      </c>
      <c r="H315" s="120">
        <v>45677.458333333343</v>
      </c>
      <c r="I315" s="119">
        <v>45692.458333333343</v>
      </c>
      <c r="J315" s="120" t="s">
        <v>815</v>
      </c>
      <c r="K315" s="119">
        <v>45817.541666666657</v>
      </c>
      <c r="L315" s="120" t="s">
        <v>815</v>
      </c>
      <c r="M315" s="120" t="s">
        <v>815</v>
      </c>
      <c r="N315" s="119" t="s">
        <v>815</v>
      </c>
      <c r="O315" s="119" t="s">
        <v>815</v>
      </c>
      <c r="P315" s="119"/>
      <c r="Q315" s="119"/>
      <c r="R315" s="119"/>
      <c r="S315" s="119"/>
      <c r="T315" s="119"/>
      <c r="U315" s="120"/>
      <c r="V315" s="121">
        <f t="shared" si="1"/>
        <v>45817.541666666657</v>
      </c>
      <c r="W315" s="122"/>
      <c r="X315" s="122"/>
      <c r="Y315" s="2"/>
    </row>
    <row r="316" spans="1:25" ht="15.75" customHeight="1">
      <c r="A316" s="108" t="s">
        <v>423</v>
      </c>
      <c r="B316" s="108" t="str">
        <f>IFERROR(VLOOKUP(A316&amp;"", STUDENTS!A:B, 2, 0), "")</f>
        <v>NGUYỄN PHI LONG</v>
      </c>
      <c r="C316" s="109" t="s">
        <v>78</v>
      </c>
      <c r="D316" s="109" t="str">
        <f>IFERROR(VLOOKUP(C316, PIC!A:B, 2, 0), "")</f>
        <v>Yen Tran 1</v>
      </c>
      <c r="E316" s="110" t="s">
        <v>21</v>
      </c>
      <c r="F316" s="111">
        <v>45638.458333333343</v>
      </c>
      <c r="G316" s="112">
        <v>45659.458333333343</v>
      </c>
      <c r="H316" s="112">
        <v>45677.458333333343</v>
      </c>
      <c r="I316" s="111">
        <v>45692.458333333343</v>
      </c>
      <c r="J316" s="112">
        <v>45768.541666666657</v>
      </c>
      <c r="K316" s="111">
        <v>45817.541666666657</v>
      </c>
      <c r="L316" s="112">
        <v>45831.583333333343</v>
      </c>
      <c r="M316" s="112">
        <v>45861.416666666657</v>
      </c>
      <c r="N316" s="111">
        <v>45861.458333333343</v>
      </c>
      <c r="O316" s="111">
        <v>45887.541666666657</v>
      </c>
      <c r="P316" s="111"/>
      <c r="Q316" s="111"/>
      <c r="R316" s="111"/>
      <c r="S316" s="111"/>
      <c r="T316" s="111"/>
      <c r="U316" s="112"/>
      <c r="V316" s="113">
        <f t="shared" si="1"/>
        <v>45887.541666666657</v>
      </c>
      <c r="W316" s="114"/>
      <c r="X316" s="114"/>
      <c r="Y316" s="2"/>
    </row>
    <row r="317" spans="1:25" ht="15.75" customHeight="1">
      <c r="A317" s="116" t="s">
        <v>711</v>
      </c>
      <c r="B317" s="116" t="str">
        <f>IFERROR(VLOOKUP(A317&amp;"", STUDENTS!A:B, 2, 0), "")</f>
        <v>VŨ ANH THƯ</v>
      </c>
      <c r="C317" s="117" t="s">
        <v>78</v>
      </c>
      <c r="D317" s="117" t="str">
        <f>IFERROR(VLOOKUP(C317, PIC!A:B, 2, 0), "")</f>
        <v>Yen Tran 1</v>
      </c>
      <c r="E317" s="118" t="s">
        <v>21</v>
      </c>
      <c r="F317" s="119">
        <v>45638.458333333343</v>
      </c>
      <c r="G317" s="120">
        <v>45659.458333333343</v>
      </c>
      <c r="H317" s="120">
        <v>45677.458333333343</v>
      </c>
      <c r="I317" s="119">
        <v>45692.458333333343</v>
      </c>
      <c r="J317" s="120">
        <v>45768.541666666657</v>
      </c>
      <c r="K317" s="119">
        <v>45817.541666666657</v>
      </c>
      <c r="L317" s="120">
        <v>45831.583333333343</v>
      </c>
      <c r="M317" s="120">
        <v>45861.416666666657</v>
      </c>
      <c r="N317" s="119">
        <v>45861.458333333343</v>
      </c>
      <c r="O317" s="119">
        <v>45887.541666666657</v>
      </c>
      <c r="P317" s="119"/>
      <c r="Q317" s="119"/>
      <c r="R317" s="119"/>
      <c r="S317" s="119"/>
      <c r="T317" s="119"/>
      <c r="U317" s="120"/>
      <c r="V317" s="121">
        <f t="shared" si="1"/>
        <v>45887.541666666657</v>
      </c>
      <c r="W317" s="122"/>
      <c r="X317" s="122"/>
      <c r="Y317" s="2"/>
    </row>
    <row r="318" spans="1:25" ht="15.75" customHeight="1">
      <c r="A318" s="108" t="s">
        <v>713</v>
      </c>
      <c r="B318" s="108" t="str">
        <f>IFERROR(VLOOKUP(A318&amp;"", STUDENTS!A:B, 2, 0), "")</f>
        <v>VŨ ANH TÚ</v>
      </c>
      <c r="C318" s="109" t="s">
        <v>78</v>
      </c>
      <c r="D318" s="109" t="str">
        <f>IFERROR(VLOOKUP(C318, PIC!A:B, 2, 0), "")</f>
        <v>Yen Tran 1</v>
      </c>
      <c r="E318" s="110" t="s">
        <v>21</v>
      </c>
      <c r="F318" s="111">
        <v>45638.458333333343</v>
      </c>
      <c r="G318" s="112">
        <v>45659.458333333343</v>
      </c>
      <c r="H318" s="112" t="s">
        <v>815</v>
      </c>
      <c r="I318" s="111">
        <v>45692.458333333343</v>
      </c>
      <c r="J318" s="112" t="s">
        <v>815</v>
      </c>
      <c r="K318" s="111">
        <v>45817.541666666657</v>
      </c>
      <c r="L318" s="112" t="s">
        <v>815</v>
      </c>
      <c r="M318" s="112" t="s">
        <v>815</v>
      </c>
      <c r="N318" s="111" t="s">
        <v>815</v>
      </c>
      <c r="O318" s="111" t="s">
        <v>815</v>
      </c>
      <c r="P318" s="111"/>
      <c r="Q318" s="111"/>
      <c r="R318" s="111"/>
      <c r="S318" s="111"/>
      <c r="T318" s="111"/>
      <c r="U318" s="112"/>
      <c r="V318" s="113">
        <f t="shared" si="1"/>
        <v>45817.541666666657</v>
      </c>
      <c r="W318" s="114"/>
      <c r="X318" s="114"/>
      <c r="Y318" s="2"/>
    </row>
    <row r="319" spans="1:25" ht="15.75" customHeight="1">
      <c r="A319" s="116" t="s">
        <v>200</v>
      </c>
      <c r="B319" s="116" t="str">
        <f>IFERROR(VLOOKUP(A319&amp;"", STUDENTS!A:B, 2, 0), "")</f>
        <v>DƯƠNG LÊ XUÂN KHANG</v>
      </c>
      <c r="C319" s="117" t="s">
        <v>79</v>
      </c>
      <c r="D319" s="117" t="str">
        <f>IFERROR(VLOOKUP(C319, PIC!A:B, 2, 0), "")</f>
        <v>Yen Tran 2</v>
      </c>
      <c r="E319" s="118" t="s">
        <v>21</v>
      </c>
      <c r="F319" s="119">
        <v>45645.458333333343</v>
      </c>
      <c r="G319" s="120">
        <v>45652.458333333343</v>
      </c>
      <c r="H319" s="120">
        <v>45670.458333333343</v>
      </c>
      <c r="I319" s="119">
        <v>45698.416666666657</v>
      </c>
      <c r="J319" s="120">
        <v>45761.541666666657</v>
      </c>
      <c r="K319" s="119">
        <v>45789.541666666657</v>
      </c>
      <c r="L319" s="120">
        <v>45803.416666666657</v>
      </c>
      <c r="M319" s="120">
        <v>45817.416666666657</v>
      </c>
      <c r="N319" s="119">
        <v>45831.416666666657</v>
      </c>
      <c r="O319" s="119">
        <v>45859.541666666657</v>
      </c>
      <c r="P319" s="119"/>
      <c r="Q319" s="119"/>
      <c r="R319" s="119"/>
      <c r="S319" s="119"/>
      <c r="T319" s="119"/>
      <c r="U319" s="120"/>
      <c r="V319" s="121">
        <f t="shared" si="1"/>
        <v>45859.541666666657</v>
      </c>
      <c r="W319" s="122"/>
      <c r="X319" s="122"/>
      <c r="Y319" s="2"/>
    </row>
    <row r="320" spans="1:25" ht="15.75" customHeight="1">
      <c r="A320" s="108" t="s">
        <v>214</v>
      </c>
      <c r="B320" s="108" t="str">
        <f>IFERROR(VLOOKUP(A320&amp;"", STUDENTS!A:B, 2, 0), "")</f>
        <v>HOÀNG ĐĂNG TRIỆU</v>
      </c>
      <c r="C320" s="109" t="s">
        <v>79</v>
      </c>
      <c r="D320" s="109" t="str">
        <f>IFERROR(VLOOKUP(C320, PIC!A:B, 2, 0), "")</f>
        <v>Yen Tran 2</v>
      </c>
      <c r="E320" s="110" t="s">
        <v>21</v>
      </c>
      <c r="F320" s="111">
        <v>45645.458333333343</v>
      </c>
      <c r="G320" s="112">
        <v>45652.458333333343</v>
      </c>
      <c r="H320" s="112">
        <v>45670.458333333343</v>
      </c>
      <c r="I320" s="111" t="s">
        <v>815</v>
      </c>
      <c r="J320" s="112">
        <v>45761.541666666657</v>
      </c>
      <c r="K320" s="111">
        <v>45789.541666666657</v>
      </c>
      <c r="L320" s="112">
        <v>45803.416666666657</v>
      </c>
      <c r="M320" s="112">
        <v>45817.416666666657</v>
      </c>
      <c r="N320" s="111">
        <v>45831.416666666657</v>
      </c>
      <c r="O320" s="111">
        <v>45859.541666666657</v>
      </c>
      <c r="P320" s="111"/>
      <c r="Q320" s="111"/>
      <c r="R320" s="111"/>
      <c r="S320" s="111"/>
      <c r="T320" s="111"/>
      <c r="U320" s="112"/>
      <c r="V320" s="113">
        <f t="shared" si="1"/>
        <v>45859.541666666657</v>
      </c>
      <c r="W320" s="114"/>
      <c r="X320" s="114"/>
      <c r="Y320" s="2"/>
    </row>
    <row r="321" spans="1:25" ht="15.75" customHeight="1">
      <c r="A321" s="116" t="s">
        <v>436</v>
      </c>
      <c r="B321" s="116" t="str">
        <f>IFERROR(VLOOKUP(A321&amp;"", STUDENTS!A:B, 2, 0), "")</f>
        <v>NGUYỄN QUỐC DUY</v>
      </c>
      <c r="C321" s="117" t="s">
        <v>79</v>
      </c>
      <c r="D321" s="117" t="str">
        <f>IFERROR(VLOOKUP(C321, PIC!A:B, 2, 0), "")</f>
        <v>Yen Tran 2</v>
      </c>
      <c r="E321" s="118" t="s">
        <v>21</v>
      </c>
      <c r="F321" s="119">
        <v>45645.458333333343</v>
      </c>
      <c r="G321" s="120">
        <v>45652.458333333343</v>
      </c>
      <c r="H321" s="120">
        <v>45670.458333333343</v>
      </c>
      <c r="I321" s="119">
        <v>45698.416666666657</v>
      </c>
      <c r="J321" s="120">
        <v>45761.541666666657</v>
      </c>
      <c r="K321" s="119">
        <v>45789.541666666657</v>
      </c>
      <c r="L321" s="120">
        <v>45803.416666666657</v>
      </c>
      <c r="M321" s="120">
        <v>45817.416666666657</v>
      </c>
      <c r="N321" s="119">
        <v>45831.416666666657</v>
      </c>
      <c r="O321" s="119">
        <v>45859.541666666657</v>
      </c>
      <c r="P321" s="119"/>
      <c r="Q321" s="119"/>
      <c r="R321" s="119"/>
      <c r="S321" s="119"/>
      <c r="T321" s="119"/>
      <c r="U321" s="120"/>
      <c r="V321" s="121">
        <f t="shared" si="1"/>
        <v>45859.541666666657</v>
      </c>
      <c r="W321" s="122"/>
      <c r="X321" s="122"/>
      <c r="Y321" s="2"/>
    </row>
    <row r="322" spans="1:25" ht="15.75" customHeight="1">
      <c r="A322" s="108" t="s">
        <v>476</v>
      </c>
      <c r="B322" s="108" t="str">
        <f>IFERROR(VLOOKUP(A322&amp;"", STUDENTS!A:B, 2, 0), "")</f>
        <v>NGUYỄN THỊ NGỌC LỮ</v>
      </c>
      <c r="C322" s="109" t="s">
        <v>79</v>
      </c>
      <c r="D322" s="109" t="str">
        <f>IFERROR(VLOOKUP(C322, PIC!A:B, 2, 0), "")</f>
        <v>Yen Tran 2</v>
      </c>
      <c r="E322" s="110" t="s">
        <v>21</v>
      </c>
      <c r="F322" s="111">
        <v>45645.458333333343</v>
      </c>
      <c r="G322" s="112">
        <v>45652.458333333343</v>
      </c>
      <c r="H322" s="112" t="s">
        <v>815</v>
      </c>
      <c r="I322" s="111">
        <v>45698.416666666657</v>
      </c>
      <c r="J322" s="112" t="s">
        <v>815</v>
      </c>
      <c r="K322" s="111" t="s">
        <v>815</v>
      </c>
      <c r="L322" s="112">
        <v>45803.416666666657</v>
      </c>
      <c r="M322" s="112">
        <v>45817.416666666657</v>
      </c>
      <c r="N322" s="111">
        <v>45831.416666666657</v>
      </c>
      <c r="O322" s="111">
        <v>45859.541666666657</v>
      </c>
      <c r="P322" s="111"/>
      <c r="Q322" s="111"/>
      <c r="R322" s="111"/>
      <c r="S322" s="111"/>
      <c r="T322" s="111"/>
      <c r="U322" s="112"/>
      <c r="V322" s="113">
        <f t="shared" si="1"/>
        <v>45859.541666666657</v>
      </c>
      <c r="W322" s="114"/>
      <c r="X322" s="114"/>
      <c r="Y322" s="2"/>
    </row>
    <row r="323" spans="1:25" ht="15.75" customHeight="1">
      <c r="A323" s="116" t="s">
        <v>488</v>
      </c>
      <c r="B323" s="116" t="str">
        <f>IFERROR(VLOOKUP(A323&amp;"", STUDENTS!A:B, 2, 0), "")</f>
        <v>NGUYỄN TRẦN LỆ DUYÊN</v>
      </c>
      <c r="C323" s="117" t="s">
        <v>79</v>
      </c>
      <c r="D323" s="117" t="str">
        <f>IFERROR(VLOOKUP(C323, PIC!A:B, 2, 0), "")</f>
        <v>Yen Tran 2</v>
      </c>
      <c r="E323" s="118" t="s">
        <v>21</v>
      </c>
      <c r="F323" s="119">
        <v>45645.458333333343</v>
      </c>
      <c r="G323" s="120">
        <v>45652.458333333343</v>
      </c>
      <c r="H323" s="120">
        <v>45670.458333333343</v>
      </c>
      <c r="I323" s="119">
        <v>45698.416666666657</v>
      </c>
      <c r="J323" s="120" t="s">
        <v>815</v>
      </c>
      <c r="K323" s="119">
        <v>45789.541666666657</v>
      </c>
      <c r="L323" s="120" t="s">
        <v>815</v>
      </c>
      <c r="M323" s="120">
        <v>45817.583333333343</v>
      </c>
      <c r="N323" s="119">
        <v>45831.458333333343</v>
      </c>
      <c r="O323" s="119">
        <v>45859.541666666657</v>
      </c>
      <c r="P323" s="119"/>
      <c r="Q323" s="119"/>
      <c r="R323" s="119"/>
      <c r="S323" s="119"/>
      <c r="T323" s="119"/>
      <c r="U323" s="120"/>
      <c r="V323" s="121">
        <f t="shared" si="1"/>
        <v>45859.541666666657</v>
      </c>
      <c r="W323" s="122"/>
      <c r="X323" s="122"/>
      <c r="Y323" s="2"/>
    </row>
    <row r="324" spans="1:25" ht="15.75" customHeight="1">
      <c r="A324" s="108" t="s">
        <v>549</v>
      </c>
      <c r="B324" s="108" t="str">
        <f>IFERROR(VLOOKUP(A324&amp;"", STUDENTS!A:B, 2, 0), "")</f>
        <v>PHẠM THỊ OANH THƠ</v>
      </c>
      <c r="C324" s="109" t="s">
        <v>79</v>
      </c>
      <c r="D324" s="109" t="str">
        <f>IFERROR(VLOOKUP(C324, PIC!A:B, 2, 0), "")</f>
        <v>Yen Tran 2</v>
      </c>
      <c r="E324" s="110" t="s">
        <v>21</v>
      </c>
      <c r="F324" s="111">
        <v>45645.458333333343</v>
      </c>
      <c r="G324" s="112">
        <v>45652.458333333343</v>
      </c>
      <c r="H324" s="112">
        <v>45670.458333333343</v>
      </c>
      <c r="I324" s="111">
        <v>45698.416666666657</v>
      </c>
      <c r="J324" s="112">
        <v>45761.541666666657</v>
      </c>
      <c r="K324" s="111">
        <v>45789.541666666657</v>
      </c>
      <c r="L324" s="112">
        <v>45803.416666666657</v>
      </c>
      <c r="M324" s="112">
        <v>45817.416666666657</v>
      </c>
      <c r="N324" s="111">
        <v>45831.416666666657</v>
      </c>
      <c r="O324" s="111">
        <v>45859.541666666657</v>
      </c>
      <c r="P324" s="111"/>
      <c r="Q324" s="111"/>
      <c r="R324" s="111"/>
      <c r="S324" s="111"/>
      <c r="T324" s="111"/>
      <c r="U324" s="112"/>
      <c r="V324" s="113">
        <f t="shared" si="1"/>
        <v>45859.541666666657</v>
      </c>
      <c r="W324" s="114"/>
      <c r="X324" s="114"/>
      <c r="Y324" s="2"/>
    </row>
    <row r="325" spans="1:25" ht="15.75" customHeight="1">
      <c r="A325" s="116" t="s">
        <v>157</v>
      </c>
      <c r="B325" s="116" t="str">
        <f>IFERROR(VLOOKUP(A325&amp;"", STUDENTS!A:B, 2, 0), "")</f>
        <v>ĐẶNG QUỐC VIỆT</v>
      </c>
      <c r="C325" s="117" t="s">
        <v>80</v>
      </c>
      <c r="D325" s="117" t="str">
        <f>IFERROR(VLOOKUP(C325, PIC!A:B, 2, 0), "")</f>
        <v>Yen Tran 3</v>
      </c>
      <c r="E325" s="118" t="s">
        <v>21</v>
      </c>
      <c r="F325" s="119" t="s">
        <v>815</v>
      </c>
      <c r="G325" s="120">
        <v>45666.458333333343</v>
      </c>
      <c r="H325" s="120">
        <v>45680.458333333343</v>
      </c>
      <c r="I325" s="119">
        <v>45701.458333333343</v>
      </c>
      <c r="J325" s="120">
        <v>45762.416666666657</v>
      </c>
      <c r="K325" s="119">
        <v>45790.458333333343</v>
      </c>
      <c r="L325" s="120">
        <v>45817.583333333343</v>
      </c>
      <c r="M325" s="120">
        <v>45831.458333333343</v>
      </c>
      <c r="N325" s="119">
        <v>45846.458333333343</v>
      </c>
      <c r="O325" s="116"/>
      <c r="P325" s="119"/>
      <c r="Q325" s="119"/>
      <c r="R325" s="119"/>
      <c r="S325" s="119"/>
      <c r="T325" s="119"/>
      <c r="U325" s="120"/>
      <c r="V325" s="121">
        <f t="shared" si="1"/>
        <v>45846.458333333343</v>
      </c>
      <c r="W325" s="122"/>
      <c r="X325" s="122"/>
      <c r="Y325" s="2"/>
    </row>
    <row r="326" spans="1:25" ht="15.75" customHeight="1">
      <c r="A326" s="108" t="s">
        <v>194</v>
      </c>
      <c r="B326" s="108" t="str">
        <f>IFERROR(VLOOKUP(A326&amp;"", STUDENTS!A:B, 2, 0), "")</f>
        <v>ĐOÀN QUỐC HẢI</v>
      </c>
      <c r="C326" s="109" t="s">
        <v>80</v>
      </c>
      <c r="D326" s="109" t="str">
        <f>IFERROR(VLOOKUP(C326, PIC!A:B, 2, 0), "")</f>
        <v>Yen Tran 3</v>
      </c>
      <c r="E326" s="110" t="s">
        <v>21</v>
      </c>
      <c r="F326" s="111">
        <v>45646.416666666657</v>
      </c>
      <c r="G326" s="112">
        <v>45663.458333333343</v>
      </c>
      <c r="H326" s="112">
        <v>45680.458333333343</v>
      </c>
      <c r="I326" s="111">
        <v>45701.458333333343</v>
      </c>
      <c r="J326" s="112">
        <v>45762.416666666657</v>
      </c>
      <c r="K326" s="111">
        <v>45790.458333333343</v>
      </c>
      <c r="L326" s="112">
        <v>45817.583333333343</v>
      </c>
      <c r="M326" s="112">
        <v>45831.458333333343</v>
      </c>
      <c r="N326" s="111">
        <v>45846.458333333343</v>
      </c>
      <c r="O326" s="108"/>
      <c r="P326" s="111"/>
      <c r="Q326" s="111"/>
      <c r="R326" s="111"/>
      <c r="S326" s="111"/>
      <c r="T326" s="111"/>
      <c r="U326" s="112"/>
      <c r="V326" s="113">
        <f t="shared" si="1"/>
        <v>45846.458333333343</v>
      </c>
      <c r="W326" s="114"/>
      <c r="X326" s="114"/>
      <c r="Y326" s="2"/>
    </row>
    <row r="327" spans="1:25" ht="15.75" customHeight="1">
      <c r="A327" s="116" t="s">
        <v>457</v>
      </c>
      <c r="B327" s="116" t="str">
        <f>IFERROR(VLOOKUP(A327&amp;"", STUDENTS!A:B, 2, 0), "")</f>
        <v>NGUYỄN THẢO QUỲNH NHƯ</v>
      </c>
      <c r="C327" s="117" t="s">
        <v>80</v>
      </c>
      <c r="D327" s="117" t="str">
        <f>IFERROR(VLOOKUP(C327, PIC!A:B, 2, 0), "")</f>
        <v>Yen Tran 3</v>
      </c>
      <c r="E327" s="118" t="s">
        <v>21</v>
      </c>
      <c r="F327" s="119">
        <v>45646.416666666657</v>
      </c>
      <c r="G327" s="120">
        <v>45663.458333333343</v>
      </c>
      <c r="H327" s="120" t="s">
        <v>815</v>
      </c>
      <c r="I327" s="119" t="s">
        <v>815</v>
      </c>
      <c r="J327" s="120">
        <v>45761.541666666657</v>
      </c>
      <c r="K327" s="119" t="s">
        <v>815</v>
      </c>
      <c r="L327" s="120" t="s">
        <v>815</v>
      </c>
      <c r="M327" s="120">
        <v>45817.416666666657</v>
      </c>
      <c r="N327" s="119" t="s">
        <v>815</v>
      </c>
      <c r="O327" s="116"/>
      <c r="P327" s="119"/>
      <c r="Q327" s="119"/>
      <c r="R327" s="119"/>
      <c r="S327" s="119"/>
      <c r="T327" s="119"/>
      <c r="U327" s="120"/>
      <c r="V327" s="121">
        <f t="shared" si="1"/>
        <v>45817.416666666657</v>
      </c>
      <c r="W327" s="122"/>
      <c r="X327" s="122"/>
      <c r="Y327" s="2"/>
    </row>
    <row r="328" spans="1:25" ht="15.75" customHeight="1">
      <c r="A328" s="108" t="s">
        <v>541</v>
      </c>
      <c r="B328" s="108" t="str">
        <f>IFERROR(VLOOKUP(A328&amp;"", STUDENTS!A:B, 2, 0), "")</f>
        <v>PHẠM NGỌC ANH DUYÊN</v>
      </c>
      <c r="C328" s="109" t="s">
        <v>80</v>
      </c>
      <c r="D328" s="109" t="str">
        <f>IFERROR(VLOOKUP(C328, PIC!A:B, 2, 0), "")</f>
        <v>Yen Tran 3</v>
      </c>
      <c r="E328" s="110" t="s">
        <v>21</v>
      </c>
      <c r="F328" s="111">
        <v>45646.416666666657</v>
      </c>
      <c r="G328" s="112">
        <v>45663.458333333343</v>
      </c>
      <c r="H328" s="112">
        <v>45680.458333333343</v>
      </c>
      <c r="I328" s="111">
        <v>45701.458333333343</v>
      </c>
      <c r="J328" s="112">
        <v>45762.416666666657</v>
      </c>
      <c r="K328" s="111">
        <v>45790.458333333343</v>
      </c>
      <c r="L328" s="112">
        <v>45817.583333333343</v>
      </c>
      <c r="M328" s="112" t="s">
        <v>815</v>
      </c>
      <c r="N328" s="111">
        <v>45846.458333333343</v>
      </c>
      <c r="O328" s="108"/>
      <c r="P328" s="111"/>
      <c r="Q328" s="111"/>
      <c r="R328" s="111"/>
      <c r="S328" s="111"/>
      <c r="T328" s="111"/>
      <c r="U328" s="112"/>
      <c r="V328" s="113">
        <f t="shared" si="1"/>
        <v>45846.458333333343</v>
      </c>
      <c r="W328" s="114"/>
      <c r="X328" s="114"/>
      <c r="Y328" s="2"/>
    </row>
    <row r="329" spans="1:25" ht="15.75" customHeight="1">
      <c r="A329" s="116" t="s">
        <v>661</v>
      </c>
      <c r="B329" s="116" t="str">
        <f>IFERROR(VLOOKUP(A329&amp;"", STUDENTS!A:B, 2, 0), "")</f>
        <v>TRẦN THỊ YẾN</v>
      </c>
      <c r="C329" s="117" t="s">
        <v>80</v>
      </c>
      <c r="D329" s="117" t="str">
        <f>IFERROR(VLOOKUP(C329, PIC!A:B, 2, 0), "")</f>
        <v>Yen Tran 3</v>
      </c>
      <c r="E329" s="118" t="s">
        <v>21</v>
      </c>
      <c r="F329" s="119">
        <v>45646.416666666657</v>
      </c>
      <c r="G329" s="120">
        <v>45663.458333333343</v>
      </c>
      <c r="H329" s="120">
        <v>45680.458333333343</v>
      </c>
      <c r="I329" s="119">
        <v>45701.458333333343</v>
      </c>
      <c r="J329" s="120">
        <v>45762.416666666657</v>
      </c>
      <c r="K329" s="119">
        <v>45790.458333333343</v>
      </c>
      <c r="L329" s="120">
        <v>45817.583333333343</v>
      </c>
      <c r="M329" s="120">
        <v>45831.458333333343</v>
      </c>
      <c r="N329" s="119">
        <v>45846.458333333343</v>
      </c>
      <c r="O329" s="116"/>
      <c r="P329" s="119"/>
      <c r="Q329" s="119"/>
      <c r="R329" s="119"/>
      <c r="S329" s="119"/>
      <c r="T329" s="119"/>
      <c r="U329" s="120"/>
      <c r="V329" s="121">
        <f t="shared" si="1"/>
        <v>45846.458333333343</v>
      </c>
      <c r="W329" s="122"/>
      <c r="X329" s="122"/>
      <c r="Y329" s="2"/>
    </row>
    <row r="330" spans="1:25" ht="15.75" customHeight="1">
      <c r="A330" s="108" t="s">
        <v>703</v>
      </c>
      <c r="B330" s="108" t="str">
        <f>IFERROR(VLOOKUP(A330&amp;"", STUDENTS!A:B, 2, 0), "")</f>
        <v>VÕ QUỐC THIÊN</v>
      </c>
      <c r="C330" s="109" t="s">
        <v>80</v>
      </c>
      <c r="D330" s="109" t="str">
        <f>IFERROR(VLOOKUP(C330, PIC!A:B, 2, 0), "")</f>
        <v>Yen Tran 3</v>
      </c>
      <c r="E330" s="110" t="s">
        <v>21</v>
      </c>
      <c r="F330" s="111">
        <v>45646.416666666657</v>
      </c>
      <c r="G330" s="112">
        <v>45666.458333333343</v>
      </c>
      <c r="H330" s="112">
        <v>45680.458333333343</v>
      </c>
      <c r="I330" s="111">
        <v>45701.458333333343</v>
      </c>
      <c r="J330" s="112">
        <v>45762.416666666657</v>
      </c>
      <c r="K330" s="111">
        <v>45790.458333333343</v>
      </c>
      <c r="L330" s="112">
        <v>45817.583333333343</v>
      </c>
      <c r="M330" s="112">
        <v>45831.458333333343</v>
      </c>
      <c r="N330" s="111" t="s">
        <v>815</v>
      </c>
      <c r="O330" s="108"/>
      <c r="P330" s="111"/>
      <c r="Q330" s="111"/>
      <c r="R330" s="111"/>
      <c r="S330" s="111"/>
      <c r="T330" s="111"/>
      <c r="U330" s="112"/>
      <c r="V330" s="113">
        <f t="shared" si="1"/>
        <v>45831.458333333343</v>
      </c>
      <c r="W330" s="114"/>
      <c r="X330" s="114"/>
      <c r="Y330" s="2"/>
    </row>
    <row r="331" spans="1:25" ht="15.75" customHeight="1">
      <c r="A331" s="116" t="s">
        <v>707</v>
      </c>
      <c r="B331" s="116" t="str">
        <f>IFERROR(VLOOKUP(A331&amp;"", STUDENTS!A:B, 2, 0), "")</f>
        <v>VÕ THỊ THU HƯƠNG</v>
      </c>
      <c r="C331" s="117" t="s">
        <v>80</v>
      </c>
      <c r="D331" s="117" t="str">
        <f>IFERROR(VLOOKUP(C331, PIC!A:B, 2, 0), "")</f>
        <v>Yen Tran 3</v>
      </c>
      <c r="E331" s="118" t="s">
        <v>21</v>
      </c>
      <c r="F331" s="119">
        <v>45646.416666666657</v>
      </c>
      <c r="G331" s="120">
        <v>45663.458333333343</v>
      </c>
      <c r="H331" s="120" t="s">
        <v>815</v>
      </c>
      <c r="I331" s="119">
        <v>45701.458333333343</v>
      </c>
      <c r="J331" s="120">
        <v>45762.416666666657</v>
      </c>
      <c r="K331" s="119">
        <v>45790.458333333343</v>
      </c>
      <c r="L331" s="120">
        <v>45817.583333333343</v>
      </c>
      <c r="M331" s="120">
        <v>45831.458333333343</v>
      </c>
      <c r="N331" s="119">
        <v>45846.458333333343</v>
      </c>
      <c r="O331" s="116"/>
      <c r="P331" s="119"/>
      <c r="Q331" s="119"/>
      <c r="R331" s="119"/>
      <c r="S331" s="119"/>
      <c r="T331" s="119"/>
      <c r="U331" s="120"/>
      <c r="V331" s="121">
        <f t="shared" si="1"/>
        <v>45846.458333333343</v>
      </c>
      <c r="W331" s="122"/>
      <c r="X331" s="122"/>
      <c r="Y331" s="2"/>
    </row>
    <row r="332" spans="1:25" ht="15.75" customHeight="1">
      <c r="A332" s="108" t="s">
        <v>512</v>
      </c>
      <c r="B332" s="108" t="str">
        <f>IFERROR(VLOOKUP(A332&amp;"", STUDENTS!A:B, 2, 0), "")</f>
        <v>NGUYỄN VĂN TÀI</v>
      </c>
      <c r="C332" s="109" t="s">
        <v>81</v>
      </c>
      <c r="D332" s="109" t="str">
        <f>IFERROR(VLOOKUP(C332, PIC!A:B, 2, 0), "")</f>
        <v>Tai Nguyen</v>
      </c>
      <c r="E332" s="110" t="s">
        <v>21</v>
      </c>
      <c r="F332" s="111">
        <v>45765.416666666657</v>
      </c>
      <c r="G332" s="112">
        <v>45768.375</v>
      </c>
      <c r="H332" s="112">
        <v>45811.458333333343</v>
      </c>
      <c r="I332" s="111">
        <v>45818.458333333343</v>
      </c>
      <c r="J332" s="112">
        <v>45833.458333333343</v>
      </c>
      <c r="K332" s="111">
        <v>45839.458333333343</v>
      </c>
      <c r="L332" s="112">
        <v>45846.541666666657</v>
      </c>
      <c r="M332" s="112">
        <v>45853.458333333343</v>
      </c>
      <c r="N332" s="111">
        <v>45862.458333333343</v>
      </c>
      <c r="O332" s="111">
        <v>45883.416666666657</v>
      </c>
      <c r="P332" s="111"/>
      <c r="Q332" s="111"/>
      <c r="R332" s="111"/>
      <c r="S332" s="111"/>
      <c r="T332" s="111"/>
      <c r="U332" s="112"/>
      <c r="V332" s="113">
        <f t="shared" si="1"/>
        <v>45883.416666666657</v>
      </c>
      <c r="W332" s="114"/>
      <c r="X332" s="114"/>
      <c r="Y332" s="2"/>
    </row>
    <row r="333" spans="1:25" ht="15.75" customHeight="1">
      <c r="A333" s="116" t="s">
        <v>524</v>
      </c>
      <c r="B333" s="116" t="str">
        <f>IFERROR(VLOOKUP(A333&amp;"", STUDENTS!A:B, 2, 0), "")</f>
        <v>PHẠM HOÀNG THÁI SƠN</v>
      </c>
      <c r="C333" s="117" t="s">
        <v>81</v>
      </c>
      <c r="D333" s="117" t="str">
        <f>IFERROR(VLOOKUP(C333, PIC!A:B, 2, 0), "")</f>
        <v>Tai Nguyen</v>
      </c>
      <c r="E333" s="118" t="s">
        <v>21</v>
      </c>
      <c r="F333" s="119">
        <v>45765.416666666657</v>
      </c>
      <c r="G333" s="120">
        <v>45768.375</v>
      </c>
      <c r="H333" s="120">
        <v>45811.458333333343</v>
      </c>
      <c r="I333" s="119">
        <v>45818.458333333343</v>
      </c>
      <c r="J333" s="120">
        <v>45833.458333333343</v>
      </c>
      <c r="K333" s="119">
        <v>45839.458333333343</v>
      </c>
      <c r="L333" s="120">
        <v>45846.541666666657</v>
      </c>
      <c r="M333" s="120">
        <v>45853.458333333343</v>
      </c>
      <c r="N333" s="119">
        <v>45862.458333333343</v>
      </c>
      <c r="O333" s="119">
        <v>45883.416666666657</v>
      </c>
      <c r="P333" s="119"/>
      <c r="Q333" s="119"/>
      <c r="R333" s="119"/>
      <c r="S333" s="119"/>
      <c r="T333" s="119"/>
      <c r="U333" s="120"/>
      <c r="V333" s="121">
        <f t="shared" si="1"/>
        <v>45883.416666666657</v>
      </c>
      <c r="W333" s="122"/>
      <c r="X333" s="122"/>
      <c r="Y333" s="2"/>
    </row>
    <row r="334" spans="1:25" ht="15.75" customHeight="1">
      <c r="A334" s="108" t="s">
        <v>530</v>
      </c>
      <c r="B334" s="108" t="str">
        <f>IFERROR(VLOOKUP(A334&amp;"", STUDENTS!A:B, 2, 0), "")</f>
        <v>PHẠM HUY HOÀNG</v>
      </c>
      <c r="C334" s="109" t="s">
        <v>81</v>
      </c>
      <c r="D334" s="109" t="str">
        <f>IFERROR(VLOOKUP(C334, PIC!A:B, 2, 0), "")</f>
        <v>Tai Nguyen</v>
      </c>
      <c r="E334" s="110" t="s">
        <v>21</v>
      </c>
      <c r="F334" s="111">
        <v>45765.416666666657</v>
      </c>
      <c r="G334" s="112">
        <v>45768.375</v>
      </c>
      <c r="H334" s="112">
        <v>45811.458333333343</v>
      </c>
      <c r="I334" s="111">
        <v>45818.458333333343</v>
      </c>
      <c r="J334" s="112">
        <v>45833.458333333343</v>
      </c>
      <c r="K334" s="111">
        <v>45839.458333333343</v>
      </c>
      <c r="L334" s="112">
        <v>45846.541666666657</v>
      </c>
      <c r="M334" s="112">
        <v>45853.458333333343</v>
      </c>
      <c r="N334" s="111">
        <v>45862.458333333343</v>
      </c>
      <c r="O334" s="111">
        <v>45883.416666666657</v>
      </c>
      <c r="P334" s="111"/>
      <c r="Q334" s="111"/>
      <c r="R334" s="111"/>
      <c r="S334" s="111"/>
      <c r="T334" s="111"/>
      <c r="U334" s="112"/>
      <c r="V334" s="113">
        <f t="shared" si="1"/>
        <v>45883.416666666657</v>
      </c>
      <c r="W334" s="114"/>
      <c r="X334" s="114"/>
      <c r="Y334" s="2"/>
    </row>
    <row r="335" spans="1:25" ht="15.75" customHeight="1">
      <c r="A335" s="116" t="s">
        <v>621</v>
      </c>
      <c r="B335" s="116" t="str">
        <f>IFERROR(VLOOKUP(A335&amp;"", STUDENTS!A:B, 2, 0), "")</f>
        <v>TRẦN MINH TRIẾT</v>
      </c>
      <c r="C335" s="117" t="s">
        <v>81</v>
      </c>
      <c r="D335" s="117" t="str">
        <f>IFERROR(VLOOKUP(C335, PIC!A:B, 2, 0), "")</f>
        <v>Tai Nguyen</v>
      </c>
      <c r="E335" s="118" t="s">
        <v>21</v>
      </c>
      <c r="F335" s="119">
        <v>45765.416666666657</v>
      </c>
      <c r="G335" s="120">
        <v>45768.375</v>
      </c>
      <c r="H335" s="120">
        <v>45811.458333333343</v>
      </c>
      <c r="I335" s="119">
        <v>45818.458333333343</v>
      </c>
      <c r="J335" s="120">
        <v>45833.458333333343</v>
      </c>
      <c r="K335" s="119">
        <v>45839.458333333343</v>
      </c>
      <c r="L335" s="120">
        <v>45846.541666666657</v>
      </c>
      <c r="M335" s="120">
        <v>45853.458333333343</v>
      </c>
      <c r="N335" s="119">
        <v>45862.458333333343</v>
      </c>
      <c r="O335" s="119">
        <v>45883.416666666657</v>
      </c>
      <c r="P335" s="119"/>
      <c r="Q335" s="119"/>
      <c r="R335" s="119"/>
      <c r="S335" s="119"/>
      <c r="T335" s="119"/>
      <c r="U335" s="120"/>
      <c r="V335" s="121">
        <f t="shared" si="1"/>
        <v>45883.416666666657</v>
      </c>
      <c r="W335" s="122"/>
      <c r="X335" s="122"/>
      <c r="Y335" s="2"/>
    </row>
    <row r="336" spans="1:25" ht="15.75" customHeight="1">
      <c r="A336" s="108" t="s">
        <v>271</v>
      </c>
      <c r="B336" s="108" t="str">
        <f>IFERROR(VLOOKUP(A336&amp;"", STUDENTS!A:B, 2, 0), "")</f>
        <v>LÊ MINH PHƯỚC</v>
      </c>
      <c r="C336" s="109" t="s">
        <v>82</v>
      </c>
      <c r="D336" s="109" t="str">
        <f>IFERROR(VLOOKUP(C336, PIC!A:B, 2, 0), "")</f>
        <v>Tai Pham</v>
      </c>
      <c r="E336" s="110" t="s">
        <v>21</v>
      </c>
      <c r="F336" s="111">
        <v>45765.583333333343</v>
      </c>
      <c r="G336" s="112">
        <v>45770.583333333343</v>
      </c>
      <c r="H336" s="112">
        <v>45783.541666666657</v>
      </c>
      <c r="I336" s="111">
        <v>45791.583333333343</v>
      </c>
      <c r="J336" s="112">
        <v>45792.541666666657</v>
      </c>
      <c r="K336" s="111">
        <v>45805.583333333343</v>
      </c>
      <c r="L336" s="112" t="s">
        <v>815</v>
      </c>
      <c r="M336" s="112">
        <v>45819.541666666657</v>
      </c>
      <c r="N336" s="111">
        <v>45825.541666666657</v>
      </c>
      <c r="O336" s="111">
        <v>45853.541666666657</v>
      </c>
      <c r="P336" s="111"/>
      <c r="Q336" s="111"/>
      <c r="R336" s="111"/>
      <c r="S336" s="111"/>
      <c r="T336" s="111"/>
      <c r="U336" s="112"/>
      <c r="V336" s="113">
        <f t="shared" si="1"/>
        <v>45853.541666666657</v>
      </c>
      <c r="W336" s="114"/>
      <c r="X336" s="114"/>
      <c r="Y336" s="2"/>
    </row>
    <row r="337" spans="1:25" ht="15.75" customHeight="1">
      <c r="A337" s="116" t="s">
        <v>271</v>
      </c>
      <c r="B337" s="116" t="str">
        <f>IFERROR(VLOOKUP(A337&amp;"", STUDENTS!A:B, 2, 0), "")</f>
        <v>LÊ MINH PHƯỚC</v>
      </c>
      <c r="C337" s="117" t="s">
        <v>82</v>
      </c>
      <c r="D337" s="117" t="str">
        <f>IFERROR(VLOOKUP(C337, PIC!A:B, 2, 0), "")</f>
        <v>Tai Pham</v>
      </c>
      <c r="E337" s="118" t="s">
        <v>22</v>
      </c>
      <c r="F337" s="119">
        <v>45881.541666666657</v>
      </c>
      <c r="G337" s="120">
        <v>45896.541666666657</v>
      </c>
      <c r="H337" s="120">
        <v>45909.583333333343</v>
      </c>
      <c r="I337" s="119">
        <v>45923.583333333343</v>
      </c>
      <c r="J337" s="120">
        <v>45930.583333333343</v>
      </c>
      <c r="K337" s="119" t="s">
        <v>815</v>
      </c>
      <c r="L337" s="120"/>
      <c r="M337" s="120" t="s">
        <v>815</v>
      </c>
      <c r="N337" s="119" t="s">
        <v>815</v>
      </c>
      <c r="O337" s="119" t="s">
        <v>815</v>
      </c>
      <c r="P337" s="119" t="s">
        <v>815</v>
      </c>
      <c r="Q337" s="119" t="s">
        <v>815</v>
      </c>
      <c r="R337" s="119">
        <v>45994.416666666657</v>
      </c>
      <c r="S337" s="119" t="s">
        <v>815</v>
      </c>
      <c r="T337" s="119" t="s">
        <v>815</v>
      </c>
      <c r="U337" s="120" t="s">
        <v>815</v>
      </c>
      <c r="V337" s="121">
        <f t="shared" si="1"/>
        <v>45994.416666666657</v>
      </c>
      <c r="W337" s="122"/>
      <c r="X337" s="122"/>
      <c r="Y337" s="2"/>
    </row>
    <row r="338" spans="1:25" ht="15.75" customHeight="1">
      <c r="A338" s="108" t="s">
        <v>279</v>
      </c>
      <c r="B338" s="108" t="str">
        <f>IFERROR(VLOOKUP(A338&amp;"", STUDENTS!A:B, 2, 0), "")</f>
        <v>LÊ NHẬT LINH</v>
      </c>
      <c r="C338" s="109" t="s">
        <v>82</v>
      </c>
      <c r="D338" s="109" t="str">
        <f>IFERROR(VLOOKUP(C338, PIC!A:B, 2, 0), "")</f>
        <v>Tai Pham</v>
      </c>
      <c r="E338" s="110" t="s">
        <v>21</v>
      </c>
      <c r="F338" s="111">
        <v>45765.583333333343</v>
      </c>
      <c r="G338" s="112">
        <v>45770.583333333343</v>
      </c>
      <c r="H338" s="112">
        <v>45783.541666666657</v>
      </c>
      <c r="I338" s="111">
        <v>45791.583333333343</v>
      </c>
      <c r="J338" s="112">
        <v>45792.541666666657</v>
      </c>
      <c r="K338" s="111">
        <v>45805.583333333343</v>
      </c>
      <c r="L338" s="112">
        <v>45811.541666666657</v>
      </c>
      <c r="M338" s="112">
        <v>45819.541666666657</v>
      </c>
      <c r="N338" s="111">
        <v>45825.541666666657</v>
      </c>
      <c r="O338" s="111">
        <v>45853.541666666657</v>
      </c>
      <c r="P338" s="111"/>
      <c r="Q338" s="111"/>
      <c r="R338" s="111"/>
      <c r="S338" s="111"/>
      <c r="T338" s="111"/>
      <c r="U338" s="112"/>
      <c r="V338" s="113">
        <f t="shared" si="1"/>
        <v>45853.541666666657</v>
      </c>
      <c r="W338" s="114"/>
      <c r="X338" s="114"/>
      <c r="Y338" s="2"/>
    </row>
    <row r="339" spans="1:25" ht="15.75" customHeight="1">
      <c r="A339" s="116" t="s">
        <v>279</v>
      </c>
      <c r="B339" s="116" t="str">
        <f>IFERROR(VLOOKUP(A339&amp;"", STUDENTS!A:B, 2, 0), "")</f>
        <v>LÊ NHẬT LINH</v>
      </c>
      <c r="C339" s="117" t="s">
        <v>82</v>
      </c>
      <c r="D339" s="117" t="str">
        <f>IFERROR(VLOOKUP(C339, PIC!A:B, 2, 0), "")</f>
        <v>Tai Pham</v>
      </c>
      <c r="E339" s="118" t="s">
        <v>22</v>
      </c>
      <c r="F339" s="119">
        <v>45881.541666666657</v>
      </c>
      <c r="G339" s="120">
        <v>45896.541666666657</v>
      </c>
      <c r="H339" s="120">
        <v>45909.583333333343</v>
      </c>
      <c r="I339" s="119">
        <v>45923.583333333343</v>
      </c>
      <c r="J339" s="120">
        <v>45930.583333333343</v>
      </c>
      <c r="K339" s="119">
        <v>45937.583333333343</v>
      </c>
      <c r="L339" s="120"/>
      <c r="M339" s="120" t="s">
        <v>815</v>
      </c>
      <c r="N339" s="119">
        <v>45958.583333333343</v>
      </c>
      <c r="O339" s="119">
        <v>45966.458333333343</v>
      </c>
      <c r="P339" s="119"/>
      <c r="Q339" s="119"/>
      <c r="R339" s="119"/>
      <c r="S339" s="119"/>
      <c r="T339" s="119"/>
      <c r="U339" s="120"/>
      <c r="V339" s="121">
        <f t="shared" si="1"/>
        <v>45966.458333333343</v>
      </c>
      <c r="W339" s="122"/>
      <c r="X339" s="122"/>
      <c r="Y339" s="2"/>
    </row>
    <row r="340" spans="1:25" ht="15.75" customHeight="1">
      <c r="A340" s="108" t="s">
        <v>300</v>
      </c>
      <c r="B340" s="108" t="str">
        <f>IFERROR(VLOOKUP(A340&amp;"", STUDENTS!A:B, 2, 0), "")</f>
        <v>LÊ TRIỆU HUẤN</v>
      </c>
      <c r="C340" s="109" t="s">
        <v>82</v>
      </c>
      <c r="D340" s="109" t="str">
        <f>IFERROR(VLOOKUP(C340, PIC!A:B, 2, 0), "")</f>
        <v>Tai Pham</v>
      </c>
      <c r="E340" s="110" t="s">
        <v>21</v>
      </c>
      <c r="F340" s="111">
        <v>45765.583333333343</v>
      </c>
      <c r="G340" s="112">
        <v>45770.583333333343</v>
      </c>
      <c r="H340" s="112">
        <v>45783.541666666657</v>
      </c>
      <c r="I340" s="111">
        <v>45791.583333333343</v>
      </c>
      <c r="J340" s="112">
        <v>45792.541666666657</v>
      </c>
      <c r="K340" s="111">
        <v>45805.583333333343</v>
      </c>
      <c r="L340" s="112">
        <v>45811.541666666657</v>
      </c>
      <c r="M340" s="112">
        <v>45819.541666666657</v>
      </c>
      <c r="N340" s="111">
        <v>45825.541666666657</v>
      </c>
      <c r="O340" s="111">
        <v>45853.541666666657</v>
      </c>
      <c r="P340" s="111"/>
      <c r="Q340" s="111"/>
      <c r="R340" s="111"/>
      <c r="S340" s="111"/>
      <c r="T340" s="111"/>
      <c r="U340" s="112"/>
      <c r="V340" s="113">
        <f t="shared" si="1"/>
        <v>45853.541666666657</v>
      </c>
      <c r="W340" s="114"/>
      <c r="X340" s="114"/>
      <c r="Y340" s="2"/>
    </row>
    <row r="341" spans="1:25" ht="15.75" customHeight="1">
      <c r="A341" s="116" t="s">
        <v>300</v>
      </c>
      <c r="B341" s="116" t="str">
        <f>IFERROR(VLOOKUP(A341&amp;"", STUDENTS!A:B, 2, 0), "")</f>
        <v>LÊ TRIỆU HUẤN</v>
      </c>
      <c r="C341" s="117" t="s">
        <v>82</v>
      </c>
      <c r="D341" s="117" t="str">
        <f>IFERROR(VLOOKUP(C341, PIC!A:B, 2, 0), "")</f>
        <v>Tai Pham</v>
      </c>
      <c r="E341" s="118" t="s">
        <v>22</v>
      </c>
      <c r="F341" s="119">
        <v>45881.541666666657</v>
      </c>
      <c r="G341" s="120">
        <v>45896.541666666657</v>
      </c>
      <c r="H341" s="120">
        <v>45909.583333333343</v>
      </c>
      <c r="I341" s="119">
        <v>45923.583333333343</v>
      </c>
      <c r="J341" s="120">
        <v>45930.583333333343</v>
      </c>
      <c r="K341" s="119">
        <v>45937.583333333343</v>
      </c>
      <c r="L341" s="120"/>
      <c r="M341" s="120">
        <v>45951.583333333343</v>
      </c>
      <c r="N341" s="119">
        <v>45958.583333333343</v>
      </c>
      <c r="O341" s="119">
        <v>45966.458333333343</v>
      </c>
      <c r="P341" s="119" t="s">
        <v>815</v>
      </c>
      <c r="Q341" s="119">
        <v>45987.583333333343</v>
      </c>
      <c r="R341" s="119">
        <v>45994.416666666657</v>
      </c>
      <c r="S341" s="119" t="s">
        <v>815</v>
      </c>
      <c r="T341" s="119">
        <v>46013.625</v>
      </c>
      <c r="U341" s="120">
        <v>46035.416666666657</v>
      </c>
      <c r="V341" s="121">
        <f t="shared" si="1"/>
        <v>46035.416666666657</v>
      </c>
      <c r="W341" s="122"/>
      <c r="X341" s="122"/>
      <c r="Y341" s="2"/>
    </row>
    <row r="342" spans="1:25" ht="15.75" customHeight="1">
      <c r="A342" s="108" t="s">
        <v>309</v>
      </c>
      <c r="B342" s="108" t="str">
        <f>IFERROR(VLOOKUP(A342&amp;"", STUDENTS!A:B, 2, 0), "")</f>
        <v>LƯƠNG CÔNG KỲ</v>
      </c>
      <c r="C342" s="109" t="s">
        <v>82</v>
      </c>
      <c r="D342" s="109" t="str">
        <f>IFERROR(VLOOKUP(C342, PIC!A:B, 2, 0), "")</f>
        <v>Tai Pham</v>
      </c>
      <c r="E342" s="110" t="s">
        <v>22</v>
      </c>
      <c r="F342" s="111">
        <v>45881.541666666657</v>
      </c>
      <c r="G342" s="112">
        <v>45896.541666666657</v>
      </c>
      <c r="H342" s="112">
        <v>45909.583333333343</v>
      </c>
      <c r="I342" s="111">
        <v>45923.583333333343</v>
      </c>
      <c r="J342" s="112">
        <v>45930.583333333343</v>
      </c>
      <c r="K342" s="111">
        <v>45937.583333333343</v>
      </c>
      <c r="L342" s="112"/>
      <c r="M342" s="112">
        <v>45951.583333333343</v>
      </c>
      <c r="N342" s="111">
        <v>45958.583333333343</v>
      </c>
      <c r="O342" s="111">
        <v>45966.458333333343</v>
      </c>
      <c r="P342" s="111">
        <v>45980.458333333343</v>
      </c>
      <c r="Q342" s="111" t="s">
        <v>815</v>
      </c>
      <c r="R342" s="111">
        <v>45994.416666666657</v>
      </c>
      <c r="S342" s="111">
        <v>46006.625</v>
      </c>
      <c r="T342" s="111">
        <v>46013.625</v>
      </c>
      <c r="U342" s="112">
        <v>46035.416666666657</v>
      </c>
      <c r="V342" s="113">
        <f t="shared" si="1"/>
        <v>46035.416666666657</v>
      </c>
      <c r="W342" s="114"/>
      <c r="X342" s="114"/>
      <c r="Y342" s="2"/>
    </row>
    <row r="343" spans="1:25" ht="15.75" customHeight="1">
      <c r="A343" s="116" t="s">
        <v>332</v>
      </c>
      <c r="B343" s="116" t="str">
        <f>IFERROR(VLOOKUP(A343&amp;"", STUDENTS!A:B, 2, 0), "")</f>
        <v>NGUYỄN BÁ NGỌC</v>
      </c>
      <c r="C343" s="117" t="s">
        <v>82</v>
      </c>
      <c r="D343" s="117" t="str">
        <f>IFERROR(VLOOKUP(C343, PIC!A:B, 2, 0), "")</f>
        <v>Tai Pham</v>
      </c>
      <c r="E343" s="118" t="s">
        <v>22</v>
      </c>
      <c r="F343" s="119">
        <v>45881.541666666657</v>
      </c>
      <c r="G343" s="120">
        <v>45896.541666666657</v>
      </c>
      <c r="H343" s="120">
        <v>45909.583333333343</v>
      </c>
      <c r="I343" s="119">
        <v>45923.583333333343</v>
      </c>
      <c r="J343" s="120">
        <v>45930.583333333343</v>
      </c>
      <c r="K343" s="119">
        <v>45937.583333333343</v>
      </c>
      <c r="L343" s="120"/>
      <c r="M343" s="120">
        <v>45951.583333333343</v>
      </c>
      <c r="N343" s="119">
        <v>45958.583333333343</v>
      </c>
      <c r="O343" s="119">
        <v>45966.458333333343</v>
      </c>
      <c r="P343" s="119">
        <v>45980.458333333343</v>
      </c>
      <c r="Q343" s="119">
        <v>45987.583333333343</v>
      </c>
      <c r="R343" s="119">
        <v>45994.416666666657</v>
      </c>
      <c r="S343" s="119">
        <v>46006.625</v>
      </c>
      <c r="T343" s="119">
        <v>46013.625</v>
      </c>
      <c r="U343" s="120">
        <v>46035.416666666657</v>
      </c>
      <c r="V343" s="121">
        <f t="shared" si="1"/>
        <v>46035.416666666657</v>
      </c>
      <c r="W343" s="122"/>
      <c r="X343" s="122"/>
      <c r="Y343" s="2"/>
    </row>
    <row r="344" spans="1:25" ht="15.75" customHeight="1">
      <c r="A344" s="108" t="s">
        <v>350</v>
      </c>
      <c r="B344" s="108" t="str">
        <f>IFERROR(VLOOKUP(A344&amp;"", STUDENTS!A:B, 2, 0), "")</f>
        <v>NGUYỄN DOÃN NAM</v>
      </c>
      <c r="C344" s="109" t="s">
        <v>82</v>
      </c>
      <c r="D344" s="109" t="str">
        <f>IFERROR(VLOOKUP(C344, PIC!A:B, 2, 0), "")</f>
        <v>Tai Pham</v>
      </c>
      <c r="E344" s="110" t="s">
        <v>21</v>
      </c>
      <c r="F344" s="111">
        <v>45765.583333333343</v>
      </c>
      <c r="G344" s="112">
        <v>45770.583333333343</v>
      </c>
      <c r="H344" s="112" t="s">
        <v>815</v>
      </c>
      <c r="I344" s="111">
        <v>45791.583333333343</v>
      </c>
      <c r="J344" s="112">
        <v>45792.541666666657</v>
      </c>
      <c r="K344" s="111">
        <v>45805.583333333343</v>
      </c>
      <c r="L344" s="112" t="s">
        <v>815</v>
      </c>
      <c r="M344" s="112">
        <v>45819.541666666657</v>
      </c>
      <c r="N344" s="111">
        <v>45825.541666666657</v>
      </c>
      <c r="O344" s="111">
        <v>45853.541666666657</v>
      </c>
      <c r="P344" s="111"/>
      <c r="Q344" s="111"/>
      <c r="R344" s="111"/>
      <c r="S344" s="111"/>
      <c r="T344" s="111"/>
      <c r="U344" s="112"/>
      <c r="V344" s="113">
        <f t="shared" si="1"/>
        <v>45853.541666666657</v>
      </c>
      <c r="W344" s="114"/>
      <c r="X344" s="114"/>
      <c r="Y344" s="2"/>
    </row>
    <row r="345" spans="1:25" ht="15.75" customHeight="1">
      <c r="A345" s="116" t="s">
        <v>526</v>
      </c>
      <c r="B345" s="116" t="str">
        <f>IFERROR(VLOOKUP(A345&amp;"", STUDENTS!A:B, 2, 0), "")</f>
        <v>PHẠM HỒNG THIÊN TÀI</v>
      </c>
      <c r="C345" s="117" t="s">
        <v>82</v>
      </c>
      <c r="D345" s="117" t="str">
        <f>IFERROR(VLOOKUP(C345, PIC!A:B, 2, 0), "")</f>
        <v>Tai Pham</v>
      </c>
      <c r="E345" s="118" t="s">
        <v>21</v>
      </c>
      <c r="F345" s="119">
        <v>45765.583333333343</v>
      </c>
      <c r="G345" s="120">
        <v>45770.583333333343</v>
      </c>
      <c r="H345" s="120">
        <v>45783.541666666657</v>
      </c>
      <c r="I345" s="119">
        <v>45791.583333333343</v>
      </c>
      <c r="J345" s="120">
        <v>45792.541666666657</v>
      </c>
      <c r="K345" s="119">
        <v>45805.583333333343</v>
      </c>
      <c r="L345" s="120">
        <v>45811.541666666657</v>
      </c>
      <c r="M345" s="120">
        <v>45819.541666666657</v>
      </c>
      <c r="N345" s="119">
        <v>45825.541666666657</v>
      </c>
      <c r="O345" s="119">
        <v>45853.541666666657</v>
      </c>
      <c r="P345" s="119"/>
      <c r="Q345" s="119"/>
      <c r="R345" s="119"/>
      <c r="S345" s="119"/>
      <c r="T345" s="119"/>
      <c r="U345" s="120"/>
      <c r="V345" s="121">
        <f t="shared" si="1"/>
        <v>45853.541666666657</v>
      </c>
      <c r="W345" s="122"/>
      <c r="X345" s="122"/>
      <c r="Y345" s="2"/>
    </row>
    <row r="346" spans="1:25" ht="15.75" customHeight="1">
      <c r="A346" s="108" t="s">
        <v>526</v>
      </c>
      <c r="B346" s="108" t="str">
        <f>IFERROR(VLOOKUP(A346&amp;"", STUDENTS!A:B, 2, 0), "")</f>
        <v>PHẠM HỒNG THIÊN TÀI</v>
      </c>
      <c r="C346" s="109" t="s">
        <v>82</v>
      </c>
      <c r="D346" s="109" t="str">
        <f>IFERROR(VLOOKUP(C346, PIC!A:B, 2, 0), "")</f>
        <v>Tai Pham</v>
      </c>
      <c r="E346" s="110" t="s">
        <v>22</v>
      </c>
      <c r="F346" s="111">
        <v>45881.541666666657</v>
      </c>
      <c r="G346" s="112">
        <v>45896.541666666657</v>
      </c>
      <c r="H346" s="112">
        <v>45909.583333333343</v>
      </c>
      <c r="I346" s="111">
        <v>45923.583333333343</v>
      </c>
      <c r="J346" s="112">
        <v>45930.583333333343</v>
      </c>
      <c r="K346" s="111">
        <v>45937.583333333343</v>
      </c>
      <c r="L346" s="112"/>
      <c r="M346" s="112">
        <v>45951.583333333343</v>
      </c>
      <c r="N346" s="111">
        <v>45958.583333333343</v>
      </c>
      <c r="O346" s="111" t="s">
        <v>815</v>
      </c>
      <c r="P346" s="111">
        <v>45980.458333333343</v>
      </c>
      <c r="Q346" s="111">
        <v>45987.583333333343</v>
      </c>
      <c r="R346" s="111">
        <v>45994.416666666657</v>
      </c>
      <c r="S346" s="111">
        <v>46006.625</v>
      </c>
      <c r="T346" s="111">
        <v>46013.625</v>
      </c>
      <c r="U346" s="112">
        <v>46035.416666666657</v>
      </c>
      <c r="V346" s="113">
        <f t="shared" si="1"/>
        <v>46035.416666666657</v>
      </c>
      <c r="W346" s="114"/>
      <c r="X346" s="114"/>
      <c r="Y346" s="2"/>
    </row>
    <row r="347" spans="1:25" ht="15.75" customHeight="1">
      <c r="A347" s="116" t="s">
        <v>562</v>
      </c>
      <c r="B347" s="116" t="str">
        <f>IFERROR(VLOOKUP(A347&amp;"", STUDENTS!A:B, 2, 0), "")</f>
        <v>PHAN HUY NHÂN</v>
      </c>
      <c r="C347" s="117" t="s">
        <v>82</v>
      </c>
      <c r="D347" s="117" t="str">
        <f>IFERROR(VLOOKUP(C347, PIC!A:B, 2, 0), "")</f>
        <v>Tai Pham</v>
      </c>
      <c r="E347" s="118" t="s">
        <v>22</v>
      </c>
      <c r="F347" s="119">
        <v>45881.541666666657</v>
      </c>
      <c r="G347" s="120">
        <v>45896.541666666657</v>
      </c>
      <c r="H347" s="120">
        <v>45909.583333333343</v>
      </c>
      <c r="I347" s="119">
        <v>45923.583333333343</v>
      </c>
      <c r="J347" s="120">
        <v>45930.583333333343</v>
      </c>
      <c r="K347" s="119">
        <v>45937.583333333343</v>
      </c>
      <c r="L347" s="120"/>
      <c r="M347" s="120" t="s">
        <v>815</v>
      </c>
      <c r="N347" s="119">
        <v>45958.583333333343</v>
      </c>
      <c r="O347" s="119">
        <v>45966.458333333343</v>
      </c>
      <c r="P347" s="119" t="s">
        <v>815</v>
      </c>
      <c r="Q347" s="119">
        <v>45987.583333333343</v>
      </c>
      <c r="R347" s="119">
        <v>45994.416666666657</v>
      </c>
      <c r="S347" s="119">
        <v>46006.625</v>
      </c>
      <c r="T347" s="119">
        <v>46013.625</v>
      </c>
      <c r="U347" s="120">
        <v>46035.416666666657</v>
      </c>
      <c r="V347" s="121">
        <f t="shared" si="1"/>
        <v>46035.416666666657</v>
      </c>
      <c r="W347" s="122"/>
      <c r="X347" s="122"/>
      <c r="Y347" s="2"/>
    </row>
    <row r="348" spans="1:25" ht="15.75" customHeight="1">
      <c r="A348" s="108" t="s">
        <v>693</v>
      </c>
      <c r="B348" s="108" t="str">
        <f>IFERROR(VLOOKUP(A348&amp;"", STUDENTS!A:B, 2, 0), "")</f>
        <v>VÕ CHÍ THIỆN</v>
      </c>
      <c r="C348" s="109" t="s">
        <v>82</v>
      </c>
      <c r="D348" s="109" t="str">
        <f>IFERROR(VLOOKUP(C348, PIC!A:B, 2, 0), "")</f>
        <v>Tai Pham</v>
      </c>
      <c r="E348" s="110" t="s">
        <v>22</v>
      </c>
      <c r="F348" s="111">
        <v>45881.541666666657</v>
      </c>
      <c r="G348" s="112">
        <v>45896.541666666657</v>
      </c>
      <c r="H348" s="112" t="s">
        <v>815</v>
      </c>
      <c r="I348" s="111">
        <v>45923.583333333343</v>
      </c>
      <c r="J348" s="112">
        <v>45930.583333333343</v>
      </c>
      <c r="K348" s="111">
        <v>45937.583333333343</v>
      </c>
      <c r="L348" s="112"/>
      <c r="M348" s="112" t="s">
        <v>815</v>
      </c>
      <c r="N348" s="111" t="s">
        <v>815</v>
      </c>
      <c r="O348" s="111">
        <v>45966.458333333343</v>
      </c>
      <c r="P348" s="111">
        <v>45980.458333333343</v>
      </c>
      <c r="Q348" s="111">
        <v>45987.583333333343</v>
      </c>
      <c r="R348" s="111">
        <v>45994.416666666657</v>
      </c>
      <c r="S348" s="111">
        <v>46006.625</v>
      </c>
      <c r="T348" s="111" t="s">
        <v>815</v>
      </c>
      <c r="U348" s="112">
        <v>46035.416666666657</v>
      </c>
      <c r="V348" s="113">
        <f t="shared" si="1"/>
        <v>46035.416666666657</v>
      </c>
      <c r="W348" s="114"/>
      <c r="X348" s="114"/>
      <c r="Y348" s="2"/>
    </row>
    <row r="349" spans="1:25" ht="15.75" customHeight="1">
      <c r="A349" s="116" t="s">
        <v>208</v>
      </c>
      <c r="B349" s="116" t="str">
        <f>IFERROR(VLOOKUP(A349&amp;"", STUDENTS!A:B, 2, 0), "")</f>
        <v>HÀ TRẦN TUẤN ANH</v>
      </c>
      <c r="C349" s="117" t="s">
        <v>83</v>
      </c>
      <c r="D349" s="117" t="str">
        <f>IFERROR(VLOOKUP(C349, PIC!A:B, 2, 0), "")</f>
        <v>Anh Ha</v>
      </c>
      <c r="E349" s="118" t="s">
        <v>21</v>
      </c>
      <c r="F349" s="119">
        <v>45764.416666666657</v>
      </c>
      <c r="G349" s="120">
        <v>45784.583333333343</v>
      </c>
      <c r="H349" s="120">
        <v>45804.375</v>
      </c>
      <c r="I349" s="119">
        <v>45805.416666666657</v>
      </c>
      <c r="J349" s="120">
        <v>45812.458333333343</v>
      </c>
      <c r="K349" s="119">
        <v>45819.458333333343</v>
      </c>
      <c r="L349" s="120">
        <v>45827.416666666657</v>
      </c>
      <c r="M349" s="120">
        <v>45833.375</v>
      </c>
      <c r="N349" s="119">
        <v>45840.416666666657</v>
      </c>
      <c r="O349" s="119">
        <v>45861.541666666657</v>
      </c>
      <c r="P349" s="119"/>
      <c r="Q349" s="119"/>
      <c r="R349" s="119"/>
      <c r="S349" s="119"/>
      <c r="T349" s="119"/>
      <c r="U349" s="120"/>
      <c r="V349" s="121">
        <f t="shared" si="1"/>
        <v>45861.541666666657</v>
      </c>
      <c r="W349" s="122"/>
      <c r="X349" s="122"/>
      <c r="Y349" s="2"/>
    </row>
    <row r="350" spans="1:25" ht="15.75" customHeight="1">
      <c r="A350" s="108" t="s">
        <v>208</v>
      </c>
      <c r="B350" s="108" t="str">
        <f>IFERROR(VLOOKUP(A350&amp;"", STUDENTS!A:B, 2, 0), "")</f>
        <v>HÀ TRẦN TUẤN ANH</v>
      </c>
      <c r="C350" s="109" t="s">
        <v>83</v>
      </c>
      <c r="D350" s="109" t="str">
        <f>IFERROR(VLOOKUP(C350, PIC!A:B, 2, 0), "")</f>
        <v>Anh Ha</v>
      </c>
      <c r="E350" s="110" t="s">
        <v>22</v>
      </c>
      <c r="F350" s="111">
        <v>45882.416666666657</v>
      </c>
      <c r="G350" s="112">
        <v>45889.416666666657</v>
      </c>
      <c r="H350" s="112">
        <v>45896.416666666657</v>
      </c>
      <c r="I350" s="111">
        <v>45903.416666666657</v>
      </c>
      <c r="J350" s="112">
        <v>45910.416666666657</v>
      </c>
      <c r="K350" s="111">
        <v>45924.458333333343</v>
      </c>
      <c r="L350" s="112">
        <v>45931.416666666657</v>
      </c>
      <c r="M350" s="112">
        <v>45938.458333333343</v>
      </c>
      <c r="N350" s="111">
        <v>45980.416666666657</v>
      </c>
      <c r="O350" s="111">
        <v>45987.416666666657</v>
      </c>
      <c r="P350" s="111">
        <v>45994.583333333343</v>
      </c>
      <c r="Q350" s="111">
        <v>46008.416666666657</v>
      </c>
      <c r="R350" s="111">
        <v>46036.416666666657</v>
      </c>
      <c r="S350" s="111">
        <v>46043.458333333343</v>
      </c>
      <c r="T350" s="111">
        <v>46050.416666666657</v>
      </c>
      <c r="U350" s="112">
        <v>46106.541666666657</v>
      </c>
      <c r="V350" s="113">
        <f t="shared" si="1"/>
        <v>46106.541666666657</v>
      </c>
      <c r="W350" s="114"/>
      <c r="X350" s="114"/>
      <c r="Y350" s="2"/>
    </row>
    <row r="351" spans="1:25" ht="15.75" customHeight="1">
      <c r="A351" s="116" t="s">
        <v>241</v>
      </c>
      <c r="B351" s="116" t="str">
        <f>IFERROR(VLOOKUP(A351&amp;"", STUDENTS!A:B, 2, 0), "")</f>
        <v>HUỲNH THỊ BẢO YẾN</v>
      </c>
      <c r="C351" s="117" t="s">
        <v>83</v>
      </c>
      <c r="D351" s="117" t="str">
        <f>IFERROR(VLOOKUP(C351, PIC!A:B, 2, 0), "")</f>
        <v>Anh Ha</v>
      </c>
      <c r="E351" s="118" t="s">
        <v>22</v>
      </c>
      <c r="F351" s="119">
        <v>45882.583333333343</v>
      </c>
      <c r="G351" s="120">
        <v>45889.541666666657</v>
      </c>
      <c r="H351" s="120">
        <v>45895.541666666657</v>
      </c>
      <c r="I351" s="119">
        <v>45903.541666666657</v>
      </c>
      <c r="J351" s="120">
        <v>45910.583333333343</v>
      </c>
      <c r="K351" s="119" t="s">
        <v>815</v>
      </c>
      <c r="L351" s="120">
        <v>45931.416666666657</v>
      </c>
      <c r="M351" s="120">
        <v>45938.458333333343</v>
      </c>
      <c r="N351" s="119">
        <v>45980.416666666657</v>
      </c>
      <c r="O351" s="119">
        <v>45987.416666666657</v>
      </c>
      <c r="P351" s="119">
        <v>45994.583333333343</v>
      </c>
      <c r="Q351" s="119">
        <v>46008.416666666657</v>
      </c>
      <c r="R351" s="119">
        <v>46036.416666666657</v>
      </c>
      <c r="S351" s="119">
        <v>46043.458333333343</v>
      </c>
      <c r="T351" s="119">
        <v>46050.416666666657</v>
      </c>
      <c r="U351" s="120">
        <v>46106.541666666657</v>
      </c>
      <c r="V351" s="121">
        <f t="shared" si="1"/>
        <v>46106.541666666657</v>
      </c>
      <c r="W351" s="122"/>
      <c r="X351" s="122"/>
      <c r="Y351" s="2"/>
    </row>
    <row r="352" spans="1:25" ht="15.75" customHeight="1">
      <c r="A352" s="108" t="s">
        <v>243</v>
      </c>
      <c r="B352" s="108" t="str">
        <f>IFERROR(VLOOKUP(A352&amp;"", STUDENTS!A:B, 2, 0), "")</f>
        <v>HUỲNH TRẦN HẢI LONG</v>
      </c>
      <c r="C352" s="109" t="s">
        <v>83</v>
      </c>
      <c r="D352" s="109" t="str">
        <f>IFERROR(VLOOKUP(C352, PIC!A:B, 2, 0), "")</f>
        <v>Anh Ha</v>
      </c>
      <c r="E352" s="110" t="s">
        <v>21</v>
      </c>
      <c r="F352" s="111">
        <v>45764.416666666657</v>
      </c>
      <c r="G352" s="112">
        <v>45784.583333333343</v>
      </c>
      <c r="H352" s="112">
        <v>45804.375</v>
      </c>
      <c r="I352" s="111">
        <v>45805.416666666657</v>
      </c>
      <c r="J352" s="112">
        <v>45812.458333333343</v>
      </c>
      <c r="K352" s="111">
        <v>45819.458333333343</v>
      </c>
      <c r="L352" s="112">
        <v>45827.416666666657</v>
      </c>
      <c r="M352" s="112">
        <v>45833.375</v>
      </c>
      <c r="N352" s="111">
        <v>45840.416666666657</v>
      </c>
      <c r="O352" s="111">
        <v>45861.541666666657</v>
      </c>
      <c r="P352" s="111"/>
      <c r="Q352" s="111"/>
      <c r="R352" s="111"/>
      <c r="S352" s="111"/>
      <c r="T352" s="111"/>
      <c r="U352" s="112"/>
      <c r="V352" s="113">
        <f t="shared" si="1"/>
        <v>45861.541666666657</v>
      </c>
      <c r="W352" s="114"/>
      <c r="X352" s="114"/>
      <c r="Y352" s="2"/>
    </row>
    <row r="353" spans="1:25" ht="15.75" customHeight="1">
      <c r="A353" s="116" t="s">
        <v>243</v>
      </c>
      <c r="B353" s="116" t="str">
        <f>IFERROR(VLOOKUP(A353&amp;"", STUDENTS!A:B, 2, 0), "")</f>
        <v>HUỲNH TRẦN HẢI LONG</v>
      </c>
      <c r="C353" s="117" t="s">
        <v>83</v>
      </c>
      <c r="D353" s="117" t="str">
        <f>IFERROR(VLOOKUP(C353, PIC!A:B, 2, 0), "")</f>
        <v>Anh Ha</v>
      </c>
      <c r="E353" s="118" t="s">
        <v>22</v>
      </c>
      <c r="F353" s="119" t="s">
        <v>815</v>
      </c>
      <c r="G353" s="120">
        <v>45889.416666666657</v>
      </c>
      <c r="H353" s="120">
        <v>45896.416666666657</v>
      </c>
      <c r="I353" s="119">
        <v>45903.416666666657</v>
      </c>
      <c r="J353" s="120">
        <v>45910.416666666657</v>
      </c>
      <c r="K353" s="119">
        <v>45924.458333333343</v>
      </c>
      <c r="L353" s="120" t="s">
        <v>815</v>
      </c>
      <c r="M353" s="120">
        <v>45938.458333333343</v>
      </c>
      <c r="N353" s="119">
        <v>45980.416666666657</v>
      </c>
      <c r="O353" s="119">
        <v>45987.416666666657</v>
      </c>
      <c r="P353" s="119">
        <v>45994.583333333343</v>
      </c>
      <c r="Q353" s="119">
        <v>46008.416666666657</v>
      </c>
      <c r="R353" s="119" t="s">
        <v>815</v>
      </c>
      <c r="S353" s="119" t="s">
        <v>815</v>
      </c>
      <c r="T353" s="119">
        <v>46050.416666666657</v>
      </c>
      <c r="U353" s="120">
        <v>46106.541666666657</v>
      </c>
      <c r="V353" s="121">
        <f t="shared" si="1"/>
        <v>46106.541666666657</v>
      </c>
      <c r="W353" s="122"/>
      <c r="X353" s="122"/>
      <c r="Y353" s="2"/>
    </row>
    <row r="354" spans="1:25" ht="15.75" customHeight="1">
      <c r="A354" s="108" t="s">
        <v>305</v>
      </c>
      <c r="B354" s="108" t="str">
        <f>IFERROR(VLOOKUP(A354&amp;"", STUDENTS!A:B, 2, 0), "")</f>
        <v>LÊ VĂN SƠN</v>
      </c>
      <c r="C354" s="109" t="s">
        <v>83</v>
      </c>
      <c r="D354" s="109" t="str">
        <f>IFERROR(VLOOKUP(C354, PIC!A:B, 2, 0), "")</f>
        <v>Anh Ha</v>
      </c>
      <c r="E354" s="110" t="s">
        <v>21</v>
      </c>
      <c r="F354" s="111">
        <v>45764.416666666657</v>
      </c>
      <c r="G354" s="112">
        <v>45784.583333333343</v>
      </c>
      <c r="H354" s="112">
        <v>45804.375</v>
      </c>
      <c r="I354" s="111">
        <v>45805.416666666657</v>
      </c>
      <c r="J354" s="112">
        <v>45812.458333333343</v>
      </c>
      <c r="K354" s="111">
        <v>45819.458333333343</v>
      </c>
      <c r="L354" s="112">
        <v>45827.416666666657</v>
      </c>
      <c r="M354" s="112">
        <v>45833.375</v>
      </c>
      <c r="N354" s="111">
        <v>45840.416666666657</v>
      </c>
      <c r="O354" s="111">
        <v>45861.541666666657</v>
      </c>
      <c r="P354" s="111"/>
      <c r="Q354" s="111"/>
      <c r="R354" s="111"/>
      <c r="S354" s="111"/>
      <c r="T354" s="111"/>
      <c r="U354" s="112"/>
      <c r="V354" s="113">
        <f t="shared" si="1"/>
        <v>45861.541666666657</v>
      </c>
      <c r="W354" s="114"/>
      <c r="X354" s="114"/>
      <c r="Y354" s="2"/>
    </row>
    <row r="355" spans="1:25" ht="15.75" customHeight="1">
      <c r="A355" s="116" t="s">
        <v>305</v>
      </c>
      <c r="B355" s="116" t="str">
        <f>IFERROR(VLOOKUP(A355&amp;"", STUDENTS!A:B, 2, 0), "")</f>
        <v>LÊ VĂN SƠN</v>
      </c>
      <c r="C355" s="117" t="s">
        <v>83</v>
      </c>
      <c r="D355" s="117" t="str">
        <f>IFERROR(VLOOKUP(C355, PIC!A:B, 2, 0), "")</f>
        <v>Anh Ha</v>
      </c>
      <c r="E355" s="118" t="s">
        <v>22</v>
      </c>
      <c r="F355" s="119">
        <v>45882.416666666657</v>
      </c>
      <c r="G355" s="120">
        <v>45889.416666666657</v>
      </c>
      <c r="H355" s="120">
        <v>45896.416666666657</v>
      </c>
      <c r="I355" s="119">
        <v>45903.416666666657</v>
      </c>
      <c r="J355" s="120">
        <v>45910.416666666657</v>
      </c>
      <c r="K355" s="119">
        <v>45924.458333333343</v>
      </c>
      <c r="L355" s="120">
        <v>45931.416666666657</v>
      </c>
      <c r="M355" s="120">
        <v>45938.458333333343</v>
      </c>
      <c r="N355" s="119">
        <v>45980.416666666657</v>
      </c>
      <c r="O355" s="119" t="s">
        <v>815</v>
      </c>
      <c r="P355" s="119">
        <v>45994.583333333343</v>
      </c>
      <c r="Q355" s="119">
        <v>46008.416666666657</v>
      </c>
      <c r="R355" s="119">
        <v>46036.416666666657</v>
      </c>
      <c r="S355" s="119">
        <v>46043.458333333343</v>
      </c>
      <c r="T355" s="119">
        <v>46050.416666666657</v>
      </c>
      <c r="U355" s="120">
        <v>46106.541666666657</v>
      </c>
      <c r="V355" s="121">
        <f t="shared" si="1"/>
        <v>46106.541666666657</v>
      </c>
      <c r="W355" s="122"/>
      <c r="X355" s="122"/>
      <c r="Y355" s="2"/>
    </row>
    <row r="356" spans="1:25" ht="15.75" customHeight="1">
      <c r="A356" s="108" t="s">
        <v>442</v>
      </c>
      <c r="B356" s="108" t="str">
        <f>IFERROR(VLOOKUP(A356&amp;"", STUDENTS!A:B, 2, 0), "")</f>
        <v>NGUYỄN TẤN PHÁT</v>
      </c>
      <c r="C356" s="109" t="s">
        <v>83</v>
      </c>
      <c r="D356" s="109" t="str">
        <f>IFERROR(VLOOKUP(C356, PIC!A:B, 2, 0), "")</f>
        <v>Anh Ha</v>
      </c>
      <c r="E356" s="110" t="s">
        <v>21</v>
      </c>
      <c r="F356" s="111">
        <v>45764.416666666657</v>
      </c>
      <c r="G356" s="112">
        <v>45784.583333333343</v>
      </c>
      <c r="H356" s="112">
        <v>45804.375</v>
      </c>
      <c r="I356" s="111">
        <v>45805.416666666657</v>
      </c>
      <c r="J356" s="112" t="s">
        <v>815</v>
      </c>
      <c r="K356" s="111">
        <v>45819.458333333343</v>
      </c>
      <c r="L356" s="112">
        <v>45827.416666666657</v>
      </c>
      <c r="M356" s="112">
        <v>45833.375</v>
      </c>
      <c r="N356" s="111">
        <v>45840.416666666657</v>
      </c>
      <c r="O356" s="111">
        <v>45861.541666666657</v>
      </c>
      <c r="P356" s="111"/>
      <c r="Q356" s="111"/>
      <c r="R356" s="111"/>
      <c r="S356" s="111"/>
      <c r="T356" s="111"/>
      <c r="U356" s="112"/>
      <c r="V356" s="113">
        <f t="shared" si="1"/>
        <v>45861.541666666657</v>
      </c>
      <c r="W356" s="114"/>
      <c r="X356" s="114"/>
      <c r="Y356" s="2"/>
    </row>
    <row r="357" spans="1:25" ht="15.75" customHeight="1">
      <c r="A357" s="116" t="s">
        <v>442</v>
      </c>
      <c r="B357" s="116" t="str">
        <f>IFERROR(VLOOKUP(A357&amp;"", STUDENTS!A:B, 2, 0), "")</f>
        <v>NGUYỄN TẤN PHÁT</v>
      </c>
      <c r="C357" s="117" t="s">
        <v>83</v>
      </c>
      <c r="D357" s="117" t="str">
        <f>IFERROR(VLOOKUP(C357, PIC!A:B, 2, 0), "")</f>
        <v>Anh Ha</v>
      </c>
      <c r="E357" s="118" t="s">
        <v>22</v>
      </c>
      <c r="F357" s="119">
        <v>45882.416666666657</v>
      </c>
      <c r="G357" s="120">
        <v>45889.416666666657</v>
      </c>
      <c r="H357" s="120">
        <v>45896.416666666657</v>
      </c>
      <c r="I357" s="119">
        <v>45903.416666666657</v>
      </c>
      <c r="J357" s="120">
        <v>45910.416666666657</v>
      </c>
      <c r="K357" s="119">
        <v>45924.458333333343</v>
      </c>
      <c r="L357" s="120">
        <v>45931.416666666657</v>
      </c>
      <c r="M357" s="120">
        <v>45938.458333333343</v>
      </c>
      <c r="N357" s="119">
        <v>45980.416666666657</v>
      </c>
      <c r="O357" s="119">
        <v>45987.416666666657</v>
      </c>
      <c r="P357" s="119">
        <v>45994.583333333343</v>
      </c>
      <c r="Q357" s="119">
        <v>46008.416666666657</v>
      </c>
      <c r="R357" s="119">
        <v>46036.416666666657</v>
      </c>
      <c r="S357" s="119">
        <v>46043.458333333343</v>
      </c>
      <c r="T357" s="119">
        <v>46050.416666666657</v>
      </c>
      <c r="U357" s="120">
        <v>46106.541666666657</v>
      </c>
      <c r="V357" s="121">
        <f t="shared" si="1"/>
        <v>46106.541666666657</v>
      </c>
      <c r="W357" s="122"/>
      <c r="X357" s="122"/>
      <c r="Y357" s="2"/>
    </row>
    <row r="358" spans="1:25" ht="15.75" customHeight="1">
      <c r="A358" s="108" t="s">
        <v>463</v>
      </c>
      <c r="B358" s="108" t="str">
        <f>IFERROR(VLOOKUP(A358&amp;"", STUDENTS!A:B, 2, 0), "")</f>
        <v>NGUYỄN THỊ HOÀNG OANH</v>
      </c>
      <c r="C358" s="109" t="s">
        <v>83</v>
      </c>
      <c r="D358" s="109" t="str">
        <f>IFERROR(VLOOKUP(C358, PIC!A:B, 2, 0), "")</f>
        <v>Anh Ha</v>
      </c>
      <c r="E358" s="110" t="s">
        <v>22</v>
      </c>
      <c r="F358" s="111">
        <v>45882.583333333343</v>
      </c>
      <c r="G358" s="112">
        <v>45889.541666666657</v>
      </c>
      <c r="H358" s="112">
        <v>45895.541666666657</v>
      </c>
      <c r="I358" s="111">
        <v>45903.541666666657</v>
      </c>
      <c r="J358" s="112">
        <v>45910.583333333343</v>
      </c>
      <c r="K358" s="111" t="s">
        <v>815</v>
      </c>
      <c r="L358" s="112">
        <v>45931.416666666657</v>
      </c>
      <c r="M358" s="112">
        <v>45938.458333333343</v>
      </c>
      <c r="N358" s="111">
        <v>45980.416666666657</v>
      </c>
      <c r="O358" s="111">
        <v>45987.416666666657</v>
      </c>
      <c r="P358" s="111">
        <v>45994.583333333343</v>
      </c>
      <c r="Q358" s="111">
        <v>46008.416666666657</v>
      </c>
      <c r="R358" s="111">
        <v>46036.416666666657</v>
      </c>
      <c r="S358" s="111">
        <v>46043.458333333343</v>
      </c>
      <c r="T358" s="111">
        <v>46050.416666666657</v>
      </c>
      <c r="U358" s="112" t="s">
        <v>815</v>
      </c>
      <c r="V358" s="113">
        <f t="shared" si="1"/>
        <v>46050.416666666657</v>
      </c>
      <c r="W358" s="114"/>
      <c r="X358" s="114"/>
      <c r="Y358" s="2"/>
    </row>
    <row r="359" spans="1:25" ht="15.75" customHeight="1">
      <c r="A359" s="116" t="s">
        <v>633</v>
      </c>
      <c r="B359" s="116" t="str">
        <f>IFERROR(VLOOKUP(A359&amp;"", STUDENTS!A:B, 2, 0), "")</f>
        <v>TRẦN QUANG ĐẠO</v>
      </c>
      <c r="C359" s="117" t="s">
        <v>83</v>
      </c>
      <c r="D359" s="117" t="str">
        <f>IFERROR(VLOOKUP(C359, PIC!A:B, 2, 0), "")</f>
        <v>Anh Ha</v>
      </c>
      <c r="E359" s="118" t="s">
        <v>21</v>
      </c>
      <c r="F359" s="119">
        <v>45764.416666666657</v>
      </c>
      <c r="G359" s="120" t="s">
        <v>815</v>
      </c>
      <c r="H359" s="120">
        <v>45804.375</v>
      </c>
      <c r="I359" s="119">
        <v>45805.416666666657</v>
      </c>
      <c r="J359" s="120">
        <v>45812.458333333343</v>
      </c>
      <c r="K359" s="119">
        <v>45819.458333333343</v>
      </c>
      <c r="L359" s="120">
        <v>45827.416666666657</v>
      </c>
      <c r="M359" s="120">
        <v>45833.375</v>
      </c>
      <c r="N359" s="119">
        <v>45840.416666666657</v>
      </c>
      <c r="O359" s="119">
        <v>45861.541666666657</v>
      </c>
      <c r="P359" s="119"/>
      <c r="Q359" s="119"/>
      <c r="R359" s="119"/>
      <c r="S359" s="119"/>
      <c r="T359" s="119"/>
      <c r="U359" s="120"/>
      <c r="V359" s="121">
        <f t="shared" si="1"/>
        <v>45861.541666666657</v>
      </c>
      <c r="W359" s="122"/>
      <c r="X359" s="122"/>
      <c r="Y359" s="2"/>
    </row>
    <row r="360" spans="1:25" ht="15.75" customHeight="1">
      <c r="A360" s="108" t="s">
        <v>633</v>
      </c>
      <c r="B360" s="108" t="str">
        <f>IFERROR(VLOOKUP(A360&amp;"", STUDENTS!A:B, 2, 0), "")</f>
        <v>TRẦN QUANG ĐẠO</v>
      </c>
      <c r="C360" s="109" t="s">
        <v>83</v>
      </c>
      <c r="D360" s="109" t="str">
        <f>IFERROR(VLOOKUP(C360, PIC!A:B, 2, 0), "")</f>
        <v>Anh Ha</v>
      </c>
      <c r="E360" s="110" t="s">
        <v>22</v>
      </c>
      <c r="F360" s="111">
        <v>45882.416666666657</v>
      </c>
      <c r="G360" s="112">
        <v>45889.416666666657</v>
      </c>
      <c r="H360" s="112" t="s">
        <v>815</v>
      </c>
      <c r="I360" s="111" t="s">
        <v>815</v>
      </c>
      <c r="J360" s="112">
        <v>45910.416666666657</v>
      </c>
      <c r="K360" s="111">
        <v>45924.458333333343</v>
      </c>
      <c r="L360" s="112">
        <v>45931.416666666657</v>
      </c>
      <c r="M360" s="112">
        <v>45938.458333333343</v>
      </c>
      <c r="N360" s="111">
        <v>45980.416666666657</v>
      </c>
      <c r="O360" s="111">
        <v>45987.416666666657</v>
      </c>
      <c r="P360" s="111">
        <v>45994.583333333343</v>
      </c>
      <c r="Q360" s="111">
        <v>46008.416666666657</v>
      </c>
      <c r="R360" s="111">
        <v>46036.416666666657</v>
      </c>
      <c r="S360" s="111" t="s">
        <v>815</v>
      </c>
      <c r="T360" s="111">
        <v>46050.416666666657</v>
      </c>
      <c r="U360" s="112">
        <v>46106.541666666657</v>
      </c>
      <c r="V360" s="113">
        <f t="shared" si="1"/>
        <v>46106.541666666657</v>
      </c>
      <c r="W360" s="114"/>
      <c r="X360" s="114"/>
      <c r="Y360" s="2"/>
    </row>
    <row r="361" spans="1:25" ht="15.75" customHeight="1">
      <c r="A361" s="116" t="s">
        <v>641</v>
      </c>
      <c r="B361" s="116" t="str">
        <f>IFERROR(VLOOKUP(A361&amp;"", STUDENTS!A:B, 2, 0), "")</f>
        <v>TRẦN THANH ĐIỀN</v>
      </c>
      <c r="C361" s="117" t="s">
        <v>83</v>
      </c>
      <c r="D361" s="117" t="str">
        <f>IFERROR(VLOOKUP(C361, PIC!A:B, 2, 0), "")</f>
        <v>Anh Ha</v>
      </c>
      <c r="E361" s="118" t="s">
        <v>21</v>
      </c>
      <c r="F361" s="119">
        <v>45764.416666666657</v>
      </c>
      <c r="G361" s="120">
        <v>45784.583333333343</v>
      </c>
      <c r="H361" s="120">
        <v>45804.375</v>
      </c>
      <c r="I361" s="119">
        <v>45805.416666666657</v>
      </c>
      <c r="J361" s="120" t="s">
        <v>815</v>
      </c>
      <c r="K361" s="119">
        <v>45819.458333333343</v>
      </c>
      <c r="L361" s="120">
        <v>45827.416666666657</v>
      </c>
      <c r="M361" s="120">
        <v>45833.375</v>
      </c>
      <c r="N361" s="119">
        <v>45840.416666666657</v>
      </c>
      <c r="O361" s="119">
        <v>45861.541666666657</v>
      </c>
      <c r="P361" s="119"/>
      <c r="Q361" s="119"/>
      <c r="R361" s="119"/>
      <c r="S361" s="119"/>
      <c r="T361" s="119"/>
      <c r="U361" s="120"/>
      <c r="V361" s="121">
        <f t="shared" si="1"/>
        <v>45861.541666666657</v>
      </c>
      <c r="W361" s="122"/>
      <c r="X361" s="122"/>
      <c r="Y361" s="2"/>
    </row>
    <row r="362" spans="1:25" ht="15.75" customHeight="1">
      <c r="A362" s="108" t="s">
        <v>641</v>
      </c>
      <c r="B362" s="108" t="str">
        <f>IFERROR(VLOOKUP(A362&amp;"", STUDENTS!A:B, 2, 0), "")</f>
        <v>TRẦN THANH ĐIỀN</v>
      </c>
      <c r="C362" s="109" t="s">
        <v>83</v>
      </c>
      <c r="D362" s="109" t="str">
        <f>IFERROR(VLOOKUP(C362, PIC!A:B, 2, 0), "")</f>
        <v>Anh Ha</v>
      </c>
      <c r="E362" s="110" t="s">
        <v>22</v>
      </c>
      <c r="F362" s="111">
        <v>45882.416666666657</v>
      </c>
      <c r="G362" s="112">
        <v>45889.416666666657</v>
      </c>
      <c r="H362" s="112">
        <v>45896.416666666657</v>
      </c>
      <c r="I362" s="111">
        <v>45903.416666666657</v>
      </c>
      <c r="J362" s="112">
        <v>45910.416666666657</v>
      </c>
      <c r="K362" s="111">
        <v>45924.458333333343</v>
      </c>
      <c r="L362" s="112">
        <v>45931.416666666657</v>
      </c>
      <c r="M362" s="112">
        <v>45938.458333333343</v>
      </c>
      <c r="N362" s="111">
        <v>45980.416666666657</v>
      </c>
      <c r="O362" s="111">
        <v>45987.416666666657</v>
      </c>
      <c r="P362" s="111">
        <v>45994.583333333343</v>
      </c>
      <c r="Q362" s="111">
        <v>46008.416666666657</v>
      </c>
      <c r="R362" s="111">
        <v>46036.416666666657</v>
      </c>
      <c r="S362" s="111">
        <v>46043.458333333343</v>
      </c>
      <c r="T362" s="111">
        <v>46050.416666666657</v>
      </c>
      <c r="U362" s="112">
        <v>46106.541666666657</v>
      </c>
      <c r="V362" s="113">
        <f t="shared" si="1"/>
        <v>46106.541666666657</v>
      </c>
      <c r="W362" s="114"/>
      <c r="X362" s="114"/>
      <c r="Y362" s="2"/>
    </row>
    <row r="363" spans="1:25" ht="15.75" customHeight="1">
      <c r="A363" s="116" t="s">
        <v>671</v>
      </c>
      <c r="B363" s="116" t="str">
        <f>IFERROR(VLOOKUP(A363&amp;"", STUDENTS!A:B, 2, 0), "")</f>
        <v>TRẦN XUÂN KHOA</v>
      </c>
      <c r="C363" s="117" t="s">
        <v>83</v>
      </c>
      <c r="D363" s="117" t="str">
        <f>IFERROR(VLOOKUP(C363, PIC!A:B, 2, 0), "")</f>
        <v>Anh Ha</v>
      </c>
      <c r="E363" s="118" t="s">
        <v>21</v>
      </c>
      <c r="F363" s="119">
        <v>45764.416666666657</v>
      </c>
      <c r="G363" s="120" t="s">
        <v>815</v>
      </c>
      <c r="H363" s="120">
        <v>45804.375</v>
      </c>
      <c r="I363" s="119">
        <v>45805.416666666657</v>
      </c>
      <c r="J363" s="120">
        <v>45812.458333333343</v>
      </c>
      <c r="K363" s="119">
        <v>45819.458333333343</v>
      </c>
      <c r="L363" s="120">
        <v>45827.416666666657</v>
      </c>
      <c r="M363" s="120">
        <v>45833.375</v>
      </c>
      <c r="N363" s="119">
        <v>45840.416666666657</v>
      </c>
      <c r="O363" s="119">
        <v>45861.541666666657</v>
      </c>
      <c r="P363" s="119"/>
      <c r="Q363" s="119"/>
      <c r="R363" s="119"/>
      <c r="S363" s="119"/>
      <c r="T363" s="119"/>
      <c r="U363" s="120"/>
      <c r="V363" s="121">
        <f t="shared" si="1"/>
        <v>45861.541666666657</v>
      </c>
      <c r="W363" s="122"/>
      <c r="X363" s="122"/>
      <c r="Y363" s="2"/>
    </row>
    <row r="364" spans="1:25" ht="15.75" customHeight="1">
      <c r="A364" s="108" t="s">
        <v>671</v>
      </c>
      <c r="B364" s="108" t="str">
        <f>IFERROR(VLOOKUP(A364&amp;"", STUDENTS!A:B, 2, 0), "")</f>
        <v>TRẦN XUÂN KHOA</v>
      </c>
      <c r="C364" s="109" t="s">
        <v>83</v>
      </c>
      <c r="D364" s="109" t="str">
        <f>IFERROR(VLOOKUP(C364, PIC!A:B, 2, 0), "")</f>
        <v>Anh Ha</v>
      </c>
      <c r="E364" s="110" t="s">
        <v>22</v>
      </c>
      <c r="F364" s="111">
        <v>45882.416666666657</v>
      </c>
      <c r="G364" s="112">
        <v>45889.416666666657</v>
      </c>
      <c r="H364" s="112">
        <v>45896.416666666657</v>
      </c>
      <c r="I364" s="111">
        <v>45903.416666666657</v>
      </c>
      <c r="J364" s="112">
        <v>45910.416666666657</v>
      </c>
      <c r="K364" s="111">
        <v>45924.458333333343</v>
      </c>
      <c r="L364" s="112">
        <v>45931.416666666657</v>
      </c>
      <c r="M364" s="112">
        <v>45938.458333333343</v>
      </c>
      <c r="N364" s="111">
        <v>45980.416666666657</v>
      </c>
      <c r="O364" s="111" t="s">
        <v>815</v>
      </c>
      <c r="P364" s="111">
        <v>45994.583333333343</v>
      </c>
      <c r="Q364" s="111">
        <v>46008.416666666657</v>
      </c>
      <c r="R364" s="111">
        <v>46036.416666666657</v>
      </c>
      <c r="S364" s="111">
        <v>46043.458333333343</v>
      </c>
      <c r="T364" s="111">
        <v>46050.416666666657</v>
      </c>
      <c r="U364" s="112">
        <v>46106.541666666657</v>
      </c>
      <c r="V364" s="113">
        <f t="shared" si="1"/>
        <v>46106.541666666657</v>
      </c>
      <c r="W364" s="114"/>
      <c r="X364" s="114"/>
      <c r="Y364" s="2"/>
    </row>
    <row r="365" spans="1:25" ht="15.75" customHeight="1">
      <c r="A365" s="116" t="s">
        <v>241</v>
      </c>
      <c r="B365" s="116" t="str">
        <f>IFERROR(VLOOKUP(A365&amp;"", STUDENTS!A:B, 2, 0), "")</f>
        <v>HUỲNH THỊ BẢO YẾN</v>
      </c>
      <c r="C365" s="117" t="s">
        <v>84</v>
      </c>
      <c r="D365" s="117" t="str">
        <f>IFERROR(VLOOKUP(C365, PIC!A:B, 2, 0), "")</f>
        <v>Thuong Tran</v>
      </c>
      <c r="E365" s="118" t="s">
        <v>21</v>
      </c>
      <c r="F365" s="119" t="s">
        <v>815</v>
      </c>
      <c r="G365" s="120">
        <v>45784.541666666657</v>
      </c>
      <c r="H365" s="120">
        <v>45791.541666666657</v>
      </c>
      <c r="I365" s="119">
        <v>45804.583333333343</v>
      </c>
      <c r="J365" s="120">
        <v>45812.583333333343</v>
      </c>
      <c r="K365" s="119">
        <v>45813.541666666657</v>
      </c>
      <c r="L365" s="120">
        <v>45818.541666666657</v>
      </c>
      <c r="M365" s="120">
        <v>45827.541666666657</v>
      </c>
      <c r="N365" s="119">
        <v>45833.541666666657</v>
      </c>
      <c r="O365" s="119">
        <v>45860.416666666657</v>
      </c>
      <c r="P365" s="119"/>
      <c r="Q365" s="119"/>
      <c r="R365" s="119"/>
      <c r="S365" s="119"/>
      <c r="T365" s="119"/>
      <c r="U365" s="120"/>
      <c r="V365" s="121">
        <f t="shared" si="1"/>
        <v>45860.416666666657</v>
      </c>
      <c r="W365" s="122"/>
      <c r="X365" s="122"/>
      <c r="Y365" s="2"/>
    </row>
    <row r="366" spans="1:25" ht="15.75" customHeight="1">
      <c r="A366" s="108" t="s">
        <v>253</v>
      </c>
      <c r="B366" s="108" t="str">
        <f>IFERROR(VLOOKUP(A366&amp;"", STUDENTS!A:B, 2, 0), "")</f>
        <v>LÂM THỊ YẾN NHI</v>
      </c>
      <c r="C366" s="109" t="s">
        <v>84</v>
      </c>
      <c r="D366" s="109" t="str">
        <f>IFERROR(VLOOKUP(C366, PIC!A:B, 2, 0), "")</f>
        <v>Thuong Tran</v>
      </c>
      <c r="E366" s="110" t="s">
        <v>24</v>
      </c>
      <c r="F366" s="111">
        <v>46091.541666666657</v>
      </c>
      <c r="G366" s="112">
        <v>46098.541666666657</v>
      </c>
      <c r="H366" s="112" t="s">
        <v>815</v>
      </c>
      <c r="I366" s="111">
        <v>46114.541666666657</v>
      </c>
      <c r="J366" s="112">
        <v>46119.541666666657</v>
      </c>
      <c r="K366" s="111">
        <v>46126.541666666657</v>
      </c>
      <c r="L366" s="112"/>
      <c r="M366" s="112"/>
      <c r="N366" s="111"/>
      <c r="O366" s="111"/>
      <c r="P366" s="111"/>
      <c r="Q366" s="111"/>
      <c r="R366" s="111"/>
      <c r="S366" s="111"/>
      <c r="T366" s="111"/>
      <c r="U366" s="112"/>
      <c r="V366" s="113">
        <f t="shared" si="1"/>
        <v>46126.541666666657</v>
      </c>
      <c r="W366" s="114"/>
      <c r="X366" s="114"/>
      <c r="Y366" s="2"/>
    </row>
    <row r="367" spans="1:25" ht="15.75" customHeight="1">
      <c r="A367" s="116" t="s">
        <v>253</v>
      </c>
      <c r="B367" s="116" t="str">
        <f>IFERROR(VLOOKUP(A367&amp;"", STUDENTS!A:B, 2, 0), "")</f>
        <v>LÂM THỊ YẾN NHI</v>
      </c>
      <c r="C367" s="117" t="s">
        <v>84</v>
      </c>
      <c r="D367" s="117" t="str">
        <f>IFERROR(VLOOKUP(C367, PIC!A:B, 2, 0), "")</f>
        <v>Thuong Tran</v>
      </c>
      <c r="E367" s="118" t="s">
        <v>21</v>
      </c>
      <c r="F367" s="119">
        <v>45764.583333333343</v>
      </c>
      <c r="G367" s="120">
        <v>45784.541666666657</v>
      </c>
      <c r="H367" s="120">
        <v>45791.541666666657</v>
      </c>
      <c r="I367" s="119">
        <v>45804.583333333343</v>
      </c>
      <c r="J367" s="120">
        <v>45812.583333333343</v>
      </c>
      <c r="K367" s="119">
        <v>45813.541666666657</v>
      </c>
      <c r="L367" s="120">
        <v>45818.541666666657</v>
      </c>
      <c r="M367" s="120">
        <v>45827.541666666657</v>
      </c>
      <c r="N367" s="119">
        <v>45833.541666666657</v>
      </c>
      <c r="O367" s="119">
        <v>45860.416666666657</v>
      </c>
      <c r="P367" s="119"/>
      <c r="Q367" s="119"/>
      <c r="R367" s="119"/>
      <c r="S367" s="119"/>
      <c r="T367" s="119"/>
      <c r="U367" s="120"/>
      <c r="V367" s="121">
        <f t="shared" si="1"/>
        <v>45860.416666666657</v>
      </c>
      <c r="W367" s="122"/>
      <c r="X367" s="122"/>
      <c r="Y367" s="2"/>
    </row>
    <row r="368" spans="1:25" ht="15.75" customHeight="1">
      <c r="A368" s="108" t="s">
        <v>253</v>
      </c>
      <c r="B368" s="108" t="str">
        <f>IFERROR(VLOOKUP(A368&amp;"", STUDENTS!A:B, 2, 0), "")</f>
        <v>LÂM THỊ YẾN NHI</v>
      </c>
      <c r="C368" s="109" t="s">
        <v>84</v>
      </c>
      <c r="D368" s="109" t="str">
        <f>IFERROR(VLOOKUP(C368, PIC!A:B, 2, 0), "")</f>
        <v>Thuong Tran</v>
      </c>
      <c r="E368" s="110" t="s">
        <v>22</v>
      </c>
      <c r="F368" s="111" t="s">
        <v>815</v>
      </c>
      <c r="G368" s="112">
        <v>45889.541666666657</v>
      </c>
      <c r="H368" s="112">
        <v>45895.541666666657</v>
      </c>
      <c r="I368" s="111">
        <v>45903.541666666657</v>
      </c>
      <c r="J368" s="112">
        <v>45910.583333333343</v>
      </c>
      <c r="K368" s="111">
        <v>45917.541666666657</v>
      </c>
      <c r="L368" s="112">
        <v>45924.583333333343</v>
      </c>
      <c r="M368" s="112">
        <v>45940.583333333343</v>
      </c>
      <c r="N368" s="111" t="s">
        <v>815</v>
      </c>
      <c r="O368" s="111">
        <v>45954.541666666657</v>
      </c>
      <c r="P368" s="111">
        <v>45961.541666666657</v>
      </c>
      <c r="Q368" s="111">
        <v>45965.541666666657</v>
      </c>
      <c r="R368" s="111">
        <v>45974.541666666657</v>
      </c>
      <c r="S368" s="111">
        <v>45980.541666666657</v>
      </c>
      <c r="T368" s="111">
        <v>45987.541666666657</v>
      </c>
      <c r="U368" s="112">
        <v>46045.541666666657</v>
      </c>
      <c r="V368" s="113">
        <f t="shared" si="1"/>
        <v>46045.541666666657</v>
      </c>
      <c r="W368" s="114"/>
      <c r="X368" s="114"/>
      <c r="Y368" s="2"/>
    </row>
    <row r="369" spans="1:25" ht="15.75" customHeight="1">
      <c r="A369" s="116" t="s">
        <v>447</v>
      </c>
      <c r="B369" s="116" t="str">
        <f>IFERROR(VLOOKUP(A369&amp;"", STUDENTS!A:B, 2, 0), "")</f>
        <v>NGUYỄN THÁI SƠN</v>
      </c>
      <c r="C369" s="117" t="s">
        <v>84</v>
      </c>
      <c r="D369" s="117" t="str">
        <f>IFERROR(VLOOKUP(C369, PIC!A:B, 2, 0), "")</f>
        <v>Thuong Tran</v>
      </c>
      <c r="E369" s="118" t="s">
        <v>24</v>
      </c>
      <c r="F369" s="119">
        <v>46091.541666666657</v>
      </c>
      <c r="G369" s="120">
        <v>46098.541666666657</v>
      </c>
      <c r="H369" s="120" t="s">
        <v>815</v>
      </c>
      <c r="I369" s="119">
        <v>46114.541666666657</v>
      </c>
      <c r="J369" s="120" t="s">
        <v>815</v>
      </c>
      <c r="K369" s="119">
        <v>46126.541666666657</v>
      </c>
      <c r="L369" s="120"/>
      <c r="M369" s="120"/>
      <c r="N369" s="119"/>
      <c r="O369" s="119"/>
      <c r="P369" s="119"/>
      <c r="Q369" s="119"/>
      <c r="R369" s="119"/>
      <c r="S369" s="119"/>
      <c r="T369" s="119"/>
      <c r="U369" s="120"/>
      <c r="V369" s="121">
        <f t="shared" si="1"/>
        <v>46126.541666666657</v>
      </c>
      <c r="W369" s="122"/>
      <c r="X369" s="122"/>
      <c r="Y369" s="2"/>
    </row>
    <row r="370" spans="1:25" ht="15.75" customHeight="1">
      <c r="A370" s="108" t="s">
        <v>447</v>
      </c>
      <c r="B370" s="108" t="str">
        <f>IFERROR(VLOOKUP(A370&amp;"", STUDENTS!A:B, 2, 0), "")</f>
        <v>NGUYỄN THÁI SƠN</v>
      </c>
      <c r="C370" s="109" t="s">
        <v>84</v>
      </c>
      <c r="D370" s="109" t="str">
        <f>IFERROR(VLOOKUP(C370, PIC!A:B, 2, 0), "")</f>
        <v>Thuong Tran</v>
      </c>
      <c r="E370" s="110" t="s">
        <v>21</v>
      </c>
      <c r="F370" s="111">
        <v>45764.583333333343</v>
      </c>
      <c r="G370" s="112" t="s">
        <v>815</v>
      </c>
      <c r="H370" s="112">
        <v>45791.541666666657</v>
      </c>
      <c r="I370" s="111">
        <v>45804.583333333343</v>
      </c>
      <c r="J370" s="112">
        <v>45812.583333333343</v>
      </c>
      <c r="K370" s="111">
        <v>45813.541666666657</v>
      </c>
      <c r="L370" s="112">
        <v>45818.541666666657</v>
      </c>
      <c r="M370" s="112">
        <v>45827.541666666657</v>
      </c>
      <c r="N370" s="111">
        <v>45833.541666666657</v>
      </c>
      <c r="O370" s="111">
        <v>45860.416666666657</v>
      </c>
      <c r="P370" s="111"/>
      <c r="Q370" s="111"/>
      <c r="R370" s="111"/>
      <c r="S370" s="111"/>
      <c r="T370" s="111"/>
      <c r="U370" s="112"/>
      <c r="V370" s="113">
        <f t="shared" si="1"/>
        <v>45860.416666666657</v>
      </c>
      <c r="W370" s="114"/>
      <c r="X370" s="114"/>
      <c r="Y370" s="2"/>
    </row>
    <row r="371" spans="1:25" ht="15.75" customHeight="1">
      <c r="A371" s="116" t="s">
        <v>447</v>
      </c>
      <c r="B371" s="116" t="str">
        <f>IFERROR(VLOOKUP(A371&amp;"", STUDENTS!A:B, 2, 0), "")</f>
        <v>NGUYỄN THÁI SƠN</v>
      </c>
      <c r="C371" s="117" t="s">
        <v>84</v>
      </c>
      <c r="D371" s="117" t="str">
        <f>IFERROR(VLOOKUP(C371, PIC!A:B, 2, 0), "")</f>
        <v>Thuong Tran</v>
      </c>
      <c r="E371" s="118" t="s">
        <v>22</v>
      </c>
      <c r="F371" s="119">
        <v>45882.583333333343</v>
      </c>
      <c r="G371" s="120">
        <v>45889.541666666657</v>
      </c>
      <c r="H371" s="120">
        <v>45895.541666666657</v>
      </c>
      <c r="I371" s="119">
        <v>45903.541666666657</v>
      </c>
      <c r="J371" s="120" t="s">
        <v>815</v>
      </c>
      <c r="K371" s="119">
        <v>45917.541666666657</v>
      </c>
      <c r="L371" s="120">
        <v>45924.583333333343</v>
      </c>
      <c r="M371" s="120">
        <v>45940.583333333343</v>
      </c>
      <c r="N371" s="119">
        <v>45943.583333333343</v>
      </c>
      <c r="O371" s="119">
        <v>45954.541666666657</v>
      </c>
      <c r="P371" s="119">
        <v>45961.541666666657</v>
      </c>
      <c r="Q371" s="119">
        <v>45965.541666666657</v>
      </c>
      <c r="R371" s="119">
        <v>45974.541666666657</v>
      </c>
      <c r="S371" s="119" t="s">
        <v>815</v>
      </c>
      <c r="T371" s="119">
        <v>45987.541666666657</v>
      </c>
      <c r="U371" s="120">
        <v>46045.541666666657</v>
      </c>
      <c r="V371" s="121">
        <f t="shared" si="1"/>
        <v>46045.541666666657</v>
      </c>
      <c r="W371" s="122"/>
      <c r="X371" s="122"/>
      <c r="Y371" s="2"/>
    </row>
    <row r="372" spans="1:25" ht="15.75" customHeight="1">
      <c r="A372" s="108" t="s">
        <v>463</v>
      </c>
      <c r="B372" s="108" t="str">
        <f>IFERROR(VLOOKUP(A372&amp;"", STUDENTS!A:B, 2, 0), "")</f>
        <v>NGUYỄN THỊ HOÀNG OANH</v>
      </c>
      <c r="C372" s="109" t="s">
        <v>84</v>
      </c>
      <c r="D372" s="109" t="str">
        <f>IFERROR(VLOOKUP(C372, PIC!A:B, 2, 0), "")</f>
        <v>Thuong Tran</v>
      </c>
      <c r="E372" s="110" t="s">
        <v>21</v>
      </c>
      <c r="F372" s="111">
        <v>45764.583333333343</v>
      </c>
      <c r="G372" s="112">
        <v>45784.541666666657</v>
      </c>
      <c r="H372" s="112">
        <v>45791.541666666657</v>
      </c>
      <c r="I372" s="111">
        <v>45804.583333333343</v>
      </c>
      <c r="J372" s="112">
        <v>45812.583333333343</v>
      </c>
      <c r="K372" s="111">
        <v>45813.541666666657</v>
      </c>
      <c r="L372" s="112">
        <v>45818.541666666657</v>
      </c>
      <c r="M372" s="112">
        <v>45827.541666666657</v>
      </c>
      <c r="N372" s="111">
        <v>45833.541666666657</v>
      </c>
      <c r="O372" s="111">
        <v>45860.416666666657</v>
      </c>
      <c r="P372" s="111"/>
      <c r="Q372" s="111"/>
      <c r="R372" s="111"/>
      <c r="S372" s="111"/>
      <c r="T372" s="111"/>
      <c r="U372" s="112"/>
      <c r="V372" s="113">
        <f t="shared" si="1"/>
        <v>45860.416666666657</v>
      </c>
      <c r="W372" s="114"/>
      <c r="X372" s="114"/>
      <c r="Y372" s="2"/>
    </row>
    <row r="373" spans="1:25" ht="15.75" customHeight="1">
      <c r="A373" s="116" t="s">
        <v>472</v>
      </c>
      <c r="B373" s="116" t="str">
        <f>IFERROR(VLOOKUP(A373&amp;"", STUDENTS!A:B, 2, 0), "")</f>
        <v>NGUYỄN THỊ LOAN</v>
      </c>
      <c r="C373" s="117" t="s">
        <v>84</v>
      </c>
      <c r="D373" s="117" t="str">
        <f>IFERROR(VLOOKUP(C373, PIC!A:B, 2, 0), "")</f>
        <v>Thuong Tran</v>
      </c>
      <c r="E373" s="118" t="s">
        <v>21</v>
      </c>
      <c r="F373" s="119">
        <v>45764.583333333343</v>
      </c>
      <c r="G373" s="120">
        <v>45784.541666666657</v>
      </c>
      <c r="H373" s="120" t="s">
        <v>815</v>
      </c>
      <c r="I373" s="119">
        <v>45804.583333333343</v>
      </c>
      <c r="J373" s="120">
        <v>45812.583333333343</v>
      </c>
      <c r="K373" s="119">
        <v>45813.541666666657</v>
      </c>
      <c r="L373" s="120">
        <v>45818.541666666657</v>
      </c>
      <c r="M373" s="120">
        <v>45827.541666666657</v>
      </c>
      <c r="N373" s="119" t="s">
        <v>815</v>
      </c>
      <c r="O373" s="119" t="s">
        <v>815</v>
      </c>
      <c r="P373" s="119"/>
      <c r="Q373" s="119"/>
      <c r="R373" s="119"/>
      <c r="S373" s="119"/>
      <c r="T373" s="119"/>
      <c r="U373" s="120"/>
      <c r="V373" s="121">
        <f t="shared" si="1"/>
        <v>45827.541666666657</v>
      </c>
      <c r="W373" s="122"/>
      <c r="X373" s="122"/>
      <c r="Y373" s="2"/>
    </row>
    <row r="374" spans="1:25" ht="15.75" customHeight="1">
      <c r="A374" s="108" t="s">
        <v>486</v>
      </c>
      <c r="B374" s="108" t="str">
        <f>IFERROR(VLOOKUP(A374&amp;"", STUDENTS!A:B, 2, 0), "")</f>
        <v>NGUYỄN TRẦN HOÀI MỸ</v>
      </c>
      <c r="C374" s="109" t="s">
        <v>84</v>
      </c>
      <c r="D374" s="109" t="str">
        <f>IFERROR(VLOOKUP(C374, PIC!A:B, 2, 0), "")</f>
        <v>Thuong Tran</v>
      </c>
      <c r="E374" s="110" t="s">
        <v>24</v>
      </c>
      <c r="F374" s="111">
        <v>46091.541666666657</v>
      </c>
      <c r="G374" s="112">
        <v>46098.541666666657</v>
      </c>
      <c r="H374" s="112">
        <v>46105.541666666657</v>
      </c>
      <c r="I374" s="111" t="s">
        <v>815</v>
      </c>
      <c r="J374" s="112">
        <v>46119.541666666657</v>
      </c>
      <c r="K374" s="111">
        <v>46126.541666666657</v>
      </c>
      <c r="L374" s="112"/>
      <c r="M374" s="112"/>
      <c r="N374" s="111"/>
      <c r="O374" s="111"/>
      <c r="P374" s="111"/>
      <c r="Q374" s="111"/>
      <c r="R374" s="111"/>
      <c r="S374" s="111"/>
      <c r="T374" s="111"/>
      <c r="U374" s="112"/>
      <c r="V374" s="113">
        <f t="shared" si="1"/>
        <v>46126.541666666657</v>
      </c>
      <c r="W374" s="114"/>
      <c r="X374" s="114"/>
      <c r="Y374" s="2"/>
    </row>
    <row r="375" spans="1:25" ht="15.75" customHeight="1">
      <c r="A375" s="116" t="s">
        <v>486</v>
      </c>
      <c r="B375" s="116" t="str">
        <f>IFERROR(VLOOKUP(A375&amp;"", STUDENTS!A:B, 2, 0), "")</f>
        <v>NGUYỄN TRẦN HOÀI MỸ</v>
      </c>
      <c r="C375" s="117" t="s">
        <v>84</v>
      </c>
      <c r="D375" s="117" t="str">
        <f>IFERROR(VLOOKUP(C375, PIC!A:B, 2, 0), "")</f>
        <v>Thuong Tran</v>
      </c>
      <c r="E375" s="118" t="s">
        <v>21</v>
      </c>
      <c r="F375" s="119">
        <v>45764.583333333343</v>
      </c>
      <c r="G375" s="120">
        <v>45784.541666666657</v>
      </c>
      <c r="H375" s="120">
        <v>45791.541666666657</v>
      </c>
      <c r="I375" s="119">
        <v>45804.583333333343</v>
      </c>
      <c r="J375" s="120">
        <v>45812.583333333343</v>
      </c>
      <c r="K375" s="119">
        <v>45813.541666666657</v>
      </c>
      <c r="L375" s="120">
        <v>45818.541666666657</v>
      </c>
      <c r="M375" s="120">
        <v>45827.541666666657</v>
      </c>
      <c r="N375" s="119">
        <v>45833.541666666657</v>
      </c>
      <c r="O375" s="119">
        <v>45860.416666666657</v>
      </c>
      <c r="P375" s="119"/>
      <c r="Q375" s="119"/>
      <c r="R375" s="119"/>
      <c r="S375" s="119"/>
      <c r="T375" s="119"/>
      <c r="U375" s="120"/>
      <c r="V375" s="121">
        <f t="shared" si="1"/>
        <v>45860.416666666657</v>
      </c>
      <c r="W375" s="122"/>
      <c r="X375" s="122"/>
      <c r="Y375" s="2"/>
    </row>
    <row r="376" spans="1:25" ht="15.75" customHeight="1">
      <c r="A376" s="108" t="s">
        <v>486</v>
      </c>
      <c r="B376" s="108" t="str">
        <f>IFERROR(VLOOKUP(A376&amp;"", STUDENTS!A:B, 2, 0), "")</f>
        <v>NGUYỄN TRẦN HOÀI MỸ</v>
      </c>
      <c r="C376" s="109" t="s">
        <v>84</v>
      </c>
      <c r="D376" s="109" t="str">
        <f>IFERROR(VLOOKUP(C376, PIC!A:B, 2, 0), "")</f>
        <v>Thuong Tran</v>
      </c>
      <c r="E376" s="110" t="s">
        <v>22</v>
      </c>
      <c r="F376" s="111">
        <v>45882.583333333343</v>
      </c>
      <c r="G376" s="112">
        <v>45889.541666666657</v>
      </c>
      <c r="H376" s="112">
        <v>45895.541666666657</v>
      </c>
      <c r="I376" s="111">
        <v>45903.541666666657</v>
      </c>
      <c r="J376" s="112">
        <v>45910.583333333343</v>
      </c>
      <c r="K376" s="111" t="s">
        <v>815</v>
      </c>
      <c r="L376" s="112">
        <v>45924.583333333343</v>
      </c>
      <c r="M376" s="112">
        <v>45940.583333333343</v>
      </c>
      <c r="N376" s="111" t="s">
        <v>815</v>
      </c>
      <c r="O376" s="111">
        <v>45954.541666666657</v>
      </c>
      <c r="P376" s="111">
        <v>45961.541666666657</v>
      </c>
      <c r="Q376" s="111">
        <v>45965.541666666657</v>
      </c>
      <c r="R376" s="111">
        <v>45974.541666666657</v>
      </c>
      <c r="S376" s="111">
        <v>45980.541666666657</v>
      </c>
      <c r="T376" s="111">
        <v>45987.541666666657</v>
      </c>
      <c r="U376" s="112">
        <v>46045.541666666657</v>
      </c>
      <c r="V376" s="113">
        <f t="shared" si="1"/>
        <v>46045.541666666657</v>
      </c>
      <c r="W376" s="114"/>
      <c r="X376" s="114"/>
      <c r="Y376" s="2"/>
    </row>
    <row r="377" spans="1:25" ht="15.75" customHeight="1">
      <c r="A377" s="116" t="s">
        <v>508</v>
      </c>
      <c r="B377" s="116" t="str">
        <f>IFERROR(VLOOKUP(A377&amp;"", STUDENTS!A:B, 2, 0), "")</f>
        <v>NGUYỄN VĂN HÙNG</v>
      </c>
      <c r="C377" s="117" t="s">
        <v>84</v>
      </c>
      <c r="D377" s="117" t="str">
        <f>IFERROR(VLOOKUP(C377, PIC!A:B, 2, 0), "")</f>
        <v>Thuong Tran</v>
      </c>
      <c r="E377" s="118" t="s">
        <v>24</v>
      </c>
      <c r="F377" s="119">
        <v>46091.541666666657</v>
      </c>
      <c r="G377" s="120">
        <v>46098.541666666657</v>
      </c>
      <c r="H377" s="120">
        <v>46105.541666666657</v>
      </c>
      <c r="I377" s="119" t="s">
        <v>815</v>
      </c>
      <c r="J377" s="120">
        <v>46119.541666666657</v>
      </c>
      <c r="K377" s="119" t="s">
        <v>815</v>
      </c>
      <c r="L377" s="120"/>
      <c r="M377" s="120"/>
      <c r="N377" s="119"/>
      <c r="O377" s="119"/>
      <c r="P377" s="119"/>
      <c r="Q377" s="119"/>
      <c r="R377" s="119"/>
      <c r="S377" s="119"/>
      <c r="T377" s="119"/>
      <c r="U377" s="120"/>
      <c r="V377" s="121">
        <f t="shared" si="1"/>
        <v>46119.541666666657</v>
      </c>
      <c r="W377" s="122"/>
      <c r="X377" s="122"/>
      <c r="Y377" s="2"/>
    </row>
    <row r="378" spans="1:25" ht="15.75" customHeight="1">
      <c r="A378" s="108" t="s">
        <v>508</v>
      </c>
      <c r="B378" s="108" t="str">
        <f>IFERROR(VLOOKUP(A378&amp;"", STUDENTS!A:B, 2, 0), "")</f>
        <v>NGUYỄN VĂN HÙNG</v>
      </c>
      <c r="C378" s="109" t="s">
        <v>84</v>
      </c>
      <c r="D378" s="109" t="str">
        <f>IFERROR(VLOOKUP(C378, PIC!A:B, 2, 0), "")</f>
        <v>Thuong Tran</v>
      </c>
      <c r="E378" s="110" t="s">
        <v>21</v>
      </c>
      <c r="F378" s="111">
        <v>45764.583333333343</v>
      </c>
      <c r="G378" s="112">
        <v>45784.541666666657</v>
      </c>
      <c r="H378" s="112">
        <v>45791.541666666657</v>
      </c>
      <c r="I378" s="111">
        <v>45804.583333333343</v>
      </c>
      <c r="J378" s="112"/>
      <c r="K378" s="111" t="s">
        <v>815</v>
      </c>
      <c r="L378" s="112">
        <v>45818.541666666657</v>
      </c>
      <c r="M378" s="112">
        <v>45827.541666666657</v>
      </c>
      <c r="N378" s="111">
        <v>45833.541666666657</v>
      </c>
      <c r="O378" s="111">
        <v>45860.416666666657</v>
      </c>
      <c r="P378" s="111"/>
      <c r="Q378" s="111"/>
      <c r="R378" s="111"/>
      <c r="S378" s="111"/>
      <c r="T378" s="111"/>
      <c r="U378" s="112"/>
      <c r="V378" s="113">
        <f t="shared" si="1"/>
        <v>45860.416666666657</v>
      </c>
      <c r="W378" s="114"/>
      <c r="X378" s="114"/>
      <c r="Y378" s="2"/>
    </row>
    <row r="379" spans="1:25" ht="15.75" customHeight="1">
      <c r="A379" s="116" t="s">
        <v>508</v>
      </c>
      <c r="B379" s="116" t="str">
        <f>IFERROR(VLOOKUP(A379&amp;"", STUDENTS!A:B, 2, 0), "")</f>
        <v>NGUYỄN VĂN HÙNG</v>
      </c>
      <c r="C379" s="117" t="s">
        <v>84</v>
      </c>
      <c r="D379" s="117" t="str">
        <f>IFERROR(VLOOKUP(C379, PIC!A:B, 2, 0), "")</f>
        <v>Thuong Tran</v>
      </c>
      <c r="E379" s="118" t="s">
        <v>22</v>
      </c>
      <c r="F379" s="119">
        <v>45882.583333333343</v>
      </c>
      <c r="G379" s="120">
        <v>45889.541666666657</v>
      </c>
      <c r="H379" s="120">
        <v>45895.541666666657</v>
      </c>
      <c r="I379" s="119" t="s">
        <v>815</v>
      </c>
      <c r="J379" s="120">
        <v>45910.583333333343</v>
      </c>
      <c r="K379" s="119">
        <v>45917.541666666657</v>
      </c>
      <c r="L379" s="120">
        <v>45924.583333333343</v>
      </c>
      <c r="M379" s="120">
        <v>45940.583333333343</v>
      </c>
      <c r="N379" s="119">
        <v>45943.583333333343</v>
      </c>
      <c r="O379" s="119">
        <v>45954.541666666657</v>
      </c>
      <c r="P379" s="119">
        <v>45961.541666666657</v>
      </c>
      <c r="Q379" s="119">
        <v>45965.541666666657</v>
      </c>
      <c r="R379" s="119">
        <v>45974.541666666657</v>
      </c>
      <c r="S379" s="119">
        <v>45980.541666666657</v>
      </c>
      <c r="T379" s="119">
        <v>45987.541666666657</v>
      </c>
      <c r="U379" s="120">
        <v>46045.541666666657</v>
      </c>
      <c r="V379" s="121">
        <f t="shared" si="1"/>
        <v>46045.541666666657</v>
      </c>
      <c r="W379" s="122"/>
      <c r="X379" s="122"/>
      <c r="Y379" s="2"/>
    </row>
    <row r="380" spans="1:25" ht="15.75" customHeight="1">
      <c r="A380" s="108" t="s">
        <v>597</v>
      </c>
      <c r="B380" s="108" t="str">
        <f>IFERROR(VLOOKUP(A380&amp;"", STUDENTS!A:B, 2, 0), "")</f>
        <v>TÔN THÀNH AN</v>
      </c>
      <c r="C380" s="109" t="s">
        <v>84</v>
      </c>
      <c r="D380" s="109" t="str">
        <f>IFERROR(VLOOKUP(C380, PIC!A:B, 2, 0), "")</f>
        <v>Thuong Tran</v>
      </c>
      <c r="E380" s="110" t="s">
        <v>24</v>
      </c>
      <c r="F380" s="111">
        <v>46091.541666666657</v>
      </c>
      <c r="G380" s="112">
        <v>46098.541666666657</v>
      </c>
      <c r="H380" s="112">
        <v>46105.541666666657</v>
      </c>
      <c r="I380" s="111">
        <v>46114.541666666657</v>
      </c>
      <c r="J380" s="112">
        <v>46119.541666666657</v>
      </c>
      <c r="K380" s="111">
        <v>46126.541666666657</v>
      </c>
      <c r="L380" s="112"/>
      <c r="M380" s="112"/>
      <c r="N380" s="111"/>
      <c r="O380" s="111"/>
      <c r="P380" s="111"/>
      <c r="Q380" s="111"/>
      <c r="R380" s="111"/>
      <c r="S380" s="111"/>
      <c r="T380" s="111"/>
      <c r="U380" s="112"/>
      <c r="V380" s="113">
        <f t="shared" si="1"/>
        <v>46126.541666666657</v>
      </c>
      <c r="W380" s="114"/>
      <c r="X380" s="114"/>
      <c r="Y380" s="2"/>
    </row>
    <row r="381" spans="1:25" ht="15.75" customHeight="1">
      <c r="A381" s="116" t="s">
        <v>597</v>
      </c>
      <c r="B381" s="116" t="str">
        <f>IFERROR(VLOOKUP(A381&amp;"", STUDENTS!A:B, 2, 0), "")</f>
        <v>TÔN THÀNH AN</v>
      </c>
      <c r="C381" s="117" t="s">
        <v>84</v>
      </c>
      <c r="D381" s="117" t="str">
        <f>IFERROR(VLOOKUP(C381, PIC!A:B, 2, 0), "")</f>
        <v>Thuong Tran</v>
      </c>
      <c r="E381" s="118" t="s">
        <v>21</v>
      </c>
      <c r="F381" s="119">
        <v>45764.583333333343</v>
      </c>
      <c r="G381" s="120">
        <v>45784.541666666657</v>
      </c>
      <c r="H381" s="120">
        <v>45791.541666666657</v>
      </c>
      <c r="I381" s="119">
        <v>45804.583333333343</v>
      </c>
      <c r="J381" s="120">
        <v>45812.583333333343</v>
      </c>
      <c r="K381" s="119">
        <v>45813.541666666657</v>
      </c>
      <c r="L381" s="120">
        <v>45818.541666666657</v>
      </c>
      <c r="M381" s="120">
        <v>45827.541666666657</v>
      </c>
      <c r="N381" s="119">
        <v>45833.541666666657</v>
      </c>
      <c r="O381" s="119">
        <v>45860.416666666657</v>
      </c>
      <c r="P381" s="119"/>
      <c r="Q381" s="119"/>
      <c r="R381" s="119"/>
      <c r="S381" s="119"/>
      <c r="T381" s="119"/>
      <c r="U381" s="120"/>
      <c r="V381" s="121">
        <f t="shared" si="1"/>
        <v>45860.416666666657</v>
      </c>
      <c r="W381" s="122"/>
      <c r="X381" s="122"/>
      <c r="Y381" s="2"/>
    </row>
    <row r="382" spans="1:25" ht="15.75" customHeight="1">
      <c r="A382" s="108" t="s">
        <v>597</v>
      </c>
      <c r="B382" s="108" t="str">
        <f>IFERROR(VLOOKUP(A382&amp;"", STUDENTS!A:B, 2, 0), "")</f>
        <v>TÔN THÀNH AN</v>
      </c>
      <c r="C382" s="109" t="s">
        <v>84</v>
      </c>
      <c r="D382" s="109" t="str">
        <f>IFERROR(VLOOKUP(C382, PIC!A:B, 2, 0), "")</f>
        <v>Thuong Tran</v>
      </c>
      <c r="E382" s="110" t="s">
        <v>22</v>
      </c>
      <c r="F382" s="111">
        <v>45882.583333333343</v>
      </c>
      <c r="G382" s="112">
        <v>45889.541666666657</v>
      </c>
      <c r="H382" s="112">
        <v>45895.541666666657</v>
      </c>
      <c r="I382" s="111">
        <v>45903.541666666657</v>
      </c>
      <c r="J382" s="112">
        <v>45910.583333333343</v>
      </c>
      <c r="K382" s="111">
        <v>45917.541666666657</v>
      </c>
      <c r="L382" s="112">
        <v>45924.583333333343</v>
      </c>
      <c r="M382" s="112">
        <v>45940.583333333343</v>
      </c>
      <c r="N382" s="111">
        <v>45943.583333333343</v>
      </c>
      <c r="O382" s="111">
        <v>45954.541666666657</v>
      </c>
      <c r="P382" s="111">
        <v>45961.541666666657</v>
      </c>
      <c r="Q382" s="111">
        <v>45965.541666666657</v>
      </c>
      <c r="R382" s="111">
        <v>45974.541666666657</v>
      </c>
      <c r="S382" s="111">
        <v>45980.541666666657</v>
      </c>
      <c r="T382" s="111">
        <v>45987.541666666657</v>
      </c>
      <c r="U382" s="112">
        <v>46045.541666666657</v>
      </c>
      <c r="V382" s="113">
        <f t="shared" si="1"/>
        <v>46045.541666666657</v>
      </c>
      <c r="W382" s="114"/>
      <c r="X382" s="114"/>
      <c r="Y382" s="2"/>
    </row>
    <row r="383" spans="1:25" ht="15.75" customHeight="1">
      <c r="A383" s="116" t="s">
        <v>623</v>
      </c>
      <c r="B383" s="116" t="str">
        <f>IFERROR(VLOOKUP(A383&amp;"", STUDENTS!A:B, 2, 0), "")</f>
        <v>TRẦN MINH TRUNG</v>
      </c>
      <c r="C383" s="117" t="s">
        <v>84</v>
      </c>
      <c r="D383" s="117" t="str">
        <f>IFERROR(VLOOKUP(C383, PIC!A:B, 2, 0), "")</f>
        <v>Thuong Tran</v>
      </c>
      <c r="E383" s="118" t="s">
        <v>24</v>
      </c>
      <c r="F383" s="119">
        <v>46091.541666666657</v>
      </c>
      <c r="G383" s="120">
        <v>46098.541666666657</v>
      </c>
      <c r="H383" s="120" t="s">
        <v>815</v>
      </c>
      <c r="I383" s="119" t="s">
        <v>815</v>
      </c>
      <c r="J383" s="120" t="s">
        <v>815</v>
      </c>
      <c r="K383" s="119" t="s">
        <v>815</v>
      </c>
      <c r="L383" s="120"/>
      <c r="M383" s="120"/>
      <c r="N383" s="119"/>
      <c r="O383" s="119"/>
      <c r="P383" s="119"/>
      <c r="Q383" s="119"/>
      <c r="R383" s="119"/>
      <c r="S383" s="119"/>
      <c r="T383" s="119"/>
      <c r="U383" s="120"/>
      <c r="V383" s="121">
        <f t="shared" si="1"/>
        <v>46098.541666666657</v>
      </c>
      <c r="W383" s="122"/>
      <c r="X383" s="122"/>
      <c r="Y383" s="2"/>
    </row>
    <row r="384" spans="1:25" ht="15.75" customHeight="1">
      <c r="A384" s="108" t="s">
        <v>623</v>
      </c>
      <c r="B384" s="108" t="str">
        <f>IFERROR(VLOOKUP(A384&amp;"", STUDENTS!A:B, 2, 0), "")</f>
        <v>TRẦN MINH TRUNG</v>
      </c>
      <c r="C384" s="109" t="s">
        <v>84</v>
      </c>
      <c r="D384" s="109" t="str">
        <f>IFERROR(VLOOKUP(C384, PIC!A:B, 2, 0), "")</f>
        <v>Thuong Tran</v>
      </c>
      <c r="E384" s="110" t="s">
        <v>21</v>
      </c>
      <c r="F384" s="111">
        <v>45764.583333333343</v>
      </c>
      <c r="G384" s="112">
        <v>45784.541666666657</v>
      </c>
      <c r="H384" s="112">
        <v>45791.541666666657</v>
      </c>
      <c r="I384" s="111">
        <v>45804.583333333343</v>
      </c>
      <c r="J384" s="112">
        <v>45812.583333333343</v>
      </c>
      <c r="K384" s="111">
        <v>45813.541666666657</v>
      </c>
      <c r="L384" s="112">
        <v>45818.541666666657</v>
      </c>
      <c r="M384" s="112">
        <v>45827.541666666657</v>
      </c>
      <c r="N384" s="111">
        <v>45833.541666666657</v>
      </c>
      <c r="O384" s="111">
        <v>45860.416666666657</v>
      </c>
      <c r="P384" s="111"/>
      <c r="Q384" s="111"/>
      <c r="R384" s="111"/>
      <c r="S384" s="111"/>
      <c r="T384" s="111"/>
      <c r="U384" s="112"/>
      <c r="V384" s="113">
        <f t="shared" si="1"/>
        <v>45860.416666666657</v>
      </c>
      <c r="W384" s="114"/>
      <c r="X384" s="114"/>
      <c r="Y384" s="2"/>
    </row>
    <row r="385" spans="1:25" ht="15.75" customHeight="1">
      <c r="A385" s="116" t="s">
        <v>623</v>
      </c>
      <c r="B385" s="116" t="str">
        <f>IFERROR(VLOOKUP(A385&amp;"", STUDENTS!A:B, 2, 0), "")</f>
        <v>TRẦN MINH TRUNG</v>
      </c>
      <c r="C385" s="117" t="s">
        <v>84</v>
      </c>
      <c r="D385" s="117" t="str">
        <f>IFERROR(VLOOKUP(C385, PIC!A:B, 2, 0), "")</f>
        <v>Thuong Tran</v>
      </c>
      <c r="E385" s="118" t="s">
        <v>22</v>
      </c>
      <c r="F385" s="119" t="s">
        <v>815</v>
      </c>
      <c r="G385" s="120" t="s">
        <v>815</v>
      </c>
      <c r="H385" s="120" t="s">
        <v>815</v>
      </c>
      <c r="I385" s="119" t="s">
        <v>815</v>
      </c>
      <c r="J385" s="120" t="s">
        <v>815</v>
      </c>
      <c r="K385" s="119" t="s">
        <v>815</v>
      </c>
      <c r="L385" s="120" t="s">
        <v>815</v>
      </c>
      <c r="M385" s="120" t="s">
        <v>815</v>
      </c>
      <c r="N385" s="119" t="s">
        <v>815</v>
      </c>
      <c r="O385" s="119" t="s">
        <v>815</v>
      </c>
      <c r="P385" s="119" t="s">
        <v>815</v>
      </c>
      <c r="Q385" s="119" t="s">
        <v>815</v>
      </c>
      <c r="R385" s="119" t="s">
        <v>815</v>
      </c>
      <c r="S385" s="119" t="s">
        <v>815</v>
      </c>
      <c r="T385" s="119" t="s">
        <v>815</v>
      </c>
      <c r="U385" s="120" t="s">
        <v>815</v>
      </c>
      <c r="V385" s="121">
        <f t="shared" si="1"/>
        <v>0</v>
      </c>
      <c r="W385" s="122"/>
      <c r="X385" s="122"/>
      <c r="Y385" s="2"/>
    </row>
    <row r="386" spans="1:25" ht="15.75" customHeight="1">
      <c r="A386" s="108" t="s">
        <v>649</v>
      </c>
      <c r="B386" s="108" t="str">
        <f>IFERROR(VLOOKUP(A386&amp;"", STUDENTS!A:B, 2, 0), "")</f>
        <v>TRẦN THỊ HOÀI THƯƠNG</v>
      </c>
      <c r="C386" s="109" t="s">
        <v>84</v>
      </c>
      <c r="D386" s="109" t="str">
        <f>IFERROR(VLOOKUP(C386, PIC!A:B, 2, 0), "")</f>
        <v>Thuong Tran</v>
      </c>
      <c r="E386" s="110" t="s">
        <v>24</v>
      </c>
      <c r="F386" s="111"/>
      <c r="G386" s="112">
        <v>46098.541666666657</v>
      </c>
      <c r="H386" s="112">
        <v>46105.541666666657</v>
      </c>
      <c r="I386" s="111">
        <v>46114.541666666657</v>
      </c>
      <c r="J386" s="112">
        <v>46119.541666666657</v>
      </c>
      <c r="K386" s="111" t="s">
        <v>815</v>
      </c>
      <c r="L386" s="112"/>
      <c r="M386" s="112"/>
      <c r="N386" s="111"/>
      <c r="O386" s="111"/>
      <c r="P386" s="111"/>
      <c r="Q386" s="111"/>
      <c r="R386" s="111"/>
      <c r="S386" s="111"/>
      <c r="T386" s="111"/>
      <c r="U386" s="112"/>
      <c r="V386" s="113">
        <f t="shared" si="1"/>
        <v>46119.541666666657</v>
      </c>
      <c r="W386" s="114"/>
      <c r="X386" s="114"/>
      <c r="Y386" s="2"/>
    </row>
    <row r="387" spans="1:25" ht="15.75" customHeight="1">
      <c r="A387" s="116" t="s">
        <v>649</v>
      </c>
      <c r="B387" s="116" t="str">
        <f>IFERROR(VLOOKUP(A387&amp;"", STUDENTS!A:B, 2, 0), "")</f>
        <v>TRẦN THỊ HOÀI THƯƠNG</v>
      </c>
      <c r="C387" s="117" t="s">
        <v>84</v>
      </c>
      <c r="D387" s="117" t="str">
        <f>IFERROR(VLOOKUP(C387, PIC!A:B, 2, 0), "")</f>
        <v>Thuong Tran</v>
      </c>
      <c r="E387" s="118" t="s">
        <v>21</v>
      </c>
      <c r="F387" s="119">
        <v>45764.583333333343</v>
      </c>
      <c r="G387" s="120">
        <v>45784.541666666657</v>
      </c>
      <c r="H387" s="120" t="s">
        <v>815</v>
      </c>
      <c r="I387" s="119">
        <v>45804.583333333343</v>
      </c>
      <c r="J387" s="120">
        <v>45812.583333333343</v>
      </c>
      <c r="K387" s="119">
        <v>45813.541666666657</v>
      </c>
      <c r="L387" s="120">
        <v>45818.541666666657</v>
      </c>
      <c r="M387" s="120">
        <v>45827.541666666657</v>
      </c>
      <c r="N387" s="119">
        <v>45833.541666666657</v>
      </c>
      <c r="O387" s="119">
        <v>45860.416666666657</v>
      </c>
      <c r="P387" s="119"/>
      <c r="Q387" s="119"/>
      <c r="R387" s="119"/>
      <c r="S387" s="119"/>
      <c r="T387" s="119"/>
      <c r="U387" s="120"/>
      <c r="V387" s="121">
        <f t="shared" si="1"/>
        <v>45860.416666666657</v>
      </c>
      <c r="W387" s="122"/>
      <c r="X387" s="122"/>
      <c r="Y387" s="2"/>
    </row>
    <row r="388" spans="1:25" ht="15.75" customHeight="1">
      <c r="A388" s="108" t="s">
        <v>649</v>
      </c>
      <c r="B388" s="108" t="str">
        <f>IFERROR(VLOOKUP(A388&amp;"", STUDENTS!A:B, 2, 0), "")</f>
        <v>TRẦN THỊ HOÀI THƯƠNG</v>
      </c>
      <c r="C388" s="109" t="s">
        <v>84</v>
      </c>
      <c r="D388" s="109" t="str">
        <f>IFERROR(VLOOKUP(C388, PIC!A:B, 2, 0), "")</f>
        <v>Thuong Tran</v>
      </c>
      <c r="E388" s="110" t="s">
        <v>22</v>
      </c>
      <c r="F388" s="111" t="s">
        <v>815</v>
      </c>
      <c r="G388" s="112">
        <v>45889.541666666657</v>
      </c>
      <c r="H388" s="112">
        <v>45895.541666666657</v>
      </c>
      <c r="I388" s="111">
        <v>45903.541666666657</v>
      </c>
      <c r="J388" s="112">
        <v>45910.583333333343</v>
      </c>
      <c r="K388" s="111">
        <v>45917.541666666657</v>
      </c>
      <c r="L388" s="112">
        <v>45924.583333333343</v>
      </c>
      <c r="M388" s="112">
        <v>45940.583333333343</v>
      </c>
      <c r="N388" s="111">
        <v>45943.583333333343</v>
      </c>
      <c r="O388" s="111">
        <v>45954.541666666657</v>
      </c>
      <c r="P388" s="111">
        <v>45961.541666666657</v>
      </c>
      <c r="Q388" s="111">
        <v>45965.541666666657</v>
      </c>
      <c r="R388" s="111">
        <v>45974.541666666657</v>
      </c>
      <c r="S388" s="111">
        <v>45980.541666666657</v>
      </c>
      <c r="T388" s="111">
        <v>45987.541666666657</v>
      </c>
      <c r="U388" s="112">
        <v>46045.541666666657</v>
      </c>
      <c r="V388" s="113">
        <f t="shared" si="1"/>
        <v>46045.541666666657</v>
      </c>
      <c r="W388" s="114"/>
      <c r="X388" s="114"/>
      <c r="Y388" s="2"/>
    </row>
    <row r="389" spans="1:25" ht="15.75" customHeight="1">
      <c r="A389" s="116" t="s">
        <v>136</v>
      </c>
      <c r="B389" s="116" t="str">
        <f>IFERROR(VLOOKUP(A389&amp;"", STUDENTS!A:B, 2, 0), "")</f>
        <v>BẠCH NAM MINH TRÍ</v>
      </c>
      <c r="C389" s="117" t="s">
        <v>85</v>
      </c>
      <c r="D389" s="117" t="str">
        <f>IFERROR(VLOOKUP(C389, PIC!A:B, 2, 0), "")</f>
        <v>Van Nguyen</v>
      </c>
      <c r="E389" s="118" t="s">
        <v>24</v>
      </c>
      <c r="F389" s="119">
        <v>46086.458333333343</v>
      </c>
      <c r="G389" s="120" t="s">
        <v>815</v>
      </c>
      <c r="H389" s="120" t="s">
        <v>815</v>
      </c>
      <c r="I389" s="119" t="s">
        <v>815</v>
      </c>
      <c r="J389" s="120" t="s">
        <v>815</v>
      </c>
      <c r="K389" s="119" t="s">
        <v>815</v>
      </c>
      <c r="L389" s="120"/>
      <c r="M389" s="120"/>
      <c r="N389" s="119"/>
      <c r="O389" s="119"/>
      <c r="P389" s="119"/>
      <c r="Q389" s="119"/>
      <c r="R389" s="119"/>
      <c r="S389" s="119"/>
      <c r="T389" s="119"/>
      <c r="U389" s="120"/>
      <c r="V389" s="121">
        <f t="shared" si="1"/>
        <v>46086.458333333343</v>
      </c>
      <c r="W389" s="122"/>
      <c r="X389" s="122"/>
      <c r="Y389" s="2"/>
    </row>
    <row r="390" spans="1:25" ht="15.75" customHeight="1">
      <c r="A390" s="108" t="s">
        <v>136</v>
      </c>
      <c r="B390" s="108" t="str">
        <f>IFERROR(VLOOKUP(A390&amp;"", STUDENTS!A:B, 2, 0), "")</f>
        <v>BẠCH NAM MINH TRÍ</v>
      </c>
      <c r="C390" s="109" t="s">
        <v>85</v>
      </c>
      <c r="D390" s="109" t="str">
        <f>IFERROR(VLOOKUP(C390, PIC!A:B, 2, 0), "")</f>
        <v>Van Nguyen</v>
      </c>
      <c r="E390" s="110" t="s">
        <v>21</v>
      </c>
      <c r="F390" s="111">
        <v>45772.583333333343</v>
      </c>
      <c r="G390" s="112">
        <v>45783.583333333343</v>
      </c>
      <c r="H390" s="112">
        <v>45790.375</v>
      </c>
      <c r="I390" s="111">
        <v>45804.458333333343</v>
      </c>
      <c r="J390" s="112" t="s">
        <v>815</v>
      </c>
      <c r="K390" s="111">
        <v>45820.541666666657</v>
      </c>
      <c r="L390" s="112">
        <v>45826.458333333343</v>
      </c>
      <c r="M390" s="112">
        <v>45833.583333333343</v>
      </c>
      <c r="N390" s="111">
        <v>45839.541666666657</v>
      </c>
      <c r="O390" s="111">
        <v>45868.541666666657</v>
      </c>
      <c r="P390" s="111"/>
      <c r="Q390" s="111"/>
      <c r="R390" s="111"/>
      <c r="S390" s="111"/>
      <c r="T390" s="111"/>
      <c r="U390" s="112"/>
      <c r="V390" s="113">
        <f t="shared" si="1"/>
        <v>45868.541666666657</v>
      </c>
      <c r="W390" s="114"/>
      <c r="X390" s="114"/>
      <c r="Y390" s="2"/>
    </row>
    <row r="391" spans="1:25" ht="15.75" customHeight="1">
      <c r="A391" s="116" t="s">
        <v>136</v>
      </c>
      <c r="B391" s="116" t="str">
        <f>IFERROR(VLOOKUP(A391&amp;"", STUDENTS!A:B, 2, 0), "")</f>
        <v>BẠCH NAM MINH TRÍ</v>
      </c>
      <c r="C391" s="117" t="s">
        <v>85</v>
      </c>
      <c r="D391" s="117" t="str">
        <f>IFERROR(VLOOKUP(C391, PIC!A:B, 2, 0), "")</f>
        <v>Van Nguyen</v>
      </c>
      <c r="E391" s="118" t="s">
        <v>22</v>
      </c>
      <c r="F391" s="119">
        <v>45910.541666666657</v>
      </c>
      <c r="G391" s="120">
        <v>45916.541666666657</v>
      </c>
      <c r="H391" s="120">
        <v>45924.541666666657</v>
      </c>
      <c r="I391" s="119">
        <v>45931.541666666657</v>
      </c>
      <c r="J391" s="120">
        <v>45938.416666666657</v>
      </c>
      <c r="K391" s="119" t="s">
        <v>815</v>
      </c>
      <c r="L391" s="120">
        <v>45952.416666666657</v>
      </c>
      <c r="M391" s="120">
        <v>45959.458333333343</v>
      </c>
      <c r="N391" s="119">
        <v>45967.458333333343</v>
      </c>
      <c r="O391" s="119" t="s">
        <v>815</v>
      </c>
      <c r="P391" s="119">
        <v>45981.458333333343</v>
      </c>
      <c r="Q391" s="119">
        <v>45988.458333333343</v>
      </c>
      <c r="R391" s="119">
        <v>45995.458333333343</v>
      </c>
      <c r="S391" s="119">
        <v>46007.541666666657</v>
      </c>
      <c r="T391" s="119" t="s">
        <v>815</v>
      </c>
      <c r="U391" s="120">
        <v>46051.416666666657</v>
      </c>
      <c r="V391" s="121">
        <f t="shared" si="1"/>
        <v>46051.416666666657</v>
      </c>
      <c r="W391" s="122"/>
      <c r="X391" s="122"/>
      <c r="Y391" s="2"/>
    </row>
    <row r="392" spans="1:25" ht="15.75" customHeight="1">
      <c r="A392" s="108" t="s">
        <v>165</v>
      </c>
      <c r="B392" s="108" t="str">
        <f>IFERROR(VLOOKUP(A392&amp;"", STUDENTS!A:B, 2, 0), "")</f>
        <v>ĐINH TIẾN ĐẠT</v>
      </c>
      <c r="C392" s="109" t="s">
        <v>85</v>
      </c>
      <c r="D392" s="109" t="str">
        <f>IFERROR(VLOOKUP(C392, PIC!A:B, 2, 0), "")</f>
        <v>Van Nguyen</v>
      </c>
      <c r="E392" s="110" t="s">
        <v>21</v>
      </c>
      <c r="F392" s="111">
        <v>45764.458333333343</v>
      </c>
      <c r="G392" s="112">
        <v>45783.583333333343</v>
      </c>
      <c r="H392" s="112">
        <v>45790.375</v>
      </c>
      <c r="I392" s="111">
        <v>45804.458333333343</v>
      </c>
      <c r="J392" s="112">
        <v>45812.541666666657</v>
      </c>
      <c r="K392" s="111">
        <v>45820.541666666657</v>
      </c>
      <c r="L392" s="112">
        <v>45826.458333333343</v>
      </c>
      <c r="M392" s="112">
        <v>45833.583333333343</v>
      </c>
      <c r="N392" s="111">
        <v>45839.541666666657</v>
      </c>
      <c r="O392" s="111">
        <v>45868.541666666657</v>
      </c>
      <c r="P392" s="111"/>
      <c r="Q392" s="111"/>
      <c r="R392" s="111"/>
      <c r="S392" s="111"/>
      <c r="T392" s="111"/>
      <c r="U392" s="112"/>
      <c r="V392" s="113">
        <f t="shared" si="1"/>
        <v>45868.541666666657</v>
      </c>
      <c r="W392" s="114"/>
      <c r="X392" s="114"/>
      <c r="Y392" s="2"/>
    </row>
    <row r="393" spans="1:25" ht="15.75" customHeight="1">
      <c r="A393" s="116" t="s">
        <v>165</v>
      </c>
      <c r="B393" s="116" t="str">
        <f>IFERROR(VLOOKUP(A393&amp;"", STUDENTS!A:B, 2, 0), "")</f>
        <v>ĐINH TIẾN ĐẠT</v>
      </c>
      <c r="C393" s="117" t="s">
        <v>85</v>
      </c>
      <c r="D393" s="117" t="str">
        <f>IFERROR(VLOOKUP(C393, PIC!A:B, 2, 0), "")</f>
        <v>Van Nguyen</v>
      </c>
      <c r="E393" s="118" t="s">
        <v>22</v>
      </c>
      <c r="F393" s="119">
        <v>45910.541666666657</v>
      </c>
      <c r="G393" s="120">
        <v>45916.541666666657</v>
      </c>
      <c r="H393" s="120">
        <v>45924.541666666657</v>
      </c>
      <c r="I393" s="119">
        <v>45931.541666666657</v>
      </c>
      <c r="J393" s="120">
        <v>45938.416666666657</v>
      </c>
      <c r="K393" s="119">
        <v>45951.416666666657</v>
      </c>
      <c r="L393" s="120">
        <v>45952.416666666657</v>
      </c>
      <c r="M393" s="120">
        <v>45959.458333333343</v>
      </c>
      <c r="N393" s="119">
        <v>45967.458333333343</v>
      </c>
      <c r="O393" s="119" t="s">
        <v>815</v>
      </c>
      <c r="P393" s="119"/>
      <c r="Q393" s="119"/>
      <c r="R393" s="119" t="s">
        <v>815</v>
      </c>
      <c r="S393" s="119" t="s">
        <v>815</v>
      </c>
      <c r="T393" s="119" t="s">
        <v>815</v>
      </c>
      <c r="U393" s="120" t="s">
        <v>815</v>
      </c>
      <c r="V393" s="121">
        <f t="shared" si="1"/>
        <v>45967.458333333343</v>
      </c>
      <c r="W393" s="122"/>
      <c r="X393" s="122"/>
      <c r="Y393" s="2"/>
    </row>
    <row r="394" spans="1:25" ht="15.75" customHeight="1">
      <c r="A394" s="108" t="s">
        <v>208</v>
      </c>
      <c r="B394" s="108" t="str">
        <f>IFERROR(VLOOKUP(A394&amp;"", STUDENTS!A:B, 2, 0), "")</f>
        <v>HÀ TRẦN TUẤN ANH</v>
      </c>
      <c r="C394" s="109" t="s">
        <v>85</v>
      </c>
      <c r="D394" s="109" t="str">
        <f>IFERROR(VLOOKUP(C394, PIC!A:B, 2, 0), "")</f>
        <v>Van Nguyen</v>
      </c>
      <c r="E394" s="110" t="s">
        <v>24</v>
      </c>
      <c r="F394" s="111"/>
      <c r="G394" s="112"/>
      <c r="H394" s="112" t="s">
        <v>815</v>
      </c>
      <c r="I394" s="111">
        <v>46113.625</v>
      </c>
      <c r="J394" s="112">
        <v>46120.625</v>
      </c>
      <c r="K394" s="111">
        <v>46127.625</v>
      </c>
      <c r="L394" s="112"/>
      <c r="M394" s="112"/>
      <c r="N394" s="111"/>
      <c r="O394" s="111"/>
      <c r="P394" s="111"/>
      <c r="Q394" s="111"/>
      <c r="R394" s="111"/>
      <c r="S394" s="111"/>
      <c r="T394" s="111"/>
      <c r="U394" s="112"/>
      <c r="V394" s="113">
        <f t="shared" si="1"/>
        <v>46127.625</v>
      </c>
      <c r="W394" s="114"/>
      <c r="X394" s="114"/>
      <c r="Y394" s="2"/>
    </row>
    <row r="395" spans="1:25" ht="15.75" customHeight="1">
      <c r="A395" s="116" t="s">
        <v>275</v>
      </c>
      <c r="B395" s="116" t="str">
        <f>IFERROR(VLOOKUP(A395&amp;"", STUDENTS!A:B, 2, 0), "")</f>
        <v>LÊ NGỌC TRUNG HIẾU</v>
      </c>
      <c r="C395" s="117" t="s">
        <v>85</v>
      </c>
      <c r="D395" s="117" t="str">
        <f>IFERROR(VLOOKUP(C395, PIC!A:B, 2, 0), "")</f>
        <v>Van Nguyen</v>
      </c>
      <c r="E395" s="118" t="s">
        <v>21</v>
      </c>
      <c r="F395" s="119">
        <v>45764.458333333343</v>
      </c>
      <c r="G395" s="120">
        <v>45783.583333333343</v>
      </c>
      <c r="H395" s="120">
        <v>45790.375</v>
      </c>
      <c r="I395" s="119">
        <v>45804.458333333343</v>
      </c>
      <c r="J395" s="120">
        <v>45812.541666666657</v>
      </c>
      <c r="K395" s="119">
        <v>45820.541666666657</v>
      </c>
      <c r="L395" s="120">
        <v>45826.458333333343</v>
      </c>
      <c r="M395" s="120">
        <v>45833.583333333343</v>
      </c>
      <c r="N395" s="119">
        <v>45839.541666666657</v>
      </c>
      <c r="O395" s="119">
        <v>45868.541666666657</v>
      </c>
      <c r="P395" s="119"/>
      <c r="Q395" s="119"/>
      <c r="R395" s="119"/>
      <c r="S395" s="119"/>
      <c r="T395" s="119"/>
      <c r="U395" s="120"/>
      <c r="V395" s="121">
        <f t="shared" si="1"/>
        <v>45868.541666666657</v>
      </c>
      <c r="W395" s="122"/>
      <c r="X395" s="122"/>
      <c r="Y395" s="2"/>
    </row>
    <row r="396" spans="1:25" ht="15.75" customHeight="1">
      <c r="A396" s="108" t="s">
        <v>275</v>
      </c>
      <c r="B396" s="108" t="str">
        <f>IFERROR(VLOOKUP(A396&amp;"", STUDENTS!A:B, 2, 0), "")</f>
        <v>LÊ NGỌC TRUNG HIẾU</v>
      </c>
      <c r="C396" s="109" t="s">
        <v>85</v>
      </c>
      <c r="D396" s="109" t="str">
        <f>IFERROR(VLOOKUP(C396, PIC!A:B, 2, 0), "")</f>
        <v>Van Nguyen</v>
      </c>
      <c r="E396" s="110" t="s">
        <v>22</v>
      </c>
      <c r="F396" s="111" t="s">
        <v>815</v>
      </c>
      <c r="G396" s="112" t="s">
        <v>815</v>
      </c>
      <c r="H396" s="112" t="s">
        <v>815</v>
      </c>
      <c r="I396" s="111" t="s">
        <v>815</v>
      </c>
      <c r="J396" s="112" t="s">
        <v>815</v>
      </c>
      <c r="K396" s="111" t="s">
        <v>815</v>
      </c>
      <c r="L396" s="112" t="s">
        <v>815</v>
      </c>
      <c r="M396" s="112" t="s">
        <v>815</v>
      </c>
      <c r="N396" s="111" t="s">
        <v>815</v>
      </c>
      <c r="O396" s="111" t="s">
        <v>815</v>
      </c>
      <c r="P396" s="111" t="s">
        <v>815</v>
      </c>
      <c r="Q396" s="111" t="s">
        <v>815</v>
      </c>
      <c r="R396" s="111" t="s">
        <v>815</v>
      </c>
      <c r="S396" s="111" t="s">
        <v>815</v>
      </c>
      <c r="T396" s="111" t="s">
        <v>815</v>
      </c>
      <c r="U396" s="112" t="s">
        <v>815</v>
      </c>
      <c r="V396" s="113">
        <f t="shared" si="1"/>
        <v>0</v>
      </c>
      <c r="W396" s="114"/>
      <c r="X396" s="114"/>
      <c r="Y396" s="2"/>
    </row>
    <row r="397" spans="1:25" ht="15.75" customHeight="1">
      <c r="A397" s="116" t="s">
        <v>300</v>
      </c>
      <c r="B397" s="116" t="str">
        <f>IFERROR(VLOOKUP(A397&amp;"", STUDENTS!A:B, 2, 0), "")</f>
        <v>LÊ TRIỆU HUẤN</v>
      </c>
      <c r="C397" s="117" t="s">
        <v>85</v>
      </c>
      <c r="D397" s="117" t="str">
        <f>IFERROR(VLOOKUP(C397, PIC!A:B, 2, 0), "")</f>
        <v>Van Nguyen</v>
      </c>
      <c r="E397" s="118" t="s">
        <v>24</v>
      </c>
      <c r="F397" s="119">
        <v>46086.458333333343</v>
      </c>
      <c r="G397" s="120">
        <v>46098.458333333343</v>
      </c>
      <c r="H397" s="120" t="s">
        <v>815</v>
      </c>
      <c r="I397" s="119" t="s">
        <v>815</v>
      </c>
      <c r="J397" s="120">
        <v>46120.625</v>
      </c>
      <c r="K397" s="119">
        <v>46127.625</v>
      </c>
      <c r="L397" s="120"/>
      <c r="M397" s="120"/>
      <c r="N397" s="119"/>
      <c r="O397" s="119"/>
      <c r="P397" s="119"/>
      <c r="Q397" s="119"/>
      <c r="R397" s="119"/>
      <c r="S397" s="119"/>
      <c r="T397" s="119"/>
      <c r="U397" s="120"/>
      <c r="V397" s="121">
        <f t="shared" si="1"/>
        <v>46127.625</v>
      </c>
      <c r="W397" s="122"/>
      <c r="X397" s="122"/>
      <c r="Y397" s="2"/>
    </row>
    <row r="398" spans="1:25" ht="15.75" customHeight="1">
      <c r="A398" s="108" t="s">
        <v>309</v>
      </c>
      <c r="B398" s="108" t="str">
        <f>IFERROR(VLOOKUP(A398&amp;"", STUDENTS!A:B, 2, 0), "")</f>
        <v>LƯƠNG CÔNG KỲ</v>
      </c>
      <c r="C398" s="109" t="s">
        <v>85</v>
      </c>
      <c r="D398" s="109" t="str">
        <f>IFERROR(VLOOKUP(C398, PIC!A:B, 2, 0), "")</f>
        <v>Van Nguyen</v>
      </c>
      <c r="E398" s="110" t="s">
        <v>24</v>
      </c>
      <c r="F398" s="111">
        <v>46086.458333333343</v>
      </c>
      <c r="G398" s="112">
        <v>46098.458333333343</v>
      </c>
      <c r="H398" s="112">
        <v>46105.458333333343</v>
      </c>
      <c r="I398" s="111">
        <v>46113.625</v>
      </c>
      <c r="J398" s="112">
        <v>46120.625</v>
      </c>
      <c r="K398" s="111">
        <v>46127.625</v>
      </c>
      <c r="L398" s="112"/>
      <c r="M398" s="112"/>
      <c r="N398" s="111"/>
      <c r="O398" s="111"/>
      <c r="P398" s="111"/>
      <c r="Q398" s="111"/>
      <c r="R398" s="111"/>
      <c r="S398" s="111"/>
      <c r="T398" s="111"/>
      <c r="U398" s="112"/>
      <c r="V398" s="113">
        <f t="shared" si="1"/>
        <v>46127.625</v>
      </c>
      <c r="W398" s="114"/>
      <c r="X398" s="114"/>
      <c r="Y398" s="2"/>
    </row>
    <row r="399" spans="1:25" ht="15.75" customHeight="1">
      <c r="A399" s="116" t="s">
        <v>397</v>
      </c>
      <c r="B399" s="116" t="str">
        <f>IFERROR(VLOOKUP(A399&amp;"", STUDENTS!A:B, 2, 0), "")</f>
        <v>NGUYỄN LÊ HOÀNG VĂN</v>
      </c>
      <c r="C399" s="117" t="s">
        <v>85</v>
      </c>
      <c r="D399" s="117" t="str">
        <f>IFERROR(VLOOKUP(C399, PIC!A:B, 2, 0), "")</f>
        <v>Van Nguyen</v>
      </c>
      <c r="E399" s="118" t="s">
        <v>24</v>
      </c>
      <c r="F399" s="119">
        <v>46086.458333333343</v>
      </c>
      <c r="G399" s="120">
        <v>46098.458333333343</v>
      </c>
      <c r="H399" s="120" t="s">
        <v>815</v>
      </c>
      <c r="I399" s="119">
        <v>46113.625</v>
      </c>
      <c r="J399" s="120">
        <v>46120.625</v>
      </c>
      <c r="K399" s="119">
        <v>46127.625</v>
      </c>
      <c r="L399" s="120"/>
      <c r="M399" s="120"/>
      <c r="N399" s="119"/>
      <c r="O399" s="119"/>
      <c r="P399" s="119"/>
      <c r="Q399" s="119"/>
      <c r="R399" s="119"/>
      <c r="S399" s="119"/>
      <c r="T399" s="119"/>
      <c r="U399" s="120"/>
      <c r="V399" s="121">
        <f t="shared" si="1"/>
        <v>46127.625</v>
      </c>
      <c r="W399" s="122"/>
      <c r="X399" s="122"/>
      <c r="Y399" s="2"/>
    </row>
    <row r="400" spans="1:25" ht="15.75" customHeight="1">
      <c r="A400" s="108" t="s">
        <v>397</v>
      </c>
      <c r="B400" s="108" t="str">
        <f>IFERROR(VLOOKUP(A400&amp;"", STUDENTS!A:B, 2, 0), "")</f>
        <v>NGUYỄN LÊ HOÀNG VĂN</v>
      </c>
      <c r="C400" s="109" t="s">
        <v>85</v>
      </c>
      <c r="D400" s="109" t="str">
        <f>IFERROR(VLOOKUP(C400, PIC!A:B, 2, 0), "")</f>
        <v>Van Nguyen</v>
      </c>
      <c r="E400" s="110" t="s">
        <v>21</v>
      </c>
      <c r="F400" s="111">
        <v>45765.416666666657</v>
      </c>
      <c r="G400" s="112">
        <v>45783.583333333343</v>
      </c>
      <c r="H400" s="112">
        <v>45790.375</v>
      </c>
      <c r="I400" s="111">
        <v>45804.458333333343</v>
      </c>
      <c r="J400" s="112">
        <v>45812.541666666657</v>
      </c>
      <c r="K400" s="111" t="s">
        <v>815</v>
      </c>
      <c r="L400" s="112">
        <v>45826.458333333343</v>
      </c>
      <c r="M400" s="112">
        <v>45833.583333333343</v>
      </c>
      <c r="N400" s="111">
        <v>45839.541666666657</v>
      </c>
      <c r="O400" s="111">
        <v>45868.541666666657</v>
      </c>
      <c r="P400" s="111"/>
      <c r="Q400" s="111"/>
      <c r="R400" s="111"/>
      <c r="S400" s="111"/>
      <c r="T400" s="111"/>
      <c r="U400" s="112"/>
      <c r="V400" s="113">
        <f t="shared" si="1"/>
        <v>45868.541666666657</v>
      </c>
      <c r="W400" s="114"/>
      <c r="X400" s="114"/>
      <c r="Y400" s="2"/>
    </row>
    <row r="401" spans="1:25" ht="15.75" customHeight="1">
      <c r="A401" s="116" t="s">
        <v>397</v>
      </c>
      <c r="B401" s="116" t="str">
        <f>IFERROR(VLOOKUP(A401&amp;"", STUDENTS!A:B, 2, 0), "")</f>
        <v>NGUYỄN LÊ HOÀNG VĂN</v>
      </c>
      <c r="C401" s="117" t="s">
        <v>85</v>
      </c>
      <c r="D401" s="117" t="str">
        <f>IFERROR(VLOOKUP(C401, PIC!A:B, 2, 0), "")</f>
        <v>Van Nguyen</v>
      </c>
      <c r="E401" s="118" t="s">
        <v>22</v>
      </c>
      <c r="F401" s="119">
        <v>45910.541666666657</v>
      </c>
      <c r="G401" s="120">
        <v>45916.541666666657</v>
      </c>
      <c r="H401" s="120">
        <v>45924.541666666657</v>
      </c>
      <c r="I401" s="119">
        <v>45931.541666666657</v>
      </c>
      <c r="J401" s="120">
        <v>45938.416666666657</v>
      </c>
      <c r="K401" s="119">
        <v>45951.416666666657</v>
      </c>
      <c r="L401" s="120">
        <v>45952.416666666657</v>
      </c>
      <c r="M401" s="120">
        <v>45959.458333333343</v>
      </c>
      <c r="N401" s="119">
        <v>45967.458333333343</v>
      </c>
      <c r="O401" s="119">
        <v>45974.458333333343</v>
      </c>
      <c r="P401" s="119">
        <v>45981.458333333343</v>
      </c>
      <c r="Q401" s="119">
        <v>45988.458333333343</v>
      </c>
      <c r="R401" s="119">
        <v>45995.458333333343</v>
      </c>
      <c r="S401" s="119">
        <v>46007.541666666657</v>
      </c>
      <c r="T401" s="119">
        <v>46021.458333333343</v>
      </c>
      <c r="U401" s="120">
        <v>46051.416666666657</v>
      </c>
      <c r="V401" s="121">
        <f t="shared" si="1"/>
        <v>46051.416666666657</v>
      </c>
      <c r="W401" s="122"/>
      <c r="X401" s="122"/>
      <c r="Y401" s="2"/>
    </row>
    <row r="402" spans="1:25" ht="15.75" customHeight="1">
      <c r="A402" s="108" t="s">
        <v>512</v>
      </c>
      <c r="B402" s="108" t="str">
        <f>IFERROR(VLOOKUP(A402&amp;"", STUDENTS!A:B, 2, 0), "")</f>
        <v>NGUYỄN VĂN TÀI</v>
      </c>
      <c r="C402" s="109" t="s">
        <v>85</v>
      </c>
      <c r="D402" s="109" t="str">
        <f>IFERROR(VLOOKUP(C402, PIC!A:B, 2, 0), "")</f>
        <v>Van Nguyen</v>
      </c>
      <c r="E402" s="110" t="s">
        <v>22</v>
      </c>
      <c r="F402" s="111">
        <v>45910.541666666657</v>
      </c>
      <c r="G402" s="112">
        <v>45916.541666666657</v>
      </c>
      <c r="H402" s="112">
        <v>45924.541666666657</v>
      </c>
      <c r="I402" s="111">
        <v>45931.541666666657</v>
      </c>
      <c r="J402" s="112">
        <v>45938.416666666657</v>
      </c>
      <c r="K402" s="111" t="s">
        <v>815</v>
      </c>
      <c r="L402" s="112" t="s">
        <v>815</v>
      </c>
      <c r="M402" s="112">
        <v>45959.458333333343</v>
      </c>
      <c r="N402" s="111">
        <v>45967.458333333343</v>
      </c>
      <c r="O402" s="111">
        <v>45974.458333333343</v>
      </c>
      <c r="P402" s="111"/>
      <c r="Q402" s="111"/>
      <c r="R402" s="111"/>
      <c r="S402" s="111"/>
      <c r="T402" s="111"/>
      <c r="U402" s="112"/>
      <c r="V402" s="113">
        <f t="shared" si="1"/>
        <v>45974.458333333343</v>
      </c>
      <c r="W402" s="114"/>
      <c r="X402" s="114"/>
      <c r="Y402" s="2"/>
    </row>
    <row r="403" spans="1:25" ht="15.75" customHeight="1">
      <c r="A403" s="116" t="s">
        <v>524</v>
      </c>
      <c r="B403" s="116" t="str">
        <f>IFERROR(VLOOKUP(A403&amp;"", STUDENTS!A:B, 2, 0), "")</f>
        <v>PHẠM HOÀNG THÁI SƠN</v>
      </c>
      <c r="C403" s="117" t="s">
        <v>85</v>
      </c>
      <c r="D403" s="117" t="str">
        <f>IFERROR(VLOOKUP(C403, PIC!A:B, 2, 0), "")</f>
        <v>Van Nguyen</v>
      </c>
      <c r="E403" s="118" t="s">
        <v>22</v>
      </c>
      <c r="F403" s="119">
        <v>45910.541666666657</v>
      </c>
      <c r="G403" s="120">
        <v>45916.541666666657</v>
      </c>
      <c r="H403" s="120">
        <v>45924.541666666657</v>
      </c>
      <c r="I403" s="119">
        <v>45931.541666666657</v>
      </c>
      <c r="J403" s="120">
        <v>45938.416666666657</v>
      </c>
      <c r="K403" s="119" t="s">
        <v>815</v>
      </c>
      <c r="L403" s="120" t="s">
        <v>815</v>
      </c>
      <c r="M403" s="120">
        <v>45959.458333333343</v>
      </c>
      <c r="N403" s="119">
        <v>45967.458333333343</v>
      </c>
      <c r="O403" s="119">
        <v>45974.458333333343</v>
      </c>
      <c r="P403" s="119">
        <v>45981.458333333343</v>
      </c>
      <c r="Q403" s="119">
        <v>45988.458333333343</v>
      </c>
      <c r="R403" s="119">
        <v>45995.458333333343</v>
      </c>
      <c r="S403" s="119">
        <v>46007.541666666657</v>
      </c>
      <c r="T403" s="119">
        <v>46021.458333333343</v>
      </c>
      <c r="U403" s="120">
        <v>46051.416666666657</v>
      </c>
      <c r="V403" s="121">
        <f t="shared" si="1"/>
        <v>46051.416666666657</v>
      </c>
      <c r="W403" s="122"/>
      <c r="X403" s="122"/>
      <c r="Y403" s="2"/>
    </row>
    <row r="404" spans="1:25" ht="15.75" customHeight="1">
      <c r="A404" s="108" t="s">
        <v>530</v>
      </c>
      <c r="B404" s="108" t="str">
        <f>IFERROR(VLOOKUP(A404&amp;"", STUDENTS!A:B, 2, 0), "")</f>
        <v>PHẠM HUY HOÀNG</v>
      </c>
      <c r="C404" s="109" t="s">
        <v>85</v>
      </c>
      <c r="D404" s="109" t="str">
        <f>IFERROR(VLOOKUP(C404, PIC!A:B, 2, 0), "")</f>
        <v>Van Nguyen</v>
      </c>
      <c r="E404" s="110" t="s">
        <v>24</v>
      </c>
      <c r="F404" s="111">
        <v>46086.458333333343</v>
      </c>
      <c r="G404" s="112">
        <v>46098.458333333343</v>
      </c>
      <c r="H404" s="112">
        <v>46105.458333333343</v>
      </c>
      <c r="I404" s="111">
        <v>46113.625</v>
      </c>
      <c r="J404" s="112">
        <v>46120.625</v>
      </c>
      <c r="K404" s="111">
        <v>46127.625</v>
      </c>
      <c r="L404" s="112"/>
      <c r="M404" s="112"/>
      <c r="N404" s="111"/>
      <c r="O404" s="111"/>
      <c r="P404" s="111"/>
      <c r="Q404" s="111"/>
      <c r="R404" s="111"/>
      <c r="S404" s="111"/>
      <c r="T404" s="111"/>
      <c r="U404" s="112"/>
      <c r="V404" s="113">
        <f t="shared" ref="V404:V524" si="2">MAX(F404:U404)</f>
        <v>46127.625</v>
      </c>
      <c r="W404" s="114"/>
      <c r="X404" s="114"/>
      <c r="Y404" s="2"/>
    </row>
    <row r="405" spans="1:25" ht="15.75" customHeight="1">
      <c r="A405" s="116" t="s">
        <v>530</v>
      </c>
      <c r="B405" s="116" t="str">
        <f>IFERROR(VLOOKUP(A405&amp;"", STUDENTS!A:B, 2, 0), "")</f>
        <v>PHẠM HUY HOÀNG</v>
      </c>
      <c r="C405" s="117" t="s">
        <v>85</v>
      </c>
      <c r="D405" s="117" t="str">
        <f>IFERROR(VLOOKUP(C405, PIC!A:B, 2, 0), "")</f>
        <v>Van Nguyen</v>
      </c>
      <c r="E405" s="118" t="s">
        <v>22</v>
      </c>
      <c r="F405" s="119">
        <v>45910.541666666657</v>
      </c>
      <c r="G405" s="120">
        <v>45916.541666666657</v>
      </c>
      <c r="H405" s="120">
        <v>45924.541666666657</v>
      </c>
      <c r="I405" s="119">
        <v>45931.541666666657</v>
      </c>
      <c r="J405" s="120">
        <v>45938.416666666657</v>
      </c>
      <c r="K405" s="119">
        <v>45951.416666666657</v>
      </c>
      <c r="L405" s="120">
        <v>45952.416666666657</v>
      </c>
      <c r="M405" s="120">
        <v>45959.458333333343</v>
      </c>
      <c r="N405" s="119">
        <v>45967.458333333343</v>
      </c>
      <c r="O405" s="119">
        <v>45974.458333333343</v>
      </c>
      <c r="P405" s="119">
        <v>45981.458333333343</v>
      </c>
      <c r="Q405" s="119">
        <v>45988.458333333343</v>
      </c>
      <c r="R405" s="119">
        <v>45995.458333333343</v>
      </c>
      <c r="S405" s="119">
        <v>46007.541666666657</v>
      </c>
      <c r="T405" s="119">
        <v>46021.458333333343</v>
      </c>
      <c r="U405" s="120">
        <v>46051.416666666657</v>
      </c>
      <c r="V405" s="121">
        <f t="shared" si="2"/>
        <v>46051.416666666657</v>
      </c>
      <c r="W405" s="122"/>
      <c r="X405" s="122"/>
      <c r="Y405" s="2"/>
    </row>
    <row r="406" spans="1:25" ht="15.75" customHeight="1">
      <c r="A406" s="108" t="s">
        <v>621</v>
      </c>
      <c r="B406" s="108" t="str">
        <f>IFERROR(VLOOKUP(A406&amp;"", STUDENTS!A:B, 2, 0), "")</f>
        <v>TRẦN MINH TRIẾT</v>
      </c>
      <c r="C406" s="109" t="s">
        <v>85</v>
      </c>
      <c r="D406" s="109" t="str">
        <f>IFERROR(VLOOKUP(C406, PIC!A:B, 2, 0), "")</f>
        <v>Van Nguyen</v>
      </c>
      <c r="E406" s="110" t="s">
        <v>24</v>
      </c>
      <c r="F406" s="111">
        <v>46086.458333333343</v>
      </c>
      <c r="G406" s="112">
        <v>46098.458333333343</v>
      </c>
      <c r="H406" s="112">
        <v>46105.458333333343</v>
      </c>
      <c r="I406" s="111">
        <v>46113.625</v>
      </c>
      <c r="J406" s="112">
        <v>46120.625</v>
      </c>
      <c r="K406" s="111">
        <v>46127.625</v>
      </c>
      <c r="L406" s="112"/>
      <c r="M406" s="112"/>
      <c r="N406" s="111"/>
      <c r="O406" s="111"/>
      <c r="P406" s="111"/>
      <c r="Q406" s="111"/>
      <c r="R406" s="111"/>
      <c r="S406" s="111"/>
      <c r="T406" s="111"/>
      <c r="U406" s="112"/>
      <c r="V406" s="113">
        <f t="shared" si="2"/>
        <v>46127.625</v>
      </c>
      <c r="W406" s="114"/>
      <c r="X406" s="114"/>
      <c r="Y406" s="2"/>
    </row>
    <row r="407" spans="1:25" ht="15.75" customHeight="1">
      <c r="A407" s="116" t="s">
        <v>621</v>
      </c>
      <c r="B407" s="116" t="str">
        <f>IFERROR(VLOOKUP(A407&amp;"", STUDENTS!A:B, 2, 0), "")</f>
        <v>TRẦN MINH TRIẾT</v>
      </c>
      <c r="C407" s="117" t="s">
        <v>85</v>
      </c>
      <c r="D407" s="117" t="str">
        <f>IFERROR(VLOOKUP(C407, PIC!A:B, 2, 0), "")</f>
        <v>Van Nguyen</v>
      </c>
      <c r="E407" s="118" t="s">
        <v>22</v>
      </c>
      <c r="F407" s="119">
        <v>45910.541666666657</v>
      </c>
      <c r="G407" s="120">
        <v>45916.541666666657</v>
      </c>
      <c r="H407" s="120">
        <v>45924.541666666657</v>
      </c>
      <c r="I407" s="119">
        <v>45931.541666666657</v>
      </c>
      <c r="J407" s="120">
        <v>45938.416666666657</v>
      </c>
      <c r="K407" s="119">
        <v>45951.416666666657</v>
      </c>
      <c r="L407" s="120">
        <v>45952.416666666657</v>
      </c>
      <c r="M407" s="120">
        <v>45959.458333333343</v>
      </c>
      <c r="N407" s="119">
        <v>45967.458333333343</v>
      </c>
      <c r="O407" s="119" t="s">
        <v>815</v>
      </c>
      <c r="P407" s="119">
        <v>45981.458333333343</v>
      </c>
      <c r="Q407" s="119">
        <v>45988.458333333343</v>
      </c>
      <c r="R407" s="119">
        <v>45995.458333333343</v>
      </c>
      <c r="S407" s="119">
        <v>46007.541666666657</v>
      </c>
      <c r="T407" s="119">
        <v>46021.458333333343</v>
      </c>
      <c r="U407" s="120">
        <v>46051.416666666657</v>
      </c>
      <c r="V407" s="121">
        <f t="shared" si="2"/>
        <v>46051.416666666657</v>
      </c>
      <c r="W407" s="122"/>
      <c r="X407" s="122"/>
      <c r="Y407" s="2"/>
    </row>
    <row r="408" spans="1:25" ht="15.75" customHeight="1">
      <c r="A408" s="108" t="s">
        <v>681</v>
      </c>
      <c r="B408" s="108" t="str">
        <f>IFERROR(VLOOKUP(A408&amp;"", STUDENTS!A:B, 2, 0), "")</f>
        <v>TRƯƠNG NHỰT MINH THƯ</v>
      </c>
      <c r="C408" s="109" t="s">
        <v>85</v>
      </c>
      <c r="D408" s="109" t="str">
        <f>IFERROR(VLOOKUP(C408, PIC!A:B, 2, 0), "")</f>
        <v>Van Nguyen</v>
      </c>
      <c r="E408" s="110" t="s">
        <v>21</v>
      </c>
      <c r="F408" s="111">
        <v>45764.458333333343</v>
      </c>
      <c r="G408" s="112">
        <v>45783.583333333343</v>
      </c>
      <c r="H408" s="112">
        <v>45790.375</v>
      </c>
      <c r="I408" s="111">
        <v>45804.458333333343</v>
      </c>
      <c r="J408" s="112">
        <v>45812.541666666657</v>
      </c>
      <c r="K408" s="111">
        <v>45820.541666666657</v>
      </c>
      <c r="L408" s="112">
        <v>45826.458333333343</v>
      </c>
      <c r="M408" s="112">
        <v>45833.583333333343</v>
      </c>
      <c r="N408" s="111">
        <v>45839.541666666657</v>
      </c>
      <c r="O408" s="111">
        <v>45868.541666666657</v>
      </c>
      <c r="P408" s="111"/>
      <c r="Q408" s="111"/>
      <c r="R408" s="111"/>
      <c r="S408" s="111"/>
      <c r="T408" s="111"/>
      <c r="U408" s="112"/>
      <c r="V408" s="113">
        <f t="shared" si="2"/>
        <v>45868.541666666657</v>
      </c>
      <c r="W408" s="114"/>
      <c r="X408" s="114"/>
      <c r="Y408" s="2"/>
    </row>
    <row r="409" spans="1:25" ht="15.75" customHeight="1">
      <c r="A409" s="116" t="s">
        <v>719</v>
      </c>
      <c r="B409" s="116" t="str">
        <f>IFERROR(VLOOKUP(A409&amp;"", STUDENTS!A:B, 2, 0), "")</f>
        <v>VŨ THỊ HỒNG LIÊN</v>
      </c>
      <c r="C409" s="117" t="s">
        <v>85</v>
      </c>
      <c r="D409" s="117" t="str">
        <f>IFERROR(VLOOKUP(C409, PIC!A:B, 2, 0), "")</f>
        <v>Van Nguyen</v>
      </c>
      <c r="E409" s="118" t="s">
        <v>21</v>
      </c>
      <c r="F409" s="119" t="s">
        <v>815</v>
      </c>
      <c r="G409" s="120">
        <v>45783.583333333343</v>
      </c>
      <c r="H409" s="120">
        <v>45790.375</v>
      </c>
      <c r="I409" s="119">
        <v>45804.458333333343</v>
      </c>
      <c r="J409" s="120">
        <v>45812.541666666657</v>
      </c>
      <c r="K409" s="119">
        <v>45820.541666666657</v>
      </c>
      <c r="L409" s="120">
        <v>45826.458333333343</v>
      </c>
      <c r="M409" s="120">
        <v>45833.583333333343</v>
      </c>
      <c r="N409" s="119">
        <v>45839.541666666657</v>
      </c>
      <c r="O409" s="119">
        <v>45868.541666666657</v>
      </c>
      <c r="P409" s="119"/>
      <c r="Q409" s="119"/>
      <c r="R409" s="119"/>
      <c r="S409" s="119"/>
      <c r="T409" s="119"/>
      <c r="U409" s="120"/>
      <c r="V409" s="121">
        <f t="shared" si="2"/>
        <v>45868.541666666657</v>
      </c>
      <c r="W409" s="122"/>
      <c r="X409" s="122"/>
      <c r="Y409" s="2"/>
    </row>
    <row r="410" spans="1:25" ht="15.75" customHeight="1">
      <c r="A410" s="108" t="s">
        <v>719</v>
      </c>
      <c r="B410" s="108" t="str">
        <f>IFERROR(VLOOKUP(A410&amp;"", STUDENTS!A:B, 2, 0), "")</f>
        <v>VŨ THỊ HỒNG LIÊN</v>
      </c>
      <c r="C410" s="109" t="s">
        <v>85</v>
      </c>
      <c r="D410" s="109" t="str">
        <f>IFERROR(VLOOKUP(C410, PIC!A:B, 2, 0), "")</f>
        <v>Van Nguyen</v>
      </c>
      <c r="E410" s="110" t="s">
        <v>22</v>
      </c>
      <c r="F410" s="111">
        <v>45910.541666666657</v>
      </c>
      <c r="G410" s="112"/>
      <c r="H410" s="112">
        <v>45924.541666666657</v>
      </c>
      <c r="I410" s="111">
        <v>45931.541666666657</v>
      </c>
      <c r="J410" s="112">
        <v>45938.416666666657</v>
      </c>
      <c r="K410" s="111">
        <v>45951.416666666657</v>
      </c>
      <c r="L410" s="112">
        <v>45952.416666666657</v>
      </c>
      <c r="M410" s="112">
        <v>45959.458333333343</v>
      </c>
      <c r="N410" s="111">
        <v>45967.458333333343</v>
      </c>
      <c r="O410" s="111">
        <v>45974.458333333343</v>
      </c>
      <c r="P410" s="111">
        <v>45981.458333333343</v>
      </c>
      <c r="Q410" s="111">
        <v>45988.458333333343</v>
      </c>
      <c r="R410" s="111">
        <v>45995.458333333343</v>
      </c>
      <c r="S410" s="111">
        <v>46007.541666666657</v>
      </c>
      <c r="T410" s="111">
        <v>46021.458333333343</v>
      </c>
      <c r="U410" s="112">
        <v>46051.416666666657</v>
      </c>
      <c r="V410" s="113">
        <f t="shared" si="2"/>
        <v>46051.416666666657</v>
      </c>
      <c r="W410" s="114"/>
      <c r="X410" s="114"/>
      <c r="Y410" s="2"/>
    </row>
    <row r="411" spans="1:25" ht="15.75" customHeight="1">
      <c r="A411" s="116" t="s">
        <v>153</v>
      </c>
      <c r="B411" s="116" t="str">
        <f>IFERROR(VLOOKUP(A411&amp;"", STUDENTS!A:B, 2, 0), "")</f>
        <v>ĐẶNG GIA LỘC</v>
      </c>
      <c r="C411" s="117" t="s">
        <v>86</v>
      </c>
      <c r="D411" s="117" t="str">
        <f>IFERROR(VLOOKUP(C411, PIC!A:B, 2, 0), "")</f>
        <v>Quan Nguyen</v>
      </c>
      <c r="E411" s="118" t="s">
        <v>25</v>
      </c>
      <c r="F411" s="119">
        <v>45805.375</v>
      </c>
      <c r="G411" s="120">
        <v>45811.416666666657</v>
      </c>
      <c r="H411" s="120">
        <v>45818.416666666657</v>
      </c>
      <c r="I411" s="119">
        <v>45825.416666666657</v>
      </c>
      <c r="J411" s="120">
        <v>45839.416666666657</v>
      </c>
      <c r="K411" s="119">
        <v>45846.416666666657</v>
      </c>
      <c r="L411" s="120">
        <v>45855.416666666657</v>
      </c>
      <c r="M411" s="120">
        <v>45860.625</v>
      </c>
      <c r="N411" s="119">
        <v>45869.458333333343</v>
      </c>
      <c r="O411" s="119">
        <v>45881.5</v>
      </c>
      <c r="P411" s="119">
        <v>45888.541666666657</v>
      </c>
      <c r="Q411" s="119">
        <v>45897.458333333343</v>
      </c>
      <c r="R411" s="119">
        <v>45909.416666666657</v>
      </c>
      <c r="S411" s="119">
        <v>45923.416666666657</v>
      </c>
      <c r="T411" s="119">
        <v>45925.625</v>
      </c>
      <c r="U411" s="120"/>
      <c r="V411" s="121">
        <f t="shared" si="2"/>
        <v>45925.625</v>
      </c>
      <c r="W411" s="122"/>
      <c r="X411" s="122"/>
      <c r="Y411" s="2"/>
    </row>
    <row r="412" spans="1:25" ht="15.75" customHeight="1">
      <c r="A412" s="108" t="s">
        <v>277</v>
      </c>
      <c r="B412" s="108" t="str">
        <f>IFERROR(VLOOKUP(A412&amp;"", STUDENTS!A:B, 2, 0), "")</f>
        <v>LÊ NHẬT</v>
      </c>
      <c r="C412" s="109" t="s">
        <v>86</v>
      </c>
      <c r="D412" s="109" t="str">
        <f>IFERROR(VLOOKUP(C412, PIC!A:B, 2, 0), "")</f>
        <v>Quan Nguyen</v>
      </c>
      <c r="E412" s="110" t="s">
        <v>21</v>
      </c>
      <c r="F412" s="111"/>
      <c r="G412" s="112">
        <v>45930.416666666657</v>
      </c>
      <c r="H412" s="112">
        <v>45932.583333333343</v>
      </c>
      <c r="I412" s="111">
        <v>45937.416666666657</v>
      </c>
      <c r="J412" s="112">
        <v>45939.625</v>
      </c>
      <c r="K412" s="111">
        <v>45951.416666666657</v>
      </c>
      <c r="L412" s="112">
        <v>45953.625</v>
      </c>
      <c r="M412" s="112">
        <v>45958.416666666657</v>
      </c>
      <c r="N412" s="111">
        <v>45958.458333333343</v>
      </c>
      <c r="O412" s="111">
        <v>45965.625</v>
      </c>
      <c r="P412" s="111" t="s">
        <v>815</v>
      </c>
      <c r="Q412" s="111" t="s">
        <v>815</v>
      </c>
      <c r="R412" s="111">
        <v>45979.416666666657</v>
      </c>
      <c r="S412" s="111">
        <v>45987.625</v>
      </c>
      <c r="T412" s="111">
        <v>45993.416666666657</v>
      </c>
      <c r="U412" s="112">
        <v>46000.625</v>
      </c>
      <c r="V412" s="113">
        <f t="shared" si="2"/>
        <v>46000.625</v>
      </c>
      <c r="W412" s="114"/>
      <c r="X412" s="114"/>
      <c r="Y412" s="2"/>
    </row>
    <row r="413" spans="1:25" ht="15.75" customHeight="1">
      <c r="A413" s="116" t="s">
        <v>277</v>
      </c>
      <c r="B413" s="116" t="str">
        <f>IFERROR(VLOOKUP(A413&amp;"", STUDENTS!A:B, 2, 0), "")</f>
        <v>LÊ NHẬT</v>
      </c>
      <c r="C413" s="117" t="s">
        <v>86</v>
      </c>
      <c r="D413" s="117" t="str">
        <f>IFERROR(VLOOKUP(C413, PIC!A:B, 2, 0), "")</f>
        <v>Quan Nguyen</v>
      </c>
      <c r="E413" s="118" t="s">
        <v>25</v>
      </c>
      <c r="F413" s="119">
        <v>45805.375</v>
      </c>
      <c r="G413" s="120">
        <v>45811.416666666657</v>
      </c>
      <c r="H413" s="120">
        <v>45818.416666666657</v>
      </c>
      <c r="I413" s="119">
        <v>45825.416666666657</v>
      </c>
      <c r="J413" s="120">
        <v>45839.416666666657</v>
      </c>
      <c r="K413" s="119">
        <v>45846.416666666657</v>
      </c>
      <c r="L413" s="120">
        <v>45855.416666666657</v>
      </c>
      <c r="M413" s="120">
        <v>45860.625</v>
      </c>
      <c r="N413" s="119" t="s">
        <v>815</v>
      </c>
      <c r="O413" s="119">
        <v>45881.5</v>
      </c>
      <c r="P413" s="119">
        <v>45888.541666666657</v>
      </c>
      <c r="Q413" s="119">
        <v>45897.458333333343</v>
      </c>
      <c r="R413" s="119">
        <v>45909.416666666657</v>
      </c>
      <c r="S413" s="119">
        <v>45923.416666666657</v>
      </c>
      <c r="T413" s="119">
        <v>45925.625</v>
      </c>
      <c r="U413" s="120"/>
      <c r="V413" s="121">
        <f t="shared" si="2"/>
        <v>45925.625</v>
      </c>
      <c r="W413" s="122"/>
      <c r="X413" s="122"/>
      <c r="Y413" s="2"/>
    </row>
    <row r="414" spans="1:25" ht="15.75" customHeight="1">
      <c r="A414" s="108" t="s">
        <v>355</v>
      </c>
      <c r="B414" s="108" t="str">
        <f>IFERROR(VLOOKUP(A414&amp;"", STUDENTS!A:B, 2, 0), "")</f>
        <v>NGUYỄN ĐỨC ANH</v>
      </c>
      <c r="C414" s="109" t="s">
        <v>86</v>
      </c>
      <c r="D414" s="109" t="str">
        <f>IFERROR(VLOOKUP(C414, PIC!A:B, 2, 0), "")</f>
        <v>Quan Nguyen</v>
      </c>
      <c r="E414" s="110" t="s">
        <v>21</v>
      </c>
      <c r="F414" s="111"/>
      <c r="G414" s="112">
        <v>45930.416666666657</v>
      </c>
      <c r="H414" s="112">
        <v>45932.583333333343</v>
      </c>
      <c r="I414" s="111">
        <v>45937.416666666657</v>
      </c>
      <c r="J414" s="112" t="s">
        <v>815</v>
      </c>
      <c r="K414" s="111">
        <v>45951.416666666657</v>
      </c>
      <c r="L414" s="112">
        <v>45953.625</v>
      </c>
      <c r="M414" s="112" t="s">
        <v>815</v>
      </c>
      <c r="N414" s="111" t="s">
        <v>815</v>
      </c>
      <c r="O414" s="111">
        <v>45965.625</v>
      </c>
      <c r="P414" s="111" t="s">
        <v>815</v>
      </c>
      <c r="Q414" s="111" t="s">
        <v>815</v>
      </c>
      <c r="R414" s="111" t="s">
        <v>815</v>
      </c>
      <c r="S414" s="111" t="s">
        <v>815</v>
      </c>
      <c r="T414" s="111" t="s">
        <v>815</v>
      </c>
      <c r="U414" s="112" t="s">
        <v>815</v>
      </c>
      <c r="V414" s="113">
        <f t="shared" si="2"/>
        <v>45965.625</v>
      </c>
      <c r="W414" s="114"/>
      <c r="X414" s="114"/>
      <c r="Y414" s="2"/>
    </row>
    <row r="415" spans="1:25" ht="15.75" customHeight="1">
      <c r="A415" s="116" t="s">
        <v>355</v>
      </c>
      <c r="B415" s="116" t="str">
        <f>IFERROR(VLOOKUP(A415&amp;"", STUDENTS!A:B, 2, 0), "")</f>
        <v>NGUYỄN ĐỨC ANH</v>
      </c>
      <c r="C415" s="117" t="s">
        <v>86</v>
      </c>
      <c r="D415" s="117" t="str">
        <f>IFERROR(VLOOKUP(C415, PIC!A:B, 2, 0), "")</f>
        <v>Quan Nguyen</v>
      </c>
      <c r="E415" s="118" t="s">
        <v>25</v>
      </c>
      <c r="F415" s="119">
        <v>45805.375</v>
      </c>
      <c r="G415" s="120">
        <v>45811.416666666657</v>
      </c>
      <c r="H415" s="120">
        <v>45818.416666666657</v>
      </c>
      <c r="I415" s="119">
        <v>45825.416666666657</v>
      </c>
      <c r="J415" s="120">
        <v>45839.416666666657</v>
      </c>
      <c r="K415" s="119">
        <v>45846.416666666657</v>
      </c>
      <c r="L415" s="120">
        <v>45855.416666666657</v>
      </c>
      <c r="M415" s="120">
        <v>45860.625</v>
      </c>
      <c r="N415" s="119">
        <v>45869.458333333343</v>
      </c>
      <c r="O415" s="119">
        <v>45881.5</v>
      </c>
      <c r="P415" s="119">
        <v>45888.541666666657</v>
      </c>
      <c r="Q415" s="119">
        <v>45897.458333333343</v>
      </c>
      <c r="R415" s="119" t="s">
        <v>815</v>
      </c>
      <c r="S415" s="119">
        <v>45923.416666666657</v>
      </c>
      <c r="T415" s="119">
        <v>45925.625</v>
      </c>
      <c r="U415" s="120"/>
      <c r="V415" s="121">
        <f t="shared" si="2"/>
        <v>45925.625</v>
      </c>
      <c r="W415" s="122"/>
      <c r="X415" s="122"/>
      <c r="Y415" s="2"/>
    </row>
    <row r="416" spans="1:25" ht="15.75" customHeight="1">
      <c r="A416" s="108" t="s">
        <v>407</v>
      </c>
      <c r="B416" s="108" t="str">
        <f>IFERROR(VLOOKUP(A416&amp;"", STUDENTS!A:B, 2, 0), "")</f>
        <v>NGUYỄN MINH QUÂN</v>
      </c>
      <c r="C416" s="109" t="s">
        <v>86</v>
      </c>
      <c r="D416" s="109" t="str">
        <f>IFERROR(VLOOKUP(C416, PIC!A:B, 2, 0), "")</f>
        <v>Quan Nguyen</v>
      </c>
      <c r="E416" s="110" t="s">
        <v>21</v>
      </c>
      <c r="F416" s="111"/>
      <c r="G416" s="112">
        <v>45930.416666666657</v>
      </c>
      <c r="H416" s="112">
        <v>45932.583333333343</v>
      </c>
      <c r="I416" s="111">
        <v>45937.416666666657</v>
      </c>
      <c r="J416" s="112">
        <v>45939.541666666657</v>
      </c>
      <c r="K416" s="111">
        <v>45951.416666666657</v>
      </c>
      <c r="L416" s="112">
        <v>45953.625</v>
      </c>
      <c r="M416" s="112">
        <v>45958.416666666657</v>
      </c>
      <c r="N416" s="111">
        <v>45958.458333333343</v>
      </c>
      <c r="O416" s="111" t="s">
        <v>815</v>
      </c>
      <c r="P416" s="111">
        <v>45972.625</v>
      </c>
      <c r="Q416" s="111">
        <v>45979.416666666657</v>
      </c>
      <c r="R416" s="111">
        <v>45979.416666666657</v>
      </c>
      <c r="S416" s="111">
        <v>45987.625</v>
      </c>
      <c r="T416" s="111">
        <v>45993.416666666657</v>
      </c>
      <c r="U416" s="112">
        <v>46000.625</v>
      </c>
      <c r="V416" s="113">
        <f t="shared" si="2"/>
        <v>46000.625</v>
      </c>
      <c r="W416" s="114"/>
      <c r="X416" s="114"/>
      <c r="Y416" s="2"/>
    </row>
    <row r="417" spans="1:25" ht="15.75" customHeight="1">
      <c r="A417" s="116" t="s">
        <v>407</v>
      </c>
      <c r="B417" s="116" t="str">
        <f>IFERROR(VLOOKUP(A417&amp;"", STUDENTS!A:B, 2, 0), "")</f>
        <v>NGUYỄN MINH QUÂN</v>
      </c>
      <c r="C417" s="117" t="s">
        <v>86</v>
      </c>
      <c r="D417" s="117" t="str">
        <f>IFERROR(VLOOKUP(C417, PIC!A:B, 2, 0), "")</f>
        <v>Quan Nguyen</v>
      </c>
      <c r="E417" s="118" t="s">
        <v>22</v>
      </c>
      <c r="F417" s="119">
        <v>46098.625</v>
      </c>
      <c r="G417" s="120">
        <v>46105.625</v>
      </c>
      <c r="H417" s="120">
        <v>46112.625</v>
      </c>
      <c r="I417" s="119">
        <v>46119.625</v>
      </c>
      <c r="J417" s="120"/>
      <c r="K417" s="119"/>
      <c r="L417" s="120"/>
      <c r="M417" s="120"/>
      <c r="N417" s="119"/>
      <c r="O417" s="119"/>
      <c r="P417" s="119"/>
      <c r="Q417" s="119"/>
      <c r="R417" s="119"/>
      <c r="S417" s="119"/>
      <c r="T417" s="119"/>
      <c r="U417" s="120"/>
      <c r="V417" s="121">
        <f t="shared" si="2"/>
        <v>46119.625</v>
      </c>
      <c r="W417" s="122"/>
      <c r="X417" s="122"/>
      <c r="Y417" s="2"/>
    </row>
    <row r="418" spans="1:25" ht="15.75" customHeight="1">
      <c r="A418" s="108" t="s">
        <v>407</v>
      </c>
      <c r="B418" s="108" t="str">
        <f>IFERROR(VLOOKUP(A418&amp;"", STUDENTS!A:B, 2, 0), "")</f>
        <v>NGUYỄN MINH QUÂN</v>
      </c>
      <c r="C418" s="109" t="s">
        <v>86</v>
      </c>
      <c r="D418" s="109" t="str">
        <f>IFERROR(VLOOKUP(C418, PIC!A:B, 2, 0), "")</f>
        <v>Quan Nguyen</v>
      </c>
      <c r="E418" s="110" t="s">
        <v>25</v>
      </c>
      <c r="F418" s="111" t="s">
        <v>815</v>
      </c>
      <c r="G418" s="112">
        <v>45811.416666666657</v>
      </c>
      <c r="H418" s="112">
        <v>45818.416666666657</v>
      </c>
      <c r="I418" s="111">
        <v>45825.416666666657</v>
      </c>
      <c r="J418" s="112">
        <v>45839.416666666657</v>
      </c>
      <c r="K418" s="111">
        <v>45846.416666666657</v>
      </c>
      <c r="L418" s="112">
        <v>45855.416666666657</v>
      </c>
      <c r="M418" s="112">
        <v>45860.625</v>
      </c>
      <c r="N418" s="111">
        <v>45869.458333333343</v>
      </c>
      <c r="O418" s="111">
        <v>45881.5</v>
      </c>
      <c r="P418" s="111">
        <v>45888.541666666657</v>
      </c>
      <c r="Q418" s="111">
        <v>45897.458333333343</v>
      </c>
      <c r="R418" s="111">
        <v>45909.416666666657</v>
      </c>
      <c r="S418" s="111">
        <v>45923.416666666657</v>
      </c>
      <c r="T418" s="111">
        <v>45925.625</v>
      </c>
      <c r="U418" s="112"/>
      <c r="V418" s="113">
        <f t="shared" si="2"/>
        <v>45925.625</v>
      </c>
      <c r="W418" s="114"/>
      <c r="X418" s="114"/>
      <c r="Y418" s="2"/>
    </row>
    <row r="419" spans="1:25" ht="15.75" customHeight="1">
      <c r="A419" s="116" t="s">
        <v>429</v>
      </c>
      <c r="B419" s="116" t="str">
        <f>IFERROR(VLOOKUP(A419&amp;"", STUDENTS!A:B, 2, 0), "")</f>
        <v>NGUYỄN QUANG ĐỨC</v>
      </c>
      <c r="C419" s="117" t="s">
        <v>86</v>
      </c>
      <c r="D419" s="117" t="str">
        <f>IFERROR(VLOOKUP(C419, PIC!A:B, 2, 0), "")</f>
        <v>Quan Nguyen</v>
      </c>
      <c r="E419" s="118" t="s">
        <v>21</v>
      </c>
      <c r="F419" s="119"/>
      <c r="G419" s="120">
        <v>45930.416666666657</v>
      </c>
      <c r="H419" s="120">
        <v>45932.583333333343</v>
      </c>
      <c r="I419" s="119">
        <v>45937.416666666657</v>
      </c>
      <c r="J419" s="120">
        <v>45939.625</v>
      </c>
      <c r="K419" s="119">
        <v>45951.416666666657</v>
      </c>
      <c r="L419" s="120">
        <v>45953.625</v>
      </c>
      <c r="M419" s="120">
        <v>45958.416666666657</v>
      </c>
      <c r="N419" s="119">
        <v>45958.458333333343</v>
      </c>
      <c r="O419" s="119">
        <v>45965.625</v>
      </c>
      <c r="P419" s="119" t="s">
        <v>815</v>
      </c>
      <c r="Q419" s="119">
        <v>45979.416666666657</v>
      </c>
      <c r="R419" s="119">
        <v>45979.416666666657</v>
      </c>
      <c r="S419" s="119">
        <v>45987.625</v>
      </c>
      <c r="T419" s="119" t="s">
        <v>815</v>
      </c>
      <c r="U419" s="120">
        <v>46000.625</v>
      </c>
      <c r="V419" s="121">
        <f t="shared" si="2"/>
        <v>46000.625</v>
      </c>
      <c r="W419" s="122"/>
      <c r="X419" s="122"/>
      <c r="Y419" s="2"/>
    </row>
    <row r="420" spans="1:25" ht="15.75" customHeight="1">
      <c r="A420" s="108" t="s">
        <v>429</v>
      </c>
      <c r="B420" s="108" t="str">
        <f>IFERROR(VLOOKUP(A420&amp;"", STUDENTS!A:B, 2, 0), "")</f>
        <v>NGUYỄN QUANG ĐỨC</v>
      </c>
      <c r="C420" s="109" t="s">
        <v>86</v>
      </c>
      <c r="D420" s="109" t="str">
        <f>IFERROR(VLOOKUP(C420, PIC!A:B, 2, 0), "")</f>
        <v>Quan Nguyen</v>
      </c>
      <c r="E420" s="110" t="s">
        <v>22</v>
      </c>
      <c r="F420" s="111">
        <v>46098.625</v>
      </c>
      <c r="G420" s="112">
        <v>46105.625</v>
      </c>
      <c r="H420" s="112">
        <v>46112.625</v>
      </c>
      <c r="I420" s="111">
        <v>46119.625</v>
      </c>
      <c r="J420" s="112"/>
      <c r="K420" s="111"/>
      <c r="L420" s="112"/>
      <c r="M420" s="112"/>
      <c r="N420" s="111"/>
      <c r="O420" s="111"/>
      <c r="P420" s="111"/>
      <c r="Q420" s="111"/>
      <c r="R420" s="111"/>
      <c r="S420" s="111"/>
      <c r="T420" s="111"/>
      <c r="U420" s="112"/>
      <c r="V420" s="113">
        <f t="shared" si="2"/>
        <v>46119.625</v>
      </c>
      <c r="W420" s="114"/>
      <c r="X420" s="114"/>
      <c r="Y420" s="2"/>
    </row>
    <row r="421" spans="1:25" ht="15.75" customHeight="1">
      <c r="A421" s="116" t="s">
        <v>429</v>
      </c>
      <c r="B421" s="116" t="str">
        <f>IFERROR(VLOOKUP(A421&amp;"", STUDENTS!A:B, 2, 0), "")</f>
        <v>NGUYỄN QUANG ĐỨC</v>
      </c>
      <c r="C421" s="117" t="s">
        <v>86</v>
      </c>
      <c r="D421" s="117" t="str">
        <f>IFERROR(VLOOKUP(C421, PIC!A:B, 2, 0), "")</f>
        <v>Quan Nguyen</v>
      </c>
      <c r="E421" s="118" t="s">
        <v>25</v>
      </c>
      <c r="F421" s="119">
        <v>45805.375</v>
      </c>
      <c r="G421" s="120">
        <v>45811.416666666657</v>
      </c>
      <c r="H421" s="120">
        <v>45818.416666666657</v>
      </c>
      <c r="I421" s="119">
        <v>45825.416666666657</v>
      </c>
      <c r="J421" s="120">
        <v>45839.416666666657</v>
      </c>
      <c r="K421" s="119">
        <v>45846.416666666657</v>
      </c>
      <c r="L421" s="120">
        <v>45855.416666666657</v>
      </c>
      <c r="M421" s="120" t="s">
        <v>815</v>
      </c>
      <c r="N421" s="119">
        <v>45869.458333333343</v>
      </c>
      <c r="O421" s="119">
        <v>45881.5</v>
      </c>
      <c r="P421" s="119">
        <v>45888.541666666657</v>
      </c>
      <c r="Q421" s="119" t="s">
        <v>815</v>
      </c>
      <c r="R421" s="119">
        <v>45909.416666666657</v>
      </c>
      <c r="S421" s="119" t="s">
        <v>815</v>
      </c>
      <c r="T421" s="119">
        <v>45925.625</v>
      </c>
      <c r="U421" s="120"/>
      <c r="V421" s="121">
        <f t="shared" si="2"/>
        <v>45925.625</v>
      </c>
      <c r="W421" s="122"/>
      <c r="X421" s="122"/>
      <c r="Y421" s="2"/>
    </row>
    <row r="422" spans="1:25" ht="15.75" customHeight="1">
      <c r="A422" s="108" t="s">
        <v>538</v>
      </c>
      <c r="B422" s="108" t="str">
        <f>IFERROR(VLOOKUP(A422&amp;"", STUDENTS!A:B, 2, 0), "")</f>
        <v>PHẠM MAI NHẬT</v>
      </c>
      <c r="C422" s="109" t="s">
        <v>86</v>
      </c>
      <c r="D422" s="109" t="str">
        <f>IFERROR(VLOOKUP(C422, PIC!A:B, 2, 0), "")</f>
        <v>Quan Nguyen</v>
      </c>
      <c r="E422" s="110" t="s">
        <v>21</v>
      </c>
      <c r="F422" s="111"/>
      <c r="G422" s="112">
        <v>45930.416666666657</v>
      </c>
      <c r="H422" s="112">
        <v>45932.583333333343</v>
      </c>
      <c r="I422" s="111">
        <v>45937.416666666657</v>
      </c>
      <c r="J422" s="112">
        <v>45939.625</v>
      </c>
      <c r="K422" s="111" t="s">
        <v>815</v>
      </c>
      <c r="L422" s="112">
        <v>45953.625</v>
      </c>
      <c r="M422" s="112">
        <v>45958.416666666657</v>
      </c>
      <c r="N422" s="111">
        <v>45958.458333333343</v>
      </c>
      <c r="O422" s="111">
        <v>45965.625</v>
      </c>
      <c r="P422" s="111">
        <v>45972.625</v>
      </c>
      <c r="Q422" s="111">
        <v>45979.416666666657</v>
      </c>
      <c r="R422" s="111">
        <v>45979.416666666657</v>
      </c>
      <c r="S422" s="111">
        <v>45987.625</v>
      </c>
      <c r="T422" s="111">
        <v>45993.416666666657</v>
      </c>
      <c r="U422" s="112">
        <v>46000.625</v>
      </c>
      <c r="V422" s="113">
        <f t="shared" si="2"/>
        <v>46000.625</v>
      </c>
      <c r="W422" s="114"/>
      <c r="X422" s="114"/>
      <c r="Y422" s="2"/>
    </row>
    <row r="423" spans="1:25" ht="15.75" customHeight="1">
      <c r="A423" s="116" t="s">
        <v>538</v>
      </c>
      <c r="B423" s="116" t="str">
        <f>IFERROR(VLOOKUP(A423&amp;"", STUDENTS!A:B, 2, 0), "")</f>
        <v>PHẠM MAI NHẬT</v>
      </c>
      <c r="C423" s="117" t="s">
        <v>86</v>
      </c>
      <c r="D423" s="117" t="str">
        <f>IFERROR(VLOOKUP(C423, PIC!A:B, 2, 0), "")</f>
        <v>Quan Nguyen</v>
      </c>
      <c r="E423" s="118" t="s">
        <v>22</v>
      </c>
      <c r="F423" s="119">
        <v>46098.625</v>
      </c>
      <c r="G423" s="120">
        <v>46105.625</v>
      </c>
      <c r="H423" s="120">
        <v>46112.625</v>
      </c>
      <c r="I423" s="119">
        <v>46119.625</v>
      </c>
      <c r="J423" s="120"/>
      <c r="K423" s="119"/>
      <c r="L423" s="120"/>
      <c r="M423" s="120"/>
      <c r="N423" s="119"/>
      <c r="O423" s="119"/>
      <c r="P423" s="119"/>
      <c r="Q423" s="119"/>
      <c r="R423" s="119"/>
      <c r="S423" s="119"/>
      <c r="T423" s="119"/>
      <c r="U423" s="120"/>
      <c r="V423" s="121">
        <f t="shared" si="2"/>
        <v>46119.625</v>
      </c>
      <c r="W423" s="122"/>
      <c r="X423" s="122"/>
      <c r="Y423" s="2"/>
    </row>
    <row r="424" spans="1:25" ht="15.75" customHeight="1">
      <c r="A424" s="108" t="s">
        <v>538</v>
      </c>
      <c r="B424" s="108" t="str">
        <f>IFERROR(VLOOKUP(A424&amp;"", STUDENTS!A:B, 2, 0), "")</f>
        <v>PHẠM MAI NHẬT</v>
      </c>
      <c r="C424" s="109" t="s">
        <v>86</v>
      </c>
      <c r="D424" s="109" t="str">
        <f>IFERROR(VLOOKUP(C424, PIC!A:B, 2, 0), "")</f>
        <v>Quan Nguyen</v>
      </c>
      <c r="E424" s="110" t="s">
        <v>25</v>
      </c>
      <c r="F424" s="111">
        <v>45805.375</v>
      </c>
      <c r="G424" s="112">
        <v>45811.416666666657</v>
      </c>
      <c r="H424" s="112">
        <v>45818.416666666657</v>
      </c>
      <c r="I424" s="111">
        <v>45825.416666666657</v>
      </c>
      <c r="J424" s="112">
        <v>45839.416666666657</v>
      </c>
      <c r="K424" s="111">
        <v>45846.416666666657</v>
      </c>
      <c r="L424" s="112">
        <v>45855.416666666657</v>
      </c>
      <c r="M424" s="112">
        <v>45860.625</v>
      </c>
      <c r="N424" s="111">
        <v>45869.458333333343</v>
      </c>
      <c r="O424" s="111">
        <v>45881.5</v>
      </c>
      <c r="P424" s="111">
        <v>45888.541666666657</v>
      </c>
      <c r="Q424" s="111" t="s">
        <v>815</v>
      </c>
      <c r="R424" s="111">
        <v>45909.416666666657</v>
      </c>
      <c r="S424" s="111">
        <v>45923.416666666657</v>
      </c>
      <c r="T424" s="111">
        <v>45925.625</v>
      </c>
      <c r="U424" s="112"/>
      <c r="V424" s="113">
        <f t="shared" si="2"/>
        <v>45925.625</v>
      </c>
      <c r="W424" s="114"/>
      <c r="X424" s="114"/>
      <c r="Y424" s="2"/>
    </row>
    <row r="425" spans="1:25" ht="15.75" customHeight="1">
      <c r="A425" s="116" t="s">
        <v>629</v>
      </c>
      <c r="B425" s="116" t="str">
        <f>IFERROR(VLOOKUP(A425&amp;"", STUDENTS!A:B, 2, 0), "")</f>
        <v>TRẦN NHỰT DUY</v>
      </c>
      <c r="C425" s="117" t="s">
        <v>86</v>
      </c>
      <c r="D425" s="117" t="str">
        <f>IFERROR(VLOOKUP(C425, PIC!A:B, 2, 0), "")</f>
        <v>Quan Nguyen</v>
      </c>
      <c r="E425" s="118" t="s">
        <v>21</v>
      </c>
      <c r="F425" s="119"/>
      <c r="G425" s="120">
        <v>45930.416666666657</v>
      </c>
      <c r="H425" s="120">
        <v>45932.583333333343</v>
      </c>
      <c r="I425" s="119">
        <v>45937.416666666657</v>
      </c>
      <c r="J425" s="120">
        <v>45939.625</v>
      </c>
      <c r="K425" s="119">
        <v>45951.416666666657</v>
      </c>
      <c r="L425" s="120">
        <v>45953.625</v>
      </c>
      <c r="M425" s="120">
        <v>45958.416666666657</v>
      </c>
      <c r="N425" s="119">
        <v>45958.458333333343</v>
      </c>
      <c r="O425" s="119">
        <v>45965.625</v>
      </c>
      <c r="P425" s="119">
        <v>45972.625</v>
      </c>
      <c r="Q425" s="119" t="s">
        <v>815</v>
      </c>
      <c r="R425" s="119" t="s">
        <v>815</v>
      </c>
      <c r="S425" s="119" t="s">
        <v>815</v>
      </c>
      <c r="T425" s="119" t="s">
        <v>815</v>
      </c>
      <c r="U425" s="120" t="s">
        <v>815</v>
      </c>
      <c r="V425" s="121">
        <f t="shared" si="2"/>
        <v>45972.625</v>
      </c>
      <c r="W425" s="122"/>
      <c r="X425" s="122"/>
      <c r="Y425" s="2"/>
    </row>
    <row r="426" spans="1:25" ht="15.75" customHeight="1">
      <c r="A426" s="108" t="s">
        <v>629</v>
      </c>
      <c r="B426" s="108" t="str">
        <f>IFERROR(VLOOKUP(A426&amp;"", STUDENTS!A:B, 2, 0), "")</f>
        <v>TRẦN NHỰT DUY</v>
      </c>
      <c r="C426" s="109" t="s">
        <v>86</v>
      </c>
      <c r="D426" s="109" t="str">
        <f>IFERROR(VLOOKUP(C426, PIC!A:B, 2, 0), "")</f>
        <v>Quan Nguyen</v>
      </c>
      <c r="E426" s="110" t="s">
        <v>25</v>
      </c>
      <c r="F426" s="111">
        <v>45805.375</v>
      </c>
      <c r="G426" s="112">
        <v>45811.416666666657</v>
      </c>
      <c r="H426" s="112">
        <v>45818.416666666657</v>
      </c>
      <c r="I426" s="111">
        <v>45825.416666666657</v>
      </c>
      <c r="J426" s="112">
        <v>45839.416666666657</v>
      </c>
      <c r="K426" s="111">
        <v>45846.416666666657</v>
      </c>
      <c r="L426" s="112">
        <v>45855.416666666657</v>
      </c>
      <c r="M426" s="112">
        <v>45860.625</v>
      </c>
      <c r="N426" s="111">
        <v>45869.458333333343</v>
      </c>
      <c r="O426" s="111">
        <v>45881.5</v>
      </c>
      <c r="P426" s="111">
        <v>45888.541666666657</v>
      </c>
      <c r="Q426" s="111">
        <v>45897.458333333343</v>
      </c>
      <c r="R426" s="111">
        <v>45909.416666666657</v>
      </c>
      <c r="S426" s="111">
        <v>45923.416666666657</v>
      </c>
      <c r="T426" s="111">
        <v>45925.625</v>
      </c>
      <c r="U426" s="112"/>
      <c r="V426" s="113">
        <f t="shared" si="2"/>
        <v>45925.625</v>
      </c>
      <c r="W426" s="114"/>
      <c r="X426" s="114"/>
      <c r="Y426" s="2"/>
    </row>
    <row r="427" spans="1:25" ht="15.75" customHeight="1">
      <c r="A427" s="116" t="s">
        <v>679</v>
      </c>
      <c r="B427" s="116" t="str">
        <f>IFERROR(VLOOKUP(A427&amp;"", STUDENTS!A:B, 2, 0), "")</f>
        <v>TRƯƠNG ĐÌNH ÁNH</v>
      </c>
      <c r="C427" s="117" t="s">
        <v>86</v>
      </c>
      <c r="D427" s="117" t="str">
        <f>IFERROR(VLOOKUP(C427, PIC!A:B, 2, 0), "")</f>
        <v>Quan Nguyen</v>
      </c>
      <c r="E427" s="118" t="s">
        <v>21</v>
      </c>
      <c r="F427" s="119"/>
      <c r="G427" s="120">
        <v>45930.416666666657</v>
      </c>
      <c r="H427" s="120">
        <v>45932.583333333343</v>
      </c>
      <c r="I427" s="119" t="s">
        <v>815</v>
      </c>
      <c r="J427" s="120">
        <v>45939.625</v>
      </c>
      <c r="K427" s="119" t="s">
        <v>815</v>
      </c>
      <c r="L427" s="120">
        <v>45953.625</v>
      </c>
      <c r="M427" s="120" t="s">
        <v>815</v>
      </c>
      <c r="N427" s="119">
        <v>45958.458333333343</v>
      </c>
      <c r="O427" s="119">
        <v>45965.625</v>
      </c>
      <c r="P427" s="119" t="s">
        <v>815</v>
      </c>
      <c r="Q427" s="119">
        <v>45979.416666666657</v>
      </c>
      <c r="R427" s="119">
        <v>45979.416666666657</v>
      </c>
      <c r="S427" s="119">
        <v>45987.625</v>
      </c>
      <c r="T427" s="119">
        <v>45993.416666666657</v>
      </c>
      <c r="U427" s="120">
        <v>46000.625</v>
      </c>
      <c r="V427" s="121">
        <f t="shared" si="2"/>
        <v>46000.625</v>
      </c>
      <c r="W427" s="122"/>
      <c r="X427" s="122"/>
      <c r="Y427" s="2"/>
    </row>
    <row r="428" spans="1:25" ht="15.75" customHeight="1">
      <c r="A428" s="108" t="s">
        <v>679</v>
      </c>
      <c r="B428" s="108" t="str">
        <f>IFERROR(VLOOKUP(A428&amp;"", STUDENTS!A:B, 2, 0), "")</f>
        <v>TRƯƠNG ĐÌNH ÁNH</v>
      </c>
      <c r="C428" s="109" t="s">
        <v>86</v>
      </c>
      <c r="D428" s="109" t="str">
        <f>IFERROR(VLOOKUP(C428, PIC!A:B, 2, 0), "")</f>
        <v>Quan Nguyen</v>
      </c>
      <c r="E428" s="110" t="s">
        <v>25</v>
      </c>
      <c r="F428" s="111">
        <v>45805.375</v>
      </c>
      <c r="G428" s="112">
        <v>45811.416666666657</v>
      </c>
      <c r="H428" s="112">
        <v>45818.416666666657</v>
      </c>
      <c r="I428" s="111">
        <v>45825.416666666657</v>
      </c>
      <c r="J428" s="112">
        <v>45839.416666666657</v>
      </c>
      <c r="K428" s="111">
        <v>45846.416666666657</v>
      </c>
      <c r="L428" s="112">
        <v>45855.416666666657</v>
      </c>
      <c r="M428" s="112" t="s">
        <v>815</v>
      </c>
      <c r="N428" s="111">
        <v>45869.458333333343</v>
      </c>
      <c r="O428" s="111">
        <v>45881.5</v>
      </c>
      <c r="P428" s="111">
        <v>45888.541666666657</v>
      </c>
      <c r="Q428" s="111">
        <v>45897.458333333343</v>
      </c>
      <c r="R428" s="111">
        <v>45909.416666666657</v>
      </c>
      <c r="S428" s="111">
        <v>45923.416666666657</v>
      </c>
      <c r="T428" s="111" t="s">
        <v>815</v>
      </c>
      <c r="U428" s="112"/>
      <c r="V428" s="113">
        <f t="shared" si="2"/>
        <v>45923.416666666657</v>
      </c>
      <c r="W428" s="114"/>
      <c r="X428" s="114"/>
      <c r="Y428" s="2"/>
    </row>
    <row r="429" spans="1:25" ht="15.75" customHeight="1">
      <c r="A429" s="116" t="s">
        <v>691</v>
      </c>
      <c r="B429" s="116" t="str">
        <f>IFERROR(VLOOKUP(A429&amp;"", STUDENTS!A:B, 2, 0), "")</f>
        <v>VÕ CHÍ ĐẠI</v>
      </c>
      <c r="C429" s="117" t="s">
        <v>86</v>
      </c>
      <c r="D429" s="117" t="str">
        <f>IFERROR(VLOOKUP(C429, PIC!A:B, 2, 0), "")</f>
        <v>Quan Nguyen</v>
      </c>
      <c r="E429" s="118" t="s">
        <v>21</v>
      </c>
      <c r="F429" s="119"/>
      <c r="G429" s="120">
        <v>45930.416666666657</v>
      </c>
      <c r="H429" s="120">
        <v>45932.583333333343</v>
      </c>
      <c r="I429" s="119">
        <v>45937.416666666657</v>
      </c>
      <c r="J429" s="120">
        <v>45939.625</v>
      </c>
      <c r="K429" s="119">
        <v>45951.416666666657</v>
      </c>
      <c r="L429" s="120">
        <v>45953.625</v>
      </c>
      <c r="M429" s="120" t="s">
        <v>815</v>
      </c>
      <c r="N429" s="119" t="s">
        <v>815</v>
      </c>
      <c r="O429" s="119">
        <v>45965.625</v>
      </c>
      <c r="P429" s="119">
        <v>45972.625</v>
      </c>
      <c r="Q429" s="119" t="s">
        <v>815</v>
      </c>
      <c r="R429" s="119">
        <v>45979.416666666657</v>
      </c>
      <c r="S429" s="119">
        <v>45987.625</v>
      </c>
      <c r="T429" s="119">
        <v>45993.416666666657</v>
      </c>
      <c r="U429" s="120">
        <v>46000.625</v>
      </c>
      <c r="V429" s="121">
        <f t="shared" si="2"/>
        <v>46000.625</v>
      </c>
      <c r="W429" s="122"/>
      <c r="X429" s="122"/>
      <c r="Y429" s="2"/>
    </row>
    <row r="430" spans="1:25" ht="15.75" customHeight="1">
      <c r="A430" s="108" t="s">
        <v>691</v>
      </c>
      <c r="B430" s="108" t="str">
        <f>IFERROR(VLOOKUP(A430&amp;"", STUDENTS!A:B, 2, 0), "")</f>
        <v>VÕ CHÍ ĐẠI</v>
      </c>
      <c r="C430" s="109" t="s">
        <v>86</v>
      </c>
      <c r="D430" s="109" t="str">
        <f>IFERROR(VLOOKUP(C430, PIC!A:B, 2, 0), "")</f>
        <v>Quan Nguyen</v>
      </c>
      <c r="E430" s="110" t="s">
        <v>22</v>
      </c>
      <c r="F430" s="111">
        <v>46098.625</v>
      </c>
      <c r="G430" s="112">
        <v>46105.625</v>
      </c>
      <c r="H430" s="112">
        <v>46112.625</v>
      </c>
      <c r="I430" s="111">
        <v>46119.625</v>
      </c>
      <c r="J430" s="112"/>
      <c r="K430" s="111"/>
      <c r="L430" s="112"/>
      <c r="M430" s="112"/>
      <c r="N430" s="111"/>
      <c r="O430" s="111"/>
      <c r="P430" s="111"/>
      <c r="Q430" s="111"/>
      <c r="R430" s="111"/>
      <c r="S430" s="111"/>
      <c r="T430" s="111"/>
      <c r="U430" s="112"/>
      <c r="V430" s="113">
        <f t="shared" si="2"/>
        <v>46119.625</v>
      </c>
      <c r="W430" s="114"/>
      <c r="X430" s="114"/>
      <c r="Y430" s="2"/>
    </row>
    <row r="431" spans="1:25" ht="15.75" customHeight="1">
      <c r="A431" s="116" t="s">
        <v>691</v>
      </c>
      <c r="B431" s="116" t="str">
        <f>IFERROR(VLOOKUP(A431&amp;"", STUDENTS!A:B, 2, 0), "")</f>
        <v>VÕ CHÍ ĐẠI</v>
      </c>
      <c r="C431" s="117" t="s">
        <v>86</v>
      </c>
      <c r="D431" s="117" t="str">
        <f>IFERROR(VLOOKUP(C431, PIC!A:B, 2, 0), "")</f>
        <v>Quan Nguyen</v>
      </c>
      <c r="E431" s="118" t="s">
        <v>25</v>
      </c>
      <c r="F431" s="119">
        <v>45805.375</v>
      </c>
      <c r="G431" s="120">
        <v>45811.416666666657</v>
      </c>
      <c r="H431" s="120">
        <v>45818.416666666657</v>
      </c>
      <c r="I431" s="119">
        <v>45825.416666666657</v>
      </c>
      <c r="J431" s="120">
        <v>45839.416666666657</v>
      </c>
      <c r="K431" s="119">
        <v>45846.416666666657</v>
      </c>
      <c r="L431" s="120">
        <v>45855.416666666657</v>
      </c>
      <c r="M431" s="120">
        <v>45860.625</v>
      </c>
      <c r="N431" s="119">
        <v>45869.458333333343</v>
      </c>
      <c r="O431" s="119" t="s">
        <v>815</v>
      </c>
      <c r="P431" s="119">
        <v>45888.541666666657</v>
      </c>
      <c r="Q431" s="119">
        <v>45897.458333333343</v>
      </c>
      <c r="R431" s="119">
        <v>45909.416666666657</v>
      </c>
      <c r="S431" s="119">
        <v>45923.416666666657</v>
      </c>
      <c r="T431" s="119" t="s">
        <v>815</v>
      </c>
      <c r="U431" s="120"/>
      <c r="V431" s="121">
        <f t="shared" si="2"/>
        <v>45923.416666666657</v>
      </c>
      <c r="W431" s="122"/>
      <c r="X431" s="122"/>
      <c r="Y431" s="2"/>
    </row>
    <row r="432" spans="1:25" ht="15.75" customHeight="1">
      <c r="A432" s="108" t="s">
        <v>383</v>
      </c>
      <c r="B432" s="108" t="str">
        <f>IFERROR(VLOOKUP(A432&amp;"", STUDENTS!A:B, 2, 0), "")</f>
        <v>Nguyễn Hồng Mỹ</v>
      </c>
      <c r="C432" s="109" t="s">
        <v>87</v>
      </c>
      <c r="D432" s="109" t="str">
        <f>IFERROR(VLOOKUP(C432, PIC!A:B, 2, 0), "")</f>
        <v>My Nguyen</v>
      </c>
      <c r="E432" s="110" t="s">
        <v>21</v>
      </c>
      <c r="F432" s="111">
        <v>45813.458333333343</v>
      </c>
      <c r="G432" s="112">
        <v>45820.458333333343</v>
      </c>
      <c r="H432" s="112">
        <v>45841.625</v>
      </c>
      <c r="I432" s="111">
        <v>45849.416666666657</v>
      </c>
      <c r="J432" s="112">
        <v>45855.625</v>
      </c>
      <c r="K432" s="111">
        <v>45890.458333333343</v>
      </c>
      <c r="L432" s="112">
        <v>45911.625</v>
      </c>
      <c r="M432" s="112">
        <v>45912.541666666657</v>
      </c>
      <c r="N432" s="111">
        <v>45918.625</v>
      </c>
      <c r="O432" s="111">
        <v>45996.458333333343</v>
      </c>
      <c r="P432" s="111"/>
      <c r="Q432" s="111"/>
      <c r="R432" s="111"/>
      <c r="S432" s="111"/>
      <c r="T432" s="111"/>
      <c r="U432" s="112"/>
      <c r="V432" s="113">
        <f t="shared" si="2"/>
        <v>45996.458333333343</v>
      </c>
      <c r="W432" s="114"/>
      <c r="X432" s="114"/>
      <c r="Y432" s="2"/>
    </row>
    <row r="433" spans="1:25" ht="15.75" customHeight="1">
      <c r="A433" s="116" t="s">
        <v>383</v>
      </c>
      <c r="B433" s="116" t="str">
        <f>IFERROR(VLOOKUP(A433&amp;"", STUDENTS!A:B, 2, 0), "")</f>
        <v>Nguyễn Hồng Mỹ</v>
      </c>
      <c r="C433" s="117" t="s">
        <v>87</v>
      </c>
      <c r="D433" s="117" t="str">
        <f>IFERROR(VLOOKUP(C433, PIC!A:B, 2, 0), "")</f>
        <v>My Nguyen</v>
      </c>
      <c r="E433" s="118" t="s">
        <v>22</v>
      </c>
      <c r="F433" s="119">
        <v>46038.416666666657</v>
      </c>
      <c r="G433" s="120">
        <v>46044.458333333343</v>
      </c>
      <c r="H433" s="120">
        <v>46051.583333333343</v>
      </c>
      <c r="I433" s="119">
        <v>46052.458333333343</v>
      </c>
      <c r="J433" s="120">
        <v>46086.541666666657</v>
      </c>
      <c r="K433" s="119"/>
      <c r="L433" s="120"/>
      <c r="M433" s="120"/>
      <c r="N433" s="119"/>
      <c r="O433" s="119"/>
      <c r="P433" s="119"/>
      <c r="Q433" s="119"/>
      <c r="R433" s="119"/>
      <c r="S433" s="119"/>
      <c r="T433" s="119"/>
      <c r="U433" s="120"/>
      <c r="V433" s="121">
        <f t="shared" si="2"/>
        <v>46086.541666666657</v>
      </c>
      <c r="W433" s="122"/>
      <c r="X433" s="122"/>
      <c r="Y433" s="2"/>
    </row>
    <row r="434" spans="1:25" ht="15.75" customHeight="1">
      <c r="A434" s="108" t="s">
        <v>389</v>
      </c>
      <c r="B434" s="108" t="str">
        <f>IFERROR(VLOOKUP(A434&amp;"", STUDENTS!A:B, 2, 0), "")</f>
        <v>Nguyễn Hữu Phước</v>
      </c>
      <c r="C434" s="109" t="s">
        <v>87</v>
      </c>
      <c r="D434" s="109" t="str">
        <f>IFERROR(VLOOKUP(C434, PIC!A:B, 2, 0), "")</f>
        <v>My Nguyen</v>
      </c>
      <c r="E434" s="110" t="s">
        <v>21</v>
      </c>
      <c r="F434" s="111">
        <v>45813.458333333343</v>
      </c>
      <c r="G434" s="112">
        <v>45820.458333333343</v>
      </c>
      <c r="H434" s="112">
        <v>45841.625</v>
      </c>
      <c r="I434" s="111">
        <v>45849.416666666657</v>
      </c>
      <c r="J434" s="112">
        <v>45855.625</v>
      </c>
      <c r="K434" s="111">
        <v>45890.458333333343</v>
      </c>
      <c r="L434" s="112">
        <v>45911.625</v>
      </c>
      <c r="M434" s="112">
        <v>45912.541666666657</v>
      </c>
      <c r="N434" s="111">
        <v>45918.625</v>
      </c>
      <c r="O434" s="111">
        <v>45996.458333333343</v>
      </c>
      <c r="P434" s="111"/>
      <c r="Q434" s="111"/>
      <c r="R434" s="111"/>
      <c r="S434" s="111"/>
      <c r="T434" s="111"/>
      <c r="U434" s="112"/>
      <c r="V434" s="113">
        <f t="shared" si="2"/>
        <v>45996.458333333343</v>
      </c>
      <c r="W434" s="114"/>
      <c r="X434" s="114"/>
      <c r="Y434" s="2"/>
    </row>
    <row r="435" spans="1:25" ht="15.75" customHeight="1">
      <c r="A435" s="116" t="s">
        <v>389</v>
      </c>
      <c r="B435" s="116" t="str">
        <f>IFERROR(VLOOKUP(A435&amp;"", STUDENTS!A:B, 2, 0), "")</f>
        <v>Nguyễn Hữu Phước</v>
      </c>
      <c r="C435" s="117" t="s">
        <v>87</v>
      </c>
      <c r="D435" s="117" t="str">
        <f>IFERROR(VLOOKUP(C435, PIC!A:B, 2, 0), "")</f>
        <v>My Nguyen</v>
      </c>
      <c r="E435" s="118" t="s">
        <v>22</v>
      </c>
      <c r="F435" s="119">
        <v>46038.416666666657</v>
      </c>
      <c r="G435" s="120">
        <v>46044.458333333343</v>
      </c>
      <c r="H435" s="120">
        <v>46051.583333333343</v>
      </c>
      <c r="I435" s="119">
        <v>46052.458333333343</v>
      </c>
      <c r="J435" s="120">
        <v>46086.541666666657</v>
      </c>
      <c r="K435" s="119"/>
      <c r="L435" s="120"/>
      <c r="M435" s="120"/>
      <c r="N435" s="119"/>
      <c r="O435" s="119"/>
      <c r="P435" s="119"/>
      <c r="Q435" s="119"/>
      <c r="R435" s="119"/>
      <c r="S435" s="119"/>
      <c r="T435" s="119"/>
      <c r="U435" s="120"/>
      <c r="V435" s="121">
        <f t="shared" si="2"/>
        <v>46086.541666666657</v>
      </c>
      <c r="W435" s="122"/>
      <c r="X435" s="122"/>
      <c r="Y435" s="2"/>
    </row>
    <row r="436" spans="1:25" ht="15.75" customHeight="1">
      <c r="A436" s="108" t="s">
        <v>637</v>
      </c>
      <c r="B436" s="108" t="str">
        <f>IFERROR(VLOOKUP(A436&amp;"", STUDENTS!A:B, 2, 0), "")</f>
        <v>Trần Quốc Hiệp</v>
      </c>
      <c r="C436" s="109" t="s">
        <v>87</v>
      </c>
      <c r="D436" s="109" t="str">
        <f>IFERROR(VLOOKUP(C436, PIC!A:B, 2, 0), "")</f>
        <v>My Nguyen</v>
      </c>
      <c r="E436" s="110" t="s">
        <v>21</v>
      </c>
      <c r="F436" s="111">
        <v>45813.458333333343</v>
      </c>
      <c r="G436" s="112">
        <v>45820.458333333343</v>
      </c>
      <c r="H436" s="112" t="s">
        <v>815</v>
      </c>
      <c r="I436" s="111">
        <v>45849.416666666657</v>
      </c>
      <c r="J436" s="112" t="s">
        <v>815</v>
      </c>
      <c r="K436" s="111">
        <v>45890.458333333343</v>
      </c>
      <c r="L436" s="112">
        <v>45911.625</v>
      </c>
      <c r="M436" s="112">
        <v>45912.541666666657</v>
      </c>
      <c r="N436" s="111">
        <v>45918.625</v>
      </c>
      <c r="O436" s="111">
        <v>45996.458333333343</v>
      </c>
      <c r="P436" s="111"/>
      <c r="Q436" s="111"/>
      <c r="R436" s="111"/>
      <c r="S436" s="111"/>
      <c r="T436" s="111"/>
      <c r="U436" s="112"/>
      <c r="V436" s="113">
        <f t="shared" si="2"/>
        <v>45996.458333333343</v>
      </c>
      <c r="W436" s="114"/>
      <c r="X436" s="114"/>
      <c r="Y436" s="2"/>
    </row>
    <row r="437" spans="1:25" ht="15.75" customHeight="1">
      <c r="A437" s="116" t="s">
        <v>637</v>
      </c>
      <c r="B437" s="116" t="str">
        <f>IFERROR(VLOOKUP(A437&amp;"", STUDENTS!A:B, 2, 0), "")</f>
        <v>Trần Quốc Hiệp</v>
      </c>
      <c r="C437" s="117" t="s">
        <v>87</v>
      </c>
      <c r="D437" s="117" t="str">
        <f>IFERROR(VLOOKUP(C437, PIC!A:B, 2, 0), "")</f>
        <v>My Nguyen</v>
      </c>
      <c r="E437" s="118" t="s">
        <v>22</v>
      </c>
      <c r="F437" s="119">
        <v>46038.416666666657</v>
      </c>
      <c r="G437" s="120">
        <v>46044.458333333343</v>
      </c>
      <c r="H437" s="120">
        <v>46051.583333333343</v>
      </c>
      <c r="I437" s="119">
        <v>46052.458333333343</v>
      </c>
      <c r="J437" s="120" t="s">
        <v>815</v>
      </c>
      <c r="K437" s="119"/>
      <c r="L437" s="120"/>
      <c r="M437" s="120"/>
      <c r="N437" s="119"/>
      <c r="O437" s="119"/>
      <c r="P437" s="119"/>
      <c r="Q437" s="119"/>
      <c r="R437" s="119"/>
      <c r="S437" s="119"/>
      <c r="T437" s="119"/>
      <c r="U437" s="120"/>
      <c r="V437" s="121">
        <f t="shared" si="2"/>
        <v>46052.458333333343</v>
      </c>
      <c r="W437" s="122"/>
      <c r="X437" s="122"/>
      <c r="Y437" s="2"/>
    </row>
    <row r="438" spans="1:25" ht="15.75" customHeight="1">
      <c r="A438" s="108" t="s">
        <v>663</v>
      </c>
      <c r="B438" s="108" t="str">
        <f>IFERROR(VLOOKUP(A438&amp;"", STUDENTS!A:B, 2, 0), "")</f>
        <v>Trần Tuấn Kiệt</v>
      </c>
      <c r="C438" s="109" t="s">
        <v>87</v>
      </c>
      <c r="D438" s="109" t="str">
        <f>IFERROR(VLOOKUP(C438, PIC!A:B, 2, 0), "")</f>
        <v>My Nguyen</v>
      </c>
      <c r="E438" s="110" t="s">
        <v>21</v>
      </c>
      <c r="F438" s="111">
        <v>45813.458333333343</v>
      </c>
      <c r="G438" s="112">
        <v>45820.458333333343</v>
      </c>
      <c r="H438" s="112">
        <v>45841.625</v>
      </c>
      <c r="I438" s="111">
        <v>45849.416666666657</v>
      </c>
      <c r="J438" s="112">
        <v>45855.625</v>
      </c>
      <c r="K438" s="111">
        <v>45890.458333333343</v>
      </c>
      <c r="L438" s="112" t="s">
        <v>815</v>
      </c>
      <c r="M438" s="112">
        <v>45912.541666666657</v>
      </c>
      <c r="N438" s="111">
        <v>45918.625</v>
      </c>
      <c r="O438" s="111">
        <v>45996.458333333343</v>
      </c>
      <c r="P438" s="111"/>
      <c r="Q438" s="111"/>
      <c r="R438" s="111"/>
      <c r="S438" s="111"/>
      <c r="T438" s="111"/>
      <c r="U438" s="112"/>
      <c r="V438" s="113">
        <f t="shared" si="2"/>
        <v>45996.458333333343</v>
      </c>
      <c r="W438" s="114"/>
      <c r="X438" s="114"/>
      <c r="Y438" s="2"/>
    </row>
    <row r="439" spans="1:25" ht="15.75" customHeight="1">
      <c r="A439" s="116" t="s">
        <v>663</v>
      </c>
      <c r="B439" s="116" t="str">
        <f>IFERROR(VLOOKUP(A439&amp;"", STUDENTS!A:B, 2, 0), "")</f>
        <v>Trần Tuấn Kiệt</v>
      </c>
      <c r="C439" s="117" t="s">
        <v>87</v>
      </c>
      <c r="D439" s="117" t="str">
        <f>IFERROR(VLOOKUP(C439, PIC!A:B, 2, 0), "")</f>
        <v>My Nguyen</v>
      </c>
      <c r="E439" s="118" t="s">
        <v>22</v>
      </c>
      <c r="F439" s="119">
        <v>46038.416666666657</v>
      </c>
      <c r="G439" s="120" t="s">
        <v>815</v>
      </c>
      <c r="H439" s="120">
        <v>46051.583333333343</v>
      </c>
      <c r="I439" s="119">
        <v>46052.458333333343</v>
      </c>
      <c r="J439" s="120">
        <v>46086.541666666657</v>
      </c>
      <c r="K439" s="119"/>
      <c r="L439" s="120"/>
      <c r="M439" s="120"/>
      <c r="N439" s="119"/>
      <c r="O439" s="119"/>
      <c r="P439" s="119"/>
      <c r="Q439" s="119"/>
      <c r="R439" s="119"/>
      <c r="S439" s="119"/>
      <c r="T439" s="119"/>
      <c r="U439" s="120"/>
      <c r="V439" s="121">
        <f t="shared" si="2"/>
        <v>46086.541666666657</v>
      </c>
      <c r="W439" s="122"/>
      <c r="X439" s="122"/>
      <c r="Y439" s="2"/>
    </row>
    <row r="440" spans="1:25" ht="15.75" customHeight="1">
      <c r="A440" s="108" t="s">
        <v>325</v>
      </c>
      <c r="B440" s="108" t="str">
        <f>IFERROR(VLOOKUP(A440&amp;"", STUDENTS!A:B, 2, 0), "")</f>
        <v>NGÔ THỤY THANH NHƯ</v>
      </c>
      <c r="C440" s="109" t="s">
        <v>88</v>
      </c>
      <c r="D440" s="109" t="str">
        <f>IFERROR(VLOOKUP(C440, PIC!A:B, 2, 0), "")</f>
        <v>Huy Nguyen</v>
      </c>
      <c r="E440" s="110" t="s">
        <v>21</v>
      </c>
      <c r="F440" s="111"/>
      <c r="G440" s="112"/>
      <c r="H440" s="112"/>
      <c r="I440" s="111"/>
      <c r="J440" s="112"/>
      <c r="K440" s="111">
        <v>45889.583333333343</v>
      </c>
      <c r="L440" s="112" t="s">
        <v>815</v>
      </c>
      <c r="M440" s="112">
        <v>45910.625</v>
      </c>
      <c r="N440" s="111">
        <v>45916.375</v>
      </c>
      <c r="O440" s="111">
        <v>45959.416666666657</v>
      </c>
      <c r="P440" s="111"/>
      <c r="Q440" s="111"/>
      <c r="R440" s="111"/>
      <c r="S440" s="111"/>
      <c r="T440" s="111"/>
      <c r="U440" s="112"/>
      <c r="V440" s="113">
        <f t="shared" si="2"/>
        <v>45959.416666666657</v>
      </c>
      <c r="W440" s="114"/>
      <c r="X440" s="114"/>
      <c r="Y440" s="2"/>
    </row>
    <row r="441" spans="1:25" ht="15.75" customHeight="1">
      <c r="A441" s="116" t="s">
        <v>419</v>
      </c>
      <c r="B441" s="116" t="str">
        <f>IFERROR(VLOOKUP(A441&amp;"", STUDENTS!A:B, 2, 0), "")</f>
        <v>NGUYỄN NHẬT HÀO</v>
      </c>
      <c r="C441" s="117" t="s">
        <v>88</v>
      </c>
      <c r="D441" s="117" t="str">
        <f>IFERROR(VLOOKUP(C441, PIC!A:B, 2, 0), "")</f>
        <v>Huy Nguyen</v>
      </c>
      <c r="E441" s="118" t="s">
        <v>21</v>
      </c>
      <c r="F441" s="119"/>
      <c r="G441" s="120"/>
      <c r="H441" s="120"/>
      <c r="I441" s="119"/>
      <c r="J441" s="120">
        <v>45882.541666666657</v>
      </c>
      <c r="K441" s="119">
        <v>45889.583333333343</v>
      </c>
      <c r="L441" s="120">
        <v>45896.583333333343</v>
      </c>
      <c r="M441" s="120" t="s">
        <v>815</v>
      </c>
      <c r="N441" s="119" t="s">
        <v>815</v>
      </c>
      <c r="O441" s="119" t="s">
        <v>815</v>
      </c>
      <c r="P441" s="119"/>
      <c r="Q441" s="119"/>
      <c r="R441" s="119"/>
      <c r="S441" s="119"/>
      <c r="T441" s="119"/>
      <c r="U441" s="120"/>
      <c r="V441" s="121">
        <f t="shared" si="2"/>
        <v>45896.583333333343</v>
      </c>
      <c r="W441" s="122"/>
      <c r="X441" s="122"/>
      <c r="Y441" s="2"/>
    </row>
    <row r="442" spans="1:25" ht="15.75" customHeight="1">
      <c r="A442" s="108" t="s">
        <v>440</v>
      </c>
      <c r="B442" s="108" t="str">
        <f>IFERROR(VLOOKUP(A442&amp;"", STUDENTS!A:B, 2, 0), "")</f>
        <v>NGUYỄN TẤN HUY</v>
      </c>
      <c r="C442" s="109" t="s">
        <v>88</v>
      </c>
      <c r="D442" s="109" t="str">
        <f>IFERROR(VLOOKUP(C442, PIC!A:B, 2, 0), "")</f>
        <v>Huy Nguyen</v>
      </c>
      <c r="E442" s="110" t="s">
        <v>21</v>
      </c>
      <c r="F442" s="111"/>
      <c r="G442" s="112"/>
      <c r="H442" s="112"/>
      <c r="I442" s="111"/>
      <c r="J442" s="112">
        <v>45882.541666666657</v>
      </c>
      <c r="K442" s="111" t="s">
        <v>815</v>
      </c>
      <c r="L442" s="112">
        <v>45896.583333333343</v>
      </c>
      <c r="M442" s="112">
        <v>45910.625</v>
      </c>
      <c r="N442" s="111">
        <v>45916.375</v>
      </c>
      <c r="O442" s="111">
        <v>45959.416666666657</v>
      </c>
      <c r="P442" s="111"/>
      <c r="Q442" s="111"/>
      <c r="R442" s="111"/>
      <c r="S442" s="111"/>
      <c r="T442" s="111"/>
      <c r="U442" s="112"/>
      <c r="V442" s="113">
        <f t="shared" si="2"/>
        <v>45959.416666666657</v>
      </c>
      <c r="W442" s="114"/>
      <c r="X442" s="114"/>
      <c r="Y442" s="2"/>
    </row>
    <row r="443" spans="1:25" ht="15.75" customHeight="1">
      <c r="A443" s="116" t="s">
        <v>461</v>
      </c>
      <c r="B443" s="116" t="str">
        <f>IFERROR(VLOOKUP(A443&amp;"", STUDENTS!A:B, 2, 0), "")</f>
        <v>NGUYỄN THỊ HIỀN NI</v>
      </c>
      <c r="C443" s="117" t="s">
        <v>88</v>
      </c>
      <c r="D443" s="117" t="str">
        <f>IFERROR(VLOOKUP(C443, PIC!A:B, 2, 0), "")</f>
        <v>Huy Nguyen</v>
      </c>
      <c r="E443" s="118" t="s">
        <v>21</v>
      </c>
      <c r="F443" s="119"/>
      <c r="G443" s="120"/>
      <c r="H443" s="120"/>
      <c r="I443" s="119"/>
      <c r="J443" s="120"/>
      <c r="K443" s="119" t="s">
        <v>815</v>
      </c>
      <c r="L443" s="120">
        <v>45896.583333333343</v>
      </c>
      <c r="M443" s="120">
        <v>45910.625</v>
      </c>
      <c r="N443" s="119">
        <v>45916.375</v>
      </c>
      <c r="O443" s="119">
        <v>45959.416666666657</v>
      </c>
      <c r="P443" s="119"/>
      <c r="Q443" s="119"/>
      <c r="R443" s="119"/>
      <c r="S443" s="119"/>
      <c r="T443" s="119"/>
      <c r="U443" s="120"/>
      <c r="V443" s="121">
        <f t="shared" si="2"/>
        <v>45959.416666666657</v>
      </c>
      <c r="W443" s="122"/>
      <c r="X443" s="122"/>
      <c r="Y443" s="2"/>
    </row>
    <row r="444" spans="1:25" ht="15.75" customHeight="1">
      <c r="A444" s="108" t="s">
        <v>669</v>
      </c>
      <c r="B444" s="108" t="str">
        <f>IFERROR(VLOOKUP(A444&amp;"", STUDENTS!A:B, 2, 0), "")</f>
        <v>TRẦN VĨNH THUẬN</v>
      </c>
      <c r="C444" s="109" t="s">
        <v>88</v>
      </c>
      <c r="D444" s="109" t="str">
        <f>IFERROR(VLOOKUP(C444, PIC!A:B, 2, 0), "")</f>
        <v>Huy Nguyen</v>
      </c>
      <c r="E444" s="110" t="s">
        <v>21</v>
      </c>
      <c r="F444" s="111"/>
      <c r="G444" s="112"/>
      <c r="H444" s="112"/>
      <c r="I444" s="111"/>
      <c r="J444" s="112">
        <v>45882.541666666657</v>
      </c>
      <c r="K444" s="111">
        <v>45889.583333333343</v>
      </c>
      <c r="L444" s="112">
        <v>45896.583333333343</v>
      </c>
      <c r="M444" s="112" t="s">
        <v>815</v>
      </c>
      <c r="N444" s="111" t="s">
        <v>815</v>
      </c>
      <c r="O444" s="111" t="s">
        <v>815</v>
      </c>
      <c r="P444" s="111"/>
      <c r="Q444" s="111"/>
      <c r="R444" s="111"/>
      <c r="S444" s="111"/>
      <c r="T444" s="111"/>
      <c r="U444" s="112"/>
      <c r="V444" s="113">
        <f t="shared" si="2"/>
        <v>45896.583333333343</v>
      </c>
      <c r="W444" s="114"/>
      <c r="X444" s="114"/>
      <c r="Y444" s="2"/>
    </row>
    <row r="445" spans="1:25" ht="15.75" customHeight="1">
      <c r="A445" s="116" t="s">
        <v>681</v>
      </c>
      <c r="B445" s="116" t="str">
        <f>IFERROR(VLOOKUP(A445&amp;"", STUDENTS!A:B, 2, 0), "")</f>
        <v>TRƯƠNG NHỰT MINH THƯ</v>
      </c>
      <c r="C445" s="117" t="s">
        <v>88</v>
      </c>
      <c r="D445" s="117" t="str">
        <f>IFERROR(VLOOKUP(C445, PIC!A:B, 2, 0), "")</f>
        <v>Huy Nguyen</v>
      </c>
      <c r="E445" s="118" t="s">
        <v>21</v>
      </c>
      <c r="F445" s="119"/>
      <c r="G445" s="120"/>
      <c r="H445" s="120"/>
      <c r="I445" s="119"/>
      <c r="J445" s="120">
        <v>45882.541666666657</v>
      </c>
      <c r="K445" s="119">
        <v>45889.583333333343</v>
      </c>
      <c r="L445" s="120">
        <v>45896.583333333343</v>
      </c>
      <c r="M445" s="120">
        <v>45910.583333333343</v>
      </c>
      <c r="N445" s="119">
        <v>45916.375</v>
      </c>
      <c r="O445" s="119">
        <v>45959.416666666657</v>
      </c>
      <c r="P445" s="119"/>
      <c r="Q445" s="119"/>
      <c r="R445" s="119"/>
      <c r="S445" s="119"/>
      <c r="T445" s="119"/>
      <c r="U445" s="120"/>
      <c r="V445" s="121">
        <f t="shared" si="2"/>
        <v>45959.416666666657</v>
      </c>
      <c r="W445" s="122"/>
      <c r="X445" s="122"/>
      <c r="Y445" s="2"/>
    </row>
    <row r="446" spans="1:25" ht="15.75" customHeight="1">
      <c r="A446" s="108" t="s">
        <v>685</v>
      </c>
      <c r="B446" s="108" t="str">
        <f>IFERROR(VLOOKUP(A446&amp;"", STUDENTS!A:B, 2, 0), "")</f>
        <v>TỪ NGUYỄN MINH NHẬT</v>
      </c>
      <c r="C446" s="109" t="s">
        <v>88</v>
      </c>
      <c r="D446" s="109" t="str">
        <f>IFERROR(VLOOKUP(C446, PIC!A:B, 2, 0), "")</f>
        <v>Huy Nguyen</v>
      </c>
      <c r="E446" s="110" t="s">
        <v>21</v>
      </c>
      <c r="F446" s="111"/>
      <c r="G446" s="112"/>
      <c r="H446" s="112"/>
      <c r="I446" s="111"/>
      <c r="J446" s="112">
        <v>45882.541666666657</v>
      </c>
      <c r="K446" s="111">
        <v>45889.583333333343</v>
      </c>
      <c r="L446" s="112">
        <v>45896.583333333343</v>
      </c>
      <c r="M446" s="112">
        <v>45910.625</v>
      </c>
      <c r="N446" s="111">
        <v>45916.375</v>
      </c>
      <c r="O446" s="111">
        <v>45959.416666666657</v>
      </c>
      <c r="P446" s="111"/>
      <c r="Q446" s="111"/>
      <c r="R446" s="111"/>
      <c r="S446" s="111"/>
      <c r="T446" s="111"/>
      <c r="U446" s="112"/>
      <c r="V446" s="113">
        <f t="shared" si="2"/>
        <v>45959.416666666657</v>
      </c>
      <c r="W446" s="114"/>
      <c r="X446" s="114"/>
      <c r="Y446" s="2"/>
    </row>
    <row r="447" spans="1:25" ht="15.75" customHeight="1">
      <c r="A447" s="116" t="s">
        <v>709</v>
      </c>
      <c r="B447" s="116" t="str">
        <f>IFERROR(VLOOKUP(A447&amp;"", STUDENTS!A:B, 2, 0), "")</f>
        <v>VÕ THỊ TUYẾT HỒNG</v>
      </c>
      <c r="C447" s="117" t="s">
        <v>88</v>
      </c>
      <c r="D447" s="117" t="str">
        <f>IFERROR(VLOOKUP(C447, PIC!A:B, 2, 0), "")</f>
        <v>Huy Nguyen</v>
      </c>
      <c r="E447" s="118" t="s">
        <v>21</v>
      </c>
      <c r="F447" s="119"/>
      <c r="G447" s="120"/>
      <c r="H447" s="120"/>
      <c r="I447" s="119"/>
      <c r="J447" s="120">
        <v>45882.541666666657</v>
      </c>
      <c r="K447" s="119">
        <v>45889.583333333343</v>
      </c>
      <c r="L447" s="120">
        <v>45896.583333333343</v>
      </c>
      <c r="M447" s="120">
        <v>45910.625</v>
      </c>
      <c r="N447" s="119">
        <v>45916.375</v>
      </c>
      <c r="O447" s="119">
        <v>45959.416666666657</v>
      </c>
      <c r="P447" s="119"/>
      <c r="Q447" s="119"/>
      <c r="R447" s="119"/>
      <c r="S447" s="119"/>
      <c r="T447" s="119"/>
      <c r="U447" s="120"/>
      <c r="V447" s="121">
        <f t="shared" si="2"/>
        <v>45959.416666666657</v>
      </c>
      <c r="W447" s="122"/>
      <c r="X447" s="122"/>
      <c r="Y447" s="2"/>
    </row>
    <row r="448" spans="1:25" ht="15.75" customHeight="1">
      <c r="A448" s="108" t="s">
        <v>161</v>
      </c>
      <c r="B448" s="108" t="str">
        <f>IFERROR(VLOOKUP(A448&amp;"", STUDENTS!A:B, 2, 0), "")</f>
        <v>ĐÀO TRUNG HIẾU</v>
      </c>
      <c r="C448" s="109" t="s">
        <v>89</v>
      </c>
      <c r="D448" s="109" t="str">
        <f>IFERROR(VLOOKUP(C448, PIC!A:B, 2, 0), "")</f>
        <v>Thanh Phung</v>
      </c>
      <c r="E448" s="110" t="s">
        <v>25</v>
      </c>
      <c r="F448" s="111" t="s">
        <v>815</v>
      </c>
      <c r="G448" s="112" t="s">
        <v>815</v>
      </c>
      <c r="H448" s="112" t="s">
        <v>815</v>
      </c>
      <c r="I448" s="111" t="s">
        <v>815</v>
      </c>
      <c r="J448" s="112">
        <v>45953.541666666657</v>
      </c>
      <c r="K448" s="111">
        <v>45960.541666666657</v>
      </c>
      <c r="L448" s="112">
        <v>45967.541666666657</v>
      </c>
      <c r="M448" s="112">
        <v>45982.541666666657</v>
      </c>
      <c r="N448" s="111">
        <v>45989.541666666657</v>
      </c>
      <c r="O448" s="111">
        <v>45996.541666666657</v>
      </c>
      <c r="P448" s="111">
        <v>46010.541666666657</v>
      </c>
      <c r="Q448" s="111">
        <v>46038.541666666657</v>
      </c>
      <c r="R448" s="111">
        <v>46049.583333333343</v>
      </c>
      <c r="S448" s="111">
        <v>46049.583333333343</v>
      </c>
      <c r="T448" s="111">
        <v>46052.541666666657</v>
      </c>
      <c r="U448" s="112">
        <v>46108.541666666657</v>
      </c>
      <c r="V448" s="113">
        <f t="shared" si="2"/>
        <v>46108.541666666657</v>
      </c>
      <c r="W448" s="114"/>
      <c r="X448" s="114"/>
      <c r="Y448" s="2"/>
    </row>
    <row r="449" spans="1:25" ht="15.75" customHeight="1">
      <c r="A449" s="116" t="s">
        <v>290</v>
      </c>
      <c r="B449" s="116" t="str">
        <f>IFERROR(VLOOKUP(A449&amp;"", STUDENTS!A:B, 2, 0), "")</f>
        <v>LÊ THỊ HOÀNG KIM</v>
      </c>
      <c r="C449" s="117" t="s">
        <v>89</v>
      </c>
      <c r="D449" s="117" t="str">
        <f>IFERROR(VLOOKUP(C449, PIC!A:B, 2, 0), "")</f>
        <v>Thanh Phung</v>
      </c>
      <c r="E449" s="118" t="s">
        <v>25</v>
      </c>
      <c r="F449" s="119">
        <v>45916.458333333343</v>
      </c>
      <c r="G449" s="120">
        <v>45925.541666666657</v>
      </c>
      <c r="H449" s="120">
        <v>45931.583333333343</v>
      </c>
      <c r="I449" s="119">
        <v>45938.541666666657</v>
      </c>
      <c r="J449" s="120">
        <v>45953.541666666657</v>
      </c>
      <c r="K449" s="119">
        <v>45960.541666666657</v>
      </c>
      <c r="L449" s="120">
        <v>45967.541666666657</v>
      </c>
      <c r="M449" s="120">
        <v>45982.541666666657</v>
      </c>
      <c r="N449" s="119">
        <v>45989.541666666657</v>
      </c>
      <c r="O449" s="119">
        <v>45996.541666666657</v>
      </c>
      <c r="P449" s="119">
        <v>46010.541666666657</v>
      </c>
      <c r="Q449" s="119">
        <v>46038.541666666657</v>
      </c>
      <c r="R449" s="119">
        <v>46049.583333333343</v>
      </c>
      <c r="S449" s="119">
        <v>46049.583333333343</v>
      </c>
      <c r="T449" s="119">
        <v>46052.541666666657</v>
      </c>
      <c r="U449" s="120">
        <v>46108.541666666657</v>
      </c>
      <c r="V449" s="121">
        <f t="shared" si="2"/>
        <v>46108.541666666657</v>
      </c>
      <c r="W449" s="122"/>
      <c r="X449" s="122"/>
      <c r="Y449" s="2"/>
    </row>
    <row r="450" spans="1:25" ht="15.75" customHeight="1">
      <c r="A450" s="108" t="s">
        <v>391</v>
      </c>
      <c r="B450" s="108" t="str">
        <f>IFERROR(VLOOKUP(A450&amp;"", STUDENTS!A:B, 2, 0), "")</f>
        <v>NGUYỄN HỮU TRƯỜNG</v>
      </c>
      <c r="C450" s="109" t="s">
        <v>89</v>
      </c>
      <c r="D450" s="109" t="str">
        <f>IFERROR(VLOOKUP(C450, PIC!A:B, 2, 0), "")</f>
        <v>Thanh Phung</v>
      </c>
      <c r="E450" s="110" t="s">
        <v>25</v>
      </c>
      <c r="F450" s="111">
        <v>45916.458333333343</v>
      </c>
      <c r="G450" s="112">
        <v>45925.541666666657</v>
      </c>
      <c r="H450" s="112">
        <v>45931.583333333343</v>
      </c>
      <c r="I450" s="111">
        <v>45938.541666666657</v>
      </c>
      <c r="J450" s="112">
        <v>45953.541666666657</v>
      </c>
      <c r="K450" s="111">
        <v>45960.541666666657</v>
      </c>
      <c r="L450" s="112">
        <v>45967.541666666657</v>
      </c>
      <c r="M450" s="112">
        <v>45982.541666666657</v>
      </c>
      <c r="N450" s="111">
        <v>45989.541666666657</v>
      </c>
      <c r="O450" s="111">
        <v>45996.541666666657</v>
      </c>
      <c r="P450" s="111">
        <v>46010.541666666657</v>
      </c>
      <c r="Q450" s="111" t="s">
        <v>815</v>
      </c>
      <c r="R450" s="111" t="s">
        <v>815</v>
      </c>
      <c r="S450" s="111" t="s">
        <v>815</v>
      </c>
      <c r="T450" s="111" t="s">
        <v>815</v>
      </c>
      <c r="U450" s="112" t="s">
        <v>815</v>
      </c>
      <c r="V450" s="113">
        <f t="shared" si="2"/>
        <v>46010.541666666657</v>
      </c>
      <c r="W450" s="114"/>
      <c r="X450" s="114"/>
      <c r="Y450" s="2"/>
    </row>
    <row r="451" spans="1:25" ht="15.75" customHeight="1">
      <c r="A451" s="116" t="s">
        <v>468</v>
      </c>
      <c r="B451" s="116" t="str">
        <f>IFERROR(VLOOKUP(A451&amp;"", STUDENTS!A:B, 2, 0), "")</f>
        <v>NGUYỄN THỊ KIM OANH</v>
      </c>
      <c r="C451" s="117" t="s">
        <v>89</v>
      </c>
      <c r="D451" s="117" t="str">
        <f>IFERROR(VLOOKUP(C451, PIC!A:B, 2, 0), "")</f>
        <v>Thanh Phung</v>
      </c>
      <c r="E451" s="118" t="s">
        <v>25</v>
      </c>
      <c r="F451" s="119">
        <v>45916.458333333343</v>
      </c>
      <c r="G451" s="120">
        <v>45925.541666666657</v>
      </c>
      <c r="H451" s="120">
        <v>45931.583333333343</v>
      </c>
      <c r="I451" s="119" t="s">
        <v>815</v>
      </c>
      <c r="J451" s="120">
        <v>45953.541666666657</v>
      </c>
      <c r="K451" s="119">
        <v>45960.541666666657</v>
      </c>
      <c r="L451" s="120">
        <v>45967.541666666657</v>
      </c>
      <c r="M451" s="120">
        <v>45982.541666666657</v>
      </c>
      <c r="N451" s="119">
        <v>45989.541666666657</v>
      </c>
      <c r="O451" s="119">
        <v>45996.541666666657</v>
      </c>
      <c r="P451" s="119">
        <v>46010.541666666657</v>
      </c>
      <c r="Q451" s="119">
        <v>46038.541666666657</v>
      </c>
      <c r="R451" s="119">
        <v>46049.583333333343</v>
      </c>
      <c r="S451" s="119">
        <v>46049.583333333343</v>
      </c>
      <c r="T451" s="119">
        <v>46052.541666666657</v>
      </c>
      <c r="U451" s="120">
        <v>46108.541666666657</v>
      </c>
      <c r="V451" s="121">
        <f t="shared" si="2"/>
        <v>46108.541666666657</v>
      </c>
      <c r="W451" s="122"/>
      <c r="X451" s="122"/>
      <c r="Y451" s="2"/>
    </row>
    <row r="452" spans="1:25" ht="15.75" customHeight="1">
      <c r="A452" s="108" t="s">
        <v>516</v>
      </c>
      <c r="B452" s="108" t="str">
        <f>IFERROR(VLOOKUP(A452&amp;"", STUDENTS!A:B, 2, 0), "")</f>
        <v>NGUYỄN VŨ LUÂN</v>
      </c>
      <c r="C452" s="109" t="s">
        <v>89</v>
      </c>
      <c r="D452" s="109" t="str">
        <f>IFERROR(VLOOKUP(C452, PIC!A:B, 2, 0), "")</f>
        <v>Thanh Phung</v>
      </c>
      <c r="E452" s="110" t="s">
        <v>25</v>
      </c>
      <c r="F452" s="111">
        <v>45916.458333333343</v>
      </c>
      <c r="G452" s="112" t="s">
        <v>815</v>
      </c>
      <c r="H452" s="112">
        <v>45931.583333333343</v>
      </c>
      <c r="I452" s="111">
        <v>45938.541666666657</v>
      </c>
      <c r="J452" s="112">
        <v>45953.541666666657</v>
      </c>
      <c r="K452" s="111" t="s">
        <v>815</v>
      </c>
      <c r="L452" s="112">
        <v>45967.541666666657</v>
      </c>
      <c r="M452" s="112">
        <v>45982.541666666657</v>
      </c>
      <c r="N452" s="111">
        <v>45989.541666666657</v>
      </c>
      <c r="O452" s="111">
        <v>45996.541666666657</v>
      </c>
      <c r="P452" s="111">
        <v>46010.541666666657</v>
      </c>
      <c r="Q452" s="111">
        <v>46038.541666666657</v>
      </c>
      <c r="R452" s="111" t="s">
        <v>815</v>
      </c>
      <c r="S452" s="111" t="s">
        <v>815</v>
      </c>
      <c r="T452" s="111">
        <v>46052.541666666657</v>
      </c>
      <c r="U452" s="112">
        <v>46108.541666666657</v>
      </c>
      <c r="V452" s="113">
        <f t="shared" si="2"/>
        <v>46108.541666666657</v>
      </c>
      <c r="W452" s="114"/>
      <c r="X452" s="114"/>
      <c r="Y452" s="2"/>
    </row>
    <row r="453" spans="1:25" ht="15.75" customHeight="1">
      <c r="A453" s="116" t="s">
        <v>545</v>
      </c>
      <c r="B453" s="116" t="str">
        <f>IFERROR(VLOOKUP(A453&amp;"", STUDENTS!A:B, 2, 0), "")</f>
        <v>PHẠM NGUYỄN TRƯỜNG BẢO</v>
      </c>
      <c r="C453" s="117" t="s">
        <v>89</v>
      </c>
      <c r="D453" s="117" t="str">
        <f>IFERROR(VLOOKUP(C453, PIC!A:B, 2, 0), "")</f>
        <v>Thanh Phung</v>
      </c>
      <c r="E453" s="118" t="s">
        <v>26</v>
      </c>
      <c r="F453" s="119">
        <v>46126.583333333343</v>
      </c>
      <c r="G453" s="120">
        <v>46129.583333333343</v>
      </c>
      <c r="H453" s="120"/>
      <c r="I453" s="119"/>
      <c r="J453" s="120"/>
      <c r="K453" s="119"/>
      <c r="L453" s="120"/>
      <c r="M453" s="120"/>
      <c r="N453" s="119"/>
      <c r="O453" s="119"/>
      <c r="P453" s="119"/>
      <c r="Q453" s="119"/>
      <c r="R453" s="119"/>
      <c r="S453" s="119"/>
      <c r="T453" s="119"/>
      <c r="U453" s="120"/>
      <c r="V453" s="121">
        <f t="shared" si="2"/>
        <v>46129.583333333343</v>
      </c>
      <c r="W453" s="122"/>
      <c r="X453" s="122"/>
      <c r="Y453" s="2"/>
    </row>
    <row r="454" spans="1:25" ht="15.75" customHeight="1">
      <c r="A454" s="108" t="s">
        <v>545</v>
      </c>
      <c r="B454" s="108" t="str">
        <f>IFERROR(VLOOKUP(A454&amp;"", STUDENTS!A:B, 2, 0), "")</f>
        <v>PHẠM NGUYỄN TRƯỜNG BẢO</v>
      </c>
      <c r="C454" s="109" t="s">
        <v>89</v>
      </c>
      <c r="D454" s="109" t="str">
        <f>IFERROR(VLOOKUP(C454, PIC!A:B, 2, 0), "")</f>
        <v>Thanh Phung</v>
      </c>
      <c r="E454" s="110" t="s">
        <v>25</v>
      </c>
      <c r="F454" s="111">
        <v>45916.458333333343</v>
      </c>
      <c r="G454" s="112">
        <v>45925.541666666657</v>
      </c>
      <c r="H454" s="112" t="s">
        <v>815</v>
      </c>
      <c r="I454" s="111">
        <v>45938.541666666657</v>
      </c>
      <c r="J454" s="112">
        <v>45953.541666666657</v>
      </c>
      <c r="K454" s="111">
        <v>45960.541666666657</v>
      </c>
      <c r="L454" s="112">
        <v>45967.541666666657</v>
      </c>
      <c r="M454" s="112">
        <v>45982.541666666657</v>
      </c>
      <c r="N454" s="111">
        <v>45989.541666666657</v>
      </c>
      <c r="O454" s="111">
        <v>45996.541666666657</v>
      </c>
      <c r="P454" s="111">
        <v>46010.541666666657</v>
      </c>
      <c r="Q454" s="111">
        <v>46038.541666666657</v>
      </c>
      <c r="R454" s="111">
        <v>46049.583333333343</v>
      </c>
      <c r="S454" s="111">
        <v>46049.583333333343</v>
      </c>
      <c r="T454" s="111">
        <v>46052.541666666657</v>
      </c>
      <c r="U454" s="112">
        <v>46108.541666666657</v>
      </c>
      <c r="V454" s="113">
        <f t="shared" si="2"/>
        <v>46108.541666666657</v>
      </c>
      <c r="W454" s="114"/>
      <c r="X454" s="114"/>
      <c r="Y454" s="2"/>
    </row>
    <row r="455" spans="1:25" ht="15.75" customHeight="1">
      <c r="A455" s="116" t="s">
        <v>558</v>
      </c>
      <c r="B455" s="116" t="str">
        <f>IFERROR(VLOOKUP(A455&amp;"", STUDENTS!A:B, 2, 0), "")</f>
        <v>PHAN GIA LỘC</v>
      </c>
      <c r="C455" s="117" t="s">
        <v>89</v>
      </c>
      <c r="D455" s="117" t="str">
        <f>IFERROR(VLOOKUP(C455, PIC!A:B, 2, 0), "")</f>
        <v>Thanh Phung</v>
      </c>
      <c r="E455" s="118" t="s">
        <v>26</v>
      </c>
      <c r="F455" s="119">
        <v>46126.583333333343</v>
      </c>
      <c r="G455" s="120">
        <v>46129.583333333343</v>
      </c>
      <c r="H455" s="120"/>
      <c r="I455" s="119"/>
      <c r="J455" s="120"/>
      <c r="K455" s="119"/>
      <c r="L455" s="120"/>
      <c r="M455" s="120"/>
      <c r="N455" s="119"/>
      <c r="O455" s="119"/>
      <c r="P455" s="119"/>
      <c r="Q455" s="119"/>
      <c r="R455" s="119"/>
      <c r="S455" s="119"/>
      <c r="T455" s="119"/>
      <c r="U455" s="120"/>
      <c r="V455" s="121">
        <f t="shared" si="2"/>
        <v>46129.583333333343</v>
      </c>
      <c r="W455" s="122"/>
      <c r="X455" s="122"/>
      <c r="Y455" s="2"/>
    </row>
    <row r="456" spans="1:25" ht="15.75" customHeight="1">
      <c r="A456" s="108" t="s">
        <v>558</v>
      </c>
      <c r="B456" s="108" t="str">
        <f>IFERROR(VLOOKUP(A456&amp;"", STUDENTS!A:B, 2, 0), "")</f>
        <v>PHAN GIA LỘC</v>
      </c>
      <c r="C456" s="109" t="s">
        <v>89</v>
      </c>
      <c r="D456" s="109" t="str">
        <f>IFERROR(VLOOKUP(C456, PIC!A:B, 2, 0), "")</f>
        <v>Thanh Phung</v>
      </c>
      <c r="E456" s="110" t="s">
        <v>25</v>
      </c>
      <c r="F456" s="111">
        <v>45916.458333333343</v>
      </c>
      <c r="G456" s="112">
        <v>45925.541666666657</v>
      </c>
      <c r="H456" s="112">
        <v>45931.583333333343</v>
      </c>
      <c r="I456" s="111">
        <v>45938.541666666657</v>
      </c>
      <c r="J456" s="112">
        <v>45953.541666666657</v>
      </c>
      <c r="K456" s="111">
        <v>45960.541666666657</v>
      </c>
      <c r="L456" s="112">
        <v>45967.541666666657</v>
      </c>
      <c r="M456" s="112">
        <v>45982.541666666657</v>
      </c>
      <c r="N456" s="111">
        <v>45989.541666666657</v>
      </c>
      <c r="O456" s="111">
        <v>45996.541666666657</v>
      </c>
      <c r="P456" s="111">
        <v>46010.541666666657</v>
      </c>
      <c r="Q456" s="111">
        <v>46038.541666666657</v>
      </c>
      <c r="R456" s="111">
        <v>46049.583333333343</v>
      </c>
      <c r="S456" s="111">
        <v>46049.583333333343</v>
      </c>
      <c r="T456" s="111" t="s">
        <v>815</v>
      </c>
      <c r="U456" s="112">
        <v>46108.541666666657</v>
      </c>
      <c r="V456" s="113">
        <f t="shared" si="2"/>
        <v>46108.541666666657</v>
      </c>
      <c r="W456" s="114"/>
      <c r="X456" s="114"/>
      <c r="Y456" s="2"/>
    </row>
    <row r="457" spans="1:25" ht="15.75" customHeight="1">
      <c r="A457" s="116" t="s">
        <v>574</v>
      </c>
      <c r="B457" s="116" t="str">
        <f>IFERROR(VLOOKUP(A457&amp;"", STUDENTS!A:B, 2, 0), "")</f>
        <v>PHÙNG QUANG THÀNH</v>
      </c>
      <c r="C457" s="117" t="s">
        <v>89</v>
      </c>
      <c r="D457" s="117" t="str">
        <f>IFERROR(VLOOKUP(C457, PIC!A:B, 2, 0), "")</f>
        <v>Thanh Phung</v>
      </c>
      <c r="E457" s="118" t="s">
        <v>26</v>
      </c>
      <c r="F457" s="119">
        <v>46126.583333333343</v>
      </c>
      <c r="G457" s="120">
        <v>46129.583333333343</v>
      </c>
      <c r="H457" s="120"/>
      <c r="I457" s="119"/>
      <c r="J457" s="120"/>
      <c r="K457" s="119"/>
      <c r="L457" s="120"/>
      <c r="M457" s="120"/>
      <c r="N457" s="119"/>
      <c r="O457" s="119"/>
      <c r="P457" s="119"/>
      <c r="Q457" s="119"/>
      <c r="R457" s="119"/>
      <c r="S457" s="119"/>
      <c r="T457" s="119"/>
      <c r="U457" s="120"/>
      <c r="V457" s="121">
        <f t="shared" si="2"/>
        <v>46129.583333333343</v>
      </c>
      <c r="W457" s="122"/>
      <c r="X457" s="122"/>
      <c r="Y457" s="2"/>
    </row>
    <row r="458" spans="1:25" ht="15.75" customHeight="1">
      <c r="A458" s="108" t="s">
        <v>574</v>
      </c>
      <c r="B458" s="108" t="str">
        <f>IFERROR(VLOOKUP(A458&amp;"", STUDENTS!A:B, 2, 0), "")</f>
        <v>PHÙNG QUANG THÀNH</v>
      </c>
      <c r="C458" s="109" t="s">
        <v>89</v>
      </c>
      <c r="D458" s="109" t="str">
        <f>IFERROR(VLOOKUP(C458, PIC!A:B, 2, 0), "")</f>
        <v>Thanh Phung</v>
      </c>
      <c r="E458" s="110" t="s">
        <v>25</v>
      </c>
      <c r="F458" s="111">
        <v>45916.458333333343</v>
      </c>
      <c r="G458" s="112">
        <v>45925.541666666657</v>
      </c>
      <c r="H458" s="112" t="s">
        <v>815</v>
      </c>
      <c r="I458" s="111">
        <v>45938.541666666657</v>
      </c>
      <c r="J458" s="112">
        <v>45953.541666666657</v>
      </c>
      <c r="K458" s="111">
        <v>45960.541666666657</v>
      </c>
      <c r="L458" s="112">
        <v>45967.541666666657</v>
      </c>
      <c r="M458" s="112">
        <v>45982.541666666657</v>
      </c>
      <c r="N458" s="111">
        <v>45989.541666666657</v>
      </c>
      <c r="O458" s="111">
        <v>45996.541666666657</v>
      </c>
      <c r="P458" s="111">
        <v>46010.541666666657</v>
      </c>
      <c r="Q458" s="111">
        <v>46038.541666666657</v>
      </c>
      <c r="R458" s="111">
        <v>46049.583333333343</v>
      </c>
      <c r="S458" s="111">
        <v>46049.583333333343</v>
      </c>
      <c r="T458" s="111">
        <v>46052.541666666657</v>
      </c>
      <c r="U458" s="112">
        <v>46108.541666666657</v>
      </c>
      <c r="V458" s="113">
        <f t="shared" si="2"/>
        <v>46108.541666666657</v>
      </c>
      <c r="W458" s="114"/>
      <c r="X458" s="114"/>
      <c r="Y458" s="2"/>
    </row>
    <row r="459" spans="1:25" ht="15.75" customHeight="1">
      <c r="A459" s="116" t="s">
        <v>251</v>
      </c>
      <c r="B459" s="116" t="str">
        <f>IFERROR(VLOOKUP(A459&amp;"", STUDENTS!A:B, 2, 0), "")</f>
        <v>LÂM MINH HOÀNG</v>
      </c>
      <c r="C459" s="117" t="s">
        <v>90</v>
      </c>
      <c r="D459" s="117" t="str">
        <f>IFERROR(VLOOKUP(C459, PIC!A:B, 2, 0), "")</f>
        <v>Phu Nguyen</v>
      </c>
      <c r="E459" s="118" t="s">
        <v>21</v>
      </c>
      <c r="F459" s="119">
        <v>45917.583333333343</v>
      </c>
      <c r="G459" s="120">
        <v>45923.541666666657</v>
      </c>
      <c r="H459" s="120">
        <v>45930.541666666657</v>
      </c>
      <c r="I459" s="119">
        <v>45937.541666666657</v>
      </c>
      <c r="J459" s="120" t="s">
        <v>815</v>
      </c>
      <c r="K459" s="119" t="s">
        <v>815</v>
      </c>
      <c r="L459" s="120" t="s">
        <v>815</v>
      </c>
      <c r="M459" s="120" t="s">
        <v>815</v>
      </c>
      <c r="N459" s="119"/>
      <c r="O459" s="119"/>
      <c r="P459" s="119"/>
      <c r="Q459" s="119"/>
      <c r="R459" s="119"/>
      <c r="S459" s="119"/>
      <c r="T459" s="119"/>
      <c r="U459" s="120"/>
      <c r="V459" s="121">
        <f t="shared" si="2"/>
        <v>45937.541666666657</v>
      </c>
      <c r="W459" s="122"/>
      <c r="X459" s="122"/>
      <c r="Y459" s="2"/>
    </row>
    <row r="460" spans="1:25" ht="15.75" customHeight="1">
      <c r="A460" s="108" t="s">
        <v>338</v>
      </c>
      <c r="B460" s="108" t="str">
        <f>IFERROR(VLOOKUP(A460&amp;"", STUDENTS!A:B, 2, 0), "")</f>
        <v>NGUYỄN BẢO DUY</v>
      </c>
      <c r="C460" s="109" t="s">
        <v>90</v>
      </c>
      <c r="D460" s="109" t="str">
        <f>IFERROR(VLOOKUP(C460, PIC!A:B, 2, 0), "")</f>
        <v>Phu Nguyen</v>
      </c>
      <c r="E460" s="110" t="s">
        <v>21</v>
      </c>
      <c r="F460" s="111">
        <v>45917.583333333343</v>
      </c>
      <c r="G460" s="112">
        <v>45923.541666666657</v>
      </c>
      <c r="H460" s="112">
        <v>45930.541666666657</v>
      </c>
      <c r="I460" s="111">
        <v>45937.541666666657</v>
      </c>
      <c r="J460" s="112" t="s">
        <v>815</v>
      </c>
      <c r="K460" s="111">
        <v>45958.541666666657</v>
      </c>
      <c r="L460" s="112">
        <v>45965.583333333343</v>
      </c>
      <c r="M460" s="112">
        <v>45979.583333333343</v>
      </c>
      <c r="N460" s="111"/>
      <c r="O460" s="111"/>
      <c r="P460" s="111"/>
      <c r="Q460" s="111"/>
      <c r="R460" s="111"/>
      <c r="S460" s="111"/>
      <c r="T460" s="111"/>
      <c r="U460" s="112"/>
      <c r="V460" s="113">
        <f t="shared" si="2"/>
        <v>45979.583333333343</v>
      </c>
      <c r="W460" s="114"/>
      <c r="X460" s="114"/>
      <c r="Y460" s="2"/>
    </row>
    <row r="461" spans="1:25" ht="15.75" customHeight="1">
      <c r="A461" s="116" t="s">
        <v>363</v>
      </c>
      <c r="B461" s="116" t="str">
        <f>IFERROR(VLOOKUP(A461&amp;"", STUDENTS!A:B, 2, 0), "")</f>
        <v>NGUYEN DUY PHU</v>
      </c>
      <c r="C461" s="117" t="s">
        <v>90</v>
      </c>
      <c r="D461" s="117" t="str">
        <f>IFERROR(VLOOKUP(C461, PIC!A:B, 2, 0), "")</f>
        <v>Phu Nguyen</v>
      </c>
      <c r="E461" s="118" t="s">
        <v>21</v>
      </c>
      <c r="F461" s="119" t="s">
        <v>815</v>
      </c>
      <c r="G461" s="120" t="s">
        <v>815</v>
      </c>
      <c r="H461" s="120">
        <v>45930.541666666657</v>
      </c>
      <c r="I461" s="119" t="s">
        <v>815</v>
      </c>
      <c r="J461" s="120" t="s">
        <v>815</v>
      </c>
      <c r="K461" s="119" t="s">
        <v>815</v>
      </c>
      <c r="L461" s="120" t="s">
        <v>815</v>
      </c>
      <c r="M461" s="120" t="s">
        <v>815</v>
      </c>
      <c r="N461" s="119"/>
      <c r="O461" s="119"/>
      <c r="P461" s="119"/>
      <c r="Q461" s="119"/>
      <c r="R461" s="119"/>
      <c r="S461" s="119"/>
      <c r="T461" s="119"/>
      <c r="U461" s="120"/>
      <c r="V461" s="121">
        <f t="shared" si="2"/>
        <v>45930.541666666657</v>
      </c>
      <c r="W461" s="122"/>
      <c r="X461" s="122"/>
      <c r="Y461" s="2"/>
    </row>
    <row r="462" spans="1:25" ht="15.75" customHeight="1">
      <c r="A462" s="108" t="s">
        <v>379</v>
      </c>
      <c r="B462" s="108" t="str">
        <f>IFERROR(VLOOKUP(A462&amp;"", STUDENTS!A:B, 2, 0), "")</f>
        <v>NGUYỄN HOÀNG PHÚC</v>
      </c>
      <c r="C462" s="109" t="s">
        <v>90</v>
      </c>
      <c r="D462" s="109" t="str">
        <f>IFERROR(VLOOKUP(C462, PIC!A:B, 2, 0), "")</f>
        <v>Phu Nguyen</v>
      </c>
      <c r="E462" s="110" t="s">
        <v>21</v>
      </c>
      <c r="F462" s="111">
        <v>45917.583333333343</v>
      </c>
      <c r="G462" s="112">
        <v>45923.541666666657</v>
      </c>
      <c r="H462" s="112">
        <v>45930.541666666657</v>
      </c>
      <c r="I462" s="111">
        <v>45937.541666666657</v>
      </c>
      <c r="J462" s="112">
        <v>45944.541666666657</v>
      </c>
      <c r="K462" s="111">
        <v>45958.541666666657</v>
      </c>
      <c r="L462" s="112">
        <v>45965.583333333343</v>
      </c>
      <c r="M462" s="112">
        <v>45979.583333333343</v>
      </c>
      <c r="N462" s="111"/>
      <c r="O462" s="111"/>
      <c r="P462" s="111"/>
      <c r="Q462" s="111"/>
      <c r="R462" s="111"/>
      <c r="S462" s="111"/>
      <c r="T462" s="111"/>
      <c r="U462" s="124"/>
      <c r="V462" s="113">
        <f t="shared" si="2"/>
        <v>45979.583333333343</v>
      </c>
      <c r="W462" s="114"/>
      <c r="X462" s="114"/>
      <c r="Y462" s="2"/>
    </row>
    <row r="463" spans="1:25" ht="15.75" customHeight="1">
      <c r="A463" s="116" t="s">
        <v>449</v>
      </c>
      <c r="B463" s="116" t="str">
        <f>IFERROR(VLOOKUP(A463&amp;"", STUDENTS!A:B, 2, 0), "")</f>
        <v>NGUYỄN THÀNH NHÂN</v>
      </c>
      <c r="C463" s="117" t="s">
        <v>90</v>
      </c>
      <c r="D463" s="117" t="str">
        <f>IFERROR(VLOOKUP(C463, PIC!A:B, 2, 0), "")</f>
        <v>Phu Nguyen</v>
      </c>
      <c r="E463" s="118" t="s">
        <v>21</v>
      </c>
      <c r="F463" s="119" t="s">
        <v>815</v>
      </c>
      <c r="G463" s="120">
        <v>45923.541666666657</v>
      </c>
      <c r="H463" s="120">
        <v>45930.541666666657</v>
      </c>
      <c r="I463" s="119" t="s">
        <v>815</v>
      </c>
      <c r="J463" s="120">
        <v>45944.541666666657</v>
      </c>
      <c r="K463" s="119">
        <v>45958.541666666657</v>
      </c>
      <c r="L463" s="120" t="s">
        <v>815</v>
      </c>
      <c r="M463" s="120" t="s">
        <v>815</v>
      </c>
      <c r="N463" s="119"/>
      <c r="O463" s="119"/>
      <c r="P463" s="119"/>
      <c r="Q463" s="119"/>
      <c r="R463" s="119"/>
      <c r="S463" s="119"/>
      <c r="T463" s="119"/>
      <c r="U463" s="120"/>
      <c r="V463" s="121">
        <f t="shared" si="2"/>
        <v>45958.541666666657</v>
      </c>
      <c r="W463" s="122"/>
      <c r="X463" s="122"/>
      <c r="Y463" s="2"/>
    </row>
    <row r="464" spans="1:25" ht="15.75" customHeight="1">
      <c r="A464" s="108" t="s">
        <v>455</v>
      </c>
      <c r="B464" s="108" t="str">
        <f>IFERROR(VLOOKUP(A464&amp;"", STUDENTS!A:B, 2, 0), "")</f>
        <v>NGUYỄN THANH TÙNG</v>
      </c>
      <c r="C464" s="109" t="s">
        <v>90</v>
      </c>
      <c r="D464" s="109" t="str">
        <f>IFERROR(VLOOKUP(C464, PIC!A:B, 2, 0), "")</f>
        <v>Phu Nguyen</v>
      </c>
      <c r="E464" s="110" t="s">
        <v>21</v>
      </c>
      <c r="F464" s="111" t="s">
        <v>815</v>
      </c>
      <c r="G464" s="112">
        <v>45923.541666666657</v>
      </c>
      <c r="H464" s="112" t="s">
        <v>815</v>
      </c>
      <c r="I464" s="111">
        <v>45937.541666666657</v>
      </c>
      <c r="J464" s="112">
        <v>45944.541666666657</v>
      </c>
      <c r="K464" s="111" t="s">
        <v>815</v>
      </c>
      <c r="L464" s="112" t="s">
        <v>815</v>
      </c>
      <c r="M464" s="112" t="s">
        <v>815</v>
      </c>
      <c r="N464" s="111"/>
      <c r="O464" s="111"/>
      <c r="P464" s="111"/>
      <c r="Q464" s="111"/>
      <c r="R464" s="111"/>
      <c r="S464" s="111"/>
      <c r="T464" s="111"/>
      <c r="U464" s="112"/>
      <c r="V464" s="113">
        <f t="shared" si="2"/>
        <v>45944.541666666657</v>
      </c>
      <c r="W464" s="114"/>
      <c r="X464" s="114"/>
      <c r="Y464" s="2"/>
    </row>
    <row r="465" spans="1:25" ht="15.75" customHeight="1">
      <c r="A465" s="116" t="s">
        <v>490</v>
      </c>
      <c r="B465" s="116" t="str">
        <f>IFERROR(VLOOKUP(A465&amp;"", STUDENTS!A:B, 2, 0), "")</f>
        <v>NGUYỄN TRẦN MINH NGHĨA</v>
      </c>
      <c r="C465" s="117" t="s">
        <v>90</v>
      </c>
      <c r="D465" s="117" t="str">
        <f>IFERROR(VLOOKUP(C465, PIC!A:B, 2, 0), "")</f>
        <v>Phu Nguyen</v>
      </c>
      <c r="E465" s="118" t="s">
        <v>21</v>
      </c>
      <c r="F465" s="119">
        <v>45917.583333333343</v>
      </c>
      <c r="G465" s="120">
        <v>45923.541666666657</v>
      </c>
      <c r="H465" s="120">
        <v>45930.541666666657</v>
      </c>
      <c r="I465" s="119">
        <v>45937.541666666657</v>
      </c>
      <c r="J465" s="120">
        <v>45944.541666666657</v>
      </c>
      <c r="K465" s="119">
        <v>45958.541666666657</v>
      </c>
      <c r="L465" s="120">
        <v>45965.583333333343</v>
      </c>
      <c r="M465" s="120">
        <v>45979.583333333343</v>
      </c>
      <c r="N465" s="116"/>
      <c r="O465" s="116"/>
      <c r="P465" s="116"/>
      <c r="Q465" s="116"/>
      <c r="R465" s="116"/>
      <c r="S465" s="116"/>
      <c r="T465" s="116"/>
      <c r="U465" s="125"/>
      <c r="V465" s="121">
        <f t="shared" si="2"/>
        <v>45979.583333333343</v>
      </c>
      <c r="W465" s="122"/>
      <c r="X465" s="122"/>
      <c r="Y465" s="2"/>
    </row>
    <row r="466" spans="1:25" ht="15.75" customHeight="1">
      <c r="A466" s="108" t="s">
        <v>500</v>
      </c>
      <c r="B466" s="108" t="str">
        <f>IFERROR(VLOOKUP(A466&amp;"", STUDENTS!A:B, 2, 0), "")</f>
        <v>NGUYEN TRUNG NGHIA</v>
      </c>
      <c r="C466" s="109" t="s">
        <v>90</v>
      </c>
      <c r="D466" s="109" t="str">
        <f>IFERROR(VLOOKUP(C466, PIC!A:B, 2, 0), "")</f>
        <v>Phu Nguyen</v>
      </c>
      <c r="E466" s="110" t="s">
        <v>21</v>
      </c>
      <c r="F466" s="111" t="s">
        <v>815</v>
      </c>
      <c r="G466" s="112" t="s">
        <v>815</v>
      </c>
      <c r="H466" s="112" t="s">
        <v>815</v>
      </c>
      <c r="I466" s="111" t="s">
        <v>815</v>
      </c>
      <c r="J466" s="112" t="s">
        <v>815</v>
      </c>
      <c r="K466" s="111" t="s">
        <v>815</v>
      </c>
      <c r="L466" s="112" t="s">
        <v>815</v>
      </c>
      <c r="M466" s="112" t="s">
        <v>815</v>
      </c>
      <c r="N466" s="111"/>
      <c r="O466" s="111"/>
      <c r="P466" s="111"/>
      <c r="Q466" s="111"/>
      <c r="R466" s="111"/>
      <c r="S466" s="111"/>
      <c r="T466" s="111"/>
      <c r="U466" s="112"/>
      <c r="V466" s="113">
        <f t="shared" si="2"/>
        <v>0</v>
      </c>
      <c r="W466" s="114"/>
      <c r="X466" s="114"/>
      <c r="Y466" s="2"/>
    </row>
    <row r="467" spans="1:25" ht="15.75" customHeight="1">
      <c r="A467" s="116" t="s">
        <v>551</v>
      </c>
      <c r="B467" s="116" t="str">
        <f>IFERROR(VLOOKUP(A467&amp;"", STUDENTS!A:B, 2, 0), "")</f>
        <v>PHẠM TƯỜNG NHÂN</v>
      </c>
      <c r="C467" s="117" t="s">
        <v>90</v>
      </c>
      <c r="D467" s="117" t="str">
        <f>IFERROR(VLOOKUP(C467, PIC!A:B, 2, 0), "")</f>
        <v>Phu Nguyen</v>
      </c>
      <c r="E467" s="118" t="s">
        <v>21</v>
      </c>
      <c r="F467" s="119">
        <v>45917.583333333343</v>
      </c>
      <c r="G467" s="120">
        <v>45923.541666666657</v>
      </c>
      <c r="H467" s="120">
        <v>45930.541666666657</v>
      </c>
      <c r="I467" s="119">
        <v>45937.541666666657</v>
      </c>
      <c r="J467" s="120" t="s">
        <v>815</v>
      </c>
      <c r="K467" s="119">
        <v>45958.541666666657</v>
      </c>
      <c r="L467" s="120">
        <v>45965.583333333343</v>
      </c>
      <c r="M467" s="120">
        <v>45979.583333333343</v>
      </c>
      <c r="N467" s="119"/>
      <c r="O467" s="119"/>
      <c r="P467" s="119"/>
      <c r="Q467" s="119"/>
      <c r="R467" s="119"/>
      <c r="S467" s="119"/>
      <c r="T467" s="119"/>
      <c r="U467" s="120"/>
      <c r="V467" s="121">
        <f t="shared" si="2"/>
        <v>45979.583333333343</v>
      </c>
      <c r="W467" s="122"/>
      <c r="X467" s="122"/>
      <c r="Y467" s="2"/>
    </row>
    <row r="468" spans="1:25" ht="15.75" customHeight="1">
      <c r="A468" s="108" t="s">
        <v>206</v>
      </c>
      <c r="B468" s="108" t="str">
        <f>IFERROR(VLOOKUP(A468&amp;"", STUDENTS!A:B, 2, 0), "")</f>
        <v>GIANG KHIẾT ĐÌNH</v>
      </c>
      <c r="C468" s="109" t="s">
        <v>91</v>
      </c>
      <c r="D468" s="109" t="str">
        <f>IFERROR(VLOOKUP(C468, PIC!A:B, 2, 0), "")</f>
        <v>Vinh Tran</v>
      </c>
      <c r="E468" s="110" t="s">
        <v>21</v>
      </c>
      <c r="F468" s="111">
        <v>45909.541666666657</v>
      </c>
      <c r="G468" s="112"/>
      <c r="H468" s="112">
        <v>45912.625</v>
      </c>
      <c r="I468" s="111">
        <v>45916.583333333343</v>
      </c>
      <c r="J468" s="112">
        <v>45925.375</v>
      </c>
      <c r="K468" s="111">
        <v>45932.541666666657</v>
      </c>
      <c r="L468" s="112">
        <v>45939.541666666657</v>
      </c>
      <c r="M468" s="112">
        <v>45946.541666666657</v>
      </c>
      <c r="N468" s="111">
        <v>45952.541666666657</v>
      </c>
      <c r="O468" s="111">
        <v>45959.541666666657</v>
      </c>
      <c r="P468" s="111">
        <v>45964.541666666657</v>
      </c>
      <c r="Q468" s="111">
        <v>45979.541666666657</v>
      </c>
      <c r="R468" s="111">
        <v>45988.541666666657</v>
      </c>
      <c r="S468" s="111" t="s">
        <v>815</v>
      </c>
      <c r="T468" s="111">
        <v>46000.541666666657</v>
      </c>
      <c r="U468" s="112">
        <v>46036.541666666657</v>
      </c>
      <c r="V468" s="113">
        <f t="shared" si="2"/>
        <v>46036.541666666657</v>
      </c>
      <c r="W468" s="114"/>
      <c r="X468" s="114"/>
      <c r="Y468" s="2"/>
    </row>
    <row r="469" spans="1:25" ht="15.75" customHeight="1">
      <c r="A469" s="116" t="s">
        <v>206</v>
      </c>
      <c r="B469" s="116" t="str">
        <f>IFERROR(VLOOKUP(A469&amp;"", STUDENTS!A:B, 2, 0), "")</f>
        <v>GIANG KHIẾT ĐÌNH</v>
      </c>
      <c r="C469" s="117" t="s">
        <v>91</v>
      </c>
      <c r="D469" s="117" t="str">
        <f>IFERROR(VLOOKUP(C469, PIC!A:B, 2, 0), "")</f>
        <v>Vinh Tran</v>
      </c>
      <c r="E469" s="118" t="s">
        <v>22</v>
      </c>
      <c r="F469" s="119">
        <v>46093.541666666657</v>
      </c>
      <c r="G469" s="120">
        <v>46107.541666666657</v>
      </c>
      <c r="H469" s="120">
        <v>46128.541666666657</v>
      </c>
      <c r="I469" s="119">
        <v>46134.541666666657</v>
      </c>
      <c r="J469" s="120"/>
      <c r="K469" s="119"/>
      <c r="L469" s="120"/>
      <c r="M469" s="120"/>
      <c r="N469" s="119"/>
      <c r="O469" s="119"/>
      <c r="P469" s="119"/>
      <c r="Q469" s="119"/>
      <c r="R469" s="119"/>
      <c r="S469" s="119"/>
      <c r="T469" s="119"/>
      <c r="U469" s="120"/>
      <c r="V469" s="121">
        <f t="shared" si="2"/>
        <v>46134.541666666657</v>
      </c>
      <c r="W469" s="122"/>
      <c r="X469" s="122"/>
      <c r="Y469" s="2"/>
    </row>
    <row r="470" spans="1:25" ht="15.75" customHeight="1">
      <c r="A470" s="108" t="s">
        <v>372</v>
      </c>
      <c r="B470" s="108" t="str">
        <f>IFERROR(VLOOKUP(A470&amp;"", STUDENTS!A:B, 2, 0), "")</f>
        <v>NGUYỄN HOÀNG BẢO TRÂN</v>
      </c>
      <c r="C470" s="109" t="s">
        <v>91</v>
      </c>
      <c r="D470" s="109" t="str">
        <f>IFERROR(VLOOKUP(C470, PIC!A:B, 2, 0), "")</f>
        <v>Vinh Tran</v>
      </c>
      <c r="E470" s="110" t="s">
        <v>21</v>
      </c>
      <c r="F470" s="111">
        <v>45909.541666666657</v>
      </c>
      <c r="G470" s="112"/>
      <c r="H470" s="112">
        <v>45912.625</v>
      </c>
      <c r="I470" s="111">
        <v>45916.583333333343</v>
      </c>
      <c r="J470" s="112">
        <v>45925.375</v>
      </c>
      <c r="K470" s="111">
        <v>45932.541666666657</v>
      </c>
      <c r="L470" s="112">
        <v>45939.541666666657</v>
      </c>
      <c r="M470" s="112">
        <v>45946.541666666657</v>
      </c>
      <c r="N470" s="111">
        <v>45952.541666666657</v>
      </c>
      <c r="O470" s="111">
        <v>45959.541666666657</v>
      </c>
      <c r="P470" s="111">
        <v>45964.541666666657</v>
      </c>
      <c r="Q470" s="111">
        <v>45979.541666666657</v>
      </c>
      <c r="R470" s="111" t="s">
        <v>815</v>
      </c>
      <c r="S470" s="111">
        <v>45995.541666666657</v>
      </c>
      <c r="T470" s="111">
        <v>46000.541666666657</v>
      </c>
      <c r="U470" s="112">
        <v>46036.541666666657</v>
      </c>
      <c r="V470" s="113">
        <f t="shared" si="2"/>
        <v>46036.541666666657</v>
      </c>
      <c r="W470" s="114"/>
      <c r="X470" s="114"/>
      <c r="Y470" s="2"/>
    </row>
    <row r="471" spans="1:25" ht="15.75" customHeight="1">
      <c r="A471" s="116" t="s">
        <v>372</v>
      </c>
      <c r="B471" s="116" t="str">
        <f>IFERROR(VLOOKUP(A471&amp;"", STUDENTS!A:B, 2, 0), "")</f>
        <v>NGUYỄN HOÀNG BẢO TRÂN</v>
      </c>
      <c r="C471" s="117" t="s">
        <v>91</v>
      </c>
      <c r="D471" s="117" t="str">
        <f>IFERROR(VLOOKUP(C471, PIC!A:B, 2, 0), "")</f>
        <v>Vinh Tran</v>
      </c>
      <c r="E471" s="118" t="s">
        <v>22</v>
      </c>
      <c r="F471" s="119">
        <v>46093.541666666657</v>
      </c>
      <c r="G471" s="120">
        <v>46107.541666666657</v>
      </c>
      <c r="H471" s="120">
        <v>46128.541666666657</v>
      </c>
      <c r="I471" s="119">
        <v>46134.541666666657</v>
      </c>
      <c r="J471" s="120"/>
      <c r="K471" s="119"/>
      <c r="L471" s="120"/>
      <c r="M471" s="120"/>
      <c r="N471" s="119"/>
      <c r="O471" s="119"/>
      <c r="P471" s="119"/>
      <c r="Q471" s="119"/>
      <c r="R471" s="119"/>
      <c r="S471" s="119"/>
      <c r="T471" s="119"/>
      <c r="U471" s="120"/>
      <c r="V471" s="121">
        <f t="shared" si="2"/>
        <v>46134.541666666657</v>
      </c>
      <c r="W471" s="122"/>
      <c r="X471" s="122"/>
      <c r="Y471" s="2"/>
    </row>
    <row r="472" spans="1:25" ht="15.75" customHeight="1">
      <c r="A472" s="108" t="s">
        <v>419</v>
      </c>
      <c r="B472" s="108" t="str">
        <f>IFERROR(VLOOKUP(A472&amp;"", STUDENTS!A:B, 2, 0), "")</f>
        <v>NGUYỄN NHẬT HÀO</v>
      </c>
      <c r="C472" s="109" t="s">
        <v>91</v>
      </c>
      <c r="D472" s="109" t="str">
        <f>IFERROR(VLOOKUP(C472, PIC!A:B, 2, 0), "")</f>
        <v>Vinh Tran</v>
      </c>
      <c r="E472" s="110" t="s">
        <v>21</v>
      </c>
      <c r="F472" s="111">
        <v>45909.541666666657</v>
      </c>
      <c r="G472" s="112"/>
      <c r="H472" s="112" t="s">
        <v>815</v>
      </c>
      <c r="I472" s="111" t="s">
        <v>815</v>
      </c>
      <c r="J472" s="112">
        <v>45925.375</v>
      </c>
      <c r="K472" s="111" t="s">
        <v>815</v>
      </c>
      <c r="L472" s="112" t="s">
        <v>815</v>
      </c>
      <c r="M472" s="112">
        <v>45946.541666666657</v>
      </c>
      <c r="N472" s="111">
        <v>45952.541666666657</v>
      </c>
      <c r="O472" s="111">
        <v>45959.541666666657</v>
      </c>
      <c r="P472" s="111">
        <v>45964.541666666657</v>
      </c>
      <c r="Q472" s="111">
        <v>45979.541666666657</v>
      </c>
      <c r="R472" s="111" t="s">
        <v>815</v>
      </c>
      <c r="S472" s="111">
        <v>45995.541666666657</v>
      </c>
      <c r="T472" s="111">
        <v>46000.541666666657</v>
      </c>
      <c r="U472" s="112">
        <v>46036.541666666657</v>
      </c>
      <c r="V472" s="113">
        <f t="shared" si="2"/>
        <v>46036.541666666657</v>
      </c>
      <c r="W472" s="114"/>
      <c r="X472" s="114"/>
      <c r="Y472" s="2"/>
    </row>
    <row r="473" spans="1:25" ht="15.75" customHeight="1">
      <c r="A473" s="116" t="s">
        <v>419</v>
      </c>
      <c r="B473" s="116" t="str">
        <f>IFERROR(VLOOKUP(A473&amp;"", STUDENTS!A:B, 2, 0), "")</f>
        <v>NGUYỄN NHẬT HÀO</v>
      </c>
      <c r="C473" s="117" t="s">
        <v>91</v>
      </c>
      <c r="D473" s="117" t="str">
        <f>IFERROR(VLOOKUP(C473, PIC!A:B, 2, 0), "")</f>
        <v>Vinh Tran</v>
      </c>
      <c r="E473" s="118" t="s">
        <v>22</v>
      </c>
      <c r="F473" s="119">
        <v>46093.541666666657</v>
      </c>
      <c r="G473" s="120">
        <v>46107.541666666657</v>
      </c>
      <c r="H473" s="120" t="s">
        <v>815</v>
      </c>
      <c r="I473" s="116" t="s">
        <v>815</v>
      </c>
      <c r="J473" s="120"/>
      <c r="K473" s="119"/>
      <c r="L473" s="120"/>
      <c r="M473" s="120"/>
      <c r="N473" s="119"/>
      <c r="O473" s="119"/>
      <c r="P473" s="119"/>
      <c r="Q473" s="119"/>
      <c r="R473" s="119"/>
      <c r="S473" s="119"/>
      <c r="T473" s="119"/>
      <c r="U473" s="120"/>
      <c r="V473" s="121">
        <f t="shared" si="2"/>
        <v>46107.541666666657</v>
      </c>
      <c r="W473" s="122"/>
      <c r="X473" s="122"/>
      <c r="Y473" s="2"/>
    </row>
    <row r="474" spans="1:25" ht="15.75" customHeight="1">
      <c r="A474" s="108" t="s">
        <v>459</v>
      </c>
      <c r="B474" s="108" t="str">
        <f>IFERROR(VLOOKUP(A474&amp;"", STUDENTS!A:B, 2, 0), "")</f>
        <v>NGUYỄN THẾ ANH</v>
      </c>
      <c r="C474" s="109" t="s">
        <v>91</v>
      </c>
      <c r="D474" s="109" t="str">
        <f>IFERROR(VLOOKUP(C474, PIC!A:B, 2, 0), "")</f>
        <v>Vinh Tran</v>
      </c>
      <c r="E474" s="110" t="s">
        <v>21</v>
      </c>
      <c r="F474" s="111">
        <v>45909.541666666657</v>
      </c>
      <c r="G474" s="112"/>
      <c r="H474" s="112">
        <v>45912.625</v>
      </c>
      <c r="I474" s="111">
        <v>45916.583333333343</v>
      </c>
      <c r="J474" s="112">
        <v>45925.375</v>
      </c>
      <c r="K474" s="111">
        <v>45932.541666666657</v>
      </c>
      <c r="L474" s="112">
        <v>45939.541666666657</v>
      </c>
      <c r="M474" s="112">
        <v>45946.541666666657</v>
      </c>
      <c r="N474" s="111">
        <v>45952.541666666657</v>
      </c>
      <c r="O474" s="111">
        <v>45959.541666666657</v>
      </c>
      <c r="P474" s="111">
        <v>45964.541666666657</v>
      </c>
      <c r="Q474" s="111">
        <v>45979.541666666657</v>
      </c>
      <c r="R474" s="111">
        <v>45988.541666666657</v>
      </c>
      <c r="S474" s="111" t="s">
        <v>815</v>
      </c>
      <c r="T474" s="111">
        <v>46000.541666666657</v>
      </c>
      <c r="U474" s="112">
        <v>46036.541666666657</v>
      </c>
      <c r="V474" s="113">
        <f t="shared" si="2"/>
        <v>46036.541666666657</v>
      </c>
      <c r="W474" s="114"/>
      <c r="X474" s="114"/>
      <c r="Y474" s="2"/>
    </row>
    <row r="475" spans="1:25" ht="15.75" customHeight="1">
      <c r="A475" s="116" t="s">
        <v>459</v>
      </c>
      <c r="B475" s="116" t="str">
        <f>IFERROR(VLOOKUP(A475&amp;"", STUDENTS!A:B, 2, 0), "")</f>
        <v>NGUYỄN THẾ ANH</v>
      </c>
      <c r="C475" s="117" t="s">
        <v>91</v>
      </c>
      <c r="D475" s="117" t="str">
        <f>IFERROR(VLOOKUP(C475, PIC!A:B, 2, 0), "")</f>
        <v>Vinh Tran</v>
      </c>
      <c r="E475" s="118" t="s">
        <v>22</v>
      </c>
      <c r="F475" s="119">
        <v>46093.541666666657</v>
      </c>
      <c r="G475" s="120">
        <v>46107.541666666657</v>
      </c>
      <c r="H475" s="120">
        <v>46128.541666666657</v>
      </c>
      <c r="I475" s="119">
        <v>46134.541666666657</v>
      </c>
      <c r="J475" s="120"/>
      <c r="K475" s="119"/>
      <c r="L475" s="120"/>
      <c r="M475" s="120"/>
      <c r="N475" s="119"/>
      <c r="O475" s="119"/>
      <c r="P475" s="119"/>
      <c r="Q475" s="119"/>
      <c r="R475" s="119"/>
      <c r="S475" s="119"/>
      <c r="T475" s="119"/>
      <c r="U475" s="120"/>
      <c r="V475" s="121">
        <f t="shared" si="2"/>
        <v>46134.541666666657</v>
      </c>
      <c r="W475" s="122"/>
      <c r="X475" s="122"/>
      <c r="Y475" s="2"/>
    </row>
    <row r="476" spans="1:25" ht="15.75" customHeight="1">
      <c r="A476" s="108" t="s">
        <v>536</v>
      </c>
      <c r="B476" s="108" t="str">
        <f>IFERROR(VLOOKUP(A476&amp;"", STUDENTS!A:B, 2, 0), "")</f>
        <v>PHẠM LÊ QUỲNH HƯƠNG</v>
      </c>
      <c r="C476" s="109" t="s">
        <v>91</v>
      </c>
      <c r="D476" s="109" t="str">
        <f>IFERROR(VLOOKUP(C476, PIC!A:B, 2, 0), "")</f>
        <v>Vinh Tran</v>
      </c>
      <c r="E476" s="110" t="s">
        <v>21</v>
      </c>
      <c r="F476" s="111">
        <v>45909.541666666657</v>
      </c>
      <c r="G476" s="112"/>
      <c r="H476" s="112">
        <v>45912.625</v>
      </c>
      <c r="I476" s="111">
        <v>45916.583333333343</v>
      </c>
      <c r="J476" s="112">
        <v>45925.375</v>
      </c>
      <c r="K476" s="111">
        <v>45932.541666666657</v>
      </c>
      <c r="L476" s="112">
        <v>45939.541666666657</v>
      </c>
      <c r="M476" s="112">
        <v>45946.541666666657</v>
      </c>
      <c r="N476" s="111">
        <v>45952.541666666657</v>
      </c>
      <c r="O476" s="111">
        <v>45959.541666666657</v>
      </c>
      <c r="P476" s="111">
        <v>45964.541666666657</v>
      </c>
      <c r="Q476" s="111">
        <v>45979.541666666657</v>
      </c>
      <c r="R476" s="111">
        <v>45988.541666666657</v>
      </c>
      <c r="S476" s="111">
        <v>45995.541666666657</v>
      </c>
      <c r="T476" s="111">
        <v>46000.541666666657</v>
      </c>
      <c r="U476" s="112">
        <v>46036.541666666657</v>
      </c>
      <c r="V476" s="113">
        <f t="shared" si="2"/>
        <v>46036.541666666657</v>
      </c>
      <c r="W476" s="114"/>
      <c r="X476" s="114"/>
      <c r="Y476" s="2"/>
    </row>
    <row r="477" spans="1:25" ht="15.75" customHeight="1">
      <c r="A477" s="116" t="s">
        <v>536</v>
      </c>
      <c r="B477" s="116" t="str">
        <f>IFERROR(VLOOKUP(A477&amp;"", STUDENTS!A:B, 2, 0), "")</f>
        <v>PHẠM LÊ QUỲNH HƯƠNG</v>
      </c>
      <c r="C477" s="117" t="s">
        <v>91</v>
      </c>
      <c r="D477" s="117" t="str">
        <f>IFERROR(VLOOKUP(C477, PIC!A:B, 2, 0), "")</f>
        <v>Vinh Tran</v>
      </c>
      <c r="E477" s="118" t="s">
        <v>22</v>
      </c>
      <c r="F477" s="119" t="s">
        <v>815</v>
      </c>
      <c r="G477" s="120">
        <v>46107.541666666657</v>
      </c>
      <c r="H477" s="120">
        <v>46128.541666666657</v>
      </c>
      <c r="I477" s="116" t="s">
        <v>815</v>
      </c>
      <c r="J477" s="120"/>
      <c r="K477" s="119"/>
      <c r="L477" s="120"/>
      <c r="M477" s="120"/>
      <c r="N477" s="119"/>
      <c r="O477" s="119"/>
      <c r="P477" s="119"/>
      <c r="Q477" s="119"/>
      <c r="R477" s="119"/>
      <c r="S477" s="119"/>
      <c r="T477" s="119"/>
      <c r="U477" s="120"/>
      <c r="V477" s="121">
        <f t="shared" si="2"/>
        <v>46128.541666666657</v>
      </c>
      <c r="W477" s="122"/>
      <c r="X477" s="122"/>
      <c r="Y477" s="2"/>
    </row>
    <row r="478" spans="1:25" ht="15.75" customHeight="1">
      <c r="A478" s="108" t="s">
        <v>609</v>
      </c>
      <c r="B478" s="108" t="str">
        <f>IFERROR(VLOOKUP(A478&amp;"", STUDENTS!A:B, 2, 0), "")</f>
        <v>TRẦN ĐỨC VINH</v>
      </c>
      <c r="C478" s="109" t="s">
        <v>91</v>
      </c>
      <c r="D478" s="109" t="str">
        <f>IFERROR(VLOOKUP(C478, PIC!A:B, 2, 0), "")</f>
        <v>Vinh Tran</v>
      </c>
      <c r="E478" s="110" t="s">
        <v>21</v>
      </c>
      <c r="F478" s="111">
        <v>45909.541666666657</v>
      </c>
      <c r="G478" s="112"/>
      <c r="H478" s="112">
        <v>45912.625</v>
      </c>
      <c r="I478" s="111">
        <v>45916.583333333343</v>
      </c>
      <c r="J478" s="112">
        <v>45925.375</v>
      </c>
      <c r="K478" s="111">
        <v>45932.541666666657</v>
      </c>
      <c r="L478" s="112">
        <v>45939.541666666657</v>
      </c>
      <c r="M478" s="112">
        <v>45946.541666666657</v>
      </c>
      <c r="N478" s="111">
        <v>45952.541666666657</v>
      </c>
      <c r="O478" s="111">
        <v>45959.541666666657</v>
      </c>
      <c r="P478" s="111">
        <v>45964.541666666657</v>
      </c>
      <c r="Q478" s="111">
        <v>45979.541666666657</v>
      </c>
      <c r="R478" s="111">
        <v>45988.541666666657</v>
      </c>
      <c r="S478" s="111">
        <v>45995.541666666657</v>
      </c>
      <c r="T478" s="111">
        <v>46000.541666666657</v>
      </c>
      <c r="U478" s="112">
        <v>46036.541666666657</v>
      </c>
      <c r="V478" s="113">
        <f t="shared" si="2"/>
        <v>46036.541666666657</v>
      </c>
      <c r="W478" s="114"/>
      <c r="X478" s="114"/>
      <c r="Y478" s="2"/>
    </row>
    <row r="479" spans="1:25" ht="15.75" customHeight="1">
      <c r="A479" s="116" t="s">
        <v>609</v>
      </c>
      <c r="B479" s="116" t="str">
        <f>IFERROR(VLOOKUP(A479&amp;"", STUDENTS!A:B, 2, 0), "")</f>
        <v>TRẦN ĐỨC VINH</v>
      </c>
      <c r="C479" s="117" t="s">
        <v>91</v>
      </c>
      <c r="D479" s="117" t="str">
        <f>IFERROR(VLOOKUP(C479, PIC!A:B, 2, 0), "")</f>
        <v>Vinh Tran</v>
      </c>
      <c r="E479" s="118" t="s">
        <v>22</v>
      </c>
      <c r="F479" s="119">
        <v>46093.541666666657</v>
      </c>
      <c r="G479" s="120">
        <v>46107.541666666657</v>
      </c>
      <c r="H479" s="120">
        <v>46128.541666666657</v>
      </c>
      <c r="I479" s="119">
        <v>46134.541666666657</v>
      </c>
      <c r="J479" s="120"/>
      <c r="K479" s="119"/>
      <c r="L479" s="120"/>
      <c r="M479" s="120"/>
      <c r="N479" s="119"/>
      <c r="O479" s="119"/>
      <c r="P479" s="119"/>
      <c r="Q479" s="119"/>
      <c r="R479" s="119"/>
      <c r="S479" s="119"/>
      <c r="T479" s="119"/>
      <c r="U479" s="120"/>
      <c r="V479" s="121">
        <f t="shared" si="2"/>
        <v>46134.541666666657</v>
      </c>
      <c r="W479" s="122"/>
      <c r="X479" s="122"/>
      <c r="Y479" s="2"/>
    </row>
    <row r="480" spans="1:25" ht="15.75" customHeight="1">
      <c r="A480" s="108" t="s">
        <v>153</v>
      </c>
      <c r="B480" s="108" t="str">
        <f>IFERROR(VLOOKUP(A480&amp;"", STUDENTS!A:B, 2, 0), "")</f>
        <v>ĐẶNG GIA LỘC</v>
      </c>
      <c r="C480" s="109" t="s">
        <v>92</v>
      </c>
      <c r="D480" s="109" t="str">
        <f>IFERROR(VLOOKUP(C480, PIC!A:B, 2, 0), "")</f>
        <v>Liên Nguyễn</v>
      </c>
      <c r="E480" s="110" t="s">
        <v>25</v>
      </c>
      <c r="F480" s="111"/>
      <c r="G480" s="112"/>
      <c r="H480" s="112"/>
      <c r="I480" s="111">
        <v>45938.583333333343</v>
      </c>
      <c r="J480" s="112" t="s">
        <v>815</v>
      </c>
      <c r="K480" s="111">
        <v>45952.625</v>
      </c>
      <c r="L480" s="112">
        <v>45961.583333333343</v>
      </c>
      <c r="M480" s="112">
        <v>45966.625</v>
      </c>
      <c r="N480" s="111">
        <v>45974.583333333343</v>
      </c>
      <c r="O480" s="111" t="s">
        <v>815</v>
      </c>
      <c r="P480" s="111">
        <v>45989.583333333343</v>
      </c>
      <c r="Q480" s="111">
        <v>45994.541666666657</v>
      </c>
      <c r="R480" s="111" t="s">
        <v>815</v>
      </c>
      <c r="S480" s="111">
        <v>46049.541666666657</v>
      </c>
      <c r="T480" s="111" t="s">
        <v>815</v>
      </c>
      <c r="U480" s="112">
        <v>46083.583333333343</v>
      </c>
      <c r="V480" s="113">
        <f t="shared" si="2"/>
        <v>46083.583333333343</v>
      </c>
      <c r="W480" s="114"/>
      <c r="X480" s="114"/>
      <c r="Y480" s="2"/>
    </row>
    <row r="481" spans="1:25" ht="15.75" customHeight="1">
      <c r="A481" s="116" t="s">
        <v>269</v>
      </c>
      <c r="B481" s="116" t="str">
        <f>IFERROR(VLOOKUP(A481&amp;"", STUDENTS!A:B, 2, 0), "")</f>
        <v>LÊ MINH HY</v>
      </c>
      <c r="C481" s="117" t="s">
        <v>92</v>
      </c>
      <c r="D481" s="117" t="str">
        <f>IFERROR(VLOOKUP(C481, PIC!A:B, 2, 0), "")</f>
        <v>Liên Nguyễn</v>
      </c>
      <c r="E481" s="118" t="s">
        <v>25</v>
      </c>
      <c r="F481" s="119"/>
      <c r="G481" s="120"/>
      <c r="H481" s="120"/>
      <c r="I481" s="119" t="s">
        <v>815</v>
      </c>
      <c r="J481" s="120">
        <v>45947.541666666657</v>
      </c>
      <c r="K481" s="119">
        <v>45952.625</v>
      </c>
      <c r="L481" s="120">
        <v>45961.583333333343</v>
      </c>
      <c r="M481" s="120" t="s">
        <v>815</v>
      </c>
      <c r="N481" s="119">
        <v>45974.583333333343</v>
      </c>
      <c r="O481" s="119">
        <v>45982.625</v>
      </c>
      <c r="P481" s="119">
        <v>45989.583333333343</v>
      </c>
      <c r="Q481" s="119">
        <v>45994.541666666657</v>
      </c>
      <c r="R481" s="119">
        <v>46010.583333333343</v>
      </c>
      <c r="S481" s="119">
        <v>46049.541666666657</v>
      </c>
      <c r="T481" s="119">
        <v>46052.583333333343</v>
      </c>
      <c r="U481" s="120">
        <v>46083.583333333343</v>
      </c>
      <c r="V481" s="121">
        <f t="shared" si="2"/>
        <v>46083.583333333343</v>
      </c>
      <c r="W481" s="122"/>
      <c r="X481" s="122"/>
      <c r="Y481" s="2"/>
    </row>
    <row r="482" spans="1:25" ht="15.75" customHeight="1">
      <c r="A482" s="108" t="s">
        <v>273</v>
      </c>
      <c r="B482" s="108" t="str">
        <f>IFERROR(VLOOKUP(A482&amp;"", STUDENTS!A:B, 2, 0), "")</f>
        <v>LE MINH TRUONG</v>
      </c>
      <c r="C482" s="109" t="s">
        <v>92</v>
      </c>
      <c r="D482" s="109" t="str">
        <f>IFERROR(VLOOKUP(C482, PIC!A:B, 2, 0), "")</f>
        <v>Liên Nguyễn</v>
      </c>
      <c r="E482" s="110" t="s">
        <v>25</v>
      </c>
      <c r="F482" s="111"/>
      <c r="G482" s="112"/>
      <c r="H482" s="112"/>
      <c r="I482" s="111">
        <v>45938.583333333343</v>
      </c>
      <c r="J482" s="112">
        <v>45947.541666666657</v>
      </c>
      <c r="K482" s="111">
        <v>45952.625</v>
      </c>
      <c r="L482" s="112">
        <v>45961.583333333343</v>
      </c>
      <c r="M482" s="112" t="s">
        <v>815</v>
      </c>
      <c r="N482" s="111">
        <v>45974.583333333343</v>
      </c>
      <c r="O482" s="111" t="s">
        <v>815</v>
      </c>
      <c r="P482" s="111">
        <v>45989.583333333343</v>
      </c>
      <c r="Q482" s="111">
        <v>45994.541666666657</v>
      </c>
      <c r="R482" s="111">
        <v>46010.583333333343</v>
      </c>
      <c r="S482" s="111">
        <v>46049.541666666657</v>
      </c>
      <c r="T482" s="111">
        <v>46052.583333333343</v>
      </c>
      <c r="U482" s="112" t="s">
        <v>815</v>
      </c>
      <c r="V482" s="113">
        <f t="shared" si="2"/>
        <v>46052.583333333343</v>
      </c>
      <c r="W482" s="114"/>
      <c r="X482" s="114"/>
      <c r="Y482" s="2"/>
    </row>
    <row r="483" spans="1:25" ht="15.75" customHeight="1">
      <c r="A483" s="116" t="s">
        <v>302</v>
      </c>
      <c r="B483" s="116" t="str">
        <f>IFERROR(VLOOKUP(A483&amp;"", STUDENTS!A:B, 2, 0), "")</f>
        <v>LE VAN DONG TAM</v>
      </c>
      <c r="C483" s="117" t="s">
        <v>92</v>
      </c>
      <c r="D483" s="117" t="str">
        <f>IFERROR(VLOOKUP(C483, PIC!A:B, 2, 0), "")</f>
        <v>Liên Nguyễn</v>
      </c>
      <c r="E483" s="118" t="s">
        <v>25</v>
      </c>
      <c r="F483" s="119"/>
      <c r="G483" s="120"/>
      <c r="H483" s="120"/>
      <c r="I483" s="119" t="s">
        <v>815</v>
      </c>
      <c r="J483" s="120" t="s">
        <v>815</v>
      </c>
      <c r="K483" s="119">
        <v>45952.625</v>
      </c>
      <c r="L483" s="120">
        <v>45961.583333333343</v>
      </c>
      <c r="M483" s="120" t="s">
        <v>815</v>
      </c>
      <c r="N483" s="119" t="s">
        <v>815</v>
      </c>
      <c r="O483" s="119">
        <v>45982.625</v>
      </c>
      <c r="P483" s="119">
        <v>45989.583333333343</v>
      </c>
      <c r="Q483" s="119" t="s">
        <v>815</v>
      </c>
      <c r="R483" s="119">
        <v>46010.583333333343</v>
      </c>
      <c r="S483" s="119">
        <v>46049.541666666657</v>
      </c>
      <c r="T483" s="119">
        <v>46052.583333333343</v>
      </c>
      <c r="U483" s="120">
        <v>46083.583333333343</v>
      </c>
      <c r="V483" s="121">
        <f t="shared" si="2"/>
        <v>46083.583333333343</v>
      </c>
      <c r="W483" s="122"/>
      <c r="X483" s="122"/>
      <c r="Y483" s="2"/>
    </row>
    <row r="484" spans="1:25" ht="15.75" customHeight="1">
      <c r="A484" s="108" t="s">
        <v>361</v>
      </c>
      <c r="B484" s="108" t="str">
        <f>IFERROR(VLOOKUP(A484&amp;"", STUDENTS!A:B, 2, 0), "")</f>
        <v>NGUYEN DUY PHONG</v>
      </c>
      <c r="C484" s="109" t="s">
        <v>92</v>
      </c>
      <c r="D484" s="109" t="str">
        <f>IFERROR(VLOOKUP(C484, PIC!A:B, 2, 0), "")</f>
        <v>Liên Nguyễn</v>
      </c>
      <c r="E484" s="110" t="s">
        <v>25</v>
      </c>
      <c r="F484" s="111"/>
      <c r="G484" s="112"/>
      <c r="H484" s="112"/>
      <c r="I484" s="111" t="s">
        <v>815</v>
      </c>
      <c r="J484" s="112" t="s">
        <v>815</v>
      </c>
      <c r="K484" s="111" t="s">
        <v>815</v>
      </c>
      <c r="L484" s="112" t="s">
        <v>815</v>
      </c>
      <c r="M484" s="112" t="s">
        <v>815</v>
      </c>
      <c r="N484" s="111" t="s">
        <v>815</v>
      </c>
      <c r="O484" s="111" t="s">
        <v>815</v>
      </c>
      <c r="P484" s="111"/>
      <c r="Q484" s="111"/>
      <c r="R484" s="111"/>
      <c r="S484" s="111"/>
      <c r="T484" s="111"/>
      <c r="U484" s="112"/>
      <c r="V484" s="113">
        <f t="shared" si="2"/>
        <v>0</v>
      </c>
      <c r="W484" s="114"/>
      <c r="X484" s="114"/>
      <c r="Y484" s="2"/>
    </row>
    <row r="485" spans="1:25" ht="15.75" customHeight="1">
      <c r="A485" s="116" t="s">
        <v>385</v>
      </c>
      <c r="B485" s="116" t="str">
        <f>IFERROR(VLOOKUP(A485&amp;"", STUDENTS!A:B, 2, 0), "")</f>
        <v>NGUYEN HUU DUY</v>
      </c>
      <c r="C485" s="117" t="s">
        <v>92</v>
      </c>
      <c r="D485" s="117" t="str">
        <f>IFERROR(VLOOKUP(C485, PIC!A:B, 2, 0), "")</f>
        <v>Liên Nguyễn</v>
      </c>
      <c r="E485" s="118" t="s">
        <v>25</v>
      </c>
      <c r="F485" s="119"/>
      <c r="G485" s="120"/>
      <c r="H485" s="120"/>
      <c r="I485" s="119">
        <v>45938.583333333343</v>
      </c>
      <c r="J485" s="120">
        <v>45947.541666666657</v>
      </c>
      <c r="K485" s="119">
        <v>45952.625</v>
      </c>
      <c r="L485" s="120">
        <v>45961.583333333343</v>
      </c>
      <c r="M485" s="120" t="s">
        <v>815</v>
      </c>
      <c r="N485" s="119">
        <v>45974.583333333343</v>
      </c>
      <c r="O485" s="119" t="s">
        <v>815</v>
      </c>
      <c r="P485" s="119">
        <v>45989.583333333343</v>
      </c>
      <c r="Q485" s="119" t="s">
        <v>815</v>
      </c>
      <c r="R485" s="119">
        <v>46010.583333333343</v>
      </c>
      <c r="S485" s="119" t="s">
        <v>815</v>
      </c>
      <c r="T485" s="119">
        <v>46052.583333333343</v>
      </c>
      <c r="U485" s="120">
        <v>46083.583333333343</v>
      </c>
      <c r="V485" s="121">
        <f t="shared" si="2"/>
        <v>46083.583333333343</v>
      </c>
      <c r="W485" s="122"/>
      <c r="X485" s="122"/>
      <c r="Y485" s="2"/>
    </row>
    <row r="486" spans="1:25" ht="15.75" customHeight="1">
      <c r="A486" s="108" t="s">
        <v>405</v>
      </c>
      <c r="B486" s="108" t="str">
        <f>IFERROR(VLOOKUP(A486&amp;"", STUDENTS!A:B, 2, 0), "")</f>
        <v>NGUYỄN MINH LIÊN</v>
      </c>
      <c r="C486" s="109" t="s">
        <v>92</v>
      </c>
      <c r="D486" s="109" t="str">
        <f>IFERROR(VLOOKUP(C486, PIC!A:B, 2, 0), "")</f>
        <v>Liên Nguyễn</v>
      </c>
      <c r="E486" s="110" t="s">
        <v>25</v>
      </c>
      <c r="F486" s="111">
        <v>45917.583333333343</v>
      </c>
      <c r="G486" s="112">
        <v>45925.541666666657</v>
      </c>
      <c r="H486" s="112"/>
      <c r="I486" s="111">
        <v>45938.583333333343</v>
      </c>
      <c r="J486" s="112" t="s">
        <v>815</v>
      </c>
      <c r="K486" s="111">
        <v>45952.625</v>
      </c>
      <c r="L486" s="112">
        <v>45961.583333333343</v>
      </c>
      <c r="M486" s="112">
        <v>45966.625</v>
      </c>
      <c r="N486" s="111">
        <v>45974.583333333343</v>
      </c>
      <c r="O486" s="111" t="s">
        <v>815</v>
      </c>
      <c r="P486" s="111" t="s">
        <v>815</v>
      </c>
      <c r="Q486" s="111"/>
      <c r="R486" s="111">
        <v>46010.583333333343</v>
      </c>
      <c r="S486" s="111" t="s">
        <v>815</v>
      </c>
      <c r="T486" s="111">
        <v>46052.583333333343</v>
      </c>
      <c r="U486" s="112">
        <v>46083.583333333343</v>
      </c>
      <c r="V486" s="113">
        <f t="shared" si="2"/>
        <v>46083.583333333343</v>
      </c>
      <c r="W486" s="114"/>
      <c r="X486" s="114"/>
      <c r="Y486" s="2"/>
    </row>
    <row r="487" spans="1:25" ht="15.75" customHeight="1">
      <c r="A487" s="116" t="s">
        <v>470</v>
      </c>
      <c r="B487" s="116" t="str">
        <f>IFERROR(VLOOKUP(A487&amp;"", STUDENTS!A:B, 2, 0), "")</f>
        <v>NGUYỄN THỊ KIM TRANG</v>
      </c>
      <c r="C487" s="117" t="s">
        <v>92</v>
      </c>
      <c r="D487" s="117" t="str">
        <f>IFERROR(VLOOKUP(C487, PIC!A:B, 2, 0), "")</f>
        <v>Liên Nguyễn</v>
      </c>
      <c r="E487" s="118" t="s">
        <v>25</v>
      </c>
      <c r="F487" s="119">
        <v>45917.583333333343</v>
      </c>
      <c r="G487" s="120">
        <v>45925.541666666657</v>
      </c>
      <c r="H487" s="120"/>
      <c r="I487" s="119">
        <v>45938.583333333343</v>
      </c>
      <c r="J487" s="120">
        <v>45947.541666666657</v>
      </c>
      <c r="K487" s="119">
        <v>45952.625</v>
      </c>
      <c r="L487" s="120" t="s">
        <v>815</v>
      </c>
      <c r="M487" s="120">
        <v>45966.625</v>
      </c>
      <c r="N487" s="119">
        <v>45974.583333333343</v>
      </c>
      <c r="O487" s="119">
        <v>45982.625</v>
      </c>
      <c r="P487" s="119">
        <v>45989.583333333343</v>
      </c>
      <c r="Q487" s="119" t="s">
        <v>815</v>
      </c>
      <c r="R487" s="119">
        <v>46010.583333333343</v>
      </c>
      <c r="S487" s="119">
        <v>46049.541666666657</v>
      </c>
      <c r="T487" s="119">
        <v>46052.583333333343</v>
      </c>
      <c r="U487" s="120">
        <v>46083.583333333343</v>
      </c>
      <c r="V487" s="121">
        <f t="shared" si="2"/>
        <v>46083.583333333343</v>
      </c>
      <c r="W487" s="122"/>
      <c r="X487" s="122"/>
      <c r="Y487" s="2"/>
    </row>
    <row r="488" spans="1:25" ht="15.75" customHeight="1">
      <c r="A488" s="108" t="s">
        <v>532</v>
      </c>
      <c r="B488" s="108" t="str">
        <f>IFERROR(VLOOKUP(A488&amp;"", STUDENTS!A:B, 2, 0), "")</f>
        <v>PHẠM HUỲNH TÂN</v>
      </c>
      <c r="C488" s="109" t="s">
        <v>92</v>
      </c>
      <c r="D488" s="109" t="str">
        <f>IFERROR(VLOOKUP(C488, PIC!A:B, 2, 0), "")</f>
        <v>Liên Nguyễn</v>
      </c>
      <c r="E488" s="110" t="s">
        <v>25</v>
      </c>
      <c r="F488" s="111">
        <v>45917.583333333343</v>
      </c>
      <c r="G488" s="112">
        <v>45925.541666666657</v>
      </c>
      <c r="H488" s="112"/>
      <c r="I488" s="111">
        <v>45938.583333333343</v>
      </c>
      <c r="J488" s="112">
        <v>45947.541666666657</v>
      </c>
      <c r="K488" s="111" t="s">
        <v>815</v>
      </c>
      <c r="L488" s="112">
        <v>45961.583333333343</v>
      </c>
      <c r="M488" s="112">
        <v>45966.625</v>
      </c>
      <c r="N488" s="111">
        <v>45974.583333333343</v>
      </c>
      <c r="O488" s="111">
        <v>45982.625</v>
      </c>
      <c r="P488" s="111" t="s">
        <v>815</v>
      </c>
      <c r="Q488" s="111" t="s">
        <v>815</v>
      </c>
      <c r="R488" s="111">
        <v>46010.583333333343</v>
      </c>
      <c r="S488" s="111">
        <v>46049.541666666657</v>
      </c>
      <c r="T488" s="111">
        <v>46052.583333333343</v>
      </c>
      <c r="U488" s="112">
        <v>46083.583333333343</v>
      </c>
      <c r="V488" s="113">
        <f t="shared" si="2"/>
        <v>46083.583333333343</v>
      </c>
      <c r="W488" s="114"/>
      <c r="X488" s="114"/>
      <c r="Y488" s="2"/>
    </row>
    <row r="489" spans="1:25" ht="15.75" customHeight="1">
      <c r="A489" s="116" t="s">
        <v>273</v>
      </c>
      <c r="B489" s="116" t="str">
        <f>IFERROR(VLOOKUP(A489&amp;"", STUDENTS!A:B, 2, 0), "")</f>
        <v>LE MINH TRUONG</v>
      </c>
      <c r="C489" s="117" t="s">
        <v>93</v>
      </c>
      <c r="D489" s="117" t="str">
        <f>IFERROR(VLOOKUP(C489, PIC!A:B, 2, 0), "")</f>
        <v>Quyen Nguyen</v>
      </c>
      <c r="E489" s="118" t="s">
        <v>21</v>
      </c>
      <c r="F489" s="119">
        <v>45929.583333333343</v>
      </c>
      <c r="G489" s="120" t="s">
        <v>815</v>
      </c>
      <c r="H489" s="120" t="s">
        <v>815</v>
      </c>
      <c r="I489" s="119" t="s">
        <v>815</v>
      </c>
      <c r="J489" s="120" t="s">
        <v>815</v>
      </c>
      <c r="K489" s="119" t="s">
        <v>815</v>
      </c>
      <c r="L489" s="120" t="s">
        <v>815</v>
      </c>
      <c r="M489" s="120"/>
      <c r="N489" s="119"/>
      <c r="O489" s="119"/>
      <c r="P489" s="119"/>
      <c r="Q489" s="119"/>
      <c r="R489" s="119"/>
      <c r="S489" s="119"/>
      <c r="T489" s="119"/>
      <c r="U489" s="120"/>
      <c r="V489" s="121">
        <f t="shared" si="2"/>
        <v>45929.583333333343</v>
      </c>
      <c r="W489" s="122"/>
      <c r="X489" s="122"/>
      <c r="Y489" s="2"/>
    </row>
    <row r="490" spans="1:25" ht="15.75" customHeight="1">
      <c r="A490" s="108" t="s">
        <v>385</v>
      </c>
      <c r="B490" s="108" t="str">
        <f>IFERROR(VLOOKUP(A490&amp;"", STUDENTS!A:B, 2, 0), "")</f>
        <v>NGUYEN HUU DUY</v>
      </c>
      <c r="C490" s="109" t="s">
        <v>93</v>
      </c>
      <c r="D490" s="109" t="str">
        <f>IFERROR(VLOOKUP(C490, PIC!A:B, 2, 0), "")</f>
        <v>Quyen Nguyen</v>
      </c>
      <c r="E490" s="110" t="s">
        <v>21</v>
      </c>
      <c r="F490" s="111">
        <v>45929.583333333343</v>
      </c>
      <c r="G490" s="112" t="s">
        <v>815</v>
      </c>
      <c r="H490" s="112" t="s">
        <v>815</v>
      </c>
      <c r="I490" s="111" t="s">
        <v>815</v>
      </c>
      <c r="J490" s="112" t="s">
        <v>815</v>
      </c>
      <c r="K490" s="111" t="s">
        <v>815</v>
      </c>
      <c r="L490" s="112" t="s">
        <v>815</v>
      </c>
      <c r="M490" s="112"/>
      <c r="N490" s="111"/>
      <c r="O490" s="111"/>
      <c r="P490" s="111"/>
      <c r="Q490" s="111"/>
      <c r="R490" s="111"/>
      <c r="S490" s="111"/>
      <c r="T490" s="111"/>
      <c r="U490" s="112"/>
      <c r="V490" s="113">
        <f t="shared" si="2"/>
        <v>45929.583333333343</v>
      </c>
      <c r="W490" s="114"/>
      <c r="X490" s="114"/>
      <c r="Y490" s="2"/>
    </row>
    <row r="491" spans="1:25" ht="15.75" customHeight="1">
      <c r="A491" s="116" t="s">
        <v>427</v>
      </c>
      <c r="B491" s="116" t="str">
        <f>IFERROR(VLOOKUP(A491&amp;"", STUDENTS!A:B, 2, 0), "")</f>
        <v>NGUYỄN PHÚC VINH</v>
      </c>
      <c r="C491" s="117" t="s">
        <v>93</v>
      </c>
      <c r="D491" s="117" t="str">
        <f>IFERROR(VLOOKUP(C491, PIC!A:B, 2, 0), "")</f>
        <v>Quyen Nguyen</v>
      </c>
      <c r="E491" s="118" t="s">
        <v>21</v>
      </c>
      <c r="F491" s="119">
        <v>45929.583333333343</v>
      </c>
      <c r="G491" s="120">
        <v>45938.583333333343</v>
      </c>
      <c r="H491" s="120">
        <v>45950.541666666657</v>
      </c>
      <c r="I491" s="119">
        <v>45952.583333333343</v>
      </c>
      <c r="J491" s="120">
        <v>45959.583333333343</v>
      </c>
      <c r="K491" s="119">
        <v>45966.541666666657</v>
      </c>
      <c r="L491" s="120">
        <v>45985.541666666657</v>
      </c>
      <c r="M491" s="120">
        <v>45999.541666666657</v>
      </c>
      <c r="N491" s="119">
        <v>46006.541666666657</v>
      </c>
      <c r="O491" s="119">
        <v>46008.541666666657</v>
      </c>
      <c r="P491" s="119">
        <v>46013.541666666657</v>
      </c>
      <c r="Q491" s="119">
        <v>46041.583333333343</v>
      </c>
      <c r="R491" s="119">
        <v>46048.583333333343</v>
      </c>
      <c r="S491" s="119">
        <v>46087.541666666657</v>
      </c>
      <c r="T491" s="119">
        <v>46094.541666666657</v>
      </c>
      <c r="U491" s="120"/>
      <c r="V491" s="121">
        <f t="shared" si="2"/>
        <v>46094.541666666657</v>
      </c>
      <c r="W491" s="122"/>
      <c r="X491" s="122"/>
      <c r="Y491" s="2"/>
    </row>
    <row r="492" spans="1:25" ht="15.75" customHeight="1">
      <c r="A492" s="108" t="s">
        <v>502</v>
      </c>
      <c r="B492" s="108" t="str">
        <f>IFERROR(VLOOKUP(A492&amp;"", STUDENTS!A:B, 2, 0), "")</f>
        <v>NGUYỄN TRƯƠNG BẢO QUYÊN</v>
      </c>
      <c r="C492" s="109" t="s">
        <v>93</v>
      </c>
      <c r="D492" s="109" t="str">
        <f>IFERROR(VLOOKUP(C492, PIC!A:B, 2, 0), "")</f>
        <v>Quyen Nguyen</v>
      </c>
      <c r="E492" s="110" t="s">
        <v>21</v>
      </c>
      <c r="F492" s="111">
        <v>45929.583333333343</v>
      </c>
      <c r="G492" s="112">
        <v>45938.583333333343</v>
      </c>
      <c r="H492" s="112">
        <v>45950.541666666657</v>
      </c>
      <c r="I492" s="111">
        <v>45952.583333333343</v>
      </c>
      <c r="J492" s="112">
        <v>45959.583333333343</v>
      </c>
      <c r="K492" s="111">
        <v>45966.541666666657</v>
      </c>
      <c r="L492" s="112">
        <v>45985.541666666657</v>
      </c>
      <c r="M492" s="112">
        <v>45999.541666666657</v>
      </c>
      <c r="N492" s="111">
        <v>46006.541666666657</v>
      </c>
      <c r="O492" s="111">
        <v>46008.541666666657</v>
      </c>
      <c r="P492" s="111">
        <v>46013.541666666657</v>
      </c>
      <c r="Q492" s="111">
        <v>46041.583333333343</v>
      </c>
      <c r="R492" s="111">
        <v>46048.583333333343</v>
      </c>
      <c r="S492" s="111">
        <v>46087.541666666657</v>
      </c>
      <c r="T492" s="111">
        <v>46094.541666666657</v>
      </c>
      <c r="U492" s="112"/>
      <c r="V492" s="113">
        <f t="shared" si="2"/>
        <v>46094.541666666657</v>
      </c>
      <c r="W492" s="114"/>
      <c r="X492" s="114"/>
      <c r="Y492" s="2"/>
    </row>
    <row r="493" spans="1:25" ht="15.75" customHeight="1">
      <c r="A493" s="116" t="s">
        <v>655</v>
      </c>
      <c r="B493" s="116" t="str">
        <f>IFERROR(VLOOKUP(A493&amp;"", STUDENTS!A:B, 2, 0), "")</f>
        <v>TRẦN THỊ HUỲNH NHƯ</v>
      </c>
      <c r="C493" s="117" t="s">
        <v>93</v>
      </c>
      <c r="D493" s="117" t="str">
        <f>IFERROR(VLOOKUP(C493, PIC!A:B, 2, 0), "")</f>
        <v>Quyen Nguyen</v>
      </c>
      <c r="E493" s="118" t="s">
        <v>21</v>
      </c>
      <c r="F493" s="119">
        <v>45929.583333333343</v>
      </c>
      <c r="G493" s="120">
        <v>45938.583333333343</v>
      </c>
      <c r="H493" s="120">
        <v>45950.541666666657</v>
      </c>
      <c r="I493" s="119">
        <v>45952.583333333343</v>
      </c>
      <c r="J493" s="120" t="s">
        <v>815</v>
      </c>
      <c r="K493" s="119">
        <v>45966.541666666657</v>
      </c>
      <c r="L493" s="120">
        <v>45985.541666666657</v>
      </c>
      <c r="M493" s="120">
        <v>45999.541666666657</v>
      </c>
      <c r="N493" s="119">
        <v>46006.541666666657</v>
      </c>
      <c r="O493" s="119">
        <v>46008.541666666657</v>
      </c>
      <c r="P493" s="119">
        <v>46013.541666666657</v>
      </c>
      <c r="Q493" s="119">
        <v>46041.583333333343</v>
      </c>
      <c r="R493" s="119">
        <v>46048.583333333343</v>
      </c>
      <c r="S493" s="119">
        <v>46087.541666666657</v>
      </c>
      <c r="T493" s="119">
        <v>46094.541666666657</v>
      </c>
      <c r="U493" s="120"/>
      <c r="V493" s="121">
        <f t="shared" si="2"/>
        <v>46094.541666666657</v>
      </c>
      <c r="W493" s="122"/>
      <c r="X493" s="122"/>
      <c r="Y493" s="2"/>
    </row>
    <row r="494" spans="1:25" ht="15.75" customHeight="1">
      <c r="A494" s="108" t="s">
        <v>705</v>
      </c>
      <c r="B494" s="108" t="str">
        <f>IFERROR(VLOOKUP(A494&amp;"", STUDENTS!A:B, 2, 0), "")</f>
        <v>VÕ THỊ HƯƠNG GIANG</v>
      </c>
      <c r="C494" s="109" t="s">
        <v>93</v>
      </c>
      <c r="D494" s="109" t="str">
        <f>IFERROR(VLOOKUP(C494, PIC!A:B, 2, 0), "")</f>
        <v>Quyen Nguyen</v>
      </c>
      <c r="E494" s="110" t="s">
        <v>21</v>
      </c>
      <c r="F494" s="111">
        <v>45929.583333333343</v>
      </c>
      <c r="G494" s="112">
        <v>45938.583333333343</v>
      </c>
      <c r="H494" s="112">
        <v>45950.541666666657</v>
      </c>
      <c r="I494" s="111">
        <v>45952.583333333343</v>
      </c>
      <c r="J494" s="112">
        <v>45959.583333333343</v>
      </c>
      <c r="K494" s="111">
        <v>45966.541666666657</v>
      </c>
      <c r="L494" s="112">
        <v>45985.541666666657</v>
      </c>
      <c r="M494" s="112">
        <v>45999.541666666657</v>
      </c>
      <c r="N494" s="111">
        <v>46006.541666666657</v>
      </c>
      <c r="O494" s="111" t="s">
        <v>815</v>
      </c>
      <c r="P494" s="111" t="s">
        <v>815</v>
      </c>
      <c r="Q494" s="111" t="s">
        <v>815</v>
      </c>
      <c r="R494" s="111" t="s">
        <v>815</v>
      </c>
      <c r="S494" s="111" t="s">
        <v>815</v>
      </c>
      <c r="T494" s="111"/>
      <c r="U494" s="112"/>
      <c r="V494" s="113">
        <f t="shared" si="2"/>
        <v>46006.541666666657</v>
      </c>
      <c r="W494" s="114"/>
      <c r="X494" s="114"/>
      <c r="Y494" s="2"/>
    </row>
    <row r="495" spans="1:25" ht="15.75" customHeight="1">
      <c r="A495" s="116" t="s">
        <v>149</v>
      </c>
      <c r="B495" s="116" t="str">
        <f>IFERROR(VLOOKUP(A495&amp;"", STUDENTS!A:B, 2, 0), "")</f>
        <v>Chu Thị Lệ Quỳnh</v>
      </c>
      <c r="C495" s="117" t="s">
        <v>94</v>
      </c>
      <c r="D495" s="117" t="str">
        <f>IFERROR(VLOOKUP(C495, PIC!A:B, 2, 0), "")</f>
        <v>Phuoc Ta</v>
      </c>
      <c r="E495" s="118" t="s">
        <v>21</v>
      </c>
      <c r="F495" s="119"/>
      <c r="G495" s="120"/>
      <c r="H495" s="120">
        <v>46098.416666666657</v>
      </c>
      <c r="I495" s="119">
        <v>46104.541666666657</v>
      </c>
      <c r="J495" s="120">
        <v>46112.458333333343</v>
      </c>
      <c r="K495" s="119">
        <v>46119.416666666657</v>
      </c>
      <c r="L495" s="120">
        <v>46126.458333333343</v>
      </c>
      <c r="M495" s="120"/>
      <c r="N495" s="119"/>
      <c r="O495" s="119"/>
      <c r="P495" s="119"/>
      <c r="Q495" s="119"/>
      <c r="R495" s="119"/>
      <c r="S495" s="119"/>
      <c r="T495" s="119"/>
      <c r="U495" s="120"/>
      <c r="V495" s="121">
        <f t="shared" si="2"/>
        <v>46126.458333333343</v>
      </c>
      <c r="W495" s="122"/>
      <c r="X495" s="122"/>
      <c r="Y495" s="2"/>
    </row>
    <row r="496" spans="1:25" ht="15.75" customHeight="1">
      <c r="A496" s="108" t="s">
        <v>344</v>
      </c>
      <c r="B496" s="108" t="str">
        <f>IFERROR(VLOOKUP(A496&amp;"", STUDENTS!A:B, 2, 0), "")</f>
        <v>Nguyễn Đặng Khương Duy (Dustin)</v>
      </c>
      <c r="C496" s="109" t="s">
        <v>94</v>
      </c>
      <c r="D496" s="109" t="str">
        <f>IFERROR(VLOOKUP(C496, PIC!A:B, 2, 0), "")</f>
        <v>Phuoc Ta</v>
      </c>
      <c r="E496" s="110" t="s">
        <v>21</v>
      </c>
      <c r="F496" s="111">
        <v>46083.625</v>
      </c>
      <c r="G496" s="112">
        <v>46091.416666666657</v>
      </c>
      <c r="H496" s="112">
        <v>46098.416666666657</v>
      </c>
      <c r="I496" s="111">
        <v>46104.541666666657</v>
      </c>
      <c r="J496" s="112">
        <v>46112.458333333343</v>
      </c>
      <c r="K496" s="111">
        <v>46119.416666666657</v>
      </c>
      <c r="L496" s="112">
        <v>46126.458333333343</v>
      </c>
      <c r="M496" s="112"/>
      <c r="N496" s="111"/>
      <c r="O496" s="111"/>
      <c r="P496" s="111"/>
      <c r="Q496" s="111"/>
      <c r="R496" s="111"/>
      <c r="S496" s="111"/>
      <c r="T496" s="111"/>
      <c r="U496" s="112"/>
      <c r="V496" s="113">
        <f t="shared" si="2"/>
        <v>46126.458333333343</v>
      </c>
      <c r="W496" s="114"/>
      <c r="X496" s="114"/>
      <c r="Y496" s="2"/>
    </row>
    <row r="497" spans="1:25" ht="15.75" customHeight="1">
      <c r="A497" s="116" t="s">
        <v>368</v>
      </c>
      <c r="B497" s="116" t="str">
        <f>IFERROR(VLOOKUP(A497&amp;"", STUDENTS!A:B, 2, 0), "")</f>
        <v>Nguyễn Hà Vi (V)</v>
      </c>
      <c r="C497" s="117" t="s">
        <v>94</v>
      </c>
      <c r="D497" s="117" t="str">
        <f>IFERROR(VLOOKUP(C497, PIC!A:B, 2, 0), "")</f>
        <v>Phuoc Ta</v>
      </c>
      <c r="E497" s="118" t="s">
        <v>21</v>
      </c>
      <c r="F497" s="119">
        <v>46083.625</v>
      </c>
      <c r="G497" s="120">
        <v>46091.416666666657</v>
      </c>
      <c r="H497" s="120">
        <v>46098.416666666657</v>
      </c>
      <c r="I497" s="119">
        <v>46104.541666666657</v>
      </c>
      <c r="J497" s="120">
        <v>46112.458333333343</v>
      </c>
      <c r="K497" s="119">
        <v>46119.416666666657</v>
      </c>
      <c r="L497" s="120" t="s">
        <v>815</v>
      </c>
      <c r="M497" s="120"/>
      <c r="N497" s="119"/>
      <c r="O497" s="119"/>
      <c r="P497" s="119"/>
      <c r="Q497" s="119"/>
      <c r="R497" s="119"/>
      <c r="S497" s="119"/>
      <c r="T497" s="119"/>
      <c r="U497" s="120"/>
      <c r="V497" s="121">
        <f t="shared" si="2"/>
        <v>46119.416666666657</v>
      </c>
      <c r="W497" s="122"/>
      <c r="X497" s="122"/>
      <c r="Y497" s="2"/>
    </row>
    <row r="498" spans="1:25" ht="15.75" customHeight="1">
      <c r="A498" s="108" t="s">
        <v>543</v>
      </c>
      <c r="B498" s="108" t="str">
        <f>IFERROR(VLOOKUP(A498&amp;"", STUDENTS!A:B, 2, 0), "")</f>
        <v>Phạm Ngọc Hưng (Zero)</v>
      </c>
      <c r="C498" s="109" t="s">
        <v>94</v>
      </c>
      <c r="D498" s="109" t="str">
        <f>IFERROR(VLOOKUP(C498, PIC!A:B, 2, 0), "")</f>
        <v>Phuoc Ta</v>
      </c>
      <c r="E498" s="110" t="s">
        <v>21</v>
      </c>
      <c r="F498" s="111">
        <v>46083.625</v>
      </c>
      <c r="G498" s="112" t="s">
        <v>815</v>
      </c>
      <c r="H498" s="112">
        <v>46098.416666666657</v>
      </c>
      <c r="I498" s="111">
        <v>46104.541666666657</v>
      </c>
      <c r="J498" s="112">
        <v>46112.458333333343</v>
      </c>
      <c r="K498" s="111">
        <v>46119.416666666657</v>
      </c>
      <c r="L498" s="112">
        <v>46126.458333333343</v>
      </c>
      <c r="M498" s="112"/>
      <c r="N498" s="111"/>
      <c r="O498" s="111"/>
      <c r="P498" s="111"/>
      <c r="Q498" s="111"/>
      <c r="R498" s="111"/>
      <c r="S498" s="111"/>
      <c r="T498" s="111"/>
      <c r="U498" s="112"/>
      <c r="V498" s="113">
        <f t="shared" si="2"/>
        <v>46126.458333333343</v>
      </c>
      <c r="W498" s="114"/>
      <c r="X498" s="114"/>
      <c r="Y498" s="2"/>
    </row>
    <row r="499" spans="1:25" ht="15.75" customHeight="1">
      <c r="A499" s="116" t="s">
        <v>579</v>
      </c>
      <c r="B499" s="116" t="str">
        <f>IFERROR(VLOOKUP(A499&amp;"", STUDENTS!A:B, 2, 0), "")</f>
        <v>Tạ Phạm Minh Chương (Chivas)</v>
      </c>
      <c r="C499" s="117" t="s">
        <v>94</v>
      </c>
      <c r="D499" s="117" t="str">
        <f>IFERROR(VLOOKUP(C499, PIC!A:B, 2, 0), "")</f>
        <v>Phuoc Ta</v>
      </c>
      <c r="E499" s="118" t="s">
        <v>21</v>
      </c>
      <c r="F499" s="119">
        <v>46083.625</v>
      </c>
      <c r="G499" s="120">
        <v>46091.416666666657</v>
      </c>
      <c r="H499" s="120">
        <v>46098.416666666657</v>
      </c>
      <c r="I499" s="119" t="s">
        <v>815</v>
      </c>
      <c r="J499" s="120">
        <v>46112.458333333343</v>
      </c>
      <c r="K499" s="119" t="s">
        <v>815</v>
      </c>
      <c r="L499" s="120" t="s">
        <v>815</v>
      </c>
      <c r="M499" s="120"/>
      <c r="N499" s="119"/>
      <c r="O499" s="119"/>
      <c r="P499" s="119"/>
      <c r="Q499" s="119"/>
      <c r="R499" s="119"/>
      <c r="S499" s="119"/>
      <c r="T499" s="119"/>
      <c r="U499" s="120"/>
      <c r="V499" s="121">
        <f t="shared" si="2"/>
        <v>46112.458333333343</v>
      </c>
      <c r="W499" s="122"/>
      <c r="X499" s="122"/>
      <c r="Y499" s="2"/>
    </row>
    <row r="500" spans="1:25" ht="15.75" customHeight="1">
      <c r="A500" s="108" t="s">
        <v>581</v>
      </c>
      <c r="B500" s="108" t="str">
        <f>IFERROR(VLOOKUP(A500&amp;"", STUDENTS!A:B, 2, 0), "")</f>
        <v>Tạ Thiên Phước (Noah)</v>
      </c>
      <c r="C500" s="109" t="s">
        <v>94</v>
      </c>
      <c r="D500" s="109" t="str">
        <f>IFERROR(VLOOKUP(C500, PIC!A:B, 2, 0), "")</f>
        <v>Phuoc Ta</v>
      </c>
      <c r="E500" s="110" t="s">
        <v>21</v>
      </c>
      <c r="F500" s="111">
        <v>46083.625</v>
      </c>
      <c r="G500" s="112">
        <v>46091.416666666657</v>
      </c>
      <c r="H500" s="112">
        <v>46098.416666666657</v>
      </c>
      <c r="I500" s="111">
        <v>46104.541666666657</v>
      </c>
      <c r="J500" s="112">
        <v>46112.458333333343</v>
      </c>
      <c r="K500" s="111">
        <v>46119.416666666657</v>
      </c>
      <c r="L500" s="112">
        <v>46126.458333333343</v>
      </c>
      <c r="M500" s="112"/>
      <c r="N500" s="111"/>
      <c r="O500" s="111"/>
      <c r="P500" s="111"/>
      <c r="Q500" s="111"/>
      <c r="R500" s="111"/>
      <c r="S500" s="111"/>
      <c r="T500" s="111"/>
      <c r="U500" s="112"/>
      <c r="V500" s="113">
        <f t="shared" si="2"/>
        <v>46126.458333333343</v>
      </c>
      <c r="W500" s="114"/>
      <c r="X500" s="114"/>
      <c r="Y500" s="2"/>
    </row>
    <row r="501" spans="1:25" ht="15.75" customHeight="1">
      <c r="A501" s="116" t="s">
        <v>613</v>
      </c>
      <c r="B501" s="116" t="str">
        <f>IFERROR(VLOOKUP(A501&amp;"", STUDENTS!A:B, 2, 0), "")</f>
        <v>Trần Hùng Cường (Ethan)</v>
      </c>
      <c r="C501" s="117" t="s">
        <v>94</v>
      </c>
      <c r="D501" s="117" t="str">
        <f>IFERROR(VLOOKUP(C501, PIC!A:B, 2, 0), "")</f>
        <v>Phuoc Ta</v>
      </c>
      <c r="E501" s="118" t="s">
        <v>21</v>
      </c>
      <c r="F501" s="119">
        <v>46083.625</v>
      </c>
      <c r="G501" s="120">
        <v>46091.416666666657</v>
      </c>
      <c r="H501" s="120">
        <v>46098.416666666657</v>
      </c>
      <c r="I501" s="119" t="s">
        <v>815</v>
      </c>
      <c r="J501" s="120">
        <v>46112.458333333343</v>
      </c>
      <c r="K501" s="119">
        <v>46119.416666666657</v>
      </c>
      <c r="L501" s="120">
        <v>46126.458333333343</v>
      </c>
      <c r="M501" s="120"/>
      <c r="N501" s="119"/>
      <c r="O501" s="119"/>
      <c r="P501" s="119"/>
      <c r="Q501" s="119"/>
      <c r="R501" s="119"/>
      <c r="S501" s="119"/>
      <c r="T501" s="119"/>
      <c r="U501" s="120"/>
      <c r="V501" s="121">
        <f t="shared" si="2"/>
        <v>46126.458333333343</v>
      </c>
      <c r="W501" s="122"/>
      <c r="X501" s="122"/>
      <c r="Y501" s="2"/>
    </row>
    <row r="502" spans="1:25" ht="15.75" customHeight="1">
      <c r="A502" s="108" t="s">
        <v>151</v>
      </c>
      <c r="B502" s="108" t="str">
        <f>IFERROR(VLOOKUP(A502&amp;"", STUDENTS!A:B, 2, 0), "")</f>
        <v>CHUNG QUANG PHƯƠNG</v>
      </c>
      <c r="C502" s="109" t="s">
        <v>95</v>
      </c>
      <c r="D502" s="109" t="str">
        <f>IFERROR(VLOOKUP(C502, PIC!A:B, 2, 0), "")</f>
        <v>Phung Nguyen</v>
      </c>
      <c r="E502" s="110" t="s">
        <v>25</v>
      </c>
      <c r="F502" s="111">
        <v>46086.583333333343</v>
      </c>
      <c r="G502" s="112">
        <v>46107.625</v>
      </c>
      <c r="H502" s="112" t="s">
        <v>815</v>
      </c>
      <c r="I502" s="111">
        <v>46128.416666666657</v>
      </c>
      <c r="J502" s="112">
        <v>46129.541666666657</v>
      </c>
      <c r="K502" s="111">
        <v>46135.458333333343</v>
      </c>
      <c r="L502" s="112"/>
      <c r="M502" s="112"/>
      <c r="N502" s="111"/>
      <c r="O502" s="111"/>
      <c r="P502" s="111"/>
      <c r="Q502" s="111"/>
      <c r="R502" s="111"/>
      <c r="S502" s="111"/>
      <c r="T502" s="111"/>
      <c r="U502" s="112"/>
      <c r="V502" s="113">
        <f t="shared" si="2"/>
        <v>46135.458333333343</v>
      </c>
      <c r="W502" s="114"/>
      <c r="X502" s="114"/>
      <c r="Y502" s="2"/>
    </row>
    <row r="503" spans="1:25" ht="15.75" customHeight="1">
      <c r="A503" s="116" t="s">
        <v>163</v>
      </c>
      <c r="B503" s="116" t="str">
        <f>IFERROR(VLOOKUP(A503&amp;"", STUDENTS!A:B, 2, 0), "")</f>
        <v>ĐINH QUỐC HUẤN</v>
      </c>
      <c r="C503" s="117" t="s">
        <v>95</v>
      </c>
      <c r="D503" s="117" t="str">
        <f>IFERROR(VLOOKUP(C503, PIC!A:B, 2, 0), "")</f>
        <v>Phung Nguyen</v>
      </c>
      <c r="E503" s="118" t="s">
        <v>25</v>
      </c>
      <c r="F503" s="119">
        <v>46086.583333333343</v>
      </c>
      <c r="G503" s="120">
        <v>46107.625</v>
      </c>
      <c r="H503" s="120">
        <v>46115.458333333343</v>
      </c>
      <c r="I503" s="119">
        <v>46128.416666666657</v>
      </c>
      <c r="J503" s="120">
        <v>46129.541666666657</v>
      </c>
      <c r="K503" s="119">
        <v>46135.458333333343</v>
      </c>
      <c r="L503" s="120"/>
      <c r="M503" s="120"/>
      <c r="N503" s="119"/>
      <c r="O503" s="119"/>
      <c r="P503" s="119"/>
      <c r="Q503" s="119"/>
      <c r="R503" s="119"/>
      <c r="S503" s="119"/>
      <c r="T503" s="119"/>
      <c r="U503" s="120"/>
      <c r="V503" s="121">
        <f t="shared" si="2"/>
        <v>46135.458333333343</v>
      </c>
      <c r="W503" s="122"/>
      <c r="X503" s="122"/>
      <c r="Y503" s="2"/>
    </row>
    <row r="504" spans="1:25" ht="15.75" customHeight="1">
      <c r="A504" s="108" t="s">
        <v>180</v>
      </c>
      <c r="B504" s="108" t="str">
        <f>IFERROR(VLOOKUP(A504&amp;"", STUDENTS!A:B, 2, 0), "")</f>
        <v>ĐỖ NGỌC THÀNH</v>
      </c>
      <c r="C504" s="109" t="s">
        <v>95</v>
      </c>
      <c r="D504" s="109" t="str">
        <f>IFERROR(VLOOKUP(C504, PIC!A:B, 2, 0), "")</f>
        <v>Phung Nguyen</v>
      </c>
      <c r="E504" s="110" t="s">
        <v>25</v>
      </c>
      <c r="F504" s="111">
        <v>46087.458333333343</v>
      </c>
      <c r="G504" s="112">
        <v>46107.625</v>
      </c>
      <c r="H504" s="112">
        <v>46115.458333333343</v>
      </c>
      <c r="I504" s="111">
        <v>46128.416666666657</v>
      </c>
      <c r="J504" s="112">
        <v>46129.541666666657</v>
      </c>
      <c r="K504" s="111">
        <v>46135.458333333343</v>
      </c>
      <c r="L504" s="112"/>
      <c r="M504" s="112"/>
      <c r="N504" s="111"/>
      <c r="O504" s="111"/>
      <c r="P504" s="111"/>
      <c r="Q504" s="111"/>
      <c r="R504" s="111"/>
      <c r="S504" s="111"/>
      <c r="T504" s="111"/>
      <c r="U504" s="112"/>
      <c r="V504" s="113">
        <f t="shared" si="2"/>
        <v>46135.458333333343</v>
      </c>
      <c r="W504" s="114"/>
      <c r="X504" s="114"/>
      <c r="Y504" s="2"/>
    </row>
    <row r="505" spans="1:25" ht="15.75" customHeight="1">
      <c r="A505" s="116" t="s">
        <v>284</v>
      </c>
      <c r="B505" s="116" t="str">
        <f>IFERROR(VLOOKUP(A505&amp;"", STUDENTS!A:B, 2, 0), "")</f>
        <v>LÊ THẾ PHƯƠNG</v>
      </c>
      <c r="C505" s="117" t="s">
        <v>95</v>
      </c>
      <c r="D505" s="117" t="str">
        <f>IFERROR(VLOOKUP(C505, PIC!A:B, 2, 0), "")</f>
        <v>Phung Nguyen</v>
      </c>
      <c r="E505" s="118" t="s">
        <v>25</v>
      </c>
      <c r="F505" s="119">
        <v>46087.458333333343</v>
      </c>
      <c r="G505" s="120">
        <v>46107.625</v>
      </c>
      <c r="H505" s="120">
        <v>46115.458333333343</v>
      </c>
      <c r="I505" s="119">
        <v>46128.416666666657</v>
      </c>
      <c r="J505" s="120">
        <v>46129.541666666657</v>
      </c>
      <c r="K505" s="119">
        <v>46135.458333333343</v>
      </c>
      <c r="L505" s="120"/>
      <c r="M505" s="120"/>
      <c r="N505" s="119"/>
      <c r="O505" s="119"/>
      <c r="P505" s="119"/>
      <c r="Q505" s="119"/>
      <c r="R505" s="119"/>
      <c r="S505" s="119"/>
      <c r="T505" s="119"/>
      <c r="U505" s="120"/>
      <c r="V505" s="121">
        <f t="shared" si="2"/>
        <v>46135.458333333343</v>
      </c>
      <c r="W505" s="122"/>
      <c r="X505" s="122"/>
      <c r="Y505" s="2"/>
    </row>
    <row r="506" spans="1:25" ht="15.75" customHeight="1">
      <c r="A506" s="108" t="s">
        <v>359</v>
      </c>
      <c r="B506" s="108" t="str">
        <f>IFERROR(VLOOKUP(A506&amp;"", STUDENTS!A:B, 2, 0), "")</f>
        <v>NGUYỄN ĐỨC TIẾN</v>
      </c>
      <c r="C506" s="109" t="s">
        <v>95</v>
      </c>
      <c r="D506" s="109" t="str">
        <f>IFERROR(VLOOKUP(C506, PIC!A:B, 2, 0), "")</f>
        <v>Phung Nguyen</v>
      </c>
      <c r="E506" s="110" t="s">
        <v>25</v>
      </c>
      <c r="F506" s="111">
        <v>46087.458333333343</v>
      </c>
      <c r="G506" s="112">
        <v>46107.625</v>
      </c>
      <c r="H506" s="112">
        <v>46115.458333333343</v>
      </c>
      <c r="I506" s="111">
        <v>46128.416666666657</v>
      </c>
      <c r="J506" s="112">
        <v>46129.541666666657</v>
      </c>
      <c r="K506" s="111">
        <v>46135.458333333343</v>
      </c>
      <c r="L506" s="112"/>
      <c r="M506" s="112"/>
      <c r="N506" s="111"/>
      <c r="O506" s="111"/>
      <c r="P506" s="111"/>
      <c r="Q506" s="111"/>
      <c r="R506" s="111"/>
      <c r="S506" s="111"/>
      <c r="T506" s="111"/>
      <c r="U506" s="112"/>
      <c r="V506" s="113">
        <f t="shared" si="2"/>
        <v>46135.458333333343</v>
      </c>
      <c r="W506" s="114"/>
      <c r="X506" s="114"/>
      <c r="Y506" s="2"/>
    </row>
    <row r="507" spans="1:25" ht="15.75" customHeight="1">
      <c r="A507" s="116" t="s">
        <v>365</v>
      </c>
      <c r="B507" s="116" t="str">
        <f>IFERROR(VLOOKUP(A507&amp;"", STUDENTS!A:B, 2, 0), "")</f>
        <v>NGUYỄN DUY PHÚ</v>
      </c>
      <c r="C507" s="117" t="s">
        <v>95</v>
      </c>
      <c r="D507" s="117" t="str">
        <f>IFERROR(VLOOKUP(C507, PIC!A:B, 2, 0), "")</f>
        <v>Phung Nguyen</v>
      </c>
      <c r="E507" s="118" t="s">
        <v>25</v>
      </c>
      <c r="F507" s="119">
        <v>46087.458333333343</v>
      </c>
      <c r="G507" s="120">
        <v>46107.625</v>
      </c>
      <c r="H507" s="120">
        <v>46115.458333333343</v>
      </c>
      <c r="I507" s="119">
        <v>46128.416666666657</v>
      </c>
      <c r="J507" s="120">
        <v>46129.541666666657</v>
      </c>
      <c r="K507" s="119">
        <v>46135.458333333343</v>
      </c>
      <c r="L507" s="120"/>
      <c r="M507" s="120"/>
      <c r="N507" s="119"/>
      <c r="O507" s="119"/>
      <c r="P507" s="119"/>
      <c r="Q507" s="119"/>
      <c r="R507" s="119"/>
      <c r="S507" s="119"/>
      <c r="T507" s="119"/>
      <c r="U507" s="120"/>
      <c r="V507" s="121">
        <f t="shared" si="2"/>
        <v>46135.458333333343</v>
      </c>
      <c r="W507" s="122"/>
      <c r="X507" s="122"/>
      <c r="Y507" s="2"/>
    </row>
    <row r="508" spans="1:25" ht="15.75" customHeight="1">
      <c r="A508" s="108" t="s">
        <v>393</v>
      </c>
      <c r="B508" s="108" t="str">
        <f>IFERROR(VLOOKUP(A508&amp;"", STUDENTS!A:B, 2, 0), "")</f>
        <v>NGUYỄN HUỲNH SƠN</v>
      </c>
      <c r="C508" s="109" t="s">
        <v>95</v>
      </c>
      <c r="D508" s="109" t="str">
        <f>IFERROR(VLOOKUP(C508, PIC!A:B, 2, 0), "")</f>
        <v>Phung Nguyen</v>
      </c>
      <c r="E508" s="110" t="s">
        <v>25</v>
      </c>
      <c r="F508" s="111">
        <v>46087.458333333343</v>
      </c>
      <c r="G508" s="112">
        <v>46107.625</v>
      </c>
      <c r="H508" s="112">
        <v>46115.458333333343</v>
      </c>
      <c r="I508" s="111">
        <v>46128.416666666657</v>
      </c>
      <c r="J508" s="112">
        <v>46129.541666666657</v>
      </c>
      <c r="K508" s="111">
        <v>46135.458333333343</v>
      </c>
      <c r="L508" s="112"/>
      <c r="M508" s="112"/>
      <c r="N508" s="111"/>
      <c r="O508" s="111"/>
      <c r="P508" s="111"/>
      <c r="Q508" s="111"/>
      <c r="R508" s="111"/>
      <c r="S508" s="111"/>
      <c r="T508" s="111"/>
      <c r="U508" s="112"/>
      <c r="V508" s="113">
        <f t="shared" si="2"/>
        <v>46135.458333333343</v>
      </c>
      <c r="W508" s="114"/>
      <c r="X508" s="114"/>
      <c r="Y508" s="2"/>
    </row>
    <row r="509" spans="1:25" ht="15.75" customHeight="1">
      <c r="A509" s="116" t="s">
        <v>409</v>
      </c>
      <c r="B509" s="116" t="str">
        <f>IFERROR(VLOOKUP(A509&amp;"", STUDENTS!A:B, 2, 0), "")</f>
        <v>NGUYỄN MINH QUANG</v>
      </c>
      <c r="C509" s="117" t="s">
        <v>95</v>
      </c>
      <c r="D509" s="117" t="str">
        <f>IFERROR(VLOOKUP(C509, PIC!A:B, 2, 0), "")</f>
        <v>Phung Nguyen</v>
      </c>
      <c r="E509" s="118" t="s">
        <v>25</v>
      </c>
      <c r="F509" s="119">
        <v>46086.583333333343</v>
      </c>
      <c r="G509" s="120">
        <v>46107.625</v>
      </c>
      <c r="H509" s="120">
        <v>46115.458333333343</v>
      </c>
      <c r="I509" s="119">
        <v>46128.416666666657</v>
      </c>
      <c r="J509" s="120">
        <v>46129.541666666657</v>
      </c>
      <c r="K509" s="119">
        <v>46135.458333333343</v>
      </c>
      <c r="L509" s="120"/>
      <c r="M509" s="120"/>
      <c r="N509" s="119"/>
      <c r="O509" s="119"/>
      <c r="P509" s="119"/>
      <c r="Q509" s="119"/>
      <c r="R509" s="119"/>
      <c r="S509" s="119"/>
      <c r="T509" s="119"/>
      <c r="U509" s="120"/>
      <c r="V509" s="121">
        <f t="shared" si="2"/>
        <v>46135.458333333343</v>
      </c>
      <c r="W509" s="122"/>
      <c r="X509" s="122"/>
      <c r="Y509" s="2"/>
    </row>
    <row r="510" spans="1:25" ht="15.75" customHeight="1">
      <c r="A510" s="108" t="s">
        <v>478</v>
      </c>
      <c r="B510" s="108" t="str">
        <f>IFERROR(VLOOKUP(A510&amp;"", STUDENTS!A:B, 2, 0), "")</f>
        <v>NGUYỄN THỊ THÙY LINH</v>
      </c>
      <c r="C510" s="109" t="s">
        <v>95</v>
      </c>
      <c r="D510" s="109" t="str">
        <f>IFERROR(VLOOKUP(C510, PIC!A:B, 2, 0), "")</f>
        <v>Phung Nguyen</v>
      </c>
      <c r="E510" s="110" t="s">
        <v>25</v>
      </c>
      <c r="F510" s="111">
        <v>46087.458333333343</v>
      </c>
      <c r="G510" s="112" t="s">
        <v>815</v>
      </c>
      <c r="H510" s="112" t="s">
        <v>815</v>
      </c>
      <c r="I510" s="111" t="s">
        <v>815</v>
      </c>
      <c r="J510" s="110" t="s">
        <v>815</v>
      </c>
      <c r="K510" s="108" t="s">
        <v>815</v>
      </c>
      <c r="L510" s="112"/>
      <c r="M510" s="112"/>
      <c r="N510" s="111"/>
      <c r="O510" s="111"/>
      <c r="P510" s="111"/>
      <c r="Q510" s="111"/>
      <c r="R510" s="111"/>
      <c r="S510" s="111"/>
      <c r="T510" s="111"/>
      <c r="U510" s="112"/>
      <c r="V510" s="113">
        <f t="shared" si="2"/>
        <v>46087.458333333343</v>
      </c>
      <c r="W510" s="114"/>
      <c r="X510" s="114"/>
      <c r="Y510" s="2"/>
    </row>
    <row r="511" spans="1:25" ht="15.75" customHeight="1">
      <c r="A511" s="116" t="s">
        <v>585</v>
      </c>
      <c r="B511" s="116" t="str">
        <f>IFERROR(VLOOKUP(A511&amp;"", STUDENTS!A:B, 2, 0), "")</f>
        <v>THẠCH THÁI HUY</v>
      </c>
      <c r="C511" s="117" t="s">
        <v>95</v>
      </c>
      <c r="D511" s="117" t="str">
        <f>IFERROR(VLOOKUP(C511, PIC!A:B, 2, 0), "")</f>
        <v>Phung Nguyen</v>
      </c>
      <c r="E511" s="118" t="s">
        <v>25</v>
      </c>
      <c r="F511" s="119">
        <v>46087.458333333343</v>
      </c>
      <c r="G511" s="120">
        <v>46107.625</v>
      </c>
      <c r="H511" s="120">
        <v>46115.458333333343</v>
      </c>
      <c r="I511" s="119">
        <v>46128.416666666657</v>
      </c>
      <c r="J511" s="120"/>
      <c r="K511" s="119">
        <v>46135.458333333343</v>
      </c>
      <c r="L511" s="120"/>
      <c r="M511" s="120"/>
      <c r="N511" s="119"/>
      <c r="O511" s="119"/>
      <c r="P511" s="119"/>
      <c r="Q511" s="119"/>
      <c r="R511" s="119"/>
      <c r="S511" s="119"/>
      <c r="T511" s="119"/>
      <c r="U511" s="120"/>
      <c r="V511" s="121">
        <f t="shared" si="2"/>
        <v>46135.458333333343</v>
      </c>
      <c r="W511" s="122"/>
      <c r="X511" s="122"/>
      <c r="Y511" s="2"/>
    </row>
    <row r="512" spans="1:25" ht="15.75" customHeight="1">
      <c r="A512" s="108" t="s">
        <v>138</v>
      </c>
      <c r="B512" s="108" t="str">
        <f>IFERROR(VLOOKUP(A512&amp;"", STUDENTS!A:B, 2, 0), "")</f>
        <v>Bui Duy Tan</v>
      </c>
      <c r="C512" s="109" t="s">
        <v>96</v>
      </c>
      <c r="D512" s="109" t="str">
        <f>IFERROR(VLOOKUP(C512, PIC!A:B, 2, 0), "")</f>
        <v>Nam Nguyen</v>
      </c>
      <c r="E512" s="110" t="s">
        <v>21</v>
      </c>
      <c r="F512" s="111"/>
      <c r="G512" s="112" t="s">
        <v>815</v>
      </c>
      <c r="H512" s="112">
        <v>46127.458333333343</v>
      </c>
      <c r="I512" s="111">
        <v>46134.458333333343</v>
      </c>
      <c r="J512" s="112"/>
      <c r="K512" s="111"/>
      <c r="L512" s="112"/>
      <c r="M512" s="112"/>
      <c r="N512" s="111"/>
      <c r="O512" s="111"/>
      <c r="P512" s="111"/>
      <c r="Q512" s="111"/>
      <c r="R512" s="111"/>
      <c r="S512" s="111"/>
      <c r="T512" s="111"/>
      <c r="U512" s="112"/>
      <c r="V512" s="113">
        <f t="shared" si="2"/>
        <v>46134.458333333343</v>
      </c>
      <c r="W512" s="114"/>
      <c r="X512" s="114"/>
      <c r="Y512" s="2"/>
    </row>
    <row r="513" spans="1:25" ht="15.75" customHeight="1">
      <c r="A513" s="116" t="s">
        <v>267</v>
      </c>
      <c r="B513" s="116" t="str">
        <f>IFERROR(VLOOKUP(A513&amp;"", STUDENTS!A:B, 2, 0), "")</f>
        <v>LÊ MINH DUY</v>
      </c>
      <c r="C513" s="117" t="s">
        <v>96</v>
      </c>
      <c r="D513" s="117" t="str">
        <f>IFERROR(VLOOKUP(C513, PIC!A:B, 2, 0), "")</f>
        <v>Nam Nguyen</v>
      </c>
      <c r="E513" s="118" t="s">
        <v>21</v>
      </c>
      <c r="F513" s="119"/>
      <c r="G513" s="120">
        <v>46120.458333333343</v>
      </c>
      <c r="H513" s="120">
        <v>46127.458333333343</v>
      </c>
      <c r="I513" s="119">
        <v>46134.458333333343</v>
      </c>
      <c r="J513" s="120"/>
      <c r="K513" s="119"/>
      <c r="L513" s="120"/>
      <c r="M513" s="120"/>
      <c r="N513" s="119"/>
      <c r="O513" s="119"/>
      <c r="P513" s="119"/>
      <c r="Q513" s="119"/>
      <c r="R513" s="119"/>
      <c r="S513" s="119"/>
      <c r="T513" s="119"/>
      <c r="U513" s="120"/>
      <c r="V513" s="121">
        <f t="shared" si="2"/>
        <v>46134.458333333343</v>
      </c>
      <c r="W513" s="122"/>
      <c r="X513" s="122"/>
      <c r="Y513" s="2"/>
    </row>
    <row r="514" spans="1:25" ht="15.75" customHeight="1">
      <c r="A514" s="108" t="s">
        <v>286</v>
      </c>
      <c r="B514" s="108" t="str">
        <f>IFERROR(VLOOKUP(A514&amp;"", STUDENTS!A:B, 2, 0), "")</f>
        <v>Le Thi Diem Phuong</v>
      </c>
      <c r="C514" s="109" t="s">
        <v>96</v>
      </c>
      <c r="D514" s="109" t="str">
        <f>IFERROR(VLOOKUP(C514, PIC!A:B, 2, 0), "")</f>
        <v>Nam Nguyen</v>
      </c>
      <c r="E514" s="110" t="s">
        <v>21</v>
      </c>
      <c r="F514" s="111"/>
      <c r="G514" s="112">
        <v>46120.458333333343</v>
      </c>
      <c r="H514" s="112">
        <v>46127.458333333343</v>
      </c>
      <c r="I514" s="111">
        <v>46134.458333333343</v>
      </c>
      <c r="J514" s="112"/>
      <c r="K514" s="111"/>
      <c r="L514" s="112"/>
      <c r="M514" s="112"/>
      <c r="N514" s="111"/>
      <c r="O514" s="111"/>
      <c r="P514" s="111"/>
      <c r="Q514" s="111"/>
      <c r="R514" s="111"/>
      <c r="S514" s="111"/>
      <c r="T514" s="111"/>
      <c r="U514" s="112"/>
      <c r="V514" s="113">
        <f t="shared" si="2"/>
        <v>46134.458333333343</v>
      </c>
      <c r="W514" s="114"/>
      <c r="X514" s="114"/>
      <c r="Y514" s="2"/>
    </row>
    <row r="515" spans="1:25" ht="15.75" customHeight="1">
      <c r="A515" s="116" t="s">
        <v>370</v>
      </c>
      <c r="B515" s="116" t="str">
        <f>IFERROR(VLOOKUP(A515&amp;"", STUDENTS!A:B, 2, 0), "")</f>
        <v>Nguyen Hoai Nam</v>
      </c>
      <c r="C515" s="117" t="s">
        <v>96</v>
      </c>
      <c r="D515" s="117" t="str">
        <f>IFERROR(VLOOKUP(C515, PIC!A:B, 2, 0), "")</f>
        <v>Nam Nguyen</v>
      </c>
      <c r="E515" s="118" t="s">
        <v>21</v>
      </c>
      <c r="F515" s="119"/>
      <c r="G515" s="120">
        <v>46120.458333333343</v>
      </c>
      <c r="H515" s="120">
        <v>46127.458333333343</v>
      </c>
      <c r="I515" s="119">
        <v>46134.458333333343</v>
      </c>
      <c r="J515" s="120"/>
      <c r="K515" s="119"/>
      <c r="L515" s="120"/>
      <c r="M515" s="120"/>
      <c r="N515" s="119"/>
      <c r="O515" s="119"/>
      <c r="P515" s="119"/>
      <c r="Q515" s="119"/>
      <c r="R515" s="119"/>
      <c r="S515" s="119"/>
      <c r="T515" s="119"/>
      <c r="U515" s="120"/>
      <c r="V515" s="121">
        <f t="shared" si="2"/>
        <v>46134.458333333343</v>
      </c>
      <c r="W515" s="122"/>
      <c r="X515" s="122"/>
      <c r="Y515" s="2"/>
    </row>
    <row r="516" spans="1:25" ht="15.75" customHeight="1">
      <c r="A516" s="108" t="s">
        <v>413</v>
      </c>
      <c r="B516" s="108" t="str">
        <f>IFERROR(VLOOKUP(A516&amp;"", STUDENTS!A:B, 2, 0), "")</f>
        <v>NGUYỄN NGỌC HOÀNG BẢO TRÂN</v>
      </c>
      <c r="C516" s="109" t="s">
        <v>96</v>
      </c>
      <c r="D516" s="109" t="str">
        <f>IFERROR(VLOOKUP(C516, PIC!A:B, 2, 0), "")</f>
        <v>Nam Nguyen</v>
      </c>
      <c r="E516" s="110" t="s">
        <v>21</v>
      </c>
      <c r="F516" s="111"/>
      <c r="G516" s="112">
        <v>46120.458333333343</v>
      </c>
      <c r="H516" s="112">
        <v>46127.458333333343</v>
      </c>
      <c r="I516" s="111">
        <v>46134.458333333343</v>
      </c>
      <c r="J516" s="112"/>
      <c r="K516" s="111"/>
      <c r="L516" s="112"/>
      <c r="M516" s="112"/>
      <c r="N516" s="111"/>
      <c r="O516" s="111"/>
      <c r="P516" s="111"/>
      <c r="Q516" s="111"/>
      <c r="R516" s="111"/>
      <c r="S516" s="111"/>
      <c r="T516" s="111"/>
      <c r="U516" s="112"/>
      <c r="V516" s="113">
        <f t="shared" si="2"/>
        <v>46134.458333333343</v>
      </c>
      <c r="W516" s="114"/>
      <c r="X516" s="114"/>
      <c r="Y516" s="2"/>
    </row>
    <row r="517" spans="1:25" ht="15.75" customHeight="1">
      <c r="A517" s="116" t="s">
        <v>653</v>
      </c>
      <c r="B517" s="116" t="str">
        <f>IFERROR(VLOOKUP(A517&amp;"", STUDENTS!A:B, 2, 0), "")</f>
        <v>Tran Thi Huyen Tran</v>
      </c>
      <c r="C517" s="117" t="s">
        <v>96</v>
      </c>
      <c r="D517" s="117" t="str">
        <f>IFERROR(VLOOKUP(C517, PIC!A:B, 2, 0), "")</f>
        <v>Nam Nguyen</v>
      </c>
      <c r="E517" s="118" t="s">
        <v>21</v>
      </c>
      <c r="F517" s="119"/>
      <c r="G517" s="120">
        <v>46120.458333333343</v>
      </c>
      <c r="H517" s="120">
        <v>46127.458333333343</v>
      </c>
      <c r="I517" s="119">
        <v>46134.458333333343</v>
      </c>
      <c r="J517" s="120"/>
      <c r="K517" s="119"/>
      <c r="L517" s="120"/>
      <c r="M517" s="120"/>
      <c r="N517" s="119"/>
      <c r="O517" s="119"/>
      <c r="P517" s="119"/>
      <c r="Q517" s="119"/>
      <c r="R517" s="119"/>
      <c r="S517" s="119"/>
      <c r="T517" s="119"/>
      <c r="U517" s="120"/>
      <c r="V517" s="121">
        <f t="shared" si="2"/>
        <v>46134.458333333343</v>
      </c>
      <c r="W517" s="122"/>
      <c r="X517" s="122"/>
      <c r="Y517" s="2"/>
    </row>
    <row r="518" spans="1:25" ht="15.75" customHeight="1">
      <c r="A518" s="108" t="s">
        <v>673</v>
      </c>
      <c r="B518" s="108" t="str">
        <f>IFERROR(VLOOKUP(A518&amp;"", STUDENTS!A:B, 2, 0), "")</f>
        <v>Trang Duy Thông</v>
      </c>
      <c r="C518" s="109" t="s">
        <v>96</v>
      </c>
      <c r="D518" s="109" t="str">
        <f>IFERROR(VLOOKUP(C518, PIC!A:B, 2, 0), "")</f>
        <v>Nam Nguyen</v>
      </c>
      <c r="E518" s="110" t="s">
        <v>21</v>
      </c>
      <c r="F518" s="111"/>
      <c r="G518" s="112">
        <v>46120.458333333343</v>
      </c>
      <c r="H518" s="112">
        <v>46127.458333333343</v>
      </c>
      <c r="I518" s="111">
        <v>46134.458333333343</v>
      </c>
      <c r="J518" s="112"/>
      <c r="K518" s="111"/>
      <c r="L518" s="112"/>
      <c r="M518" s="112"/>
      <c r="N518" s="111"/>
      <c r="O518" s="111"/>
      <c r="P518" s="111"/>
      <c r="Q518" s="111"/>
      <c r="R518" s="111"/>
      <c r="S518" s="111"/>
      <c r="T518" s="111"/>
      <c r="U518" s="112"/>
      <c r="V518" s="113">
        <f t="shared" si="2"/>
        <v>46134.458333333343</v>
      </c>
      <c r="W518" s="114"/>
      <c r="X518" s="114"/>
      <c r="Y518" s="2"/>
    </row>
    <row r="519" spans="1:25" ht="15.75" customHeight="1">
      <c r="A519" s="116" t="s">
        <v>161</v>
      </c>
      <c r="B519" s="116" t="str">
        <f>IFERROR(VLOOKUP(A519&amp;"", STUDENTS!A:B, 2, 0), "")</f>
        <v>ĐÀO TRUNG HIẾU</v>
      </c>
      <c r="C519" s="117" t="s">
        <v>97</v>
      </c>
      <c r="D519" s="117" t="str">
        <f>IFERROR(VLOOKUP(C519, PIC!A:B, 2, 0), "")</f>
        <v>Trang Nguyen</v>
      </c>
      <c r="E519" s="118" t="s">
        <v>21</v>
      </c>
      <c r="F519" s="119">
        <v>46126.625</v>
      </c>
      <c r="G519" s="120">
        <v>46129.625</v>
      </c>
      <c r="H519" s="120"/>
      <c r="I519" s="119"/>
      <c r="J519" s="120"/>
      <c r="K519" s="119"/>
      <c r="L519" s="120"/>
      <c r="M519" s="120"/>
      <c r="N519" s="119"/>
      <c r="O519" s="119"/>
      <c r="P519" s="119"/>
      <c r="Q519" s="119"/>
      <c r="R519" s="119"/>
      <c r="S519" s="119"/>
      <c r="T519" s="119"/>
      <c r="U519" s="120"/>
      <c r="V519" s="121">
        <f t="shared" si="2"/>
        <v>46129.625</v>
      </c>
      <c r="W519" s="122"/>
      <c r="X519" s="122"/>
      <c r="Y519" s="2"/>
    </row>
    <row r="520" spans="1:25" ht="15.75" customHeight="1">
      <c r="A520" s="108" t="s">
        <v>269</v>
      </c>
      <c r="B520" s="108" t="str">
        <f>IFERROR(VLOOKUP(A520&amp;"", STUDENTS!A:B, 2, 0), "")</f>
        <v>LÊ MINH HY</v>
      </c>
      <c r="C520" s="109" t="s">
        <v>97</v>
      </c>
      <c r="D520" s="109" t="str">
        <f>IFERROR(VLOOKUP(C520, PIC!A:B, 2, 0), "")</f>
        <v>Trang Nguyen</v>
      </c>
      <c r="E520" s="110" t="s">
        <v>21</v>
      </c>
      <c r="F520" s="111">
        <v>46126.625</v>
      </c>
      <c r="G520" s="112">
        <v>46129.625</v>
      </c>
      <c r="H520" s="112"/>
      <c r="I520" s="111"/>
      <c r="J520" s="112"/>
      <c r="K520" s="111"/>
      <c r="L520" s="112"/>
      <c r="M520" s="112"/>
      <c r="N520" s="111"/>
      <c r="O520" s="111"/>
      <c r="P520" s="111"/>
      <c r="Q520" s="111"/>
      <c r="R520" s="111"/>
      <c r="S520" s="111"/>
      <c r="T520" s="111"/>
      <c r="U520" s="112"/>
      <c r="V520" s="113">
        <f t="shared" si="2"/>
        <v>46129.625</v>
      </c>
      <c r="W520" s="114"/>
      <c r="X520" s="114"/>
      <c r="Y520" s="2"/>
    </row>
    <row r="521" spans="1:25" ht="15.75" customHeight="1">
      <c r="A521" s="116" t="s">
        <v>290</v>
      </c>
      <c r="B521" s="116" t="str">
        <f>IFERROR(VLOOKUP(A521&amp;"", STUDENTS!A:B, 2, 0), "")</f>
        <v>LÊ THỊ HOÀNG KIM</v>
      </c>
      <c r="C521" s="117" t="s">
        <v>97</v>
      </c>
      <c r="D521" s="117" t="str">
        <f>IFERROR(VLOOKUP(C521, PIC!A:B, 2, 0), "")</f>
        <v>Trang Nguyen</v>
      </c>
      <c r="E521" s="118" t="s">
        <v>21</v>
      </c>
      <c r="F521" s="119">
        <v>46126.625</v>
      </c>
      <c r="G521" s="120">
        <v>46129.625</v>
      </c>
      <c r="H521" s="120"/>
      <c r="I521" s="119"/>
      <c r="J521" s="120"/>
      <c r="K521" s="119"/>
      <c r="L521" s="120"/>
      <c r="M521" s="120"/>
      <c r="N521" s="119"/>
      <c r="O521" s="119"/>
      <c r="P521" s="119"/>
      <c r="Q521" s="119"/>
      <c r="R521" s="119"/>
      <c r="S521" s="119"/>
      <c r="T521" s="119"/>
      <c r="U521" s="120"/>
      <c r="V521" s="121">
        <f t="shared" si="2"/>
        <v>46129.625</v>
      </c>
      <c r="W521" s="122"/>
      <c r="X521" s="122"/>
      <c r="Y521" s="2"/>
    </row>
    <row r="522" spans="1:25" ht="15.75" customHeight="1">
      <c r="A522" s="108" t="s">
        <v>468</v>
      </c>
      <c r="B522" s="108" t="str">
        <f>IFERROR(VLOOKUP(A522&amp;"", STUDENTS!A:B, 2, 0), "")</f>
        <v>NGUYỄN THỊ KIM OANH</v>
      </c>
      <c r="C522" s="109" t="s">
        <v>97</v>
      </c>
      <c r="D522" s="109" t="str">
        <f>IFERROR(VLOOKUP(C522, PIC!A:B, 2, 0), "")</f>
        <v>Trang Nguyen</v>
      </c>
      <c r="E522" s="110" t="s">
        <v>21</v>
      </c>
      <c r="F522" s="111">
        <v>46126.625</v>
      </c>
      <c r="G522" s="110" t="s">
        <v>815</v>
      </c>
      <c r="H522" s="112"/>
      <c r="I522" s="111"/>
      <c r="J522" s="112"/>
      <c r="K522" s="111"/>
      <c r="L522" s="112"/>
      <c r="M522" s="112"/>
      <c r="N522" s="111"/>
      <c r="O522" s="111"/>
      <c r="P522" s="111"/>
      <c r="Q522" s="111"/>
      <c r="R522" s="111"/>
      <c r="S522" s="111"/>
      <c r="T522" s="111"/>
      <c r="U522" s="112"/>
      <c r="V522" s="113">
        <f t="shared" si="2"/>
        <v>46126.625</v>
      </c>
      <c r="W522" s="114"/>
      <c r="X522" s="114"/>
      <c r="Y522" s="2"/>
    </row>
    <row r="523" spans="1:25" ht="15.75" customHeight="1">
      <c r="A523" s="116" t="s">
        <v>470</v>
      </c>
      <c r="B523" s="116" t="str">
        <f>IFERROR(VLOOKUP(A523&amp;"", STUDENTS!A:B, 2, 0), "")</f>
        <v>NGUYỄN THỊ KIM TRANG</v>
      </c>
      <c r="C523" s="117" t="s">
        <v>97</v>
      </c>
      <c r="D523" s="117" t="str">
        <f>IFERROR(VLOOKUP(C523, PIC!A:B, 2, 0), "")</f>
        <v>Trang Nguyen</v>
      </c>
      <c r="E523" s="118" t="s">
        <v>21</v>
      </c>
      <c r="F523" s="119">
        <v>46126.625</v>
      </c>
      <c r="G523" s="120">
        <v>46129.625</v>
      </c>
      <c r="H523" s="120"/>
      <c r="I523" s="119"/>
      <c r="J523" s="120"/>
      <c r="K523" s="119"/>
      <c r="L523" s="120"/>
      <c r="M523" s="120"/>
      <c r="N523" s="119"/>
      <c r="O523" s="119"/>
      <c r="P523" s="119"/>
      <c r="Q523" s="119"/>
      <c r="R523" s="119"/>
      <c r="S523" s="119"/>
      <c r="T523" s="119"/>
      <c r="U523" s="120"/>
      <c r="V523" s="121">
        <f t="shared" si="2"/>
        <v>46129.625</v>
      </c>
      <c r="W523" s="122"/>
      <c r="X523" s="122"/>
      <c r="Y523" s="2"/>
    </row>
    <row r="524" spans="1:25" ht="15.75" customHeight="1">
      <c r="A524" s="108" t="s">
        <v>516</v>
      </c>
      <c r="B524" s="108" t="str">
        <f>IFERROR(VLOOKUP(A524&amp;"", STUDENTS!A:B, 2, 0), "")</f>
        <v>NGUYỄN VŨ LUÂN</v>
      </c>
      <c r="C524" s="109" t="s">
        <v>97</v>
      </c>
      <c r="D524" s="109" t="str">
        <f>IFERROR(VLOOKUP(C524, PIC!A:B, 2, 0), "")</f>
        <v>Trang Nguyen</v>
      </c>
      <c r="E524" s="110" t="s">
        <v>21</v>
      </c>
      <c r="F524" s="111">
        <v>46126.625</v>
      </c>
      <c r="G524" s="112">
        <v>46129.625</v>
      </c>
      <c r="H524" s="112"/>
      <c r="I524" s="111"/>
      <c r="J524" s="112"/>
      <c r="K524" s="111"/>
      <c r="L524" s="112"/>
      <c r="M524" s="112"/>
      <c r="N524" s="111"/>
      <c r="O524" s="111"/>
      <c r="P524" s="111"/>
      <c r="Q524" s="111"/>
      <c r="R524" s="111"/>
      <c r="S524" s="111"/>
      <c r="T524" s="111"/>
      <c r="U524" s="112"/>
      <c r="V524" s="113">
        <f t="shared" si="2"/>
        <v>46129.625</v>
      </c>
      <c r="W524" s="114"/>
      <c r="X524" s="114"/>
      <c r="Y524" s="2"/>
    </row>
    <row r="525" spans="1:25" ht="15.75" customHeight="1">
      <c r="A525" s="126" t="s">
        <v>725</v>
      </c>
      <c r="B525" s="114" t="s">
        <v>726</v>
      </c>
      <c r="C525" s="127" t="s">
        <v>783</v>
      </c>
      <c r="D525" s="117" t="str">
        <f>IFERROR(VLOOKUP(C525, PIC!A:B, 2, 0), "")</f>
        <v>Thai Nguyen 1</v>
      </c>
      <c r="E525" s="128" t="s">
        <v>21</v>
      </c>
      <c r="F525" s="129">
        <v>46085.583333333343</v>
      </c>
      <c r="G525" s="129">
        <v>46093.583333333343</v>
      </c>
      <c r="H525" s="129">
        <v>46099.583333333343</v>
      </c>
      <c r="I525" s="129">
        <v>46108.416666666657</v>
      </c>
      <c r="J525" s="129">
        <v>46114.625</v>
      </c>
      <c r="K525" s="129">
        <v>46121.625</v>
      </c>
      <c r="L525" s="129">
        <v>46129.416666666657</v>
      </c>
      <c r="M525" s="129">
        <v>46135.541666666657</v>
      </c>
      <c r="N525" s="129"/>
      <c r="O525" s="129"/>
      <c r="P525" s="129"/>
      <c r="Q525" s="129"/>
      <c r="R525" s="129"/>
      <c r="S525" s="129"/>
      <c r="T525" s="129"/>
      <c r="U525" s="129"/>
      <c r="V525" s="122"/>
      <c r="W525" s="122"/>
      <c r="X525" s="122"/>
      <c r="Y525" s="2"/>
    </row>
    <row r="526" spans="1:25" ht="15.75" customHeight="1">
      <c r="A526" s="130" t="s">
        <v>727</v>
      </c>
      <c r="B526" s="122" t="s">
        <v>728</v>
      </c>
      <c r="C526" s="131" t="s">
        <v>783</v>
      </c>
      <c r="D526" s="109" t="str">
        <f>IFERROR(VLOOKUP(C526, PIC!A:B, 2, 0), "")</f>
        <v>Thai Nguyen 1</v>
      </c>
      <c r="E526" s="132" t="s">
        <v>21</v>
      </c>
      <c r="F526" s="124">
        <v>46085.583333333343</v>
      </c>
      <c r="G526" s="124">
        <v>46093.583333333343</v>
      </c>
      <c r="H526" s="124">
        <v>46099.583333333343</v>
      </c>
      <c r="I526" s="124">
        <v>46108.416666666657</v>
      </c>
      <c r="J526" s="124">
        <v>46114.625</v>
      </c>
      <c r="K526" s="124">
        <v>46121.625</v>
      </c>
      <c r="L526" s="124">
        <v>46129.416666666657</v>
      </c>
      <c r="M526" s="124" t="s">
        <v>815</v>
      </c>
      <c r="N526" s="124"/>
      <c r="O526" s="124"/>
      <c r="P526" s="124"/>
      <c r="Q526" s="124"/>
      <c r="R526" s="124"/>
      <c r="S526" s="124"/>
      <c r="T526" s="124"/>
      <c r="U526" s="124"/>
      <c r="V526" s="114"/>
      <c r="W526" s="114"/>
      <c r="X526" s="114"/>
      <c r="Y526" s="2"/>
    </row>
    <row r="527" spans="1:25" ht="15.75" customHeight="1">
      <c r="A527" s="126" t="s">
        <v>729</v>
      </c>
      <c r="B527" s="114" t="s">
        <v>730</v>
      </c>
      <c r="C527" s="127" t="s">
        <v>783</v>
      </c>
      <c r="D527" s="117" t="str">
        <f>IFERROR(VLOOKUP(C527, PIC!A:B, 2, 0), "")</f>
        <v>Thai Nguyen 1</v>
      </c>
      <c r="E527" s="128" t="s">
        <v>21</v>
      </c>
      <c r="F527" s="129">
        <v>46085.583333333343</v>
      </c>
      <c r="G527" s="129">
        <v>46093.583333333343</v>
      </c>
      <c r="H527" s="129">
        <v>46099.583333333343</v>
      </c>
      <c r="I527" s="129">
        <v>46108.416666666657</v>
      </c>
      <c r="J527" s="129">
        <v>46114.625</v>
      </c>
      <c r="K527" s="129">
        <v>46121.625</v>
      </c>
      <c r="L527" s="129">
        <v>46129.416666666657</v>
      </c>
      <c r="M527" s="129">
        <v>46135.541666666657</v>
      </c>
      <c r="N527" s="129"/>
      <c r="O527" s="129"/>
      <c r="P527" s="129"/>
      <c r="Q527" s="129"/>
      <c r="R527" s="129"/>
      <c r="S527" s="129"/>
      <c r="T527" s="129"/>
      <c r="U527" s="129"/>
      <c r="V527" s="122"/>
      <c r="W527" s="122"/>
      <c r="X527" s="122"/>
      <c r="Y527" s="2"/>
    </row>
    <row r="528" spans="1:25" ht="15.75" customHeight="1">
      <c r="A528" s="130" t="s">
        <v>731</v>
      </c>
      <c r="B528" s="122" t="s">
        <v>732</v>
      </c>
      <c r="C528" s="131" t="s">
        <v>783</v>
      </c>
      <c r="D528" s="109" t="str">
        <f>IFERROR(VLOOKUP(C528, PIC!A:B, 2, 0), "")</f>
        <v>Thai Nguyen 1</v>
      </c>
      <c r="E528" s="132" t="s">
        <v>21</v>
      </c>
      <c r="F528" s="124">
        <v>46085.583333333343</v>
      </c>
      <c r="G528" s="124">
        <v>46093.583333333343</v>
      </c>
      <c r="H528" s="124">
        <v>46099.583333333343</v>
      </c>
      <c r="I528" s="124">
        <v>46108.416666666657</v>
      </c>
      <c r="J528" s="124">
        <v>46114.625</v>
      </c>
      <c r="K528" s="124">
        <v>46121.625</v>
      </c>
      <c r="L528" s="124">
        <v>46129.416666666657</v>
      </c>
      <c r="M528" s="124">
        <v>46135.541666666657</v>
      </c>
      <c r="N528" s="124"/>
      <c r="O528" s="124"/>
      <c r="P528" s="124"/>
      <c r="Q528" s="124"/>
      <c r="R528" s="124"/>
      <c r="S528" s="124"/>
      <c r="T528" s="124"/>
      <c r="U528" s="124"/>
      <c r="V528" s="114"/>
      <c r="W528" s="114"/>
      <c r="X528" s="114"/>
      <c r="Y528" s="2"/>
    </row>
    <row r="529" spans="1:25" ht="15.75" customHeight="1">
      <c r="A529" s="126" t="s">
        <v>733</v>
      </c>
      <c r="B529" s="114" t="s">
        <v>734</v>
      </c>
      <c r="C529" s="127" t="s">
        <v>783</v>
      </c>
      <c r="D529" s="117" t="str">
        <f>IFERROR(VLOOKUP(C529, PIC!A:B, 2, 0), "")</f>
        <v>Thai Nguyen 1</v>
      </c>
      <c r="E529" s="128" t="s">
        <v>21</v>
      </c>
      <c r="F529" s="129">
        <v>46085.583333333343</v>
      </c>
      <c r="G529" s="129">
        <v>46093.583333333343</v>
      </c>
      <c r="H529" s="129" t="s">
        <v>815</v>
      </c>
      <c r="I529" s="129">
        <v>46108.416666666657</v>
      </c>
      <c r="J529" s="129">
        <v>46114.625</v>
      </c>
      <c r="K529" s="129">
        <v>46121.625</v>
      </c>
      <c r="L529" s="129" t="s">
        <v>815</v>
      </c>
      <c r="M529" s="129">
        <v>46135.541666666657</v>
      </c>
      <c r="N529" s="129"/>
      <c r="O529" s="129"/>
      <c r="P529" s="129"/>
      <c r="Q529" s="129"/>
      <c r="R529" s="129"/>
      <c r="S529" s="129"/>
      <c r="T529" s="129"/>
      <c r="U529" s="129"/>
      <c r="V529" s="122"/>
      <c r="W529" s="122"/>
      <c r="X529" s="122"/>
      <c r="Y529" s="2"/>
    </row>
    <row r="530" spans="1:25" ht="15.75" customHeight="1">
      <c r="A530" s="133">
        <v>193470</v>
      </c>
      <c r="B530" s="122" t="s">
        <v>724</v>
      </c>
      <c r="C530" s="109" t="s">
        <v>783</v>
      </c>
      <c r="D530" s="109" t="str">
        <f>IFERROR(VLOOKUP(C530, PIC!A:B, 2, 0), "")</f>
        <v>Thai Nguyen 1</v>
      </c>
      <c r="E530" s="110" t="s">
        <v>21</v>
      </c>
      <c r="F530" s="112">
        <v>46085.583333333343</v>
      </c>
      <c r="G530" s="112">
        <v>46093.583333333343</v>
      </c>
      <c r="H530" s="112" t="s">
        <v>815</v>
      </c>
      <c r="I530" s="112">
        <v>46108.416666666657</v>
      </c>
      <c r="J530" s="112">
        <v>46114.625</v>
      </c>
      <c r="K530" s="112">
        <v>46121.625</v>
      </c>
      <c r="L530" s="112">
        <v>46129.416666666657</v>
      </c>
      <c r="M530" s="112">
        <v>46135.541666666657</v>
      </c>
      <c r="N530" s="112"/>
      <c r="O530" s="112"/>
      <c r="P530" s="112"/>
      <c r="Q530" s="112"/>
      <c r="R530" s="112"/>
      <c r="S530" s="112"/>
      <c r="T530" s="112"/>
      <c r="U530" s="112"/>
      <c r="V530" s="114"/>
      <c r="W530" s="114"/>
      <c r="X530" s="114"/>
      <c r="Y530" s="2"/>
    </row>
    <row r="531" spans="1:25" ht="15.75" customHeight="1">
      <c r="A531" s="130" t="s">
        <v>735</v>
      </c>
      <c r="B531" s="122" t="s">
        <v>736</v>
      </c>
      <c r="C531" s="127" t="s">
        <v>794</v>
      </c>
      <c r="D531" s="117" t="str">
        <f>IFERROR(VLOOKUP(C531, PIC!A:B, 2, 0), "")</f>
        <v>Thai Nguyen 2</v>
      </c>
      <c r="E531" s="128" t="s">
        <v>21</v>
      </c>
      <c r="F531" s="129">
        <v>46085.625</v>
      </c>
      <c r="G531" s="129">
        <v>46093.416666666657</v>
      </c>
      <c r="H531" s="129">
        <v>46099.583333333343</v>
      </c>
      <c r="I531" s="129">
        <v>46107.416666666657</v>
      </c>
      <c r="J531" s="129">
        <v>46115.625</v>
      </c>
      <c r="K531" s="129">
        <v>46128.625</v>
      </c>
      <c r="L531" s="129">
        <v>46129.416666666657</v>
      </c>
      <c r="M531" s="129">
        <v>46135.625</v>
      </c>
      <c r="N531" s="129"/>
      <c r="O531" s="129"/>
      <c r="P531" s="129"/>
      <c r="Q531" s="129"/>
      <c r="R531" s="129"/>
      <c r="S531" s="129"/>
      <c r="T531" s="129"/>
      <c r="U531" s="129"/>
      <c r="V531" s="122"/>
      <c r="W531" s="122"/>
      <c r="X531" s="122"/>
      <c r="Y531" s="2"/>
    </row>
    <row r="532" spans="1:25" ht="15.75" customHeight="1">
      <c r="A532" s="126" t="s">
        <v>737</v>
      </c>
      <c r="B532" s="114" t="s">
        <v>738</v>
      </c>
      <c r="C532" s="131" t="s">
        <v>794</v>
      </c>
      <c r="D532" s="109" t="str">
        <f>IFERROR(VLOOKUP(C532, PIC!A:B, 2, 0), "")</f>
        <v>Thai Nguyen 2</v>
      </c>
      <c r="E532" s="132" t="s">
        <v>21</v>
      </c>
      <c r="F532" s="124">
        <v>46085.625</v>
      </c>
      <c r="G532" s="124">
        <v>46093.416666666657</v>
      </c>
      <c r="H532" s="124">
        <v>46099.583333333343</v>
      </c>
      <c r="I532" s="124">
        <v>46107.416666666657</v>
      </c>
      <c r="J532" s="124" t="s">
        <v>815</v>
      </c>
      <c r="K532" s="124">
        <v>46128.625</v>
      </c>
      <c r="L532" s="124">
        <v>46129.416666666657</v>
      </c>
      <c r="M532" s="124">
        <v>46135.625</v>
      </c>
      <c r="N532" s="124"/>
      <c r="O532" s="124"/>
      <c r="P532" s="124"/>
      <c r="Q532" s="124"/>
      <c r="R532" s="124"/>
      <c r="S532" s="124"/>
      <c r="T532" s="124"/>
      <c r="U532" s="124"/>
      <c r="V532" s="114"/>
      <c r="W532" s="114"/>
      <c r="X532" s="114"/>
      <c r="Y532" s="2"/>
    </row>
    <row r="533" spans="1:25" ht="15.75" customHeight="1">
      <c r="A533" s="130" t="s">
        <v>739</v>
      </c>
      <c r="B533" s="122" t="s">
        <v>740</v>
      </c>
      <c r="C533" s="127" t="s">
        <v>794</v>
      </c>
      <c r="D533" s="117" t="str">
        <f>IFERROR(VLOOKUP(C533, PIC!A:B, 2, 0), "")</f>
        <v>Thai Nguyen 2</v>
      </c>
      <c r="E533" s="128" t="s">
        <v>21</v>
      </c>
      <c r="F533" s="129">
        <v>46085.625</v>
      </c>
      <c r="G533" s="129">
        <v>46093.416666666657</v>
      </c>
      <c r="H533" s="129" t="s">
        <v>815</v>
      </c>
      <c r="I533" s="129">
        <v>46107.416666666657</v>
      </c>
      <c r="J533" s="129">
        <v>46115.625</v>
      </c>
      <c r="K533" s="129">
        <v>46128.625</v>
      </c>
      <c r="L533" s="129">
        <v>46129.416666666657</v>
      </c>
      <c r="M533" s="129">
        <v>46135.625</v>
      </c>
      <c r="N533" s="129"/>
      <c r="O533" s="129"/>
      <c r="P533" s="129"/>
      <c r="Q533" s="129"/>
      <c r="R533" s="129"/>
      <c r="S533" s="129"/>
      <c r="T533" s="129"/>
      <c r="U533" s="129"/>
      <c r="V533" s="122"/>
      <c r="W533" s="122"/>
      <c r="X533" s="122"/>
      <c r="Y533" s="2"/>
    </row>
    <row r="534" spans="1:25" ht="15.75" customHeight="1">
      <c r="A534" s="126" t="s">
        <v>741</v>
      </c>
      <c r="B534" s="114" t="s">
        <v>742</v>
      </c>
      <c r="C534" s="131" t="s">
        <v>794</v>
      </c>
      <c r="D534" s="109" t="str">
        <f>IFERROR(VLOOKUP(C534, PIC!A:B, 2, 0), "")</f>
        <v>Thai Nguyen 2</v>
      </c>
      <c r="E534" s="132" t="s">
        <v>21</v>
      </c>
      <c r="F534" s="124">
        <v>46085.625</v>
      </c>
      <c r="G534" s="124">
        <v>46093.416666666657</v>
      </c>
      <c r="H534" s="124" t="s">
        <v>815</v>
      </c>
      <c r="I534" s="124">
        <v>46107.416666666657</v>
      </c>
      <c r="J534" s="124">
        <v>46115.625</v>
      </c>
      <c r="K534" s="124">
        <v>46128.625</v>
      </c>
      <c r="L534" s="124">
        <v>46129.416666666657</v>
      </c>
      <c r="M534" s="124">
        <v>46135.625</v>
      </c>
      <c r="N534" s="124"/>
      <c r="O534" s="124"/>
      <c r="P534" s="124"/>
      <c r="Q534" s="124"/>
      <c r="R534" s="124"/>
      <c r="S534" s="124"/>
      <c r="T534" s="124"/>
      <c r="U534" s="124"/>
      <c r="V534" s="114"/>
      <c r="W534" s="114"/>
      <c r="X534" s="114"/>
      <c r="Y534" s="2"/>
    </row>
    <row r="535" spans="1:25" ht="15.75" customHeight="1">
      <c r="A535" s="130" t="s">
        <v>743</v>
      </c>
      <c r="B535" s="122" t="s">
        <v>744</v>
      </c>
      <c r="C535" s="127" t="s">
        <v>794</v>
      </c>
      <c r="D535" s="117" t="str">
        <f>IFERROR(VLOOKUP(C535, PIC!A:B, 2, 0), "")</f>
        <v>Thai Nguyen 2</v>
      </c>
      <c r="E535" s="128" t="s">
        <v>21</v>
      </c>
      <c r="F535" s="129">
        <v>46085.625</v>
      </c>
      <c r="G535" s="129">
        <v>46093.416666666657</v>
      </c>
      <c r="H535" s="129">
        <v>46099.583333333343</v>
      </c>
      <c r="I535" s="129">
        <v>46107.416666666657</v>
      </c>
      <c r="J535" s="129">
        <v>46115.625</v>
      </c>
      <c r="K535" s="129">
        <v>46128.625</v>
      </c>
      <c r="L535" s="129">
        <v>46129.416666666657</v>
      </c>
      <c r="M535" s="129">
        <v>46135.625</v>
      </c>
      <c r="N535" s="129"/>
      <c r="O535" s="129"/>
      <c r="P535" s="129"/>
      <c r="Q535" s="129"/>
      <c r="R535" s="129"/>
      <c r="S535" s="129"/>
      <c r="T535" s="129"/>
      <c r="U535" s="129"/>
      <c r="V535" s="122"/>
      <c r="W535" s="122"/>
      <c r="X535" s="122"/>
      <c r="Y535" s="2"/>
    </row>
    <row r="536" spans="1:25" ht="15.75" customHeight="1">
      <c r="A536" s="126" t="s">
        <v>490</v>
      </c>
      <c r="B536" s="122" t="s">
        <v>819</v>
      </c>
      <c r="C536" s="131" t="s">
        <v>794</v>
      </c>
      <c r="D536" s="109" t="str">
        <f>IFERROR(VLOOKUP(C536, PIC!A:B, 2, 0), "")</f>
        <v>Thai Nguyen 2</v>
      </c>
      <c r="E536" s="132" t="s">
        <v>21</v>
      </c>
      <c r="F536" s="124"/>
      <c r="G536" s="124"/>
      <c r="H536" s="124"/>
      <c r="I536" s="124">
        <v>46107.416666666657</v>
      </c>
      <c r="J536" s="124" t="s">
        <v>815</v>
      </c>
      <c r="K536" s="124">
        <v>46128.625</v>
      </c>
      <c r="L536" s="124">
        <v>46129.416666666657</v>
      </c>
      <c r="M536" s="124">
        <v>46135.625</v>
      </c>
      <c r="N536" s="124"/>
      <c r="O536" s="124"/>
      <c r="P536" s="124"/>
      <c r="Q536" s="124"/>
      <c r="R536" s="124"/>
      <c r="S536" s="124"/>
      <c r="T536" s="124"/>
      <c r="U536" s="124"/>
      <c r="V536" s="114"/>
      <c r="W536" s="114"/>
      <c r="X536" s="114"/>
      <c r="Y536" s="2"/>
    </row>
    <row r="537" spans="1:25" ht="15.75" customHeight="1">
      <c r="A537" s="130" t="s">
        <v>747</v>
      </c>
      <c r="B537" s="122" t="s">
        <v>748</v>
      </c>
      <c r="C537" s="127" t="s">
        <v>800</v>
      </c>
      <c r="D537" s="117" t="str">
        <f>IFERROR(VLOOKUP(C537, PIC!A:B, 2, 0), "")</f>
        <v>Trang Ngo</v>
      </c>
      <c r="E537" s="128" t="s">
        <v>21</v>
      </c>
      <c r="F537" s="129"/>
      <c r="G537" s="129"/>
      <c r="H537" s="129">
        <v>46113.583333333343</v>
      </c>
      <c r="I537" s="129">
        <v>46120.416666666657</v>
      </c>
      <c r="J537" s="129" t="s">
        <v>815</v>
      </c>
      <c r="K537" s="129">
        <v>46134.416666666657</v>
      </c>
      <c r="L537" s="129"/>
      <c r="M537" s="129"/>
      <c r="N537" s="129"/>
      <c r="O537" s="129"/>
      <c r="P537" s="129"/>
      <c r="Q537" s="129"/>
      <c r="R537" s="129"/>
      <c r="S537" s="129"/>
      <c r="T537" s="129"/>
      <c r="U537" s="129"/>
      <c r="V537" s="121"/>
      <c r="W537" s="122"/>
      <c r="X537" s="122"/>
      <c r="Y537" s="2"/>
    </row>
    <row r="538" spans="1:25" ht="15.75" customHeight="1">
      <c r="A538" s="126" t="s">
        <v>749</v>
      </c>
      <c r="B538" s="114" t="s">
        <v>750</v>
      </c>
      <c r="C538" s="131" t="s">
        <v>800</v>
      </c>
      <c r="D538" s="109" t="str">
        <f>IFERROR(VLOOKUP(C538, PIC!A:B, 2, 0), "")</f>
        <v>Trang Ngo</v>
      </c>
      <c r="E538" s="132" t="s">
        <v>21</v>
      </c>
      <c r="F538" s="124"/>
      <c r="G538" s="124"/>
      <c r="H538" s="124">
        <v>46113.583333333343</v>
      </c>
      <c r="I538" s="124">
        <v>46120.416666666657</v>
      </c>
      <c r="J538" s="124">
        <v>46127.416666666657</v>
      </c>
      <c r="K538" s="124">
        <v>46134.416666666657</v>
      </c>
      <c r="L538" s="124"/>
      <c r="M538" s="124"/>
      <c r="N538" s="124"/>
      <c r="O538" s="124"/>
      <c r="P538" s="124"/>
      <c r="Q538" s="124"/>
      <c r="R538" s="124"/>
      <c r="S538" s="124"/>
      <c r="T538" s="124"/>
      <c r="U538" s="124"/>
      <c r="V538" s="113"/>
      <c r="W538" s="114"/>
      <c r="X538" s="114"/>
      <c r="Y538" s="2"/>
    </row>
    <row r="539" spans="1:25" ht="15.75" customHeight="1">
      <c r="A539" s="126" t="s">
        <v>745</v>
      </c>
      <c r="B539" s="114" t="s">
        <v>746</v>
      </c>
      <c r="C539" s="127" t="s">
        <v>800</v>
      </c>
      <c r="D539" s="117" t="str">
        <f>IFERROR(VLOOKUP(C539, PIC!A:B, 2, 0), "")</f>
        <v>Trang Ngo</v>
      </c>
      <c r="E539" s="128" t="s">
        <v>21</v>
      </c>
      <c r="F539" s="129"/>
      <c r="G539" s="129"/>
      <c r="H539" s="129">
        <v>46113.583333333343</v>
      </c>
      <c r="I539" s="129">
        <v>46120.416666666657</v>
      </c>
      <c r="J539" s="129">
        <v>46127.416666666657</v>
      </c>
      <c r="K539" s="129">
        <v>46134.416666666657</v>
      </c>
      <c r="L539" s="129"/>
      <c r="M539" s="129"/>
      <c r="N539" s="129"/>
      <c r="O539" s="129"/>
      <c r="P539" s="129"/>
      <c r="Q539" s="129"/>
      <c r="R539" s="129"/>
      <c r="S539" s="129"/>
      <c r="T539" s="129"/>
      <c r="U539" s="129"/>
      <c r="V539" s="121"/>
      <c r="W539" s="122"/>
      <c r="X539" s="122"/>
      <c r="Y539" s="2"/>
    </row>
    <row r="540" spans="1:25" ht="15.75" customHeight="1">
      <c r="A540" s="130" t="s">
        <v>751</v>
      </c>
      <c r="B540" s="122" t="s">
        <v>752</v>
      </c>
      <c r="C540" s="131" t="s">
        <v>800</v>
      </c>
      <c r="D540" s="109" t="str">
        <f>IFERROR(VLOOKUP(C540, PIC!A:B, 2, 0), "")</f>
        <v>Trang Ngo</v>
      </c>
      <c r="E540" s="132" t="s">
        <v>21</v>
      </c>
      <c r="F540" s="124"/>
      <c r="G540" s="124"/>
      <c r="H540" s="124" t="s">
        <v>815</v>
      </c>
      <c r="I540" s="124">
        <v>46120.416666666657</v>
      </c>
      <c r="J540" s="124">
        <v>46127.416666666657</v>
      </c>
      <c r="K540" s="124">
        <v>46134.416666666657</v>
      </c>
      <c r="L540" s="124"/>
      <c r="M540" s="124"/>
      <c r="N540" s="124"/>
      <c r="O540" s="124"/>
      <c r="P540" s="124"/>
      <c r="Q540" s="124"/>
      <c r="R540" s="124"/>
      <c r="S540" s="124"/>
      <c r="T540" s="124"/>
      <c r="U540" s="124"/>
      <c r="V540" s="113"/>
      <c r="W540" s="114"/>
      <c r="X540" s="114"/>
      <c r="Y540" s="2"/>
    </row>
    <row r="541" spans="1:25" ht="15.75" customHeight="1">
      <c r="A541" s="126" t="s">
        <v>753</v>
      </c>
      <c r="B541" s="114" t="s">
        <v>754</v>
      </c>
      <c r="C541" s="127" t="s">
        <v>800</v>
      </c>
      <c r="D541" s="117" t="str">
        <f>IFERROR(VLOOKUP(C541, PIC!A:B, 2, 0), "")</f>
        <v>Trang Ngo</v>
      </c>
      <c r="E541" s="128" t="s">
        <v>21</v>
      </c>
      <c r="F541" s="129"/>
      <c r="G541" s="129"/>
      <c r="H541" s="129">
        <v>46113.583333333343</v>
      </c>
      <c r="I541" s="129">
        <v>46120.416666666657</v>
      </c>
      <c r="J541" s="129">
        <v>46127.416666666657</v>
      </c>
      <c r="K541" s="129">
        <v>46134.416666666657</v>
      </c>
      <c r="L541" s="129"/>
      <c r="M541" s="129"/>
      <c r="N541" s="129"/>
      <c r="O541" s="129"/>
      <c r="P541" s="129"/>
      <c r="Q541" s="129"/>
      <c r="R541" s="129"/>
      <c r="S541" s="129"/>
      <c r="T541" s="129"/>
      <c r="U541" s="129"/>
      <c r="V541" s="121"/>
      <c r="W541" s="122"/>
      <c r="X541" s="122"/>
      <c r="Y541" s="2"/>
    </row>
    <row r="542" spans="1:25" ht="15.75" customHeight="1">
      <c r="A542" s="130" t="s">
        <v>755</v>
      </c>
      <c r="B542" s="122" t="s">
        <v>756</v>
      </c>
      <c r="C542" s="131" t="s">
        <v>800</v>
      </c>
      <c r="D542" s="109" t="str">
        <f>IFERROR(VLOOKUP(C542, PIC!A:B, 2, 0), "")</f>
        <v>Trang Ngo</v>
      </c>
      <c r="E542" s="132" t="s">
        <v>21</v>
      </c>
      <c r="F542" s="124"/>
      <c r="G542" s="124"/>
      <c r="H542" s="124">
        <v>46113.583333333343</v>
      </c>
      <c r="I542" s="124">
        <v>46120.416666666657</v>
      </c>
      <c r="J542" s="124">
        <v>46127.416666666657</v>
      </c>
      <c r="K542" s="124">
        <v>46134.416666666657</v>
      </c>
      <c r="L542" s="124"/>
      <c r="M542" s="124"/>
      <c r="N542" s="124"/>
      <c r="O542" s="124"/>
      <c r="P542" s="124"/>
      <c r="Q542" s="124"/>
      <c r="R542" s="124"/>
      <c r="S542" s="124"/>
      <c r="T542" s="124"/>
      <c r="U542" s="124"/>
      <c r="V542" s="113"/>
      <c r="W542" s="114"/>
      <c r="X542" s="114"/>
      <c r="Y542" s="2"/>
    </row>
    <row r="543" spans="1:25" ht="15.75" customHeight="1">
      <c r="A543" s="128" t="s">
        <v>478</v>
      </c>
      <c r="B543" s="128" t="s">
        <v>816</v>
      </c>
      <c r="C543" s="127" t="s">
        <v>800</v>
      </c>
      <c r="D543" s="117" t="str">
        <f>IFERROR(VLOOKUP(C543, PIC!A:B, 2, 0), "")</f>
        <v>Trang Ngo</v>
      </c>
      <c r="E543" s="128" t="s">
        <v>21</v>
      </c>
      <c r="F543" s="129"/>
      <c r="G543" s="129"/>
      <c r="H543" s="129">
        <v>46113.583333333343</v>
      </c>
      <c r="I543" s="129">
        <v>46120.416666666657</v>
      </c>
      <c r="J543" s="129" t="s">
        <v>815</v>
      </c>
      <c r="K543" s="129">
        <v>46134.416666666657</v>
      </c>
      <c r="L543" s="129"/>
      <c r="M543" s="129"/>
      <c r="N543" s="129"/>
      <c r="O543" s="129"/>
      <c r="P543" s="129"/>
      <c r="Q543" s="129"/>
      <c r="R543" s="129"/>
      <c r="S543" s="129"/>
      <c r="T543" s="129"/>
      <c r="U543" s="129"/>
      <c r="V543" s="121"/>
      <c r="W543" s="122"/>
      <c r="X543" s="122"/>
      <c r="Y543" s="2"/>
    </row>
    <row r="544" spans="1:25" ht="15.75" customHeight="1">
      <c r="A544" s="132"/>
      <c r="B544" s="132"/>
      <c r="C544" s="131"/>
      <c r="D544" s="131"/>
      <c r="E544" s="132"/>
      <c r="F544" s="124"/>
      <c r="G544" s="124"/>
      <c r="H544" s="124"/>
      <c r="I544" s="124"/>
      <c r="J544" s="124"/>
      <c r="K544" s="124"/>
      <c r="L544" s="124"/>
      <c r="M544" s="124"/>
      <c r="N544" s="124"/>
      <c r="O544" s="124"/>
      <c r="P544" s="124"/>
      <c r="Q544" s="124"/>
      <c r="R544" s="124"/>
      <c r="S544" s="124"/>
      <c r="T544" s="124"/>
      <c r="U544" s="124"/>
      <c r="V544" s="114"/>
      <c r="W544" s="114"/>
      <c r="X544" s="114"/>
      <c r="Y544" s="2"/>
    </row>
    <row r="545" spans="1:25" ht="15.75" customHeight="1">
      <c r="A545" s="128"/>
      <c r="B545" s="128"/>
      <c r="C545" s="127"/>
      <c r="D545" s="127"/>
      <c r="E545" s="128"/>
      <c r="F545" s="129"/>
      <c r="G545" s="129"/>
      <c r="H545" s="129"/>
      <c r="I545" s="129"/>
      <c r="J545" s="129"/>
      <c r="K545" s="129"/>
      <c r="L545" s="129"/>
      <c r="M545" s="129"/>
      <c r="N545" s="129"/>
      <c r="O545" s="129"/>
      <c r="P545" s="129"/>
      <c r="Q545" s="129"/>
      <c r="R545" s="129"/>
      <c r="S545" s="129"/>
      <c r="T545" s="129"/>
      <c r="U545" s="129"/>
      <c r="V545" s="122"/>
      <c r="W545" s="122"/>
      <c r="X545" s="122"/>
      <c r="Y545" s="2"/>
    </row>
    <row r="546" spans="1:25" ht="15.75" customHeight="1">
      <c r="A546" s="132"/>
      <c r="B546" s="132"/>
      <c r="C546" s="131"/>
      <c r="D546" s="131"/>
      <c r="E546" s="132"/>
      <c r="F546" s="124"/>
      <c r="G546" s="124"/>
      <c r="H546" s="124"/>
      <c r="I546" s="124"/>
      <c r="J546" s="124"/>
      <c r="K546" s="124"/>
      <c r="L546" s="124"/>
      <c r="M546" s="124"/>
      <c r="N546" s="124"/>
      <c r="O546" s="124"/>
      <c r="P546" s="124"/>
      <c r="Q546" s="124"/>
      <c r="R546" s="124"/>
      <c r="S546" s="124"/>
      <c r="T546" s="124"/>
      <c r="U546" s="124"/>
      <c r="V546" s="114"/>
      <c r="W546" s="114"/>
      <c r="X546" s="114"/>
      <c r="Y546" s="2"/>
    </row>
    <row r="547" spans="1:25" ht="15.75" customHeight="1">
      <c r="A547" s="128"/>
      <c r="B547" s="128"/>
      <c r="C547" s="127"/>
      <c r="D547" s="127"/>
      <c r="E547" s="128"/>
      <c r="F547" s="129"/>
      <c r="G547" s="129"/>
      <c r="H547" s="129"/>
      <c r="I547" s="129"/>
      <c r="J547" s="129"/>
      <c r="K547" s="129"/>
      <c r="L547" s="129"/>
      <c r="M547" s="129"/>
      <c r="N547" s="129"/>
      <c r="O547" s="129"/>
      <c r="P547" s="129"/>
      <c r="Q547" s="129"/>
      <c r="R547" s="129"/>
      <c r="S547" s="129"/>
      <c r="T547" s="129"/>
      <c r="U547" s="129"/>
      <c r="V547" s="122"/>
      <c r="W547" s="122"/>
      <c r="X547" s="122"/>
      <c r="Y547" s="2"/>
    </row>
    <row r="548" spans="1:25" ht="15.75" customHeight="1">
      <c r="A548" s="132"/>
      <c r="B548" s="132"/>
      <c r="C548" s="131"/>
      <c r="D548" s="131"/>
      <c r="E548" s="132"/>
      <c r="F548" s="124"/>
      <c r="G548" s="124"/>
      <c r="H548" s="124"/>
      <c r="I548" s="124"/>
      <c r="J548" s="124"/>
      <c r="K548" s="124"/>
      <c r="L548" s="124"/>
      <c r="M548" s="124"/>
      <c r="N548" s="124"/>
      <c r="O548" s="124"/>
      <c r="P548" s="124"/>
      <c r="Q548" s="124"/>
      <c r="R548" s="124"/>
      <c r="S548" s="124"/>
      <c r="T548" s="124"/>
      <c r="U548" s="124"/>
      <c r="V548" s="114"/>
      <c r="W548" s="114"/>
      <c r="X548" s="114"/>
      <c r="Y548" s="2"/>
    </row>
    <row r="549" spans="1:25" ht="15.75" customHeight="1">
      <c r="A549" s="128"/>
      <c r="B549" s="128"/>
      <c r="C549" s="127"/>
      <c r="D549" s="127"/>
      <c r="E549" s="128"/>
      <c r="F549" s="129"/>
      <c r="G549" s="129"/>
      <c r="H549" s="129"/>
      <c r="I549" s="129"/>
      <c r="J549" s="129"/>
      <c r="K549" s="129"/>
      <c r="L549" s="129"/>
      <c r="M549" s="129"/>
      <c r="N549" s="129"/>
      <c r="O549" s="129"/>
      <c r="P549" s="129"/>
      <c r="Q549" s="129"/>
      <c r="R549" s="129"/>
      <c r="S549" s="129"/>
      <c r="T549" s="129"/>
      <c r="U549" s="129"/>
      <c r="V549" s="122"/>
      <c r="W549" s="122"/>
      <c r="X549" s="122"/>
      <c r="Y549" s="2"/>
    </row>
    <row r="550" spans="1:25" ht="15.75" customHeight="1">
      <c r="A550" s="132"/>
      <c r="B550" s="132"/>
      <c r="C550" s="131"/>
      <c r="D550" s="131"/>
      <c r="E550" s="132"/>
      <c r="F550" s="124"/>
      <c r="G550" s="124"/>
      <c r="H550" s="124"/>
      <c r="I550" s="124"/>
      <c r="J550" s="124"/>
      <c r="K550" s="124"/>
      <c r="L550" s="124"/>
      <c r="M550" s="124"/>
      <c r="N550" s="124"/>
      <c r="O550" s="124"/>
      <c r="P550" s="124"/>
      <c r="Q550" s="124"/>
      <c r="R550" s="124"/>
      <c r="S550" s="124"/>
      <c r="T550" s="124"/>
      <c r="U550" s="124"/>
      <c r="V550" s="114"/>
      <c r="W550" s="114"/>
      <c r="X550" s="114"/>
      <c r="Y550" s="2"/>
    </row>
    <row r="551" spans="1:25" ht="15.75" customHeight="1">
      <c r="A551" s="128"/>
      <c r="B551" s="128"/>
      <c r="C551" s="127"/>
      <c r="D551" s="127"/>
      <c r="E551" s="128"/>
      <c r="F551" s="129"/>
      <c r="G551" s="129"/>
      <c r="H551" s="129"/>
      <c r="I551" s="129"/>
      <c r="J551" s="129"/>
      <c r="K551" s="129"/>
      <c r="L551" s="129"/>
      <c r="M551" s="129"/>
      <c r="N551" s="129"/>
      <c r="O551" s="129"/>
      <c r="P551" s="129"/>
      <c r="Q551" s="129"/>
      <c r="R551" s="129"/>
      <c r="S551" s="129"/>
      <c r="T551" s="129"/>
      <c r="U551" s="129"/>
      <c r="V551" s="122"/>
      <c r="W551" s="122"/>
      <c r="X551" s="122"/>
      <c r="Y551" s="2"/>
    </row>
    <row r="552" spans="1:25" ht="15.75" customHeight="1">
      <c r="A552" s="132"/>
      <c r="B552" s="132"/>
      <c r="C552" s="131"/>
      <c r="D552" s="131"/>
      <c r="E552" s="132"/>
      <c r="F552" s="124"/>
      <c r="G552" s="124"/>
      <c r="H552" s="124"/>
      <c r="I552" s="124"/>
      <c r="J552" s="124"/>
      <c r="K552" s="124"/>
      <c r="L552" s="124"/>
      <c r="M552" s="124"/>
      <c r="N552" s="124"/>
      <c r="O552" s="124"/>
      <c r="P552" s="124"/>
      <c r="Q552" s="124"/>
      <c r="R552" s="124"/>
      <c r="S552" s="124"/>
      <c r="T552" s="124"/>
      <c r="U552" s="124"/>
      <c r="V552" s="114"/>
      <c r="W552" s="114"/>
      <c r="X552" s="114"/>
      <c r="Y552" s="2"/>
    </row>
    <row r="553" spans="1:25" ht="15.75" customHeight="1">
      <c r="A553" s="128"/>
      <c r="B553" s="128"/>
      <c r="C553" s="127"/>
      <c r="D553" s="127"/>
      <c r="E553" s="128"/>
      <c r="F553" s="129"/>
      <c r="G553" s="129"/>
      <c r="H553" s="129"/>
      <c r="I553" s="129"/>
      <c r="J553" s="129"/>
      <c r="K553" s="129"/>
      <c r="L553" s="129"/>
      <c r="M553" s="129"/>
      <c r="N553" s="129"/>
      <c r="O553" s="129"/>
      <c r="P553" s="129"/>
      <c r="Q553" s="129"/>
      <c r="R553" s="129"/>
      <c r="S553" s="129"/>
      <c r="T553" s="129"/>
      <c r="U553" s="129"/>
      <c r="V553" s="122"/>
      <c r="W553" s="122"/>
      <c r="X553" s="122"/>
      <c r="Y553" s="2"/>
    </row>
    <row r="554" spans="1:25" ht="15.75" customHeight="1">
      <c r="A554" s="132"/>
      <c r="B554" s="132"/>
      <c r="C554" s="131"/>
      <c r="D554" s="131"/>
      <c r="E554" s="132"/>
      <c r="F554" s="124"/>
      <c r="G554" s="124"/>
      <c r="H554" s="124"/>
      <c r="I554" s="124"/>
      <c r="J554" s="124"/>
      <c r="K554" s="124"/>
      <c r="L554" s="124"/>
      <c r="M554" s="124"/>
      <c r="N554" s="124"/>
      <c r="O554" s="124"/>
      <c r="P554" s="124"/>
      <c r="Q554" s="124"/>
      <c r="R554" s="124"/>
      <c r="S554" s="124"/>
      <c r="T554" s="124"/>
      <c r="U554" s="124"/>
      <c r="V554" s="114"/>
      <c r="W554" s="114"/>
      <c r="X554" s="114"/>
      <c r="Y554" s="2"/>
    </row>
    <row r="555" spans="1:25" ht="15.75" customHeight="1">
      <c r="A555" s="128"/>
      <c r="B555" s="128"/>
      <c r="C555" s="127"/>
      <c r="D555" s="127"/>
      <c r="E555" s="128"/>
      <c r="F555" s="129"/>
      <c r="G555" s="129"/>
      <c r="H555" s="129"/>
      <c r="I555" s="129"/>
      <c r="J555" s="129"/>
      <c r="K555" s="129"/>
      <c r="L555" s="129"/>
      <c r="M555" s="129"/>
      <c r="N555" s="129"/>
      <c r="O555" s="129"/>
      <c r="P555" s="129"/>
      <c r="Q555" s="129"/>
      <c r="R555" s="129"/>
      <c r="S555" s="129"/>
      <c r="T555" s="129"/>
      <c r="U555" s="129"/>
      <c r="V555" s="122"/>
      <c r="W555" s="122"/>
      <c r="X555" s="122"/>
      <c r="Y555" s="2"/>
    </row>
    <row r="556" spans="1:25" ht="15.75" customHeight="1">
      <c r="A556" s="132"/>
      <c r="B556" s="132"/>
      <c r="C556" s="131"/>
      <c r="D556" s="131"/>
      <c r="E556" s="132"/>
      <c r="F556" s="124"/>
      <c r="G556" s="124"/>
      <c r="H556" s="124"/>
      <c r="I556" s="124"/>
      <c r="J556" s="124"/>
      <c r="K556" s="124"/>
      <c r="L556" s="124"/>
      <c r="M556" s="124"/>
      <c r="N556" s="124"/>
      <c r="O556" s="124"/>
      <c r="P556" s="124"/>
      <c r="Q556" s="124"/>
      <c r="R556" s="124"/>
      <c r="S556" s="124"/>
      <c r="T556" s="124"/>
      <c r="U556" s="124"/>
      <c r="V556" s="114"/>
      <c r="W556" s="114"/>
      <c r="X556" s="114"/>
      <c r="Y556" s="2"/>
    </row>
    <row r="557" spans="1:25" ht="15.75" customHeight="1">
      <c r="A557" s="128"/>
      <c r="B557" s="128"/>
      <c r="C557" s="127"/>
      <c r="D557" s="127"/>
      <c r="E557" s="128"/>
      <c r="F557" s="129"/>
      <c r="G557" s="129"/>
      <c r="H557" s="129"/>
      <c r="I557" s="129"/>
      <c r="J557" s="129"/>
      <c r="K557" s="129"/>
      <c r="L557" s="129"/>
      <c r="M557" s="129"/>
      <c r="N557" s="129"/>
      <c r="O557" s="129"/>
      <c r="P557" s="129"/>
      <c r="Q557" s="129"/>
      <c r="R557" s="129"/>
      <c r="S557" s="129"/>
      <c r="T557" s="129"/>
      <c r="U557" s="129"/>
      <c r="V557" s="122"/>
      <c r="W557" s="122"/>
      <c r="X557" s="122"/>
      <c r="Y557" s="2"/>
    </row>
    <row r="558" spans="1:25" ht="15.75" customHeight="1">
      <c r="A558" s="132"/>
      <c r="B558" s="132"/>
      <c r="C558" s="131"/>
      <c r="D558" s="131"/>
      <c r="E558" s="132"/>
      <c r="F558" s="124"/>
      <c r="G558" s="124"/>
      <c r="H558" s="124"/>
      <c r="I558" s="124"/>
      <c r="J558" s="124"/>
      <c r="K558" s="124"/>
      <c r="L558" s="124"/>
      <c r="M558" s="124"/>
      <c r="N558" s="124"/>
      <c r="O558" s="124"/>
      <c r="P558" s="124"/>
      <c r="Q558" s="124"/>
      <c r="R558" s="124"/>
      <c r="S558" s="124"/>
      <c r="T558" s="124"/>
      <c r="U558" s="124"/>
      <c r="V558" s="114"/>
      <c r="W558" s="114"/>
      <c r="X558" s="114"/>
      <c r="Y558" s="2"/>
    </row>
    <row r="559" spans="1:25" ht="15.75" customHeight="1">
      <c r="A559" s="128"/>
      <c r="B559" s="128"/>
      <c r="C559" s="127"/>
      <c r="D559" s="127"/>
      <c r="E559" s="128"/>
      <c r="F559" s="129"/>
      <c r="G559" s="129"/>
      <c r="H559" s="129"/>
      <c r="I559" s="129"/>
      <c r="J559" s="129"/>
      <c r="K559" s="129"/>
      <c r="L559" s="129"/>
      <c r="M559" s="129"/>
      <c r="N559" s="129"/>
      <c r="O559" s="129"/>
      <c r="P559" s="129"/>
      <c r="Q559" s="129"/>
      <c r="R559" s="129"/>
      <c r="S559" s="129"/>
      <c r="T559" s="129"/>
      <c r="U559" s="129"/>
      <c r="V559" s="122"/>
      <c r="W559" s="122"/>
      <c r="X559" s="122"/>
      <c r="Y559" s="2"/>
    </row>
    <row r="560" spans="1:25" ht="15.75" customHeight="1">
      <c r="A560" s="132"/>
      <c r="B560" s="132"/>
      <c r="C560" s="131"/>
      <c r="D560" s="131"/>
      <c r="E560" s="132"/>
      <c r="F560" s="124"/>
      <c r="G560" s="124"/>
      <c r="H560" s="124"/>
      <c r="I560" s="124"/>
      <c r="J560" s="124"/>
      <c r="K560" s="124"/>
      <c r="L560" s="124"/>
      <c r="M560" s="124"/>
      <c r="N560" s="124"/>
      <c r="O560" s="124"/>
      <c r="P560" s="124"/>
      <c r="Q560" s="124"/>
      <c r="R560" s="124"/>
      <c r="S560" s="124"/>
      <c r="T560" s="124"/>
      <c r="U560" s="124"/>
      <c r="V560" s="114"/>
      <c r="W560" s="114"/>
      <c r="X560" s="114"/>
      <c r="Y560" s="2"/>
    </row>
    <row r="561" spans="1:25" ht="15.75" customHeight="1">
      <c r="A561" s="128"/>
      <c r="B561" s="128"/>
      <c r="C561" s="127"/>
      <c r="D561" s="127"/>
      <c r="E561" s="128"/>
      <c r="F561" s="129"/>
      <c r="G561" s="129"/>
      <c r="H561" s="129"/>
      <c r="I561" s="129"/>
      <c r="J561" s="129"/>
      <c r="K561" s="129"/>
      <c r="L561" s="129"/>
      <c r="M561" s="129"/>
      <c r="N561" s="129"/>
      <c r="O561" s="129"/>
      <c r="P561" s="129"/>
      <c r="Q561" s="129"/>
      <c r="R561" s="129"/>
      <c r="S561" s="129"/>
      <c r="T561" s="129"/>
      <c r="U561" s="129"/>
      <c r="V561" s="122"/>
      <c r="W561" s="122"/>
      <c r="X561" s="122"/>
      <c r="Y561" s="2"/>
    </row>
    <row r="562" spans="1:25" ht="15.75" customHeight="1">
      <c r="A562" s="132"/>
      <c r="B562" s="132"/>
      <c r="C562" s="131"/>
      <c r="D562" s="131"/>
      <c r="E562" s="132"/>
      <c r="F562" s="124"/>
      <c r="G562" s="124"/>
      <c r="H562" s="124"/>
      <c r="I562" s="124"/>
      <c r="J562" s="124"/>
      <c r="K562" s="124"/>
      <c r="L562" s="124"/>
      <c r="M562" s="124"/>
      <c r="N562" s="124"/>
      <c r="O562" s="124"/>
      <c r="P562" s="124"/>
      <c r="Q562" s="124"/>
      <c r="R562" s="124"/>
      <c r="S562" s="124"/>
      <c r="T562" s="124"/>
      <c r="U562" s="124"/>
      <c r="V562" s="114"/>
      <c r="W562" s="114"/>
      <c r="X562" s="114"/>
      <c r="Y562" s="2"/>
    </row>
    <row r="563" spans="1:25" ht="15.75" customHeight="1">
      <c r="A563" s="128"/>
      <c r="B563" s="128"/>
      <c r="C563" s="127"/>
      <c r="D563" s="127"/>
      <c r="E563" s="128"/>
      <c r="F563" s="129"/>
      <c r="G563" s="129"/>
      <c r="H563" s="129"/>
      <c r="I563" s="129"/>
      <c r="J563" s="129"/>
      <c r="K563" s="129"/>
      <c r="L563" s="129"/>
      <c r="M563" s="129"/>
      <c r="N563" s="129"/>
      <c r="O563" s="129"/>
      <c r="P563" s="129"/>
      <c r="Q563" s="129"/>
      <c r="R563" s="129"/>
      <c r="S563" s="129"/>
      <c r="T563" s="129"/>
      <c r="U563" s="129"/>
      <c r="V563" s="122"/>
      <c r="W563" s="122"/>
      <c r="X563" s="122"/>
      <c r="Y563" s="2"/>
    </row>
    <row r="564" spans="1:25" ht="15.75" customHeight="1">
      <c r="A564" s="132"/>
      <c r="B564" s="132"/>
      <c r="C564" s="131"/>
      <c r="D564" s="131"/>
      <c r="E564" s="132"/>
      <c r="F564" s="124"/>
      <c r="G564" s="124"/>
      <c r="H564" s="124"/>
      <c r="I564" s="124"/>
      <c r="J564" s="124"/>
      <c r="K564" s="124"/>
      <c r="L564" s="124"/>
      <c r="M564" s="124"/>
      <c r="N564" s="124"/>
      <c r="O564" s="124"/>
      <c r="P564" s="124"/>
      <c r="Q564" s="124"/>
      <c r="R564" s="124"/>
      <c r="S564" s="124"/>
      <c r="T564" s="124"/>
      <c r="U564" s="124"/>
      <c r="V564" s="114"/>
      <c r="W564" s="114"/>
      <c r="X564" s="114"/>
      <c r="Y564" s="2"/>
    </row>
    <row r="565" spans="1:25" ht="15.75" customHeight="1">
      <c r="A565" s="128"/>
      <c r="B565" s="128"/>
      <c r="C565" s="127"/>
      <c r="D565" s="127"/>
      <c r="E565" s="128"/>
      <c r="F565" s="129"/>
      <c r="G565" s="129"/>
      <c r="H565" s="129"/>
      <c r="I565" s="129"/>
      <c r="J565" s="129"/>
      <c r="K565" s="129"/>
      <c r="L565" s="129"/>
      <c r="M565" s="129"/>
      <c r="N565" s="129"/>
      <c r="O565" s="129"/>
      <c r="P565" s="129"/>
      <c r="Q565" s="129"/>
      <c r="R565" s="129"/>
      <c r="S565" s="129"/>
      <c r="T565" s="129"/>
      <c r="U565" s="129"/>
      <c r="V565" s="122"/>
      <c r="W565" s="122"/>
      <c r="X565" s="122"/>
      <c r="Y565" s="2"/>
    </row>
    <row r="566" spans="1:25" ht="15.75" customHeight="1">
      <c r="A566" s="132"/>
      <c r="B566" s="132"/>
      <c r="C566" s="131"/>
      <c r="D566" s="131"/>
      <c r="E566" s="132"/>
      <c r="F566" s="124"/>
      <c r="G566" s="124"/>
      <c r="H566" s="124"/>
      <c r="I566" s="124"/>
      <c r="J566" s="124"/>
      <c r="K566" s="124"/>
      <c r="L566" s="124"/>
      <c r="M566" s="124"/>
      <c r="N566" s="124"/>
      <c r="O566" s="124"/>
      <c r="P566" s="124"/>
      <c r="Q566" s="124"/>
      <c r="R566" s="124"/>
      <c r="S566" s="124"/>
      <c r="T566" s="124"/>
      <c r="U566" s="124"/>
      <c r="V566" s="114"/>
      <c r="W566" s="114"/>
      <c r="X566" s="114"/>
      <c r="Y566" s="2"/>
    </row>
    <row r="567" spans="1:25" ht="15.75" customHeight="1">
      <c r="A567" s="128"/>
      <c r="B567" s="128"/>
      <c r="C567" s="127"/>
      <c r="D567" s="127"/>
      <c r="E567" s="128"/>
      <c r="F567" s="129"/>
      <c r="G567" s="129"/>
      <c r="H567" s="129"/>
      <c r="I567" s="129"/>
      <c r="J567" s="129"/>
      <c r="K567" s="129"/>
      <c r="L567" s="129"/>
      <c r="M567" s="129"/>
      <c r="N567" s="129"/>
      <c r="O567" s="129"/>
      <c r="P567" s="129"/>
      <c r="Q567" s="129"/>
      <c r="R567" s="129"/>
      <c r="S567" s="129"/>
      <c r="T567" s="129"/>
      <c r="U567" s="129"/>
      <c r="V567" s="122"/>
      <c r="W567" s="122"/>
      <c r="X567" s="122"/>
      <c r="Y567" s="2"/>
    </row>
    <row r="568" spans="1:25" ht="15.75" customHeight="1">
      <c r="A568" s="132"/>
      <c r="B568" s="132"/>
      <c r="C568" s="131"/>
      <c r="D568" s="131"/>
      <c r="E568" s="132"/>
      <c r="F568" s="124"/>
      <c r="G568" s="124"/>
      <c r="H568" s="124"/>
      <c r="I568" s="124"/>
      <c r="J568" s="124"/>
      <c r="K568" s="124"/>
      <c r="L568" s="124"/>
      <c r="M568" s="124"/>
      <c r="N568" s="124"/>
      <c r="O568" s="124"/>
      <c r="P568" s="124"/>
      <c r="Q568" s="124"/>
      <c r="R568" s="124"/>
      <c r="S568" s="124"/>
      <c r="T568" s="124"/>
      <c r="U568" s="124"/>
      <c r="V568" s="114"/>
      <c r="W568" s="114"/>
      <c r="X568" s="114"/>
      <c r="Y568" s="2"/>
    </row>
    <row r="569" spans="1:25" ht="15.75" customHeight="1">
      <c r="A569" s="128"/>
      <c r="B569" s="128"/>
      <c r="C569" s="127"/>
      <c r="D569" s="127"/>
      <c r="E569" s="128"/>
      <c r="F569" s="129"/>
      <c r="G569" s="129"/>
      <c r="H569" s="129"/>
      <c r="I569" s="129"/>
      <c r="J569" s="129"/>
      <c r="K569" s="129"/>
      <c r="L569" s="129"/>
      <c r="M569" s="129"/>
      <c r="N569" s="129"/>
      <c r="O569" s="129"/>
      <c r="P569" s="129"/>
      <c r="Q569" s="129"/>
      <c r="R569" s="129"/>
      <c r="S569" s="129"/>
      <c r="T569" s="129"/>
      <c r="U569" s="129"/>
      <c r="V569" s="122"/>
      <c r="W569" s="122"/>
      <c r="X569" s="122"/>
      <c r="Y569" s="2"/>
    </row>
    <row r="570" spans="1:25" ht="15.75" customHeight="1">
      <c r="A570" s="132"/>
      <c r="B570" s="132"/>
      <c r="C570" s="131"/>
      <c r="D570" s="131"/>
      <c r="E570" s="132"/>
      <c r="F570" s="124"/>
      <c r="G570" s="124"/>
      <c r="H570" s="124"/>
      <c r="I570" s="124"/>
      <c r="J570" s="124"/>
      <c r="K570" s="124"/>
      <c r="L570" s="124"/>
      <c r="M570" s="124"/>
      <c r="N570" s="124"/>
      <c r="O570" s="124"/>
      <c r="P570" s="124"/>
      <c r="Q570" s="124"/>
      <c r="R570" s="124"/>
      <c r="S570" s="124"/>
      <c r="T570" s="124"/>
      <c r="U570" s="124"/>
      <c r="V570" s="114"/>
      <c r="W570" s="114"/>
      <c r="X570" s="114"/>
      <c r="Y570" s="2"/>
    </row>
    <row r="571" spans="1:25" ht="15.75" customHeight="1">
      <c r="A571" s="128"/>
      <c r="B571" s="128"/>
      <c r="C571" s="127"/>
      <c r="D571" s="127"/>
      <c r="E571" s="128"/>
      <c r="F571" s="129"/>
      <c r="G571" s="129"/>
      <c r="H571" s="129"/>
      <c r="I571" s="129"/>
      <c r="J571" s="129"/>
      <c r="K571" s="129"/>
      <c r="L571" s="129"/>
      <c r="M571" s="129"/>
      <c r="N571" s="129"/>
      <c r="O571" s="129"/>
      <c r="P571" s="129"/>
      <c r="Q571" s="129"/>
      <c r="R571" s="129"/>
      <c r="S571" s="129"/>
      <c r="T571" s="129"/>
      <c r="U571" s="129"/>
      <c r="V571" s="122"/>
      <c r="W571" s="122"/>
      <c r="X571" s="122"/>
      <c r="Y571" s="2"/>
    </row>
    <row r="572" spans="1:25" ht="15.75" customHeight="1">
      <c r="A572" s="132"/>
      <c r="B572" s="132"/>
      <c r="C572" s="131"/>
      <c r="D572" s="131"/>
      <c r="E572" s="132"/>
      <c r="F572" s="124"/>
      <c r="G572" s="124"/>
      <c r="H572" s="124"/>
      <c r="I572" s="124"/>
      <c r="J572" s="124"/>
      <c r="K572" s="124"/>
      <c r="L572" s="124"/>
      <c r="M572" s="124"/>
      <c r="N572" s="124"/>
      <c r="O572" s="124"/>
      <c r="P572" s="124"/>
      <c r="Q572" s="124"/>
      <c r="R572" s="124"/>
      <c r="S572" s="124"/>
      <c r="T572" s="124"/>
      <c r="U572" s="124"/>
      <c r="V572" s="114"/>
      <c r="W572" s="114"/>
      <c r="X572" s="114"/>
      <c r="Y572" s="2"/>
    </row>
    <row r="573" spans="1:25" ht="15.75" customHeight="1">
      <c r="A573" s="128"/>
      <c r="B573" s="128"/>
      <c r="C573" s="127"/>
      <c r="D573" s="127"/>
      <c r="E573" s="128"/>
      <c r="F573" s="129"/>
      <c r="G573" s="129"/>
      <c r="H573" s="129"/>
      <c r="I573" s="129"/>
      <c r="J573" s="129"/>
      <c r="K573" s="129"/>
      <c r="L573" s="129"/>
      <c r="M573" s="129"/>
      <c r="N573" s="129"/>
      <c r="O573" s="129"/>
      <c r="P573" s="129"/>
      <c r="Q573" s="129"/>
      <c r="R573" s="129"/>
      <c r="S573" s="129"/>
      <c r="T573" s="129"/>
      <c r="U573" s="129"/>
      <c r="V573" s="122"/>
      <c r="W573" s="122"/>
      <c r="X573" s="122"/>
      <c r="Y573" s="2"/>
    </row>
    <row r="574" spans="1:25" ht="15.75" customHeight="1">
      <c r="A574" s="132"/>
      <c r="B574" s="132"/>
      <c r="C574" s="131"/>
      <c r="D574" s="131"/>
      <c r="E574" s="132"/>
      <c r="F574" s="124"/>
      <c r="G574" s="124"/>
      <c r="H574" s="124"/>
      <c r="I574" s="124"/>
      <c r="J574" s="124"/>
      <c r="K574" s="124"/>
      <c r="L574" s="124"/>
      <c r="M574" s="124"/>
      <c r="N574" s="124"/>
      <c r="O574" s="124"/>
      <c r="P574" s="124"/>
      <c r="Q574" s="124"/>
      <c r="R574" s="124"/>
      <c r="S574" s="124"/>
      <c r="T574" s="124"/>
      <c r="U574" s="124"/>
      <c r="V574" s="114"/>
      <c r="W574" s="114"/>
      <c r="X574" s="114"/>
      <c r="Y574" s="2"/>
    </row>
    <row r="575" spans="1:25" ht="15.75" customHeight="1">
      <c r="A575" s="128"/>
      <c r="B575" s="128"/>
      <c r="C575" s="127"/>
      <c r="D575" s="127"/>
      <c r="E575" s="128"/>
      <c r="F575" s="129"/>
      <c r="G575" s="129"/>
      <c r="H575" s="129"/>
      <c r="I575" s="129"/>
      <c r="J575" s="129"/>
      <c r="K575" s="129"/>
      <c r="L575" s="129"/>
      <c r="M575" s="129"/>
      <c r="N575" s="129"/>
      <c r="O575" s="129"/>
      <c r="P575" s="129"/>
      <c r="Q575" s="129"/>
      <c r="R575" s="129"/>
      <c r="S575" s="129"/>
      <c r="T575" s="129"/>
      <c r="U575" s="129"/>
      <c r="V575" s="122"/>
      <c r="W575" s="122"/>
      <c r="X575" s="122"/>
      <c r="Y575" s="2"/>
    </row>
    <row r="576" spans="1:25" ht="15.75" customHeight="1">
      <c r="A576" s="132"/>
      <c r="B576" s="132"/>
      <c r="C576" s="131"/>
      <c r="D576" s="131"/>
      <c r="E576" s="132"/>
      <c r="F576" s="124"/>
      <c r="G576" s="124"/>
      <c r="H576" s="124"/>
      <c r="I576" s="124"/>
      <c r="J576" s="124"/>
      <c r="K576" s="124"/>
      <c r="L576" s="124"/>
      <c r="M576" s="124"/>
      <c r="N576" s="124"/>
      <c r="O576" s="124"/>
      <c r="P576" s="124"/>
      <c r="Q576" s="124"/>
      <c r="R576" s="124"/>
      <c r="S576" s="124"/>
      <c r="T576" s="124"/>
      <c r="U576" s="124"/>
      <c r="V576" s="114"/>
      <c r="W576" s="114"/>
      <c r="X576" s="114"/>
      <c r="Y576" s="2"/>
    </row>
    <row r="577" spans="1:25" ht="15.75" customHeight="1">
      <c r="A577" s="128"/>
      <c r="B577" s="128"/>
      <c r="C577" s="127"/>
      <c r="D577" s="127"/>
      <c r="E577" s="128"/>
      <c r="F577" s="129"/>
      <c r="G577" s="129"/>
      <c r="H577" s="129"/>
      <c r="I577" s="129"/>
      <c r="J577" s="129"/>
      <c r="K577" s="129"/>
      <c r="L577" s="129"/>
      <c r="M577" s="129"/>
      <c r="N577" s="129"/>
      <c r="O577" s="129"/>
      <c r="P577" s="129"/>
      <c r="Q577" s="129"/>
      <c r="R577" s="129"/>
      <c r="S577" s="129"/>
      <c r="T577" s="129"/>
      <c r="U577" s="129"/>
      <c r="V577" s="122"/>
      <c r="W577" s="122"/>
      <c r="X577" s="122"/>
      <c r="Y577" s="2"/>
    </row>
    <row r="578" spans="1:25" ht="15.75" customHeight="1">
      <c r="A578" s="132"/>
      <c r="B578" s="132"/>
      <c r="C578" s="131"/>
      <c r="D578" s="131"/>
      <c r="E578" s="132"/>
      <c r="F578" s="124"/>
      <c r="G578" s="124"/>
      <c r="H578" s="124"/>
      <c r="I578" s="124"/>
      <c r="J578" s="124"/>
      <c r="K578" s="124"/>
      <c r="L578" s="124"/>
      <c r="M578" s="124"/>
      <c r="N578" s="124"/>
      <c r="O578" s="124"/>
      <c r="P578" s="124"/>
      <c r="Q578" s="124"/>
      <c r="R578" s="124"/>
      <c r="S578" s="124"/>
      <c r="T578" s="124"/>
      <c r="U578" s="124"/>
      <c r="V578" s="114"/>
      <c r="W578" s="114"/>
      <c r="X578" s="114"/>
      <c r="Y578" s="2"/>
    </row>
    <row r="579" spans="1:25" ht="15.75" customHeight="1">
      <c r="A579" s="128"/>
      <c r="B579" s="128"/>
      <c r="C579" s="127"/>
      <c r="D579" s="127"/>
      <c r="E579" s="128"/>
      <c r="F579" s="129"/>
      <c r="G579" s="129"/>
      <c r="H579" s="129"/>
      <c r="I579" s="129"/>
      <c r="J579" s="129"/>
      <c r="K579" s="129"/>
      <c r="L579" s="129"/>
      <c r="M579" s="129"/>
      <c r="N579" s="129"/>
      <c r="O579" s="129"/>
      <c r="P579" s="129"/>
      <c r="Q579" s="129"/>
      <c r="R579" s="129"/>
      <c r="S579" s="129"/>
      <c r="T579" s="129"/>
      <c r="U579" s="129"/>
      <c r="V579" s="122"/>
      <c r="W579" s="122"/>
      <c r="X579" s="122"/>
      <c r="Y579" s="2"/>
    </row>
    <row r="580" spans="1:25" ht="15.75" customHeight="1">
      <c r="A580" s="132"/>
      <c r="B580" s="132"/>
      <c r="C580" s="131"/>
      <c r="D580" s="131"/>
      <c r="E580" s="132"/>
      <c r="F580" s="124"/>
      <c r="G580" s="124"/>
      <c r="H580" s="124"/>
      <c r="I580" s="124"/>
      <c r="J580" s="124"/>
      <c r="K580" s="124"/>
      <c r="L580" s="124"/>
      <c r="M580" s="124"/>
      <c r="N580" s="124"/>
      <c r="O580" s="124"/>
      <c r="P580" s="124"/>
      <c r="Q580" s="124"/>
      <c r="R580" s="124"/>
      <c r="S580" s="124"/>
      <c r="T580" s="124"/>
      <c r="U580" s="124"/>
      <c r="V580" s="114"/>
      <c r="W580" s="114"/>
      <c r="X580" s="114"/>
      <c r="Y580" s="2"/>
    </row>
    <row r="581" spans="1:25" ht="15.75" customHeight="1">
      <c r="A581" s="128"/>
      <c r="B581" s="128"/>
      <c r="C581" s="127"/>
      <c r="D581" s="127"/>
      <c r="E581" s="128"/>
      <c r="F581" s="129"/>
      <c r="G581" s="129"/>
      <c r="H581" s="129"/>
      <c r="I581" s="129"/>
      <c r="J581" s="129"/>
      <c r="K581" s="129"/>
      <c r="L581" s="129"/>
      <c r="M581" s="129"/>
      <c r="N581" s="129"/>
      <c r="O581" s="129"/>
      <c r="P581" s="129"/>
      <c r="Q581" s="129"/>
      <c r="R581" s="129"/>
      <c r="S581" s="129"/>
      <c r="T581" s="129"/>
      <c r="U581" s="129"/>
      <c r="V581" s="122"/>
      <c r="W581" s="122"/>
      <c r="X581" s="122"/>
      <c r="Y581" s="2"/>
    </row>
    <row r="582" spans="1:25" ht="15.75" customHeight="1">
      <c r="A582" s="132"/>
      <c r="B582" s="132"/>
      <c r="C582" s="131"/>
      <c r="D582" s="131"/>
      <c r="E582" s="132"/>
      <c r="F582" s="124"/>
      <c r="G582" s="124"/>
      <c r="H582" s="124"/>
      <c r="I582" s="124"/>
      <c r="J582" s="124"/>
      <c r="K582" s="124"/>
      <c r="L582" s="124"/>
      <c r="M582" s="124"/>
      <c r="N582" s="124"/>
      <c r="O582" s="124"/>
      <c r="P582" s="124"/>
      <c r="Q582" s="124"/>
      <c r="R582" s="124"/>
      <c r="S582" s="124"/>
      <c r="T582" s="124"/>
      <c r="U582" s="124"/>
      <c r="V582" s="114"/>
      <c r="W582" s="114"/>
      <c r="X582" s="114"/>
      <c r="Y582" s="2"/>
    </row>
    <row r="583" spans="1:25" ht="15.75" customHeight="1">
      <c r="A583" s="128"/>
      <c r="B583" s="128"/>
      <c r="C583" s="127"/>
      <c r="D583" s="127"/>
      <c r="E583" s="128"/>
      <c r="F583" s="129"/>
      <c r="G583" s="129"/>
      <c r="H583" s="129"/>
      <c r="I583" s="129"/>
      <c r="J583" s="129"/>
      <c r="K583" s="129"/>
      <c r="L583" s="129"/>
      <c r="M583" s="129"/>
      <c r="N583" s="129"/>
      <c r="O583" s="129"/>
      <c r="P583" s="129"/>
      <c r="Q583" s="129"/>
      <c r="R583" s="129"/>
      <c r="S583" s="129"/>
      <c r="T583" s="129"/>
      <c r="U583" s="129"/>
      <c r="V583" s="122"/>
      <c r="W583" s="122"/>
      <c r="X583" s="122"/>
      <c r="Y583" s="2"/>
    </row>
    <row r="584" spans="1:25" ht="15.75" customHeight="1">
      <c r="A584" s="132"/>
      <c r="B584" s="132"/>
      <c r="C584" s="131"/>
      <c r="D584" s="131"/>
      <c r="E584" s="132"/>
      <c r="F584" s="124"/>
      <c r="G584" s="124"/>
      <c r="H584" s="124"/>
      <c r="I584" s="124"/>
      <c r="J584" s="124"/>
      <c r="K584" s="124"/>
      <c r="L584" s="124"/>
      <c r="M584" s="124"/>
      <c r="N584" s="124"/>
      <c r="O584" s="124"/>
      <c r="P584" s="124"/>
      <c r="Q584" s="124"/>
      <c r="R584" s="124"/>
      <c r="S584" s="124"/>
      <c r="T584" s="124"/>
      <c r="U584" s="124"/>
      <c r="V584" s="114"/>
      <c r="W584" s="114"/>
      <c r="X584" s="114"/>
      <c r="Y584" s="2"/>
    </row>
    <row r="585" spans="1:25" ht="15.75" customHeight="1">
      <c r="A585" s="128"/>
      <c r="B585" s="128"/>
      <c r="C585" s="127"/>
      <c r="D585" s="127"/>
      <c r="E585" s="128"/>
      <c r="F585" s="129"/>
      <c r="G585" s="129"/>
      <c r="H585" s="129"/>
      <c r="I585" s="129"/>
      <c r="J585" s="129"/>
      <c r="K585" s="129"/>
      <c r="L585" s="129"/>
      <c r="M585" s="129"/>
      <c r="N585" s="129"/>
      <c r="O585" s="129"/>
      <c r="P585" s="129"/>
      <c r="Q585" s="129"/>
      <c r="R585" s="129"/>
      <c r="S585" s="129"/>
      <c r="T585" s="129"/>
      <c r="U585" s="129"/>
      <c r="V585" s="122"/>
      <c r="W585" s="122"/>
      <c r="X585" s="122"/>
      <c r="Y585" s="2"/>
    </row>
    <row r="586" spans="1:25" ht="15.75" customHeight="1">
      <c r="A586" s="132"/>
      <c r="B586" s="132"/>
      <c r="C586" s="131"/>
      <c r="D586" s="131"/>
      <c r="E586" s="132"/>
      <c r="F586" s="124"/>
      <c r="G586" s="124"/>
      <c r="H586" s="124"/>
      <c r="I586" s="124"/>
      <c r="J586" s="124"/>
      <c r="K586" s="124"/>
      <c r="L586" s="124"/>
      <c r="M586" s="124"/>
      <c r="N586" s="124"/>
      <c r="O586" s="124"/>
      <c r="P586" s="124"/>
      <c r="Q586" s="124"/>
      <c r="R586" s="124"/>
      <c r="S586" s="124"/>
      <c r="T586" s="124"/>
      <c r="U586" s="124"/>
      <c r="V586" s="114"/>
      <c r="W586" s="114"/>
      <c r="X586" s="114"/>
      <c r="Y586" s="2"/>
    </row>
    <row r="587" spans="1:25" ht="15.75" customHeight="1">
      <c r="A587" s="128"/>
      <c r="B587" s="128"/>
      <c r="C587" s="127"/>
      <c r="D587" s="127"/>
      <c r="E587" s="128"/>
      <c r="F587" s="129"/>
      <c r="G587" s="129"/>
      <c r="H587" s="129"/>
      <c r="I587" s="129"/>
      <c r="J587" s="129"/>
      <c r="K587" s="129"/>
      <c r="L587" s="129"/>
      <c r="M587" s="129"/>
      <c r="N587" s="129"/>
      <c r="O587" s="129"/>
      <c r="P587" s="129"/>
      <c r="Q587" s="129"/>
      <c r="R587" s="129"/>
      <c r="S587" s="129"/>
      <c r="T587" s="129"/>
      <c r="U587" s="129"/>
      <c r="V587" s="122"/>
      <c r="W587" s="122"/>
      <c r="X587" s="122"/>
      <c r="Y587" s="2"/>
    </row>
    <row r="588" spans="1:25" ht="15.75" customHeight="1">
      <c r="A588" s="132"/>
      <c r="B588" s="132"/>
      <c r="C588" s="131"/>
      <c r="D588" s="131"/>
      <c r="E588" s="132"/>
      <c r="F588" s="124"/>
      <c r="G588" s="124"/>
      <c r="H588" s="124"/>
      <c r="I588" s="124"/>
      <c r="J588" s="124"/>
      <c r="K588" s="124"/>
      <c r="L588" s="124"/>
      <c r="M588" s="124"/>
      <c r="N588" s="124"/>
      <c r="O588" s="124"/>
      <c r="P588" s="124"/>
      <c r="Q588" s="124"/>
      <c r="R588" s="124"/>
      <c r="S588" s="124"/>
      <c r="T588" s="124"/>
      <c r="U588" s="124"/>
      <c r="V588" s="114"/>
      <c r="W588" s="114"/>
      <c r="X588" s="114"/>
      <c r="Y588" s="2"/>
    </row>
    <row r="589" spans="1:25" ht="15.75" customHeight="1">
      <c r="A589" s="128"/>
      <c r="B589" s="128"/>
      <c r="C589" s="127"/>
      <c r="D589" s="127"/>
      <c r="E589" s="128"/>
      <c r="F589" s="129"/>
      <c r="G589" s="129"/>
      <c r="H589" s="129"/>
      <c r="I589" s="129"/>
      <c r="J589" s="129"/>
      <c r="K589" s="129"/>
      <c r="L589" s="129"/>
      <c r="M589" s="129"/>
      <c r="N589" s="129"/>
      <c r="O589" s="129"/>
      <c r="P589" s="129"/>
      <c r="Q589" s="129"/>
      <c r="R589" s="129"/>
      <c r="S589" s="129"/>
      <c r="T589" s="129"/>
      <c r="U589" s="129"/>
      <c r="V589" s="122"/>
      <c r="W589" s="122"/>
      <c r="X589" s="122"/>
      <c r="Y589" s="2"/>
    </row>
    <row r="590" spans="1:25" ht="15.75" customHeight="1">
      <c r="A590" s="132"/>
      <c r="B590" s="132"/>
      <c r="C590" s="131"/>
      <c r="D590" s="131"/>
      <c r="E590" s="132"/>
      <c r="F590" s="124"/>
      <c r="G590" s="124"/>
      <c r="H590" s="124"/>
      <c r="I590" s="124"/>
      <c r="J590" s="124"/>
      <c r="K590" s="124"/>
      <c r="L590" s="124"/>
      <c r="M590" s="124"/>
      <c r="N590" s="124"/>
      <c r="O590" s="124"/>
      <c r="P590" s="124"/>
      <c r="Q590" s="124"/>
      <c r="R590" s="124"/>
      <c r="S590" s="124"/>
      <c r="T590" s="124"/>
      <c r="U590" s="124"/>
      <c r="V590" s="114"/>
      <c r="W590" s="114"/>
      <c r="X590" s="114"/>
      <c r="Y590" s="2"/>
    </row>
    <row r="591" spans="1:25" ht="15.75" customHeight="1">
      <c r="A591" s="128"/>
      <c r="B591" s="128"/>
      <c r="C591" s="127"/>
      <c r="D591" s="127"/>
      <c r="E591" s="128"/>
      <c r="F591" s="129"/>
      <c r="G591" s="129"/>
      <c r="H591" s="129"/>
      <c r="I591" s="129"/>
      <c r="J591" s="129"/>
      <c r="K591" s="129"/>
      <c r="L591" s="129"/>
      <c r="M591" s="129"/>
      <c r="N591" s="129"/>
      <c r="O591" s="129"/>
      <c r="P591" s="129"/>
      <c r="Q591" s="129"/>
      <c r="R591" s="129"/>
      <c r="S591" s="129"/>
      <c r="T591" s="129"/>
      <c r="U591" s="129"/>
      <c r="V591" s="122"/>
      <c r="W591" s="122"/>
      <c r="X591" s="122"/>
      <c r="Y591" s="2"/>
    </row>
    <row r="592" spans="1:25" ht="15.75" customHeight="1">
      <c r="A592" s="132"/>
      <c r="B592" s="132"/>
      <c r="C592" s="131"/>
      <c r="D592" s="131"/>
      <c r="E592" s="132"/>
      <c r="F592" s="124"/>
      <c r="G592" s="124"/>
      <c r="H592" s="124"/>
      <c r="I592" s="124"/>
      <c r="J592" s="124"/>
      <c r="K592" s="124"/>
      <c r="L592" s="124"/>
      <c r="M592" s="124"/>
      <c r="N592" s="124"/>
      <c r="O592" s="124"/>
      <c r="P592" s="124"/>
      <c r="Q592" s="124"/>
      <c r="R592" s="124"/>
      <c r="S592" s="124"/>
      <c r="T592" s="124"/>
      <c r="U592" s="124"/>
      <c r="V592" s="114"/>
      <c r="W592" s="114"/>
      <c r="X592" s="114"/>
      <c r="Y592" s="2"/>
    </row>
    <row r="593" spans="1:25" ht="15.75" customHeight="1">
      <c r="A593" s="128"/>
      <c r="B593" s="128"/>
      <c r="C593" s="127"/>
      <c r="D593" s="127"/>
      <c r="E593" s="128"/>
      <c r="F593" s="129"/>
      <c r="G593" s="129"/>
      <c r="H593" s="129"/>
      <c r="I593" s="129"/>
      <c r="J593" s="129"/>
      <c r="K593" s="129"/>
      <c r="L593" s="129"/>
      <c r="M593" s="129"/>
      <c r="N593" s="129"/>
      <c r="O593" s="129"/>
      <c r="P593" s="129"/>
      <c r="Q593" s="129"/>
      <c r="R593" s="129"/>
      <c r="S593" s="129"/>
      <c r="T593" s="129"/>
      <c r="U593" s="129"/>
      <c r="V593" s="122"/>
      <c r="W593" s="122"/>
      <c r="X593" s="122"/>
      <c r="Y593" s="2"/>
    </row>
    <row r="594" spans="1:25" ht="15.75" customHeight="1">
      <c r="A594" s="132"/>
      <c r="B594" s="132"/>
      <c r="C594" s="131"/>
      <c r="D594" s="131"/>
      <c r="E594" s="132"/>
      <c r="F594" s="124"/>
      <c r="G594" s="124"/>
      <c r="H594" s="124"/>
      <c r="I594" s="124"/>
      <c r="J594" s="124"/>
      <c r="K594" s="124"/>
      <c r="L594" s="124"/>
      <c r="M594" s="124"/>
      <c r="N594" s="124"/>
      <c r="O594" s="124"/>
      <c r="P594" s="124"/>
      <c r="Q594" s="124"/>
      <c r="R594" s="124"/>
      <c r="S594" s="124"/>
      <c r="T594" s="124"/>
      <c r="U594" s="124"/>
      <c r="V594" s="114"/>
      <c r="W594" s="114"/>
      <c r="X594" s="114"/>
      <c r="Y594" s="2"/>
    </row>
    <row r="595" spans="1:25" ht="15.75" customHeight="1">
      <c r="A595" s="128"/>
      <c r="B595" s="128"/>
      <c r="C595" s="127"/>
      <c r="D595" s="127"/>
      <c r="E595" s="128"/>
      <c r="F595" s="129"/>
      <c r="G595" s="129"/>
      <c r="H595" s="129"/>
      <c r="I595" s="129"/>
      <c r="J595" s="129"/>
      <c r="K595" s="129"/>
      <c r="L595" s="129"/>
      <c r="M595" s="129"/>
      <c r="N595" s="129"/>
      <c r="O595" s="129"/>
      <c r="P595" s="129"/>
      <c r="Q595" s="129"/>
      <c r="R595" s="129"/>
      <c r="S595" s="129"/>
      <c r="T595" s="129"/>
      <c r="U595" s="129"/>
      <c r="V595" s="122"/>
      <c r="W595" s="122"/>
      <c r="X595" s="122"/>
      <c r="Y595" s="2"/>
    </row>
    <row r="596" spans="1:25" ht="15.75" customHeight="1">
      <c r="A596" s="132"/>
      <c r="B596" s="132"/>
      <c r="C596" s="131"/>
      <c r="D596" s="131"/>
      <c r="E596" s="132"/>
      <c r="F596" s="124"/>
      <c r="G596" s="124"/>
      <c r="H596" s="124"/>
      <c r="I596" s="124"/>
      <c r="J596" s="124"/>
      <c r="K596" s="124"/>
      <c r="L596" s="124"/>
      <c r="M596" s="124"/>
      <c r="N596" s="124"/>
      <c r="O596" s="124"/>
      <c r="P596" s="124"/>
      <c r="Q596" s="124"/>
      <c r="R596" s="124"/>
      <c r="S596" s="124"/>
      <c r="T596" s="124"/>
      <c r="U596" s="124"/>
      <c r="V596" s="114"/>
      <c r="W596" s="114"/>
      <c r="X596" s="114"/>
      <c r="Y596" s="2"/>
    </row>
    <row r="597" spans="1:25" ht="15.75" customHeight="1">
      <c r="A597" s="128"/>
      <c r="B597" s="128"/>
      <c r="C597" s="127"/>
      <c r="D597" s="127"/>
      <c r="E597" s="128"/>
      <c r="F597" s="129"/>
      <c r="G597" s="129"/>
      <c r="H597" s="129"/>
      <c r="I597" s="129"/>
      <c r="J597" s="129"/>
      <c r="K597" s="129"/>
      <c r="L597" s="129"/>
      <c r="M597" s="129"/>
      <c r="N597" s="129"/>
      <c r="O597" s="129"/>
      <c r="P597" s="129"/>
      <c r="Q597" s="129"/>
      <c r="R597" s="129"/>
      <c r="S597" s="129"/>
      <c r="T597" s="129"/>
      <c r="U597" s="129"/>
      <c r="V597" s="122"/>
      <c r="W597" s="122"/>
      <c r="X597" s="122"/>
      <c r="Y597" s="2"/>
    </row>
    <row r="598" spans="1:25" ht="15.75" customHeight="1">
      <c r="A598" s="132"/>
      <c r="B598" s="132"/>
      <c r="C598" s="131"/>
      <c r="D598" s="131"/>
      <c r="E598" s="132"/>
      <c r="F598" s="124"/>
      <c r="G598" s="124"/>
      <c r="H598" s="124"/>
      <c r="I598" s="124"/>
      <c r="J598" s="124"/>
      <c r="K598" s="124"/>
      <c r="L598" s="124"/>
      <c r="M598" s="124"/>
      <c r="N598" s="124"/>
      <c r="O598" s="124"/>
      <c r="P598" s="124"/>
      <c r="Q598" s="124"/>
      <c r="R598" s="124"/>
      <c r="S598" s="124"/>
      <c r="T598" s="124"/>
      <c r="U598" s="124"/>
      <c r="V598" s="114"/>
      <c r="W598" s="114"/>
      <c r="X598" s="114"/>
      <c r="Y598" s="2"/>
    </row>
    <row r="599" spans="1:25" ht="15.75" customHeight="1">
      <c r="A599" s="128"/>
      <c r="B599" s="128"/>
      <c r="C599" s="127"/>
      <c r="D599" s="127"/>
      <c r="E599" s="128"/>
      <c r="F599" s="129"/>
      <c r="G599" s="129"/>
      <c r="H599" s="129"/>
      <c r="I599" s="129"/>
      <c r="J599" s="129"/>
      <c r="K599" s="129"/>
      <c r="L599" s="129"/>
      <c r="M599" s="129"/>
      <c r="N599" s="129"/>
      <c r="O599" s="129"/>
      <c r="P599" s="129"/>
      <c r="Q599" s="129"/>
      <c r="R599" s="129"/>
      <c r="S599" s="129"/>
      <c r="T599" s="129"/>
      <c r="U599" s="129"/>
      <c r="V599" s="122"/>
      <c r="W599" s="122"/>
      <c r="X599" s="122"/>
      <c r="Y599" s="2"/>
    </row>
    <row r="600" spans="1:25" ht="15.75" customHeight="1">
      <c r="A600" s="132"/>
      <c r="B600" s="132"/>
      <c r="C600" s="131"/>
      <c r="D600" s="131"/>
      <c r="E600" s="132"/>
      <c r="F600" s="124"/>
      <c r="G600" s="124"/>
      <c r="H600" s="124"/>
      <c r="I600" s="124"/>
      <c r="J600" s="124"/>
      <c r="K600" s="124"/>
      <c r="L600" s="124"/>
      <c r="M600" s="124"/>
      <c r="N600" s="124"/>
      <c r="O600" s="124"/>
      <c r="P600" s="124"/>
      <c r="Q600" s="124"/>
      <c r="R600" s="124"/>
      <c r="S600" s="124"/>
      <c r="T600" s="124"/>
      <c r="U600" s="124"/>
      <c r="V600" s="114"/>
      <c r="W600" s="114"/>
      <c r="X600" s="114"/>
      <c r="Y600" s="2"/>
    </row>
    <row r="601" spans="1:25" ht="15.75" customHeight="1">
      <c r="A601" s="128"/>
      <c r="B601" s="128"/>
      <c r="C601" s="127"/>
      <c r="D601" s="127"/>
      <c r="E601" s="128"/>
      <c r="F601" s="129"/>
      <c r="G601" s="129"/>
      <c r="H601" s="129"/>
      <c r="I601" s="129"/>
      <c r="J601" s="129"/>
      <c r="K601" s="129"/>
      <c r="L601" s="129"/>
      <c r="M601" s="129"/>
      <c r="N601" s="129"/>
      <c r="O601" s="129"/>
      <c r="P601" s="129"/>
      <c r="Q601" s="129"/>
      <c r="R601" s="129"/>
      <c r="S601" s="129"/>
      <c r="T601" s="129"/>
      <c r="U601" s="129"/>
      <c r="V601" s="122"/>
      <c r="W601" s="122"/>
      <c r="X601" s="122"/>
      <c r="Y601" s="2"/>
    </row>
    <row r="602" spans="1:25" ht="15.75" customHeight="1">
      <c r="A602" s="132"/>
      <c r="B602" s="132"/>
      <c r="C602" s="131"/>
      <c r="D602" s="131"/>
      <c r="E602" s="132"/>
      <c r="F602" s="124"/>
      <c r="G602" s="124"/>
      <c r="H602" s="124"/>
      <c r="I602" s="124"/>
      <c r="J602" s="124"/>
      <c r="K602" s="124"/>
      <c r="L602" s="124"/>
      <c r="M602" s="124"/>
      <c r="N602" s="124"/>
      <c r="O602" s="124"/>
      <c r="P602" s="124"/>
      <c r="Q602" s="124"/>
      <c r="R602" s="124"/>
      <c r="S602" s="124"/>
      <c r="T602" s="124"/>
      <c r="U602" s="124"/>
      <c r="V602" s="114"/>
      <c r="W602" s="114"/>
      <c r="X602" s="114"/>
      <c r="Y602" s="2"/>
    </row>
    <row r="603" spans="1:25" ht="15.75" customHeight="1">
      <c r="A603" s="128"/>
      <c r="B603" s="128"/>
      <c r="C603" s="127"/>
      <c r="D603" s="127"/>
      <c r="E603" s="128"/>
      <c r="F603" s="129"/>
      <c r="G603" s="129"/>
      <c r="H603" s="129"/>
      <c r="I603" s="129"/>
      <c r="J603" s="129"/>
      <c r="K603" s="129"/>
      <c r="L603" s="129"/>
      <c r="M603" s="129"/>
      <c r="N603" s="129"/>
      <c r="O603" s="129"/>
      <c r="P603" s="129"/>
      <c r="Q603" s="129"/>
      <c r="R603" s="129"/>
      <c r="S603" s="129"/>
      <c r="T603" s="129"/>
      <c r="U603" s="129"/>
      <c r="V603" s="122"/>
      <c r="W603" s="122"/>
      <c r="X603" s="122"/>
      <c r="Y603" s="2"/>
    </row>
    <row r="604" spans="1:25" ht="15.75" customHeight="1">
      <c r="A604" s="132"/>
      <c r="B604" s="132"/>
      <c r="C604" s="131"/>
      <c r="D604" s="131"/>
      <c r="E604" s="132"/>
      <c r="F604" s="124"/>
      <c r="G604" s="124"/>
      <c r="H604" s="124"/>
      <c r="I604" s="124"/>
      <c r="J604" s="124"/>
      <c r="K604" s="124"/>
      <c r="L604" s="124"/>
      <c r="M604" s="124"/>
      <c r="N604" s="124"/>
      <c r="O604" s="124"/>
      <c r="P604" s="124"/>
      <c r="Q604" s="124"/>
      <c r="R604" s="124"/>
      <c r="S604" s="124"/>
      <c r="T604" s="124"/>
      <c r="U604" s="124"/>
      <c r="V604" s="114"/>
      <c r="W604" s="114"/>
      <c r="X604" s="114"/>
      <c r="Y604" s="2"/>
    </row>
    <row r="605" spans="1:25" ht="15.75" customHeight="1">
      <c r="A605" s="128"/>
      <c r="B605" s="128"/>
      <c r="C605" s="127"/>
      <c r="D605" s="127"/>
      <c r="E605" s="128"/>
      <c r="F605" s="129"/>
      <c r="G605" s="129"/>
      <c r="H605" s="129"/>
      <c r="I605" s="129"/>
      <c r="J605" s="129"/>
      <c r="K605" s="129"/>
      <c r="L605" s="129"/>
      <c r="M605" s="129"/>
      <c r="N605" s="129"/>
      <c r="O605" s="129"/>
      <c r="P605" s="129"/>
      <c r="Q605" s="129"/>
      <c r="R605" s="129"/>
      <c r="S605" s="129"/>
      <c r="T605" s="129"/>
      <c r="U605" s="129"/>
      <c r="V605" s="122"/>
      <c r="W605" s="122"/>
      <c r="X605" s="122"/>
      <c r="Y605" s="2"/>
    </row>
    <row r="606" spans="1:25" ht="15.75" customHeight="1">
      <c r="A606" s="132"/>
      <c r="B606" s="132"/>
      <c r="C606" s="131"/>
      <c r="D606" s="131"/>
      <c r="E606" s="132"/>
      <c r="F606" s="124"/>
      <c r="G606" s="124"/>
      <c r="H606" s="124"/>
      <c r="I606" s="124"/>
      <c r="J606" s="124"/>
      <c r="K606" s="124"/>
      <c r="L606" s="124"/>
      <c r="M606" s="124"/>
      <c r="N606" s="124"/>
      <c r="O606" s="124"/>
      <c r="P606" s="124"/>
      <c r="Q606" s="124"/>
      <c r="R606" s="124"/>
      <c r="S606" s="124"/>
      <c r="T606" s="124"/>
      <c r="U606" s="124"/>
      <c r="V606" s="114"/>
      <c r="W606" s="114"/>
      <c r="X606" s="114"/>
      <c r="Y606" s="2"/>
    </row>
    <row r="607" spans="1:25" ht="15.75" customHeight="1">
      <c r="A607" s="128"/>
      <c r="B607" s="128"/>
      <c r="C607" s="127"/>
      <c r="D607" s="127"/>
      <c r="E607" s="128"/>
      <c r="F607" s="129"/>
      <c r="G607" s="129"/>
      <c r="H607" s="129"/>
      <c r="I607" s="129"/>
      <c r="J607" s="129"/>
      <c r="K607" s="129"/>
      <c r="L607" s="129"/>
      <c r="M607" s="129"/>
      <c r="N607" s="129"/>
      <c r="O607" s="129"/>
      <c r="P607" s="129"/>
      <c r="Q607" s="129"/>
      <c r="R607" s="129"/>
      <c r="S607" s="129"/>
      <c r="T607" s="129"/>
      <c r="U607" s="129"/>
      <c r="V607" s="122"/>
      <c r="W607" s="122"/>
      <c r="X607" s="122"/>
      <c r="Y607" s="2"/>
    </row>
    <row r="608" spans="1:25" ht="15.75" customHeight="1">
      <c r="A608" s="132"/>
      <c r="B608" s="132"/>
      <c r="C608" s="131"/>
      <c r="D608" s="131"/>
      <c r="E608" s="132"/>
      <c r="F608" s="124"/>
      <c r="G608" s="124"/>
      <c r="H608" s="124"/>
      <c r="I608" s="124"/>
      <c r="J608" s="124"/>
      <c r="K608" s="124"/>
      <c r="L608" s="124"/>
      <c r="M608" s="124"/>
      <c r="N608" s="124"/>
      <c r="O608" s="124"/>
      <c r="P608" s="124"/>
      <c r="Q608" s="124"/>
      <c r="R608" s="124"/>
      <c r="S608" s="124"/>
      <c r="T608" s="124"/>
      <c r="U608" s="124"/>
      <c r="V608" s="114"/>
      <c r="W608" s="114"/>
      <c r="X608" s="114"/>
      <c r="Y608" s="2"/>
    </row>
    <row r="609" spans="1:25" ht="15.75" customHeight="1">
      <c r="A609" s="128"/>
      <c r="B609" s="128"/>
      <c r="C609" s="127"/>
      <c r="D609" s="127"/>
      <c r="E609" s="128"/>
      <c r="F609" s="129"/>
      <c r="G609" s="129"/>
      <c r="H609" s="129"/>
      <c r="I609" s="129"/>
      <c r="J609" s="129"/>
      <c r="K609" s="129"/>
      <c r="L609" s="129"/>
      <c r="M609" s="129"/>
      <c r="N609" s="129"/>
      <c r="O609" s="129"/>
      <c r="P609" s="129"/>
      <c r="Q609" s="129"/>
      <c r="R609" s="129"/>
      <c r="S609" s="129"/>
      <c r="T609" s="129"/>
      <c r="U609" s="129"/>
      <c r="V609" s="122"/>
      <c r="W609" s="122"/>
      <c r="X609" s="122"/>
      <c r="Y609" s="2"/>
    </row>
    <row r="610" spans="1:25" ht="15.75" customHeight="1">
      <c r="A610" s="132"/>
      <c r="B610" s="132"/>
      <c r="C610" s="131"/>
      <c r="D610" s="131"/>
      <c r="E610" s="132"/>
      <c r="F610" s="124"/>
      <c r="G610" s="124"/>
      <c r="H610" s="124"/>
      <c r="I610" s="124"/>
      <c r="J610" s="124"/>
      <c r="K610" s="124"/>
      <c r="L610" s="124"/>
      <c r="M610" s="124"/>
      <c r="N610" s="124"/>
      <c r="O610" s="124"/>
      <c r="P610" s="124"/>
      <c r="Q610" s="124"/>
      <c r="R610" s="124"/>
      <c r="S610" s="124"/>
      <c r="T610" s="124"/>
      <c r="U610" s="124"/>
      <c r="V610" s="114"/>
      <c r="W610" s="114"/>
      <c r="X610" s="114"/>
      <c r="Y610" s="2"/>
    </row>
    <row r="611" spans="1:25" ht="15.75" customHeight="1">
      <c r="A611" s="128"/>
      <c r="B611" s="128"/>
      <c r="C611" s="127"/>
      <c r="D611" s="127"/>
      <c r="E611" s="128"/>
      <c r="F611" s="129"/>
      <c r="G611" s="129"/>
      <c r="H611" s="129"/>
      <c r="I611" s="129"/>
      <c r="J611" s="129"/>
      <c r="K611" s="129"/>
      <c r="L611" s="129"/>
      <c r="M611" s="129"/>
      <c r="N611" s="129"/>
      <c r="O611" s="129"/>
      <c r="P611" s="129"/>
      <c r="Q611" s="129"/>
      <c r="R611" s="129"/>
      <c r="S611" s="129"/>
      <c r="T611" s="129"/>
      <c r="U611" s="129"/>
      <c r="V611" s="122"/>
      <c r="W611" s="122"/>
      <c r="X611" s="122"/>
      <c r="Y611" s="2"/>
    </row>
    <row r="612" spans="1:25" ht="15.75" customHeight="1">
      <c r="A612" s="132"/>
      <c r="B612" s="132"/>
      <c r="C612" s="131"/>
      <c r="D612" s="131"/>
      <c r="E612" s="132"/>
      <c r="F612" s="124"/>
      <c r="G612" s="124"/>
      <c r="H612" s="124"/>
      <c r="I612" s="124"/>
      <c r="J612" s="124"/>
      <c r="K612" s="124"/>
      <c r="L612" s="124"/>
      <c r="M612" s="124"/>
      <c r="N612" s="124"/>
      <c r="O612" s="124"/>
      <c r="P612" s="124"/>
      <c r="Q612" s="124"/>
      <c r="R612" s="124"/>
      <c r="S612" s="124"/>
      <c r="T612" s="124"/>
      <c r="U612" s="124"/>
      <c r="V612" s="114"/>
      <c r="W612" s="114"/>
      <c r="X612" s="114"/>
      <c r="Y612" s="2"/>
    </row>
    <row r="613" spans="1:25" ht="15.75" customHeight="1">
      <c r="A613" s="128"/>
      <c r="B613" s="128"/>
      <c r="C613" s="127"/>
      <c r="D613" s="127"/>
      <c r="E613" s="128"/>
      <c r="F613" s="129"/>
      <c r="G613" s="129"/>
      <c r="H613" s="129"/>
      <c r="I613" s="129"/>
      <c r="J613" s="129"/>
      <c r="K613" s="129"/>
      <c r="L613" s="129"/>
      <c r="M613" s="129"/>
      <c r="N613" s="129"/>
      <c r="O613" s="129"/>
      <c r="P613" s="129"/>
      <c r="Q613" s="129"/>
      <c r="R613" s="129"/>
      <c r="S613" s="129"/>
      <c r="T613" s="129"/>
      <c r="U613" s="129"/>
      <c r="V613" s="122"/>
      <c r="W613" s="122"/>
      <c r="X613" s="122"/>
      <c r="Y613" s="2"/>
    </row>
    <row r="614" spans="1:25" ht="15.75" customHeight="1">
      <c r="A614" s="132"/>
      <c r="B614" s="132"/>
      <c r="C614" s="131"/>
      <c r="D614" s="131"/>
      <c r="E614" s="132"/>
      <c r="F614" s="124"/>
      <c r="G614" s="124"/>
      <c r="H614" s="124"/>
      <c r="I614" s="124"/>
      <c r="J614" s="124"/>
      <c r="K614" s="124"/>
      <c r="L614" s="124"/>
      <c r="M614" s="124"/>
      <c r="N614" s="124"/>
      <c r="O614" s="124"/>
      <c r="P614" s="124"/>
      <c r="Q614" s="124"/>
      <c r="R614" s="124"/>
      <c r="S614" s="124"/>
      <c r="T614" s="124"/>
      <c r="U614" s="124"/>
      <c r="V614" s="114"/>
      <c r="W614" s="114"/>
      <c r="X614" s="114"/>
      <c r="Y614" s="2"/>
    </row>
    <row r="615" spans="1:25" ht="15.75" customHeight="1">
      <c r="A615" s="128"/>
      <c r="B615" s="128"/>
      <c r="C615" s="127"/>
      <c r="D615" s="127"/>
      <c r="E615" s="128"/>
      <c r="F615" s="129"/>
      <c r="G615" s="129"/>
      <c r="H615" s="129"/>
      <c r="I615" s="129"/>
      <c r="J615" s="129"/>
      <c r="K615" s="129"/>
      <c r="L615" s="129"/>
      <c r="M615" s="129"/>
      <c r="N615" s="129"/>
      <c r="O615" s="129"/>
      <c r="P615" s="129"/>
      <c r="Q615" s="129"/>
      <c r="R615" s="129"/>
      <c r="S615" s="129"/>
      <c r="T615" s="129"/>
      <c r="U615" s="129"/>
      <c r="V615" s="122"/>
      <c r="W615" s="122"/>
      <c r="X615" s="122"/>
      <c r="Y615" s="2"/>
    </row>
    <row r="616" spans="1:25" ht="15.75" customHeight="1">
      <c r="A616" s="132"/>
      <c r="B616" s="132"/>
      <c r="C616" s="131"/>
      <c r="D616" s="131"/>
      <c r="E616" s="132"/>
      <c r="F616" s="124"/>
      <c r="G616" s="124"/>
      <c r="H616" s="124"/>
      <c r="I616" s="124"/>
      <c r="J616" s="124"/>
      <c r="K616" s="124"/>
      <c r="L616" s="124"/>
      <c r="M616" s="124"/>
      <c r="N616" s="124"/>
      <c r="O616" s="124"/>
      <c r="P616" s="124"/>
      <c r="Q616" s="124"/>
      <c r="R616" s="124"/>
      <c r="S616" s="124"/>
      <c r="T616" s="124"/>
      <c r="U616" s="124"/>
      <c r="V616" s="114"/>
      <c r="W616" s="114"/>
      <c r="X616" s="114"/>
      <c r="Y616" s="2"/>
    </row>
    <row r="617" spans="1:25" ht="15.75" customHeight="1">
      <c r="A617" s="128"/>
      <c r="B617" s="128"/>
      <c r="C617" s="127"/>
      <c r="D617" s="127"/>
      <c r="E617" s="128"/>
      <c r="F617" s="129"/>
      <c r="G617" s="129"/>
      <c r="H617" s="129"/>
      <c r="I617" s="129"/>
      <c r="J617" s="129"/>
      <c r="K617" s="129"/>
      <c r="L617" s="129"/>
      <c r="M617" s="129"/>
      <c r="N617" s="129"/>
      <c r="O617" s="129"/>
      <c r="P617" s="129"/>
      <c r="Q617" s="129"/>
      <c r="R617" s="129"/>
      <c r="S617" s="129"/>
      <c r="T617" s="129"/>
      <c r="U617" s="129"/>
      <c r="V617" s="122"/>
      <c r="W617" s="122"/>
      <c r="X617" s="122"/>
      <c r="Y617" s="2"/>
    </row>
    <row r="618" spans="1:25" ht="15.75" customHeight="1">
      <c r="A618" s="132"/>
      <c r="B618" s="132"/>
      <c r="C618" s="131"/>
      <c r="D618" s="131"/>
      <c r="E618" s="132"/>
      <c r="F618" s="124"/>
      <c r="G618" s="124"/>
      <c r="H618" s="124"/>
      <c r="I618" s="124"/>
      <c r="J618" s="124"/>
      <c r="K618" s="124"/>
      <c r="L618" s="124"/>
      <c r="M618" s="124"/>
      <c r="N618" s="124"/>
      <c r="O618" s="124"/>
      <c r="P618" s="124"/>
      <c r="Q618" s="124"/>
      <c r="R618" s="124"/>
      <c r="S618" s="124"/>
      <c r="T618" s="124"/>
      <c r="U618" s="124"/>
      <c r="V618" s="114"/>
      <c r="W618" s="114"/>
      <c r="X618" s="114"/>
      <c r="Y618" s="2"/>
    </row>
    <row r="619" spans="1:25" ht="15.75" customHeight="1">
      <c r="A619" s="128"/>
      <c r="B619" s="128"/>
      <c r="C619" s="127"/>
      <c r="D619" s="127"/>
      <c r="E619" s="128"/>
      <c r="F619" s="129"/>
      <c r="G619" s="129"/>
      <c r="H619" s="129"/>
      <c r="I619" s="129"/>
      <c r="J619" s="129"/>
      <c r="K619" s="129"/>
      <c r="L619" s="129"/>
      <c r="M619" s="129"/>
      <c r="N619" s="129"/>
      <c r="O619" s="129"/>
      <c r="P619" s="129"/>
      <c r="Q619" s="129"/>
      <c r="R619" s="129"/>
      <c r="S619" s="129"/>
      <c r="T619" s="129"/>
      <c r="U619" s="129"/>
      <c r="V619" s="122"/>
      <c r="W619" s="122"/>
      <c r="X619" s="122"/>
      <c r="Y619" s="2"/>
    </row>
    <row r="620" spans="1:25" ht="15.75" customHeight="1">
      <c r="A620" s="132"/>
      <c r="B620" s="132"/>
      <c r="C620" s="131"/>
      <c r="D620" s="131"/>
      <c r="E620" s="132"/>
      <c r="F620" s="124"/>
      <c r="G620" s="124"/>
      <c r="H620" s="124"/>
      <c r="I620" s="124"/>
      <c r="J620" s="124"/>
      <c r="K620" s="124"/>
      <c r="L620" s="124"/>
      <c r="M620" s="124"/>
      <c r="N620" s="124"/>
      <c r="O620" s="124"/>
      <c r="P620" s="124"/>
      <c r="Q620" s="124"/>
      <c r="R620" s="124"/>
      <c r="S620" s="124"/>
      <c r="T620" s="124"/>
      <c r="U620" s="124"/>
      <c r="V620" s="114"/>
      <c r="W620" s="114"/>
      <c r="X620" s="114"/>
      <c r="Y620" s="2"/>
    </row>
    <row r="621" spans="1:25" ht="15.75" customHeight="1">
      <c r="A621" s="128"/>
      <c r="B621" s="128"/>
      <c r="C621" s="127"/>
      <c r="D621" s="127"/>
      <c r="E621" s="128"/>
      <c r="F621" s="129"/>
      <c r="G621" s="129"/>
      <c r="H621" s="129"/>
      <c r="I621" s="129"/>
      <c r="J621" s="129"/>
      <c r="K621" s="129"/>
      <c r="L621" s="129"/>
      <c r="M621" s="129"/>
      <c r="N621" s="129"/>
      <c r="O621" s="129"/>
      <c r="P621" s="129"/>
      <c r="Q621" s="129"/>
      <c r="R621" s="129"/>
      <c r="S621" s="129"/>
      <c r="T621" s="129"/>
      <c r="U621" s="129"/>
      <c r="V621" s="122"/>
      <c r="W621" s="122"/>
      <c r="X621" s="122"/>
      <c r="Y621" s="2"/>
    </row>
    <row r="622" spans="1:25" ht="15.75" customHeight="1">
      <c r="A622" s="132"/>
      <c r="B622" s="132"/>
      <c r="C622" s="131"/>
      <c r="D622" s="131"/>
      <c r="E622" s="132"/>
      <c r="F622" s="124"/>
      <c r="G622" s="124"/>
      <c r="H622" s="124"/>
      <c r="I622" s="124"/>
      <c r="J622" s="124"/>
      <c r="K622" s="124"/>
      <c r="L622" s="124"/>
      <c r="M622" s="124"/>
      <c r="N622" s="124"/>
      <c r="O622" s="124"/>
      <c r="P622" s="124"/>
      <c r="Q622" s="124"/>
      <c r="R622" s="124"/>
      <c r="S622" s="124"/>
      <c r="T622" s="124"/>
      <c r="U622" s="124"/>
      <c r="V622" s="114"/>
      <c r="W622" s="114"/>
      <c r="X622" s="114"/>
      <c r="Y622" s="2"/>
    </row>
    <row r="623" spans="1:25" ht="15.75" customHeight="1">
      <c r="A623" s="128"/>
      <c r="B623" s="128"/>
      <c r="C623" s="127"/>
      <c r="D623" s="127"/>
      <c r="E623" s="128"/>
      <c r="F623" s="129"/>
      <c r="G623" s="129"/>
      <c r="H623" s="129"/>
      <c r="I623" s="129"/>
      <c r="J623" s="129"/>
      <c r="K623" s="129"/>
      <c r="L623" s="129"/>
      <c r="M623" s="129"/>
      <c r="N623" s="129"/>
      <c r="O623" s="129"/>
      <c r="P623" s="129"/>
      <c r="Q623" s="129"/>
      <c r="R623" s="129"/>
      <c r="S623" s="129"/>
      <c r="T623" s="129"/>
      <c r="U623" s="129"/>
      <c r="V623" s="122"/>
      <c r="W623" s="122"/>
      <c r="X623" s="122"/>
      <c r="Y623" s="2"/>
    </row>
    <row r="624" spans="1:25" ht="15.75" customHeight="1">
      <c r="A624" s="132"/>
      <c r="B624" s="132"/>
      <c r="C624" s="131"/>
      <c r="D624" s="131"/>
      <c r="E624" s="132"/>
      <c r="F624" s="124"/>
      <c r="G624" s="124"/>
      <c r="H624" s="124"/>
      <c r="I624" s="124"/>
      <c r="J624" s="124"/>
      <c r="K624" s="124"/>
      <c r="L624" s="124"/>
      <c r="M624" s="124"/>
      <c r="N624" s="124"/>
      <c r="O624" s="124"/>
      <c r="P624" s="124"/>
      <c r="Q624" s="124"/>
      <c r="R624" s="124"/>
      <c r="S624" s="124"/>
      <c r="T624" s="124"/>
      <c r="U624" s="124"/>
      <c r="V624" s="114"/>
      <c r="W624" s="114"/>
      <c r="X624" s="114"/>
      <c r="Y624" s="2"/>
    </row>
    <row r="625" spans="1:25" ht="15.75" customHeight="1">
      <c r="A625" s="128"/>
      <c r="B625" s="128"/>
      <c r="C625" s="127"/>
      <c r="D625" s="127"/>
      <c r="E625" s="128"/>
      <c r="F625" s="129"/>
      <c r="G625" s="129"/>
      <c r="H625" s="129"/>
      <c r="I625" s="129"/>
      <c r="J625" s="129"/>
      <c r="K625" s="129"/>
      <c r="L625" s="129"/>
      <c r="M625" s="129"/>
      <c r="N625" s="129"/>
      <c r="O625" s="129"/>
      <c r="P625" s="129"/>
      <c r="Q625" s="129"/>
      <c r="R625" s="129"/>
      <c r="S625" s="129"/>
      <c r="T625" s="129"/>
      <c r="U625" s="129"/>
      <c r="V625" s="122"/>
      <c r="W625" s="122"/>
      <c r="X625" s="122"/>
      <c r="Y625" s="2"/>
    </row>
    <row r="626" spans="1:25" ht="15.75" customHeight="1">
      <c r="A626" s="132"/>
      <c r="B626" s="132"/>
      <c r="C626" s="131"/>
      <c r="D626" s="131"/>
      <c r="E626" s="132"/>
      <c r="F626" s="124"/>
      <c r="G626" s="124"/>
      <c r="H626" s="124"/>
      <c r="I626" s="124"/>
      <c r="J626" s="124"/>
      <c r="K626" s="124"/>
      <c r="L626" s="124"/>
      <c r="M626" s="124"/>
      <c r="N626" s="124"/>
      <c r="O626" s="124"/>
      <c r="P626" s="124"/>
      <c r="Q626" s="124"/>
      <c r="R626" s="124"/>
      <c r="S626" s="124"/>
      <c r="T626" s="124"/>
      <c r="U626" s="124"/>
      <c r="V626" s="114"/>
      <c r="W626" s="114"/>
      <c r="X626" s="114"/>
      <c r="Y626" s="2"/>
    </row>
    <row r="627" spans="1:25" ht="15.75" customHeight="1">
      <c r="A627" s="128"/>
      <c r="B627" s="128"/>
      <c r="C627" s="127"/>
      <c r="D627" s="127"/>
      <c r="E627" s="128"/>
      <c r="F627" s="129"/>
      <c r="G627" s="129"/>
      <c r="H627" s="129"/>
      <c r="I627" s="129"/>
      <c r="J627" s="129"/>
      <c r="K627" s="129"/>
      <c r="L627" s="129"/>
      <c r="M627" s="129"/>
      <c r="N627" s="129"/>
      <c r="O627" s="129"/>
      <c r="P627" s="129"/>
      <c r="Q627" s="129"/>
      <c r="R627" s="129"/>
      <c r="S627" s="129"/>
      <c r="T627" s="129"/>
      <c r="U627" s="129"/>
      <c r="V627" s="122"/>
      <c r="W627" s="122"/>
      <c r="X627" s="122"/>
      <c r="Y627" s="2"/>
    </row>
    <row r="628" spans="1:25" ht="15.75" customHeight="1">
      <c r="A628" s="132"/>
      <c r="B628" s="132"/>
      <c r="C628" s="131"/>
      <c r="D628" s="131"/>
      <c r="E628" s="132"/>
      <c r="F628" s="124"/>
      <c r="G628" s="124"/>
      <c r="H628" s="124"/>
      <c r="I628" s="124"/>
      <c r="J628" s="124"/>
      <c r="K628" s="124"/>
      <c r="L628" s="124"/>
      <c r="M628" s="124"/>
      <c r="N628" s="124"/>
      <c r="O628" s="124"/>
      <c r="P628" s="124"/>
      <c r="Q628" s="124"/>
      <c r="R628" s="124"/>
      <c r="S628" s="124"/>
      <c r="T628" s="124"/>
      <c r="U628" s="124"/>
      <c r="V628" s="114"/>
      <c r="W628" s="114"/>
      <c r="X628" s="114"/>
      <c r="Y628" s="2"/>
    </row>
    <row r="629" spans="1:25" ht="15.75" customHeight="1">
      <c r="A629" s="128"/>
      <c r="B629" s="128"/>
      <c r="C629" s="127"/>
      <c r="D629" s="127"/>
      <c r="E629" s="128"/>
      <c r="F629" s="129"/>
      <c r="G629" s="129"/>
      <c r="H629" s="129"/>
      <c r="I629" s="129"/>
      <c r="J629" s="129"/>
      <c r="K629" s="129"/>
      <c r="L629" s="129"/>
      <c r="M629" s="129"/>
      <c r="N629" s="129"/>
      <c r="O629" s="129"/>
      <c r="P629" s="129"/>
      <c r="Q629" s="129"/>
      <c r="R629" s="129"/>
      <c r="S629" s="129"/>
      <c r="T629" s="129"/>
      <c r="U629" s="129"/>
      <c r="V629" s="122"/>
      <c r="W629" s="122"/>
      <c r="X629" s="122"/>
      <c r="Y629" s="2"/>
    </row>
    <row r="630" spans="1:25" ht="15.75" customHeight="1">
      <c r="A630" s="132"/>
      <c r="B630" s="132"/>
      <c r="C630" s="131"/>
      <c r="D630" s="131"/>
      <c r="E630" s="132"/>
      <c r="F630" s="124"/>
      <c r="G630" s="124"/>
      <c r="H630" s="124"/>
      <c r="I630" s="124"/>
      <c r="J630" s="124"/>
      <c r="K630" s="124"/>
      <c r="L630" s="124"/>
      <c r="M630" s="124"/>
      <c r="N630" s="124"/>
      <c r="O630" s="124"/>
      <c r="P630" s="124"/>
      <c r="Q630" s="124"/>
      <c r="R630" s="124"/>
      <c r="S630" s="124"/>
      <c r="T630" s="124"/>
      <c r="U630" s="124"/>
      <c r="V630" s="114"/>
      <c r="W630" s="114"/>
      <c r="X630" s="114"/>
      <c r="Y630" s="2"/>
    </row>
    <row r="631" spans="1:25" ht="15.75" customHeight="1">
      <c r="A631" s="128"/>
      <c r="B631" s="128"/>
      <c r="C631" s="127"/>
      <c r="D631" s="127"/>
      <c r="E631" s="128"/>
      <c r="F631" s="129"/>
      <c r="G631" s="129"/>
      <c r="H631" s="129"/>
      <c r="I631" s="129"/>
      <c r="J631" s="129"/>
      <c r="K631" s="129"/>
      <c r="L631" s="129"/>
      <c r="M631" s="129"/>
      <c r="N631" s="129"/>
      <c r="O631" s="129"/>
      <c r="P631" s="129"/>
      <c r="Q631" s="129"/>
      <c r="R631" s="129"/>
      <c r="S631" s="129"/>
      <c r="T631" s="129"/>
      <c r="U631" s="129"/>
      <c r="V631" s="122"/>
      <c r="W631" s="122"/>
      <c r="X631" s="122"/>
      <c r="Y631" s="2"/>
    </row>
    <row r="632" spans="1:25" ht="15.75" customHeight="1">
      <c r="A632" s="132"/>
      <c r="B632" s="132"/>
      <c r="C632" s="131"/>
      <c r="D632" s="131"/>
      <c r="E632" s="132"/>
      <c r="F632" s="124"/>
      <c r="G632" s="124"/>
      <c r="H632" s="124"/>
      <c r="I632" s="124"/>
      <c r="J632" s="124"/>
      <c r="K632" s="124"/>
      <c r="L632" s="124"/>
      <c r="M632" s="124"/>
      <c r="N632" s="124"/>
      <c r="O632" s="124"/>
      <c r="P632" s="124"/>
      <c r="Q632" s="124"/>
      <c r="R632" s="124"/>
      <c r="S632" s="124"/>
      <c r="T632" s="124"/>
      <c r="U632" s="124"/>
      <c r="V632" s="114"/>
      <c r="W632" s="114"/>
      <c r="X632" s="114"/>
      <c r="Y632" s="2"/>
    </row>
    <row r="633" spans="1:25" ht="15.75" customHeight="1">
      <c r="A633" s="128"/>
      <c r="B633" s="128"/>
      <c r="C633" s="127"/>
      <c r="D633" s="127"/>
      <c r="E633" s="128"/>
      <c r="F633" s="129"/>
      <c r="G633" s="129"/>
      <c r="H633" s="129"/>
      <c r="I633" s="129"/>
      <c r="J633" s="129"/>
      <c r="K633" s="129"/>
      <c r="L633" s="129"/>
      <c r="M633" s="129"/>
      <c r="N633" s="129"/>
      <c r="O633" s="129"/>
      <c r="P633" s="129"/>
      <c r="Q633" s="129"/>
      <c r="R633" s="129"/>
      <c r="S633" s="129"/>
      <c r="T633" s="129"/>
      <c r="U633" s="129"/>
      <c r="V633" s="122"/>
      <c r="W633" s="122"/>
      <c r="X633" s="122"/>
      <c r="Y633" s="2"/>
    </row>
    <row r="634" spans="1:25" ht="15.75" customHeight="1">
      <c r="A634" s="132"/>
      <c r="B634" s="132"/>
      <c r="C634" s="131"/>
      <c r="D634" s="131"/>
      <c r="E634" s="132"/>
      <c r="F634" s="124"/>
      <c r="G634" s="124"/>
      <c r="H634" s="124"/>
      <c r="I634" s="124"/>
      <c r="J634" s="124"/>
      <c r="K634" s="124"/>
      <c r="L634" s="124"/>
      <c r="M634" s="124"/>
      <c r="N634" s="124"/>
      <c r="O634" s="124"/>
      <c r="P634" s="124"/>
      <c r="Q634" s="124"/>
      <c r="R634" s="124"/>
      <c r="S634" s="124"/>
      <c r="T634" s="124"/>
      <c r="U634" s="124"/>
      <c r="V634" s="114"/>
      <c r="W634" s="114"/>
      <c r="X634" s="114"/>
      <c r="Y634" s="2"/>
    </row>
    <row r="635" spans="1:25" ht="15.75" customHeight="1">
      <c r="A635" s="128"/>
      <c r="B635" s="128"/>
      <c r="C635" s="127"/>
      <c r="D635" s="127"/>
      <c r="E635" s="128"/>
      <c r="F635" s="129"/>
      <c r="G635" s="129"/>
      <c r="H635" s="129"/>
      <c r="I635" s="129"/>
      <c r="J635" s="129"/>
      <c r="K635" s="129"/>
      <c r="L635" s="129"/>
      <c r="M635" s="129"/>
      <c r="N635" s="129"/>
      <c r="O635" s="129"/>
      <c r="P635" s="129"/>
      <c r="Q635" s="129"/>
      <c r="R635" s="129"/>
      <c r="S635" s="129"/>
      <c r="T635" s="129"/>
      <c r="U635" s="129"/>
      <c r="V635" s="122"/>
      <c r="W635" s="122"/>
      <c r="X635" s="122"/>
      <c r="Y635" s="2"/>
    </row>
    <row r="636" spans="1:25" ht="15.75" customHeight="1">
      <c r="A636" s="132"/>
      <c r="B636" s="132"/>
      <c r="C636" s="131"/>
      <c r="D636" s="131"/>
      <c r="E636" s="132"/>
      <c r="F636" s="124"/>
      <c r="G636" s="124"/>
      <c r="H636" s="124"/>
      <c r="I636" s="124"/>
      <c r="J636" s="124"/>
      <c r="K636" s="124"/>
      <c r="L636" s="124"/>
      <c r="M636" s="124"/>
      <c r="N636" s="124"/>
      <c r="O636" s="124"/>
      <c r="P636" s="124"/>
      <c r="Q636" s="124"/>
      <c r="R636" s="124"/>
      <c r="S636" s="124"/>
      <c r="T636" s="124"/>
      <c r="U636" s="124"/>
      <c r="V636" s="114"/>
      <c r="W636" s="114"/>
      <c r="X636" s="114"/>
      <c r="Y636" s="2"/>
    </row>
    <row r="637" spans="1:25" ht="15.75" customHeight="1">
      <c r="A637" s="128"/>
      <c r="B637" s="128"/>
      <c r="C637" s="127"/>
      <c r="D637" s="127"/>
      <c r="E637" s="128"/>
      <c r="F637" s="129"/>
      <c r="G637" s="129"/>
      <c r="H637" s="129"/>
      <c r="I637" s="129"/>
      <c r="J637" s="129"/>
      <c r="K637" s="129"/>
      <c r="L637" s="129"/>
      <c r="M637" s="129"/>
      <c r="N637" s="129"/>
      <c r="O637" s="129"/>
      <c r="P637" s="129"/>
      <c r="Q637" s="129"/>
      <c r="R637" s="129"/>
      <c r="S637" s="129"/>
      <c r="T637" s="129"/>
      <c r="U637" s="129"/>
      <c r="V637" s="122"/>
      <c r="W637" s="122"/>
      <c r="X637" s="122"/>
      <c r="Y637" s="2"/>
    </row>
    <row r="638" spans="1:25" ht="15.75" customHeight="1">
      <c r="A638" s="132"/>
      <c r="B638" s="132"/>
      <c r="C638" s="131"/>
      <c r="D638" s="131"/>
      <c r="E638" s="132"/>
      <c r="F638" s="124"/>
      <c r="G638" s="124"/>
      <c r="H638" s="124"/>
      <c r="I638" s="124"/>
      <c r="J638" s="124"/>
      <c r="K638" s="124"/>
      <c r="L638" s="124"/>
      <c r="M638" s="124"/>
      <c r="N638" s="124"/>
      <c r="O638" s="124"/>
      <c r="P638" s="124"/>
      <c r="Q638" s="124"/>
      <c r="R638" s="124"/>
      <c r="S638" s="124"/>
      <c r="T638" s="124"/>
      <c r="U638" s="124"/>
      <c r="V638" s="114"/>
      <c r="W638" s="114"/>
      <c r="X638" s="114"/>
      <c r="Y638" s="2"/>
    </row>
    <row r="639" spans="1:25" ht="15.75" customHeight="1">
      <c r="A639" s="128"/>
      <c r="B639" s="128"/>
      <c r="C639" s="127"/>
      <c r="D639" s="127"/>
      <c r="E639" s="128"/>
      <c r="F639" s="129"/>
      <c r="G639" s="129"/>
      <c r="H639" s="129"/>
      <c r="I639" s="129"/>
      <c r="J639" s="129"/>
      <c r="K639" s="129"/>
      <c r="L639" s="129"/>
      <c r="M639" s="129"/>
      <c r="N639" s="129"/>
      <c r="O639" s="129"/>
      <c r="P639" s="129"/>
      <c r="Q639" s="129"/>
      <c r="R639" s="129"/>
      <c r="S639" s="129"/>
      <c r="T639" s="129"/>
      <c r="U639" s="129"/>
      <c r="V639" s="122"/>
      <c r="W639" s="122"/>
      <c r="X639" s="122"/>
      <c r="Y639" s="2"/>
    </row>
    <row r="640" spans="1:25" ht="15.75" customHeight="1">
      <c r="A640" s="132"/>
      <c r="B640" s="132"/>
      <c r="C640" s="131"/>
      <c r="D640" s="131"/>
      <c r="E640" s="132"/>
      <c r="F640" s="124"/>
      <c r="G640" s="124"/>
      <c r="H640" s="124"/>
      <c r="I640" s="124"/>
      <c r="J640" s="124"/>
      <c r="K640" s="124"/>
      <c r="L640" s="124"/>
      <c r="M640" s="124"/>
      <c r="N640" s="124"/>
      <c r="O640" s="124"/>
      <c r="P640" s="124"/>
      <c r="Q640" s="124"/>
      <c r="R640" s="124"/>
      <c r="S640" s="124"/>
      <c r="T640" s="124"/>
      <c r="U640" s="124"/>
      <c r="V640" s="114"/>
      <c r="W640" s="114"/>
      <c r="X640" s="114"/>
      <c r="Y640" s="2"/>
    </row>
    <row r="641" spans="1:25" ht="15.75" customHeight="1">
      <c r="A641" s="128"/>
      <c r="B641" s="128"/>
      <c r="C641" s="127"/>
      <c r="D641" s="127"/>
      <c r="E641" s="128"/>
      <c r="F641" s="129"/>
      <c r="G641" s="129"/>
      <c r="H641" s="129"/>
      <c r="I641" s="129"/>
      <c r="J641" s="129"/>
      <c r="K641" s="129"/>
      <c r="L641" s="129"/>
      <c r="M641" s="129"/>
      <c r="N641" s="129"/>
      <c r="O641" s="129"/>
      <c r="P641" s="129"/>
      <c r="Q641" s="129"/>
      <c r="R641" s="129"/>
      <c r="S641" s="129"/>
      <c r="T641" s="129"/>
      <c r="U641" s="129"/>
      <c r="V641" s="122"/>
      <c r="W641" s="122"/>
      <c r="X641" s="122"/>
      <c r="Y641" s="2"/>
    </row>
    <row r="642" spans="1:25" ht="15.75" customHeight="1">
      <c r="A642" s="132"/>
      <c r="B642" s="132"/>
      <c r="C642" s="131"/>
      <c r="D642" s="131"/>
      <c r="E642" s="132"/>
      <c r="F642" s="124"/>
      <c r="G642" s="124"/>
      <c r="H642" s="124"/>
      <c r="I642" s="124"/>
      <c r="J642" s="124"/>
      <c r="K642" s="124"/>
      <c r="L642" s="124"/>
      <c r="M642" s="124"/>
      <c r="N642" s="124"/>
      <c r="O642" s="124"/>
      <c r="P642" s="124"/>
      <c r="Q642" s="124"/>
      <c r="R642" s="124"/>
      <c r="S642" s="124"/>
      <c r="T642" s="124"/>
      <c r="U642" s="124"/>
      <c r="V642" s="114"/>
      <c r="W642" s="114"/>
      <c r="X642" s="114"/>
      <c r="Y642" s="2"/>
    </row>
    <row r="643" spans="1:25" ht="15.75" customHeight="1">
      <c r="A643" s="128"/>
      <c r="B643" s="128"/>
      <c r="C643" s="127"/>
      <c r="D643" s="127"/>
      <c r="E643" s="128"/>
      <c r="F643" s="129"/>
      <c r="G643" s="129"/>
      <c r="H643" s="129"/>
      <c r="I643" s="129"/>
      <c r="J643" s="129"/>
      <c r="K643" s="129"/>
      <c r="L643" s="129"/>
      <c r="M643" s="129"/>
      <c r="N643" s="129"/>
      <c r="O643" s="129"/>
      <c r="P643" s="129"/>
      <c r="Q643" s="129"/>
      <c r="R643" s="129"/>
      <c r="S643" s="129"/>
      <c r="T643" s="129"/>
      <c r="U643" s="129"/>
      <c r="V643" s="122"/>
      <c r="W643" s="122"/>
      <c r="X643" s="122"/>
      <c r="Y643" s="2"/>
    </row>
    <row r="644" spans="1:25" ht="15.75" customHeight="1">
      <c r="A644" s="132"/>
      <c r="B644" s="132"/>
      <c r="C644" s="131"/>
      <c r="D644" s="131"/>
      <c r="E644" s="132"/>
      <c r="F644" s="124"/>
      <c r="G644" s="124"/>
      <c r="H644" s="124"/>
      <c r="I644" s="124"/>
      <c r="J644" s="124"/>
      <c r="K644" s="124"/>
      <c r="L644" s="124"/>
      <c r="M644" s="124"/>
      <c r="N644" s="124"/>
      <c r="O644" s="124"/>
      <c r="P644" s="124"/>
      <c r="Q644" s="124"/>
      <c r="R644" s="124"/>
      <c r="S644" s="124"/>
      <c r="T644" s="124"/>
      <c r="U644" s="124"/>
      <c r="V644" s="114"/>
      <c r="W644" s="114"/>
      <c r="X644" s="114"/>
      <c r="Y644" s="2"/>
    </row>
    <row r="645" spans="1:25" ht="15.75" customHeight="1">
      <c r="A645" s="128"/>
      <c r="B645" s="128"/>
      <c r="C645" s="127"/>
      <c r="D645" s="127"/>
      <c r="E645" s="128"/>
      <c r="F645" s="129"/>
      <c r="G645" s="129"/>
      <c r="H645" s="129"/>
      <c r="I645" s="129"/>
      <c r="J645" s="129"/>
      <c r="K645" s="129"/>
      <c r="L645" s="129"/>
      <c r="M645" s="129"/>
      <c r="N645" s="129"/>
      <c r="O645" s="129"/>
      <c r="P645" s="129"/>
      <c r="Q645" s="129"/>
      <c r="R645" s="129"/>
      <c r="S645" s="129"/>
      <c r="T645" s="129"/>
      <c r="U645" s="129"/>
      <c r="V645" s="122"/>
      <c r="W645" s="122"/>
      <c r="X645" s="122"/>
      <c r="Y645" s="2"/>
    </row>
    <row r="646" spans="1:25" ht="15.75" customHeight="1">
      <c r="A646" s="132"/>
      <c r="B646" s="132"/>
      <c r="C646" s="131"/>
      <c r="D646" s="131"/>
      <c r="E646" s="132"/>
      <c r="F646" s="124"/>
      <c r="G646" s="124"/>
      <c r="H646" s="124"/>
      <c r="I646" s="124"/>
      <c r="J646" s="124"/>
      <c r="K646" s="124"/>
      <c r="L646" s="124"/>
      <c r="M646" s="124"/>
      <c r="N646" s="124"/>
      <c r="O646" s="124"/>
      <c r="P646" s="124"/>
      <c r="Q646" s="124"/>
      <c r="R646" s="124"/>
      <c r="S646" s="124"/>
      <c r="T646" s="124"/>
      <c r="U646" s="124"/>
      <c r="V646" s="114"/>
      <c r="W646" s="114"/>
      <c r="X646" s="114"/>
      <c r="Y646" s="2"/>
    </row>
    <row r="647" spans="1:25" ht="15.75" customHeight="1">
      <c r="A647" s="128"/>
      <c r="B647" s="128"/>
      <c r="C647" s="127"/>
      <c r="D647" s="127"/>
      <c r="E647" s="128"/>
      <c r="F647" s="129"/>
      <c r="G647" s="129"/>
      <c r="H647" s="129"/>
      <c r="I647" s="129"/>
      <c r="J647" s="129"/>
      <c r="K647" s="129"/>
      <c r="L647" s="129"/>
      <c r="M647" s="129"/>
      <c r="N647" s="129"/>
      <c r="O647" s="129"/>
      <c r="P647" s="129"/>
      <c r="Q647" s="129"/>
      <c r="R647" s="129"/>
      <c r="S647" s="129"/>
      <c r="T647" s="129"/>
      <c r="U647" s="129"/>
      <c r="V647" s="122"/>
      <c r="W647" s="122"/>
      <c r="X647" s="122"/>
      <c r="Y647" s="2"/>
    </row>
    <row r="648" spans="1:25" ht="15.75" customHeight="1">
      <c r="A648" s="132"/>
      <c r="B648" s="132"/>
      <c r="C648" s="131"/>
      <c r="D648" s="131"/>
      <c r="E648" s="132"/>
      <c r="F648" s="124"/>
      <c r="G648" s="124"/>
      <c r="H648" s="124"/>
      <c r="I648" s="124"/>
      <c r="J648" s="124"/>
      <c r="K648" s="124"/>
      <c r="L648" s="124"/>
      <c r="M648" s="124"/>
      <c r="N648" s="124"/>
      <c r="O648" s="124"/>
      <c r="P648" s="124"/>
      <c r="Q648" s="124"/>
      <c r="R648" s="124"/>
      <c r="S648" s="124"/>
      <c r="T648" s="124"/>
      <c r="U648" s="124"/>
      <c r="V648" s="114"/>
      <c r="W648" s="114"/>
      <c r="X648" s="114"/>
      <c r="Y648" s="2"/>
    </row>
    <row r="649" spans="1:25" ht="15.75" customHeight="1">
      <c r="A649" s="128"/>
      <c r="B649" s="128"/>
      <c r="C649" s="127"/>
      <c r="D649" s="127"/>
      <c r="E649" s="128"/>
      <c r="F649" s="129"/>
      <c r="G649" s="129"/>
      <c r="H649" s="129"/>
      <c r="I649" s="129"/>
      <c r="J649" s="129"/>
      <c r="K649" s="129"/>
      <c r="L649" s="129"/>
      <c r="M649" s="129"/>
      <c r="N649" s="129"/>
      <c r="O649" s="129"/>
      <c r="P649" s="129"/>
      <c r="Q649" s="129"/>
      <c r="R649" s="129"/>
      <c r="S649" s="129"/>
      <c r="T649" s="129"/>
      <c r="U649" s="129"/>
      <c r="V649" s="122"/>
      <c r="W649" s="122"/>
      <c r="X649" s="122"/>
      <c r="Y649" s="2"/>
    </row>
    <row r="650" spans="1:25" ht="15.75" customHeight="1">
      <c r="A650" s="132"/>
      <c r="B650" s="132"/>
      <c r="C650" s="131"/>
      <c r="D650" s="131"/>
      <c r="E650" s="132"/>
      <c r="F650" s="124"/>
      <c r="G650" s="124"/>
      <c r="H650" s="124"/>
      <c r="I650" s="124"/>
      <c r="J650" s="124"/>
      <c r="K650" s="124"/>
      <c r="L650" s="124"/>
      <c r="M650" s="124"/>
      <c r="N650" s="124"/>
      <c r="O650" s="124"/>
      <c r="P650" s="124"/>
      <c r="Q650" s="124"/>
      <c r="R650" s="124"/>
      <c r="S650" s="124"/>
      <c r="T650" s="124"/>
      <c r="U650" s="124"/>
      <c r="V650" s="114"/>
      <c r="W650" s="114"/>
      <c r="X650" s="114"/>
      <c r="Y650" s="2"/>
    </row>
    <row r="651" spans="1:25" ht="15.75" customHeight="1">
      <c r="A651" s="128"/>
      <c r="B651" s="128"/>
      <c r="C651" s="127"/>
      <c r="D651" s="127"/>
      <c r="E651" s="128"/>
      <c r="F651" s="129"/>
      <c r="G651" s="129"/>
      <c r="H651" s="129"/>
      <c r="I651" s="129"/>
      <c r="J651" s="129"/>
      <c r="K651" s="129"/>
      <c r="L651" s="129"/>
      <c r="M651" s="129"/>
      <c r="N651" s="129"/>
      <c r="O651" s="129"/>
      <c r="P651" s="129"/>
      <c r="Q651" s="129"/>
      <c r="R651" s="129"/>
      <c r="S651" s="129"/>
      <c r="T651" s="129"/>
      <c r="U651" s="129"/>
      <c r="V651" s="122"/>
      <c r="W651" s="122"/>
      <c r="X651" s="122"/>
      <c r="Y651" s="2"/>
    </row>
    <row r="652" spans="1:25" ht="15.75" customHeight="1">
      <c r="A652" s="132"/>
      <c r="B652" s="132"/>
      <c r="C652" s="131"/>
      <c r="D652" s="131"/>
      <c r="E652" s="132"/>
      <c r="F652" s="124"/>
      <c r="G652" s="124"/>
      <c r="H652" s="124"/>
      <c r="I652" s="124"/>
      <c r="J652" s="124"/>
      <c r="K652" s="124"/>
      <c r="L652" s="124"/>
      <c r="M652" s="124"/>
      <c r="N652" s="124"/>
      <c r="O652" s="124"/>
      <c r="P652" s="124"/>
      <c r="Q652" s="124"/>
      <c r="R652" s="124"/>
      <c r="S652" s="124"/>
      <c r="T652" s="124"/>
      <c r="U652" s="124"/>
      <c r="V652" s="114"/>
      <c r="W652" s="114"/>
      <c r="X652" s="114"/>
      <c r="Y652" s="2"/>
    </row>
    <row r="653" spans="1:25" ht="15.75" customHeight="1">
      <c r="A653" s="128"/>
      <c r="B653" s="128"/>
      <c r="C653" s="127"/>
      <c r="D653" s="127"/>
      <c r="E653" s="128"/>
      <c r="F653" s="129"/>
      <c r="G653" s="129"/>
      <c r="H653" s="129"/>
      <c r="I653" s="129"/>
      <c r="J653" s="129"/>
      <c r="K653" s="129"/>
      <c r="L653" s="129"/>
      <c r="M653" s="129"/>
      <c r="N653" s="129"/>
      <c r="O653" s="129"/>
      <c r="P653" s="129"/>
      <c r="Q653" s="129"/>
      <c r="R653" s="129"/>
      <c r="S653" s="129"/>
      <c r="T653" s="129"/>
      <c r="U653" s="129"/>
      <c r="V653" s="122"/>
      <c r="W653" s="122"/>
      <c r="X653" s="122"/>
      <c r="Y653" s="2"/>
    </row>
    <row r="654" spans="1:25" ht="15.75" customHeight="1">
      <c r="A654" s="132"/>
      <c r="B654" s="132"/>
      <c r="C654" s="131"/>
      <c r="D654" s="131"/>
      <c r="E654" s="132"/>
      <c r="F654" s="124"/>
      <c r="G654" s="124"/>
      <c r="H654" s="124"/>
      <c r="I654" s="124"/>
      <c r="J654" s="124"/>
      <c r="K654" s="124"/>
      <c r="L654" s="124"/>
      <c r="M654" s="124"/>
      <c r="N654" s="124"/>
      <c r="O654" s="124"/>
      <c r="P654" s="124"/>
      <c r="Q654" s="124"/>
      <c r="R654" s="124"/>
      <c r="S654" s="124"/>
      <c r="T654" s="124"/>
      <c r="U654" s="124"/>
      <c r="V654" s="114"/>
      <c r="W654" s="114"/>
      <c r="X654" s="114"/>
      <c r="Y654" s="2"/>
    </row>
    <row r="655" spans="1:25" ht="15.75" customHeight="1">
      <c r="A655" s="128"/>
      <c r="B655" s="128"/>
      <c r="C655" s="127"/>
      <c r="D655" s="127"/>
      <c r="E655" s="128"/>
      <c r="F655" s="129"/>
      <c r="G655" s="129"/>
      <c r="H655" s="129"/>
      <c r="I655" s="129"/>
      <c r="J655" s="129"/>
      <c r="K655" s="129"/>
      <c r="L655" s="129"/>
      <c r="M655" s="129"/>
      <c r="N655" s="129"/>
      <c r="O655" s="129"/>
      <c r="P655" s="129"/>
      <c r="Q655" s="129"/>
      <c r="R655" s="129"/>
      <c r="S655" s="129"/>
      <c r="T655" s="129"/>
      <c r="U655" s="129"/>
      <c r="V655" s="122"/>
      <c r="W655" s="122"/>
      <c r="X655" s="122"/>
      <c r="Y655" s="2"/>
    </row>
    <row r="656" spans="1:25" ht="15.75" customHeight="1">
      <c r="A656" s="132"/>
      <c r="B656" s="132"/>
      <c r="C656" s="131"/>
      <c r="D656" s="131"/>
      <c r="E656" s="132"/>
      <c r="F656" s="124"/>
      <c r="G656" s="124"/>
      <c r="H656" s="124"/>
      <c r="I656" s="124"/>
      <c r="J656" s="124"/>
      <c r="K656" s="124"/>
      <c r="L656" s="124"/>
      <c r="M656" s="124"/>
      <c r="N656" s="124"/>
      <c r="O656" s="124"/>
      <c r="P656" s="124"/>
      <c r="Q656" s="124"/>
      <c r="R656" s="124"/>
      <c r="S656" s="124"/>
      <c r="T656" s="124"/>
      <c r="U656" s="124"/>
      <c r="V656" s="114"/>
      <c r="W656" s="114"/>
      <c r="X656" s="114"/>
      <c r="Y656" s="2"/>
    </row>
    <row r="657" spans="1:25" ht="15.75" customHeight="1">
      <c r="A657" s="128"/>
      <c r="B657" s="128"/>
      <c r="C657" s="127"/>
      <c r="D657" s="127"/>
      <c r="E657" s="128"/>
      <c r="F657" s="129"/>
      <c r="G657" s="129"/>
      <c r="H657" s="129"/>
      <c r="I657" s="129"/>
      <c r="J657" s="129"/>
      <c r="K657" s="129"/>
      <c r="L657" s="129"/>
      <c r="M657" s="129"/>
      <c r="N657" s="129"/>
      <c r="O657" s="129"/>
      <c r="P657" s="129"/>
      <c r="Q657" s="129"/>
      <c r="R657" s="129"/>
      <c r="S657" s="129"/>
      <c r="T657" s="129"/>
      <c r="U657" s="129"/>
      <c r="V657" s="122"/>
      <c r="W657" s="122"/>
      <c r="X657" s="122"/>
      <c r="Y657" s="2"/>
    </row>
    <row r="658" spans="1:25" ht="15.75" customHeight="1">
      <c r="A658" s="132"/>
      <c r="B658" s="132"/>
      <c r="C658" s="131"/>
      <c r="D658" s="131"/>
      <c r="E658" s="132"/>
      <c r="F658" s="124"/>
      <c r="G658" s="124"/>
      <c r="H658" s="124"/>
      <c r="I658" s="124"/>
      <c r="J658" s="124"/>
      <c r="K658" s="124"/>
      <c r="L658" s="124"/>
      <c r="M658" s="124"/>
      <c r="N658" s="124"/>
      <c r="O658" s="124"/>
      <c r="P658" s="124"/>
      <c r="Q658" s="124"/>
      <c r="R658" s="124"/>
      <c r="S658" s="124"/>
      <c r="T658" s="124"/>
      <c r="U658" s="124"/>
      <c r="V658" s="114"/>
      <c r="W658" s="114"/>
      <c r="X658" s="114"/>
      <c r="Y658" s="2"/>
    </row>
    <row r="659" spans="1:25" ht="15.75" customHeight="1">
      <c r="A659" s="128"/>
      <c r="B659" s="128"/>
      <c r="C659" s="127"/>
      <c r="D659" s="127"/>
      <c r="E659" s="128"/>
      <c r="F659" s="129"/>
      <c r="G659" s="129"/>
      <c r="H659" s="129"/>
      <c r="I659" s="129"/>
      <c r="J659" s="129"/>
      <c r="K659" s="129"/>
      <c r="L659" s="129"/>
      <c r="M659" s="129"/>
      <c r="N659" s="129"/>
      <c r="O659" s="129"/>
      <c r="P659" s="129"/>
      <c r="Q659" s="129"/>
      <c r="R659" s="129"/>
      <c r="S659" s="129"/>
      <c r="T659" s="129"/>
      <c r="U659" s="129"/>
      <c r="V659" s="122"/>
      <c r="W659" s="122"/>
      <c r="X659" s="122"/>
      <c r="Y659" s="2"/>
    </row>
    <row r="660" spans="1:25" ht="15.75" customHeight="1">
      <c r="A660" s="132"/>
      <c r="B660" s="132"/>
      <c r="C660" s="131"/>
      <c r="D660" s="131"/>
      <c r="E660" s="132"/>
      <c r="F660" s="124"/>
      <c r="G660" s="124"/>
      <c r="H660" s="124"/>
      <c r="I660" s="124"/>
      <c r="J660" s="124"/>
      <c r="K660" s="124"/>
      <c r="L660" s="124"/>
      <c r="M660" s="124"/>
      <c r="N660" s="124"/>
      <c r="O660" s="124"/>
      <c r="P660" s="124"/>
      <c r="Q660" s="124"/>
      <c r="R660" s="124"/>
      <c r="S660" s="124"/>
      <c r="T660" s="124"/>
      <c r="U660" s="124"/>
      <c r="V660" s="114"/>
      <c r="W660" s="114"/>
      <c r="X660" s="114"/>
      <c r="Y660" s="2"/>
    </row>
    <row r="661" spans="1:25" ht="15.75" customHeight="1">
      <c r="A661" s="128"/>
      <c r="B661" s="128"/>
      <c r="C661" s="127"/>
      <c r="D661" s="127"/>
      <c r="E661" s="128"/>
      <c r="F661" s="129"/>
      <c r="G661" s="129"/>
      <c r="H661" s="129"/>
      <c r="I661" s="129"/>
      <c r="J661" s="129"/>
      <c r="K661" s="129"/>
      <c r="L661" s="129"/>
      <c r="M661" s="129"/>
      <c r="N661" s="129"/>
      <c r="O661" s="129"/>
      <c r="P661" s="129"/>
      <c r="Q661" s="129"/>
      <c r="R661" s="129"/>
      <c r="S661" s="129"/>
      <c r="T661" s="129"/>
      <c r="U661" s="129"/>
      <c r="V661" s="122"/>
      <c r="W661" s="122"/>
      <c r="X661" s="122"/>
      <c r="Y661" s="2"/>
    </row>
    <row r="662" spans="1:25" ht="15.75" customHeight="1">
      <c r="A662" s="132"/>
      <c r="B662" s="132"/>
      <c r="C662" s="131"/>
      <c r="D662" s="131"/>
      <c r="E662" s="132"/>
      <c r="F662" s="124"/>
      <c r="G662" s="124"/>
      <c r="H662" s="124"/>
      <c r="I662" s="124"/>
      <c r="J662" s="124"/>
      <c r="K662" s="124"/>
      <c r="L662" s="124"/>
      <c r="M662" s="124"/>
      <c r="N662" s="124"/>
      <c r="O662" s="124"/>
      <c r="P662" s="124"/>
      <c r="Q662" s="124"/>
      <c r="R662" s="124"/>
      <c r="S662" s="124"/>
      <c r="T662" s="124"/>
      <c r="U662" s="124"/>
      <c r="V662" s="114"/>
      <c r="W662" s="114"/>
      <c r="X662" s="114"/>
      <c r="Y662" s="2"/>
    </row>
    <row r="663" spans="1:25" ht="15.75" customHeight="1">
      <c r="A663" s="128"/>
      <c r="B663" s="128"/>
      <c r="C663" s="127"/>
      <c r="D663" s="127"/>
      <c r="E663" s="128"/>
      <c r="F663" s="129"/>
      <c r="G663" s="129"/>
      <c r="H663" s="129"/>
      <c r="I663" s="129"/>
      <c r="J663" s="129"/>
      <c r="K663" s="129"/>
      <c r="L663" s="129"/>
      <c r="M663" s="129"/>
      <c r="N663" s="129"/>
      <c r="O663" s="129"/>
      <c r="P663" s="129"/>
      <c r="Q663" s="129"/>
      <c r="R663" s="129"/>
      <c r="S663" s="129"/>
      <c r="T663" s="129"/>
      <c r="U663" s="129"/>
      <c r="V663" s="122"/>
      <c r="W663" s="122"/>
      <c r="X663" s="122"/>
      <c r="Y663" s="2"/>
    </row>
    <row r="664" spans="1:25" ht="15.75" customHeight="1">
      <c r="A664" s="132"/>
      <c r="B664" s="132"/>
      <c r="C664" s="131"/>
      <c r="D664" s="131"/>
      <c r="E664" s="132"/>
      <c r="F664" s="124"/>
      <c r="G664" s="124"/>
      <c r="H664" s="124"/>
      <c r="I664" s="124"/>
      <c r="J664" s="124"/>
      <c r="K664" s="124"/>
      <c r="L664" s="124"/>
      <c r="M664" s="124"/>
      <c r="N664" s="124"/>
      <c r="O664" s="124"/>
      <c r="P664" s="124"/>
      <c r="Q664" s="124"/>
      <c r="R664" s="124"/>
      <c r="S664" s="124"/>
      <c r="T664" s="124"/>
      <c r="U664" s="124"/>
      <c r="V664" s="114"/>
      <c r="W664" s="114"/>
      <c r="X664" s="114"/>
      <c r="Y664" s="2"/>
    </row>
    <row r="665" spans="1:25" ht="15.75" customHeight="1">
      <c r="A665" s="128"/>
      <c r="B665" s="128"/>
      <c r="C665" s="127"/>
      <c r="D665" s="127"/>
      <c r="E665" s="128"/>
      <c r="F665" s="129"/>
      <c r="G665" s="129"/>
      <c r="H665" s="129"/>
      <c r="I665" s="129"/>
      <c r="J665" s="129"/>
      <c r="K665" s="129"/>
      <c r="L665" s="129"/>
      <c r="M665" s="129"/>
      <c r="N665" s="129"/>
      <c r="O665" s="129"/>
      <c r="P665" s="129"/>
      <c r="Q665" s="129"/>
      <c r="R665" s="129"/>
      <c r="S665" s="129"/>
      <c r="T665" s="129"/>
      <c r="U665" s="129"/>
      <c r="V665" s="122"/>
      <c r="W665" s="122"/>
      <c r="X665" s="122"/>
      <c r="Y665" s="2"/>
    </row>
    <row r="666" spans="1:25" ht="15.75" customHeight="1">
      <c r="A666" s="132"/>
      <c r="B666" s="132"/>
      <c r="C666" s="131"/>
      <c r="D666" s="131"/>
      <c r="E666" s="132"/>
      <c r="F666" s="124"/>
      <c r="G666" s="124"/>
      <c r="H666" s="124"/>
      <c r="I666" s="124"/>
      <c r="J666" s="124"/>
      <c r="K666" s="124"/>
      <c r="L666" s="124"/>
      <c r="M666" s="124"/>
      <c r="N666" s="124"/>
      <c r="O666" s="124"/>
      <c r="P666" s="124"/>
      <c r="Q666" s="124"/>
      <c r="R666" s="124"/>
      <c r="S666" s="124"/>
      <c r="T666" s="124"/>
      <c r="U666" s="124"/>
      <c r="V666" s="114"/>
      <c r="W666" s="114"/>
      <c r="X666" s="114"/>
      <c r="Y666" s="2"/>
    </row>
    <row r="667" spans="1:25" ht="15.75" customHeight="1">
      <c r="A667" s="128"/>
      <c r="B667" s="128"/>
      <c r="C667" s="127"/>
      <c r="D667" s="127"/>
      <c r="E667" s="128"/>
      <c r="F667" s="129"/>
      <c r="G667" s="129"/>
      <c r="H667" s="129"/>
      <c r="I667" s="129"/>
      <c r="J667" s="129"/>
      <c r="K667" s="129"/>
      <c r="L667" s="129"/>
      <c r="M667" s="129"/>
      <c r="N667" s="129"/>
      <c r="O667" s="129"/>
      <c r="P667" s="129"/>
      <c r="Q667" s="129"/>
      <c r="R667" s="129"/>
      <c r="S667" s="129"/>
      <c r="T667" s="129"/>
      <c r="U667" s="129"/>
      <c r="V667" s="122"/>
      <c r="W667" s="122"/>
      <c r="X667" s="122"/>
      <c r="Y667" s="2"/>
    </row>
    <row r="668" spans="1:25" ht="15.75" customHeight="1">
      <c r="A668" s="132"/>
      <c r="B668" s="132"/>
      <c r="C668" s="131"/>
      <c r="D668" s="131"/>
      <c r="E668" s="132"/>
      <c r="F668" s="124"/>
      <c r="G668" s="124"/>
      <c r="H668" s="124"/>
      <c r="I668" s="124"/>
      <c r="J668" s="124"/>
      <c r="K668" s="124"/>
      <c r="L668" s="124"/>
      <c r="M668" s="124"/>
      <c r="N668" s="124"/>
      <c r="O668" s="124"/>
      <c r="P668" s="124"/>
      <c r="Q668" s="124"/>
      <c r="R668" s="124"/>
      <c r="S668" s="124"/>
      <c r="T668" s="124"/>
      <c r="U668" s="124"/>
      <c r="V668" s="114"/>
      <c r="W668" s="114"/>
      <c r="X668" s="114"/>
      <c r="Y668" s="2"/>
    </row>
    <row r="669" spans="1:25" ht="15.75" customHeight="1">
      <c r="A669" s="128"/>
      <c r="B669" s="128"/>
      <c r="C669" s="127"/>
      <c r="D669" s="127"/>
      <c r="E669" s="128"/>
      <c r="F669" s="129"/>
      <c r="G669" s="129"/>
      <c r="H669" s="129"/>
      <c r="I669" s="129"/>
      <c r="J669" s="129"/>
      <c r="K669" s="129"/>
      <c r="L669" s="129"/>
      <c r="M669" s="129"/>
      <c r="N669" s="129"/>
      <c r="O669" s="129"/>
      <c r="P669" s="129"/>
      <c r="Q669" s="129"/>
      <c r="R669" s="129"/>
      <c r="S669" s="129"/>
      <c r="T669" s="129"/>
      <c r="U669" s="129"/>
      <c r="V669" s="122"/>
      <c r="W669" s="122"/>
      <c r="X669" s="122"/>
      <c r="Y669" s="2"/>
    </row>
    <row r="670" spans="1:25" ht="15.75" customHeight="1">
      <c r="A670" s="132"/>
      <c r="B670" s="132"/>
      <c r="C670" s="131"/>
      <c r="D670" s="131"/>
      <c r="E670" s="132"/>
      <c r="F670" s="124"/>
      <c r="G670" s="124"/>
      <c r="H670" s="124"/>
      <c r="I670" s="124"/>
      <c r="J670" s="124"/>
      <c r="K670" s="124"/>
      <c r="L670" s="124"/>
      <c r="M670" s="124"/>
      <c r="N670" s="124"/>
      <c r="O670" s="124"/>
      <c r="P670" s="124"/>
      <c r="Q670" s="124"/>
      <c r="R670" s="124"/>
      <c r="S670" s="124"/>
      <c r="T670" s="124"/>
      <c r="U670" s="124"/>
      <c r="V670" s="114"/>
      <c r="W670" s="114"/>
      <c r="X670" s="114"/>
      <c r="Y670" s="2"/>
    </row>
    <row r="671" spans="1:25" ht="15.75" customHeight="1">
      <c r="A671" s="128"/>
      <c r="B671" s="128"/>
      <c r="C671" s="127"/>
      <c r="D671" s="127"/>
      <c r="E671" s="128"/>
      <c r="F671" s="129"/>
      <c r="G671" s="129"/>
      <c r="H671" s="129"/>
      <c r="I671" s="129"/>
      <c r="J671" s="129"/>
      <c r="K671" s="129"/>
      <c r="L671" s="129"/>
      <c r="M671" s="129"/>
      <c r="N671" s="129"/>
      <c r="O671" s="129"/>
      <c r="P671" s="129"/>
      <c r="Q671" s="129"/>
      <c r="R671" s="129"/>
      <c r="S671" s="129"/>
      <c r="T671" s="129"/>
      <c r="U671" s="129"/>
      <c r="V671" s="122"/>
      <c r="W671" s="122"/>
      <c r="X671" s="122"/>
      <c r="Y671" s="2"/>
    </row>
    <row r="672" spans="1:25" ht="15.75" customHeight="1">
      <c r="A672" s="132"/>
      <c r="B672" s="132"/>
      <c r="C672" s="131"/>
      <c r="D672" s="131"/>
      <c r="E672" s="132"/>
      <c r="F672" s="124"/>
      <c r="G672" s="124"/>
      <c r="H672" s="124"/>
      <c r="I672" s="124"/>
      <c r="J672" s="124"/>
      <c r="K672" s="124"/>
      <c r="L672" s="124"/>
      <c r="M672" s="124"/>
      <c r="N672" s="124"/>
      <c r="O672" s="124"/>
      <c r="P672" s="124"/>
      <c r="Q672" s="124"/>
      <c r="R672" s="124"/>
      <c r="S672" s="124"/>
      <c r="T672" s="124"/>
      <c r="U672" s="124"/>
      <c r="V672" s="114"/>
      <c r="W672" s="114"/>
      <c r="X672" s="114"/>
      <c r="Y672" s="2"/>
    </row>
    <row r="673" spans="1:25" ht="15.75" customHeight="1">
      <c r="A673" s="128"/>
      <c r="B673" s="128"/>
      <c r="C673" s="127"/>
      <c r="D673" s="127"/>
      <c r="E673" s="128"/>
      <c r="F673" s="129"/>
      <c r="G673" s="129"/>
      <c r="H673" s="129"/>
      <c r="I673" s="129"/>
      <c r="J673" s="129"/>
      <c r="K673" s="129"/>
      <c r="L673" s="129"/>
      <c r="M673" s="129"/>
      <c r="N673" s="129"/>
      <c r="O673" s="129"/>
      <c r="P673" s="129"/>
      <c r="Q673" s="129"/>
      <c r="R673" s="129"/>
      <c r="S673" s="129"/>
      <c r="T673" s="129"/>
      <c r="U673" s="129"/>
      <c r="V673" s="122"/>
      <c r="W673" s="122"/>
      <c r="X673" s="122"/>
      <c r="Y673" s="2"/>
    </row>
    <row r="674" spans="1:25" ht="15.75" customHeight="1">
      <c r="A674" s="132"/>
      <c r="B674" s="132"/>
      <c r="C674" s="131"/>
      <c r="D674" s="131"/>
      <c r="E674" s="132"/>
      <c r="F674" s="124"/>
      <c r="G674" s="124"/>
      <c r="H674" s="124"/>
      <c r="I674" s="124"/>
      <c r="J674" s="124"/>
      <c r="K674" s="124"/>
      <c r="L674" s="124"/>
      <c r="M674" s="124"/>
      <c r="N674" s="124"/>
      <c r="O674" s="124"/>
      <c r="P674" s="124"/>
      <c r="Q674" s="124"/>
      <c r="R674" s="124"/>
      <c r="S674" s="124"/>
      <c r="T674" s="124"/>
      <c r="U674" s="124"/>
      <c r="V674" s="114"/>
      <c r="W674" s="114"/>
      <c r="X674" s="114"/>
      <c r="Y674" s="2"/>
    </row>
    <row r="675" spans="1:25" ht="15.75" customHeight="1">
      <c r="A675" s="128"/>
      <c r="B675" s="128"/>
      <c r="C675" s="127"/>
      <c r="D675" s="127"/>
      <c r="E675" s="128"/>
      <c r="F675" s="129"/>
      <c r="G675" s="129"/>
      <c r="H675" s="129"/>
      <c r="I675" s="129"/>
      <c r="J675" s="129"/>
      <c r="K675" s="129"/>
      <c r="L675" s="129"/>
      <c r="M675" s="129"/>
      <c r="N675" s="129"/>
      <c r="O675" s="129"/>
      <c r="P675" s="129"/>
      <c r="Q675" s="129"/>
      <c r="R675" s="129"/>
      <c r="S675" s="129"/>
      <c r="T675" s="129"/>
      <c r="U675" s="129"/>
      <c r="V675" s="122"/>
      <c r="W675" s="122"/>
      <c r="X675" s="122"/>
      <c r="Y675" s="2"/>
    </row>
    <row r="676" spans="1:25" ht="15.75" customHeight="1">
      <c r="A676" s="132"/>
      <c r="B676" s="132"/>
      <c r="C676" s="131"/>
      <c r="D676" s="131"/>
      <c r="E676" s="132"/>
      <c r="F676" s="124"/>
      <c r="G676" s="124"/>
      <c r="H676" s="124"/>
      <c r="I676" s="124"/>
      <c r="J676" s="124"/>
      <c r="K676" s="124"/>
      <c r="L676" s="124"/>
      <c r="M676" s="124"/>
      <c r="N676" s="124"/>
      <c r="O676" s="124"/>
      <c r="P676" s="124"/>
      <c r="Q676" s="124"/>
      <c r="R676" s="124"/>
      <c r="S676" s="124"/>
      <c r="T676" s="124"/>
      <c r="U676" s="124"/>
      <c r="V676" s="114"/>
      <c r="W676" s="114"/>
      <c r="X676" s="114"/>
      <c r="Y676" s="2"/>
    </row>
    <row r="677" spans="1:25" ht="15.75" customHeight="1">
      <c r="A677" s="128"/>
      <c r="B677" s="128"/>
      <c r="C677" s="127"/>
      <c r="D677" s="127"/>
      <c r="E677" s="128"/>
      <c r="F677" s="129"/>
      <c r="G677" s="129"/>
      <c r="H677" s="129"/>
      <c r="I677" s="129"/>
      <c r="J677" s="129"/>
      <c r="K677" s="129"/>
      <c r="L677" s="129"/>
      <c r="M677" s="129"/>
      <c r="N677" s="129"/>
      <c r="O677" s="129"/>
      <c r="P677" s="129"/>
      <c r="Q677" s="129"/>
      <c r="R677" s="129"/>
      <c r="S677" s="129"/>
      <c r="T677" s="129"/>
      <c r="U677" s="129"/>
      <c r="V677" s="122"/>
      <c r="W677" s="122"/>
      <c r="X677" s="122"/>
      <c r="Y677" s="2"/>
    </row>
    <row r="678" spans="1:25" ht="15.75" customHeight="1">
      <c r="A678" s="132"/>
      <c r="B678" s="132"/>
      <c r="C678" s="131"/>
      <c r="D678" s="131"/>
      <c r="E678" s="132"/>
      <c r="F678" s="124"/>
      <c r="G678" s="124"/>
      <c r="H678" s="124"/>
      <c r="I678" s="124"/>
      <c r="J678" s="124"/>
      <c r="K678" s="124"/>
      <c r="L678" s="124"/>
      <c r="M678" s="124"/>
      <c r="N678" s="124"/>
      <c r="O678" s="124"/>
      <c r="P678" s="124"/>
      <c r="Q678" s="124"/>
      <c r="R678" s="124"/>
      <c r="S678" s="124"/>
      <c r="T678" s="124"/>
      <c r="U678" s="124"/>
      <c r="V678" s="114"/>
      <c r="W678" s="114"/>
      <c r="X678" s="114"/>
      <c r="Y678" s="2"/>
    </row>
    <row r="679" spans="1:25" ht="15.75" customHeight="1">
      <c r="A679" s="128"/>
      <c r="B679" s="128"/>
      <c r="C679" s="127"/>
      <c r="D679" s="127"/>
      <c r="E679" s="128"/>
      <c r="F679" s="129"/>
      <c r="G679" s="129"/>
      <c r="H679" s="129"/>
      <c r="I679" s="129"/>
      <c r="J679" s="129"/>
      <c r="K679" s="129"/>
      <c r="L679" s="129"/>
      <c r="M679" s="129"/>
      <c r="N679" s="129"/>
      <c r="O679" s="129"/>
      <c r="P679" s="129"/>
      <c r="Q679" s="129"/>
      <c r="R679" s="129"/>
      <c r="S679" s="129"/>
      <c r="T679" s="129"/>
      <c r="U679" s="129"/>
      <c r="V679" s="122"/>
      <c r="W679" s="122"/>
      <c r="X679" s="122"/>
      <c r="Y679" s="2"/>
    </row>
    <row r="680" spans="1:25" ht="15.75" customHeight="1">
      <c r="A680" s="132"/>
      <c r="B680" s="132"/>
      <c r="C680" s="131"/>
      <c r="D680" s="131"/>
      <c r="E680" s="132"/>
      <c r="F680" s="124"/>
      <c r="G680" s="124"/>
      <c r="H680" s="124"/>
      <c r="I680" s="124"/>
      <c r="J680" s="124"/>
      <c r="K680" s="124"/>
      <c r="L680" s="124"/>
      <c r="M680" s="124"/>
      <c r="N680" s="124"/>
      <c r="O680" s="124"/>
      <c r="P680" s="124"/>
      <c r="Q680" s="124"/>
      <c r="R680" s="124"/>
      <c r="S680" s="124"/>
      <c r="T680" s="124"/>
      <c r="U680" s="124"/>
      <c r="V680" s="114"/>
      <c r="W680" s="114"/>
      <c r="X680" s="114"/>
      <c r="Y680" s="2"/>
    </row>
    <row r="681" spans="1:25" ht="15.75" customHeight="1">
      <c r="A681" s="128"/>
      <c r="B681" s="128"/>
      <c r="C681" s="127"/>
      <c r="D681" s="127"/>
      <c r="E681" s="128"/>
      <c r="F681" s="129"/>
      <c r="G681" s="129"/>
      <c r="H681" s="129"/>
      <c r="I681" s="129"/>
      <c r="J681" s="129"/>
      <c r="K681" s="129"/>
      <c r="L681" s="129"/>
      <c r="M681" s="129"/>
      <c r="N681" s="129"/>
      <c r="O681" s="129"/>
      <c r="P681" s="129"/>
      <c r="Q681" s="129"/>
      <c r="R681" s="129"/>
      <c r="S681" s="129"/>
      <c r="T681" s="129"/>
      <c r="U681" s="129"/>
      <c r="V681" s="122"/>
      <c r="W681" s="122"/>
      <c r="X681" s="122"/>
      <c r="Y681" s="2"/>
    </row>
    <row r="682" spans="1:25" ht="15.75" customHeight="1">
      <c r="A682" s="132"/>
      <c r="B682" s="132"/>
      <c r="C682" s="131"/>
      <c r="D682" s="131"/>
      <c r="E682" s="132"/>
      <c r="F682" s="124"/>
      <c r="G682" s="124"/>
      <c r="H682" s="124"/>
      <c r="I682" s="124"/>
      <c r="J682" s="124"/>
      <c r="K682" s="124"/>
      <c r="L682" s="124"/>
      <c r="M682" s="124"/>
      <c r="N682" s="124"/>
      <c r="O682" s="124"/>
      <c r="P682" s="124"/>
      <c r="Q682" s="124"/>
      <c r="R682" s="124"/>
      <c r="S682" s="124"/>
      <c r="T682" s="124"/>
      <c r="U682" s="124"/>
      <c r="V682" s="114"/>
      <c r="W682" s="114"/>
      <c r="X682" s="114"/>
      <c r="Y682" s="2"/>
    </row>
    <row r="683" spans="1:25" ht="15.75" customHeight="1">
      <c r="A683" s="128"/>
      <c r="B683" s="128"/>
      <c r="C683" s="127"/>
      <c r="D683" s="127"/>
      <c r="E683" s="128"/>
      <c r="F683" s="129"/>
      <c r="G683" s="129"/>
      <c r="H683" s="129"/>
      <c r="I683" s="129"/>
      <c r="J683" s="129"/>
      <c r="K683" s="129"/>
      <c r="L683" s="129"/>
      <c r="M683" s="129"/>
      <c r="N683" s="129"/>
      <c r="O683" s="129"/>
      <c r="P683" s="129"/>
      <c r="Q683" s="129"/>
      <c r="R683" s="129"/>
      <c r="S683" s="129"/>
      <c r="T683" s="129"/>
      <c r="U683" s="129"/>
      <c r="V683" s="122"/>
      <c r="W683" s="122"/>
      <c r="X683" s="122"/>
      <c r="Y683" s="2"/>
    </row>
    <row r="684" spans="1:25" ht="15.75" customHeight="1">
      <c r="A684" s="132"/>
      <c r="B684" s="132"/>
      <c r="C684" s="131"/>
      <c r="D684" s="131"/>
      <c r="E684" s="132"/>
      <c r="F684" s="124"/>
      <c r="G684" s="124"/>
      <c r="H684" s="124"/>
      <c r="I684" s="124"/>
      <c r="J684" s="124"/>
      <c r="K684" s="124"/>
      <c r="L684" s="124"/>
      <c r="M684" s="124"/>
      <c r="N684" s="124"/>
      <c r="O684" s="124"/>
      <c r="P684" s="124"/>
      <c r="Q684" s="124"/>
      <c r="R684" s="124"/>
      <c r="S684" s="124"/>
      <c r="T684" s="124"/>
      <c r="U684" s="124"/>
      <c r="V684" s="114"/>
      <c r="W684" s="114"/>
      <c r="X684" s="114"/>
      <c r="Y684" s="2"/>
    </row>
    <row r="685" spans="1:25" ht="15.75" customHeight="1">
      <c r="A685" s="128"/>
      <c r="B685" s="128"/>
      <c r="C685" s="127"/>
      <c r="D685" s="127"/>
      <c r="E685" s="128"/>
      <c r="F685" s="129"/>
      <c r="G685" s="129"/>
      <c r="H685" s="129"/>
      <c r="I685" s="129"/>
      <c r="J685" s="129"/>
      <c r="K685" s="129"/>
      <c r="L685" s="129"/>
      <c r="M685" s="129"/>
      <c r="N685" s="129"/>
      <c r="O685" s="129"/>
      <c r="P685" s="129"/>
      <c r="Q685" s="129"/>
      <c r="R685" s="129"/>
      <c r="S685" s="129"/>
      <c r="T685" s="129"/>
      <c r="U685" s="129"/>
      <c r="V685" s="122"/>
      <c r="W685" s="122"/>
      <c r="X685" s="122"/>
      <c r="Y685" s="2"/>
    </row>
    <row r="686" spans="1:25" ht="15.75" customHeight="1">
      <c r="A686" s="132"/>
      <c r="B686" s="132"/>
      <c r="C686" s="131"/>
      <c r="D686" s="131"/>
      <c r="E686" s="132"/>
      <c r="F686" s="124"/>
      <c r="G686" s="124"/>
      <c r="H686" s="124"/>
      <c r="I686" s="124"/>
      <c r="J686" s="124"/>
      <c r="K686" s="124"/>
      <c r="L686" s="124"/>
      <c r="M686" s="124"/>
      <c r="N686" s="124"/>
      <c r="O686" s="124"/>
      <c r="P686" s="124"/>
      <c r="Q686" s="124"/>
      <c r="R686" s="124"/>
      <c r="S686" s="124"/>
      <c r="T686" s="124"/>
      <c r="U686" s="124"/>
      <c r="V686" s="114"/>
      <c r="W686" s="114"/>
      <c r="X686" s="114"/>
      <c r="Y686" s="2"/>
    </row>
    <row r="687" spans="1:25" ht="15.75" customHeight="1">
      <c r="A687" s="128"/>
      <c r="B687" s="128"/>
      <c r="C687" s="127"/>
      <c r="D687" s="127"/>
      <c r="E687" s="128"/>
      <c r="F687" s="129"/>
      <c r="G687" s="129"/>
      <c r="H687" s="129"/>
      <c r="I687" s="129"/>
      <c r="J687" s="129"/>
      <c r="K687" s="129"/>
      <c r="L687" s="129"/>
      <c r="M687" s="129"/>
      <c r="N687" s="129"/>
      <c r="O687" s="129"/>
      <c r="P687" s="129"/>
      <c r="Q687" s="129"/>
      <c r="R687" s="129"/>
      <c r="S687" s="129"/>
      <c r="T687" s="129"/>
      <c r="U687" s="129"/>
      <c r="V687" s="122"/>
      <c r="W687" s="122"/>
      <c r="X687" s="122"/>
      <c r="Y687" s="2"/>
    </row>
    <row r="688" spans="1:25" ht="15.75" customHeight="1">
      <c r="A688" s="132"/>
      <c r="B688" s="132"/>
      <c r="C688" s="131"/>
      <c r="D688" s="131"/>
      <c r="E688" s="132"/>
      <c r="F688" s="124"/>
      <c r="G688" s="124"/>
      <c r="H688" s="124"/>
      <c r="I688" s="124"/>
      <c r="J688" s="124"/>
      <c r="K688" s="124"/>
      <c r="L688" s="124"/>
      <c r="M688" s="124"/>
      <c r="N688" s="124"/>
      <c r="O688" s="124"/>
      <c r="P688" s="124"/>
      <c r="Q688" s="124"/>
      <c r="R688" s="124"/>
      <c r="S688" s="124"/>
      <c r="T688" s="124"/>
      <c r="U688" s="124"/>
      <c r="V688" s="114"/>
      <c r="W688" s="114"/>
      <c r="X688" s="114"/>
      <c r="Y688" s="2"/>
    </row>
    <row r="689" spans="1:25" ht="15.75" customHeight="1">
      <c r="A689" s="128"/>
      <c r="B689" s="128"/>
      <c r="C689" s="127"/>
      <c r="D689" s="127"/>
      <c r="E689" s="128"/>
      <c r="F689" s="129"/>
      <c r="G689" s="129"/>
      <c r="H689" s="129"/>
      <c r="I689" s="129"/>
      <c r="J689" s="129"/>
      <c r="K689" s="129"/>
      <c r="L689" s="129"/>
      <c r="M689" s="129"/>
      <c r="N689" s="129"/>
      <c r="O689" s="129"/>
      <c r="P689" s="129"/>
      <c r="Q689" s="129"/>
      <c r="R689" s="129"/>
      <c r="S689" s="129"/>
      <c r="T689" s="129"/>
      <c r="U689" s="129"/>
      <c r="V689" s="122"/>
      <c r="W689" s="122"/>
      <c r="X689" s="122"/>
      <c r="Y689" s="2"/>
    </row>
    <row r="690" spans="1:25" ht="15.75" customHeight="1">
      <c r="A690" s="132"/>
      <c r="B690" s="132"/>
      <c r="C690" s="131"/>
      <c r="D690" s="131"/>
      <c r="E690" s="132"/>
      <c r="F690" s="124"/>
      <c r="G690" s="124"/>
      <c r="H690" s="124"/>
      <c r="I690" s="124"/>
      <c r="J690" s="124"/>
      <c r="K690" s="124"/>
      <c r="L690" s="124"/>
      <c r="M690" s="124"/>
      <c r="N690" s="124"/>
      <c r="O690" s="124"/>
      <c r="P690" s="124"/>
      <c r="Q690" s="124"/>
      <c r="R690" s="124"/>
      <c r="S690" s="124"/>
      <c r="T690" s="124"/>
      <c r="U690" s="124"/>
      <c r="V690" s="114"/>
      <c r="W690" s="114"/>
      <c r="X690" s="114"/>
      <c r="Y690" s="2"/>
    </row>
    <row r="691" spans="1:25" ht="15.75" customHeight="1">
      <c r="A691" s="128"/>
      <c r="B691" s="128"/>
      <c r="C691" s="127"/>
      <c r="D691" s="127"/>
      <c r="E691" s="128"/>
      <c r="F691" s="129"/>
      <c r="G691" s="129"/>
      <c r="H691" s="129"/>
      <c r="I691" s="129"/>
      <c r="J691" s="129"/>
      <c r="K691" s="129"/>
      <c r="L691" s="129"/>
      <c r="M691" s="129"/>
      <c r="N691" s="129"/>
      <c r="O691" s="129"/>
      <c r="P691" s="129"/>
      <c r="Q691" s="129"/>
      <c r="R691" s="129"/>
      <c r="S691" s="129"/>
      <c r="T691" s="129"/>
      <c r="U691" s="129"/>
      <c r="V691" s="122"/>
      <c r="W691" s="122"/>
      <c r="X691" s="122"/>
      <c r="Y691" s="2"/>
    </row>
    <row r="692" spans="1:25" ht="15.75" customHeight="1">
      <c r="A692" s="132"/>
      <c r="B692" s="132"/>
      <c r="C692" s="131"/>
      <c r="D692" s="131"/>
      <c r="E692" s="132"/>
      <c r="F692" s="124"/>
      <c r="G692" s="124"/>
      <c r="H692" s="124"/>
      <c r="I692" s="124"/>
      <c r="J692" s="124"/>
      <c r="K692" s="124"/>
      <c r="L692" s="124"/>
      <c r="M692" s="124"/>
      <c r="N692" s="124"/>
      <c r="O692" s="124"/>
      <c r="P692" s="124"/>
      <c r="Q692" s="124"/>
      <c r="R692" s="124"/>
      <c r="S692" s="124"/>
      <c r="T692" s="124"/>
      <c r="U692" s="124"/>
      <c r="V692" s="114"/>
      <c r="W692" s="114"/>
      <c r="X692" s="114"/>
      <c r="Y692" s="2"/>
    </row>
    <row r="693" spans="1:25" ht="15.75" customHeight="1">
      <c r="A693" s="128"/>
      <c r="B693" s="128"/>
      <c r="C693" s="127"/>
      <c r="D693" s="127"/>
      <c r="E693" s="128"/>
      <c r="F693" s="129"/>
      <c r="G693" s="129"/>
      <c r="H693" s="129"/>
      <c r="I693" s="129"/>
      <c r="J693" s="129"/>
      <c r="K693" s="129"/>
      <c r="L693" s="129"/>
      <c r="M693" s="129"/>
      <c r="N693" s="129"/>
      <c r="O693" s="129"/>
      <c r="P693" s="129"/>
      <c r="Q693" s="129"/>
      <c r="R693" s="129"/>
      <c r="S693" s="129"/>
      <c r="T693" s="129"/>
      <c r="U693" s="129"/>
      <c r="V693" s="122"/>
      <c r="W693" s="122"/>
      <c r="X693" s="122"/>
      <c r="Y693" s="2"/>
    </row>
    <row r="694" spans="1:25" ht="15.75" customHeight="1">
      <c r="A694" s="132"/>
      <c r="B694" s="132"/>
      <c r="C694" s="131"/>
      <c r="D694" s="131"/>
      <c r="E694" s="132"/>
      <c r="F694" s="124"/>
      <c r="G694" s="124"/>
      <c r="H694" s="124"/>
      <c r="I694" s="124"/>
      <c r="J694" s="124"/>
      <c r="K694" s="124"/>
      <c r="L694" s="124"/>
      <c r="M694" s="124"/>
      <c r="N694" s="124"/>
      <c r="O694" s="124"/>
      <c r="P694" s="124"/>
      <c r="Q694" s="124"/>
      <c r="R694" s="124"/>
      <c r="S694" s="124"/>
      <c r="T694" s="124"/>
      <c r="U694" s="124"/>
      <c r="V694" s="114"/>
      <c r="W694" s="114"/>
      <c r="X694" s="114"/>
      <c r="Y694" s="2"/>
    </row>
    <row r="695" spans="1:25" ht="15.75" customHeight="1">
      <c r="A695" s="128"/>
      <c r="B695" s="128"/>
      <c r="C695" s="127"/>
      <c r="D695" s="127"/>
      <c r="E695" s="128"/>
      <c r="F695" s="129"/>
      <c r="G695" s="129"/>
      <c r="H695" s="129"/>
      <c r="I695" s="129"/>
      <c r="J695" s="129"/>
      <c r="K695" s="129"/>
      <c r="L695" s="129"/>
      <c r="M695" s="129"/>
      <c r="N695" s="129"/>
      <c r="O695" s="129"/>
      <c r="P695" s="129"/>
      <c r="Q695" s="129"/>
      <c r="R695" s="129"/>
      <c r="S695" s="129"/>
      <c r="T695" s="129"/>
      <c r="U695" s="129"/>
      <c r="V695" s="122"/>
      <c r="W695" s="122"/>
      <c r="X695" s="122"/>
      <c r="Y695" s="2"/>
    </row>
    <row r="696" spans="1:25" ht="15.75" customHeight="1">
      <c r="A696" s="132"/>
      <c r="B696" s="132"/>
      <c r="C696" s="131"/>
      <c r="D696" s="131"/>
      <c r="E696" s="132"/>
      <c r="F696" s="124"/>
      <c r="G696" s="124"/>
      <c r="H696" s="124"/>
      <c r="I696" s="124"/>
      <c r="J696" s="124"/>
      <c r="K696" s="124"/>
      <c r="L696" s="124"/>
      <c r="M696" s="124"/>
      <c r="N696" s="124"/>
      <c r="O696" s="124"/>
      <c r="P696" s="124"/>
      <c r="Q696" s="124"/>
      <c r="R696" s="124"/>
      <c r="S696" s="124"/>
      <c r="T696" s="124"/>
      <c r="U696" s="124"/>
      <c r="V696" s="114"/>
      <c r="W696" s="114"/>
      <c r="X696" s="114"/>
      <c r="Y696" s="2"/>
    </row>
    <row r="697" spans="1:25" ht="15.75" customHeight="1">
      <c r="A697" s="128"/>
      <c r="B697" s="128"/>
      <c r="C697" s="127"/>
      <c r="D697" s="127"/>
      <c r="E697" s="128"/>
      <c r="F697" s="129"/>
      <c r="G697" s="129"/>
      <c r="H697" s="129"/>
      <c r="I697" s="129"/>
      <c r="J697" s="129"/>
      <c r="K697" s="129"/>
      <c r="L697" s="129"/>
      <c r="M697" s="129"/>
      <c r="N697" s="129"/>
      <c r="O697" s="129"/>
      <c r="P697" s="129"/>
      <c r="Q697" s="129"/>
      <c r="R697" s="129"/>
      <c r="S697" s="129"/>
      <c r="T697" s="129"/>
      <c r="U697" s="129"/>
      <c r="V697" s="122"/>
      <c r="W697" s="122"/>
      <c r="X697" s="122"/>
      <c r="Y697" s="2"/>
    </row>
    <row r="698" spans="1:25" ht="15.75" customHeight="1">
      <c r="A698" s="132"/>
      <c r="B698" s="132"/>
      <c r="C698" s="131"/>
      <c r="D698" s="131"/>
      <c r="E698" s="132"/>
      <c r="F698" s="124"/>
      <c r="G698" s="124"/>
      <c r="H698" s="124"/>
      <c r="I698" s="124"/>
      <c r="J698" s="124"/>
      <c r="K698" s="124"/>
      <c r="L698" s="124"/>
      <c r="M698" s="124"/>
      <c r="N698" s="124"/>
      <c r="O698" s="124"/>
      <c r="P698" s="124"/>
      <c r="Q698" s="124"/>
      <c r="R698" s="124"/>
      <c r="S698" s="124"/>
      <c r="T698" s="124"/>
      <c r="U698" s="124"/>
      <c r="V698" s="114"/>
      <c r="W698" s="114"/>
      <c r="X698" s="114"/>
      <c r="Y698" s="2"/>
    </row>
    <row r="699" spans="1:25" ht="15.75" customHeight="1">
      <c r="A699" s="128"/>
      <c r="B699" s="128"/>
      <c r="C699" s="127"/>
      <c r="D699" s="127"/>
      <c r="E699" s="128"/>
      <c r="F699" s="129"/>
      <c r="G699" s="129"/>
      <c r="H699" s="129"/>
      <c r="I699" s="129"/>
      <c r="J699" s="129"/>
      <c r="K699" s="129"/>
      <c r="L699" s="129"/>
      <c r="M699" s="129"/>
      <c r="N699" s="129"/>
      <c r="O699" s="129"/>
      <c r="P699" s="129"/>
      <c r="Q699" s="129"/>
      <c r="R699" s="129"/>
      <c r="S699" s="129"/>
      <c r="T699" s="129"/>
      <c r="U699" s="129"/>
      <c r="V699" s="122"/>
      <c r="W699" s="122"/>
      <c r="X699" s="122"/>
      <c r="Y699" s="2"/>
    </row>
    <row r="700" spans="1:25" ht="15.75" customHeight="1">
      <c r="A700" s="132"/>
      <c r="B700" s="132"/>
      <c r="C700" s="131"/>
      <c r="D700" s="131"/>
      <c r="E700" s="132"/>
      <c r="F700" s="124"/>
      <c r="G700" s="124"/>
      <c r="H700" s="124"/>
      <c r="I700" s="124"/>
      <c r="J700" s="124"/>
      <c r="K700" s="124"/>
      <c r="L700" s="124"/>
      <c r="M700" s="124"/>
      <c r="N700" s="124"/>
      <c r="O700" s="124"/>
      <c r="P700" s="124"/>
      <c r="Q700" s="124"/>
      <c r="R700" s="124"/>
      <c r="S700" s="124"/>
      <c r="T700" s="124"/>
      <c r="U700" s="124"/>
      <c r="V700" s="114"/>
      <c r="W700" s="114"/>
      <c r="X700" s="114"/>
      <c r="Y700" s="2"/>
    </row>
    <row r="701" spans="1:25" ht="15.75" customHeight="1">
      <c r="A701" s="128"/>
      <c r="B701" s="128"/>
      <c r="C701" s="127"/>
      <c r="D701" s="127"/>
      <c r="E701" s="128"/>
      <c r="F701" s="129"/>
      <c r="G701" s="129"/>
      <c r="H701" s="129"/>
      <c r="I701" s="129"/>
      <c r="J701" s="129"/>
      <c r="K701" s="129"/>
      <c r="L701" s="129"/>
      <c r="M701" s="129"/>
      <c r="N701" s="129"/>
      <c r="O701" s="129"/>
      <c r="P701" s="129"/>
      <c r="Q701" s="129"/>
      <c r="R701" s="129"/>
      <c r="S701" s="129"/>
      <c r="T701" s="129"/>
      <c r="U701" s="129"/>
      <c r="V701" s="122"/>
      <c r="W701" s="122"/>
      <c r="X701" s="122"/>
      <c r="Y701" s="2"/>
    </row>
    <row r="702" spans="1:25" ht="15.75" customHeight="1">
      <c r="A702" s="132"/>
      <c r="B702" s="132"/>
      <c r="C702" s="131"/>
      <c r="D702" s="131"/>
      <c r="E702" s="132"/>
      <c r="F702" s="124"/>
      <c r="G702" s="124"/>
      <c r="H702" s="124"/>
      <c r="I702" s="124"/>
      <c r="J702" s="124"/>
      <c r="K702" s="124"/>
      <c r="L702" s="124"/>
      <c r="M702" s="124"/>
      <c r="N702" s="124"/>
      <c r="O702" s="124"/>
      <c r="P702" s="124"/>
      <c r="Q702" s="124"/>
      <c r="R702" s="124"/>
      <c r="S702" s="124"/>
      <c r="T702" s="124"/>
      <c r="U702" s="124"/>
      <c r="V702" s="114"/>
      <c r="W702" s="114"/>
      <c r="X702" s="114"/>
      <c r="Y702" s="2"/>
    </row>
    <row r="703" spans="1:25" ht="15.75" customHeight="1">
      <c r="A703" s="128"/>
      <c r="B703" s="128"/>
      <c r="C703" s="127"/>
      <c r="D703" s="127"/>
      <c r="E703" s="128"/>
      <c r="F703" s="129"/>
      <c r="G703" s="129"/>
      <c r="H703" s="129"/>
      <c r="I703" s="129"/>
      <c r="J703" s="129"/>
      <c r="K703" s="129"/>
      <c r="L703" s="129"/>
      <c r="M703" s="129"/>
      <c r="N703" s="129"/>
      <c r="O703" s="129"/>
      <c r="P703" s="129"/>
      <c r="Q703" s="129"/>
      <c r="R703" s="129"/>
      <c r="S703" s="129"/>
      <c r="T703" s="129"/>
      <c r="U703" s="129"/>
      <c r="V703" s="122"/>
      <c r="W703" s="122"/>
      <c r="X703" s="122"/>
      <c r="Y703" s="2"/>
    </row>
    <row r="704" spans="1:25" ht="15.75" customHeight="1">
      <c r="A704" s="132"/>
      <c r="B704" s="132"/>
      <c r="C704" s="131"/>
      <c r="D704" s="131"/>
      <c r="E704" s="132"/>
      <c r="F704" s="124"/>
      <c r="G704" s="124"/>
      <c r="H704" s="124"/>
      <c r="I704" s="124"/>
      <c r="J704" s="124"/>
      <c r="K704" s="124"/>
      <c r="L704" s="124"/>
      <c r="M704" s="124"/>
      <c r="N704" s="124"/>
      <c r="O704" s="124"/>
      <c r="P704" s="124"/>
      <c r="Q704" s="124"/>
      <c r="R704" s="124"/>
      <c r="S704" s="124"/>
      <c r="T704" s="124"/>
      <c r="U704" s="124"/>
      <c r="V704" s="114"/>
      <c r="W704" s="114"/>
      <c r="X704" s="114"/>
      <c r="Y704" s="2"/>
    </row>
    <row r="705" spans="1:25" ht="15.75" customHeight="1">
      <c r="A705" s="128"/>
      <c r="B705" s="128"/>
      <c r="C705" s="127"/>
      <c r="D705" s="127"/>
      <c r="E705" s="128"/>
      <c r="F705" s="129"/>
      <c r="G705" s="129"/>
      <c r="H705" s="129"/>
      <c r="I705" s="129"/>
      <c r="J705" s="129"/>
      <c r="K705" s="129"/>
      <c r="L705" s="129"/>
      <c r="M705" s="129"/>
      <c r="N705" s="129"/>
      <c r="O705" s="129"/>
      <c r="P705" s="129"/>
      <c r="Q705" s="129"/>
      <c r="R705" s="129"/>
      <c r="S705" s="129"/>
      <c r="T705" s="129"/>
      <c r="U705" s="129"/>
      <c r="V705" s="122"/>
      <c r="W705" s="122"/>
      <c r="X705" s="122"/>
      <c r="Y705" s="2"/>
    </row>
    <row r="706" spans="1:25" ht="15.75" customHeight="1">
      <c r="A706" s="132"/>
      <c r="B706" s="132"/>
      <c r="C706" s="131"/>
      <c r="D706" s="131"/>
      <c r="E706" s="132"/>
      <c r="F706" s="124"/>
      <c r="G706" s="124"/>
      <c r="H706" s="124"/>
      <c r="I706" s="124"/>
      <c r="J706" s="124"/>
      <c r="K706" s="124"/>
      <c r="L706" s="124"/>
      <c r="M706" s="124"/>
      <c r="N706" s="124"/>
      <c r="O706" s="124"/>
      <c r="P706" s="124"/>
      <c r="Q706" s="124"/>
      <c r="R706" s="124"/>
      <c r="S706" s="124"/>
      <c r="T706" s="124"/>
      <c r="U706" s="124"/>
      <c r="V706" s="114"/>
      <c r="W706" s="114"/>
      <c r="X706" s="114"/>
      <c r="Y706" s="2"/>
    </row>
    <row r="707" spans="1:25" ht="15.75" customHeight="1">
      <c r="A707" s="128"/>
      <c r="B707" s="128"/>
      <c r="C707" s="127"/>
      <c r="D707" s="127"/>
      <c r="E707" s="128"/>
      <c r="F707" s="129"/>
      <c r="G707" s="129"/>
      <c r="H707" s="129"/>
      <c r="I707" s="129"/>
      <c r="J707" s="129"/>
      <c r="K707" s="129"/>
      <c r="L707" s="129"/>
      <c r="M707" s="129"/>
      <c r="N707" s="129"/>
      <c r="O707" s="129"/>
      <c r="P707" s="129"/>
      <c r="Q707" s="129"/>
      <c r="R707" s="129"/>
      <c r="S707" s="129"/>
      <c r="T707" s="129"/>
      <c r="U707" s="129"/>
      <c r="V707" s="122"/>
      <c r="W707" s="122"/>
      <c r="X707" s="122"/>
      <c r="Y707" s="2"/>
    </row>
    <row r="708" spans="1:25" ht="15.75" customHeight="1">
      <c r="A708" s="132"/>
      <c r="B708" s="132"/>
      <c r="C708" s="131"/>
      <c r="D708" s="131"/>
      <c r="E708" s="132"/>
      <c r="F708" s="124"/>
      <c r="G708" s="124"/>
      <c r="H708" s="124"/>
      <c r="I708" s="124"/>
      <c r="J708" s="124"/>
      <c r="K708" s="124"/>
      <c r="L708" s="124"/>
      <c r="M708" s="124"/>
      <c r="N708" s="124"/>
      <c r="O708" s="124"/>
      <c r="P708" s="124"/>
      <c r="Q708" s="124"/>
      <c r="R708" s="124"/>
      <c r="S708" s="124"/>
      <c r="T708" s="124"/>
      <c r="U708" s="124"/>
      <c r="V708" s="114"/>
      <c r="W708" s="114"/>
      <c r="X708" s="114"/>
      <c r="Y708" s="2"/>
    </row>
    <row r="709" spans="1:25" ht="15.75" customHeight="1">
      <c r="A709" s="128"/>
      <c r="B709" s="128"/>
      <c r="C709" s="127"/>
      <c r="D709" s="127"/>
      <c r="E709" s="128"/>
      <c r="F709" s="129"/>
      <c r="G709" s="129"/>
      <c r="H709" s="129"/>
      <c r="I709" s="129"/>
      <c r="J709" s="129"/>
      <c r="K709" s="129"/>
      <c r="L709" s="129"/>
      <c r="M709" s="129"/>
      <c r="N709" s="129"/>
      <c r="O709" s="129"/>
      <c r="P709" s="129"/>
      <c r="Q709" s="129"/>
      <c r="R709" s="129"/>
      <c r="S709" s="129"/>
      <c r="T709" s="129"/>
      <c r="U709" s="129"/>
      <c r="V709" s="122"/>
      <c r="W709" s="122"/>
      <c r="X709" s="122"/>
      <c r="Y709" s="2"/>
    </row>
    <row r="710" spans="1:25" ht="15.75" customHeight="1">
      <c r="A710" s="132"/>
      <c r="B710" s="132"/>
      <c r="C710" s="131"/>
      <c r="D710" s="131"/>
      <c r="E710" s="132"/>
      <c r="F710" s="124"/>
      <c r="G710" s="124"/>
      <c r="H710" s="124"/>
      <c r="I710" s="124"/>
      <c r="J710" s="124"/>
      <c r="K710" s="124"/>
      <c r="L710" s="124"/>
      <c r="M710" s="124"/>
      <c r="N710" s="124"/>
      <c r="O710" s="124"/>
      <c r="P710" s="124"/>
      <c r="Q710" s="124"/>
      <c r="R710" s="124"/>
      <c r="S710" s="124"/>
      <c r="T710" s="124"/>
      <c r="U710" s="124"/>
      <c r="V710" s="114"/>
      <c r="W710" s="114"/>
      <c r="X710" s="114"/>
      <c r="Y710" s="2"/>
    </row>
    <row r="711" spans="1:25" ht="15.75" customHeight="1">
      <c r="A711" s="128"/>
      <c r="B711" s="128"/>
      <c r="C711" s="127"/>
      <c r="D711" s="127"/>
      <c r="E711" s="128"/>
      <c r="F711" s="129"/>
      <c r="G711" s="129"/>
      <c r="H711" s="129"/>
      <c r="I711" s="129"/>
      <c r="J711" s="129"/>
      <c r="K711" s="129"/>
      <c r="L711" s="129"/>
      <c r="M711" s="129"/>
      <c r="N711" s="129"/>
      <c r="O711" s="129"/>
      <c r="P711" s="129"/>
      <c r="Q711" s="129"/>
      <c r="R711" s="129"/>
      <c r="S711" s="129"/>
      <c r="T711" s="129"/>
      <c r="U711" s="129"/>
      <c r="V711" s="122"/>
      <c r="W711" s="122"/>
      <c r="X711" s="122"/>
      <c r="Y711" s="2"/>
    </row>
    <row r="712" spans="1:25" ht="15.75" customHeight="1">
      <c r="A712" s="132"/>
      <c r="B712" s="132"/>
      <c r="C712" s="131"/>
      <c r="D712" s="131"/>
      <c r="E712" s="132"/>
      <c r="F712" s="124"/>
      <c r="G712" s="124"/>
      <c r="H712" s="124"/>
      <c r="I712" s="124"/>
      <c r="J712" s="124"/>
      <c r="K712" s="124"/>
      <c r="L712" s="124"/>
      <c r="M712" s="124"/>
      <c r="N712" s="124"/>
      <c r="O712" s="124"/>
      <c r="P712" s="124"/>
      <c r="Q712" s="124"/>
      <c r="R712" s="124"/>
      <c r="S712" s="124"/>
      <c r="T712" s="124"/>
      <c r="U712" s="124"/>
      <c r="V712" s="114"/>
      <c r="W712" s="114"/>
      <c r="X712" s="114"/>
      <c r="Y712" s="2"/>
    </row>
    <row r="713" spans="1:25" ht="15.75" customHeight="1">
      <c r="A713" s="128"/>
      <c r="B713" s="128"/>
      <c r="C713" s="127"/>
      <c r="D713" s="127"/>
      <c r="E713" s="128"/>
      <c r="F713" s="129"/>
      <c r="G713" s="129"/>
      <c r="H713" s="129"/>
      <c r="I713" s="129"/>
      <c r="J713" s="129"/>
      <c r="K713" s="129"/>
      <c r="L713" s="129"/>
      <c r="M713" s="129"/>
      <c r="N713" s="129"/>
      <c r="O713" s="129"/>
      <c r="P713" s="129"/>
      <c r="Q713" s="129"/>
      <c r="R713" s="129"/>
      <c r="S713" s="129"/>
      <c r="T713" s="129"/>
      <c r="U713" s="129"/>
      <c r="V713" s="122"/>
      <c r="W713" s="122"/>
      <c r="X713" s="122"/>
      <c r="Y713" s="2"/>
    </row>
    <row r="714" spans="1:25" ht="15.75" customHeight="1">
      <c r="A714" s="132"/>
      <c r="B714" s="132"/>
      <c r="C714" s="131"/>
      <c r="D714" s="131"/>
      <c r="E714" s="132"/>
      <c r="F714" s="124"/>
      <c r="G714" s="124"/>
      <c r="H714" s="124"/>
      <c r="I714" s="124"/>
      <c r="J714" s="124"/>
      <c r="K714" s="124"/>
      <c r="L714" s="124"/>
      <c r="M714" s="124"/>
      <c r="N714" s="124"/>
      <c r="O714" s="124"/>
      <c r="P714" s="124"/>
      <c r="Q714" s="124"/>
      <c r="R714" s="124"/>
      <c r="S714" s="124"/>
      <c r="T714" s="124"/>
      <c r="U714" s="124"/>
      <c r="V714" s="114"/>
      <c r="W714" s="114"/>
      <c r="X714" s="114"/>
      <c r="Y714" s="2"/>
    </row>
    <row r="715" spans="1:25" ht="15.75" customHeight="1">
      <c r="A715" s="128"/>
      <c r="B715" s="128"/>
      <c r="C715" s="127"/>
      <c r="D715" s="127"/>
      <c r="E715" s="128"/>
      <c r="F715" s="129"/>
      <c r="G715" s="129"/>
      <c r="H715" s="129"/>
      <c r="I715" s="129"/>
      <c r="J715" s="129"/>
      <c r="K715" s="129"/>
      <c r="L715" s="129"/>
      <c r="M715" s="129"/>
      <c r="N715" s="129"/>
      <c r="O715" s="129"/>
      <c r="P715" s="129"/>
      <c r="Q715" s="129"/>
      <c r="R715" s="129"/>
      <c r="S715" s="129"/>
      <c r="T715" s="129"/>
      <c r="U715" s="129"/>
      <c r="V715" s="122"/>
      <c r="W715" s="122"/>
      <c r="X715" s="122"/>
      <c r="Y715" s="2"/>
    </row>
    <row r="716" spans="1:25" ht="15.75" customHeight="1">
      <c r="A716" s="132"/>
      <c r="B716" s="132"/>
      <c r="C716" s="131"/>
      <c r="D716" s="131"/>
      <c r="E716" s="132"/>
      <c r="F716" s="124"/>
      <c r="G716" s="124"/>
      <c r="H716" s="124"/>
      <c r="I716" s="124"/>
      <c r="J716" s="124"/>
      <c r="K716" s="124"/>
      <c r="L716" s="124"/>
      <c r="M716" s="124"/>
      <c r="N716" s="124"/>
      <c r="O716" s="124"/>
      <c r="P716" s="124"/>
      <c r="Q716" s="124"/>
      <c r="R716" s="124"/>
      <c r="S716" s="124"/>
      <c r="T716" s="124"/>
      <c r="U716" s="124"/>
      <c r="V716" s="114"/>
      <c r="W716" s="114"/>
      <c r="X716" s="114"/>
      <c r="Y716" s="2"/>
    </row>
    <row r="717" spans="1:25" ht="15.75" customHeight="1">
      <c r="A717" s="128"/>
      <c r="B717" s="128"/>
      <c r="C717" s="127"/>
      <c r="D717" s="127"/>
      <c r="E717" s="128"/>
      <c r="F717" s="129"/>
      <c r="G717" s="129"/>
      <c r="H717" s="129"/>
      <c r="I717" s="129"/>
      <c r="J717" s="129"/>
      <c r="K717" s="129"/>
      <c r="L717" s="129"/>
      <c r="M717" s="129"/>
      <c r="N717" s="129"/>
      <c r="O717" s="129"/>
      <c r="P717" s="129"/>
      <c r="Q717" s="129"/>
      <c r="R717" s="129"/>
      <c r="S717" s="129"/>
      <c r="T717" s="129"/>
      <c r="U717" s="129"/>
      <c r="V717" s="122"/>
      <c r="W717" s="122"/>
      <c r="X717" s="122"/>
      <c r="Y717" s="2"/>
    </row>
    <row r="718" spans="1:25" ht="15.75" customHeight="1">
      <c r="A718" s="132"/>
      <c r="B718" s="132"/>
      <c r="C718" s="131"/>
      <c r="D718" s="131"/>
      <c r="E718" s="132"/>
      <c r="F718" s="124"/>
      <c r="G718" s="124"/>
      <c r="H718" s="124"/>
      <c r="I718" s="124"/>
      <c r="J718" s="124"/>
      <c r="K718" s="124"/>
      <c r="L718" s="124"/>
      <c r="M718" s="124"/>
      <c r="N718" s="124"/>
      <c r="O718" s="124"/>
      <c r="P718" s="124"/>
      <c r="Q718" s="124"/>
      <c r="R718" s="124"/>
      <c r="S718" s="124"/>
      <c r="T718" s="124"/>
      <c r="U718" s="124"/>
      <c r="V718" s="114"/>
      <c r="W718" s="114"/>
      <c r="X718" s="114"/>
      <c r="Y718" s="2"/>
    </row>
    <row r="719" spans="1:25" ht="15.75" customHeight="1">
      <c r="A719" s="128"/>
      <c r="B719" s="128"/>
      <c r="C719" s="127"/>
      <c r="D719" s="127"/>
      <c r="E719" s="128"/>
      <c r="F719" s="129"/>
      <c r="G719" s="129"/>
      <c r="H719" s="129"/>
      <c r="I719" s="129"/>
      <c r="J719" s="129"/>
      <c r="K719" s="129"/>
      <c r="L719" s="129"/>
      <c r="M719" s="129"/>
      <c r="N719" s="129"/>
      <c r="O719" s="129"/>
      <c r="P719" s="129"/>
      <c r="Q719" s="129"/>
      <c r="R719" s="129"/>
      <c r="S719" s="129"/>
      <c r="T719" s="129"/>
      <c r="U719" s="129"/>
      <c r="V719" s="122"/>
      <c r="W719" s="122"/>
      <c r="X719" s="122"/>
      <c r="Y719" s="2"/>
    </row>
    <row r="720" spans="1:25" ht="15.75" customHeight="1">
      <c r="A720" s="132"/>
      <c r="B720" s="132"/>
      <c r="C720" s="131"/>
      <c r="D720" s="131"/>
      <c r="E720" s="132"/>
      <c r="F720" s="124"/>
      <c r="G720" s="124"/>
      <c r="H720" s="124"/>
      <c r="I720" s="124"/>
      <c r="J720" s="124"/>
      <c r="K720" s="124"/>
      <c r="L720" s="124"/>
      <c r="M720" s="124"/>
      <c r="N720" s="124"/>
      <c r="O720" s="124"/>
      <c r="P720" s="124"/>
      <c r="Q720" s="124"/>
      <c r="R720" s="124"/>
      <c r="S720" s="124"/>
      <c r="T720" s="124"/>
      <c r="U720" s="124"/>
      <c r="V720" s="114"/>
      <c r="W720" s="114"/>
      <c r="X720" s="114"/>
      <c r="Y720" s="2"/>
    </row>
    <row r="721" spans="1:25" ht="15.75" customHeight="1">
      <c r="A721" s="128"/>
      <c r="B721" s="128"/>
      <c r="C721" s="127"/>
      <c r="D721" s="127"/>
      <c r="E721" s="128"/>
      <c r="F721" s="129"/>
      <c r="G721" s="129"/>
      <c r="H721" s="129"/>
      <c r="I721" s="129"/>
      <c r="J721" s="129"/>
      <c r="K721" s="129"/>
      <c r="L721" s="129"/>
      <c r="M721" s="129"/>
      <c r="N721" s="129"/>
      <c r="O721" s="129"/>
      <c r="P721" s="129"/>
      <c r="Q721" s="129"/>
      <c r="R721" s="129"/>
      <c r="S721" s="129"/>
      <c r="T721" s="129"/>
      <c r="U721" s="129"/>
      <c r="V721" s="122"/>
      <c r="W721" s="122"/>
      <c r="X721" s="122"/>
      <c r="Y721" s="2"/>
    </row>
    <row r="722" spans="1:25" ht="15.75" customHeight="1">
      <c r="A722" s="132"/>
      <c r="B722" s="132"/>
      <c r="C722" s="131"/>
      <c r="D722" s="131"/>
      <c r="E722" s="132"/>
      <c r="F722" s="124"/>
      <c r="G722" s="124"/>
      <c r="H722" s="124"/>
      <c r="I722" s="124"/>
      <c r="J722" s="124"/>
      <c r="K722" s="124"/>
      <c r="L722" s="124"/>
      <c r="M722" s="124"/>
      <c r="N722" s="124"/>
      <c r="O722" s="124"/>
      <c r="P722" s="124"/>
      <c r="Q722" s="124"/>
      <c r="R722" s="124"/>
      <c r="S722" s="124"/>
      <c r="T722" s="124"/>
      <c r="U722" s="124"/>
      <c r="V722" s="114"/>
      <c r="W722" s="114"/>
      <c r="X722" s="114"/>
      <c r="Y722" s="2"/>
    </row>
    <row r="723" spans="1:25" ht="15.75" customHeight="1">
      <c r="A723" s="128"/>
      <c r="B723" s="128"/>
      <c r="C723" s="127"/>
      <c r="D723" s="127"/>
      <c r="E723" s="128"/>
      <c r="F723" s="129"/>
      <c r="G723" s="129"/>
      <c r="H723" s="129"/>
      <c r="I723" s="129"/>
      <c r="J723" s="129"/>
      <c r="K723" s="129"/>
      <c r="L723" s="129"/>
      <c r="M723" s="129"/>
      <c r="N723" s="129"/>
      <c r="O723" s="129"/>
      <c r="P723" s="129"/>
      <c r="Q723" s="129"/>
      <c r="R723" s="129"/>
      <c r="S723" s="129"/>
      <c r="T723" s="129"/>
      <c r="U723" s="129"/>
      <c r="V723" s="122"/>
      <c r="W723" s="122"/>
      <c r="X723" s="122"/>
      <c r="Y723" s="2"/>
    </row>
    <row r="724" spans="1:25" ht="15.75" customHeight="1">
      <c r="A724" s="132"/>
      <c r="B724" s="132"/>
      <c r="C724" s="131"/>
      <c r="D724" s="131"/>
      <c r="E724" s="132"/>
      <c r="F724" s="124"/>
      <c r="G724" s="124"/>
      <c r="H724" s="124"/>
      <c r="I724" s="124"/>
      <c r="J724" s="124"/>
      <c r="K724" s="124"/>
      <c r="L724" s="124"/>
      <c r="M724" s="124"/>
      <c r="N724" s="124"/>
      <c r="O724" s="124"/>
      <c r="P724" s="124"/>
      <c r="Q724" s="124"/>
      <c r="R724" s="124"/>
      <c r="S724" s="124"/>
      <c r="T724" s="124"/>
      <c r="U724" s="124"/>
      <c r="V724" s="114"/>
      <c r="W724" s="114"/>
      <c r="X724" s="114"/>
      <c r="Y724" s="2"/>
    </row>
    <row r="725" spans="1:25" ht="15.75" customHeight="1">
      <c r="A725" s="128"/>
      <c r="B725" s="128"/>
      <c r="C725" s="127"/>
      <c r="D725" s="127"/>
      <c r="E725" s="128"/>
      <c r="F725" s="129"/>
      <c r="G725" s="129"/>
      <c r="H725" s="129"/>
      <c r="I725" s="129"/>
      <c r="J725" s="129"/>
      <c r="K725" s="129"/>
      <c r="L725" s="129"/>
      <c r="M725" s="129"/>
      <c r="N725" s="129"/>
      <c r="O725" s="129"/>
      <c r="P725" s="129"/>
      <c r="Q725" s="129"/>
      <c r="R725" s="129"/>
      <c r="S725" s="129"/>
      <c r="T725" s="129"/>
      <c r="U725" s="129"/>
      <c r="V725" s="122"/>
      <c r="W725" s="122"/>
      <c r="X725" s="122"/>
      <c r="Y725" s="2"/>
    </row>
    <row r="726" spans="1:25" ht="15.75" customHeight="1">
      <c r="E726" s="3"/>
    </row>
    <row r="727" spans="1:25" ht="15.75" customHeight="1">
      <c r="E727" s="3"/>
    </row>
    <row r="728" spans="1:25" ht="15.75" customHeight="1">
      <c r="E728" s="3"/>
    </row>
    <row r="729" spans="1:25" ht="15.75" customHeight="1">
      <c r="E729" s="3"/>
    </row>
    <row r="730" spans="1:25" ht="15.75" customHeight="1">
      <c r="E730" s="3"/>
    </row>
    <row r="731" spans="1:25" ht="15.75" customHeight="1">
      <c r="E731" s="3"/>
    </row>
    <row r="732" spans="1:25" ht="15.75" customHeight="1">
      <c r="E732" s="3"/>
    </row>
    <row r="733" spans="1:25" ht="15.75" customHeight="1">
      <c r="E733" s="3"/>
    </row>
    <row r="734" spans="1:25" ht="15.75" customHeight="1">
      <c r="E734" s="3"/>
    </row>
    <row r="735" spans="1:25" ht="15.75" customHeight="1">
      <c r="E735" s="3"/>
    </row>
    <row r="736" spans="1:25" ht="15.75" customHeight="1">
      <c r="E736" s="3"/>
    </row>
    <row r="737" spans="5:5" ht="15.75" customHeight="1">
      <c r="E737" s="3"/>
    </row>
    <row r="738" spans="5:5" ht="15.75" customHeight="1">
      <c r="E738" s="3"/>
    </row>
    <row r="739" spans="5:5" ht="15.75" customHeight="1">
      <c r="E739" s="3"/>
    </row>
    <row r="740" spans="5:5" ht="15.75" customHeight="1">
      <c r="E740" s="3"/>
    </row>
    <row r="741" spans="5:5" ht="15.75" customHeight="1">
      <c r="E741" s="3"/>
    </row>
    <row r="742" spans="5:5" ht="15.75" customHeight="1">
      <c r="E742" s="3"/>
    </row>
    <row r="743" spans="5:5" ht="15.75" customHeight="1">
      <c r="E743" s="3"/>
    </row>
    <row r="744" spans="5:5" ht="15.75" customHeight="1">
      <c r="E744" s="3"/>
    </row>
    <row r="745" spans="5:5" ht="15.75" customHeight="1">
      <c r="E745" s="3"/>
    </row>
    <row r="746" spans="5:5" ht="15.75" customHeight="1">
      <c r="E746" s="3"/>
    </row>
    <row r="747" spans="5:5" ht="15.75" customHeight="1">
      <c r="E747" s="3"/>
    </row>
    <row r="748" spans="5:5" ht="15.75" customHeight="1">
      <c r="E748" s="3"/>
    </row>
    <row r="749" spans="5:5" ht="15.75" customHeight="1">
      <c r="E749" s="3"/>
    </row>
    <row r="750" spans="5:5" ht="15.75" customHeight="1">
      <c r="E750" s="3"/>
    </row>
    <row r="751" spans="5:5" ht="15.75" customHeight="1">
      <c r="E751" s="3"/>
    </row>
    <row r="752" spans="5:5" ht="15.75" customHeight="1">
      <c r="E752" s="3"/>
    </row>
    <row r="753" spans="5:5" ht="15.75" customHeight="1">
      <c r="E753" s="3"/>
    </row>
    <row r="754" spans="5:5" ht="15.75" customHeight="1">
      <c r="E754" s="3"/>
    </row>
    <row r="755" spans="5:5" ht="15.75" customHeight="1">
      <c r="E755" s="3"/>
    </row>
    <row r="756" spans="5:5" ht="15.75" customHeight="1">
      <c r="E756" s="3"/>
    </row>
    <row r="757" spans="5:5" ht="15.75" customHeight="1">
      <c r="E757" s="3"/>
    </row>
    <row r="758" spans="5:5" ht="15.75" customHeight="1">
      <c r="E758" s="3"/>
    </row>
    <row r="759" spans="5:5" ht="15.75" customHeight="1">
      <c r="E759" s="3"/>
    </row>
    <row r="760" spans="5:5" ht="15.75" customHeight="1">
      <c r="E760" s="3"/>
    </row>
    <row r="761" spans="5:5" ht="15.75" customHeight="1">
      <c r="E761" s="3"/>
    </row>
    <row r="762" spans="5:5" ht="15.75" customHeight="1">
      <c r="E762" s="3"/>
    </row>
    <row r="763" spans="5:5" ht="15.75" customHeight="1">
      <c r="E763" s="3"/>
    </row>
    <row r="764" spans="5:5" ht="15.75" customHeight="1">
      <c r="E764" s="3"/>
    </row>
    <row r="765" spans="5:5" ht="15.75" customHeight="1">
      <c r="E765" s="3"/>
    </row>
    <row r="766" spans="5:5" ht="15.75" customHeight="1">
      <c r="E766" s="3"/>
    </row>
    <row r="767" spans="5:5" ht="15.75" customHeight="1">
      <c r="E767" s="3"/>
    </row>
    <row r="768" spans="5:5" ht="15.75" customHeight="1">
      <c r="E768" s="3"/>
    </row>
    <row r="769" spans="5:5" ht="15.75" customHeight="1">
      <c r="E769" s="3"/>
    </row>
    <row r="770" spans="5:5" ht="15.75" customHeight="1">
      <c r="E770" s="3"/>
    </row>
    <row r="771" spans="5:5" ht="15.75" customHeight="1">
      <c r="E771" s="3"/>
    </row>
    <row r="772" spans="5:5" ht="15.75" customHeight="1">
      <c r="E772" s="3"/>
    </row>
    <row r="773" spans="5:5" ht="15.75" customHeight="1">
      <c r="E773" s="3"/>
    </row>
    <row r="774" spans="5:5" ht="15.75" customHeight="1">
      <c r="E774" s="3"/>
    </row>
    <row r="775" spans="5:5" ht="15.75" customHeight="1">
      <c r="E775" s="3"/>
    </row>
    <row r="776" spans="5:5" ht="15.75" customHeight="1">
      <c r="E776" s="3"/>
    </row>
    <row r="777" spans="5:5" ht="15.75" customHeight="1">
      <c r="E777" s="3"/>
    </row>
    <row r="778" spans="5:5" ht="15.75" customHeight="1">
      <c r="E778" s="3"/>
    </row>
    <row r="779" spans="5:5" ht="15.75" customHeight="1">
      <c r="E779" s="3"/>
    </row>
    <row r="780" spans="5:5" ht="15.75" customHeight="1">
      <c r="E780" s="3"/>
    </row>
    <row r="781" spans="5:5" ht="15.75" customHeight="1">
      <c r="E781" s="3"/>
    </row>
    <row r="782" spans="5:5" ht="15.75" customHeight="1">
      <c r="E782" s="3"/>
    </row>
    <row r="783" spans="5:5" ht="15.75" customHeight="1">
      <c r="E783" s="3"/>
    </row>
    <row r="784" spans="5:5" ht="15.75" customHeight="1">
      <c r="E784" s="3"/>
    </row>
    <row r="785" spans="5:5" ht="15.75" customHeight="1">
      <c r="E785" s="3"/>
    </row>
    <row r="786" spans="5:5" ht="15.75" customHeight="1">
      <c r="E786" s="3"/>
    </row>
    <row r="787" spans="5:5" ht="15.75" customHeight="1">
      <c r="E787" s="3"/>
    </row>
    <row r="788" spans="5:5" ht="15.75" customHeight="1">
      <c r="E788" s="3"/>
    </row>
    <row r="789" spans="5:5" ht="15.75" customHeight="1">
      <c r="E789" s="3"/>
    </row>
    <row r="790" spans="5:5" ht="15.75" customHeight="1">
      <c r="E790" s="3"/>
    </row>
    <row r="791" spans="5:5" ht="15.75" customHeight="1">
      <c r="E791" s="3"/>
    </row>
    <row r="792" spans="5:5" ht="15.75" customHeight="1">
      <c r="E792" s="3"/>
    </row>
    <row r="793" spans="5:5" ht="15.75" customHeight="1">
      <c r="E793" s="3"/>
    </row>
    <row r="794" spans="5:5" ht="15.75" customHeight="1">
      <c r="E794" s="3"/>
    </row>
    <row r="795" spans="5:5" ht="15.75" customHeight="1">
      <c r="E795" s="3"/>
    </row>
    <row r="796" spans="5:5" ht="15.75" customHeight="1">
      <c r="E796" s="3"/>
    </row>
    <row r="797" spans="5:5" ht="15.75" customHeight="1">
      <c r="E797" s="3"/>
    </row>
    <row r="798" spans="5:5" ht="15.75" customHeight="1">
      <c r="E798" s="3"/>
    </row>
    <row r="799" spans="5:5" ht="15.75" customHeight="1">
      <c r="E799" s="3"/>
    </row>
    <row r="800" spans="5:5" ht="15.75" customHeight="1">
      <c r="E800" s="3"/>
    </row>
    <row r="801" spans="5:5" ht="15.75" customHeight="1">
      <c r="E801" s="3"/>
    </row>
    <row r="802" spans="5:5" ht="15.75" customHeight="1">
      <c r="E802" s="3"/>
    </row>
    <row r="803" spans="5:5" ht="15.75" customHeight="1">
      <c r="E803" s="3"/>
    </row>
    <row r="804" spans="5:5" ht="15.75" customHeight="1">
      <c r="E804" s="3"/>
    </row>
    <row r="805" spans="5:5" ht="15.75" customHeight="1">
      <c r="E805" s="3"/>
    </row>
    <row r="806" spans="5:5" ht="15.75" customHeight="1">
      <c r="E806" s="3"/>
    </row>
    <row r="807" spans="5:5" ht="15.75" customHeight="1">
      <c r="E807" s="3"/>
    </row>
    <row r="808" spans="5:5" ht="15.75" customHeight="1">
      <c r="E808" s="3"/>
    </row>
    <row r="809" spans="5:5" ht="15.75" customHeight="1">
      <c r="E809" s="3"/>
    </row>
    <row r="810" spans="5:5" ht="15.75" customHeight="1">
      <c r="E810" s="3"/>
    </row>
    <row r="811" spans="5:5" ht="15.75" customHeight="1">
      <c r="E811" s="3"/>
    </row>
    <row r="812" spans="5:5" ht="15.75" customHeight="1">
      <c r="E812" s="3"/>
    </row>
    <row r="813" spans="5:5" ht="15.75" customHeight="1">
      <c r="E813" s="3"/>
    </row>
    <row r="814" spans="5:5" ht="15.75" customHeight="1">
      <c r="E814" s="3"/>
    </row>
    <row r="815" spans="5:5" ht="15.75" customHeight="1">
      <c r="E815" s="3"/>
    </row>
    <row r="816" spans="5:5" ht="15.75" customHeight="1">
      <c r="E816" s="3"/>
    </row>
    <row r="817" spans="5:5" ht="15.75" customHeight="1">
      <c r="E817" s="3"/>
    </row>
    <row r="818" spans="5:5" ht="15.75" customHeight="1">
      <c r="E818" s="3"/>
    </row>
    <row r="819" spans="5:5" ht="15.75" customHeight="1">
      <c r="E819" s="3"/>
    </row>
    <row r="820" spans="5:5" ht="15.75" customHeight="1">
      <c r="E820" s="3"/>
    </row>
    <row r="821" spans="5:5" ht="15.75" customHeight="1">
      <c r="E821" s="3"/>
    </row>
    <row r="822" spans="5:5" ht="15.75" customHeight="1">
      <c r="E822" s="3"/>
    </row>
    <row r="823" spans="5:5" ht="15.75" customHeight="1">
      <c r="E823" s="3"/>
    </row>
    <row r="824" spans="5:5" ht="15.75" customHeight="1">
      <c r="E824" s="3"/>
    </row>
    <row r="825" spans="5:5" ht="15.75" customHeight="1">
      <c r="E825" s="3"/>
    </row>
    <row r="826" spans="5:5" ht="15.75" customHeight="1">
      <c r="E826" s="3"/>
    </row>
    <row r="827" spans="5:5" ht="15.75" customHeight="1">
      <c r="E827" s="3"/>
    </row>
    <row r="828" spans="5:5" ht="15.75" customHeight="1">
      <c r="E828" s="3"/>
    </row>
    <row r="829" spans="5:5" ht="15.75" customHeight="1">
      <c r="E829" s="3"/>
    </row>
    <row r="830" spans="5:5" ht="15.75" customHeight="1">
      <c r="E830" s="3"/>
    </row>
    <row r="831" spans="5:5" ht="15.75" customHeight="1">
      <c r="E831" s="3"/>
    </row>
    <row r="832" spans="5:5" ht="15.75" customHeight="1">
      <c r="E832" s="3"/>
    </row>
    <row r="833" spans="5:5" ht="15.75" customHeight="1">
      <c r="E833" s="3"/>
    </row>
    <row r="834" spans="5:5" ht="15.75" customHeight="1">
      <c r="E834" s="3"/>
    </row>
    <row r="835" spans="5:5" ht="15.75" customHeight="1">
      <c r="E835" s="3"/>
    </row>
    <row r="836" spans="5:5" ht="15.75" customHeight="1">
      <c r="E836" s="3"/>
    </row>
    <row r="837" spans="5:5" ht="15.75" customHeight="1">
      <c r="E837" s="3"/>
    </row>
    <row r="838" spans="5:5" ht="15.75" customHeight="1">
      <c r="E838" s="3"/>
    </row>
    <row r="839" spans="5:5" ht="15.75" customHeight="1">
      <c r="E839" s="3"/>
    </row>
    <row r="840" spans="5:5" ht="15.75" customHeight="1">
      <c r="E840" s="3"/>
    </row>
    <row r="841" spans="5:5" ht="15.75" customHeight="1">
      <c r="E841" s="3"/>
    </row>
    <row r="842" spans="5:5" ht="15.75" customHeight="1">
      <c r="E842" s="3"/>
    </row>
    <row r="843" spans="5:5" ht="15.75" customHeight="1">
      <c r="E843" s="3"/>
    </row>
    <row r="844" spans="5:5" ht="15.75" customHeight="1">
      <c r="E844" s="3"/>
    </row>
    <row r="845" spans="5:5" ht="15.75" customHeight="1">
      <c r="E845" s="3"/>
    </row>
    <row r="846" spans="5:5" ht="15.75" customHeight="1">
      <c r="E846" s="3"/>
    </row>
    <row r="847" spans="5:5" ht="15.75" customHeight="1">
      <c r="E847" s="3"/>
    </row>
    <row r="848" spans="5:5" ht="15.75" customHeight="1">
      <c r="E848" s="3"/>
    </row>
    <row r="849" spans="5:5" ht="15.75" customHeight="1">
      <c r="E849" s="3"/>
    </row>
    <row r="850" spans="5:5" ht="15.75" customHeight="1">
      <c r="E850" s="3"/>
    </row>
    <row r="851" spans="5:5" ht="15.75" customHeight="1">
      <c r="E851" s="3"/>
    </row>
    <row r="852" spans="5:5" ht="15.75" customHeight="1">
      <c r="E852" s="3"/>
    </row>
    <row r="853" spans="5:5" ht="15.75" customHeight="1">
      <c r="E853" s="3"/>
    </row>
    <row r="854" spans="5:5" ht="15.75" customHeight="1">
      <c r="E854" s="3"/>
    </row>
    <row r="855" spans="5:5" ht="15.75" customHeight="1">
      <c r="E855" s="3"/>
    </row>
    <row r="856" spans="5:5" ht="15.75" customHeight="1">
      <c r="E856" s="3"/>
    </row>
    <row r="857" spans="5:5" ht="15.75" customHeight="1">
      <c r="E857" s="3"/>
    </row>
    <row r="858" spans="5:5" ht="15.75" customHeight="1">
      <c r="E858" s="3"/>
    </row>
    <row r="859" spans="5:5" ht="15.75" customHeight="1">
      <c r="E859" s="3"/>
    </row>
    <row r="860" spans="5:5" ht="15.75" customHeight="1">
      <c r="E860" s="3"/>
    </row>
    <row r="861" spans="5:5" ht="15.75" customHeight="1">
      <c r="E861" s="3"/>
    </row>
    <row r="862" spans="5:5" ht="15.75" customHeight="1">
      <c r="E862" s="3"/>
    </row>
    <row r="863" spans="5:5" ht="15.75" customHeight="1">
      <c r="E863" s="3"/>
    </row>
    <row r="864" spans="5:5" ht="15.75" customHeight="1">
      <c r="E864" s="3"/>
    </row>
    <row r="865" spans="5:5" ht="15.75" customHeight="1">
      <c r="E865" s="3"/>
    </row>
    <row r="866" spans="5:5" ht="15.75" customHeight="1">
      <c r="E866" s="3"/>
    </row>
    <row r="867" spans="5:5" ht="15.75" customHeight="1">
      <c r="E867" s="3"/>
    </row>
    <row r="868" spans="5:5" ht="15.75" customHeight="1">
      <c r="E868" s="3"/>
    </row>
    <row r="869" spans="5:5" ht="15.75" customHeight="1">
      <c r="E869" s="3"/>
    </row>
    <row r="870" spans="5:5" ht="15.75" customHeight="1">
      <c r="E870" s="3"/>
    </row>
    <row r="871" spans="5:5" ht="15.75" customHeight="1">
      <c r="E871" s="3"/>
    </row>
    <row r="872" spans="5:5" ht="15.75" customHeight="1">
      <c r="E872" s="3"/>
    </row>
    <row r="873" spans="5:5" ht="15.75" customHeight="1">
      <c r="E873" s="3"/>
    </row>
    <row r="874" spans="5:5" ht="15.75" customHeight="1">
      <c r="E874" s="3"/>
    </row>
    <row r="875" spans="5:5" ht="15.75" customHeight="1">
      <c r="E875" s="3"/>
    </row>
    <row r="876" spans="5:5" ht="15.75" customHeight="1">
      <c r="E876" s="3"/>
    </row>
    <row r="877" spans="5:5" ht="15.75" customHeight="1">
      <c r="E877" s="3"/>
    </row>
    <row r="878" spans="5:5" ht="15.75" customHeight="1">
      <c r="E878" s="3"/>
    </row>
    <row r="879" spans="5:5" ht="15.75" customHeight="1">
      <c r="E879" s="3"/>
    </row>
    <row r="880" spans="5:5" ht="15.75" customHeight="1">
      <c r="E880" s="3"/>
    </row>
    <row r="881" spans="5:5" ht="15.75" customHeight="1">
      <c r="E881" s="3"/>
    </row>
    <row r="882" spans="5:5" ht="15.75" customHeight="1">
      <c r="E882" s="3"/>
    </row>
    <row r="883" spans="5:5" ht="15.75" customHeight="1">
      <c r="E883" s="3"/>
    </row>
    <row r="884" spans="5:5" ht="15.75" customHeight="1">
      <c r="E884" s="3"/>
    </row>
    <row r="885" spans="5:5" ht="15.75" customHeight="1">
      <c r="E885" s="3"/>
    </row>
    <row r="886" spans="5:5" ht="15.75" customHeight="1">
      <c r="E886" s="3"/>
    </row>
    <row r="887" spans="5:5" ht="15.75" customHeight="1">
      <c r="E887" s="3"/>
    </row>
    <row r="888" spans="5:5" ht="15.75" customHeight="1">
      <c r="E888" s="3"/>
    </row>
    <row r="889" spans="5:5" ht="15.75" customHeight="1">
      <c r="E889" s="3"/>
    </row>
    <row r="890" spans="5:5" ht="15.75" customHeight="1">
      <c r="E890" s="3"/>
    </row>
    <row r="891" spans="5:5" ht="15.75" customHeight="1">
      <c r="E891" s="3"/>
    </row>
    <row r="892" spans="5:5" ht="15.75" customHeight="1">
      <c r="E892" s="3"/>
    </row>
    <row r="893" spans="5:5" ht="15.75" customHeight="1">
      <c r="E893" s="3"/>
    </row>
    <row r="894" spans="5:5" ht="15.75" customHeight="1">
      <c r="E894" s="3"/>
    </row>
    <row r="895" spans="5:5" ht="15.75" customHeight="1">
      <c r="E895" s="3"/>
    </row>
    <row r="896" spans="5:5" ht="15.75" customHeight="1">
      <c r="E896" s="3"/>
    </row>
    <row r="897" spans="5:5" ht="15.75" customHeight="1">
      <c r="E897" s="3"/>
    </row>
    <row r="898" spans="5:5" ht="15.75" customHeight="1">
      <c r="E898" s="3"/>
    </row>
    <row r="899" spans="5:5" ht="15.75" customHeight="1">
      <c r="E899" s="3"/>
    </row>
    <row r="900" spans="5:5" ht="15.75" customHeight="1">
      <c r="E900" s="3"/>
    </row>
    <row r="901" spans="5:5" ht="15.75" customHeight="1">
      <c r="E901" s="3"/>
    </row>
    <row r="902" spans="5:5" ht="15.75" customHeight="1">
      <c r="E902" s="3"/>
    </row>
    <row r="903" spans="5:5" ht="15.75" customHeight="1">
      <c r="E903" s="3"/>
    </row>
    <row r="904" spans="5:5" ht="15.75" customHeight="1">
      <c r="E904" s="3"/>
    </row>
    <row r="905" spans="5:5" ht="15.75" customHeight="1">
      <c r="E905" s="3"/>
    </row>
    <row r="906" spans="5:5" ht="15.75" customHeight="1">
      <c r="E906" s="3"/>
    </row>
    <row r="907" spans="5:5" ht="15.75" customHeight="1">
      <c r="E907" s="3"/>
    </row>
    <row r="908" spans="5:5" ht="15.75" customHeight="1">
      <c r="E908" s="3"/>
    </row>
    <row r="909" spans="5:5" ht="15.75" customHeight="1">
      <c r="E909" s="3"/>
    </row>
    <row r="910" spans="5:5" ht="15.75" customHeight="1">
      <c r="E910" s="3"/>
    </row>
    <row r="911" spans="5:5" ht="15.75" customHeight="1">
      <c r="E911" s="3"/>
    </row>
    <row r="912" spans="5:5" ht="15.75" customHeight="1">
      <c r="E912" s="3"/>
    </row>
    <row r="913" spans="5:5" ht="15.75" customHeight="1">
      <c r="E913" s="3"/>
    </row>
    <row r="914" spans="5:5" ht="15.75" customHeight="1">
      <c r="E914" s="3"/>
    </row>
    <row r="915" spans="5:5" ht="15.75" customHeight="1">
      <c r="E915" s="3"/>
    </row>
    <row r="916" spans="5:5" ht="15.75" customHeight="1">
      <c r="E916" s="3"/>
    </row>
    <row r="917" spans="5:5" ht="15.75" customHeight="1">
      <c r="E917" s="3"/>
    </row>
    <row r="918" spans="5:5" ht="15.75" customHeight="1">
      <c r="E918" s="3"/>
    </row>
    <row r="919" spans="5:5" ht="15.75" customHeight="1">
      <c r="E919" s="3"/>
    </row>
    <row r="920" spans="5:5" ht="15.75" customHeight="1">
      <c r="E920" s="3"/>
    </row>
    <row r="921" spans="5:5" ht="15.75" customHeight="1">
      <c r="E921" s="3"/>
    </row>
    <row r="922" spans="5:5" ht="15.75" customHeight="1">
      <c r="E922" s="3"/>
    </row>
    <row r="923" spans="5:5" ht="15.75" customHeight="1">
      <c r="E923" s="3"/>
    </row>
    <row r="924" spans="5:5" ht="15.75" customHeight="1">
      <c r="E924" s="3"/>
    </row>
    <row r="925" spans="5:5" ht="15.75" customHeight="1">
      <c r="E925" s="3"/>
    </row>
    <row r="926" spans="5:5" ht="15.75" customHeight="1">
      <c r="E926" s="3"/>
    </row>
    <row r="927" spans="5:5" ht="15.75" customHeight="1">
      <c r="E927" s="3"/>
    </row>
    <row r="928" spans="5:5" ht="15.75" customHeight="1">
      <c r="E928" s="3"/>
    </row>
    <row r="929" spans="5:5" ht="15.75" customHeight="1">
      <c r="E929" s="3"/>
    </row>
    <row r="930" spans="5:5" ht="15.75" customHeight="1">
      <c r="E930" s="3"/>
    </row>
    <row r="931" spans="5:5" ht="15.75" customHeight="1">
      <c r="E931" s="3"/>
    </row>
    <row r="932" spans="5:5" ht="15.75" customHeight="1">
      <c r="E932" s="3"/>
    </row>
    <row r="933" spans="5:5" ht="15.75" customHeight="1">
      <c r="E933" s="3"/>
    </row>
    <row r="934" spans="5:5" ht="15.75" customHeight="1">
      <c r="E934" s="3"/>
    </row>
    <row r="935" spans="5:5" ht="15.75" customHeight="1">
      <c r="E935" s="3"/>
    </row>
    <row r="936" spans="5:5" ht="15.75" customHeight="1">
      <c r="E936" s="3"/>
    </row>
    <row r="937" spans="5:5" ht="15.75" customHeight="1">
      <c r="E937" s="3"/>
    </row>
    <row r="938" spans="5:5" ht="15.75" customHeight="1">
      <c r="E938" s="3"/>
    </row>
    <row r="939" spans="5:5" ht="15.75" customHeight="1">
      <c r="E939" s="3"/>
    </row>
    <row r="940" spans="5:5" ht="15.75" customHeight="1">
      <c r="E940" s="3"/>
    </row>
    <row r="941" spans="5:5" ht="15.75" customHeight="1">
      <c r="E941" s="3"/>
    </row>
    <row r="942" spans="5:5" ht="15.75" customHeight="1">
      <c r="E942" s="3"/>
    </row>
    <row r="943" spans="5:5" ht="15.75" customHeight="1">
      <c r="E943" s="3"/>
    </row>
    <row r="944" spans="5:5" ht="15.75" customHeight="1">
      <c r="E944" s="3"/>
    </row>
    <row r="945" spans="5:5" ht="15.75" customHeight="1">
      <c r="E945" s="3"/>
    </row>
    <row r="946" spans="5:5" ht="15.75" customHeight="1">
      <c r="E946" s="3"/>
    </row>
    <row r="947" spans="5:5" ht="15.75" customHeight="1">
      <c r="E947" s="3"/>
    </row>
    <row r="948" spans="5:5" ht="15.75" customHeight="1">
      <c r="E948" s="3"/>
    </row>
    <row r="949" spans="5:5" ht="15.75" customHeight="1">
      <c r="E949" s="3"/>
    </row>
    <row r="950" spans="5:5" ht="15.75" customHeight="1">
      <c r="E950" s="3"/>
    </row>
    <row r="951" spans="5:5" ht="15.75" customHeight="1">
      <c r="E951" s="3"/>
    </row>
    <row r="952" spans="5:5" ht="15.75" customHeight="1">
      <c r="E952" s="3"/>
    </row>
    <row r="953" spans="5:5" ht="15.75" customHeight="1">
      <c r="E953" s="3"/>
    </row>
    <row r="954" spans="5:5" ht="15.75" customHeight="1">
      <c r="E954" s="3"/>
    </row>
    <row r="955" spans="5:5" ht="15.75" customHeight="1">
      <c r="E955" s="3"/>
    </row>
    <row r="956" spans="5:5" ht="15.75" customHeight="1">
      <c r="E956" s="3"/>
    </row>
    <row r="957" spans="5:5" ht="15.75" customHeight="1">
      <c r="E957" s="3"/>
    </row>
    <row r="958" spans="5:5" ht="15.75" customHeight="1">
      <c r="E958" s="3"/>
    </row>
    <row r="959" spans="5:5" ht="15.75" customHeight="1">
      <c r="E959" s="3"/>
    </row>
    <row r="960" spans="5:5" ht="15.75" customHeight="1">
      <c r="E960" s="3"/>
    </row>
    <row r="961" spans="5:5" ht="15.75" customHeight="1">
      <c r="E961" s="3"/>
    </row>
    <row r="962" spans="5:5" ht="15.75" customHeight="1">
      <c r="E962" s="3"/>
    </row>
    <row r="963" spans="5:5" ht="15.75" customHeight="1">
      <c r="E963" s="3"/>
    </row>
    <row r="964" spans="5:5" ht="15.75" customHeight="1">
      <c r="E964" s="3"/>
    </row>
    <row r="965" spans="5:5" ht="15.75" customHeight="1">
      <c r="E965" s="3"/>
    </row>
    <row r="966" spans="5:5" ht="15.75" customHeight="1">
      <c r="E966" s="3"/>
    </row>
    <row r="967" spans="5:5" ht="15.75" customHeight="1">
      <c r="E967" s="3"/>
    </row>
    <row r="968" spans="5:5" ht="15.75" customHeight="1">
      <c r="E968" s="3"/>
    </row>
    <row r="969" spans="5:5" ht="15.75" customHeight="1">
      <c r="E969" s="3"/>
    </row>
    <row r="970" spans="5:5" ht="15.75" customHeight="1">
      <c r="E970" s="3"/>
    </row>
    <row r="971" spans="5:5" ht="15.75" customHeight="1">
      <c r="E971" s="3"/>
    </row>
    <row r="972" spans="5:5" ht="15.75" customHeight="1">
      <c r="E972" s="3"/>
    </row>
    <row r="973" spans="5:5" ht="15.75" customHeight="1">
      <c r="E973" s="3"/>
    </row>
    <row r="974" spans="5:5" ht="15.75" customHeight="1">
      <c r="E974" s="3"/>
    </row>
    <row r="975" spans="5:5" ht="15.75" customHeight="1">
      <c r="E975" s="3"/>
    </row>
    <row r="976" spans="5:5" ht="15.75" customHeight="1">
      <c r="E976" s="3"/>
    </row>
    <row r="977" spans="5:5" ht="15.75" customHeight="1">
      <c r="E977" s="3"/>
    </row>
    <row r="978" spans="5:5" ht="15.75" customHeight="1">
      <c r="E978" s="3"/>
    </row>
    <row r="979" spans="5:5" ht="15.75" customHeight="1">
      <c r="E979" s="3"/>
    </row>
    <row r="980" spans="5:5" ht="15.75" customHeight="1">
      <c r="E980" s="3"/>
    </row>
    <row r="981" spans="5:5" ht="15.75" customHeight="1">
      <c r="E981" s="3"/>
    </row>
    <row r="982" spans="5:5" ht="15.75" customHeight="1">
      <c r="E982" s="3"/>
    </row>
    <row r="983" spans="5:5" ht="15.75" customHeight="1">
      <c r="E983" s="3"/>
    </row>
    <row r="984" spans="5:5" ht="15.75" customHeight="1">
      <c r="E984" s="3"/>
    </row>
    <row r="985" spans="5:5" ht="15.75" customHeight="1">
      <c r="E985" s="3"/>
    </row>
    <row r="986" spans="5:5" ht="15.75" customHeight="1">
      <c r="E986" s="3"/>
    </row>
    <row r="987" spans="5:5" ht="15.75" customHeight="1">
      <c r="E987" s="3"/>
    </row>
    <row r="988" spans="5:5" ht="15.75" customHeight="1">
      <c r="E988" s="3"/>
    </row>
    <row r="989" spans="5:5" ht="15.75" customHeight="1">
      <c r="E989" s="3"/>
    </row>
    <row r="990" spans="5:5" ht="15.75" customHeight="1">
      <c r="E990" s="3"/>
    </row>
    <row r="991" spans="5:5" ht="15.75" customHeight="1">
      <c r="E991" s="3"/>
    </row>
    <row r="992" spans="5:5" ht="15.75" customHeight="1">
      <c r="E992" s="3"/>
    </row>
    <row r="993" spans="5:5" ht="15.75" customHeight="1">
      <c r="E993" s="3"/>
    </row>
    <row r="994" spans="5:5" ht="15.75" customHeight="1">
      <c r="E994" s="3"/>
    </row>
    <row r="995" spans="5:5" ht="15.75" customHeight="1">
      <c r="E995" s="3"/>
    </row>
    <row r="996" spans="5:5" ht="15.75" customHeight="1">
      <c r="E996" s="3"/>
    </row>
    <row r="997" spans="5:5" ht="15.75" customHeight="1">
      <c r="E997" s="3"/>
    </row>
    <row r="998" spans="5:5" ht="15.75" customHeight="1">
      <c r="E998" s="3"/>
    </row>
    <row r="999" spans="5:5" ht="15.75" customHeight="1">
      <c r="E999" s="3"/>
    </row>
  </sheetData>
  <autoFilter ref="A1:V543" xr:uid="{00000000-0009-0000-0000-000003000000}"/>
  <conditionalFormatting sqref="A525:A542">
    <cfRule type="expression" dxfId="1" priority="2">
      <formula>COUNTIF(A:A, A525)&gt;1</formula>
    </cfRule>
  </conditionalFormatting>
  <conditionalFormatting sqref="A525:B542">
    <cfRule type="expression" dxfId="0" priority="1" stopIfTrue="1">
      <formula>$E525="Inactive"</formula>
    </cfRule>
  </conditionalFormatting>
  <dataValidations count="1">
    <dataValidation type="list" allowBlank="1" sqref="E2:E14 E16:E999" xr:uid="{00000000-0002-0000-0300-000000000000}">
      <formula1>"Communication 1,Communication 2,Communication 3,Business English,Foundation,Extension of Foundation"</formula1>
    </dataValidation>
  </dataValidations>
  <pageMargins left="0.75" right="0.75" top="1" bottom="1"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
  <sheetViews>
    <sheetView workbookViewId="0">
      <pane ySplit="1" topLeftCell="A2" activePane="bottomLeft" state="frozen"/>
      <selection pane="bottomLeft" activeCell="B3" sqref="B3"/>
    </sheetView>
  </sheetViews>
  <sheetFormatPr defaultColWidth="14.42578125" defaultRowHeight="15" customHeight="1"/>
  <cols>
    <col min="1" max="1" width="21.5703125" customWidth="1"/>
    <col min="2" max="2" width="11.5703125" customWidth="1"/>
    <col min="3" max="3" width="28.7109375" customWidth="1"/>
    <col min="4" max="4" width="50.140625" customWidth="1"/>
  </cols>
  <sheetData>
    <row r="1" spans="1:4">
      <c r="A1" s="134" t="s">
        <v>830</v>
      </c>
      <c r="B1" s="134" t="s">
        <v>831</v>
      </c>
      <c r="C1" s="134" t="s">
        <v>832</v>
      </c>
      <c r="D1" s="134" t="s">
        <v>833</v>
      </c>
    </row>
    <row r="2" spans="1:4">
      <c r="A2" s="3" t="s">
        <v>834</v>
      </c>
      <c r="B2" s="3" t="s">
        <v>835</v>
      </c>
      <c r="C2" s="3" t="s">
        <v>836</v>
      </c>
      <c r="D2" s="3" t="s">
        <v>837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showGridLines="0" workbookViewId="0"/>
  </sheetViews>
  <sheetFormatPr defaultColWidth="14.42578125" defaultRowHeight="15" customHeight="1"/>
  <cols>
    <col min="1" max="1" width="23" customWidth="1"/>
    <col min="2" max="3" width="14.42578125" customWidth="1"/>
  </cols>
  <sheetData>
    <row r="1" spans="1:26">
      <c r="A1" s="135" t="s">
        <v>14</v>
      </c>
      <c r="B1" s="135" t="s">
        <v>838</v>
      </c>
      <c r="C1" s="135" t="s">
        <v>839</v>
      </c>
      <c r="D1" s="136"/>
      <c r="E1" s="135"/>
      <c r="F1" s="135"/>
      <c r="G1" s="135"/>
      <c r="H1" s="135"/>
      <c r="I1" s="135"/>
      <c r="J1" s="135"/>
      <c r="K1" s="135"/>
      <c r="L1" s="135"/>
      <c r="M1" s="135"/>
      <c r="N1" s="135"/>
      <c r="O1" s="135"/>
      <c r="P1" s="135"/>
      <c r="Q1" s="135"/>
      <c r="R1" s="135"/>
      <c r="S1" s="135"/>
      <c r="T1" s="135"/>
      <c r="U1" s="135"/>
      <c r="V1" s="135"/>
      <c r="W1" s="135"/>
      <c r="X1" s="135"/>
      <c r="Y1" s="135"/>
      <c r="Z1" s="135"/>
    </row>
    <row r="2" spans="1:26">
      <c r="A2" s="3" t="s">
        <v>24</v>
      </c>
      <c r="B2" s="3">
        <v>5</v>
      </c>
      <c r="C2" s="3">
        <v>30</v>
      </c>
      <c r="D2" s="137">
        <f t="shared" ref="D2:D8" si="0">C2/B2</f>
        <v>6</v>
      </c>
    </row>
    <row r="3" spans="1:26">
      <c r="A3" s="3" t="s">
        <v>21</v>
      </c>
      <c r="B3" s="3">
        <v>43</v>
      </c>
      <c r="C3" s="3">
        <v>261</v>
      </c>
      <c r="D3" s="137">
        <f t="shared" si="0"/>
        <v>6.0697674418604652</v>
      </c>
    </row>
    <row r="4" spans="1:26">
      <c r="A4" s="3" t="s">
        <v>22</v>
      </c>
      <c r="B4" s="3">
        <v>23</v>
      </c>
      <c r="C4" s="3">
        <v>147</v>
      </c>
      <c r="D4" s="137">
        <f t="shared" si="0"/>
        <v>6.3913043478260869</v>
      </c>
    </row>
    <row r="5" spans="1:26">
      <c r="A5" s="3" t="s">
        <v>23</v>
      </c>
      <c r="B5" s="3">
        <v>3</v>
      </c>
      <c r="C5" s="3">
        <v>22</v>
      </c>
      <c r="D5" s="137">
        <f t="shared" si="0"/>
        <v>7.333333333333333</v>
      </c>
    </row>
    <row r="6" spans="1:26">
      <c r="A6" s="3" t="s">
        <v>26</v>
      </c>
      <c r="B6" s="3">
        <v>1</v>
      </c>
      <c r="C6" s="3">
        <v>3</v>
      </c>
      <c r="D6" s="137">
        <f t="shared" si="0"/>
        <v>3</v>
      </c>
    </row>
    <row r="7" spans="1:26">
      <c r="A7" s="3" t="s">
        <v>25</v>
      </c>
      <c r="B7" s="3">
        <v>5</v>
      </c>
      <c r="C7" s="3">
        <v>41</v>
      </c>
      <c r="D7" s="137">
        <f t="shared" si="0"/>
        <v>8.1999999999999993</v>
      </c>
    </row>
    <row r="8" spans="1:26">
      <c r="A8" s="3" t="s">
        <v>840</v>
      </c>
      <c r="B8" s="3">
        <v>47</v>
      </c>
      <c r="C8" s="3">
        <v>287</v>
      </c>
      <c r="D8" s="137">
        <f t="shared" si="0"/>
        <v>6.1063829787234045</v>
      </c>
    </row>
    <row r="9" spans="1:26">
      <c r="D9" s="137"/>
    </row>
    <row r="10" spans="1:26">
      <c r="D10" s="137"/>
    </row>
    <row r="11" spans="1:26">
      <c r="D11" s="137"/>
    </row>
    <row r="12" spans="1:26">
      <c r="D12" s="137"/>
    </row>
    <row r="13" spans="1:26">
      <c r="B13" s="3">
        <f>SUM(B2:B7)*15</f>
        <v>1200</v>
      </c>
      <c r="D13" s="137"/>
    </row>
    <row r="14" spans="1:26">
      <c r="D14" s="137"/>
    </row>
    <row r="15" spans="1:26">
      <c r="D15" s="137"/>
    </row>
    <row r="16" spans="1:26">
      <c r="D16" s="137"/>
    </row>
    <row r="17" spans="4:4">
      <c r="D17" s="137"/>
    </row>
    <row r="18" spans="4:4">
      <c r="D18" s="137"/>
    </row>
    <row r="19" spans="4:4">
      <c r="D19" s="137"/>
    </row>
    <row r="20" spans="4:4">
      <c r="D20" s="137"/>
    </row>
    <row r="21" spans="4:4">
      <c r="D21" s="137"/>
    </row>
    <row r="22" spans="4:4">
      <c r="D22" s="137"/>
    </row>
    <row r="23" spans="4:4">
      <c r="D23" s="137"/>
    </row>
    <row r="24" spans="4:4">
      <c r="D24" s="137"/>
    </row>
    <row r="25" spans="4:4">
      <c r="D25" s="137"/>
    </row>
    <row r="26" spans="4:4">
      <c r="D26" s="137"/>
    </row>
    <row r="27" spans="4:4">
      <c r="D27" s="137"/>
    </row>
    <row r="28" spans="4:4">
      <c r="D28" s="137"/>
    </row>
    <row r="29" spans="4:4">
      <c r="D29" s="137"/>
    </row>
    <row r="30" spans="4:4">
      <c r="D30" s="137"/>
    </row>
    <row r="31" spans="4:4">
      <c r="D31" s="137"/>
    </row>
    <row r="32" spans="4:4">
      <c r="D32" s="137"/>
    </row>
    <row r="33" spans="4:4">
      <c r="D33" s="137"/>
    </row>
    <row r="34" spans="4:4">
      <c r="D34" s="137"/>
    </row>
    <row r="35" spans="4:4">
      <c r="D35" s="137"/>
    </row>
    <row r="36" spans="4:4">
      <c r="D36" s="137"/>
    </row>
    <row r="37" spans="4:4">
      <c r="D37" s="137"/>
    </row>
    <row r="38" spans="4:4">
      <c r="D38" s="137"/>
    </row>
    <row r="39" spans="4:4">
      <c r="D39" s="137"/>
    </row>
    <row r="40" spans="4:4">
      <c r="D40" s="137"/>
    </row>
    <row r="41" spans="4:4">
      <c r="D41" s="137"/>
    </row>
    <row r="42" spans="4:4">
      <c r="D42" s="137"/>
    </row>
    <row r="43" spans="4:4">
      <c r="D43" s="137"/>
    </row>
    <row r="44" spans="4:4">
      <c r="D44" s="137"/>
    </row>
    <row r="45" spans="4:4">
      <c r="D45" s="137"/>
    </row>
    <row r="46" spans="4:4">
      <c r="D46" s="137"/>
    </row>
    <row r="47" spans="4:4">
      <c r="D47" s="137"/>
    </row>
    <row r="48" spans="4:4">
      <c r="D48" s="137"/>
    </row>
    <row r="49" spans="4:4">
      <c r="D49" s="137"/>
    </row>
    <row r="50" spans="4:4">
      <c r="D50" s="137"/>
    </row>
    <row r="51" spans="4:4">
      <c r="D51" s="137"/>
    </row>
    <row r="52" spans="4:4">
      <c r="D52" s="137"/>
    </row>
    <row r="53" spans="4:4">
      <c r="D53" s="137"/>
    </row>
    <row r="54" spans="4:4">
      <c r="D54" s="137"/>
    </row>
    <row r="55" spans="4:4">
      <c r="D55" s="137"/>
    </row>
    <row r="56" spans="4:4">
      <c r="D56" s="137"/>
    </row>
    <row r="57" spans="4:4">
      <c r="D57" s="137"/>
    </row>
    <row r="58" spans="4:4">
      <c r="D58" s="137"/>
    </row>
    <row r="59" spans="4:4">
      <c r="D59" s="137"/>
    </row>
    <row r="60" spans="4:4">
      <c r="D60" s="137"/>
    </row>
    <row r="61" spans="4:4">
      <c r="D61" s="137"/>
    </row>
    <row r="62" spans="4:4">
      <c r="D62" s="137"/>
    </row>
    <row r="63" spans="4:4">
      <c r="D63" s="137"/>
    </row>
    <row r="64" spans="4:4">
      <c r="D64" s="137"/>
    </row>
    <row r="65" spans="4:4">
      <c r="D65" s="137"/>
    </row>
    <row r="66" spans="4:4">
      <c r="D66" s="137"/>
    </row>
    <row r="67" spans="4:4">
      <c r="D67" s="137"/>
    </row>
    <row r="68" spans="4:4">
      <c r="D68" s="137"/>
    </row>
    <row r="69" spans="4:4">
      <c r="D69" s="137"/>
    </row>
    <row r="70" spans="4:4">
      <c r="D70" s="137"/>
    </row>
    <row r="71" spans="4:4">
      <c r="D71" s="137"/>
    </row>
    <row r="72" spans="4:4">
      <c r="D72" s="137"/>
    </row>
    <row r="73" spans="4:4">
      <c r="D73" s="137"/>
    </row>
    <row r="74" spans="4:4">
      <c r="D74" s="137"/>
    </row>
    <row r="75" spans="4:4">
      <c r="D75" s="137"/>
    </row>
    <row r="76" spans="4:4">
      <c r="D76" s="137"/>
    </row>
    <row r="77" spans="4:4">
      <c r="D77" s="137"/>
    </row>
    <row r="78" spans="4:4">
      <c r="D78" s="137"/>
    </row>
    <row r="79" spans="4:4">
      <c r="D79" s="137"/>
    </row>
    <row r="80" spans="4:4">
      <c r="D80" s="137"/>
    </row>
    <row r="81" spans="4:4">
      <c r="D81" s="137"/>
    </row>
    <row r="82" spans="4:4">
      <c r="D82" s="137"/>
    </row>
    <row r="83" spans="4:4">
      <c r="D83" s="137"/>
    </row>
    <row r="84" spans="4:4">
      <c r="D84" s="137"/>
    </row>
    <row r="85" spans="4:4">
      <c r="D85" s="137"/>
    </row>
    <row r="86" spans="4:4">
      <c r="D86" s="137"/>
    </row>
    <row r="87" spans="4:4">
      <c r="D87" s="137"/>
    </row>
    <row r="88" spans="4:4">
      <c r="D88" s="137"/>
    </row>
    <row r="89" spans="4:4">
      <c r="D89" s="137"/>
    </row>
    <row r="90" spans="4:4">
      <c r="D90" s="137"/>
    </row>
    <row r="91" spans="4:4">
      <c r="D91" s="137"/>
    </row>
    <row r="92" spans="4:4">
      <c r="D92" s="137"/>
    </row>
    <row r="93" spans="4:4">
      <c r="D93" s="137"/>
    </row>
    <row r="94" spans="4:4">
      <c r="D94" s="137"/>
    </row>
    <row r="95" spans="4:4">
      <c r="D95" s="137"/>
    </row>
    <row r="96" spans="4:4">
      <c r="D96" s="137"/>
    </row>
    <row r="97" spans="4:4">
      <c r="D97" s="137"/>
    </row>
    <row r="98" spans="4:4">
      <c r="D98" s="137"/>
    </row>
    <row r="99" spans="4:4">
      <c r="D99" s="137"/>
    </row>
    <row r="100" spans="4:4">
      <c r="D100" s="137"/>
    </row>
    <row r="101" spans="4:4">
      <c r="D101" s="137"/>
    </row>
    <row r="102" spans="4:4">
      <c r="D102" s="137"/>
    </row>
    <row r="103" spans="4:4">
      <c r="D103" s="137"/>
    </row>
    <row r="104" spans="4:4">
      <c r="D104" s="137"/>
    </row>
    <row r="105" spans="4:4">
      <c r="D105" s="137"/>
    </row>
    <row r="106" spans="4:4">
      <c r="D106" s="137"/>
    </row>
    <row r="107" spans="4:4">
      <c r="D107" s="137"/>
    </row>
    <row r="108" spans="4:4">
      <c r="D108" s="137"/>
    </row>
    <row r="109" spans="4:4">
      <c r="D109" s="137"/>
    </row>
    <row r="110" spans="4:4">
      <c r="D110" s="137"/>
    </row>
    <row r="111" spans="4:4">
      <c r="D111" s="137"/>
    </row>
    <row r="112" spans="4:4">
      <c r="D112" s="137"/>
    </row>
    <row r="113" spans="4:4">
      <c r="D113" s="137"/>
    </row>
    <row r="114" spans="4:4">
      <c r="D114" s="137"/>
    </row>
    <row r="115" spans="4:4">
      <c r="D115" s="137"/>
    </row>
    <row r="116" spans="4:4">
      <c r="D116" s="137"/>
    </row>
    <row r="117" spans="4:4">
      <c r="D117" s="137"/>
    </row>
    <row r="118" spans="4:4">
      <c r="D118" s="137"/>
    </row>
    <row r="119" spans="4:4">
      <c r="D119" s="137"/>
    </row>
    <row r="120" spans="4:4">
      <c r="D120" s="137"/>
    </row>
    <row r="121" spans="4:4">
      <c r="D121" s="137"/>
    </row>
    <row r="122" spans="4:4">
      <c r="D122" s="137"/>
    </row>
    <row r="123" spans="4:4">
      <c r="D123" s="137"/>
    </row>
    <row r="124" spans="4:4">
      <c r="D124" s="137"/>
    </row>
    <row r="125" spans="4:4">
      <c r="D125" s="137"/>
    </row>
    <row r="126" spans="4:4">
      <c r="D126" s="137"/>
    </row>
    <row r="127" spans="4:4">
      <c r="D127" s="137"/>
    </row>
    <row r="128" spans="4:4">
      <c r="D128" s="137"/>
    </row>
    <row r="129" spans="4:4">
      <c r="D129" s="137"/>
    </row>
    <row r="130" spans="4:4">
      <c r="D130" s="137"/>
    </row>
    <row r="131" spans="4:4">
      <c r="D131" s="137"/>
    </row>
    <row r="132" spans="4:4">
      <c r="D132" s="137"/>
    </row>
    <row r="133" spans="4:4">
      <c r="D133" s="137"/>
    </row>
    <row r="134" spans="4:4">
      <c r="D134" s="137"/>
    </row>
    <row r="135" spans="4:4">
      <c r="D135" s="137"/>
    </row>
    <row r="136" spans="4:4">
      <c r="D136" s="137"/>
    </row>
    <row r="137" spans="4:4">
      <c r="D137" s="137"/>
    </row>
    <row r="138" spans="4:4">
      <c r="D138" s="137"/>
    </row>
    <row r="139" spans="4:4">
      <c r="D139" s="137"/>
    </row>
    <row r="140" spans="4:4">
      <c r="D140" s="137"/>
    </row>
    <row r="141" spans="4:4">
      <c r="D141" s="137"/>
    </row>
    <row r="142" spans="4:4">
      <c r="D142" s="137"/>
    </row>
    <row r="143" spans="4:4">
      <c r="D143" s="137"/>
    </row>
    <row r="144" spans="4:4">
      <c r="D144" s="137"/>
    </row>
    <row r="145" spans="4:4">
      <c r="D145" s="137"/>
    </row>
    <row r="146" spans="4:4">
      <c r="D146" s="137"/>
    </row>
    <row r="147" spans="4:4">
      <c r="D147" s="137"/>
    </row>
    <row r="148" spans="4:4">
      <c r="D148" s="137"/>
    </row>
    <row r="149" spans="4:4">
      <c r="D149" s="137"/>
    </row>
    <row r="150" spans="4:4">
      <c r="D150" s="137"/>
    </row>
    <row r="151" spans="4:4">
      <c r="D151" s="137"/>
    </row>
    <row r="152" spans="4:4">
      <c r="D152" s="137"/>
    </row>
    <row r="153" spans="4:4">
      <c r="D153" s="137"/>
    </row>
    <row r="154" spans="4:4">
      <c r="D154" s="137"/>
    </row>
    <row r="155" spans="4:4">
      <c r="D155" s="137"/>
    </row>
    <row r="156" spans="4:4">
      <c r="D156" s="137"/>
    </row>
    <row r="157" spans="4:4">
      <c r="D157" s="137"/>
    </row>
    <row r="158" spans="4:4">
      <c r="D158" s="137"/>
    </row>
    <row r="159" spans="4:4">
      <c r="D159" s="137"/>
    </row>
    <row r="160" spans="4:4">
      <c r="D160" s="137"/>
    </row>
    <row r="161" spans="4:4">
      <c r="D161" s="137"/>
    </row>
    <row r="162" spans="4:4">
      <c r="D162" s="137"/>
    </row>
    <row r="163" spans="4:4">
      <c r="D163" s="137"/>
    </row>
    <row r="164" spans="4:4">
      <c r="D164" s="137"/>
    </row>
    <row r="165" spans="4:4">
      <c r="D165" s="137"/>
    </row>
    <row r="166" spans="4:4">
      <c r="D166" s="137"/>
    </row>
    <row r="167" spans="4:4">
      <c r="D167" s="137"/>
    </row>
    <row r="168" spans="4:4">
      <c r="D168" s="137"/>
    </row>
    <row r="169" spans="4:4">
      <c r="D169" s="137"/>
    </row>
    <row r="170" spans="4:4">
      <c r="D170" s="137"/>
    </row>
    <row r="171" spans="4:4">
      <c r="D171" s="137"/>
    </row>
    <row r="172" spans="4:4">
      <c r="D172" s="137"/>
    </row>
    <row r="173" spans="4:4">
      <c r="D173" s="137"/>
    </row>
    <row r="174" spans="4:4">
      <c r="D174" s="137"/>
    </row>
    <row r="175" spans="4:4">
      <c r="D175" s="137"/>
    </row>
    <row r="176" spans="4:4">
      <c r="D176" s="137"/>
    </row>
    <row r="177" spans="4:4">
      <c r="D177" s="137"/>
    </row>
    <row r="178" spans="4:4">
      <c r="D178" s="137"/>
    </row>
    <row r="179" spans="4:4">
      <c r="D179" s="137"/>
    </row>
    <row r="180" spans="4:4">
      <c r="D180" s="137"/>
    </row>
    <row r="181" spans="4:4">
      <c r="D181" s="137"/>
    </row>
    <row r="182" spans="4:4">
      <c r="D182" s="137"/>
    </row>
    <row r="183" spans="4:4">
      <c r="D183" s="137"/>
    </row>
    <row r="184" spans="4:4">
      <c r="D184" s="137"/>
    </row>
    <row r="185" spans="4:4">
      <c r="D185" s="137"/>
    </row>
    <row r="186" spans="4:4">
      <c r="D186" s="137"/>
    </row>
    <row r="187" spans="4:4">
      <c r="D187" s="137"/>
    </row>
    <row r="188" spans="4:4">
      <c r="D188" s="137"/>
    </row>
    <row r="189" spans="4:4">
      <c r="D189" s="137"/>
    </row>
    <row r="190" spans="4:4">
      <c r="D190" s="137"/>
    </row>
    <row r="191" spans="4:4">
      <c r="D191" s="137"/>
    </row>
    <row r="192" spans="4:4">
      <c r="D192" s="137"/>
    </row>
    <row r="193" spans="4:4">
      <c r="D193" s="137"/>
    </row>
    <row r="194" spans="4:4">
      <c r="D194" s="137"/>
    </row>
    <row r="195" spans="4:4">
      <c r="D195" s="137"/>
    </row>
    <row r="196" spans="4:4">
      <c r="D196" s="137"/>
    </row>
    <row r="197" spans="4:4">
      <c r="D197" s="137"/>
    </row>
    <row r="198" spans="4:4">
      <c r="D198" s="137"/>
    </row>
    <row r="199" spans="4:4">
      <c r="D199" s="137"/>
    </row>
    <row r="200" spans="4:4">
      <c r="D200" s="137"/>
    </row>
    <row r="201" spans="4:4">
      <c r="D201" s="137"/>
    </row>
    <row r="202" spans="4:4">
      <c r="D202" s="137"/>
    </row>
    <row r="203" spans="4:4">
      <c r="D203" s="137"/>
    </row>
    <row r="204" spans="4:4">
      <c r="D204" s="137"/>
    </row>
    <row r="205" spans="4:4">
      <c r="D205" s="137"/>
    </row>
    <row r="206" spans="4:4">
      <c r="D206" s="137"/>
    </row>
    <row r="207" spans="4:4">
      <c r="D207" s="137"/>
    </row>
    <row r="208" spans="4:4">
      <c r="D208" s="137"/>
    </row>
    <row r="209" spans="4:4">
      <c r="D209" s="137"/>
    </row>
    <row r="210" spans="4:4">
      <c r="D210" s="137"/>
    </row>
    <row r="211" spans="4:4">
      <c r="D211" s="137"/>
    </row>
    <row r="212" spans="4:4">
      <c r="D212" s="137"/>
    </row>
    <row r="213" spans="4:4">
      <c r="D213" s="137"/>
    </row>
    <row r="214" spans="4:4">
      <c r="D214" s="137"/>
    </row>
    <row r="215" spans="4:4">
      <c r="D215" s="137"/>
    </row>
    <row r="216" spans="4:4">
      <c r="D216" s="137"/>
    </row>
    <row r="217" spans="4:4">
      <c r="D217" s="137"/>
    </row>
    <row r="218" spans="4:4">
      <c r="D218" s="137"/>
    </row>
    <row r="219" spans="4:4">
      <c r="D219" s="137"/>
    </row>
    <row r="220" spans="4:4">
      <c r="D220" s="137"/>
    </row>
    <row r="221" spans="4:4">
      <c r="D221" s="137"/>
    </row>
    <row r="222" spans="4:4">
      <c r="D222" s="137"/>
    </row>
    <row r="223" spans="4:4">
      <c r="D223" s="137"/>
    </row>
    <row r="224" spans="4:4">
      <c r="D224" s="137"/>
    </row>
    <row r="225" spans="4:4">
      <c r="D225" s="137"/>
    </row>
    <row r="226" spans="4:4">
      <c r="D226" s="137"/>
    </row>
    <row r="227" spans="4:4">
      <c r="D227" s="137"/>
    </row>
    <row r="228" spans="4:4">
      <c r="D228" s="137"/>
    </row>
    <row r="229" spans="4:4">
      <c r="D229" s="137"/>
    </row>
    <row r="230" spans="4:4">
      <c r="D230" s="137"/>
    </row>
    <row r="231" spans="4:4">
      <c r="D231" s="137"/>
    </row>
    <row r="232" spans="4:4">
      <c r="D232" s="137"/>
    </row>
    <row r="233" spans="4:4">
      <c r="D233" s="137"/>
    </row>
    <row r="234" spans="4:4">
      <c r="D234" s="137"/>
    </row>
    <row r="235" spans="4:4">
      <c r="D235" s="137"/>
    </row>
    <row r="236" spans="4:4">
      <c r="D236" s="137"/>
    </row>
    <row r="237" spans="4:4">
      <c r="D237" s="137"/>
    </row>
    <row r="238" spans="4:4">
      <c r="D238" s="137"/>
    </row>
    <row r="239" spans="4:4">
      <c r="D239" s="137"/>
    </row>
    <row r="240" spans="4:4">
      <c r="D240" s="137"/>
    </row>
    <row r="241" spans="4:4">
      <c r="D241" s="137"/>
    </row>
    <row r="242" spans="4:4">
      <c r="D242" s="137"/>
    </row>
    <row r="243" spans="4:4">
      <c r="D243" s="137"/>
    </row>
    <row r="244" spans="4:4">
      <c r="D244" s="137"/>
    </row>
    <row r="245" spans="4:4">
      <c r="D245" s="137"/>
    </row>
    <row r="246" spans="4:4">
      <c r="D246" s="137"/>
    </row>
    <row r="247" spans="4:4">
      <c r="D247" s="137"/>
    </row>
    <row r="248" spans="4:4">
      <c r="D248" s="137"/>
    </row>
    <row r="249" spans="4:4">
      <c r="D249" s="137"/>
    </row>
    <row r="250" spans="4:4">
      <c r="D250" s="137"/>
    </row>
    <row r="251" spans="4:4">
      <c r="D251" s="137"/>
    </row>
    <row r="252" spans="4:4">
      <c r="D252" s="137"/>
    </row>
    <row r="253" spans="4:4">
      <c r="D253" s="137"/>
    </row>
    <row r="254" spans="4:4">
      <c r="D254" s="137"/>
    </row>
    <row r="255" spans="4:4">
      <c r="D255" s="137"/>
    </row>
    <row r="256" spans="4:4">
      <c r="D256" s="137"/>
    </row>
    <row r="257" spans="4:4">
      <c r="D257" s="137"/>
    </row>
    <row r="258" spans="4:4">
      <c r="D258" s="137"/>
    </row>
    <row r="259" spans="4:4">
      <c r="D259" s="137"/>
    </row>
    <row r="260" spans="4:4">
      <c r="D260" s="137"/>
    </row>
    <row r="261" spans="4:4">
      <c r="D261" s="137"/>
    </row>
    <row r="262" spans="4:4">
      <c r="D262" s="137"/>
    </row>
    <row r="263" spans="4:4">
      <c r="D263" s="137"/>
    </row>
    <row r="264" spans="4:4">
      <c r="D264" s="137"/>
    </row>
    <row r="265" spans="4:4">
      <c r="D265" s="137"/>
    </row>
    <row r="266" spans="4:4">
      <c r="D266" s="137"/>
    </row>
    <row r="267" spans="4:4">
      <c r="D267" s="137"/>
    </row>
    <row r="268" spans="4:4">
      <c r="D268" s="137"/>
    </row>
    <row r="269" spans="4:4">
      <c r="D269" s="137"/>
    </row>
    <row r="270" spans="4:4">
      <c r="D270" s="137"/>
    </row>
    <row r="271" spans="4:4">
      <c r="D271" s="137"/>
    </row>
    <row r="272" spans="4:4">
      <c r="D272" s="137"/>
    </row>
    <row r="273" spans="4:4">
      <c r="D273" s="137"/>
    </row>
    <row r="274" spans="4:4">
      <c r="D274" s="137"/>
    </row>
    <row r="275" spans="4:4">
      <c r="D275" s="137"/>
    </row>
    <row r="276" spans="4:4">
      <c r="D276" s="137"/>
    </row>
    <row r="277" spans="4:4">
      <c r="D277" s="137"/>
    </row>
    <row r="278" spans="4:4">
      <c r="D278" s="137"/>
    </row>
    <row r="279" spans="4:4">
      <c r="D279" s="137"/>
    </row>
    <row r="280" spans="4:4">
      <c r="D280" s="137"/>
    </row>
    <row r="281" spans="4:4">
      <c r="D281" s="137"/>
    </row>
    <row r="282" spans="4:4">
      <c r="D282" s="137"/>
    </row>
    <row r="283" spans="4:4">
      <c r="D283" s="137"/>
    </row>
    <row r="284" spans="4:4">
      <c r="D284" s="137"/>
    </row>
    <row r="285" spans="4:4">
      <c r="D285" s="137"/>
    </row>
    <row r="286" spans="4:4">
      <c r="D286" s="137"/>
    </row>
    <row r="287" spans="4:4">
      <c r="D287" s="137"/>
    </row>
    <row r="288" spans="4:4">
      <c r="D288" s="137"/>
    </row>
    <row r="289" spans="4:4">
      <c r="D289" s="137"/>
    </row>
    <row r="290" spans="4:4">
      <c r="D290" s="137"/>
    </row>
    <row r="291" spans="4:4">
      <c r="D291" s="137"/>
    </row>
    <row r="292" spans="4:4">
      <c r="D292" s="137"/>
    </row>
    <row r="293" spans="4:4">
      <c r="D293" s="137"/>
    </row>
    <row r="294" spans="4:4">
      <c r="D294" s="137"/>
    </row>
    <row r="295" spans="4:4">
      <c r="D295" s="137"/>
    </row>
    <row r="296" spans="4:4">
      <c r="D296" s="137"/>
    </row>
    <row r="297" spans="4:4">
      <c r="D297" s="137"/>
    </row>
    <row r="298" spans="4:4">
      <c r="D298" s="137"/>
    </row>
    <row r="299" spans="4:4">
      <c r="D299" s="137"/>
    </row>
    <row r="300" spans="4:4">
      <c r="D300" s="137"/>
    </row>
    <row r="301" spans="4:4">
      <c r="D301" s="137"/>
    </row>
    <row r="302" spans="4:4">
      <c r="D302" s="137"/>
    </row>
    <row r="303" spans="4:4">
      <c r="D303" s="137"/>
    </row>
    <row r="304" spans="4:4">
      <c r="D304" s="137"/>
    </row>
    <row r="305" spans="4:4">
      <c r="D305" s="137"/>
    </row>
    <row r="306" spans="4:4">
      <c r="D306" s="137"/>
    </row>
    <row r="307" spans="4:4">
      <c r="D307" s="137"/>
    </row>
    <row r="308" spans="4:4">
      <c r="D308" s="137"/>
    </row>
    <row r="309" spans="4:4">
      <c r="D309" s="137"/>
    </row>
    <row r="310" spans="4:4">
      <c r="D310" s="137"/>
    </row>
    <row r="311" spans="4:4">
      <c r="D311" s="137"/>
    </row>
    <row r="312" spans="4:4">
      <c r="D312" s="137"/>
    </row>
    <row r="313" spans="4:4">
      <c r="D313" s="137"/>
    </row>
    <row r="314" spans="4:4">
      <c r="D314" s="137"/>
    </row>
    <row r="315" spans="4:4">
      <c r="D315" s="137"/>
    </row>
    <row r="316" spans="4:4">
      <c r="D316" s="137"/>
    </row>
    <row r="317" spans="4:4">
      <c r="D317" s="137"/>
    </row>
    <row r="318" spans="4:4">
      <c r="D318" s="137"/>
    </row>
    <row r="319" spans="4:4">
      <c r="D319" s="137"/>
    </row>
    <row r="320" spans="4:4">
      <c r="D320" s="137"/>
    </row>
    <row r="321" spans="4:4">
      <c r="D321" s="137"/>
    </row>
    <row r="322" spans="4:4">
      <c r="D322" s="137"/>
    </row>
    <row r="323" spans="4:4">
      <c r="D323" s="137"/>
    </row>
    <row r="324" spans="4:4">
      <c r="D324" s="137"/>
    </row>
    <row r="325" spans="4:4">
      <c r="D325" s="137"/>
    </row>
    <row r="326" spans="4:4">
      <c r="D326" s="137"/>
    </row>
    <row r="327" spans="4:4">
      <c r="D327" s="137"/>
    </row>
    <row r="328" spans="4:4">
      <c r="D328" s="137"/>
    </row>
    <row r="329" spans="4:4">
      <c r="D329" s="137"/>
    </row>
    <row r="330" spans="4:4">
      <c r="D330" s="137"/>
    </row>
    <row r="331" spans="4:4">
      <c r="D331" s="137"/>
    </row>
    <row r="332" spans="4:4">
      <c r="D332" s="137"/>
    </row>
    <row r="333" spans="4:4">
      <c r="D333" s="137"/>
    </row>
    <row r="334" spans="4:4">
      <c r="D334" s="137"/>
    </row>
    <row r="335" spans="4:4">
      <c r="D335" s="137"/>
    </row>
    <row r="336" spans="4:4">
      <c r="D336" s="137"/>
    </row>
    <row r="337" spans="4:4">
      <c r="D337" s="137"/>
    </row>
    <row r="338" spans="4:4">
      <c r="D338" s="137"/>
    </row>
    <row r="339" spans="4:4">
      <c r="D339" s="137"/>
    </row>
    <row r="340" spans="4:4">
      <c r="D340" s="137"/>
    </row>
    <row r="341" spans="4:4">
      <c r="D341" s="137"/>
    </row>
    <row r="342" spans="4:4">
      <c r="D342" s="137"/>
    </row>
    <row r="343" spans="4:4">
      <c r="D343" s="137"/>
    </row>
    <row r="344" spans="4:4">
      <c r="D344" s="137"/>
    </row>
    <row r="345" spans="4:4">
      <c r="D345" s="137"/>
    </row>
    <row r="346" spans="4:4">
      <c r="D346" s="137"/>
    </row>
    <row r="347" spans="4:4">
      <c r="D347" s="137"/>
    </row>
    <row r="348" spans="4:4">
      <c r="D348" s="137"/>
    </row>
    <row r="349" spans="4:4">
      <c r="D349" s="137"/>
    </row>
    <row r="350" spans="4:4">
      <c r="D350" s="137"/>
    </row>
    <row r="351" spans="4:4">
      <c r="D351" s="137"/>
    </row>
    <row r="352" spans="4:4">
      <c r="D352" s="137"/>
    </row>
    <row r="353" spans="4:4">
      <c r="D353" s="137"/>
    </row>
    <row r="354" spans="4:4">
      <c r="D354" s="137"/>
    </row>
    <row r="355" spans="4:4">
      <c r="D355" s="137"/>
    </row>
    <row r="356" spans="4:4">
      <c r="D356" s="137"/>
    </row>
    <row r="357" spans="4:4">
      <c r="D357" s="137"/>
    </row>
    <row r="358" spans="4:4">
      <c r="D358" s="137"/>
    </row>
    <row r="359" spans="4:4">
      <c r="D359" s="137"/>
    </row>
    <row r="360" spans="4:4">
      <c r="D360" s="137"/>
    </row>
    <row r="361" spans="4:4">
      <c r="D361" s="137"/>
    </row>
    <row r="362" spans="4:4">
      <c r="D362" s="137"/>
    </row>
    <row r="363" spans="4:4">
      <c r="D363" s="137"/>
    </row>
    <row r="364" spans="4:4">
      <c r="D364" s="137"/>
    </row>
    <row r="365" spans="4:4">
      <c r="D365" s="137"/>
    </row>
    <row r="366" spans="4:4">
      <c r="D366" s="137"/>
    </row>
    <row r="367" spans="4:4">
      <c r="D367" s="137"/>
    </row>
    <row r="368" spans="4:4">
      <c r="D368" s="137"/>
    </row>
    <row r="369" spans="4:4">
      <c r="D369" s="137"/>
    </row>
    <row r="370" spans="4:4">
      <c r="D370" s="137"/>
    </row>
    <row r="371" spans="4:4">
      <c r="D371" s="137"/>
    </row>
    <row r="372" spans="4:4">
      <c r="D372" s="137"/>
    </row>
    <row r="373" spans="4:4">
      <c r="D373" s="137"/>
    </row>
    <row r="374" spans="4:4">
      <c r="D374" s="137"/>
    </row>
    <row r="375" spans="4:4">
      <c r="D375" s="137"/>
    </row>
    <row r="376" spans="4:4">
      <c r="D376" s="137"/>
    </row>
    <row r="377" spans="4:4">
      <c r="D377" s="137"/>
    </row>
    <row r="378" spans="4:4">
      <c r="D378" s="137"/>
    </row>
    <row r="379" spans="4:4">
      <c r="D379" s="137"/>
    </row>
    <row r="380" spans="4:4">
      <c r="D380" s="137"/>
    </row>
    <row r="381" spans="4:4">
      <c r="D381" s="137"/>
    </row>
    <row r="382" spans="4:4">
      <c r="D382" s="137"/>
    </row>
    <row r="383" spans="4:4">
      <c r="D383" s="137"/>
    </row>
    <row r="384" spans="4:4">
      <c r="D384" s="137"/>
    </row>
    <row r="385" spans="4:4">
      <c r="D385" s="137"/>
    </row>
    <row r="386" spans="4:4">
      <c r="D386" s="137"/>
    </row>
    <row r="387" spans="4:4">
      <c r="D387" s="137"/>
    </row>
    <row r="388" spans="4:4">
      <c r="D388" s="137"/>
    </row>
    <row r="389" spans="4:4">
      <c r="D389" s="137"/>
    </row>
    <row r="390" spans="4:4">
      <c r="D390" s="137"/>
    </row>
    <row r="391" spans="4:4">
      <c r="D391" s="137"/>
    </row>
    <row r="392" spans="4:4">
      <c r="D392" s="137"/>
    </row>
    <row r="393" spans="4:4">
      <c r="D393" s="137"/>
    </row>
    <row r="394" spans="4:4">
      <c r="D394" s="137"/>
    </row>
    <row r="395" spans="4:4">
      <c r="D395" s="137"/>
    </row>
    <row r="396" spans="4:4">
      <c r="D396" s="137"/>
    </row>
    <row r="397" spans="4:4">
      <c r="D397" s="137"/>
    </row>
    <row r="398" spans="4:4">
      <c r="D398" s="137"/>
    </row>
    <row r="399" spans="4:4">
      <c r="D399" s="137"/>
    </row>
    <row r="400" spans="4:4">
      <c r="D400" s="137"/>
    </row>
    <row r="401" spans="4:4">
      <c r="D401" s="137"/>
    </row>
    <row r="402" spans="4:4">
      <c r="D402" s="137"/>
    </row>
    <row r="403" spans="4:4">
      <c r="D403" s="137"/>
    </row>
    <row r="404" spans="4:4">
      <c r="D404" s="137"/>
    </row>
    <row r="405" spans="4:4">
      <c r="D405" s="137"/>
    </row>
    <row r="406" spans="4:4">
      <c r="D406" s="137"/>
    </row>
    <row r="407" spans="4:4">
      <c r="D407" s="137"/>
    </row>
    <row r="408" spans="4:4">
      <c r="D408" s="137"/>
    </row>
    <row r="409" spans="4:4">
      <c r="D409" s="137"/>
    </row>
    <row r="410" spans="4:4">
      <c r="D410" s="137"/>
    </row>
    <row r="411" spans="4:4">
      <c r="D411" s="137"/>
    </row>
    <row r="412" spans="4:4">
      <c r="D412" s="137"/>
    </row>
    <row r="413" spans="4:4">
      <c r="D413" s="137"/>
    </row>
    <row r="414" spans="4:4">
      <c r="D414" s="137"/>
    </row>
    <row r="415" spans="4:4">
      <c r="D415" s="137"/>
    </row>
    <row r="416" spans="4:4">
      <c r="D416" s="137"/>
    </row>
    <row r="417" spans="4:4">
      <c r="D417" s="137"/>
    </row>
    <row r="418" spans="4:4">
      <c r="D418" s="137"/>
    </row>
    <row r="419" spans="4:4">
      <c r="D419" s="137"/>
    </row>
    <row r="420" spans="4:4">
      <c r="D420" s="137"/>
    </row>
    <row r="421" spans="4:4">
      <c r="D421" s="137"/>
    </row>
    <row r="422" spans="4:4">
      <c r="D422" s="137"/>
    </row>
    <row r="423" spans="4:4">
      <c r="D423" s="137"/>
    </row>
    <row r="424" spans="4:4">
      <c r="D424" s="137"/>
    </row>
    <row r="425" spans="4:4">
      <c r="D425" s="137"/>
    </row>
    <row r="426" spans="4:4">
      <c r="D426" s="137"/>
    </row>
    <row r="427" spans="4:4">
      <c r="D427" s="137"/>
    </row>
    <row r="428" spans="4:4">
      <c r="D428" s="137"/>
    </row>
    <row r="429" spans="4:4">
      <c r="D429" s="137"/>
    </row>
    <row r="430" spans="4:4">
      <c r="D430" s="137"/>
    </row>
    <row r="431" spans="4:4">
      <c r="D431" s="137"/>
    </row>
    <row r="432" spans="4:4">
      <c r="D432" s="137"/>
    </row>
    <row r="433" spans="4:4">
      <c r="D433" s="137"/>
    </row>
    <row r="434" spans="4:4">
      <c r="D434" s="137"/>
    </row>
    <row r="435" spans="4:4">
      <c r="D435" s="137"/>
    </row>
    <row r="436" spans="4:4">
      <c r="D436" s="137"/>
    </row>
    <row r="437" spans="4:4">
      <c r="D437" s="137"/>
    </row>
    <row r="438" spans="4:4">
      <c r="D438" s="137"/>
    </row>
    <row r="439" spans="4:4">
      <c r="D439" s="137"/>
    </row>
    <row r="440" spans="4:4">
      <c r="D440" s="137"/>
    </row>
    <row r="441" spans="4:4">
      <c r="D441" s="137"/>
    </row>
    <row r="442" spans="4:4">
      <c r="D442" s="137"/>
    </row>
    <row r="443" spans="4:4">
      <c r="D443" s="137"/>
    </row>
    <row r="444" spans="4:4">
      <c r="D444" s="137"/>
    </row>
    <row r="445" spans="4:4">
      <c r="D445" s="137"/>
    </row>
    <row r="446" spans="4:4">
      <c r="D446" s="137"/>
    </row>
    <row r="447" spans="4:4">
      <c r="D447" s="137"/>
    </row>
    <row r="448" spans="4:4">
      <c r="D448" s="137"/>
    </row>
    <row r="449" spans="4:4">
      <c r="D449" s="137"/>
    </row>
    <row r="450" spans="4:4">
      <c r="D450" s="137"/>
    </row>
    <row r="451" spans="4:4">
      <c r="D451" s="137"/>
    </row>
    <row r="452" spans="4:4">
      <c r="D452" s="137"/>
    </row>
    <row r="453" spans="4:4">
      <c r="D453" s="137"/>
    </row>
    <row r="454" spans="4:4">
      <c r="D454" s="137"/>
    </row>
    <row r="455" spans="4:4">
      <c r="D455" s="137"/>
    </row>
    <row r="456" spans="4:4">
      <c r="D456" s="137"/>
    </row>
    <row r="457" spans="4:4">
      <c r="D457" s="137"/>
    </row>
    <row r="458" spans="4:4">
      <c r="D458" s="137"/>
    </row>
    <row r="459" spans="4:4">
      <c r="D459" s="137"/>
    </row>
    <row r="460" spans="4:4">
      <c r="D460" s="137"/>
    </row>
    <row r="461" spans="4:4">
      <c r="D461" s="137"/>
    </row>
    <row r="462" spans="4:4">
      <c r="D462" s="137"/>
    </row>
    <row r="463" spans="4:4">
      <c r="D463" s="137"/>
    </row>
    <row r="464" spans="4:4">
      <c r="D464" s="137"/>
    </row>
    <row r="465" spans="4:4">
      <c r="D465" s="137"/>
    </row>
    <row r="466" spans="4:4">
      <c r="D466" s="137"/>
    </row>
    <row r="467" spans="4:4">
      <c r="D467" s="137"/>
    </row>
    <row r="468" spans="4:4">
      <c r="D468" s="137"/>
    </row>
    <row r="469" spans="4:4">
      <c r="D469" s="137"/>
    </row>
    <row r="470" spans="4:4">
      <c r="D470" s="137"/>
    </row>
    <row r="471" spans="4:4">
      <c r="D471" s="137"/>
    </row>
    <row r="472" spans="4:4">
      <c r="D472" s="137"/>
    </row>
    <row r="473" spans="4:4">
      <c r="D473" s="137"/>
    </row>
    <row r="474" spans="4:4">
      <c r="D474" s="137"/>
    </row>
    <row r="475" spans="4:4">
      <c r="D475" s="137"/>
    </row>
    <row r="476" spans="4:4">
      <c r="D476" s="137"/>
    </row>
    <row r="477" spans="4:4">
      <c r="D477" s="137"/>
    </row>
    <row r="478" spans="4:4">
      <c r="D478" s="137"/>
    </row>
    <row r="479" spans="4:4">
      <c r="D479" s="137"/>
    </row>
    <row r="480" spans="4:4">
      <c r="D480" s="137"/>
    </row>
    <row r="481" spans="4:4">
      <c r="D481" s="137"/>
    </row>
    <row r="482" spans="4:4">
      <c r="D482" s="137"/>
    </row>
    <row r="483" spans="4:4">
      <c r="D483" s="137"/>
    </row>
    <row r="484" spans="4:4">
      <c r="D484" s="137"/>
    </row>
    <row r="485" spans="4:4">
      <c r="D485" s="137"/>
    </row>
    <row r="486" spans="4:4">
      <c r="D486" s="137"/>
    </row>
    <row r="487" spans="4:4">
      <c r="D487" s="137"/>
    </row>
    <row r="488" spans="4:4">
      <c r="D488" s="137"/>
    </row>
    <row r="489" spans="4:4">
      <c r="D489" s="137"/>
    </row>
    <row r="490" spans="4:4">
      <c r="D490" s="137"/>
    </row>
    <row r="491" spans="4:4">
      <c r="D491" s="137"/>
    </row>
    <row r="492" spans="4:4">
      <c r="D492" s="137"/>
    </row>
    <row r="493" spans="4:4">
      <c r="D493" s="137"/>
    </row>
    <row r="494" spans="4:4">
      <c r="D494" s="137"/>
    </row>
    <row r="495" spans="4:4">
      <c r="D495" s="137"/>
    </row>
    <row r="496" spans="4:4">
      <c r="D496" s="137"/>
    </row>
    <row r="497" spans="4:4">
      <c r="D497" s="137"/>
    </row>
    <row r="498" spans="4:4">
      <c r="D498" s="137"/>
    </row>
    <row r="499" spans="4:4">
      <c r="D499" s="137"/>
    </row>
    <row r="500" spans="4:4">
      <c r="D500" s="137"/>
    </row>
    <row r="501" spans="4:4">
      <c r="D501" s="137"/>
    </row>
    <row r="502" spans="4:4">
      <c r="D502" s="137"/>
    </row>
    <row r="503" spans="4:4">
      <c r="D503" s="137"/>
    </row>
    <row r="504" spans="4:4">
      <c r="D504" s="137"/>
    </row>
    <row r="505" spans="4:4">
      <c r="D505" s="137"/>
    </row>
    <row r="506" spans="4:4">
      <c r="D506" s="137"/>
    </row>
    <row r="507" spans="4:4">
      <c r="D507" s="137"/>
    </row>
    <row r="508" spans="4:4">
      <c r="D508" s="137"/>
    </row>
    <row r="509" spans="4:4">
      <c r="D509" s="137"/>
    </row>
    <row r="510" spans="4:4">
      <c r="D510" s="137"/>
    </row>
    <row r="511" spans="4:4">
      <c r="D511" s="137"/>
    </row>
    <row r="512" spans="4:4">
      <c r="D512" s="137"/>
    </row>
    <row r="513" spans="4:4">
      <c r="D513" s="137"/>
    </row>
    <row r="514" spans="4:4">
      <c r="D514" s="137"/>
    </row>
    <row r="515" spans="4:4">
      <c r="D515" s="137"/>
    </row>
    <row r="516" spans="4:4">
      <c r="D516" s="137"/>
    </row>
    <row r="517" spans="4:4">
      <c r="D517" s="137"/>
    </row>
    <row r="518" spans="4:4">
      <c r="D518" s="137"/>
    </row>
    <row r="519" spans="4:4">
      <c r="D519" s="137"/>
    </row>
    <row r="520" spans="4:4">
      <c r="D520" s="137"/>
    </row>
    <row r="521" spans="4:4">
      <c r="D521" s="137"/>
    </row>
    <row r="522" spans="4:4">
      <c r="D522" s="137"/>
    </row>
    <row r="523" spans="4:4">
      <c r="D523" s="137"/>
    </row>
    <row r="524" spans="4:4">
      <c r="D524" s="137"/>
    </row>
    <row r="525" spans="4:4">
      <c r="D525" s="137"/>
    </row>
    <row r="526" spans="4:4">
      <c r="D526" s="137"/>
    </row>
    <row r="527" spans="4:4">
      <c r="D527" s="137"/>
    </row>
    <row r="528" spans="4:4">
      <c r="D528" s="137"/>
    </row>
    <row r="529" spans="4:4">
      <c r="D529" s="137"/>
    </row>
    <row r="530" spans="4:4">
      <c r="D530" s="137"/>
    </row>
    <row r="531" spans="4:4">
      <c r="D531" s="137"/>
    </row>
    <row r="532" spans="4:4">
      <c r="D532" s="137"/>
    </row>
    <row r="533" spans="4:4">
      <c r="D533" s="137"/>
    </row>
    <row r="534" spans="4:4">
      <c r="D534" s="137"/>
    </row>
    <row r="535" spans="4:4">
      <c r="D535" s="137"/>
    </row>
    <row r="536" spans="4:4">
      <c r="D536" s="137"/>
    </row>
    <row r="537" spans="4:4">
      <c r="D537" s="137"/>
    </row>
    <row r="538" spans="4:4">
      <c r="D538" s="137"/>
    </row>
    <row r="539" spans="4:4">
      <c r="D539" s="137"/>
    </row>
    <row r="540" spans="4:4">
      <c r="D540" s="137"/>
    </row>
    <row r="541" spans="4:4">
      <c r="D541" s="137"/>
    </row>
    <row r="542" spans="4:4">
      <c r="D542" s="137"/>
    </row>
    <row r="543" spans="4:4">
      <c r="D543" s="137"/>
    </row>
    <row r="544" spans="4:4">
      <c r="D544" s="137"/>
    </row>
    <row r="545" spans="4:4">
      <c r="D545" s="137"/>
    </row>
    <row r="546" spans="4:4">
      <c r="D546" s="137"/>
    </row>
    <row r="547" spans="4:4">
      <c r="D547" s="137"/>
    </row>
    <row r="548" spans="4:4">
      <c r="D548" s="137"/>
    </row>
    <row r="549" spans="4:4">
      <c r="D549" s="137"/>
    </row>
    <row r="550" spans="4:4">
      <c r="D550" s="137"/>
    </row>
    <row r="551" spans="4:4">
      <c r="D551" s="137"/>
    </row>
    <row r="552" spans="4:4">
      <c r="D552" s="137"/>
    </row>
    <row r="553" spans="4:4">
      <c r="D553" s="137"/>
    </row>
    <row r="554" spans="4:4">
      <c r="D554" s="137"/>
    </row>
    <row r="555" spans="4:4">
      <c r="D555" s="137"/>
    </row>
    <row r="556" spans="4:4">
      <c r="D556" s="137"/>
    </row>
    <row r="557" spans="4:4">
      <c r="D557" s="137"/>
    </row>
    <row r="558" spans="4:4">
      <c r="D558" s="137"/>
    </row>
    <row r="559" spans="4:4">
      <c r="D559" s="137"/>
    </row>
    <row r="560" spans="4:4">
      <c r="D560" s="137"/>
    </row>
    <row r="561" spans="4:4">
      <c r="D561" s="137"/>
    </row>
    <row r="562" spans="4:4">
      <c r="D562" s="137"/>
    </row>
    <row r="563" spans="4:4">
      <c r="D563" s="137"/>
    </row>
    <row r="564" spans="4:4">
      <c r="D564" s="137"/>
    </row>
    <row r="565" spans="4:4">
      <c r="D565" s="137"/>
    </row>
    <row r="566" spans="4:4">
      <c r="D566" s="137"/>
    </row>
    <row r="567" spans="4:4">
      <c r="D567" s="137"/>
    </row>
    <row r="568" spans="4:4">
      <c r="D568" s="137"/>
    </row>
    <row r="569" spans="4:4">
      <c r="D569" s="137"/>
    </row>
    <row r="570" spans="4:4">
      <c r="D570" s="137"/>
    </row>
    <row r="571" spans="4:4">
      <c r="D571" s="137"/>
    </row>
    <row r="572" spans="4:4">
      <c r="D572" s="137"/>
    </row>
    <row r="573" spans="4:4">
      <c r="D573" s="137"/>
    </row>
    <row r="574" spans="4:4">
      <c r="D574" s="137"/>
    </row>
    <row r="575" spans="4:4">
      <c r="D575" s="137"/>
    </row>
    <row r="576" spans="4:4">
      <c r="D576" s="137"/>
    </row>
    <row r="577" spans="4:4">
      <c r="D577" s="137"/>
    </row>
    <row r="578" spans="4:4">
      <c r="D578" s="137"/>
    </row>
    <row r="579" spans="4:4">
      <c r="D579" s="137"/>
    </row>
    <row r="580" spans="4:4">
      <c r="D580" s="137"/>
    </row>
    <row r="581" spans="4:4">
      <c r="D581" s="137"/>
    </row>
    <row r="582" spans="4:4">
      <c r="D582" s="137"/>
    </row>
    <row r="583" spans="4:4">
      <c r="D583" s="137"/>
    </row>
    <row r="584" spans="4:4">
      <c r="D584" s="137"/>
    </row>
    <row r="585" spans="4:4">
      <c r="D585" s="137"/>
    </row>
    <row r="586" spans="4:4">
      <c r="D586" s="137"/>
    </row>
    <row r="587" spans="4:4">
      <c r="D587" s="137"/>
    </row>
    <row r="588" spans="4:4">
      <c r="D588" s="137"/>
    </row>
    <row r="589" spans="4:4">
      <c r="D589" s="137"/>
    </row>
    <row r="590" spans="4:4">
      <c r="D590" s="137"/>
    </row>
    <row r="591" spans="4:4">
      <c r="D591" s="137"/>
    </row>
    <row r="592" spans="4:4">
      <c r="D592" s="137"/>
    </row>
    <row r="593" spans="4:4">
      <c r="D593" s="137"/>
    </row>
    <row r="594" spans="4:4">
      <c r="D594" s="137"/>
    </row>
    <row r="595" spans="4:4">
      <c r="D595" s="137"/>
    </row>
    <row r="596" spans="4:4">
      <c r="D596" s="137"/>
    </row>
    <row r="597" spans="4:4">
      <c r="D597" s="137"/>
    </row>
    <row r="598" spans="4:4">
      <c r="D598" s="137"/>
    </row>
    <row r="599" spans="4:4">
      <c r="D599" s="137"/>
    </row>
    <row r="600" spans="4:4">
      <c r="D600" s="137"/>
    </row>
    <row r="601" spans="4:4">
      <c r="D601" s="137"/>
    </row>
    <row r="602" spans="4:4">
      <c r="D602" s="137"/>
    </row>
    <row r="603" spans="4:4">
      <c r="D603" s="137"/>
    </row>
    <row r="604" spans="4:4">
      <c r="D604" s="137"/>
    </row>
    <row r="605" spans="4:4">
      <c r="D605" s="137"/>
    </row>
    <row r="606" spans="4:4">
      <c r="D606" s="137"/>
    </row>
    <row r="607" spans="4:4">
      <c r="D607" s="137"/>
    </row>
    <row r="608" spans="4:4">
      <c r="D608" s="137"/>
    </row>
    <row r="609" spans="4:4">
      <c r="D609" s="137"/>
    </row>
    <row r="610" spans="4:4">
      <c r="D610" s="137"/>
    </row>
    <row r="611" spans="4:4">
      <c r="D611" s="137"/>
    </row>
    <row r="612" spans="4:4">
      <c r="D612" s="137"/>
    </row>
    <row r="613" spans="4:4">
      <c r="D613" s="137"/>
    </row>
    <row r="614" spans="4:4">
      <c r="D614" s="137"/>
    </row>
    <row r="615" spans="4:4">
      <c r="D615" s="137"/>
    </row>
    <row r="616" spans="4:4">
      <c r="D616" s="137"/>
    </row>
    <row r="617" spans="4:4">
      <c r="D617" s="137"/>
    </row>
    <row r="618" spans="4:4">
      <c r="D618" s="137"/>
    </row>
    <row r="619" spans="4:4">
      <c r="D619" s="137"/>
    </row>
    <row r="620" spans="4:4">
      <c r="D620" s="137"/>
    </row>
    <row r="621" spans="4:4">
      <c r="D621" s="137"/>
    </row>
    <row r="622" spans="4:4">
      <c r="D622" s="137"/>
    </row>
    <row r="623" spans="4:4">
      <c r="D623" s="137"/>
    </row>
    <row r="624" spans="4:4">
      <c r="D624" s="137"/>
    </row>
    <row r="625" spans="4:4">
      <c r="D625" s="137"/>
    </row>
    <row r="626" spans="4:4">
      <c r="D626" s="137"/>
    </row>
    <row r="627" spans="4:4">
      <c r="D627" s="137"/>
    </row>
    <row r="628" spans="4:4">
      <c r="D628" s="137"/>
    </row>
    <row r="629" spans="4:4">
      <c r="D629" s="137"/>
    </row>
    <row r="630" spans="4:4">
      <c r="D630" s="137"/>
    </row>
    <row r="631" spans="4:4">
      <c r="D631" s="137"/>
    </row>
    <row r="632" spans="4:4">
      <c r="D632" s="137"/>
    </row>
    <row r="633" spans="4:4">
      <c r="D633" s="137"/>
    </row>
    <row r="634" spans="4:4">
      <c r="D634" s="137"/>
    </row>
    <row r="635" spans="4:4">
      <c r="D635" s="137"/>
    </row>
    <row r="636" spans="4:4">
      <c r="D636" s="137"/>
    </row>
    <row r="637" spans="4:4">
      <c r="D637" s="137"/>
    </row>
    <row r="638" spans="4:4">
      <c r="D638" s="137"/>
    </row>
    <row r="639" spans="4:4">
      <c r="D639" s="137"/>
    </row>
    <row r="640" spans="4:4">
      <c r="D640" s="137"/>
    </row>
    <row r="641" spans="4:4">
      <c r="D641" s="137"/>
    </row>
    <row r="642" spans="4:4">
      <c r="D642" s="137"/>
    </row>
    <row r="643" spans="4:4">
      <c r="D643" s="137"/>
    </row>
    <row r="644" spans="4:4">
      <c r="D644" s="137"/>
    </row>
    <row r="645" spans="4:4">
      <c r="D645" s="137"/>
    </row>
    <row r="646" spans="4:4">
      <c r="D646" s="137"/>
    </row>
    <row r="647" spans="4:4">
      <c r="D647" s="137"/>
    </row>
    <row r="648" spans="4:4">
      <c r="D648" s="137"/>
    </row>
    <row r="649" spans="4:4">
      <c r="D649" s="137"/>
    </row>
    <row r="650" spans="4:4">
      <c r="D650" s="137"/>
    </row>
    <row r="651" spans="4:4">
      <c r="D651" s="137"/>
    </row>
    <row r="652" spans="4:4">
      <c r="D652" s="137"/>
    </row>
    <row r="653" spans="4:4">
      <c r="D653" s="137"/>
    </row>
    <row r="654" spans="4:4">
      <c r="D654" s="137"/>
    </row>
    <row r="655" spans="4:4">
      <c r="D655" s="137"/>
    </row>
    <row r="656" spans="4:4">
      <c r="D656" s="137"/>
    </row>
    <row r="657" spans="4:4">
      <c r="D657" s="137"/>
    </row>
    <row r="658" spans="4:4">
      <c r="D658" s="137"/>
    </row>
    <row r="659" spans="4:4">
      <c r="D659" s="137"/>
    </row>
    <row r="660" spans="4:4">
      <c r="D660" s="137"/>
    </row>
    <row r="661" spans="4:4">
      <c r="D661" s="137"/>
    </row>
    <row r="662" spans="4:4">
      <c r="D662" s="137"/>
    </row>
    <row r="663" spans="4:4">
      <c r="D663" s="137"/>
    </row>
    <row r="664" spans="4:4">
      <c r="D664" s="137"/>
    </row>
    <row r="665" spans="4:4">
      <c r="D665" s="137"/>
    </row>
    <row r="666" spans="4:4">
      <c r="D666" s="137"/>
    </row>
    <row r="667" spans="4:4">
      <c r="D667" s="137"/>
    </row>
    <row r="668" spans="4:4">
      <c r="D668" s="137"/>
    </row>
    <row r="669" spans="4:4">
      <c r="D669" s="137"/>
    </row>
    <row r="670" spans="4:4">
      <c r="D670" s="137"/>
    </row>
    <row r="671" spans="4:4">
      <c r="D671" s="137"/>
    </row>
    <row r="672" spans="4:4">
      <c r="D672" s="137"/>
    </row>
    <row r="673" spans="4:4">
      <c r="D673" s="137"/>
    </row>
    <row r="674" spans="4:4">
      <c r="D674" s="137"/>
    </row>
    <row r="675" spans="4:4">
      <c r="D675" s="137"/>
    </row>
    <row r="676" spans="4:4">
      <c r="D676" s="137"/>
    </row>
    <row r="677" spans="4:4">
      <c r="D677" s="137"/>
    </row>
    <row r="678" spans="4:4">
      <c r="D678" s="137"/>
    </row>
    <row r="679" spans="4:4">
      <c r="D679" s="137"/>
    </row>
    <row r="680" spans="4:4">
      <c r="D680" s="137"/>
    </row>
    <row r="681" spans="4:4">
      <c r="D681" s="137"/>
    </row>
    <row r="682" spans="4:4">
      <c r="D682" s="137"/>
    </row>
    <row r="683" spans="4:4">
      <c r="D683" s="137"/>
    </row>
    <row r="684" spans="4:4">
      <c r="D684" s="137"/>
    </row>
    <row r="685" spans="4:4">
      <c r="D685" s="137"/>
    </row>
    <row r="686" spans="4:4">
      <c r="D686" s="137"/>
    </row>
    <row r="687" spans="4:4">
      <c r="D687" s="137"/>
    </row>
    <row r="688" spans="4:4">
      <c r="D688" s="137"/>
    </row>
    <row r="689" spans="4:4">
      <c r="D689" s="137"/>
    </row>
    <row r="690" spans="4:4">
      <c r="D690" s="137"/>
    </row>
    <row r="691" spans="4:4">
      <c r="D691" s="137"/>
    </row>
    <row r="692" spans="4:4">
      <c r="D692" s="137"/>
    </row>
    <row r="693" spans="4:4">
      <c r="D693" s="137"/>
    </row>
    <row r="694" spans="4:4">
      <c r="D694" s="137"/>
    </row>
    <row r="695" spans="4:4">
      <c r="D695" s="137"/>
    </row>
    <row r="696" spans="4:4">
      <c r="D696" s="137"/>
    </row>
    <row r="697" spans="4:4">
      <c r="D697" s="137"/>
    </row>
    <row r="698" spans="4:4">
      <c r="D698" s="137"/>
    </row>
    <row r="699" spans="4:4">
      <c r="D699" s="137"/>
    </row>
    <row r="700" spans="4:4">
      <c r="D700" s="137"/>
    </row>
    <row r="701" spans="4:4">
      <c r="D701" s="137"/>
    </row>
    <row r="702" spans="4:4">
      <c r="D702" s="137"/>
    </row>
    <row r="703" spans="4:4">
      <c r="D703" s="137"/>
    </row>
    <row r="704" spans="4:4">
      <c r="D704" s="137"/>
    </row>
    <row r="705" spans="4:4">
      <c r="D705" s="137"/>
    </row>
    <row r="706" spans="4:4">
      <c r="D706" s="137"/>
    </row>
    <row r="707" spans="4:4">
      <c r="D707" s="137"/>
    </row>
    <row r="708" spans="4:4">
      <c r="D708" s="137"/>
    </row>
    <row r="709" spans="4:4">
      <c r="D709" s="137"/>
    </row>
    <row r="710" spans="4:4">
      <c r="D710" s="137"/>
    </row>
    <row r="711" spans="4:4">
      <c r="D711" s="137"/>
    </row>
    <row r="712" spans="4:4">
      <c r="D712" s="137"/>
    </row>
    <row r="713" spans="4:4">
      <c r="D713" s="137"/>
    </row>
    <row r="714" spans="4:4">
      <c r="D714" s="137"/>
    </row>
    <row r="715" spans="4:4">
      <c r="D715" s="137"/>
    </row>
    <row r="716" spans="4:4">
      <c r="D716" s="137"/>
    </row>
    <row r="717" spans="4:4">
      <c r="D717" s="137"/>
    </row>
    <row r="718" spans="4:4">
      <c r="D718" s="137"/>
    </row>
    <row r="719" spans="4:4">
      <c r="D719" s="137"/>
    </row>
    <row r="720" spans="4:4">
      <c r="D720" s="137"/>
    </row>
    <row r="721" spans="4:4">
      <c r="D721" s="137"/>
    </row>
    <row r="722" spans="4:4">
      <c r="D722" s="137"/>
    </row>
    <row r="723" spans="4:4">
      <c r="D723" s="137"/>
    </row>
    <row r="724" spans="4:4">
      <c r="D724" s="137"/>
    </row>
    <row r="725" spans="4:4">
      <c r="D725" s="137"/>
    </row>
    <row r="726" spans="4:4">
      <c r="D726" s="137"/>
    </row>
    <row r="727" spans="4:4">
      <c r="D727" s="137"/>
    </row>
    <row r="728" spans="4:4">
      <c r="D728" s="137"/>
    </row>
    <row r="729" spans="4:4">
      <c r="D729" s="137"/>
    </row>
    <row r="730" spans="4:4">
      <c r="D730" s="137"/>
    </row>
    <row r="731" spans="4:4">
      <c r="D731" s="137"/>
    </row>
    <row r="732" spans="4:4">
      <c r="D732" s="137"/>
    </row>
    <row r="733" spans="4:4">
      <c r="D733" s="137"/>
    </row>
    <row r="734" spans="4:4">
      <c r="D734" s="137"/>
    </row>
    <row r="735" spans="4:4">
      <c r="D735" s="137"/>
    </row>
    <row r="736" spans="4:4">
      <c r="D736" s="137"/>
    </row>
    <row r="737" spans="4:4">
      <c r="D737" s="137"/>
    </row>
    <row r="738" spans="4:4">
      <c r="D738" s="137"/>
    </row>
    <row r="739" spans="4:4">
      <c r="D739" s="137"/>
    </row>
    <row r="740" spans="4:4">
      <c r="D740" s="137"/>
    </row>
    <row r="741" spans="4:4">
      <c r="D741" s="137"/>
    </row>
    <row r="742" spans="4:4">
      <c r="D742" s="137"/>
    </row>
    <row r="743" spans="4:4">
      <c r="D743" s="137"/>
    </row>
    <row r="744" spans="4:4">
      <c r="D744" s="137"/>
    </row>
    <row r="745" spans="4:4">
      <c r="D745" s="137"/>
    </row>
    <row r="746" spans="4:4">
      <c r="D746" s="137"/>
    </row>
    <row r="747" spans="4:4">
      <c r="D747" s="137"/>
    </row>
    <row r="748" spans="4:4">
      <c r="D748" s="137"/>
    </row>
    <row r="749" spans="4:4">
      <c r="D749" s="137"/>
    </row>
    <row r="750" spans="4:4">
      <c r="D750" s="137"/>
    </row>
    <row r="751" spans="4:4">
      <c r="D751" s="137"/>
    </row>
    <row r="752" spans="4:4">
      <c r="D752" s="137"/>
    </row>
    <row r="753" spans="4:4">
      <c r="D753" s="137"/>
    </row>
    <row r="754" spans="4:4">
      <c r="D754" s="137"/>
    </row>
    <row r="755" spans="4:4">
      <c r="D755" s="137"/>
    </row>
    <row r="756" spans="4:4">
      <c r="D756" s="137"/>
    </row>
    <row r="757" spans="4:4">
      <c r="D757" s="137"/>
    </row>
    <row r="758" spans="4:4">
      <c r="D758" s="137"/>
    </row>
    <row r="759" spans="4:4">
      <c r="D759" s="137"/>
    </row>
    <row r="760" spans="4:4">
      <c r="D760" s="137"/>
    </row>
    <row r="761" spans="4:4">
      <c r="D761" s="137"/>
    </row>
    <row r="762" spans="4:4">
      <c r="D762" s="137"/>
    </row>
    <row r="763" spans="4:4">
      <c r="D763" s="137"/>
    </row>
    <row r="764" spans="4:4">
      <c r="D764" s="137"/>
    </row>
    <row r="765" spans="4:4">
      <c r="D765" s="137"/>
    </row>
    <row r="766" spans="4:4">
      <c r="D766" s="137"/>
    </row>
    <row r="767" spans="4:4">
      <c r="D767" s="137"/>
    </row>
    <row r="768" spans="4:4">
      <c r="D768" s="137"/>
    </row>
    <row r="769" spans="4:4">
      <c r="D769" s="137"/>
    </row>
    <row r="770" spans="4:4">
      <c r="D770" s="137"/>
    </row>
    <row r="771" spans="4:4">
      <c r="D771" s="137"/>
    </row>
    <row r="772" spans="4:4">
      <c r="D772" s="137"/>
    </row>
    <row r="773" spans="4:4">
      <c r="D773" s="137"/>
    </row>
    <row r="774" spans="4:4">
      <c r="D774" s="137"/>
    </row>
    <row r="775" spans="4:4">
      <c r="D775" s="137"/>
    </row>
    <row r="776" spans="4:4">
      <c r="D776" s="137"/>
    </row>
    <row r="777" spans="4:4">
      <c r="D777" s="137"/>
    </row>
    <row r="778" spans="4:4">
      <c r="D778" s="137"/>
    </row>
    <row r="779" spans="4:4">
      <c r="D779" s="137"/>
    </row>
    <row r="780" spans="4:4">
      <c r="D780" s="137"/>
    </row>
    <row r="781" spans="4:4">
      <c r="D781" s="137"/>
    </row>
    <row r="782" spans="4:4">
      <c r="D782" s="137"/>
    </row>
    <row r="783" spans="4:4">
      <c r="D783" s="137"/>
    </row>
    <row r="784" spans="4:4">
      <c r="D784" s="137"/>
    </row>
    <row r="785" spans="4:4">
      <c r="D785" s="137"/>
    </row>
    <row r="786" spans="4:4">
      <c r="D786" s="137"/>
    </row>
    <row r="787" spans="4:4">
      <c r="D787" s="137"/>
    </row>
    <row r="788" spans="4:4">
      <c r="D788" s="137"/>
    </row>
    <row r="789" spans="4:4">
      <c r="D789" s="137"/>
    </row>
    <row r="790" spans="4:4">
      <c r="D790" s="137"/>
    </row>
    <row r="791" spans="4:4">
      <c r="D791" s="137"/>
    </row>
    <row r="792" spans="4:4">
      <c r="D792" s="137"/>
    </row>
    <row r="793" spans="4:4">
      <c r="D793" s="137"/>
    </row>
    <row r="794" spans="4:4">
      <c r="D794" s="137"/>
    </row>
    <row r="795" spans="4:4">
      <c r="D795" s="137"/>
    </row>
    <row r="796" spans="4:4">
      <c r="D796" s="137"/>
    </row>
    <row r="797" spans="4:4">
      <c r="D797" s="137"/>
    </row>
    <row r="798" spans="4:4">
      <c r="D798" s="137"/>
    </row>
    <row r="799" spans="4:4">
      <c r="D799" s="137"/>
    </row>
    <row r="800" spans="4:4">
      <c r="D800" s="137"/>
    </row>
    <row r="801" spans="4:4">
      <c r="D801" s="137"/>
    </row>
    <row r="802" spans="4:4">
      <c r="D802" s="137"/>
    </row>
    <row r="803" spans="4:4">
      <c r="D803" s="137"/>
    </row>
    <row r="804" spans="4:4">
      <c r="D804" s="137"/>
    </row>
    <row r="805" spans="4:4">
      <c r="D805" s="137"/>
    </row>
    <row r="806" spans="4:4">
      <c r="D806" s="137"/>
    </row>
    <row r="807" spans="4:4">
      <c r="D807" s="137"/>
    </row>
    <row r="808" spans="4:4">
      <c r="D808" s="137"/>
    </row>
    <row r="809" spans="4:4">
      <c r="D809" s="137"/>
    </row>
    <row r="810" spans="4:4">
      <c r="D810" s="137"/>
    </row>
    <row r="811" spans="4:4">
      <c r="D811" s="137"/>
    </row>
    <row r="812" spans="4:4">
      <c r="D812" s="137"/>
    </row>
    <row r="813" spans="4:4">
      <c r="D813" s="137"/>
    </row>
    <row r="814" spans="4:4">
      <c r="D814" s="137"/>
    </row>
    <row r="815" spans="4:4">
      <c r="D815" s="137"/>
    </row>
    <row r="816" spans="4:4">
      <c r="D816" s="137"/>
    </row>
    <row r="817" spans="4:4">
      <c r="D817" s="137"/>
    </row>
    <row r="818" spans="4:4">
      <c r="D818" s="137"/>
    </row>
    <row r="819" spans="4:4">
      <c r="D819" s="137"/>
    </row>
    <row r="820" spans="4:4">
      <c r="D820" s="137"/>
    </row>
    <row r="821" spans="4:4">
      <c r="D821" s="137"/>
    </row>
    <row r="822" spans="4:4">
      <c r="D822" s="137"/>
    </row>
    <row r="823" spans="4:4">
      <c r="D823" s="137"/>
    </row>
    <row r="824" spans="4:4">
      <c r="D824" s="137"/>
    </row>
    <row r="825" spans="4:4">
      <c r="D825" s="137"/>
    </row>
    <row r="826" spans="4:4">
      <c r="D826" s="137"/>
    </row>
    <row r="827" spans="4:4">
      <c r="D827" s="137"/>
    </row>
    <row r="828" spans="4:4">
      <c r="D828" s="137"/>
    </row>
    <row r="829" spans="4:4">
      <c r="D829" s="137"/>
    </row>
    <row r="830" spans="4:4">
      <c r="D830" s="137"/>
    </row>
    <row r="831" spans="4:4">
      <c r="D831" s="137"/>
    </row>
    <row r="832" spans="4:4">
      <c r="D832" s="137"/>
    </row>
    <row r="833" spans="4:4">
      <c r="D833" s="137"/>
    </row>
    <row r="834" spans="4:4">
      <c r="D834" s="137"/>
    </row>
    <row r="835" spans="4:4">
      <c r="D835" s="137"/>
    </row>
    <row r="836" spans="4:4">
      <c r="D836" s="137"/>
    </row>
    <row r="837" spans="4:4">
      <c r="D837" s="137"/>
    </row>
    <row r="838" spans="4:4">
      <c r="D838" s="137"/>
    </row>
    <row r="839" spans="4:4">
      <c r="D839" s="137"/>
    </row>
    <row r="840" spans="4:4">
      <c r="D840" s="137"/>
    </row>
    <row r="841" spans="4:4">
      <c r="D841" s="137"/>
    </row>
    <row r="842" spans="4:4">
      <c r="D842" s="137"/>
    </row>
    <row r="843" spans="4:4">
      <c r="D843" s="137"/>
    </row>
    <row r="844" spans="4:4">
      <c r="D844" s="137"/>
    </row>
    <row r="845" spans="4:4">
      <c r="D845" s="137"/>
    </row>
    <row r="846" spans="4:4">
      <c r="D846" s="137"/>
    </row>
    <row r="847" spans="4:4">
      <c r="D847" s="137"/>
    </row>
    <row r="848" spans="4:4">
      <c r="D848" s="137"/>
    </row>
    <row r="849" spans="4:4">
      <c r="D849" s="137"/>
    </row>
    <row r="850" spans="4:4">
      <c r="D850" s="137"/>
    </row>
    <row r="851" spans="4:4">
      <c r="D851" s="137"/>
    </row>
    <row r="852" spans="4:4">
      <c r="D852" s="137"/>
    </row>
    <row r="853" spans="4:4">
      <c r="D853" s="137"/>
    </row>
    <row r="854" spans="4:4">
      <c r="D854" s="137"/>
    </row>
    <row r="855" spans="4:4">
      <c r="D855" s="137"/>
    </row>
    <row r="856" spans="4:4">
      <c r="D856" s="137"/>
    </row>
    <row r="857" spans="4:4">
      <c r="D857" s="137"/>
    </row>
    <row r="858" spans="4:4">
      <c r="D858" s="137"/>
    </row>
    <row r="859" spans="4:4">
      <c r="D859" s="137"/>
    </row>
    <row r="860" spans="4:4">
      <c r="D860" s="137"/>
    </row>
    <row r="861" spans="4:4">
      <c r="D861" s="137"/>
    </row>
    <row r="862" spans="4:4">
      <c r="D862" s="137"/>
    </row>
    <row r="863" spans="4:4">
      <c r="D863" s="137"/>
    </row>
    <row r="864" spans="4:4">
      <c r="D864" s="137"/>
    </row>
    <row r="865" spans="4:4">
      <c r="D865" s="137"/>
    </row>
    <row r="866" spans="4:4">
      <c r="D866" s="137"/>
    </row>
    <row r="867" spans="4:4">
      <c r="D867" s="137"/>
    </row>
    <row r="868" spans="4:4">
      <c r="D868" s="137"/>
    </row>
    <row r="869" spans="4:4">
      <c r="D869" s="137"/>
    </row>
    <row r="870" spans="4:4">
      <c r="D870" s="137"/>
    </row>
    <row r="871" spans="4:4">
      <c r="D871" s="137"/>
    </row>
    <row r="872" spans="4:4">
      <c r="D872" s="137"/>
    </row>
    <row r="873" spans="4:4">
      <c r="D873" s="137"/>
    </row>
    <row r="874" spans="4:4">
      <c r="D874" s="137"/>
    </row>
    <row r="875" spans="4:4">
      <c r="D875" s="137"/>
    </row>
    <row r="876" spans="4:4">
      <c r="D876" s="137"/>
    </row>
    <row r="877" spans="4:4">
      <c r="D877" s="137"/>
    </row>
    <row r="878" spans="4:4">
      <c r="D878" s="137"/>
    </row>
    <row r="879" spans="4:4">
      <c r="D879" s="137"/>
    </row>
    <row r="880" spans="4:4">
      <c r="D880" s="137"/>
    </row>
    <row r="881" spans="4:4">
      <c r="D881" s="137"/>
    </row>
    <row r="882" spans="4:4">
      <c r="D882" s="137"/>
    </row>
    <row r="883" spans="4:4">
      <c r="D883" s="137"/>
    </row>
    <row r="884" spans="4:4">
      <c r="D884" s="137"/>
    </row>
    <row r="885" spans="4:4">
      <c r="D885" s="137"/>
    </row>
    <row r="886" spans="4:4">
      <c r="D886" s="137"/>
    </row>
    <row r="887" spans="4:4">
      <c r="D887" s="137"/>
    </row>
    <row r="888" spans="4:4">
      <c r="D888" s="137"/>
    </row>
    <row r="889" spans="4:4">
      <c r="D889" s="137"/>
    </row>
    <row r="890" spans="4:4">
      <c r="D890" s="137"/>
    </row>
    <row r="891" spans="4:4">
      <c r="D891" s="137"/>
    </row>
    <row r="892" spans="4:4">
      <c r="D892" s="137"/>
    </row>
    <row r="893" spans="4:4">
      <c r="D893" s="137"/>
    </row>
    <row r="894" spans="4:4">
      <c r="D894" s="137"/>
    </row>
    <row r="895" spans="4:4">
      <c r="D895" s="137"/>
    </row>
    <row r="896" spans="4:4">
      <c r="D896" s="137"/>
    </row>
    <row r="897" spans="4:4">
      <c r="D897" s="137"/>
    </row>
    <row r="898" spans="4:4">
      <c r="D898" s="137"/>
    </row>
    <row r="899" spans="4:4">
      <c r="D899" s="137"/>
    </row>
    <row r="900" spans="4:4">
      <c r="D900" s="137"/>
    </row>
    <row r="901" spans="4:4">
      <c r="D901" s="137"/>
    </row>
    <row r="902" spans="4:4">
      <c r="D902" s="137"/>
    </row>
    <row r="903" spans="4:4">
      <c r="D903" s="137"/>
    </row>
    <row r="904" spans="4:4">
      <c r="D904" s="137"/>
    </row>
    <row r="905" spans="4:4">
      <c r="D905" s="137"/>
    </row>
    <row r="906" spans="4:4">
      <c r="D906" s="137"/>
    </row>
    <row r="907" spans="4:4">
      <c r="D907" s="137"/>
    </row>
    <row r="908" spans="4:4">
      <c r="D908" s="137"/>
    </row>
    <row r="909" spans="4:4">
      <c r="D909" s="137"/>
    </row>
    <row r="910" spans="4:4">
      <c r="D910" s="137"/>
    </row>
    <row r="911" spans="4:4">
      <c r="D911" s="137"/>
    </row>
    <row r="912" spans="4:4">
      <c r="D912" s="137"/>
    </row>
    <row r="913" spans="4:4">
      <c r="D913" s="137"/>
    </row>
    <row r="914" spans="4:4">
      <c r="D914" s="137"/>
    </row>
    <row r="915" spans="4:4">
      <c r="D915" s="137"/>
    </row>
    <row r="916" spans="4:4">
      <c r="D916" s="137"/>
    </row>
    <row r="917" spans="4:4">
      <c r="D917" s="137"/>
    </row>
    <row r="918" spans="4:4">
      <c r="D918" s="137"/>
    </row>
    <row r="919" spans="4:4">
      <c r="D919" s="137"/>
    </row>
    <row r="920" spans="4:4">
      <c r="D920" s="137"/>
    </row>
    <row r="921" spans="4:4">
      <c r="D921" s="137"/>
    </row>
    <row r="922" spans="4:4">
      <c r="D922" s="137"/>
    </row>
    <row r="923" spans="4:4">
      <c r="D923" s="137"/>
    </row>
    <row r="924" spans="4:4">
      <c r="D924" s="137"/>
    </row>
    <row r="925" spans="4:4">
      <c r="D925" s="137"/>
    </row>
    <row r="926" spans="4:4">
      <c r="D926" s="137"/>
    </row>
    <row r="927" spans="4:4">
      <c r="D927" s="137"/>
    </row>
    <row r="928" spans="4:4">
      <c r="D928" s="137"/>
    </row>
    <row r="929" spans="4:4">
      <c r="D929" s="137"/>
    </row>
    <row r="930" spans="4:4">
      <c r="D930" s="137"/>
    </row>
    <row r="931" spans="4:4">
      <c r="D931" s="137"/>
    </row>
    <row r="932" spans="4:4">
      <c r="D932" s="137"/>
    </row>
    <row r="933" spans="4:4">
      <c r="D933" s="137"/>
    </row>
    <row r="934" spans="4:4">
      <c r="D934" s="137"/>
    </row>
    <row r="935" spans="4:4">
      <c r="D935" s="137"/>
    </row>
    <row r="936" spans="4:4">
      <c r="D936" s="137"/>
    </row>
    <row r="937" spans="4:4">
      <c r="D937" s="137"/>
    </row>
    <row r="938" spans="4:4">
      <c r="D938" s="137"/>
    </row>
    <row r="939" spans="4:4">
      <c r="D939" s="137"/>
    </row>
    <row r="940" spans="4:4">
      <c r="D940" s="137"/>
    </row>
    <row r="941" spans="4:4">
      <c r="D941" s="137"/>
    </row>
    <row r="942" spans="4:4">
      <c r="D942" s="137"/>
    </row>
    <row r="943" spans="4:4">
      <c r="D943" s="137"/>
    </row>
    <row r="944" spans="4:4">
      <c r="D944" s="137"/>
    </row>
    <row r="945" spans="4:4">
      <c r="D945" s="137"/>
    </row>
    <row r="946" spans="4:4">
      <c r="D946" s="137"/>
    </row>
    <row r="947" spans="4:4">
      <c r="D947" s="137"/>
    </row>
    <row r="948" spans="4:4">
      <c r="D948" s="137"/>
    </row>
    <row r="949" spans="4:4">
      <c r="D949" s="137"/>
    </row>
    <row r="950" spans="4:4">
      <c r="D950" s="137"/>
    </row>
    <row r="951" spans="4:4">
      <c r="D951" s="137"/>
    </row>
    <row r="952" spans="4:4">
      <c r="D952" s="137"/>
    </row>
    <row r="953" spans="4:4">
      <c r="D953" s="137"/>
    </row>
    <row r="954" spans="4:4">
      <c r="D954" s="137"/>
    </row>
    <row r="955" spans="4:4">
      <c r="D955" s="137"/>
    </row>
    <row r="956" spans="4:4">
      <c r="D956" s="137"/>
    </row>
    <row r="957" spans="4:4">
      <c r="D957" s="137"/>
    </row>
    <row r="958" spans="4:4">
      <c r="D958" s="137"/>
    </row>
    <row r="959" spans="4:4">
      <c r="D959" s="137"/>
    </row>
    <row r="960" spans="4:4">
      <c r="D960" s="137"/>
    </row>
    <row r="961" spans="4:4">
      <c r="D961" s="137"/>
    </row>
    <row r="962" spans="4:4">
      <c r="D962" s="137"/>
    </row>
    <row r="963" spans="4:4">
      <c r="D963" s="137"/>
    </row>
    <row r="964" spans="4:4">
      <c r="D964" s="137"/>
    </row>
    <row r="965" spans="4:4">
      <c r="D965" s="137"/>
    </row>
    <row r="966" spans="4:4">
      <c r="D966" s="137"/>
    </row>
    <row r="967" spans="4:4">
      <c r="D967" s="137"/>
    </row>
    <row r="968" spans="4:4">
      <c r="D968" s="137"/>
    </row>
    <row r="969" spans="4:4">
      <c r="D969" s="137"/>
    </row>
    <row r="970" spans="4:4">
      <c r="D970" s="137"/>
    </row>
    <row r="971" spans="4:4">
      <c r="D971" s="137"/>
    </row>
    <row r="972" spans="4:4">
      <c r="D972" s="137"/>
    </row>
    <row r="973" spans="4:4">
      <c r="D973" s="137"/>
    </row>
    <row r="974" spans="4:4">
      <c r="D974" s="137"/>
    </row>
    <row r="975" spans="4:4">
      <c r="D975" s="137"/>
    </row>
    <row r="976" spans="4:4">
      <c r="D976" s="137"/>
    </row>
    <row r="977" spans="4:4">
      <c r="D977" s="137"/>
    </row>
    <row r="978" spans="4:4">
      <c r="D978" s="137"/>
    </row>
    <row r="979" spans="4:4">
      <c r="D979" s="137"/>
    </row>
    <row r="980" spans="4:4">
      <c r="D980" s="137"/>
    </row>
    <row r="981" spans="4:4">
      <c r="D981" s="137"/>
    </row>
    <row r="982" spans="4:4">
      <c r="D982" s="137"/>
    </row>
    <row r="983" spans="4:4">
      <c r="D983" s="137"/>
    </row>
    <row r="984" spans="4:4">
      <c r="D984" s="137"/>
    </row>
    <row r="985" spans="4:4">
      <c r="D985" s="137"/>
    </row>
    <row r="986" spans="4:4">
      <c r="D986" s="137"/>
    </row>
    <row r="987" spans="4:4">
      <c r="D987" s="137"/>
    </row>
    <row r="988" spans="4:4">
      <c r="D988" s="137"/>
    </row>
    <row r="989" spans="4:4">
      <c r="D989" s="137"/>
    </row>
    <row r="990" spans="4:4">
      <c r="D990" s="137"/>
    </row>
    <row r="991" spans="4:4">
      <c r="D991" s="137"/>
    </row>
    <row r="992" spans="4:4">
      <c r="D992" s="137"/>
    </row>
    <row r="993" spans="4:4">
      <c r="D993" s="137"/>
    </row>
    <row r="994" spans="4:4">
      <c r="D994" s="137"/>
    </row>
    <row r="995" spans="4:4">
      <c r="D995" s="137"/>
    </row>
    <row r="996" spans="4:4">
      <c r="D996" s="137"/>
    </row>
    <row r="997" spans="4:4">
      <c r="D997" s="137"/>
    </row>
    <row r="998" spans="4:4">
      <c r="D998" s="137"/>
    </row>
    <row r="999" spans="4:4">
      <c r="D999" s="137"/>
    </row>
    <row r="1000" spans="4:4">
      <c r="D1000" s="13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5571"/>
  <sheetViews>
    <sheetView workbookViewId="0">
      <pane ySplit="1" topLeftCell="A2" activePane="bottomLeft" state="frozen"/>
      <selection pane="bottomLeft" activeCell="B3" sqref="B3"/>
    </sheetView>
  </sheetViews>
  <sheetFormatPr defaultColWidth="14.42578125" defaultRowHeight="15" customHeight="1"/>
  <cols>
    <col min="1" max="1" width="12" customWidth="1"/>
    <col min="2" max="2" width="20" customWidth="1"/>
    <col min="3" max="3" width="12" customWidth="1"/>
    <col min="4" max="4" width="28" customWidth="1"/>
    <col min="5" max="5" width="14" customWidth="1"/>
    <col min="6" max="6" width="20" customWidth="1"/>
    <col min="7" max="7" width="12" customWidth="1"/>
    <col min="8" max="8" width="18" customWidth="1"/>
  </cols>
  <sheetData>
    <row r="1" spans="1:8" ht="30">
      <c r="A1" s="138" t="s">
        <v>44</v>
      </c>
      <c r="B1" s="138" t="s">
        <v>14</v>
      </c>
      <c r="C1" s="139" t="s">
        <v>123</v>
      </c>
      <c r="D1" s="138" t="s">
        <v>124</v>
      </c>
      <c r="E1" s="138" t="s">
        <v>841</v>
      </c>
      <c r="F1" s="138" t="s">
        <v>842</v>
      </c>
      <c r="G1" s="138" t="s">
        <v>50</v>
      </c>
      <c r="H1" s="138" t="s">
        <v>45</v>
      </c>
    </row>
    <row r="2" spans="1:8">
      <c r="A2" s="140" t="s">
        <v>51</v>
      </c>
      <c r="B2" s="140" t="s">
        <v>21</v>
      </c>
      <c r="C2" s="141" t="s">
        <v>296</v>
      </c>
      <c r="D2" s="140" t="s">
        <v>297</v>
      </c>
      <c r="E2" s="140">
        <v>1</v>
      </c>
      <c r="F2" s="142">
        <v>45700.416666666672</v>
      </c>
      <c r="G2" s="140" t="s">
        <v>843</v>
      </c>
      <c r="H2" s="140" t="s">
        <v>844</v>
      </c>
    </row>
    <row r="3" spans="1:8">
      <c r="A3" s="140" t="s">
        <v>51</v>
      </c>
      <c r="B3" s="140" t="s">
        <v>21</v>
      </c>
      <c r="C3" s="141" t="s">
        <v>296</v>
      </c>
      <c r="D3" s="140" t="s">
        <v>297</v>
      </c>
      <c r="E3" s="140">
        <v>2</v>
      </c>
      <c r="F3" s="142">
        <v>45712.458333333328</v>
      </c>
      <c r="G3" s="140" t="s">
        <v>845</v>
      </c>
      <c r="H3" s="140" t="s">
        <v>844</v>
      </c>
    </row>
    <row r="4" spans="1:8">
      <c r="A4" s="140" t="s">
        <v>51</v>
      </c>
      <c r="B4" s="140" t="s">
        <v>21</v>
      </c>
      <c r="C4" s="141" t="s">
        <v>296</v>
      </c>
      <c r="D4" s="140" t="s">
        <v>297</v>
      </c>
      <c r="E4" s="140">
        <v>3</v>
      </c>
      <c r="F4" s="142">
        <v>45763.583333333328</v>
      </c>
      <c r="G4" s="140" t="s">
        <v>845</v>
      </c>
      <c r="H4" s="140" t="s">
        <v>844</v>
      </c>
    </row>
    <row r="5" spans="1:8">
      <c r="A5" s="140" t="s">
        <v>51</v>
      </c>
      <c r="B5" s="140" t="s">
        <v>21</v>
      </c>
      <c r="C5" s="141" t="s">
        <v>296</v>
      </c>
      <c r="D5" s="140" t="s">
        <v>297</v>
      </c>
      <c r="E5" s="140">
        <v>4</v>
      </c>
      <c r="F5" s="142">
        <v>45770.541666666672</v>
      </c>
      <c r="G5" s="140" t="s">
        <v>845</v>
      </c>
      <c r="H5" s="140" t="s">
        <v>844</v>
      </c>
    </row>
    <row r="6" spans="1:8">
      <c r="A6" s="140" t="s">
        <v>51</v>
      </c>
      <c r="B6" s="140" t="s">
        <v>21</v>
      </c>
      <c r="C6" s="141" t="s">
        <v>296</v>
      </c>
      <c r="D6" s="140" t="s">
        <v>297</v>
      </c>
      <c r="E6" s="140">
        <v>5</v>
      </c>
      <c r="F6" s="142">
        <v>45784.458333333328</v>
      </c>
      <c r="G6" s="140" t="s">
        <v>845</v>
      </c>
      <c r="H6" s="140" t="s">
        <v>844</v>
      </c>
    </row>
    <row r="7" spans="1:8">
      <c r="A7" s="140" t="s">
        <v>51</v>
      </c>
      <c r="B7" s="140" t="s">
        <v>21</v>
      </c>
      <c r="C7" s="141" t="s">
        <v>296</v>
      </c>
      <c r="D7" s="140" t="s">
        <v>297</v>
      </c>
      <c r="E7" s="140">
        <v>6</v>
      </c>
      <c r="F7" s="142">
        <v>45819.583333333328</v>
      </c>
      <c r="G7" s="140" t="s">
        <v>845</v>
      </c>
      <c r="H7" s="140" t="s">
        <v>844</v>
      </c>
    </row>
    <row r="8" spans="1:8">
      <c r="A8" s="140" t="s">
        <v>51</v>
      </c>
      <c r="B8" s="140" t="s">
        <v>21</v>
      </c>
      <c r="C8" s="141" t="s">
        <v>296</v>
      </c>
      <c r="D8" s="140" t="s">
        <v>297</v>
      </c>
      <c r="E8" s="140">
        <v>7</v>
      </c>
      <c r="F8" s="142">
        <v>45824.541666666672</v>
      </c>
      <c r="G8" s="140" t="s">
        <v>845</v>
      </c>
      <c r="H8" s="140" t="s">
        <v>844</v>
      </c>
    </row>
    <row r="9" spans="1:8">
      <c r="A9" s="140" t="s">
        <v>51</v>
      </c>
      <c r="B9" s="140" t="s">
        <v>21</v>
      </c>
      <c r="C9" s="141" t="s">
        <v>296</v>
      </c>
      <c r="D9" s="140" t="s">
        <v>297</v>
      </c>
      <c r="E9" s="140">
        <v>8</v>
      </c>
      <c r="F9" s="142">
        <v>45831.541666666672</v>
      </c>
      <c r="G9" s="140" t="s">
        <v>845</v>
      </c>
      <c r="H9" s="140" t="s">
        <v>844</v>
      </c>
    </row>
    <row r="10" spans="1:8">
      <c r="A10" s="140" t="s">
        <v>51</v>
      </c>
      <c r="B10" s="140" t="s">
        <v>21</v>
      </c>
      <c r="C10" s="141" t="s">
        <v>296</v>
      </c>
      <c r="D10" s="140" t="s">
        <v>297</v>
      </c>
      <c r="E10" s="140">
        <v>9</v>
      </c>
      <c r="F10" s="142">
        <v>45840.541666666672</v>
      </c>
      <c r="G10" s="140" t="s">
        <v>845</v>
      </c>
      <c r="H10" s="140" t="s">
        <v>844</v>
      </c>
    </row>
    <row r="11" spans="1:8">
      <c r="A11" s="140" t="s">
        <v>51</v>
      </c>
      <c r="B11" s="140" t="s">
        <v>21</v>
      </c>
      <c r="C11" s="141" t="s">
        <v>296</v>
      </c>
      <c r="D11" s="140" t="s">
        <v>297</v>
      </c>
      <c r="E11" s="140">
        <v>10</v>
      </c>
      <c r="F11" s="142">
        <v>45867.416666666672</v>
      </c>
      <c r="G11" s="140" t="s">
        <v>845</v>
      </c>
      <c r="H11" s="140" t="s">
        <v>844</v>
      </c>
    </row>
    <row r="12" spans="1:8">
      <c r="A12" s="140" t="s">
        <v>51</v>
      </c>
      <c r="B12" s="140" t="s">
        <v>22</v>
      </c>
      <c r="C12" s="141" t="s">
        <v>296</v>
      </c>
      <c r="D12" s="140" t="s">
        <v>297</v>
      </c>
      <c r="E12" s="140">
        <v>1</v>
      </c>
      <c r="F12" s="142">
        <v>45889.458333333328</v>
      </c>
      <c r="G12" s="140" t="s">
        <v>845</v>
      </c>
      <c r="H12" s="140" t="s">
        <v>844</v>
      </c>
    </row>
    <row r="13" spans="1:8">
      <c r="A13" s="140" t="s">
        <v>51</v>
      </c>
      <c r="B13" s="140" t="s">
        <v>22</v>
      </c>
      <c r="C13" s="141" t="s">
        <v>296</v>
      </c>
      <c r="D13" s="140" t="s">
        <v>297</v>
      </c>
      <c r="E13" s="140">
        <v>2</v>
      </c>
      <c r="F13" s="142">
        <v>45896.458333333328</v>
      </c>
      <c r="G13" s="140" t="s">
        <v>845</v>
      </c>
      <c r="H13" s="140" t="s">
        <v>844</v>
      </c>
    </row>
    <row r="14" spans="1:8">
      <c r="A14" s="140" t="s">
        <v>51</v>
      </c>
      <c r="B14" s="140" t="s">
        <v>22</v>
      </c>
      <c r="C14" s="141" t="s">
        <v>296</v>
      </c>
      <c r="D14" s="140" t="s">
        <v>297</v>
      </c>
      <c r="E14" s="140">
        <v>4</v>
      </c>
      <c r="F14" s="142">
        <v>45922.541666666672</v>
      </c>
      <c r="G14" s="140" t="s">
        <v>845</v>
      </c>
      <c r="H14" s="140" t="s">
        <v>844</v>
      </c>
    </row>
    <row r="15" spans="1:8">
      <c r="A15" s="140" t="s">
        <v>51</v>
      </c>
      <c r="B15" s="140" t="s">
        <v>22</v>
      </c>
      <c r="C15" s="141" t="s">
        <v>296</v>
      </c>
      <c r="D15" s="140" t="s">
        <v>297</v>
      </c>
      <c r="E15" s="140">
        <v>5</v>
      </c>
      <c r="F15" s="142">
        <v>45930.458333333328</v>
      </c>
      <c r="G15" s="140" t="s">
        <v>845</v>
      </c>
      <c r="H15" s="140" t="s">
        <v>844</v>
      </c>
    </row>
    <row r="16" spans="1:8">
      <c r="A16" s="140" t="s">
        <v>51</v>
      </c>
      <c r="B16" s="140" t="s">
        <v>22</v>
      </c>
      <c r="C16" s="141" t="s">
        <v>296</v>
      </c>
      <c r="D16" s="140" t="s">
        <v>297</v>
      </c>
      <c r="E16" s="140">
        <v>6</v>
      </c>
      <c r="F16" s="142">
        <v>45937.458333333328</v>
      </c>
      <c r="G16" s="140" t="s">
        <v>845</v>
      </c>
      <c r="H16" s="140" t="s">
        <v>844</v>
      </c>
    </row>
    <row r="17" spans="1:8">
      <c r="A17" s="140" t="s">
        <v>51</v>
      </c>
      <c r="B17" s="140" t="s">
        <v>22</v>
      </c>
      <c r="C17" s="141" t="s">
        <v>296</v>
      </c>
      <c r="D17" s="140" t="s">
        <v>297</v>
      </c>
      <c r="E17" s="140">
        <v>7</v>
      </c>
      <c r="F17" s="142">
        <v>45944.458333333328</v>
      </c>
      <c r="G17" s="140" t="s">
        <v>845</v>
      </c>
      <c r="H17" s="140" t="s">
        <v>844</v>
      </c>
    </row>
    <row r="18" spans="1:8">
      <c r="A18" s="140" t="s">
        <v>51</v>
      </c>
      <c r="B18" s="140" t="s">
        <v>22</v>
      </c>
      <c r="C18" s="141" t="s">
        <v>296</v>
      </c>
      <c r="D18" s="140" t="s">
        <v>297</v>
      </c>
      <c r="E18" s="140">
        <v>8</v>
      </c>
      <c r="F18" s="142">
        <v>45950.458333333328</v>
      </c>
      <c r="G18" s="140" t="s">
        <v>845</v>
      </c>
      <c r="H18" s="140" t="s">
        <v>844</v>
      </c>
    </row>
    <row r="19" spans="1:8">
      <c r="A19" s="140" t="s">
        <v>51</v>
      </c>
      <c r="B19" s="140" t="s">
        <v>22</v>
      </c>
      <c r="C19" s="141" t="s">
        <v>296</v>
      </c>
      <c r="D19" s="140" t="s">
        <v>297</v>
      </c>
      <c r="E19" s="140">
        <v>9</v>
      </c>
      <c r="F19" s="142">
        <v>45957.458333333328</v>
      </c>
      <c r="G19" s="140" t="s">
        <v>845</v>
      </c>
      <c r="H19" s="140" t="s">
        <v>844</v>
      </c>
    </row>
    <row r="20" spans="1:8">
      <c r="A20" s="140" t="s">
        <v>51</v>
      </c>
      <c r="B20" s="140" t="s">
        <v>22</v>
      </c>
      <c r="C20" s="141" t="s">
        <v>296</v>
      </c>
      <c r="D20" s="140" t="s">
        <v>297</v>
      </c>
      <c r="E20" s="140">
        <v>10</v>
      </c>
      <c r="F20" s="142">
        <v>45965.458333333328</v>
      </c>
      <c r="G20" s="140" t="s">
        <v>845</v>
      </c>
      <c r="H20" s="140" t="s">
        <v>844</v>
      </c>
    </row>
    <row r="21" spans="1:8" ht="15.75" customHeight="1">
      <c r="A21" s="140" t="s">
        <v>51</v>
      </c>
      <c r="B21" s="140" t="s">
        <v>22</v>
      </c>
      <c r="C21" s="141" t="s">
        <v>296</v>
      </c>
      <c r="D21" s="140" t="s">
        <v>297</v>
      </c>
      <c r="E21" s="140">
        <v>11</v>
      </c>
      <c r="F21" s="142">
        <v>45972.458333333328</v>
      </c>
      <c r="G21" s="140" t="s">
        <v>845</v>
      </c>
      <c r="H21" s="140" t="s">
        <v>844</v>
      </c>
    </row>
    <row r="22" spans="1:8" ht="15.75" customHeight="1">
      <c r="A22" s="140" t="s">
        <v>51</v>
      </c>
      <c r="B22" s="140" t="s">
        <v>22</v>
      </c>
      <c r="C22" s="141" t="s">
        <v>296</v>
      </c>
      <c r="D22" s="140" t="s">
        <v>297</v>
      </c>
      <c r="E22" s="140">
        <v>12</v>
      </c>
      <c r="F22" s="142">
        <v>45979.458333333328</v>
      </c>
      <c r="G22" s="140" t="s">
        <v>845</v>
      </c>
      <c r="H22" s="140" t="s">
        <v>844</v>
      </c>
    </row>
    <row r="23" spans="1:8" ht="15.75" customHeight="1">
      <c r="A23" s="140" t="s">
        <v>51</v>
      </c>
      <c r="B23" s="140" t="s">
        <v>22</v>
      </c>
      <c r="C23" s="141" t="s">
        <v>296</v>
      </c>
      <c r="D23" s="140" t="s">
        <v>297</v>
      </c>
      <c r="E23" s="140">
        <v>13</v>
      </c>
      <c r="F23" s="142">
        <v>45986.458333333328</v>
      </c>
      <c r="G23" s="140" t="s">
        <v>843</v>
      </c>
      <c r="H23" s="140" t="s">
        <v>844</v>
      </c>
    </row>
    <row r="24" spans="1:8" ht="15.75" customHeight="1">
      <c r="A24" s="140" t="s">
        <v>51</v>
      </c>
      <c r="B24" s="140" t="s">
        <v>22</v>
      </c>
      <c r="C24" s="141" t="s">
        <v>296</v>
      </c>
      <c r="D24" s="140" t="s">
        <v>297</v>
      </c>
      <c r="E24" s="140">
        <v>14</v>
      </c>
      <c r="F24" s="142">
        <v>45993.416666666672</v>
      </c>
      <c r="G24" s="140" t="s">
        <v>845</v>
      </c>
      <c r="H24" s="140" t="s">
        <v>844</v>
      </c>
    </row>
    <row r="25" spans="1:8" ht="15.75" customHeight="1">
      <c r="A25" s="140" t="s">
        <v>51</v>
      </c>
      <c r="B25" s="140" t="s">
        <v>22</v>
      </c>
      <c r="C25" s="141" t="s">
        <v>296</v>
      </c>
      <c r="D25" s="140" t="s">
        <v>297</v>
      </c>
      <c r="E25" s="140">
        <v>15</v>
      </c>
      <c r="F25" s="142">
        <v>46000.458333333328</v>
      </c>
      <c r="G25" s="140" t="s">
        <v>845</v>
      </c>
      <c r="H25" s="140" t="s">
        <v>844</v>
      </c>
    </row>
    <row r="26" spans="1:8" ht="15.75" customHeight="1">
      <c r="A26" s="140" t="s">
        <v>51</v>
      </c>
      <c r="B26" s="140" t="s">
        <v>22</v>
      </c>
      <c r="C26" s="141" t="s">
        <v>296</v>
      </c>
      <c r="D26" s="140" t="s">
        <v>297</v>
      </c>
      <c r="E26" s="140">
        <v>16</v>
      </c>
      <c r="F26" s="142">
        <v>46042.416666666672</v>
      </c>
      <c r="G26" s="140" t="s">
        <v>845</v>
      </c>
      <c r="H26" s="140" t="s">
        <v>844</v>
      </c>
    </row>
    <row r="27" spans="1:8" ht="15.75" customHeight="1">
      <c r="A27" s="140" t="s">
        <v>51</v>
      </c>
      <c r="B27" s="140" t="s">
        <v>21</v>
      </c>
      <c r="C27" s="141" t="s">
        <v>319</v>
      </c>
      <c r="D27" s="140" t="s">
        <v>320</v>
      </c>
      <c r="E27" s="140">
        <v>1</v>
      </c>
      <c r="F27" s="142">
        <v>45700.416666666672</v>
      </c>
      <c r="G27" s="140" t="s">
        <v>843</v>
      </c>
      <c r="H27" s="140" t="s">
        <v>844</v>
      </c>
    </row>
    <row r="28" spans="1:8" ht="15.75" customHeight="1">
      <c r="A28" s="140" t="s">
        <v>51</v>
      </c>
      <c r="B28" s="140" t="s">
        <v>21</v>
      </c>
      <c r="C28" s="141" t="s">
        <v>319</v>
      </c>
      <c r="D28" s="140" t="s">
        <v>320</v>
      </c>
      <c r="E28" s="140">
        <v>2</v>
      </c>
      <c r="F28" s="142">
        <v>45712.458333333328</v>
      </c>
      <c r="G28" s="140" t="s">
        <v>843</v>
      </c>
      <c r="H28" s="140" t="s">
        <v>844</v>
      </c>
    </row>
    <row r="29" spans="1:8" ht="15.75" customHeight="1">
      <c r="A29" s="140" t="s">
        <v>51</v>
      </c>
      <c r="B29" s="140" t="s">
        <v>21</v>
      </c>
      <c r="C29" s="141" t="s">
        <v>319</v>
      </c>
      <c r="D29" s="140" t="s">
        <v>320</v>
      </c>
      <c r="E29" s="140">
        <v>3</v>
      </c>
      <c r="F29" s="142">
        <v>45763.583333333328</v>
      </c>
      <c r="G29" s="140" t="s">
        <v>845</v>
      </c>
      <c r="H29" s="140" t="s">
        <v>844</v>
      </c>
    </row>
    <row r="30" spans="1:8" ht="15.75" customHeight="1">
      <c r="A30" s="140" t="s">
        <v>51</v>
      </c>
      <c r="B30" s="140" t="s">
        <v>21</v>
      </c>
      <c r="C30" s="141" t="s">
        <v>319</v>
      </c>
      <c r="D30" s="140" t="s">
        <v>320</v>
      </c>
      <c r="E30" s="140">
        <v>4</v>
      </c>
      <c r="F30" s="142">
        <v>45770.541666666672</v>
      </c>
      <c r="G30" s="140" t="s">
        <v>845</v>
      </c>
      <c r="H30" s="140" t="s">
        <v>844</v>
      </c>
    </row>
    <row r="31" spans="1:8" ht="15.75" customHeight="1">
      <c r="A31" s="140" t="s">
        <v>51</v>
      </c>
      <c r="B31" s="140" t="s">
        <v>21</v>
      </c>
      <c r="C31" s="141" t="s">
        <v>319</v>
      </c>
      <c r="D31" s="140" t="s">
        <v>320</v>
      </c>
      <c r="E31" s="140">
        <v>5</v>
      </c>
      <c r="F31" s="142">
        <v>45784.458333333328</v>
      </c>
      <c r="G31" s="140" t="s">
        <v>845</v>
      </c>
      <c r="H31" s="140" t="s">
        <v>844</v>
      </c>
    </row>
    <row r="32" spans="1:8" ht="15.75" customHeight="1">
      <c r="A32" s="140" t="s">
        <v>51</v>
      </c>
      <c r="B32" s="140" t="s">
        <v>21</v>
      </c>
      <c r="C32" s="141" t="s">
        <v>319</v>
      </c>
      <c r="D32" s="140" t="s">
        <v>320</v>
      </c>
      <c r="E32" s="140">
        <v>6</v>
      </c>
      <c r="F32" s="142">
        <v>45819.583333333328</v>
      </c>
      <c r="G32" s="140" t="s">
        <v>845</v>
      </c>
      <c r="H32" s="140" t="s">
        <v>844</v>
      </c>
    </row>
    <row r="33" spans="1:8" ht="15.75" customHeight="1">
      <c r="A33" s="140" t="s">
        <v>51</v>
      </c>
      <c r="B33" s="140" t="s">
        <v>21</v>
      </c>
      <c r="C33" s="141" t="s">
        <v>319</v>
      </c>
      <c r="D33" s="140" t="s">
        <v>320</v>
      </c>
      <c r="E33" s="140">
        <v>7</v>
      </c>
      <c r="F33" s="142">
        <v>45824.541666666672</v>
      </c>
      <c r="G33" s="140" t="s">
        <v>845</v>
      </c>
      <c r="H33" s="140" t="s">
        <v>844</v>
      </c>
    </row>
    <row r="34" spans="1:8" ht="15.75" customHeight="1">
      <c r="A34" s="140" t="s">
        <v>51</v>
      </c>
      <c r="B34" s="140" t="s">
        <v>21</v>
      </c>
      <c r="C34" s="141" t="s">
        <v>319</v>
      </c>
      <c r="D34" s="140" t="s">
        <v>320</v>
      </c>
      <c r="E34" s="140">
        <v>8</v>
      </c>
      <c r="F34" s="142">
        <v>45831.541666666672</v>
      </c>
      <c r="G34" s="140" t="s">
        <v>845</v>
      </c>
      <c r="H34" s="140" t="s">
        <v>844</v>
      </c>
    </row>
    <row r="35" spans="1:8" ht="15.75" customHeight="1">
      <c r="A35" s="140" t="s">
        <v>51</v>
      </c>
      <c r="B35" s="140" t="s">
        <v>21</v>
      </c>
      <c r="C35" s="141" t="s">
        <v>319</v>
      </c>
      <c r="D35" s="140" t="s">
        <v>320</v>
      </c>
      <c r="E35" s="140">
        <v>9</v>
      </c>
      <c r="F35" s="142">
        <v>45840.541666666672</v>
      </c>
      <c r="G35" s="140" t="s">
        <v>845</v>
      </c>
      <c r="H35" s="140" t="s">
        <v>844</v>
      </c>
    </row>
    <row r="36" spans="1:8" ht="15.75" customHeight="1">
      <c r="A36" s="140" t="s">
        <v>51</v>
      </c>
      <c r="B36" s="140" t="s">
        <v>21</v>
      </c>
      <c r="C36" s="141" t="s">
        <v>319</v>
      </c>
      <c r="D36" s="140" t="s">
        <v>320</v>
      </c>
      <c r="E36" s="140">
        <v>10</v>
      </c>
      <c r="F36" s="142">
        <v>45867.416666666672</v>
      </c>
      <c r="G36" s="140" t="s">
        <v>845</v>
      </c>
      <c r="H36" s="140" t="s">
        <v>844</v>
      </c>
    </row>
    <row r="37" spans="1:8" ht="15.75" customHeight="1">
      <c r="A37" s="140" t="s">
        <v>51</v>
      </c>
      <c r="B37" s="140" t="s">
        <v>22</v>
      </c>
      <c r="C37" s="141" t="s">
        <v>319</v>
      </c>
      <c r="D37" s="140" t="s">
        <v>320</v>
      </c>
      <c r="E37" s="140">
        <v>1</v>
      </c>
      <c r="F37" s="142">
        <v>45889.458333333328</v>
      </c>
      <c r="G37" s="140" t="s">
        <v>845</v>
      </c>
      <c r="H37" s="140" t="s">
        <v>844</v>
      </c>
    </row>
    <row r="38" spans="1:8" ht="15.75" customHeight="1">
      <c r="A38" s="140" t="s">
        <v>51</v>
      </c>
      <c r="B38" s="140" t="s">
        <v>22</v>
      </c>
      <c r="C38" s="141" t="s">
        <v>319</v>
      </c>
      <c r="D38" s="140" t="s">
        <v>320</v>
      </c>
      <c r="E38" s="140">
        <v>2</v>
      </c>
      <c r="F38" s="142">
        <v>45896.458333333328</v>
      </c>
      <c r="G38" s="140" t="s">
        <v>845</v>
      </c>
      <c r="H38" s="140" t="s">
        <v>844</v>
      </c>
    </row>
    <row r="39" spans="1:8" ht="15.75" customHeight="1">
      <c r="A39" s="140" t="s">
        <v>51</v>
      </c>
      <c r="B39" s="140" t="s">
        <v>22</v>
      </c>
      <c r="C39" s="141" t="s">
        <v>319</v>
      </c>
      <c r="D39" s="140" t="s">
        <v>320</v>
      </c>
      <c r="E39" s="140">
        <v>4</v>
      </c>
      <c r="F39" s="142">
        <v>45922.541666666672</v>
      </c>
      <c r="G39" s="140" t="s">
        <v>845</v>
      </c>
      <c r="H39" s="140" t="s">
        <v>844</v>
      </c>
    </row>
    <row r="40" spans="1:8" ht="15.75" customHeight="1">
      <c r="A40" s="140" t="s">
        <v>51</v>
      </c>
      <c r="B40" s="140" t="s">
        <v>22</v>
      </c>
      <c r="C40" s="141" t="s">
        <v>319</v>
      </c>
      <c r="D40" s="140" t="s">
        <v>320</v>
      </c>
      <c r="E40" s="140">
        <v>5</v>
      </c>
      <c r="F40" s="142">
        <v>45930.458333333328</v>
      </c>
      <c r="G40" s="140" t="s">
        <v>845</v>
      </c>
      <c r="H40" s="140" t="s">
        <v>844</v>
      </c>
    </row>
    <row r="41" spans="1:8" ht="15.75" customHeight="1">
      <c r="A41" s="140" t="s">
        <v>51</v>
      </c>
      <c r="B41" s="140" t="s">
        <v>22</v>
      </c>
      <c r="C41" s="141" t="s">
        <v>319</v>
      </c>
      <c r="D41" s="140" t="s">
        <v>320</v>
      </c>
      <c r="E41" s="140">
        <v>6</v>
      </c>
      <c r="F41" s="142">
        <v>45937.458333333328</v>
      </c>
      <c r="G41" s="140" t="s">
        <v>845</v>
      </c>
      <c r="H41" s="140" t="s">
        <v>844</v>
      </c>
    </row>
    <row r="42" spans="1:8" ht="15.75" customHeight="1">
      <c r="A42" s="140" t="s">
        <v>51</v>
      </c>
      <c r="B42" s="140" t="s">
        <v>22</v>
      </c>
      <c r="C42" s="141" t="s">
        <v>319</v>
      </c>
      <c r="D42" s="140" t="s">
        <v>320</v>
      </c>
      <c r="E42" s="140">
        <v>7</v>
      </c>
      <c r="F42" s="142">
        <v>45944.458333333328</v>
      </c>
      <c r="G42" s="140" t="s">
        <v>845</v>
      </c>
      <c r="H42" s="140" t="s">
        <v>844</v>
      </c>
    </row>
    <row r="43" spans="1:8" ht="15.75" customHeight="1">
      <c r="A43" s="140" t="s">
        <v>51</v>
      </c>
      <c r="B43" s="140" t="s">
        <v>22</v>
      </c>
      <c r="C43" s="141" t="s">
        <v>319</v>
      </c>
      <c r="D43" s="140" t="s">
        <v>320</v>
      </c>
      <c r="E43" s="140">
        <v>8</v>
      </c>
      <c r="F43" s="142">
        <v>45950.458333333328</v>
      </c>
      <c r="G43" s="140" t="s">
        <v>845</v>
      </c>
      <c r="H43" s="140" t="s">
        <v>844</v>
      </c>
    </row>
    <row r="44" spans="1:8" ht="15.75" customHeight="1">
      <c r="A44" s="140" t="s">
        <v>51</v>
      </c>
      <c r="B44" s="140" t="s">
        <v>22</v>
      </c>
      <c r="C44" s="141" t="s">
        <v>319</v>
      </c>
      <c r="D44" s="140" t="s">
        <v>320</v>
      </c>
      <c r="E44" s="140">
        <v>9</v>
      </c>
      <c r="F44" s="142">
        <v>45957.458333333328</v>
      </c>
      <c r="G44" s="140" t="s">
        <v>845</v>
      </c>
      <c r="H44" s="140" t="s">
        <v>844</v>
      </c>
    </row>
    <row r="45" spans="1:8" ht="15.75" customHeight="1">
      <c r="A45" s="140" t="s">
        <v>51</v>
      </c>
      <c r="B45" s="140" t="s">
        <v>22</v>
      </c>
      <c r="C45" s="141" t="s">
        <v>319</v>
      </c>
      <c r="D45" s="140" t="s">
        <v>320</v>
      </c>
      <c r="E45" s="140">
        <v>10</v>
      </c>
      <c r="F45" s="142">
        <v>45965.458333333328</v>
      </c>
      <c r="G45" s="140" t="s">
        <v>845</v>
      </c>
      <c r="H45" s="140" t="s">
        <v>844</v>
      </c>
    </row>
    <row r="46" spans="1:8" ht="15.75" customHeight="1">
      <c r="A46" s="140" t="s">
        <v>51</v>
      </c>
      <c r="B46" s="140" t="s">
        <v>22</v>
      </c>
      <c r="C46" s="141" t="s">
        <v>319</v>
      </c>
      <c r="D46" s="140" t="s">
        <v>320</v>
      </c>
      <c r="E46" s="140">
        <v>11</v>
      </c>
      <c r="F46" s="142">
        <v>45972.458333333328</v>
      </c>
      <c r="G46" s="140" t="s">
        <v>845</v>
      </c>
      <c r="H46" s="140" t="s">
        <v>844</v>
      </c>
    </row>
    <row r="47" spans="1:8" ht="15.75" customHeight="1">
      <c r="A47" s="140" t="s">
        <v>51</v>
      </c>
      <c r="B47" s="140" t="s">
        <v>22</v>
      </c>
      <c r="C47" s="141" t="s">
        <v>319</v>
      </c>
      <c r="D47" s="140" t="s">
        <v>320</v>
      </c>
      <c r="E47" s="140">
        <v>12</v>
      </c>
      <c r="F47" s="142">
        <v>45979.458333333328</v>
      </c>
      <c r="G47" s="140" t="s">
        <v>845</v>
      </c>
      <c r="H47" s="140" t="s">
        <v>844</v>
      </c>
    </row>
    <row r="48" spans="1:8" ht="15.75" customHeight="1">
      <c r="A48" s="140" t="s">
        <v>51</v>
      </c>
      <c r="B48" s="140" t="s">
        <v>22</v>
      </c>
      <c r="C48" s="141" t="s">
        <v>319</v>
      </c>
      <c r="D48" s="140" t="s">
        <v>320</v>
      </c>
      <c r="E48" s="140">
        <v>13</v>
      </c>
      <c r="F48" s="142">
        <v>45986.458333333328</v>
      </c>
      <c r="G48" s="140" t="s">
        <v>845</v>
      </c>
      <c r="H48" s="140" t="s">
        <v>844</v>
      </c>
    </row>
    <row r="49" spans="1:8" ht="15.75" customHeight="1">
      <c r="A49" s="140" t="s">
        <v>51</v>
      </c>
      <c r="B49" s="140" t="s">
        <v>22</v>
      </c>
      <c r="C49" s="141" t="s">
        <v>319</v>
      </c>
      <c r="D49" s="140" t="s">
        <v>320</v>
      </c>
      <c r="E49" s="140">
        <v>14</v>
      </c>
      <c r="F49" s="142">
        <v>45993.416666666672</v>
      </c>
      <c r="G49" s="140" t="s">
        <v>845</v>
      </c>
      <c r="H49" s="140" t="s">
        <v>844</v>
      </c>
    </row>
    <row r="50" spans="1:8" ht="15.75" customHeight="1">
      <c r="A50" s="140" t="s">
        <v>51</v>
      </c>
      <c r="B50" s="140" t="s">
        <v>22</v>
      </c>
      <c r="C50" s="141" t="s">
        <v>319</v>
      </c>
      <c r="D50" s="140" t="s">
        <v>320</v>
      </c>
      <c r="E50" s="140">
        <v>15</v>
      </c>
      <c r="F50" s="142">
        <v>46000.458333333328</v>
      </c>
      <c r="G50" s="140" t="s">
        <v>845</v>
      </c>
      <c r="H50" s="140" t="s">
        <v>844</v>
      </c>
    </row>
    <row r="51" spans="1:8" ht="15.75" customHeight="1">
      <c r="A51" s="140" t="s">
        <v>51</v>
      </c>
      <c r="B51" s="140" t="s">
        <v>22</v>
      </c>
      <c r="C51" s="141" t="s">
        <v>319</v>
      </c>
      <c r="D51" s="140" t="s">
        <v>320</v>
      </c>
      <c r="E51" s="140">
        <v>16</v>
      </c>
      <c r="F51" s="142">
        <v>46042.416666666672</v>
      </c>
      <c r="G51" s="140" t="s">
        <v>845</v>
      </c>
      <c r="H51" s="140" t="s">
        <v>844</v>
      </c>
    </row>
    <row r="52" spans="1:8" ht="15.75" customHeight="1">
      <c r="A52" s="140" t="s">
        <v>51</v>
      </c>
      <c r="B52" s="140" t="s">
        <v>21</v>
      </c>
      <c r="C52" s="141" t="s">
        <v>474</v>
      </c>
      <c r="D52" s="140" t="s">
        <v>475</v>
      </c>
      <c r="E52" s="140">
        <v>1</v>
      </c>
      <c r="F52" s="142">
        <v>45700.416666666672</v>
      </c>
      <c r="G52" s="140" t="s">
        <v>845</v>
      </c>
      <c r="H52" s="140" t="s">
        <v>844</v>
      </c>
    </row>
    <row r="53" spans="1:8" ht="15.75" customHeight="1">
      <c r="A53" s="140" t="s">
        <v>51</v>
      </c>
      <c r="B53" s="140" t="s">
        <v>21</v>
      </c>
      <c r="C53" s="141" t="s">
        <v>474</v>
      </c>
      <c r="D53" s="140" t="s">
        <v>475</v>
      </c>
      <c r="E53" s="140">
        <v>2</v>
      </c>
      <c r="F53" s="142">
        <v>45712.458333333328</v>
      </c>
      <c r="G53" s="140" t="s">
        <v>845</v>
      </c>
      <c r="H53" s="140" t="s">
        <v>844</v>
      </c>
    </row>
    <row r="54" spans="1:8" ht="15.75" customHeight="1">
      <c r="A54" s="140" t="s">
        <v>51</v>
      </c>
      <c r="B54" s="140" t="s">
        <v>21</v>
      </c>
      <c r="C54" s="141" t="s">
        <v>474</v>
      </c>
      <c r="D54" s="140" t="s">
        <v>475</v>
      </c>
      <c r="E54" s="140">
        <v>3</v>
      </c>
      <c r="F54" s="142">
        <v>45763.583333333328</v>
      </c>
      <c r="G54" s="140" t="s">
        <v>845</v>
      </c>
      <c r="H54" s="140" t="s">
        <v>844</v>
      </c>
    </row>
    <row r="55" spans="1:8" ht="15.75" customHeight="1">
      <c r="A55" s="140" t="s">
        <v>51</v>
      </c>
      <c r="B55" s="140" t="s">
        <v>21</v>
      </c>
      <c r="C55" s="141" t="s">
        <v>474</v>
      </c>
      <c r="D55" s="140" t="s">
        <v>475</v>
      </c>
      <c r="E55" s="140">
        <v>4</v>
      </c>
      <c r="F55" s="142">
        <v>45770.541666666672</v>
      </c>
      <c r="G55" s="140" t="s">
        <v>845</v>
      </c>
      <c r="H55" s="140" t="s">
        <v>844</v>
      </c>
    </row>
    <row r="56" spans="1:8" ht="15.75" customHeight="1">
      <c r="A56" s="140" t="s">
        <v>51</v>
      </c>
      <c r="B56" s="140" t="s">
        <v>21</v>
      </c>
      <c r="C56" s="141" t="s">
        <v>474</v>
      </c>
      <c r="D56" s="140" t="s">
        <v>475</v>
      </c>
      <c r="E56" s="140">
        <v>5</v>
      </c>
      <c r="F56" s="142">
        <v>45784.458333333328</v>
      </c>
      <c r="G56" s="140" t="s">
        <v>845</v>
      </c>
      <c r="H56" s="140" t="s">
        <v>844</v>
      </c>
    </row>
    <row r="57" spans="1:8" ht="15.75" customHeight="1">
      <c r="A57" s="140" t="s">
        <v>51</v>
      </c>
      <c r="B57" s="140" t="s">
        <v>21</v>
      </c>
      <c r="C57" s="141" t="s">
        <v>474</v>
      </c>
      <c r="D57" s="140" t="s">
        <v>475</v>
      </c>
      <c r="E57" s="140">
        <v>6</v>
      </c>
      <c r="F57" s="142">
        <v>45819.583333333328</v>
      </c>
      <c r="G57" s="140" t="s">
        <v>845</v>
      </c>
      <c r="H57" s="140" t="s">
        <v>844</v>
      </c>
    </row>
    <row r="58" spans="1:8" ht="15.75" customHeight="1">
      <c r="A58" s="140" t="s">
        <v>51</v>
      </c>
      <c r="B58" s="140" t="s">
        <v>21</v>
      </c>
      <c r="C58" s="141" t="s">
        <v>474</v>
      </c>
      <c r="D58" s="140" t="s">
        <v>475</v>
      </c>
      <c r="E58" s="140">
        <v>7</v>
      </c>
      <c r="F58" s="142">
        <v>45824.541666666672</v>
      </c>
      <c r="G58" s="140" t="s">
        <v>845</v>
      </c>
      <c r="H58" s="140" t="s">
        <v>844</v>
      </c>
    </row>
    <row r="59" spans="1:8" ht="15.75" customHeight="1">
      <c r="A59" s="140" t="s">
        <v>51</v>
      </c>
      <c r="B59" s="140" t="s">
        <v>21</v>
      </c>
      <c r="C59" s="141" t="s">
        <v>474</v>
      </c>
      <c r="D59" s="140" t="s">
        <v>475</v>
      </c>
      <c r="E59" s="140">
        <v>8</v>
      </c>
      <c r="F59" s="142">
        <v>45831.541666666672</v>
      </c>
      <c r="G59" s="140" t="s">
        <v>845</v>
      </c>
      <c r="H59" s="140" t="s">
        <v>844</v>
      </c>
    </row>
    <row r="60" spans="1:8" ht="15.75" customHeight="1">
      <c r="A60" s="140" t="s">
        <v>51</v>
      </c>
      <c r="B60" s="140" t="s">
        <v>21</v>
      </c>
      <c r="C60" s="141" t="s">
        <v>474</v>
      </c>
      <c r="D60" s="140" t="s">
        <v>475</v>
      </c>
      <c r="E60" s="140">
        <v>9</v>
      </c>
      <c r="F60" s="142">
        <v>45840.541666666672</v>
      </c>
      <c r="G60" s="140" t="s">
        <v>845</v>
      </c>
      <c r="H60" s="140" t="s">
        <v>844</v>
      </c>
    </row>
    <row r="61" spans="1:8" ht="15.75" customHeight="1">
      <c r="A61" s="140" t="s">
        <v>51</v>
      </c>
      <c r="B61" s="140" t="s">
        <v>21</v>
      </c>
      <c r="C61" s="141" t="s">
        <v>474</v>
      </c>
      <c r="D61" s="140" t="s">
        <v>475</v>
      </c>
      <c r="E61" s="140">
        <v>10</v>
      </c>
      <c r="F61" s="142">
        <v>45867.416666666672</v>
      </c>
      <c r="G61" s="140" t="s">
        <v>845</v>
      </c>
      <c r="H61" s="140" t="s">
        <v>844</v>
      </c>
    </row>
    <row r="62" spans="1:8" ht="15.75" customHeight="1">
      <c r="A62" s="140" t="s">
        <v>51</v>
      </c>
      <c r="B62" s="140" t="s">
        <v>22</v>
      </c>
      <c r="C62" s="141" t="s">
        <v>474</v>
      </c>
      <c r="D62" s="140" t="s">
        <v>475</v>
      </c>
      <c r="E62" s="140">
        <v>1</v>
      </c>
      <c r="F62" s="142">
        <v>45889.458333333328</v>
      </c>
      <c r="G62" s="140" t="s">
        <v>845</v>
      </c>
      <c r="H62" s="140" t="s">
        <v>844</v>
      </c>
    </row>
    <row r="63" spans="1:8" ht="15.75" customHeight="1">
      <c r="A63" s="140" t="s">
        <v>51</v>
      </c>
      <c r="B63" s="140" t="s">
        <v>22</v>
      </c>
      <c r="C63" s="141" t="s">
        <v>474</v>
      </c>
      <c r="D63" s="140" t="s">
        <v>475</v>
      </c>
      <c r="E63" s="140">
        <v>2</v>
      </c>
      <c r="F63" s="142">
        <v>45896.458333333328</v>
      </c>
      <c r="G63" s="140" t="s">
        <v>845</v>
      </c>
      <c r="H63" s="140" t="s">
        <v>844</v>
      </c>
    </row>
    <row r="64" spans="1:8" ht="15.75" customHeight="1">
      <c r="A64" s="140" t="s">
        <v>51</v>
      </c>
      <c r="B64" s="140" t="s">
        <v>22</v>
      </c>
      <c r="C64" s="141" t="s">
        <v>474</v>
      </c>
      <c r="D64" s="140" t="s">
        <v>475</v>
      </c>
      <c r="E64" s="140">
        <v>4</v>
      </c>
      <c r="F64" s="142">
        <v>45922.541666666672</v>
      </c>
      <c r="G64" s="140" t="s">
        <v>845</v>
      </c>
      <c r="H64" s="140" t="s">
        <v>844</v>
      </c>
    </row>
    <row r="65" spans="1:8" ht="15.75" customHeight="1">
      <c r="A65" s="140" t="s">
        <v>51</v>
      </c>
      <c r="B65" s="140" t="s">
        <v>22</v>
      </c>
      <c r="C65" s="141" t="s">
        <v>474</v>
      </c>
      <c r="D65" s="140" t="s">
        <v>475</v>
      </c>
      <c r="E65" s="140">
        <v>5</v>
      </c>
      <c r="F65" s="142">
        <v>45930.458333333328</v>
      </c>
      <c r="G65" s="140" t="s">
        <v>845</v>
      </c>
      <c r="H65" s="140" t="s">
        <v>844</v>
      </c>
    </row>
    <row r="66" spans="1:8" ht="15.75" customHeight="1">
      <c r="A66" s="140" t="s">
        <v>51</v>
      </c>
      <c r="B66" s="140" t="s">
        <v>22</v>
      </c>
      <c r="C66" s="141" t="s">
        <v>474</v>
      </c>
      <c r="D66" s="140" t="s">
        <v>475</v>
      </c>
      <c r="E66" s="140">
        <v>6</v>
      </c>
      <c r="F66" s="142">
        <v>45937.458333333328</v>
      </c>
      <c r="G66" s="140" t="s">
        <v>845</v>
      </c>
      <c r="H66" s="140" t="s">
        <v>844</v>
      </c>
    </row>
    <row r="67" spans="1:8" ht="15.75" customHeight="1">
      <c r="A67" s="140" t="s">
        <v>51</v>
      </c>
      <c r="B67" s="140" t="s">
        <v>22</v>
      </c>
      <c r="C67" s="141" t="s">
        <v>474</v>
      </c>
      <c r="D67" s="140" t="s">
        <v>475</v>
      </c>
      <c r="E67" s="140">
        <v>7</v>
      </c>
      <c r="F67" s="142">
        <v>45944.458333333328</v>
      </c>
      <c r="G67" s="140" t="s">
        <v>845</v>
      </c>
      <c r="H67" s="140" t="s">
        <v>844</v>
      </c>
    </row>
    <row r="68" spans="1:8" ht="15.75" customHeight="1">
      <c r="A68" s="140" t="s">
        <v>51</v>
      </c>
      <c r="B68" s="140" t="s">
        <v>22</v>
      </c>
      <c r="C68" s="141" t="s">
        <v>474</v>
      </c>
      <c r="D68" s="140" t="s">
        <v>475</v>
      </c>
      <c r="E68" s="140">
        <v>8</v>
      </c>
      <c r="F68" s="142">
        <v>45950.458333333328</v>
      </c>
      <c r="G68" s="140" t="s">
        <v>845</v>
      </c>
      <c r="H68" s="140" t="s">
        <v>844</v>
      </c>
    </row>
    <row r="69" spans="1:8" ht="15.75" customHeight="1">
      <c r="A69" s="140" t="s">
        <v>51</v>
      </c>
      <c r="B69" s="140" t="s">
        <v>22</v>
      </c>
      <c r="C69" s="141" t="s">
        <v>474</v>
      </c>
      <c r="D69" s="140" t="s">
        <v>475</v>
      </c>
      <c r="E69" s="140">
        <v>9</v>
      </c>
      <c r="F69" s="142">
        <v>45957.458333333328</v>
      </c>
      <c r="G69" s="140" t="s">
        <v>845</v>
      </c>
      <c r="H69" s="140" t="s">
        <v>844</v>
      </c>
    </row>
    <row r="70" spans="1:8" ht="15.75" customHeight="1">
      <c r="A70" s="140" t="s">
        <v>51</v>
      </c>
      <c r="B70" s="140" t="s">
        <v>22</v>
      </c>
      <c r="C70" s="141" t="s">
        <v>474</v>
      </c>
      <c r="D70" s="140" t="s">
        <v>475</v>
      </c>
      <c r="E70" s="140">
        <v>10</v>
      </c>
      <c r="F70" s="142">
        <v>45965.458333333328</v>
      </c>
      <c r="G70" s="140" t="s">
        <v>845</v>
      </c>
      <c r="H70" s="140" t="s">
        <v>844</v>
      </c>
    </row>
    <row r="71" spans="1:8" ht="15.75" customHeight="1">
      <c r="A71" s="140" t="s">
        <v>51</v>
      </c>
      <c r="B71" s="140" t="s">
        <v>22</v>
      </c>
      <c r="C71" s="141" t="s">
        <v>474</v>
      </c>
      <c r="D71" s="140" t="s">
        <v>475</v>
      </c>
      <c r="E71" s="140">
        <v>11</v>
      </c>
      <c r="F71" s="142">
        <v>45972.458333333328</v>
      </c>
      <c r="G71" s="140" t="s">
        <v>845</v>
      </c>
      <c r="H71" s="140" t="s">
        <v>844</v>
      </c>
    </row>
    <row r="72" spans="1:8" ht="15.75" customHeight="1">
      <c r="A72" s="140" t="s">
        <v>51</v>
      </c>
      <c r="B72" s="140" t="s">
        <v>22</v>
      </c>
      <c r="C72" s="141" t="s">
        <v>474</v>
      </c>
      <c r="D72" s="140" t="s">
        <v>475</v>
      </c>
      <c r="E72" s="140">
        <v>12</v>
      </c>
      <c r="F72" s="142">
        <v>45979.458333333328</v>
      </c>
      <c r="G72" s="140" t="s">
        <v>845</v>
      </c>
      <c r="H72" s="140" t="s">
        <v>844</v>
      </c>
    </row>
    <row r="73" spans="1:8" ht="15.75" customHeight="1">
      <c r="A73" s="140" t="s">
        <v>51</v>
      </c>
      <c r="B73" s="140" t="s">
        <v>22</v>
      </c>
      <c r="C73" s="141" t="s">
        <v>474</v>
      </c>
      <c r="D73" s="140" t="s">
        <v>475</v>
      </c>
      <c r="E73" s="140">
        <v>13</v>
      </c>
      <c r="F73" s="142">
        <v>45986.458333333328</v>
      </c>
      <c r="G73" s="140" t="s">
        <v>845</v>
      </c>
      <c r="H73" s="140" t="s">
        <v>844</v>
      </c>
    </row>
    <row r="74" spans="1:8" ht="15.75" customHeight="1">
      <c r="A74" s="140" t="s">
        <v>51</v>
      </c>
      <c r="B74" s="140" t="s">
        <v>22</v>
      </c>
      <c r="C74" s="141" t="s">
        <v>474</v>
      </c>
      <c r="D74" s="140" t="s">
        <v>475</v>
      </c>
      <c r="E74" s="140">
        <v>14</v>
      </c>
      <c r="F74" s="142">
        <v>45993.416666666672</v>
      </c>
      <c r="G74" s="140" t="s">
        <v>845</v>
      </c>
      <c r="H74" s="140" t="s">
        <v>844</v>
      </c>
    </row>
    <row r="75" spans="1:8" ht="15.75" customHeight="1">
      <c r="A75" s="140" t="s">
        <v>51</v>
      </c>
      <c r="B75" s="140" t="s">
        <v>22</v>
      </c>
      <c r="C75" s="141" t="s">
        <v>474</v>
      </c>
      <c r="D75" s="140" t="s">
        <v>475</v>
      </c>
      <c r="E75" s="140">
        <v>15</v>
      </c>
      <c r="F75" s="142">
        <v>46000.458333333328</v>
      </c>
      <c r="G75" s="140" t="s">
        <v>845</v>
      </c>
      <c r="H75" s="140" t="s">
        <v>844</v>
      </c>
    </row>
    <row r="76" spans="1:8" ht="15.75" customHeight="1">
      <c r="A76" s="140" t="s">
        <v>51</v>
      </c>
      <c r="B76" s="140" t="s">
        <v>22</v>
      </c>
      <c r="C76" s="141" t="s">
        <v>474</v>
      </c>
      <c r="D76" s="140" t="s">
        <v>475</v>
      </c>
      <c r="E76" s="140">
        <v>16</v>
      </c>
      <c r="F76" s="142">
        <v>46042.416666666672</v>
      </c>
      <c r="G76" s="140" t="s">
        <v>845</v>
      </c>
      <c r="H76" s="140" t="s">
        <v>844</v>
      </c>
    </row>
    <row r="77" spans="1:8" ht="15.75" customHeight="1">
      <c r="A77" s="140" t="s">
        <v>51</v>
      </c>
      <c r="B77" s="140" t="s">
        <v>24</v>
      </c>
      <c r="C77" s="141" t="s">
        <v>657</v>
      </c>
      <c r="D77" s="140" t="s">
        <v>658</v>
      </c>
      <c r="E77" s="140">
        <v>1</v>
      </c>
      <c r="F77" s="142">
        <v>46084.541666666672</v>
      </c>
      <c r="G77" s="140" t="s">
        <v>845</v>
      </c>
      <c r="H77" s="140" t="s">
        <v>844</v>
      </c>
    </row>
    <row r="78" spans="1:8" ht="15.75" customHeight="1">
      <c r="A78" s="140" t="s">
        <v>51</v>
      </c>
      <c r="B78" s="140" t="s">
        <v>24</v>
      </c>
      <c r="C78" s="141" t="s">
        <v>657</v>
      </c>
      <c r="D78" s="140" t="s">
        <v>658</v>
      </c>
      <c r="E78" s="140">
        <v>2</v>
      </c>
      <c r="F78" s="142">
        <v>46091.583333333328</v>
      </c>
      <c r="G78" s="140" t="s">
        <v>845</v>
      </c>
      <c r="H78" s="140" t="s">
        <v>844</v>
      </c>
    </row>
    <row r="79" spans="1:8" ht="15.75" customHeight="1">
      <c r="A79" s="140" t="s">
        <v>51</v>
      </c>
      <c r="B79" s="140" t="s">
        <v>24</v>
      </c>
      <c r="C79" s="141" t="s">
        <v>657</v>
      </c>
      <c r="D79" s="140" t="s">
        <v>658</v>
      </c>
      <c r="E79" s="140">
        <v>3</v>
      </c>
      <c r="F79" s="142">
        <v>46098.583333333328</v>
      </c>
      <c r="G79" s="140" t="s">
        <v>845</v>
      </c>
      <c r="H79" s="140" t="s">
        <v>844</v>
      </c>
    </row>
    <row r="80" spans="1:8" ht="15.75" customHeight="1">
      <c r="A80" s="140" t="s">
        <v>51</v>
      </c>
      <c r="B80" s="140" t="s">
        <v>24</v>
      </c>
      <c r="C80" s="141" t="s">
        <v>657</v>
      </c>
      <c r="D80" s="140" t="s">
        <v>658</v>
      </c>
      <c r="E80" s="140">
        <v>4</v>
      </c>
      <c r="F80" s="142">
        <v>46105.583333333328</v>
      </c>
      <c r="G80" s="140" t="s">
        <v>845</v>
      </c>
      <c r="H80" s="140" t="s">
        <v>844</v>
      </c>
    </row>
    <row r="81" spans="1:8" ht="15.75" customHeight="1">
      <c r="A81" s="140" t="s">
        <v>51</v>
      </c>
      <c r="B81" s="140" t="s">
        <v>24</v>
      </c>
      <c r="C81" s="141" t="s">
        <v>657</v>
      </c>
      <c r="D81" s="140" t="s">
        <v>658</v>
      </c>
      <c r="E81" s="140">
        <v>5</v>
      </c>
      <c r="F81" s="142">
        <v>46120.583333333328</v>
      </c>
      <c r="G81" s="140" t="s">
        <v>845</v>
      </c>
      <c r="H81" s="140" t="s">
        <v>844</v>
      </c>
    </row>
    <row r="82" spans="1:8" ht="15.75" customHeight="1">
      <c r="A82" s="140" t="s">
        <v>51</v>
      </c>
      <c r="B82" s="140" t="s">
        <v>24</v>
      </c>
      <c r="C82" s="141" t="s">
        <v>657</v>
      </c>
      <c r="D82" s="140" t="s">
        <v>658</v>
      </c>
      <c r="E82" s="140">
        <v>6</v>
      </c>
      <c r="F82" s="142">
        <v>46127.583333333328</v>
      </c>
      <c r="G82" s="140" t="s">
        <v>845</v>
      </c>
      <c r="H82" s="140" t="s">
        <v>844</v>
      </c>
    </row>
    <row r="83" spans="1:8" ht="15.75" customHeight="1">
      <c r="A83" s="140" t="s">
        <v>51</v>
      </c>
      <c r="B83" s="140" t="s">
        <v>21</v>
      </c>
      <c r="C83" s="141" t="s">
        <v>657</v>
      </c>
      <c r="D83" s="140" t="s">
        <v>658</v>
      </c>
      <c r="E83" s="140">
        <v>1</v>
      </c>
      <c r="F83" s="142">
        <v>45700.416666666672</v>
      </c>
      <c r="G83" s="140" t="s">
        <v>845</v>
      </c>
      <c r="H83" s="140" t="s">
        <v>844</v>
      </c>
    </row>
    <row r="84" spans="1:8" ht="15.75" customHeight="1">
      <c r="A84" s="140" t="s">
        <v>51</v>
      </c>
      <c r="B84" s="140" t="s">
        <v>21</v>
      </c>
      <c r="C84" s="141" t="s">
        <v>657</v>
      </c>
      <c r="D84" s="140" t="s">
        <v>658</v>
      </c>
      <c r="E84" s="140">
        <v>2</v>
      </c>
      <c r="F84" s="142">
        <v>45712.458333333328</v>
      </c>
      <c r="G84" s="140" t="s">
        <v>845</v>
      </c>
      <c r="H84" s="140" t="s">
        <v>844</v>
      </c>
    </row>
    <row r="85" spans="1:8" ht="15.75" customHeight="1">
      <c r="A85" s="140" t="s">
        <v>51</v>
      </c>
      <c r="B85" s="140" t="s">
        <v>21</v>
      </c>
      <c r="C85" s="141" t="s">
        <v>657</v>
      </c>
      <c r="D85" s="140" t="s">
        <v>658</v>
      </c>
      <c r="E85" s="140">
        <v>3</v>
      </c>
      <c r="F85" s="142">
        <v>45763.583333333328</v>
      </c>
      <c r="G85" s="140" t="s">
        <v>845</v>
      </c>
      <c r="H85" s="140" t="s">
        <v>844</v>
      </c>
    </row>
    <row r="86" spans="1:8" ht="15.75" customHeight="1">
      <c r="A86" s="140" t="s">
        <v>51</v>
      </c>
      <c r="B86" s="140" t="s">
        <v>21</v>
      </c>
      <c r="C86" s="141" t="s">
        <v>657</v>
      </c>
      <c r="D86" s="140" t="s">
        <v>658</v>
      </c>
      <c r="E86" s="140">
        <v>4</v>
      </c>
      <c r="F86" s="142">
        <v>45770.541666666672</v>
      </c>
      <c r="G86" s="140" t="s">
        <v>845</v>
      </c>
      <c r="H86" s="140" t="s">
        <v>844</v>
      </c>
    </row>
    <row r="87" spans="1:8" ht="15.75" customHeight="1">
      <c r="A87" s="140" t="s">
        <v>51</v>
      </c>
      <c r="B87" s="140" t="s">
        <v>21</v>
      </c>
      <c r="C87" s="141" t="s">
        <v>657</v>
      </c>
      <c r="D87" s="140" t="s">
        <v>658</v>
      </c>
      <c r="E87" s="140">
        <v>5</v>
      </c>
      <c r="F87" s="142">
        <v>45784.458333333328</v>
      </c>
      <c r="G87" s="140" t="s">
        <v>845</v>
      </c>
      <c r="H87" s="140" t="s">
        <v>844</v>
      </c>
    </row>
    <row r="88" spans="1:8" ht="15.75" customHeight="1">
      <c r="A88" s="140" t="s">
        <v>51</v>
      </c>
      <c r="B88" s="140" t="s">
        <v>21</v>
      </c>
      <c r="C88" s="141" t="s">
        <v>657</v>
      </c>
      <c r="D88" s="140" t="s">
        <v>658</v>
      </c>
      <c r="E88" s="140">
        <v>6</v>
      </c>
      <c r="F88" s="142">
        <v>45819.583333333328</v>
      </c>
      <c r="G88" s="140" t="s">
        <v>845</v>
      </c>
      <c r="H88" s="140" t="s">
        <v>844</v>
      </c>
    </row>
    <row r="89" spans="1:8" ht="15.75" customHeight="1">
      <c r="A89" s="140" t="s">
        <v>51</v>
      </c>
      <c r="B89" s="140" t="s">
        <v>21</v>
      </c>
      <c r="C89" s="141" t="s">
        <v>657</v>
      </c>
      <c r="D89" s="140" t="s">
        <v>658</v>
      </c>
      <c r="E89" s="140">
        <v>7</v>
      </c>
      <c r="F89" s="142">
        <v>45824.541666666672</v>
      </c>
      <c r="G89" s="140" t="s">
        <v>845</v>
      </c>
      <c r="H89" s="140" t="s">
        <v>844</v>
      </c>
    </row>
    <row r="90" spans="1:8" ht="15.75" customHeight="1">
      <c r="A90" s="140" t="s">
        <v>51</v>
      </c>
      <c r="B90" s="140" t="s">
        <v>21</v>
      </c>
      <c r="C90" s="141" t="s">
        <v>657</v>
      </c>
      <c r="D90" s="140" t="s">
        <v>658</v>
      </c>
      <c r="E90" s="140">
        <v>8</v>
      </c>
      <c r="F90" s="142">
        <v>45831.541666666672</v>
      </c>
      <c r="G90" s="140" t="s">
        <v>845</v>
      </c>
      <c r="H90" s="140" t="s">
        <v>844</v>
      </c>
    </row>
    <row r="91" spans="1:8" ht="15.75" customHeight="1">
      <c r="A91" s="140" t="s">
        <v>51</v>
      </c>
      <c r="B91" s="140" t="s">
        <v>21</v>
      </c>
      <c r="C91" s="141" t="s">
        <v>657</v>
      </c>
      <c r="D91" s="140" t="s">
        <v>658</v>
      </c>
      <c r="E91" s="140">
        <v>9</v>
      </c>
      <c r="F91" s="142">
        <v>45840.541666666672</v>
      </c>
      <c r="G91" s="140" t="s">
        <v>845</v>
      </c>
      <c r="H91" s="140" t="s">
        <v>844</v>
      </c>
    </row>
    <row r="92" spans="1:8" ht="15.75" customHeight="1">
      <c r="A92" s="140" t="s">
        <v>51</v>
      </c>
      <c r="B92" s="140" t="s">
        <v>21</v>
      </c>
      <c r="C92" s="141" t="s">
        <v>657</v>
      </c>
      <c r="D92" s="140" t="s">
        <v>658</v>
      </c>
      <c r="E92" s="140">
        <v>10</v>
      </c>
      <c r="F92" s="142">
        <v>45867.416666666672</v>
      </c>
      <c r="G92" s="140" t="s">
        <v>845</v>
      </c>
      <c r="H92" s="140" t="s">
        <v>844</v>
      </c>
    </row>
    <row r="93" spans="1:8" ht="15.75" customHeight="1">
      <c r="A93" s="140" t="s">
        <v>51</v>
      </c>
      <c r="B93" s="140" t="s">
        <v>22</v>
      </c>
      <c r="C93" s="141" t="s">
        <v>657</v>
      </c>
      <c r="D93" s="140" t="s">
        <v>658</v>
      </c>
      <c r="E93" s="140">
        <v>1</v>
      </c>
      <c r="F93" s="142">
        <v>45889.458333333328</v>
      </c>
      <c r="G93" s="140" t="s">
        <v>845</v>
      </c>
      <c r="H93" s="140" t="s">
        <v>844</v>
      </c>
    </row>
    <row r="94" spans="1:8" ht="15.75" customHeight="1">
      <c r="A94" s="140" t="s">
        <v>51</v>
      </c>
      <c r="B94" s="140" t="s">
        <v>22</v>
      </c>
      <c r="C94" s="141" t="s">
        <v>657</v>
      </c>
      <c r="D94" s="140" t="s">
        <v>658</v>
      </c>
      <c r="E94" s="140">
        <v>2</v>
      </c>
      <c r="F94" s="142">
        <v>45896.458333333328</v>
      </c>
      <c r="G94" s="140" t="s">
        <v>845</v>
      </c>
      <c r="H94" s="140" t="s">
        <v>844</v>
      </c>
    </row>
    <row r="95" spans="1:8" ht="15.75" customHeight="1">
      <c r="A95" s="140" t="s">
        <v>51</v>
      </c>
      <c r="B95" s="140" t="s">
        <v>22</v>
      </c>
      <c r="C95" s="141" t="s">
        <v>657</v>
      </c>
      <c r="D95" s="140" t="s">
        <v>658</v>
      </c>
      <c r="E95" s="140">
        <v>4</v>
      </c>
      <c r="F95" s="142">
        <v>45922.541666666672</v>
      </c>
      <c r="G95" s="140" t="s">
        <v>845</v>
      </c>
      <c r="H95" s="140" t="s">
        <v>844</v>
      </c>
    </row>
    <row r="96" spans="1:8" ht="15.75" customHeight="1">
      <c r="A96" s="140" t="s">
        <v>51</v>
      </c>
      <c r="B96" s="140" t="s">
        <v>22</v>
      </c>
      <c r="C96" s="141" t="s">
        <v>657</v>
      </c>
      <c r="D96" s="140" t="s">
        <v>658</v>
      </c>
      <c r="E96" s="140">
        <v>5</v>
      </c>
      <c r="F96" s="142">
        <v>45930.458333333328</v>
      </c>
      <c r="G96" s="140" t="s">
        <v>845</v>
      </c>
      <c r="H96" s="140" t="s">
        <v>844</v>
      </c>
    </row>
    <row r="97" spans="1:8" ht="15.75" customHeight="1">
      <c r="A97" s="140" t="s">
        <v>51</v>
      </c>
      <c r="B97" s="140" t="s">
        <v>22</v>
      </c>
      <c r="C97" s="141" t="s">
        <v>657</v>
      </c>
      <c r="D97" s="140" t="s">
        <v>658</v>
      </c>
      <c r="E97" s="140">
        <v>6</v>
      </c>
      <c r="F97" s="142">
        <v>45937.458333333328</v>
      </c>
      <c r="G97" s="140" t="s">
        <v>845</v>
      </c>
      <c r="H97" s="140" t="s">
        <v>844</v>
      </c>
    </row>
    <row r="98" spans="1:8" ht="15.75" customHeight="1">
      <c r="A98" s="140" t="s">
        <v>51</v>
      </c>
      <c r="B98" s="140" t="s">
        <v>22</v>
      </c>
      <c r="C98" s="141" t="s">
        <v>657</v>
      </c>
      <c r="D98" s="140" t="s">
        <v>658</v>
      </c>
      <c r="E98" s="140">
        <v>7</v>
      </c>
      <c r="F98" s="142">
        <v>45944.458333333328</v>
      </c>
      <c r="G98" s="140" t="s">
        <v>845</v>
      </c>
      <c r="H98" s="140" t="s">
        <v>844</v>
      </c>
    </row>
    <row r="99" spans="1:8" ht="15.75" customHeight="1">
      <c r="A99" s="140" t="s">
        <v>51</v>
      </c>
      <c r="B99" s="140" t="s">
        <v>22</v>
      </c>
      <c r="C99" s="141" t="s">
        <v>657</v>
      </c>
      <c r="D99" s="140" t="s">
        <v>658</v>
      </c>
      <c r="E99" s="140">
        <v>8</v>
      </c>
      <c r="F99" s="142">
        <v>45950.458333333328</v>
      </c>
      <c r="G99" s="140" t="s">
        <v>845</v>
      </c>
      <c r="H99" s="140" t="s">
        <v>844</v>
      </c>
    </row>
    <row r="100" spans="1:8" ht="15.75" customHeight="1">
      <c r="A100" s="140" t="s">
        <v>51</v>
      </c>
      <c r="B100" s="140" t="s">
        <v>22</v>
      </c>
      <c r="C100" s="141" t="s">
        <v>657</v>
      </c>
      <c r="D100" s="140" t="s">
        <v>658</v>
      </c>
      <c r="E100" s="140">
        <v>9</v>
      </c>
      <c r="F100" s="142">
        <v>45957.458333333328</v>
      </c>
      <c r="G100" s="140" t="s">
        <v>845</v>
      </c>
      <c r="H100" s="140" t="s">
        <v>844</v>
      </c>
    </row>
    <row r="101" spans="1:8" ht="15.75" customHeight="1">
      <c r="A101" s="140" t="s">
        <v>51</v>
      </c>
      <c r="B101" s="140" t="s">
        <v>22</v>
      </c>
      <c r="C101" s="141" t="s">
        <v>657</v>
      </c>
      <c r="D101" s="140" t="s">
        <v>658</v>
      </c>
      <c r="E101" s="140">
        <v>10</v>
      </c>
      <c r="F101" s="142">
        <v>45965.458333333328</v>
      </c>
      <c r="G101" s="140" t="s">
        <v>845</v>
      </c>
      <c r="H101" s="140" t="s">
        <v>844</v>
      </c>
    </row>
    <row r="102" spans="1:8" ht="15.75" customHeight="1">
      <c r="A102" s="140" t="s">
        <v>51</v>
      </c>
      <c r="B102" s="140" t="s">
        <v>22</v>
      </c>
      <c r="C102" s="141" t="s">
        <v>657</v>
      </c>
      <c r="D102" s="140" t="s">
        <v>658</v>
      </c>
      <c r="E102" s="140">
        <v>11</v>
      </c>
      <c r="F102" s="142">
        <v>45972.458333333328</v>
      </c>
      <c r="G102" s="140" t="s">
        <v>845</v>
      </c>
      <c r="H102" s="140" t="s">
        <v>844</v>
      </c>
    </row>
    <row r="103" spans="1:8" ht="15.75" customHeight="1">
      <c r="A103" s="140" t="s">
        <v>51</v>
      </c>
      <c r="B103" s="140" t="s">
        <v>22</v>
      </c>
      <c r="C103" s="141" t="s">
        <v>657</v>
      </c>
      <c r="D103" s="140" t="s">
        <v>658</v>
      </c>
      <c r="E103" s="140">
        <v>12</v>
      </c>
      <c r="F103" s="142">
        <v>45979.458333333328</v>
      </c>
      <c r="G103" s="140" t="s">
        <v>845</v>
      </c>
      <c r="H103" s="140" t="s">
        <v>844</v>
      </c>
    </row>
    <row r="104" spans="1:8" ht="15.75" customHeight="1">
      <c r="A104" s="140" t="s">
        <v>51</v>
      </c>
      <c r="B104" s="140" t="s">
        <v>22</v>
      </c>
      <c r="C104" s="141" t="s">
        <v>657</v>
      </c>
      <c r="D104" s="140" t="s">
        <v>658</v>
      </c>
      <c r="E104" s="140">
        <v>13</v>
      </c>
      <c r="F104" s="142">
        <v>45986.458333333328</v>
      </c>
      <c r="G104" s="140" t="s">
        <v>845</v>
      </c>
      <c r="H104" s="140" t="s">
        <v>844</v>
      </c>
    </row>
    <row r="105" spans="1:8" ht="15.75" customHeight="1">
      <c r="A105" s="140" t="s">
        <v>51</v>
      </c>
      <c r="B105" s="140" t="s">
        <v>22</v>
      </c>
      <c r="C105" s="141" t="s">
        <v>657</v>
      </c>
      <c r="D105" s="140" t="s">
        <v>658</v>
      </c>
      <c r="E105" s="140">
        <v>14</v>
      </c>
      <c r="F105" s="142">
        <v>45993.416666666672</v>
      </c>
      <c r="G105" s="140" t="s">
        <v>845</v>
      </c>
      <c r="H105" s="140" t="s">
        <v>844</v>
      </c>
    </row>
    <row r="106" spans="1:8" ht="15.75" customHeight="1">
      <c r="A106" s="140" t="s">
        <v>51</v>
      </c>
      <c r="B106" s="140" t="s">
        <v>22</v>
      </c>
      <c r="C106" s="141" t="s">
        <v>657</v>
      </c>
      <c r="D106" s="140" t="s">
        <v>658</v>
      </c>
      <c r="E106" s="140">
        <v>15</v>
      </c>
      <c r="F106" s="142">
        <v>46000.458333333328</v>
      </c>
      <c r="G106" s="140" t="s">
        <v>845</v>
      </c>
      <c r="H106" s="140" t="s">
        <v>844</v>
      </c>
    </row>
    <row r="107" spans="1:8" ht="15.75" customHeight="1">
      <c r="A107" s="140" t="s">
        <v>51</v>
      </c>
      <c r="B107" s="140" t="s">
        <v>22</v>
      </c>
      <c r="C107" s="141" t="s">
        <v>657</v>
      </c>
      <c r="D107" s="140" t="s">
        <v>658</v>
      </c>
      <c r="E107" s="140">
        <v>16</v>
      </c>
      <c r="F107" s="142">
        <v>46042.416666666672</v>
      </c>
      <c r="G107" s="140" t="s">
        <v>845</v>
      </c>
      <c r="H107" s="140" t="s">
        <v>844</v>
      </c>
    </row>
    <row r="108" spans="1:8" ht="15.75" customHeight="1">
      <c r="A108" s="140" t="s">
        <v>51</v>
      </c>
      <c r="B108" s="140" t="s">
        <v>24</v>
      </c>
      <c r="C108" s="141" t="s">
        <v>659</v>
      </c>
      <c r="D108" s="140" t="s">
        <v>660</v>
      </c>
      <c r="E108" s="140">
        <v>1</v>
      </c>
      <c r="F108" s="142">
        <v>46084.541666666672</v>
      </c>
      <c r="G108" s="140" t="s">
        <v>845</v>
      </c>
      <c r="H108" s="140" t="s">
        <v>844</v>
      </c>
    </row>
    <row r="109" spans="1:8" ht="15.75" customHeight="1">
      <c r="A109" s="140" t="s">
        <v>51</v>
      </c>
      <c r="B109" s="140" t="s">
        <v>24</v>
      </c>
      <c r="C109" s="141" t="s">
        <v>659</v>
      </c>
      <c r="D109" s="140" t="s">
        <v>660</v>
      </c>
      <c r="E109" s="140">
        <v>2</v>
      </c>
      <c r="F109" s="142">
        <v>46091.583333333328</v>
      </c>
      <c r="G109" s="140" t="s">
        <v>845</v>
      </c>
      <c r="H109" s="140" t="s">
        <v>844</v>
      </c>
    </row>
    <row r="110" spans="1:8" ht="15.75" customHeight="1">
      <c r="A110" s="140" t="s">
        <v>51</v>
      </c>
      <c r="B110" s="140" t="s">
        <v>24</v>
      </c>
      <c r="C110" s="141" t="s">
        <v>659</v>
      </c>
      <c r="D110" s="140" t="s">
        <v>660</v>
      </c>
      <c r="E110" s="140">
        <v>3</v>
      </c>
      <c r="F110" s="142">
        <v>46098.583333333328</v>
      </c>
      <c r="G110" s="140" t="s">
        <v>845</v>
      </c>
      <c r="H110" s="140" t="s">
        <v>844</v>
      </c>
    </row>
    <row r="111" spans="1:8" ht="15.75" customHeight="1">
      <c r="A111" s="140" t="s">
        <v>51</v>
      </c>
      <c r="B111" s="140" t="s">
        <v>24</v>
      </c>
      <c r="C111" s="141" t="s">
        <v>659</v>
      </c>
      <c r="D111" s="140" t="s">
        <v>660</v>
      </c>
      <c r="E111" s="140">
        <v>4</v>
      </c>
      <c r="F111" s="142">
        <v>46105.583333333328</v>
      </c>
      <c r="G111" s="140" t="s">
        <v>845</v>
      </c>
      <c r="H111" s="140" t="s">
        <v>844</v>
      </c>
    </row>
    <row r="112" spans="1:8" ht="15.75" customHeight="1">
      <c r="A112" s="140" t="s">
        <v>51</v>
      </c>
      <c r="B112" s="140" t="s">
        <v>24</v>
      </c>
      <c r="C112" s="141" t="s">
        <v>659</v>
      </c>
      <c r="D112" s="140" t="s">
        <v>660</v>
      </c>
      <c r="E112" s="140">
        <v>5</v>
      </c>
      <c r="F112" s="142">
        <v>46120.583333333328</v>
      </c>
      <c r="G112" s="140" t="s">
        <v>845</v>
      </c>
      <c r="H112" s="140" t="s">
        <v>844</v>
      </c>
    </row>
    <row r="113" spans="1:8" ht="15.75" customHeight="1">
      <c r="A113" s="140" t="s">
        <v>51</v>
      </c>
      <c r="B113" s="140" t="s">
        <v>24</v>
      </c>
      <c r="C113" s="141" t="s">
        <v>659</v>
      </c>
      <c r="D113" s="140" t="s">
        <v>660</v>
      </c>
      <c r="E113" s="140">
        <v>6</v>
      </c>
      <c r="F113" s="142">
        <v>46127.583333333328</v>
      </c>
      <c r="G113" s="140" t="s">
        <v>845</v>
      </c>
      <c r="H113" s="140" t="s">
        <v>844</v>
      </c>
    </row>
    <row r="114" spans="1:8" ht="15.75" customHeight="1">
      <c r="A114" s="140" t="s">
        <v>51</v>
      </c>
      <c r="B114" s="140" t="s">
        <v>21</v>
      </c>
      <c r="C114" s="141" t="s">
        <v>659</v>
      </c>
      <c r="D114" s="140" t="s">
        <v>660</v>
      </c>
      <c r="E114" s="140">
        <v>1</v>
      </c>
      <c r="F114" s="142">
        <v>45700.416666666672</v>
      </c>
      <c r="G114" s="140" t="s">
        <v>845</v>
      </c>
      <c r="H114" s="140" t="s">
        <v>844</v>
      </c>
    </row>
    <row r="115" spans="1:8" ht="15.75" customHeight="1">
      <c r="A115" s="140" t="s">
        <v>51</v>
      </c>
      <c r="B115" s="140" t="s">
        <v>21</v>
      </c>
      <c r="C115" s="141" t="s">
        <v>659</v>
      </c>
      <c r="D115" s="140" t="s">
        <v>660</v>
      </c>
      <c r="E115" s="140">
        <v>2</v>
      </c>
      <c r="F115" s="142">
        <v>45712.458333333328</v>
      </c>
      <c r="G115" s="140" t="s">
        <v>845</v>
      </c>
      <c r="H115" s="140" t="s">
        <v>844</v>
      </c>
    </row>
    <row r="116" spans="1:8" ht="15.75" customHeight="1">
      <c r="A116" s="140" t="s">
        <v>51</v>
      </c>
      <c r="B116" s="140" t="s">
        <v>21</v>
      </c>
      <c r="C116" s="141" t="s">
        <v>659</v>
      </c>
      <c r="D116" s="140" t="s">
        <v>660</v>
      </c>
      <c r="E116" s="140">
        <v>3</v>
      </c>
      <c r="F116" s="142">
        <v>45763.583333333328</v>
      </c>
      <c r="G116" s="140" t="s">
        <v>845</v>
      </c>
      <c r="H116" s="140" t="s">
        <v>844</v>
      </c>
    </row>
    <row r="117" spans="1:8" ht="15.75" customHeight="1">
      <c r="A117" s="140" t="s">
        <v>51</v>
      </c>
      <c r="B117" s="140" t="s">
        <v>21</v>
      </c>
      <c r="C117" s="141" t="s">
        <v>659</v>
      </c>
      <c r="D117" s="140" t="s">
        <v>660</v>
      </c>
      <c r="E117" s="140">
        <v>4</v>
      </c>
      <c r="F117" s="142">
        <v>45770.541666666672</v>
      </c>
      <c r="G117" s="140" t="s">
        <v>845</v>
      </c>
      <c r="H117" s="140" t="s">
        <v>844</v>
      </c>
    </row>
    <row r="118" spans="1:8" ht="15.75" customHeight="1">
      <c r="A118" s="140" t="s">
        <v>51</v>
      </c>
      <c r="B118" s="140" t="s">
        <v>21</v>
      </c>
      <c r="C118" s="141" t="s">
        <v>659</v>
      </c>
      <c r="D118" s="140" t="s">
        <v>660</v>
      </c>
      <c r="E118" s="140">
        <v>5</v>
      </c>
      <c r="F118" s="142">
        <v>45784.458333333328</v>
      </c>
      <c r="G118" s="140" t="s">
        <v>845</v>
      </c>
      <c r="H118" s="140" t="s">
        <v>844</v>
      </c>
    </row>
    <row r="119" spans="1:8" ht="15.75" customHeight="1">
      <c r="A119" s="140" t="s">
        <v>51</v>
      </c>
      <c r="B119" s="140" t="s">
        <v>21</v>
      </c>
      <c r="C119" s="141" t="s">
        <v>659</v>
      </c>
      <c r="D119" s="140" t="s">
        <v>660</v>
      </c>
      <c r="E119" s="140">
        <v>6</v>
      </c>
      <c r="F119" s="142">
        <v>45819.583333333328</v>
      </c>
      <c r="G119" s="140" t="s">
        <v>845</v>
      </c>
      <c r="H119" s="140" t="s">
        <v>844</v>
      </c>
    </row>
    <row r="120" spans="1:8" ht="15.75" customHeight="1">
      <c r="A120" s="140" t="s">
        <v>51</v>
      </c>
      <c r="B120" s="140" t="s">
        <v>21</v>
      </c>
      <c r="C120" s="141" t="s">
        <v>659</v>
      </c>
      <c r="D120" s="140" t="s">
        <v>660</v>
      </c>
      <c r="E120" s="140">
        <v>7</v>
      </c>
      <c r="F120" s="142">
        <v>45824.541666666672</v>
      </c>
      <c r="G120" s="140" t="s">
        <v>845</v>
      </c>
      <c r="H120" s="140" t="s">
        <v>844</v>
      </c>
    </row>
    <row r="121" spans="1:8" ht="15.75" customHeight="1">
      <c r="A121" s="140" t="s">
        <v>51</v>
      </c>
      <c r="B121" s="140" t="s">
        <v>21</v>
      </c>
      <c r="C121" s="141" t="s">
        <v>659</v>
      </c>
      <c r="D121" s="140" t="s">
        <v>660</v>
      </c>
      <c r="E121" s="140">
        <v>8</v>
      </c>
      <c r="F121" s="142">
        <v>45831.541666666672</v>
      </c>
      <c r="G121" s="140" t="s">
        <v>845</v>
      </c>
      <c r="H121" s="140" t="s">
        <v>844</v>
      </c>
    </row>
    <row r="122" spans="1:8" ht="15.75" customHeight="1">
      <c r="A122" s="140" t="s">
        <v>51</v>
      </c>
      <c r="B122" s="140" t="s">
        <v>21</v>
      </c>
      <c r="C122" s="141" t="s">
        <v>659</v>
      </c>
      <c r="D122" s="140" t="s">
        <v>660</v>
      </c>
      <c r="E122" s="140">
        <v>9</v>
      </c>
      <c r="F122" s="142">
        <v>45840.541666666672</v>
      </c>
      <c r="G122" s="140" t="s">
        <v>845</v>
      </c>
      <c r="H122" s="140" t="s">
        <v>844</v>
      </c>
    </row>
    <row r="123" spans="1:8" ht="15.75" customHeight="1">
      <c r="A123" s="140" t="s">
        <v>51</v>
      </c>
      <c r="B123" s="140" t="s">
        <v>21</v>
      </c>
      <c r="C123" s="141" t="s">
        <v>659</v>
      </c>
      <c r="D123" s="140" t="s">
        <v>660</v>
      </c>
      <c r="E123" s="140">
        <v>10</v>
      </c>
      <c r="F123" s="142">
        <v>45867.416666666672</v>
      </c>
      <c r="G123" s="140" t="s">
        <v>845</v>
      </c>
      <c r="H123" s="140" t="s">
        <v>844</v>
      </c>
    </row>
    <row r="124" spans="1:8" ht="15.75" customHeight="1">
      <c r="A124" s="140" t="s">
        <v>51</v>
      </c>
      <c r="B124" s="140" t="s">
        <v>22</v>
      </c>
      <c r="C124" s="141" t="s">
        <v>659</v>
      </c>
      <c r="D124" s="140" t="s">
        <v>660</v>
      </c>
      <c r="E124" s="140">
        <v>1</v>
      </c>
      <c r="F124" s="142">
        <v>45889.458333333328</v>
      </c>
      <c r="G124" s="140" t="s">
        <v>845</v>
      </c>
      <c r="H124" s="140" t="s">
        <v>844</v>
      </c>
    </row>
    <row r="125" spans="1:8" ht="15.75" customHeight="1">
      <c r="A125" s="140" t="s">
        <v>51</v>
      </c>
      <c r="B125" s="140" t="s">
        <v>22</v>
      </c>
      <c r="C125" s="141" t="s">
        <v>659</v>
      </c>
      <c r="D125" s="140" t="s">
        <v>660</v>
      </c>
      <c r="E125" s="140">
        <v>2</v>
      </c>
      <c r="F125" s="142">
        <v>45896.458333333328</v>
      </c>
      <c r="G125" s="140" t="s">
        <v>845</v>
      </c>
      <c r="H125" s="140" t="s">
        <v>844</v>
      </c>
    </row>
    <row r="126" spans="1:8" ht="15.75" customHeight="1">
      <c r="A126" s="140" t="s">
        <v>51</v>
      </c>
      <c r="B126" s="140" t="s">
        <v>22</v>
      </c>
      <c r="C126" s="141" t="s">
        <v>659</v>
      </c>
      <c r="D126" s="140" t="s">
        <v>660</v>
      </c>
      <c r="E126" s="140">
        <v>4</v>
      </c>
      <c r="F126" s="142">
        <v>45922.541666666672</v>
      </c>
      <c r="G126" s="140" t="s">
        <v>845</v>
      </c>
      <c r="H126" s="140" t="s">
        <v>844</v>
      </c>
    </row>
    <row r="127" spans="1:8" ht="15.75" customHeight="1">
      <c r="A127" s="140" t="s">
        <v>51</v>
      </c>
      <c r="B127" s="140" t="s">
        <v>22</v>
      </c>
      <c r="C127" s="141" t="s">
        <v>659</v>
      </c>
      <c r="D127" s="140" t="s">
        <v>660</v>
      </c>
      <c r="E127" s="140">
        <v>5</v>
      </c>
      <c r="F127" s="142">
        <v>45930.458333333328</v>
      </c>
      <c r="G127" s="140" t="s">
        <v>845</v>
      </c>
      <c r="H127" s="140" t="s">
        <v>844</v>
      </c>
    </row>
    <row r="128" spans="1:8" ht="15.75" customHeight="1">
      <c r="A128" s="140" t="s">
        <v>51</v>
      </c>
      <c r="B128" s="140" t="s">
        <v>22</v>
      </c>
      <c r="C128" s="141" t="s">
        <v>659</v>
      </c>
      <c r="D128" s="140" t="s">
        <v>660</v>
      </c>
      <c r="E128" s="140">
        <v>6</v>
      </c>
      <c r="F128" s="142">
        <v>45937.458333333328</v>
      </c>
      <c r="G128" s="140" t="s">
        <v>845</v>
      </c>
      <c r="H128" s="140" t="s">
        <v>844</v>
      </c>
    </row>
    <row r="129" spans="1:8" ht="15.75" customHeight="1">
      <c r="A129" s="140" t="s">
        <v>51</v>
      </c>
      <c r="B129" s="140" t="s">
        <v>22</v>
      </c>
      <c r="C129" s="141" t="s">
        <v>659</v>
      </c>
      <c r="D129" s="140" t="s">
        <v>660</v>
      </c>
      <c r="E129" s="140">
        <v>7</v>
      </c>
      <c r="F129" s="142">
        <v>45944.458333333328</v>
      </c>
      <c r="G129" s="140" t="s">
        <v>845</v>
      </c>
      <c r="H129" s="140" t="s">
        <v>844</v>
      </c>
    </row>
    <row r="130" spans="1:8" ht="15.75" customHeight="1">
      <c r="A130" s="140" t="s">
        <v>51</v>
      </c>
      <c r="B130" s="140" t="s">
        <v>22</v>
      </c>
      <c r="C130" s="141" t="s">
        <v>659</v>
      </c>
      <c r="D130" s="140" t="s">
        <v>660</v>
      </c>
      <c r="E130" s="140">
        <v>8</v>
      </c>
      <c r="F130" s="142">
        <v>45950.458333333328</v>
      </c>
      <c r="G130" s="140" t="s">
        <v>845</v>
      </c>
      <c r="H130" s="140" t="s">
        <v>844</v>
      </c>
    </row>
    <row r="131" spans="1:8" ht="15.75" customHeight="1">
      <c r="A131" s="140" t="s">
        <v>51</v>
      </c>
      <c r="B131" s="140" t="s">
        <v>22</v>
      </c>
      <c r="C131" s="141" t="s">
        <v>659</v>
      </c>
      <c r="D131" s="140" t="s">
        <v>660</v>
      </c>
      <c r="E131" s="140">
        <v>9</v>
      </c>
      <c r="F131" s="142">
        <v>45957.458333333328</v>
      </c>
      <c r="G131" s="140" t="s">
        <v>845</v>
      </c>
      <c r="H131" s="140" t="s">
        <v>844</v>
      </c>
    </row>
    <row r="132" spans="1:8" ht="15.75" customHeight="1">
      <c r="A132" s="140" t="s">
        <v>51</v>
      </c>
      <c r="B132" s="140" t="s">
        <v>22</v>
      </c>
      <c r="C132" s="141" t="s">
        <v>659</v>
      </c>
      <c r="D132" s="140" t="s">
        <v>660</v>
      </c>
      <c r="E132" s="140">
        <v>10</v>
      </c>
      <c r="F132" s="142">
        <v>45965.458333333328</v>
      </c>
      <c r="G132" s="140" t="s">
        <v>845</v>
      </c>
      <c r="H132" s="140" t="s">
        <v>844</v>
      </c>
    </row>
    <row r="133" spans="1:8" ht="15.75" customHeight="1">
      <c r="A133" s="140" t="s">
        <v>51</v>
      </c>
      <c r="B133" s="140" t="s">
        <v>22</v>
      </c>
      <c r="C133" s="141" t="s">
        <v>659</v>
      </c>
      <c r="D133" s="140" t="s">
        <v>660</v>
      </c>
      <c r="E133" s="140">
        <v>11</v>
      </c>
      <c r="F133" s="142">
        <v>45972.458333333328</v>
      </c>
      <c r="G133" s="140" t="s">
        <v>845</v>
      </c>
      <c r="H133" s="140" t="s">
        <v>844</v>
      </c>
    </row>
    <row r="134" spans="1:8" ht="15.75" customHeight="1">
      <c r="A134" s="140" t="s">
        <v>51</v>
      </c>
      <c r="B134" s="140" t="s">
        <v>22</v>
      </c>
      <c r="C134" s="141" t="s">
        <v>659</v>
      </c>
      <c r="D134" s="140" t="s">
        <v>660</v>
      </c>
      <c r="E134" s="140">
        <v>12</v>
      </c>
      <c r="F134" s="142">
        <v>45979.458333333328</v>
      </c>
      <c r="G134" s="140" t="s">
        <v>845</v>
      </c>
      <c r="H134" s="140" t="s">
        <v>844</v>
      </c>
    </row>
    <row r="135" spans="1:8" ht="15.75" customHeight="1">
      <c r="A135" s="140" t="s">
        <v>51</v>
      </c>
      <c r="B135" s="140" t="s">
        <v>22</v>
      </c>
      <c r="C135" s="141" t="s">
        <v>659</v>
      </c>
      <c r="D135" s="140" t="s">
        <v>660</v>
      </c>
      <c r="E135" s="140">
        <v>13</v>
      </c>
      <c r="F135" s="142">
        <v>45986.458333333328</v>
      </c>
      <c r="G135" s="140" t="s">
        <v>845</v>
      </c>
      <c r="H135" s="140" t="s">
        <v>844</v>
      </c>
    </row>
    <row r="136" spans="1:8" ht="15.75" customHeight="1">
      <c r="A136" s="140" t="s">
        <v>51</v>
      </c>
      <c r="B136" s="140" t="s">
        <v>22</v>
      </c>
      <c r="C136" s="141" t="s">
        <v>659</v>
      </c>
      <c r="D136" s="140" t="s">
        <v>660</v>
      </c>
      <c r="E136" s="140">
        <v>14</v>
      </c>
      <c r="F136" s="142">
        <v>45993.416666666672</v>
      </c>
      <c r="G136" s="140" t="s">
        <v>845</v>
      </c>
      <c r="H136" s="140" t="s">
        <v>844</v>
      </c>
    </row>
    <row r="137" spans="1:8" ht="15.75" customHeight="1">
      <c r="A137" s="140" t="s">
        <v>51</v>
      </c>
      <c r="B137" s="140" t="s">
        <v>22</v>
      </c>
      <c r="C137" s="141" t="s">
        <v>659</v>
      </c>
      <c r="D137" s="140" t="s">
        <v>660</v>
      </c>
      <c r="E137" s="140">
        <v>15</v>
      </c>
      <c r="F137" s="142">
        <v>46000.458333333328</v>
      </c>
      <c r="G137" s="140" t="s">
        <v>845</v>
      </c>
      <c r="H137" s="140" t="s">
        <v>844</v>
      </c>
    </row>
    <row r="138" spans="1:8" ht="15.75" customHeight="1">
      <c r="A138" s="140" t="s">
        <v>51</v>
      </c>
      <c r="B138" s="140" t="s">
        <v>22</v>
      </c>
      <c r="C138" s="141" t="s">
        <v>659</v>
      </c>
      <c r="D138" s="140" t="s">
        <v>660</v>
      </c>
      <c r="E138" s="140">
        <v>16</v>
      </c>
      <c r="F138" s="142">
        <v>46042.416666666672</v>
      </c>
      <c r="G138" s="140" t="s">
        <v>845</v>
      </c>
      <c r="H138" s="140" t="s">
        <v>844</v>
      </c>
    </row>
    <row r="139" spans="1:8" ht="15.75" customHeight="1">
      <c r="A139" s="140" t="s">
        <v>51</v>
      </c>
      <c r="B139" s="140" t="s">
        <v>24</v>
      </c>
      <c r="C139" s="141" t="s">
        <v>721</v>
      </c>
      <c r="D139" s="140" t="s">
        <v>722</v>
      </c>
      <c r="E139" s="140">
        <v>1</v>
      </c>
      <c r="F139" s="142">
        <v>46084.541666666672</v>
      </c>
      <c r="G139" s="140" t="s">
        <v>845</v>
      </c>
      <c r="H139" s="140" t="s">
        <v>844</v>
      </c>
    </row>
    <row r="140" spans="1:8" ht="15.75" customHeight="1">
      <c r="A140" s="140" t="s">
        <v>51</v>
      </c>
      <c r="B140" s="140" t="s">
        <v>24</v>
      </c>
      <c r="C140" s="141" t="s">
        <v>721</v>
      </c>
      <c r="D140" s="140" t="s">
        <v>722</v>
      </c>
      <c r="E140" s="140">
        <v>2</v>
      </c>
      <c r="F140" s="142">
        <v>46091.583333333328</v>
      </c>
      <c r="G140" s="140" t="s">
        <v>845</v>
      </c>
      <c r="H140" s="140" t="s">
        <v>844</v>
      </c>
    </row>
    <row r="141" spans="1:8" ht="15.75" customHeight="1">
      <c r="A141" s="140" t="s">
        <v>51</v>
      </c>
      <c r="B141" s="140" t="s">
        <v>24</v>
      </c>
      <c r="C141" s="141" t="s">
        <v>721</v>
      </c>
      <c r="D141" s="140" t="s">
        <v>722</v>
      </c>
      <c r="E141" s="140">
        <v>3</v>
      </c>
      <c r="F141" s="142">
        <v>46098.583333333328</v>
      </c>
      <c r="G141" s="140" t="s">
        <v>845</v>
      </c>
      <c r="H141" s="140" t="s">
        <v>844</v>
      </c>
    </row>
    <row r="142" spans="1:8" ht="15.75" customHeight="1">
      <c r="A142" s="140" t="s">
        <v>51</v>
      </c>
      <c r="B142" s="140" t="s">
        <v>24</v>
      </c>
      <c r="C142" s="141" t="s">
        <v>721</v>
      </c>
      <c r="D142" s="140" t="s">
        <v>722</v>
      </c>
      <c r="E142" s="140">
        <v>4</v>
      </c>
      <c r="F142" s="142">
        <v>46105.583333333328</v>
      </c>
      <c r="G142" s="140" t="s">
        <v>845</v>
      </c>
      <c r="H142" s="140" t="s">
        <v>844</v>
      </c>
    </row>
    <row r="143" spans="1:8" ht="15.75" customHeight="1">
      <c r="A143" s="140" t="s">
        <v>51</v>
      </c>
      <c r="B143" s="140" t="s">
        <v>24</v>
      </c>
      <c r="C143" s="141" t="s">
        <v>721</v>
      </c>
      <c r="D143" s="140" t="s">
        <v>722</v>
      </c>
      <c r="E143" s="140">
        <v>5</v>
      </c>
      <c r="F143" s="142">
        <v>46120.583333333328</v>
      </c>
      <c r="G143" s="140" t="s">
        <v>845</v>
      </c>
      <c r="H143" s="140" t="s">
        <v>844</v>
      </c>
    </row>
    <row r="144" spans="1:8" ht="15.75" customHeight="1">
      <c r="A144" s="140" t="s">
        <v>51</v>
      </c>
      <c r="B144" s="140" t="s">
        <v>24</v>
      </c>
      <c r="C144" s="141" t="s">
        <v>721</v>
      </c>
      <c r="D144" s="140" t="s">
        <v>722</v>
      </c>
      <c r="E144" s="140">
        <v>6</v>
      </c>
      <c r="F144" s="142">
        <v>46127.583333333328</v>
      </c>
      <c r="G144" s="140" t="s">
        <v>845</v>
      </c>
      <c r="H144" s="140" t="s">
        <v>844</v>
      </c>
    </row>
    <row r="145" spans="1:8" ht="15.75" customHeight="1">
      <c r="A145" s="140" t="s">
        <v>51</v>
      </c>
      <c r="B145" s="140" t="s">
        <v>21</v>
      </c>
      <c r="C145" s="141" t="s">
        <v>721</v>
      </c>
      <c r="D145" s="140" t="s">
        <v>722</v>
      </c>
      <c r="E145" s="140">
        <v>1</v>
      </c>
      <c r="F145" s="142">
        <v>45700.416666666672</v>
      </c>
      <c r="G145" s="140" t="s">
        <v>845</v>
      </c>
      <c r="H145" s="140" t="s">
        <v>844</v>
      </c>
    </row>
    <row r="146" spans="1:8" ht="15.75" customHeight="1">
      <c r="A146" s="140" t="s">
        <v>51</v>
      </c>
      <c r="B146" s="140" t="s">
        <v>21</v>
      </c>
      <c r="C146" s="141" t="s">
        <v>721</v>
      </c>
      <c r="D146" s="140" t="s">
        <v>722</v>
      </c>
      <c r="E146" s="140">
        <v>2</v>
      </c>
      <c r="F146" s="142">
        <v>45712.458333333328</v>
      </c>
      <c r="G146" s="140" t="s">
        <v>845</v>
      </c>
      <c r="H146" s="140" t="s">
        <v>844</v>
      </c>
    </row>
    <row r="147" spans="1:8" ht="15.75" customHeight="1">
      <c r="A147" s="140" t="s">
        <v>51</v>
      </c>
      <c r="B147" s="140" t="s">
        <v>21</v>
      </c>
      <c r="C147" s="141" t="s">
        <v>721</v>
      </c>
      <c r="D147" s="140" t="s">
        <v>722</v>
      </c>
      <c r="E147" s="140">
        <v>3</v>
      </c>
      <c r="F147" s="142">
        <v>45763.583333333328</v>
      </c>
      <c r="G147" s="140" t="s">
        <v>845</v>
      </c>
      <c r="H147" s="140" t="s">
        <v>844</v>
      </c>
    </row>
    <row r="148" spans="1:8" ht="15.75" customHeight="1">
      <c r="A148" s="140" t="s">
        <v>51</v>
      </c>
      <c r="B148" s="140" t="s">
        <v>21</v>
      </c>
      <c r="C148" s="141" t="s">
        <v>721</v>
      </c>
      <c r="D148" s="140" t="s">
        <v>722</v>
      </c>
      <c r="E148" s="140">
        <v>4</v>
      </c>
      <c r="F148" s="142">
        <v>45770.541666666672</v>
      </c>
      <c r="G148" s="140" t="s">
        <v>845</v>
      </c>
      <c r="H148" s="140" t="s">
        <v>844</v>
      </c>
    </row>
    <row r="149" spans="1:8" ht="15.75" customHeight="1">
      <c r="A149" s="140" t="s">
        <v>51</v>
      </c>
      <c r="B149" s="140" t="s">
        <v>21</v>
      </c>
      <c r="C149" s="141" t="s">
        <v>721</v>
      </c>
      <c r="D149" s="140" t="s">
        <v>722</v>
      </c>
      <c r="E149" s="140">
        <v>5</v>
      </c>
      <c r="F149" s="142">
        <v>45784.458333333328</v>
      </c>
      <c r="G149" s="140" t="s">
        <v>845</v>
      </c>
      <c r="H149" s="140" t="s">
        <v>844</v>
      </c>
    </row>
    <row r="150" spans="1:8" ht="15.75" customHeight="1">
      <c r="A150" s="140" t="s">
        <v>51</v>
      </c>
      <c r="B150" s="140" t="s">
        <v>21</v>
      </c>
      <c r="C150" s="141" t="s">
        <v>721</v>
      </c>
      <c r="D150" s="140" t="s">
        <v>722</v>
      </c>
      <c r="E150" s="140">
        <v>6</v>
      </c>
      <c r="F150" s="142">
        <v>45819.583333333328</v>
      </c>
      <c r="G150" s="140" t="s">
        <v>845</v>
      </c>
      <c r="H150" s="140" t="s">
        <v>844</v>
      </c>
    </row>
    <row r="151" spans="1:8" ht="15.75" customHeight="1">
      <c r="A151" s="140" t="s">
        <v>51</v>
      </c>
      <c r="B151" s="140" t="s">
        <v>21</v>
      </c>
      <c r="C151" s="141" t="s">
        <v>721</v>
      </c>
      <c r="D151" s="140" t="s">
        <v>722</v>
      </c>
      <c r="E151" s="140">
        <v>7</v>
      </c>
      <c r="F151" s="142">
        <v>45824.541666666672</v>
      </c>
      <c r="G151" s="140" t="s">
        <v>845</v>
      </c>
      <c r="H151" s="140" t="s">
        <v>844</v>
      </c>
    </row>
    <row r="152" spans="1:8" ht="15.75" customHeight="1">
      <c r="A152" s="140" t="s">
        <v>51</v>
      </c>
      <c r="B152" s="140" t="s">
        <v>21</v>
      </c>
      <c r="C152" s="141" t="s">
        <v>721</v>
      </c>
      <c r="D152" s="140" t="s">
        <v>722</v>
      </c>
      <c r="E152" s="140">
        <v>8</v>
      </c>
      <c r="F152" s="142">
        <v>45831.541666666672</v>
      </c>
      <c r="G152" s="140" t="s">
        <v>845</v>
      </c>
      <c r="H152" s="140" t="s">
        <v>844</v>
      </c>
    </row>
    <row r="153" spans="1:8" ht="15.75" customHeight="1">
      <c r="A153" s="140" t="s">
        <v>51</v>
      </c>
      <c r="B153" s="140" t="s">
        <v>21</v>
      </c>
      <c r="C153" s="141" t="s">
        <v>721</v>
      </c>
      <c r="D153" s="140" t="s">
        <v>722</v>
      </c>
      <c r="E153" s="140">
        <v>9</v>
      </c>
      <c r="F153" s="142">
        <v>45840.541666666672</v>
      </c>
      <c r="G153" s="140" t="s">
        <v>845</v>
      </c>
      <c r="H153" s="140" t="s">
        <v>844</v>
      </c>
    </row>
    <row r="154" spans="1:8" ht="15.75" customHeight="1">
      <c r="A154" s="140" t="s">
        <v>51</v>
      </c>
      <c r="B154" s="140" t="s">
        <v>21</v>
      </c>
      <c r="C154" s="141" t="s">
        <v>721</v>
      </c>
      <c r="D154" s="140" t="s">
        <v>722</v>
      </c>
      <c r="E154" s="140">
        <v>10</v>
      </c>
      <c r="F154" s="142">
        <v>45867.416666666672</v>
      </c>
      <c r="G154" s="140" t="s">
        <v>845</v>
      </c>
      <c r="H154" s="140" t="s">
        <v>844</v>
      </c>
    </row>
    <row r="155" spans="1:8" ht="15.75" customHeight="1">
      <c r="A155" s="140" t="s">
        <v>51</v>
      </c>
      <c r="B155" s="140" t="s">
        <v>22</v>
      </c>
      <c r="C155" s="141" t="s">
        <v>721</v>
      </c>
      <c r="D155" s="140" t="s">
        <v>722</v>
      </c>
      <c r="E155" s="140">
        <v>1</v>
      </c>
      <c r="F155" s="142">
        <v>45889.458333333328</v>
      </c>
      <c r="G155" s="140" t="s">
        <v>845</v>
      </c>
      <c r="H155" s="140" t="s">
        <v>844</v>
      </c>
    </row>
    <row r="156" spans="1:8" ht="15.75" customHeight="1">
      <c r="A156" s="140" t="s">
        <v>51</v>
      </c>
      <c r="B156" s="140" t="s">
        <v>22</v>
      </c>
      <c r="C156" s="141" t="s">
        <v>721</v>
      </c>
      <c r="D156" s="140" t="s">
        <v>722</v>
      </c>
      <c r="E156" s="140">
        <v>2</v>
      </c>
      <c r="F156" s="142">
        <v>45896.458333333328</v>
      </c>
      <c r="G156" s="140" t="s">
        <v>845</v>
      </c>
      <c r="H156" s="140" t="s">
        <v>844</v>
      </c>
    </row>
    <row r="157" spans="1:8" ht="15.75" customHeight="1">
      <c r="A157" s="140" t="s">
        <v>51</v>
      </c>
      <c r="B157" s="140" t="s">
        <v>22</v>
      </c>
      <c r="C157" s="141" t="s">
        <v>721</v>
      </c>
      <c r="D157" s="140" t="s">
        <v>722</v>
      </c>
      <c r="E157" s="140">
        <v>4</v>
      </c>
      <c r="F157" s="142">
        <v>45922.541666666672</v>
      </c>
      <c r="G157" s="140" t="s">
        <v>845</v>
      </c>
      <c r="H157" s="140" t="s">
        <v>844</v>
      </c>
    </row>
    <row r="158" spans="1:8" ht="15.75" customHeight="1">
      <c r="A158" s="140" t="s">
        <v>51</v>
      </c>
      <c r="B158" s="140" t="s">
        <v>22</v>
      </c>
      <c r="C158" s="141" t="s">
        <v>721</v>
      </c>
      <c r="D158" s="140" t="s">
        <v>722</v>
      </c>
      <c r="E158" s="140">
        <v>5</v>
      </c>
      <c r="F158" s="142">
        <v>45930.458333333328</v>
      </c>
      <c r="G158" s="140" t="s">
        <v>845</v>
      </c>
      <c r="H158" s="140" t="s">
        <v>844</v>
      </c>
    </row>
    <row r="159" spans="1:8" ht="15.75" customHeight="1">
      <c r="A159" s="140" t="s">
        <v>51</v>
      </c>
      <c r="B159" s="140" t="s">
        <v>22</v>
      </c>
      <c r="C159" s="141" t="s">
        <v>721</v>
      </c>
      <c r="D159" s="140" t="s">
        <v>722</v>
      </c>
      <c r="E159" s="140">
        <v>6</v>
      </c>
      <c r="F159" s="142">
        <v>45937.458333333328</v>
      </c>
      <c r="G159" s="140" t="s">
        <v>845</v>
      </c>
      <c r="H159" s="140" t="s">
        <v>844</v>
      </c>
    </row>
    <row r="160" spans="1:8" ht="15.75" customHeight="1">
      <c r="A160" s="140" t="s">
        <v>51</v>
      </c>
      <c r="B160" s="140" t="s">
        <v>22</v>
      </c>
      <c r="C160" s="141" t="s">
        <v>721</v>
      </c>
      <c r="D160" s="140" t="s">
        <v>722</v>
      </c>
      <c r="E160" s="140">
        <v>7</v>
      </c>
      <c r="F160" s="142">
        <v>45944.458333333328</v>
      </c>
      <c r="G160" s="140" t="s">
        <v>845</v>
      </c>
      <c r="H160" s="140" t="s">
        <v>844</v>
      </c>
    </row>
    <row r="161" spans="1:8" ht="15.75" customHeight="1">
      <c r="A161" s="140" t="s">
        <v>51</v>
      </c>
      <c r="B161" s="140" t="s">
        <v>22</v>
      </c>
      <c r="C161" s="141" t="s">
        <v>721</v>
      </c>
      <c r="D161" s="140" t="s">
        <v>722</v>
      </c>
      <c r="E161" s="140">
        <v>8</v>
      </c>
      <c r="F161" s="142">
        <v>45950.458333333328</v>
      </c>
      <c r="G161" s="140" t="s">
        <v>845</v>
      </c>
      <c r="H161" s="140" t="s">
        <v>844</v>
      </c>
    </row>
    <row r="162" spans="1:8" ht="15.75" customHeight="1">
      <c r="A162" s="140" t="s">
        <v>51</v>
      </c>
      <c r="B162" s="140" t="s">
        <v>22</v>
      </c>
      <c r="C162" s="141" t="s">
        <v>721</v>
      </c>
      <c r="D162" s="140" t="s">
        <v>722</v>
      </c>
      <c r="E162" s="140">
        <v>9</v>
      </c>
      <c r="F162" s="142">
        <v>45957.458333333328</v>
      </c>
      <c r="G162" s="140" t="s">
        <v>845</v>
      </c>
      <c r="H162" s="140" t="s">
        <v>844</v>
      </c>
    </row>
    <row r="163" spans="1:8" ht="15.75" customHeight="1">
      <c r="A163" s="140" t="s">
        <v>51</v>
      </c>
      <c r="B163" s="140" t="s">
        <v>22</v>
      </c>
      <c r="C163" s="141" t="s">
        <v>721</v>
      </c>
      <c r="D163" s="140" t="s">
        <v>722</v>
      </c>
      <c r="E163" s="140">
        <v>10</v>
      </c>
      <c r="F163" s="142">
        <v>45965.458333333328</v>
      </c>
      <c r="G163" s="140" t="s">
        <v>845</v>
      </c>
      <c r="H163" s="140" t="s">
        <v>844</v>
      </c>
    </row>
    <row r="164" spans="1:8" ht="15.75" customHeight="1">
      <c r="A164" s="140" t="s">
        <v>51</v>
      </c>
      <c r="B164" s="140" t="s">
        <v>22</v>
      </c>
      <c r="C164" s="141" t="s">
        <v>721</v>
      </c>
      <c r="D164" s="140" t="s">
        <v>722</v>
      </c>
      <c r="E164" s="140">
        <v>11</v>
      </c>
      <c r="F164" s="142">
        <v>45972.458333333328</v>
      </c>
      <c r="G164" s="140" t="s">
        <v>845</v>
      </c>
      <c r="H164" s="140" t="s">
        <v>844</v>
      </c>
    </row>
    <row r="165" spans="1:8" ht="15.75" customHeight="1">
      <c r="A165" s="140" t="s">
        <v>51</v>
      </c>
      <c r="B165" s="140" t="s">
        <v>22</v>
      </c>
      <c r="C165" s="141" t="s">
        <v>721</v>
      </c>
      <c r="D165" s="140" t="s">
        <v>722</v>
      </c>
      <c r="E165" s="140">
        <v>12</v>
      </c>
      <c r="F165" s="142">
        <v>45979.458333333328</v>
      </c>
      <c r="G165" s="140" t="s">
        <v>845</v>
      </c>
      <c r="H165" s="140" t="s">
        <v>844</v>
      </c>
    </row>
    <row r="166" spans="1:8" ht="15.75" customHeight="1">
      <c r="A166" s="140" t="s">
        <v>51</v>
      </c>
      <c r="B166" s="140" t="s">
        <v>22</v>
      </c>
      <c r="C166" s="141" t="s">
        <v>721</v>
      </c>
      <c r="D166" s="140" t="s">
        <v>722</v>
      </c>
      <c r="E166" s="140">
        <v>13</v>
      </c>
      <c r="F166" s="142">
        <v>45986.458333333328</v>
      </c>
      <c r="G166" s="140" t="s">
        <v>845</v>
      </c>
      <c r="H166" s="140" t="s">
        <v>844</v>
      </c>
    </row>
    <row r="167" spans="1:8" ht="15.75" customHeight="1">
      <c r="A167" s="140" t="s">
        <v>51</v>
      </c>
      <c r="B167" s="140" t="s">
        <v>22</v>
      </c>
      <c r="C167" s="141" t="s">
        <v>721</v>
      </c>
      <c r="D167" s="140" t="s">
        <v>722</v>
      </c>
      <c r="E167" s="140">
        <v>14</v>
      </c>
      <c r="F167" s="142">
        <v>45993.416666666672</v>
      </c>
      <c r="G167" s="140" t="s">
        <v>845</v>
      </c>
      <c r="H167" s="140" t="s">
        <v>844</v>
      </c>
    </row>
    <row r="168" spans="1:8" ht="15.75" customHeight="1">
      <c r="A168" s="140" t="s">
        <v>51</v>
      </c>
      <c r="B168" s="140" t="s">
        <v>22</v>
      </c>
      <c r="C168" s="141" t="s">
        <v>721</v>
      </c>
      <c r="D168" s="140" t="s">
        <v>722</v>
      </c>
      <c r="E168" s="140">
        <v>15</v>
      </c>
      <c r="F168" s="142">
        <v>46000.458333333328</v>
      </c>
      <c r="G168" s="140" t="s">
        <v>845</v>
      </c>
      <c r="H168" s="140" t="s">
        <v>844</v>
      </c>
    </row>
    <row r="169" spans="1:8" ht="15.75" customHeight="1">
      <c r="A169" s="140" t="s">
        <v>51</v>
      </c>
      <c r="B169" s="140" t="s">
        <v>22</v>
      </c>
      <c r="C169" s="141" t="s">
        <v>721</v>
      </c>
      <c r="D169" s="140" t="s">
        <v>722</v>
      </c>
      <c r="E169" s="140">
        <v>16</v>
      </c>
      <c r="F169" s="142">
        <v>46042.416666666672</v>
      </c>
      <c r="G169" s="140" t="s">
        <v>845</v>
      </c>
      <c r="H169" s="140" t="s">
        <v>844</v>
      </c>
    </row>
    <row r="170" spans="1:8" ht="15.75" customHeight="1">
      <c r="A170" s="140" t="s">
        <v>52</v>
      </c>
      <c r="B170" s="140" t="s">
        <v>21</v>
      </c>
      <c r="C170" s="141" t="s">
        <v>170</v>
      </c>
      <c r="D170" s="140" t="s">
        <v>171</v>
      </c>
      <c r="E170" s="140">
        <v>1</v>
      </c>
      <c r="F170" s="142">
        <v>45715.416666666672</v>
      </c>
      <c r="G170" s="140" t="s">
        <v>845</v>
      </c>
      <c r="H170" s="140" t="s">
        <v>846</v>
      </c>
    </row>
    <row r="171" spans="1:8" ht="15.75" customHeight="1">
      <c r="A171" s="140" t="s">
        <v>52</v>
      </c>
      <c r="B171" s="140" t="s">
        <v>21</v>
      </c>
      <c r="C171" s="141" t="s">
        <v>170</v>
      </c>
      <c r="D171" s="140" t="s">
        <v>171</v>
      </c>
      <c r="E171" s="140">
        <v>2</v>
      </c>
      <c r="F171" s="142">
        <v>45765.541666666672</v>
      </c>
      <c r="G171" s="140" t="s">
        <v>845</v>
      </c>
      <c r="H171" s="140" t="s">
        <v>846</v>
      </c>
    </row>
    <row r="172" spans="1:8" ht="15.75" customHeight="1">
      <c r="A172" s="140" t="s">
        <v>52</v>
      </c>
      <c r="B172" s="140" t="s">
        <v>21</v>
      </c>
      <c r="C172" s="141" t="s">
        <v>170</v>
      </c>
      <c r="D172" s="140" t="s">
        <v>171</v>
      </c>
      <c r="E172" s="140">
        <v>3</v>
      </c>
      <c r="F172" s="142">
        <v>45771.583333333328</v>
      </c>
      <c r="G172" s="140" t="s">
        <v>843</v>
      </c>
      <c r="H172" s="140" t="s">
        <v>846</v>
      </c>
    </row>
    <row r="173" spans="1:8" ht="15.75" customHeight="1">
      <c r="A173" s="140" t="s">
        <v>52</v>
      </c>
      <c r="B173" s="140" t="s">
        <v>21</v>
      </c>
      <c r="C173" s="141" t="s">
        <v>170</v>
      </c>
      <c r="D173" s="140" t="s">
        <v>171</v>
      </c>
      <c r="E173" s="140">
        <v>4</v>
      </c>
      <c r="F173" s="142">
        <v>45785.541666666672</v>
      </c>
      <c r="G173" s="140" t="s">
        <v>843</v>
      </c>
      <c r="H173" s="140" t="s">
        <v>846</v>
      </c>
    </row>
    <row r="174" spans="1:8" ht="15.75" customHeight="1">
      <c r="A174" s="140" t="s">
        <v>52</v>
      </c>
      <c r="B174" s="140" t="s">
        <v>21</v>
      </c>
      <c r="C174" s="141" t="s">
        <v>170</v>
      </c>
      <c r="D174" s="140" t="s">
        <v>171</v>
      </c>
      <c r="E174" s="140">
        <v>5</v>
      </c>
      <c r="F174" s="142">
        <v>45793.541666666672</v>
      </c>
      <c r="G174" s="140" t="s">
        <v>845</v>
      </c>
      <c r="H174" s="140" t="s">
        <v>846</v>
      </c>
    </row>
    <row r="175" spans="1:8" ht="15.75" customHeight="1">
      <c r="A175" s="140" t="s">
        <v>52</v>
      </c>
      <c r="B175" s="140" t="s">
        <v>21</v>
      </c>
      <c r="C175" s="141" t="s">
        <v>170</v>
      </c>
      <c r="D175" s="140" t="s">
        <v>171</v>
      </c>
      <c r="E175" s="140">
        <v>6</v>
      </c>
      <c r="F175" s="142">
        <v>45800.541666666672</v>
      </c>
      <c r="G175" s="140" t="s">
        <v>845</v>
      </c>
      <c r="H175" s="140" t="s">
        <v>846</v>
      </c>
    </row>
    <row r="176" spans="1:8" ht="15.75" customHeight="1">
      <c r="A176" s="140" t="s">
        <v>52</v>
      </c>
      <c r="B176" s="140" t="s">
        <v>21</v>
      </c>
      <c r="C176" s="141" t="s">
        <v>170</v>
      </c>
      <c r="D176" s="140" t="s">
        <v>171</v>
      </c>
      <c r="E176" s="140">
        <v>7</v>
      </c>
      <c r="F176" s="142">
        <v>45827.583333333328</v>
      </c>
      <c r="G176" s="140" t="s">
        <v>843</v>
      </c>
      <c r="H176" s="140" t="s">
        <v>846</v>
      </c>
    </row>
    <row r="177" spans="1:8" ht="15.75" customHeight="1">
      <c r="A177" s="140" t="s">
        <v>52</v>
      </c>
      <c r="B177" s="140" t="s">
        <v>21</v>
      </c>
      <c r="C177" s="141" t="s">
        <v>170</v>
      </c>
      <c r="D177" s="140" t="s">
        <v>171</v>
      </c>
      <c r="E177" s="140">
        <v>8</v>
      </c>
      <c r="F177" s="142">
        <v>45869.625</v>
      </c>
      <c r="G177" s="140" t="s">
        <v>843</v>
      </c>
      <c r="H177" s="140" t="s">
        <v>846</v>
      </c>
    </row>
    <row r="178" spans="1:8" ht="15.75" customHeight="1">
      <c r="A178" s="140" t="s">
        <v>52</v>
      </c>
      <c r="B178" s="140" t="s">
        <v>21</v>
      </c>
      <c r="C178" s="141" t="s">
        <v>170</v>
      </c>
      <c r="D178" s="140" t="s">
        <v>171</v>
      </c>
      <c r="E178" s="140">
        <v>9</v>
      </c>
      <c r="F178" s="142">
        <v>45912.416666666672</v>
      </c>
      <c r="G178" s="140" t="s">
        <v>843</v>
      </c>
      <c r="H178" s="140" t="s">
        <v>846</v>
      </c>
    </row>
    <row r="179" spans="1:8" ht="15.75" customHeight="1">
      <c r="A179" s="140" t="s">
        <v>52</v>
      </c>
      <c r="B179" s="140" t="s">
        <v>21</v>
      </c>
      <c r="C179" s="141" t="s">
        <v>170</v>
      </c>
      <c r="D179" s="140" t="s">
        <v>171</v>
      </c>
      <c r="E179" s="140">
        <v>10</v>
      </c>
      <c r="F179" s="142">
        <v>45954.375</v>
      </c>
      <c r="G179" s="140" t="s">
        <v>843</v>
      </c>
      <c r="H179" s="140" t="s">
        <v>846</v>
      </c>
    </row>
    <row r="180" spans="1:8" ht="15.75" customHeight="1">
      <c r="A180" s="140" t="s">
        <v>52</v>
      </c>
      <c r="B180" s="140" t="s">
        <v>21</v>
      </c>
      <c r="C180" s="141" t="s">
        <v>196</v>
      </c>
      <c r="D180" s="140" t="s">
        <v>197</v>
      </c>
      <c r="E180" s="140">
        <v>1</v>
      </c>
      <c r="F180" s="142">
        <v>45715.416666666672</v>
      </c>
      <c r="G180" s="140" t="s">
        <v>845</v>
      </c>
      <c r="H180" s="140" t="s">
        <v>846</v>
      </c>
    </row>
    <row r="181" spans="1:8" ht="15.75" customHeight="1">
      <c r="A181" s="140" t="s">
        <v>52</v>
      </c>
      <c r="B181" s="140" t="s">
        <v>21</v>
      </c>
      <c r="C181" s="141" t="s">
        <v>196</v>
      </c>
      <c r="D181" s="140" t="s">
        <v>197</v>
      </c>
      <c r="E181" s="140">
        <v>2</v>
      </c>
      <c r="F181" s="142">
        <v>45765.541666666672</v>
      </c>
      <c r="G181" s="140" t="s">
        <v>845</v>
      </c>
      <c r="H181" s="140" t="s">
        <v>846</v>
      </c>
    </row>
    <row r="182" spans="1:8" ht="15.75" customHeight="1">
      <c r="A182" s="140" t="s">
        <v>52</v>
      </c>
      <c r="B182" s="140" t="s">
        <v>21</v>
      </c>
      <c r="C182" s="141" t="s">
        <v>196</v>
      </c>
      <c r="D182" s="140" t="s">
        <v>197</v>
      </c>
      <c r="E182" s="140">
        <v>3</v>
      </c>
      <c r="F182" s="142">
        <v>45771.583333333328</v>
      </c>
      <c r="G182" s="140" t="s">
        <v>845</v>
      </c>
      <c r="H182" s="140" t="s">
        <v>846</v>
      </c>
    </row>
    <row r="183" spans="1:8" ht="15.75" customHeight="1">
      <c r="A183" s="140" t="s">
        <v>52</v>
      </c>
      <c r="B183" s="140" t="s">
        <v>21</v>
      </c>
      <c r="C183" s="141" t="s">
        <v>196</v>
      </c>
      <c r="D183" s="140" t="s">
        <v>197</v>
      </c>
      <c r="E183" s="140">
        <v>4</v>
      </c>
      <c r="F183" s="142">
        <v>45785.541666666672</v>
      </c>
      <c r="G183" s="140" t="s">
        <v>845</v>
      </c>
      <c r="H183" s="140" t="s">
        <v>846</v>
      </c>
    </row>
    <row r="184" spans="1:8" ht="15.75" customHeight="1">
      <c r="A184" s="140" t="s">
        <v>52</v>
      </c>
      <c r="B184" s="140" t="s">
        <v>21</v>
      </c>
      <c r="C184" s="141" t="s">
        <v>196</v>
      </c>
      <c r="D184" s="140" t="s">
        <v>197</v>
      </c>
      <c r="E184" s="140">
        <v>5</v>
      </c>
      <c r="F184" s="142">
        <v>45793.541666666672</v>
      </c>
      <c r="G184" s="140" t="s">
        <v>845</v>
      </c>
      <c r="H184" s="140" t="s">
        <v>846</v>
      </c>
    </row>
    <row r="185" spans="1:8" ht="15.75" customHeight="1">
      <c r="A185" s="140" t="s">
        <v>52</v>
      </c>
      <c r="B185" s="140" t="s">
        <v>21</v>
      </c>
      <c r="C185" s="141" t="s">
        <v>196</v>
      </c>
      <c r="D185" s="140" t="s">
        <v>197</v>
      </c>
      <c r="E185" s="140">
        <v>6</v>
      </c>
      <c r="F185" s="142">
        <v>45800.541666666672</v>
      </c>
      <c r="G185" s="140" t="s">
        <v>845</v>
      </c>
      <c r="H185" s="140" t="s">
        <v>846</v>
      </c>
    </row>
    <row r="186" spans="1:8" ht="15.75" customHeight="1">
      <c r="A186" s="140" t="s">
        <v>52</v>
      </c>
      <c r="B186" s="140" t="s">
        <v>21</v>
      </c>
      <c r="C186" s="141" t="s">
        <v>196</v>
      </c>
      <c r="D186" s="140" t="s">
        <v>197</v>
      </c>
      <c r="E186" s="140">
        <v>7</v>
      </c>
      <c r="F186" s="142">
        <v>45827.583333333328</v>
      </c>
      <c r="G186" s="140" t="s">
        <v>845</v>
      </c>
      <c r="H186" s="140" t="s">
        <v>846</v>
      </c>
    </row>
    <row r="187" spans="1:8" ht="15.75" customHeight="1">
      <c r="A187" s="140" t="s">
        <v>52</v>
      </c>
      <c r="B187" s="140" t="s">
        <v>21</v>
      </c>
      <c r="C187" s="141" t="s">
        <v>196</v>
      </c>
      <c r="D187" s="140" t="s">
        <v>197</v>
      </c>
      <c r="E187" s="140">
        <v>8</v>
      </c>
      <c r="F187" s="142">
        <v>45869.625</v>
      </c>
      <c r="G187" s="140" t="s">
        <v>845</v>
      </c>
      <c r="H187" s="140" t="s">
        <v>846</v>
      </c>
    </row>
    <row r="188" spans="1:8" ht="15.75" customHeight="1">
      <c r="A188" s="140" t="s">
        <v>52</v>
      </c>
      <c r="B188" s="140" t="s">
        <v>21</v>
      </c>
      <c r="C188" s="141" t="s">
        <v>196</v>
      </c>
      <c r="D188" s="140" t="s">
        <v>197</v>
      </c>
      <c r="E188" s="140">
        <v>9</v>
      </c>
      <c r="F188" s="142">
        <v>45912.416666666672</v>
      </c>
      <c r="G188" s="140" t="s">
        <v>845</v>
      </c>
      <c r="H188" s="140" t="s">
        <v>846</v>
      </c>
    </row>
    <row r="189" spans="1:8" ht="15.75" customHeight="1">
      <c r="A189" s="140" t="s">
        <v>52</v>
      </c>
      <c r="B189" s="140" t="s">
        <v>21</v>
      </c>
      <c r="C189" s="141" t="s">
        <v>196</v>
      </c>
      <c r="D189" s="140" t="s">
        <v>197</v>
      </c>
      <c r="E189" s="140">
        <v>10</v>
      </c>
      <c r="F189" s="142">
        <v>45954.375</v>
      </c>
      <c r="G189" s="140" t="s">
        <v>845</v>
      </c>
      <c r="H189" s="140" t="s">
        <v>846</v>
      </c>
    </row>
    <row r="190" spans="1:8" ht="15.75" customHeight="1">
      <c r="A190" s="140" t="s">
        <v>52</v>
      </c>
      <c r="B190" s="140" t="s">
        <v>21</v>
      </c>
      <c r="C190" s="141" t="s">
        <v>328</v>
      </c>
      <c r="D190" s="140" t="s">
        <v>329</v>
      </c>
      <c r="E190" s="140">
        <v>1</v>
      </c>
      <c r="F190" s="142">
        <v>45715.458333333328</v>
      </c>
      <c r="G190" s="140" t="s">
        <v>845</v>
      </c>
      <c r="H190" s="140" t="s">
        <v>846</v>
      </c>
    </row>
    <row r="191" spans="1:8" ht="15.75" customHeight="1">
      <c r="A191" s="140" t="s">
        <v>52</v>
      </c>
      <c r="B191" s="140" t="s">
        <v>21</v>
      </c>
      <c r="C191" s="141" t="s">
        <v>328</v>
      </c>
      <c r="D191" s="140" t="s">
        <v>329</v>
      </c>
      <c r="E191" s="140">
        <v>2</v>
      </c>
      <c r="F191" s="142">
        <v>45765.541666666672</v>
      </c>
      <c r="G191" s="140" t="s">
        <v>845</v>
      </c>
      <c r="H191" s="140" t="s">
        <v>846</v>
      </c>
    </row>
    <row r="192" spans="1:8" ht="15.75" customHeight="1">
      <c r="A192" s="140" t="s">
        <v>52</v>
      </c>
      <c r="B192" s="140" t="s">
        <v>21</v>
      </c>
      <c r="C192" s="141" t="s">
        <v>328</v>
      </c>
      <c r="D192" s="140" t="s">
        <v>329</v>
      </c>
      <c r="E192" s="140">
        <v>3</v>
      </c>
      <c r="F192" s="142">
        <v>45771.583333333328</v>
      </c>
      <c r="G192" s="140" t="s">
        <v>845</v>
      </c>
      <c r="H192" s="140" t="s">
        <v>846</v>
      </c>
    </row>
    <row r="193" spans="1:8" ht="15.75" customHeight="1">
      <c r="A193" s="140" t="s">
        <v>52</v>
      </c>
      <c r="B193" s="140" t="s">
        <v>21</v>
      </c>
      <c r="C193" s="141" t="s">
        <v>328</v>
      </c>
      <c r="D193" s="140" t="s">
        <v>329</v>
      </c>
      <c r="E193" s="140">
        <v>4</v>
      </c>
      <c r="F193" s="142">
        <v>45785.541666666672</v>
      </c>
      <c r="G193" s="140" t="s">
        <v>843</v>
      </c>
      <c r="H193" s="140" t="s">
        <v>846</v>
      </c>
    </row>
    <row r="194" spans="1:8" ht="15.75" customHeight="1">
      <c r="A194" s="140" t="s">
        <v>52</v>
      </c>
      <c r="B194" s="140" t="s">
        <v>21</v>
      </c>
      <c r="C194" s="141" t="s">
        <v>328</v>
      </c>
      <c r="D194" s="140" t="s">
        <v>329</v>
      </c>
      <c r="E194" s="140">
        <v>5</v>
      </c>
      <c r="F194" s="142">
        <v>45793.541666666672</v>
      </c>
      <c r="G194" s="140" t="s">
        <v>845</v>
      </c>
      <c r="H194" s="140" t="s">
        <v>846</v>
      </c>
    </row>
    <row r="195" spans="1:8" ht="15.75" customHeight="1">
      <c r="A195" s="140" t="s">
        <v>52</v>
      </c>
      <c r="B195" s="140" t="s">
        <v>21</v>
      </c>
      <c r="C195" s="141" t="s">
        <v>328</v>
      </c>
      <c r="D195" s="140" t="s">
        <v>329</v>
      </c>
      <c r="E195" s="140">
        <v>6</v>
      </c>
      <c r="F195" s="142">
        <v>45800.541666666672</v>
      </c>
      <c r="G195" s="140" t="s">
        <v>845</v>
      </c>
      <c r="H195" s="140" t="s">
        <v>846</v>
      </c>
    </row>
    <row r="196" spans="1:8" ht="15.75" customHeight="1">
      <c r="A196" s="140" t="s">
        <v>52</v>
      </c>
      <c r="B196" s="140" t="s">
        <v>21</v>
      </c>
      <c r="C196" s="141" t="s">
        <v>328</v>
      </c>
      <c r="D196" s="140" t="s">
        <v>329</v>
      </c>
      <c r="E196" s="140">
        <v>7</v>
      </c>
      <c r="F196" s="142">
        <v>45827.583333333328</v>
      </c>
      <c r="G196" s="140" t="s">
        <v>845</v>
      </c>
      <c r="H196" s="140" t="s">
        <v>846</v>
      </c>
    </row>
    <row r="197" spans="1:8" ht="15.75" customHeight="1">
      <c r="A197" s="140" t="s">
        <v>52</v>
      </c>
      <c r="B197" s="140" t="s">
        <v>21</v>
      </c>
      <c r="C197" s="141" t="s">
        <v>328</v>
      </c>
      <c r="D197" s="140" t="s">
        <v>329</v>
      </c>
      <c r="E197" s="140">
        <v>8</v>
      </c>
      <c r="F197" s="142">
        <v>45869.625</v>
      </c>
      <c r="G197" s="140" t="s">
        <v>845</v>
      </c>
      <c r="H197" s="140" t="s">
        <v>846</v>
      </c>
    </row>
    <row r="198" spans="1:8" ht="15.75" customHeight="1">
      <c r="A198" s="140" t="s">
        <v>52</v>
      </c>
      <c r="B198" s="140" t="s">
        <v>21</v>
      </c>
      <c r="C198" s="141" t="s">
        <v>328</v>
      </c>
      <c r="D198" s="140" t="s">
        <v>329</v>
      </c>
      <c r="E198" s="140">
        <v>9</v>
      </c>
      <c r="F198" s="142">
        <v>45912.416666666672</v>
      </c>
      <c r="G198" s="140" t="s">
        <v>845</v>
      </c>
      <c r="H198" s="140" t="s">
        <v>846</v>
      </c>
    </row>
    <row r="199" spans="1:8" ht="15.75" customHeight="1">
      <c r="A199" s="140" t="s">
        <v>52</v>
      </c>
      <c r="B199" s="140" t="s">
        <v>21</v>
      </c>
      <c r="C199" s="141" t="s">
        <v>328</v>
      </c>
      <c r="D199" s="140" t="s">
        <v>329</v>
      </c>
      <c r="E199" s="140">
        <v>10</v>
      </c>
      <c r="F199" s="142">
        <v>45954.375</v>
      </c>
      <c r="G199" s="140" t="s">
        <v>845</v>
      </c>
      <c r="H199" s="140" t="s">
        <v>846</v>
      </c>
    </row>
    <row r="200" spans="1:8" ht="15.75" customHeight="1">
      <c r="A200" s="140" t="s">
        <v>52</v>
      </c>
      <c r="B200" s="140" t="s">
        <v>21</v>
      </c>
      <c r="C200" s="141" t="s">
        <v>506</v>
      </c>
      <c r="D200" s="140" t="s">
        <v>507</v>
      </c>
      <c r="E200" s="140">
        <v>1</v>
      </c>
      <c r="F200" s="142">
        <v>45715.416666666672</v>
      </c>
      <c r="G200" s="140" t="s">
        <v>845</v>
      </c>
      <c r="H200" s="140" t="s">
        <v>846</v>
      </c>
    </row>
    <row r="201" spans="1:8" ht="15.75" customHeight="1">
      <c r="A201" s="140" t="s">
        <v>52</v>
      </c>
      <c r="B201" s="140" t="s">
        <v>21</v>
      </c>
      <c r="C201" s="141" t="s">
        <v>506</v>
      </c>
      <c r="D201" s="140" t="s">
        <v>507</v>
      </c>
      <c r="E201" s="140">
        <v>2</v>
      </c>
      <c r="F201" s="142">
        <v>45765.541666666672</v>
      </c>
      <c r="G201" s="140" t="s">
        <v>845</v>
      </c>
      <c r="H201" s="140" t="s">
        <v>846</v>
      </c>
    </row>
    <row r="202" spans="1:8" ht="15.75" customHeight="1">
      <c r="A202" s="140" t="s">
        <v>52</v>
      </c>
      <c r="B202" s="140" t="s">
        <v>21</v>
      </c>
      <c r="C202" s="141" t="s">
        <v>506</v>
      </c>
      <c r="D202" s="140" t="s">
        <v>507</v>
      </c>
      <c r="E202" s="140">
        <v>3</v>
      </c>
      <c r="F202" s="142">
        <v>45771.583333333328</v>
      </c>
      <c r="G202" s="140" t="s">
        <v>845</v>
      </c>
      <c r="H202" s="140" t="s">
        <v>846</v>
      </c>
    </row>
    <row r="203" spans="1:8" ht="15.75" customHeight="1">
      <c r="A203" s="140" t="s">
        <v>52</v>
      </c>
      <c r="B203" s="140" t="s">
        <v>21</v>
      </c>
      <c r="C203" s="141" t="s">
        <v>506</v>
      </c>
      <c r="D203" s="140" t="s">
        <v>507</v>
      </c>
      <c r="E203" s="140">
        <v>4</v>
      </c>
      <c r="F203" s="142">
        <v>45785.541666666672</v>
      </c>
      <c r="G203" s="140" t="s">
        <v>845</v>
      </c>
      <c r="H203" s="140" t="s">
        <v>846</v>
      </c>
    </row>
    <row r="204" spans="1:8" ht="15.75" customHeight="1">
      <c r="A204" s="140" t="s">
        <v>52</v>
      </c>
      <c r="B204" s="140" t="s">
        <v>21</v>
      </c>
      <c r="C204" s="141" t="s">
        <v>506</v>
      </c>
      <c r="D204" s="140" t="s">
        <v>507</v>
      </c>
      <c r="E204" s="140">
        <v>5</v>
      </c>
      <c r="F204" s="142">
        <v>45793.541666666672</v>
      </c>
      <c r="G204" s="140" t="s">
        <v>843</v>
      </c>
      <c r="H204" s="140" t="s">
        <v>846</v>
      </c>
    </row>
    <row r="205" spans="1:8" ht="15.75" customHeight="1">
      <c r="A205" s="140" t="s">
        <v>52</v>
      </c>
      <c r="B205" s="140" t="s">
        <v>21</v>
      </c>
      <c r="C205" s="141" t="s">
        <v>506</v>
      </c>
      <c r="D205" s="140" t="s">
        <v>507</v>
      </c>
      <c r="E205" s="140">
        <v>6</v>
      </c>
      <c r="F205" s="142">
        <v>45800.541666666672</v>
      </c>
      <c r="G205" s="140" t="s">
        <v>845</v>
      </c>
      <c r="H205" s="140" t="s">
        <v>846</v>
      </c>
    </row>
    <row r="206" spans="1:8" ht="15.75" customHeight="1">
      <c r="A206" s="140" t="s">
        <v>52</v>
      </c>
      <c r="B206" s="140" t="s">
        <v>21</v>
      </c>
      <c r="C206" s="141" t="s">
        <v>506</v>
      </c>
      <c r="D206" s="140" t="s">
        <v>507</v>
      </c>
      <c r="E206" s="140">
        <v>7</v>
      </c>
      <c r="F206" s="142">
        <v>45827.583333333328</v>
      </c>
      <c r="G206" s="140" t="s">
        <v>845</v>
      </c>
      <c r="H206" s="140" t="s">
        <v>846</v>
      </c>
    </row>
    <row r="207" spans="1:8" ht="15.75" customHeight="1">
      <c r="A207" s="140" t="s">
        <v>52</v>
      </c>
      <c r="B207" s="140" t="s">
        <v>21</v>
      </c>
      <c r="C207" s="141" t="s">
        <v>506</v>
      </c>
      <c r="D207" s="140" t="s">
        <v>507</v>
      </c>
      <c r="E207" s="140">
        <v>8</v>
      </c>
      <c r="F207" s="142">
        <v>45869.625</v>
      </c>
      <c r="G207" s="140" t="s">
        <v>843</v>
      </c>
      <c r="H207" s="140" t="s">
        <v>846</v>
      </c>
    </row>
    <row r="208" spans="1:8" ht="15.75" customHeight="1">
      <c r="A208" s="140" t="s">
        <v>52</v>
      </c>
      <c r="B208" s="140" t="s">
        <v>21</v>
      </c>
      <c r="C208" s="141" t="s">
        <v>506</v>
      </c>
      <c r="D208" s="140" t="s">
        <v>507</v>
      </c>
      <c r="E208" s="140">
        <v>9</v>
      </c>
      <c r="F208" s="142">
        <v>45912.416666666672</v>
      </c>
      <c r="G208" s="140" t="s">
        <v>843</v>
      </c>
      <c r="H208" s="140" t="s">
        <v>846</v>
      </c>
    </row>
    <row r="209" spans="1:8" ht="15.75" customHeight="1">
      <c r="A209" s="140" t="s">
        <v>52</v>
      </c>
      <c r="B209" s="140" t="s">
        <v>21</v>
      </c>
      <c r="C209" s="141" t="s">
        <v>506</v>
      </c>
      <c r="D209" s="140" t="s">
        <v>507</v>
      </c>
      <c r="E209" s="140">
        <v>10</v>
      </c>
      <c r="F209" s="142">
        <v>45954.375</v>
      </c>
      <c r="G209" s="140" t="s">
        <v>843</v>
      </c>
      <c r="H209" s="140" t="s">
        <v>846</v>
      </c>
    </row>
    <row r="210" spans="1:8" ht="15.75" customHeight="1">
      <c r="A210" s="140" t="s">
        <v>52</v>
      </c>
      <c r="B210" s="140" t="s">
        <v>21</v>
      </c>
      <c r="C210" s="141" t="s">
        <v>605</v>
      </c>
      <c r="D210" s="140" t="s">
        <v>606</v>
      </c>
      <c r="E210" s="140">
        <v>1</v>
      </c>
      <c r="F210" s="142">
        <v>45715.416666666672</v>
      </c>
      <c r="G210" s="140" t="s">
        <v>845</v>
      </c>
      <c r="H210" s="140" t="s">
        <v>846</v>
      </c>
    </row>
    <row r="211" spans="1:8" ht="15.75" customHeight="1">
      <c r="A211" s="140" t="s">
        <v>52</v>
      </c>
      <c r="B211" s="140" t="s">
        <v>21</v>
      </c>
      <c r="C211" s="141" t="s">
        <v>605</v>
      </c>
      <c r="D211" s="140" t="s">
        <v>606</v>
      </c>
      <c r="E211" s="140">
        <v>2</v>
      </c>
      <c r="F211" s="142">
        <v>45765.541666666672</v>
      </c>
      <c r="G211" s="140" t="s">
        <v>845</v>
      </c>
      <c r="H211" s="140" t="s">
        <v>846</v>
      </c>
    </row>
    <row r="212" spans="1:8" ht="15.75" customHeight="1">
      <c r="A212" s="140" t="s">
        <v>52</v>
      </c>
      <c r="B212" s="140" t="s">
        <v>21</v>
      </c>
      <c r="C212" s="141" t="s">
        <v>605</v>
      </c>
      <c r="D212" s="140" t="s">
        <v>606</v>
      </c>
      <c r="E212" s="140">
        <v>3</v>
      </c>
      <c r="F212" s="142">
        <v>45771.583333333328</v>
      </c>
      <c r="G212" s="140" t="s">
        <v>843</v>
      </c>
      <c r="H212" s="140" t="s">
        <v>846</v>
      </c>
    </row>
    <row r="213" spans="1:8" ht="15.75" customHeight="1">
      <c r="A213" s="140" t="s">
        <v>52</v>
      </c>
      <c r="B213" s="140" t="s">
        <v>21</v>
      </c>
      <c r="C213" s="141" t="s">
        <v>605</v>
      </c>
      <c r="D213" s="140" t="s">
        <v>606</v>
      </c>
      <c r="E213" s="140">
        <v>4</v>
      </c>
      <c r="F213" s="142">
        <v>45785.541666666672</v>
      </c>
      <c r="G213" s="140" t="s">
        <v>843</v>
      </c>
      <c r="H213" s="140" t="s">
        <v>846</v>
      </c>
    </row>
    <row r="214" spans="1:8" ht="15.75" customHeight="1">
      <c r="A214" s="140" t="s">
        <v>52</v>
      </c>
      <c r="B214" s="140" t="s">
        <v>21</v>
      </c>
      <c r="C214" s="141" t="s">
        <v>605</v>
      </c>
      <c r="D214" s="140" t="s">
        <v>606</v>
      </c>
      <c r="E214" s="140">
        <v>5</v>
      </c>
      <c r="F214" s="142">
        <v>45793.541666666672</v>
      </c>
      <c r="G214" s="140" t="s">
        <v>843</v>
      </c>
      <c r="H214" s="140" t="s">
        <v>846</v>
      </c>
    </row>
    <row r="215" spans="1:8" ht="15.75" customHeight="1">
      <c r="A215" s="140" t="s">
        <v>52</v>
      </c>
      <c r="B215" s="140" t="s">
        <v>21</v>
      </c>
      <c r="C215" s="141" t="s">
        <v>605</v>
      </c>
      <c r="D215" s="140" t="s">
        <v>606</v>
      </c>
      <c r="E215" s="140">
        <v>6</v>
      </c>
      <c r="F215" s="142">
        <v>45800.541666666672</v>
      </c>
      <c r="G215" s="140" t="s">
        <v>845</v>
      </c>
      <c r="H215" s="140" t="s">
        <v>846</v>
      </c>
    </row>
    <row r="216" spans="1:8" ht="15.75" customHeight="1">
      <c r="A216" s="140" t="s">
        <v>52</v>
      </c>
      <c r="B216" s="140" t="s">
        <v>21</v>
      </c>
      <c r="C216" s="141" t="s">
        <v>605</v>
      </c>
      <c r="D216" s="140" t="s">
        <v>606</v>
      </c>
      <c r="E216" s="140">
        <v>7</v>
      </c>
      <c r="F216" s="142">
        <v>45827.583333333328</v>
      </c>
      <c r="G216" s="140" t="s">
        <v>845</v>
      </c>
      <c r="H216" s="140" t="s">
        <v>846</v>
      </c>
    </row>
    <row r="217" spans="1:8" ht="15.75" customHeight="1">
      <c r="A217" s="140" t="s">
        <v>52</v>
      </c>
      <c r="B217" s="140" t="s">
        <v>21</v>
      </c>
      <c r="C217" s="141" t="s">
        <v>605</v>
      </c>
      <c r="D217" s="140" t="s">
        <v>606</v>
      </c>
      <c r="E217" s="140">
        <v>8</v>
      </c>
      <c r="F217" s="142">
        <v>45869.625</v>
      </c>
      <c r="G217" s="140" t="s">
        <v>843</v>
      </c>
      <c r="H217" s="140" t="s">
        <v>846</v>
      </c>
    </row>
    <row r="218" spans="1:8" ht="15.75" customHeight="1">
      <c r="A218" s="140" t="s">
        <v>52</v>
      </c>
      <c r="B218" s="140" t="s">
        <v>21</v>
      </c>
      <c r="C218" s="141" t="s">
        <v>605</v>
      </c>
      <c r="D218" s="140" t="s">
        <v>606</v>
      </c>
      <c r="E218" s="140">
        <v>9</v>
      </c>
      <c r="F218" s="142">
        <v>45912.416666666672</v>
      </c>
      <c r="G218" s="140" t="s">
        <v>843</v>
      </c>
      <c r="H218" s="140" t="s">
        <v>846</v>
      </c>
    </row>
    <row r="219" spans="1:8" ht="15.75" customHeight="1">
      <c r="A219" s="140" t="s">
        <v>52</v>
      </c>
      <c r="B219" s="140" t="s">
        <v>21</v>
      </c>
      <c r="C219" s="141" t="s">
        <v>605</v>
      </c>
      <c r="D219" s="140" t="s">
        <v>606</v>
      </c>
      <c r="E219" s="140">
        <v>10</v>
      </c>
      <c r="F219" s="142">
        <v>45954.375</v>
      </c>
      <c r="G219" s="140" t="s">
        <v>843</v>
      </c>
      <c r="H219" s="140" t="s">
        <v>846</v>
      </c>
    </row>
    <row r="220" spans="1:8" ht="15.75" customHeight="1">
      <c r="A220" s="140" t="s">
        <v>52</v>
      </c>
      <c r="B220" s="140" t="s">
        <v>21</v>
      </c>
      <c r="C220" s="141" t="s">
        <v>677</v>
      </c>
      <c r="D220" s="140" t="s">
        <v>678</v>
      </c>
      <c r="E220" s="140">
        <v>1</v>
      </c>
      <c r="F220" s="142">
        <v>45715.416666666672</v>
      </c>
      <c r="G220" s="140" t="s">
        <v>845</v>
      </c>
      <c r="H220" s="140" t="s">
        <v>846</v>
      </c>
    </row>
    <row r="221" spans="1:8" ht="15.75" customHeight="1">
      <c r="A221" s="140" t="s">
        <v>52</v>
      </c>
      <c r="B221" s="140" t="s">
        <v>21</v>
      </c>
      <c r="C221" s="141" t="s">
        <v>677</v>
      </c>
      <c r="D221" s="140" t="s">
        <v>678</v>
      </c>
      <c r="E221" s="140">
        <v>2</v>
      </c>
      <c r="F221" s="142">
        <v>45765.541666666672</v>
      </c>
      <c r="G221" s="140" t="s">
        <v>845</v>
      </c>
      <c r="H221" s="140" t="s">
        <v>846</v>
      </c>
    </row>
    <row r="222" spans="1:8" ht="15.75" customHeight="1">
      <c r="A222" s="140" t="s">
        <v>52</v>
      </c>
      <c r="B222" s="140" t="s">
        <v>21</v>
      </c>
      <c r="C222" s="141" t="s">
        <v>677</v>
      </c>
      <c r="D222" s="140" t="s">
        <v>678</v>
      </c>
      <c r="E222" s="140">
        <v>3</v>
      </c>
      <c r="F222" s="142">
        <v>45771.583333333328</v>
      </c>
      <c r="G222" s="140" t="s">
        <v>845</v>
      </c>
      <c r="H222" s="140" t="s">
        <v>846</v>
      </c>
    </row>
    <row r="223" spans="1:8" ht="15.75" customHeight="1">
      <c r="A223" s="140" t="s">
        <v>52</v>
      </c>
      <c r="B223" s="140" t="s">
        <v>21</v>
      </c>
      <c r="C223" s="141" t="s">
        <v>677</v>
      </c>
      <c r="D223" s="140" t="s">
        <v>678</v>
      </c>
      <c r="E223" s="140">
        <v>4</v>
      </c>
      <c r="F223" s="142">
        <v>45785.541666666672</v>
      </c>
      <c r="G223" s="140" t="s">
        <v>845</v>
      </c>
      <c r="H223" s="140" t="s">
        <v>846</v>
      </c>
    </row>
    <row r="224" spans="1:8" ht="15.75" customHeight="1">
      <c r="A224" s="140" t="s">
        <v>52</v>
      </c>
      <c r="B224" s="140" t="s">
        <v>21</v>
      </c>
      <c r="C224" s="141" t="s">
        <v>677</v>
      </c>
      <c r="D224" s="140" t="s">
        <v>678</v>
      </c>
      <c r="E224" s="140">
        <v>5</v>
      </c>
      <c r="F224" s="142">
        <v>45793.541666666672</v>
      </c>
      <c r="G224" s="140" t="s">
        <v>845</v>
      </c>
      <c r="H224" s="140" t="s">
        <v>846</v>
      </c>
    </row>
    <row r="225" spans="1:8" ht="15.75" customHeight="1">
      <c r="A225" s="140" t="s">
        <v>52</v>
      </c>
      <c r="B225" s="140" t="s">
        <v>21</v>
      </c>
      <c r="C225" s="141" t="s">
        <v>677</v>
      </c>
      <c r="D225" s="140" t="s">
        <v>678</v>
      </c>
      <c r="E225" s="140">
        <v>6</v>
      </c>
      <c r="F225" s="142">
        <v>45800.541666666672</v>
      </c>
      <c r="G225" s="140" t="s">
        <v>845</v>
      </c>
      <c r="H225" s="140" t="s">
        <v>846</v>
      </c>
    </row>
    <row r="226" spans="1:8" ht="15.75" customHeight="1">
      <c r="A226" s="140" t="s">
        <v>52</v>
      </c>
      <c r="B226" s="140" t="s">
        <v>21</v>
      </c>
      <c r="C226" s="141" t="s">
        <v>677</v>
      </c>
      <c r="D226" s="140" t="s">
        <v>678</v>
      </c>
      <c r="E226" s="140">
        <v>7</v>
      </c>
      <c r="F226" s="142">
        <v>45827.583333333328</v>
      </c>
      <c r="G226" s="140" t="s">
        <v>843</v>
      </c>
      <c r="H226" s="140" t="s">
        <v>846</v>
      </c>
    </row>
    <row r="227" spans="1:8" ht="15.75" customHeight="1">
      <c r="A227" s="140" t="s">
        <v>52</v>
      </c>
      <c r="B227" s="140" t="s">
        <v>21</v>
      </c>
      <c r="C227" s="141" t="s">
        <v>677</v>
      </c>
      <c r="D227" s="140" t="s">
        <v>678</v>
      </c>
      <c r="E227" s="140">
        <v>8</v>
      </c>
      <c r="F227" s="142">
        <v>45869.625</v>
      </c>
      <c r="G227" s="140" t="s">
        <v>845</v>
      </c>
      <c r="H227" s="140" t="s">
        <v>846</v>
      </c>
    </row>
    <row r="228" spans="1:8" ht="15.75" customHeight="1">
      <c r="A228" s="140" t="s">
        <v>52</v>
      </c>
      <c r="B228" s="140" t="s">
        <v>21</v>
      </c>
      <c r="C228" s="141" t="s">
        <v>677</v>
      </c>
      <c r="D228" s="140" t="s">
        <v>678</v>
      </c>
      <c r="E228" s="140">
        <v>9</v>
      </c>
      <c r="F228" s="142">
        <v>45912.416666666672</v>
      </c>
      <c r="G228" s="140" t="s">
        <v>845</v>
      </c>
      <c r="H228" s="140" t="s">
        <v>846</v>
      </c>
    </row>
    <row r="229" spans="1:8" ht="15.75" customHeight="1">
      <c r="A229" s="140" t="s">
        <v>52</v>
      </c>
      <c r="B229" s="140" t="s">
        <v>21</v>
      </c>
      <c r="C229" s="141" t="s">
        <v>677</v>
      </c>
      <c r="D229" s="140" t="s">
        <v>678</v>
      </c>
      <c r="E229" s="140">
        <v>10</v>
      </c>
      <c r="F229" s="142">
        <v>45954.375</v>
      </c>
      <c r="G229" s="140" t="s">
        <v>845</v>
      </c>
      <c r="H229" s="140" t="s">
        <v>846</v>
      </c>
    </row>
    <row r="230" spans="1:8" ht="15.75" customHeight="1">
      <c r="A230" s="140" t="s">
        <v>52</v>
      </c>
      <c r="B230" s="140" t="s">
        <v>21</v>
      </c>
      <c r="C230" s="141" t="s">
        <v>687</v>
      </c>
      <c r="D230" s="140" t="s">
        <v>688</v>
      </c>
      <c r="E230" s="140">
        <v>1</v>
      </c>
      <c r="F230" s="142">
        <v>45715.416666666672</v>
      </c>
      <c r="G230" s="140" t="s">
        <v>845</v>
      </c>
      <c r="H230" s="140" t="s">
        <v>846</v>
      </c>
    </row>
    <row r="231" spans="1:8" ht="15.75" customHeight="1">
      <c r="A231" s="140" t="s">
        <v>52</v>
      </c>
      <c r="B231" s="140" t="s">
        <v>21</v>
      </c>
      <c r="C231" s="141" t="s">
        <v>687</v>
      </c>
      <c r="D231" s="140" t="s">
        <v>688</v>
      </c>
      <c r="E231" s="140">
        <v>2</v>
      </c>
      <c r="F231" s="142">
        <v>45765.541666666672</v>
      </c>
      <c r="G231" s="140" t="s">
        <v>845</v>
      </c>
      <c r="H231" s="140" t="s">
        <v>846</v>
      </c>
    </row>
    <row r="232" spans="1:8" ht="15.75" customHeight="1">
      <c r="A232" s="140" t="s">
        <v>52</v>
      </c>
      <c r="B232" s="140" t="s">
        <v>21</v>
      </c>
      <c r="C232" s="141" t="s">
        <v>687</v>
      </c>
      <c r="D232" s="140" t="s">
        <v>688</v>
      </c>
      <c r="E232" s="140">
        <v>3</v>
      </c>
      <c r="F232" s="142">
        <v>45771.583333333328</v>
      </c>
      <c r="G232" s="140" t="s">
        <v>845</v>
      </c>
      <c r="H232" s="140" t="s">
        <v>846</v>
      </c>
    </row>
    <row r="233" spans="1:8" ht="15.75" customHeight="1">
      <c r="A233" s="140" t="s">
        <v>52</v>
      </c>
      <c r="B233" s="140" t="s">
        <v>21</v>
      </c>
      <c r="C233" s="141" t="s">
        <v>687</v>
      </c>
      <c r="D233" s="140" t="s">
        <v>688</v>
      </c>
      <c r="E233" s="140">
        <v>4</v>
      </c>
      <c r="F233" s="142">
        <v>45785.541666666672</v>
      </c>
      <c r="G233" s="140" t="s">
        <v>845</v>
      </c>
      <c r="H233" s="140" t="s">
        <v>846</v>
      </c>
    </row>
    <row r="234" spans="1:8" ht="15.75" customHeight="1">
      <c r="A234" s="140" t="s">
        <v>52</v>
      </c>
      <c r="B234" s="140" t="s">
        <v>21</v>
      </c>
      <c r="C234" s="141" t="s">
        <v>687</v>
      </c>
      <c r="D234" s="140" t="s">
        <v>688</v>
      </c>
      <c r="E234" s="140">
        <v>5</v>
      </c>
      <c r="F234" s="142">
        <v>45793.541666666672</v>
      </c>
      <c r="G234" s="140" t="s">
        <v>845</v>
      </c>
      <c r="H234" s="140" t="s">
        <v>846</v>
      </c>
    </row>
    <row r="235" spans="1:8" ht="15.75" customHeight="1">
      <c r="A235" s="140" t="s">
        <v>52</v>
      </c>
      <c r="B235" s="140" t="s">
        <v>21</v>
      </c>
      <c r="C235" s="141" t="s">
        <v>687</v>
      </c>
      <c r="D235" s="140" t="s">
        <v>688</v>
      </c>
      <c r="E235" s="140">
        <v>6</v>
      </c>
      <c r="F235" s="142">
        <v>45800.541666666672</v>
      </c>
      <c r="G235" s="140" t="s">
        <v>845</v>
      </c>
      <c r="H235" s="140" t="s">
        <v>846</v>
      </c>
    </row>
    <row r="236" spans="1:8" ht="15.75" customHeight="1">
      <c r="A236" s="140" t="s">
        <v>52</v>
      </c>
      <c r="B236" s="140" t="s">
        <v>21</v>
      </c>
      <c r="C236" s="141" t="s">
        <v>687</v>
      </c>
      <c r="D236" s="140" t="s">
        <v>688</v>
      </c>
      <c r="E236" s="140">
        <v>7</v>
      </c>
      <c r="F236" s="142">
        <v>45827.583333333328</v>
      </c>
      <c r="G236" s="140" t="s">
        <v>843</v>
      </c>
      <c r="H236" s="140" t="s">
        <v>846</v>
      </c>
    </row>
    <row r="237" spans="1:8" ht="15.75" customHeight="1">
      <c r="A237" s="140" t="s">
        <v>52</v>
      </c>
      <c r="B237" s="140" t="s">
        <v>21</v>
      </c>
      <c r="C237" s="141" t="s">
        <v>687</v>
      </c>
      <c r="D237" s="140" t="s">
        <v>688</v>
      </c>
      <c r="E237" s="140">
        <v>8</v>
      </c>
      <c r="F237" s="142">
        <v>45869.625</v>
      </c>
      <c r="G237" s="140" t="s">
        <v>845</v>
      </c>
      <c r="H237" s="140" t="s">
        <v>846</v>
      </c>
    </row>
    <row r="238" spans="1:8" ht="15.75" customHeight="1">
      <c r="A238" s="140" t="s">
        <v>52</v>
      </c>
      <c r="B238" s="140" t="s">
        <v>21</v>
      </c>
      <c r="C238" s="141" t="s">
        <v>687</v>
      </c>
      <c r="D238" s="140" t="s">
        <v>688</v>
      </c>
      <c r="E238" s="140">
        <v>9</v>
      </c>
      <c r="F238" s="142">
        <v>45912.416666666672</v>
      </c>
      <c r="G238" s="140" t="s">
        <v>845</v>
      </c>
      <c r="H238" s="140" t="s">
        <v>846</v>
      </c>
    </row>
    <row r="239" spans="1:8" ht="15.75" customHeight="1">
      <c r="A239" s="140" t="s">
        <v>52</v>
      </c>
      <c r="B239" s="140" t="s">
        <v>21</v>
      </c>
      <c r="C239" s="141" t="s">
        <v>687</v>
      </c>
      <c r="D239" s="140" t="s">
        <v>688</v>
      </c>
      <c r="E239" s="140">
        <v>10</v>
      </c>
      <c r="F239" s="142">
        <v>45954.375</v>
      </c>
      <c r="G239" s="140" t="s">
        <v>845</v>
      </c>
      <c r="H239" s="140" t="s">
        <v>846</v>
      </c>
    </row>
    <row r="240" spans="1:8" ht="15.75" customHeight="1">
      <c r="A240" s="140" t="s">
        <v>52</v>
      </c>
      <c r="B240" s="140" t="s">
        <v>21</v>
      </c>
      <c r="C240" s="141" t="s">
        <v>701</v>
      </c>
      <c r="D240" s="140" t="s">
        <v>702</v>
      </c>
      <c r="E240" s="140">
        <v>1</v>
      </c>
      <c r="F240" s="142">
        <v>45715.416666666672</v>
      </c>
      <c r="G240" s="140" t="s">
        <v>845</v>
      </c>
      <c r="H240" s="140" t="s">
        <v>846</v>
      </c>
    </row>
    <row r="241" spans="1:8" ht="15.75" customHeight="1">
      <c r="A241" s="140" t="s">
        <v>52</v>
      </c>
      <c r="B241" s="140" t="s">
        <v>21</v>
      </c>
      <c r="C241" s="141" t="s">
        <v>701</v>
      </c>
      <c r="D241" s="140" t="s">
        <v>702</v>
      </c>
      <c r="E241" s="140">
        <v>2</v>
      </c>
      <c r="F241" s="142">
        <v>45765.541666666672</v>
      </c>
      <c r="G241" s="140" t="s">
        <v>845</v>
      </c>
      <c r="H241" s="140" t="s">
        <v>846</v>
      </c>
    </row>
    <row r="242" spans="1:8" ht="15.75" customHeight="1">
      <c r="A242" s="140" t="s">
        <v>52</v>
      </c>
      <c r="B242" s="140" t="s">
        <v>21</v>
      </c>
      <c r="C242" s="141" t="s">
        <v>701</v>
      </c>
      <c r="D242" s="140" t="s">
        <v>702</v>
      </c>
      <c r="E242" s="140">
        <v>3</v>
      </c>
      <c r="F242" s="142">
        <v>45771.583333333328</v>
      </c>
      <c r="G242" s="140" t="s">
        <v>845</v>
      </c>
      <c r="H242" s="140" t="s">
        <v>846</v>
      </c>
    </row>
    <row r="243" spans="1:8" ht="15.75" customHeight="1">
      <c r="A243" s="140" t="s">
        <v>52</v>
      </c>
      <c r="B243" s="140" t="s">
        <v>21</v>
      </c>
      <c r="C243" s="141" t="s">
        <v>701</v>
      </c>
      <c r="D243" s="140" t="s">
        <v>702</v>
      </c>
      <c r="E243" s="140">
        <v>4</v>
      </c>
      <c r="F243" s="142">
        <v>45785.541666666672</v>
      </c>
      <c r="G243" s="140" t="s">
        <v>845</v>
      </c>
      <c r="H243" s="140" t="s">
        <v>846</v>
      </c>
    </row>
    <row r="244" spans="1:8" ht="15.75" customHeight="1">
      <c r="A244" s="140" t="s">
        <v>52</v>
      </c>
      <c r="B244" s="140" t="s">
        <v>21</v>
      </c>
      <c r="C244" s="141" t="s">
        <v>701</v>
      </c>
      <c r="D244" s="140" t="s">
        <v>702</v>
      </c>
      <c r="E244" s="140">
        <v>5</v>
      </c>
      <c r="F244" s="142">
        <v>45793.541666666672</v>
      </c>
      <c r="G244" s="140" t="s">
        <v>845</v>
      </c>
      <c r="H244" s="140" t="s">
        <v>846</v>
      </c>
    </row>
    <row r="245" spans="1:8" ht="15.75" customHeight="1">
      <c r="A245" s="140" t="s">
        <v>52</v>
      </c>
      <c r="B245" s="140" t="s">
        <v>21</v>
      </c>
      <c r="C245" s="141" t="s">
        <v>701</v>
      </c>
      <c r="D245" s="140" t="s">
        <v>702</v>
      </c>
      <c r="E245" s="140">
        <v>6</v>
      </c>
      <c r="F245" s="142">
        <v>45800.541666666672</v>
      </c>
      <c r="G245" s="140" t="s">
        <v>845</v>
      </c>
      <c r="H245" s="140" t="s">
        <v>846</v>
      </c>
    </row>
    <row r="246" spans="1:8" ht="15.75" customHeight="1">
      <c r="A246" s="140" t="s">
        <v>52</v>
      </c>
      <c r="B246" s="140" t="s">
        <v>21</v>
      </c>
      <c r="C246" s="141" t="s">
        <v>701</v>
      </c>
      <c r="D246" s="140" t="s">
        <v>702</v>
      </c>
      <c r="E246" s="140">
        <v>7</v>
      </c>
      <c r="F246" s="142">
        <v>45827.583333333328</v>
      </c>
      <c r="G246" s="140" t="s">
        <v>845</v>
      </c>
      <c r="H246" s="140" t="s">
        <v>846</v>
      </c>
    </row>
    <row r="247" spans="1:8" ht="15.75" customHeight="1">
      <c r="A247" s="140" t="s">
        <v>52</v>
      </c>
      <c r="B247" s="140" t="s">
        <v>21</v>
      </c>
      <c r="C247" s="141" t="s">
        <v>701</v>
      </c>
      <c r="D247" s="140" t="s">
        <v>702</v>
      </c>
      <c r="E247" s="140">
        <v>8</v>
      </c>
      <c r="F247" s="142">
        <v>45869.625</v>
      </c>
      <c r="G247" s="140" t="s">
        <v>845</v>
      </c>
      <c r="H247" s="140" t="s">
        <v>846</v>
      </c>
    </row>
    <row r="248" spans="1:8" ht="15.75" customHeight="1">
      <c r="A248" s="140" t="s">
        <v>52</v>
      </c>
      <c r="B248" s="140" t="s">
        <v>21</v>
      </c>
      <c r="C248" s="141" t="s">
        <v>701</v>
      </c>
      <c r="D248" s="140" t="s">
        <v>702</v>
      </c>
      <c r="E248" s="140">
        <v>9</v>
      </c>
      <c r="F248" s="142">
        <v>45912.416666666672</v>
      </c>
      <c r="G248" s="140" t="s">
        <v>845</v>
      </c>
      <c r="H248" s="140" t="s">
        <v>846</v>
      </c>
    </row>
    <row r="249" spans="1:8" ht="15.75" customHeight="1">
      <c r="A249" s="140" t="s">
        <v>52</v>
      </c>
      <c r="B249" s="140" t="s">
        <v>21</v>
      </c>
      <c r="C249" s="141" t="s">
        <v>701</v>
      </c>
      <c r="D249" s="140" t="s">
        <v>702</v>
      </c>
      <c r="E249" s="140">
        <v>10</v>
      </c>
      <c r="F249" s="142">
        <v>45954.375</v>
      </c>
      <c r="G249" s="140" t="s">
        <v>845</v>
      </c>
      <c r="H249" s="140" t="s">
        <v>846</v>
      </c>
    </row>
    <row r="250" spans="1:8" ht="15.75" customHeight="1">
      <c r="A250" s="140" t="s">
        <v>53</v>
      </c>
      <c r="B250" s="140" t="s">
        <v>21</v>
      </c>
      <c r="C250" s="141" t="s">
        <v>325</v>
      </c>
      <c r="D250" s="140" t="s">
        <v>326</v>
      </c>
      <c r="E250" s="140">
        <v>1</v>
      </c>
      <c r="F250" s="142">
        <v>45715.458333333328</v>
      </c>
      <c r="G250" s="140" t="s">
        <v>845</v>
      </c>
      <c r="H250" s="140" t="s">
        <v>847</v>
      </c>
    </row>
    <row r="251" spans="1:8" ht="15.75" customHeight="1">
      <c r="A251" s="140" t="s">
        <v>53</v>
      </c>
      <c r="B251" s="140" t="s">
        <v>21</v>
      </c>
      <c r="C251" s="141" t="s">
        <v>325</v>
      </c>
      <c r="D251" s="140" t="s">
        <v>326</v>
      </c>
      <c r="E251" s="140">
        <v>2</v>
      </c>
      <c r="F251" s="142">
        <v>45763.458333333328</v>
      </c>
      <c r="G251" s="140" t="s">
        <v>843</v>
      </c>
      <c r="H251" s="140" t="s">
        <v>847</v>
      </c>
    </row>
    <row r="252" spans="1:8" ht="15.75" customHeight="1">
      <c r="A252" s="140" t="s">
        <v>53</v>
      </c>
      <c r="B252" s="140" t="s">
        <v>21</v>
      </c>
      <c r="C252" s="141" t="s">
        <v>325</v>
      </c>
      <c r="D252" s="140" t="s">
        <v>326</v>
      </c>
      <c r="E252" s="140">
        <v>3</v>
      </c>
      <c r="F252" s="142">
        <v>45772.541666666672</v>
      </c>
      <c r="G252" s="140" t="s">
        <v>845</v>
      </c>
      <c r="H252" s="140" t="s">
        <v>847</v>
      </c>
    </row>
    <row r="253" spans="1:8" ht="15.75" customHeight="1">
      <c r="A253" s="140" t="s">
        <v>53</v>
      </c>
      <c r="B253" s="140" t="s">
        <v>21</v>
      </c>
      <c r="C253" s="141" t="s">
        <v>325</v>
      </c>
      <c r="D253" s="140" t="s">
        <v>326</v>
      </c>
      <c r="E253" s="140">
        <v>4</v>
      </c>
      <c r="F253" s="142">
        <v>45793.583333333328</v>
      </c>
      <c r="G253" s="140" t="s">
        <v>845</v>
      </c>
      <c r="H253" s="140" t="s">
        <v>847</v>
      </c>
    </row>
    <row r="254" spans="1:8" ht="15.75" customHeight="1">
      <c r="A254" s="140" t="s">
        <v>53</v>
      </c>
      <c r="B254" s="140" t="s">
        <v>21</v>
      </c>
      <c r="C254" s="141" t="s">
        <v>325</v>
      </c>
      <c r="D254" s="140" t="s">
        <v>326</v>
      </c>
      <c r="E254" s="140">
        <v>5</v>
      </c>
      <c r="F254" s="142">
        <v>45800.583333333328</v>
      </c>
      <c r="G254" s="140" t="s">
        <v>845</v>
      </c>
      <c r="H254" s="140" t="s">
        <v>847</v>
      </c>
    </row>
    <row r="255" spans="1:8" ht="15.75" customHeight="1">
      <c r="A255" s="140" t="s">
        <v>53</v>
      </c>
      <c r="B255" s="140" t="s">
        <v>21</v>
      </c>
      <c r="C255" s="141" t="s">
        <v>325</v>
      </c>
      <c r="D255" s="140" t="s">
        <v>326</v>
      </c>
      <c r="E255" s="140">
        <v>6</v>
      </c>
      <c r="F255" s="142">
        <v>45813.583333333328</v>
      </c>
      <c r="G255" s="140" t="s">
        <v>845</v>
      </c>
      <c r="H255" s="140" t="s">
        <v>847</v>
      </c>
    </row>
    <row r="256" spans="1:8" ht="15.75" customHeight="1">
      <c r="A256" s="140" t="s">
        <v>53</v>
      </c>
      <c r="B256" s="140" t="s">
        <v>21</v>
      </c>
      <c r="C256" s="141" t="s">
        <v>325</v>
      </c>
      <c r="D256" s="140" t="s">
        <v>326</v>
      </c>
      <c r="E256" s="140">
        <v>7</v>
      </c>
      <c r="F256" s="142">
        <v>45820.625</v>
      </c>
      <c r="G256" s="140" t="s">
        <v>845</v>
      </c>
      <c r="H256" s="140" t="s">
        <v>847</v>
      </c>
    </row>
    <row r="257" spans="1:8" ht="15.75" customHeight="1">
      <c r="A257" s="140" t="s">
        <v>53</v>
      </c>
      <c r="B257" s="140" t="s">
        <v>21</v>
      </c>
      <c r="C257" s="141" t="s">
        <v>325</v>
      </c>
      <c r="D257" s="140" t="s">
        <v>326</v>
      </c>
      <c r="E257" s="140">
        <v>8</v>
      </c>
      <c r="F257" s="142">
        <v>45827.625</v>
      </c>
      <c r="G257" s="140" t="s">
        <v>845</v>
      </c>
      <c r="H257" s="140" t="s">
        <v>847</v>
      </c>
    </row>
    <row r="258" spans="1:8" ht="15.75" customHeight="1">
      <c r="A258" s="140" t="s">
        <v>53</v>
      </c>
      <c r="B258" s="140" t="s">
        <v>21</v>
      </c>
      <c r="C258" s="141" t="s">
        <v>325</v>
      </c>
      <c r="D258" s="140" t="s">
        <v>326</v>
      </c>
      <c r="E258" s="140">
        <v>9</v>
      </c>
      <c r="F258" s="142">
        <v>45834.583333333328</v>
      </c>
      <c r="G258" s="140" t="s">
        <v>845</v>
      </c>
      <c r="H258" s="140" t="s">
        <v>847</v>
      </c>
    </row>
    <row r="259" spans="1:8" ht="15.75" customHeight="1">
      <c r="A259" s="140" t="s">
        <v>53</v>
      </c>
      <c r="B259" s="140" t="s">
        <v>21</v>
      </c>
      <c r="C259" s="141" t="s">
        <v>325</v>
      </c>
      <c r="D259" s="140" t="s">
        <v>326</v>
      </c>
      <c r="E259" s="140">
        <v>10</v>
      </c>
      <c r="F259" s="142">
        <v>45882.541666666672</v>
      </c>
      <c r="G259" s="140" t="s">
        <v>845</v>
      </c>
      <c r="H259" s="140" t="s">
        <v>847</v>
      </c>
    </row>
    <row r="260" spans="1:8" ht="15.75" customHeight="1">
      <c r="A260" s="140" t="s">
        <v>53</v>
      </c>
      <c r="B260" s="140" t="s">
        <v>21</v>
      </c>
      <c r="C260" s="141" t="s">
        <v>415</v>
      </c>
      <c r="D260" s="140" t="s">
        <v>416</v>
      </c>
      <c r="E260" s="140">
        <v>1</v>
      </c>
      <c r="F260" s="142">
        <v>45715.458333333328</v>
      </c>
      <c r="G260" s="140" t="s">
        <v>845</v>
      </c>
      <c r="H260" s="140" t="s">
        <v>847</v>
      </c>
    </row>
    <row r="261" spans="1:8" ht="15.75" customHeight="1">
      <c r="A261" s="140" t="s">
        <v>53</v>
      </c>
      <c r="B261" s="140" t="s">
        <v>21</v>
      </c>
      <c r="C261" s="141" t="s">
        <v>415</v>
      </c>
      <c r="D261" s="140" t="s">
        <v>416</v>
      </c>
      <c r="E261" s="140">
        <v>2</v>
      </c>
      <c r="F261" s="142">
        <v>45763.458333333328</v>
      </c>
      <c r="G261" s="140" t="s">
        <v>845</v>
      </c>
      <c r="H261" s="140" t="s">
        <v>847</v>
      </c>
    </row>
    <row r="262" spans="1:8" ht="15.75" customHeight="1">
      <c r="A262" s="140" t="s">
        <v>53</v>
      </c>
      <c r="B262" s="140" t="s">
        <v>21</v>
      </c>
      <c r="C262" s="141" t="s">
        <v>415</v>
      </c>
      <c r="D262" s="140" t="s">
        <v>416</v>
      </c>
      <c r="E262" s="140">
        <v>3</v>
      </c>
      <c r="F262" s="142">
        <v>45772.541666666672</v>
      </c>
      <c r="G262" s="140" t="s">
        <v>845</v>
      </c>
      <c r="H262" s="140" t="s">
        <v>847</v>
      </c>
    </row>
    <row r="263" spans="1:8" ht="15.75" customHeight="1">
      <c r="A263" s="140" t="s">
        <v>53</v>
      </c>
      <c r="B263" s="140" t="s">
        <v>21</v>
      </c>
      <c r="C263" s="141" t="s">
        <v>415</v>
      </c>
      <c r="D263" s="140" t="s">
        <v>416</v>
      </c>
      <c r="E263" s="140">
        <v>4</v>
      </c>
      <c r="F263" s="142">
        <v>45793.583333333328</v>
      </c>
      <c r="G263" s="140" t="s">
        <v>845</v>
      </c>
      <c r="H263" s="140" t="s">
        <v>847</v>
      </c>
    </row>
    <row r="264" spans="1:8" ht="15.75" customHeight="1">
      <c r="A264" s="140" t="s">
        <v>53</v>
      </c>
      <c r="B264" s="140" t="s">
        <v>21</v>
      </c>
      <c r="C264" s="141" t="s">
        <v>415</v>
      </c>
      <c r="D264" s="140" t="s">
        <v>416</v>
      </c>
      <c r="E264" s="140">
        <v>5</v>
      </c>
      <c r="F264" s="142">
        <v>45800.583333333328</v>
      </c>
      <c r="G264" s="140" t="s">
        <v>845</v>
      </c>
      <c r="H264" s="140" t="s">
        <v>847</v>
      </c>
    </row>
    <row r="265" spans="1:8" ht="15.75" customHeight="1">
      <c r="A265" s="140" t="s">
        <v>53</v>
      </c>
      <c r="B265" s="140" t="s">
        <v>21</v>
      </c>
      <c r="C265" s="141" t="s">
        <v>415</v>
      </c>
      <c r="D265" s="140" t="s">
        <v>416</v>
      </c>
      <c r="E265" s="140">
        <v>6</v>
      </c>
      <c r="F265" s="142">
        <v>45813.583333333328</v>
      </c>
      <c r="G265" s="140" t="s">
        <v>845</v>
      </c>
      <c r="H265" s="140" t="s">
        <v>847</v>
      </c>
    </row>
    <row r="266" spans="1:8" ht="15.75" customHeight="1">
      <c r="A266" s="140" t="s">
        <v>53</v>
      </c>
      <c r="B266" s="140" t="s">
        <v>21</v>
      </c>
      <c r="C266" s="141" t="s">
        <v>415</v>
      </c>
      <c r="D266" s="140" t="s">
        <v>416</v>
      </c>
      <c r="E266" s="140">
        <v>7</v>
      </c>
      <c r="F266" s="142">
        <v>45820.625</v>
      </c>
      <c r="G266" s="140" t="s">
        <v>845</v>
      </c>
      <c r="H266" s="140" t="s">
        <v>847</v>
      </c>
    </row>
    <row r="267" spans="1:8" ht="15.75" customHeight="1">
      <c r="A267" s="140" t="s">
        <v>53</v>
      </c>
      <c r="B267" s="140" t="s">
        <v>21</v>
      </c>
      <c r="C267" s="141" t="s">
        <v>415</v>
      </c>
      <c r="D267" s="140" t="s">
        <v>416</v>
      </c>
      <c r="E267" s="140">
        <v>8</v>
      </c>
      <c r="F267" s="142">
        <v>45827.625</v>
      </c>
      <c r="G267" s="140" t="s">
        <v>843</v>
      </c>
      <c r="H267" s="140" t="s">
        <v>847</v>
      </c>
    </row>
    <row r="268" spans="1:8" ht="15.75" customHeight="1">
      <c r="A268" s="140" t="s">
        <v>53</v>
      </c>
      <c r="B268" s="140" t="s">
        <v>21</v>
      </c>
      <c r="C268" s="141" t="s">
        <v>415</v>
      </c>
      <c r="D268" s="140" t="s">
        <v>416</v>
      </c>
      <c r="E268" s="140">
        <v>9</v>
      </c>
      <c r="F268" s="142">
        <v>45834.583333333328</v>
      </c>
      <c r="G268" s="140" t="s">
        <v>845</v>
      </c>
      <c r="H268" s="140" t="s">
        <v>847</v>
      </c>
    </row>
    <row r="269" spans="1:8" ht="15.75" customHeight="1">
      <c r="A269" s="140" t="s">
        <v>53</v>
      </c>
      <c r="B269" s="140" t="s">
        <v>21</v>
      </c>
      <c r="C269" s="141" t="s">
        <v>415</v>
      </c>
      <c r="D269" s="140" t="s">
        <v>416</v>
      </c>
      <c r="E269" s="140">
        <v>10</v>
      </c>
      <c r="F269" s="142">
        <v>45882.541666666672</v>
      </c>
      <c r="G269" s="140" t="s">
        <v>845</v>
      </c>
      <c r="H269" s="140" t="s">
        <v>847</v>
      </c>
    </row>
    <row r="270" spans="1:8" ht="15.75" customHeight="1">
      <c r="A270" s="140" t="s">
        <v>53</v>
      </c>
      <c r="B270" s="140" t="s">
        <v>21</v>
      </c>
      <c r="C270" s="141" t="s">
        <v>461</v>
      </c>
      <c r="D270" s="140" t="s">
        <v>462</v>
      </c>
      <c r="E270" s="140">
        <v>1</v>
      </c>
      <c r="F270" s="142">
        <v>45715.458333333328</v>
      </c>
      <c r="G270" s="140" t="s">
        <v>843</v>
      </c>
      <c r="H270" s="140" t="s">
        <v>847</v>
      </c>
    </row>
    <row r="271" spans="1:8" ht="15.75" customHeight="1">
      <c r="A271" s="140" t="s">
        <v>53</v>
      </c>
      <c r="B271" s="140" t="s">
        <v>21</v>
      </c>
      <c r="C271" s="141" t="s">
        <v>461</v>
      </c>
      <c r="D271" s="140" t="s">
        <v>462</v>
      </c>
      <c r="E271" s="140">
        <v>2</v>
      </c>
      <c r="F271" s="142">
        <v>45763.458333333328</v>
      </c>
      <c r="G271" s="140" t="s">
        <v>845</v>
      </c>
      <c r="H271" s="140" t="s">
        <v>847</v>
      </c>
    </row>
    <row r="272" spans="1:8" ht="15.75" customHeight="1">
      <c r="A272" s="140" t="s">
        <v>53</v>
      </c>
      <c r="B272" s="140" t="s">
        <v>21</v>
      </c>
      <c r="C272" s="141" t="s">
        <v>461</v>
      </c>
      <c r="D272" s="140" t="s">
        <v>462</v>
      </c>
      <c r="E272" s="140">
        <v>3</v>
      </c>
      <c r="F272" s="142">
        <v>45772.541666666672</v>
      </c>
      <c r="G272" s="140" t="s">
        <v>845</v>
      </c>
      <c r="H272" s="140" t="s">
        <v>847</v>
      </c>
    </row>
    <row r="273" spans="1:8" ht="15.75" customHeight="1">
      <c r="A273" s="140" t="s">
        <v>53</v>
      </c>
      <c r="B273" s="140" t="s">
        <v>21</v>
      </c>
      <c r="C273" s="141" t="s">
        <v>461</v>
      </c>
      <c r="D273" s="140" t="s">
        <v>462</v>
      </c>
      <c r="E273" s="140">
        <v>4</v>
      </c>
      <c r="F273" s="142">
        <v>45793.583333333328</v>
      </c>
      <c r="G273" s="140" t="s">
        <v>843</v>
      </c>
      <c r="H273" s="140" t="s">
        <v>847</v>
      </c>
    </row>
    <row r="274" spans="1:8" ht="15.75" customHeight="1">
      <c r="A274" s="140" t="s">
        <v>53</v>
      </c>
      <c r="B274" s="140" t="s">
        <v>21</v>
      </c>
      <c r="C274" s="141" t="s">
        <v>461</v>
      </c>
      <c r="D274" s="140" t="s">
        <v>462</v>
      </c>
      <c r="E274" s="140">
        <v>5</v>
      </c>
      <c r="F274" s="142">
        <v>45800.583333333328</v>
      </c>
      <c r="G274" s="140" t="s">
        <v>845</v>
      </c>
      <c r="H274" s="140" t="s">
        <v>847</v>
      </c>
    </row>
    <row r="275" spans="1:8" ht="15.75" customHeight="1">
      <c r="A275" s="140" t="s">
        <v>53</v>
      </c>
      <c r="B275" s="140" t="s">
        <v>21</v>
      </c>
      <c r="C275" s="141" t="s">
        <v>461</v>
      </c>
      <c r="D275" s="140" t="s">
        <v>462</v>
      </c>
      <c r="E275" s="140">
        <v>6</v>
      </c>
      <c r="F275" s="142">
        <v>45813.583333333328</v>
      </c>
      <c r="G275" s="140" t="s">
        <v>845</v>
      </c>
      <c r="H275" s="140" t="s">
        <v>847</v>
      </c>
    </row>
    <row r="276" spans="1:8" ht="15.75" customHeight="1">
      <c r="A276" s="140" t="s">
        <v>53</v>
      </c>
      <c r="B276" s="140" t="s">
        <v>21</v>
      </c>
      <c r="C276" s="141" t="s">
        <v>461</v>
      </c>
      <c r="D276" s="140" t="s">
        <v>462</v>
      </c>
      <c r="E276" s="140">
        <v>7</v>
      </c>
      <c r="F276" s="142">
        <v>45820.625</v>
      </c>
      <c r="G276" s="140" t="s">
        <v>845</v>
      </c>
      <c r="H276" s="140" t="s">
        <v>847</v>
      </c>
    </row>
    <row r="277" spans="1:8" ht="15.75" customHeight="1">
      <c r="A277" s="140" t="s">
        <v>53</v>
      </c>
      <c r="B277" s="140" t="s">
        <v>21</v>
      </c>
      <c r="C277" s="141" t="s">
        <v>461</v>
      </c>
      <c r="D277" s="140" t="s">
        <v>462</v>
      </c>
      <c r="E277" s="140">
        <v>8</v>
      </c>
      <c r="F277" s="142">
        <v>45827.625</v>
      </c>
      <c r="G277" s="140" t="s">
        <v>845</v>
      </c>
      <c r="H277" s="140" t="s">
        <v>847</v>
      </c>
    </row>
    <row r="278" spans="1:8" ht="15.75" customHeight="1">
      <c r="A278" s="140" t="s">
        <v>53</v>
      </c>
      <c r="B278" s="140" t="s">
        <v>21</v>
      </c>
      <c r="C278" s="141" t="s">
        <v>461</v>
      </c>
      <c r="D278" s="140" t="s">
        <v>462</v>
      </c>
      <c r="E278" s="140">
        <v>9</v>
      </c>
      <c r="F278" s="142">
        <v>45834.583333333328</v>
      </c>
      <c r="G278" s="140" t="s">
        <v>845</v>
      </c>
      <c r="H278" s="140" t="s">
        <v>847</v>
      </c>
    </row>
    <row r="279" spans="1:8" ht="15.75" customHeight="1">
      <c r="A279" s="140" t="s">
        <v>53</v>
      </c>
      <c r="B279" s="140" t="s">
        <v>21</v>
      </c>
      <c r="C279" s="141" t="s">
        <v>461</v>
      </c>
      <c r="D279" s="140" t="s">
        <v>462</v>
      </c>
      <c r="E279" s="140">
        <v>10</v>
      </c>
      <c r="F279" s="142">
        <v>45882.541666666672</v>
      </c>
      <c r="G279" s="140" t="s">
        <v>845</v>
      </c>
      <c r="H279" s="140" t="s">
        <v>847</v>
      </c>
    </row>
    <row r="280" spans="1:8" ht="15.75" customHeight="1">
      <c r="A280" s="140" t="s">
        <v>53</v>
      </c>
      <c r="B280" s="140" t="s">
        <v>21</v>
      </c>
      <c r="C280" s="141" t="s">
        <v>534</v>
      </c>
      <c r="D280" s="140" t="s">
        <v>535</v>
      </c>
      <c r="E280" s="140">
        <v>1</v>
      </c>
      <c r="F280" s="142">
        <v>45715.458333333328</v>
      </c>
      <c r="G280" s="140" t="s">
        <v>845</v>
      </c>
      <c r="H280" s="140" t="s">
        <v>847</v>
      </c>
    </row>
    <row r="281" spans="1:8" ht="15.75" customHeight="1">
      <c r="A281" s="140" t="s">
        <v>53</v>
      </c>
      <c r="B281" s="140" t="s">
        <v>21</v>
      </c>
      <c r="C281" s="141" t="s">
        <v>534</v>
      </c>
      <c r="D281" s="140" t="s">
        <v>535</v>
      </c>
      <c r="E281" s="140">
        <v>2</v>
      </c>
      <c r="F281" s="142">
        <v>45763.458333333328</v>
      </c>
      <c r="G281" s="140" t="s">
        <v>845</v>
      </c>
      <c r="H281" s="140" t="s">
        <v>847</v>
      </c>
    </row>
    <row r="282" spans="1:8" ht="15.75" customHeight="1">
      <c r="A282" s="140" t="s">
        <v>53</v>
      </c>
      <c r="B282" s="140" t="s">
        <v>21</v>
      </c>
      <c r="C282" s="141" t="s">
        <v>534</v>
      </c>
      <c r="D282" s="140" t="s">
        <v>535</v>
      </c>
      <c r="E282" s="140">
        <v>3</v>
      </c>
      <c r="F282" s="142">
        <v>45772.541666666672</v>
      </c>
      <c r="G282" s="140" t="s">
        <v>845</v>
      </c>
      <c r="H282" s="140" t="s">
        <v>847</v>
      </c>
    </row>
    <row r="283" spans="1:8" ht="15.75" customHeight="1">
      <c r="A283" s="140" t="s">
        <v>53</v>
      </c>
      <c r="B283" s="140" t="s">
        <v>21</v>
      </c>
      <c r="C283" s="141" t="s">
        <v>534</v>
      </c>
      <c r="D283" s="140" t="s">
        <v>535</v>
      </c>
      <c r="E283" s="140">
        <v>4</v>
      </c>
      <c r="F283" s="142">
        <v>45793.583333333328</v>
      </c>
      <c r="G283" s="140" t="s">
        <v>845</v>
      </c>
      <c r="H283" s="140" t="s">
        <v>847</v>
      </c>
    </row>
    <row r="284" spans="1:8" ht="15.75" customHeight="1">
      <c r="A284" s="140" t="s">
        <v>53</v>
      </c>
      <c r="B284" s="140" t="s">
        <v>21</v>
      </c>
      <c r="C284" s="141" t="s">
        <v>534</v>
      </c>
      <c r="D284" s="140" t="s">
        <v>535</v>
      </c>
      <c r="E284" s="140">
        <v>5</v>
      </c>
      <c r="F284" s="142">
        <v>45800.583333333328</v>
      </c>
      <c r="G284" s="140" t="s">
        <v>845</v>
      </c>
      <c r="H284" s="140" t="s">
        <v>847</v>
      </c>
    </row>
    <row r="285" spans="1:8" ht="15.75" customHeight="1">
      <c r="A285" s="140" t="s">
        <v>53</v>
      </c>
      <c r="B285" s="140" t="s">
        <v>21</v>
      </c>
      <c r="C285" s="141" t="s">
        <v>534</v>
      </c>
      <c r="D285" s="140" t="s">
        <v>535</v>
      </c>
      <c r="E285" s="140">
        <v>6</v>
      </c>
      <c r="F285" s="142">
        <v>45813.625</v>
      </c>
      <c r="G285" s="140" t="s">
        <v>845</v>
      </c>
      <c r="H285" s="140" t="s">
        <v>847</v>
      </c>
    </row>
    <row r="286" spans="1:8" ht="15.75" customHeight="1">
      <c r="A286" s="140" t="s">
        <v>53</v>
      </c>
      <c r="B286" s="140" t="s">
        <v>21</v>
      </c>
      <c r="C286" s="141" t="s">
        <v>534</v>
      </c>
      <c r="D286" s="140" t="s">
        <v>535</v>
      </c>
      <c r="E286" s="140">
        <v>7</v>
      </c>
      <c r="F286" s="142">
        <v>45820.625</v>
      </c>
      <c r="G286" s="140" t="s">
        <v>845</v>
      </c>
      <c r="H286" s="140" t="s">
        <v>847</v>
      </c>
    </row>
    <row r="287" spans="1:8" ht="15.75" customHeight="1">
      <c r="A287" s="140" t="s">
        <v>53</v>
      </c>
      <c r="B287" s="140" t="s">
        <v>21</v>
      </c>
      <c r="C287" s="141" t="s">
        <v>534</v>
      </c>
      <c r="D287" s="140" t="s">
        <v>535</v>
      </c>
      <c r="E287" s="140">
        <v>8</v>
      </c>
      <c r="F287" s="142">
        <v>45827.625</v>
      </c>
      <c r="G287" s="140" t="s">
        <v>845</v>
      </c>
      <c r="H287" s="140" t="s">
        <v>847</v>
      </c>
    </row>
    <row r="288" spans="1:8" ht="15.75" customHeight="1">
      <c r="A288" s="140" t="s">
        <v>53</v>
      </c>
      <c r="B288" s="140" t="s">
        <v>21</v>
      </c>
      <c r="C288" s="141" t="s">
        <v>534</v>
      </c>
      <c r="D288" s="140" t="s">
        <v>535</v>
      </c>
      <c r="E288" s="140">
        <v>9</v>
      </c>
      <c r="F288" s="142">
        <v>45834.583333333328</v>
      </c>
      <c r="G288" s="140" t="s">
        <v>845</v>
      </c>
      <c r="H288" s="140" t="s">
        <v>847</v>
      </c>
    </row>
    <row r="289" spans="1:8" ht="15.75" customHeight="1">
      <c r="A289" s="140" t="s">
        <v>53</v>
      </c>
      <c r="B289" s="140" t="s">
        <v>21</v>
      </c>
      <c r="C289" s="141" t="s">
        <v>534</v>
      </c>
      <c r="D289" s="140" t="s">
        <v>535</v>
      </c>
      <c r="E289" s="140">
        <v>10</v>
      </c>
      <c r="F289" s="142">
        <v>45882.541666666672</v>
      </c>
      <c r="G289" s="140" t="s">
        <v>845</v>
      </c>
      <c r="H289" s="140" t="s">
        <v>847</v>
      </c>
    </row>
    <row r="290" spans="1:8" ht="15.75" customHeight="1">
      <c r="A290" s="140" t="s">
        <v>53</v>
      </c>
      <c r="B290" s="140" t="s">
        <v>21</v>
      </c>
      <c r="C290" s="141" t="s">
        <v>560</v>
      </c>
      <c r="D290" s="140" t="s">
        <v>561</v>
      </c>
      <c r="E290" s="140">
        <v>1</v>
      </c>
      <c r="F290" s="142">
        <v>45715.458333333328</v>
      </c>
      <c r="G290" s="140" t="s">
        <v>845</v>
      </c>
      <c r="H290" s="140" t="s">
        <v>847</v>
      </c>
    </row>
    <row r="291" spans="1:8" ht="15.75" customHeight="1">
      <c r="A291" s="140" t="s">
        <v>53</v>
      </c>
      <c r="B291" s="140" t="s">
        <v>21</v>
      </c>
      <c r="C291" s="141" t="s">
        <v>560</v>
      </c>
      <c r="D291" s="140" t="s">
        <v>561</v>
      </c>
      <c r="E291" s="140">
        <v>2</v>
      </c>
      <c r="F291" s="142">
        <v>45763.458333333328</v>
      </c>
      <c r="G291" s="140" t="s">
        <v>845</v>
      </c>
      <c r="H291" s="140" t="s">
        <v>847</v>
      </c>
    </row>
    <row r="292" spans="1:8" ht="15.75" customHeight="1">
      <c r="A292" s="140" t="s">
        <v>53</v>
      </c>
      <c r="B292" s="140" t="s">
        <v>21</v>
      </c>
      <c r="C292" s="141" t="s">
        <v>560</v>
      </c>
      <c r="D292" s="140" t="s">
        <v>561</v>
      </c>
      <c r="E292" s="140">
        <v>3</v>
      </c>
      <c r="F292" s="142">
        <v>45772.541666666672</v>
      </c>
      <c r="G292" s="140" t="s">
        <v>845</v>
      </c>
      <c r="H292" s="140" t="s">
        <v>847</v>
      </c>
    </row>
    <row r="293" spans="1:8" ht="15.75" customHeight="1">
      <c r="A293" s="140" t="s">
        <v>53</v>
      </c>
      <c r="B293" s="140" t="s">
        <v>21</v>
      </c>
      <c r="C293" s="141" t="s">
        <v>560</v>
      </c>
      <c r="D293" s="140" t="s">
        <v>561</v>
      </c>
      <c r="E293" s="140">
        <v>4</v>
      </c>
      <c r="F293" s="142">
        <v>45793.583333333328</v>
      </c>
      <c r="G293" s="140" t="s">
        <v>843</v>
      </c>
      <c r="H293" s="140" t="s">
        <v>847</v>
      </c>
    </row>
    <row r="294" spans="1:8" ht="15.75" customHeight="1">
      <c r="A294" s="140" t="s">
        <v>53</v>
      </c>
      <c r="B294" s="140" t="s">
        <v>21</v>
      </c>
      <c r="C294" s="141" t="s">
        <v>560</v>
      </c>
      <c r="D294" s="140" t="s">
        <v>561</v>
      </c>
      <c r="E294" s="140">
        <v>5</v>
      </c>
      <c r="F294" s="142">
        <v>45800.583333333328</v>
      </c>
      <c r="G294" s="140" t="s">
        <v>845</v>
      </c>
      <c r="H294" s="140" t="s">
        <v>847</v>
      </c>
    </row>
    <row r="295" spans="1:8" ht="15.75" customHeight="1">
      <c r="A295" s="140" t="s">
        <v>53</v>
      </c>
      <c r="B295" s="140" t="s">
        <v>21</v>
      </c>
      <c r="C295" s="141" t="s">
        <v>560</v>
      </c>
      <c r="D295" s="140" t="s">
        <v>561</v>
      </c>
      <c r="E295" s="140">
        <v>6</v>
      </c>
      <c r="F295" s="142">
        <v>45813.583333333328</v>
      </c>
      <c r="G295" s="140" t="s">
        <v>845</v>
      </c>
      <c r="H295" s="140" t="s">
        <v>847</v>
      </c>
    </row>
    <row r="296" spans="1:8" ht="15.75" customHeight="1">
      <c r="A296" s="140" t="s">
        <v>53</v>
      </c>
      <c r="B296" s="140" t="s">
        <v>21</v>
      </c>
      <c r="C296" s="141" t="s">
        <v>560</v>
      </c>
      <c r="D296" s="140" t="s">
        <v>561</v>
      </c>
      <c r="E296" s="140">
        <v>7</v>
      </c>
      <c r="F296" s="142">
        <v>45820.625</v>
      </c>
      <c r="G296" s="140" t="s">
        <v>845</v>
      </c>
      <c r="H296" s="140" t="s">
        <v>847</v>
      </c>
    </row>
    <row r="297" spans="1:8" ht="15.75" customHeight="1">
      <c r="A297" s="140" t="s">
        <v>53</v>
      </c>
      <c r="B297" s="140" t="s">
        <v>21</v>
      </c>
      <c r="C297" s="141" t="s">
        <v>560</v>
      </c>
      <c r="D297" s="140" t="s">
        <v>561</v>
      </c>
      <c r="E297" s="140">
        <v>8</v>
      </c>
      <c r="F297" s="142">
        <v>45827.625</v>
      </c>
      <c r="G297" s="140" t="s">
        <v>845</v>
      </c>
      <c r="H297" s="140" t="s">
        <v>847</v>
      </c>
    </row>
    <row r="298" spans="1:8" ht="15.75" customHeight="1">
      <c r="A298" s="140" t="s">
        <v>53</v>
      </c>
      <c r="B298" s="140" t="s">
        <v>21</v>
      </c>
      <c r="C298" s="141" t="s">
        <v>560</v>
      </c>
      <c r="D298" s="140" t="s">
        <v>561</v>
      </c>
      <c r="E298" s="140">
        <v>9</v>
      </c>
      <c r="F298" s="142">
        <v>45834.583333333328</v>
      </c>
      <c r="G298" s="140" t="s">
        <v>845</v>
      </c>
      <c r="H298" s="140" t="s">
        <v>847</v>
      </c>
    </row>
    <row r="299" spans="1:8" ht="15.75" customHeight="1">
      <c r="A299" s="140" t="s">
        <v>53</v>
      </c>
      <c r="B299" s="140" t="s">
        <v>21</v>
      </c>
      <c r="C299" s="141" t="s">
        <v>560</v>
      </c>
      <c r="D299" s="140" t="s">
        <v>561</v>
      </c>
      <c r="E299" s="140">
        <v>10</v>
      </c>
      <c r="F299" s="142">
        <v>45882.541666666672</v>
      </c>
      <c r="G299" s="140" t="s">
        <v>845</v>
      </c>
      <c r="H299" s="140" t="s">
        <v>847</v>
      </c>
    </row>
    <row r="300" spans="1:8" ht="15.75" customHeight="1">
      <c r="A300" s="140" t="s">
        <v>54</v>
      </c>
      <c r="B300" s="140" t="s">
        <v>21</v>
      </c>
      <c r="C300" s="141" t="s">
        <v>144</v>
      </c>
      <c r="D300" s="140" t="s">
        <v>145</v>
      </c>
      <c r="E300" s="140">
        <v>1</v>
      </c>
      <c r="F300" s="142">
        <v>45639.583333333328</v>
      </c>
      <c r="G300" s="140" t="s">
        <v>843</v>
      </c>
      <c r="H300" s="140" t="s">
        <v>848</v>
      </c>
    </row>
    <row r="301" spans="1:8" ht="15.75" customHeight="1">
      <c r="A301" s="140" t="s">
        <v>54</v>
      </c>
      <c r="B301" s="140" t="s">
        <v>21</v>
      </c>
      <c r="C301" s="141" t="s">
        <v>144</v>
      </c>
      <c r="D301" s="140" t="s">
        <v>145</v>
      </c>
      <c r="E301" s="140">
        <v>2</v>
      </c>
      <c r="F301" s="142">
        <v>45665.375</v>
      </c>
      <c r="G301" s="140" t="s">
        <v>845</v>
      </c>
      <c r="H301" s="140" t="s">
        <v>848</v>
      </c>
    </row>
    <row r="302" spans="1:8" ht="15.75" customHeight="1">
      <c r="A302" s="140" t="s">
        <v>54</v>
      </c>
      <c r="B302" s="140" t="s">
        <v>21</v>
      </c>
      <c r="C302" s="141" t="s">
        <v>144</v>
      </c>
      <c r="D302" s="140" t="s">
        <v>145</v>
      </c>
      <c r="E302" s="140">
        <v>3</v>
      </c>
      <c r="F302" s="142">
        <v>45679.416666666672</v>
      </c>
      <c r="G302" s="140" t="s">
        <v>845</v>
      </c>
      <c r="H302" s="140" t="s">
        <v>848</v>
      </c>
    </row>
    <row r="303" spans="1:8" ht="15.75" customHeight="1">
      <c r="A303" s="140" t="s">
        <v>54</v>
      </c>
      <c r="B303" s="140" t="s">
        <v>21</v>
      </c>
      <c r="C303" s="141" t="s">
        <v>144</v>
      </c>
      <c r="D303" s="140" t="s">
        <v>145</v>
      </c>
      <c r="E303" s="140">
        <v>4</v>
      </c>
      <c r="F303" s="142">
        <v>45709.375</v>
      </c>
      <c r="G303" s="140" t="s">
        <v>843</v>
      </c>
      <c r="H303" s="140" t="s">
        <v>848</v>
      </c>
    </row>
    <row r="304" spans="1:8" ht="15.75" customHeight="1">
      <c r="A304" s="140" t="s">
        <v>54</v>
      </c>
      <c r="B304" s="140" t="s">
        <v>21</v>
      </c>
      <c r="C304" s="141" t="s">
        <v>144</v>
      </c>
      <c r="D304" s="140" t="s">
        <v>145</v>
      </c>
      <c r="E304" s="140">
        <v>5</v>
      </c>
      <c r="F304" s="142">
        <v>45702.583333333328</v>
      </c>
      <c r="G304" s="140" t="s">
        <v>845</v>
      </c>
      <c r="H304" s="140" t="s">
        <v>848</v>
      </c>
    </row>
    <row r="305" spans="1:8" ht="15.75" customHeight="1">
      <c r="A305" s="140" t="s">
        <v>54</v>
      </c>
      <c r="B305" s="140" t="s">
        <v>21</v>
      </c>
      <c r="C305" s="141" t="s">
        <v>144</v>
      </c>
      <c r="D305" s="140" t="s">
        <v>145</v>
      </c>
      <c r="E305" s="140">
        <v>6</v>
      </c>
      <c r="F305" s="142">
        <v>45764.375</v>
      </c>
      <c r="G305" s="140" t="s">
        <v>843</v>
      </c>
      <c r="H305" s="140" t="s">
        <v>848</v>
      </c>
    </row>
    <row r="306" spans="1:8" ht="15.75" customHeight="1">
      <c r="A306" s="140" t="s">
        <v>54</v>
      </c>
      <c r="B306" s="140" t="s">
        <v>21</v>
      </c>
      <c r="C306" s="141" t="s">
        <v>144</v>
      </c>
      <c r="D306" s="140" t="s">
        <v>145</v>
      </c>
      <c r="E306" s="140">
        <v>7</v>
      </c>
      <c r="F306" s="142">
        <v>45716.375</v>
      </c>
      <c r="G306" s="140" t="s">
        <v>845</v>
      </c>
      <c r="H306" s="140" t="s">
        <v>848</v>
      </c>
    </row>
    <row r="307" spans="1:8" ht="15.75" customHeight="1">
      <c r="A307" s="140" t="s">
        <v>54</v>
      </c>
      <c r="B307" s="140" t="s">
        <v>21</v>
      </c>
      <c r="C307" s="141" t="s">
        <v>144</v>
      </c>
      <c r="D307" s="140" t="s">
        <v>145</v>
      </c>
      <c r="E307" s="140">
        <v>8</v>
      </c>
      <c r="F307" s="142">
        <v>45764.375</v>
      </c>
      <c r="G307" s="140" t="s">
        <v>845</v>
      </c>
      <c r="H307" s="140" t="s">
        <v>848</v>
      </c>
    </row>
    <row r="308" spans="1:8" ht="15.75" customHeight="1">
      <c r="A308" s="140" t="s">
        <v>54</v>
      </c>
      <c r="B308" s="140" t="s">
        <v>21</v>
      </c>
      <c r="C308" s="141" t="s">
        <v>144</v>
      </c>
      <c r="D308" s="140" t="s">
        <v>145</v>
      </c>
      <c r="E308" s="140">
        <v>9</v>
      </c>
      <c r="F308" s="142">
        <v>45792.416666666672</v>
      </c>
      <c r="G308" s="140" t="s">
        <v>843</v>
      </c>
      <c r="H308" s="140" t="s">
        <v>848</v>
      </c>
    </row>
    <row r="309" spans="1:8" ht="15.75" customHeight="1">
      <c r="A309" s="140" t="s">
        <v>54</v>
      </c>
      <c r="B309" s="140" t="s">
        <v>21</v>
      </c>
      <c r="C309" s="141" t="s">
        <v>144</v>
      </c>
      <c r="D309" s="140" t="s">
        <v>145</v>
      </c>
      <c r="E309" s="140">
        <v>10</v>
      </c>
      <c r="F309" s="142">
        <v>45820.375</v>
      </c>
      <c r="G309" s="140" t="s">
        <v>845</v>
      </c>
      <c r="H309" s="140" t="s">
        <v>848</v>
      </c>
    </row>
    <row r="310" spans="1:8" ht="15.75" customHeight="1">
      <c r="A310" s="140" t="s">
        <v>54</v>
      </c>
      <c r="B310" s="140" t="s">
        <v>22</v>
      </c>
      <c r="C310" s="141" t="s">
        <v>144</v>
      </c>
      <c r="D310" s="140" t="s">
        <v>145</v>
      </c>
      <c r="E310" s="140">
        <v>1</v>
      </c>
      <c r="F310" s="142">
        <v>45869.583333333328</v>
      </c>
      <c r="G310" s="140" t="s">
        <v>845</v>
      </c>
      <c r="H310" s="140" t="s">
        <v>848</v>
      </c>
    </row>
    <row r="311" spans="1:8" ht="15.75" customHeight="1">
      <c r="A311" s="140" t="s">
        <v>54</v>
      </c>
      <c r="B311" s="140" t="s">
        <v>22</v>
      </c>
      <c r="C311" s="141" t="s">
        <v>144</v>
      </c>
      <c r="D311" s="140" t="s">
        <v>145</v>
      </c>
      <c r="E311" s="140">
        <v>2</v>
      </c>
      <c r="F311" s="142">
        <v>45881.375</v>
      </c>
      <c r="G311" s="140" t="s">
        <v>845</v>
      </c>
      <c r="H311" s="140" t="s">
        <v>848</v>
      </c>
    </row>
    <row r="312" spans="1:8" ht="15.75" customHeight="1">
      <c r="A312" s="140" t="s">
        <v>54</v>
      </c>
      <c r="B312" s="140" t="s">
        <v>22</v>
      </c>
      <c r="C312" s="141" t="s">
        <v>144</v>
      </c>
      <c r="D312" s="140" t="s">
        <v>145</v>
      </c>
      <c r="E312" s="140">
        <v>3</v>
      </c>
      <c r="F312" s="142">
        <v>45890.375</v>
      </c>
      <c r="G312" s="140" t="s">
        <v>845</v>
      </c>
      <c r="H312" s="140" t="s">
        <v>848</v>
      </c>
    </row>
    <row r="313" spans="1:8" ht="15.75" customHeight="1">
      <c r="A313" s="140" t="s">
        <v>54</v>
      </c>
      <c r="B313" s="140" t="s">
        <v>22</v>
      </c>
      <c r="C313" s="141" t="s">
        <v>144</v>
      </c>
      <c r="D313" s="140" t="s">
        <v>145</v>
      </c>
      <c r="E313" s="140">
        <v>4</v>
      </c>
      <c r="F313" s="142">
        <v>45897.625</v>
      </c>
      <c r="G313" s="140" t="s">
        <v>845</v>
      </c>
      <c r="H313" s="140" t="s">
        <v>848</v>
      </c>
    </row>
    <row r="314" spans="1:8" ht="15.75" customHeight="1">
      <c r="A314" s="140" t="s">
        <v>54</v>
      </c>
      <c r="B314" s="140" t="s">
        <v>22</v>
      </c>
      <c r="C314" s="141" t="s">
        <v>144</v>
      </c>
      <c r="D314" s="140" t="s">
        <v>145</v>
      </c>
      <c r="E314" s="140">
        <v>5</v>
      </c>
      <c r="F314" s="142">
        <v>45904.375</v>
      </c>
      <c r="G314" s="140" t="s">
        <v>843</v>
      </c>
      <c r="H314" s="140" t="s">
        <v>848</v>
      </c>
    </row>
    <row r="315" spans="1:8" ht="15.75" customHeight="1">
      <c r="A315" s="140" t="s">
        <v>54</v>
      </c>
      <c r="B315" s="140" t="s">
        <v>22</v>
      </c>
      <c r="C315" s="141" t="s">
        <v>144</v>
      </c>
      <c r="D315" s="140" t="s">
        <v>145</v>
      </c>
      <c r="E315" s="140">
        <v>6</v>
      </c>
      <c r="F315" s="142">
        <v>45909.375</v>
      </c>
      <c r="G315" s="140" t="s">
        <v>845</v>
      </c>
      <c r="H315" s="140" t="s">
        <v>848</v>
      </c>
    </row>
    <row r="316" spans="1:8" ht="15.75" customHeight="1">
      <c r="A316" s="140" t="s">
        <v>54</v>
      </c>
      <c r="B316" s="140" t="s">
        <v>22</v>
      </c>
      <c r="C316" s="141" t="s">
        <v>144</v>
      </c>
      <c r="D316" s="140" t="s">
        <v>145</v>
      </c>
      <c r="E316" s="140">
        <v>7</v>
      </c>
      <c r="F316" s="142">
        <v>45917.375</v>
      </c>
      <c r="G316" s="140" t="s">
        <v>845</v>
      </c>
      <c r="H316" s="140" t="s">
        <v>848</v>
      </c>
    </row>
    <row r="317" spans="1:8" ht="15.75" customHeight="1">
      <c r="A317" s="140" t="s">
        <v>54</v>
      </c>
      <c r="B317" s="140" t="s">
        <v>22</v>
      </c>
      <c r="C317" s="141" t="s">
        <v>144</v>
      </c>
      <c r="D317" s="140" t="s">
        <v>145</v>
      </c>
      <c r="E317" s="140">
        <v>8</v>
      </c>
      <c r="F317" s="142">
        <v>45923.375</v>
      </c>
      <c r="G317" s="140" t="s">
        <v>843</v>
      </c>
      <c r="H317" s="140" t="s">
        <v>848</v>
      </c>
    </row>
    <row r="318" spans="1:8" ht="15.75" customHeight="1">
      <c r="A318" s="140" t="s">
        <v>54</v>
      </c>
      <c r="B318" s="140" t="s">
        <v>22</v>
      </c>
      <c r="C318" s="141" t="s">
        <v>144</v>
      </c>
      <c r="D318" s="140" t="s">
        <v>145</v>
      </c>
      <c r="E318" s="140">
        <v>9</v>
      </c>
      <c r="F318" s="142">
        <v>45932.375</v>
      </c>
      <c r="G318" s="140" t="s">
        <v>843</v>
      </c>
      <c r="H318" s="140" t="s">
        <v>848</v>
      </c>
    </row>
    <row r="319" spans="1:8" ht="15.75" customHeight="1">
      <c r="A319" s="140" t="s">
        <v>54</v>
      </c>
      <c r="B319" s="140" t="s">
        <v>22</v>
      </c>
      <c r="C319" s="141" t="s">
        <v>144</v>
      </c>
      <c r="D319" s="140" t="s">
        <v>145</v>
      </c>
      <c r="E319" s="140">
        <v>10</v>
      </c>
      <c r="F319" s="142">
        <v>45939.375</v>
      </c>
      <c r="G319" s="140" t="s">
        <v>845</v>
      </c>
      <c r="H319" s="140" t="s">
        <v>848</v>
      </c>
    </row>
    <row r="320" spans="1:8" ht="15.75" customHeight="1">
      <c r="A320" s="140" t="s">
        <v>54</v>
      </c>
      <c r="B320" s="140" t="s">
        <v>22</v>
      </c>
      <c r="C320" s="141" t="s">
        <v>144</v>
      </c>
      <c r="D320" s="140" t="s">
        <v>145</v>
      </c>
      <c r="E320" s="140">
        <v>11</v>
      </c>
      <c r="F320" s="142">
        <v>45944.416666666672</v>
      </c>
      <c r="G320" s="140" t="s">
        <v>843</v>
      </c>
      <c r="H320" s="140" t="s">
        <v>848</v>
      </c>
    </row>
    <row r="321" spans="1:8" ht="15.75" customHeight="1">
      <c r="A321" s="140" t="s">
        <v>54</v>
      </c>
      <c r="B321" s="140" t="s">
        <v>22</v>
      </c>
      <c r="C321" s="141" t="s">
        <v>144</v>
      </c>
      <c r="D321" s="140" t="s">
        <v>145</v>
      </c>
      <c r="E321" s="140">
        <v>12</v>
      </c>
      <c r="F321" s="142">
        <v>45966.416666666672</v>
      </c>
      <c r="G321" s="140" t="s">
        <v>845</v>
      </c>
      <c r="H321" s="140" t="s">
        <v>848</v>
      </c>
    </row>
    <row r="322" spans="1:8" ht="15.75" customHeight="1">
      <c r="A322" s="140" t="s">
        <v>54</v>
      </c>
      <c r="B322" s="140" t="s">
        <v>22</v>
      </c>
      <c r="C322" s="141" t="s">
        <v>144</v>
      </c>
      <c r="D322" s="140" t="s">
        <v>145</v>
      </c>
      <c r="E322" s="140">
        <v>13</v>
      </c>
      <c r="F322" s="142">
        <v>46007.416666666672</v>
      </c>
      <c r="G322" s="140" t="s">
        <v>843</v>
      </c>
      <c r="H322" s="140" t="s">
        <v>848</v>
      </c>
    </row>
    <row r="323" spans="1:8" ht="15.75" customHeight="1">
      <c r="A323" s="140" t="s">
        <v>54</v>
      </c>
      <c r="B323" s="140" t="s">
        <v>22</v>
      </c>
      <c r="C323" s="141" t="s">
        <v>144</v>
      </c>
      <c r="D323" s="140" t="s">
        <v>145</v>
      </c>
      <c r="E323" s="140">
        <v>14</v>
      </c>
      <c r="F323" s="142">
        <v>46021.416666666672</v>
      </c>
      <c r="G323" s="140" t="s">
        <v>843</v>
      </c>
      <c r="H323" s="140" t="s">
        <v>848</v>
      </c>
    </row>
    <row r="324" spans="1:8" ht="15.75" customHeight="1">
      <c r="A324" s="140" t="s">
        <v>54</v>
      </c>
      <c r="B324" s="140" t="s">
        <v>22</v>
      </c>
      <c r="C324" s="141" t="s">
        <v>144</v>
      </c>
      <c r="D324" s="140" t="s">
        <v>145</v>
      </c>
      <c r="E324" s="140">
        <v>15</v>
      </c>
      <c r="F324" s="142">
        <v>46035.416666666672</v>
      </c>
      <c r="G324" s="140" t="s">
        <v>845</v>
      </c>
      <c r="H324" s="140" t="s">
        <v>848</v>
      </c>
    </row>
    <row r="325" spans="1:8" ht="15.75" customHeight="1">
      <c r="A325" s="140" t="s">
        <v>54</v>
      </c>
      <c r="B325" s="140" t="s">
        <v>22</v>
      </c>
      <c r="C325" s="141" t="s">
        <v>144</v>
      </c>
      <c r="D325" s="140" t="s">
        <v>145</v>
      </c>
      <c r="E325" s="140">
        <v>16</v>
      </c>
      <c r="F325" s="142">
        <v>46084.416666666672</v>
      </c>
      <c r="G325" s="140" t="s">
        <v>845</v>
      </c>
      <c r="H325" s="140" t="s">
        <v>848</v>
      </c>
    </row>
    <row r="326" spans="1:8" ht="15.75" customHeight="1">
      <c r="A326" s="140" t="s">
        <v>54</v>
      </c>
      <c r="B326" s="140" t="s">
        <v>21</v>
      </c>
      <c r="C326" s="141" t="s">
        <v>155</v>
      </c>
      <c r="D326" s="140" t="s">
        <v>156</v>
      </c>
      <c r="E326" s="140">
        <v>1</v>
      </c>
      <c r="F326" s="142">
        <v>45639.583333333328</v>
      </c>
      <c r="G326" s="140" t="s">
        <v>845</v>
      </c>
      <c r="H326" s="140" t="s">
        <v>848</v>
      </c>
    </row>
    <row r="327" spans="1:8" ht="15.75" customHeight="1">
      <c r="A327" s="140" t="s">
        <v>54</v>
      </c>
      <c r="B327" s="140" t="s">
        <v>21</v>
      </c>
      <c r="C327" s="141" t="s">
        <v>155</v>
      </c>
      <c r="D327" s="140" t="s">
        <v>156</v>
      </c>
      <c r="E327" s="140">
        <v>2</v>
      </c>
      <c r="F327" s="142">
        <v>45672.416666666672</v>
      </c>
      <c r="G327" s="140" t="s">
        <v>845</v>
      </c>
      <c r="H327" s="140" t="s">
        <v>848</v>
      </c>
    </row>
    <row r="328" spans="1:8" ht="15.75" customHeight="1">
      <c r="A328" s="140" t="s">
        <v>54</v>
      </c>
      <c r="B328" s="140" t="s">
        <v>21</v>
      </c>
      <c r="C328" s="141" t="s">
        <v>155</v>
      </c>
      <c r="D328" s="140" t="s">
        <v>156</v>
      </c>
      <c r="E328" s="140">
        <v>3</v>
      </c>
      <c r="F328" s="142">
        <v>45679.416666666672</v>
      </c>
      <c r="G328" s="140" t="s">
        <v>843</v>
      </c>
      <c r="H328" s="140" t="s">
        <v>848</v>
      </c>
    </row>
    <row r="329" spans="1:8" ht="15.75" customHeight="1">
      <c r="A329" s="140" t="s">
        <v>54</v>
      </c>
      <c r="B329" s="140" t="s">
        <v>21</v>
      </c>
      <c r="C329" s="141" t="s">
        <v>155</v>
      </c>
      <c r="D329" s="140" t="s">
        <v>156</v>
      </c>
      <c r="E329" s="140">
        <v>4</v>
      </c>
      <c r="F329" s="142">
        <v>45709.375</v>
      </c>
      <c r="G329" s="140" t="s">
        <v>843</v>
      </c>
      <c r="H329" s="140" t="s">
        <v>848</v>
      </c>
    </row>
    <row r="330" spans="1:8" ht="15.75" customHeight="1">
      <c r="A330" s="140" t="s">
        <v>54</v>
      </c>
      <c r="B330" s="140" t="s">
        <v>21</v>
      </c>
      <c r="C330" s="141" t="s">
        <v>155</v>
      </c>
      <c r="D330" s="140" t="s">
        <v>156</v>
      </c>
      <c r="E330" s="140">
        <v>5</v>
      </c>
      <c r="F330" s="142">
        <v>45716.375</v>
      </c>
      <c r="G330" s="140" t="s">
        <v>845</v>
      </c>
      <c r="H330" s="140" t="s">
        <v>848</v>
      </c>
    </row>
    <row r="331" spans="1:8" ht="15.75" customHeight="1">
      <c r="A331" s="140" t="s">
        <v>54</v>
      </c>
      <c r="B331" s="140" t="s">
        <v>21</v>
      </c>
      <c r="C331" s="141" t="s">
        <v>155</v>
      </c>
      <c r="D331" s="140" t="s">
        <v>156</v>
      </c>
      <c r="E331" s="140">
        <v>6</v>
      </c>
      <c r="F331" s="142">
        <v>45764.375</v>
      </c>
      <c r="G331" s="140" t="s">
        <v>845</v>
      </c>
      <c r="H331" s="140" t="s">
        <v>848</v>
      </c>
    </row>
    <row r="332" spans="1:8" ht="15.75" customHeight="1">
      <c r="A332" s="140" t="s">
        <v>54</v>
      </c>
      <c r="B332" s="140" t="s">
        <v>21</v>
      </c>
      <c r="C332" s="141" t="s">
        <v>155</v>
      </c>
      <c r="D332" s="140" t="s">
        <v>156</v>
      </c>
      <c r="E332" s="140">
        <v>7</v>
      </c>
      <c r="F332" s="142">
        <v>45769.375</v>
      </c>
      <c r="G332" s="140" t="s">
        <v>845</v>
      </c>
      <c r="H332" s="140" t="s">
        <v>848</v>
      </c>
    </row>
    <row r="333" spans="1:8" ht="15.75" customHeight="1">
      <c r="A333" s="140" t="s">
        <v>54</v>
      </c>
      <c r="B333" s="140" t="s">
        <v>21</v>
      </c>
      <c r="C333" s="141" t="s">
        <v>155</v>
      </c>
      <c r="D333" s="140" t="s">
        <v>156</v>
      </c>
      <c r="E333" s="140">
        <v>8</v>
      </c>
      <c r="F333" s="142">
        <v>45785.416666666672</v>
      </c>
      <c r="G333" s="140" t="s">
        <v>845</v>
      </c>
      <c r="H333" s="140" t="s">
        <v>848</v>
      </c>
    </row>
    <row r="334" spans="1:8" ht="15.75" customHeight="1">
      <c r="A334" s="140" t="s">
        <v>54</v>
      </c>
      <c r="B334" s="140" t="s">
        <v>21</v>
      </c>
      <c r="C334" s="141" t="s">
        <v>155</v>
      </c>
      <c r="D334" s="140" t="s">
        <v>156</v>
      </c>
      <c r="E334" s="140">
        <v>9</v>
      </c>
      <c r="F334" s="142">
        <v>45792.416666666672</v>
      </c>
      <c r="G334" s="140" t="s">
        <v>843</v>
      </c>
      <c r="H334" s="140" t="s">
        <v>848</v>
      </c>
    </row>
    <row r="335" spans="1:8" ht="15.75" customHeight="1">
      <c r="A335" s="140" t="s">
        <v>54</v>
      </c>
      <c r="B335" s="140" t="s">
        <v>21</v>
      </c>
      <c r="C335" s="141" t="s">
        <v>155</v>
      </c>
      <c r="D335" s="140" t="s">
        <v>156</v>
      </c>
      <c r="E335" s="140">
        <v>10</v>
      </c>
      <c r="F335" s="142">
        <v>45820.375</v>
      </c>
      <c r="G335" s="140" t="s">
        <v>845</v>
      </c>
      <c r="H335" s="140" t="s">
        <v>848</v>
      </c>
    </row>
    <row r="336" spans="1:8" ht="15.75" customHeight="1">
      <c r="A336" s="140" t="s">
        <v>54</v>
      </c>
      <c r="B336" s="140" t="s">
        <v>22</v>
      </c>
      <c r="C336" s="141" t="s">
        <v>155</v>
      </c>
      <c r="D336" s="140" t="s">
        <v>156</v>
      </c>
      <c r="E336" s="140">
        <v>1</v>
      </c>
      <c r="F336" s="142">
        <v>45869.583333333328</v>
      </c>
      <c r="G336" s="140" t="s">
        <v>845</v>
      </c>
      <c r="H336" s="140" t="s">
        <v>848</v>
      </c>
    </row>
    <row r="337" spans="1:8" ht="15.75" customHeight="1">
      <c r="A337" s="140" t="s">
        <v>54</v>
      </c>
      <c r="B337" s="140" t="s">
        <v>22</v>
      </c>
      <c r="C337" s="141" t="s">
        <v>155</v>
      </c>
      <c r="D337" s="140" t="s">
        <v>156</v>
      </c>
      <c r="E337" s="140">
        <v>2</v>
      </c>
      <c r="F337" s="142">
        <v>45881.375</v>
      </c>
      <c r="G337" s="140" t="s">
        <v>845</v>
      </c>
      <c r="H337" s="140" t="s">
        <v>848</v>
      </c>
    </row>
    <row r="338" spans="1:8" ht="15.75" customHeight="1">
      <c r="A338" s="140" t="s">
        <v>54</v>
      </c>
      <c r="B338" s="140" t="s">
        <v>22</v>
      </c>
      <c r="C338" s="141" t="s">
        <v>155</v>
      </c>
      <c r="D338" s="140" t="s">
        <v>156</v>
      </c>
      <c r="E338" s="140">
        <v>3</v>
      </c>
      <c r="F338" s="142">
        <v>45890.375</v>
      </c>
      <c r="G338" s="140" t="s">
        <v>843</v>
      </c>
      <c r="H338" s="140" t="s">
        <v>848</v>
      </c>
    </row>
    <row r="339" spans="1:8" ht="15.75" customHeight="1">
      <c r="A339" s="140" t="s">
        <v>54</v>
      </c>
      <c r="B339" s="140" t="s">
        <v>22</v>
      </c>
      <c r="C339" s="141" t="s">
        <v>155</v>
      </c>
      <c r="D339" s="140" t="s">
        <v>156</v>
      </c>
      <c r="E339" s="140">
        <v>4</v>
      </c>
      <c r="F339" s="142">
        <v>45897.625</v>
      </c>
      <c r="G339" s="140" t="s">
        <v>845</v>
      </c>
      <c r="H339" s="140" t="s">
        <v>848</v>
      </c>
    </row>
    <row r="340" spans="1:8" ht="15.75" customHeight="1">
      <c r="A340" s="140" t="s">
        <v>54</v>
      </c>
      <c r="B340" s="140" t="s">
        <v>22</v>
      </c>
      <c r="C340" s="141" t="s">
        <v>155</v>
      </c>
      <c r="D340" s="140" t="s">
        <v>156</v>
      </c>
      <c r="E340" s="140">
        <v>5</v>
      </c>
      <c r="F340" s="142">
        <v>45904.375</v>
      </c>
      <c r="G340" s="140" t="s">
        <v>843</v>
      </c>
      <c r="H340" s="140" t="s">
        <v>848</v>
      </c>
    </row>
    <row r="341" spans="1:8" ht="15.75" customHeight="1">
      <c r="A341" s="140" t="s">
        <v>54</v>
      </c>
      <c r="B341" s="140" t="s">
        <v>22</v>
      </c>
      <c r="C341" s="141" t="s">
        <v>155</v>
      </c>
      <c r="D341" s="140" t="s">
        <v>156</v>
      </c>
      <c r="E341" s="140">
        <v>6</v>
      </c>
      <c r="F341" s="142">
        <v>45909.375</v>
      </c>
      <c r="G341" s="140" t="s">
        <v>845</v>
      </c>
      <c r="H341" s="140" t="s">
        <v>848</v>
      </c>
    </row>
    <row r="342" spans="1:8" ht="15.75" customHeight="1">
      <c r="A342" s="140" t="s">
        <v>54</v>
      </c>
      <c r="B342" s="140" t="s">
        <v>22</v>
      </c>
      <c r="C342" s="141" t="s">
        <v>155</v>
      </c>
      <c r="D342" s="140" t="s">
        <v>156</v>
      </c>
      <c r="E342" s="140">
        <v>7</v>
      </c>
      <c r="F342" s="142">
        <v>45917.375</v>
      </c>
      <c r="G342" s="140" t="s">
        <v>845</v>
      </c>
      <c r="H342" s="140" t="s">
        <v>848</v>
      </c>
    </row>
    <row r="343" spans="1:8" ht="15.75" customHeight="1">
      <c r="A343" s="140" t="s">
        <v>54</v>
      </c>
      <c r="B343" s="140" t="s">
        <v>22</v>
      </c>
      <c r="C343" s="141" t="s">
        <v>155</v>
      </c>
      <c r="D343" s="140" t="s">
        <v>156</v>
      </c>
      <c r="E343" s="140">
        <v>8</v>
      </c>
      <c r="F343" s="142">
        <v>45923.375</v>
      </c>
      <c r="G343" s="140" t="s">
        <v>845</v>
      </c>
      <c r="H343" s="140" t="s">
        <v>848</v>
      </c>
    </row>
    <row r="344" spans="1:8" ht="15.75" customHeight="1">
      <c r="A344" s="140" t="s">
        <v>54</v>
      </c>
      <c r="B344" s="140" t="s">
        <v>22</v>
      </c>
      <c r="C344" s="141" t="s">
        <v>155</v>
      </c>
      <c r="D344" s="140" t="s">
        <v>156</v>
      </c>
      <c r="E344" s="140">
        <v>9</v>
      </c>
      <c r="F344" s="142">
        <v>45932.375</v>
      </c>
      <c r="G344" s="140" t="s">
        <v>843</v>
      </c>
      <c r="H344" s="140" t="s">
        <v>848</v>
      </c>
    </row>
    <row r="345" spans="1:8" ht="15.75" customHeight="1">
      <c r="A345" s="140" t="s">
        <v>54</v>
      </c>
      <c r="B345" s="140" t="s">
        <v>22</v>
      </c>
      <c r="C345" s="141" t="s">
        <v>155</v>
      </c>
      <c r="D345" s="140" t="s">
        <v>156</v>
      </c>
      <c r="E345" s="140">
        <v>10</v>
      </c>
      <c r="F345" s="142">
        <v>45939.375</v>
      </c>
      <c r="G345" s="140" t="s">
        <v>845</v>
      </c>
      <c r="H345" s="140" t="s">
        <v>848</v>
      </c>
    </row>
    <row r="346" spans="1:8" ht="15.75" customHeight="1">
      <c r="A346" s="140" t="s">
        <v>54</v>
      </c>
      <c r="B346" s="140" t="s">
        <v>22</v>
      </c>
      <c r="C346" s="141" t="s">
        <v>155</v>
      </c>
      <c r="D346" s="140" t="s">
        <v>156</v>
      </c>
      <c r="E346" s="140">
        <v>11</v>
      </c>
      <c r="F346" s="142">
        <v>45944.416666666672</v>
      </c>
      <c r="G346" s="140" t="s">
        <v>845</v>
      </c>
      <c r="H346" s="140" t="s">
        <v>848</v>
      </c>
    </row>
    <row r="347" spans="1:8" ht="15.75" customHeight="1">
      <c r="A347" s="140" t="s">
        <v>54</v>
      </c>
      <c r="B347" s="140" t="s">
        <v>22</v>
      </c>
      <c r="C347" s="141" t="s">
        <v>155</v>
      </c>
      <c r="D347" s="140" t="s">
        <v>156</v>
      </c>
      <c r="E347" s="140">
        <v>12</v>
      </c>
      <c r="F347" s="142">
        <v>45966.416666666672</v>
      </c>
      <c r="G347" s="140" t="s">
        <v>843</v>
      </c>
      <c r="H347" s="140" t="s">
        <v>848</v>
      </c>
    </row>
    <row r="348" spans="1:8" ht="15.75" customHeight="1">
      <c r="A348" s="140" t="s">
        <v>54</v>
      </c>
      <c r="B348" s="140" t="s">
        <v>22</v>
      </c>
      <c r="C348" s="141" t="s">
        <v>155</v>
      </c>
      <c r="D348" s="140" t="s">
        <v>156</v>
      </c>
      <c r="E348" s="140">
        <v>13</v>
      </c>
      <c r="F348" s="142">
        <v>46007.416666666672</v>
      </c>
      <c r="G348" s="140" t="s">
        <v>845</v>
      </c>
      <c r="H348" s="140" t="s">
        <v>848</v>
      </c>
    </row>
    <row r="349" spans="1:8" ht="15.75" customHeight="1">
      <c r="A349" s="140" t="s">
        <v>54</v>
      </c>
      <c r="B349" s="140" t="s">
        <v>22</v>
      </c>
      <c r="C349" s="141" t="s">
        <v>155</v>
      </c>
      <c r="D349" s="140" t="s">
        <v>156</v>
      </c>
      <c r="E349" s="140">
        <v>14</v>
      </c>
      <c r="F349" s="142">
        <v>46021.416666666672</v>
      </c>
      <c r="G349" s="140" t="s">
        <v>843</v>
      </c>
      <c r="H349" s="140" t="s">
        <v>848</v>
      </c>
    </row>
    <row r="350" spans="1:8" ht="15.75" customHeight="1">
      <c r="A350" s="140" t="s">
        <v>54</v>
      </c>
      <c r="B350" s="140" t="s">
        <v>22</v>
      </c>
      <c r="C350" s="141" t="s">
        <v>155</v>
      </c>
      <c r="D350" s="140" t="s">
        <v>156</v>
      </c>
      <c r="E350" s="140">
        <v>15</v>
      </c>
      <c r="F350" s="142">
        <v>46035.416666666672</v>
      </c>
      <c r="G350" s="140" t="s">
        <v>845</v>
      </c>
      <c r="H350" s="140" t="s">
        <v>848</v>
      </c>
    </row>
    <row r="351" spans="1:8" ht="15.75" customHeight="1">
      <c r="A351" s="140" t="s">
        <v>54</v>
      </c>
      <c r="B351" s="140" t="s">
        <v>22</v>
      </c>
      <c r="C351" s="141" t="s">
        <v>155</v>
      </c>
      <c r="D351" s="140" t="s">
        <v>156</v>
      </c>
      <c r="E351" s="140">
        <v>16</v>
      </c>
      <c r="F351" s="142">
        <v>46084.416666666672</v>
      </c>
      <c r="G351" s="140" t="s">
        <v>845</v>
      </c>
      <c r="H351" s="140" t="s">
        <v>848</v>
      </c>
    </row>
    <row r="352" spans="1:8" ht="15.75" customHeight="1">
      <c r="A352" s="140" t="s">
        <v>54</v>
      </c>
      <c r="B352" s="140" t="s">
        <v>21</v>
      </c>
      <c r="C352" s="141" t="s">
        <v>226</v>
      </c>
      <c r="D352" s="140" t="s">
        <v>227</v>
      </c>
      <c r="E352" s="140">
        <v>1</v>
      </c>
      <c r="F352" s="142">
        <v>45639.583333333328</v>
      </c>
      <c r="G352" s="140" t="s">
        <v>845</v>
      </c>
      <c r="H352" s="140" t="s">
        <v>848</v>
      </c>
    </row>
    <row r="353" spans="1:8" ht="15.75" customHeight="1">
      <c r="A353" s="140" t="s">
        <v>54</v>
      </c>
      <c r="B353" s="140" t="s">
        <v>21</v>
      </c>
      <c r="C353" s="141" t="s">
        <v>226</v>
      </c>
      <c r="D353" s="140" t="s">
        <v>227</v>
      </c>
      <c r="E353" s="140">
        <v>2</v>
      </c>
      <c r="F353" s="142">
        <v>45665.375</v>
      </c>
      <c r="G353" s="140" t="s">
        <v>845</v>
      </c>
      <c r="H353" s="140" t="s">
        <v>848</v>
      </c>
    </row>
    <row r="354" spans="1:8" ht="15.75" customHeight="1">
      <c r="A354" s="140" t="s">
        <v>54</v>
      </c>
      <c r="B354" s="140" t="s">
        <v>21</v>
      </c>
      <c r="C354" s="141" t="s">
        <v>226</v>
      </c>
      <c r="D354" s="140" t="s">
        <v>227</v>
      </c>
      <c r="E354" s="140">
        <v>3</v>
      </c>
      <c r="F354" s="142">
        <v>45679.416666666672</v>
      </c>
      <c r="G354" s="140" t="s">
        <v>845</v>
      </c>
      <c r="H354" s="140" t="s">
        <v>848</v>
      </c>
    </row>
    <row r="355" spans="1:8" ht="15.75" customHeight="1">
      <c r="A355" s="140" t="s">
        <v>54</v>
      </c>
      <c r="B355" s="140" t="s">
        <v>21</v>
      </c>
      <c r="C355" s="141" t="s">
        <v>226</v>
      </c>
      <c r="D355" s="140" t="s">
        <v>227</v>
      </c>
      <c r="E355" s="140">
        <v>4</v>
      </c>
      <c r="F355" s="142">
        <v>45709.375</v>
      </c>
      <c r="G355" s="140" t="s">
        <v>845</v>
      </c>
      <c r="H355" s="140" t="s">
        <v>848</v>
      </c>
    </row>
    <row r="356" spans="1:8" ht="15.75" customHeight="1">
      <c r="A356" s="140" t="s">
        <v>54</v>
      </c>
      <c r="B356" s="140" t="s">
        <v>21</v>
      </c>
      <c r="C356" s="141" t="s">
        <v>226</v>
      </c>
      <c r="D356" s="140" t="s">
        <v>227</v>
      </c>
      <c r="E356" s="140">
        <v>5</v>
      </c>
      <c r="F356" s="142">
        <v>45702.583333333328</v>
      </c>
      <c r="G356" s="140" t="s">
        <v>843</v>
      </c>
      <c r="H356" s="140" t="s">
        <v>848</v>
      </c>
    </row>
    <row r="357" spans="1:8" ht="15.75" customHeight="1">
      <c r="A357" s="140" t="s">
        <v>54</v>
      </c>
      <c r="B357" s="140" t="s">
        <v>21</v>
      </c>
      <c r="C357" s="141" t="s">
        <v>226</v>
      </c>
      <c r="D357" s="140" t="s">
        <v>227</v>
      </c>
      <c r="E357" s="140">
        <v>6</v>
      </c>
      <c r="F357" s="142">
        <v>45764.375</v>
      </c>
      <c r="G357" s="140" t="s">
        <v>843</v>
      </c>
      <c r="H357" s="140" t="s">
        <v>848</v>
      </c>
    </row>
    <row r="358" spans="1:8" ht="15.75" customHeight="1">
      <c r="A358" s="140" t="s">
        <v>54</v>
      </c>
      <c r="B358" s="140" t="s">
        <v>21</v>
      </c>
      <c r="C358" s="141" t="s">
        <v>226</v>
      </c>
      <c r="D358" s="140" t="s">
        <v>227</v>
      </c>
      <c r="E358" s="140">
        <v>7</v>
      </c>
      <c r="F358" s="142">
        <v>45769.375</v>
      </c>
      <c r="G358" s="140" t="s">
        <v>845</v>
      </c>
      <c r="H358" s="140" t="s">
        <v>848</v>
      </c>
    </row>
    <row r="359" spans="1:8" ht="15.75" customHeight="1">
      <c r="A359" s="140" t="s">
        <v>54</v>
      </c>
      <c r="B359" s="140" t="s">
        <v>21</v>
      </c>
      <c r="C359" s="141" t="s">
        <v>226</v>
      </c>
      <c r="D359" s="140" t="s">
        <v>227</v>
      </c>
      <c r="E359" s="140">
        <v>8</v>
      </c>
      <c r="F359" s="142">
        <v>45764.375</v>
      </c>
      <c r="G359" s="140" t="s">
        <v>843</v>
      </c>
      <c r="H359" s="140" t="s">
        <v>848</v>
      </c>
    </row>
    <row r="360" spans="1:8" ht="15.75" customHeight="1">
      <c r="A360" s="140" t="s">
        <v>54</v>
      </c>
      <c r="B360" s="140" t="s">
        <v>21</v>
      </c>
      <c r="C360" s="141" t="s">
        <v>226</v>
      </c>
      <c r="D360" s="140" t="s">
        <v>227</v>
      </c>
      <c r="E360" s="140">
        <v>9</v>
      </c>
      <c r="F360" s="142">
        <v>45792.416666666672</v>
      </c>
      <c r="G360" s="140" t="s">
        <v>845</v>
      </c>
      <c r="H360" s="140" t="s">
        <v>848</v>
      </c>
    </row>
    <row r="361" spans="1:8" ht="15.75" customHeight="1">
      <c r="A361" s="140" t="s">
        <v>54</v>
      </c>
      <c r="B361" s="140" t="s">
        <v>21</v>
      </c>
      <c r="C361" s="141" t="s">
        <v>226</v>
      </c>
      <c r="D361" s="140" t="s">
        <v>227</v>
      </c>
      <c r="E361" s="140">
        <v>10</v>
      </c>
      <c r="F361" s="142">
        <v>45820.375</v>
      </c>
      <c r="G361" s="140" t="s">
        <v>845</v>
      </c>
      <c r="H361" s="140" t="s">
        <v>848</v>
      </c>
    </row>
    <row r="362" spans="1:8" ht="15.75" customHeight="1">
      <c r="A362" s="140" t="s">
        <v>54</v>
      </c>
      <c r="B362" s="140" t="s">
        <v>22</v>
      </c>
      <c r="C362" s="141" t="s">
        <v>226</v>
      </c>
      <c r="D362" s="140" t="s">
        <v>227</v>
      </c>
      <c r="E362" s="140">
        <v>1</v>
      </c>
      <c r="F362" s="142">
        <v>45869.583333333328</v>
      </c>
      <c r="G362" s="140" t="s">
        <v>845</v>
      </c>
      <c r="H362" s="140" t="s">
        <v>848</v>
      </c>
    </row>
    <row r="363" spans="1:8" ht="15.75" customHeight="1">
      <c r="A363" s="140" t="s">
        <v>54</v>
      </c>
      <c r="B363" s="140" t="s">
        <v>22</v>
      </c>
      <c r="C363" s="141" t="s">
        <v>226</v>
      </c>
      <c r="D363" s="140" t="s">
        <v>227</v>
      </c>
      <c r="E363" s="140">
        <v>2</v>
      </c>
      <c r="F363" s="142">
        <v>45881.375</v>
      </c>
      <c r="G363" s="140" t="s">
        <v>845</v>
      </c>
      <c r="H363" s="140" t="s">
        <v>848</v>
      </c>
    </row>
    <row r="364" spans="1:8" ht="15.75" customHeight="1">
      <c r="A364" s="140" t="s">
        <v>54</v>
      </c>
      <c r="B364" s="140" t="s">
        <v>22</v>
      </c>
      <c r="C364" s="141" t="s">
        <v>226</v>
      </c>
      <c r="D364" s="140" t="s">
        <v>227</v>
      </c>
      <c r="E364" s="140">
        <v>3</v>
      </c>
      <c r="F364" s="142">
        <v>45890.375</v>
      </c>
      <c r="G364" s="140" t="s">
        <v>843</v>
      </c>
      <c r="H364" s="140" t="s">
        <v>848</v>
      </c>
    </row>
    <row r="365" spans="1:8" ht="15.75" customHeight="1">
      <c r="A365" s="140" t="s">
        <v>54</v>
      </c>
      <c r="B365" s="140" t="s">
        <v>22</v>
      </c>
      <c r="C365" s="141" t="s">
        <v>226</v>
      </c>
      <c r="D365" s="140" t="s">
        <v>227</v>
      </c>
      <c r="E365" s="140">
        <v>4</v>
      </c>
      <c r="F365" s="142">
        <v>45897.625</v>
      </c>
      <c r="G365" s="140" t="s">
        <v>843</v>
      </c>
      <c r="H365" s="140" t="s">
        <v>848</v>
      </c>
    </row>
    <row r="366" spans="1:8" ht="15.75" customHeight="1">
      <c r="A366" s="140" t="s">
        <v>54</v>
      </c>
      <c r="B366" s="140" t="s">
        <v>22</v>
      </c>
      <c r="C366" s="141" t="s">
        <v>226</v>
      </c>
      <c r="D366" s="140" t="s">
        <v>227</v>
      </c>
      <c r="E366" s="140">
        <v>5</v>
      </c>
      <c r="F366" s="142">
        <v>45904.375</v>
      </c>
      <c r="G366" s="140" t="s">
        <v>845</v>
      </c>
      <c r="H366" s="140" t="s">
        <v>848</v>
      </c>
    </row>
    <row r="367" spans="1:8" ht="15.75" customHeight="1">
      <c r="A367" s="140" t="s">
        <v>54</v>
      </c>
      <c r="B367" s="140" t="s">
        <v>22</v>
      </c>
      <c r="C367" s="141" t="s">
        <v>226</v>
      </c>
      <c r="D367" s="140" t="s">
        <v>227</v>
      </c>
      <c r="E367" s="140">
        <v>6</v>
      </c>
      <c r="F367" s="142">
        <v>45909.375</v>
      </c>
      <c r="G367" s="140" t="s">
        <v>845</v>
      </c>
      <c r="H367" s="140" t="s">
        <v>848</v>
      </c>
    </row>
    <row r="368" spans="1:8" ht="15.75" customHeight="1">
      <c r="A368" s="140" t="s">
        <v>54</v>
      </c>
      <c r="B368" s="140" t="s">
        <v>22</v>
      </c>
      <c r="C368" s="141" t="s">
        <v>226</v>
      </c>
      <c r="D368" s="140" t="s">
        <v>227</v>
      </c>
      <c r="E368" s="140">
        <v>7</v>
      </c>
      <c r="F368" s="142">
        <v>45917.375</v>
      </c>
      <c r="G368" s="140" t="s">
        <v>845</v>
      </c>
      <c r="H368" s="140" t="s">
        <v>848</v>
      </c>
    </row>
    <row r="369" spans="1:8" ht="15.75" customHeight="1">
      <c r="A369" s="140" t="s">
        <v>54</v>
      </c>
      <c r="B369" s="140" t="s">
        <v>22</v>
      </c>
      <c r="C369" s="141" t="s">
        <v>226</v>
      </c>
      <c r="D369" s="140" t="s">
        <v>227</v>
      </c>
      <c r="E369" s="140">
        <v>8</v>
      </c>
      <c r="F369" s="142">
        <v>45923.375</v>
      </c>
      <c r="G369" s="140" t="s">
        <v>845</v>
      </c>
      <c r="H369" s="140" t="s">
        <v>848</v>
      </c>
    </row>
    <row r="370" spans="1:8" ht="15.75" customHeight="1">
      <c r="A370" s="140" t="s">
        <v>54</v>
      </c>
      <c r="B370" s="140" t="s">
        <v>22</v>
      </c>
      <c r="C370" s="141" t="s">
        <v>226</v>
      </c>
      <c r="D370" s="140" t="s">
        <v>227</v>
      </c>
      <c r="E370" s="140">
        <v>9</v>
      </c>
      <c r="F370" s="142">
        <v>45932.375</v>
      </c>
      <c r="G370" s="140" t="s">
        <v>845</v>
      </c>
      <c r="H370" s="140" t="s">
        <v>848</v>
      </c>
    </row>
    <row r="371" spans="1:8" ht="15.75" customHeight="1">
      <c r="A371" s="140" t="s">
        <v>54</v>
      </c>
      <c r="B371" s="140" t="s">
        <v>22</v>
      </c>
      <c r="C371" s="141" t="s">
        <v>226</v>
      </c>
      <c r="D371" s="140" t="s">
        <v>227</v>
      </c>
      <c r="E371" s="140">
        <v>10</v>
      </c>
      <c r="F371" s="142">
        <v>45939.375</v>
      </c>
      <c r="G371" s="140" t="s">
        <v>845</v>
      </c>
      <c r="H371" s="140" t="s">
        <v>848</v>
      </c>
    </row>
    <row r="372" spans="1:8" ht="15.75" customHeight="1">
      <c r="A372" s="140" t="s">
        <v>54</v>
      </c>
      <c r="B372" s="140" t="s">
        <v>22</v>
      </c>
      <c r="C372" s="141" t="s">
        <v>226</v>
      </c>
      <c r="D372" s="140" t="s">
        <v>227</v>
      </c>
      <c r="E372" s="140">
        <v>11</v>
      </c>
      <c r="F372" s="142">
        <v>45944.416666666672</v>
      </c>
      <c r="G372" s="140" t="s">
        <v>845</v>
      </c>
      <c r="H372" s="140" t="s">
        <v>848</v>
      </c>
    </row>
    <row r="373" spans="1:8" ht="15.75" customHeight="1">
      <c r="A373" s="140" t="s">
        <v>54</v>
      </c>
      <c r="B373" s="140" t="s">
        <v>22</v>
      </c>
      <c r="C373" s="141" t="s">
        <v>226</v>
      </c>
      <c r="D373" s="140" t="s">
        <v>227</v>
      </c>
      <c r="E373" s="140">
        <v>12</v>
      </c>
      <c r="F373" s="142">
        <v>45966.416666666672</v>
      </c>
      <c r="G373" s="140" t="s">
        <v>843</v>
      </c>
      <c r="H373" s="140" t="s">
        <v>848</v>
      </c>
    </row>
    <row r="374" spans="1:8" ht="15.75" customHeight="1">
      <c r="A374" s="140" t="s">
        <v>54</v>
      </c>
      <c r="B374" s="140" t="s">
        <v>22</v>
      </c>
      <c r="C374" s="141" t="s">
        <v>226</v>
      </c>
      <c r="D374" s="140" t="s">
        <v>227</v>
      </c>
      <c r="E374" s="140">
        <v>13</v>
      </c>
      <c r="F374" s="142">
        <v>46007.416666666672</v>
      </c>
      <c r="G374" s="140" t="s">
        <v>843</v>
      </c>
      <c r="H374" s="140" t="s">
        <v>848</v>
      </c>
    </row>
    <row r="375" spans="1:8" ht="15.75" customHeight="1">
      <c r="A375" s="140" t="s">
        <v>54</v>
      </c>
      <c r="B375" s="140" t="s">
        <v>22</v>
      </c>
      <c r="C375" s="141" t="s">
        <v>226</v>
      </c>
      <c r="D375" s="140" t="s">
        <v>227</v>
      </c>
      <c r="E375" s="140">
        <v>14</v>
      </c>
      <c r="F375" s="142">
        <v>46021.416666666672</v>
      </c>
      <c r="G375" s="140" t="s">
        <v>845</v>
      </c>
      <c r="H375" s="140" t="s">
        <v>848</v>
      </c>
    </row>
    <row r="376" spans="1:8" ht="15.75" customHeight="1">
      <c r="A376" s="140" t="s">
        <v>54</v>
      </c>
      <c r="B376" s="140" t="s">
        <v>22</v>
      </c>
      <c r="C376" s="141" t="s">
        <v>226</v>
      </c>
      <c r="D376" s="140" t="s">
        <v>227</v>
      </c>
      <c r="E376" s="140">
        <v>15</v>
      </c>
      <c r="F376" s="142">
        <v>46035.416666666672</v>
      </c>
      <c r="G376" s="140" t="s">
        <v>845</v>
      </c>
      <c r="H376" s="140" t="s">
        <v>848</v>
      </c>
    </row>
    <row r="377" spans="1:8" ht="15.75" customHeight="1">
      <c r="A377" s="140" t="s">
        <v>54</v>
      </c>
      <c r="B377" s="140" t="s">
        <v>22</v>
      </c>
      <c r="C377" s="141" t="s">
        <v>226</v>
      </c>
      <c r="D377" s="140" t="s">
        <v>227</v>
      </c>
      <c r="E377" s="140">
        <v>16</v>
      </c>
      <c r="F377" s="142">
        <v>46084.416666666672</v>
      </c>
      <c r="G377" s="140" t="s">
        <v>845</v>
      </c>
      <c r="H377" s="140" t="s">
        <v>848</v>
      </c>
    </row>
    <row r="378" spans="1:8" ht="15.75" customHeight="1">
      <c r="A378" s="140" t="s">
        <v>54</v>
      </c>
      <c r="B378" s="140" t="s">
        <v>21</v>
      </c>
      <c r="C378" s="141" t="s">
        <v>245</v>
      </c>
      <c r="D378" s="140" t="s">
        <v>246</v>
      </c>
      <c r="E378" s="140">
        <v>1</v>
      </c>
      <c r="F378" s="142">
        <v>45639.583333333328</v>
      </c>
      <c r="G378" s="140" t="s">
        <v>845</v>
      </c>
      <c r="H378" s="140" t="s">
        <v>848</v>
      </c>
    </row>
    <row r="379" spans="1:8" ht="15.75" customHeight="1">
      <c r="A379" s="140" t="s">
        <v>54</v>
      </c>
      <c r="B379" s="140" t="s">
        <v>21</v>
      </c>
      <c r="C379" s="141" t="s">
        <v>245</v>
      </c>
      <c r="D379" s="140" t="s">
        <v>246</v>
      </c>
      <c r="E379" s="140">
        <v>2</v>
      </c>
      <c r="F379" s="142">
        <v>45672.416666666672</v>
      </c>
      <c r="G379" s="140" t="s">
        <v>845</v>
      </c>
      <c r="H379" s="140" t="s">
        <v>848</v>
      </c>
    </row>
    <row r="380" spans="1:8" ht="15.75" customHeight="1">
      <c r="A380" s="140" t="s">
        <v>54</v>
      </c>
      <c r="B380" s="140" t="s">
        <v>21</v>
      </c>
      <c r="C380" s="141" t="s">
        <v>245</v>
      </c>
      <c r="D380" s="140" t="s">
        <v>246</v>
      </c>
      <c r="E380" s="140">
        <v>3</v>
      </c>
      <c r="F380" s="142">
        <v>45702.583333333328</v>
      </c>
      <c r="G380" s="140" t="s">
        <v>845</v>
      </c>
      <c r="H380" s="140" t="s">
        <v>848</v>
      </c>
    </row>
    <row r="381" spans="1:8" ht="15.75" customHeight="1">
      <c r="A381" s="140" t="s">
        <v>54</v>
      </c>
      <c r="B381" s="140" t="s">
        <v>21</v>
      </c>
      <c r="C381" s="141" t="s">
        <v>245</v>
      </c>
      <c r="D381" s="140" t="s">
        <v>246</v>
      </c>
      <c r="E381" s="140">
        <v>4</v>
      </c>
      <c r="F381" s="142">
        <v>45709.375</v>
      </c>
      <c r="G381" s="140" t="s">
        <v>845</v>
      </c>
      <c r="H381" s="140" t="s">
        <v>848</v>
      </c>
    </row>
    <row r="382" spans="1:8" ht="15.75" customHeight="1">
      <c r="A382" s="140" t="s">
        <v>54</v>
      </c>
      <c r="B382" s="140" t="s">
        <v>21</v>
      </c>
      <c r="C382" s="141" t="s">
        <v>245</v>
      </c>
      <c r="D382" s="140" t="s">
        <v>246</v>
      </c>
      <c r="E382" s="140">
        <v>5</v>
      </c>
      <c r="F382" s="142">
        <v>45716.375</v>
      </c>
      <c r="G382" s="140" t="s">
        <v>845</v>
      </c>
      <c r="H382" s="140" t="s">
        <v>848</v>
      </c>
    </row>
    <row r="383" spans="1:8" ht="15.75" customHeight="1">
      <c r="A383" s="140" t="s">
        <v>54</v>
      </c>
      <c r="B383" s="140" t="s">
        <v>21</v>
      </c>
      <c r="C383" s="141" t="s">
        <v>245</v>
      </c>
      <c r="D383" s="140" t="s">
        <v>246</v>
      </c>
      <c r="E383" s="140">
        <v>6</v>
      </c>
      <c r="F383" s="142">
        <v>45764.375</v>
      </c>
      <c r="G383" s="140" t="s">
        <v>845</v>
      </c>
      <c r="H383" s="140" t="s">
        <v>848</v>
      </c>
    </row>
    <row r="384" spans="1:8" ht="15.75" customHeight="1">
      <c r="A384" s="140" t="s">
        <v>54</v>
      </c>
      <c r="B384" s="140" t="s">
        <v>21</v>
      </c>
      <c r="C384" s="141" t="s">
        <v>245</v>
      </c>
      <c r="D384" s="140" t="s">
        <v>246</v>
      </c>
      <c r="E384" s="140">
        <v>7</v>
      </c>
      <c r="F384" s="142">
        <v>45769.375</v>
      </c>
      <c r="G384" s="140" t="s">
        <v>845</v>
      </c>
      <c r="H384" s="140" t="s">
        <v>848</v>
      </c>
    </row>
    <row r="385" spans="1:8" ht="15.75" customHeight="1">
      <c r="A385" s="140" t="s">
        <v>54</v>
      </c>
      <c r="B385" s="140" t="s">
        <v>21</v>
      </c>
      <c r="C385" s="141" t="s">
        <v>245</v>
      </c>
      <c r="D385" s="140" t="s">
        <v>246</v>
      </c>
      <c r="E385" s="140">
        <v>8</v>
      </c>
      <c r="F385" s="142">
        <v>45785.416666666672</v>
      </c>
      <c r="G385" s="140" t="s">
        <v>845</v>
      </c>
      <c r="H385" s="140" t="s">
        <v>848</v>
      </c>
    </row>
    <row r="386" spans="1:8" ht="15.75" customHeight="1">
      <c r="A386" s="140" t="s">
        <v>54</v>
      </c>
      <c r="B386" s="140" t="s">
        <v>21</v>
      </c>
      <c r="C386" s="141" t="s">
        <v>245</v>
      </c>
      <c r="D386" s="140" t="s">
        <v>246</v>
      </c>
      <c r="E386" s="140">
        <v>9</v>
      </c>
      <c r="F386" s="142">
        <v>45792.416666666672</v>
      </c>
      <c r="G386" s="140" t="s">
        <v>845</v>
      </c>
      <c r="H386" s="140" t="s">
        <v>848</v>
      </c>
    </row>
    <row r="387" spans="1:8" ht="15.75" customHeight="1">
      <c r="A387" s="140" t="s">
        <v>54</v>
      </c>
      <c r="B387" s="140" t="s">
        <v>21</v>
      </c>
      <c r="C387" s="141" t="s">
        <v>245</v>
      </c>
      <c r="D387" s="140" t="s">
        <v>246</v>
      </c>
      <c r="E387" s="140">
        <v>10</v>
      </c>
      <c r="F387" s="142">
        <v>45820.375</v>
      </c>
      <c r="G387" s="140" t="s">
        <v>845</v>
      </c>
      <c r="H387" s="140" t="s">
        <v>848</v>
      </c>
    </row>
    <row r="388" spans="1:8" ht="15.75" customHeight="1">
      <c r="A388" s="140" t="s">
        <v>54</v>
      </c>
      <c r="B388" s="140" t="s">
        <v>22</v>
      </c>
      <c r="C388" s="141" t="s">
        <v>245</v>
      </c>
      <c r="D388" s="140" t="s">
        <v>246</v>
      </c>
      <c r="E388" s="140">
        <v>1</v>
      </c>
      <c r="F388" s="142">
        <v>45869.583333333328</v>
      </c>
      <c r="G388" s="140" t="s">
        <v>845</v>
      </c>
      <c r="H388" s="140" t="s">
        <v>848</v>
      </c>
    </row>
    <row r="389" spans="1:8" ht="15.75" customHeight="1">
      <c r="A389" s="140" t="s">
        <v>54</v>
      </c>
      <c r="B389" s="140" t="s">
        <v>22</v>
      </c>
      <c r="C389" s="141" t="s">
        <v>245</v>
      </c>
      <c r="D389" s="140" t="s">
        <v>246</v>
      </c>
      <c r="E389" s="140">
        <v>2</v>
      </c>
      <c r="F389" s="142">
        <v>45881.375</v>
      </c>
      <c r="G389" s="140" t="s">
        <v>845</v>
      </c>
      <c r="H389" s="140" t="s">
        <v>848</v>
      </c>
    </row>
    <row r="390" spans="1:8" ht="15.75" customHeight="1">
      <c r="A390" s="140" t="s">
        <v>54</v>
      </c>
      <c r="B390" s="140" t="s">
        <v>22</v>
      </c>
      <c r="C390" s="141" t="s">
        <v>245</v>
      </c>
      <c r="D390" s="140" t="s">
        <v>246</v>
      </c>
      <c r="E390" s="140">
        <v>3</v>
      </c>
      <c r="F390" s="142">
        <v>45890.375</v>
      </c>
      <c r="G390" s="140" t="s">
        <v>845</v>
      </c>
      <c r="H390" s="140" t="s">
        <v>848</v>
      </c>
    </row>
    <row r="391" spans="1:8" ht="15.75" customHeight="1">
      <c r="A391" s="140" t="s">
        <v>54</v>
      </c>
      <c r="B391" s="140" t="s">
        <v>22</v>
      </c>
      <c r="C391" s="141" t="s">
        <v>245</v>
      </c>
      <c r="D391" s="140" t="s">
        <v>246</v>
      </c>
      <c r="E391" s="140">
        <v>4</v>
      </c>
      <c r="F391" s="142">
        <v>45897.625</v>
      </c>
      <c r="G391" s="140" t="s">
        <v>845</v>
      </c>
      <c r="H391" s="140" t="s">
        <v>848</v>
      </c>
    </row>
    <row r="392" spans="1:8" ht="15.75" customHeight="1">
      <c r="A392" s="140" t="s">
        <v>54</v>
      </c>
      <c r="B392" s="140" t="s">
        <v>22</v>
      </c>
      <c r="C392" s="141" t="s">
        <v>245</v>
      </c>
      <c r="D392" s="140" t="s">
        <v>246</v>
      </c>
      <c r="E392" s="140">
        <v>5</v>
      </c>
      <c r="F392" s="142">
        <v>45904.375</v>
      </c>
      <c r="G392" s="140" t="s">
        <v>843</v>
      </c>
      <c r="H392" s="140" t="s">
        <v>848</v>
      </c>
    </row>
    <row r="393" spans="1:8" ht="15.75" customHeight="1">
      <c r="A393" s="140" t="s">
        <v>54</v>
      </c>
      <c r="B393" s="140" t="s">
        <v>22</v>
      </c>
      <c r="C393" s="141" t="s">
        <v>245</v>
      </c>
      <c r="D393" s="140" t="s">
        <v>246</v>
      </c>
      <c r="E393" s="140">
        <v>6</v>
      </c>
      <c r="F393" s="142">
        <v>45909.375</v>
      </c>
      <c r="G393" s="140" t="s">
        <v>845</v>
      </c>
      <c r="H393" s="140" t="s">
        <v>848</v>
      </c>
    </row>
    <row r="394" spans="1:8" ht="15.75" customHeight="1">
      <c r="A394" s="140" t="s">
        <v>54</v>
      </c>
      <c r="B394" s="140" t="s">
        <v>22</v>
      </c>
      <c r="C394" s="141" t="s">
        <v>245</v>
      </c>
      <c r="D394" s="140" t="s">
        <v>246</v>
      </c>
      <c r="E394" s="140">
        <v>7</v>
      </c>
      <c r="F394" s="142">
        <v>45917.375</v>
      </c>
      <c r="G394" s="140" t="s">
        <v>845</v>
      </c>
      <c r="H394" s="140" t="s">
        <v>848</v>
      </c>
    </row>
    <row r="395" spans="1:8" ht="15.75" customHeight="1">
      <c r="A395" s="140" t="s">
        <v>54</v>
      </c>
      <c r="B395" s="140" t="s">
        <v>22</v>
      </c>
      <c r="C395" s="141" t="s">
        <v>245</v>
      </c>
      <c r="D395" s="140" t="s">
        <v>246</v>
      </c>
      <c r="E395" s="140">
        <v>8</v>
      </c>
      <c r="F395" s="142">
        <v>45923.375</v>
      </c>
      <c r="G395" s="140" t="s">
        <v>845</v>
      </c>
      <c r="H395" s="140" t="s">
        <v>848</v>
      </c>
    </row>
    <row r="396" spans="1:8" ht="15.75" customHeight="1">
      <c r="A396" s="140" t="s">
        <v>54</v>
      </c>
      <c r="B396" s="140" t="s">
        <v>22</v>
      </c>
      <c r="C396" s="141" t="s">
        <v>245</v>
      </c>
      <c r="D396" s="140" t="s">
        <v>246</v>
      </c>
      <c r="E396" s="140">
        <v>9</v>
      </c>
      <c r="F396" s="142">
        <v>45932.375</v>
      </c>
      <c r="G396" s="140" t="s">
        <v>845</v>
      </c>
      <c r="H396" s="140" t="s">
        <v>848</v>
      </c>
    </row>
    <row r="397" spans="1:8" ht="15.75" customHeight="1">
      <c r="A397" s="140" t="s">
        <v>54</v>
      </c>
      <c r="B397" s="140" t="s">
        <v>22</v>
      </c>
      <c r="C397" s="141" t="s">
        <v>245</v>
      </c>
      <c r="D397" s="140" t="s">
        <v>246</v>
      </c>
      <c r="E397" s="140">
        <v>10</v>
      </c>
      <c r="F397" s="142">
        <v>45939.375</v>
      </c>
      <c r="G397" s="140" t="s">
        <v>845</v>
      </c>
      <c r="H397" s="140" t="s">
        <v>848</v>
      </c>
    </row>
    <row r="398" spans="1:8" ht="15.75" customHeight="1">
      <c r="A398" s="140" t="s">
        <v>54</v>
      </c>
      <c r="B398" s="140" t="s">
        <v>22</v>
      </c>
      <c r="C398" s="141" t="s">
        <v>245</v>
      </c>
      <c r="D398" s="140" t="s">
        <v>246</v>
      </c>
      <c r="E398" s="140">
        <v>11</v>
      </c>
      <c r="F398" s="142">
        <v>45944.416666666672</v>
      </c>
      <c r="G398" s="140" t="s">
        <v>845</v>
      </c>
      <c r="H398" s="140" t="s">
        <v>848</v>
      </c>
    </row>
    <row r="399" spans="1:8" ht="15.75" customHeight="1">
      <c r="A399" s="140" t="s">
        <v>54</v>
      </c>
      <c r="B399" s="140" t="s">
        <v>22</v>
      </c>
      <c r="C399" s="141" t="s">
        <v>245</v>
      </c>
      <c r="D399" s="140" t="s">
        <v>246</v>
      </c>
      <c r="E399" s="140">
        <v>12</v>
      </c>
      <c r="F399" s="142">
        <v>45966.416666666672</v>
      </c>
      <c r="G399" s="140" t="s">
        <v>845</v>
      </c>
      <c r="H399" s="140" t="s">
        <v>848</v>
      </c>
    </row>
    <row r="400" spans="1:8" ht="15.75" customHeight="1">
      <c r="A400" s="140" t="s">
        <v>54</v>
      </c>
      <c r="B400" s="140" t="s">
        <v>22</v>
      </c>
      <c r="C400" s="141" t="s">
        <v>245</v>
      </c>
      <c r="D400" s="140" t="s">
        <v>246</v>
      </c>
      <c r="E400" s="140">
        <v>13</v>
      </c>
      <c r="F400" s="142">
        <v>46007.416666666672</v>
      </c>
      <c r="G400" s="140" t="s">
        <v>845</v>
      </c>
      <c r="H400" s="140" t="s">
        <v>848</v>
      </c>
    </row>
    <row r="401" spans="1:8" ht="15.75" customHeight="1">
      <c r="A401" s="140" t="s">
        <v>54</v>
      </c>
      <c r="B401" s="140" t="s">
        <v>22</v>
      </c>
      <c r="C401" s="141" t="s">
        <v>245</v>
      </c>
      <c r="D401" s="140" t="s">
        <v>246</v>
      </c>
      <c r="E401" s="140">
        <v>14</v>
      </c>
      <c r="F401" s="142">
        <v>46021.416666666672</v>
      </c>
      <c r="G401" s="140" t="s">
        <v>845</v>
      </c>
      <c r="H401" s="140" t="s">
        <v>848</v>
      </c>
    </row>
    <row r="402" spans="1:8" ht="15.75" customHeight="1">
      <c r="A402" s="140" t="s">
        <v>54</v>
      </c>
      <c r="B402" s="140" t="s">
        <v>22</v>
      </c>
      <c r="C402" s="141" t="s">
        <v>245</v>
      </c>
      <c r="D402" s="140" t="s">
        <v>246</v>
      </c>
      <c r="E402" s="140">
        <v>15</v>
      </c>
      <c r="F402" s="142">
        <v>46035.416666666672</v>
      </c>
      <c r="G402" s="140" t="s">
        <v>845</v>
      </c>
      <c r="H402" s="140" t="s">
        <v>848</v>
      </c>
    </row>
    <row r="403" spans="1:8" ht="15.75" customHeight="1">
      <c r="A403" s="140" t="s">
        <v>54</v>
      </c>
      <c r="B403" s="140" t="s">
        <v>22</v>
      </c>
      <c r="C403" s="141" t="s">
        <v>245</v>
      </c>
      <c r="D403" s="140" t="s">
        <v>246</v>
      </c>
      <c r="E403" s="140">
        <v>16</v>
      </c>
      <c r="F403" s="142">
        <v>46084.416666666672</v>
      </c>
      <c r="G403" s="140" t="s">
        <v>845</v>
      </c>
      <c r="H403" s="140" t="s">
        <v>848</v>
      </c>
    </row>
    <row r="404" spans="1:8" ht="15.75" customHeight="1">
      <c r="A404" s="140" t="s">
        <v>54</v>
      </c>
      <c r="B404" s="140" t="s">
        <v>21</v>
      </c>
      <c r="C404" s="141" t="s">
        <v>352</v>
      </c>
      <c r="D404" s="140" t="s">
        <v>353</v>
      </c>
      <c r="E404" s="140">
        <v>1</v>
      </c>
      <c r="F404" s="142">
        <v>45639.583333333328</v>
      </c>
      <c r="G404" s="140" t="s">
        <v>845</v>
      </c>
      <c r="H404" s="140" t="s">
        <v>848</v>
      </c>
    </row>
    <row r="405" spans="1:8" ht="15.75" customHeight="1">
      <c r="A405" s="140" t="s">
        <v>54</v>
      </c>
      <c r="B405" s="140" t="s">
        <v>21</v>
      </c>
      <c r="C405" s="141" t="s">
        <v>352</v>
      </c>
      <c r="D405" s="140" t="s">
        <v>353</v>
      </c>
      <c r="E405" s="140">
        <v>2</v>
      </c>
      <c r="F405" s="142">
        <v>45672.416666666672</v>
      </c>
      <c r="G405" s="140" t="s">
        <v>845</v>
      </c>
      <c r="H405" s="140" t="s">
        <v>848</v>
      </c>
    </row>
    <row r="406" spans="1:8" ht="15.75" customHeight="1">
      <c r="A406" s="140" t="s">
        <v>54</v>
      </c>
      <c r="B406" s="140" t="s">
        <v>21</v>
      </c>
      <c r="C406" s="141" t="s">
        <v>352</v>
      </c>
      <c r="D406" s="140" t="s">
        <v>353</v>
      </c>
      <c r="E406" s="140">
        <v>3</v>
      </c>
      <c r="F406" s="142">
        <v>45702.583333333328</v>
      </c>
      <c r="G406" s="140" t="s">
        <v>845</v>
      </c>
      <c r="H406" s="140" t="s">
        <v>848</v>
      </c>
    </row>
    <row r="407" spans="1:8" ht="15.75" customHeight="1">
      <c r="A407" s="140" t="s">
        <v>54</v>
      </c>
      <c r="B407" s="140" t="s">
        <v>21</v>
      </c>
      <c r="C407" s="141" t="s">
        <v>352</v>
      </c>
      <c r="D407" s="140" t="s">
        <v>353</v>
      </c>
      <c r="E407" s="140">
        <v>4</v>
      </c>
      <c r="F407" s="142">
        <v>45709.375</v>
      </c>
      <c r="G407" s="140" t="s">
        <v>845</v>
      </c>
      <c r="H407" s="140" t="s">
        <v>848</v>
      </c>
    </row>
    <row r="408" spans="1:8" ht="15.75" customHeight="1">
      <c r="A408" s="140" t="s">
        <v>54</v>
      </c>
      <c r="B408" s="140" t="s">
        <v>21</v>
      </c>
      <c r="C408" s="141" t="s">
        <v>352</v>
      </c>
      <c r="D408" s="140" t="s">
        <v>353</v>
      </c>
      <c r="E408" s="140">
        <v>5</v>
      </c>
      <c r="F408" s="142">
        <v>45716.375</v>
      </c>
      <c r="G408" s="140" t="s">
        <v>845</v>
      </c>
      <c r="H408" s="140" t="s">
        <v>848</v>
      </c>
    </row>
    <row r="409" spans="1:8" ht="15.75" customHeight="1">
      <c r="A409" s="140" t="s">
        <v>54</v>
      </c>
      <c r="B409" s="140" t="s">
        <v>21</v>
      </c>
      <c r="C409" s="141" t="s">
        <v>352</v>
      </c>
      <c r="D409" s="140" t="s">
        <v>353</v>
      </c>
      <c r="E409" s="140">
        <v>6</v>
      </c>
      <c r="F409" s="142">
        <v>45764.375</v>
      </c>
      <c r="G409" s="140" t="s">
        <v>845</v>
      </c>
      <c r="H409" s="140" t="s">
        <v>848</v>
      </c>
    </row>
    <row r="410" spans="1:8" ht="15.75" customHeight="1">
      <c r="A410" s="140" t="s">
        <v>54</v>
      </c>
      <c r="B410" s="140" t="s">
        <v>21</v>
      </c>
      <c r="C410" s="141" t="s">
        <v>352</v>
      </c>
      <c r="D410" s="140" t="s">
        <v>353</v>
      </c>
      <c r="E410" s="140">
        <v>7</v>
      </c>
      <c r="F410" s="142">
        <v>45769.375</v>
      </c>
      <c r="G410" s="140" t="s">
        <v>845</v>
      </c>
      <c r="H410" s="140" t="s">
        <v>848</v>
      </c>
    </row>
    <row r="411" spans="1:8" ht="15.75" customHeight="1">
      <c r="A411" s="140" t="s">
        <v>54</v>
      </c>
      <c r="B411" s="140" t="s">
        <v>21</v>
      </c>
      <c r="C411" s="141" t="s">
        <v>352</v>
      </c>
      <c r="D411" s="140" t="s">
        <v>353</v>
      </c>
      <c r="E411" s="140">
        <v>8</v>
      </c>
      <c r="F411" s="142">
        <v>45785.416666666672</v>
      </c>
      <c r="G411" s="140" t="s">
        <v>845</v>
      </c>
      <c r="H411" s="140" t="s">
        <v>848</v>
      </c>
    </row>
    <row r="412" spans="1:8" ht="15.75" customHeight="1">
      <c r="A412" s="140" t="s">
        <v>54</v>
      </c>
      <c r="B412" s="140" t="s">
        <v>21</v>
      </c>
      <c r="C412" s="141" t="s">
        <v>352</v>
      </c>
      <c r="D412" s="140" t="s">
        <v>353</v>
      </c>
      <c r="E412" s="140">
        <v>9</v>
      </c>
      <c r="F412" s="142">
        <v>45792.416666666672</v>
      </c>
      <c r="G412" s="140" t="s">
        <v>843</v>
      </c>
      <c r="H412" s="140" t="s">
        <v>848</v>
      </c>
    </row>
    <row r="413" spans="1:8" ht="15.75" customHeight="1">
      <c r="A413" s="140" t="s">
        <v>54</v>
      </c>
      <c r="B413" s="140" t="s">
        <v>21</v>
      </c>
      <c r="C413" s="141" t="s">
        <v>352</v>
      </c>
      <c r="D413" s="140" t="s">
        <v>353</v>
      </c>
      <c r="E413" s="140">
        <v>10</v>
      </c>
      <c r="F413" s="142">
        <v>45820.375</v>
      </c>
      <c r="G413" s="140" t="s">
        <v>845</v>
      </c>
      <c r="H413" s="140" t="s">
        <v>848</v>
      </c>
    </row>
    <row r="414" spans="1:8" ht="15.75" customHeight="1">
      <c r="A414" s="140" t="s">
        <v>54</v>
      </c>
      <c r="B414" s="140" t="s">
        <v>22</v>
      </c>
      <c r="C414" s="141" t="s">
        <v>352</v>
      </c>
      <c r="D414" s="140" t="s">
        <v>353</v>
      </c>
      <c r="E414" s="140">
        <v>1</v>
      </c>
      <c r="F414" s="142">
        <v>45869.583333333328</v>
      </c>
      <c r="G414" s="140" t="s">
        <v>845</v>
      </c>
      <c r="H414" s="140" t="s">
        <v>848</v>
      </c>
    </row>
    <row r="415" spans="1:8" ht="15.75" customHeight="1">
      <c r="A415" s="140" t="s">
        <v>54</v>
      </c>
      <c r="B415" s="140" t="s">
        <v>22</v>
      </c>
      <c r="C415" s="141" t="s">
        <v>352</v>
      </c>
      <c r="D415" s="140" t="s">
        <v>353</v>
      </c>
      <c r="E415" s="140">
        <v>2</v>
      </c>
      <c r="F415" s="142">
        <v>45881.375</v>
      </c>
      <c r="G415" s="140" t="s">
        <v>845</v>
      </c>
      <c r="H415" s="140" t="s">
        <v>848</v>
      </c>
    </row>
    <row r="416" spans="1:8" ht="15.75" customHeight="1">
      <c r="A416" s="140" t="s">
        <v>54</v>
      </c>
      <c r="B416" s="140" t="s">
        <v>22</v>
      </c>
      <c r="C416" s="141" t="s">
        <v>352</v>
      </c>
      <c r="D416" s="140" t="s">
        <v>353</v>
      </c>
      <c r="E416" s="140">
        <v>3</v>
      </c>
      <c r="F416" s="142">
        <v>45890.375</v>
      </c>
      <c r="G416" s="140" t="s">
        <v>845</v>
      </c>
      <c r="H416" s="140" t="s">
        <v>848</v>
      </c>
    </row>
    <row r="417" spans="1:8" ht="15.75" customHeight="1">
      <c r="A417" s="140" t="s">
        <v>54</v>
      </c>
      <c r="B417" s="140" t="s">
        <v>22</v>
      </c>
      <c r="C417" s="141" t="s">
        <v>352</v>
      </c>
      <c r="D417" s="140" t="s">
        <v>353</v>
      </c>
      <c r="E417" s="140">
        <v>4</v>
      </c>
      <c r="F417" s="142">
        <v>45897.625</v>
      </c>
      <c r="G417" s="140" t="s">
        <v>843</v>
      </c>
      <c r="H417" s="140" t="s">
        <v>848</v>
      </c>
    </row>
    <row r="418" spans="1:8" ht="15.75" customHeight="1">
      <c r="A418" s="140" t="s">
        <v>54</v>
      </c>
      <c r="B418" s="140" t="s">
        <v>22</v>
      </c>
      <c r="C418" s="141" t="s">
        <v>352</v>
      </c>
      <c r="D418" s="140" t="s">
        <v>353</v>
      </c>
      <c r="E418" s="140">
        <v>5</v>
      </c>
      <c r="F418" s="142">
        <v>45904.375</v>
      </c>
      <c r="G418" s="140" t="s">
        <v>845</v>
      </c>
      <c r="H418" s="140" t="s">
        <v>848</v>
      </c>
    </row>
    <row r="419" spans="1:8" ht="15.75" customHeight="1">
      <c r="A419" s="140" t="s">
        <v>54</v>
      </c>
      <c r="B419" s="140" t="s">
        <v>22</v>
      </c>
      <c r="C419" s="141" t="s">
        <v>352</v>
      </c>
      <c r="D419" s="140" t="s">
        <v>353</v>
      </c>
      <c r="E419" s="140">
        <v>6</v>
      </c>
      <c r="F419" s="142">
        <v>45909.375</v>
      </c>
      <c r="G419" s="140" t="s">
        <v>843</v>
      </c>
      <c r="H419" s="140" t="s">
        <v>848</v>
      </c>
    </row>
    <row r="420" spans="1:8" ht="15.75" customHeight="1">
      <c r="A420" s="140" t="s">
        <v>54</v>
      </c>
      <c r="B420" s="140" t="s">
        <v>22</v>
      </c>
      <c r="C420" s="141" t="s">
        <v>352</v>
      </c>
      <c r="D420" s="140" t="s">
        <v>353</v>
      </c>
      <c r="E420" s="140">
        <v>7</v>
      </c>
      <c r="F420" s="142">
        <v>45917.375</v>
      </c>
      <c r="G420" s="140" t="s">
        <v>845</v>
      </c>
      <c r="H420" s="140" t="s">
        <v>848</v>
      </c>
    </row>
    <row r="421" spans="1:8" ht="15.75" customHeight="1">
      <c r="A421" s="140" t="s">
        <v>54</v>
      </c>
      <c r="B421" s="140" t="s">
        <v>22</v>
      </c>
      <c r="C421" s="141" t="s">
        <v>352</v>
      </c>
      <c r="D421" s="140" t="s">
        <v>353</v>
      </c>
      <c r="E421" s="140">
        <v>8</v>
      </c>
      <c r="F421" s="142">
        <v>45923.375</v>
      </c>
      <c r="G421" s="140" t="s">
        <v>845</v>
      </c>
      <c r="H421" s="140" t="s">
        <v>848</v>
      </c>
    </row>
    <row r="422" spans="1:8" ht="15.75" customHeight="1">
      <c r="A422" s="140" t="s">
        <v>54</v>
      </c>
      <c r="B422" s="140" t="s">
        <v>22</v>
      </c>
      <c r="C422" s="141" t="s">
        <v>352</v>
      </c>
      <c r="D422" s="140" t="s">
        <v>353</v>
      </c>
      <c r="E422" s="140">
        <v>9</v>
      </c>
      <c r="F422" s="142">
        <v>45932.375</v>
      </c>
      <c r="G422" s="140" t="s">
        <v>845</v>
      </c>
      <c r="H422" s="140" t="s">
        <v>848</v>
      </c>
    </row>
    <row r="423" spans="1:8" ht="15.75" customHeight="1">
      <c r="A423" s="140" t="s">
        <v>54</v>
      </c>
      <c r="B423" s="140" t="s">
        <v>22</v>
      </c>
      <c r="C423" s="141" t="s">
        <v>352</v>
      </c>
      <c r="D423" s="140" t="s">
        <v>353</v>
      </c>
      <c r="E423" s="140">
        <v>10</v>
      </c>
      <c r="F423" s="142">
        <v>45939.375</v>
      </c>
      <c r="G423" s="140" t="s">
        <v>845</v>
      </c>
      <c r="H423" s="140" t="s">
        <v>848</v>
      </c>
    </row>
    <row r="424" spans="1:8" ht="15.75" customHeight="1">
      <c r="A424" s="140" t="s">
        <v>54</v>
      </c>
      <c r="B424" s="140" t="s">
        <v>22</v>
      </c>
      <c r="C424" s="141" t="s">
        <v>352</v>
      </c>
      <c r="D424" s="140" t="s">
        <v>353</v>
      </c>
      <c r="E424" s="140">
        <v>11</v>
      </c>
      <c r="F424" s="142">
        <v>45944.416666666672</v>
      </c>
      <c r="G424" s="140" t="s">
        <v>843</v>
      </c>
      <c r="H424" s="140" t="s">
        <v>848</v>
      </c>
    </row>
    <row r="425" spans="1:8" ht="15.75" customHeight="1">
      <c r="A425" s="140" t="s">
        <v>54</v>
      </c>
      <c r="B425" s="140" t="s">
        <v>22</v>
      </c>
      <c r="C425" s="141" t="s">
        <v>352</v>
      </c>
      <c r="D425" s="140" t="s">
        <v>353</v>
      </c>
      <c r="E425" s="140">
        <v>12</v>
      </c>
      <c r="F425" s="142">
        <v>45966.416666666672</v>
      </c>
      <c r="G425" s="140" t="s">
        <v>845</v>
      </c>
      <c r="H425" s="140" t="s">
        <v>848</v>
      </c>
    </row>
    <row r="426" spans="1:8" ht="15.75" customHeight="1">
      <c r="A426" s="140" t="s">
        <v>54</v>
      </c>
      <c r="B426" s="140" t="s">
        <v>22</v>
      </c>
      <c r="C426" s="141" t="s">
        <v>352</v>
      </c>
      <c r="D426" s="140" t="s">
        <v>353</v>
      </c>
      <c r="E426" s="140">
        <v>13</v>
      </c>
      <c r="F426" s="142">
        <v>46007.416666666672</v>
      </c>
      <c r="G426" s="140" t="s">
        <v>845</v>
      </c>
      <c r="H426" s="140" t="s">
        <v>848</v>
      </c>
    </row>
    <row r="427" spans="1:8" ht="15.75" customHeight="1">
      <c r="A427" s="140" t="s">
        <v>54</v>
      </c>
      <c r="B427" s="140" t="s">
        <v>22</v>
      </c>
      <c r="C427" s="141" t="s">
        <v>352</v>
      </c>
      <c r="D427" s="140" t="s">
        <v>353</v>
      </c>
      <c r="E427" s="140">
        <v>14</v>
      </c>
      <c r="F427" s="142">
        <v>46021.416666666672</v>
      </c>
      <c r="G427" s="140" t="s">
        <v>843</v>
      </c>
      <c r="H427" s="140" t="s">
        <v>848</v>
      </c>
    </row>
    <row r="428" spans="1:8" ht="15.75" customHeight="1">
      <c r="A428" s="140" t="s">
        <v>54</v>
      </c>
      <c r="B428" s="140" t="s">
        <v>22</v>
      </c>
      <c r="C428" s="141" t="s">
        <v>352</v>
      </c>
      <c r="D428" s="140" t="s">
        <v>353</v>
      </c>
      <c r="E428" s="140">
        <v>15</v>
      </c>
      <c r="F428" s="142">
        <v>46035.416666666672</v>
      </c>
      <c r="G428" s="140" t="s">
        <v>845</v>
      </c>
      <c r="H428" s="140" t="s">
        <v>848</v>
      </c>
    </row>
    <row r="429" spans="1:8" ht="15.75" customHeight="1">
      <c r="A429" s="140" t="s">
        <v>54</v>
      </c>
      <c r="B429" s="140" t="s">
        <v>22</v>
      </c>
      <c r="C429" s="141" t="s">
        <v>352</v>
      </c>
      <c r="D429" s="140" t="s">
        <v>353</v>
      </c>
      <c r="E429" s="140">
        <v>16</v>
      </c>
      <c r="F429" s="142">
        <v>46084.416666666672</v>
      </c>
      <c r="G429" s="140" t="s">
        <v>845</v>
      </c>
      <c r="H429" s="140" t="s">
        <v>848</v>
      </c>
    </row>
    <row r="430" spans="1:8" ht="15.75" customHeight="1">
      <c r="A430" s="140" t="s">
        <v>54</v>
      </c>
      <c r="B430" s="140" t="s">
        <v>21</v>
      </c>
      <c r="C430" s="141" t="s">
        <v>510</v>
      </c>
      <c r="D430" s="140" t="s">
        <v>511</v>
      </c>
      <c r="E430" s="140">
        <v>1</v>
      </c>
      <c r="F430" s="142">
        <v>45639.583333333328</v>
      </c>
      <c r="G430" s="140" t="s">
        <v>845</v>
      </c>
      <c r="H430" s="140" t="s">
        <v>848</v>
      </c>
    </row>
    <row r="431" spans="1:8" ht="15.75" customHeight="1">
      <c r="A431" s="140" t="s">
        <v>54</v>
      </c>
      <c r="B431" s="140" t="s">
        <v>21</v>
      </c>
      <c r="C431" s="141" t="s">
        <v>510</v>
      </c>
      <c r="D431" s="140" t="s">
        <v>511</v>
      </c>
      <c r="E431" s="140">
        <v>2</v>
      </c>
      <c r="F431" s="142">
        <v>45672.416666666672</v>
      </c>
      <c r="G431" s="140" t="s">
        <v>845</v>
      </c>
      <c r="H431" s="140" t="s">
        <v>848</v>
      </c>
    </row>
    <row r="432" spans="1:8" ht="15.75" customHeight="1">
      <c r="A432" s="140" t="s">
        <v>54</v>
      </c>
      <c r="B432" s="140" t="s">
        <v>21</v>
      </c>
      <c r="C432" s="141" t="s">
        <v>510</v>
      </c>
      <c r="D432" s="140" t="s">
        <v>511</v>
      </c>
      <c r="E432" s="140">
        <v>3</v>
      </c>
      <c r="F432" s="142">
        <v>45679.416666666672</v>
      </c>
      <c r="G432" s="140" t="s">
        <v>845</v>
      </c>
      <c r="H432" s="140" t="s">
        <v>848</v>
      </c>
    </row>
    <row r="433" spans="1:8" ht="15.75" customHeight="1">
      <c r="A433" s="140" t="s">
        <v>54</v>
      </c>
      <c r="B433" s="140" t="s">
        <v>21</v>
      </c>
      <c r="C433" s="141" t="s">
        <v>510</v>
      </c>
      <c r="D433" s="140" t="s">
        <v>511</v>
      </c>
      <c r="E433" s="140">
        <v>4</v>
      </c>
      <c r="F433" s="142">
        <v>45709.375</v>
      </c>
      <c r="G433" s="140" t="s">
        <v>845</v>
      </c>
      <c r="H433" s="140" t="s">
        <v>848</v>
      </c>
    </row>
    <row r="434" spans="1:8" ht="15.75" customHeight="1">
      <c r="A434" s="140" t="s">
        <v>54</v>
      </c>
      <c r="B434" s="140" t="s">
        <v>21</v>
      </c>
      <c r="C434" s="141" t="s">
        <v>510</v>
      </c>
      <c r="D434" s="140" t="s">
        <v>511</v>
      </c>
      <c r="E434" s="140">
        <v>5</v>
      </c>
      <c r="F434" s="142">
        <v>45716.375</v>
      </c>
      <c r="G434" s="140" t="s">
        <v>845</v>
      </c>
      <c r="H434" s="140" t="s">
        <v>848</v>
      </c>
    </row>
    <row r="435" spans="1:8" ht="15.75" customHeight="1">
      <c r="A435" s="140" t="s">
        <v>54</v>
      </c>
      <c r="B435" s="140" t="s">
        <v>21</v>
      </c>
      <c r="C435" s="141" t="s">
        <v>510</v>
      </c>
      <c r="D435" s="140" t="s">
        <v>511</v>
      </c>
      <c r="E435" s="140">
        <v>6</v>
      </c>
      <c r="F435" s="142">
        <v>45764.375</v>
      </c>
      <c r="G435" s="140" t="s">
        <v>845</v>
      </c>
      <c r="H435" s="140" t="s">
        <v>848</v>
      </c>
    </row>
    <row r="436" spans="1:8" ht="15.75" customHeight="1">
      <c r="A436" s="140" t="s">
        <v>54</v>
      </c>
      <c r="B436" s="140" t="s">
        <v>21</v>
      </c>
      <c r="C436" s="141" t="s">
        <v>510</v>
      </c>
      <c r="D436" s="140" t="s">
        <v>511</v>
      </c>
      <c r="E436" s="140">
        <v>7</v>
      </c>
      <c r="F436" s="142">
        <v>45769.375</v>
      </c>
      <c r="G436" s="140" t="s">
        <v>845</v>
      </c>
      <c r="H436" s="140" t="s">
        <v>848</v>
      </c>
    </row>
    <row r="437" spans="1:8" ht="15.75" customHeight="1">
      <c r="A437" s="140" t="s">
        <v>54</v>
      </c>
      <c r="B437" s="140" t="s">
        <v>21</v>
      </c>
      <c r="C437" s="141" t="s">
        <v>510</v>
      </c>
      <c r="D437" s="140" t="s">
        <v>511</v>
      </c>
      <c r="E437" s="140">
        <v>8</v>
      </c>
      <c r="F437" s="142">
        <v>45785.416666666672</v>
      </c>
      <c r="G437" s="140" t="s">
        <v>845</v>
      </c>
      <c r="H437" s="140" t="s">
        <v>848</v>
      </c>
    </row>
    <row r="438" spans="1:8" ht="15.75" customHeight="1">
      <c r="A438" s="140" t="s">
        <v>54</v>
      </c>
      <c r="B438" s="140" t="s">
        <v>21</v>
      </c>
      <c r="C438" s="141" t="s">
        <v>510</v>
      </c>
      <c r="D438" s="140" t="s">
        <v>511</v>
      </c>
      <c r="E438" s="140">
        <v>9</v>
      </c>
      <c r="F438" s="142">
        <v>45792.416666666672</v>
      </c>
      <c r="G438" s="140" t="s">
        <v>845</v>
      </c>
      <c r="H438" s="140" t="s">
        <v>848</v>
      </c>
    </row>
    <row r="439" spans="1:8" ht="15.75" customHeight="1">
      <c r="A439" s="140" t="s">
        <v>54</v>
      </c>
      <c r="B439" s="140" t="s">
        <v>21</v>
      </c>
      <c r="C439" s="141" t="s">
        <v>510</v>
      </c>
      <c r="D439" s="140" t="s">
        <v>511</v>
      </c>
      <c r="E439" s="140">
        <v>10</v>
      </c>
      <c r="F439" s="142">
        <v>45820.375</v>
      </c>
      <c r="G439" s="140" t="s">
        <v>845</v>
      </c>
      <c r="H439" s="140" t="s">
        <v>848</v>
      </c>
    </row>
    <row r="440" spans="1:8" ht="15.75" customHeight="1">
      <c r="A440" s="140" t="s">
        <v>54</v>
      </c>
      <c r="B440" s="140" t="s">
        <v>22</v>
      </c>
      <c r="C440" s="141" t="s">
        <v>510</v>
      </c>
      <c r="D440" s="140" t="s">
        <v>511</v>
      </c>
      <c r="E440" s="140">
        <v>1</v>
      </c>
      <c r="F440" s="142">
        <v>45869.583333333328</v>
      </c>
      <c r="G440" s="140" t="s">
        <v>845</v>
      </c>
      <c r="H440" s="140" t="s">
        <v>848</v>
      </c>
    </row>
    <row r="441" spans="1:8" ht="15.75" customHeight="1">
      <c r="A441" s="140" t="s">
        <v>54</v>
      </c>
      <c r="B441" s="140" t="s">
        <v>22</v>
      </c>
      <c r="C441" s="141" t="s">
        <v>510</v>
      </c>
      <c r="D441" s="140" t="s">
        <v>511</v>
      </c>
      <c r="E441" s="140">
        <v>2</v>
      </c>
      <c r="F441" s="142">
        <v>45881.375</v>
      </c>
      <c r="G441" s="140" t="s">
        <v>845</v>
      </c>
      <c r="H441" s="140" t="s">
        <v>848</v>
      </c>
    </row>
    <row r="442" spans="1:8" ht="15.75" customHeight="1">
      <c r="A442" s="140" t="s">
        <v>54</v>
      </c>
      <c r="B442" s="140" t="s">
        <v>22</v>
      </c>
      <c r="C442" s="141" t="s">
        <v>510</v>
      </c>
      <c r="D442" s="140" t="s">
        <v>511</v>
      </c>
      <c r="E442" s="140">
        <v>3</v>
      </c>
      <c r="F442" s="142">
        <v>45890.375</v>
      </c>
      <c r="G442" s="140" t="s">
        <v>845</v>
      </c>
      <c r="H442" s="140" t="s">
        <v>848</v>
      </c>
    </row>
    <row r="443" spans="1:8" ht="15.75" customHeight="1">
      <c r="A443" s="140" t="s">
        <v>54</v>
      </c>
      <c r="B443" s="140" t="s">
        <v>22</v>
      </c>
      <c r="C443" s="141" t="s">
        <v>510</v>
      </c>
      <c r="D443" s="140" t="s">
        <v>511</v>
      </c>
      <c r="E443" s="140">
        <v>4</v>
      </c>
      <c r="F443" s="142">
        <v>45897.625</v>
      </c>
      <c r="G443" s="140" t="s">
        <v>845</v>
      </c>
      <c r="H443" s="140" t="s">
        <v>848</v>
      </c>
    </row>
    <row r="444" spans="1:8" ht="15.75" customHeight="1">
      <c r="A444" s="140" t="s">
        <v>54</v>
      </c>
      <c r="B444" s="140" t="s">
        <v>22</v>
      </c>
      <c r="C444" s="141" t="s">
        <v>510</v>
      </c>
      <c r="D444" s="140" t="s">
        <v>511</v>
      </c>
      <c r="E444" s="140">
        <v>5</v>
      </c>
      <c r="F444" s="142">
        <v>45904.375</v>
      </c>
      <c r="G444" s="140" t="s">
        <v>845</v>
      </c>
      <c r="H444" s="140" t="s">
        <v>848</v>
      </c>
    </row>
    <row r="445" spans="1:8" ht="15.75" customHeight="1">
      <c r="A445" s="140" t="s">
        <v>54</v>
      </c>
      <c r="B445" s="140" t="s">
        <v>22</v>
      </c>
      <c r="C445" s="141" t="s">
        <v>510</v>
      </c>
      <c r="D445" s="140" t="s">
        <v>511</v>
      </c>
      <c r="E445" s="140">
        <v>6</v>
      </c>
      <c r="F445" s="142">
        <v>45909.375</v>
      </c>
      <c r="G445" s="140" t="s">
        <v>845</v>
      </c>
      <c r="H445" s="140" t="s">
        <v>848</v>
      </c>
    </row>
    <row r="446" spans="1:8" ht="15.75" customHeight="1">
      <c r="A446" s="140" t="s">
        <v>54</v>
      </c>
      <c r="B446" s="140" t="s">
        <v>22</v>
      </c>
      <c r="C446" s="141" t="s">
        <v>510</v>
      </c>
      <c r="D446" s="140" t="s">
        <v>511</v>
      </c>
      <c r="E446" s="140">
        <v>7</v>
      </c>
      <c r="F446" s="142">
        <v>45917.375</v>
      </c>
      <c r="G446" s="140" t="s">
        <v>845</v>
      </c>
      <c r="H446" s="140" t="s">
        <v>848</v>
      </c>
    </row>
    <row r="447" spans="1:8" ht="15.75" customHeight="1">
      <c r="A447" s="140" t="s">
        <v>54</v>
      </c>
      <c r="B447" s="140" t="s">
        <v>22</v>
      </c>
      <c r="C447" s="141" t="s">
        <v>510</v>
      </c>
      <c r="D447" s="140" t="s">
        <v>511</v>
      </c>
      <c r="E447" s="140">
        <v>8</v>
      </c>
      <c r="F447" s="142">
        <v>45923.375</v>
      </c>
      <c r="G447" s="140" t="s">
        <v>845</v>
      </c>
      <c r="H447" s="140" t="s">
        <v>848</v>
      </c>
    </row>
    <row r="448" spans="1:8" ht="15.75" customHeight="1">
      <c r="A448" s="140" t="s">
        <v>54</v>
      </c>
      <c r="B448" s="140" t="s">
        <v>22</v>
      </c>
      <c r="C448" s="141" t="s">
        <v>510</v>
      </c>
      <c r="D448" s="140" t="s">
        <v>511</v>
      </c>
      <c r="E448" s="140">
        <v>9</v>
      </c>
      <c r="F448" s="142">
        <v>45932.375</v>
      </c>
      <c r="G448" s="140" t="s">
        <v>845</v>
      </c>
      <c r="H448" s="140" t="s">
        <v>848</v>
      </c>
    </row>
    <row r="449" spans="1:8" ht="15.75" customHeight="1">
      <c r="A449" s="140" t="s">
        <v>54</v>
      </c>
      <c r="B449" s="140" t="s">
        <v>22</v>
      </c>
      <c r="C449" s="141" t="s">
        <v>510</v>
      </c>
      <c r="D449" s="140" t="s">
        <v>511</v>
      </c>
      <c r="E449" s="140">
        <v>10</v>
      </c>
      <c r="F449" s="142">
        <v>45939.375</v>
      </c>
      <c r="G449" s="140" t="s">
        <v>845</v>
      </c>
      <c r="H449" s="140" t="s">
        <v>848</v>
      </c>
    </row>
    <row r="450" spans="1:8" ht="15.75" customHeight="1">
      <c r="A450" s="140" t="s">
        <v>54</v>
      </c>
      <c r="B450" s="140" t="s">
        <v>22</v>
      </c>
      <c r="C450" s="141" t="s">
        <v>510</v>
      </c>
      <c r="D450" s="140" t="s">
        <v>511</v>
      </c>
      <c r="E450" s="140">
        <v>11</v>
      </c>
      <c r="F450" s="142">
        <v>45944.416666666672</v>
      </c>
      <c r="G450" s="140" t="s">
        <v>845</v>
      </c>
      <c r="H450" s="140" t="s">
        <v>848</v>
      </c>
    </row>
    <row r="451" spans="1:8" ht="15.75" customHeight="1">
      <c r="A451" s="140" t="s">
        <v>54</v>
      </c>
      <c r="B451" s="140" t="s">
        <v>22</v>
      </c>
      <c r="C451" s="141" t="s">
        <v>510</v>
      </c>
      <c r="D451" s="140" t="s">
        <v>511</v>
      </c>
      <c r="E451" s="140">
        <v>12</v>
      </c>
      <c r="F451" s="142">
        <v>45966.416666666672</v>
      </c>
      <c r="G451" s="140" t="s">
        <v>845</v>
      </c>
      <c r="H451" s="140" t="s">
        <v>848</v>
      </c>
    </row>
    <row r="452" spans="1:8" ht="15.75" customHeight="1">
      <c r="A452" s="140" t="s">
        <v>54</v>
      </c>
      <c r="B452" s="140" t="s">
        <v>22</v>
      </c>
      <c r="C452" s="141" t="s">
        <v>510</v>
      </c>
      <c r="D452" s="140" t="s">
        <v>511</v>
      </c>
      <c r="E452" s="140">
        <v>13</v>
      </c>
      <c r="F452" s="142">
        <v>46007.416666666672</v>
      </c>
      <c r="G452" s="140" t="s">
        <v>845</v>
      </c>
      <c r="H452" s="140" t="s">
        <v>848</v>
      </c>
    </row>
    <row r="453" spans="1:8" ht="15.75" customHeight="1">
      <c r="A453" s="140" t="s">
        <v>54</v>
      </c>
      <c r="B453" s="140" t="s">
        <v>22</v>
      </c>
      <c r="C453" s="141" t="s">
        <v>510</v>
      </c>
      <c r="D453" s="140" t="s">
        <v>511</v>
      </c>
      <c r="E453" s="140">
        <v>14</v>
      </c>
      <c r="F453" s="142">
        <v>46021.416666666672</v>
      </c>
      <c r="G453" s="140" t="s">
        <v>843</v>
      </c>
      <c r="H453" s="140" t="s">
        <v>848</v>
      </c>
    </row>
    <row r="454" spans="1:8" ht="15.75" customHeight="1">
      <c r="A454" s="140" t="s">
        <v>54</v>
      </c>
      <c r="B454" s="140" t="s">
        <v>22</v>
      </c>
      <c r="C454" s="141" t="s">
        <v>510</v>
      </c>
      <c r="D454" s="140" t="s">
        <v>511</v>
      </c>
      <c r="E454" s="140">
        <v>15</v>
      </c>
      <c r="F454" s="142">
        <v>46035.416666666672</v>
      </c>
      <c r="G454" s="140" t="s">
        <v>845</v>
      </c>
      <c r="H454" s="140" t="s">
        <v>848</v>
      </c>
    </row>
    <row r="455" spans="1:8" ht="15.75" customHeight="1">
      <c r="A455" s="140" t="s">
        <v>54</v>
      </c>
      <c r="B455" s="140" t="s">
        <v>22</v>
      </c>
      <c r="C455" s="141" t="s">
        <v>510</v>
      </c>
      <c r="D455" s="140" t="s">
        <v>511</v>
      </c>
      <c r="E455" s="140">
        <v>16</v>
      </c>
      <c r="F455" s="142">
        <v>46084.416666666672</v>
      </c>
      <c r="G455" s="140" t="s">
        <v>845</v>
      </c>
      <c r="H455" s="140" t="s">
        <v>848</v>
      </c>
    </row>
    <row r="456" spans="1:8" ht="15.75" customHeight="1">
      <c r="A456" s="140" t="s">
        <v>54</v>
      </c>
      <c r="B456" s="140" t="s">
        <v>21</v>
      </c>
      <c r="C456" s="141" t="s">
        <v>553</v>
      </c>
      <c r="D456" s="140" t="s">
        <v>554</v>
      </c>
      <c r="E456" s="140">
        <v>1</v>
      </c>
      <c r="F456" s="142">
        <v>45639.583333333328</v>
      </c>
      <c r="G456" s="140" t="s">
        <v>845</v>
      </c>
      <c r="H456" s="140" t="s">
        <v>848</v>
      </c>
    </row>
    <row r="457" spans="1:8" ht="15.75" customHeight="1">
      <c r="A457" s="140" t="s">
        <v>54</v>
      </c>
      <c r="B457" s="140" t="s">
        <v>21</v>
      </c>
      <c r="C457" s="141" t="s">
        <v>553</v>
      </c>
      <c r="D457" s="140" t="s">
        <v>554</v>
      </c>
      <c r="E457" s="140">
        <v>2</v>
      </c>
      <c r="F457" s="142">
        <v>45672.416666666672</v>
      </c>
      <c r="G457" s="140" t="s">
        <v>845</v>
      </c>
      <c r="H457" s="140" t="s">
        <v>848</v>
      </c>
    </row>
    <row r="458" spans="1:8" ht="15.75" customHeight="1">
      <c r="A458" s="140" t="s">
        <v>54</v>
      </c>
      <c r="B458" s="140" t="s">
        <v>21</v>
      </c>
      <c r="C458" s="141" t="s">
        <v>553</v>
      </c>
      <c r="D458" s="140" t="s">
        <v>554</v>
      </c>
      <c r="E458" s="140">
        <v>3</v>
      </c>
      <c r="F458" s="142">
        <v>45679.416666666672</v>
      </c>
      <c r="G458" s="140" t="s">
        <v>843</v>
      </c>
      <c r="H458" s="140" t="s">
        <v>848</v>
      </c>
    </row>
    <row r="459" spans="1:8" ht="15.75" customHeight="1">
      <c r="A459" s="140" t="s">
        <v>54</v>
      </c>
      <c r="B459" s="140" t="s">
        <v>21</v>
      </c>
      <c r="C459" s="141" t="s">
        <v>553</v>
      </c>
      <c r="D459" s="140" t="s">
        <v>554</v>
      </c>
      <c r="E459" s="140">
        <v>4</v>
      </c>
      <c r="F459" s="142">
        <v>45709.375</v>
      </c>
      <c r="G459" s="140" t="s">
        <v>845</v>
      </c>
      <c r="H459" s="140" t="s">
        <v>848</v>
      </c>
    </row>
    <row r="460" spans="1:8" ht="15.75" customHeight="1">
      <c r="A460" s="140" t="s">
        <v>54</v>
      </c>
      <c r="B460" s="140" t="s">
        <v>21</v>
      </c>
      <c r="C460" s="141" t="s">
        <v>553</v>
      </c>
      <c r="D460" s="140" t="s">
        <v>554</v>
      </c>
      <c r="E460" s="140">
        <v>5</v>
      </c>
      <c r="F460" s="142">
        <v>45716.375</v>
      </c>
      <c r="G460" s="140" t="s">
        <v>845</v>
      </c>
      <c r="H460" s="140" t="s">
        <v>848</v>
      </c>
    </row>
    <row r="461" spans="1:8" ht="15.75" customHeight="1">
      <c r="A461" s="140" t="s">
        <v>54</v>
      </c>
      <c r="B461" s="140" t="s">
        <v>21</v>
      </c>
      <c r="C461" s="141" t="s">
        <v>553</v>
      </c>
      <c r="D461" s="140" t="s">
        <v>554</v>
      </c>
      <c r="E461" s="140">
        <v>6</v>
      </c>
      <c r="F461" s="142">
        <v>45764.375</v>
      </c>
      <c r="G461" s="140" t="s">
        <v>845</v>
      </c>
      <c r="H461" s="140" t="s">
        <v>848</v>
      </c>
    </row>
    <row r="462" spans="1:8" ht="15.75" customHeight="1">
      <c r="A462" s="140" t="s">
        <v>54</v>
      </c>
      <c r="B462" s="140" t="s">
        <v>21</v>
      </c>
      <c r="C462" s="141" t="s">
        <v>553</v>
      </c>
      <c r="D462" s="140" t="s">
        <v>554</v>
      </c>
      <c r="E462" s="140">
        <v>7</v>
      </c>
      <c r="F462" s="142">
        <v>45769.375</v>
      </c>
      <c r="G462" s="140" t="s">
        <v>845</v>
      </c>
      <c r="H462" s="140" t="s">
        <v>848</v>
      </c>
    </row>
    <row r="463" spans="1:8" ht="15.75" customHeight="1">
      <c r="A463" s="140" t="s">
        <v>54</v>
      </c>
      <c r="B463" s="140" t="s">
        <v>21</v>
      </c>
      <c r="C463" s="141" t="s">
        <v>553</v>
      </c>
      <c r="D463" s="140" t="s">
        <v>554</v>
      </c>
      <c r="E463" s="140">
        <v>8</v>
      </c>
      <c r="F463" s="142">
        <v>45785.416666666672</v>
      </c>
      <c r="G463" s="140" t="s">
        <v>845</v>
      </c>
      <c r="H463" s="140" t="s">
        <v>848</v>
      </c>
    </row>
    <row r="464" spans="1:8" ht="15.75" customHeight="1">
      <c r="A464" s="140" t="s">
        <v>54</v>
      </c>
      <c r="B464" s="140" t="s">
        <v>21</v>
      </c>
      <c r="C464" s="141" t="s">
        <v>553</v>
      </c>
      <c r="D464" s="140" t="s">
        <v>554</v>
      </c>
      <c r="E464" s="140">
        <v>9</v>
      </c>
      <c r="F464" s="142">
        <v>45792.416666666672</v>
      </c>
      <c r="G464" s="140" t="s">
        <v>845</v>
      </c>
      <c r="H464" s="140" t="s">
        <v>848</v>
      </c>
    </row>
    <row r="465" spans="1:8" ht="15.75" customHeight="1">
      <c r="A465" s="140" t="s">
        <v>54</v>
      </c>
      <c r="B465" s="140" t="s">
        <v>21</v>
      </c>
      <c r="C465" s="141" t="s">
        <v>553</v>
      </c>
      <c r="D465" s="140" t="s">
        <v>554</v>
      </c>
      <c r="E465" s="140">
        <v>10</v>
      </c>
      <c r="F465" s="142">
        <v>45820.375</v>
      </c>
      <c r="G465" s="140" t="s">
        <v>845</v>
      </c>
      <c r="H465" s="140" t="s">
        <v>848</v>
      </c>
    </row>
    <row r="466" spans="1:8" ht="15.75" customHeight="1">
      <c r="A466" s="140" t="s">
        <v>54</v>
      </c>
      <c r="B466" s="140" t="s">
        <v>22</v>
      </c>
      <c r="C466" s="141" t="s">
        <v>553</v>
      </c>
      <c r="D466" s="140" t="s">
        <v>554</v>
      </c>
      <c r="E466" s="140">
        <v>1</v>
      </c>
      <c r="F466" s="142">
        <v>45869.583333333328</v>
      </c>
      <c r="G466" s="140" t="s">
        <v>845</v>
      </c>
      <c r="H466" s="140" t="s">
        <v>848</v>
      </c>
    </row>
    <row r="467" spans="1:8" ht="15.75" customHeight="1">
      <c r="A467" s="140" t="s">
        <v>54</v>
      </c>
      <c r="B467" s="140" t="s">
        <v>22</v>
      </c>
      <c r="C467" s="141" t="s">
        <v>553</v>
      </c>
      <c r="D467" s="140" t="s">
        <v>554</v>
      </c>
      <c r="E467" s="140">
        <v>2</v>
      </c>
      <c r="F467" s="142">
        <v>45881.375</v>
      </c>
      <c r="G467" s="140" t="s">
        <v>845</v>
      </c>
      <c r="H467" s="140" t="s">
        <v>848</v>
      </c>
    </row>
    <row r="468" spans="1:8" ht="15.75" customHeight="1">
      <c r="A468" s="140" t="s">
        <v>54</v>
      </c>
      <c r="B468" s="140" t="s">
        <v>22</v>
      </c>
      <c r="C468" s="141" t="s">
        <v>553</v>
      </c>
      <c r="D468" s="140" t="s">
        <v>554</v>
      </c>
      <c r="E468" s="140">
        <v>3</v>
      </c>
      <c r="F468" s="142">
        <v>45890.375</v>
      </c>
      <c r="G468" s="140" t="s">
        <v>845</v>
      </c>
      <c r="H468" s="140" t="s">
        <v>848</v>
      </c>
    </row>
    <row r="469" spans="1:8" ht="15.75" customHeight="1">
      <c r="A469" s="140" t="s">
        <v>54</v>
      </c>
      <c r="B469" s="140" t="s">
        <v>22</v>
      </c>
      <c r="C469" s="141" t="s">
        <v>553</v>
      </c>
      <c r="D469" s="140" t="s">
        <v>554</v>
      </c>
      <c r="E469" s="140">
        <v>4</v>
      </c>
      <c r="F469" s="142">
        <v>45897.625</v>
      </c>
      <c r="G469" s="140" t="s">
        <v>845</v>
      </c>
      <c r="H469" s="140" t="s">
        <v>848</v>
      </c>
    </row>
    <row r="470" spans="1:8" ht="15.75" customHeight="1">
      <c r="A470" s="140" t="s">
        <v>54</v>
      </c>
      <c r="B470" s="140" t="s">
        <v>22</v>
      </c>
      <c r="C470" s="141" t="s">
        <v>553</v>
      </c>
      <c r="D470" s="140" t="s">
        <v>554</v>
      </c>
      <c r="E470" s="140">
        <v>5</v>
      </c>
      <c r="F470" s="142">
        <v>45904.375</v>
      </c>
      <c r="G470" s="140" t="s">
        <v>845</v>
      </c>
      <c r="H470" s="140" t="s">
        <v>848</v>
      </c>
    </row>
    <row r="471" spans="1:8" ht="15.75" customHeight="1">
      <c r="A471" s="140" t="s">
        <v>54</v>
      </c>
      <c r="B471" s="140" t="s">
        <v>22</v>
      </c>
      <c r="C471" s="141" t="s">
        <v>553</v>
      </c>
      <c r="D471" s="140" t="s">
        <v>554</v>
      </c>
      <c r="E471" s="140">
        <v>6</v>
      </c>
      <c r="F471" s="142">
        <v>45909.375</v>
      </c>
      <c r="G471" s="140" t="s">
        <v>845</v>
      </c>
      <c r="H471" s="140" t="s">
        <v>848</v>
      </c>
    </row>
    <row r="472" spans="1:8" ht="15.75" customHeight="1">
      <c r="A472" s="140" t="s">
        <v>54</v>
      </c>
      <c r="B472" s="140" t="s">
        <v>22</v>
      </c>
      <c r="C472" s="141" t="s">
        <v>553</v>
      </c>
      <c r="D472" s="140" t="s">
        <v>554</v>
      </c>
      <c r="E472" s="140">
        <v>7</v>
      </c>
      <c r="F472" s="142">
        <v>45917.375</v>
      </c>
      <c r="G472" s="140" t="s">
        <v>843</v>
      </c>
      <c r="H472" s="140" t="s">
        <v>848</v>
      </c>
    </row>
    <row r="473" spans="1:8" ht="15.75" customHeight="1">
      <c r="A473" s="140" t="s">
        <v>54</v>
      </c>
      <c r="B473" s="140" t="s">
        <v>22</v>
      </c>
      <c r="C473" s="141" t="s">
        <v>553</v>
      </c>
      <c r="D473" s="140" t="s">
        <v>554</v>
      </c>
      <c r="E473" s="140">
        <v>8</v>
      </c>
      <c r="F473" s="142">
        <v>45923.375</v>
      </c>
      <c r="G473" s="140" t="s">
        <v>845</v>
      </c>
      <c r="H473" s="140" t="s">
        <v>848</v>
      </c>
    </row>
    <row r="474" spans="1:8" ht="15.75" customHeight="1">
      <c r="A474" s="140" t="s">
        <v>54</v>
      </c>
      <c r="B474" s="140" t="s">
        <v>22</v>
      </c>
      <c r="C474" s="141" t="s">
        <v>553</v>
      </c>
      <c r="D474" s="140" t="s">
        <v>554</v>
      </c>
      <c r="E474" s="140">
        <v>9</v>
      </c>
      <c r="F474" s="142">
        <v>45932.375</v>
      </c>
      <c r="G474" s="140" t="s">
        <v>843</v>
      </c>
      <c r="H474" s="140" t="s">
        <v>848</v>
      </c>
    </row>
    <row r="475" spans="1:8" ht="15.75" customHeight="1">
      <c r="A475" s="140" t="s">
        <v>54</v>
      </c>
      <c r="B475" s="140" t="s">
        <v>22</v>
      </c>
      <c r="C475" s="141" t="s">
        <v>553</v>
      </c>
      <c r="D475" s="140" t="s">
        <v>554</v>
      </c>
      <c r="E475" s="140">
        <v>10</v>
      </c>
      <c r="F475" s="142">
        <v>45939.375</v>
      </c>
      <c r="G475" s="140" t="s">
        <v>845</v>
      </c>
      <c r="H475" s="140" t="s">
        <v>848</v>
      </c>
    </row>
    <row r="476" spans="1:8" ht="15.75" customHeight="1">
      <c r="A476" s="140" t="s">
        <v>54</v>
      </c>
      <c r="B476" s="140" t="s">
        <v>22</v>
      </c>
      <c r="C476" s="141" t="s">
        <v>553</v>
      </c>
      <c r="D476" s="140" t="s">
        <v>554</v>
      </c>
      <c r="E476" s="140">
        <v>11</v>
      </c>
      <c r="F476" s="142">
        <v>45944.416666666672</v>
      </c>
      <c r="G476" s="140" t="s">
        <v>845</v>
      </c>
      <c r="H476" s="140" t="s">
        <v>848</v>
      </c>
    </row>
    <row r="477" spans="1:8" ht="15.75" customHeight="1">
      <c r="A477" s="140" t="s">
        <v>54</v>
      </c>
      <c r="B477" s="140" t="s">
        <v>22</v>
      </c>
      <c r="C477" s="141" t="s">
        <v>553</v>
      </c>
      <c r="D477" s="140" t="s">
        <v>554</v>
      </c>
      <c r="E477" s="140">
        <v>12</v>
      </c>
      <c r="F477" s="142">
        <v>45966.416666666672</v>
      </c>
      <c r="G477" s="140" t="s">
        <v>845</v>
      </c>
      <c r="H477" s="140" t="s">
        <v>848</v>
      </c>
    </row>
    <row r="478" spans="1:8" ht="15.75" customHeight="1">
      <c r="A478" s="140" t="s">
        <v>54</v>
      </c>
      <c r="B478" s="140" t="s">
        <v>22</v>
      </c>
      <c r="C478" s="141" t="s">
        <v>553</v>
      </c>
      <c r="D478" s="140" t="s">
        <v>554</v>
      </c>
      <c r="E478" s="140">
        <v>13</v>
      </c>
      <c r="F478" s="142">
        <v>46007.416666666672</v>
      </c>
      <c r="G478" s="140" t="s">
        <v>845</v>
      </c>
      <c r="H478" s="140" t="s">
        <v>848</v>
      </c>
    </row>
    <row r="479" spans="1:8" ht="15.75" customHeight="1">
      <c r="A479" s="140" t="s">
        <v>54</v>
      </c>
      <c r="B479" s="140" t="s">
        <v>22</v>
      </c>
      <c r="C479" s="141" t="s">
        <v>553</v>
      </c>
      <c r="D479" s="140" t="s">
        <v>554</v>
      </c>
      <c r="E479" s="140">
        <v>14</v>
      </c>
      <c r="F479" s="142">
        <v>46021.416666666672</v>
      </c>
      <c r="G479" s="140" t="s">
        <v>845</v>
      </c>
      <c r="H479" s="140" t="s">
        <v>848</v>
      </c>
    </row>
    <row r="480" spans="1:8" ht="15.75" customHeight="1">
      <c r="A480" s="140" t="s">
        <v>54</v>
      </c>
      <c r="B480" s="140" t="s">
        <v>22</v>
      </c>
      <c r="C480" s="141" t="s">
        <v>553</v>
      </c>
      <c r="D480" s="140" t="s">
        <v>554</v>
      </c>
      <c r="E480" s="140">
        <v>15</v>
      </c>
      <c r="F480" s="142">
        <v>46035.416666666672</v>
      </c>
      <c r="G480" s="140" t="s">
        <v>845</v>
      </c>
      <c r="H480" s="140" t="s">
        <v>848</v>
      </c>
    </row>
    <row r="481" spans="1:8" ht="15.75" customHeight="1">
      <c r="A481" s="140" t="s">
        <v>54</v>
      </c>
      <c r="B481" s="140" t="s">
        <v>22</v>
      </c>
      <c r="C481" s="141" t="s">
        <v>553</v>
      </c>
      <c r="D481" s="140" t="s">
        <v>554</v>
      </c>
      <c r="E481" s="140">
        <v>16</v>
      </c>
      <c r="F481" s="142">
        <v>46084.416666666672</v>
      </c>
      <c r="G481" s="140" t="s">
        <v>845</v>
      </c>
      <c r="H481" s="140" t="s">
        <v>848</v>
      </c>
    </row>
    <row r="482" spans="1:8" ht="15.75" customHeight="1">
      <c r="A482" s="140" t="s">
        <v>54</v>
      </c>
      <c r="B482" s="140" t="s">
        <v>21</v>
      </c>
      <c r="C482" s="141" t="s">
        <v>617</v>
      </c>
      <c r="D482" s="140" t="s">
        <v>618</v>
      </c>
      <c r="E482" s="140">
        <v>1</v>
      </c>
      <c r="F482" s="142">
        <v>45639.583333333328</v>
      </c>
      <c r="G482" s="140" t="s">
        <v>845</v>
      </c>
      <c r="H482" s="140" t="s">
        <v>848</v>
      </c>
    </row>
    <row r="483" spans="1:8" ht="15.75" customHeight="1">
      <c r="A483" s="140" t="s">
        <v>54</v>
      </c>
      <c r="B483" s="140" t="s">
        <v>21</v>
      </c>
      <c r="C483" s="141" t="s">
        <v>617</v>
      </c>
      <c r="D483" s="140" t="s">
        <v>618</v>
      </c>
      <c r="E483" s="140">
        <v>2</v>
      </c>
      <c r="F483" s="142">
        <v>45665.375</v>
      </c>
      <c r="G483" s="140" t="s">
        <v>845</v>
      </c>
      <c r="H483" s="140" t="s">
        <v>848</v>
      </c>
    </row>
    <row r="484" spans="1:8" ht="15.75" customHeight="1">
      <c r="A484" s="140" t="s">
        <v>54</v>
      </c>
      <c r="B484" s="140" t="s">
        <v>21</v>
      </c>
      <c r="C484" s="141" t="s">
        <v>617</v>
      </c>
      <c r="D484" s="140" t="s">
        <v>618</v>
      </c>
      <c r="E484" s="140">
        <v>3</v>
      </c>
      <c r="F484" s="142">
        <v>45679.416666666672</v>
      </c>
      <c r="G484" s="140" t="s">
        <v>845</v>
      </c>
      <c r="H484" s="140" t="s">
        <v>848</v>
      </c>
    </row>
    <row r="485" spans="1:8" ht="15.75" customHeight="1">
      <c r="A485" s="140" t="s">
        <v>54</v>
      </c>
      <c r="B485" s="140" t="s">
        <v>21</v>
      </c>
      <c r="C485" s="141" t="s">
        <v>617</v>
      </c>
      <c r="D485" s="140" t="s">
        <v>618</v>
      </c>
      <c r="E485" s="140">
        <v>4</v>
      </c>
      <c r="F485" s="142">
        <v>45709.375</v>
      </c>
      <c r="G485" s="140" t="s">
        <v>845</v>
      </c>
      <c r="H485" s="140" t="s">
        <v>848</v>
      </c>
    </row>
    <row r="486" spans="1:8" ht="15.75" customHeight="1">
      <c r="A486" s="140" t="s">
        <v>54</v>
      </c>
      <c r="B486" s="140" t="s">
        <v>21</v>
      </c>
      <c r="C486" s="141" t="s">
        <v>617</v>
      </c>
      <c r="D486" s="140" t="s">
        <v>618</v>
      </c>
      <c r="E486" s="140">
        <v>5</v>
      </c>
      <c r="F486" s="142">
        <v>45702.583333333328</v>
      </c>
      <c r="G486" s="140" t="s">
        <v>843</v>
      </c>
      <c r="H486" s="140" t="s">
        <v>848</v>
      </c>
    </row>
    <row r="487" spans="1:8" ht="15.75" customHeight="1">
      <c r="A487" s="140" t="s">
        <v>54</v>
      </c>
      <c r="B487" s="140" t="s">
        <v>21</v>
      </c>
      <c r="C487" s="141" t="s">
        <v>617</v>
      </c>
      <c r="D487" s="140" t="s">
        <v>618</v>
      </c>
      <c r="E487" s="140">
        <v>6</v>
      </c>
      <c r="F487" s="142">
        <v>45764.375</v>
      </c>
      <c r="G487" s="140" t="s">
        <v>845</v>
      </c>
      <c r="H487" s="140" t="s">
        <v>848</v>
      </c>
    </row>
    <row r="488" spans="1:8" ht="15.75" customHeight="1">
      <c r="A488" s="140" t="s">
        <v>54</v>
      </c>
      <c r="B488" s="140" t="s">
        <v>21</v>
      </c>
      <c r="C488" s="141" t="s">
        <v>617</v>
      </c>
      <c r="D488" s="140" t="s">
        <v>618</v>
      </c>
      <c r="E488" s="140">
        <v>7</v>
      </c>
      <c r="F488" s="142">
        <v>45769.375</v>
      </c>
      <c r="G488" s="140" t="s">
        <v>845</v>
      </c>
      <c r="H488" s="140" t="s">
        <v>848</v>
      </c>
    </row>
    <row r="489" spans="1:8" ht="15.75" customHeight="1">
      <c r="A489" s="140" t="s">
        <v>54</v>
      </c>
      <c r="B489" s="140" t="s">
        <v>21</v>
      </c>
      <c r="C489" s="141" t="s">
        <v>617</v>
      </c>
      <c r="D489" s="140" t="s">
        <v>618</v>
      </c>
      <c r="E489" s="140">
        <v>8</v>
      </c>
      <c r="F489" s="142">
        <v>45764.375</v>
      </c>
      <c r="G489" s="140" t="s">
        <v>843</v>
      </c>
      <c r="H489" s="140" t="s">
        <v>848</v>
      </c>
    </row>
    <row r="490" spans="1:8" ht="15.75" customHeight="1">
      <c r="A490" s="140" t="s">
        <v>54</v>
      </c>
      <c r="B490" s="140" t="s">
        <v>21</v>
      </c>
      <c r="C490" s="141" t="s">
        <v>617</v>
      </c>
      <c r="D490" s="140" t="s">
        <v>618</v>
      </c>
      <c r="E490" s="140">
        <v>9</v>
      </c>
      <c r="F490" s="142">
        <v>45792.416666666672</v>
      </c>
      <c r="G490" s="140" t="s">
        <v>845</v>
      </c>
      <c r="H490" s="140" t="s">
        <v>848</v>
      </c>
    </row>
    <row r="491" spans="1:8" ht="15.75" customHeight="1">
      <c r="A491" s="140" t="s">
        <v>54</v>
      </c>
      <c r="B491" s="140" t="s">
        <v>21</v>
      </c>
      <c r="C491" s="141" t="s">
        <v>617</v>
      </c>
      <c r="D491" s="140" t="s">
        <v>618</v>
      </c>
      <c r="E491" s="140">
        <v>10</v>
      </c>
      <c r="F491" s="142">
        <v>45820.375</v>
      </c>
      <c r="G491" s="140" t="s">
        <v>845</v>
      </c>
      <c r="H491" s="140" t="s">
        <v>848</v>
      </c>
    </row>
    <row r="492" spans="1:8" ht="15.75" customHeight="1">
      <c r="A492" s="140" t="s">
        <v>54</v>
      </c>
      <c r="B492" s="140" t="s">
        <v>22</v>
      </c>
      <c r="C492" s="141" t="s">
        <v>617</v>
      </c>
      <c r="D492" s="140" t="s">
        <v>618</v>
      </c>
      <c r="E492" s="140">
        <v>1</v>
      </c>
      <c r="F492" s="142">
        <v>45869.583333333328</v>
      </c>
      <c r="G492" s="140" t="s">
        <v>843</v>
      </c>
      <c r="H492" s="140" t="s">
        <v>848</v>
      </c>
    </row>
    <row r="493" spans="1:8" ht="15.75" customHeight="1">
      <c r="A493" s="140" t="s">
        <v>54</v>
      </c>
      <c r="B493" s="140" t="s">
        <v>22</v>
      </c>
      <c r="C493" s="141" t="s">
        <v>617</v>
      </c>
      <c r="D493" s="140" t="s">
        <v>618</v>
      </c>
      <c r="E493" s="140">
        <v>2</v>
      </c>
      <c r="F493" s="142">
        <v>45881.375</v>
      </c>
      <c r="G493" s="140" t="s">
        <v>845</v>
      </c>
      <c r="H493" s="140" t="s">
        <v>848</v>
      </c>
    </row>
    <row r="494" spans="1:8" ht="15.75" customHeight="1">
      <c r="A494" s="140" t="s">
        <v>54</v>
      </c>
      <c r="B494" s="140" t="s">
        <v>22</v>
      </c>
      <c r="C494" s="141" t="s">
        <v>617</v>
      </c>
      <c r="D494" s="140" t="s">
        <v>618</v>
      </c>
      <c r="E494" s="140">
        <v>3</v>
      </c>
      <c r="F494" s="142">
        <v>45890.375</v>
      </c>
      <c r="G494" s="140" t="s">
        <v>845</v>
      </c>
      <c r="H494" s="140" t="s">
        <v>848</v>
      </c>
    </row>
    <row r="495" spans="1:8" ht="15.75" customHeight="1">
      <c r="A495" s="140" t="s">
        <v>54</v>
      </c>
      <c r="B495" s="140" t="s">
        <v>22</v>
      </c>
      <c r="C495" s="141" t="s">
        <v>617</v>
      </c>
      <c r="D495" s="140" t="s">
        <v>618</v>
      </c>
      <c r="E495" s="140">
        <v>4</v>
      </c>
      <c r="F495" s="142">
        <v>45897.625</v>
      </c>
      <c r="G495" s="140" t="s">
        <v>845</v>
      </c>
      <c r="H495" s="140" t="s">
        <v>848</v>
      </c>
    </row>
    <row r="496" spans="1:8" ht="15.75" customHeight="1">
      <c r="A496" s="140" t="s">
        <v>54</v>
      </c>
      <c r="B496" s="140" t="s">
        <v>22</v>
      </c>
      <c r="C496" s="141" t="s">
        <v>617</v>
      </c>
      <c r="D496" s="140" t="s">
        <v>618</v>
      </c>
      <c r="E496" s="140">
        <v>5</v>
      </c>
      <c r="F496" s="142">
        <v>45904.375</v>
      </c>
      <c r="G496" s="140" t="s">
        <v>845</v>
      </c>
      <c r="H496" s="140" t="s">
        <v>848</v>
      </c>
    </row>
    <row r="497" spans="1:8" ht="15.75" customHeight="1">
      <c r="A497" s="140" t="s">
        <v>54</v>
      </c>
      <c r="B497" s="140" t="s">
        <v>22</v>
      </c>
      <c r="C497" s="141" t="s">
        <v>617</v>
      </c>
      <c r="D497" s="140" t="s">
        <v>618</v>
      </c>
      <c r="E497" s="140">
        <v>6</v>
      </c>
      <c r="F497" s="142">
        <v>45909.375</v>
      </c>
      <c r="G497" s="140" t="s">
        <v>843</v>
      </c>
      <c r="H497" s="140" t="s">
        <v>848</v>
      </c>
    </row>
    <row r="498" spans="1:8" ht="15.75" customHeight="1">
      <c r="A498" s="140" t="s">
        <v>54</v>
      </c>
      <c r="B498" s="140" t="s">
        <v>22</v>
      </c>
      <c r="C498" s="141" t="s">
        <v>617</v>
      </c>
      <c r="D498" s="140" t="s">
        <v>618</v>
      </c>
      <c r="E498" s="140">
        <v>7</v>
      </c>
      <c r="F498" s="142">
        <v>45917.375</v>
      </c>
      <c r="G498" s="140" t="s">
        <v>845</v>
      </c>
      <c r="H498" s="140" t="s">
        <v>848</v>
      </c>
    </row>
    <row r="499" spans="1:8" ht="15.75" customHeight="1">
      <c r="A499" s="140" t="s">
        <v>54</v>
      </c>
      <c r="B499" s="140" t="s">
        <v>22</v>
      </c>
      <c r="C499" s="141" t="s">
        <v>617</v>
      </c>
      <c r="D499" s="140" t="s">
        <v>618</v>
      </c>
      <c r="E499" s="140">
        <v>8</v>
      </c>
      <c r="F499" s="142">
        <v>45923.375</v>
      </c>
      <c r="G499" s="140" t="s">
        <v>843</v>
      </c>
      <c r="H499" s="140" t="s">
        <v>848</v>
      </c>
    </row>
    <row r="500" spans="1:8" ht="15.75" customHeight="1">
      <c r="A500" s="140" t="s">
        <v>54</v>
      </c>
      <c r="B500" s="140" t="s">
        <v>22</v>
      </c>
      <c r="C500" s="141" t="s">
        <v>617</v>
      </c>
      <c r="D500" s="140" t="s">
        <v>618</v>
      </c>
      <c r="E500" s="140">
        <v>9</v>
      </c>
      <c r="F500" s="142">
        <v>45932.375</v>
      </c>
      <c r="G500" s="140" t="s">
        <v>845</v>
      </c>
      <c r="H500" s="140" t="s">
        <v>848</v>
      </c>
    </row>
    <row r="501" spans="1:8" ht="15.75" customHeight="1">
      <c r="A501" s="140" t="s">
        <v>54</v>
      </c>
      <c r="B501" s="140" t="s">
        <v>22</v>
      </c>
      <c r="C501" s="141" t="s">
        <v>617</v>
      </c>
      <c r="D501" s="140" t="s">
        <v>618</v>
      </c>
      <c r="E501" s="140">
        <v>10</v>
      </c>
      <c r="F501" s="142">
        <v>45939.375</v>
      </c>
      <c r="G501" s="140" t="s">
        <v>845</v>
      </c>
      <c r="H501" s="140" t="s">
        <v>848</v>
      </c>
    </row>
    <row r="502" spans="1:8" ht="15.75" customHeight="1">
      <c r="A502" s="140" t="s">
        <v>54</v>
      </c>
      <c r="B502" s="140" t="s">
        <v>22</v>
      </c>
      <c r="C502" s="141" t="s">
        <v>617</v>
      </c>
      <c r="D502" s="140" t="s">
        <v>618</v>
      </c>
      <c r="E502" s="140">
        <v>11</v>
      </c>
      <c r="F502" s="142">
        <v>45944.416666666672</v>
      </c>
      <c r="G502" s="140" t="s">
        <v>845</v>
      </c>
      <c r="H502" s="140" t="s">
        <v>848</v>
      </c>
    </row>
    <row r="503" spans="1:8" ht="15.75" customHeight="1">
      <c r="A503" s="140" t="s">
        <v>54</v>
      </c>
      <c r="B503" s="140" t="s">
        <v>22</v>
      </c>
      <c r="C503" s="141" t="s">
        <v>617</v>
      </c>
      <c r="D503" s="140" t="s">
        <v>618</v>
      </c>
      <c r="E503" s="140">
        <v>12</v>
      </c>
      <c r="F503" s="142">
        <v>45966.416666666672</v>
      </c>
      <c r="G503" s="140" t="s">
        <v>845</v>
      </c>
      <c r="H503" s="140" t="s">
        <v>848</v>
      </c>
    </row>
    <row r="504" spans="1:8" ht="15.75" customHeight="1">
      <c r="A504" s="140" t="s">
        <v>54</v>
      </c>
      <c r="B504" s="140" t="s">
        <v>22</v>
      </c>
      <c r="C504" s="141" t="s">
        <v>617</v>
      </c>
      <c r="D504" s="140" t="s">
        <v>618</v>
      </c>
      <c r="E504" s="140">
        <v>13</v>
      </c>
      <c r="F504" s="142">
        <v>46007.416666666672</v>
      </c>
      <c r="G504" s="140" t="s">
        <v>845</v>
      </c>
      <c r="H504" s="140" t="s">
        <v>848</v>
      </c>
    </row>
    <row r="505" spans="1:8" ht="15.75" customHeight="1">
      <c r="A505" s="140" t="s">
        <v>54</v>
      </c>
      <c r="B505" s="140" t="s">
        <v>22</v>
      </c>
      <c r="C505" s="141" t="s">
        <v>617</v>
      </c>
      <c r="D505" s="140" t="s">
        <v>618</v>
      </c>
      <c r="E505" s="140">
        <v>14</v>
      </c>
      <c r="F505" s="142">
        <v>46021.416666666672</v>
      </c>
      <c r="G505" s="140" t="s">
        <v>845</v>
      </c>
      <c r="H505" s="140" t="s">
        <v>848</v>
      </c>
    </row>
    <row r="506" spans="1:8" ht="15.75" customHeight="1">
      <c r="A506" s="140" t="s">
        <v>54</v>
      </c>
      <c r="B506" s="140" t="s">
        <v>22</v>
      </c>
      <c r="C506" s="141" t="s">
        <v>617</v>
      </c>
      <c r="D506" s="140" t="s">
        <v>618</v>
      </c>
      <c r="E506" s="140">
        <v>15</v>
      </c>
      <c r="F506" s="142">
        <v>46035.416666666672</v>
      </c>
      <c r="G506" s="140" t="s">
        <v>845</v>
      </c>
      <c r="H506" s="140" t="s">
        <v>848</v>
      </c>
    </row>
    <row r="507" spans="1:8" ht="15.75" customHeight="1">
      <c r="A507" s="140" t="s">
        <v>54</v>
      </c>
      <c r="B507" s="140" t="s">
        <v>22</v>
      </c>
      <c r="C507" s="141" t="s">
        <v>617</v>
      </c>
      <c r="D507" s="140" t="s">
        <v>618</v>
      </c>
      <c r="E507" s="140">
        <v>16</v>
      </c>
      <c r="F507" s="142">
        <v>46084.416666666672</v>
      </c>
      <c r="G507" s="140" t="s">
        <v>845</v>
      </c>
      <c r="H507" s="140" t="s">
        <v>848</v>
      </c>
    </row>
    <row r="508" spans="1:8" ht="15.75" customHeight="1">
      <c r="A508" s="140" t="s">
        <v>54</v>
      </c>
      <c r="B508" s="140" t="s">
        <v>21</v>
      </c>
      <c r="C508" s="141" t="s">
        <v>695</v>
      </c>
      <c r="D508" s="140" t="s">
        <v>696</v>
      </c>
      <c r="E508" s="140">
        <v>1</v>
      </c>
      <c r="F508" s="142">
        <v>45639.583333333328</v>
      </c>
      <c r="G508" s="140" t="s">
        <v>845</v>
      </c>
      <c r="H508" s="140" t="s">
        <v>848</v>
      </c>
    </row>
    <row r="509" spans="1:8" ht="15.75" customHeight="1">
      <c r="A509" s="140" t="s">
        <v>54</v>
      </c>
      <c r="B509" s="140" t="s">
        <v>21</v>
      </c>
      <c r="C509" s="141" t="s">
        <v>695</v>
      </c>
      <c r="D509" s="140" t="s">
        <v>696</v>
      </c>
      <c r="E509" s="140">
        <v>2</v>
      </c>
      <c r="F509" s="142">
        <v>45672.416666666672</v>
      </c>
      <c r="G509" s="140" t="s">
        <v>845</v>
      </c>
      <c r="H509" s="140" t="s">
        <v>848</v>
      </c>
    </row>
    <row r="510" spans="1:8" ht="15.75" customHeight="1">
      <c r="A510" s="140" t="s">
        <v>54</v>
      </c>
      <c r="B510" s="140" t="s">
        <v>21</v>
      </c>
      <c r="C510" s="141" t="s">
        <v>695</v>
      </c>
      <c r="D510" s="140" t="s">
        <v>696</v>
      </c>
      <c r="E510" s="140">
        <v>3</v>
      </c>
      <c r="F510" s="142">
        <v>45702.583333333328</v>
      </c>
      <c r="G510" s="140" t="s">
        <v>845</v>
      </c>
      <c r="H510" s="140" t="s">
        <v>848</v>
      </c>
    </row>
    <row r="511" spans="1:8" ht="15.75" customHeight="1">
      <c r="A511" s="140" t="s">
        <v>54</v>
      </c>
      <c r="B511" s="140" t="s">
        <v>21</v>
      </c>
      <c r="C511" s="141" t="s">
        <v>695</v>
      </c>
      <c r="D511" s="140" t="s">
        <v>696</v>
      </c>
      <c r="E511" s="140">
        <v>4</v>
      </c>
      <c r="F511" s="142">
        <v>45709.375</v>
      </c>
      <c r="G511" s="140" t="s">
        <v>845</v>
      </c>
      <c r="H511" s="140" t="s">
        <v>848</v>
      </c>
    </row>
    <row r="512" spans="1:8" ht="15.75" customHeight="1">
      <c r="A512" s="140" t="s">
        <v>54</v>
      </c>
      <c r="B512" s="140" t="s">
        <v>21</v>
      </c>
      <c r="C512" s="141" t="s">
        <v>695</v>
      </c>
      <c r="D512" s="140" t="s">
        <v>696</v>
      </c>
      <c r="E512" s="140">
        <v>5</v>
      </c>
      <c r="F512" s="142">
        <v>45716.375</v>
      </c>
      <c r="G512" s="140" t="s">
        <v>845</v>
      </c>
      <c r="H512" s="140" t="s">
        <v>848</v>
      </c>
    </row>
    <row r="513" spans="1:8" ht="15.75" customHeight="1">
      <c r="A513" s="140" t="s">
        <v>54</v>
      </c>
      <c r="B513" s="140" t="s">
        <v>21</v>
      </c>
      <c r="C513" s="141" t="s">
        <v>695</v>
      </c>
      <c r="D513" s="140" t="s">
        <v>696</v>
      </c>
      <c r="E513" s="140">
        <v>6</v>
      </c>
      <c r="F513" s="142">
        <v>45764.375</v>
      </c>
      <c r="G513" s="140" t="s">
        <v>845</v>
      </c>
      <c r="H513" s="140" t="s">
        <v>848</v>
      </c>
    </row>
    <row r="514" spans="1:8" ht="15.75" customHeight="1">
      <c r="A514" s="140" t="s">
        <v>54</v>
      </c>
      <c r="B514" s="140" t="s">
        <v>21</v>
      </c>
      <c r="C514" s="141" t="s">
        <v>695</v>
      </c>
      <c r="D514" s="140" t="s">
        <v>696</v>
      </c>
      <c r="E514" s="140">
        <v>7</v>
      </c>
      <c r="F514" s="142">
        <v>45716.375</v>
      </c>
      <c r="G514" s="140" t="s">
        <v>843</v>
      </c>
      <c r="H514" s="140" t="s">
        <v>848</v>
      </c>
    </row>
    <row r="515" spans="1:8" ht="15.75" customHeight="1">
      <c r="A515" s="140" t="s">
        <v>54</v>
      </c>
      <c r="B515" s="140" t="s">
        <v>21</v>
      </c>
      <c r="C515" s="141" t="s">
        <v>695</v>
      </c>
      <c r="D515" s="140" t="s">
        <v>696</v>
      </c>
      <c r="E515" s="140">
        <v>8</v>
      </c>
      <c r="F515" s="142">
        <v>45785.416666666672</v>
      </c>
      <c r="G515" s="140" t="s">
        <v>845</v>
      </c>
      <c r="H515" s="140" t="s">
        <v>848</v>
      </c>
    </row>
    <row r="516" spans="1:8" ht="15.75" customHeight="1">
      <c r="A516" s="140" t="s">
        <v>54</v>
      </c>
      <c r="B516" s="140" t="s">
        <v>21</v>
      </c>
      <c r="C516" s="141" t="s">
        <v>695</v>
      </c>
      <c r="D516" s="140" t="s">
        <v>696</v>
      </c>
      <c r="E516" s="140">
        <v>9</v>
      </c>
      <c r="F516" s="142">
        <v>45792.416666666672</v>
      </c>
      <c r="G516" s="140" t="s">
        <v>845</v>
      </c>
      <c r="H516" s="140" t="s">
        <v>848</v>
      </c>
    </row>
    <row r="517" spans="1:8" ht="15.75" customHeight="1">
      <c r="A517" s="140" t="s">
        <v>54</v>
      </c>
      <c r="B517" s="140" t="s">
        <v>21</v>
      </c>
      <c r="C517" s="141" t="s">
        <v>695</v>
      </c>
      <c r="D517" s="140" t="s">
        <v>696</v>
      </c>
      <c r="E517" s="140">
        <v>10</v>
      </c>
      <c r="F517" s="142">
        <v>45820.375</v>
      </c>
      <c r="G517" s="140" t="s">
        <v>845</v>
      </c>
      <c r="H517" s="140" t="s">
        <v>848</v>
      </c>
    </row>
    <row r="518" spans="1:8" ht="15.75" customHeight="1">
      <c r="A518" s="140" t="s">
        <v>54</v>
      </c>
      <c r="B518" s="140" t="s">
        <v>22</v>
      </c>
      <c r="C518" s="141" t="s">
        <v>695</v>
      </c>
      <c r="D518" s="140" t="s">
        <v>696</v>
      </c>
      <c r="E518" s="140">
        <v>1</v>
      </c>
      <c r="F518" s="142">
        <v>45869.583333333328</v>
      </c>
      <c r="G518" s="140" t="s">
        <v>843</v>
      </c>
      <c r="H518" s="140" t="s">
        <v>848</v>
      </c>
    </row>
    <row r="519" spans="1:8" ht="15.75" customHeight="1">
      <c r="A519" s="140" t="s">
        <v>54</v>
      </c>
      <c r="B519" s="140" t="s">
        <v>22</v>
      </c>
      <c r="C519" s="141" t="s">
        <v>695</v>
      </c>
      <c r="D519" s="140" t="s">
        <v>696</v>
      </c>
      <c r="E519" s="140">
        <v>2</v>
      </c>
      <c r="F519" s="142">
        <v>45881.375</v>
      </c>
      <c r="G519" s="140" t="s">
        <v>843</v>
      </c>
      <c r="H519" s="140" t="s">
        <v>848</v>
      </c>
    </row>
    <row r="520" spans="1:8" ht="15.75" customHeight="1">
      <c r="A520" s="140" t="s">
        <v>54</v>
      </c>
      <c r="B520" s="140" t="s">
        <v>22</v>
      </c>
      <c r="C520" s="141" t="s">
        <v>695</v>
      </c>
      <c r="D520" s="140" t="s">
        <v>696</v>
      </c>
      <c r="E520" s="140">
        <v>3</v>
      </c>
      <c r="F520" s="142">
        <v>45890.375</v>
      </c>
      <c r="G520" s="140" t="s">
        <v>843</v>
      </c>
      <c r="H520" s="140" t="s">
        <v>848</v>
      </c>
    </row>
    <row r="521" spans="1:8" ht="15.75" customHeight="1">
      <c r="A521" s="140" t="s">
        <v>54</v>
      </c>
      <c r="B521" s="140" t="s">
        <v>22</v>
      </c>
      <c r="C521" s="141" t="s">
        <v>695</v>
      </c>
      <c r="D521" s="140" t="s">
        <v>696</v>
      </c>
      <c r="E521" s="140">
        <v>4</v>
      </c>
      <c r="F521" s="142">
        <v>45897.625</v>
      </c>
      <c r="G521" s="140" t="s">
        <v>843</v>
      </c>
      <c r="H521" s="140" t="s">
        <v>848</v>
      </c>
    </row>
    <row r="522" spans="1:8" ht="15.75" customHeight="1">
      <c r="A522" s="140" t="s">
        <v>54</v>
      </c>
      <c r="B522" s="140" t="s">
        <v>22</v>
      </c>
      <c r="C522" s="141" t="s">
        <v>695</v>
      </c>
      <c r="D522" s="140" t="s">
        <v>696</v>
      </c>
      <c r="E522" s="140">
        <v>5</v>
      </c>
      <c r="F522" s="142">
        <v>45904.375</v>
      </c>
      <c r="G522" s="140" t="s">
        <v>843</v>
      </c>
      <c r="H522" s="140" t="s">
        <v>848</v>
      </c>
    </row>
    <row r="523" spans="1:8" ht="15.75" customHeight="1">
      <c r="A523" s="140" t="s">
        <v>54</v>
      </c>
      <c r="B523" s="140" t="s">
        <v>22</v>
      </c>
      <c r="C523" s="141" t="s">
        <v>695</v>
      </c>
      <c r="D523" s="140" t="s">
        <v>696</v>
      </c>
      <c r="E523" s="140">
        <v>6</v>
      </c>
      <c r="F523" s="142">
        <v>45909.375</v>
      </c>
      <c r="G523" s="140" t="s">
        <v>843</v>
      </c>
      <c r="H523" s="140" t="s">
        <v>848</v>
      </c>
    </row>
    <row r="524" spans="1:8" ht="15.75" customHeight="1">
      <c r="A524" s="140" t="s">
        <v>54</v>
      </c>
      <c r="B524" s="140" t="s">
        <v>22</v>
      </c>
      <c r="C524" s="141" t="s">
        <v>695</v>
      </c>
      <c r="D524" s="140" t="s">
        <v>696</v>
      </c>
      <c r="E524" s="140">
        <v>7</v>
      </c>
      <c r="F524" s="142">
        <v>45917.375</v>
      </c>
      <c r="G524" s="140" t="s">
        <v>843</v>
      </c>
      <c r="H524" s="140" t="s">
        <v>848</v>
      </c>
    </row>
    <row r="525" spans="1:8" ht="15.75" customHeight="1">
      <c r="A525" s="140" t="s">
        <v>54</v>
      </c>
      <c r="B525" s="140" t="s">
        <v>22</v>
      </c>
      <c r="C525" s="141" t="s">
        <v>695</v>
      </c>
      <c r="D525" s="140" t="s">
        <v>696</v>
      </c>
      <c r="E525" s="140">
        <v>8</v>
      </c>
      <c r="F525" s="142">
        <v>45923.375</v>
      </c>
      <c r="G525" s="140" t="s">
        <v>843</v>
      </c>
      <c r="H525" s="140" t="s">
        <v>848</v>
      </c>
    </row>
    <row r="526" spans="1:8" ht="15.75" customHeight="1">
      <c r="A526" s="140" t="s">
        <v>54</v>
      </c>
      <c r="B526" s="140" t="s">
        <v>22</v>
      </c>
      <c r="C526" s="141" t="s">
        <v>695</v>
      </c>
      <c r="D526" s="140" t="s">
        <v>696</v>
      </c>
      <c r="E526" s="140">
        <v>9</v>
      </c>
      <c r="F526" s="142">
        <v>45932.375</v>
      </c>
      <c r="G526" s="140" t="s">
        <v>843</v>
      </c>
      <c r="H526" s="140" t="s">
        <v>848</v>
      </c>
    </row>
    <row r="527" spans="1:8" ht="15.75" customHeight="1">
      <c r="A527" s="140" t="s">
        <v>54</v>
      </c>
      <c r="B527" s="140" t="s">
        <v>22</v>
      </c>
      <c r="C527" s="141" t="s">
        <v>695</v>
      </c>
      <c r="D527" s="140" t="s">
        <v>696</v>
      </c>
      <c r="E527" s="140">
        <v>10</v>
      </c>
      <c r="F527" s="142">
        <v>45939.375</v>
      </c>
      <c r="G527" s="140" t="s">
        <v>843</v>
      </c>
      <c r="H527" s="140" t="s">
        <v>848</v>
      </c>
    </row>
    <row r="528" spans="1:8" ht="15.75" customHeight="1">
      <c r="A528" s="140" t="s">
        <v>54</v>
      </c>
      <c r="B528" s="140" t="s">
        <v>22</v>
      </c>
      <c r="C528" s="141" t="s">
        <v>695</v>
      </c>
      <c r="D528" s="140" t="s">
        <v>696</v>
      </c>
      <c r="E528" s="140">
        <v>11</v>
      </c>
      <c r="F528" s="142">
        <v>45944.416666666672</v>
      </c>
      <c r="G528" s="140" t="s">
        <v>843</v>
      </c>
      <c r="H528" s="140" t="s">
        <v>848</v>
      </c>
    </row>
    <row r="529" spans="1:8" ht="15.75" customHeight="1">
      <c r="A529" s="140" t="s">
        <v>54</v>
      </c>
      <c r="B529" s="140" t="s">
        <v>22</v>
      </c>
      <c r="C529" s="141" t="s">
        <v>695</v>
      </c>
      <c r="D529" s="140" t="s">
        <v>696</v>
      </c>
      <c r="E529" s="140">
        <v>12</v>
      </c>
      <c r="F529" s="142">
        <v>45966.416666666672</v>
      </c>
      <c r="G529" s="140" t="s">
        <v>843</v>
      </c>
      <c r="H529" s="140" t="s">
        <v>848</v>
      </c>
    </row>
    <row r="530" spans="1:8" ht="15.75" customHeight="1">
      <c r="A530" s="140" t="s">
        <v>54</v>
      </c>
      <c r="B530" s="140" t="s">
        <v>22</v>
      </c>
      <c r="C530" s="141" t="s">
        <v>695</v>
      </c>
      <c r="D530" s="140" t="s">
        <v>696</v>
      </c>
      <c r="E530" s="140">
        <v>13</v>
      </c>
      <c r="F530" s="142">
        <v>46007.416666666672</v>
      </c>
      <c r="G530" s="140" t="s">
        <v>843</v>
      </c>
      <c r="H530" s="140" t="s">
        <v>848</v>
      </c>
    </row>
    <row r="531" spans="1:8" ht="15.75" customHeight="1">
      <c r="A531" s="140" t="s">
        <v>54</v>
      </c>
      <c r="B531" s="140" t="s">
        <v>22</v>
      </c>
      <c r="C531" s="141" t="s">
        <v>695</v>
      </c>
      <c r="D531" s="140" t="s">
        <v>696</v>
      </c>
      <c r="E531" s="140">
        <v>14</v>
      </c>
      <c r="F531" s="142">
        <v>46021.416666666672</v>
      </c>
      <c r="G531" s="140" t="s">
        <v>843</v>
      </c>
      <c r="H531" s="140" t="s">
        <v>848</v>
      </c>
    </row>
    <row r="532" spans="1:8" ht="15.75" customHeight="1">
      <c r="A532" s="140" t="s">
        <v>54</v>
      </c>
      <c r="B532" s="140" t="s">
        <v>22</v>
      </c>
      <c r="C532" s="141" t="s">
        <v>695</v>
      </c>
      <c r="D532" s="140" t="s">
        <v>696</v>
      </c>
      <c r="E532" s="140">
        <v>15</v>
      </c>
      <c r="F532" s="142">
        <v>46035.416666666672</v>
      </c>
      <c r="G532" s="140" t="s">
        <v>843</v>
      </c>
      <c r="H532" s="140" t="s">
        <v>848</v>
      </c>
    </row>
    <row r="533" spans="1:8" ht="15.75" customHeight="1">
      <c r="A533" s="140" t="s">
        <v>54</v>
      </c>
      <c r="B533" s="140" t="s">
        <v>22</v>
      </c>
      <c r="C533" s="141" t="s">
        <v>695</v>
      </c>
      <c r="D533" s="140" t="s">
        <v>696</v>
      </c>
      <c r="E533" s="140">
        <v>16</v>
      </c>
      <c r="F533" s="142">
        <v>46084.416666666672</v>
      </c>
      <c r="G533" s="140" t="s">
        <v>843</v>
      </c>
      <c r="H533" s="140" t="s">
        <v>848</v>
      </c>
    </row>
    <row r="534" spans="1:8" ht="15.75" customHeight="1">
      <c r="A534" s="140" t="s">
        <v>55</v>
      </c>
      <c r="B534" s="140" t="s">
        <v>21</v>
      </c>
      <c r="C534" s="141" t="s">
        <v>294</v>
      </c>
      <c r="D534" s="140" t="s">
        <v>295</v>
      </c>
      <c r="E534" s="140">
        <v>1</v>
      </c>
      <c r="F534" s="142">
        <v>45639.625</v>
      </c>
      <c r="G534" s="140" t="s">
        <v>845</v>
      </c>
      <c r="H534" s="140" t="s">
        <v>849</v>
      </c>
    </row>
    <row r="535" spans="1:8" ht="15.75" customHeight="1">
      <c r="A535" s="140" t="s">
        <v>55</v>
      </c>
      <c r="B535" s="140" t="s">
        <v>21</v>
      </c>
      <c r="C535" s="141" t="s">
        <v>294</v>
      </c>
      <c r="D535" s="140" t="s">
        <v>295</v>
      </c>
      <c r="E535" s="140">
        <v>2</v>
      </c>
      <c r="F535" s="142">
        <v>45649.458333333328</v>
      </c>
      <c r="G535" s="140" t="s">
        <v>845</v>
      </c>
      <c r="H535" s="140" t="s">
        <v>849</v>
      </c>
    </row>
    <row r="536" spans="1:8" ht="15.75" customHeight="1">
      <c r="A536" s="140" t="s">
        <v>55</v>
      </c>
      <c r="B536" s="140" t="s">
        <v>21</v>
      </c>
      <c r="C536" s="141" t="s">
        <v>294</v>
      </c>
      <c r="D536" s="140" t="s">
        <v>295</v>
      </c>
      <c r="E536" s="140">
        <v>3</v>
      </c>
      <c r="F536" s="142">
        <v>45670.583333333328</v>
      </c>
      <c r="G536" s="140" t="s">
        <v>845</v>
      </c>
      <c r="H536" s="140" t="s">
        <v>849</v>
      </c>
    </row>
    <row r="537" spans="1:8" ht="15.75" customHeight="1">
      <c r="A537" s="140" t="s">
        <v>55</v>
      </c>
      <c r="B537" s="140" t="s">
        <v>21</v>
      </c>
      <c r="C537" s="141" t="s">
        <v>294</v>
      </c>
      <c r="D537" s="140" t="s">
        <v>295</v>
      </c>
      <c r="E537" s="140">
        <v>4</v>
      </c>
      <c r="F537" s="142">
        <v>45693.541666666672</v>
      </c>
      <c r="G537" s="140" t="s">
        <v>845</v>
      </c>
      <c r="H537" s="140" t="s">
        <v>849</v>
      </c>
    </row>
    <row r="538" spans="1:8" ht="15.75" customHeight="1">
      <c r="A538" s="140" t="s">
        <v>55</v>
      </c>
      <c r="B538" s="140" t="s">
        <v>21</v>
      </c>
      <c r="C538" s="141" t="s">
        <v>294</v>
      </c>
      <c r="D538" s="140" t="s">
        <v>295</v>
      </c>
      <c r="E538" s="140">
        <v>5</v>
      </c>
      <c r="F538" s="142">
        <v>45707.541666666672</v>
      </c>
      <c r="G538" s="140" t="s">
        <v>845</v>
      </c>
      <c r="H538" s="140" t="s">
        <v>849</v>
      </c>
    </row>
    <row r="539" spans="1:8" ht="15.75" customHeight="1">
      <c r="A539" s="140" t="s">
        <v>55</v>
      </c>
      <c r="B539" s="140" t="s">
        <v>21</v>
      </c>
      <c r="C539" s="141" t="s">
        <v>294</v>
      </c>
      <c r="D539" s="140" t="s">
        <v>295</v>
      </c>
      <c r="E539" s="140">
        <v>6</v>
      </c>
      <c r="F539" s="142">
        <v>45715.541666666672</v>
      </c>
      <c r="G539" s="140" t="s">
        <v>845</v>
      </c>
      <c r="H539" s="140" t="s">
        <v>849</v>
      </c>
    </row>
    <row r="540" spans="1:8" ht="15.75" customHeight="1">
      <c r="A540" s="140" t="s">
        <v>55</v>
      </c>
      <c r="B540" s="140" t="s">
        <v>21</v>
      </c>
      <c r="C540" s="141" t="s">
        <v>294</v>
      </c>
      <c r="D540" s="140" t="s">
        <v>295</v>
      </c>
      <c r="E540" s="140">
        <v>7</v>
      </c>
      <c r="F540" s="142">
        <v>45764.541666666672</v>
      </c>
      <c r="G540" s="140" t="s">
        <v>843</v>
      </c>
      <c r="H540" s="140" t="s">
        <v>849</v>
      </c>
    </row>
    <row r="541" spans="1:8" ht="15.75" customHeight="1">
      <c r="A541" s="140" t="s">
        <v>55</v>
      </c>
      <c r="B541" s="140" t="s">
        <v>21</v>
      </c>
      <c r="C541" s="141" t="s">
        <v>294</v>
      </c>
      <c r="D541" s="140" t="s">
        <v>295</v>
      </c>
      <c r="E541" s="140">
        <v>8</v>
      </c>
      <c r="F541" s="142">
        <v>45782.583333333328</v>
      </c>
      <c r="G541" s="140" t="s">
        <v>845</v>
      </c>
      <c r="H541" s="140" t="s">
        <v>849</v>
      </c>
    </row>
    <row r="542" spans="1:8" ht="15.75" customHeight="1">
      <c r="A542" s="140" t="s">
        <v>55</v>
      </c>
      <c r="B542" s="140" t="s">
        <v>21</v>
      </c>
      <c r="C542" s="141" t="s">
        <v>294</v>
      </c>
      <c r="D542" s="140" t="s">
        <v>295</v>
      </c>
      <c r="E542" s="140">
        <v>9</v>
      </c>
      <c r="F542" s="142">
        <v>45803.583333333328</v>
      </c>
      <c r="G542" s="140" t="s">
        <v>845</v>
      </c>
      <c r="H542" s="140" t="s">
        <v>849</v>
      </c>
    </row>
    <row r="543" spans="1:8" ht="15.75" customHeight="1">
      <c r="A543" s="140" t="s">
        <v>55</v>
      </c>
      <c r="B543" s="140" t="s">
        <v>21</v>
      </c>
      <c r="C543" s="141" t="s">
        <v>294</v>
      </c>
      <c r="D543" s="140" t="s">
        <v>295</v>
      </c>
      <c r="E543" s="140">
        <v>10</v>
      </c>
      <c r="F543" s="142">
        <v>45839.583333333328</v>
      </c>
      <c r="G543" s="140" t="s">
        <v>845</v>
      </c>
      <c r="H543" s="140" t="s">
        <v>849</v>
      </c>
    </row>
    <row r="544" spans="1:8" ht="15.75" customHeight="1">
      <c r="A544" s="140" t="s">
        <v>55</v>
      </c>
      <c r="B544" s="140" t="s">
        <v>21</v>
      </c>
      <c r="C544" s="141" t="s">
        <v>330</v>
      </c>
      <c r="D544" s="140" t="s">
        <v>331</v>
      </c>
      <c r="E544" s="140">
        <v>1</v>
      </c>
      <c r="F544" s="142">
        <v>45637.416666666672</v>
      </c>
      <c r="G544" s="140" t="s">
        <v>845</v>
      </c>
      <c r="H544" s="140" t="s">
        <v>849</v>
      </c>
    </row>
    <row r="545" spans="1:8" ht="15.75" customHeight="1">
      <c r="A545" s="140" t="s">
        <v>55</v>
      </c>
      <c r="B545" s="140" t="s">
        <v>21</v>
      </c>
      <c r="C545" s="141" t="s">
        <v>330</v>
      </c>
      <c r="D545" s="140" t="s">
        <v>331</v>
      </c>
      <c r="E545" s="140">
        <v>2</v>
      </c>
      <c r="F545" s="142">
        <v>45656.458333333328</v>
      </c>
      <c r="G545" s="140" t="s">
        <v>845</v>
      </c>
      <c r="H545" s="140" t="s">
        <v>849</v>
      </c>
    </row>
    <row r="546" spans="1:8" ht="15.75" customHeight="1">
      <c r="A546" s="140" t="s">
        <v>55</v>
      </c>
      <c r="B546" s="140" t="s">
        <v>21</v>
      </c>
      <c r="C546" s="141" t="s">
        <v>330</v>
      </c>
      <c r="D546" s="140" t="s">
        <v>331</v>
      </c>
      <c r="E546" s="140">
        <v>3</v>
      </c>
      <c r="F546" s="142">
        <v>45670.583333333328</v>
      </c>
      <c r="G546" s="140" t="s">
        <v>845</v>
      </c>
      <c r="H546" s="140" t="s">
        <v>849</v>
      </c>
    </row>
    <row r="547" spans="1:8" ht="15.75" customHeight="1">
      <c r="A547" s="140" t="s">
        <v>55</v>
      </c>
      <c r="B547" s="140" t="s">
        <v>21</v>
      </c>
      <c r="C547" s="141" t="s">
        <v>330</v>
      </c>
      <c r="D547" s="140" t="s">
        <v>331</v>
      </c>
      <c r="E547" s="140">
        <v>4</v>
      </c>
      <c r="F547" s="142">
        <v>45693.541666666672</v>
      </c>
      <c r="G547" s="140" t="s">
        <v>845</v>
      </c>
      <c r="H547" s="140" t="s">
        <v>849</v>
      </c>
    </row>
    <row r="548" spans="1:8" ht="15.75" customHeight="1">
      <c r="A548" s="140" t="s">
        <v>55</v>
      </c>
      <c r="B548" s="140" t="s">
        <v>21</v>
      </c>
      <c r="C548" s="141" t="s">
        <v>330</v>
      </c>
      <c r="D548" s="140" t="s">
        <v>331</v>
      </c>
      <c r="E548" s="140">
        <v>5</v>
      </c>
      <c r="F548" s="142">
        <v>45707.541666666672</v>
      </c>
      <c r="G548" s="140" t="s">
        <v>845</v>
      </c>
      <c r="H548" s="140" t="s">
        <v>849</v>
      </c>
    </row>
    <row r="549" spans="1:8" ht="15.75" customHeight="1">
      <c r="A549" s="140" t="s">
        <v>55</v>
      </c>
      <c r="B549" s="140" t="s">
        <v>21</v>
      </c>
      <c r="C549" s="141" t="s">
        <v>330</v>
      </c>
      <c r="D549" s="140" t="s">
        <v>331</v>
      </c>
      <c r="E549" s="140">
        <v>6</v>
      </c>
      <c r="F549" s="142">
        <v>45715.541666666672</v>
      </c>
      <c r="G549" s="140" t="s">
        <v>845</v>
      </c>
      <c r="H549" s="140" t="s">
        <v>849</v>
      </c>
    </row>
    <row r="550" spans="1:8" ht="15.75" customHeight="1">
      <c r="A550" s="140" t="s">
        <v>55</v>
      </c>
      <c r="B550" s="140" t="s">
        <v>21</v>
      </c>
      <c r="C550" s="141" t="s">
        <v>330</v>
      </c>
      <c r="D550" s="140" t="s">
        <v>331</v>
      </c>
      <c r="E550" s="140">
        <v>7</v>
      </c>
      <c r="F550" s="142">
        <v>45764.541666666672</v>
      </c>
      <c r="G550" s="140" t="s">
        <v>845</v>
      </c>
      <c r="H550" s="140" t="s">
        <v>849</v>
      </c>
    </row>
    <row r="551" spans="1:8" ht="15.75" customHeight="1">
      <c r="A551" s="140" t="s">
        <v>55</v>
      </c>
      <c r="B551" s="140" t="s">
        <v>21</v>
      </c>
      <c r="C551" s="141" t="s">
        <v>330</v>
      </c>
      <c r="D551" s="140" t="s">
        <v>331</v>
      </c>
      <c r="E551" s="140">
        <v>8</v>
      </c>
      <c r="F551" s="142">
        <v>45782.541666666672</v>
      </c>
      <c r="G551" s="140" t="s">
        <v>845</v>
      </c>
      <c r="H551" s="140" t="s">
        <v>849</v>
      </c>
    </row>
    <row r="552" spans="1:8" ht="15.75" customHeight="1">
      <c r="A552" s="140" t="s">
        <v>55</v>
      </c>
      <c r="B552" s="140" t="s">
        <v>21</v>
      </c>
      <c r="C552" s="141" t="s">
        <v>330</v>
      </c>
      <c r="D552" s="140" t="s">
        <v>331</v>
      </c>
      <c r="E552" s="140">
        <v>9</v>
      </c>
      <c r="F552" s="142">
        <v>45803.583333333328</v>
      </c>
      <c r="G552" s="140" t="s">
        <v>843</v>
      </c>
      <c r="H552" s="140" t="s">
        <v>849</v>
      </c>
    </row>
    <row r="553" spans="1:8" ht="15.75" customHeight="1">
      <c r="A553" s="140" t="s">
        <v>55</v>
      </c>
      <c r="B553" s="140" t="s">
        <v>21</v>
      </c>
      <c r="C553" s="141" t="s">
        <v>330</v>
      </c>
      <c r="D553" s="140" t="s">
        <v>331</v>
      </c>
      <c r="E553" s="140">
        <v>10</v>
      </c>
      <c r="F553" s="142">
        <v>45839.583333333328</v>
      </c>
      <c r="G553" s="140" t="s">
        <v>845</v>
      </c>
      <c r="H553" s="140" t="s">
        <v>849</v>
      </c>
    </row>
    <row r="554" spans="1:8" ht="15.75" customHeight="1">
      <c r="A554" s="140" t="s">
        <v>55</v>
      </c>
      <c r="B554" s="140" t="s">
        <v>21</v>
      </c>
      <c r="C554" s="141" t="s">
        <v>411</v>
      </c>
      <c r="D554" s="140" t="s">
        <v>412</v>
      </c>
      <c r="E554" s="140">
        <v>1</v>
      </c>
      <c r="F554" s="142">
        <v>45637.416666666672</v>
      </c>
      <c r="G554" s="140" t="s">
        <v>845</v>
      </c>
      <c r="H554" s="140" t="s">
        <v>849</v>
      </c>
    </row>
    <row r="555" spans="1:8" ht="15.75" customHeight="1">
      <c r="A555" s="140" t="s">
        <v>55</v>
      </c>
      <c r="B555" s="140" t="s">
        <v>21</v>
      </c>
      <c r="C555" s="141" t="s">
        <v>411</v>
      </c>
      <c r="D555" s="140" t="s">
        <v>412</v>
      </c>
      <c r="E555" s="140">
        <v>2</v>
      </c>
      <c r="F555" s="142">
        <v>45656.458333333328</v>
      </c>
      <c r="G555" s="140" t="s">
        <v>845</v>
      </c>
      <c r="H555" s="140" t="s">
        <v>849</v>
      </c>
    </row>
    <row r="556" spans="1:8" ht="15.75" customHeight="1">
      <c r="A556" s="140" t="s">
        <v>55</v>
      </c>
      <c r="B556" s="140" t="s">
        <v>21</v>
      </c>
      <c r="C556" s="141" t="s">
        <v>411</v>
      </c>
      <c r="D556" s="140" t="s">
        <v>412</v>
      </c>
      <c r="E556" s="140">
        <v>3</v>
      </c>
      <c r="F556" s="142">
        <v>45670.583333333328</v>
      </c>
      <c r="G556" s="140" t="s">
        <v>845</v>
      </c>
      <c r="H556" s="140" t="s">
        <v>849</v>
      </c>
    </row>
    <row r="557" spans="1:8" ht="15.75" customHeight="1">
      <c r="A557" s="140" t="s">
        <v>55</v>
      </c>
      <c r="B557" s="140" t="s">
        <v>21</v>
      </c>
      <c r="C557" s="141" t="s">
        <v>411</v>
      </c>
      <c r="D557" s="140" t="s">
        <v>412</v>
      </c>
      <c r="E557" s="140">
        <v>4</v>
      </c>
      <c r="F557" s="142">
        <v>45693.541666666672</v>
      </c>
      <c r="G557" s="140" t="s">
        <v>845</v>
      </c>
      <c r="H557" s="140" t="s">
        <v>849</v>
      </c>
    </row>
    <row r="558" spans="1:8" ht="15.75" customHeight="1">
      <c r="A558" s="140" t="s">
        <v>55</v>
      </c>
      <c r="B558" s="140" t="s">
        <v>21</v>
      </c>
      <c r="C558" s="141" t="s">
        <v>411</v>
      </c>
      <c r="D558" s="140" t="s">
        <v>412</v>
      </c>
      <c r="E558" s="140">
        <v>5</v>
      </c>
      <c r="F558" s="142">
        <v>45707.541666666672</v>
      </c>
      <c r="G558" s="140" t="s">
        <v>845</v>
      </c>
      <c r="H558" s="140" t="s">
        <v>849</v>
      </c>
    </row>
    <row r="559" spans="1:8" ht="15.75" customHeight="1">
      <c r="A559" s="140" t="s">
        <v>55</v>
      </c>
      <c r="B559" s="140" t="s">
        <v>21</v>
      </c>
      <c r="C559" s="141" t="s">
        <v>411</v>
      </c>
      <c r="D559" s="140" t="s">
        <v>412</v>
      </c>
      <c r="E559" s="140">
        <v>6</v>
      </c>
      <c r="F559" s="142">
        <v>45715.541666666672</v>
      </c>
      <c r="G559" s="140" t="s">
        <v>845</v>
      </c>
      <c r="H559" s="140" t="s">
        <v>849</v>
      </c>
    </row>
    <row r="560" spans="1:8" ht="15.75" customHeight="1">
      <c r="A560" s="140" t="s">
        <v>55</v>
      </c>
      <c r="B560" s="140" t="s">
        <v>21</v>
      </c>
      <c r="C560" s="141" t="s">
        <v>411</v>
      </c>
      <c r="D560" s="140" t="s">
        <v>412</v>
      </c>
      <c r="E560" s="140">
        <v>7</v>
      </c>
      <c r="F560" s="142">
        <v>45764.541666666672</v>
      </c>
      <c r="G560" s="140" t="s">
        <v>845</v>
      </c>
      <c r="H560" s="140" t="s">
        <v>849</v>
      </c>
    </row>
    <row r="561" spans="1:8" ht="15.75" customHeight="1">
      <c r="A561" s="140" t="s">
        <v>55</v>
      </c>
      <c r="B561" s="140" t="s">
        <v>21</v>
      </c>
      <c r="C561" s="141" t="s">
        <v>411</v>
      </c>
      <c r="D561" s="140" t="s">
        <v>412</v>
      </c>
      <c r="E561" s="140">
        <v>8</v>
      </c>
      <c r="F561" s="142">
        <v>45782.583333333328</v>
      </c>
      <c r="G561" s="140" t="s">
        <v>843</v>
      </c>
      <c r="H561" s="140" t="s">
        <v>849</v>
      </c>
    </row>
    <row r="562" spans="1:8" ht="15.75" customHeight="1">
      <c r="A562" s="140" t="s">
        <v>55</v>
      </c>
      <c r="B562" s="140" t="s">
        <v>21</v>
      </c>
      <c r="C562" s="141" t="s">
        <v>411</v>
      </c>
      <c r="D562" s="140" t="s">
        <v>412</v>
      </c>
      <c r="E562" s="140">
        <v>9</v>
      </c>
      <c r="F562" s="142">
        <v>45803.583333333328</v>
      </c>
      <c r="G562" s="140" t="s">
        <v>845</v>
      </c>
      <c r="H562" s="140" t="s">
        <v>849</v>
      </c>
    </row>
    <row r="563" spans="1:8" ht="15.75" customHeight="1">
      <c r="A563" s="140" t="s">
        <v>55</v>
      </c>
      <c r="B563" s="140" t="s">
        <v>21</v>
      </c>
      <c r="C563" s="141" t="s">
        <v>411</v>
      </c>
      <c r="D563" s="140" t="s">
        <v>412</v>
      </c>
      <c r="E563" s="140">
        <v>10</v>
      </c>
      <c r="F563" s="142">
        <v>45839.583333333328</v>
      </c>
      <c r="G563" s="140" t="s">
        <v>845</v>
      </c>
      <c r="H563" s="140" t="s">
        <v>849</v>
      </c>
    </row>
    <row r="564" spans="1:8" ht="15.75" customHeight="1">
      <c r="A564" s="140" t="s">
        <v>55</v>
      </c>
      <c r="B564" s="140" t="s">
        <v>21</v>
      </c>
      <c r="C564" s="141" t="s">
        <v>496</v>
      </c>
      <c r="D564" s="140" t="s">
        <v>497</v>
      </c>
      <c r="E564" s="140">
        <v>1</v>
      </c>
      <c r="F564" s="142">
        <v>45639.625</v>
      </c>
      <c r="G564" s="140" t="s">
        <v>845</v>
      </c>
      <c r="H564" s="140" t="s">
        <v>849</v>
      </c>
    </row>
    <row r="565" spans="1:8" ht="15.75" customHeight="1">
      <c r="A565" s="140" t="s">
        <v>55</v>
      </c>
      <c r="B565" s="140" t="s">
        <v>21</v>
      </c>
      <c r="C565" s="141" t="s">
        <v>496</v>
      </c>
      <c r="D565" s="140" t="s">
        <v>497</v>
      </c>
      <c r="E565" s="140">
        <v>2</v>
      </c>
      <c r="F565" s="142">
        <v>45649.458333333328</v>
      </c>
      <c r="G565" s="140" t="s">
        <v>845</v>
      </c>
      <c r="H565" s="140" t="s">
        <v>849</v>
      </c>
    </row>
    <row r="566" spans="1:8" ht="15.75" customHeight="1">
      <c r="A566" s="140" t="s">
        <v>55</v>
      </c>
      <c r="B566" s="140" t="s">
        <v>21</v>
      </c>
      <c r="C566" s="141" t="s">
        <v>496</v>
      </c>
      <c r="D566" s="140" t="s">
        <v>497</v>
      </c>
      <c r="E566" s="140">
        <v>3</v>
      </c>
      <c r="F566" s="142">
        <v>45670.583333333328</v>
      </c>
      <c r="G566" s="140" t="s">
        <v>845</v>
      </c>
      <c r="H566" s="140" t="s">
        <v>849</v>
      </c>
    </row>
    <row r="567" spans="1:8" ht="15.75" customHeight="1">
      <c r="A567" s="140" t="s">
        <v>55</v>
      </c>
      <c r="B567" s="140" t="s">
        <v>21</v>
      </c>
      <c r="C567" s="141" t="s">
        <v>496</v>
      </c>
      <c r="D567" s="140" t="s">
        <v>497</v>
      </c>
      <c r="E567" s="140">
        <v>4</v>
      </c>
      <c r="F567" s="142">
        <v>45693.541666666672</v>
      </c>
      <c r="G567" s="140" t="s">
        <v>845</v>
      </c>
      <c r="H567" s="140" t="s">
        <v>849</v>
      </c>
    </row>
    <row r="568" spans="1:8" ht="15.75" customHeight="1">
      <c r="A568" s="140" t="s">
        <v>55</v>
      </c>
      <c r="B568" s="140" t="s">
        <v>21</v>
      </c>
      <c r="C568" s="141" t="s">
        <v>496</v>
      </c>
      <c r="D568" s="140" t="s">
        <v>497</v>
      </c>
      <c r="E568" s="140">
        <v>5</v>
      </c>
      <c r="F568" s="142">
        <v>45707.541666666672</v>
      </c>
      <c r="G568" s="140" t="s">
        <v>845</v>
      </c>
      <c r="H568" s="140" t="s">
        <v>849</v>
      </c>
    </row>
    <row r="569" spans="1:8" ht="15.75" customHeight="1">
      <c r="A569" s="140" t="s">
        <v>55</v>
      </c>
      <c r="B569" s="140" t="s">
        <v>21</v>
      </c>
      <c r="C569" s="141" t="s">
        <v>496</v>
      </c>
      <c r="D569" s="140" t="s">
        <v>497</v>
      </c>
      <c r="E569" s="140">
        <v>6</v>
      </c>
      <c r="F569" s="142">
        <v>45715.541666666672</v>
      </c>
      <c r="G569" s="140" t="s">
        <v>845</v>
      </c>
      <c r="H569" s="140" t="s">
        <v>849</v>
      </c>
    </row>
    <row r="570" spans="1:8" ht="15.75" customHeight="1">
      <c r="A570" s="140" t="s">
        <v>55</v>
      </c>
      <c r="B570" s="140" t="s">
        <v>21</v>
      </c>
      <c r="C570" s="141" t="s">
        <v>496</v>
      </c>
      <c r="D570" s="140" t="s">
        <v>497</v>
      </c>
      <c r="E570" s="140">
        <v>7</v>
      </c>
      <c r="F570" s="142">
        <v>45764.541666666672</v>
      </c>
      <c r="G570" s="140" t="s">
        <v>845</v>
      </c>
      <c r="H570" s="140" t="s">
        <v>849</v>
      </c>
    </row>
    <row r="571" spans="1:8" ht="15.75" customHeight="1">
      <c r="A571" s="140" t="s">
        <v>55</v>
      </c>
      <c r="B571" s="140" t="s">
        <v>21</v>
      </c>
      <c r="C571" s="141" t="s">
        <v>496</v>
      </c>
      <c r="D571" s="140" t="s">
        <v>497</v>
      </c>
      <c r="E571" s="140">
        <v>8</v>
      </c>
      <c r="F571" s="142">
        <v>45782.583333333328</v>
      </c>
      <c r="G571" s="140" t="s">
        <v>845</v>
      </c>
      <c r="H571" s="140" t="s">
        <v>849</v>
      </c>
    </row>
    <row r="572" spans="1:8" ht="15.75" customHeight="1">
      <c r="A572" s="140" t="s">
        <v>55</v>
      </c>
      <c r="B572" s="140" t="s">
        <v>21</v>
      </c>
      <c r="C572" s="141" t="s">
        <v>496</v>
      </c>
      <c r="D572" s="140" t="s">
        <v>497</v>
      </c>
      <c r="E572" s="140">
        <v>9</v>
      </c>
      <c r="F572" s="142">
        <v>45803.583333333328</v>
      </c>
      <c r="G572" s="140" t="s">
        <v>845</v>
      </c>
      <c r="H572" s="140" t="s">
        <v>849</v>
      </c>
    </row>
    <row r="573" spans="1:8" ht="15.75" customHeight="1">
      <c r="A573" s="140" t="s">
        <v>55</v>
      </c>
      <c r="B573" s="140" t="s">
        <v>21</v>
      </c>
      <c r="C573" s="141" t="s">
        <v>496</v>
      </c>
      <c r="D573" s="140" t="s">
        <v>497</v>
      </c>
      <c r="E573" s="140">
        <v>10</v>
      </c>
      <c r="F573" s="142">
        <v>45839.583333333328</v>
      </c>
      <c r="G573" s="140" t="s">
        <v>845</v>
      </c>
      <c r="H573" s="140" t="s">
        <v>849</v>
      </c>
    </row>
    <row r="574" spans="1:8" ht="15.75" customHeight="1">
      <c r="A574" s="140" t="s">
        <v>55</v>
      </c>
      <c r="B574" s="140" t="s">
        <v>21</v>
      </c>
      <c r="C574" s="141" t="s">
        <v>547</v>
      </c>
      <c r="D574" s="140" t="s">
        <v>548</v>
      </c>
      <c r="E574" s="140">
        <v>1</v>
      </c>
      <c r="F574" s="142">
        <v>45639.625</v>
      </c>
      <c r="G574" s="140" t="s">
        <v>845</v>
      </c>
      <c r="H574" s="140" t="s">
        <v>849</v>
      </c>
    </row>
    <row r="575" spans="1:8" ht="15.75" customHeight="1">
      <c r="A575" s="140" t="s">
        <v>55</v>
      </c>
      <c r="B575" s="140" t="s">
        <v>21</v>
      </c>
      <c r="C575" s="141" t="s">
        <v>547</v>
      </c>
      <c r="D575" s="140" t="s">
        <v>548</v>
      </c>
      <c r="E575" s="140">
        <v>2</v>
      </c>
      <c r="F575" s="142">
        <v>45649.458333333328</v>
      </c>
      <c r="G575" s="140" t="s">
        <v>845</v>
      </c>
      <c r="H575" s="140" t="s">
        <v>849</v>
      </c>
    </row>
    <row r="576" spans="1:8" ht="15.75" customHeight="1">
      <c r="A576" s="140" t="s">
        <v>55</v>
      </c>
      <c r="B576" s="140" t="s">
        <v>21</v>
      </c>
      <c r="C576" s="141" t="s">
        <v>547</v>
      </c>
      <c r="D576" s="140" t="s">
        <v>548</v>
      </c>
      <c r="E576" s="140">
        <v>3</v>
      </c>
      <c r="F576" s="142">
        <v>45670.583333333328</v>
      </c>
      <c r="G576" s="140" t="s">
        <v>845</v>
      </c>
      <c r="H576" s="140" t="s">
        <v>849</v>
      </c>
    </row>
    <row r="577" spans="1:8" ht="15.75" customHeight="1">
      <c r="A577" s="140" t="s">
        <v>55</v>
      </c>
      <c r="B577" s="140" t="s">
        <v>21</v>
      </c>
      <c r="C577" s="141" t="s">
        <v>547</v>
      </c>
      <c r="D577" s="140" t="s">
        <v>548</v>
      </c>
      <c r="E577" s="140">
        <v>4</v>
      </c>
      <c r="F577" s="142">
        <v>45693.541666666672</v>
      </c>
      <c r="G577" s="140" t="s">
        <v>845</v>
      </c>
      <c r="H577" s="140" t="s">
        <v>849</v>
      </c>
    </row>
    <row r="578" spans="1:8" ht="15.75" customHeight="1">
      <c r="A578" s="140" t="s">
        <v>55</v>
      </c>
      <c r="B578" s="140" t="s">
        <v>21</v>
      </c>
      <c r="C578" s="141" t="s">
        <v>547</v>
      </c>
      <c r="D578" s="140" t="s">
        <v>548</v>
      </c>
      <c r="E578" s="140">
        <v>5</v>
      </c>
      <c r="F578" s="142">
        <v>45707.541666666672</v>
      </c>
      <c r="G578" s="140" t="s">
        <v>845</v>
      </c>
      <c r="H578" s="140" t="s">
        <v>849</v>
      </c>
    </row>
    <row r="579" spans="1:8" ht="15.75" customHeight="1">
      <c r="A579" s="140" t="s">
        <v>55</v>
      </c>
      <c r="B579" s="140" t="s">
        <v>21</v>
      </c>
      <c r="C579" s="141" t="s">
        <v>547</v>
      </c>
      <c r="D579" s="140" t="s">
        <v>548</v>
      </c>
      <c r="E579" s="140">
        <v>6</v>
      </c>
      <c r="F579" s="142">
        <v>45715.541666666672</v>
      </c>
      <c r="G579" s="140" t="s">
        <v>845</v>
      </c>
      <c r="H579" s="140" t="s">
        <v>849</v>
      </c>
    </row>
    <row r="580" spans="1:8" ht="15.75" customHeight="1">
      <c r="A580" s="140" t="s">
        <v>55</v>
      </c>
      <c r="B580" s="140" t="s">
        <v>21</v>
      </c>
      <c r="C580" s="141" t="s">
        <v>547</v>
      </c>
      <c r="D580" s="140" t="s">
        <v>548</v>
      </c>
      <c r="E580" s="140">
        <v>7</v>
      </c>
      <c r="F580" s="142">
        <v>45764.541666666672</v>
      </c>
      <c r="G580" s="140" t="s">
        <v>845</v>
      </c>
      <c r="H580" s="140" t="s">
        <v>849</v>
      </c>
    </row>
    <row r="581" spans="1:8" ht="15.75" customHeight="1">
      <c r="A581" s="140" t="s">
        <v>55</v>
      </c>
      <c r="B581" s="140" t="s">
        <v>21</v>
      </c>
      <c r="C581" s="141" t="s">
        <v>547</v>
      </c>
      <c r="D581" s="140" t="s">
        <v>548</v>
      </c>
      <c r="E581" s="140">
        <v>8</v>
      </c>
      <c r="F581" s="142">
        <v>45782.583333333328</v>
      </c>
      <c r="G581" s="140" t="s">
        <v>843</v>
      </c>
      <c r="H581" s="140" t="s">
        <v>849</v>
      </c>
    </row>
    <row r="582" spans="1:8" ht="15.75" customHeight="1">
      <c r="A582" s="140" t="s">
        <v>55</v>
      </c>
      <c r="B582" s="140" t="s">
        <v>21</v>
      </c>
      <c r="C582" s="141" t="s">
        <v>547</v>
      </c>
      <c r="D582" s="140" t="s">
        <v>548</v>
      </c>
      <c r="E582" s="140">
        <v>9</v>
      </c>
      <c r="F582" s="142">
        <v>45803.583333333328</v>
      </c>
      <c r="G582" s="140" t="s">
        <v>845</v>
      </c>
      <c r="H582" s="140" t="s">
        <v>849</v>
      </c>
    </row>
    <row r="583" spans="1:8" ht="15.75" customHeight="1">
      <c r="A583" s="140" t="s">
        <v>55</v>
      </c>
      <c r="B583" s="140" t="s">
        <v>21</v>
      </c>
      <c r="C583" s="141" t="s">
        <v>547</v>
      </c>
      <c r="D583" s="140" t="s">
        <v>548</v>
      </c>
      <c r="E583" s="140">
        <v>10</v>
      </c>
      <c r="F583" s="142">
        <v>45839.583333333328</v>
      </c>
      <c r="G583" s="140" t="s">
        <v>845</v>
      </c>
      <c r="H583" s="140" t="s">
        <v>849</v>
      </c>
    </row>
    <row r="584" spans="1:8" ht="15.75" customHeight="1">
      <c r="A584" s="140" t="s">
        <v>56</v>
      </c>
      <c r="B584" s="140" t="s">
        <v>21</v>
      </c>
      <c r="C584" s="141" t="s">
        <v>176</v>
      </c>
      <c r="D584" s="140" t="s">
        <v>177</v>
      </c>
      <c r="E584" s="140">
        <v>1</v>
      </c>
      <c r="F584" s="142">
        <v>45639.416666666672</v>
      </c>
      <c r="G584" s="140" t="s">
        <v>843</v>
      </c>
      <c r="H584" s="140" t="s">
        <v>850</v>
      </c>
    </row>
    <row r="585" spans="1:8" ht="15.75" customHeight="1">
      <c r="A585" s="140" t="s">
        <v>56</v>
      </c>
      <c r="B585" s="140" t="s">
        <v>21</v>
      </c>
      <c r="C585" s="141" t="s">
        <v>176</v>
      </c>
      <c r="D585" s="140" t="s">
        <v>177</v>
      </c>
      <c r="E585" s="140">
        <v>2</v>
      </c>
      <c r="F585" s="142">
        <v>45660.416666666672</v>
      </c>
      <c r="G585" s="140" t="s">
        <v>845</v>
      </c>
      <c r="H585" s="140" t="s">
        <v>850</v>
      </c>
    </row>
    <row r="586" spans="1:8" ht="15.75" customHeight="1">
      <c r="A586" s="140" t="s">
        <v>56</v>
      </c>
      <c r="B586" s="140" t="s">
        <v>21</v>
      </c>
      <c r="C586" s="141" t="s">
        <v>176</v>
      </c>
      <c r="D586" s="140" t="s">
        <v>177</v>
      </c>
      <c r="E586" s="140">
        <v>3</v>
      </c>
      <c r="F586" s="142">
        <v>45663.541666666672</v>
      </c>
      <c r="G586" s="140" t="s">
        <v>845</v>
      </c>
      <c r="H586" s="140" t="s">
        <v>850</v>
      </c>
    </row>
    <row r="587" spans="1:8" ht="15.75" customHeight="1">
      <c r="A587" s="140" t="s">
        <v>56</v>
      </c>
      <c r="B587" s="140" t="s">
        <v>21</v>
      </c>
      <c r="C587" s="141" t="s">
        <v>176</v>
      </c>
      <c r="D587" s="140" t="s">
        <v>177</v>
      </c>
      <c r="E587" s="140">
        <v>4</v>
      </c>
      <c r="F587" s="142">
        <v>45678.375</v>
      </c>
      <c r="G587" s="140" t="s">
        <v>845</v>
      </c>
      <c r="H587" s="140" t="s">
        <v>850</v>
      </c>
    </row>
    <row r="588" spans="1:8" ht="15.75" customHeight="1">
      <c r="A588" s="140" t="s">
        <v>56</v>
      </c>
      <c r="B588" s="140" t="s">
        <v>21</v>
      </c>
      <c r="C588" s="141" t="s">
        <v>176</v>
      </c>
      <c r="D588" s="140" t="s">
        <v>177</v>
      </c>
      <c r="E588" s="140">
        <v>5</v>
      </c>
      <c r="F588" s="142">
        <v>45700.541666666672</v>
      </c>
      <c r="G588" s="140" t="s">
        <v>843</v>
      </c>
      <c r="H588" s="140" t="s">
        <v>850</v>
      </c>
    </row>
    <row r="589" spans="1:8" ht="15.75" customHeight="1">
      <c r="A589" s="140" t="s">
        <v>56</v>
      </c>
      <c r="B589" s="140" t="s">
        <v>21</v>
      </c>
      <c r="C589" s="141" t="s">
        <v>176</v>
      </c>
      <c r="D589" s="140" t="s">
        <v>177</v>
      </c>
      <c r="E589" s="140">
        <v>6</v>
      </c>
      <c r="F589" s="142">
        <v>45709.541666666672</v>
      </c>
      <c r="G589" s="140" t="s">
        <v>845</v>
      </c>
      <c r="H589" s="140" t="s">
        <v>850</v>
      </c>
    </row>
    <row r="590" spans="1:8" ht="15.75" customHeight="1">
      <c r="A590" s="140" t="s">
        <v>56</v>
      </c>
      <c r="B590" s="140" t="s">
        <v>21</v>
      </c>
      <c r="C590" s="141" t="s">
        <v>176</v>
      </c>
      <c r="D590" s="140" t="s">
        <v>177</v>
      </c>
      <c r="E590" s="140">
        <v>7</v>
      </c>
      <c r="F590" s="142">
        <v>45714.541666666672</v>
      </c>
      <c r="G590" s="140" t="s">
        <v>845</v>
      </c>
      <c r="H590" s="140" t="s">
        <v>850</v>
      </c>
    </row>
    <row r="591" spans="1:8" ht="15.75" customHeight="1">
      <c r="A591" s="140" t="s">
        <v>56</v>
      </c>
      <c r="B591" s="140" t="s">
        <v>21</v>
      </c>
      <c r="C591" s="141" t="s">
        <v>176</v>
      </c>
      <c r="D591" s="140" t="s">
        <v>177</v>
      </c>
      <c r="E591" s="140">
        <v>8</v>
      </c>
      <c r="F591" s="142">
        <v>45762.541666666672</v>
      </c>
      <c r="G591" s="140" t="s">
        <v>845</v>
      </c>
      <c r="H591" s="140" t="s">
        <v>850</v>
      </c>
    </row>
    <row r="592" spans="1:8" ht="15.75" customHeight="1">
      <c r="A592" s="140" t="s">
        <v>56</v>
      </c>
      <c r="B592" s="140" t="s">
        <v>21</v>
      </c>
      <c r="C592" s="141" t="s">
        <v>176</v>
      </c>
      <c r="D592" s="140" t="s">
        <v>177</v>
      </c>
      <c r="E592" s="140">
        <v>9</v>
      </c>
      <c r="F592" s="142">
        <v>45769.416666666672</v>
      </c>
      <c r="G592" s="140" t="s">
        <v>845</v>
      </c>
      <c r="H592" s="140" t="s">
        <v>850</v>
      </c>
    </row>
    <row r="593" spans="1:8" ht="15.75" customHeight="1">
      <c r="A593" s="140" t="s">
        <v>56</v>
      </c>
      <c r="B593" s="140" t="s">
        <v>21</v>
      </c>
      <c r="C593" s="141" t="s">
        <v>176</v>
      </c>
      <c r="D593" s="140" t="s">
        <v>177</v>
      </c>
      <c r="E593" s="140">
        <v>10</v>
      </c>
      <c r="F593" s="142">
        <v>45807.583333333328</v>
      </c>
      <c r="G593" s="140" t="s">
        <v>845</v>
      </c>
      <c r="H593" s="140" t="s">
        <v>850</v>
      </c>
    </row>
    <row r="594" spans="1:8" ht="15.75" customHeight="1">
      <c r="A594" s="140" t="s">
        <v>56</v>
      </c>
      <c r="B594" s="140" t="s">
        <v>21</v>
      </c>
      <c r="C594" s="141" t="s">
        <v>228</v>
      </c>
      <c r="D594" s="140" t="s">
        <v>229</v>
      </c>
      <c r="E594" s="140">
        <v>1</v>
      </c>
      <c r="F594" s="142">
        <v>45639.416666666672</v>
      </c>
      <c r="G594" s="140" t="s">
        <v>845</v>
      </c>
      <c r="H594" s="140" t="s">
        <v>850</v>
      </c>
    </row>
    <row r="595" spans="1:8" ht="15.75" customHeight="1">
      <c r="A595" s="140" t="s">
        <v>56</v>
      </c>
      <c r="B595" s="140" t="s">
        <v>21</v>
      </c>
      <c r="C595" s="141" t="s">
        <v>228</v>
      </c>
      <c r="D595" s="140" t="s">
        <v>229</v>
      </c>
      <c r="E595" s="140">
        <v>2</v>
      </c>
      <c r="F595" s="142">
        <v>45660.416666666672</v>
      </c>
      <c r="G595" s="140" t="s">
        <v>845</v>
      </c>
      <c r="H595" s="140" t="s">
        <v>850</v>
      </c>
    </row>
    <row r="596" spans="1:8" ht="15.75" customHeight="1">
      <c r="A596" s="140" t="s">
        <v>56</v>
      </c>
      <c r="B596" s="140" t="s">
        <v>21</v>
      </c>
      <c r="C596" s="141" t="s">
        <v>228</v>
      </c>
      <c r="D596" s="140" t="s">
        <v>229</v>
      </c>
      <c r="E596" s="140">
        <v>3</v>
      </c>
      <c r="F596" s="142">
        <v>45663.541666666672</v>
      </c>
      <c r="G596" s="140" t="s">
        <v>845</v>
      </c>
      <c r="H596" s="140" t="s">
        <v>850</v>
      </c>
    </row>
    <row r="597" spans="1:8" ht="15.75" customHeight="1">
      <c r="A597" s="140" t="s">
        <v>56</v>
      </c>
      <c r="B597" s="140" t="s">
        <v>21</v>
      </c>
      <c r="C597" s="141" t="s">
        <v>228</v>
      </c>
      <c r="D597" s="140" t="s">
        <v>229</v>
      </c>
      <c r="E597" s="140">
        <v>4</v>
      </c>
      <c r="F597" s="142">
        <v>45678.375</v>
      </c>
      <c r="G597" s="140" t="s">
        <v>845</v>
      </c>
      <c r="H597" s="140" t="s">
        <v>850</v>
      </c>
    </row>
    <row r="598" spans="1:8" ht="15.75" customHeight="1">
      <c r="A598" s="140" t="s">
        <v>56</v>
      </c>
      <c r="B598" s="140" t="s">
        <v>21</v>
      </c>
      <c r="C598" s="141" t="s">
        <v>228</v>
      </c>
      <c r="D598" s="140" t="s">
        <v>229</v>
      </c>
      <c r="E598" s="140">
        <v>5</v>
      </c>
      <c r="F598" s="142">
        <v>45700.541666666672</v>
      </c>
      <c r="G598" s="140" t="s">
        <v>845</v>
      </c>
      <c r="H598" s="140" t="s">
        <v>850</v>
      </c>
    </row>
    <row r="599" spans="1:8" ht="15.75" customHeight="1">
      <c r="A599" s="140" t="s">
        <v>56</v>
      </c>
      <c r="B599" s="140" t="s">
        <v>21</v>
      </c>
      <c r="C599" s="141" t="s">
        <v>228</v>
      </c>
      <c r="D599" s="140" t="s">
        <v>229</v>
      </c>
      <c r="E599" s="140">
        <v>6</v>
      </c>
      <c r="F599" s="142">
        <v>45709.541666666672</v>
      </c>
      <c r="G599" s="140" t="s">
        <v>843</v>
      </c>
      <c r="H599" s="140" t="s">
        <v>850</v>
      </c>
    </row>
    <row r="600" spans="1:8" ht="15.75" customHeight="1">
      <c r="A600" s="140" t="s">
        <v>56</v>
      </c>
      <c r="B600" s="140" t="s">
        <v>21</v>
      </c>
      <c r="C600" s="141" t="s">
        <v>228</v>
      </c>
      <c r="D600" s="140" t="s">
        <v>229</v>
      </c>
      <c r="E600" s="140">
        <v>7</v>
      </c>
      <c r="F600" s="142">
        <v>45714.541666666672</v>
      </c>
      <c r="G600" s="140" t="s">
        <v>845</v>
      </c>
      <c r="H600" s="140" t="s">
        <v>850</v>
      </c>
    </row>
    <row r="601" spans="1:8" ht="15.75" customHeight="1">
      <c r="A601" s="140" t="s">
        <v>56</v>
      </c>
      <c r="B601" s="140" t="s">
        <v>21</v>
      </c>
      <c r="C601" s="141" t="s">
        <v>228</v>
      </c>
      <c r="D601" s="140" t="s">
        <v>229</v>
      </c>
      <c r="E601" s="140">
        <v>8</v>
      </c>
      <c r="F601" s="142">
        <v>45762.541666666672</v>
      </c>
      <c r="G601" s="140" t="s">
        <v>845</v>
      </c>
      <c r="H601" s="140" t="s">
        <v>850</v>
      </c>
    </row>
    <row r="602" spans="1:8" ht="15.75" customHeight="1">
      <c r="A602" s="140" t="s">
        <v>56</v>
      </c>
      <c r="B602" s="140" t="s">
        <v>21</v>
      </c>
      <c r="C602" s="141" t="s">
        <v>228</v>
      </c>
      <c r="D602" s="140" t="s">
        <v>229</v>
      </c>
      <c r="E602" s="140">
        <v>9</v>
      </c>
      <c r="F602" s="142">
        <v>45769.416666666672</v>
      </c>
      <c r="G602" s="140" t="s">
        <v>845</v>
      </c>
      <c r="H602" s="140" t="s">
        <v>850</v>
      </c>
    </row>
    <row r="603" spans="1:8" ht="15.75" customHeight="1">
      <c r="A603" s="140" t="s">
        <v>56</v>
      </c>
      <c r="B603" s="140" t="s">
        <v>21</v>
      </c>
      <c r="C603" s="141" t="s">
        <v>228</v>
      </c>
      <c r="D603" s="140" t="s">
        <v>229</v>
      </c>
      <c r="E603" s="140">
        <v>10</v>
      </c>
      <c r="F603" s="142">
        <v>45807.583333333328</v>
      </c>
      <c r="G603" s="140" t="s">
        <v>845</v>
      </c>
      <c r="H603" s="140" t="s">
        <v>850</v>
      </c>
    </row>
    <row r="604" spans="1:8" ht="15.75" customHeight="1">
      <c r="A604" s="140" t="s">
        <v>56</v>
      </c>
      <c r="B604" s="140" t="s">
        <v>21</v>
      </c>
      <c r="C604" s="141" t="s">
        <v>445</v>
      </c>
      <c r="D604" s="140" t="s">
        <v>446</v>
      </c>
      <c r="E604" s="140">
        <v>1</v>
      </c>
      <c r="F604" s="142">
        <v>45639.416666666672</v>
      </c>
      <c r="G604" s="140" t="s">
        <v>845</v>
      </c>
      <c r="H604" s="140" t="s">
        <v>850</v>
      </c>
    </row>
    <row r="605" spans="1:8" ht="15.75" customHeight="1">
      <c r="A605" s="140" t="s">
        <v>56</v>
      </c>
      <c r="B605" s="140" t="s">
        <v>21</v>
      </c>
      <c r="C605" s="141" t="s">
        <v>445</v>
      </c>
      <c r="D605" s="140" t="s">
        <v>446</v>
      </c>
      <c r="E605" s="140">
        <v>2</v>
      </c>
      <c r="F605" s="142">
        <v>45660.416666666672</v>
      </c>
      <c r="G605" s="140" t="s">
        <v>845</v>
      </c>
      <c r="H605" s="140" t="s">
        <v>850</v>
      </c>
    </row>
    <row r="606" spans="1:8" ht="15.75" customHeight="1">
      <c r="A606" s="140" t="s">
        <v>56</v>
      </c>
      <c r="B606" s="140" t="s">
        <v>21</v>
      </c>
      <c r="C606" s="141" t="s">
        <v>445</v>
      </c>
      <c r="D606" s="140" t="s">
        <v>446</v>
      </c>
      <c r="E606" s="140">
        <v>3</v>
      </c>
      <c r="F606" s="142">
        <v>45663.541666666672</v>
      </c>
      <c r="G606" s="140" t="s">
        <v>845</v>
      </c>
      <c r="H606" s="140" t="s">
        <v>850</v>
      </c>
    </row>
    <row r="607" spans="1:8" ht="15.75" customHeight="1">
      <c r="A607" s="140" t="s">
        <v>56</v>
      </c>
      <c r="B607" s="140" t="s">
        <v>21</v>
      </c>
      <c r="C607" s="141" t="s">
        <v>445</v>
      </c>
      <c r="D607" s="140" t="s">
        <v>446</v>
      </c>
      <c r="E607" s="140">
        <v>4</v>
      </c>
      <c r="F607" s="142">
        <v>45678.375</v>
      </c>
      <c r="G607" s="140" t="s">
        <v>845</v>
      </c>
      <c r="H607" s="140" t="s">
        <v>850</v>
      </c>
    </row>
    <row r="608" spans="1:8" ht="15.75" customHeight="1">
      <c r="A608" s="140" t="s">
        <v>56</v>
      </c>
      <c r="B608" s="140" t="s">
        <v>21</v>
      </c>
      <c r="C608" s="141" t="s">
        <v>445</v>
      </c>
      <c r="D608" s="140" t="s">
        <v>446</v>
      </c>
      <c r="E608" s="140">
        <v>5</v>
      </c>
      <c r="F608" s="142">
        <v>45700.541666666672</v>
      </c>
      <c r="G608" s="140" t="s">
        <v>845</v>
      </c>
      <c r="H608" s="140" t="s">
        <v>850</v>
      </c>
    </row>
    <row r="609" spans="1:8" ht="15.75" customHeight="1">
      <c r="A609" s="140" t="s">
        <v>56</v>
      </c>
      <c r="B609" s="140" t="s">
        <v>21</v>
      </c>
      <c r="C609" s="141" t="s">
        <v>445</v>
      </c>
      <c r="D609" s="140" t="s">
        <v>446</v>
      </c>
      <c r="E609" s="140">
        <v>6</v>
      </c>
      <c r="F609" s="142">
        <v>45709.541666666672</v>
      </c>
      <c r="G609" s="140" t="s">
        <v>845</v>
      </c>
      <c r="H609" s="140" t="s">
        <v>850</v>
      </c>
    </row>
    <row r="610" spans="1:8" ht="15.75" customHeight="1">
      <c r="A610" s="140" t="s">
        <v>56</v>
      </c>
      <c r="B610" s="140" t="s">
        <v>21</v>
      </c>
      <c r="C610" s="141" t="s">
        <v>445</v>
      </c>
      <c r="D610" s="140" t="s">
        <v>446</v>
      </c>
      <c r="E610" s="140">
        <v>7</v>
      </c>
      <c r="F610" s="142">
        <v>45714.541666666672</v>
      </c>
      <c r="G610" s="140" t="s">
        <v>845</v>
      </c>
      <c r="H610" s="140" t="s">
        <v>850</v>
      </c>
    </row>
    <row r="611" spans="1:8" ht="15.75" customHeight="1">
      <c r="A611" s="140" t="s">
        <v>56</v>
      </c>
      <c r="B611" s="140" t="s">
        <v>21</v>
      </c>
      <c r="C611" s="141" t="s">
        <v>445</v>
      </c>
      <c r="D611" s="140" t="s">
        <v>446</v>
      </c>
      <c r="E611" s="140">
        <v>8</v>
      </c>
      <c r="F611" s="142">
        <v>45762.541666666672</v>
      </c>
      <c r="G611" s="140" t="s">
        <v>845</v>
      </c>
      <c r="H611" s="140" t="s">
        <v>850</v>
      </c>
    </row>
    <row r="612" spans="1:8" ht="15.75" customHeight="1">
      <c r="A612" s="140" t="s">
        <v>56</v>
      </c>
      <c r="B612" s="140" t="s">
        <v>21</v>
      </c>
      <c r="C612" s="141" t="s">
        <v>445</v>
      </c>
      <c r="D612" s="140" t="s">
        <v>446</v>
      </c>
      <c r="E612" s="140">
        <v>9</v>
      </c>
      <c r="F612" s="142">
        <v>45769.416666666672</v>
      </c>
      <c r="G612" s="140" t="s">
        <v>845</v>
      </c>
      <c r="H612" s="140" t="s">
        <v>850</v>
      </c>
    </row>
    <row r="613" spans="1:8" ht="15.75" customHeight="1">
      <c r="A613" s="140" t="s">
        <v>56</v>
      </c>
      <c r="B613" s="140" t="s">
        <v>21</v>
      </c>
      <c r="C613" s="141" t="s">
        <v>445</v>
      </c>
      <c r="D613" s="140" t="s">
        <v>446</v>
      </c>
      <c r="E613" s="140">
        <v>10</v>
      </c>
      <c r="F613" s="142">
        <v>45807.583333333328</v>
      </c>
      <c r="G613" s="140" t="s">
        <v>845</v>
      </c>
      <c r="H613" s="140" t="s">
        <v>850</v>
      </c>
    </row>
    <row r="614" spans="1:8" ht="15.75" customHeight="1">
      <c r="A614" s="140" t="s">
        <v>56</v>
      </c>
      <c r="B614" s="140" t="s">
        <v>21</v>
      </c>
      <c r="C614" s="141" t="s">
        <v>482</v>
      </c>
      <c r="D614" s="140" t="s">
        <v>483</v>
      </c>
      <c r="E614" s="140">
        <v>1</v>
      </c>
      <c r="F614" s="142">
        <v>45639.416666666672</v>
      </c>
      <c r="G614" s="140" t="s">
        <v>845</v>
      </c>
      <c r="H614" s="140" t="s">
        <v>850</v>
      </c>
    </row>
    <row r="615" spans="1:8" ht="15.75" customHeight="1">
      <c r="A615" s="140" t="s">
        <v>56</v>
      </c>
      <c r="B615" s="140" t="s">
        <v>21</v>
      </c>
      <c r="C615" s="141" t="s">
        <v>482</v>
      </c>
      <c r="D615" s="140" t="s">
        <v>483</v>
      </c>
      <c r="E615" s="140">
        <v>2</v>
      </c>
      <c r="F615" s="142">
        <v>45660.416666666672</v>
      </c>
      <c r="G615" s="140" t="s">
        <v>843</v>
      </c>
      <c r="H615" s="140" t="s">
        <v>850</v>
      </c>
    </row>
    <row r="616" spans="1:8" ht="15.75" customHeight="1">
      <c r="A616" s="140" t="s">
        <v>56</v>
      </c>
      <c r="B616" s="140" t="s">
        <v>21</v>
      </c>
      <c r="C616" s="141" t="s">
        <v>482</v>
      </c>
      <c r="D616" s="140" t="s">
        <v>483</v>
      </c>
      <c r="E616" s="140">
        <v>3</v>
      </c>
      <c r="F616" s="142">
        <v>45663.541666666672</v>
      </c>
      <c r="G616" s="140" t="s">
        <v>845</v>
      </c>
      <c r="H616" s="140" t="s">
        <v>850</v>
      </c>
    </row>
    <row r="617" spans="1:8" ht="15.75" customHeight="1">
      <c r="A617" s="140" t="s">
        <v>56</v>
      </c>
      <c r="B617" s="140" t="s">
        <v>21</v>
      </c>
      <c r="C617" s="141" t="s">
        <v>482</v>
      </c>
      <c r="D617" s="140" t="s">
        <v>483</v>
      </c>
      <c r="E617" s="140">
        <v>4</v>
      </c>
      <c r="F617" s="142">
        <v>45678.375</v>
      </c>
      <c r="G617" s="140" t="s">
        <v>845</v>
      </c>
      <c r="H617" s="140" t="s">
        <v>850</v>
      </c>
    </row>
    <row r="618" spans="1:8" ht="15.75" customHeight="1">
      <c r="A618" s="140" t="s">
        <v>56</v>
      </c>
      <c r="B618" s="140" t="s">
        <v>21</v>
      </c>
      <c r="C618" s="141" t="s">
        <v>482</v>
      </c>
      <c r="D618" s="140" t="s">
        <v>483</v>
      </c>
      <c r="E618" s="140">
        <v>5</v>
      </c>
      <c r="F618" s="142">
        <v>45700.541666666672</v>
      </c>
      <c r="G618" s="140" t="s">
        <v>845</v>
      </c>
      <c r="H618" s="140" t="s">
        <v>850</v>
      </c>
    </row>
    <row r="619" spans="1:8" ht="15.75" customHeight="1">
      <c r="A619" s="140" t="s">
        <v>56</v>
      </c>
      <c r="B619" s="140" t="s">
        <v>21</v>
      </c>
      <c r="C619" s="141" t="s">
        <v>482</v>
      </c>
      <c r="D619" s="140" t="s">
        <v>483</v>
      </c>
      <c r="E619" s="140">
        <v>6</v>
      </c>
      <c r="F619" s="142">
        <v>45709.541666666672</v>
      </c>
      <c r="G619" s="140" t="s">
        <v>845</v>
      </c>
      <c r="H619" s="140" t="s">
        <v>850</v>
      </c>
    </row>
    <row r="620" spans="1:8" ht="15.75" customHeight="1">
      <c r="A620" s="140" t="s">
        <v>56</v>
      </c>
      <c r="B620" s="140" t="s">
        <v>21</v>
      </c>
      <c r="C620" s="141" t="s">
        <v>482</v>
      </c>
      <c r="D620" s="140" t="s">
        <v>483</v>
      </c>
      <c r="E620" s="140">
        <v>7</v>
      </c>
      <c r="F620" s="142">
        <v>45714.541666666672</v>
      </c>
      <c r="G620" s="140" t="s">
        <v>845</v>
      </c>
      <c r="H620" s="140" t="s">
        <v>850</v>
      </c>
    </row>
    <row r="621" spans="1:8" ht="15.75" customHeight="1">
      <c r="A621" s="140" t="s">
        <v>56</v>
      </c>
      <c r="B621" s="140" t="s">
        <v>21</v>
      </c>
      <c r="C621" s="141" t="s">
        <v>482</v>
      </c>
      <c r="D621" s="140" t="s">
        <v>483</v>
      </c>
      <c r="E621" s="140">
        <v>8</v>
      </c>
      <c r="F621" s="142">
        <v>45762.541666666672</v>
      </c>
      <c r="G621" s="140" t="s">
        <v>845</v>
      </c>
      <c r="H621" s="140" t="s">
        <v>850</v>
      </c>
    </row>
    <row r="622" spans="1:8" ht="15.75" customHeight="1">
      <c r="A622" s="140" t="s">
        <v>56</v>
      </c>
      <c r="B622" s="140" t="s">
        <v>21</v>
      </c>
      <c r="C622" s="141" t="s">
        <v>482</v>
      </c>
      <c r="D622" s="140" t="s">
        <v>483</v>
      </c>
      <c r="E622" s="140">
        <v>9</v>
      </c>
      <c r="F622" s="142">
        <v>45769.416666666672</v>
      </c>
      <c r="G622" s="140" t="s">
        <v>845</v>
      </c>
      <c r="H622" s="140" t="s">
        <v>850</v>
      </c>
    </row>
    <row r="623" spans="1:8" ht="15.75" customHeight="1">
      <c r="A623" s="140" t="s">
        <v>56</v>
      </c>
      <c r="B623" s="140" t="s">
        <v>21</v>
      </c>
      <c r="C623" s="141" t="s">
        <v>482</v>
      </c>
      <c r="D623" s="140" t="s">
        <v>483</v>
      </c>
      <c r="E623" s="140">
        <v>10</v>
      </c>
      <c r="F623" s="142">
        <v>45807.583333333328</v>
      </c>
      <c r="G623" s="140" t="s">
        <v>845</v>
      </c>
      <c r="H623" s="140" t="s">
        <v>850</v>
      </c>
    </row>
    <row r="624" spans="1:8" ht="15.75" customHeight="1">
      <c r="A624" s="140" t="s">
        <v>57</v>
      </c>
      <c r="B624" s="140" t="s">
        <v>22</v>
      </c>
      <c r="C624" s="141" t="s">
        <v>167</v>
      </c>
      <c r="D624" s="140" t="s">
        <v>168</v>
      </c>
      <c r="E624" s="140">
        <v>1</v>
      </c>
      <c r="F624" s="142">
        <v>45841.583333333328</v>
      </c>
      <c r="G624" s="140" t="s">
        <v>845</v>
      </c>
      <c r="H624" s="140" t="s">
        <v>851</v>
      </c>
    </row>
    <row r="625" spans="1:8" ht="15.75" customHeight="1">
      <c r="A625" s="140" t="s">
        <v>57</v>
      </c>
      <c r="B625" s="140" t="s">
        <v>22</v>
      </c>
      <c r="C625" s="141" t="s">
        <v>167</v>
      </c>
      <c r="D625" s="140" t="s">
        <v>168</v>
      </c>
      <c r="E625" s="140">
        <v>2</v>
      </c>
      <c r="F625" s="142">
        <v>45853.416666666672</v>
      </c>
      <c r="G625" s="140" t="s">
        <v>845</v>
      </c>
      <c r="H625" s="140" t="s">
        <v>851</v>
      </c>
    </row>
    <row r="626" spans="1:8" ht="15.75" customHeight="1">
      <c r="A626" s="140" t="s">
        <v>57</v>
      </c>
      <c r="B626" s="140" t="s">
        <v>22</v>
      </c>
      <c r="C626" s="141" t="s">
        <v>167</v>
      </c>
      <c r="D626" s="140" t="s">
        <v>168</v>
      </c>
      <c r="E626" s="140">
        <v>3</v>
      </c>
      <c r="F626" s="142">
        <v>45882.625</v>
      </c>
      <c r="G626" s="140" t="s">
        <v>843</v>
      </c>
      <c r="H626" s="140" t="s">
        <v>851</v>
      </c>
    </row>
    <row r="627" spans="1:8" ht="15.75" customHeight="1">
      <c r="A627" s="140" t="s">
        <v>57</v>
      </c>
      <c r="B627" s="140" t="s">
        <v>22</v>
      </c>
      <c r="C627" s="141" t="s">
        <v>167</v>
      </c>
      <c r="D627" s="140" t="s">
        <v>168</v>
      </c>
      <c r="E627" s="140">
        <v>4</v>
      </c>
      <c r="F627" s="142">
        <v>45889.625</v>
      </c>
      <c r="G627" s="140" t="s">
        <v>845</v>
      </c>
      <c r="H627" s="140" t="s">
        <v>851</v>
      </c>
    </row>
    <row r="628" spans="1:8" ht="15.75" customHeight="1">
      <c r="A628" s="140" t="s">
        <v>57</v>
      </c>
      <c r="B628" s="140" t="s">
        <v>22</v>
      </c>
      <c r="C628" s="141" t="s">
        <v>167</v>
      </c>
      <c r="D628" s="140" t="s">
        <v>168</v>
      </c>
      <c r="E628" s="140">
        <v>5</v>
      </c>
      <c r="F628" s="142">
        <v>45917.625</v>
      </c>
      <c r="G628" s="140" t="s">
        <v>843</v>
      </c>
      <c r="H628" s="140" t="s">
        <v>851</v>
      </c>
    </row>
    <row r="629" spans="1:8" ht="15.75" customHeight="1">
      <c r="A629" s="140" t="s">
        <v>57</v>
      </c>
      <c r="B629" s="140" t="s">
        <v>22</v>
      </c>
      <c r="C629" s="141" t="s">
        <v>167</v>
      </c>
      <c r="D629" s="140" t="s">
        <v>168</v>
      </c>
      <c r="E629" s="140">
        <v>6</v>
      </c>
      <c r="F629" s="142">
        <v>45924.625</v>
      </c>
      <c r="G629" s="140" t="s">
        <v>845</v>
      </c>
      <c r="H629" s="140" t="s">
        <v>851</v>
      </c>
    </row>
    <row r="630" spans="1:8" ht="15.75" customHeight="1">
      <c r="A630" s="140" t="s">
        <v>57</v>
      </c>
      <c r="B630" s="140" t="s">
        <v>22</v>
      </c>
      <c r="C630" s="141" t="s">
        <v>167</v>
      </c>
      <c r="D630" s="140" t="s">
        <v>168</v>
      </c>
      <c r="E630" s="140">
        <v>7</v>
      </c>
      <c r="F630" s="142">
        <v>45931.625</v>
      </c>
      <c r="G630" s="140" t="s">
        <v>845</v>
      </c>
      <c r="H630" s="140" t="s">
        <v>851</v>
      </c>
    </row>
    <row r="631" spans="1:8" ht="15.75" customHeight="1">
      <c r="A631" s="140" t="s">
        <v>57</v>
      </c>
      <c r="B631" s="140" t="s">
        <v>22</v>
      </c>
      <c r="C631" s="141" t="s">
        <v>167</v>
      </c>
      <c r="D631" s="140" t="s">
        <v>168</v>
      </c>
      <c r="E631" s="140">
        <v>8</v>
      </c>
      <c r="F631" s="142">
        <v>45953.416666666672</v>
      </c>
      <c r="G631" s="140" t="s">
        <v>845</v>
      </c>
      <c r="H631" s="140" t="s">
        <v>851</v>
      </c>
    </row>
    <row r="632" spans="1:8" ht="15.75" customHeight="1">
      <c r="A632" s="140" t="s">
        <v>57</v>
      </c>
      <c r="B632" s="140" t="s">
        <v>22</v>
      </c>
      <c r="C632" s="141" t="s">
        <v>167</v>
      </c>
      <c r="D632" s="140" t="s">
        <v>168</v>
      </c>
      <c r="E632" s="140">
        <v>9</v>
      </c>
      <c r="F632" s="142">
        <v>45960.416666666672</v>
      </c>
      <c r="G632" s="140" t="s">
        <v>845</v>
      </c>
      <c r="H632" s="140" t="s">
        <v>851</v>
      </c>
    </row>
    <row r="633" spans="1:8" ht="15.75" customHeight="1">
      <c r="A633" s="140" t="s">
        <v>57</v>
      </c>
      <c r="B633" s="140" t="s">
        <v>22</v>
      </c>
      <c r="C633" s="141" t="s">
        <v>167</v>
      </c>
      <c r="D633" s="140" t="s">
        <v>168</v>
      </c>
      <c r="E633" s="140">
        <v>10</v>
      </c>
      <c r="F633" s="142">
        <v>45982.458333333328</v>
      </c>
      <c r="G633" s="140" t="s">
        <v>845</v>
      </c>
      <c r="H633" s="140" t="s">
        <v>851</v>
      </c>
    </row>
    <row r="634" spans="1:8" ht="15.75" customHeight="1">
      <c r="A634" s="140" t="s">
        <v>57</v>
      </c>
      <c r="B634" s="140" t="s">
        <v>22</v>
      </c>
      <c r="C634" s="141" t="s">
        <v>167</v>
      </c>
      <c r="D634" s="140" t="s">
        <v>168</v>
      </c>
      <c r="E634" s="140">
        <v>11</v>
      </c>
      <c r="F634" s="142">
        <v>45989.458333333328</v>
      </c>
      <c r="G634" s="140" t="s">
        <v>845</v>
      </c>
      <c r="H634" s="140" t="s">
        <v>851</v>
      </c>
    </row>
    <row r="635" spans="1:8" ht="15.75" customHeight="1">
      <c r="A635" s="140" t="s">
        <v>57</v>
      </c>
      <c r="B635" s="140" t="s">
        <v>22</v>
      </c>
      <c r="C635" s="141" t="s">
        <v>167</v>
      </c>
      <c r="D635" s="140" t="s">
        <v>168</v>
      </c>
      <c r="E635" s="140">
        <v>12</v>
      </c>
      <c r="F635" s="142">
        <v>45996.416666666672</v>
      </c>
      <c r="G635" s="140" t="s">
        <v>845</v>
      </c>
      <c r="H635" s="140" t="s">
        <v>851</v>
      </c>
    </row>
    <row r="636" spans="1:8" ht="15.75" customHeight="1">
      <c r="A636" s="140" t="s">
        <v>57</v>
      </c>
      <c r="B636" s="140" t="s">
        <v>22</v>
      </c>
      <c r="C636" s="141" t="s">
        <v>167</v>
      </c>
      <c r="D636" s="140" t="s">
        <v>168</v>
      </c>
      <c r="E636" s="140">
        <v>13</v>
      </c>
      <c r="F636" s="142">
        <v>46010.416666666672</v>
      </c>
      <c r="G636" s="140" t="s">
        <v>845</v>
      </c>
      <c r="H636" s="140" t="s">
        <v>851</v>
      </c>
    </row>
    <row r="637" spans="1:8" ht="15.75" customHeight="1">
      <c r="A637" s="140" t="s">
        <v>57</v>
      </c>
      <c r="B637" s="140" t="s">
        <v>22</v>
      </c>
      <c r="C637" s="141" t="s">
        <v>167</v>
      </c>
      <c r="D637" s="140" t="s">
        <v>168</v>
      </c>
      <c r="E637" s="140">
        <v>14</v>
      </c>
      <c r="F637" s="142">
        <v>46021.375</v>
      </c>
      <c r="G637" s="140" t="s">
        <v>845</v>
      </c>
      <c r="H637" s="140" t="s">
        <v>851</v>
      </c>
    </row>
    <row r="638" spans="1:8" ht="15.75" customHeight="1">
      <c r="A638" s="140" t="s">
        <v>57</v>
      </c>
      <c r="B638" s="140" t="s">
        <v>22</v>
      </c>
      <c r="C638" s="141" t="s">
        <v>167</v>
      </c>
      <c r="D638" s="140" t="s">
        <v>168</v>
      </c>
      <c r="E638" s="140">
        <v>15</v>
      </c>
      <c r="F638" s="142">
        <v>46038.458333333328</v>
      </c>
      <c r="G638" s="140" t="s">
        <v>845</v>
      </c>
      <c r="H638" s="140" t="s">
        <v>851</v>
      </c>
    </row>
    <row r="639" spans="1:8" ht="15.75" customHeight="1">
      <c r="A639" s="140" t="s">
        <v>57</v>
      </c>
      <c r="B639" s="140" t="s">
        <v>22</v>
      </c>
      <c r="C639" s="141" t="s">
        <v>167</v>
      </c>
      <c r="D639" s="140" t="s">
        <v>168</v>
      </c>
      <c r="E639" s="140">
        <v>16</v>
      </c>
      <c r="F639" s="142">
        <v>46083.458333333328</v>
      </c>
      <c r="G639" s="140" t="s">
        <v>845</v>
      </c>
      <c r="H639" s="140" t="s">
        <v>851</v>
      </c>
    </row>
    <row r="640" spans="1:8" ht="15.75" customHeight="1">
      <c r="A640" s="140" t="s">
        <v>57</v>
      </c>
      <c r="B640" s="140" t="s">
        <v>22</v>
      </c>
      <c r="C640" s="141" t="s">
        <v>184</v>
      </c>
      <c r="D640" s="140" t="s">
        <v>185</v>
      </c>
      <c r="E640" s="140">
        <v>1</v>
      </c>
      <c r="F640" s="142">
        <v>45841.583333333328</v>
      </c>
      <c r="G640" s="140" t="s">
        <v>845</v>
      </c>
      <c r="H640" s="140" t="s">
        <v>851</v>
      </c>
    </row>
    <row r="641" spans="1:8" ht="15.75" customHeight="1">
      <c r="A641" s="140" t="s">
        <v>57</v>
      </c>
      <c r="B641" s="140" t="s">
        <v>22</v>
      </c>
      <c r="C641" s="141" t="s">
        <v>184</v>
      </c>
      <c r="D641" s="140" t="s">
        <v>185</v>
      </c>
      <c r="E641" s="140">
        <v>2</v>
      </c>
      <c r="F641" s="142">
        <v>45853.416666666672</v>
      </c>
      <c r="G641" s="140" t="s">
        <v>845</v>
      </c>
      <c r="H641" s="140" t="s">
        <v>851</v>
      </c>
    </row>
    <row r="642" spans="1:8" ht="15.75" customHeight="1">
      <c r="A642" s="140" t="s">
        <v>57</v>
      </c>
      <c r="B642" s="140" t="s">
        <v>22</v>
      </c>
      <c r="C642" s="141" t="s">
        <v>184</v>
      </c>
      <c r="D642" s="140" t="s">
        <v>185</v>
      </c>
      <c r="E642" s="140">
        <v>3</v>
      </c>
      <c r="F642" s="142">
        <v>45882.625</v>
      </c>
      <c r="G642" s="140" t="s">
        <v>845</v>
      </c>
      <c r="H642" s="140" t="s">
        <v>851</v>
      </c>
    </row>
    <row r="643" spans="1:8" ht="15.75" customHeight="1">
      <c r="A643" s="140" t="s">
        <v>57</v>
      </c>
      <c r="B643" s="140" t="s">
        <v>22</v>
      </c>
      <c r="C643" s="141" t="s">
        <v>184</v>
      </c>
      <c r="D643" s="140" t="s">
        <v>185</v>
      </c>
      <c r="E643" s="140">
        <v>4</v>
      </c>
      <c r="F643" s="142">
        <v>45889.625</v>
      </c>
      <c r="G643" s="140" t="s">
        <v>845</v>
      </c>
      <c r="H643" s="140" t="s">
        <v>851</v>
      </c>
    </row>
    <row r="644" spans="1:8" ht="15.75" customHeight="1">
      <c r="A644" s="140" t="s">
        <v>57</v>
      </c>
      <c r="B644" s="140" t="s">
        <v>22</v>
      </c>
      <c r="C644" s="141" t="s">
        <v>184</v>
      </c>
      <c r="D644" s="140" t="s">
        <v>185</v>
      </c>
      <c r="E644" s="140">
        <v>5</v>
      </c>
      <c r="F644" s="142">
        <v>45917.625</v>
      </c>
      <c r="G644" s="140" t="s">
        <v>845</v>
      </c>
      <c r="H644" s="140" t="s">
        <v>851</v>
      </c>
    </row>
    <row r="645" spans="1:8" ht="15.75" customHeight="1">
      <c r="A645" s="140" t="s">
        <v>57</v>
      </c>
      <c r="B645" s="140" t="s">
        <v>22</v>
      </c>
      <c r="C645" s="141" t="s">
        <v>184</v>
      </c>
      <c r="D645" s="140" t="s">
        <v>185</v>
      </c>
      <c r="E645" s="140">
        <v>6</v>
      </c>
      <c r="F645" s="142">
        <v>45924.625</v>
      </c>
      <c r="G645" s="140" t="s">
        <v>845</v>
      </c>
      <c r="H645" s="140" t="s">
        <v>851</v>
      </c>
    </row>
    <row r="646" spans="1:8" ht="15.75" customHeight="1">
      <c r="A646" s="140" t="s">
        <v>57</v>
      </c>
      <c r="B646" s="140" t="s">
        <v>22</v>
      </c>
      <c r="C646" s="141" t="s">
        <v>184</v>
      </c>
      <c r="D646" s="140" t="s">
        <v>185</v>
      </c>
      <c r="E646" s="140">
        <v>7</v>
      </c>
      <c r="F646" s="142">
        <v>45931.625</v>
      </c>
      <c r="G646" s="140" t="s">
        <v>845</v>
      </c>
      <c r="H646" s="140" t="s">
        <v>851</v>
      </c>
    </row>
    <row r="647" spans="1:8" ht="15.75" customHeight="1">
      <c r="A647" s="140" t="s">
        <v>57</v>
      </c>
      <c r="B647" s="140" t="s">
        <v>22</v>
      </c>
      <c r="C647" s="141" t="s">
        <v>184</v>
      </c>
      <c r="D647" s="140" t="s">
        <v>185</v>
      </c>
      <c r="E647" s="140">
        <v>8</v>
      </c>
      <c r="F647" s="142">
        <v>45953.416666666672</v>
      </c>
      <c r="G647" s="140" t="s">
        <v>845</v>
      </c>
      <c r="H647" s="140" t="s">
        <v>851</v>
      </c>
    </row>
    <row r="648" spans="1:8" ht="15.75" customHeight="1">
      <c r="A648" s="140" t="s">
        <v>57</v>
      </c>
      <c r="B648" s="140" t="s">
        <v>22</v>
      </c>
      <c r="C648" s="141" t="s">
        <v>184</v>
      </c>
      <c r="D648" s="140" t="s">
        <v>185</v>
      </c>
      <c r="E648" s="140">
        <v>9</v>
      </c>
      <c r="F648" s="142">
        <v>45960.416666666672</v>
      </c>
      <c r="G648" s="140" t="s">
        <v>845</v>
      </c>
      <c r="H648" s="140" t="s">
        <v>851</v>
      </c>
    </row>
    <row r="649" spans="1:8" ht="15.75" customHeight="1">
      <c r="A649" s="140" t="s">
        <v>57</v>
      </c>
      <c r="B649" s="140" t="s">
        <v>22</v>
      </c>
      <c r="C649" s="141" t="s">
        <v>184</v>
      </c>
      <c r="D649" s="140" t="s">
        <v>185</v>
      </c>
      <c r="E649" s="140">
        <v>10</v>
      </c>
      <c r="F649" s="142">
        <v>45982.458333333328</v>
      </c>
      <c r="G649" s="140" t="s">
        <v>845</v>
      </c>
      <c r="H649" s="140" t="s">
        <v>851</v>
      </c>
    </row>
    <row r="650" spans="1:8" ht="15.75" customHeight="1">
      <c r="A650" s="140" t="s">
        <v>57</v>
      </c>
      <c r="B650" s="140" t="s">
        <v>22</v>
      </c>
      <c r="C650" s="141" t="s">
        <v>184</v>
      </c>
      <c r="D650" s="140" t="s">
        <v>185</v>
      </c>
      <c r="E650" s="140">
        <v>11</v>
      </c>
      <c r="F650" s="142">
        <v>45989.458333333328</v>
      </c>
      <c r="G650" s="140" t="s">
        <v>845</v>
      </c>
      <c r="H650" s="140" t="s">
        <v>851</v>
      </c>
    </row>
    <row r="651" spans="1:8" ht="15.75" customHeight="1">
      <c r="A651" s="140" t="s">
        <v>57</v>
      </c>
      <c r="B651" s="140" t="s">
        <v>22</v>
      </c>
      <c r="C651" s="141" t="s">
        <v>184</v>
      </c>
      <c r="D651" s="140" t="s">
        <v>185</v>
      </c>
      <c r="E651" s="140">
        <v>12</v>
      </c>
      <c r="F651" s="142">
        <v>45996.416666666672</v>
      </c>
      <c r="G651" s="140" t="s">
        <v>845</v>
      </c>
      <c r="H651" s="140" t="s">
        <v>851</v>
      </c>
    </row>
    <row r="652" spans="1:8" ht="15.75" customHeight="1">
      <c r="A652" s="140" t="s">
        <v>57</v>
      </c>
      <c r="B652" s="140" t="s">
        <v>22</v>
      </c>
      <c r="C652" s="141" t="s">
        <v>184</v>
      </c>
      <c r="D652" s="140" t="s">
        <v>185</v>
      </c>
      <c r="E652" s="140">
        <v>13</v>
      </c>
      <c r="F652" s="142">
        <v>46010.416666666672</v>
      </c>
      <c r="G652" s="140" t="s">
        <v>845</v>
      </c>
      <c r="H652" s="140" t="s">
        <v>851</v>
      </c>
    </row>
    <row r="653" spans="1:8" ht="15.75" customHeight="1">
      <c r="A653" s="140" t="s">
        <v>57</v>
      </c>
      <c r="B653" s="140" t="s">
        <v>22</v>
      </c>
      <c r="C653" s="141" t="s">
        <v>184</v>
      </c>
      <c r="D653" s="140" t="s">
        <v>185</v>
      </c>
      <c r="E653" s="140">
        <v>14</v>
      </c>
      <c r="F653" s="142">
        <v>46021.375</v>
      </c>
      <c r="G653" s="140" t="s">
        <v>845</v>
      </c>
      <c r="H653" s="140" t="s">
        <v>851</v>
      </c>
    </row>
    <row r="654" spans="1:8" ht="15.75" customHeight="1">
      <c r="A654" s="140" t="s">
        <v>57</v>
      </c>
      <c r="B654" s="140" t="s">
        <v>22</v>
      </c>
      <c r="C654" s="141" t="s">
        <v>184</v>
      </c>
      <c r="D654" s="140" t="s">
        <v>185</v>
      </c>
      <c r="E654" s="140">
        <v>15</v>
      </c>
      <c r="F654" s="142">
        <v>46038.458333333328</v>
      </c>
      <c r="G654" s="140" t="s">
        <v>845</v>
      </c>
      <c r="H654" s="140" t="s">
        <v>851</v>
      </c>
    </row>
    <row r="655" spans="1:8" ht="15.75" customHeight="1">
      <c r="A655" s="140" t="s">
        <v>57</v>
      </c>
      <c r="B655" s="140" t="s">
        <v>22</v>
      </c>
      <c r="C655" s="141" t="s">
        <v>184</v>
      </c>
      <c r="D655" s="140" t="s">
        <v>185</v>
      </c>
      <c r="E655" s="140">
        <v>16</v>
      </c>
      <c r="F655" s="142">
        <v>46083.458333333328</v>
      </c>
      <c r="G655" s="140" t="s">
        <v>845</v>
      </c>
      <c r="H655" s="140" t="s">
        <v>851</v>
      </c>
    </row>
    <row r="656" spans="1:8" ht="15.75" customHeight="1">
      <c r="A656" s="140" t="s">
        <v>57</v>
      </c>
      <c r="B656" s="140" t="s">
        <v>22</v>
      </c>
      <c r="C656" s="141" t="s">
        <v>188</v>
      </c>
      <c r="D656" s="140" t="s">
        <v>189</v>
      </c>
      <c r="E656" s="140">
        <v>1</v>
      </c>
      <c r="F656" s="142">
        <v>45841.583333333328</v>
      </c>
      <c r="G656" s="140" t="s">
        <v>845</v>
      </c>
      <c r="H656" s="140" t="s">
        <v>851</v>
      </c>
    </row>
    <row r="657" spans="1:8" ht="15.75" customHeight="1">
      <c r="A657" s="140" t="s">
        <v>57</v>
      </c>
      <c r="B657" s="140" t="s">
        <v>22</v>
      </c>
      <c r="C657" s="141" t="s">
        <v>188</v>
      </c>
      <c r="D657" s="140" t="s">
        <v>189</v>
      </c>
      <c r="E657" s="140">
        <v>2</v>
      </c>
      <c r="F657" s="142">
        <v>45853.416666666672</v>
      </c>
      <c r="G657" s="140" t="s">
        <v>845</v>
      </c>
      <c r="H657" s="140" t="s">
        <v>851</v>
      </c>
    </row>
    <row r="658" spans="1:8" ht="15.75" customHeight="1">
      <c r="A658" s="140" t="s">
        <v>57</v>
      </c>
      <c r="B658" s="140" t="s">
        <v>22</v>
      </c>
      <c r="C658" s="141" t="s">
        <v>188</v>
      </c>
      <c r="D658" s="140" t="s">
        <v>189</v>
      </c>
      <c r="E658" s="140">
        <v>3</v>
      </c>
      <c r="F658" s="142">
        <v>45882.625</v>
      </c>
      <c r="G658" s="140" t="s">
        <v>845</v>
      </c>
      <c r="H658" s="140" t="s">
        <v>851</v>
      </c>
    </row>
    <row r="659" spans="1:8" ht="15.75" customHeight="1">
      <c r="A659" s="140" t="s">
        <v>57</v>
      </c>
      <c r="B659" s="140" t="s">
        <v>22</v>
      </c>
      <c r="C659" s="141" t="s">
        <v>188</v>
      </c>
      <c r="D659" s="140" t="s">
        <v>189</v>
      </c>
      <c r="E659" s="140">
        <v>4</v>
      </c>
      <c r="F659" s="142">
        <v>45889.625</v>
      </c>
      <c r="G659" s="140" t="s">
        <v>845</v>
      </c>
      <c r="H659" s="140" t="s">
        <v>851</v>
      </c>
    </row>
    <row r="660" spans="1:8" ht="15.75" customHeight="1">
      <c r="A660" s="140" t="s">
        <v>57</v>
      </c>
      <c r="B660" s="140" t="s">
        <v>22</v>
      </c>
      <c r="C660" s="141" t="s">
        <v>188</v>
      </c>
      <c r="D660" s="140" t="s">
        <v>189</v>
      </c>
      <c r="E660" s="140">
        <v>5</v>
      </c>
      <c r="F660" s="142">
        <v>45917.625</v>
      </c>
      <c r="G660" s="140" t="s">
        <v>845</v>
      </c>
      <c r="H660" s="140" t="s">
        <v>851</v>
      </c>
    </row>
    <row r="661" spans="1:8" ht="15.75" customHeight="1">
      <c r="A661" s="140" t="s">
        <v>57</v>
      </c>
      <c r="B661" s="140" t="s">
        <v>22</v>
      </c>
      <c r="C661" s="141" t="s">
        <v>188</v>
      </c>
      <c r="D661" s="140" t="s">
        <v>189</v>
      </c>
      <c r="E661" s="140">
        <v>6</v>
      </c>
      <c r="F661" s="142">
        <v>45924.625</v>
      </c>
      <c r="G661" s="140" t="s">
        <v>845</v>
      </c>
      <c r="H661" s="140" t="s">
        <v>851</v>
      </c>
    </row>
    <row r="662" spans="1:8" ht="15.75" customHeight="1">
      <c r="A662" s="140" t="s">
        <v>57</v>
      </c>
      <c r="B662" s="140" t="s">
        <v>22</v>
      </c>
      <c r="C662" s="141" t="s">
        <v>188</v>
      </c>
      <c r="D662" s="140" t="s">
        <v>189</v>
      </c>
      <c r="E662" s="140">
        <v>7</v>
      </c>
      <c r="F662" s="142">
        <v>45931.625</v>
      </c>
      <c r="G662" s="140" t="s">
        <v>845</v>
      </c>
      <c r="H662" s="140" t="s">
        <v>851</v>
      </c>
    </row>
    <row r="663" spans="1:8" ht="15.75" customHeight="1">
      <c r="A663" s="140" t="s">
        <v>57</v>
      </c>
      <c r="B663" s="140" t="s">
        <v>22</v>
      </c>
      <c r="C663" s="141" t="s">
        <v>188</v>
      </c>
      <c r="D663" s="140" t="s">
        <v>189</v>
      </c>
      <c r="E663" s="140">
        <v>8</v>
      </c>
      <c r="F663" s="142">
        <v>45953.416666666672</v>
      </c>
      <c r="G663" s="140" t="s">
        <v>845</v>
      </c>
      <c r="H663" s="140" t="s">
        <v>851</v>
      </c>
    </row>
    <row r="664" spans="1:8" ht="15.75" customHeight="1">
      <c r="A664" s="140" t="s">
        <v>57</v>
      </c>
      <c r="B664" s="140" t="s">
        <v>22</v>
      </c>
      <c r="C664" s="141" t="s">
        <v>188</v>
      </c>
      <c r="D664" s="140" t="s">
        <v>189</v>
      </c>
      <c r="E664" s="140">
        <v>9</v>
      </c>
      <c r="F664" s="142">
        <v>45960.416666666672</v>
      </c>
      <c r="G664" s="140" t="s">
        <v>845</v>
      </c>
      <c r="H664" s="140" t="s">
        <v>851</v>
      </c>
    </row>
    <row r="665" spans="1:8" ht="15.75" customHeight="1">
      <c r="A665" s="140" t="s">
        <v>57</v>
      </c>
      <c r="B665" s="140" t="s">
        <v>22</v>
      </c>
      <c r="C665" s="141" t="s">
        <v>188</v>
      </c>
      <c r="D665" s="140" t="s">
        <v>189</v>
      </c>
      <c r="E665" s="140">
        <v>10</v>
      </c>
      <c r="F665" s="142">
        <v>45982.458333333328</v>
      </c>
      <c r="G665" s="140" t="s">
        <v>845</v>
      </c>
      <c r="H665" s="140" t="s">
        <v>851</v>
      </c>
    </row>
    <row r="666" spans="1:8" ht="15.75" customHeight="1">
      <c r="A666" s="140" t="s">
        <v>57</v>
      </c>
      <c r="B666" s="140" t="s">
        <v>22</v>
      </c>
      <c r="C666" s="141" t="s">
        <v>188</v>
      </c>
      <c r="D666" s="140" t="s">
        <v>189</v>
      </c>
      <c r="E666" s="140">
        <v>11</v>
      </c>
      <c r="F666" s="142">
        <v>45989.458333333328</v>
      </c>
      <c r="G666" s="140" t="s">
        <v>845</v>
      </c>
      <c r="H666" s="140" t="s">
        <v>851</v>
      </c>
    </row>
    <row r="667" spans="1:8" ht="15.75" customHeight="1">
      <c r="A667" s="140" t="s">
        <v>57</v>
      </c>
      <c r="B667" s="140" t="s">
        <v>22</v>
      </c>
      <c r="C667" s="141" t="s">
        <v>188</v>
      </c>
      <c r="D667" s="140" t="s">
        <v>189</v>
      </c>
      <c r="E667" s="140">
        <v>12</v>
      </c>
      <c r="F667" s="142">
        <v>45996.416666666672</v>
      </c>
      <c r="G667" s="140" t="s">
        <v>843</v>
      </c>
      <c r="H667" s="140" t="s">
        <v>851</v>
      </c>
    </row>
    <row r="668" spans="1:8" ht="15.75" customHeight="1">
      <c r="A668" s="140" t="s">
        <v>57</v>
      </c>
      <c r="B668" s="140" t="s">
        <v>22</v>
      </c>
      <c r="C668" s="141" t="s">
        <v>188</v>
      </c>
      <c r="D668" s="140" t="s">
        <v>189</v>
      </c>
      <c r="E668" s="140">
        <v>13</v>
      </c>
      <c r="F668" s="142">
        <v>46010.416666666672</v>
      </c>
      <c r="G668" s="140" t="s">
        <v>843</v>
      </c>
      <c r="H668" s="140" t="s">
        <v>851</v>
      </c>
    </row>
    <row r="669" spans="1:8" ht="15.75" customHeight="1">
      <c r="A669" s="140" t="s">
        <v>57</v>
      </c>
      <c r="B669" s="140" t="s">
        <v>22</v>
      </c>
      <c r="C669" s="141" t="s">
        <v>188</v>
      </c>
      <c r="D669" s="140" t="s">
        <v>189</v>
      </c>
      <c r="E669" s="140">
        <v>14</v>
      </c>
      <c r="F669" s="142">
        <v>46021.375</v>
      </c>
      <c r="G669" s="140" t="s">
        <v>843</v>
      </c>
      <c r="H669" s="140" t="s">
        <v>851</v>
      </c>
    </row>
    <row r="670" spans="1:8" ht="15.75" customHeight="1">
      <c r="A670" s="140" t="s">
        <v>57</v>
      </c>
      <c r="B670" s="140" t="s">
        <v>22</v>
      </c>
      <c r="C670" s="141" t="s">
        <v>188</v>
      </c>
      <c r="D670" s="140" t="s">
        <v>189</v>
      </c>
      <c r="E670" s="140">
        <v>15</v>
      </c>
      <c r="F670" s="142">
        <v>46038.458333333328</v>
      </c>
      <c r="G670" s="140" t="s">
        <v>843</v>
      </c>
      <c r="H670" s="140" t="s">
        <v>851</v>
      </c>
    </row>
    <row r="671" spans="1:8" ht="15.75" customHeight="1">
      <c r="A671" s="140" t="s">
        <v>57</v>
      </c>
      <c r="B671" s="140" t="s">
        <v>21</v>
      </c>
      <c r="C671" s="141" t="s">
        <v>230</v>
      </c>
      <c r="D671" s="140" t="s">
        <v>231</v>
      </c>
      <c r="E671" s="140">
        <v>1</v>
      </c>
      <c r="F671" s="142">
        <v>45702.458333333328</v>
      </c>
      <c r="G671" s="140" t="s">
        <v>845</v>
      </c>
      <c r="H671" s="140" t="s">
        <v>851</v>
      </c>
    </row>
    <row r="672" spans="1:8" ht="15.75" customHeight="1">
      <c r="A672" s="140" t="s">
        <v>57</v>
      </c>
      <c r="B672" s="140" t="s">
        <v>21</v>
      </c>
      <c r="C672" s="141" t="s">
        <v>230</v>
      </c>
      <c r="D672" s="140" t="s">
        <v>231</v>
      </c>
      <c r="E672" s="140">
        <v>2</v>
      </c>
      <c r="F672" s="142">
        <v>45709.458333333328</v>
      </c>
      <c r="G672" s="140" t="s">
        <v>845</v>
      </c>
      <c r="H672" s="140" t="s">
        <v>851</v>
      </c>
    </row>
    <row r="673" spans="1:8" ht="15.75" customHeight="1">
      <c r="A673" s="140" t="s">
        <v>57</v>
      </c>
      <c r="B673" s="140" t="s">
        <v>21</v>
      </c>
      <c r="C673" s="141" t="s">
        <v>230</v>
      </c>
      <c r="D673" s="140" t="s">
        <v>231</v>
      </c>
      <c r="E673" s="140">
        <v>3</v>
      </c>
      <c r="F673" s="142">
        <v>45716.458333333328</v>
      </c>
      <c r="G673" s="140" t="s">
        <v>845</v>
      </c>
      <c r="H673" s="140" t="s">
        <v>851</v>
      </c>
    </row>
    <row r="674" spans="1:8" ht="15.75" customHeight="1">
      <c r="A674" s="140" t="s">
        <v>57</v>
      </c>
      <c r="B674" s="140" t="s">
        <v>21</v>
      </c>
      <c r="C674" s="141" t="s">
        <v>230</v>
      </c>
      <c r="D674" s="140" t="s">
        <v>231</v>
      </c>
      <c r="E674" s="140">
        <v>4</v>
      </c>
      <c r="F674" s="142">
        <v>45765.458333333328</v>
      </c>
      <c r="G674" s="140" t="s">
        <v>845</v>
      </c>
      <c r="H674" s="140" t="s">
        <v>851</v>
      </c>
    </row>
    <row r="675" spans="1:8" ht="15.75" customHeight="1">
      <c r="A675" s="140" t="s">
        <v>57</v>
      </c>
      <c r="B675" s="140" t="s">
        <v>21</v>
      </c>
      <c r="C675" s="141" t="s">
        <v>230</v>
      </c>
      <c r="D675" s="140" t="s">
        <v>231</v>
      </c>
      <c r="E675" s="140">
        <v>5</v>
      </c>
      <c r="F675" s="142">
        <v>45770.458333333328</v>
      </c>
      <c r="G675" s="140" t="s">
        <v>845</v>
      </c>
      <c r="H675" s="140" t="s">
        <v>851</v>
      </c>
    </row>
    <row r="676" spans="1:8" ht="15.75" customHeight="1">
      <c r="A676" s="140" t="s">
        <v>57</v>
      </c>
      <c r="B676" s="140" t="s">
        <v>21</v>
      </c>
      <c r="C676" s="141" t="s">
        <v>230</v>
      </c>
      <c r="D676" s="140" t="s">
        <v>231</v>
      </c>
      <c r="E676" s="140">
        <v>6</v>
      </c>
      <c r="F676" s="142">
        <v>45785.458333333328</v>
      </c>
      <c r="G676" s="140" t="s">
        <v>845</v>
      </c>
      <c r="H676" s="140" t="s">
        <v>851</v>
      </c>
    </row>
    <row r="677" spans="1:8" ht="15.75" customHeight="1">
      <c r="A677" s="140" t="s">
        <v>57</v>
      </c>
      <c r="B677" s="140" t="s">
        <v>21</v>
      </c>
      <c r="C677" s="141" t="s">
        <v>230</v>
      </c>
      <c r="D677" s="140" t="s">
        <v>231</v>
      </c>
      <c r="E677" s="140">
        <v>7</v>
      </c>
      <c r="F677" s="142">
        <v>45792.458333333328</v>
      </c>
      <c r="G677" s="140" t="s">
        <v>845</v>
      </c>
      <c r="H677" s="140" t="s">
        <v>851</v>
      </c>
    </row>
    <row r="678" spans="1:8" ht="15.75" customHeight="1">
      <c r="A678" s="140" t="s">
        <v>57</v>
      </c>
      <c r="B678" s="140" t="s">
        <v>21</v>
      </c>
      <c r="C678" s="141" t="s">
        <v>230</v>
      </c>
      <c r="D678" s="140" t="s">
        <v>231</v>
      </c>
      <c r="E678" s="140">
        <v>8</v>
      </c>
      <c r="F678" s="142">
        <v>45800.458333333328</v>
      </c>
      <c r="G678" s="140" t="s">
        <v>845</v>
      </c>
      <c r="H678" s="140" t="s">
        <v>851</v>
      </c>
    </row>
    <row r="679" spans="1:8" ht="15.75" customHeight="1">
      <c r="A679" s="140" t="s">
        <v>57</v>
      </c>
      <c r="B679" s="140" t="s">
        <v>21</v>
      </c>
      <c r="C679" s="141" t="s">
        <v>230</v>
      </c>
      <c r="D679" s="140" t="s">
        <v>231</v>
      </c>
      <c r="E679" s="140">
        <v>9</v>
      </c>
      <c r="F679" s="142">
        <v>45806.541666666672</v>
      </c>
      <c r="G679" s="140" t="s">
        <v>845</v>
      </c>
      <c r="H679" s="140" t="s">
        <v>851</v>
      </c>
    </row>
    <row r="680" spans="1:8" ht="15.75" customHeight="1">
      <c r="A680" s="140" t="s">
        <v>57</v>
      </c>
      <c r="B680" s="140" t="s">
        <v>21</v>
      </c>
      <c r="C680" s="141" t="s">
        <v>230</v>
      </c>
      <c r="D680" s="140" t="s">
        <v>231</v>
      </c>
      <c r="E680" s="140">
        <v>10</v>
      </c>
      <c r="F680" s="142">
        <v>45813.416666666672</v>
      </c>
      <c r="G680" s="140" t="s">
        <v>845</v>
      </c>
      <c r="H680" s="140" t="s">
        <v>851</v>
      </c>
    </row>
    <row r="681" spans="1:8" ht="15.75" customHeight="1">
      <c r="A681" s="140" t="s">
        <v>57</v>
      </c>
      <c r="B681" s="140" t="s">
        <v>21</v>
      </c>
      <c r="C681" s="141" t="s">
        <v>230</v>
      </c>
      <c r="D681" s="140" t="s">
        <v>231</v>
      </c>
      <c r="E681" s="140">
        <v>11</v>
      </c>
      <c r="F681" s="142">
        <v>45820.416666666672</v>
      </c>
      <c r="G681" s="140" t="s">
        <v>845</v>
      </c>
      <c r="H681" s="140" t="s">
        <v>851</v>
      </c>
    </row>
    <row r="682" spans="1:8" ht="15.75" customHeight="1">
      <c r="A682" s="140" t="s">
        <v>57</v>
      </c>
      <c r="B682" s="140" t="s">
        <v>21</v>
      </c>
      <c r="C682" s="141" t="s">
        <v>230</v>
      </c>
      <c r="D682" s="140" t="s">
        <v>231</v>
      </c>
      <c r="E682" s="140">
        <v>12</v>
      </c>
      <c r="F682" s="142">
        <v>45841.416666666672</v>
      </c>
      <c r="G682" s="140" t="s">
        <v>845</v>
      </c>
      <c r="H682" s="140" t="s">
        <v>851</v>
      </c>
    </row>
    <row r="683" spans="1:8" ht="15.75" customHeight="1">
      <c r="A683" s="140" t="s">
        <v>57</v>
      </c>
      <c r="B683" s="140" t="s">
        <v>22</v>
      </c>
      <c r="C683" s="141" t="s">
        <v>230</v>
      </c>
      <c r="D683" s="140" t="s">
        <v>231</v>
      </c>
      <c r="E683" s="140">
        <v>1</v>
      </c>
      <c r="F683" s="142">
        <v>45890.416666666672</v>
      </c>
      <c r="G683" s="140" t="s">
        <v>845</v>
      </c>
      <c r="H683" s="140" t="s">
        <v>851</v>
      </c>
    </row>
    <row r="684" spans="1:8" ht="15.75" customHeight="1">
      <c r="A684" s="140" t="s">
        <v>57</v>
      </c>
      <c r="B684" s="140" t="s">
        <v>22</v>
      </c>
      <c r="C684" s="141" t="s">
        <v>230</v>
      </c>
      <c r="D684" s="140" t="s">
        <v>231</v>
      </c>
      <c r="E684" s="140">
        <v>2</v>
      </c>
      <c r="F684" s="142">
        <v>45897.416666666672</v>
      </c>
      <c r="G684" s="140" t="s">
        <v>845</v>
      </c>
      <c r="H684" s="140" t="s">
        <v>851</v>
      </c>
    </row>
    <row r="685" spans="1:8" ht="15.75" customHeight="1">
      <c r="A685" s="140" t="s">
        <v>57</v>
      </c>
      <c r="B685" s="140" t="s">
        <v>22</v>
      </c>
      <c r="C685" s="141" t="s">
        <v>230</v>
      </c>
      <c r="D685" s="140" t="s">
        <v>231</v>
      </c>
      <c r="E685" s="140">
        <v>3</v>
      </c>
      <c r="F685" s="142">
        <v>45904.416666666672</v>
      </c>
      <c r="G685" s="140" t="s">
        <v>845</v>
      </c>
      <c r="H685" s="140" t="s">
        <v>851</v>
      </c>
    </row>
    <row r="686" spans="1:8" ht="15.75" customHeight="1">
      <c r="A686" s="140" t="s">
        <v>57</v>
      </c>
      <c r="B686" s="140" t="s">
        <v>22</v>
      </c>
      <c r="C686" s="141" t="s">
        <v>230</v>
      </c>
      <c r="D686" s="140" t="s">
        <v>231</v>
      </c>
      <c r="E686" s="140">
        <v>4</v>
      </c>
      <c r="F686" s="142">
        <v>45911.416666666672</v>
      </c>
      <c r="G686" s="140" t="s">
        <v>845</v>
      </c>
      <c r="H686" s="140" t="s">
        <v>851</v>
      </c>
    </row>
    <row r="687" spans="1:8" ht="15.75" customHeight="1">
      <c r="A687" s="140" t="s">
        <v>57</v>
      </c>
      <c r="B687" s="140" t="s">
        <v>22</v>
      </c>
      <c r="C687" s="141" t="s">
        <v>230</v>
      </c>
      <c r="D687" s="140" t="s">
        <v>231</v>
      </c>
      <c r="E687" s="140">
        <v>5</v>
      </c>
      <c r="F687" s="142">
        <v>45925.416666666672</v>
      </c>
      <c r="G687" s="140" t="s">
        <v>845</v>
      </c>
      <c r="H687" s="140" t="s">
        <v>851</v>
      </c>
    </row>
    <row r="688" spans="1:8" ht="15.75" customHeight="1">
      <c r="A688" s="140" t="s">
        <v>57</v>
      </c>
      <c r="B688" s="140" t="s">
        <v>22</v>
      </c>
      <c r="C688" s="141" t="s">
        <v>230</v>
      </c>
      <c r="D688" s="140" t="s">
        <v>231</v>
      </c>
      <c r="E688" s="140">
        <v>6</v>
      </c>
      <c r="F688" s="142">
        <v>45939.416666666672</v>
      </c>
      <c r="G688" s="140" t="s">
        <v>845</v>
      </c>
      <c r="H688" s="140" t="s">
        <v>851</v>
      </c>
    </row>
    <row r="689" spans="1:8" ht="15.75" customHeight="1">
      <c r="A689" s="140" t="s">
        <v>57</v>
      </c>
      <c r="B689" s="140" t="s">
        <v>22</v>
      </c>
      <c r="C689" s="141" t="s">
        <v>230</v>
      </c>
      <c r="D689" s="140" t="s">
        <v>231</v>
      </c>
      <c r="E689" s="140">
        <v>7</v>
      </c>
      <c r="F689" s="142">
        <v>45946.416666666672</v>
      </c>
      <c r="G689" s="140" t="s">
        <v>845</v>
      </c>
      <c r="H689" s="140" t="s">
        <v>851</v>
      </c>
    </row>
    <row r="690" spans="1:8" ht="15.75" customHeight="1">
      <c r="A690" s="140" t="s">
        <v>57</v>
      </c>
      <c r="B690" s="140" t="s">
        <v>22</v>
      </c>
      <c r="C690" s="141" t="s">
        <v>230</v>
      </c>
      <c r="D690" s="140" t="s">
        <v>231</v>
      </c>
      <c r="E690" s="140">
        <v>8</v>
      </c>
      <c r="F690" s="142">
        <v>45953.416666666672</v>
      </c>
      <c r="G690" s="140" t="s">
        <v>845</v>
      </c>
      <c r="H690" s="140" t="s">
        <v>851</v>
      </c>
    </row>
    <row r="691" spans="1:8" ht="15.75" customHeight="1">
      <c r="A691" s="140" t="s">
        <v>57</v>
      </c>
      <c r="B691" s="140" t="s">
        <v>22</v>
      </c>
      <c r="C691" s="141" t="s">
        <v>230</v>
      </c>
      <c r="D691" s="140" t="s">
        <v>231</v>
      </c>
      <c r="E691" s="140">
        <v>9</v>
      </c>
      <c r="F691" s="142">
        <v>45960.416666666672</v>
      </c>
      <c r="G691" s="140" t="s">
        <v>845</v>
      </c>
      <c r="H691" s="140" t="s">
        <v>851</v>
      </c>
    </row>
    <row r="692" spans="1:8" ht="15.75" customHeight="1">
      <c r="A692" s="140" t="s">
        <v>57</v>
      </c>
      <c r="B692" s="140" t="s">
        <v>22</v>
      </c>
      <c r="C692" s="141" t="s">
        <v>230</v>
      </c>
      <c r="D692" s="140" t="s">
        <v>231</v>
      </c>
      <c r="E692" s="140">
        <v>10</v>
      </c>
      <c r="F692" s="142">
        <v>45982.458333333328</v>
      </c>
      <c r="G692" s="140" t="s">
        <v>845</v>
      </c>
      <c r="H692" s="140" t="s">
        <v>851</v>
      </c>
    </row>
    <row r="693" spans="1:8" ht="15.75" customHeight="1">
      <c r="A693" s="140" t="s">
        <v>57</v>
      </c>
      <c r="B693" s="140" t="s">
        <v>22</v>
      </c>
      <c r="C693" s="141" t="s">
        <v>230</v>
      </c>
      <c r="D693" s="140" t="s">
        <v>231</v>
      </c>
      <c r="E693" s="140">
        <v>11</v>
      </c>
      <c r="F693" s="142">
        <v>45989.458333333328</v>
      </c>
      <c r="G693" s="140" t="s">
        <v>843</v>
      </c>
      <c r="H693" s="140" t="s">
        <v>851</v>
      </c>
    </row>
    <row r="694" spans="1:8" ht="15.75" customHeight="1">
      <c r="A694" s="140" t="s">
        <v>57</v>
      </c>
      <c r="B694" s="140" t="s">
        <v>22</v>
      </c>
      <c r="C694" s="141" t="s">
        <v>230</v>
      </c>
      <c r="D694" s="140" t="s">
        <v>231</v>
      </c>
      <c r="E694" s="140">
        <v>12</v>
      </c>
      <c r="F694" s="142">
        <v>45996.416666666672</v>
      </c>
      <c r="G694" s="140" t="s">
        <v>843</v>
      </c>
      <c r="H694" s="140" t="s">
        <v>851</v>
      </c>
    </row>
    <row r="695" spans="1:8" ht="15.75" customHeight="1">
      <c r="A695" s="140" t="s">
        <v>57</v>
      </c>
      <c r="B695" s="140" t="s">
        <v>22</v>
      </c>
      <c r="C695" s="141" t="s">
        <v>230</v>
      </c>
      <c r="D695" s="140" t="s">
        <v>231</v>
      </c>
      <c r="E695" s="140">
        <v>13</v>
      </c>
      <c r="F695" s="142">
        <v>46010.416666666672</v>
      </c>
      <c r="G695" s="140" t="s">
        <v>845</v>
      </c>
      <c r="H695" s="140" t="s">
        <v>851</v>
      </c>
    </row>
    <row r="696" spans="1:8" ht="15.75" customHeight="1">
      <c r="A696" s="140" t="s">
        <v>57</v>
      </c>
      <c r="B696" s="140" t="s">
        <v>22</v>
      </c>
      <c r="C696" s="141" t="s">
        <v>230</v>
      </c>
      <c r="D696" s="140" t="s">
        <v>231</v>
      </c>
      <c r="E696" s="140">
        <v>14</v>
      </c>
      <c r="F696" s="142">
        <v>46021.375</v>
      </c>
      <c r="G696" s="140" t="s">
        <v>845</v>
      </c>
      <c r="H696" s="140" t="s">
        <v>851</v>
      </c>
    </row>
    <row r="697" spans="1:8" ht="15.75" customHeight="1">
      <c r="A697" s="140" t="s">
        <v>57</v>
      </c>
      <c r="B697" s="140" t="s">
        <v>21</v>
      </c>
      <c r="C697" s="141" t="s">
        <v>357</v>
      </c>
      <c r="D697" s="140" t="s">
        <v>358</v>
      </c>
      <c r="E697" s="140">
        <v>1</v>
      </c>
      <c r="F697" s="142">
        <v>45702.458333333328</v>
      </c>
      <c r="G697" s="140" t="s">
        <v>845</v>
      </c>
      <c r="H697" s="140" t="s">
        <v>851</v>
      </c>
    </row>
    <row r="698" spans="1:8" ht="15.75" customHeight="1">
      <c r="A698" s="140" t="s">
        <v>57</v>
      </c>
      <c r="B698" s="140" t="s">
        <v>21</v>
      </c>
      <c r="C698" s="141" t="s">
        <v>357</v>
      </c>
      <c r="D698" s="140" t="s">
        <v>358</v>
      </c>
      <c r="E698" s="140">
        <v>2</v>
      </c>
      <c r="F698" s="142">
        <v>45709.458333333328</v>
      </c>
      <c r="G698" s="140" t="s">
        <v>845</v>
      </c>
      <c r="H698" s="140" t="s">
        <v>851</v>
      </c>
    </row>
    <row r="699" spans="1:8" ht="15.75" customHeight="1">
      <c r="A699" s="140" t="s">
        <v>57</v>
      </c>
      <c r="B699" s="140" t="s">
        <v>21</v>
      </c>
      <c r="C699" s="141" t="s">
        <v>357</v>
      </c>
      <c r="D699" s="140" t="s">
        <v>358</v>
      </c>
      <c r="E699" s="140">
        <v>3</v>
      </c>
      <c r="F699" s="142">
        <v>45716.458333333328</v>
      </c>
      <c r="G699" s="140" t="s">
        <v>845</v>
      </c>
      <c r="H699" s="140" t="s">
        <v>851</v>
      </c>
    </row>
    <row r="700" spans="1:8" ht="15.75" customHeight="1">
      <c r="A700" s="140" t="s">
        <v>57</v>
      </c>
      <c r="B700" s="140" t="s">
        <v>21</v>
      </c>
      <c r="C700" s="141" t="s">
        <v>357</v>
      </c>
      <c r="D700" s="140" t="s">
        <v>358</v>
      </c>
      <c r="E700" s="140">
        <v>4</v>
      </c>
      <c r="F700" s="142">
        <v>45765.458333333328</v>
      </c>
      <c r="G700" s="140" t="s">
        <v>845</v>
      </c>
      <c r="H700" s="140" t="s">
        <v>851</v>
      </c>
    </row>
    <row r="701" spans="1:8" ht="15.75" customHeight="1">
      <c r="A701" s="140" t="s">
        <v>57</v>
      </c>
      <c r="B701" s="140" t="s">
        <v>21</v>
      </c>
      <c r="C701" s="141" t="s">
        <v>357</v>
      </c>
      <c r="D701" s="140" t="s">
        <v>358</v>
      </c>
      <c r="E701" s="140">
        <v>5</v>
      </c>
      <c r="F701" s="142">
        <v>45770.458333333328</v>
      </c>
      <c r="G701" s="140" t="s">
        <v>845</v>
      </c>
      <c r="H701" s="140" t="s">
        <v>851</v>
      </c>
    </row>
    <row r="702" spans="1:8" ht="15.75" customHeight="1">
      <c r="A702" s="140" t="s">
        <v>57</v>
      </c>
      <c r="B702" s="140" t="s">
        <v>21</v>
      </c>
      <c r="C702" s="141" t="s">
        <v>357</v>
      </c>
      <c r="D702" s="140" t="s">
        <v>358</v>
      </c>
      <c r="E702" s="140">
        <v>6</v>
      </c>
      <c r="F702" s="142">
        <v>45785.458333333328</v>
      </c>
      <c r="G702" s="140" t="s">
        <v>845</v>
      </c>
      <c r="H702" s="140" t="s">
        <v>851</v>
      </c>
    </row>
    <row r="703" spans="1:8" ht="15.75" customHeight="1">
      <c r="A703" s="140" t="s">
        <v>57</v>
      </c>
      <c r="B703" s="140" t="s">
        <v>21</v>
      </c>
      <c r="C703" s="141" t="s">
        <v>357</v>
      </c>
      <c r="D703" s="140" t="s">
        <v>358</v>
      </c>
      <c r="E703" s="140">
        <v>7</v>
      </c>
      <c r="F703" s="142">
        <v>45792.458333333328</v>
      </c>
      <c r="G703" s="140" t="s">
        <v>845</v>
      </c>
      <c r="H703" s="140" t="s">
        <v>851</v>
      </c>
    </row>
    <row r="704" spans="1:8" ht="15.75" customHeight="1">
      <c r="A704" s="140" t="s">
        <v>57</v>
      </c>
      <c r="B704" s="140" t="s">
        <v>21</v>
      </c>
      <c r="C704" s="141" t="s">
        <v>357</v>
      </c>
      <c r="D704" s="140" t="s">
        <v>358</v>
      </c>
      <c r="E704" s="140">
        <v>8</v>
      </c>
      <c r="F704" s="142">
        <v>45800.458333333328</v>
      </c>
      <c r="G704" s="140" t="s">
        <v>845</v>
      </c>
      <c r="H704" s="140" t="s">
        <v>851</v>
      </c>
    </row>
    <row r="705" spans="1:8" ht="15.75" customHeight="1">
      <c r="A705" s="140" t="s">
        <v>57</v>
      </c>
      <c r="B705" s="140" t="s">
        <v>21</v>
      </c>
      <c r="C705" s="141" t="s">
        <v>357</v>
      </c>
      <c r="D705" s="140" t="s">
        <v>358</v>
      </c>
      <c r="E705" s="140">
        <v>9</v>
      </c>
      <c r="F705" s="142">
        <v>45806.541666666672</v>
      </c>
      <c r="G705" s="140" t="s">
        <v>845</v>
      </c>
      <c r="H705" s="140" t="s">
        <v>851</v>
      </c>
    </row>
    <row r="706" spans="1:8" ht="15.75" customHeight="1">
      <c r="A706" s="140" t="s">
        <v>57</v>
      </c>
      <c r="B706" s="140" t="s">
        <v>21</v>
      </c>
      <c r="C706" s="141" t="s">
        <v>357</v>
      </c>
      <c r="D706" s="140" t="s">
        <v>358</v>
      </c>
      <c r="E706" s="140">
        <v>10</v>
      </c>
      <c r="F706" s="142">
        <v>45813.416666666672</v>
      </c>
      <c r="G706" s="140" t="s">
        <v>845</v>
      </c>
      <c r="H706" s="140" t="s">
        <v>851</v>
      </c>
    </row>
    <row r="707" spans="1:8" ht="15.75" customHeight="1">
      <c r="A707" s="140" t="s">
        <v>57</v>
      </c>
      <c r="B707" s="140" t="s">
        <v>21</v>
      </c>
      <c r="C707" s="141" t="s">
        <v>357</v>
      </c>
      <c r="D707" s="140" t="s">
        <v>358</v>
      </c>
      <c r="E707" s="140">
        <v>11</v>
      </c>
      <c r="F707" s="142">
        <v>45820.416666666672</v>
      </c>
      <c r="G707" s="140" t="s">
        <v>845</v>
      </c>
      <c r="H707" s="140" t="s">
        <v>851</v>
      </c>
    </row>
    <row r="708" spans="1:8" ht="15.75" customHeight="1">
      <c r="A708" s="140" t="s">
        <v>57</v>
      </c>
      <c r="B708" s="140" t="s">
        <v>21</v>
      </c>
      <c r="C708" s="141" t="s">
        <v>357</v>
      </c>
      <c r="D708" s="140" t="s">
        <v>358</v>
      </c>
      <c r="E708" s="140">
        <v>12</v>
      </c>
      <c r="F708" s="142">
        <v>45841.416666666672</v>
      </c>
      <c r="G708" s="140" t="s">
        <v>845</v>
      </c>
      <c r="H708" s="140" t="s">
        <v>851</v>
      </c>
    </row>
    <row r="709" spans="1:8" ht="15.75" customHeight="1">
      <c r="A709" s="140" t="s">
        <v>57</v>
      </c>
      <c r="B709" s="140" t="s">
        <v>22</v>
      </c>
      <c r="C709" s="141" t="s">
        <v>357</v>
      </c>
      <c r="D709" s="140" t="s">
        <v>358</v>
      </c>
      <c r="E709" s="140">
        <v>1</v>
      </c>
      <c r="F709" s="142">
        <v>45890.416666666672</v>
      </c>
      <c r="G709" s="140" t="s">
        <v>845</v>
      </c>
      <c r="H709" s="140" t="s">
        <v>851</v>
      </c>
    </row>
    <row r="710" spans="1:8" ht="15.75" customHeight="1">
      <c r="A710" s="140" t="s">
        <v>57</v>
      </c>
      <c r="B710" s="140" t="s">
        <v>22</v>
      </c>
      <c r="C710" s="141" t="s">
        <v>357</v>
      </c>
      <c r="D710" s="140" t="s">
        <v>358</v>
      </c>
      <c r="E710" s="140">
        <v>2</v>
      </c>
      <c r="F710" s="142">
        <v>45897.416666666672</v>
      </c>
      <c r="G710" s="140" t="s">
        <v>845</v>
      </c>
      <c r="H710" s="140" t="s">
        <v>851</v>
      </c>
    </row>
    <row r="711" spans="1:8" ht="15.75" customHeight="1">
      <c r="A711" s="140" t="s">
        <v>57</v>
      </c>
      <c r="B711" s="140" t="s">
        <v>22</v>
      </c>
      <c r="C711" s="141" t="s">
        <v>357</v>
      </c>
      <c r="D711" s="140" t="s">
        <v>358</v>
      </c>
      <c r="E711" s="140">
        <v>3</v>
      </c>
      <c r="F711" s="142">
        <v>45904.416666666672</v>
      </c>
      <c r="G711" s="140" t="s">
        <v>845</v>
      </c>
      <c r="H711" s="140" t="s">
        <v>851</v>
      </c>
    </row>
    <row r="712" spans="1:8" ht="15.75" customHeight="1">
      <c r="A712" s="140" t="s">
        <v>57</v>
      </c>
      <c r="B712" s="140" t="s">
        <v>22</v>
      </c>
      <c r="C712" s="141" t="s">
        <v>357</v>
      </c>
      <c r="D712" s="140" t="s">
        <v>358</v>
      </c>
      <c r="E712" s="140">
        <v>4</v>
      </c>
      <c r="F712" s="142">
        <v>45911.416666666672</v>
      </c>
      <c r="G712" s="140" t="s">
        <v>845</v>
      </c>
      <c r="H712" s="140" t="s">
        <v>851</v>
      </c>
    </row>
    <row r="713" spans="1:8" ht="15.75" customHeight="1">
      <c r="A713" s="140" t="s">
        <v>57</v>
      </c>
      <c r="B713" s="140" t="s">
        <v>22</v>
      </c>
      <c r="C713" s="141" t="s">
        <v>357</v>
      </c>
      <c r="D713" s="140" t="s">
        <v>358</v>
      </c>
      <c r="E713" s="140">
        <v>5</v>
      </c>
      <c r="F713" s="142">
        <v>45925.416666666672</v>
      </c>
      <c r="G713" s="140" t="s">
        <v>845</v>
      </c>
      <c r="H713" s="140" t="s">
        <v>851</v>
      </c>
    </row>
    <row r="714" spans="1:8" ht="15.75" customHeight="1">
      <c r="A714" s="140" t="s">
        <v>57</v>
      </c>
      <c r="B714" s="140" t="s">
        <v>22</v>
      </c>
      <c r="C714" s="141" t="s">
        <v>357</v>
      </c>
      <c r="D714" s="140" t="s">
        <v>358</v>
      </c>
      <c r="E714" s="140">
        <v>6</v>
      </c>
      <c r="F714" s="142">
        <v>45939.416666666672</v>
      </c>
      <c r="G714" s="140" t="s">
        <v>845</v>
      </c>
      <c r="H714" s="140" t="s">
        <v>851</v>
      </c>
    </row>
    <row r="715" spans="1:8" ht="15.75" customHeight="1">
      <c r="A715" s="140" t="s">
        <v>57</v>
      </c>
      <c r="B715" s="140" t="s">
        <v>22</v>
      </c>
      <c r="C715" s="141" t="s">
        <v>357</v>
      </c>
      <c r="D715" s="140" t="s">
        <v>358</v>
      </c>
      <c r="E715" s="140">
        <v>7</v>
      </c>
      <c r="F715" s="142">
        <v>45946.416666666672</v>
      </c>
      <c r="G715" s="140" t="s">
        <v>845</v>
      </c>
      <c r="H715" s="140" t="s">
        <v>851</v>
      </c>
    </row>
    <row r="716" spans="1:8" ht="15.75" customHeight="1">
      <c r="A716" s="140" t="s">
        <v>57</v>
      </c>
      <c r="B716" s="140" t="s">
        <v>22</v>
      </c>
      <c r="C716" s="141" t="s">
        <v>357</v>
      </c>
      <c r="D716" s="140" t="s">
        <v>358</v>
      </c>
      <c r="E716" s="140">
        <v>8</v>
      </c>
      <c r="F716" s="142">
        <v>45953.416666666672</v>
      </c>
      <c r="G716" s="140" t="s">
        <v>845</v>
      </c>
      <c r="H716" s="140" t="s">
        <v>851</v>
      </c>
    </row>
    <row r="717" spans="1:8" ht="15.75" customHeight="1">
      <c r="A717" s="140" t="s">
        <v>57</v>
      </c>
      <c r="B717" s="140" t="s">
        <v>22</v>
      </c>
      <c r="C717" s="141" t="s">
        <v>357</v>
      </c>
      <c r="D717" s="140" t="s">
        <v>358</v>
      </c>
      <c r="E717" s="140">
        <v>9</v>
      </c>
      <c r="F717" s="142">
        <v>45960.416666666672</v>
      </c>
      <c r="G717" s="140" t="s">
        <v>845</v>
      </c>
      <c r="H717" s="140" t="s">
        <v>851</v>
      </c>
    </row>
    <row r="718" spans="1:8" ht="15.75" customHeight="1">
      <c r="A718" s="140" t="s">
        <v>57</v>
      </c>
      <c r="B718" s="140" t="s">
        <v>22</v>
      </c>
      <c r="C718" s="141" t="s">
        <v>357</v>
      </c>
      <c r="D718" s="140" t="s">
        <v>358</v>
      </c>
      <c r="E718" s="140">
        <v>10</v>
      </c>
      <c r="F718" s="142">
        <v>45982.458333333328</v>
      </c>
      <c r="G718" s="140" t="s">
        <v>845</v>
      </c>
      <c r="H718" s="140" t="s">
        <v>851</v>
      </c>
    </row>
    <row r="719" spans="1:8" ht="15.75" customHeight="1">
      <c r="A719" s="140" t="s">
        <v>57</v>
      </c>
      <c r="B719" s="140" t="s">
        <v>22</v>
      </c>
      <c r="C719" s="141" t="s">
        <v>357</v>
      </c>
      <c r="D719" s="140" t="s">
        <v>358</v>
      </c>
      <c r="E719" s="140">
        <v>11</v>
      </c>
      <c r="F719" s="142">
        <v>45989.458333333328</v>
      </c>
      <c r="G719" s="140" t="s">
        <v>845</v>
      </c>
      <c r="H719" s="140" t="s">
        <v>851</v>
      </c>
    </row>
    <row r="720" spans="1:8" ht="15.75" customHeight="1">
      <c r="A720" s="140" t="s">
        <v>57</v>
      </c>
      <c r="B720" s="140" t="s">
        <v>22</v>
      </c>
      <c r="C720" s="141" t="s">
        <v>357</v>
      </c>
      <c r="D720" s="140" t="s">
        <v>358</v>
      </c>
      <c r="E720" s="140">
        <v>12</v>
      </c>
      <c r="F720" s="142">
        <v>45996.416666666672</v>
      </c>
      <c r="G720" s="140" t="s">
        <v>845</v>
      </c>
      <c r="H720" s="140" t="s">
        <v>851</v>
      </c>
    </row>
    <row r="721" spans="1:8" ht="15.75" customHeight="1">
      <c r="A721" s="140" t="s">
        <v>57</v>
      </c>
      <c r="B721" s="140" t="s">
        <v>22</v>
      </c>
      <c r="C721" s="141" t="s">
        <v>357</v>
      </c>
      <c r="D721" s="140" t="s">
        <v>358</v>
      </c>
      <c r="E721" s="140">
        <v>13</v>
      </c>
      <c r="F721" s="142">
        <v>46010.416666666672</v>
      </c>
      <c r="G721" s="140" t="s">
        <v>845</v>
      </c>
      <c r="H721" s="140" t="s">
        <v>851</v>
      </c>
    </row>
    <row r="722" spans="1:8" ht="15.75" customHeight="1">
      <c r="A722" s="140" t="s">
        <v>57</v>
      </c>
      <c r="B722" s="140" t="s">
        <v>22</v>
      </c>
      <c r="C722" s="141" t="s">
        <v>357</v>
      </c>
      <c r="D722" s="140" t="s">
        <v>358</v>
      </c>
      <c r="E722" s="140">
        <v>14</v>
      </c>
      <c r="F722" s="142">
        <v>46021.375</v>
      </c>
      <c r="G722" s="140" t="s">
        <v>845</v>
      </c>
      <c r="H722" s="140" t="s">
        <v>851</v>
      </c>
    </row>
    <row r="723" spans="1:8" ht="15.75" customHeight="1">
      <c r="A723" s="140" t="s">
        <v>57</v>
      </c>
      <c r="B723" s="140" t="s">
        <v>21</v>
      </c>
      <c r="C723" s="141" t="s">
        <v>568</v>
      </c>
      <c r="D723" s="140" t="s">
        <v>569</v>
      </c>
      <c r="E723" s="140">
        <v>1</v>
      </c>
      <c r="F723" s="142">
        <v>45702.458333333328</v>
      </c>
      <c r="G723" s="140" t="s">
        <v>845</v>
      </c>
      <c r="H723" s="140" t="s">
        <v>851</v>
      </c>
    </row>
    <row r="724" spans="1:8" ht="15.75" customHeight="1">
      <c r="A724" s="140" t="s">
        <v>57</v>
      </c>
      <c r="B724" s="140" t="s">
        <v>21</v>
      </c>
      <c r="C724" s="141" t="s">
        <v>568</v>
      </c>
      <c r="D724" s="140" t="s">
        <v>569</v>
      </c>
      <c r="E724" s="140">
        <v>2</v>
      </c>
      <c r="F724" s="142">
        <v>45709.458333333328</v>
      </c>
      <c r="G724" s="140" t="s">
        <v>845</v>
      </c>
      <c r="H724" s="140" t="s">
        <v>851</v>
      </c>
    </row>
    <row r="725" spans="1:8" ht="15.75" customHeight="1">
      <c r="A725" s="140" t="s">
        <v>57</v>
      </c>
      <c r="B725" s="140" t="s">
        <v>21</v>
      </c>
      <c r="C725" s="141" t="s">
        <v>568</v>
      </c>
      <c r="D725" s="140" t="s">
        <v>569</v>
      </c>
      <c r="E725" s="140">
        <v>3</v>
      </c>
      <c r="F725" s="142">
        <v>45716.458333333328</v>
      </c>
      <c r="G725" s="140" t="s">
        <v>845</v>
      </c>
      <c r="H725" s="140" t="s">
        <v>851</v>
      </c>
    </row>
    <row r="726" spans="1:8" ht="15.75" customHeight="1">
      <c r="A726" s="140" t="s">
        <v>57</v>
      </c>
      <c r="B726" s="140" t="s">
        <v>21</v>
      </c>
      <c r="C726" s="141" t="s">
        <v>568</v>
      </c>
      <c r="D726" s="140" t="s">
        <v>569</v>
      </c>
      <c r="E726" s="140">
        <v>4</v>
      </c>
      <c r="F726" s="142">
        <v>45765.458333333328</v>
      </c>
      <c r="G726" s="140" t="s">
        <v>845</v>
      </c>
      <c r="H726" s="140" t="s">
        <v>851</v>
      </c>
    </row>
    <row r="727" spans="1:8" ht="15.75" customHeight="1">
      <c r="A727" s="140" t="s">
        <v>57</v>
      </c>
      <c r="B727" s="140" t="s">
        <v>21</v>
      </c>
      <c r="C727" s="141" t="s">
        <v>568</v>
      </c>
      <c r="D727" s="140" t="s">
        <v>569</v>
      </c>
      <c r="E727" s="140">
        <v>5</v>
      </c>
      <c r="F727" s="142">
        <v>45770.458333333328</v>
      </c>
      <c r="G727" s="140" t="s">
        <v>845</v>
      </c>
      <c r="H727" s="140" t="s">
        <v>851</v>
      </c>
    </row>
    <row r="728" spans="1:8" ht="15.75" customHeight="1">
      <c r="A728" s="140" t="s">
        <v>57</v>
      </c>
      <c r="B728" s="140" t="s">
        <v>21</v>
      </c>
      <c r="C728" s="141" t="s">
        <v>568</v>
      </c>
      <c r="D728" s="140" t="s">
        <v>569</v>
      </c>
      <c r="E728" s="140">
        <v>6</v>
      </c>
      <c r="F728" s="142">
        <v>45785.458333333328</v>
      </c>
      <c r="G728" s="140" t="s">
        <v>845</v>
      </c>
      <c r="H728" s="140" t="s">
        <v>851</v>
      </c>
    </row>
    <row r="729" spans="1:8" ht="15.75" customHeight="1">
      <c r="A729" s="140" t="s">
        <v>57</v>
      </c>
      <c r="B729" s="140" t="s">
        <v>21</v>
      </c>
      <c r="C729" s="141" t="s">
        <v>568</v>
      </c>
      <c r="D729" s="140" t="s">
        <v>569</v>
      </c>
      <c r="E729" s="140">
        <v>7</v>
      </c>
      <c r="F729" s="142">
        <v>45792.458333333328</v>
      </c>
      <c r="G729" s="140" t="s">
        <v>845</v>
      </c>
      <c r="H729" s="140" t="s">
        <v>851</v>
      </c>
    </row>
    <row r="730" spans="1:8" ht="15.75" customHeight="1">
      <c r="A730" s="140" t="s">
        <v>57</v>
      </c>
      <c r="B730" s="140" t="s">
        <v>21</v>
      </c>
      <c r="C730" s="141" t="s">
        <v>568</v>
      </c>
      <c r="D730" s="140" t="s">
        <v>569</v>
      </c>
      <c r="E730" s="140">
        <v>8</v>
      </c>
      <c r="F730" s="142">
        <v>45800.458333333328</v>
      </c>
      <c r="G730" s="140" t="s">
        <v>845</v>
      </c>
      <c r="H730" s="140" t="s">
        <v>851</v>
      </c>
    </row>
    <row r="731" spans="1:8" ht="15.75" customHeight="1">
      <c r="A731" s="140" t="s">
        <v>57</v>
      </c>
      <c r="B731" s="140" t="s">
        <v>21</v>
      </c>
      <c r="C731" s="141" t="s">
        <v>568</v>
      </c>
      <c r="D731" s="140" t="s">
        <v>569</v>
      </c>
      <c r="E731" s="140">
        <v>9</v>
      </c>
      <c r="F731" s="142">
        <v>45806.541666666672</v>
      </c>
      <c r="G731" s="140" t="s">
        <v>845</v>
      </c>
      <c r="H731" s="140" t="s">
        <v>851</v>
      </c>
    </row>
    <row r="732" spans="1:8" ht="15.75" customHeight="1">
      <c r="A732" s="140" t="s">
        <v>57</v>
      </c>
      <c r="B732" s="140" t="s">
        <v>21</v>
      </c>
      <c r="C732" s="141" t="s">
        <v>568</v>
      </c>
      <c r="D732" s="140" t="s">
        <v>569</v>
      </c>
      <c r="E732" s="140">
        <v>10</v>
      </c>
      <c r="F732" s="142">
        <v>45813.416666666672</v>
      </c>
      <c r="G732" s="140" t="s">
        <v>845</v>
      </c>
      <c r="H732" s="140" t="s">
        <v>851</v>
      </c>
    </row>
    <row r="733" spans="1:8" ht="15.75" customHeight="1">
      <c r="A733" s="140" t="s">
        <v>57</v>
      </c>
      <c r="B733" s="140" t="s">
        <v>21</v>
      </c>
      <c r="C733" s="141" t="s">
        <v>568</v>
      </c>
      <c r="D733" s="140" t="s">
        <v>569</v>
      </c>
      <c r="E733" s="140">
        <v>11</v>
      </c>
      <c r="F733" s="142">
        <v>45820.416666666672</v>
      </c>
      <c r="G733" s="140" t="s">
        <v>845</v>
      </c>
      <c r="H733" s="140" t="s">
        <v>851</v>
      </c>
    </row>
    <row r="734" spans="1:8" ht="15.75" customHeight="1">
      <c r="A734" s="140" t="s">
        <v>57</v>
      </c>
      <c r="B734" s="140" t="s">
        <v>21</v>
      </c>
      <c r="C734" s="141" t="s">
        <v>568</v>
      </c>
      <c r="D734" s="140" t="s">
        <v>569</v>
      </c>
      <c r="E734" s="140">
        <v>12</v>
      </c>
      <c r="F734" s="142">
        <v>45841.416666666672</v>
      </c>
      <c r="G734" s="140" t="s">
        <v>845</v>
      </c>
      <c r="H734" s="140" t="s">
        <v>851</v>
      </c>
    </row>
    <row r="735" spans="1:8" ht="15.75" customHeight="1">
      <c r="A735" s="140" t="s">
        <v>57</v>
      </c>
      <c r="B735" s="140" t="s">
        <v>22</v>
      </c>
      <c r="C735" s="141" t="s">
        <v>568</v>
      </c>
      <c r="D735" s="140" t="s">
        <v>569</v>
      </c>
      <c r="E735" s="140">
        <v>1</v>
      </c>
      <c r="F735" s="142">
        <v>45890.416666666672</v>
      </c>
      <c r="G735" s="140" t="s">
        <v>845</v>
      </c>
      <c r="H735" s="140" t="s">
        <v>851</v>
      </c>
    </row>
    <row r="736" spans="1:8" ht="15.75" customHeight="1">
      <c r="A736" s="140" t="s">
        <v>57</v>
      </c>
      <c r="B736" s="140" t="s">
        <v>22</v>
      </c>
      <c r="C736" s="141" t="s">
        <v>568</v>
      </c>
      <c r="D736" s="140" t="s">
        <v>569</v>
      </c>
      <c r="E736" s="140">
        <v>2</v>
      </c>
      <c r="F736" s="142">
        <v>45897.416666666672</v>
      </c>
      <c r="G736" s="140" t="s">
        <v>845</v>
      </c>
      <c r="H736" s="140" t="s">
        <v>851</v>
      </c>
    </row>
    <row r="737" spans="1:8" ht="15.75" customHeight="1">
      <c r="A737" s="140" t="s">
        <v>57</v>
      </c>
      <c r="B737" s="140" t="s">
        <v>22</v>
      </c>
      <c r="C737" s="141" t="s">
        <v>568</v>
      </c>
      <c r="D737" s="140" t="s">
        <v>569</v>
      </c>
      <c r="E737" s="140">
        <v>3</v>
      </c>
      <c r="F737" s="142">
        <v>45904.416666666672</v>
      </c>
      <c r="G737" s="140" t="s">
        <v>845</v>
      </c>
      <c r="H737" s="140" t="s">
        <v>851</v>
      </c>
    </row>
    <row r="738" spans="1:8" ht="15.75" customHeight="1">
      <c r="A738" s="140" t="s">
        <v>57</v>
      </c>
      <c r="B738" s="140" t="s">
        <v>22</v>
      </c>
      <c r="C738" s="141" t="s">
        <v>568</v>
      </c>
      <c r="D738" s="140" t="s">
        <v>569</v>
      </c>
      <c r="E738" s="140">
        <v>4</v>
      </c>
      <c r="F738" s="142">
        <v>45911.416666666672</v>
      </c>
      <c r="G738" s="140" t="s">
        <v>845</v>
      </c>
      <c r="H738" s="140" t="s">
        <v>851</v>
      </c>
    </row>
    <row r="739" spans="1:8" ht="15.75" customHeight="1">
      <c r="A739" s="140" t="s">
        <v>57</v>
      </c>
      <c r="B739" s="140" t="s">
        <v>22</v>
      </c>
      <c r="C739" s="141" t="s">
        <v>568</v>
      </c>
      <c r="D739" s="140" t="s">
        <v>569</v>
      </c>
      <c r="E739" s="140">
        <v>5</v>
      </c>
      <c r="F739" s="142">
        <v>45925.416666666672</v>
      </c>
      <c r="G739" s="140" t="s">
        <v>845</v>
      </c>
      <c r="H739" s="140" t="s">
        <v>851</v>
      </c>
    </row>
    <row r="740" spans="1:8" ht="15.75" customHeight="1">
      <c r="A740" s="140" t="s">
        <v>57</v>
      </c>
      <c r="B740" s="140" t="s">
        <v>22</v>
      </c>
      <c r="C740" s="141" t="s">
        <v>568</v>
      </c>
      <c r="D740" s="140" t="s">
        <v>569</v>
      </c>
      <c r="E740" s="140">
        <v>6</v>
      </c>
      <c r="F740" s="142">
        <v>45939.416666666672</v>
      </c>
      <c r="G740" s="140" t="s">
        <v>845</v>
      </c>
      <c r="H740" s="140" t="s">
        <v>851</v>
      </c>
    </row>
    <row r="741" spans="1:8" ht="15.75" customHeight="1">
      <c r="A741" s="140" t="s">
        <v>57</v>
      </c>
      <c r="B741" s="140" t="s">
        <v>22</v>
      </c>
      <c r="C741" s="141" t="s">
        <v>568</v>
      </c>
      <c r="D741" s="140" t="s">
        <v>569</v>
      </c>
      <c r="E741" s="140">
        <v>7</v>
      </c>
      <c r="F741" s="142">
        <v>45946.416666666672</v>
      </c>
      <c r="G741" s="140" t="s">
        <v>845</v>
      </c>
      <c r="H741" s="140" t="s">
        <v>851</v>
      </c>
    </row>
    <row r="742" spans="1:8" ht="15.75" customHeight="1">
      <c r="A742" s="140" t="s">
        <v>57</v>
      </c>
      <c r="B742" s="140" t="s">
        <v>22</v>
      </c>
      <c r="C742" s="141" t="s">
        <v>568</v>
      </c>
      <c r="D742" s="140" t="s">
        <v>569</v>
      </c>
      <c r="E742" s="140">
        <v>8</v>
      </c>
      <c r="F742" s="142">
        <v>45953.416666666672</v>
      </c>
      <c r="G742" s="140" t="s">
        <v>845</v>
      </c>
      <c r="H742" s="140" t="s">
        <v>851</v>
      </c>
    </row>
    <row r="743" spans="1:8" ht="15.75" customHeight="1">
      <c r="A743" s="140" t="s">
        <v>57</v>
      </c>
      <c r="B743" s="140" t="s">
        <v>22</v>
      </c>
      <c r="C743" s="141" t="s">
        <v>568</v>
      </c>
      <c r="D743" s="140" t="s">
        <v>569</v>
      </c>
      <c r="E743" s="140">
        <v>9</v>
      </c>
      <c r="F743" s="142">
        <v>45960.416666666672</v>
      </c>
      <c r="G743" s="140" t="s">
        <v>845</v>
      </c>
      <c r="H743" s="140" t="s">
        <v>851</v>
      </c>
    </row>
    <row r="744" spans="1:8" ht="15.75" customHeight="1">
      <c r="A744" s="140" t="s">
        <v>57</v>
      </c>
      <c r="B744" s="140" t="s">
        <v>22</v>
      </c>
      <c r="C744" s="141" t="s">
        <v>568</v>
      </c>
      <c r="D744" s="140" t="s">
        <v>569</v>
      </c>
      <c r="E744" s="140">
        <v>10</v>
      </c>
      <c r="F744" s="142">
        <v>45982.458333333328</v>
      </c>
      <c r="G744" s="140" t="s">
        <v>845</v>
      </c>
      <c r="H744" s="140" t="s">
        <v>851</v>
      </c>
    </row>
    <row r="745" spans="1:8" ht="15.75" customHeight="1">
      <c r="A745" s="140" t="s">
        <v>57</v>
      </c>
      <c r="B745" s="140" t="s">
        <v>22</v>
      </c>
      <c r="C745" s="141" t="s">
        <v>568</v>
      </c>
      <c r="D745" s="140" t="s">
        <v>569</v>
      </c>
      <c r="E745" s="140">
        <v>11</v>
      </c>
      <c r="F745" s="142">
        <v>45989.458333333328</v>
      </c>
      <c r="G745" s="140" t="s">
        <v>845</v>
      </c>
      <c r="H745" s="140" t="s">
        <v>851</v>
      </c>
    </row>
    <row r="746" spans="1:8" ht="15.75" customHeight="1">
      <c r="A746" s="140" t="s">
        <v>57</v>
      </c>
      <c r="B746" s="140" t="s">
        <v>22</v>
      </c>
      <c r="C746" s="141" t="s">
        <v>568</v>
      </c>
      <c r="D746" s="140" t="s">
        <v>569</v>
      </c>
      <c r="E746" s="140">
        <v>12</v>
      </c>
      <c r="F746" s="142">
        <v>45996.416666666672</v>
      </c>
      <c r="G746" s="140" t="s">
        <v>845</v>
      </c>
      <c r="H746" s="140" t="s">
        <v>851</v>
      </c>
    </row>
    <row r="747" spans="1:8" ht="15.75" customHeight="1">
      <c r="A747" s="140" t="s">
        <v>57</v>
      </c>
      <c r="B747" s="140" t="s">
        <v>22</v>
      </c>
      <c r="C747" s="141" t="s">
        <v>568</v>
      </c>
      <c r="D747" s="140" t="s">
        <v>569</v>
      </c>
      <c r="E747" s="140">
        <v>13</v>
      </c>
      <c r="F747" s="142">
        <v>46010.416666666672</v>
      </c>
      <c r="G747" s="140" t="s">
        <v>845</v>
      </c>
      <c r="H747" s="140" t="s">
        <v>851</v>
      </c>
    </row>
    <row r="748" spans="1:8" ht="15.75" customHeight="1">
      <c r="A748" s="140" t="s">
        <v>57</v>
      </c>
      <c r="B748" s="140" t="s">
        <v>22</v>
      </c>
      <c r="C748" s="141" t="s">
        <v>568</v>
      </c>
      <c r="D748" s="140" t="s">
        <v>569</v>
      </c>
      <c r="E748" s="140">
        <v>14</v>
      </c>
      <c r="F748" s="142">
        <v>46021.375</v>
      </c>
      <c r="G748" s="140" t="s">
        <v>845</v>
      </c>
      <c r="H748" s="140" t="s">
        <v>851</v>
      </c>
    </row>
    <row r="749" spans="1:8" ht="15.75" customHeight="1">
      <c r="A749" s="140" t="s">
        <v>57</v>
      </c>
      <c r="B749" s="140" t="s">
        <v>22</v>
      </c>
      <c r="C749" s="141" t="s">
        <v>568</v>
      </c>
      <c r="D749" s="140" t="s">
        <v>569</v>
      </c>
      <c r="E749" s="140">
        <v>15</v>
      </c>
      <c r="F749" s="142">
        <v>46038.458333333328</v>
      </c>
      <c r="G749" s="140" t="s">
        <v>845</v>
      </c>
      <c r="H749" s="140" t="s">
        <v>851</v>
      </c>
    </row>
    <row r="750" spans="1:8" ht="15.75" customHeight="1">
      <c r="A750" s="140" t="s">
        <v>57</v>
      </c>
      <c r="B750" s="140" t="s">
        <v>22</v>
      </c>
      <c r="C750" s="141" t="s">
        <v>568</v>
      </c>
      <c r="D750" s="140" t="s">
        <v>569</v>
      </c>
      <c r="E750" s="140">
        <v>16</v>
      </c>
      <c r="F750" s="142">
        <v>46083.458333333328</v>
      </c>
      <c r="G750" s="140" t="s">
        <v>845</v>
      </c>
      <c r="H750" s="140" t="s">
        <v>851</v>
      </c>
    </row>
    <row r="751" spans="1:8" ht="15.75" customHeight="1">
      <c r="A751" s="140" t="s">
        <v>57</v>
      </c>
      <c r="B751" s="140" t="s">
        <v>21</v>
      </c>
      <c r="C751" s="141" t="s">
        <v>625</v>
      </c>
      <c r="D751" s="140" t="s">
        <v>626</v>
      </c>
      <c r="E751" s="140">
        <v>1</v>
      </c>
      <c r="F751" s="142">
        <v>45702.458333333328</v>
      </c>
      <c r="G751" s="140" t="s">
        <v>845</v>
      </c>
      <c r="H751" s="140" t="s">
        <v>851</v>
      </c>
    </row>
    <row r="752" spans="1:8" ht="15.75" customHeight="1">
      <c r="A752" s="140" t="s">
        <v>57</v>
      </c>
      <c r="B752" s="140" t="s">
        <v>21</v>
      </c>
      <c r="C752" s="141" t="s">
        <v>625</v>
      </c>
      <c r="D752" s="140" t="s">
        <v>626</v>
      </c>
      <c r="E752" s="140">
        <v>2</v>
      </c>
      <c r="F752" s="142">
        <v>45709.458333333328</v>
      </c>
      <c r="G752" s="140" t="s">
        <v>845</v>
      </c>
      <c r="H752" s="140" t="s">
        <v>851</v>
      </c>
    </row>
    <row r="753" spans="1:8" ht="15.75" customHeight="1">
      <c r="A753" s="140" t="s">
        <v>57</v>
      </c>
      <c r="B753" s="140" t="s">
        <v>21</v>
      </c>
      <c r="C753" s="141" t="s">
        <v>625</v>
      </c>
      <c r="D753" s="140" t="s">
        <v>626</v>
      </c>
      <c r="E753" s="140">
        <v>3</v>
      </c>
      <c r="F753" s="142">
        <v>45716.458333333328</v>
      </c>
      <c r="G753" s="140" t="s">
        <v>845</v>
      </c>
      <c r="H753" s="140" t="s">
        <v>851</v>
      </c>
    </row>
    <row r="754" spans="1:8" ht="15.75" customHeight="1">
      <c r="A754" s="140" t="s">
        <v>57</v>
      </c>
      <c r="B754" s="140" t="s">
        <v>21</v>
      </c>
      <c r="C754" s="141" t="s">
        <v>625</v>
      </c>
      <c r="D754" s="140" t="s">
        <v>626</v>
      </c>
      <c r="E754" s="140">
        <v>4</v>
      </c>
      <c r="F754" s="142">
        <v>45765.458333333328</v>
      </c>
      <c r="G754" s="140" t="s">
        <v>845</v>
      </c>
      <c r="H754" s="140" t="s">
        <v>851</v>
      </c>
    </row>
    <row r="755" spans="1:8" ht="15.75" customHeight="1">
      <c r="A755" s="140" t="s">
        <v>57</v>
      </c>
      <c r="B755" s="140" t="s">
        <v>21</v>
      </c>
      <c r="C755" s="141" t="s">
        <v>625</v>
      </c>
      <c r="D755" s="140" t="s">
        <v>626</v>
      </c>
      <c r="E755" s="140">
        <v>5</v>
      </c>
      <c r="F755" s="142">
        <v>45770.458333333328</v>
      </c>
      <c r="G755" s="140" t="s">
        <v>845</v>
      </c>
      <c r="H755" s="140" t="s">
        <v>851</v>
      </c>
    </row>
    <row r="756" spans="1:8" ht="15.75" customHeight="1">
      <c r="A756" s="140" t="s">
        <v>57</v>
      </c>
      <c r="B756" s="140" t="s">
        <v>21</v>
      </c>
      <c r="C756" s="141" t="s">
        <v>625</v>
      </c>
      <c r="D756" s="140" t="s">
        <v>626</v>
      </c>
      <c r="E756" s="140">
        <v>6</v>
      </c>
      <c r="F756" s="142">
        <v>45785.458333333328</v>
      </c>
      <c r="G756" s="140" t="s">
        <v>845</v>
      </c>
      <c r="H756" s="140" t="s">
        <v>851</v>
      </c>
    </row>
    <row r="757" spans="1:8" ht="15.75" customHeight="1">
      <c r="A757" s="140" t="s">
        <v>57</v>
      </c>
      <c r="B757" s="140" t="s">
        <v>21</v>
      </c>
      <c r="C757" s="141" t="s">
        <v>625</v>
      </c>
      <c r="D757" s="140" t="s">
        <v>626</v>
      </c>
      <c r="E757" s="140">
        <v>7</v>
      </c>
      <c r="F757" s="142">
        <v>45792.458333333328</v>
      </c>
      <c r="G757" s="140" t="s">
        <v>845</v>
      </c>
      <c r="H757" s="140" t="s">
        <v>851</v>
      </c>
    </row>
    <row r="758" spans="1:8" ht="15.75" customHeight="1">
      <c r="A758" s="140" t="s">
        <v>57</v>
      </c>
      <c r="B758" s="140" t="s">
        <v>21</v>
      </c>
      <c r="C758" s="141" t="s">
        <v>625</v>
      </c>
      <c r="D758" s="140" t="s">
        <v>626</v>
      </c>
      <c r="E758" s="140">
        <v>8</v>
      </c>
      <c r="F758" s="142">
        <v>45800.458333333328</v>
      </c>
      <c r="G758" s="140" t="s">
        <v>845</v>
      </c>
      <c r="H758" s="140" t="s">
        <v>851</v>
      </c>
    </row>
    <row r="759" spans="1:8" ht="15.75" customHeight="1">
      <c r="A759" s="140" t="s">
        <v>57</v>
      </c>
      <c r="B759" s="140" t="s">
        <v>21</v>
      </c>
      <c r="C759" s="141" t="s">
        <v>625</v>
      </c>
      <c r="D759" s="140" t="s">
        <v>626</v>
      </c>
      <c r="E759" s="140">
        <v>9</v>
      </c>
      <c r="F759" s="142">
        <v>45806.541666666672</v>
      </c>
      <c r="G759" s="140" t="s">
        <v>845</v>
      </c>
      <c r="H759" s="140" t="s">
        <v>851</v>
      </c>
    </row>
    <row r="760" spans="1:8" ht="15.75" customHeight="1">
      <c r="A760" s="140" t="s">
        <v>57</v>
      </c>
      <c r="B760" s="140" t="s">
        <v>21</v>
      </c>
      <c r="C760" s="141" t="s">
        <v>625</v>
      </c>
      <c r="D760" s="140" t="s">
        <v>626</v>
      </c>
      <c r="E760" s="140">
        <v>10</v>
      </c>
      <c r="F760" s="142">
        <v>45813.416666666672</v>
      </c>
      <c r="G760" s="140" t="s">
        <v>845</v>
      </c>
      <c r="H760" s="140" t="s">
        <v>851</v>
      </c>
    </row>
    <row r="761" spans="1:8" ht="15.75" customHeight="1">
      <c r="A761" s="140" t="s">
        <v>57</v>
      </c>
      <c r="B761" s="140" t="s">
        <v>21</v>
      </c>
      <c r="C761" s="141" t="s">
        <v>625</v>
      </c>
      <c r="D761" s="140" t="s">
        <v>626</v>
      </c>
      <c r="E761" s="140">
        <v>11</v>
      </c>
      <c r="F761" s="142">
        <v>45820.416666666672</v>
      </c>
      <c r="G761" s="140" t="s">
        <v>845</v>
      </c>
      <c r="H761" s="140" t="s">
        <v>851</v>
      </c>
    </row>
    <row r="762" spans="1:8" ht="15.75" customHeight="1">
      <c r="A762" s="140" t="s">
        <v>57</v>
      </c>
      <c r="B762" s="140" t="s">
        <v>21</v>
      </c>
      <c r="C762" s="141" t="s">
        <v>625</v>
      </c>
      <c r="D762" s="140" t="s">
        <v>626</v>
      </c>
      <c r="E762" s="140">
        <v>12</v>
      </c>
      <c r="F762" s="142">
        <v>45841.416666666672</v>
      </c>
      <c r="G762" s="140" t="s">
        <v>845</v>
      </c>
      <c r="H762" s="140" t="s">
        <v>851</v>
      </c>
    </row>
    <row r="763" spans="1:8" ht="15.75" customHeight="1">
      <c r="A763" s="140" t="s">
        <v>57</v>
      </c>
      <c r="B763" s="140" t="s">
        <v>22</v>
      </c>
      <c r="C763" s="141" t="s">
        <v>625</v>
      </c>
      <c r="D763" s="140" t="s">
        <v>626</v>
      </c>
      <c r="E763" s="140">
        <v>1</v>
      </c>
      <c r="F763" s="142">
        <v>45890.416666666672</v>
      </c>
      <c r="G763" s="140" t="s">
        <v>845</v>
      </c>
      <c r="H763" s="140" t="s">
        <v>851</v>
      </c>
    </row>
    <row r="764" spans="1:8" ht="15.75" customHeight="1">
      <c r="A764" s="140" t="s">
        <v>57</v>
      </c>
      <c r="B764" s="140" t="s">
        <v>22</v>
      </c>
      <c r="C764" s="141" t="s">
        <v>625</v>
      </c>
      <c r="D764" s="140" t="s">
        <v>626</v>
      </c>
      <c r="E764" s="140">
        <v>2</v>
      </c>
      <c r="F764" s="142">
        <v>45897.416666666672</v>
      </c>
      <c r="G764" s="140" t="s">
        <v>845</v>
      </c>
      <c r="H764" s="140" t="s">
        <v>851</v>
      </c>
    </row>
    <row r="765" spans="1:8" ht="15.75" customHeight="1">
      <c r="A765" s="140" t="s">
        <v>57</v>
      </c>
      <c r="B765" s="140" t="s">
        <v>22</v>
      </c>
      <c r="C765" s="141" t="s">
        <v>625</v>
      </c>
      <c r="D765" s="140" t="s">
        <v>626</v>
      </c>
      <c r="E765" s="140">
        <v>3</v>
      </c>
      <c r="F765" s="142">
        <v>45904.416666666672</v>
      </c>
      <c r="G765" s="140" t="s">
        <v>845</v>
      </c>
      <c r="H765" s="140" t="s">
        <v>851</v>
      </c>
    </row>
    <row r="766" spans="1:8" ht="15.75" customHeight="1">
      <c r="A766" s="140" t="s">
        <v>57</v>
      </c>
      <c r="B766" s="140" t="s">
        <v>22</v>
      </c>
      <c r="C766" s="141" t="s">
        <v>625</v>
      </c>
      <c r="D766" s="140" t="s">
        <v>626</v>
      </c>
      <c r="E766" s="140">
        <v>4</v>
      </c>
      <c r="F766" s="142">
        <v>45911.416666666672</v>
      </c>
      <c r="G766" s="140" t="s">
        <v>845</v>
      </c>
      <c r="H766" s="140" t="s">
        <v>851</v>
      </c>
    </row>
    <row r="767" spans="1:8" ht="15.75" customHeight="1">
      <c r="A767" s="140" t="s">
        <v>57</v>
      </c>
      <c r="B767" s="140" t="s">
        <v>22</v>
      </c>
      <c r="C767" s="141" t="s">
        <v>625</v>
      </c>
      <c r="D767" s="140" t="s">
        <v>626</v>
      </c>
      <c r="E767" s="140">
        <v>5</v>
      </c>
      <c r="F767" s="142">
        <v>45925.416666666672</v>
      </c>
      <c r="G767" s="140" t="s">
        <v>845</v>
      </c>
      <c r="H767" s="140" t="s">
        <v>851</v>
      </c>
    </row>
    <row r="768" spans="1:8" ht="15.75" customHeight="1">
      <c r="A768" s="140" t="s">
        <v>57</v>
      </c>
      <c r="B768" s="140" t="s">
        <v>22</v>
      </c>
      <c r="C768" s="141" t="s">
        <v>625</v>
      </c>
      <c r="D768" s="140" t="s">
        <v>626</v>
      </c>
      <c r="E768" s="140">
        <v>6</v>
      </c>
      <c r="F768" s="142">
        <v>45939.416666666672</v>
      </c>
      <c r="G768" s="140" t="s">
        <v>845</v>
      </c>
      <c r="H768" s="140" t="s">
        <v>851</v>
      </c>
    </row>
    <row r="769" spans="1:8" ht="15.75" customHeight="1">
      <c r="A769" s="140" t="s">
        <v>57</v>
      </c>
      <c r="B769" s="140" t="s">
        <v>22</v>
      </c>
      <c r="C769" s="141" t="s">
        <v>625</v>
      </c>
      <c r="D769" s="140" t="s">
        <v>626</v>
      </c>
      <c r="E769" s="140">
        <v>7</v>
      </c>
      <c r="F769" s="142">
        <v>45946.416666666672</v>
      </c>
      <c r="G769" s="140" t="s">
        <v>845</v>
      </c>
      <c r="H769" s="140" t="s">
        <v>851</v>
      </c>
    </row>
    <row r="770" spans="1:8" ht="15.75" customHeight="1">
      <c r="A770" s="140" t="s">
        <v>57</v>
      </c>
      <c r="B770" s="140" t="s">
        <v>22</v>
      </c>
      <c r="C770" s="141" t="s">
        <v>625</v>
      </c>
      <c r="D770" s="140" t="s">
        <v>626</v>
      </c>
      <c r="E770" s="140">
        <v>8</v>
      </c>
      <c r="F770" s="142">
        <v>45953.416666666672</v>
      </c>
      <c r="G770" s="140" t="s">
        <v>845</v>
      </c>
      <c r="H770" s="140" t="s">
        <v>851</v>
      </c>
    </row>
    <row r="771" spans="1:8" ht="15.75" customHeight="1">
      <c r="A771" s="140" t="s">
        <v>57</v>
      </c>
      <c r="B771" s="140" t="s">
        <v>22</v>
      </c>
      <c r="C771" s="141" t="s">
        <v>625</v>
      </c>
      <c r="D771" s="140" t="s">
        <v>626</v>
      </c>
      <c r="E771" s="140">
        <v>9</v>
      </c>
      <c r="F771" s="142">
        <v>45960.416666666672</v>
      </c>
      <c r="G771" s="140" t="s">
        <v>845</v>
      </c>
      <c r="H771" s="140" t="s">
        <v>851</v>
      </c>
    </row>
    <row r="772" spans="1:8" ht="15.75" customHeight="1">
      <c r="A772" s="140" t="s">
        <v>57</v>
      </c>
      <c r="B772" s="140" t="s">
        <v>22</v>
      </c>
      <c r="C772" s="141" t="s">
        <v>625</v>
      </c>
      <c r="D772" s="140" t="s">
        <v>626</v>
      </c>
      <c r="E772" s="140">
        <v>10</v>
      </c>
      <c r="F772" s="142">
        <v>45982.458333333328</v>
      </c>
      <c r="G772" s="140" t="s">
        <v>843</v>
      </c>
      <c r="H772" s="140" t="s">
        <v>851</v>
      </c>
    </row>
    <row r="773" spans="1:8" ht="15.75" customHeight="1">
      <c r="A773" s="140" t="s">
        <v>57</v>
      </c>
      <c r="B773" s="140" t="s">
        <v>22</v>
      </c>
      <c r="C773" s="141" t="s">
        <v>625</v>
      </c>
      <c r="D773" s="140" t="s">
        <v>626</v>
      </c>
      <c r="E773" s="140">
        <v>11</v>
      </c>
      <c r="F773" s="142">
        <v>45989.458333333328</v>
      </c>
      <c r="G773" s="140" t="s">
        <v>845</v>
      </c>
      <c r="H773" s="140" t="s">
        <v>851</v>
      </c>
    </row>
    <row r="774" spans="1:8" ht="15.75" customHeight="1">
      <c r="A774" s="140" t="s">
        <v>57</v>
      </c>
      <c r="B774" s="140" t="s">
        <v>22</v>
      </c>
      <c r="C774" s="141" t="s">
        <v>625</v>
      </c>
      <c r="D774" s="140" t="s">
        <v>626</v>
      </c>
      <c r="E774" s="140">
        <v>12</v>
      </c>
      <c r="F774" s="142">
        <v>45996.416666666672</v>
      </c>
      <c r="G774" s="140" t="s">
        <v>845</v>
      </c>
      <c r="H774" s="140" t="s">
        <v>851</v>
      </c>
    </row>
    <row r="775" spans="1:8" ht="15.75" customHeight="1">
      <c r="A775" s="140" t="s">
        <v>57</v>
      </c>
      <c r="B775" s="140" t="s">
        <v>22</v>
      </c>
      <c r="C775" s="141" t="s">
        <v>625</v>
      </c>
      <c r="D775" s="140" t="s">
        <v>626</v>
      </c>
      <c r="E775" s="140">
        <v>13</v>
      </c>
      <c r="F775" s="142">
        <v>46010.416666666672</v>
      </c>
      <c r="G775" s="140" t="s">
        <v>845</v>
      </c>
      <c r="H775" s="140" t="s">
        <v>851</v>
      </c>
    </row>
    <row r="776" spans="1:8" ht="15.75" customHeight="1">
      <c r="A776" s="140" t="s">
        <v>57</v>
      </c>
      <c r="B776" s="140" t="s">
        <v>22</v>
      </c>
      <c r="C776" s="141" t="s">
        <v>625</v>
      </c>
      <c r="D776" s="140" t="s">
        <v>626</v>
      </c>
      <c r="E776" s="140">
        <v>14</v>
      </c>
      <c r="F776" s="142">
        <v>46021.375</v>
      </c>
      <c r="G776" s="140" t="s">
        <v>845</v>
      </c>
      <c r="H776" s="140" t="s">
        <v>851</v>
      </c>
    </row>
    <row r="777" spans="1:8" ht="15.75" customHeight="1">
      <c r="A777" s="140" t="s">
        <v>57</v>
      </c>
      <c r="B777" s="140" t="s">
        <v>21</v>
      </c>
      <c r="C777" s="141" t="s">
        <v>675</v>
      </c>
      <c r="D777" s="140" t="s">
        <v>676</v>
      </c>
      <c r="E777" s="140">
        <v>1</v>
      </c>
      <c r="F777" s="142">
        <v>45702.458333333328</v>
      </c>
      <c r="G777" s="140" t="s">
        <v>845</v>
      </c>
      <c r="H777" s="140" t="s">
        <v>851</v>
      </c>
    </row>
    <row r="778" spans="1:8" ht="15.75" customHeight="1">
      <c r="A778" s="140" t="s">
        <v>57</v>
      </c>
      <c r="B778" s="140" t="s">
        <v>21</v>
      </c>
      <c r="C778" s="141" t="s">
        <v>675</v>
      </c>
      <c r="D778" s="140" t="s">
        <v>676</v>
      </c>
      <c r="E778" s="140">
        <v>2</v>
      </c>
      <c r="F778" s="142">
        <v>45709.458333333328</v>
      </c>
      <c r="G778" s="140" t="s">
        <v>845</v>
      </c>
      <c r="H778" s="140" t="s">
        <v>851</v>
      </c>
    </row>
    <row r="779" spans="1:8" ht="15.75" customHeight="1">
      <c r="A779" s="140" t="s">
        <v>57</v>
      </c>
      <c r="B779" s="140" t="s">
        <v>21</v>
      </c>
      <c r="C779" s="141" t="s">
        <v>675</v>
      </c>
      <c r="D779" s="140" t="s">
        <v>676</v>
      </c>
      <c r="E779" s="140">
        <v>3</v>
      </c>
      <c r="F779" s="142">
        <v>45716.458333333328</v>
      </c>
      <c r="G779" s="140" t="s">
        <v>845</v>
      </c>
      <c r="H779" s="140" t="s">
        <v>851</v>
      </c>
    </row>
    <row r="780" spans="1:8" ht="15.75" customHeight="1">
      <c r="A780" s="140" t="s">
        <v>57</v>
      </c>
      <c r="B780" s="140" t="s">
        <v>21</v>
      </c>
      <c r="C780" s="141" t="s">
        <v>675</v>
      </c>
      <c r="D780" s="140" t="s">
        <v>676</v>
      </c>
      <c r="E780" s="140">
        <v>4</v>
      </c>
      <c r="F780" s="142">
        <v>45765.458333333328</v>
      </c>
      <c r="G780" s="140" t="s">
        <v>845</v>
      </c>
      <c r="H780" s="140" t="s">
        <v>851</v>
      </c>
    </row>
    <row r="781" spans="1:8" ht="15.75" customHeight="1">
      <c r="A781" s="140" t="s">
        <v>57</v>
      </c>
      <c r="B781" s="140" t="s">
        <v>21</v>
      </c>
      <c r="C781" s="141" t="s">
        <v>675</v>
      </c>
      <c r="D781" s="140" t="s">
        <v>676</v>
      </c>
      <c r="E781" s="140">
        <v>5</v>
      </c>
      <c r="F781" s="142">
        <v>45770.458333333328</v>
      </c>
      <c r="G781" s="140" t="s">
        <v>845</v>
      </c>
      <c r="H781" s="140" t="s">
        <v>851</v>
      </c>
    </row>
    <row r="782" spans="1:8" ht="15.75" customHeight="1">
      <c r="A782" s="140" t="s">
        <v>57</v>
      </c>
      <c r="B782" s="140" t="s">
        <v>21</v>
      </c>
      <c r="C782" s="141" t="s">
        <v>675</v>
      </c>
      <c r="D782" s="140" t="s">
        <v>676</v>
      </c>
      <c r="E782" s="140">
        <v>6</v>
      </c>
      <c r="F782" s="142">
        <v>45785.458333333328</v>
      </c>
      <c r="G782" s="140" t="s">
        <v>845</v>
      </c>
      <c r="H782" s="140" t="s">
        <v>851</v>
      </c>
    </row>
    <row r="783" spans="1:8" ht="15.75" customHeight="1">
      <c r="A783" s="140" t="s">
        <v>57</v>
      </c>
      <c r="B783" s="140" t="s">
        <v>21</v>
      </c>
      <c r="C783" s="141" t="s">
        <v>675</v>
      </c>
      <c r="D783" s="140" t="s">
        <v>676</v>
      </c>
      <c r="E783" s="140">
        <v>7</v>
      </c>
      <c r="F783" s="142">
        <v>45792.458333333328</v>
      </c>
      <c r="G783" s="140" t="s">
        <v>845</v>
      </c>
      <c r="H783" s="140" t="s">
        <v>851</v>
      </c>
    </row>
    <row r="784" spans="1:8" ht="15.75" customHeight="1">
      <c r="A784" s="140" t="s">
        <v>57</v>
      </c>
      <c r="B784" s="140" t="s">
        <v>21</v>
      </c>
      <c r="C784" s="141" t="s">
        <v>675</v>
      </c>
      <c r="D784" s="140" t="s">
        <v>676</v>
      </c>
      <c r="E784" s="140">
        <v>8</v>
      </c>
      <c r="F784" s="142">
        <v>45800.458333333328</v>
      </c>
      <c r="G784" s="140" t="s">
        <v>843</v>
      </c>
      <c r="H784" s="140" t="s">
        <v>851</v>
      </c>
    </row>
    <row r="785" spans="1:8" ht="15.75" customHeight="1">
      <c r="A785" s="140" t="s">
        <v>57</v>
      </c>
      <c r="B785" s="140" t="s">
        <v>21</v>
      </c>
      <c r="C785" s="141" t="s">
        <v>675</v>
      </c>
      <c r="D785" s="140" t="s">
        <v>676</v>
      </c>
      <c r="E785" s="140">
        <v>9</v>
      </c>
      <c r="F785" s="142">
        <v>45806.541666666672</v>
      </c>
      <c r="G785" s="140" t="s">
        <v>845</v>
      </c>
      <c r="H785" s="140" t="s">
        <v>851</v>
      </c>
    </row>
    <row r="786" spans="1:8" ht="15.75" customHeight="1">
      <c r="A786" s="140" t="s">
        <v>57</v>
      </c>
      <c r="B786" s="140" t="s">
        <v>21</v>
      </c>
      <c r="C786" s="141" t="s">
        <v>675</v>
      </c>
      <c r="D786" s="140" t="s">
        <v>676</v>
      </c>
      <c r="E786" s="140">
        <v>10</v>
      </c>
      <c r="F786" s="142">
        <v>45813.416666666672</v>
      </c>
      <c r="G786" s="140" t="s">
        <v>845</v>
      </c>
      <c r="H786" s="140" t="s">
        <v>851</v>
      </c>
    </row>
    <row r="787" spans="1:8" ht="15.75" customHeight="1">
      <c r="A787" s="140" t="s">
        <v>57</v>
      </c>
      <c r="B787" s="140" t="s">
        <v>21</v>
      </c>
      <c r="C787" s="141" t="s">
        <v>675</v>
      </c>
      <c r="D787" s="140" t="s">
        <v>676</v>
      </c>
      <c r="E787" s="140">
        <v>11</v>
      </c>
      <c r="F787" s="142">
        <v>45820.416666666672</v>
      </c>
      <c r="G787" s="140" t="s">
        <v>845</v>
      </c>
      <c r="H787" s="140" t="s">
        <v>851</v>
      </c>
    </row>
    <row r="788" spans="1:8" ht="15.75" customHeight="1">
      <c r="A788" s="140" t="s">
        <v>57</v>
      </c>
      <c r="B788" s="140" t="s">
        <v>21</v>
      </c>
      <c r="C788" s="141" t="s">
        <v>675</v>
      </c>
      <c r="D788" s="140" t="s">
        <v>676</v>
      </c>
      <c r="E788" s="140">
        <v>12</v>
      </c>
      <c r="F788" s="142">
        <v>45841.416666666672</v>
      </c>
      <c r="G788" s="140" t="s">
        <v>845</v>
      </c>
      <c r="H788" s="140" t="s">
        <v>851</v>
      </c>
    </row>
    <row r="789" spans="1:8" ht="15.75" customHeight="1">
      <c r="A789" s="140" t="s">
        <v>57</v>
      </c>
      <c r="B789" s="140" t="s">
        <v>22</v>
      </c>
      <c r="C789" s="141" t="s">
        <v>697</v>
      </c>
      <c r="D789" s="140" t="s">
        <v>698</v>
      </c>
      <c r="E789" s="140">
        <v>1</v>
      </c>
      <c r="F789" s="142">
        <v>45841.583333333328</v>
      </c>
      <c r="G789" s="140" t="s">
        <v>845</v>
      </c>
      <c r="H789" s="140" t="s">
        <v>851</v>
      </c>
    </row>
    <row r="790" spans="1:8" ht="15.75" customHeight="1">
      <c r="A790" s="140" t="s">
        <v>57</v>
      </c>
      <c r="B790" s="140" t="s">
        <v>22</v>
      </c>
      <c r="C790" s="141" t="s">
        <v>697</v>
      </c>
      <c r="D790" s="140" t="s">
        <v>698</v>
      </c>
      <c r="E790" s="140">
        <v>2</v>
      </c>
      <c r="F790" s="142">
        <v>45853.416666666672</v>
      </c>
      <c r="G790" s="140" t="s">
        <v>845</v>
      </c>
      <c r="H790" s="140" t="s">
        <v>851</v>
      </c>
    </row>
    <row r="791" spans="1:8" ht="15.75" customHeight="1">
      <c r="A791" s="140" t="s">
        <v>57</v>
      </c>
      <c r="B791" s="140" t="s">
        <v>22</v>
      </c>
      <c r="C791" s="141" t="s">
        <v>697</v>
      </c>
      <c r="D791" s="140" t="s">
        <v>698</v>
      </c>
      <c r="E791" s="140">
        <v>3</v>
      </c>
      <c r="F791" s="142">
        <v>45882.625</v>
      </c>
      <c r="G791" s="140" t="s">
        <v>845</v>
      </c>
      <c r="H791" s="140" t="s">
        <v>851</v>
      </c>
    </row>
    <row r="792" spans="1:8" ht="15.75" customHeight="1">
      <c r="A792" s="140" t="s">
        <v>57</v>
      </c>
      <c r="B792" s="140" t="s">
        <v>22</v>
      </c>
      <c r="C792" s="141" t="s">
        <v>697</v>
      </c>
      <c r="D792" s="140" t="s">
        <v>698</v>
      </c>
      <c r="E792" s="140">
        <v>4</v>
      </c>
      <c r="F792" s="142">
        <v>45889.625</v>
      </c>
      <c r="G792" s="140" t="s">
        <v>845</v>
      </c>
      <c r="H792" s="140" t="s">
        <v>851</v>
      </c>
    </row>
    <row r="793" spans="1:8" ht="15.75" customHeight="1">
      <c r="A793" s="140" t="s">
        <v>57</v>
      </c>
      <c r="B793" s="140" t="s">
        <v>22</v>
      </c>
      <c r="C793" s="141" t="s">
        <v>697</v>
      </c>
      <c r="D793" s="140" t="s">
        <v>698</v>
      </c>
      <c r="E793" s="140">
        <v>5</v>
      </c>
      <c r="F793" s="142">
        <v>45917.625</v>
      </c>
      <c r="G793" s="140" t="s">
        <v>845</v>
      </c>
      <c r="H793" s="140" t="s">
        <v>851</v>
      </c>
    </row>
    <row r="794" spans="1:8" ht="15.75" customHeight="1">
      <c r="A794" s="140" t="s">
        <v>57</v>
      </c>
      <c r="B794" s="140" t="s">
        <v>22</v>
      </c>
      <c r="C794" s="141" t="s">
        <v>697</v>
      </c>
      <c r="D794" s="140" t="s">
        <v>698</v>
      </c>
      <c r="E794" s="140">
        <v>6</v>
      </c>
      <c r="F794" s="142">
        <v>45924.625</v>
      </c>
      <c r="G794" s="140" t="s">
        <v>845</v>
      </c>
      <c r="H794" s="140" t="s">
        <v>851</v>
      </c>
    </row>
    <row r="795" spans="1:8" ht="15.75" customHeight="1">
      <c r="A795" s="140" t="s">
        <v>57</v>
      </c>
      <c r="B795" s="140" t="s">
        <v>22</v>
      </c>
      <c r="C795" s="141" t="s">
        <v>697</v>
      </c>
      <c r="D795" s="140" t="s">
        <v>698</v>
      </c>
      <c r="E795" s="140">
        <v>7</v>
      </c>
      <c r="F795" s="142">
        <v>45931.625</v>
      </c>
      <c r="G795" s="140" t="s">
        <v>845</v>
      </c>
      <c r="H795" s="140" t="s">
        <v>851</v>
      </c>
    </row>
    <row r="796" spans="1:8" ht="15.75" customHeight="1">
      <c r="A796" s="140" t="s">
        <v>57</v>
      </c>
      <c r="B796" s="140" t="s">
        <v>22</v>
      </c>
      <c r="C796" s="141" t="s">
        <v>697</v>
      </c>
      <c r="D796" s="140" t="s">
        <v>698</v>
      </c>
      <c r="E796" s="140">
        <v>8</v>
      </c>
      <c r="F796" s="142">
        <v>45953.416666666672</v>
      </c>
      <c r="G796" s="140" t="s">
        <v>843</v>
      </c>
      <c r="H796" s="140" t="s">
        <v>851</v>
      </c>
    </row>
    <row r="797" spans="1:8" ht="15.75" customHeight="1">
      <c r="A797" s="140" t="s">
        <v>57</v>
      </c>
      <c r="B797" s="140" t="s">
        <v>22</v>
      </c>
      <c r="C797" s="141" t="s">
        <v>697</v>
      </c>
      <c r="D797" s="140" t="s">
        <v>698</v>
      </c>
      <c r="E797" s="140">
        <v>9</v>
      </c>
      <c r="F797" s="142">
        <v>45960.416666666672</v>
      </c>
      <c r="G797" s="140" t="s">
        <v>845</v>
      </c>
      <c r="H797" s="140" t="s">
        <v>851</v>
      </c>
    </row>
    <row r="798" spans="1:8" ht="15.75" customHeight="1">
      <c r="A798" s="140" t="s">
        <v>57</v>
      </c>
      <c r="B798" s="140" t="s">
        <v>22</v>
      </c>
      <c r="C798" s="141" t="s">
        <v>697</v>
      </c>
      <c r="D798" s="140" t="s">
        <v>698</v>
      </c>
      <c r="E798" s="140">
        <v>10</v>
      </c>
      <c r="F798" s="142">
        <v>45982.458333333328</v>
      </c>
      <c r="G798" s="140" t="s">
        <v>845</v>
      </c>
      <c r="H798" s="140" t="s">
        <v>851</v>
      </c>
    </row>
    <row r="799" spans="1:8" ht="15.75" customHeight="1">
      <c r="A799" s="140" t="s">
        <v>57</v>
      </c>
      <c r="B799" s="140" t="s">
        <v>22</v>
      </c>
      <c r="C799" s="141" t="s">
        <v>697</v>
      </c>
      <c r="D799" s="140" t="s">
        <v>698</v>
      </c>
      <c r="E799" s="140">
        <v>11</v>
      </c>
      <c r="F799" s="142">
        <v>45989.458333333328</v>
      </c>
      <c r="G799" s="140" t="s">
        <v>843</v>
      </c>
      <c r="H799" s="140" t="s">
        <v>851</v>
      </c>
    </row>
    <row r="800" spans="1:8" ht="15.75" customHeight="1">
      <c r="A800" s="140" t="s">
        <v>57</v>
      </c>
      <c r="B800" s="140" t="s">
        <v>22</v>
      </c>
      <c r="C800" s="141" t="s">
        <v>697</v>
      </c>
      <c r="D800" s="140" t="s">
        <v>698</v>
      </c>
      <c r="E800" s="140">
        <v>12</v>
      </c>
      <c r="F800" s="142">
        <v>45996.416666666672</v>
      </c>
      <c r="G800" s="140" t="s">
        <v>845</v>
      </c>
      <c r="H800" s="140" t="s">
        <v>851</v>
      </c>
    </row>
    <row r="801" spans="1:8" ht="15.75" customHeight="1">
      <c r="A801" s="140" t="s">
        <v>57</v>
      </c>
      <c r="B801" s="140" t="s">
        <v>22</v>
      </c>
      <c r="C801" s="141" t="s">
        <v>697</v>
      </c>
      <c r="D801" s="140" t="s">
        <v>698</v>
      </c>
      <c r="E801" s="140">
        <v>13</v>
      </c>
      <c r="F801" s="142">
        <v>46010.416666666672</v>
      </c>
      <c r="G801" s="140" t="s">
        <v>843</v>
      </c>
      <c r="H801" s="140" t="s">
        <v>851</v>
      </c>
    </row>
    <row r="802" spans="1:8" ht="15.75" customHeight="1">
      <c r="A802" s="140" t="s">
        <v>57</v>
      </c>
      <c r="B802" s="140" t="s">
        <v>22</v>
      </c>
      <c r="C802" s="141" t="s">
        <v>697</v>
      </c>
      <c r="D802" s="140" t="s">
        <v>698</v>
      </c>
      <c r="E802" s="140">
        <v>14</v>
      </c>
      <c r="F802" s="142">
        <v>46021.375</v>
      </c>
      <c r="G802" s="140" t="s">
        <v>843</v>
      </c>
      <c r="H802" s="140" t="s">
        <v>851</v>
      </c>
    </row>
    <row r="803" spans="1:8" ht="15.75" customHeight="1">
      <c r="A803" s="140" t="s">
        <v>57</v>
      </c>
      <c r="B803" s="140" t="s">
        <v>22</v>
      </c>
      <c r="C803" s="141" t="s">
        <v>697</v>
      </c>
      <c r="D803" s="140" t="s">
        <v>698</v>
      </c>
      <c r="E803" s="140">
        <v>15</v>
      </c>
      <c r="F803" s="142">
        <v>46038.458333333328</v>
      </c>
      <c r="G803" s="140" t="s">
        <v>843</v>
      </c>
      <c r="H803" s="140" t="s">
        <v>851</v>
      </c>
    </row>
    <row r="804" spans="1:8" ht="15.75" customHeight="1">
      <c r="A804" s="140" t="s">
        <v>58</v>
      </c>
      <c r="B804" s="140" t="s">
        <v>21</v>
      </c>
      <c r="C804" s="141" t="s">
        <v>239</v>
      </c>
      <c r="D804" s="140" t="s">
        <v>240</v>
      </c>
      <c r="E804" s="140">
        <v>1</v>
      </c>
      <c r="F804" s="142">
        <v>45772.583333333328</v>
      </c>
      <c r="G804" s="140" t="s">
        <v>845</v>
      </c>
      <c r="H804" s="140" t="s">
        <v>852</v>
      </c>
    </row>
    <row r="805" spans="1:8" ht="15.75" customHeight="1">
      <c r="A805" s="140" t="s">
        <v>58</v>
      </c>
      <c r="B805" s="140" t="s">
        <v>21</v>
      </c>
      <c r="C805" s="141" t="s">
        <v>239</v>
      </c>
      <c r="D805" s="140" t="s">
        <v>240</v>
      </c>
      <c r="E805" s="140">
        <v>2</v>
      </c>
      <c r="F805" s="142">
        <v>45786.583333333328</v>
      </c>
      <c r="G805" s="140" t="s">
        <v>845</v>
      </c>
      <c r="H805" s="140" t="s">
        <v>852</v>
      </c>
    </row>
    <row r="806" spans="1:8" ht="15.75" customHeight="1">
      <c r="A806" s="140" t="s">
        <v>58</v>
      </c>
      <c r="B806" s="140" t="s">
        <v>21</v>
      </c>
      <c r="C806" s="141" t="s">
        <v>239</v>
      </c>
      <c r="D806" s="140" t="s">
        <v>240</v>
      </c>
      <c r="E806" s="140">
        <v>3</v>
      </c>
      <c r="F806" s="142">
        <v>45841.541666666672</v>
      </c>
      <c r="G806" s="140" t="s">
        <v>843</v>
      </c>
      <c r="H806" s="140" t="s">
        <v>852</v>
      </c>
    </row>
    <row r="807" spans="1:8" ht="15.75" customHeight="1">
      <c r="A807" s="140" t="s">
        <v>58</v>
      </c>
      <c r="B807" s="140" t="s">
        <v>21</v>
      </c>
      <c r="C807" s="141" t="s">
        <v>239</v>
      </c>
      <c r="D807" s="140" t="s">
        <v>240</v>
      </c>
      <c r="E807" s="140">
        <v>4</v>
      </c>
      <c r="F807" s="142">
        <v>45849.458333333328</v>
      </c>
      <c r="G807" s="140" t="s">
        <v>845</v>
      </c>
      <c r="H807" s="140" t="s">
        <v>852</v>
      </c>
    </row>
    <row r="808" spans="1:8" ht="15.75" customHeight="1">
      <c r="A808" s="140" t="s">
        <v>58</v>
      </c>
      <c r="B808" s="140" t="s">
        <v>21</v>
      </c>
      <c r="C808" s="141" t="s">
        <v>239</v>
      </c>
      <c r="D808" s="140" t="s">
        <v>240</v>
      </c>
      <c r="E808" s="140">
        <v>5</v>
      </c>
      <c r="F808" s="142">
        <v>45849.458333333328</v>
      </c>
      <c r="G808" s="140" t="s">
        <v>845</v>
      </c>
      <c r="H808" s="140" t="s">
        <v>852</v>
      </c>
    </row>
    <row r="809" spans="1:8" ht="15.75" customHeight="1">
      <c r="A809" s="140" t="s">
        <v>58</v>
      </c>
      <c r="B809" s="140" t="s">
        <v>21</v>
      </c>
      <c r="C809" s="141" t="s">
        <v>239</v>
      </c>
      <c r="D809" s="140" t="s">
        <v>240</v>
      </c>
      <c r="E809" s="140">
        <v>6</v>
      </c>
      <c r="F809" s="142">
        <v>45862.625</v>
      </c>
      <c r="G809" s="140" t="s">
        <v>845</v>
      </c>
      <c r="H809" s="140" t="s">
        <v>852</v>
      </c>
    </row>
    <row r="810" spans="1:8" ht="15.75" customHeight="1">
      <c r="A810" s="140" t="s">
        <v>58</v>
      </c>
      <c r="B810" s="140" t="s">
        <v>21</v>
      </c>
      <c r="C810" s="141" t="s">
        <v>239</v>
      </c>
      <c r="D810" s="140" t="s">
        <v>240</v>
      </c>
      <c r="E810" s="140">
        <v>7</v>
      </c>
      <c r="F810" s="142">
        <v>45869.416666666672</v>
      </c>
      <c r="G810" s="140" t="s">
        <v>845</v>
      </c>
      <c r="H810" s="140" t="s">
        <v>852</v>
      </c>
    </row>
    <row r="811" spans="1:8" ht="15.75" customHeight="1">
      <c r="A811" s="140" t="s">
        <v>58</v>
      </c>
      <c r="B811" s="140" t="s">
        <v>21</v>
      </c>
      <c r="C811" s="141" t="s">
        <v>239</v>
      </c>
      <c r="D811" s="140" t="s">
        <v>240</v>
      </c>
      <c r="E811" s="140">
        <v>8</v>
      </c>
      <c r="F811" s="142">
        <v>45890.583333333328</v>
      </c>
      <c r="G811" s="140" t="s">
        <v>845</v>
      </c>
      <c r="H811" s="140" t="s">
        <v>852</v>
      </c>
    </row>
    <row r="812" spans="1:8" ht="15.75" customHeight="1">
      <c r="A812" s="140" t="s">
        <v>58</v>
      </c>
      <c r="B812" s="140" t="s">
        <v>21</v>
      </c>
      <c r="C812" s="141" t="s">
        <v>239</v>
      </c>
      <c r="D812" s="140" t="s">
        <v>240</v>
      </c>
      <c r="E812" s="140">
        <v>9</v>
      </c>
      <c r="F812" s="142">
        <v>45897.541666666672</v>
      </c>
      <c r="G812" s="140" t="s">
        <v>845</v>
      </c>
      <c r="H812" s="140" t="s">
        <v>852</v>
      </c>
    </row>
    <row r="813" spans="1:8" ht="15.75" customHeight="1">
      <c r="A813" s="140" t="s">
        <v>58</v>
      </c>
      <c r="B813" s="140" t="s">
        <v>21</v>
      </c>
      <c r="C813" s="141" t="s">
        <v>239</v>
      </c>
      <c r="D813" s="140" t="s">
        <v>240</v>
      </c>
      <c r="E813" s="140">
        <v>10</v>
      </c>
      <c r="F813" s="142">
        <v>45918.416666666672</v>
      </c>
      <c r="G813" s="140" t="s">
        <v>845</v>
      </c>
      <c r="H813" s="140" t="s">
        <v>852</v>
      </c>
    </row>
    <row r="814" spans="1:8" ht="15.75" customHeight="1">
      <c r="A814" s="140" t="s">
        <v>58</v>
      </c>
      <c r="B814" s="140" t="s">
        <v>22</v>
      </c>
      <c r="C814" s="141" t="s">
        <v>239</v>
      </c>
      <c r="D814" s="140" t="s">
        <v>240</v>
      </c>
      <c r="E814" s="140">
        <v>1</v>
      </c>
      <c r="F814" s="142">
        <v>45946.458333333328</v>
      </c>
      <c r="G814" s="140" t="s">
        <v>845</v>
      </c>
      <c r="H814" s="140" t="s">
        <v>852</v>
      </c>
    </row>
    <row r="815" spans="1:8" ht="15.75" customHeight="1">
      <c r="A815" s="140" t="s">
        <v>58</v>
      </c>
      <c r="B815" s="140" t="s">
        <v>22</v>
      </c>
      <c r="C815" s="141" t="s">
        <v>239</v>
      </c>
      <c r="D815" s="140" t="s">
        <v>240</v>
      </c>
      <c r="E815" s="140">
        <v>2</v>
      </c>
      <c r="F815" s="142">
        <v>45953.458333333328</v>
      </c>
      <c r="G815" s="140" t="s">
        <v>845</v>
      </c>
      <c r="H815" s="140" t="s">
        <v>852</v>
      </c>
    </row>
    <row r="816" spans="1:8" ht="15.75" customHeight="1">
      <c r="A816" s="140" t="s">
        <v>58</v>
      </c>
      <c r="B816" s="140" t="s">
        <v>22</v>
      </c>
      <c r="C816" s="141" t="s">
        <v>239</v>
      </c>
      <c r="D816" s="140" t="s">
        <v>240</v>
      </c>
      <c r="E816" s="140">
        <v>3</v>
      </c>
      <c r="F816" s="142">
        <v>45960.458333333328</v>
      </c>
      <c r="G816" s="140" t="s">
        <v>845</v>
      </c>
      <c r="H816" s="140" t="s">
        <v>852</v>
      </c>
    </row>
    <row r="817" spans="1:8" ht="15.75" customHeight="1">
      <c r="A817" s="140" t="s">
        <v>58</v>
      </c>
      <c r="B817" s="140" t="s">
        <v>22</v>
      </c>
      <c r="C817" s="141" t="s">
        <v>239</v>
      </c>
      <c r="D817" s="140" t="s">
        <v>240</v>
      </c>
      <c r="E817" s="140">
        <v>4</v>
      </c>
      <c r="F817" s="142">
        <v>45961.625</v>
      </c>
      <c r="G817" s="140" t="s">
        <v>845</v>
      </c>
      <c r="H817" s="140" t="s">
        <v>852</v>
      </c>
    </row>
    <row r="818" spans="1:8" ht="15.75" customHeight="1">
      <c r="A818" s="140" t="s">
        <v>58</v>
      </c>
      <c r="B818" s="140" t="s">
        <v>22</v>
      </c>
      <c r="C818" s="141" t="s">
        <v>239</v>
      </c>
      <c r="D818" s="140" t="s">
        <v>240</v>
      </c>
      <c r="E818" s="140">
        <v>5</v>
      </c>
      <c r="F818" s="142">
        <v>45974.416666666672</v>
      </c>
      <c r="G818" s="140" t="s">
        <v>845</v>
      </c>
      <c r="H818" s="140" t="s">
        <v>852</v>
      </c>
    </row>
    <row r="819" spans="1:8" ht="15.75" customHeight="1">
      <c r="A819" s="140" t="s">
        <v>58</v>
      </c>
      <c r="B819" s="140" t="s">
        <v>22</v>
      </c>
      <c r="C819" s="141" t="s">
        <v>239</v>
      </c>
      <c r="D819" s="140" t="s">
        <v>240</v>
      </c>
      <c r="E819" s="140">
        <v>6</v>
      </c>
      <c r="F819" s="142">
        <v>45981.416666666672</v>
      </c>
      <c r="G819" s="140" t="s">
        <v>845</v>
      </c>
      <c r="H819" s="140" t="s">
        <v>852</v>
      </c>
    </row>
    <row r="820" spans="1:8" ht="15.75" customHeight="1">
      <c r="A820" s="140" t="s">
        <v>58</v>
      </c>
      <c r="B820" s="140" t="s">
        <v>22</v>
      </c>
      <c r="C820" s="141" t="s">
        <v>239</v>
      </c>
      <c r="D820" s="140" t="s">
        <v>240</v>
      </c>
      <c r="E820" s="140">
        <v>7</v>
      </c>
      <c r="F820" s="142">
        <v>45988.416666666672</v>
      </c>
      <c r="G820" s="140" t="s">
        <v>845</v>
      </c>
      <c r="H820" s="140" t="s">
        <v>852</v>
      </c>
    </row>
    <row r="821" spans="1:8" ht="15.75" customHeight="1">
      <c r="A821" s="140" t="s">
        <v>58</v>
      </c>
      <c r="B821" s="140" t="s">
        <v>22</v>
      </c>
      <c r="C821" s="141" t="s">
        <v>239</v>
      </c>
      <c r="D821" s="140" t="s">
        <v>240</v>
      </c>
      <c r="E821" s="140">
        <v>8</v>
      </c>
      <c r="F821" s="142">
        <v>45995.416666666672</v>
      </c>
      <c r="G821" s="140" t="s">
        <v>845</v>
      </c>
      <c r="H821" s="140" t="s">
        <v>852</v>
      </c>
    </row>
    <row r="822" spans="1:8" ht="15.75" customHeight="1">
      <c r="A822" s="140" t="s">
        <v>58</v>
      </c>
      <c r="B822" s="140" t="s">
        <v>22</v>
      </c>
      <c r="C822" s="141" t="s">
        <v>239</v>
      </c>
      <c r="D822" s="140" t="s">
        <v>240</v>
      </c>
      <c r="E822" s="140">
        <v>9</v>
      </c>
      <c r="F822" s="142">
        <v>46002.625</v>
      </c>
      <c r="G822" s="140" t="s">
        <v>845</v>
      </c>
      <c r="H822" s="140" t="s">
        <v>852</v>
      </c>
    </row>
    <row r="823" spans="1:8" ht="15.75" customHeight="1">
      <c r="A823" s="140" t="s">
        <v>58</v>
      </c>
      <c r="B823" s="140" t="s">
        <v>22</v>
      </c>
      <c r="C823" s="141" t="s">
        <v>239</v>
      </c>
      <c r="D823" s="140" t="s">
        <v>240</v>
      </c>
      <c r="E823" s="140">
        <v>10</v>
      </c>
      <c r="F823" s="142">
        <v>46010.625</v>
      </c>
      <c r="G823" s="140" t="s">
        <v>845</v>
      </c>
      <c r="H823" s="140" t="s">
        <v>852</v>
      </c>
    </row>
    <row r="824" spans="1:8" ht="15.75" customHeight="1">
      <c r="A824" s="140" t="s">
        <v>58</v>
      </c>
      <c r="B824" s="140" t="s">
        <v>22</v>
      </c>
      <c r="C824" s="141" t="s">
        <v>239</v>
      </c>
      <c r="D824" s="140" t="s">
        <v>240</v>
      </c>
      <c r="E824" s="140">
        <v>11</v>
      </c>
      <c r="F824" s="142">
        <v>46017.583333333328</v>
      </c>
      <c r="G824" s="140" t="s">
        <v>845</v>
      </c>
      <c r="H824" s="140" t="s">
        <v>852</v>
      </c>
    </row>
    <row r="825" spans="1:8" ht="15.75" customHeight="1">
      <c r="A825" s="140" t="s">
        <v>58</v>
      </c>
      <c r="B825" s="140" t="s">
        <v>22</v>
      </c>
      <c r="C825" s="141" t="s">
        <v>239</v>
      </c>
      <c r="D825" s="140" t="s">
        <v>240</v>
      </c>
      <c r="E825" s="140">
        <v>12</v>
      </c>
      <c r="F825" s="142">
        <v>46038.583333333328</v>
      </c>
      <c r="G825" s="140" t="s">
        <v>845</v>
      </c>
      <c r="H825" s="140" t="s">
        <v>852</v>
      </c>
    </row>
    <row r="826" spans="1:8" ht="15.75" customHeight="1">
      <c r="A826" s="140" t="s">
        <v>58</v>
      </c>
      <c r="B826" s="140" t="s">
        <v>22</v>
      </c>
      <c r="C826" s="141" t="s">
        <v>239</v>
      </c>
      <c r="D826" s="140" t="s">
        <v>240</v>
      </c>
      <c r="E826" s="140">
        <v>13</v>
      </c>
      <c r="F826" s="142">
        <v>46044.416666666672</v>
      </c>
      <c r="G826" s="140" t="s">
        <v>845</v>
      </c>
      <c r="H826" s="140" t="s">
        <v>852</v>
      </c>
    </row>
    <row r="827" spans="1:8" ht="15.75" customHeight="1">
      <c r="A827" s="140" t="s">
        <v>58</v>
      </c>
      <c r="B827" s="140" t="s">
        <v>22</v>
      </c>
      <c r="C827" s="141" t="s">
        <v>239</v>
      </c>
      <c r="D827" s="140" t="s">
        <v>240</v>
      </c>
      <c r="E827" s="140">
        <v>14</v>
      </c>
      <c r="F827" s="142">
        <v>46051.625</v>
      </c>
      <c r="G827" s="140" t="s">
        <v>845</v>
      </c>
      <c r="H827" s="140" t="s">
        <v>852</v>
      </c>
    </row>
    <row r="828" spans="1:8" ht="15.75" customHeight="1">
      <c r="A828" s="140" t="s">
        <v>58</v>
      </c>
      <c r="B828" s="140" t="s">
        <v>22</v>
      </c>
      <c r="C828" s="141" t="s">
        <v>239</v>
      </c>
      <c r="D828" s="140" t="s">
        <v>240</v>
      </c>
      <c r="E828" s="140">
        <v>15</v>
      </c>
      <c r="F828" s="142">
        <v>46052.625</v>
      </c>
      <c r="G828" s="140" t="s">
        <v>845</v>
      </c>
      <c r="H828" s="140" t="s">
        <v>852</v>
      </c>
    </row>
    <row r="829" spans="1:8" ht="15.75" customHeight="1">
      <c r="A829" s="140" t="s">
        <v>58</v>
      </c>
      <c r="B829" s="140" t="s">
        <v>22</v>
      </c>
      <c r="C829" s="141" t="s">
        <v>239</v>
      </c>
      <c r="D829" s="140" t="s">
        <v>240</v>
      </c>
      <c r="E829" s="140">
        <v>16</v>
      </c>
      <c r="F829" s="142">
        <v>46104.416666666672</v>
      </c>
      <c r="G829" s="140" t="s">
        <v>845</v>
      </c>
      <c r="H829" s="140" t="s">
        <v>852</v>
      </c>
    </row>
    <row r="830" spans="1:8" ht="15.75" customHeight="1">
      <c r="A830" s="140" t="s">
        <v>58</v>
      </c>
      <c r="B830" s="140" t="s">
        <v>21</v>
      </c>
      <c r="C830" s="141" t="s">
        <v>263</v>
      </c>
      <c r="D830" s="140" t="s">
        <v>264</v>
      </c>
      <c r="E830" s="140">
        <v>1</v>
      </c>
      <c r="F830" s="142">
        <v>45772.583333333328</v>
      </c>
      <c r="G830" s="140" t="s">
        <v>845</v>
      </c>
      <c r="H830" s="140" t="s">
        <v>852</v>
      </c>
    </row>
    <row r="831" spans="1:8" ht="15.75" customHeight="1">
      <c r="A831" s="140" t="s">
        <v>58</v>
      </c>
      <c r="B831" s="140" t="s">
        <v>21</v>
      </c>
      <c r="C831" s="141" t="s">
        <v>263</v>
      </c>
      <c r="D831" s="140" t="s">
        <v>264</v>
      </c>
      <c r="E831" s="140">
        <v>2</v>
      </c>
      <c r="F831" s="142">
        <v>45786.583333333328</v>
      </c>
      <c r="G831" s="140" t="s">
        <v>845</v>
      </c>
      <c r="H831" s="140" t="s">
        <v>852</v>
      </c>
    </row>
    <row r="832" spans="1:8" ht="15.75" customHeight="1">
      <c r="A832" s="140" t="s">
        <v>58</v>
      </c>
      <c r="B832" s="140" t="s">
        <v>21</v>
      </c>
      <c r="C832" s="141" t="s">
        <v>263</v>
      </c>
      <c r="D832" s="140" t="s">
        <v>264</v>
      </c>
      <c r="E832" s="140">
        <v>3</v>
      </c>
      <c r="F832" s="142">
        <v>45841.541666666672</v>
      </c>
      <c r="G832" s="140" t="s">
        <v>845</v>
      </c>
      <c r="H832" s="140" t="s">
        <v>852</v>
      </c>
    </row>
    <row r="833" spans="1:8" ht="15.75" customHeight="1">
      <c r="A833" s="140" t="s">
        <v>58</v>
      </c>
      <c r="B833" s="140" t="s">
        <v>21</v>
      </c>
      <c r="C833" s="141" t="s">
        <v>263</v>
      </c>
      <c r="D833" s="140" t="s">
        <v>264</v>
      </c>
      <c r="E833" s="140">
        <v>4</v>
      </c>
      <c r="F833" s="142">
        <v>45849.458333333328</v>
      </c>
      <c r="G833" s="140" t="s">
        <v>845</v>
      </c>
      <c r="H833" s="140" t="s">
        <v>852</v>
      </c>
    </row>
    <row r="834" spans="1:8" ht="15.75" customHeight="1">
      <c r="A834" s="140" t="s">
        <v>58</v>
      </c>
      <c r="B834" s="140" t="s">
        <v>21</v>
      </c>
      <c r="C834" s="141" t="s">
        <v>263</v>
      </c>
      <c r="D834" s="140" t="s">
        <v>264</v>
      </c>
      <c r="E834" s="140">
        <v>5</v>
      </c>
      <c r="F834" s="142">
        <v>45849.458333333328</v>
      </c>
      <c r="G834" s="140" t="s">
        <v>845</v>
      </c>
      <c r="H834" s="140" t="s">
        <v>852</v>
      </c>
    </row>
    <row r="835" spans="1:8" ht="15.75" customHeight="1">
      <c r="A835" s="140" t="s">
        <v>58</v>
      </c>
      <c r="B835" s="140" t="s">
        <v>21</v>
      </c>
      <c r="C835" s="141" t="s">
        <v>263</v>
      </c>
      <c r="D835" s="140" t="s">
        <v>264</v>
      </c>
      <c r="E835" s="140">
        <v>6</v>
      </c>
      <c r="F835" s="142">
        <v>45862.625</v>
      </c>
      <c r="G835" s="140" t="s">
        <v>845</v>
      </c>
      <c r="H835" s="140" t="s">
        <v>852</v>
      </c>
    </row>
    <row r="836" spans="1:8" ht="15.75" customHeight="1">
      <c r="A836" s="140" t="s">
        <v>58</v>
      </c>
      <c r="B836" s="140" t="s">
        <v>21</v>
      </c>
      <c r="C836" s="141" t="s">
        <v>263</v>
      </c>
      <c r="D836" s="140" t="s">
        <v>264</v>
      </c>
      <c r="E836" s="140">
        <v>7</v>
      </c>
      <c r="F836" s="142">
        <v>45869.416666666672</v>
      </c>
      <c r="G836" s="140" t="s">
        <v>845</v>
      </c>
      <c r="H836" s="140" t="s">
        <v>852</v>
      </c>
    </row>
    <row r="837" spans="1:8" ht="15.75" customHeight="1">
      <c r="A837" s="140" t="s">
        <v>58</v>
      </c>
      <c r="B837" s="140" t="s">
        <v>21</v>
      </c>
      <c r="C837" s="141" t="s">
        <v>263</v>
      </c>
      <c r="D837" s="140" t="s">
        <v>264</v>
      </c>
      <c r="E837" s="140">
        <v>8</v>
      </c>
      <c r="F837" s="142">
        <v>45890.583333333328</v>
      </c>
      <c r="G837" s="140" t="s">
        <v>845</v>
      </c>
      <c r="H837" s="140" t="s">
        <v>852</v>
      </c>
    </row>
    <row r="838" spans="1:8" ht="15.75" customHeight="1">
      <c r="A838" s="140" t="s">
        <v>58</v>
      </c>
      <c r="B838" s="140" t="s">
        <v>21</v>
      </c>
      <c r="C838" s="141" t="s">
        <v>263</v>
      </c>
      <c r="D838" s="140" t="s">
        <v>264</v>
      </c>
      <c r="E838" s="140">
        <v>9</v>
      </c>
      <c r="F838" s="142">
        <v>45897.541666666672</v>
      </c>
      <c r="G838" s="140" t="s">
        <v>845</v>
      </c>
      <c r="H838" s="140" t="s">
        <v>852</v>
      </c>
    </row>
    <row r="839" spans="1:8" ht="15.75" customHeight="1">
      <c r="A839" s="140" t="s">
        <v>58</v>
      </c>
      <c r="B839" s="140" t="s">
        <v>21</v>
      </c>
      <c r="C839" s="141" t="s">
        <v>263</v>
      </c>
      <c r="D839" s="140" t="s">
        <v>264</v>
      </c>
      <c r="E839" s="140">
        <v>10</v>
      </c>
      <c r="F839" s="142">
        <v>45918.416666666672</v>
      </c>
      <c r="G839" s="140" t="s">
        <v>845</v>
      </c>
      <c r="H839" s="140" t="s">
        <v>852</v>
      </c>
    </row>
    <row r="840" spans="1:8" ht="15.75" customHeight="1">
      <c r="A840" s="140" t="s">
        <v>58</v>
      </c>
      <c r="B840" s="140" t="s">
        <v>22</v>
      </c>
      <c r="C840" s="141" t="s">
        <v>263</v>
      </c>
      <c r="D840" s="140" t="s">
        <v>264</v>
      </c>
      <c r="E840" s="140">
        <v>1</v>
      </c>
      <c r="F840" s="142">
        <v>45946.458333333328</v>
      </c>
      <c r="G840" s="140" t="s">
        <v>845</v>
      </c>
      <c r="H840" s="140" t="s">
        <v>852</v>
      </c>
    </row>
    <row r="841" spans="1:8" ht="15.75" customHeight="1">
      <c r="A841" s="140" t="s">
        <v>58</v>
      </c>
      <c r="B841" s="140" t="s">
        <v>22</v>
      </c>
      <c r="C841" s="141" t="s">
        <v>263</v>
      </c>
      <c r="D841" s="140" t="s">
        <v>264</v>
      </c>
      <c r="E841" s="140">
        <v>2</v>
      </c>
      <c r="F841" s="142">
        <v>45953.458333333328</v>
      </c>
      <c r="G841" s="140" t="s">
        <v>845</v>
      </c>
      <c r="H841" s="140" t="s">
        <v>852</v>
      </c>
    </row>
    <row r="842" spans="1:8" ht="15.75" customHeight="1">
      <c r="A842" s="140" t="s">
        <v>58</v>
      </c>
      <c r="B842" s="140" t="s">
        <v>22</v>
      </c>
      <c r="C842" s="141" t="s">
        <v>263</v>
      </c>
      <c r="D842" s="140" t="s">
        <v>264</v>
      </c>
      <c r="E842" s="140">
        <v>3</v>
      </c>
      <c r="F842" s="142">
        <v>45960.458333333328</v>
      </c>
      <c r="G842" s="140" t="s">
        <v>845</v>
      </c>
      <c r="H842" s="140" t="s">
        <v>852</v>
      </c>
    </row>
    <row r="843" spans="1:8" ht="15.75" customHeight="1">
      <c r="A843" s="140" t="s">
        <v>58</v>
      </c>
      <c r="B843" s="140" t="s">
        <v>22</v>
      </c>
      <c r="C843" s="141" t="s">
        <v>263</v>
      </c>
      <c r="D843" s="140" t="s">
        <v>264</v>
      </c>
      <c r="E843" s="140">
        <v>4</v>
      </c>
      <c r="F843" s="142">
        <v>45961.625</v>
      </c>
      <c r="G843" s="140" t="s">
        <v>845</v>
      </c>
      <c r="H843" s="140" t="s">
        <v>852</v>
      </c>
    </row>
    <row r="844" spans="1:8" ht="15.75" customHeight="1">
      <c r="A844" s="140" t="s">
        <v>58</v>
      </c>
      <c r="B844" s="140" t="s">
        <v>22</v>
      </c>
      <c r="C844" s="141" t="s">
        <v>263</v>
      </c>
      <c r="D844" s="140" t="s">
        <v>264</v>
      </c>
      <c r="E844" s="140">
        <v>5</v>
      </c>
      <c r="F844" s="142">
        <v>45974.416666666672</v>
      </c>
      <c r="G844" s="140" t="s">
        <v>845</v>
      </c>
      <c r="H844" s="140" t="s">
        <v>852</v>
      </c>
    </row>
    <row r="845" spans="1:8" ht="15.75" customHeight="1">
      <c r="A845" s="140" t="s">
        <v>58</v>
      </c>
      <c r="B845" s="140" t="s">
        <v>22</v>
      </c>
      <c r="C845" s="141" t="s">
        <v>263</v>
      </c>
      <c r="D845" s="140" t="s">
        <v>264</v>
      </c>
      <c r="E845" s="140">
        <v>6</v>
      </c>
      <c r="F845" s="142">
        <v>45981.416666666672</v>
      </c>
      <c r="G845" s="140" t="s">
        <v>845</v>
      </c>
      <c r="H845" s="140" t="s">
        <v>852</v>
      </c>
    </row>
    <row r="846" spans="1:8" ht="15.75" customHeight="1">
      <c r="A846" s="140" t="s">
        <v>58</v>
      </c>
      <c r="B846" s="140" t="s">
        <v>22</v>
      </c>
      <c r="C846" s="141" t="s">
        <v>263</v>
      </c>
      <c r="D846" s="140" t="s">
        <v>264</v>
      </c>
      <c r="E846" s="140">
        <v>7</v>
      </c>
      <c r="F846" s="142">
        <v>45988.416666666672</v>
      </c>
      <c r="G846" s="140" t="s">
        <v>845</v>
      </c>
      <c r="H846" s="140" t="s">
        <v>852</v>
      </c>
    </row>
    <row r="847" spans="1:8" ht="15.75" customHeight="1">
      <c r="A847" s="140" t="s">
        <v>58</v>
      </c>
      <c r="B847" s="140" t="s">
        <v>22</v>
      </c>
      <c r="C847" s="141" t="s">
        <v>263</v>
      </c>
      <c r="D847" s="140" t="s">
        <v>264</v>
      </c>
      <c r="E847" s="140">
        <v>8</v>
      </c>
      <c r="F847" s="142">
        <v>45995.416666666672</v>
      </c>
      <c r="G847" s="140" t="s">
        <v>845</v>
      </c>
      <c r="H847" s="140" t="s">
        <v>852</v>
      </c>
    </row>
    <row r="848" spans="1:8" ht="15.75" customHeight="1">
      <c r="A848" s="140" t="s">
        <v>58</v>
      </c>
      <c r="B848" s="140" t="s">
        <v>22</v>
      </c>
      <c r="C848" s="141" t="s">
        <v>263</v>
      </c>
      <c r="D848" s="140" t="s">
        <v>264</v>
      </c>
      <c r="E848" s="140">
        <v>9</v>
      </c>
      <c r="F848" s="142">
        <v>46002.625</v>
      </c>
      <c r="G848" s="140" t="s">
        <v>845</v>
      </c>
      <c r="H848" s="140" t="s">
        <v>852</v>
      </c>
    </row>
    <row r="849" spans="1:8" ht="15.75" customHeight="1">
      <c r="A849" s="140" t="s">
        <v>58</v>
      </c>
      <c r="B849" s="140" t="s">
        <v>22</v>
      </c>
      <c r="C849" s="141" t="s">
        <v>263</v>
      </c>
      <c r="D849" s="140" t="s">
        <v>264</v>
      </c>
      <c r="E849" s="140">
        <v>10</v>
      </c>
      <c r="F849" s="142">
        <v>46010.625</v>
      </c>
      <c r="G849" s="140" t="s">
        <v>845</v>
      </c>
      <c r="H849" s="140" t="s">
        <v>852</v>
      </c>
    </row>
    <row r="850" spans="1:8" ht="15.75" customHeight="1">
      <c r="A850" s="140" t="s">
        <v>58</v>
      </c>
      <c r="B850" s="140" t="s">
        <v>22</v>
      </c>
      <c r="C850" s="141" t="s">
        <v>263</v>
      </c>
      <c r="D850" s="140" t="s">
        <v>264</v>
      </c>
      <c r="E850" s="140">
        <v>11</v>
      </c>
      <c r="F850" s="142">
        <v>46017.583333333328</v>
      </c>
      <c r="G850" s="140" t="s">
        <v>845</v>
      </c>
      <c r="H850" s="140" t="s">
        <v>852</v>
      </c>
    </row>
    <row r="851" spans="1:8" ht="15.75" customHeight="1">
      <c r="A851" s="140" t="s">
        <v>58</v>
      </c>
      <c r="B851" s="140" t="s">
        <v>22</v>
      </c>
      <c r="C851" s="141" t="s">
        <v>263</v>
      </c>
      <c r="D851" s="140" t="s">
        <v>264</v>
      </c>
      <c r="E851" s="140">
        <v>12</v>
      </c>
      <c r="F851" s="142">
        <v>46038.583333333328</v>
      </c>
      <c r="G851" s="140" t="s">
        <v>845</v>
      </c>
      <c r="H851" s="140" t="s">
        <v>852</v>
      </c>
    </row>
    <row r="852" spans="1:8" ht="15.75" customHeight="1">
      <c r="A852" s="140" t="s">
        <v>58</v>
      </c>
      <c r="B852" s="140" t="s">
        <v>22</v>
      </c>
      <c r="C852" s="141" t="s">
        <v>263</v>
      </c>
      <c r="D852" s="140" t="s">
        <v>264</v>
      </c>
      <c r="E852" s="140">
        <v>13</v>
      </c>
      <c r="F852" s="142">
        <v>46044.416666666672</v>
      </c>
      <c r="G852" s="140" t="s">
        <v>845</v>
      </c>
      <c r="H852" s="140" t="s">
        <v>852</v>
      </c>
    </row>
    <row r="853" spans="1:8" ht="15.75" customHeight="1">
      <c r="A853" s="140" t="s">
        <v>58</v>
      </c>
      <c r="B853" s="140" t="s">
        <v>22</v>
      </c>
      <c r="C853" s="141" t="s">
        <v>263</v>
      </c>
      <c r="D853" s="140" t="s">
        <v>264</v>
      </c>
      <c r="E853" s="140">
        <v>14</v>
      </c>
      <c r="F853" s="142">
        <v>46051.625</v>
      </c>
      <c r="G853" s="140" t="s">
        <v>845</v>
      </c>
      <c r="H853" s="140" t="s">
        <v>852</v>
      </c>
    </row>
    <row r="854" spans="1:8" ht="15.75" customHeight="1">
      <c r="A854" s="140" t="s">
        <v>58</v>
      </c>
      <c r="B854" s="140" t="s">
        <v>22</v>
      </c>
      <c r="C854" s="141" t="s">
        <v>263</v>
      </c>
      <c r="D854" s="140" t="s">
        <v>264</v>
      </c>
      <c r="E854" s="140">
        <v>15</v>
      </c>
      <c r="F854" s="142">
        <v>46052.625</v>
      </c>
      <c r="G854" s="140" t="s">
        <v>845</v>
      </c>
      <c r="H854" s="140" t="s">
        <v>852</v>
      </c>
    </row>
    <row r="855" spans="1:8" ht="15.75" customHeight="1">
      <c r="A855" s="140" t="s">
        <v>58</v>
      </c>
      <c r="B855" s="140" t="s">
        <v>22</v>
      </c>
      <c r="C855" s="141" t="s">
        <v>263</v>
      </c>
      <c r="D855" s="140" t="s">
        <v>264</v>
      </c>
      <c r="E855" s="140">
        <v>16</v>
      </c>
      <c r="F855" s="142">
        <v>46104.416666666672</v>
      </c>
      <c r="G855" s="140" t="s">
        <v>845</v>
      </c>
      <c r="H855" s="140" t="s">
        <v>852</v>
      </c>
    </row>
    <row r="856" spans="1:8" ht="15.75" customHeight="1">
      <c r="A856" s="140" t="s">
        <v>58</v>
      </c>
      <c r="B856" s="140" t="s">
        <v>21</v>
      </c>
      <c r="C856" s="141" t="s">
        <v>528</v>
      </c>
      <c r="D856" s="140" t="s">
        <v>529</v>
      </c>
      <c r="E856" s="140">
        <v>1</v>
      </c>
      <c r="F856" s="142">
        <v>45772.583333333328</v>
      </c>
      <c r="G856" s="140" t="s">
        <v>845</v>
      </c>
      <c r="H856" s="140" t="s">
        <v>852</v>
      </c>
    </row>
    <row r="857" spans="1:8" ht="15.75" customHeight="1">
      <c r="A857" s="140" t="s">
        <v>58</v>
      </c>
      <c r="B857" s="140" t="s">
        <v>21</v>
      </c>
      <c r="C857" s="141" t="s">
        <v>528</v>
      </c>
      <c r="D857" s="140" t="s">
        <v>529</v>
      </c>
      <c r="E857" s="140">
        <v>2</v>
      </c>
      <c r="F857" s="142">
        <v>45786.583333333328</v>
      </c>
      <c r="G857" s="140" t="s">
        <v>845</v>
      </c>
      <c r="H857" s="140" t="s">
        <v>852</v>
      </c>
    </row>
    <row r="858" spans="1:8" ht="15.75" customHeight="1">
      <c r="A858" s="140" t="s">
        <v>58</v>
      </c>
      <c r="B858" s="140" t="s">
        <v>21</v>
      </c>
      <c r="C858" s="141" t="s">
        <v>528</v>
      </c>
      <c r="D858" s="140" t="s">
        <v>529</v>
      </c>
      <c r="E858" s="140">
        <v>3</v>
      </c>
      <c r="F858" s="142">
        <v>45841.541666666672</v>
      </c>
      <c r="G858" s="140" t="s">
        <v>845</v>
      </c>
      <c r="H858" s="140" t="s">
        <v>852</v>
      </c>
    </row>
    <row r="859" spans="1:8" ht="15.75" customHeight="1">
      <c r="A859" s="140" t="s">
        <v>58</v>
      </c>
      <c r="B859" s="140" t="s">
        <v>21</v>
      </c>
      <c r="C859" s="141" t="s">
        <v>528</v>
      </c>
      <c r="D859" s="140" t="s">
        <v>529</v>
      </c>
      <c r="E859" s="140">
        <v>4</v>
      </c>
      <c r="F859" s="142">
        <v>45849.458333333328</v>
      </c>
      <c r="G859" s="140" t="s">
        <v>845</v>
      </c>
      <c r="H859" s="140" t="s">
        <v>852</v>
      </c>
    </row>
    <row r="860" spans="1:8" ht="15.75" customHeight="1">
      <c r="A860" s="140" t="s">
        <v>58</v>
      </c>
      <c r="B860" s="140" t="s">
        <v>21</v>
      </c>
      <c r="C860" s="141" t="s">
        <v>528</v>
      </c>
      <c r="D860" s="140" t="s">
        <v>529</v>
      </c>
      <c r="E860" s="140">
        <v>5</v>
      </c>
      <c r="F860" s="142">
        <v>45849.458333333328</v>
      </c>
      <c r="G860" s="140" t="s">
        <v>845</v>
      </c>
      <c r="H860" s="140" t="s">
        <v>852</v>
      </c>
    </row>
    <row r="861" spans="1:8" ht="15.75" customHeight="1">
      <c r="A861" s="140" t="s">
        <v>58</v>
      </c>
      <c r="B861" s="140" t="s">
        <v>21</v>
      </c>
      <c r="C861" s="141" t="s">
        <v>528</v>
      </c>
      <c r="D861" s="140" t="s">
        <v>529</v>
      </c>
      <c r="E861" s="140">
        <v>6</v>
      </c>
      <c r="F861" s="142">
        <v>45862.625</v>
      </c>
      <c r="G861" s="140" t="s">
        <v>845</v>
      </c>
      <c r="H861" s="140" t="s">
        <v>852</v>
      </c>
    </row>
    <row r="862" spans="1:8" ht="15.75" customHeight="1">
      <c r="A862" s="140" t="s">
        <v>58</v>
      </c>
      <c r="B862" s="140" t="s">
        <v>21</v>
      </c>
      <c r="C862" s="141" t="s">
        <v>528</v>
      </c>
      <c r="D862" s="140" t="s">
        <v>529</v>
      </c>
      <c r="E862" s="140">
        <v>7</v>
      </c>
      <c r="F862" s="142">
        <v>45869.416666666672</v>
      </c>
      <c r="G862" s="140" t="s">
        <v>845</v>
      </c>
      <c r="H862" s="140" t="s">
        <v>852</v>
      </c>
    </row>
    <row r="863" spans="1:8" ht="15.75" customHeight="1">
      <c r="A863" s="140" t="s">
        <v>58</v>
      </c>
      <c r="B863" s="140" t="s">
        <v>21</v>
      </c>
      <c r="C863" s="141" t="s">
        <v>528</v>
      </c>
      <c r="D863" s="140" t="s">
        <v>529</v>
      </c>
      <c r="E863" s="140">
        <v>8</v>
      </c>
      <c r="F863" s="142">
        <v>45890.583333333328</v>
      </c>
      <c r="G863" s="140" t="s">
        <v>843</v>
      </c>
      <c r="H863" s="140" t="s">
        <v>852</v>
      </c>
    </row>
    <row r="864" spans="1:8" ht="15.75" customHeight="1">
      <c r="A864" s="140" t="s">
        <v>58</v>
      </c>
      <c r="B864" s="140" t="s">
        <v>21</v>
      </c>
      <c r="C864" s="141" t="s">
        <v>528</v>
      </c>
      <c r="D864" s="140" t="s">
        <v>529</v>
      </c>
      <c r="E864" s="140">
        <v>9</v>
      </c>
      <c r="F864" s="142">
        <v>45897.541666666672</v>
      </c>
      <c r="G864" s="140" t="s">
        <v>845</v>
      </c>
      <c r="H864" s="140" t="s">
        <v>852</v>
      </c>
    </row>
    <row r="865" spans="1:8" ht="15.75" customHeight="1">
      <c r="A865" s="140" t="s">
        <v>58</v>
      </c>
      <c r="B865" s="140" t="s">
        <v>21</v>
      </c>
      <c r="C865" s="141" t="s">
        <v>528</v>
      </c>
      <c r="D865" s="140" t="s">
        <v>529</v>
      </c>
      <c r="E865" s="140">
        <v>10</v>
      </c>
      <c r="F865" s="142">
        <v>45918.416666666672</v>
      </c>
      <c r="G865" s="140" t="s">
        <v>845</v>
      </c>
      <c r="H865" s="140" t="s">
        <v>852</v>
      </c>
    </row>
    <row r="866" spans="1:8" ht="15.75" customHeight="1">
      <c r="A866" s="140" t="s">
        <v>58</v>
      </c>
      <c r="B866" s="140" t="s">
        <v>22</v>
      </c>
      <c r="C866" s="141" t="s">
        <v>528</v>
      </c>
      <c r="D866" s="140" t="s">
        <v>529</v>
      </c>
      <c r="E866" s="140">
        <v>1</v>
      </c>
      <c r="F866" s="142">
        <v>45946.458333333328</v>
      </c>
      <c r="G866" s="140" t="s">
        <v>845</v>
      </c>
      <c r="H866" s="140" t="s">
        <v>852</v>
      </c>
    </row>
    <row r="867" spans="1:8" ht="15.75" customHeight="1">
      <c r="A867" s="140" t="s">
        <v>58</v>
      </c>
      <c r="B867" s="140" t="s">
        <v>22</v>
      </c>
      <c r="C867" s="141" t="s">
        <v>528</v>
      </c>
      <c r="D867" s="140" t="s">
        <v>529</v>
      </c>
      <c r="E867" s="140">
        <v>2</v>
      </c>
      <c r="F867" s="142">
        <v>45953.458333333328</v>
      </c>
      <c r="G867" s="140" t="s">
        <v>845</v>
      </c>
      <c r="H867" s="140" t="s">
        <v>852</v>
      </c>
    </row>
    <row r="868" spans="1:8" ht="15.75" customHeight="1">
      <c r="A868" s="140" t="s">
        <v>58</v>
      </c>
      <c r="B868" s="140" t="s">
        <v>22</v>
      </c>
      <c r="C868" s="141" t="s">
        <v>528</v>
      </c>
      <c r="D868" s="140" t="s">
        <v>529</v>
      </c>
      <c r="E868" s="140">
        <v>3</v>
      </c>
      <c r="F868" s="142">
        <v>45960.458333333328</v>
      </c>
      <c r="G868" s="140" t="s">
        <v>845</v>
      </c>
      <c r="H868" s="140" t="s">
        <v>852</v>
      </c>
    </row>
    <row r="869" spans="1:8" ht="15.75" customHeight="1">
      <c r="A869" s="140" t="s">
        <v>58</v>
      </c>
      <c r="B869" s="140" t="s">
        <v>22</v>
      </c>
      <c r="C869" s="141" t="s">
        <v>528</v>
      </c>
      <c r="D869" s="140" t="s">
        <v>529</v>
      </c>
      <c r="E869" s="140">
        <v>4</v>
      </c>
      <c r="F869" s="142">
        <v>45961.625</v>
      </c>
      <c r="G869" s="140" t="s">
        <v>845</v>
      </c>
      <c r="H869" s="140" t="s">
        <v>852</v>
      </c>
    </row>
    <row r="870" spans="1:8" ht="15.75" customHeight="1">
      <c r="A870" s="140" t="s">
        <v>58</v>
      </c>
      <c r="B870" s="140" t="s">
        <v>22</v>
      </c>
      <c r="C870" s="141" t="s">
        <v>528</v>
      </c>
      <c r="D870" s="140" t="s">
        <v>529</v>
      </c>
      <c r="E870" s="140">
        <v>5</v>
      </c>
      <c r="F870" s="142">
        <v>45974.416666666672</v>
      </c>
      <c r="G870" s="140" t="s">
        <v>845</v>
      </c>
      <c r="H870" s="140" t="s">
        <v>852</v>
      </c>
    </row>
    <row r="871" spans="1:8" ht="15.75" customHeight="1">
      <c r="A871" s="140" t="s">
        <v>58</v>
      </c>
      <c r="B871" s="140" t="s">
        <v>22</v>
      </c>
      <c r="C871" s="141" t="s">
        <v>528</v>
      </c>
      <c r="D871" s="140" t="s">
        <v>529</v>
      </c>
      <c r="E871" s="140">
        <v>6</v>
      </c>
      <c r="F871" s="142">
        <v>45981.416666666672</v>
      </c>
      <c r="G871" s="140" t="s">
        <v>845</v>
      </c>
      <c r="H871" s="140" t="s">
        <v>852</v>
      </c>
    </row>
    <row r="872" spans="1:8" ht="15.75" customHeight="1">
      <c r="A872" s="140" t="s">
        <v>58</v>
      </c>
      <c r="B872" s="140" t="s">
        <v>22</v>
      </c>
      <c r="C872" s="141" t="s">
        <v>528</v>
      </c>
      <c r="D872" s="140" t="s">
        <v>529</v>
      </c>
      <c r="E872" s="140">
        <v>8</v>
      </c>
      <c r="F872" s="142">
        <v>45995.416666666672</v>
      </c>
      <c r="G872" s="140" t="s">
        <v>845</v>
      </c>
      <c r="H872" s="140" t="s">
        <v>852</v>
      </c>
    </row>
    <row r="873" spans="1:8" ht="15.75" customHeight="1">
      <c r="A873" s="140" t="s">
        <v>58</v>
      </c>
      <c r="B873" s="140" t="s">
        <v>22</v>
      </c>
      <c r="C873" s="141" t="s">
        <v>528</v>
      </c>
      <c r="D873" s="140" t="s">
        <v>529</v>
      </c>
      <c r="E873" s="140">
        <v>9</v>
      </c>
      <c r="F873" s="142">
        <v>46002.625</v>
      </c>
      <c r="G873" s="140" t="s">
        <v>845</v>
      </c>
      <c r="H873" s="140" t="s">
        <v>852</v>
      </c>
    </row>
    <row r="874" spans="1:8" ht="15.75" customHeight="1">
      <c r="A874" s="140" t="s">
        <v>58</v>
      </c>
      <c r="B874" s="140" t="s">
        <v>22</v>
      </c>
      <c r="C874" s="141" t="s">
        <v>528</v>
      </c>
      <c r="D874" s="140" t="s">
        <v>529</v>
      </c>
      <c r="E874" s="140">
        <v>10</v>
      </c>
      <c r="F874" s="142">
        <v>46010.625</v>
      </c>
      <c r="G874" s="140" t="s">
        <v>845</v>
      </c>
      <c r="H874" s="140" t="s">
        <v>852</v>
      </c>
    </row>
    <row r="875" spans="1:8" ht="15.75" customHeight="1">
      <c r="A875" s="140" t="s">
        <v>58</v>
      </c>
      <c r="B875" s="140" t="s">
        <v>22</v>
      </c>
      <c r="C875" s="141" t="s">
        <v>528</v>
      </c>
      <c r="D875" s="140" t="s">
        <v>529</v>
      </c>
      <c r="E875" s="140">
        <v>11</v>
      </c>
      <c r="F875" s="142">
        <v>46017.583333333328</v>
      </c>
      <c r="G875" s="140" t="s">
        <v>845</v>
      </c>
      <c r="H875" s="140" t="s">
        <v>852</v>
      </c>
    </row>
    <row r="876" spans="1:8" ht="15.75" customHeight="1">
      <c r="A876" s="140" t="s">
        <v>58</v>
      </c>
      <c r="B876" s="140" t="s">
        <v>22</v>
      </c>
      <c r="C876" s="141" t="s">
        <v>528</v>
      </c>
      <c r="D876" s="140" t="s">
        <v>529</v>
      </c>
      <c r="E876" s="140">
        <v>12</v>
      </c>
      <c r="F876" s="142">
        <v>46038.583333333328</v>
      </c>
      <c r="G876" s="140" t="s">
        <v>843</v>
      </c>
      <c r="H876" s="140" t="s">
        <v>852</v>
      </c>
    </row>
    <row r="877" spans="1:8" ht="15.75" customHeight="1">
      <c r="A877" s="140" t="s">
        <v>58</v>
      </c>
      <c r="B877" s="140" t="s">
        <v>22</v>
      </c>
      <c r="C877" s="141" t="s">
        <v>528</v>
      </c>
      <c r="D877" s="140" t="s">
        <v>529</v>
      </c>
      <c r="E877" s="140">
        <v>13</v>
      </c>
      <c r="F877" s="142">
        <v>46044.416666666672</v>
      </c>
      <c r="G877" s="140" t="s">
        <v>845</v>
      </c>
      <c r="H877" s="140" t="s">
        <v>852</v>
      </c>
    </row>
    <row r="878" spans="1:8" ht="15.75" customHeight="1">
      <c r="A878" s="140" t="s">
        <v>58</v>
      </c>
      <c r="B878" s="140" t="s">
        <v>22</v>
      </c>
      <c r="C878" s="141" t="s">
        <v>528</v>
      </c>
      <c r="D878" s="140" t="s">
        <v>529</v>
      </c>
      <c r="E878" s="140">
        <v>14</v>
      </c>
      <c r="F878" s="142">
        <v>46051.625</v>
      </c>
      <c r="G878" s="140" t="s">
        <v>845</v>
      </c>
      <c r="H878" s="140" t="s">
        <v>852</v>
      </c>
    </row>
    <row r="879" spans="1:8" ht="15.75" customHeight="1">
      <c r="A879" s="140" t="s">
        <v>58</v>
      </c>
      <c r="B879" s="140" t="s">
        <v>22</v>
      </c>
      <c r="C879" s="141" t="s">
        <v>528</v>
      </c>
      <c r="D879" s="140" t="s">
        <v>529</v>
      </c>
      <c r="E879" s="140">
        <v>15</v>
      </c>
      <c r="F879" s="142">
        <v>46052.625</v>
      </c>
      <c r="G879" s="140" t="s">
        <v>845</v>
      </c>
      <c r="H879" s="140" t="s">
        <v>852</v>
      </c>
    </row>
    <row r="880" spans="1:8" ht="15.75" customHeight="1">
      <c r="A880" s="140" t="s">
        <v>58</v>
      </c>
      <c r="B880" s="140" t="s">
        <v>22</v>
      </c>
      <c r="C880" s="141" t="s">
        <v>528</v>
      </c>
      <c r="D880" s="140" t="s">
        <v>529</v>
      </c>
      <c r="E880" s="140">
        <v>16</v>
      </c>
      <c r="F880" s="142">
        <v>46104.416666666672</v>
      </c>
      <c r="G880" s="140" t="s">
        <v>845</v>
      </c>
      <c r="H880" s="140" t="s">
        <v>852</v>
      </c>
    </row>
    <row r="881" spans="1:8" ht="15.75" customHeight="1">
      <c r="A881" s="140" t="s">
        <v>58</v>
      </c>
      <c r="B881" s="140" t="s">
        <v>21</v>
      </c>
      <c r="C881" s="141" t="s">
        <v>603</v>
      </c>
      <c r="D881" s="140" t="s">
        <v>604</v>
      </c>
      <c r="E881" s="140">
        <v>1</v>
      </c>
      <c r="F881" s="142">
        <v>45772.583333333328</v>
      </c>
      <c r="G881" s="140" t="s">
        <v>845</v>
      </c>
      <c r="H881" s="140" t="s">
        <v>852</v>
      </c>
    </row>
    <row r="882" spans="1:8" ht="15.75" customHeight="1">
      <c r="A882" s="140" t="s">
        <v>58</v>
      </c>
      <c r="B882" s="140" t="s">
        <v>21</v>
      </c>
      <c r="C882" s="141" t="s">
        <v>603</v>
      </c>
      <c r="D882" s="140" t="s">
        <v>604</v>
      </c>
      <c r="E882" s="140">
        <v>2</v>
      </c>
      <c r="F882" s="142">
        <v>45786.583333333328</v>
      </c>
      <c r="G882" s="140" t="s">
        <v>845</v>
      </c>
      <c r="H882" s="140" t="s">
        <v>852</v>
      </c>
    </row>
    <row r="883" spans="1:8" ht="15.75" customHeight="1">
      <c r="A883" s="140" t="s">
        <v>58</v>
      </c>
      <c r="B883" s="140" t="s">
        <v>21</v>
      </c>
      <c r="C883" s="141" t="s">
        <v>603</v>
      </c>
      <c r="D883" s="140" t="s">
        <v>604</v>
      </c>
      <c r="E883" s="140">
        <v>3</v>
      </c>
      <c r="F883" s="142">
        <v>45841.541666666672</v>
      </c>
      <c r="G883" s="140" t="s">
        <v>845</v>
      </c>
      <c r="H883" s="140" t="s">
        <v>852</v>
      </c>
    </row>
    <row r="884" spans="1:8" ht="15.75" customHeight="1">
      <c r="A884" s="140" t="s">
        <v>58</v>
      </c>
      <c r="B884" s="140" t="s">
        <v>21</v>
      </c>
      <c r="C884" s="141" t="s">
        <v>603</v>
      </c>
      <c r="D884" s="140" t="s">
        <v>604</v>
      </c>
      <c r="E884" s="140">
        <v>4</v>
      </c>
      <c r="F884" s="142">
        <v>45849.458333333328</v>
      </c>
      <c r="G884" s="140" t="s">
        <v>845</v>
      </c>
      <c r="H884" s="140" t="s">
        <v>852</v>
      </c>
    </row>
    <row r="885" spans="1:8" ht="15.75" customHeight="1">
      <c r="A885" s="140" t="s">
        <v>58</v>
      </c>
      <c r="B885" s="140" t="s">
        <v>21</v>
      </c>
      <c r="C885" s="141" t="s">
        <v>603</v>
      </c>
      <c r="D885" s="140" t="s">
        <v>604</v>
      </c>
      <c r="E885" s="140">
        <v>5</v>
      </c>
      <c r="F885" s="142">
        <v>45855.541666666672</v>
      </c>
      <c r="G885" s="140" t="s">
        <v>845</v>
      </c>
      <c r="H885" s="140" t="s">
        <v>852</v>
      </c>
    </row>
    <row r="886" spans="1:8" ht="15.75" customHeight="1">
      <c r="A886" s="140" t="s">
        <v>58</v>
      </c>
      <c r="B886" s="140" t="s">
        <v>21</v>
      </c>
      <c r="C886" s="141" t="s">
        <v>603</v>
      </c>
      <c r="D886" s="140" t="s">
        <v>604</v>
      </c>
      <c r="E886" s="140">
        <v>6</v>
      </c>
      <c r="F886" s="142">
        <v>45862.625</v>
      </c>
      <c r="G886" s="140" t="s">
        <v>845</v>
      </c>
      <c r="H886" s="140" t="s">
        <v>852</v>
      </c>
    </row>
    <row r="887" spans="1:8" ht="15.75" customHeight="1">
      <c r="A887" s="140" t="s">
        <v>58</v>
      </c>
      <c r="B887" s="140" t="s">
        <v>21</v>
      </c>
      <c r="C887" s="141" t="s">
        <v>603</v>
      </c>
      <c r="D887" s="140" t="s">
        <v>604</v>
      </c>
      <c r="E887" s="140">
        <v>7</v>
      </c>
      <c r="F887" s="142">
        <v>45869.416666666672</v>
      </c>
      <c r="G887" s="140" t="s">
        <v>845</v>
      </c>
      <c r="H887" s="140" t="s">
        <v>852</v>
      </c>
    </row>
    <row r="888" spans="1:8" ht="15.75" customHeight="1">
      <c r="A888" s="140" t="s">
        <v>58</v>
      </c>
      <c r="B888" s="140" t="s">
        <v>21</v>
      </c>
      <c r="C888" s="141" t="s">
        <v>603</v>
      </c>
      <c r="D888" s="140" t="s">
        <v>604</v>
      </c>
      <c r="E888" s="140">
        <v>8</v>
      </c>
      <c r="F888" s="142">
        <v>45890.583333333328</v>
      </c>
      <c r="G888" s="140" t="s">
        <v>845</v>
      </c>
      <c r="H888" s="140" t="s">
        <v>852</v>
      </c>
    </row>
    <row r="889" spans="1:8" ht="15.75" customHeight="1">
      <c r="A889" s="140" t="s">
        <v>58</v>
      </c>
      <c r="B889" s="140" t="s">
        <v>21</v>
      </c>
      <c r="C889" s="141" t="s">
        <v>603</v>
      </c>
      <c r="D889" s="140" t="s">
        <v>604</v>
      </c>
      <c r="E889" s="140">
        <v>9</v>
      </c>
      <c r="F889" s="142">
        <v>45897.541666666672</v>
      </c>
      <c r="G889" s="140" t="s">
        <v>845</v>
      </c>
      <c r="H889" s="140" t="s">
        <v>852</v>
      </c>
    </row>
    <row r="890" spans="1:8" ht="15.75" customHeight="1">
      <c r="A890" s="140" t="s">
        <v>58</v>
      </c>
      <c r="B890" s="140" t="s">
        <v>21</v>
      </c>
      <c r="C890" s="141" t="s">
        <v>603</v>
      </c>
      <c r="D890" s="140" t="s">
        <v>604</v>
      </c>
      <c r="E890" s="140">
        <v>10</v>
      </c>
      <c r="F890" s="142">
        <v>45918.416666666672</v>
      </c>
      <c r="G890" s="140" t="s">
        <v>845</v>
      </c>
      <c r="H890" s="140" t="s">
        <v>852</v>
      </c>
    </row>
    <row r="891" spans="1:8" ht="15.75" customHeight="1">
      <c r="A891" s="140" t="s">
        <v>58</v>
      </c>
      <c r="B891" s="140" t="s">
        <v>22</v>
      </c>
      <c r="C891" s="141" t="s">
        <v>603</v>
      </c>
      <c r="D891" s="140" t="s">
        <v>604</v>
      </c>
      <c r="E891" s="140">
        <v>1</v>
      </c>
      <c r="F891" s="142">
        <v>45946.458333333328</v>
      </c>
      <c r="G891" s="140" t="s">
        <v>845</v>
      </c>
      <c r="H891" s="140" t="s">
        <v>852</v>
      </c>
    </row>
    <row r="892" spans="1:8" ht="15.75" customHeight="1">
      <c r="A892" s="140" t="s">
        <v>58</v>
      </c>
      <c r="B892" s="140" t="s">
        <v>22</v>
      </c>
      <c r="C892" s="141" t="s">
        <v>603</v>
      </c>
      <c r="D892" s="140" t="s">
        <v>604</v>
      </c>
      <c r="E892" s="140">
        <v>2</v>
      </c>
      <c r="F892" s="142">
        <v>45953.458333333328</v>
      </c>
      <c r="G892" s="140" t="s">
        <v>845</v>
      </c>
      <c r="H892" s="140" t="s">
        <v>852</v>
      </c>
    </row>
    <row r="893" spans="1:8" ht="15.75" customHeight="1">
      <c r="A893" s="140" t="s">
        <v>58</v>
      </c>
      <c r="B893" s="140" t="s">
        <v>22</v>
      </c>
      <c r="C893" s="141" t="s">
        <v>603</v>
      </c>
      <c r="D893" s="140" t="s">
        <v>604</v>
      </c>
      <c r="E893" s="140">
        <v>3</v>
      </c>
      <c r="F893" s="142">
        <v>45960.458333333328</v>
      </c>
      <c r="G893" s="140" t="s">
        <v>845</v>
      </c>
      <c r="H893" s="140" t="s">
        <v>852</v>
      </c>
    </row>
    <row r="894" spans="1:8" ht="15.75" customHeight="1">
      <c r="A894" s="140" t="s">
        <v>58</v>
      </c>
      <c r="B894" s="140" t="s">
        <v>22</v>
      </c>
      <c r="C894" s="141" t="s">
        <v>603</v>
      </c>
      <c r="D894" s="140" t="s">
        <v>604</v>
      </c>
      <c r="E894" s="140">
        <v>4</v>
      </c>
      <c r="F894" s="142">
        <v>45961.625</v>
      </c>
      <c r="G894" s="140" t="s">
        <v>845</v>
      </c>
      <c r="H894" s="140" t="s">
        <v>852</v>
      </c>
    </row>
    <row r="895" spans="1:8" ht="15.75" customHeight="1">
      <c r="A895" s="140" t="s">
        <v>58</v>
      </c>
      <c r="B895" s="140" t="s">
        <v>22</v>
      </c>
      <c r="C895" s="141" t="s">
        <v>603</v>
      </c>
      <c r="D895" s="140" t="s">
        <v>604</v>
      </c>
      <c r="E895" s="140">
        <v>5</v>
      </c>
      <c r="F895" s="142">
        <v>45974.416666666672</v>
      </c>
      <c r="G895" s="140" t="s">
        <v>845</v>
      </c>
      <c r="H895" s="140" t="s">
        <v>852</v>
      </c>
    </row>
    <row r="896" spans="1:8" ht="15.75" customHeight="1">
      <c r="A896" s="140" t="s">
        <v>58</v>
      </c>
      <c r="B896" s="140" t="s">
        <v>22</v>
      </c>
      <c r="C896" s="141" t="s">
        <v>603</v>
      </c>
      <c r="D896" s="140" t="s">
        <v>604</v>
      </c>
      <c r="E896" s="140">
        <v>6</v>
      </c>
      <c r="F896" s="142">
        <v>45981.416666666672</v>
      </c>
      <c r="G896" s="140" t="s">
        <v>845</v>
      </c>
      <c r="H896" s="140" t="s">
        <v>852</v>
      </c>
    </row>
    <row r="897" spans="1:8" ht="15.75" customHeight="1">
      <c r="A897" s="140" t="s">
        <v>58</v>
      </c>
      <c r="B897" s="140" t="s">
        <v>22</v>
      </c>
      <c r="C897" s="141" t="s">
        <v>603</v>
      </c>
      <c r="D897" s="140" t="s">
        <v>604</v>
      </c>
      <c r="E897" s="140">
        <v>7</v>
      </c>
      <c r="F897" s="142">
        <v>45988.416666666672</v>
      </c>
      <c r="G897" s="140" t="s">
        <v>845</v>
      </c>
      <c r="H897" s="140" t="s">
        <v>852</v>
      </c>
    </row>
    <row r="898" spans="1:8" ht="15.75" customHeight="1">
      <c r="A898" s="140" t="s">
        <v>58</v>
      </c>
      <c r="B898" s="140" t="s">
        <v>22</v>
      </c>
      <c r="C898" s="141" t="s">
        <v>603</v>
      </c>
      <c r="D898" s="140" t="s">
        <v>604</v>
      </c>
      <c r="E898" s="140">
        <v>8</v>
      </c>
      <c r="F898" s="142">
        <v>45995.416666666672</v>
      </c>
      <c r="G898" s="140" t="s">
        <v>845</v>
      </c>
      <c r="H898" s="140" t="s">
        <v>852</v>
      </c>
    </row>
    <row r="899" spans="1:8" ht="15.75" customHeight="1">
      <c r="A899" s="140" t="s">
        <v>58</v>
      </c>
      <c r="B899" s="140" t="s">
        <v>22</v>
      </c>
      <c r="C899" s="141" t="s">
        <v>603</v>
      </c>
      <c r="D899" s="140" t="s">
        <v>604</v>
      </c>
      <c r="E899" s="140">
        <v>9</v>
      </c>
      <c r="F899" s="142">
        <v>46002.625</v>
      </c>
      <c r="G899" s="140" t="s">
        <v>845</v>
      </c>
      <c r="H899" s="140" t="s">
        <v>852</v>
      </c>
    </row>
    <row r="900" spans="1:8" ht="15.75" customHeight="1">
      <c r="A900" s="140" t="s">
        <v>58</v>
      </c>
      <c r="B900" s="140" t="s">
        <v>22</v>
      </c>
      <c r="C900" s="141" t="s">
        <v>603</v>
      </c>
      <c r="D900" s="140" t="s">
        <v>604</v>
      </c>
      <c r="E900" s="140">
        <v>10</v>
      </c>
      <c r="F900" s="142">
        <v>46010.625</v>
      </c>
      <c r="G900" s="140" t="s">
        <v>845</v>
      </c>
      <c r="H900" s="140" t="s">
        <v>852</v>
      </c>
    </row>
    <row r="901" spans="1:8" ht="15.75" customHeight="1">
      <c r="A901" s="140" t="s">
        <v>58</v>
      </c>
      <c r="B901" s="140" t="s">
        <v>22</v>
      </c>
      <c r="C901" s="141" t="s">
        <v>603</v>
      </c>
      <c r="D901" s="140" t="s">
        <v>604</v>
      </c>
      <c r="E901" s="140">
        <v>11</v>
      </c>
      <c r="F901" s="142">
        <v>46017.583333333328</v>
      </c>
      <c r="G901" s="140" t="s">
        <v>845</v>
      </c>
      <c r="H901" s="140" t="s">
        <v>852</v>
      </c>
    </row>
    <row r="902" spans="1:8" ht="15.75" customHeight="1">
      <c r="A902" s="140" t="s">
        <v>58</v>
      </c>
      <c r="B902" s="140" t="s">
        <v>22</v>
      </c>
      <c r="C902" s="141" t="s">
        <v>603</v>
      </c>
      <c r="D902" s="140" t="s">
        <v>604</v>
      </c>
      <c r="E902" s="140">
        <v>12</v>
      </c>
      <c r="F902" s="142">
        <v>46038.583333333328</v>
      </c>
      <c r="G902" s="140" t="s">
        <v>845</v>
      </c>
      <c r="H902" s="140" t="s">
        <v>852</v>
      </c>
    </row>
    <row r="903" spans="1:8" ht="15.75" customHeight="1">
      <c r="A903" s="140" t="s">
        <v>58</v>
      </c>
      <c r="B903" s="140" t="s">
        <v>22</v>
      </c>
      <c r="C903" s="141" t="s">
        <v>603</v>
      </c>
      <c r="D903" s="140" t="s">
        <v>604</v>
      </c>
      <c r="E903" s="140">
        <v>13</v>
      </c>
      <c r="F903" s="142">
        <v>46044.416666666672</v>
      </c>
      <c r="G903" s="140" t="s">
        <v>845</v>
      </c>
      <c r="H903" s="140" t="s">
        <v>852</v>
      </c>
    </row>
    <row r="904" spans="1:8" ht="15.75" customHeight="1">
      <c r="A904" s="140" t="s">
        <v>58</v>
      </c>
      <c r="B904" s="140" t="s">
        <v>22</v>
      </c>
      <c r="C904" s="141" t="s">
        <v>603</v>
      </c>
      <c r="D904" s="140" t="s">
        <v>604</v>
      </c>
      <c r="E904" s="140">
        <v>14</v>
      </c>
      <c r="F904" s="142">
        <v>46051.625</v>
      </c>
      <c r="G904" s="140" t="s">
        <v>845</v>
      </c>
      <c r="H904" s="140" t="s">
        <v>852</v>
      </c>
    </row>
    <row r="905" spans="1:8" ht="15.75" customHeight="1">
      <c r="A905" s="140" t="s">
        <v>58</v>
      </c>
      <c r="B905" s="140" t="s">
        <v>22</v>
      </c>
      <c r="C905" s="141" t="s">
        <v>603</v>
      </c>
      <c r="D905" s="140" t="s">
        <v>604</v>
      </c>
      <c r="E905" s="140">
        <v>15</v>
      </c>
      <c r="F905" s="142">
        <v>46052.625</v>
      </c>
      <c r="G905" s="140" t="s">
        <v>845</v>
      </c>
      <c r="H905" s="140" t="s">
        <v>852</v>
      </c>
    </row>
    <row r="906" spans="1:8" ht="15.75" customHeight="1">
      <c r="A906" s="140" t="s">
        <v>58</v>
      </c>
      <c r="B906" s="140" t="s">
        <v>22</v>
      </c>
      <c r="C906" s="141" t="s">
        <v>603</v>
      </c>
      <c r="D906" s="140" t="s">
        <v>604</v>
      </c>
      <c r="E906" s="140">
        <v>16</v>
      </c>
      <c r="F906" s="142">
        <v>46104.416666666672</v>
      </c>
      <c r="G906" s="140" t="s">
        <v>845</v>
      </c>
      <c r="H906" s="140" t="s">
        <v>852</v>
      </c>
    </row>
    <row r="907" spans="1:8" ht="15.75" customHeight="1">
      <c r="A907" s="140" t="s">
        <v>58</v>
      </c>
      <c r="B907" s="140" t="s">
        <v>21</v>
      </c>
      <c r="C907" s="141" t="s">
        <v>665</v>
      </c>
      <c r="D907" s="140" t="s">
        <v>666</v>
      </c>
      <c r="E907" s="140">
        <v>1</v>
      </c>
      <c r="F907" s="142">
        <v>45772.583333333328</v>
      </c>
      <c r="G907" s="140" t="s">
        <v>845</v>
      </c>
      <c r="H907" s="140" t="s">
        <v>852</v>
      </c>
    </row>
    <row r="908" spans="1:8" ht="15.75" customHeight="1">
      <c r="A908" s="140" t="s">
        <v>58</v>
      </c>
      <c r="B908" s="140" t="s">
        <v>21</v>
      </c>
      <c r="C908" s="141" t="s">
        <v>665</v>
      </c>
      <c r="D908" s="140" t="s">
        <v>666</v>
      </c>
      <c r="E908" s="140">
        <v>2</v>
      </c>
      <c r="F908" s="142">
        <v>45786.583333333328</v>
      </c>
      <c r="G908" s="140" t="s">
        <v>845</v>
      </c>
      <c r="H908" s="140" t="s">
        <v>852</v>
      </c>
    </row>
    <row r="909" spans="1:8" ht="15.75" customHeight="1">
      <c r="A909" s="140" t="s">
        <v>58</v>
      </c>
      <c r="B909" s="140" t="s">
        <v>21</v>
      </c>
      <c r="C909" s="141" t="s">
        <v>665</v>
      </c>
      <c r="D909" s="140" t="s">
        <v>666</v>
      </c>
      <c r="E909" s="140">
        <v>3</v>
      </c>
      <c r="F909" s="142">
        <v>45841.541666666672</v>
      </c>
      <c r="G909" s="140" t="s">
        <v>845</v>
      </c>
      <c r="H909" s="140" t="s">
        <v>852</v>
      </c>
    </row>
    <row r="910" spans="1:8" ht="15.75" customHeight="1">
      <c r="A910" s="140" t="s">
        <v>58</v>
      </c>
      <c r="B910" s="140" t="s">
        <v>21</v>
      </c>
      <c r="C910" s="141" t="s">
        <v>665</v>
      </c>
      <c r="D910" s="140" t="s">
        <v>666</v>
      </c>
      <c r="E910" s="140">
        <v>4</v>
      </c>
      <c r="F910" s="142">
        <v>45849.458333333328</v>
      </c>
      <c r="G910" s="140" t="s">
        <v>845</v>
      </c>
      <c r="H910" s="140" t="s">
        <v>852</v>
      </c>
    </row>
    <row r="911" spans="1:8" ht="15.75" customHeight="1">
      <c r="A911" s="140" t="s">
        <v>58</v>
      </c>
      <c r="B911" s="140" t="s">
        <v>21</v>
      </c>
      <c r="C911" s="141" t="s">
        <v>665</v>
      </c>
      <c r="D911" s="140" t="s">
        <v>666</v>
      </c>
      <c r="E911" s="140">
        <v>5</v>
      </c>
      <c r="F911" s="142">
        <v>45849.458333333328</v>
      </c>
      <c r="G911" s="140" t="s">
        <v>845</v>
      </c>
      <c r="H911" s="140" t="s">
        <v>852</v>
      </c>
    </row>
    <row r="912" spans="1:8" ht="15.75" customHeight="1">
      <c r="A912" s="140" t="s">
        <v>58</v>
      </c>
      <c r="B912" s="140" t="s">
        <v>21</v>
      </c>
      <c r="C912" s="141" t="s">
        <v>665</v>
      </c>
      <c r="D912" s="140" t="s">
        <v>666</v>
      </c>
      <c r="E912" s="140">
        <v>6</v>
      </c>
      <c r="F912" s="142">
        <v>45862.625</v>
      </c>
      <c r="G912" s="140" t="s">
        <v>845</v>
      </c>
      <c r="H912" s="140" t="s">
        <v>852</v>
      </c>
    </row>
    <row r="913" spans="1:8" ht="15.75" customHeight="1">
      <c r="A913" s="140" t="s">
        <v>58</v>
      </c>
      <c r="B913" s="140" t="s">
        <v>21</v>
      </c>
      <c r="C913" s="141" t="s">
        <v>665</v>
      </c>
      <c r="D913" s="140" t="s">
        <v>666</v>
      </c>
      <c r="E913" s="140">
        <v>7</v>
      </c>
      <c r="F913" s="142">
        <v>45869.416666666672</v>
      </c>
      <c r="G913" s="140" t="s">
        <v>845</v>
      </c>
      <c r="H913" s="140" t="s">
        <v>852</v>
      </c>
    </row>
    <row r="914" spans="1:8" ht="15.75" customHeight="1">
      <c r="A914" s="140" t="s">
        <v>58</v>
      </c>
      <c r="B914" s="140" t="s">
        <v>21</v>
      </c>
      <c r="C914" s="141" t="s">
        <v>665</v>
      </c>
      <c r="D914" s="140" t="s">
        <v>666</v>
      </c>
      <c r="E914" s="140">
        <v>8</v>
      </c>
      <c r="F914" s="142">
        <v>45890.583333333328</v>
      </c>
      <c r="G914" s="140" t="s">
        <v>845</v>
      </c>
      <c r="H914" s="140" t="s">
        <v>852</v>
      </c>
    </row>
    <row r="915" spans="1:8" ht="15.75" customHeight="1">
      <c r="A915" s="140" t="s">
        <v>58</v>
      </c>
      <c r="B915" s="140" t="s">
        <v>21</v>
      </c>
      <c r="C915" s="141" t="s">
        <v>665</v>
      </c>
      <c r="D915" s="140" t="s">
        <v>666</v>
      </c>
      <c r="E915" s="140">
        <v>9</v>
      </c>
      <c r="F915" s="142">
        <v>45897.541666666672</v>
      </c>
      <c r="G915" s="140" t="s">
        <v>845</v>
      </c>
      <c r="H915" s="140" t="s">
        <v>852</v>
      </c>
    </row>
    <row r="916" spans="1:8" ht="15.75" customHeight="1">
      <c r="A916" s="140" t="s">
        <v>58</v>
      </c>
      <c r="B916" s="140" t="s">
        <v>21</v>
      </c>
      <c r="C916" s="141" t="s">
        <v>665</v>
      </c>
      <c r="D916" s="140" t="s">
        <v>666</v>
      </c>
      <c r="E916" s="140">
        <v>10</v>
      </c>
      <c r="F916" s="142">
        <v>45918.416666666672</v>
      </c>
      <c r="G916" s="140" t="s">
        <v>845</v>
      </c>
      <c r="H916" s="140" t="s">
        <v>852</v>
      </c>
    </row>
    <row r="917" spans="1:8" ht="15.75" customHeight="1">
      <c r="A917" s="140" t="s">
        <v>58</v>
      </c>
      <c r="B917" s="140" t="s">
        <v>22</v>
      </c>
      <c r="C917" s="141" t="s">
        <v>665</v>
      </c>
      <c r="D917" s="140" t="s">
        <v>666</v>
      </c>
      <c r="E917" s="140">
        <v>1</v>
      </c>
      <c r="F917" s="142">
        <v>45946.458333333328</v>
      </c>
      <c r="G917" s="140" t="s">
        <v>845</v>
      </c>
      <c r="H917" s="140" t="s">
        <v>852</v>
      </c>
    </row>
    <row r="918" spans="1:8" ht="15.75" customHeight="1">
      <c r="A918" s="140" t="s">
        <v>58</v>
      </c>
      <c r="B918" s="140" t="s">
        <v>22</v>
      </c>
      <c r="C918" s="141" t="s">
        <v>665</v>
      </c>
      <c r="D918" s="140" t="s">
        <v>666</v>
      </c>
      <c r="E918" s="140">
        <v>2</v>
      </c>
      <c r="F918" s="142">
        <v>45953.458333333328</v>
      </c>
      <c r="G918" s="140" t="s">
        <v>845</v>
      </c>
      <c r="H918" s="140" t="s">
        <v>852</v>
      </c>
    </row>
    <row r="919" spans="1:8" ht="15.75" customHeight="1">
      <c r="A919" s="140" t="s">
        <v>58</v>
      </c>
      <c r="B919" s="140" t="s">
        <v>22</v>
      </c>
      <c r="C919" s="141" t="s">
        <v>665</v>
      </c>
      <c r="D919" s="140" t="s">
        <v>666</v>
      </c>
      <c r="E919" s="140">
        <v>3</v>
      </c>
      <c r="F919" s="142">
        <v>45960.458333333328</v>
      </c>
      <c r="G919" s="140" t="s">
        <v>845</v>
      </c>
      <c r="H919" s="140" t="s">
        <v>852</v>
      </c>
    </row>
    <row r="920" spans="1:8" ht="15.75" customHeight="1">
      <c r="A920" s="140" t="s">
        <v>58</v>
      </c>
      <c r="B920" s="140" t="s">
        <v>22</v>
      </c>
      <c r="C920" s="141" t="s">
        <v>665</v>
      </c>
      <c r="D920" s="140" t="s">
        <v>666</v>
      </c>
      <c r="E920" s="140">
        <v>4</v>
      </c>
      <c r="F920" s="142">
        <v>45961.625</v>
      </c>
      <c r="G920" s="140" t="s">
        <v>845</v>
      </c>
      <c r="H920" s="140" t="s">
        <v>852</v>
      </c>
    </row>
    <row r="921" spans="1:8" ht="15.75" customHeight="1">
      <c r="A921" s="140" t="s">
        <v>58</v>
      </c>
      <c r="B921" s="140" t="s">
        <v>22</v>
      </c>
      <c r="C921" s="141" t="s">
        <v>665</v>
      </c>
      <c r="D921" s="140" t="s">
        <v>666</v>
      </c>
      <c r="E921" s="140">
        <v>5</v>
      </c>
      <c r="F921" s="142">
        <v>45974.416666666672</v>
      </c>
      <c r="G921" s="140" t="s">
        <v>845</v>
      </c>
      <c r="H921" s="140" t="s">
        <v>852</v>
      </c>
    </row>
    <row r="922" spans="1:8" ht="15.75" customHeight="1">
      <c r="A922" s="140" t="s">
        <v>58</v>
      </c>
      <c r="B922" s="140" t="s">
        <v>22</v>
      </c>
      <c r="C922" s="141" t="s">
        <v>665</v>
      </c>
      <c r="D922" s="140" t="s">
        <v>666</v>
      </c>
      <c r="E922" s="140">
        <v>6</v>
      </c>
      <c r="F922" s="142">
        <v>45981.416666666672</v>
      </c>
      <c r="G922" s="140" t="s">
        <v>845</v>
      </c>
      <c r="H922" s="140" t="s">
        <v>852</v>
      </c>
    </row>
    <row r="923" spans="1:8" ht="15.75" customHeight="1">
      <c r="A923" s="140" t="s">
        <v>58</v>
      </c>
      <c r="B923" s="140" t="s">
        <v>22</v>
      </c>
      <c r="C923" s="141" t="s">
        <v>665</v>
      </c>
      <c r="D923" s="140" t="s">
        <v>666</v>
      </c>
      <c r="E923" s="140">
        <v>7</v>
      </c>
      <c r="F923" s="142">
        <v>45988.416666666672</v>
      </c>
      <c r="G923" s="140" t="s">
        <v>845</v>
      </c>
      <c r="H923" s="140" t="s">
        <v>852</v>
      </c>
    </row>
    <row r="924" spans="1:8" ht="15.75" customHeight="1">
      <c r="A924" s="140" t="s">
        <v>58</v>
      </c>
      <c r="B924" s="140" t="s">
        <v>22</v>
      </c>
      <c r="C924" s="141" t="s">
        <v>665</v>
      </c>
      <c r="D924" s="140" t="s">
        <v>666</v>
      </c>
      <c r="E924" s="140">
        <v>8</v>
      </c>
      <c r="F924" s="142">
        <v>45995.416666666672</v>
      </c>
      <c r="G924" s="140" t="s">
        <v>845</v>
      </c>
      <c r="H924" s="140" t="s">
        <v>852</v>
      </c>
    </row>
    <row r="925" spans="1:8" ht="15.75" customHeight="1">
      <c r="A925" s="140" t="s">
        <v>58</v>
      </c>
      <c r="B925" s="140" t="s">
        <v>22</v>
      </c>
      <c r="C925" s="141" t="s">
        <v>665</v>
      </c>
      <c r="D925" s="140" t="s">
        <v>666</v>
      </c>
      <c r="E925" s="140">
        <v>9</v>
      </c>
      <c r="F925" s="142">
        <v>46002.625</v>
      </c>
      <c r="G925" s="140" t="s">
        <v>845</v>
      </c>
      <c r="H925" s="140" t="s">
        <v>852</v>
      </c>
    </row>
    <row r="926" spans="1:8" ht="15.75" customHeight="1">
      <c r="A926" s="140" t="s">
        <v>58</v>
      </c>
      <c r="B926" s="140" t="s">
        <v>22</v>
      </c>
      <c r="C926" s="141" t="s">
        <v>665</v>
      </c>
      <c r="D926" s="140" t="s">
        <v>666</v>
      </c>
      <c r="E926" s="140">
        <v>10</v>
      </c>
      <c r="F926" s="142">
        <v>46010.625</v>
      </c>
      <c r="G926" s="140" t="s">
        <v>845</v>
      </c>
      <c r="H926" s="140" t="s">
        <v>852</v>
      </c>
    </row>
    <row r="927" spans="1:8" ht="15.75" customHeight="1">
      <c r="A927" s="140" t="s">
        <v>58</v>
      </c>
      <c r="B927" s="140" t="s">
        <v>22</v>
      </c>
      <c r="C927" s="141" t="s">
        <v>665</v>
      </c>
      <c r="D927" s="140" t="s">
        <v>666</v>
      </c>
      <c r="E927" s="140">
        <v>11</v>
      </c>
      <c r="F927" s="142">
        <v>46017.583333333328</v>
      </c>
      <c r="G927" s="140" t="s">
        <v>845</v>
      </c>
      <c r="H927" s="140" t="s">
        <v>852</v>
      </c>
    </row>
    <row r="928" spans="1:8" ht="15.75" customHeight="1">
      <c r="A928" s="140" t="s">
        <v>58</v>
      </c>
      <c r="B928" s="140" t="s">
        <v>22</v>
      </c>
      <c r="C928" s="141" t="s">
        <v>665</v>
      </c>
      <c r="D928" s="140" t="s">
        <v>666</v>
      </c>
      <c r="E928" s="140">
        <v>12</v>
      </c>
      <c r="F928" s="142">
        <v>46038.583333333328</v>
      </c>
      <c r="G928" s="140" t="s">
        <v>845</v>
      </c>
      <c r="H928" s="140" t="s">
        <v>852</v>
      </c>
    </row>
    <row r="929" spans="1:8" ht="15.75" customHeight="1">
      <c r="A929" s="140" t="s">
        <v>58</v>
      </c>
      <c r="B929" s="140" t="s">
        <v>22</v>
      </c>
      <c r="C929" s="141" t="s">
        <v>665</v>
      </c>
      <c r="D929" s="140" t="s">
        <v>666</v>
      </c>
      <c r="E929" s="140">
        <v>13</v>
      </c>
      <c r="F929" s="142">
        <v>46044.416666666672</v>
      </c>
      <c r="G929" s="140" t="s">
        <v>845</v>
      </c>
      <c r="H929" s="140" t="s">
        <v>852</v>
      </c>
    </row>
    <row r="930" spans="1:8" ht="15.75" customHeight="1">
      <c r="A930" s="140" t="s">
        <v>58</v>
      </c>
      <c r="B930" s="140" t="s">
        <v>22</v>
      </c>
      <c r="C930" s="141" t="s">
        <v>665</v>
      </c>
      <c r="D930" s="140" t="s">
        <v>666</v>
      </c>
      <c r="E930" s="140">
        <v>14</v>
      </c>
      <c r="F930" s="142">
        <v>46051.625</v>
      </c>
      <c r="G930" s="140" t="s">
        <v>845</v>
      </c>
      <c r="H930" s="140" t="s">
        <v>852</v>
      </c>
    </row>
    <row r="931" spans="1:8" ht="15.75" customHeight="1">
      <c r="A931" s="140" t="s">
        <v>58</v>
      </c>
      <c r="B931" s="140" t="s">
        <v>22</v>
      </c>
      <c r="C931" s="141" t="s">
        <v>665</v>
      </c>
      <c r="D931" s="140" t="s">
        <v>666</v>
      </c>
      <c r="E931" s="140">
        <v>15</v>
      </c>
      <c r="F931" s="142">
        <v>46052.625</v>
      </c>
      <c r="G931" s="140" t="s">
        <v>845</v>
      </c>
      <c r="H931" s="140" t="s">
        <v>852</v>
      </c>
    </row>
    <row r="932" spans="1:8" ht="15.75" customHeight="1">
      <c r="A932" s="140" t="s">
        <v>58</v>
      </c>
      <c r="B932" s="140" t="s">
        <v>22</v>
      </c>
      <c r="C932" s="141" t="s">
        <v>665</v>
      </c>
      <c r="D932" s="140" t="s">
        <v>666</v>
      </c>
      <c r="E932" s="140">
        <v>16</v>
      </c>
      <c r="F932" s="142">
        <v>46104.416666666672</v>
      </c>
      <c r="G932" s="140" t="s">
        <v>845</v>
      </c>
      <c r="H932" s="140" t="s">
        <v>852</v>
      </c>
    </row>
    <row r="933" spans="1:8" ht="15.75" customHeight="1">
      <c r="A933" s="140" t="s">
        <v>59</v>
      </c>
      <c r="B933" s="140" t="s">
        <v>21</v>
      </c>
      <c r="C933" s="141" t="s">
        <v>159</v>
      </c>
      <c r="D933" s="140" t="s">
        <v>160</v>
      </c>
      <c r="E933" s="140">
        <v>1</v>
      </c>
      <c r="F933" s="142">
        <v>45663.583333333328</v>
      </c>
      <c r="G933" s="140" t="s">
        <v>845</v>
      </c>
      <c r="H933" s="140" t="s">
        <v>853</v>
      </c>
    </row>
    <row r="934" spans="1:8" ht="15.75" customHeight="1">
      <c r="A934" s="140" t="s">
        <v>59</v>
      </c>
      <c r="B934" s="140" t="s">
        <v>21</v>
      </c>
      <c r="C934" s="141" t="s">
        <v>159</v>
      </c>
      <c r="D934" s="140" t="s">
        <v>160</v>
      </c>
      <c r="E934" s="140">
        <v>2</v>
      </c>
      <c r="F934" s="142">
        <v>45698.583333333328</v>
      </c>
      <c r="G934" s="140" t="s">
        <v>843</v>
      </c>
      <c r="H934" s="140" t="s">
        <v>853</v>
      </c>
    </row>
    <row r="935" spans="1:8" ht="15.75" customHeight="1">
      <c r="A935" s="140" t="s">
        <v>59</v>
      </c>
      <c r="B935" s="140" t="s">
        <v>21</v>
      </c>
      <c r="C935" s="141" t="s">
        <v>159</v>
      </c>
      <c r="D935" s="140" t="s">
        <v>160</v>
      </c>
      <c r="E935" s="140">
        <v>3</v>
      </c>
      <c r="F935" s="142">
        <v>45716.583333333328</v>
      </c>
      <c r="G935" s="140" t="s">
        <v>845</v>
      </c>
      <c r="H935" s="140" t="s">
        <v>853</v>
      </c>
    </row>
    <row r="936" spans="1:8" ht="15.75" customHeight="1">
      <c r="A936" s="140" t="s">
        <v>59</v>
      </c>
      <c r="B936" s="140" t="s">
        <v>21</v>
      </c>
      <c r="C936" s="141" t="s">
        <v>159</v>
      </c>
      <c r="D936" s="140" t="s">
        <v>160</v>
      </c>
      <c r="E936" s="140">
        <v>4</v>
      </c>
      <c r="F936" s="142">
        <v>45762.583333333328</v>
      </c>
      <c r="G936" s="140" t="s">
        <v>845</v>
      </c>
      <c r="H936" s="140" t="s">
        <v>853</v>
      </c>
    </row>
    <row r="937" spans="1:8" ht="15.75" customHeight="1">
      <c r="A937" s="140" t="s">
        <v>59</v>
      </c>
      <c r="B937" s="140" t="s">
        <v>21</v>
      </c>
      <c r="C937" s="141" t="s">
        <v>159</v>
      </c>
      <c r="D937" s="140" t="s">
        <v>160</v>
      </c>
      <c r="E937" s="140">
        <v>5</v>
      </c>
      <c r="F937" s="142">
        <v>45768.583333333328</v>
      </c>
      <c r="G937" s="140" t="s">
        <v>845</v>
      </c>
      <c r="H937" s="140" t="s">
        <v>853</v>
      </c>
    </row>
    <row r="938" spans="1:8" ht="15.75" customHeight="1">
      <c r="A938" s="140" t="s">
        <v>59</v>
      </c>
      <c r="B938" s="140" t="s">
        <v>21</v>
      </c>
      <c r="C938" s="141" t="s">
        <v>159</v>
      </c>
      <c r="D938" s="140" t="s">
        <v>160</v>
      </c>
      <c r="E938" s="140">
        <v>6</v>
      </c>
      <c r="F938" s="142">
        <v>45782.541666666672</v>
      </c>
      <c r="G938" s="140" t="s">
        <v>843</v>
      </c>
      <c r="H938" s="140" t="s">
        <v>853</v>
      </c>
    </row>
    <row r="939" spans="1:8" ht="15.75" customHeight="1">
      <c r="A939" s="140" t="s">
        <v>59</v>
      </c>
      <c r="B939" s="140" t="s">
        <v>21</v>
      </c>
      <c r="C939" s="141" t="s">
        <v>159</v>
      </c>
      <c r="D939" s="140" t="s">
        <v>160</v>
      </c>
      <c r="E939" s="140">
        <v>7</v>
      </c>
      <c r="F939" s="142">
        <v>45806.583333333328</v>
      </c>
      <c r="G939" s="140" t="s">
        <v>845</v>
      </c>
      <c r="H939" s="140" t="s">
        <v>853</v>
      </c>
    </row>
    <row r="940" spans="1:8" ht="15.75" customHeight="1">
      <c r="A940" s="140" t="s">
        <v>59</v>
      </c>
      <c r="B940" s="140" t="s">
        <v>21</v>
      </c>
      <c r="C940" s="141" t="s">
        <v>159</v>
      </c>
      <c r="D940" s="140" t="s">
        <v>160</v>
      </c>
      <c r="E940" s="140">
        <v>8</v>
      </c>
      <c r="F940" s="142">
        <v>45810.541666666672</v>
      </c>
      <c r="G940" s="140" t="s">
        <v>845</v>
      </c>
      <c r="H940" s="140" t="s">
        <v>853</v>
      </c>
    </row>
    <row r="941" spans="1:8" ht="15.75" customHeight="1">
      <c r="A941" s="140" t="s">
        <v>59</v>
      </c>
      <c r="B941" s="140" t="s">
        <v>21</v>
      </c>
      <c r="C941" s="141" t="s">
        <v>159</v>
      </c>
      <c r="D941" s="140" t="s">
        <v>160</v>
      </c>
      <c r="E941" s="140">
        <v>9</v>
      </c>
      <c r="F941" s="142">
        <v>45824.583333333328</v>
      </c>
      <c r="G941" s="140" t="s">
        <v>845</v>
      </c>
      <c r="H941" s="140" t="s">
        <v>853</v>
      </c>
    </row>
    <row r="942" spans="1:8" ht="15.75" customHeight="1">
      <c r="A942" s="140" t="s">
        <v>59</v>
      </c>
      <c r="B942" s="140" t="s">
        <v>21</v>
      </c>
      <c r="C942" s="141" t="s">
        <v>159</v>
      </c>
      <c r="D942" s="140" t="s">
        <v>160</v>
      </c>
      <c r="E942" s="140">
        <v>10</v>
      </c>
      <c r="F942" s="142">
        <v>45852.541666666672</v>
      </c>
      <c r="G942" s="140" t="s">
        <v>845</v>
      </c>
      <c r="H942" s="140" t="s">
        <v>853</v>
      </c>
    </row>
    <row r="943" spans="1:8" ht="15.75" customHeight="1">
      <c r="A943" s="140" t="s">
        <v>59</v>
      </c>
      <c r="B943" s="140" t="s">
        <v>22</v>
      </c>
      <c r="C943" s="141" t="s">
        <v>247</v>
      </c>
      <c r="D943" s="140" t="s">
        <v>248</v>
      </c>
      <c r="E943" s="140">
        <v>1</v>
      </c>
      <c r="F943" s="142">
        <v>45915.541666666672</v>
      </c>
      <c r="G943" s="140" t="s">
        <v>845</v>
      </c>
      <c r="H943" s="140" t="s">
        <v>853</v>
      </c>
    </row>
    <row r="944" spans="1:8" ht="15.75" customHeight="1">
      <c r="A944" s="140" t="s">
        <v>59</v>
      </c>
      <c r="B944" s="140" t="s">
        <v>22</v>
      </c>
      <c r="C944" s="141" t="s">
        <v>247</v>
      </c>
      <c r="D944" s="140" t="s">
        <v>248</v>
      </c>
      <c r="E944" s="140">
        <v>2</v>
      </c>
      <c r="F944" s="142">
        <v>45922.583333333328</v>
      </c>
      <c r="G944" s="140" t="s">
        <v>845</v>
      </c>
      <c r="H944" s="140" t="s">
        <v>853</v>
      </c>
    </row>
    <row r="945" spans="1:8" ht="15.75" customHeight="1">
      <c r="A945" s="140" t="s">
        <v>59</v>
      </c>
      <c r="B945" s="140" t="s">
        <v>22</v>
      </c>
      <c r="C945" s="141" t="s">
        <v>247</v>
      </c>
      <c r="D945" s="140" t="s">
        <v>248</v>
      </c>
      <c r="E945" s="140">
        <v>3</v>
      </c>
      <c r="F945" s="142">
        <v>45929.541666666672</v>
      </c>
      <c r="G945" s="140" t="s">
        <v>845</v>
      </c>
      <c r="H945" s="140" t="s">
        <v>853</v>
      </c>
    </row>
    <row r="946" spans="1:8" ht="15.75" customHeight="1">
      <c r="A946" s="140" t="s">
        <v>59</v>
      </c>
      <c r="B946" s="140" t="s">
        <v>22</v>
      </c>
      <c r="C946" s="141" t="s">
        <v>247</v>
      </c>
      <c r="D946" s="140" t="s">
        <v>248</v>
      </c>
      <c r="E946" s="140">
        <v>4</v>
      </c>
      <c r="F946" s="142">
        <v>45943.541666666672</v>
      </c>
      <c r="G946" s="140" t="s">
        <v>845</v>
      </c>
      <c r="H946" s="140" t="s">
        <v>853</v>
      </c>
    </row>
    <row r="947" spans="1:8" ht="15.75" customHeight="1">
      <c r="A947" s="140" t="s">
        <v>59</v>
      </c>
      <c r="B947" s="140" t="s">
        <v>22</v>
      </c>
      <c r="C947" s="141" t="s">
        <v>247</v>
      </c>
      <c r="D947" s="140" t="s">
        <v>248</v>
      </c>
      <c r="E947" s="140">
        <v>5</v>
      </c>
      <c r="F947" s="142">
        <v>45950.583333333328</v>
      </c>
      <c r="G947" s="140" t="s">
        <v>845</v>
      </c>
      <c r="H947" s="140" t="s">
        <v>853</v>
      </c>
    </row>
    <row r="948" spans="1:8" ht="15.75" customHeight="1">
      <c r="A948" s="140" t="s">
        <v>59</v>
      </c>
      <c r="B948" s="140" t="s">
        <v>22</v>
      </c>
      <c r="C948" s="141" t="s">
        <v>247</v>
      </c>
      <c r="D948" s="140" t="s">
        <v>248</v>
      </c>
      <c r="E948" s="140">
        <v>6</v>
      </c>
      <c r="F948" s="142">
        <v>45957.541666666672</v>
      </c>
      <c r="G948" s="140" t="s">
        <v>845</v>
      </c>
      <c r="H948" s="140" t="s">
        <v>853</v>
      </c>
    </row>
    <row r="949" spans="1:8" ht="15.75" customHeight="1">
      <c r="A949" s="140" t="s">
        <v>59</v>
      </c>
      <c r="B949" s="140" t="s">
        <v>22</v>
      </c>
      <c r="C949" s="141" t="s">
        <v>247</v>
      </c>
      <c r="D949" s="140" t="s">
        <v>248</v>
      </c>
      <c r="E949" s="140">
        <v>7</v>
      </c>
      <c r="F949" s="142">
        <v>45972.583333333328</v>
      </c>
      <c r="G949" s="140" t="s">
        <v>845</v>
      </c>
      <c r="H949" s="140" t="s">
        <v>853</v>
      </c>
    </row>
    <row r="950" spans="1:8" ht="15.75" customHeight="1">
      <c r="A950" s="140" t="s">
        <v>59</v>
      </c>
      <c r="B950" s="140" t="s">
        <v>22</v>
      </c>
      <c r="C950" s="141" t="s">
        <v>247</v>
      </c>
      <c r="D950" s="140" t="s">
        <v>248</v>
      </c>
      <c r="E950" s="140">
        <v>8</v>
      </c>
      <c r="F950" s="142">
        <v>45980.583333333328</v>
      </c>
      <c r="G950" s="140" t="s">
        <v>845</v>
      </c>
      <c r="H950" s="140" t="s">
        <v>853</v>
      </c>
    </row>
    <row r="951" spans="1:8" ht="15.75" customHeight="1">
      <c r="A951" s="140" t="s">
        <v>59</v>
      </c>
      <c r="B951" s="140" t="s">
        <v>22</v>
      </c>
      <c r="C951" s="141" t="s">
        <v>247</v>
      </c>
      <c r="D951" s="140" t="s">
        <v>248</v>
      </c>
      <c r="E951" s="140">
        <v>9</v>
      </c>
      <c r="F951" s="142">
        <v>45981.583333333328</v>
      </c>
      <c r="G951" s="140" t="s">
        <v>845</v>
      </c>
      <c r="H951" s="140" t="s">
        <v>853</v>
      </c>
    </row>
    <row r="952" spans="1:8" ht="15.75" customHeight="1">
      <c r="A952" s="140" t="s">
        <v>59</v>
      </c>
      <c r="B952" s="140" t="s">
        <v>22</v>
      </c>
      <c r="C952" s="141" t="s">
        <v>247</v>
      </c>
      <c r="D952" s="140" t="s">
        <v>248</v>
      </c>
      <c r="E952" s="140">
        <v>10</v>
      </c>
      <c r="F952" s="142">
        <v>45996.583333333328</v>
      </c>
      <c r="G952" s="140" t="s">
        <v>845</v>
      </c>
      <c r="H952" s="140" t="s">
        <v>853</v>
      </c>
    </row>
    <row r="953" spans="1:8" ht="15.75" customHeight="1">
      <c r="A953" s="140" t="s">
        <v>59</v>
      </c>
      <c r="B953" s="140" t="s">
        <v>22</v>
      </c>
      <c r="C953" s="141" t="s">
        <v>247</v>
      </c>
      <c r="D953" s="140" t="s">
        <v>248</v>
      </c>
      <c r="E953" s="140">
        <v>11</v>
      </c>
      <c r="F953" s="142">
        <v>46006.583333333328</v>
      </c>
      <c r="G953" s="140" t="s">
        <v>843</v>
      </c>
      <c r="H953" s="140" t="s">
        <v>853</v>
      </c>
    </row>
    <row r="954" spans="1:8" ht="15.75" customHeight="1">
      <c r="A954" s="140" t="s">
        <v>59</v>
      </c>
      <c r="B954" s="140" t="s">
        <v>22</v>
      </c>
      <c r="C954" s="141" t="s">
        <v>247</v>
      </c>
      <c r="D954" s="140" t="s">
        <v>248</v>
      </c>
      <c r="E954" s="140">
        <v>12</v>
      </c>
      <c r="F954" s="142">
        <v>46008.583333333328</v>
      </c>
      <c r="G954" s="140" t="s">
        <v>845</v>
      </c>
      <c r="H954" s="140" t="s">
        <v>853</v>
      </c>
    </row>
    <row r="955" spans="1:8" ht="15.75" customHeight="1">
      <c r="A955" s="140" t="s">
        <v>59</v>
      </c>
      <c r="B955" s="140" t="s">
        <v>22</v>
      </c>
      <c r="C955" s="141" t="s">
        <v>247</v>
      </c>
      <c r="D955" s="140" t="s">
        <v>248</v>
      </c>
      <c r="E955" s="140">
        <v>13</v>
      </c>
      <c r="F955" s="142">
        <v>46017.541666666672</v>
      </c>
      <c r="G955" s="140" t="s">
        <v>843</v>
      </c>
      <c r="H955" s="140" t="s">
        <v>853</v>
      </c>
    </row>
    <row r="956" spans="1:8" ht="15.75" customHeight="1">
      <c r="A956" s="140" t="s">
        <v>59</v>
      </c>
      <c r="B956" s="140" t="s">
        <v>22</v>
      </c>
      <c r="C956" s="141" t="s">
        <v>247</v>
      </c>
      <c r="D956" s="140" t="s">
        <v>248</v>
      </c>
      <c r="E956" s="140">
        <v>14</v>
      </c>
      <c r="F956" s="142">
        <v>46021.541666666672</v>
      </c>
      <c r="G956" s="140" t="s">
        <v>845</v>
      </c>
      <c r="H956" s="140" t="s">
        <v>853</v>
      </c>
    </row>
    <row r="957" spans="1:8" ht="15.75" customHeight="1">
      <c r="A957" s="140" t="s">
        <v>59</v>
      </c>
      <c r="B957" s="140" t="s">
        <v>22</v>
      </c>
      <c r="C957" s="141" t="s">
        <v>247</v>
      </c>
      <c r="D957" s="140" t="s">
        <v>248</v>
      </c>
      <c r="E957" s="140">
        <v>15</v>
      </c>
      <c r="F957" s="142">
        <v>46041.541666666672</v>
      </c>
      <c r="G957" s="140" t="s">
        <v>845</v>
      </c>
      <c r="H957" s="140" t="s">
        <v>853</v>
      </c>
    </row>
    <row r="958" spans="1:8" ht="15.75" customHeight="1">
      <c r="A958" s="140" t="s">
        <v>59</v>
      </c>
      <c r="B958" s="140" t="s">
        <v>22</v>
      </c>
      <c r="C958" s="141" t="s">
        <v>247</v>
      </c>
      <c r="D958" s="140" t="s">
        <v>248</v>
      </c>
      <c r="E958" s="140">
        <v>16</v>
      </c>
      <c r="F958" s="142">
        <v>46115.541666666672</v>
      </c>
      <c r="G958" s="140" t="s">
        <v>845</v>
      </c>
      <c r="H958" s="140" t="s">
        <v>853</v>
      </c>
    </row>
    <row r="959" spans="1:8" ht="15.75" customHeight="1">
      <c r="A959" s="140" t="s">
        <v>59</v>
      </c>
      <c r="B959" s="140" t="s">
        <v>22</v>
      </c>
      <c r="C959" s="141" t="s">
        <v>294</v>
      </c>
      <c r="D959" s="140" t="s">
        <v>295</v>
      </c>
      <c r="E959" s="140">
        <v>1</v>
      </c>
      <c r="F959" s="142">
        <v>45915.541666666672</v>
      </c>
      <c r="G959" s="140" t="s">
        <v>845</v>
      </c>
      <c r="H959" s="140" t="s">
        <v>853</v>
      </c>
    </row>
    <row r="960" spans="1:8" ht="15.75" customHeight="1">
      <c r="A960" s="140" t="s">
        <v>59</v>
      </c>
      <c r="B960" s="140" t="s">
        <v>22</v>
      </c>
      <c r="C960" s="141" t="s">
        <v>294</v>
      </c>
      <c r="D960" s="140" t="s">
        <v>295</v>
      </c>
      <c r="E960" s="140">
        <v>2</v>
      </c>
      <c r="F960" s="142">
        <v>45922.583333333328</v>
      </c>
      <c r="G960" s="140" t="s">
        <v>843</v>
      </c>
      <c r="H960" s="140" t="s">
        <v>853</v>
      </c>
    </row>
    <row r="961" spans="1:8" ht="15.75" customHeight="1">
      <c r="A961" s="140" t="s">
        <v>59</v>
      </c>
      <c r="B961" s="140" t="s">
        <v>22</v>
      </c>
      <c r="C961" s="141" t="s">
        <v>294</v>
      </c>
      <c r="D961" s="140" t="s">
        <v>295</v>
      </c>
      <c r="E961" s="140">
        <v>3</v>
      </c>
      <c r="F961" s="142">
        <v>45929.541666666672</v>
      </c>
      <c r="G961" s="140" t="s">
        <v>845</v>
      </c>
      <c r="H961" s="140" t="s">
        <v>853</v>
      </c>
    </row>
    <row r="962" spans="1:8" ht="15.75" customHeight="1">
      <c r="A962" s="140" t="s">
        <v>59</v>
      </c>
      <c r="B962" s="140" t="s">
        <v>22</v>
      </c>
      <c r="C962" s="141" t="s">
        <v>294</v>
      </c>
      <c r="D962" s="140" t="s">
        <v>295</v>
      </c>
      <c r="E962" s="140">
        <v>4</v>
      </c>
      <c r="F962" s="142">
        <v>45943.541666666672</v>
      </c>
      <c r="G962" s="140" t="s">
        <v>843</v>
      </c>
      <c r="H962" s="140" t="s">
        <v>853</v>
      </c>
    </row>
    <row r="963" spans="1:8" ht="15.75" customHeight="1">
      <c r="A963" s="140" t="s">
        <v>59</v>
      </c>
      <c r="B963" s="140" t="s">
        <v>22</v>
      </c>
      <c r="C963" s="141" t="s">
        <v>294</v>
      </c>
      <c r="D963" s="140" t="s">
        <v>295</v>
      </c>
      <c r="E963" s="140">
        <v>5</v>
      </c>
      <c r="F963" s="142">
        <v>45950.583333333328</v>
      </c>
      <c r="G963" s="140" t="s">
        <v>845</v>
      </c>
      <c r="H963" s="140" t="s">
        <v>853</v>
      </c>
    </row>
    <row r="964" spans="1:8" ht="15.75" customHeight="1">
      <c r="A964" s="140" t="s">
        <v>59</v>
      </c>
      <c r="B964" s="140" t="s">
        <v>22</v>
      </c>
      <c r="C964" s="141" t="s">
        <v>294</v>
      </c>
      <c r="D964" s="140" t="s">
        <v>295</v>
      </c>
      <c r="E964" s="140">
        <v>6</v>
      </c>
      <c r="F964" s="142">
        <v>45957.541666666672</v>
      </c>
      <c r="G964" s="140" t="s">
        <v>845</v>
      </c>
      <c r="H964" s="140" t="s">
        <v>853</v>
      </c>
    </row>
    <row r="965" spans="1:8" ht="15.75" customHeight="1">
      <c r="A965" s="140" t="s">
        <v>59</v>
      </c>
      <c r="B965" s="140" t="s">
        <v>22</v>
      </c>
      <c r="C965" s="141" t="s">
        <v>294</v>
      </c>
      <c r="D965" s="140" t="s">
        <v>295</v>
      </c>
      <c r="E965" s="140">
        <v>7</v>
      </c>
      <c r="F965" s="142">
        <v>45972.583333333328</v>
      </c>
      <c r="G965" s="140" t="s">
        <v>845</v>
      </c>
      <c r="H965" s="140" t="s">
        <v>853</v>
      </c>
    </row>
    <row r="966" spans="1:8" ht="15.75" customHeight="1">
      <c r="A966" s="140" t="s">
        <v>59</v>
      </c>
      <c r="B966" s="140" t="s">
        <v>22</v>
      </c>
      <c r="C966" s="141" t="s">
        <v>294</v>
      </c>
      <c r="D966" s="140" t="s">
        <v>295</v>
      </c>
      <c r="E966" s="140">
        <v>8</v>
      </c>
      <c r="F966" s="142">
        <v>45980.583333333328</v>
      </c>
      <c r="G966" s="140" t="s">
        <v>845</v>
      </c>
      <c r="H966" s="140" t="s">
        <v>853</v>
      </c>
    </row>
    <row r="967" spans="1:8" ht="15.75" customHeight="1">
      <c r="A967" s="140" t="s">
        <v>59</v>
      </c>
      <c r="B967" s="140" t="s">
        <v>22</v>
      </c>
      <c r="C967" s="141" t="s">
        <v>294</v>
      </c>
      <c r="D967" s="140" t="s">
        <v>295</v>
      </c>
      <c r="E967" s="140">
        <v>9</v>
      </c>
      <c r="F967" s="142">
        <v>45981.583333333328</v>
      </c>
      <c r="G967" s="140" t="s">
        <v>845</v>
      </c>
      <c r="H967" s="140" t="s">
        <v>853</v>
      </c>
    </row>
    <row r="968" spans="1:8" ht="15.75" customHeight="1">
      <c r="A968" s="140" t="s">
        <v>59</v>
      </c>
      <c r="B968" s="140" t="s">
        <v>22</v>
      </c>
      <c r="C968" s="141" t="s">
        <v>294</v>
      </c>
      <c r="D968" s="140" t="s">
        <v>295</v>
      </c>
      <c r="E968" s="140">
        <v>10</v>
      </c>
      <c r="F968" s="142">
        <v>45996.583333333328</v>
      </c>
      <c r="G968" s="140" t="s">
        <v>845</v>
      </c>
      <c r="H968" s="140" t="s">
        <v>853</v>
      </c>
    </row>
    <row r="969" spans="1:8" ht="15.75" customHeight="1">
      <c r="A969" s="140" t="s">
        <v>59</v>
      </c>
      <c r="B969" s="140" t="s">
        <v>22</v>
      </c>
      <c r="C969" s="141" t="s">
        <v>294</v>
      </c>
      <c r="D969" s="140" t="s">
        <v>295</v>
      </c>
      <c r="E969" s="140">
        <v>11</v>
      </c>
      <c r="F969" s="142">
        <v>46006.583333333328</v>
      </c>
      <c r="G969" s="140" t="s">
        <v>845</v>
      </c>
      <c r="H969" s="140" t="s">
        <v>853</v>
      </c>
    </row>
    <row r="970" spans="1:8" ht="15.75" customHeight="1">
      <c r="A970" s="140" t="s">
        <v>59</v>
      </c>
      <c r="B970" s="140" t="s">
        <v>22</v>
      </c>
      <c r="C970" s="141" t="s">
        <v>294</v>
      </c>
      <c r="D970" s="140" t="s">
        <v>295</v>
      </c>
      <c r="E970" s="140">
        <v>12</v>
      </c>
      <c r="F970" s="142">
        <v>46008.583333333328</v>
      </c>
      <c r="G970" s="140" t="s">
        <v>845</v>
      </c>
      <c r="H970" s="140" t="s">
        <v>853</v>
      </c>
    </row>
    <row r="971" spans="1:8" ht="15.75" customHeight="1">
      <c r="A971" s="140" t="s">
        <v>59</v>
      </c>
      <c r="B971" s="140" t="s">
        <v>22</v>
      </c>
      <c r="C971" s="141" t="s">
        <v>294</v>
      </c>
      <c r="D971" s="140" t="s">
        <v>295</v>
      </c>
      <c r="E971" s="140">
        <v>13</v>
      </c>
      <c r="F971" s="142">
        <v>46017.541666666672</v>
      </c>
      <c r="G971" s="140" t="s">
        <v>845</v>
      </c>
      <c r="H971" s="140" t="s">
        <v>853</v>
      </c>
    </row>
    <row r="972" spans="1:8" ht="15.75" customHeight="1">
      <c r="A972" s="140" t="s">
        <v>59</v>
      </c>
      <c r="B972" s="140" t="s">
        <v>22</v>
      </c>
      <c r="C972" s="141" t="s">
        <v>294</v>
      </c>
      <c r="D972" s="140" t="s">
        <v>295</v>
      </c>
      <c r="E972" s="140">
        <v>14</v>
      </c>
      <c r="F972" s="142">
        <v>46021.541666666672</v>
      </c>
      <c r="G972" s="140" t="s">
        <v>845</v>
      </c>
      <c r="H972" s="140" t="s">
        <v>853</v>
      </c>
    </row>
    <row r="973" spans="1:8" ht="15.75" customHeight="1">
      <c r="A973" s="140" t="s">
        <v>59</v>
      </c>
      <c r="B973" s="140" t="s">
        <v>22</v>
      </c>
      <c r="C973" s="141" t="s">
        <v>294</v>
      </c>
      <c r="D973" s="140" t="s">
        <v>295</v>
      </c>
      <c r="E973" s="140">
        <v>15</v>
      </c>
      <c r="F973" s="142">
        <v>46041.541666666672</v>
      </c>
      <c r="G973" s="140" t="s">
        <v>845</v>
      </c>
      <c r="H973" s="140" t="s">
        <v>853</v>
      </c>
    </row>
    <row r="974" spans="1:8" ht="15.75" customHeight="1">
      <c r="A974" s="140" t="s">
        <v>59</v>
      </c>
      <c r="B974" s="140" t="s">
        <v>22</v>
      </c>
      <c r="C974" s="141" t="s">
        <v>294</v>
      </c>
      <c r="D974" s="140" t="s">
        <v>295</v>
      </c>
      <c r="E974" s="140">
        <v>16</v>
      </c>
      <c r="F974" s="142">
        <v>46115.541666666672</v>
      </c>
      <c r="G974" s="140" t="s">
        <v>845</v>
      </c>
      <c r="H974" s="140" t="s">
        <v>853</v>
      </c>
    </row>
    <row r="975" spans="1:8" ht="15.75" customHeight="1">
      <c r="A975" s="140" t="s">
        <v>59</v>
      </c>
      <c r="B975" s="140" t="s">
        <v>21</v>
      </c>
      <c r="C975" s="141" t="s">
        <v>313</v>
      </c>
      <c r="D975" s="140" t="s">
        <v>314</v>
      </c>
      <c r="E975" s="140">
        <v>1</v>
      </c>
      <c r="F975" s="142">
        <v>45663.583333333328</v>
      </c>
      <c r="G975" s="140" t="s">
        <v>845</v>
      </c>
      <c r="H975" s="140" t="s">
        <v>853</v>
      </c>
    </row>
    <row r="976" spans="1:8" ht="15.75" customHeight="1">
      <c r="A976" s="140" t="s">
        <v>59</v>
      </c>
      <c r="B976" s="140" t="s">
        <v>21</v>
      </c>
      <c r="C976" s="141" t="s">
        <v>313</v>
      </c>
      <c r="D976" s="140" t="s">
        <v>314</v>
      </c>
      <c r="E976" s="140">
        <v>2</v>
      </c>
      <c r="F976" s="142">
        <v>45698.583333333328</v>
      </c>
      <c r="G976" s="140" t="s">
        <v>845</v>
      </c>
      <c r="H976" s="140" t="s">
        <v>853</v>
      </c>
    </row>
    <row r="977" spans="1:8" ht="15.75" customHeight="1">
      <c r="A977" s="140" t="s">
        <v>59</v>
      </c>
      <c r="B977" s="140" t="s">
        <v>21</v>
      </c>
      <c r="C977" s="141" t="s">
        <v>313</v>
      </c>
      <c r="D977" s="140" t="s">
        <v>314</v>
      </c>
      <c r="E977" s="140">
        <v>3</v>
      </c>
      <c r="F977" s="142">
        <v>45716.583333333328</v>
      </c>
      <c r="G977" s="140" t="s">
        <v>845</v>
      </c>
      <c r="H977" s="140" t="s">
        <v>853</v>
      </c>
    </row>
    <row r="978" spans="1:8" ht="15.75" customHeight="1">
      <c r="A978" s="140" t="s">
        <v>59</v>
      </c>
      <c r="B978" s="140" t="s">
        <v>21</v>
      </c>
      <c r="C978" s="141" t="s">
        <v>313</v>
      </c>
      <c r="D978" s="140" t="s">
        <v>314</v>
      </c>
      <c r="E978" s="140">
        <v>4</v>
      </c>
      <c r="F978" s="142">
        <v>45762.583333333328</v>
      </c>
      <c r="G978" s="140" t="s">
        <v>845</v>
      </c>
      <c r="H978" s="140" t="s">
        <v>853</v>
      </c>
    </row>
    <row r="979" spans="1:8" ht="15.75" customHeight="1">
      <c r="A979" s="140" t="s">
        <v>59</v>
      </c>
      <c r="B979" s="140" t="s">
        <v>21</v>
      </c>
      <c r="C979" s="141" t="s">
        <v>313</v>
      </c>
      <c r="D979" s="140" t="s">
        <v>314</v>
      </c>
      <c r="E979" s="140">
        <v>5</v>
      </c>
      <c r="F979" s="142">
        <v>45768.583333333328</v>
      </c>
      <c r="G979" s="140" t="s">
        <v>845</v>
      </c>
      <c r="H979" s="140" t="s">
        <v>853</v>
      </c>
    </row>
    <row r="980" spans="1:8" ht="15.75" customHeight="1">
      <c r="A980" s="140" t="s">
        <v>59</v>
      </c>
      <c r="B980" s="140" t="s">
        <v>21</v>
      </c>
      <c r="C980" s="141" t="s">
        <v>313</v>
      </c>
      <c r="D980" s="140" t="s">
        <v>314</v>
      </c>
      <c r="E980" s="140">
        <v>6</v>
      </c>
      <c r="F980" s="142">
        <v>45782.541666666672</v>
      </c>
      <c r="G980" s="140" t="s">
        <v>843</v>
      </c>
      <c r="H980" s="140" t="s">
        <v>853</v>
      </c>
    </row>
    <row r="981" spans="1:8" ht="15.75" customHeight="1">
      <c r="A981" s="140" t="s">
        <v>59</v>
      </c>
      <c r="B981" s="140" t="s">
        <v>21</v>
      </c>
      <c r="C981" s="141" t="s">
        <v>313</v>
      </c>
      <c r="D981" s="140" t="s">
        <v>314</v>
      </c>
      <c r="E981" s="140">
        <v>7</v>
      </c>
      <c r="F981" s="142">
        <v>45806.583333333328</v>
      </c>
      <c r="G981" s="140" t="s">
        <v>845</v>
      </c>
      <c r="H981" s="140" t="s">
        <v>853</v>
      </c>
    </row>
    <row r="982" spans="1:8" ht="15.75" customHeight="1">
      <c r="A982" s="140" t="s">
        <v>59</v>
      </c>
      <c r="B982" s="140" t="s">
        <v>21</v>
      </c>
      <c r="C982" s="141" t="s">
        <v>313</v>
      </c>
      <c r="D982" s="140" t="s">
        <v>314</v>
      </c>
      <c r="E982" s="140">
        <v>8</v>
      </c>
      <c r="F982" s="142">
        <v>45810.541666666672</v>
      </c>
      <c r="G982" s="140" t="s">
        <v>845</v>
      </c>
      <c r="H982" s="140" t="s">
        <v>853</v>
      </c>
    </row>
    <row r="983" spans="1:8" ht="15.75" customHeight="1">
      <c r="A983" s="140" t="s">
        <v>59</v>
      </c>
      <c r="B983" s="140" t="s">
        <v>21</v>
      </c>
      <c r="C983" s="141" t="s">
        <v>313</v>
      </c>
      <c r="D983" s="140" t="s">
        <v>314</v>
      </c>
      <c r="E983" s="140">
        <v>9</v>
      </c>
      <c r="F983" s="142">
        <v>45824.583333333328</v>
      </c>
      <c r="G983" s="140" t="s">
        <v>845</v>
      </c>
      <c r="H983" s="140" t="s">
        <v>853</v>
      </c>
    </row>
    <row r="984" spans="1:8" ht="15.75" customHeight="1">
      <c r="A984" s="140" t="s">
        <v>59</v>
      </c>
      <c r="B984" s="140" t="s">
        <v>21</v>
      </c>
      <c r="C984" s="141" t="s">
        <v>313</v>
      </c>
      <c r="D984" s="140" t="s">
        <v>314</v>
      </c>
      <c r="E984" s="140">
        <v>10</v>
      </c>
      <c r="F984" s="142">
        <v>45852.541666666672</v>
      </c>
      <c r="G984" s="140" t="s">
        <v>845</v>
      </c>
      <c r="H984" s="140" t="s">
        <v>853</v>
      </c>
    </row>
    <row r="985" spans="1:8" ht="15.75" customHeight="1">
      <c r="A985" s="140" t="s">
        <v>59</v>
      </c>
      <c r="B985" s="140" t="s">
        <v>22</v>
      </c>
      <c r="C985" s="141" t="s">
        <v>313</v>
      </c>
      <c r="D985" s="140" t="s">
        <v>314</v>
      </c>
      <c r="E985" s="140">
        <v>1</v>
      </c>
      <c r="F985" s="142">
        <v>45915.541666666672</v>
      </c>
      <c r="G985" s="140" t="s">
        <v>845</v>
      </c>
      <c r="H985" s="140" t="s">
        <v>853</v>
      </c>
    </row>
    <row r="986" spans="1:8" ht="15.75" customHeight="1">
      <c r="A986" s="140" t="s">
        <v>59</v>
      </c>
      <c r="B986" s="140" t="s">
        <v>22</v>
      </c>
      <c r="C986" s="141" t="s">
        <v>313</v>
      </c>
      <c r="D986" s="140" t="s">
        <v>314</v>
      </c>
      <c r="E986" s="140">
        <v>2</v>
      </c>
      <c r="F986" s="142">
        <v>45922.583333333328</v>
      </c>
      <c r="G986" s="140" t="s">
        <v>845</v>
      </c>
      <c r="H986" s="140" t="s">
        <v>853</v>
      </c>
    </row>
    <row r="987" spans="1:8" ht="15.75" customHeight="1">
      <c r="A987" s="140" t="s">
        <v>59</v>
      </c>
      <c r="B987" s="140" t="s">
        <v>22</v>
      </c>
      <c r="C987" s="141" t="s">
        <v>313</v>
      </c>
      <c r="D987" s="140" t="s">
        <v>314</v>
      </c>
      <c r="E987" s="140">
        <v>3</v>
      </c>
      <c r="F987" s="142">
        <v>45929.541666666672</v>
      </c>
      <c r="G987" s="140" t="s">
        <v>845</v>
      </c>
      <c r="H987" s="140" t="s">
        <v>853</v>
      </c>
    </row>
    <row r="988" spans="1:8" ht="15.75" customHeight="1">
      <c r="A988" s="140" t="s">
        <v>59</v>
      </c>
      <c r="B988" s="140" t="s">
        <v>22</v>
      </c>
      <c r="C988" s="141" t="s">
        <v>313</v>
      </c>
      <c r="D988" s="140" t="s">
        <v>314</v>
      </c>
      <c r="E988" s="140">
        <v>4</v>
      </c>
      <c r="F988" s="142">
        <v>45943.541666666672</v>
      </c>
      <c r="G988" s="140" t="s">
        <v>845</v>
      </c>
      <c r="H988" s="140" t="s">
        <v>853</v>
      </c>
    </row>
    <row r="989" spans="1:8" ht="15.75" customHeight="1">
      <c r="A989" s="140" t="s">
        <v>59</v>
      </c>
      <c r="B989" s="140" t="s">
        <v>22</v>
      </c>
      <c r="C989" s="141" t="s">
        <v>313</v>
      </c>
      <c r="D989" s="140" t="s">
        <v>314</v>
      </c>
      <c r="E989" s="140">
        <v>5</v>
      </c>
      <c r="F989" s="142">
        <v>45950.583333333328</v>
      </c>
      <c r="G989" s="140" t="s">
        <v>845</v>
      </c>
      <c r="H989" s="140" t="s">
        <v>853</v>
      </c>
    </row>
    <row r="990" spans="1:8" ht="15.75" customHeight="1">
      <c r="A990" s="140" t="s">
        <v>59</v>
      </c>
      <c r="B990" s="140" t="s">
        <v>22</v>
      </c>
      <c r="C990" s="141" t="s">
        <v>313</v>
      </c>
      <c r="D990" s="140" t="s">
        <v>314</v>
      </c>
      <c r="E990" s="140">
        <v>6</v>
      </c>
      <c r="F990" s="142">
        <v>45957.541666666672</v>
      </c>
      <c r="G990" s="140" t="s">
        <v>843</v>
      </c>
      <c r="H990" s="140" t="s">
        <v>853</v>
      </c>
    </row>
    <row r="991" spans="1:8" ht="15.75" customHeight="1">
      <c r="A991" s="140" t="s">
        <v>59</v>
      </c>
      <c r="B991" s="140" t="s">
        <v>22</v>
      </c>
      <c r="C991" s="141" t="s">
        <v>313</v>
      </c>
      <c r="D991" s="140" t="s">
        <v>314</v>
      </c>
      <c r="E991" s="140">
        <v>7</v>
      </c>
      <c r="F991" s="142">
        <v>45972.583333333328</v>
      </c>
      <c r="G991" s="140" t="s">
        <v>843</v>
      </c>
      <c r="H991" s="140" t="s">
        <v>853</v>
      </c>
    </row>
    <row r="992" spans="1:8" ht="15.75" customHeight="1">
      <c r="A992" s="140" t="s">
        <v>59</v>
      </c>
      <c r="B992" s="140" t="s">
        <v>22</v>
      </c>
      <c r="C992" s="141" t="s">
        <v>313</v>
      </c>
      <c r="D992" s="140" t="s">
        <v>314</v>
      </c>
      <c r="E992" s="140">
        <v>8</v>
      </c>
      <c r="F992" s="142">
        <v>45980.583333333328</v>
      </c>
      <c r="G992" s="140" t="s">
        <v>845</v>
      </c>
      <c r="H992" s="140" t="s">
        <v>853</v>
      </c>
    </row>
    <row r="993" spans="1:8" ht="15.75" customHeight="1">
      <c r="A993" s="140" t="s">
        <v>59</v>
      </c>
      <c r="B993" s="140" t="s">
        <v>22</v>
      </c>
      <c r="C993" s="141" t="s">
        <v>313</v>
      </c>
      <c r="D993" s="140" t="s">
        <v>314</v>
      </c>
      <c r="E993" s="140">
        <v>9</v>
      </c>
      <c r="F993" s="142">
        <v>45981.583333333328</v>
      </c>
      <c r="G993" s="140" t="s">
        <v>845</v>
      </c>
      <c r="H993" s="140" t="s">
        <v>853</v>
      </c>
    </row>
    <row r="994" spans="1:8" ht="15.75" customHeight="1">
      <c r="A994" s="140" t="s">
        <v>59</v>
      </c>
      <c r="B994" s="140" t="s">
        <v>22</v>
      </c>
      <c r="C994" s="141" t="s">
        <v>313</v>
      </c>
      <c r="D994" s="140" t="s">
        <v>314</v>
      </c>
      <c r="E994" s="140">
        <v>10</v>
      </c>
      <c r="F994" s="142">
        <v>45996.583333333328</v>
      </c>
      <c r="G994" s="140" t="s">
        <v>845</v>
      </c>
      <c r="H994" s="140" t="s">
        <v>853</v>
      </c>
    </row>
    <row r="995" spans="1:8" ht="15.75" customHeight="1">
      <c r="A995" s="140" t="s">
        <v>59</v>
      </c>
      <c r="B995" s="140" t="s">
        <v>22</v>
      </c>
      <c r="C995" s="141" t="s">
        <v>313</v>
      </c>
      <c r="D995" s="140" t="s">
        <v>314</v>
      </c>
      <c r="E995" s="140">
        <v>11</v>
      </c>
      <c r="F995" s="142">
        <v>46006.583333333328</v>
      </c>
      <c r="G995" s="140" t="s">
        <v>845</v>
      </c>
      <c r="H995" s="140" t="s">
        <v>853</v>
      </c>
    </row>
    <row r="996" spans="1:8" ht="15.75" customHeight="1">
      <c r="A996" s="140" t="s">
        <v>59</v>
      </c>
      <c r="B996" s="140" t="s">
        <v>22</v>
      </c>
      <c r="C996" s="141" t="s">
        <v>313</v>
      </c>
      <c r="D996" s="140" t="s">
        <v>314</v>
      </c>
      <c r="E996" s="140">
        <v>12</v>
      </c>
      <c r="F996" s="142">
        <v>46008.583333333328</v>
      </c>
      <c r="G996" s="140" t="s">
        <v>845</v>
      </c>
      <c r="H996" s="140" t="s">
        <v>853</v>
      </c>
    </row>
    <row r="997" spans="1:8" ht="15.75" customHeight="1">
      <c r="A997" s="140" t="s">
        <v>59</v>
      </c>
      <c r="B997" s="140" t="s">
        <v>22</v>
      </c>
      <c r="C997" s="141" t="s">
        <v>313</v>
      </c>
      <c r="D997" s="140" t="s">
        <v>314</v>
      </c>
      <c r="E997" s="140">
        <v>13</v>
      </c>
      <c r="F997" s="142">
        <v>46017.541666666672</v>
      </c>
      <c r="G997" s="140" t="s">
        <v>845</v>
      </c>
      <c r="H997" s="140" t="s">
        <v>853</v>
      </c>
    </row>
    <row r="998" spans="1:8" ht="15.75" customHeight="1">
      <c r="A998" s="140" t="s">
        <v>59</v>
      </c>
      <c r="B998" s="140" t="s">
        <v>22</v>
      </c>
      <c r="C998" s="141" t="s">
        <v>313</v>
      </c>
      <c r="D998" s="140" t="s">
        <v>314</v>
      </c>
      <c r="E998" s="140">
        <v>14</v>
      </c>
      <c r="F998" s="142">
        <v>46021.541666666672</v>
      </c>
      <c r="G998" s="140" t="s">
        <v>845</v>
      </c>
      <c r="H998" s="140" t="s">
        <v>853</v>
      </c>
    </row>
    <row r="999" spans="1:8" ht="15.75" customHeight="1">
      <c r="A999" s="140" t="s">
        <v>59</v>
      </c>
      <c r="B999" s="140" t="s">
        <v>22</v>
      </c>
      <c r="C999" s="141" t="s">
        <v>313</v>
      </c>
      <c r="D999" s="140" t="s">
        <v>314</v>
      </c>
      <c r="E999" s="140">
        <v>15</v>
      </c>
      <c r="F999" s="142">
        <v>46041.541666666672</v>
      </c>
      <c r="G999" s="140" t="s">
        <v>845</v>
      </c>
      <c r="H999" s="140" t="s">
        <v>853</v>
      </c>
    </row>
    <row r="1000" spans="1:8" ht="15.75" customHeight="1">
      <c r="A1000" s="140" t="s">
        <v>59</v>
      </c>
      <c r="B1000" s="140" t="s">
        <v>22</v>
      </c>
      <c r="C1000" s="141" t="s">
        <v>313</v>
      </c>
      <c r="D1000" s="140" t="s">
        <v>314</v>
      </c>
      <c r="E1000" s="140">
        <v>16</v>
      </c>
      <c r="F1000" s="142">
        <v>46115.541666666672</v>
      </c>
      <c r="G1000" s="140" t="s">
        <v>845</v>
      </c>
      <c r="H1000" s="140" t="s">
        <v>853</v>
      </c>
    </row>
    <row r="1001" spans="1:8" ht="15.75" customHeight="1">
      <c r="A1001" s="140" t="s">
        <v>59</v>
      </c>
      <c r="B1001" s="140" t="s">
        <v>22</v>
      </c>
      <c r="C1001" s="141" t="s">
        <v>330</v>
      </c>
      <c r="D1001" s="140" t="s">
        <v>331</v>
      </c>
      <c r="E1001" s="140">
        <v>1</v>
      </c>
      <c r="F1001" s="142">
        <v>45915.541666666672</v>
      </c>
      <c r="G1001" s="140" t="s">
        <v>845</v>
      </c>
      <c r="H1001" s="140" t="s">
        <v>853</v>
      </c>
    </row>
    <row r="1002" spans="1:8" ht="15.75" customHeight="1">
      <c r="A1002" s="140" t="s">
        <v>59</v>
      </c>
      <c r="B1002" s="140" t="s">
        <v>22</v>
      </c>
      <c r="C1002" s="141" t="s">
        <v>330</v>
      </c>
      <c r="D1002" s="140" t="s">
        <v>331</v>
      </c>
      <c r="E1002" s="140">
        <v>2</v>
      </c>
      <c r="F1002" s="142">
        <v>45922.583333333328</v>
      </c>
      <c r="G1002" s="140" t="s">
        <v>845</v>
      </c>
      <c r="H1002" s="140" t="s">
        <v>853</v>
      </c>
    </row>
    <row r="1003" spans="1:8" ht="15.75" customHeight="1">
      <c r="A1003" s="140" t="s">
        <v>59</v>
      </c>
      <c r="B1003" s="140" t="s">
        <v>22</v>
      </c>
      <c r="C1003" s="141" t="s">
        <v>330</v>
      </c>
      <c r="D1003" s="140" t="s">
        <v>331</v>
      </c>
      <c r="E1003" s="140">
        <v>3</v>
      </c>
      <c r="F1003" s="142">
        <v>45929.541666666672</v>
      </c>
      <c r="G1003" s="140" t="s">
        <v>845</v>
      </c>
      <c r="H1003" s="140" t="s">
        <v>853</v>
      </c>
    </row>
    <row r="1004" spans="1:8" ht="15.75" customHeight="1">
      <c r="A1004" s="140" t="s">
        <v>59</v>
      </c>
      <c r="B1004" s="140" t="s">
        <v>22</v>
      </c>
      <c r="C1004" s="141" t="s">
        <v>330</v>
      </c>
      <c r="D1004" s="140" t="s">
        <v>331</v>
      </c>
      <c r="E1004" s="140">
        <v>4</v>
      </c>
      <c r="F1004" s="142">
        <v>45943.541666666672</v>
      </c>
      <c r="G1004" s="140" t="s">
        <v>845</v>
      </c>
      <c r="H1004" s="140" t="s">
        <v>853</v>
      </c>
    </row>
    <row r="1005" spans="1:8" ht="15.75" customHeight="1">
      <c r="A1005" s="140" t="s">
        <v>59</v>
      </c>
      <c r="B1005" s="140" t="s">
        <v>22</v>
      </c>
      <c r="C1005" s="141" t="s">
        <v>330</v>
      </c>
      <c r="D1005" s="140" t="s">
        <v>331</v>
      </c>
      <c r="E1005" s="140">
        <v>5</v>
      </c>
      <c r="F1005" s="142">
        <v>45950.583333333328</v>
      </c>
      <c r="G1005" s="140" t="s">
        <v>845</v>
      </c>
      <c r="H1005" s="140" t="s">
        <v>853</v>
      </c>
    </row>
    <row r="1006" spans="1:8" ht="15.75" customHeight="1">
      <c r="A1006" s="140" t="s">
        <v>59</v>
      </c>
      <c r="B1006" s="140" t="s">
        <v>22</v>
      </c>
      <c r="C1006" s="141" t="s">
        <v>330</v>
      </c>
      <c r="D1006" s="140" t="s">
        <v>331</v>
      </c>
      <c r="E1006" s="140">
        <v>6</v>
      </c>
      <c r="F1006" s="142">
        <v>45957.541666666672</v>
      </c>
      <c r="G1006" s="140" t="s">
        <v>845</v>
      </c>
      <c r="H1006" s="140" t="s">
        <v>853</v>
      </c>
    </row>
    <row r="1007" spans="1:8" ht="15.75" customHeight="1">
      <c r="A1007" s="140" t="s">
        <v>59</v>
      </c>
      <c r="B1007" s="140" t="s">
        <v>22</v>
      </c>
      <c r="C1007" s="141" t="s">
        <v>330</v>
      </c>
      <c r="D1007" s="140" t="s">
        <v>331</v>
      </c>
      <c r="E1007" s="140">
        <v>7</v>
      </c>
      <c r="F1007" s="142">
        <v>45972.583333333328</v>
      </c>
      <c r="G1007" s="140" t="s">
        <v>843</v>
      </c>
      <c r="H1007" s="140" t="s">
        <v>853</v>
      </c>
    </row>
    <row r="1008" spans="1:8" ht="15.75" customHeight="1">
      <c r="A1008" s="140" t="s">
        <v>59</v>
      </c>
      <c r="B1008" s="140" t="s">
        <v>22</v>
      </c>
      <c r="C1008" s="141" t="s">
        <v>330</v>
      </c>
      <c r="D1008" s="140" t="s">
        <v>331</v>
      </c>
      <c r="E1008" s="140">
        <v>8</v>
      </c>
      <c r="F1008" s="142">
        <v>45980.583333333328</v>
      </c>
      <c r="G1008" s="140" t="s">
        <v>845</v>
      </c>
      <c r="H1008" s="140" t="s">
        <v>853</v>
      </c>
    </row>
    <row r="1009" spans="1:8" ht="15.75" customHeight="1">
      <c r="A1009" s="140" t="s">
        <v>59</v>
      </c>
      <c r="B1009" s="140" t="s">
        <v>22</v>
      </c>
      <c r="C1009" s="141" t="s">
        <v>330</v>
      </c>
      <c r="D1009" s="140" t="s">
        <v>331</v>
      </c>
      <c r="E1009" s="140">
        <v>9</v>
      </c>
      <c r="F1009" s="142">
        <v>45981.583333333328</v>
      </c>
      <c r="G1009" s="140" t="s">
        <v>845</v>
      </c>
      <c r="H1009" s="140" t="s">
        <v>853</v>
      </c>
    </row>
    <row r="1010" spans="1:8" ht="15.75" customHeight="1">
      <c r="A1010" s="140" t="s">
        <v>59</v>
      </c>
      <c r="B1010" s="140" t="s">
        <v>22</v>
      </c>
      <c r="C1010" s="141" t="s">
        <v>330</v>
      </c>
      <c r="D1010" s="140" t="s">
        <v>331</v>
      </c>
      <c r="E1010" s="140">
        <v>10</v>
      </c>
      <c r="F1010" s="142">
        <v>45996.583333333328</v>
      </c>
      <c r="G1010" s="140" t="s">
        <v>845</v>
      </c>
      <c r="H1010" s="140" t="s">
        <v>853</v>
      </c>
    </row>
    <row r="1011" spans="1:8" ht="15.75" customHeight="1">
      <c r="A1011" s="140" t="s">
        <v>59</v>
      </c>
      <c r="B1011" s="140" t="s">
        <v>22</v>
      </c>
      <c r="C1011" s="141" t="s">
        <v>330</v>
      </c>
      <c r="D1011" s="140" t="s">
        <v>331</v>
      </c>
      <c r="E1011" s="140">
        <v>11</v>
      </c>
      <c r="F1011" s="142">
        <v>46006.583333333328</v>
      </c>
      <c r="G1011" s="140" t="s">
        <v>845</v>
      </c>
      <c r="H1011" s="140" t="s">
        <v>853</v>
      </c>
    </row>
    <row r="1012" spans="1:8" ht="15.75" customHeight="1">
      <c r="A1012" s="140" t="s">
        <v>59</v>
      </c>
      <c r="B1012" s="140" t="s">
        <v>22</v>
      </c>
      <c r="C1012" s="141" t="s">
        <v>330</v>
      </c>
      <c r="D1012" s="140" t="s">
        <v>331</v>
      </c>
      <c r="E1012" s="140">
        <v>12</v>
      </c>
      <c r="F1012" s="142">
        <v>46008.583333333328</v>
      </c>
      <c r="G1012" s="140" t="s">
        <v>845</v>
      </c>
      <c r="H1012" s="140" t="s">
        <v>853</v>
      </c>
    </row>
    <row r="1013" spans="1:8" ht="15.75" customHeight="1">
      <c r="A1013" s="140" t="s">
        <v>59</v>
      </c>
      <c r="B1013" s="140" t="s">
        <v>22</v>
      </c>
      <c r="C1013" s="141" t="s">
        <v>330</v>
      </c>
      <c r="D1013" s="140" t="s">
        <v>331</v>
      </c>
      <c r="E1013" s="140">
        <v>13</v>
      </c>
      <c r="F1013" s="142">
        <v>46017.541666666672</v>
      </c>
      <c r="G1013" s="140" t="s">
        <v>845</v>
      </c>
      <c r="H1013" s="140" t="s">
        <v>853</v>
      </c>
    </row>
    <row r="1014" spans="1:8" ht="15.75" customHeight="1">
      <c r="A1014" s="140" t="s">
        <v>59</v>
      </c>
      <c r="B1014" s="140" t="s">
        <v>22</v>
      </c>
      <c r="C1014" s="141" t="s">
        <v>330</v>
      </c>
      <c r="D1014" s="140" t="s">
        <v>331</v>
      </c>
      <c r="E1014" s="140">
        <v>14</v>
      </c>
      <c r="F1014" s="142">
        <v>46021.541666666672</v>
      </c>
      <c r="G1014" s="140" t="s">
        <v>845</v>
      </c>
      <c r="H1014" s="140" t="s">
        <v>853</v>
      </c>
    </row>
    <row r="1015" spans="1:8" ht="15.75" customHeight="1">
      <c r="A1015" s="140" t="s">
        <v>59</v>
      </c>
      <c r="B1015" s="140" t="s">
        <v>22</v>
      </c>
      <c r="C1015" s="141" t="s">
        <v>330</v>
      </c>
      <c r="D1015" s="140" t="s">
        <v>331</v>
      </c>
      <c r="E1015" s="140">
        <v>15</v>
      </c>
      <c r="F1015" s="142">
        <v>46041.541666666672</v>
      </c>
      <c r="G1015" s="140" t="s">
        <v>845</v>
      </c>
      <c r="H1015" s="140" t="s">
        <v>853</v>
      </c>
    </row>
    <row r="1016" spans="1:8" ht="15.75" customHeight="1">
      <c r="A1016" s="140" t="s">
        <v>59</v>
      </c>
      <c r="B1016" s="140" t="s">
        <v>22</v>
      </c>
      <c r="C1016" s="141" t="s">
        <v>330</v>
      </c>
      <c r="D1016" s="140" t="s">
        <v>331</v>
      </c>
      <c r="E1016" s="140">
        <v>16</v>
      </c>
      <c r="F1016" s="142">
        <v>46115.541666666672</v>
      </c>
      <c r="G1016" s="140" t="s">
        <v>845</v>
      </c>
      <c r="H1016" s="140" t="s">
        <v>853</v>
      </c>
    </row>
    <row r="1017" spans="1:8" ht="15.75" customHeight="1">
      <c r="A1017" s="140" t="s">
        <v>59</v>
      </c>
      <c r="B1017" s="140" t="s">
        <v>22</v>
      </c>
      <c r="C1017" s="141" t="s">
        <v>411</v>
      </c>
      <c r="D1017" s="140" t="s">
        <v>412</v>
      </c>
      <c r="E1017" s="140">
        <v>1</v>
      </c>
      <c r="F1017" s="142">
        <v>45915.541666666672</v>
      </c>
      <c r="G1017" s="140" t="s">
        <v>845</v>
      </c>
      <c r="H1017" s="140" t="s">
        <v>853</v>
      </c>
    </row>
    <row r="1018" spans="1:8" ht="15.75" customHeight="1">
      <c r="A1018" s="140" t="s">
        <v>59</v>
      </c>
      <c r="B1018" s="140" t="s">
        <v>22</v>
      </c>
      <c r="C1018" s="141" t="s">
        <v>411</v>
      </c>
      <c r="D1018" s="140" t="s">
        <v>412</v>
      </c>
      <c r="E1018" s="140">
        <v>2</v>
      </c>
      <c r="F1018" s="142">
        <v>45922.583333333328</v>
      </c>
      <c r="G1018" s="140" t="s">
        <v>843</v>
      </c>
      <c r="H1018" s="140" t="s">
        <v>853</v>
      </c>
    </row>
    <row r="1019" spans="1:8" ht="15.75" customHeight="1">
      <c r="A1019" s="140" t="s">
        <v>59</v>
      </c>
      <c r="B1019" s="140" t="s">
        <v>22</v>
      </c>
      <c r="C1019" s="141" t="s">
        <v>411</v>
      </c>
      <c r="D1019" s="140" t="s">
        <v>412</v>
      </c>
      <c r="E1019" s="140">
        <v>3</v>
      </c>
      <c r="F1019" s="142">
        <v>45929.541666666672</v>
      </c>
      <c r="G1019" s="140" t="s">
        <v>843</v>
      </c>
      <c r="H1019" s="140" t="s">
        <v>853</v>
      </c>
    </row>
    <row r="1020" spans="1:8" ht="15.75" customHeight="1">
      <c r="A1020" s="140" t="s">
        <v>59</v>
      </c>
      <c r="B1020" s="140" t="s">
        <v>22</v>
      </c>
      <c r="C1020" s="141" t="s">
        <v>411</v>
      </c>
      <c r="D1020" s="140" t="s">
        <v>412</v>
      </c>
      <c r="E1020" s="140">
        <v>4</v>
      </c>
      <c r="F1020" s="142">
        <v>45943.541666666672</v>
      </c>
      <c r="G1020" s="140" t="s">
        <v>845</v>
      </c>
      <c r="H1020" s="140" t="s">
        <v>853</v>
      </c>
    </row>
    <row r="1021" spans="1:8" ht="15.75" customHeight="1">
      <c r="A1021" s="140" t="s">
        <v>59</v>
      </c>
      <c r="B1021" s="140" t="s">
        <v>22</v>
      </c>
      <c r="C1021" s="141" t="s">
        <v>411</v>
      </c>
      <c r="D1021" s="140" t="s">
        <v>412</v>
      </c>
      <c r="E1021" s="140">
        <v>5</v>
      </c>
      <c r="F1021" s="142">
        <v>45950.583333333328</v>
      </c>
      <c r="G1021" s="140" t="s">
        <v>845</v>
      </c>
      <c r="H1021" s="140" t="s">
        <v>853</v>
      </c>
    </row>
    <row r="1022" spans="1:8" ht="15.75" customHeight="1">
      <c r="A1022" s="140" t="s">
        <v>59</v>
      </c>
      <c r="B1022" s="140" t="s">
        <v>22</v>
      </c>
      <c r="C1022" s="141" t="s">
        <v>411</v>
      </c>
      <c r="D1022" s="140" t="s">
        <v>412</v>
      </c>
      <c r="E1022" s="140">
        <v>6</v>
      </c>
      <c r="F1022" s="142">
        <v>45957.541666666672</v>
      </c>
      <c r="G1022" s="140" t="s">
        <v>845</v>
      </c>
      <c r="H1022" s="140" t="s">
        <v>853</v>
      </c>
    </row>
    <row r="1023" spans="1:8" ht="15.75" customHeight="1">
      <c r="A1023" s="140" t="s">
        <v>59</v>
      </c>
      <c r="B1023" s="140" t="s">
        <v>22</v>
      </c>
      <c r="C1023" s="141" t="s">
        <v>411</v>
      </c>
      <c r="D1023" s="140" t="s">
        <v>412</v>
      </c>
      <c r="E1023" s="140">
        <v>7</v>
      </c>
      <c r="F1023" s="142">
        <v>45972.583333333328</v>
      </c>
      <c r="G1023" s="140" t="s">
        <v>843</v>
      </c>
      <c r="H1023" s="140" t="s">
        <v>853</v>
      </c>
    </row>
    <row r="1024" spans="1:8" ht="15.75" customHeight="1">
      <c r="A1024" s="140" t="s">
        <v>59</v>
      </c>
      <c r="B1024" s="140" t="s">
        <v>22</v>
      </c>
      <c r="C1024" s="141" t="s">
        <v>411</v>
      </c>
      <c r="D1024" s="140" t="s">
        <v>412</v>
      </c>
      <c r="E1024" s="140">
        <v>8</v>
      </c>
      <c r="F1024" s="142">
        <v>45980.583333333328</v>
      </c>
      <c r="G1024" s="140" t="s">
        <v>845</v>
      </c>
      <c r="H1024" s="140" t="s">
        <v>853</v>
      </c>
    </row>
    <row r="1025" spans="1:8" ht="15.75" customHeight="1">
      <c r="A1025" s="140" t="s">
        <v>59</v>
      </c>
      <c r="B1025" s="140" t="s">
        <v>22</v>
      </c>
      <c r="C1025" s="141" t="s">
        <v>411</v>
      </c>
      <c r="D1025" s="140" t="s">
        <v>412</v>
      </c>
      <c r="E1025" s="140">
        <v>9</v>
      </c>
      <c r="F1025" s="142">
        <v>45981.583333333328</v>
      </c>
      <c r="G1025" s="140" t="s">
        <v>845</v>
      </c>
      <c r="H1025" s="140" t="s">
        <v>853</v>
      </c>
    </row>
    <row r="1026" spans="1:8" ht="15.75" customHeight="1">
      <c r="A1026" s="140" t="s">
        <v>59</v>
      </c>
      <c r="B1026" s="140" t="s">
        <v>22</v>
      </c>
      <c r="C1026" s="141" t="s">
        <v>411</v>
      </c>
      <c r="D1026" s="140" t="s">
        <v>412</v>
      </c>
      <c r="E1026" s="140">
        <v>10</v>
      </c>
      <c r="F1026" s="142">
        <v>45996.583333333328</v>
      </c>
      <c r="G1026" s="140" t="s">
        <v>845</v>
      </c>
      <c r="H1026" s="140" t="s">
        <v>853</v>
      </c>
    </row>
    <row r="1027" spans="1:8" ht="15.75" customHeight="1">
      <c r="A1027" s="140" t="s">
        <v>59</v>
      </c>
      <c r="B1027" s="140" t="s">
        <v>22</v>
      </c>
      <c r="C1027" s="141" t="s">
        <v>411</v>
      </c>
      <c r="D1027" s="140" t="s">
        <v>412</v>
      </c>
      <c r="E1027" s="140">
        <v>11</v>
      </c>
      <c r="F1027" s="142">
        <v>46006.583333333328</v>
      </c>
      <c r="G1027" s="140" t="s">
        <v>845</v>
      </c>
      <c r="H1027" s="140" t="s">
        <v>853</v>
      </c>
    </row>
    <row r="1028" spans="1:8" ht="15.75" customHeight="1">
      <c r="A1028" s="140" t="s">
        <v>59</v>
      </c>
      <c r="B1028" s="140" t="s">
        <v>22</v>
      </c>
      <c r="C1028" s="141" t="s">
        <v>411</v>
      </c>
      <c r="D1028" s="140" t="s">
        <v>412</v>
      </c>
      <c r="E1028" s="140">
        <v>12</v>
      </c>
      <c r="F1028" s="142">
        <v>46008.583333333328</v>
      </c>
      <c r="G1028" s="140" t="s">
        <v>845</v>
      </c>
      <c r="H1028" s="140" t="s">
        <v>853</v>
      </c>
    </row>
    <row r="1029" spans="1:8" ht="15.75" customHeight="1">
      <c r="A1029" s="140" t="s">
        <v>59</v>
      </c>
      <c r="B1029" s="140" t="s">
        <v>22</v>
      </c>
      <c r="C1029" s="141" t="s">
        <v>411</v>
      </c>
      <c r="D1029" s="140" t="s">
        <v>412</v>
      </c>
      <c r="E1029" s="140">
        <v>13</v>
      </c>
      <c r="F1029" s="142">
        <v>46017.541666666672</v>
      </c>
      <c r="G1029" s="140" t="s">
        <v>845</v>
      </c>
      <c r="H1029" s="140" t="s">
        <v>853</v>
      </c>
    </row>
    <row r="1030" spans="1:8" ht="15.75" customHeight="1">
      <c r="A1030" s="140" t="s">
        <v>59</v>
      </c>
      <c r="B1030" s="140" t="s">
        <v>22</v>
      </c>
      <c r="C1030" s="141" t="s">
        <v>411</v>
      </c>
      <c r="D1030" s="140" t="s">
        <v>412</v>
      </c>
      <c r="E1030" s="140">
        <v>14</v>
      </c>
      <c r="F1030" s="142">
        <v>46021.541666666672</v>
      </c>
      <c r="G1030" s="140" t="s">
        <v>845</v>
      </c>
      <c r="H1030" s="140" t="s">
        <v>853</v>
      </c>
    </row>
    <row r="1031" spans="1:8" ht="15.75" customHeight="1">
      <c r="A1031" s="140" t="s">
        <v>59</v>
      </c>
      <c r="B1031" s="140" t="s">
        <v>22</v>
      </c>
      <c r="C1031" s="141" t="s">
        <v>411</v>
      </c>
      <c r="D1031" s="140" t="s">
        <v>412</v>
      </c>
      <c r="E1031" s="140">
        <v>15</v>
      </c>
      <c r="F1031" s="142">
        <v>46041.541666666672</v>
      </c>
      <c r="G1031" s="140" t="s">
        <v>845</v>
      </c>
      <c r="H1031" s="140" t="s">
        <v>853</v>
      </c>
    </row>
    <row r="1032" spans="1:8" ht="15.75" customHeight="1">
      <c r="A1032" s="140" t="s">
        <v>59</v>
      </c>
      <c r="B1032" s="140" t="s">
        <v>22</v>
      </c>
      <c r="C1032" s="141" t="s">
        <v>411</v>
      </c>
      <c r="D1032" s="140" t="s">
        <v>412</v>
      </c>
      <c r="E1032" s="140">
        <v>16</v>
      </c>
      <c r="F1032" s="142">
        <v>46115.541666666672</v>
      </c>
      <c r="G1032" s="140" t="s">
        <v>845</v>
      </c>
      <c r="H1032" s="140" t="s">
        <v>853</v>
      </c>
    </row>
    <row r="1033" spans="1:8" ht="15.75" customHeight="1">
      <c r="A1033" s="140" t="s">
        <v>59</v>
      </c>
      <c r="B1033" s="140" t="s">
        <v>21</v>
      </c>
      <c r="C1033" s="141" t="s">
        <v>433</v>
      </c>
      <c r="D1033" s="140" t="s">
        <v>432</v>
      </c>
      <c r="E1033" s="140">
        <v>1</v>
      </c>
      <c r="F1033" s="142">
        <v>45663.583333333328</v>
      </c>
      <c r="G1033" s="140" t="s">
        <v>845</v>
      </c>
      <c r="H1033" s="140" t="s">
        <v>853</v>
      </c>
    </row>
    <row r="1034" spans="1:8" ht="15.75" customHeight="1">
      <c r="A1034" s="140" t="s">
        <v>59</v>
      </c>
      <c r="B1034" s="140" t="s">
        <v>21</v>
      </c>
      <c r="C1034" s="141" t="s">
        <v>433</v>
      </c>
      <c r="D1034" s="140" t="s">
        <v>432</v>
      </c>
      <c r="E1034" s="140">
        <v>2</v>
      </c>
      <c r="F1034" s="142">
        <v>45698.583333333328</v>
      </c>
      <c r="G1034" s="140" t="s">
        <v>845</v>
      </c>
      <c r="H1034" s="140" t="s">
        <v>853</v>
      </c>
    </row>
    <row r="1035" spans="1:8" ht="15.75" customHeight="1">
      <c r="A1035" s="140" t="s">
        <v>59</v>
      </c>
      <c r="B1035" s="140" t="s">
        <v>21</v>
      </c>
      <c r="C1035" s="141" t="s">
        <v>433</v>
      </c>
      <c r="D1035" s="140" t="s">
        <v>432</v>
      </c>
      <c r="E1035" s="140">
        <v>3</v>
      </c>
      <c r="F1035" s="142">
        <v>45716.583333333328</v>
      </c>
      <c r="G1035" s="140" t="s">
        <v>845</v>
      </c>
      <c r="H1035" s="140" t="s">
        <v>853</v>
      </c>
    </row>
    <row r="1036" spans="1:8" ht="15.75" customHeight="1">
      <c r="A1036" s="140" t="s">
        <v>59</v>
      </c>
      <c r="B1036" s="140" t="s">
        <v>21</v>
      </c>
      <c r="C1036" s="141" t="s">
        <v>433</v>
      </c>
      <c r="D1036" s="140" t="s">
        <v>432</v>
      </c>
      <c r="E1036" s="140">
        <v>4</v>
      </c>
      <c r="F1036" s="142">
        <v>45762.583333333328</v>
      </c>
      <c r="G1036" s="140" t="s">
        <v>845</v>
      </c>
      <c r="H1036" s="140" t="s">
        <v>853</v>
      </c>
    </row>
    <row r="1037" spans="1:8" ht="15.75" customHeight="1">
      <c r="A1037" s="140" t="s">
        <v>59</v>
      </c>
      <c r="B1037" s="140" t="s">
        <v>21</v>
      </c>
      <c r="C1037" s="141" t="s">
        <v>433</v>
      </c>
      <c r="D1037" s="140" t="s">
        <v>432</v>
      </c>
      <c r="E1037" s="140">
        <v>5</v>
      </c>
      <c r="F1037" s="142">
        <v>45768.583333333328</v>
      </c>
      <c r="G1037" s="140" t="s">
        <v>845</v>
      </c>
      <c r="H1037" s="140" t="s">
        <v>853</v>
      </c>
    </row>
    <row r="1038" spans="1:8" ht="15.75" customHeight="1">
      <c r="A1038" s="140" t="s">
        <v>59</v>
      </c>
      <c r="B1038" s="140" t="s">
        <v>21</v>
      </c>
      <c r="C1038" s="141" t="s">
        <v>433</v>
      </c>
      <c r="D1038" s="140" t="s">
        <v>432</v>
      </c>
      <c r="E1038" s="140">
        <v>6</v>
      </c>
      <c r="F1038" s="142">
        <v>45782.541666666672</v>
      </c>
      <c r="G1038" s="140" t="s">
        <v>845</v>
      </c>
      <c r="H1038" s="140" t="s">
        <v>853</v>
      </c>
    </row>
    <row r="1039" spans="1:8" ht="15.75" customHeight="1">
      <c r="A1039" s="140" t="s">
        <v>59</v>
      </c>
      <c r="B1039" s="140" t="s">
        <v>21</v>
      </c>
      <c r="C1039" s="141" t="s">
        <v>433</v>
      </c>
      <c r="D1039" s="140" t="s">
        <v>432</v>
      </c>
      <c r="E1039" s="140">
        <v>7</v>
      </c>
      <c r="F1039" s="142">
        <v>45806.583333333328</v>
      </c>
      <c r="G1039" s="140" t="s">
        <v>845</v>
      </c>
      <c r="H1039" s="140" t="s">
        <v>853</v>
      </c>
    </row>
    <row r="1040" spans="1:8" ht="15.75" customHeight="1">
      <c r="A1040" s="140" t="s">
        <v>59</v>
      </c>
      <c r="B1040" s="140" t="s">
        <v>21</v>
      </c>
      <c r="C1040" s="141" t="s">
        <v>433</v>
      </c>
      <c r="D1040" s="140" t="s">
        <v>432</v>
      </c>
      <c r="E1040" s="140">
        <v>8</v>
      </c>
      <c r="F1040" s="142">
        <v>45810.541666666672</v>
      </c>
      <c r="G1040" s="140" t="s">
        <v>845</v>
      </c>
      <c r="H1040" s="140" t="s">
        <v>853</v>
      </c>
    </row>
    <row r="1041" spans="1:8" ht="15.75" customHeight="1">
      <c r="A1041" s="140" t="s">
        <v>59</v>
      </c>
      <c r="B1041" s="140" t="s">
        <v>21</v>
      </c>
      <c r="C1041" s="141" t="s">
        <v>433</v>
      </c>
      <c r="D1041" s="140" t="s">
        <v>432</v>
      </c>
      <c r="E1041" s="140">
        <v>9</v>
      </c>
      <c r="F1041" s="142">
        <v>45824.583333333328</v>
      </c>
      <c r="G1041" s="140" t="s">
        <v>845</v>
      </c>
      <c r="H1041" s="140" t="s">
        <v>853</v>
      </c>
    </row>
    <row r="1042" spans="1:8" ht="15.75" customHeight="1">
      <c r="A1042" s="140" t="s">
        <v>59</v>
      </c>
      <c r="B1042" s="140" t="s">
        <v>21</v>
      </c>
      <c r="C1042" s="141" t="s">
        <v>433</v>
      </c>
      <c r="D1042" s="140" t="s">
        <v>432</v>
      </c>
      <c r="E1042" s="140">
        <v>10</v>
      </c>
      <c r="F1042" s="142">
        <v>45852.541666666672</v>
      </c>
      <c r="G1042" s="140" t="s">
        <v>845</v>
      </c>
      <c r="H1042" s="140" t="s">
        <v>853</v>
      </c>
    </row>
    <row r="1043" spans="1:8" ht="15.75" customHeight="1">
      <c r="A1043" s="140" t="s">
        <v>59</v>
      </c>
      <c r="B1043" s="140" t="s">
        <v>21</v>
      </c>
      <c r="C1043" s="141" t="s">
        <v>451</v>
      </c>
      <c r="D1043" s="140" t="s">
        <v>452</v>
      </c>
      <c r="E1043" s="140">
        <v>1</v>
      </c>
      <c r="F1043" s="142">
        <v>45663.583333333328</v>
      </c>
      <c r="G1043" s="140" t="s">
        <v>843</v>
      </c>
      <c r="H1043" s="140" t="s">
        <v>853</v>
      </c>
    </row>
    <row r="1044" spans="1:8" ht="15.75" customHeight="1">
      <c r="A1044" s="140" t="s">
        <v>59</v>
      </c>
      <c r="B1044" s="140" t="s">
        <v>21</v>
      </c>
      <c r="C1044" s="141" t="s">
        <v>451</v>
      </c>
      <c r="D1044" s="140" t="s">
        <v>452</v>
      </c>
      <c r="E1044" s="140">
        <v>2</v>
      </c>
      <c r="F1044" s="142">
        <v>45698.583333333328</v>
      </c>
      <c r="G1044" s="140" t="s">
        <v>845</v>
      </c>
      <c r="H1044" s="140" t="s">
        <v>853</v>
      </c>
    </row>
    <row r="1045" spans="1:8" ht="15.75" customHeight="1">
      <c r="A1045" s="140" t="s">
        <v>59</v>
      </c>
      <c r="B1045" s="140" t="s">
        <v>21</v>
      </c>
      <c r="C1045" s="141" t="s">
        <v>451</v>
      </c>
      <c r="D1045" s="140" t="s">
        <v>452</v>
      </c>
      <c r="E1045" s="140">
        <v>3</v>
      </c>
      <c r="F1045" s="142">
        <v>45716.583333333328</v>
      </c>
      <c r="G1045" s="140" t="s">
        <v>845</v>
      </c>
      <c r="H1045" s="140" t="s">
        <v>853</v>
      </c>
    </row>
    <row r="1046" spans="1:8" ht="15.75" customHeight="1">
      <c r="A1046" s="140" t="s">
        <v>59</v>
      </c>
      <c r="B1046" s="140" t="s">
        <v>21</v>
      </c>
      <c r="C1046" s="141" t="s">
        <v>451</v>
      </c>
      <c r="D1046" s="140" t="s">
        <v>452</v>
      </c>
      <c r="E1046" s="140">
        <v>4</v>
      </c>
      <c r="F1046" s="142">
        <v>45762.583333333328</v>
      </c>
      <c r="G1046" s="140" t="s">
        <v>845</v>
      </c>
      <c r="H1046" s="140" t="s">
        <v>853</v>
      </c>
    </row>
    <row r="1047" spans="1:8" ht="15.75" customHeight="1">
      <c r="A1047" s="140" t="s">
        <v>59</v>
      </c>
      <c r="B1047" s="140" t="s">
        <v>21</v>
      </c>
      <c r="C1047" s="141" t="s">
        <v>451</v>
      </c>
      <c r="D1047" s="140" t="s">
        <v>452</v>
      </c>
      <c r="E1047" s="140">
        <v>5</v>
      </c>
      <c r="F1047" s="142">
        <v>45768.583333333328</v>
      </c>
      <c r="G1047" s="140" t="s">
        <v>845</v>
      </c>
      <c r="H1047" s="140" t="s">
        <v>853</v>
      </c>
    </row>
    <row r="1048" spans="1:8" ht="15.75" customHeight="1">
      <c r="A1048" s="140" t="s">
        <v>59</v>
      </c>
      <c r="B1048" s="140" t="s">
        <v>21</v>
      </c>
      <c r="C1048" s="141" t="s">
        <v>451</v>
      </c>
      <c r="D1048" s="140" t="s">
        <v>452</v>
      </c>
      <c r="E1048" s="140">
        <v>6</v>
      </c>
      <c r="F1048" s="142">
        <v>45782.541666666672</v>
      </c>
      <c r="G1048" s="140" t="s">
        <v>845</v>
      </c>
      <c r="H1048" s="140" t="s">
        <v>853</v>
      </c>
    </row>
    <row r="1049" spans="1:8" ht="15.75" customHeight="1">
      <c r="A1049" s="140" t="s">
        <v>59</v>
      </c>
      <c r="B1049" s="140" t="s">
        <v>21</v>
      </c>
      <c r="C1049" s="141" t="s">
        <v>451</v>
      </c>
      <c r="D1049" s="140" t="s">
        <v>452</v>
      </c>
      <c r="E1049" s="140">
        <v>7</v>
      </c>
      <c r="F1049" s="142">
        <v>45806.583333333328</v>
      </c>
      <c r="G1049" s="140" t="s">
        <v>845</v>
      </c>
      <c r="H1049" s="140" t="s">
        <v>853</v>
      </c>
    </row>
    <row r="1050" spans="1:8" ht="15.75" customHeight="1">
      <c r="A1050" s="140" t="s">
        <v>59</v>
      </c>
      <c r="B1050" s="140" t="s">
        <v>21</v>
      </c>
      <c r="C1050" s="141" t="s">
        <v>451</v>
      </c>
      <c r="D1050" s="140" t="s">
        <v>452</v>
      </c>
      <c r="E1050" s="140">
        <v>8</v>
      </c>
      <c r="F1050" s="142">
        <v>45810.541666666672</v>
      </c>
      <c r="G1050" s="140" t="s">
        <v>845</v>
      </c>
      <c r="H1050" s="140" t="s">
        <v>853</v>
      </c>
    </row>
    <row r="1051" spans="1:8" ht="15.75" customHeight="1">
      <c r="A1051" s="140" t="s">
        <v>59</v>
      </c>
      <c r="B1051" s="140" t="s">
        <v>21</v>
      </c>
      <c r="C1051" s="141" t="s">
        <v>451</v>
      </c>
      <c r="D1051" s="140" t="s">
        <v>452</v>
      </c>
      <c r="E1051" s="140">
        <v>9</v>
      </c>
      <c r="F1051" s="142">
        <v>45824.583333333328</v>
      </c>
      <c r="G1051" s="140" t="s">
        <v>845</v>
      </c>
      <c r="H1051" s="140" t="s">
        <v>853</v>
      </c>
    </row>
    <row r="1052" spans="1:8" ht="15.75" customHeight="1">
      <c r="A1052" s="140" t="s">
        <v>59</v>
      </c>
      <c r="B1052" s="140" t="s">
        <v>21</v>
      </c>
      <c r="C1052" s="141" t="s">
        <v>451</v>
      </c>
      <c r="D1052" s="140" t="s">
        <v>452</v>
      </c>
      <c r="E1052" s="140">
        <v>10</v>
      </c>
      <c r="F1052" s="142">
        <v>45852.541666666672</v>
      </c>
      <c r="G1052" s="140" t="s">
        <v>845</v>
      </c>
      <c r="H1052" s="140" t="s">
        <v>853</v>
      </c>
    </row>
    <row r="1053" spans="1:8" ht="15.75" customHeight="1">
      <c r="A1053" s="140" t="s">
        <v>59</v>
      </c>
      <c r="B1053" s="140" t="s">
        <v>22</v>
      </c>
      <c r="C1053" s="141" t="s">
        <v>451</v>
      </c>
      <c r="D1053" s="140" t="s">
        <v>452</v>
      </c>
      <c r="E1053" s="140">
        <v>1</v>
      </c>
      <c r="F1053" s="142">
        <v>45915.541666666672</v>
      </c>
      <c r="G1053" s="140" t="s">
        <v>843</v>
      </c>
      <c r="H1053" s="140" t="s">
        <v>853</v>
      </c>
    </row>
    <row r="1054" spans="1:8" ht="15.75" customHeight="1">
      <c r="A1054" s="140" t="s">
        <v>59</v>
      </c>
      <c r="B1054" s="140" t="s">
        <v>22</v>
      </c>
      <c r="C1054" s="141" t="s">
        <v>451</v>
      </c>
      <c r="D1054" s="140" t="s">
        <v>452</v>
      </c>
      <c r="E1054" s="140">
        <v>2</v>
      </c>
      <c r="F1054" s="142">
        <v>45922.583333333328</v>
      </c>
      <c r="G1054" s="140" t="s">
        <v>845</v>
      </c>
      <c r="H1054" s="140" t="s">
        <v>853</v>
      </c>
    </row>
    <row r="1055" spans="1:8" ht="15.75" customHeight="1">
      <c r="A1055" s="140" t="s">
        <v>59</v>
      </c>
      <c r="B1055" s="140" t="s">
        <v>22</v>
      </c>
      <c r="C1055" s="141" t="s">
        <v>451</v>
      </c>
      <c r="D1055" s="140" t="s">
        <v>452</v>
      </c>
      <c r="E1055" s="140">
        <v>3</v>
      </c>
      <c r="F1055" s="142">
        <v>45929.541666666672</v>
      </c>
      <c r="G1055" s="140" t="s">
        <v>845</v>
      </c>
      <c r="H1055" s="140" t="s">
        <v>853</v>
      </c>
    </row>
    <row r="1056" spans="1:8" ht="15.75" customHeight="1">
      <c r="A1056" s="140" t="s">
        <v>59</v>
      </c>
      <c r="B1056" s="140" t="s">
        <v>22</v>
      </c>
      <c r="C1056" s="141" t="s">
        <v>451</v>
      </c>
      <c r="D1056" s="140" t="s">
        <v>452</v>
      </c>
      <c r="E1056" s="140">
        <v>4</v>
      </c>
      <c r="F1056" s="142">
        <v>45943.541666666672</v>
      </c>
      <c r="G1056" s="140" t="s">
        <v>843</v>
      </c>
      <c r="H1056" s="140" t="s">
        <v>853</v>
      </c>
    </row>
    <row r="1057" spans="1:8" ht="15.75" customHeight="1">
      <c r="A1057" s="140" t="s">
        <v>59</v>
      </c>
      <c r="B1057" s="140" t="s">
        <v>22</v>
      </c>
      <c r="C1057" s="141" t="s">
        <v>451</v>
      </c>
      <c r="D1057" s="140" t="s">
        <v>452</v>
      </c>
      <c r="E1057" s="140">
        <v>5</v>
      </c>
      <c r="F1057" s="142">
        <v>45950.583333333328</v>
      </c>
      <c r="G1057" s="140" t="s">
        <v>845</v>
      </c>
      <c r="H1057" s="140" t="s">
        <v>853</v>
      </c>
    </row>
    <row r="1058" spans="1:8" ht="15.75" customHeight="1">
      <c r="A1058" s="140" t="s">
        <v>59</v>
      </c>
      <c r="B1058" s="140" t="s">
        <v>22</v>
      </c>
      <c r="C1058" s="141" t="s">
        <v>451</v>
      </c>
      <c r="D1058" s="140" t="s">
        <v>452</v>
      </c>
      <c r="E1058" s="140">
        <v>6</v>
      </c>
      <c r="F1058" s="142">
        <v>45957.541666666672</v>
      </c>
      <c r="G1058" s="140" t="s">
        <v>845</v>
      </c>
      <c r="H1058" s="140" t="s">
        <v>853</v>
      </c>
    </row>
    <row r="1059" spans="1:8" ht="15.75" customHeight="1">
      <c r="A1059" s="140" t="s">
        <v>59</v>
      </c>
      <c r="B1059" s="140" t="s">
        <v>22</v>
      </c>
      <c r="C1059" s="141" t="s">
        <v>451</v>
      </c>
      <c r="D1059" s="140" t="s">
        <v>452</v>
      </c>
      <c r="E1059" s="140">
        <v>7</v>
      </c>
      <c r="F1059" s="142">
        <v>45972.583333333328</v>
      </c>
      <c r="G1059" s="140" t="s">
        <v>843</v>
      </c>
      <c r="H1059" s="140" t="s">
        <v>853</v>
      </c>
    </row>
    <row r="1060" spans="1:8" ht="15.75" customHeight="1">
      <c r="A1060" s="140" t="s">
        <v>59</v>
      </c>
      <c r="B1060" s="140" t="s">
        <v>22</v>
      </c>
      <c r="C1060" s="141" t="s">
        <v>451</v>
      </c>
      <c r="D1060" s="140" t="s">
        <v>452</v>
      </c>
      <c r="E1060" s="140">
        <v>8</v>
      </c>
      <c r="F1060" s="142">
        <v>45980.583333333328</v>
      </c>
      <c r="G1060" s="140" t="s">
        <v>845</v>
      </c>
      <c r="H1060" s="140" t="s">
        <v>853</v>
      </c>
    </row>
    <row r="1061" spans="1:8" ht="15.75" customHeight="1">
      <c r="A1061" s="140" t="s">
        <v>59</v>
      </c>
      <c r="B1061" s="140" t="s">
        <v>22</v>
      </c>
      <c r="C1061" s="141" t="s">
        <v>451</v>
      </c>
      <c r="D1061" s="140" t="s">
        <v>452</v>
      </c>
      <c r="E1061" s="140">
        <v>9</v>
      </c>
      <c r="F1061" s="142">
        <v>45981.583333333328</v>
      </c>
      <c r="G1061" s="140" t="s">
        <v>845</v>
      </c>
      <c r="H1061" s="140" t="s">
        <v>853</v>
      </c>
    </row>
    <row r="1062" spans="1:8" ht="15.75" customHeight="1">
      <c r="A1062" s="140" t="s">
        <v>59</v>
      </c>
      <c r="B1062" s="140" t="s">
        <v>22</v>
      </c>
      <c r="C1062" s="141" t="s">
        <v>451</v>
      </c>
      <c r="D1062" s="140" t="s">
        <v>452</v>
      </c>
      <c r="E1062" s="140">
        <v>10</v>
      </c>
      <c r="F1062" s="142">
        <v>45996.583333333328</v>
      </c>
      <c r="G1062" s="140" t="s">
        <v>845</v>
      </c>
      <c r="H1062" s="140" t="s">
        <v>853</v>
      </c>
    </row>
    <row r="1063" spans="1:8" ht="15.75" customHeight="1">
      <c r="A1063" s="140" t="s">
        <v>59</v>
      </c>
      <c r="B1063" s="140" t="s">
        <v>22</v>
      </c>
      <c r="C1063" s="141" t="s">
        <v>451</v>
      </c>
      <c r="D1063" s="140" t="s">
        <v>452</v>
      </c>
      <c r="E1063" s="140">
        <v>11</v>
      </c>
      <c r="F1063" s="142">
        <v>46006.583333333328</v>
      </c>
      <c r="G1063" s="140" t="s">
        <v>845</v>
      </c>
      <c r="H1063" s="140" t="s">
        <v>853</v>
      </c>
    </row>
    <row r="1064" spans="1:8" ht="15.75" customHeight="1">
      <c r="A1064" s="140" t="s">
        <v>59</v>
      </c>
      <c r="B1064" s="140" t="s">
        <v>22</v>
      </c>
      <c r="C1064" s="141" t="s">
        <v>451</v>
      </c>
      <c r="D1064" s="140" t="s">
        <v>452</v>
      </c>
      <c r="E1064" s="140">
        <v>12</v>
      </c>
      <c r="F1064" s="142">
        <v>46008.583333333328</v>
      </c>
      <c r="G1064" s="140" t="s">
        <v>845</v>
      </c>
      <c r="H1064" s="140" t="s">
        <v>853</v>
      </c>
    </row>
    <row r="1065" spans="1:8" ht="15.75" customHeight="1">
      <c r="A1065" s="140" t="s">
        <v>59</v>
      </c>
      <c r="B1065" s="140" t="s">
        <v>22</v>
      </c>
      <c r="C1065" s="141" t="s">
        <v>451</v>
      </c>
      <c r="D1065" s="140" t="s">
        <v>452</v>
      </c>
      <c r="E1065" s="140">
        <v>13</v>
      </c>
      <c r="F1065" s="142">
        <v>46017.541666666672</v>
      </c>
      <c r="G1065" s="140" t="s">
        <v>845</v>
      </c>
      <c r="H1065" s="140" t="s">
        <v>853</v>
      </c>
    </row>
    <row r="1066" spans="1:8" ht="15.75" customHeight="1">
      <c r="A1066" s="140" t="s">
        <v>59</v>
      </c>
      <c r="B1066" s="140" t="s">
        <v>22</v>
      </c>
      <c r="C1066" s="141" t="s">
        <v>451</v>
      </c>
      <c r="D1066" s="140" t="s">
        <v>452</v>
      </c>
      <c r="E1066" s="140">
        <v>14</v>
      </c>
      <c r="F1066" s="142">
        <v>46021.541666666672</v>
      </c>
      <c r="G1066" s="140" t="s">
        <v>843</v>
      </c>
      <c r="H1066" s="140" t="s">
        <v>853</v>
      </c>
    </row>
    <row r="1067" spans="1:8" ht="15.75" customHeight="1">
      <c r="A1067" s="140" t="s">
        <v>59</v>
      </c>
      <c r="B1067" s="140" t="s">
        <v>22</v>
      </c>
      <c r="C1067" s="141" t="s">
        <v>451</v>
      </c>
      <c r="D1067" s="140" t="s">
        <v>452</v>
      </c>
      <c r="E1067" s="140">
        <v>15</v>
      </c>
      <c r="F1067" s="142">
        <v>46041.541666666672</v>
      </c>
      <c r="G1067" s="140" t="s">
        <v>845</v>
      </c>
      <c r="H1067" s="140" t="s">
        <v>853</v>
      </c>
    </row>
    <row r="1068" spans="1:8" ht="15.75" customHeight="1">
      <c r="A1068" s="140" t="s">
        <v>59</v>
      </c>
      <c r="B1068" s="140" t="s">
        <v>22</v>
      </c>
      <c r="C1068" s="141" t="s">
        <v>451</v>
      </c>
      <c r="D1068" s="140" t="s">
        <v>452</v>
      </c>
      <c r="E1068" s="140">
        <v>16</v>
      </c>
      <c r="F1068" s="142">
        <v>46115.541666666672</v>
      </c>
      <c r="G1068" s="140" t="s">
        <v>845</v>
      </c>
      <c r="H1068" s="140" t="s">
        <v>853</v>
      </c>
    </row>
    <row r="1069" spans="1:8" ht="15.75" customHeight="1">
      <c r="A1069" s="140" t="s">
        <v>59</v>
      </c>
      <c r="B1069" s="140" t="s">
        <v>21</v>
      </c>
      <c r="C1069" s="141" t="s">
        <v>466</v>
      </c>
      <c r="D1069" s="140" t="s">
        <v>467</v>
      </c>
      <c r="E1069" s="140">
        <v>1</v>
      </c>
      <c r="F1069" s="142">
        <v>45663.583333333328</v>
      </c>
      <c r="G1069" s="140" t="s">
        <v>845</v>
      </c>
      <c r="H1069" s="140" t="s">
        <v>853</v>
      </c>
    </row>
    <row r="1070" spans="1:8" ht="15.75" customHeight="1">
      <c r="A1070" s="140" t="s">
        <v>59</v>
      </c>
      <c r="B1070" s="140" t="s">
        <v>21</v>
      </c>
      <c r="C1070" s="141" t="s">
        <v>466</v>
      </c>
      <c r="D1070" s="140" t="s">
        <v>467</v>
      </c>
      <c r="E1070" s="140">
        <v>2</v>
      </c>
      <c r="F1070" s="142">
        <v>45698.583333333328</v>
      </c>
      <c r="G1070" s="140" t="s">
        <v>843</v>
      </c>
      <c r="H1070" s="140" t="s">
        <v>853</v>
      </c>
    </row>
    <row r="1071" spans="1:8" ht="15.75" customHeight="1">
      <c r="A1071" s="140" t="s">
        <v>59</v>
      </c>
      <c r="B1071" s="140" t="s">
        <v>21</v>
      </c>
      <c r="C1071" s="141" t="s">
        <v>466</v>
      </c>
      <c r="D1071" s="140" t="s">
        <v>467</v>
      </c>
      <c r="E1071" s="140">
        <v>3</v>
      </c>
      <c r="F1071" s="142">
        <v>45716.583333333328</v>
      </c>
      <c r="G1071" s="140" t="s">
        <v>845</v>
      </c>
      <c r="H1071" s="140" t="s">
        <v>853</v>
      </c>
    </row>
    <row r="1072" spans="1:8" ht="15.75" customHeight="1">
      <c r="A1072" s="140" t="s">
        <v>59</v>
      </c>
      <c r="B1072" s="140" t="s">
        <v>21</v>
      </c>
      <c r="C1072" s="141" t="s">
        <v>466</v>
      </c>
      <c r="D1072" s="140" t="s">
        <v>467</v>
      </c>
      <c r="E1072" s="140">
        <v>4</v>
      </c>
      <c r="F1072" s="142">
        <v>45762.583333333328</v>
      </c>
      <c r="G1072" s="140" t="s">
        <v>843</v>
      </c>
      <c r="H1072" s="140" t="s">
        <v>853</v>
      </c>
    </row>
    <row r="1073" spans="1:8" ht="15.75" customHeight="1">
      <c r="A1073" s="140" t="s">
        <v>59</v>
      </c>
      <c r="B1073" s="140" t="s">
        <v>21</v>
      </c>
      <c r="C1073" s="141" t="s">
        <v>466</v>
      </c>
      <c r="D1073" s="140" t="s">
        <v>467</v>
      </c>
      <c r="E1073" s="140">
        <v>5</v>
      </c>
      <c r="F1073" s="142">
        <v>45768.583333333328</v>
      </c>
      <c r="G1073" s="140" t="s">
        <v>845</v>
      </c>
      <c r="H1073" s="140" t="s">
        <v>853</v>
      </c>
    </row>
    <row r="1074" spans="1:8" ht="15.75" customHeight="1">
      <c r="A1074" s="140" t="s">
        <v>59</v>
      </c>
      <c r="B1074" s="140" t="s">
        <v>21</v>
      </c>
      <c r="C1074" s="141" t="s">
        <v>466</v>
      </c>
      <c r="D1074" s="140" t="s">
        <v>467</v>
      </c>
      <c r="E1074" s="140">
        <v>6</v>
      </c>
      <c r="F1074" s="142">
        <v>45782.541666666672</v>
      </c>
      <c r="G1074" s="140" t="s">
        <v>845</v>
      </c>
      <c r="H1074" s="140" t="s">
        <v>853</v>
      </c>
    </row>
    <row r="1075" spans="1:8" ht="15.75" customHeight="1">
      <c r="A1075" s="140" t="s">
        <v>59</v>
      </c>
      <c r="B1075" s="140" t="s">
        <v>21</v>
      </c>
      <c r="C1075" s="141" t="s">
        <v>466</v>
      </c>
      <c r="D1075" s="140" t="s">
        <v>467</v>
      </c>
      <c r="E1075" s="140">
        <v>7</v>
      </c>
      <c r="F1075" s="142">
        <v>45806.583333333328</v>
      </c>
      <c r="G1075" s="140" t="s">
        <v>845</v>
      </c>
      <c r="H1075" s="140" t="s">
        <v>853</v>
      </c>
    </row>
    <row r="1076" spans="1:8" ht="15.75" customHeight="1">
      <c r="A1076" s="140" t="s">
        <v>59</v>
      </c>
      <c r="B1076" s="140" t="s">
        <v>21</v>
      </c>
      <c r="C1076" s="141" t="s">
        <v>466</v>
      </c>
      <c r="D1076" s="140" t="s">
        <v>467</v>
      </c>
      <c r="E1076" s="140">
        <v>8</v>
      </c>
      <c r="F1076" s="142">
        <v>45810.541666666672</v>
      </c>
      <c r="G1076" s="140" t="s">
        <v>845</v>
      </c>
      <c r="H1076" s="140" t="s">
        <v>853</v>
      </c>
    </row>
    <row r="1077" spans="1:8" ht="15.75" customHeight="1">
      <c r="A1077" s="140" t="s">
        <v>59</v>
      </c>
      <c r="B1077" s="140" t="s">
        <v>21</v>
      </c>
      <c r="C1077" s="141" t="s">
        <v>466</v>
      </c>
      <c r="D1077" s="140" t="s">
        <v>467</v>
      </c>
      <c r="E1077" s="140">
        <v>9</v>
      </c>
      <c r="F1077" s="142">
        <v>45824.583333333328</v>
      </c>
      <c r="G1077" s="140" t="s">
        <v>845</v>
      </c>
      <c r="H1077" s="140" t="s">
        <v>853</v>
      </c>
    </row>
    <row r="1078" spans="1:8" ht="15.75" customHeight="1">
      <c r="A1078" s="140" t="s">
        <v>59</v>
      </c>
      <c r="B1078" s="140" t="s">
        <v>21</v>
      </c>
      <c r="C1078" s="141" t="s">
        <v>466</v>
      </c>
      <c r="D1078" s="140" t="s">
        <v>467</v>
      </c>
      <c r="E1078" s="140">
        <v>10</v>
      </c>
      <c r="F1078" s="142">
        <v>45852.541666666672</v>
      </c>
      <c r="G1078" s="140" t="s">
        <v>845</v>
      </c>
      <c r="H1078" s="140" t="s">
        <v>853</v>
      </c>
    </row>
    <row r="1079" spans="1:8" ht="15.75" customHeight="1">
      <c r="A1079" s="140" t="s">
        <v>59</v>
      </c>
      <c r="B1079" s="140" t="s">
        <v>22</v>
      </c>
      <c r="C1079" s="141" t="s">
        <v>466</v>
      </c>
      <c r="D1079" s="140" t="s">
        <v>467</v>
      </c>
      <c r="E1079" s="140">
        <v>1</v>
      </c>
      <c r="F1079" s="142">
        <v>45915.541666666672</v>
      </c>
      <c r="G1079" s="140" t="s">
        <v>845</v>
      </c>
      <c r="H1079" s="140" t="s">
        <v>853</v>
      </c>
    </row>
    <row r="1080" spans="1:8" ht="15.75" customHeight="1">
      <c r="A1080" s="140" t="s">
        <v>59</v>
      </c>
      <c r="B1080" s="140" t="s">
        <v>22</v>
      </c>
      <c r="C1080" s="141" t="s">
        <v>466</v>
      </c>
      <c r="D1080" s="140" t="s">
        <v>467</v>
      </c>
      <c r="E1080" s="140">
        <v>2</v>
      </c>
      <c r="F1080" s="142">
        <v>45922.583333333328</v>
      </c>
      <c r="G1080" s="140" t="s">
        <v>843</v>
      </c>
      <c r="H1080" s="140" t="s">
        <v>853</v>
      </c>
    </row>
    <row r="1081" spans="1:8" ht="15.75" customHeight="1">
      <c r="A1081" s="140" t="s">
        <v>59</v>
      </c>
      <c r="B1081" s="140" t="s">
        <v>22</v>
      </c>
      <c r="C1081" s="141" t="s">
        <v>466</v>
      </c>
      <c r="D1081" s="140" t="s">
        <v>467</v>
      </c>
      <c r="E1081" s="140">
        <v>3</v>
      </c>
      <c r="F1081" s="142">
        <v>45929.541666666672</v>
      </c>
      <c r="G1081" s="140" t="s">
        <v>843</v>
      </c>
      <c r="H1081" s="140" t="s">
        <v>853</v>
      </c>
    </row>
    <row r="1082" spans="1:8" ht="15.75" customHeight="1">
      <c r="A1082" s="140" t="s">
        <v>59</v>
      </c>
      <c r="B1082" s="140" t="s">
        <v>22</v>
      </c>
      <c r="C1082" s="141" t="s">
        <v>466</v>
      </c>
      <c r="D1082" s="140" t="s">
        <v>467</v>
      </c>
      <c r="E1082" s="140">
        <v>4</v>
      </c>
      <c r="F1082" s="142">
        <v>45943.541666666672</v>
      </c>
      <c r="G1082" s="140" t="s">
        <v>845</v>
      </c>
      <c r="H1082" s="140" t="s">
        <v>853</v>
      </c>
    </row>
    <row r="1083" spans="1:8" ht="15.75" customHeight="1">
      <c r="A1083" s="140" t="s">
        <v>59</v>
      </c>
      <c r="B1083" s="140" t="s">
        <v>22</v>
      </c>
      <c r="C1083" s="141" t="s">
        <v>466</v>
      </c>
      <c r="D1083" s="140" t="s">
        <v>467</v>
      </c>
      <c r="E1083" s="140">
        <v>5</v>
      </c>
      <c r="F1083" s="142">
        <v>45950.583333333328</v>
      </c>
      <c r="G1083" s="140" t="s">
        <v>845</v>
      </c>
      <c r="H1083" s="140" t="s">
        <v>853</v>
      </c>
    </row>
    <row r="1084" spans="1:8" ht="15.75" customHeight="1">
      <c r="A1084" s="140" t="s">
        <v>59</v>
      </c>
      <c r="B1084" s="140" t="s">
        <v>22</v>
      </c>
      <c r="C1084" s="141" t="s">
        <v>466</v>
      </c>
      <c r="D1084" s="140" t="s">
        <v>467</v>
      </c>
      <c r="E1084" s="140">
        <v>6</v>
      </c>
      <c r="F1084" s="142">
        <v>45957.541666666672</v>
      </c>
      <c r="G1084" s="140" t="s">
        <v>845</v>
      </c>
      <c r="H1084" s="140" t="s">
        <v>853</v>
      </c>
    </row>
    <row r="1085" spans="1:8" ht="15.75" customHeight="1">
      <c r="A1085" s="140" t="s">
        <v>59</v>
      </c>
      <c r="B1085" s="140" t="s">
        <v>22</v>
      </c>
      <c r="C1085" s="141" t="s">
        <v>466</v>
      </c>
      <c r="D1085" s="140" t="s">
        <v>467</v>
      </c>
      <c r="E1085" s="140">
        <v>7</v>
      </c>
      <c r="F1085" s="142">
        <v>45972.583333333328</v>
      </c>
      <c r="G1085" s="140" t="s">
        <v>845</v>
      </c>
      <c r="H1085" s="140" t="s">
        <v>853</v>
      </c>
    </row>
    <row r="1086" spans="1:8" ht="15.75" customHeight="1">
      <c r="A1086" s="140" t="s">
        <v>59</v>
      </c>
      <c r="B1086" s="140" t="s">
        <v>22</v>
      </c>
      <c r="C1086" s="141" t="s">
        <v>466</v>
      </c>
      <c r="D1086" s="140" t="s">
        <v>467</v>
      </c>
      <c r="E1086" s="140">
        <v>8</v>
      </c>
      <c r="F1086" s="142">
        <v>45980.583333333328</v>
      </c>
      <c r="G1086" s="140" t="s">
        <v>845</v>
      </c>
      <c r="H1086" s="140" t="s">
        <v>853</v>
      </c>
    </row>
    <row r="1087" spans="1:8" ht="15.75" customHeight="1">
      <c r="A1087" s="140" t="s">
        <v>59</v>
      </c>
      <c r="B1087" s="140" t="s">
        <v>22</v>
      </c>
      <c r="C1087" s="141" t="s">
        <v>466</v>
      </c>
      <c r="D1087" s="140" t="s">
        <v>467</v>
      </c>
      <c r="E1087" s="140">
        <v>9</v>
      </c>
      <c r="F1087" s="142">
        <v>45981.583333333328</v>
      </c>
      <c r="G1087" s="140" t="s">
        <v>845</v>
      </c>
      <c r="H1087" s="140" t="s">
        <v>853</v>
      </c>
    </row>
    <row r="1088" spans="1:8" ht="15.75" customHeight="1">
      <c r="A1088" s="140" t="s">
        <v>59</v>
      </c>
      <c r="B1088" s="140" t="s">
        <v>22</v>
      </c>
      <c r="C1088" s="141" t="s">
        <v>466</v>
      </c>
      <c r="D1088" s="140" t="s">
        <v>467</v>
      </c>
      <c r="E1088" s="140">
        <v>10</v>
      </c>
      <c r="F1088" s="142">
        <v>45996.583333333328</v>
      </c>
      <c r="G1088" s="140" t="s">
        <v>845</v>
      </c>
      <c r="H1088" s="140" t="s">
        <v>853</v>
      </c>
    </row>
    <row r="1089" spans="1:8" ht="15.75" customHeight="1">
      <c r="A1089" s="140" t="s">
        <v>59</v>
      </c>
      <c r="B1089" s="140" t="s">
        <v>22</v>
      </c>
      <c r="C1089" s="141" t="s">
        <v>466</v>
      </c>
      <c r="D1089" s="140" t="s">
        <v>467</v>
      </c>
      <c r="E1089" s="140">
        <v>11</v>
      </c>
      <c r="F1089" s="142">
        <v>46006.583333333328</v>
      </c>
      <c r="G1089" s="140" t="s">
        <v>845</v>
      </c>
      <c r="H1089" s="140" t="s">
        <v>853</v>
      </c>
    </row>
    <row r="1090" spans="1:8" ht="15.75" customHeight="1">
      <c r="A1090" s="140" t="s">
        <v>59</v>
      </c>
      <c r="B1090" s="140" t="s">
        <v>22</v>
      </c>
      <c r="C1090" s="141" t="s">
        <v>466</v>
      </c>
      <c r="D1090" s="140" t="s">
        <v>467</v>
      </c>
      <c r="E1090" s="140">
        <v>12</v>
      </c>
      <c r="F1090" s="142">
        <v>46008.583333333328</v>
      </c>
      <c r="G1090" s="140" t="s">
        <v>845</v>
      </c>
      <c r="H1090" s="140" t="s">
        <v>853</v>
      </c>
    </row>
    <row r="1091" spans="1:8" ht="15.75" customHeight="1">
      <c r="A1091" s="140" t="s">
        <v>59</v>
      </c>
      <c r="B1091" s="140" t="s">
        <v>22</v>
      </c>
      <c r="C1091" s="141" t="s">
        <v>466</v>
      </c>
      <c r="D1091" s="140" t="s">
        <v>467</v>
      </c>
      <c r="E1091" s="140">
        <v>13</v>
      </c>
      <c r="F1091" s="142">
        <v>46017.541666666672</v>
      </c>
      <c r="G1091" s="140" t="s">
        <v>845</v>
      </c>
      <c r="H1091" s="140" t="s">
        <v>853</v>
      </c>
    </row>
    <row r="1092" spans="1:8" ht="15.75" customHeight="1">
      <c r="A1092" s="140" t="s">
        <v>59</v>
      </c>
      <c r="B1092" s="140" t="s">
        <v>22</v>
      </c>
      <c r="C1092" s="141" t="s">
        <v>466</v>
      </c>
      <c r="D1092" s="140" t="s">
        <v>467</v>
      </c>
      <c r="E1092" s="140">
        <v>14</v>
      </c>
      <c r="F1092" s="142">
        <v>46021.541666666672</v>
      </c>
      <c r="G1092" s="140" t="s">
        <v>845</v>
      </c>
      <c r="H1092" s="140" t="s">
        <v>853</v>
      </c>
    </row>
    <row r="1093" spans="1:8" ht="15.75" customHeight="1">
      <c r="A1093" s="140" t="s">
        <v>59</v>
      </c>
      <c r="B1093" s="140" t="s">
        <v>22</v>
      </c>
      <c r="C1093" s="141" t="s">
        <v>466</v>
      </c>
      <c r="D1093" s="140" t="s">
        <v>467</v>
      </c>
      <c r="E1093" s="140">
        <v>15</v>
      </c>
      <c r="F1093" s="142">
        <v>46041.541666666672</v>
      </c>
      <c r="G1093" s="140" t="s">
        <v>845</v>
      </c>
      <c r="H1093" s="140" t="s">
        <v>853</v>
      </c>
    </row>
    <row r="1094" spans="1:8" ht="15.75" customHeight="1">
      <c r="A1094" s="140" t="s">
        <v>59</v>
      </c>
      <c r="B1094" s="140" t="s">
        <v>22</v>
      </c>
      <c r="C1094" s="141" t="s">
        <v>466</v>
      </c>
      <c r="D1094" s="140" t="s">
        <v>467</v>
      </c>
      <c r="E1094" s="140">
        <v>16</v>
      </c>
      <c r="F1094" s="142">
        <v>46115.541666666672</v>
      </c>
      <c r="G1094" s="140" t="s">
        <v>845</v>
      </c>
      <c r="H1094" s="140" t="s">
        <v>853</v>
      </c>
    </row>
    <row r="1095" spans="1:8" ht="15.75" customHeight="1">
      <c r="A1095" s="140" t="s">
        <v>59</v>
      </c>
      <c r="B1095" s="140" t="s">
        <v>21</v>
      </c>
      <c r="C1095" s="141" t="s">
        <v>484</v>
      </c>
      <c r="D1095" s="140" t="s">
        <v>485</v>
      </c>
      <c r="E1095" s="140">
        <v>1</v>
      </c>
      <c r="F1095" s="142">
        <v>45663.583333333328</v>
      </c>
      <c r="G1095" s="140" t="s">
        <v>845</v>
      </c>
      <c r="H1095" s="140" t="s">
        <v>853</v>
      </c>
    </row>
    <row r="1096" spans="1:8" ht="15.75" customHeight="1">
      <c r="A1096" s="140" t="s">
        <v>59</v>
      </c>
      <c r="B1096" s="140" t="s">
        <v>21</v>
      </c>
      <c r="C1096" s="141" t="s">
        <v>484</v>
      </c>
      <c r="D1096" s="140" t="s">
        <v>485</v>
      </c>
      <c r="E1096" s="140">
        <v>2</v>
      </c>
      <c r="F1096" s="142">
        <v>45698.583333333328</v>
      </c>
      <c r="G1096" s="140" t="s">
        <v>845</v>
      </c>
      <c r="H1096" s="140" t="s">
        <v>853</v>
      </c>
    </row>
    <row r="1097" spans="1:8" ht="15.75" customHeight="1">
      <c r="A1097" s="140" t="s">
        <v>59</v>
      </c>
      <c r="B1097" s="140" t="s">
        <v>21</v>
      </c>
      <c r="C1097" s="141" t="s">
        <v>484</v>
      </c>
      <c r="D1097" s="140" t="s">
        <v>485</v>
      </c>
      <c r="E1097" s="140">
        <v>3</v>
      </c>
      <c r="F1097" s="142">
        <v>45716.583333333328</v>
      </c>
      <c r="G1097" s="140" t="s">
        <v>843</v>
      </c>
      <c r="H1097" s="140" t="s">
        <v>853</v>
      </c>
    </row>
    <row r="1098" spans="1:8" ht="15.75" customHeight="1">
      <c r="A1098" s="140" t="s">
        <v>59</v>
      </c>
      <c r="B1098" s="140" t="s">
        <v>21</v>
      </c>
      <c r="C1098" s="141" t="s">
        <v>484</v>
      </c>
      <c r="D1098" s="140" t="s">
        <v>485</v>
      </c>
      <c r="E1098" s="140">
        <v>4</v>
      </c>
      <c r="F1098" s="142">
        <v>45762.583333333328</v>
      </c>
      <c r="G1098" s="140" t="s">
        <v>845</v>
      </c>
      <c r="H1098" s="140" t="s">
        <v>853</v>
      </c>
    </row>
    <row r="1099" spans="1:8" ht="15.75" customHeight="1">
      <c r="A1099" s="140" t="s">
        <v>59</v>
      </c>
      <c r="B1099" s="140" t="s">
        <v>21</v>
      </c>
      <c r="C1099" s="141" t="s">
        <v>484</v>
      </c>
      <c r="D1099" s="140" t="s">
        <v>485</v>
      </c>
      <c r="E1099" s="140">
        <v>5</v>
      </c>
      <c r="F1099" s="142">
        <v>45768.583333333328</v>
      </c>
      <c r="G1099" s="140" t="s">
        <v>845</v>
      </c>
      <c r="H1099" s="140" t="s">
        <v>853</v>
      </c>
    </row>
    <row r="1100" spans="1:8" ht="15.75" customHeight="1">
      <c r="A1100" s="140" t="s">
        <v>59</v>
      </c>
      <c r="B1100" s="140" t="s">
        <v>21</v>
      </c>
      <c r="C1100" s="141" t="s">
        <v>484</v>
      </c>
      <c r="D1100" s="140" t="s">
        <v>485</v>
      </c>
      <c r="E1100" s="140">
        <v>6</v>
      </c>
      <c r="F1100" s="142">
        <v>45782.541666666672</v>
      </c>
      <c r="G1100" s="140" t="s">
        <v>845</v>
      </c>
      <c r="H1100" s="140" t="s">
        <v>853</v>
      </c>
    </row>
    <row r="1101" spans="1:8" ht="15.75" customHeight="1">
      <c r="A1101" s="140" t="s">
        <v>59</v>
      </c>
      <c r="B1101" s="140" t="s">
        <v>21</v>
      </c>
      <c r="C1101" s="141" t="s">
        <v>484</v>
      </c>
      <c r="D1101" s="140" t="s">
        <v>485</v>
      </c>
      <c r="E1101" s="140">
        <v>7</v>
      </c>
      <c r="F1101" s="142">
        <v>45806.583333333328</v>
      </c>
      <c r="G1101" s="140" t="s">
        <v>845</v>
      </c>
      <c r="H1101" s="140" t="s">
        <v>853</v>
      </c>
    </row>
    <row r="1102" spans="1:8" ht="15.75" customHeight="1">
      <c r="A1102" s="140" t="s">
        <v>59</v>
      </c>
      <c r="B1102" s="140" t="s">
        <v>21</v>
      </c>
      <c r="C1102" s="141" t="s">
        <v>484</v>
      </c>
      <c r="D1102" s="140" t="s">
        <v>485</v>
      </c>
      <c r="E1102" s="140">
        <v>8</v>
      </c>
      <c r="F1102" s="142">
        <v>45810.541666666672</v>
      </c>
      <c r="G1102" s="140" t="s">
        <v>845</v>
      </c>
      <c r="H1102" s="140" t="s">
        <v>853</v>
      </c>
    </row>
    <row r="1103" spans="1:8" ht="15.75" customHeight="1">
      <c r="A1103" s="140" t="s">
        <v>59</v>
      </c>
      <c r="B1103" s="140" t="s">
        <v>21</v>
      </c>
      <c r="C1103" s="141" t="s">
        <v>484</v>
      </c>
      <c r="D1103" s="140" t="s">
        <v>485</v>
      </c>
      <c r="E1103" s="140">
        <v>9</v>
      </c>
      <c r="F1103" s="142">
        <v>45824.583333333328</v>
      </c>
      <c r="G1103" s="140" t="s">
        <v>845</v>
      </c>
      <c r="H1103" s="140" t="s">
        <v>853</v>
      </c>
    </row>
    <row r="1104" spans="1:8" ht="15.75" customHeight="1">
      <c r="A1104" s="140" t="s">
        <v>59</v>
      </c>
      <c r="B1104" s="140" t="s">
        <v>21</v>
      </c>
      <c r="C1104" s="141" t="s">
        <v>484</v>
      </c>
      <c r="D1104" s="140" t="s">
        <v>485</v>
      </c>
      <c r="E1104" s="140">
        <v>10</v>
      </c>
      <c r="F1104" s="142">
        <v>45852.541666666672</v>
      </c>
      <c r="G1104" s="140" t="s">
        <v>845</v>
      </c>
      <c r="H1104" s="140" t="s">
        <v>853</v>
      </c>
    </row>
    <row r="1105" spans="1:8" ht="15.75" customHeight="1">
      <c r="A1105" s="140" t="s">
        <v>59</v>
      </c>
      <c r="B1105" s="140" t="s">
        <v>22</v>
      </c>
      <c r="C1105" s="141" t="s">
        <v>484</v>
      </c>
      <c r="D1105" s="140" t="s">
        <v>485</v>
      </c>
      <c r="E1105" s="140">
        <v>1</v>
      </c>
      <c r="F1105" s="142">
        <v>45915.541666666672</v>
      </c>
      <c r="G1105" s="140" t="s">
        <v>845</v>
      </c>
      <c r="H1105" s="140" t="s">
        <v>853</v>
      </c>
    </row>
    <row r="1106" spans="1:8" ht="15.75" customHeight="1">
      <c r="A1106" s="140" t="s">
        <v>59</v>
      </c>
      <c r="B1106" s="140" t="s">
        <v>22</v>
      </c>
      <c r="C1106" s="141" t="s">
        <v>484</v>
      </c>
      <c r="D1106" s="140" t="s">
        <v>485</v>
      </c>
      <c r="E1106" s="140">
        <v>2</v>
      </c>
      <c r="F1106" s="142">
        <v>45922.583333333328</v>
      </c>
      <c r="G1106" s="140" t="s">
        <v>845</v>
      </c>
      <c r="H1106" s="140" t="s">
        <v>853</v>
      </c>
    </row>
    <row r="1107" spans="1:8" ht="15.75" customHeight="1">
      <c r="A1107" s="140" t="s">
        <v>59</v>
      </c>
      <c r="B1107" s="140" t="s">
        <v>22</v>
      </c>
      <c r="C1107" s="141" t="s">
        <v>484</v>
      </c>
      <c r="D1107" s="140" t="s">
        <v>485</v>
      </c>
      <c r="E1107" s="140">
        <v>3</v>
      </c>
      <c r="F1107" s="142">
        <v>45929.541666666672</v>
      </c>
      <c r="G1107" s="140" t="s">
        <v>845</v>
      </c>
      <c r="H1107" s="140" t="s">
        <v>853</v>
      </c>
    </row>
    <row r="1108" spans="1:8" ht="15.75" customHeight="1">
      <c r="A1108" s="140" t="s">
        <v>59</v>
      </c>
      <c r="B1108" s="140" t="s">
        <v>22</v>
      </c>
      <c r="C1108" s="141" t="s">
        <v>484</v>
      </c>
      <c r="D1108" s="140" t="s">
        <v>485</v>
      </c>
      <c r="E1108" s="140">
        <v>4</v>
      </c>
      <c r="F1108" s="142">
        <v>45943.541666666672</v>
      </c>
      <c r="G1108" s="140" t="s">
        <v>843</v>
      </c>
      <c r="H1108" s="140" t="s">
        <v>853</v>
      </c>
    </row>
    <row r="1109" spans="1:8" ht="15.75" customHeight="1">
      <c r="A1109" s="140" t="s">
        <v>59</v>
      </c>
      <c r="B1109" s="140" t="s">
        <v>22</v>
      </c>
      <c r="C1109" s="141" t="s">
        <v>484</v>
      </c>
      <c r="D1109" s="140" t="s">
        <v>485</v>
      </c>
      <c r="E1109" s="140">
        <v>5</v>
      </c>
      <c r="F1109" s="142">
        <v>45950.583333333328</v>
      </c>
      <c r="G1109" s="140" t="s">
        <v>845</v>
      </c>
      <c r="H1109" s="140" t="s">
        <v>853</v>
      </c>
    </row>
    <row r="1110" spans="1:8" ht="15.75" customHeight="1">
      <c r="A1110" s="140" t="s">
        <v>59</v>
      </c>
      <c r="B1110" s="140" t="s">
        <v>22</v>
      </c>
      <c r="C1110" s="141" t="s">
        <v>484</v>
      </c>
      <c r="D1110" s="140" t="s">
        <v>485</v>
      </c>
      <c r="E1110" s="140">
        <v>6</v>
      </c>
      <c r="F1110" s="142">
        <v>45957.541666666672</v>
      </c>
      <c r="G1110" s="140" t="s">
        <v>845</v>
      </c>
      <c r="H1110" s="140" t="s">
        <v>853</v>
      </c>
    </row>
    <row r="1111" spans="1:8" ht="15.75" customHeight="1">
      <c r="A1111" s="140" t="s">
        <v>59</v>
      </c>
      <c r="B1111" s="140" t="s">
        <v>22</v>
      </c>
      <c r="C1111" s="141" t="s">
        <v>484</v>
      </c>
      <c r="D1111" s="140" t="s">
        <v>485</v>
      </c>
      <c r="E1111" s="140">
        <v>7</v>
      </c>
      <c r="F1111" s="142">
        <v>45972.583333333328</v>
      </c>
      <c r="G1111" s="140" t="s">
        <v>845</v>
      </c>
      <c r="H1111" s="140" t="s">
        <v>853</v>
      </c>
    </row>
    <row r="1112" spans="1:8" ht="15.75" customHeight="1">
      <c r="A1112" s="140" t="s">
        <v>59</v>
      </c>
      <c r="B1112" s="140" t="s">
        <v>22</v>
      </c>
      <c r="C1112" s="141" t="s">
        <v>484</v>
      </c>
      <c r="D1112" s="140" t="s">
        <v>485</v>
      </c>
      <c r="E1112" s="140">
        <v>8</v>
      </c>
      <c r="F1112" s="142">
        <v>45980.583333333328</v>
      </c>
      <c r="G1112" s="140" t="s">
        <v>845</v>
      </c>
      <c r="H1112" s="140" t="s">
        <v>853</v>
      </c>
    </row>
    <row r="1113" spans="1:8" ht="15.75" customHeight="1">
      <c r="A1113" s="140" t="s">
        <v>59</v>
      </c>
      <c r="B1113" s="140" t="s">
        <v>22</v>
      </c>
      <c r="C1113" s="141" t="s">
        <v>484</v>
      </c>
      <c r="D1113" s="140" t="s">
        <v>485</v>
      </c>
      <c r="E1113" s="140">
        <v>9</v>
      </c>
      <c r="F1113" s="142">
        <v>45981.583333333328</v>
      </c>
      <c r="G1113" s="140" t="s">
        <v>845</v>
      </c>
      <c r="H1113" s="140" t="s">
        <v>853</v>
      </c>
    </row>
    <row r="1114" spans="1:8" ht="15.75" customHeight="1">
      <c r="A1114" s="140" t="s">
        <v>59</v>
      </c>
      <c r="B1114" s="140" t="s">
        <v>22</v>
      </c>
      <c r="C1114" s="141" t="s">
        <v>484</v>
      </c>
      <c r="D1114" s="140" t="s">
        <v>485</v>
      </c>
      <c r="E1114" s="140">
        <v>10</v>
      </c>
      <c r="F1114" s="142">
        <v>45996.583333333328</v>
      </c>
      <c r="G1114" s="140" t="s">
        <v>845</v>
      </c>
      <c r="H1114" s="140" t="s">
        <v>853</v>
      </c>
    </row>
    <row r="1115" spans="1:8" ht="15.75" customHeight="1">
      <c r="A1115" s="140" t="s">
        <v>59</v>
      </c>
      <c r="B1115" s="140" t="s">
        <v>22</v>
      </c>
      <c r="C1115" s="141" t="s">
        <v>484</v>
      </c>
      <c r="D1115" s="140" t="s">
        <v>485</v>
      </c>
      <c r="E1115" s="140">
        <v>11</v>
      </c>
      <c r="F1115" s="142">
        <v>46006.583333333328</v>
      </c>
      <c r="G1115" s="140" t="s">
        <v>845</v>
      </c>
      <c r="H1115" s="140" t="s">
        <v>853</v>
      </c>
    </row>
    <row r="1116" spans="1:8" ht="15.75" customHeight="1">
      <c r="A1116" s="140" t="s">
        <v>59</v>
      </c>
      <c r="B1116" s="140" t="s">
        <v>22</v>
      </c>
      <c r="C1116" s="141" t="s">
        <v>484</v>
      </c>
      <c r="D1116" s="140" t="s">
        <v>485</v>
      </c>
      <c r="E1116" s="140">
        <v>12</v>
      </c>
      <c r="F1116" s="142">
        <v>46008.583333333328</v>
      </c>
      <c r="G1116" s="140" t="s">
        <v>845</v>
      </c>
      <c r="H1116" s="140" t="s">
        <v>853</v>
      </c>
    </row>
    <row r="1117" spans="1:8" ht="15.75" customHeight="1">
      <c r="A1117" s="140" t="s">
        <v>59</v>
      </c>
      <c r="B1117" s="140" t="s">
        <v>22</v>
      </c>
      <c r="C1117" s="141" t="s">
        <v>484</v>
      </c>
      <c r="D1117" s="140" t="s">
        <v>485</v>
      </c>
      <c r="E1117" s="140">
        <v>13</v>
      </c>
      <c r="F1117" s="142">
        <v>46017.541666666672</v>
      </c>
      <c r="G1117" s="140" t="s">
        <v>845</v>
      </c>
      <c r="H1117" s="140" t="s">
        <v>853</v>
      </c>
    </row>
    <row r="1118" spans="1:8" ht="15.75" customHeight="1">
      <c r="A1118" s="140" t="s">
        <v>59</v>
      </c>
      <c r="B1118" s="140" t="s">
        <v>22</v>
      </c>
      <c r="C1118" s="141" t="s">
        <v>484</v>
      </c>
      <c r="D1118" s="140" t="s">
        <v>485</v>
      </c>
      <c r="E1118" s="140">
        <v>14</v>
      </c>
      <c r="F1118" s="142">
        <v>46021.541666666672</v>
      </c>
      <c r="G1118" s="140" t="s">
        <v>843</v>
      </c>
      <c r="H1118" s="140" t="s">
        <v>853</v>
      </c>
    </row>
    <row r="1119" spans="1:8" ht="15.75" customHeight="1">
      <c r="A1119" s="140" t="s">
        <v>59</v>
      </c>
      <c r="B1119" s="140" t="s">
        <v>22</v>
      </c>
      <c r="C1119" s="141" t="s">
        <v>484</v>
      </c>
      <c r="D1119" s="140" t="s">
        <v>485</v>
      </c>
      <c r="E1119" s="140">
        <v>15</v>
      </c>
      <c r="F1119" s="142">
        <v>46041.541666666672</v>
      </c>
      <c r="G1119" s="140" t="s">
        <v>843</v>
      </c>
      <c r="H1119" s="140" t="s">
        <v>853</v>
      </c>
    </row>
    <row r="1120" spans="1:8" ht="15.75" customHeight="1">
      <c r="A1120" s="140" t="s">
        <v>59</v>
      </c>
      <c r="B1120" s="140" t="s">
        <v>22</v>
      </c>
      <c r="C1120" s="141" t="s">
        <v>484</v>
      </c>
      <c r="D1120" s="140" t="s">
        <v>485</v>
      </c>
      <c r="E1120" s="140">
        <v>16</v>
      </c>
      <c r="F1120" s="142">
        <v>46115.541666666672</v>
      </c>
      <c r="G1120" s="140" t="s">
        <v>843</v>
      </c>
      <c r="H1120" s="140" t="s">
        <v>853</v>
      </c>
    </row>
    <row r="1121" spans="1:8" ht="15.75" customHeight="1">
      <c r="A1121" s="140" t="s">
        <v>59</v>
      </c>
      <c r="B1121" s="140" t="s">
        <v>22</v>
      </c>
      <c r="C1121" s="141" t="s">
        <v>547</v>
      </c>
      <c r="D1121" s="140" t="s">
        <v>548</v>
      </c>
      <c r="E1121" s="140">
        <v>1</v>
      </c>
      <c r="F1121" s="142">
        <v>45915.541666666672</v>
      </c>
      <c r="G1121" s="140" t="s">
        <v>845</v>
      </c>
      <c r="H1121" s="140" t="s">
        <v>853</v>
      </c>
    </row>
    <row r="1122" spans="1:8" ht="15.75" customHeight="1">
      <c r="A1122" s="140" t="s">
        <v>59</v>
      </c>
      <c r="B1122" s="140" t="s">
        <v>22</v>
      </c>
      <c r="C1122" s="141" t="s">
        <v>547</v>
      </c>
      <c r="D1122" s="140" t="s">
        <v>548</v>
      </c>
      <c r="E1122" s="140">
        <v>2</v>
      </c>
      <c r="F1122" s="142">
        <v>45922.583333333328</v>
      </c>
      <c r="G1122" s="140" t="s">
        <v>845</v>
      </c>
      <c r="H1122" s="140" t="s">
        <v>853</v>
      </c>
    </row>
    <row r="1123" spans="1:8" ht="15.75" customHeight="1">
      <c r="A1123" s="140" t="s">
        <v>59</v>
      </c>
      <c r="B1123" s="140" t="s">
        <v>22</v>
      </c>
      <c r="C1123" s="141" t="s">
        <v>547</v>
      </c>
      <c r="D1123" s="140" t="s">
        <v>548</v>
      </c>
      <c r="E1123" s="140">
        <v>3</v>
      </c>
      <c r="F1123" s="142">
        <v>45929.541666666672</v>
      </c>
      <c r="G1123" s="140" t="s">
        <v>845</v>
      </c>
      <c r="H1123" s="140" t="s">
        <v>853</v>
      </c>
    </row>
    <row r="1124" spans="1:8" ht="15.75" customHeight="1">
      <c r="A1124" s="140" t="s">
        <v>59</v>
      </c>
      <c r="B1124" s="140" t="s">
        <v>22</v>
      </c>
      <c r="C1124" s="141" t="s">
        <v>547</v>
      </c>
      <c r="D1124" s="140" t="s">
        <v>548</v>
      </c>
      <c r="E1124" s="140">
        <v>4</v>
      </c>
      <c r="F1124" s="142">
        <v>45943.541666666672</v>
      </c>
      <c r="G1124" s="140" t="s">
        <v>843</v>
      </c>
      <c r="H1124" s="140" t="s">
        <v>853</v>
      </c>
    </row>
    <row r="1125" spans="1:8" ht="15.75" customHeight="1">
      <c r="A1125" s="140" t="s">
        <v>59</v>
      </c>
      <c r="B1125" s="140" t="s">
        <v>22</v>
      </c>
      <c r="C1125" s="141" t="s">
        <v>547</v>
      </c>
      <c r="D1125" s="140" t="s">
        <v>548</v>
      </c>
      <c r="E1125" s="140">
        <v>5</v>
      </c>
      <c r="F1125" s="142">
        <v>45950.583333333328</v>
      </c>
      <c r="G1125" s="140" t="s">
        <v>845</v>
      </c>
      <c r="H1125" s="140" t="s">
        <v>853</v>
      </c>
    </row>
    <row r="1126" spans="1:8" ht="15.75" customHeight="1">
      <c r="A1126" s="140" t="s">
        <v>59</v>
      </c>
      <c r="B1126" s="140" t="s">
        <v>22</v>
      </c>
      <c r="C1126" s="141" t="s">
        <v>547</v>
      </c>
      <c r="D1126" s="140" t="s">
        <v>548</v>
      </c>
      <c r="E1126" s="140">
        <v>6</v>
      </c>
      <c r="F1126" s="142">
        <v>45957.541666666672</v>
      </c>
      <c r="G1126" s="140" t="s">
        <v>845</v>
      </c>
      <c r="H1126" s="140" t="s">
        <v>853</v>
      </c>
    </row>
    <row r="1127" spans="1:8" ht="15.75" customHeight="1">
      <c r="A1127" s="140" t="s">
        <v>59</v>
      </c>
      <c r="B1127" s="140" t="s">
        <v>22</v>
      </c>
      <c r="C1127" s="141" t="s">
        <v>547</v>
      </c>
      <c r="D1127" s="140" t="s">
        <v>548</v>
      </c>
      <c r="E1127" s="140">
        <v>7</v>
      </c>
      <c r="F1127" s="142">
        <v>45972.583333333328</v>
      </c>
      <c r="G1127" s="140" t="s">
        <v>845</v>
      </c>
      <c r="H1127" s="140" t="s">
        <v>853</v>
      </c>
    </row>
    <row r="1128" spans="1:8" ht="15.75" customHeight="1">
      <c r="A1128" s="140" t="s">
        <v>59</v>
      </c>
      <c r="B1128" s="140" t="s">
        <v>22</v>
      </c>
      <c r="C1128" s="141" t="s">
        <v>547</v>
      </c>
      <c r="D1128" s="140" t="s">
        <v>548</v>
      </c>
      <c r="E1128" s="140">
        <v>8</v>
      </c>
      <c r="F1128" s="142">
        <v>45980.583333333328</v>
      </c>
      <c r="G1128" s="140" t="s">
        <v>845</v>
      </c>
      <c r="H1128" s="140" t="s">
        <v>853</v>
      </c>
    </row>
    <row r="1129" spans="1:8" ht="15.75" customHeight="1">
      <c r="A1129" s="140" t="s">
        <v>59</v>
      </c>
      <c r="B1129" s="140" t="s">
        <v>22</v>
      </c>
      <c r="C1129" s="141" t="s">
        <v>547</v>
      </c>
      <c r="D1129" s="140" t="s">
        <v>548</v>
      </c>
      <c r="E1129" s="140">
        <v>9</v>
      </c>
      <c r="F1129" s="142">
        <v>45981.583333333328</v>
      </c>
      <c r="G1129" s="140" t="s">
        <v>845</v>
      </c>
      <c r="H1129" s="140" t="s">
        <v>853</v>
      </c>
    </row>
    <row r="1130" spans="1:8" ht="15.75" customHeight="1">
      <c r="A1130" s="140" t="s">
        <v>59</v>
      </c>
      <c r="B1130" s="140" t="s">
        <v>22</v>
      </c>
      <c r="C1130" s="141" t="s">
        <v>547</v>
      </c>
      <c r="D1130" s="140" t="s">
        <v>548</v>
      </c>
      <c r="E1130" s="140">
        <v>10</v>
      </c>
      <c r="F1130" s="142">
        <v>45996.583333333328</v>
      </c>
      <c r="G1130" s="140" t="s">
        <v>845</v>
      </c>
      <c r="H1130" s="140" t="s">
        <v>853</v>
      </c>
    </row>
    <row r="1131" spans="1:8" ht="15.75" customHeight="1">
      <c r="A1131" s="140" t="s">
        <v>59</v>
      </c>
      <c r="B1131" s="140" t="s">
        <v>22</v>
      </c>
      <c r="C1131" s="141" t="s">
        <v>547</v>
      </c>
      <c r="D1131" s="140" t="s">
        <v>548</v>
      </c>
      <c r="E1131" s="140">
        <v>11</v>
      </c>
      <c r="F1131" s="142">
        <v>46006.583333333328</v>
      </c>
      <c r="G1131" s="140" t="s">
        <v>845</v>
      </c>
      <c r="H1131" s="140" t="s">
        <v>853</v>
      </c>
    </row>
    <row r="1132" spans="1:8" ht="15.75" customHeight="1">
      <c r="A1132" s="140" t="s">
        <v>59</v>
      </c>
      <c r="B1132" s="140" t="s">
        <v>22</v>
      </c>
      <c r="C1132" s="141" t="s">
        <v>547</v>
      </c>
      <c r="D1132" s="140" t="s">
        <v>548</v>
      </c>
      <c r="E1132" s="140">
        <v>12</v>
      </c>
      <c r="F1132" s="142">
        <v>46008.583333333328</v>
      </c>
      <c r="G1132" s="140" t="s">
        <v>845</v>
      </c>
      <c r="H1132" s="140" t="s">
        <v>853</v>
      </c>
    </row>
    <row r="1133" spans="1:8" ht="15.75" customHeight="1">
      <c r="A1133" s="140" t="s">
        <v>59</v>
      </c>
      <c r="B1133" s="140" t="s">
        <v>22</v>
      </c>
      <c r="C1133" s="141" t="s">
        <v>547</v>
      </c>
      <c r="D1133" s="140" t="s">
        <v>548</v>
      </c>
      <c r="E1133" s="140">
        <v>13</v>
      </c>
      <c r="F1133" s="142">
        <v>46017.541666666672</v>
      </c>
      <c r="G1133" s="140" t="s">
        <v>843</v>
      </c>
      <c r="H1133" s="140" t="s">
        <v>853</v>
      </c>
    </row>
    <row r="1134" spans="1:8" ht="15.75" customHeight="1">
      <c r="A1134" s="140" t="s">
        <v>59</v>
      </c>
      <c r="B1134" s="140" t="s">
        <v>22</v>
      </c>
      <c r="C1134" s="141" t="s">
        <v>547</v>
      </c>
      <c r="D1134" s="140" t="s">
        <v>548</v>
      </c>
      <c r="E1134" s="140">
        <v>14</v>
      </c>
      <c r="F1134" s="142">
        <v>46021.541666666672</v>
      </c>
      <c r="G1134" s="140" t="s">
        <v>845</v>
      </c>
      <c r="H1134" s="140" t="s">
        <v>853</v>
      </c>
    </row>
    <row r="1135" spans="1:8" ht="15.75" customHeight="1">
      <c r="A1135" s="140" t="s">
        <v>59</v>
      </c>
      <c r="B1135" s="140" t="s">
        <v>22</v>
      </c>
      <c r="C1135" s="141" t="s">
        <v>547</v>
      </c>
      <c r="D1135" s="140" t="s">
        <v>548</v>
      </c>
      <c r="E1135" s="140">
        <v>15</v>
      </c>
      <c r="F1135" s="142">
        <v>46041.541666666672</v>
      </c>
      <c r="G1135" s="140" t="s">
        <v>845</v>
      </c>
      <c r="H1135" s="140" t="s">
        <v>853</v>
      </c>
    </row>
    <row r="1136" spans="1:8" ht="15.75" customHeight="1">
      <c r="A1136" s="140" t="s">
        <v>59</v>
      </c>
      <c r="B1136" s="140" t="s">
        <v>22</v>
      </c>
      <c r="C1136" s="141" t="s">
        <v>547</v>
      </c>
      <c r="D1136" s="140" t="s">
        <v>548</v>
      </c>
      <c r="E1136" s="140">
        <v>16</v>
      </c>
      <c r="F1136" s="142">
        <v>46115.541666666672</v>
      </c>
      <c r="G1136" s="140" t="s">
        <v>845</v>
      </c>
      <c r="H1136" s="140" t="s">
        <v>853</v>
      </c>
    </row>
    <row r="1137" spans="1:8" ht="15.75" customHeight="1">
      <c r="A1137" s="140" t="s">
        <v>60</v>
      </c>
      <c r="B1137" s="140" t="s">
        <v>22</v>
      </c>
      <c r="C1137" s="141" t="s">
        <v>140</v>
      </c>
      <c r="D1137" s="140" t="s">
        <v>141</v>
      </c>
      <c r="E1137" s="140">
        <v>1</v>
      </c>
      <c r="F1137" s="142">
        <v>45853.375</v>
      </c>
      <c r="G1137" s="140" t="s">
        <v>845</v>
      </c>
      <c r="H1137" s="140" t="s">
        <v>854</v>
      </c>
    </row>
    <row r="1138" spans="1:8" ht="15.75" customHeight="1">
      <c r="A1138" s="140" t="s">
        <v>60</v>
      </c>
      <c r="B1138" s="140" t="s">
        <v>22</v>
      </c>
      <c r="C1138" s="141" t="s">
        <v>140</v>
      </c>
      <c r="D1138" s="140" t="s">
        <v>141</v>
      </c>
      <c r="E1138" s="140">
        <v>2</v>
      </c>
      <c r="F1138" s="142">
        <v>45853.458333333328</v>
      </c>
      <c r="G1138" s="140" t="s">
        <v>845</v>
      </c>
      <c r="H1138" s="140" t="s">
        <v>854</v>
      </c>
    </row>
    <row r="1139" spans="1:8" ht="15.75" customHeight="1">
      <c r="A1139" s="140" t="s">
        <v>60</v>
      </c>
      <c r="B1139" s="140" t="s">
        <v>22</v>
      </c>
      <c r="C1139" s="141" t="s">
        <v>140</v>
      </c>
      <c r="D1139" s="140" t="s">
        <v>141</v>
      </c>
      <c r="E1139" s="140">
        <v>3</v>
      </c>
      <c r="F1139" s="142">
        <v>45888.375</v>
      </c>
      <c r="G1139" s="140" t="s">
        <v>845</v>
      </c>
      <c r="H1139" s="140" t="s">
        <v>854</v>
      </c>
    </row>
    <row r="1140" spans="1:8" ht="15.75" customHeight="1">
      <c r="A1140" s="140" t="s">
        <v>60</v>
      </c>
      <c r="B1140" s="140" t="s">
        <v>22</v>
      </c>
      <c r="C1140" s="141" t="s">
        <v>140</v>
      </c>
      <c r="D1140" s="140" t="s">
        <v>141</v>
      </c>
      <c r="E1140" s="140">
        <v>4</v>
      </c>
      <c r="F1140" s="142">
        <v>45895.458333333328</v>
      </c>
      <c r="G1140" s="140" t="s">
        <v>845</v>
      </c>
      <c r="H1140" s="140" t="s">
        <v>854</v>
      </c>
    </row>
    <row r="1141" spans="1:8" ht="15.75" customHeight="1">
      <c r="A1141" s="140" t="s">
        <v>60</v>
      </c>
      <c r="B1141" s="140" t="s">
        <v>21</v>
      </c>
      <c r="C1141" s="141" t="s">
        <v>216</v>
      </c>
      <c r="D1141" s="140" t="s">
        <v>217</v>
      </c>
      <c r="E1141" s="140">
        <v>1</v>
      </c>
      <c r="F1141" s="142">
        <v>45644.375</v>
      </c>
      <c r="G1141" s="140" t="s">
        <v>845</v>
      </c>
      <c r="H1141" s="140" t="s">
        <v>854</v>
      </c>
    </row>
    <row r="1142" spans="1:8" ht="15.75" customHeight="1">
      <c r="A1142" s="140" t="s">
        <v>60</v>
      </c>
      <c r="B1142" s="140" t="s">
        <v>21</v>
      </c>
      <c r="C1142" s="141" t="s">
        <v>216</v>
      </c>
      <c r="D1142" s="140" t="s">
        <v>217</v>
      </c>
      <c r="E1142" s="140">
        <v>2</v>
      </c>
      <c r="F1142" s="142">
        <v>45652.375</v>
      </c>
      <c r="G1142" s="140" t="s">
        <v>845</v>
      </c>
      <c r="H1142" s="140" t="s">
        <v>854</v>
      </c>
    </row>
    <row r="1143" spans="1:8" ht="15.75" customHeight="1">
      <c r="A1143" s="140" t="s">
        <v>60</v>
      </c>
      <c r="B1143" s="140" t="s">
        <v>21</v>
      </c>
      <c r="C1143" s="141" t="s">
        <v>216</v>
      </c>
      <c r="D1143" s="140" t="s">
        <v>217</v>
      </c>
      <c r="E1143" s="140">
        <v>3</v>
      </c>
      <c r="F1143" s="142">
        <v>45659.375</v>
      </c>
      <c r="G1143" s="140" t="s">
        <v>845</v>
      </c>
      <c r="H1143" s="140" t="s">
        <v>854</v>
      </c>
    </row>
    <row r="1144" spans="1:8" ht="15.75" customHeight="1">
      <c r="A1144" s="140" t="s">
        <v>60</v>
      </c>
      <c r="B1144" s="140" t="s">
        <v>21</v>
      </c>
      <c r="C1144" s="141" t="s">
        <v>216</v>
      </c>
      <c r="D1144" s="140" t="s">
        <v>217</v>
      </c>
      <c r="E1144" s="140">
        <v>4</v>
      </c>
      <c r="F1144" s="142">
        <v>45671.375</v>
      </c>
      <c r="G1144" s="140" t="s">
        <v>845</v>
      </c>
      <c r="H1144" s="140" t="s">
        <v>854</v>
      </c>
    </row>
    <row r="1145" spans="1:8" ht="15.75" customHeight="1">
      <c r="A1145" s="140" t="s">
        <v>60</v>
      </c>
      <c r="B1145" s="140" t="s">
        <v>21</v>
      </c>
      <c r="C1145" s="141" t="s">
        <v>216</v>
      </c>
      <c r="D1145" s="140" t="s">
        <v>217</v>
      </c>
      <c r="E1145" s="140">
        <v>5</v>
      </c>
      <c r="F1145" s="142">
        <v>45694.375</v>
      </c>
      <c r="G1145" s="140" t="s">
        <v>845</v>
      </c>
      <c r="H1145" s="140" t="s">
        <v>854</v>
      </c>
    </row>
    <row r="1146" spans="1:8" ht="15.75" customHeight="1">
      <c r="A1146" s="140" t="s">
        <v>60</v>
      </c>
      <c r="B1146" s="140" t="s">
        <v>21</v>
      </c>
      <c r="C1146" s="141" t="s">
        <v>216</v>
      </c>
      <c r="D1146" s="140" t="s">
        <v>217</v>
      </c>
      <c r="E1146" s="140">
        <v>6</v>
      </c>
      <c r="F1146" s="142">
        <v>45701.375</v>
      </c>
      <c r="G1146" s="140" t="s">
        <v>845</v>
      </c>
      <c r="H1146" s="140" t="s">
        <v>854</v>
      </c>
    </row>
    <row r="1147" spans="1:8" ht="15.75" customHeight="1">
      <c r="A1147" s="140" t="s">
        <v>60</v>
      </c>
      <c r="B1147" s="140" t="s">
        <v>21</v>
      </c>
      <c r="C1147" s="141" t="s">
        <v>216</v>
      </c>
      <c r="D1147" s="140" t="s">
        <v>217</v>
      </c>
      <c r="E1147" s="140">
        <v>7</v>
      </c>
      <c r="F1147" s="142">
        <v>45707.458333333328</v>
      </c>
      <c r="G1147" s="140" t="s">
        <v>845</v>
      </c>
      <c r="H1147" s="140" t="s">
        <v>854</v>
      </c>
    </row>
    <row r="1148" spans="1:8" ht="15.75" customHeight="1">
      <c r="A1148" s="140" t="s">
        <v>60</v>
      </c>
      <c r="B1148" s="140" t="s">
        <v>21</v>
      </c>
      <c r="C1148" s="141" t="s">
        <v>216</v>
      </c>
      <c r="D1148" s="140" t="s">
        <v>217</v>
      </c>
      <c r="E1148" s="140">
        <v>8</v>
      </c>
      <c r="F1148" s="142">
        <v>45715.375</v>
      </c>
      <c r="G1148" s="140" t="s">
        <v>843</v>
      </c>
      <c r="H1148" s="140" t="s">
        <v>854</v>
      </c>
    </row>
    <row r="1149" spans="1:8" ht="15.75" customHeight="1">
      <c r="A1149" s="140" t="s">
        <v>60</v>
      </c>
      <c r="B1149" s="140" t="s">
        <v>21</v>
      </c>
      <c r="C1149" s="141" t="s">
        <v>216</v>
      </c>
      <c r="D1149" s="140" t="s">
        <v>217</v>
      </c>
      <c r="E1149" s="140">
        <v>9</v>
      </c>
      <c r="F1149" s="142">
        <v>45762.458333333328</v>
      </c>
      <c r="G1149" s="140" t="s">
        <v>845</v>
      </c>
      <c r="H1149" s="140" t="s">
        <v>854</v>
      </c>
    </row>
    <row r="1150" spans="1:8" ht="15.75" customHeight="1">
      <c r="A1150" s="140" t="s">
        <v>60</v>
      </c>
      <c r="B1150" s="140" t="s">
        <v>21</v>
      </c>
      <c r="C1150" s="141" t="s">
        <v>216</v>
      </c>
      <c r="D1150" s="140" t="s">
        <v>217</v>
      </c>
      <c r="E1150" s="140">
        <v>10</v>
      </c>
      <c r="F1150" s="142">
        <v>45799.375</v>
      </c>
      <c r="G1150" s="140" t="s">
        <v>845</v>
      </c>
      <c r="H1150" s="140" t="s">
        <v>854</v>
      </c>
    </row>
    <row r="1151" spans="1:8" ht="15.75" customHeight="1">
      <c r="A1151" s="140" t="s">
        <v>60</v>
      </c>
      <c r="B1151" s="140" t="s">
        <v>22</v>
      </c>
      <c r="C1151" s="141" t="s">
        <v>216</v>
      </c>
      <c r="D1151" s="140" t="s">
        <v>217</v>
      </c>
      <c r="E1151" s="140">
        <v>1</v>
      </c>
      <c r="F1151" s="142">
        <v>45853.375</v>
      </c>
      <c r="G1151" s="140" t="s">
        <v>845</v>
      </c>
      <c r="H1151" s="140" t="s">
        <v>854</v>
      </c>
    </row>
    <row r="1152" spans="1:8" ht="15.75" customHeight="1">
      <c r="A1152" s="140" t="s">
        <v>60</v>
      </c>
      <c r="B1152" s="140" t="s">
        <v>22</v>
      </c>
      <c r="C1152" s="141" t="s">
        <v>216</v>
      </c>
      <c r="D1152" s="140" t="s">
        <v>217</v>
      </c>
      <c r="E1152" s="140">
        <v>2</v>
      </c>
      <c r="F1152" s="142">
        <v>45853.458333333328</v>
      </c>
      <c r="G1152" s="140" t="s">
        <v>845</v>
      </c>
      <c r="H1152" s="140" t="s">
        <v>854</v>
      </c>
    </row>
    <row r="1153" spans="1:8" ht="15.75" customHeight="1">
      <c r="A1153" s="140" t="s">
        <v>60</v>
      </c>
      <c r="B1153" s="140" t="s">
        <v>22</v>
      </c>
      <c r="C1153" s="141" t="s">
        <v>216</v>
      </c>
      <c r="D1153" s="140" t="s">
        <v>217</v>
      </c>
      <c r="E1153" s="140">
        <v>3</v>
      </c>
      <c r="F1153" s="142">
        <v>45888.375</v>
      </c>
      <c r="G1153" s="140" t="s">
        <v>845</v>
      </c>
      <c r="H1153" s="140" t="s">
        <v>854</v>
      </c>
    </row>
    <row r="1154" spans="1:8" ht="15.75" customHeight="1">
      <c r="A1154" s="140" t="s">
        <v>60</v>
      </c>
      <c r="B1154" s="140" t="s">
        <v>22</v>
      </c>
      <c r="C1154" s="141" t="s">
        <v>216</v>
      </c>
      <c r="D1154" s="140" t="s">
        <v>217</v>
      </c>
      <c r="E1154" s="140">
        <v>4</v>
      </c>
      <c r="F1154" s="142">
        <v>45895.458333333328</v>
      </c>
      <c r="G1154" s="140" t="s">
        <v>845</v>
      </c>
      <c r="H1154" s="140" t="s">
        <v>854</v>
      </c>
    </row>
    <row r="1155" spans="1:8" ht="15.75" customHeight="1">
      <c r="A1155" s="140" t="s">
        <v>60</v>
      </c>
      <c r="B1155" s="140" t="s">
        <v>21</v>
      </c>
      <c r="C1155" s="141" t="s">
        <v>232</v>
      </c>
      <c r="D1155" s="140" t="s">
        <v>233</v>
      </c>
      <c r="E1155" s="140">
        <v>1</v>
      </c>
      <c r="F1155" s="142">
        <v>45644.375</v>
      </c>
      <c r="G1155" s="140" t="s">
        <v>845</v>
      </c>
      <c r="H1155" s="140" t="s">
        <v>854</v>
      </c>
    </row>
    <row r="1156" spans="1:8" ht="15.75" customHeight="1">
      <c r="A1156" s="140" t="s">
        <v>60</v>
      </c>
      <c r="B1156" s="140" t="s">
        <v>21</v>
      </c>
      <c r="C1156" s="141" t="s">
        <v>232</v>
      </c>
      <c r="D1156" s="140" t="s">
        <v>233</v>
      </c>
      <c r="E1156" s="140">
        <v>2</v>
      </c>
      <c r="F1156" s="142">
        <v>45652.375</v>
      </c>
      <c r="G1156" s="140" t="s">
        <v>845</v>
      </c>
      <c r="H1156" s="140" t="s">
        <v>854</v>
      </c>
    </row>
    <row r="1157" spans="1:8" ht="15.75" customHeight="1">
      <c r="A1157" s="140" t="s">
        <v>60</v>
      </c>
      <c r="B1157" s="140" t="s">
        <v>21</v>
      </c>
      <c r="C1157" s="141" t="s">
        <v>232</v>
      </c>
      <c r="D1157" s="140" t="s">
        <v>233</v>
      </c>
      <c r="E1157" s="140">
        <v>3</v>
      </c>
      <c r="F1157" s="142">
        <v>45659.375</v>
      </c>
      <c r="G1157" s="140" t="s">
        <v>845</v>
      </c>
      <c r="H1157" s="140" t="s">
        <v>854</v>
      </c>
    </row>
    <row r="1158" spans="1:8" ht="15.75" customHeight="1">
      <c r="A1158" s="140" t="s">
        <v>60</v>
      </c>
      <c r="B1158" s="140" t="s">
        <v>21</v>
      </c>
      <c r="C1158" s="141" t="s">
        <v>232</v>
      </c>
      <c r="D1158" s="140" t="s">
        <v>233</v>
      </c>
      <c r="E1158" s="140">
        <v>4</v>
      </c>
      <c r="F1158" s="142">
        <v>45671.375</v>
      </c>
      <c r="G1158" s="140" t="s">
        <v>845</v>
      </c>
      <c r="H1158" s="140" t="s">
        <v>854</v>
      </c>
    </row>
    <row r="1159" spans="1:8" ht="15.75" customHeight="1">
      <c r="A1159" s="140" t="s">
        <v>60</v>
      </c>
      <c r="B1159" s="140" t="s">
        <v>21</v>
      </c>
      <c r="C1159" s="141" t="s">
        <v>232</v>
      </c>
      <c r="D1159" s="140" t="s">
        <v>233</v>
      </c>
      <c r="E1159" s="140">
        <v>5</v>
      </c>
      <c r="F1159" s="142">
        <v>45694.375</v>
      </c>
      <c r="G1159" s="140" t="s">
        <v>845</v>
      </c>
      <c r="H1159" s="140" t="s">
        <v>854</v>
      </c>
    </row>
    <row r="1160" spans="1:8" ht="15.75" customHeight="1">
      <c r="A1160" s="140" t="s">
        <v>60</v>
      </c>
      <c r="B1160" s="140" t="s">
        <v>21</v>
      </c>
      <c r="C1160" s="141" t="s">
        <v>232</v>
      </c>
      <c r="D1160" s="140" t="s">
        <v>233</v>
      </c>
      <c r="E1160" s="140">
        <v>6</v>
      </c>
      <c r="F1160" s="142">
        <v>45701.375</v>
      </c>
      <c r="G1160" s="140" t="s">
        <v>845</v>
      </c>
      <c r="H1160" s="140" t="s">
        <v>854</v>
      </c>
    </row>
    <row r="1161" spans="1:8" ht="15.75" customHeight="1">
      <c r="A1161" s="140" t="s">
        <v>60</v>
      </c>
      <c r="B1161" s="140" t="s">
        <v>21</v>
      </c>
      <c r="C1161" s="141" t="s">
        <v>232</v>
      </c>
      <c r="D1161" s="140" t="s">
        <v>233</v>
      </c>
      <c r="E1161" s="140">
        <v>7</v>
      </c>
      <c r="F1161" s="142">
        <v>45707.458333333328</v>
      </c>
      <c r="G1161" s="140" t="s">
        <v>845</v>
      </c>
      <c r="H1161" s="140" t="s">
        <v>854</v>
      </c>
    </row>
    <row r="1162" spans="1:8" ht="15.75" customHeight="1">
      <c r="A1162" s="140" t="s">
        <v>60</v>
      </c>
      <c r="B1162" s="140" t="s">
        <v>21</v>
      </c>
      <c r="C1162" s="141" t="s">
        <v>232</v>
      </c>
      <c r="D1162" s="140" t="s">
        <v>233</v>
      </c>
      <c r="E1162" s="140">
        <v>8</v>
      </c>
      <c r="F1162" s="142">
        <v>45715.375</v>
      </c>
      <c r="G1162" s="140" t="s">
        <v>845</v>
      </c>
      <c r="H1162" s="140" t="s">
        <v>854</v>
      </c>
    </row>
    <row r="1163" spans="1:8" ht="15.75" customHeight="1">
      <c r="A1163" s="140" t="s">
        <v>60</v>
      </c>
      <c r="B1163" s="140" t="s">
        <v>21</v>
      </c>
      <c r="C1163" s="141" t="s">
        <v>232</v>
      </c>
      <c r="D1163" s="140" t="s">
        <v>233</v>
      </c>
      <c r="E1163" s="140">
        <v>9</v>
      </c>
      <c r="F1163" s="142">
        <v>45762.458333333328</v>
      </c>
      <c r="G1163" s="140" t="s">
        <v>845</v>
      </c>
      <c r="H1163" s="140" t="s">
        <v>854</v>
      </c>
    </row>
    <row r="1164" spans="1:8" ht="15.75" customHeight="1">
      <c r="A1164" s="140" t="s">
        <v>60</v>
      </c>
      <c r="B1164" s="140" t="s">
        <v>21</v>
      </c>
      <c r="C1164" s="141" t="s">
        <v>232</v>
      </c>
      <c r="D1164" s="140" t="s">
        <v>233</v>
      </c>
      <c r="E1164" s="140">
        <v>10</v>
      </c>
      <c r="F1164" s="142">
        <v>45799.375</v>
      </c>
      <c r="G1164" s="140" t="s">
        <v>845</v>
      </c>
      <c r="H1164" s="140" t="s">
        <v>854</v>
      </c>
    </row>
    <row r="1165" spans="1:8" ht="15.75" customHeight="1">
      <c r="A1165" s="140" t="s">
        <v>60</v>
      </c>
      <c r="B1165" s="140" t="s">
        <v>22</v>
      </c>
      <c r="C1165" s="141" t="s">
        <v>232</v>
      </c>
      <c r="D1165" s="140" t="s">
        <v>233</v>
      </c>
      <c r="E1165" s="140">
        <v>1</v>
      </c>
      <c r="F1165" s="142">
        <v>45853.375</v>
      </c>
      <c r="G1165" s="140" t="s">
        <v>845</v>
      </c>
      <c r="H1165" s="140" t="s">
        <v>854</v>
      </c>
    </row>
    <row r="1166" spans="1:8" ht="15.75" customHeight="1">
      <c r="A1166" s="140" t="s">
        <v>60</v>
      </c>
      <c r="B1166" s="140" t="s">
        <v>22</v>
      </c>
      <c r="C1166" s="141" t="s">
        <v>232</v>
      </c>
      <c r="D1166" s="140" t="s">
        <v>233</v>
      </c>
      <c r="E1166" s="140">
        <v>2</v>
      </c>
      <c r="F1166" s="142">
        <v>45853.458333333328</v>
      </c>
      <c r="G1166" s="140" t="s">
        <v>845</v>
      </c>
      <c r="H1166" s="140" t="s">
        <v>854</v>
      </c>
    </row>
    <row r="1167" spans="1:8" ht="15.75" customHeight="1">
      <c r="A1167" s="140" t="s">
        <v>60</v>
      </c>
      <c r="B1167" s="140" t="s">
        <v>22</v>
      </c>
      <c r="C1167" s="141" t="s">
        <v>232</v>
      </c>
      <c r="D1167" s="140" t="s">
        <v>233</v>
      </c>
      <c r="E1167" s="140">
        <v>3</v>
      </c>
      <c r="F1167" s="142">
        <v>45888.375</v>
      </c>
      <c r="G1167" s="140" t="s">
        <v>845</v>
      </c>
      <c r="H1167" s="140" t="s">
        <v>854</v>
      </c>
    </row>
    <row r="1168" spans="1:8" ht="15.75" customHeight="1">
      <c r="A1168" s="140" t="s">
        <v>60</v>
      </c>
      <c r="B1168" s="140" t="s">
        <v>22</v>
      </c>
      <c r="C1168" s="141" t="s">
        <v>232</v>
      </c>
      <c r="D1168" s="140" t="s">
        <v>233</v>
      </c>
      <c r="E1168" s="140">
        <v>4</v>
      </c>
      <c r="F1168" s="142">
        <v>45895.458333333328</v>
      </c>
      <c r="G1168" s="140" t="s">
        <v>845</v>
      </c>
      <c r="H1168" s="140" t="s">
        <v>854</v>
      </c>
    </row>
    <row r="1169" spans="1:8" ht="15.75" customHeight="1">
      <c r="A1169" s="140" t="s">
        <v>60</v>
      </c>
      <c r="B1169" s="140" t="s">
        <v>21</v>
      </c>
      <c r="C1169" s="141" t="s">
        <v>321</v>
      </c>
      <c r="D1169" s="140" t="s">
        <v>322</v>
      </c>
      <c r="E1169" s="140">
        <v>1</v>
      </c>
      <c r="F1169" s="142">
        <v>45644.375</v>
      </c>
      <c r="G1169" s="140" t="s">
        <v>845</v>
      </c>
      <c r="H1169" s="140" t="s">
        <v>854</v>
      </c>
    </row>
    <row r="1170" spans="1:8" ht="15.75" customHeight="1">
      <c r="A1170" s="140" t="s">
        <v>60</v>
      </c>
      <c r="B1170" s="140" t="s">
        <v>21</v>
      </c>
      <c r="C1170" s="141" t="s">
        <v>321</v>
      </c>
      <c r="D1170" s="140" t="s">
        <v>322</v>
      </c>
      <c r="E1170" s="140">
        <v>2</v>
      </c>
      <c r="F1170" s="142">
        <v>45652.375</v>
      </c>
      <c r="G1170" s="140" t="s">
        <v>843</v>
      </c>
      <c r="H1170" s="140" t="s">
        <v>854</v>
      </c>
    </row>
    <row r="1171" spans="1:8" ht="15.75" customHeight="1">
      <c r="A1171" s="140" t="s">
        <v>60</v>
      </c>
      <c r="B1171" s="140" t="s">
        <v>21</v>
      </c>
      <c r="C1171" s="141" t="s">
        <v>321</v>
      </c>
      <c r="D1171" s="140" t="s">
        <v>322</v>
      </c>
      <c r="E1171" s="140">
        <v>3</v>
      </c>
      <c r="F1171" s="142">
        <v>45659.375</v>
      </c>
      <c r="G1171" s="140" t="s">
        <v>845</v>
      </c>
      <c r="H1171" s="140" t="s">
        <v>854</v>
      </c>
    </row>
    <row r="1172" spans="1:8" ht="15.75" customHeight="1">
      <c r="A1172" s="140" t="s">
        <v>60</v>
      </c>
      <c r="B1172" s="140" t="s">
        <v>21</v>
      </c>
      <c r="C1172" s="141" t="s">
        <v>321</v>
      </c>
      <c r="D1172" s="140" t="s">
        <v>322</v>
      </c>
      <c r="E1172" s="140">
        <v>4</v>
      </c>
      <c r="F1172" s="142">
        <v>45671.375</v>
      </c>
      <c r="G1172" s="140" t="s">
        <v>845</v>
      </c>
      <c r="H1172" s="140" t="s">
        <v>854</v>
      </c>
    </row>
    <row r="1173" spans="1:8" ht="15.75" customHeight="1">
      <c r="A1173" s="140" t="s">
        <v>60</v>
      </c>
      <c r="B1173" s="140" t="s">
        <v>21</v>
      </c>
      <c r="C1173" s="141" t="s">
        <v>321</v>
      </c>
      <c r="D1173" s="140" t="s">
        <v>322</v>
      </c>
      <c r="E1173" s="140">
        <v>5</v>
      </c>
      <c r="F1173" s="142">
        <v>45694.375</v>
      </c>
      <c r="G1173" s="140" t="s">
        <v>845</v>
      </c>
      <c r="H1173" s="140" t="s">
        <v>854</v>
      </c>
    </row>
    <row r="1174" spans="1:8" ht="15.75" customHeight="1">
      <c r="A1174" s="140" t="s">
        <v>60</v>
      </c>
      <c r="B1174" s="140" t="s">
        <v>21</v>
      </c>
      <c r="C1174" s="141" t="s">
        <v>321</v>
      </c>
      <c r="D1174" s="140" t="s">
        <v>322</v>
      </c>
      <c r="E1174" s="140">
        <v>6</v>
      </c>
      <c r="F1174" s="142">
        <v>45701.375</v>
      </c>
      <c r="G1174" s="140" t="s">
        <v>845</v>
      </c>
      <c r="H1174" s="140" t="s">
        <v>854</v>
      </c>
    </row>
    <row r="1175" spans="1:8" ht="15.75" customHeight="1">
      <c r="A1175" s="140" t="s">
        <v>60</v>
      </c>
      <c r="B1175" s="140" t="s">
        <v>21</v>
      </c>
      <c r="C1175" s="141" t="s">
        <v>321</v>
      </c>
      <c r="D1175" s="140" t="s">
        <v>322</v>
      </c>
      <c r="E1175" s="140">
        <v>7</v>
      </c>
      <c r="F1175" s="142">
        <v>45707.458333333328</v>
      </c>
      <c r="G1175" s="140" t="s">
        <v>845</v>
      </c>
      <c r="H1175" s="140" t="s">
        <v>854</v>
      </c>
    </row>
    <row r="1176" spans="1:8" ht="15.75" customHeight="1">
      <c r="A1176" s="140" t="s">
        <v>60</v>
      </c>
      <c r="B1176" s="140" t="s">
        <v>21</v>
      </c>
      <c r="C1176" s="141" t="s">
        <v>321</v>
      </c>
      <c r="D1176" s="140" t="s">
        <v>322</v>
      </c>
      <c r="E1176" s="140">
        <v>8</v>
      </c>
      <c r="F1176" s="142">
        <v>45715.375</v>
      </c>
      <c r="G1176" s="140" t="s">
        <v>845</v>
      </c>
      <c r="H1176" s="140" t="s">
        <v>854</v>
      </c>
    </row>
    <row r="1177" spans="1:8" ht="15.75" customHeight="1">
      <c r="A1177" s="140" t="s">
        <v>60</v>
      </c>
      <c r="B1177" s="140" t="s">
        <v>21</v>
      </c>
      <c r="C1177" s="141" t="s">
        <v>321</v>
      </c>
      <c r="D1177" s="140" t="s">
        <v>322</v>
      </c>
      <c r="E1177" s="140">
        <v>9</v>
      </c>
      <c r="F1177" s="142">
        <v>45762.458333333328</v>
      </c>
      <c r="G1177" s="140" t="s">
        <v>845</v>
      </c>
      <c r="H1177" s="140" t="s">
        <v>854</v>
      </c>
    </row>
    <row r="1178" spans="1:8" ht="15.75" customHeight="1">
      <c r="A1178" s="140" t="s">
        <v>60</v>
      </c>
      <c r="B1178" s="140" t="s">
        <v>21</v>
      </c>
      <c r="C1178" s="141" t="s">
        <v>321</v>
      </c>
      <c r="D1178" s="140" t="s">
        <v>322</v>
      </c>
      <c r="E1178" s="140">
        <v>10</v>
      </c>
      <c r="F1178" s="142">
        <v>45799.375</v>
      </c>
      <c r="G1178" s="140" t="s">
        <v>845</v>
      </c>
      <c r="H1178" s="140" t="s">
        <v>854</v>
      </c>
    </row>
    <row r="1179" spans="1:8" ht="15.75" customHeight="1">
      <c r="A1179" s="140" t="s">
        <v>60</v>
      </c>
      <c r="B1179" s="140" t="s">
        <v>22</v>
      </c>
      <c r="C1179" s="141" t="s">
        <v>321</v>
      </c>
      <c r="D1179" s="140" t="s">
        <v>322</v>
      </c>
      <c r="E1179" s="140">
        <v>1</v>
      </c>
      <c r="F1179" s="142">
        <v>45853.375</v>
      </c>
      <c r="G1179" s="140" t="s">
        <v>845</v>
      </c>
      <c r="H1179" s="140" t="s">
        <v>854</v>
      </c>
    </row>
    <row r="1180" spans="1:8" ht="15.75" customHeight="1">
      <c r="A1180" s="140" t="s">
        <v>60</v>
      </c>
      <c r="B1180" s="140" t="s">
        <v>22</v>
      </c>
      <c r="C1180" s="141" t="s">
        <v>321</v>
      </c>
      <c r="D1180" s="140" t="s">
        <v>322</v>
      </c>
      <c r="E1180" s="140">
        <v>2</v>
      </c>
      <c r="F1180" s="142">
        <v>45853.458333333328</v>
      </c>
      <c r="G1180" s="140" t="s">
        <v>845</v>
      </c>
      <c r="H1180" s="140" t="s">
        <v>854</v>
      </c>
    </row>
    <row r="1181" spans="1:8" ht="15.75" customHeight="1">
      <c r="A1181" s="140" t="s">
        <v>60</v>
      </c>
      <c r="B1181" s="140" t="s">
        <v>22</v>
      </c>
      <c r="C1181" s="141" t="s">
        <v>321</v>
      </c>
      <c r="D1181" s="140" t="s">
        <v>322</v>
      </c>
      <c r="E1181" s="140">
        <v>3</v>
      </c>
      <c r="F1181" s="142">
        <v>45888.375</v>
      </c>
      <c r="G1181" s="140" t="s">
        <v>845</v>
      </c>
      <c r="H1181" s="140" t="s">
        <v>854</v>
      </c>
    </row>
    <row r="1182" spans="1:8" ht="15.75" customHeight="1">
      <c r="A1182" s="140" t="s">
        <v>60</v>
      </c>
      <c r="B1182" s="140" t="s">
        <v>22</v>
      </c>
      <c r="C1182" s="141" t="s">
        <v>321</v>
      </c>
      <c r="D1182" s="140" t="s">
        <v>322</v>
      </c>
      <c r="E1182" s="140">
        <v>4</v>
      </c>
      <c r="F1182" s="142">
        <v>45895.458333333328</v>
      </c>
      <c r="G1182" s="140" t="s">
        <v>845</v>
      </c>
      <c r="H1182" s="140" t="s">
        <v>854</v>
      </c>
    </row>
    <row r="1183" spans="1:8" ht="15.75" customHeight="1">
      <c r="A1183" s="140" t="s">
        <v>60</v>
      </c>
      <c r="B1183" s="140" t="s">
        <v>22</v>
      </c>
      <c r="C1183" s="141" t="s">
        <v>340</v>
      </c>
      <c r="D1183" s="140" t="s">
        <v>341</v>
      </c>
      <c r="E1183" s="140">
        <v>1</v>
      </c>
      <c r="F1183" s="142">
        <v>45853.375</v>
      </c>
      <c r="G1183" s="140" t="s">
        <v>845</v>
      </c>
      <c r="H1183" s="140" t="s">
        <v>854</v>
      </c>
    </row>
    <row r="1184" spans="1:8" ht="15.75" customHeight="1">
      <c r="A1184" s="140" t="s">
        <v>60</v>
      </c>
      <c r="B1184" s="140" t="s">
        <v>22</v>
      </c>
      <c r="C1184" s="141" t="s">
        <v>340</v>
      </c>
      <c r="D1184" s="140" t="s">
        <v>341</v>
      </c>
      <c r="E1184" s="140">
        <v>2</v>
      </c>
      <c r="F1184" s="142">
        <v>45853.458333333328</v>
      </c>
      <c r="G1184" s="140" t="s">
        <v>845</v>
      </c>
      <c r="H1184" s="140" t="s">
        <v>854</v>
      </c>
    </row>
    <row r="1185" spans="1:8" ht="15.75" customHeight="1">
      <c r="A1185" s="140" t="s">
        <v>60</v>
      </c>
      <c r="B1185" s="140" t="s">
        <v>22</v>
      </c>
      <c r="C1185" s="141" t="s">
        <v>340</v>
      </c>
      <c r="D1185" s="140" t="s">
        <v>341</v>
      </c>
      <c r="E1185" s="140">
        <v>3</v>
      </c>
      <c r="F1185" s="142">
        <v>45888.375</v>
      </c>
      <c r="G1185" s="140" t="s">
        <v>845</v>
      </c>
      <c r="H1185" s="140" t="s">
        <v>854</v>
      </c>
    </row>
    <row r="1186" spans="1:8" ht="15.75" customHeight="1">
      <c r="A1186" s="140" t="s">
        <v>60</v>
      </c>
      <c r="B1186" s="140" t="s">
        <v>22</v>
      </c>
      <c r="C1186" s="141" t="s">
        <v>340</v>
      </c>
      <c r="D1186" s="140" t="s">
        <v>341</v>
      </c>
      <c r="E1186" s="140">
        <v>4</v>
      </c>
      <c r="F1186" s="142">
        <v>45895.458333333328</v>
      </c>
      <c r="G1186" s="140" t="s">
        <v>845</v>
      </c>
      <c r="H1186" s="140" t="s">
        <v>854</v>
      </c>
    </row>
    <row r="1187" spans="1:8" ht="15.75" customHeight="1">
      <c r="A1187" s="140" t="s">
        <v>60</v>
      </c>
      <c r="B1187" s="140" t="s">
        <v>22</v>
      </c>
      <c r="C1187" s="141" t="s">
        <v>395</v>
      </c>
      <c r="D1187" s="140" t="s">
        <v>396</v>
      </c>
      <c r="E1187" s="140">
        <v>1</v>
      </c>
      <c r="F1187" s="142">
        <v>45853.375</v>
      </c>
      <c r="G1187" s="140" t="s">
        <v>845</v>
      </c>
      <c r="H1187" s="140" t="s">
        <v>854</v>
      </c>
    </row>
    <row r="1188" spans="1:8" ht="15.75" customHeight="1">
      <c r="A1188" s="140" t="s">
        <v>60</v>
      </c>
      <c r="B1188" s="140" t="s">
        <v>22</v>
      </c>
      <c r="C1188" s="141" t="s">
        <v>395</v>
      </c>
      <c r="D1188" s="140" t="s">
        <v>396</v>
      </c>
      <c r="E1188" s="140">
        <v>2</v>
      </c>
      <c r="F1188" s="142">
        <v>45853.458333333328</v>
      </c>
      <c r="G1188" s="140" t="s">
        <v>845</v>
      </c>
      <c r="H1188" s="140" t="s">
        <v>854</v>
      </c>
    </row>
    <row r="1189" spans="1:8" ht="15.75" customHeight="1">
      <c r="A1189" s="140" t="s">
        <v>60</v>
      </c>
      <c r="B1189" s="140" t="s">
        <v>22</v>
      </c>
      <c r="C1189" s="141" t="s">
        <v>395</v>
      </c>
      <c r="D1189" s="140" t="s">
        <v>396</v>
      </c>
      <c r="E1189" s="140">
        <v>3</v>
      </c>
      <c r="F1189" s="142">
        <v>45888.375</v>
      </c>
      <c r="G1189" s="140" t="s">
        <v>845</v>
      </c>
      <c r="H1189" s="140" t="s">
        <v>854</v>
      </c>
    </row>
    <row r="1190" spans="1:8" ht="15.75" customHeight="1">
      <c r="A1190" s="140" t="s">
        <v>60</v>
      </c>
      <c r="B1190" s="140" t="s">
        <v>22</v>
      </c>
      <c r="C1190" s="141" t="s">
        <v>395</v>
      </c>
      <c r="D1190" s="140" t="s">
        <v>396</v>
      </c>
      <c r="E1190" s="140">
        <v>4</v>
      </c>
      <c r="F1190" s="142">
        <v>45895.458333333328</v>
      </c>
      <c r="G1190" s="140" t="s">
        <v>845</v>
      </c>
      <c r="H1190" s="140" t="s">
        <v>854</v>
      </c>
    </row>
    <row r="1191" spans="1:8" ht="15.75" customHeight="1">
      <c r="A1191" s="140" t="s">
        <v>60</v>
      </c>
      <c r="B1191" s="140" t="s">
        <v>22</v>
      </c>
      <c r="C1191" s="141" t="s">
        <v>504</v>
      </c>
      <c r="D1191" s="140" t="s">
        <v>505</v>
      </c>
      <c r="E1191" s="140">
        <v>1</v>
      </c>
      <c r="F1191" s="142">
        <v>45853.375</v>
      </c>
      <c r="G1191" s="140" t="s">
        <v>845</v>
      </c>
      <c r="H1191" s="140" t="s">
        <v>854</v>
      </c>
    </row>
    <row r="1192" spans="1:8" ht="15.75" customHeight="1">
      <c r="A1192" s="140" t="s">
        <v>60</v>
      </c>
      <c r="B1192" s="140" t="s">
        <v>22</v>
      </c>
      <c r="C1192" s="141" t="s">
        <v>504</v>
      </c>
      <c r="D1192" s="140" t="s">
        <v>505</v>
      </c>
      <c r="E1192" s="140">
        <v>2</v>
      </c>
      <c r="F1192" s="142">
        <v>45853.458333333328</v>
      </c>
      <c r="G1192" s="140" t="s">
        <v>843</v>
      </c>
      <c r="H1192" s="140" t="s">
        <v>854</v>
      </c>
    </row>
    <row r="1193" spans="1:8" ht="15.75" customHeight="1">
      <c r="A1193" s="140" t="s">
        <v>60</v>
      </c>
      <c r="B1193" s="140" t="s">
        <v>22</v>
      </c>
      <c r="C1193" s="141" t="s">
        <v>504</v>
      </c>
      <c r="D1193" s="140" t="s">
        <v>505</v>
      </c>
      <c r="E1193" s="140">
        <v>3</v>
      </c>
      <c r="F1193" s="142">
        <v>45888.375</v>
      </c>
      <c r="G1193" s="140" t="s">
        <v>843</v>
      </c>
      <c r="H1193" s="140" t="s">
        <v>854</v>
      </c>
    </row>
    <row r="1194" spans="1:8" ht="15.75" customHeight="1">
      <c r="A1194" s="140" t="s">
        <v>60</v>
      </c>
      <c r="B1194" s="140" t="s">
        <v>22</v>
      </c>
      <c r="C1194" s="141" t="s">
        <v>504</v>
      </c>
      <c r="D1194" s="140" t="s">
        <v>505</v>
      </c>
      <c r="E1194" s="140">
        <v>4</v>
      </c>
      <c r="F1194" s="142">
        <v>45895.458333333328</v>
      </c>
      <c r="G1194" s="140" t="s">
        <v>843</v>
      </c>
      <c r="H1194" s="140" t="s">
        <v>854</v>
      </c>
    </row>
    <row r="1195" spans="1:8" ht="15.75" customHeight="1">
      <c r="A1195" s="140" t="s">
        <v>60</v>
      </c>
      <c r="B1195" s="140" t="s">
        <v>22</v>
      </c>
      <c r="C1195" s="141" t="s">
        <v>583</v>
      </c>
      <c r="D1195" s="140" t="s">
        <v>584</v>
      </c>
      <c r="E1195" s="140">
        <v>1</v>
      </c>
      <c r="F1195" s="142">
        <v>45853.375</v>
      </c>
      <c r="G1195" s="140" t="s">
        <v>845</v>
      </c>
      <c r="H1195" s="140" t="s">
        <v>854</v>
      </c>
    </row>
    <row r="1196" spans="1:8" ht="15.75" customHeight="1">
      <c r="A1196" s="140" t="s">
        <v>60</v>
      </c>
      <c r="B1196" s="140" t="s">
        <v>22</v>
      </c>
      <c r="C1196" s="141" t="s">
        <v>583</v>
      </c>
      <c r="D1196" s="140" t="s">
        <v>584</v>
      </c>
      <c r="E1196" s="140">
        <v>2</v>
      </c>
      <c r="F1196" s="142">
        <v>45853.458333333328</v>
      </c>
      <c r="G1196" s="140" t="s">
        <v>845</v>
      </c>
      <c r="H1196" s="140" t="s">
        <v>854</v>
      </c>
    </row>
    <row r="1197" spans="1:8" ht="15.75" customHeight="1">
      <c r="A1197" s="140" t="s">
        <v>60</v>
      </c>
      <c r="B1197" s="140" t="s">
        <v>22</v>
      </c>
      <c r="C1197" s="141" t="s">
        <v>583</v>
      </c>
      <c r="D1197" s="140" t="s">
        <v>584</v>
      </c>
      <c r="E1197" s="140">
        <v>3</v>
      </c>
      <c r="F1197" s="142">
        <v>45888.375</v>
      </c>
      <c r="G1197" s="140" t="s">
        <v>845</v>
      </c>
      <c r="H1197" s="140" t="s">
        <v>854</v>
      </c>
    </row>
    <row r="1198" spans="1:8" ht="15.75" customHeight="1">
      <c r="A1198" s="140" t="s">
        <v>60</v>
      </c>
      <c r="B1198" s="140" t="s">
        <v>22</v>
      </c>
      <c r="C1198" s="141" t="s">
        <v>583</v>
      </c>
      <c r="D1198" s="140" t="s">
        <v>584</v>
      </c>
      <c r="E1198" s="140">
        <v>4</v>
      </c>
      <c r="F1198" s="142">
        <v>45895.458333333328</v>
      </c>
      <c r="G1198" s="140" t="s">
        <v>845</v>
      </c>
      <c r="H1198" s="140" t="s">
        <v>854</v>
      </c>
    </row>
    <row r="1199" spans="1:8" ht="15.75" customHeight="1">
      <c r="A1199" s="140" t="s">
        <v>60</v>
      </c>
      <c r="B1199" s="140" t="s">
        <v>21</v>
      </c>
      <c r="C1199" s="141" t="s">
        <v>627</v>
      </c>
      <c r="D1199" s="140" t="s">
        <v>628</v>
      </c>
      <c r="E1199" s="140">
        <v>1</v>
      </c>
      <c r="F1199" s="142">
        <v>45644.375</v>
      </c>
      <c r="G1199" s="140" t="s">
        <v>845</v>
      </c>
      <c r="H1199" s="140" t="s">
        <v>854</v>
      </c>
    </row>
    <row r="1200" spans="1:8" ht="15.75" customHeight="1">
      <c r="A1200" s="140" t="s">
        <v>60</v>
      </c>
      <c r="B1200" s="140" t="s">
        <v>21</v>
      </c>
      <c r="C1200" s="141" t="s">
        <v>627</v>
      </c>
      <c r="D1200" s="140" t="s">
        <v>628</v>
      </c>
      <c r="E1200" s="140">
        <v>2</v>
      </c>
      <c r="F1200" s="142">
        <v>45652.375</v>
      </c>
      <c r="G1200" s="140" t="s">
        <v>845</v>
      </c>
      <c r="H1200" s="140" t="s">
        <v>854</v>
      </c>
    </row>
    <row r="1201" spans="1:8" ht="15.75" customHeight="1">
      <c r="A1201" s="140" t="s">
        <v>60</v>
      </c>
      <c r="B1201" s="140" t="s">
        <v>21</v>
      </c>
      <c r="C1201" s="141" t="s">
        <v>627</v>
      </c>
      <c r="D1201" s="140" t="s">
        <v>628</v>
      </c>
      <c r="E1201" s="140">
        <v>3</v>
      </c>
      <c r="F1201" s="142">
        <v>45659.375</v>
      </c>
      <c r="G1201" s="140" t="s">
        <v>845</v>
      </c>
      <c r="H1201" s="140" t="s">
        <v>854</v>
      </c>
    </row>
    <row r="1202" spans="1:8" ht="15.75" customHeight="1">
      <c r="A1202" s="140" t="s">
        <v>60</v>
      </c>
      <c r="B1202" s="140" t="s">
        <v>21</v>
      </c>
      <c r="C1202" s="141" t="s">
        <v>627</v>
      </c>
      <c r="D1202" s="140" t="s">
        <v>628</v>
      </c>
      <c r="E1202" s="140">
        <v>4</v>
      </c>
      <c r="F1202" s="142">
        <v>45671.375</v>
      </c>
      <c r="G1202" s="140" t="s">
        <v>845</v>
      </c>
      <c r="H1202" s="140" t="s">
        <v>854</v>
      </c>
    </row>
    <row r="1203" spans="1:8" ht="15.75" customHeight="1">
      <c r="A1203" s="140" t="s">
        <v>60</v>
      </c>
      <c r="B1203" s="140" t="s">
        <v>21</v>
      </c>
      <c r="C1203" s="141" t="s">
        <v>627</v>
      </c>
      <c r="D1203" s="140" t="s">
        <v>628</v>
      </c>
      <c r="E1203" s="140">
        <v>5</v>
      </c>
      <c r="F1203" s="142">
        <v>45694.375</v>
      </c>
      <c r="G1203" s="140" t="s">
        <v>845</v>
      </c>
      <c r="H1203" s="140" t="s">
        <v>854</v>
      </c>
    </row>
    <row r="1204" spans="1:8" ht="15.75" customHeight="1">
      <c r="A1204" s="140" t="s">
        <v>60</v>
      </c>
      <c r="B1204" s="140" t="s">
        <v>21</v>
      </c>
      <c r="C1204" s="141" t="s">
        <v>627</v>
      </c>
      <c r="D1204" s="140" t="s">
        <v>628</v>
      </c>
      <c r="E1204" s="140">
        <v>6</v>
      </c>
      <c r="F1204" s="142">
        <v>45701.375</v>
      </c>
      <c r="G1204" s="140" t="s">
        <v>845</v>
      </c>
      <c r="H1204" s="140" t="s">
        <v>854</v>
      </c>
    </row>
    <row r="1205" spans="1:8" ht="15.75" customHeight="1">
      <c r="A1205" s="140" t="s">
        <v>60</v>
      </c>
      <c r="B1205" s="140" t="s">
        <v>21</v>
      </c>
      <c r="C1205" s="141" t="s">
        <v>627</v>
      </c>
      <c r="D1205" s="140" t="s">
        <v>628</v>
      </c>
      <c r="E1205" s="140">
        <v>7</v>
      </c>
      <c r="F1205" s="142">
        <v>45707.458333333328</v>
      </c>
      <c r="G1205" s="140" t="s">
        <v>845</v>
      </c>
      <c r="H1205" s="140" t="s">
        <v>854</v>
      </c>
    </row>
    <row r="1206" spans="1:8" ht="15.75" customHeight="1">
      <c r="A1206" s="140" t="s">
        <v>60</v>
      </c>
      <c r="B1206" s="140" t="s">
        <v>21</v>
      </c>
      <c r="C1206" s="141" t="s">
        <v>627</v>
      </c>
      <c r="D1206" s="140" t="s">
        <v>628</v>
      </c>
      <c r="E1206" s="140">
        <v>8</v>
      </c>
      <c r="F1206" s="142">
        <v>45715.375</v>
      </c>
      <c r="G1206" s="140" t="s">
        <v>845</v>
      </c>
      <c r="H1206" s="140" t="s">
        <v>854</v>
      </c>
    </row>
    <row r="1207" spans="1:8" ht="15.75" customHeight="1">
      <c r="A1207" s="140" t="s">
        <v>60</v>
      </c>
      <c r="B1207" s="140" t="s">
        <v>21</v>
      </c>
      <c r="C1207" s="141" t="s">
        <v>627</v>
      </c>
      <c r="D1207" s="140" t="s">
        <v>628</v>
      </c>
      <c r="E1207" s="140">
        <v>9</v>
      </c>
      <c r="F1207" s="142">
        <v>45762.458333333328</v>
      </c>
      <c r="G1207" s="140" t="s">
        <v>845</v>
      </c>
      <c r="H1207" s="140" t="s">
        <v>854</v>
      </c>
    </row>
    <row r="1208" spans="1:8" ht="15.75" customHeight="1">
      <c r="A1208" s="140" t="s">
        <v>60</v>
      </c>
      <c r="B1208" s="140" t="s">
        <v>21</v>
      </c>
      <c r="C1208" s="141" t="s">
        <v>627</v>
      </c>
      <c r="D1208" s="140" t="s">
        <v>628</v>
      </c>
      <c r="E1208" s="140">
        <v>10</v>
      </c>
      <c r="F1208" s="142">
        <v>45799.375</v>
      </c>
      <c r="G1208" s="140" t="s">
        <v>845</v>
      </c>
      <c r="H1208" s="140" t="s">
        <v>854</v>
      </c>
    </row>
    <row r="1209" spans="1:8" ht="15.75" customHeight="1">
      <c r="A1209" s="140" t="s">
        <v>60</v>
      </c>
      <c r="B1209" s="140" t="s">
        <v>21</v>
      </c>
      <c r="C1209" s="141" t="s">
        <v>689</v>
      </c>
      <c r="D1209" s="140" t="s">
        <v>690</v>
      </c>
      <c r="E1209" s="140">
        <v>1</v>
      </c>
      <c r="F1209" s="142">
        <v>45644.375</v>
      </c>
      <c r="G1209" s="140" t="s">
        <v>845</v>
      </c>
      <c r="H1209" s="140" t="s">
        <v>854</v>
      </c>
    </row>
    <row r="1210" spans="1:8" ht="15.75" customHeight="1">
      <c r="A1210" s="140" t="s">
        <v>60</v>
      </c>
      <c r="B1210" s="140" t="s">
        <v>21</v>
      </c>
      <c r="C1210" s="141" t="s">
        <v>689</v>
      </c>
      <c r="D1210" s="140" t="s">
        <v>690</v>
      </c>
      <c r="E1210" s="140">
        <v>2</v>
      </c>
      <c r="F1210" s="142">
        <v>45652.375</v>
      </c>
      <c r="G1210" s="140" t="s">
        <v>845</v>
      </c>
      <c r="H1210" s="140" t="s">
        <v>854</v>
      </c>
    </row>
    <row r="1211" spans="1:8" ht="15.75" customHeight="1">
      <c r="A1211" s="140" t="s">
        <v>60</v>
      </c>
      <c r="B1211" s="140" t="s">
        <v>21</v>
      </c>
      <c r="C1211" s="141" t="s">
        <v>689</v>
      </c>
      <c r="D1211" s="140" t="s">
        <v>690</v>
      </c>
      <c r="E1211" s="140">
        <v>3</v>
      </c>
      <c r="F1211" s="142">
        <v>45659.375</v>
      </c>
      <c r="G1211" s="140" t="s">
        <v>845</v>
      </c>
      <c r="H1211" s="140" t="s">
        <v>854</v>
      </c>
    </row>
    <row r="1212" spans="1:8" ht="15.75" customHeight="1">
      <c r="A1212" s="140" t="s">
        <v>60</v>
      </c>
      <c r="B1212" s="140" t="s">
        <v>21</v>
      </c>
      <c r="C1212" s="141" t="s">
        <v>689</v>
      </c>
      <c r="D1212" s="140" t="s">
        <v>690</v>
      </c>
      <c r="E1212" s="140">
        <v>4</v>
      </c>
      <c r="F1212" s="142">
        <v>45671.375</v>
      </c>
      <c r="G1212" s="140" t="s">
        <v>845</v>
      </c>
      <c r="H1212" s="140" t="s">
        <v>854</v>
      </c>
    </row>
    <row r="1213" spans="1:8" ht="15.75" customHeight="1">
      <c r="A1213" s="140" t="s">
        <v>60</v>
      </c>
      <c r="B1213" s="140" t="s">
        <v>21</v>
      </c>
      <c r="C1213" s="141" t="s">
        <v>689</v>
      </c>
      <c r="D1213" s="140" t="s">
        <v>690</v>
      </c>
      <c r="E1213" s="140">
        <v>5</v>
      </c>
      <c r="F1213" s="142">
        <v>45694.375</v>
      </c>
      <c r="G1213" s="140" t="s">
        <v>845</v>
      </c>
      <c r="H1213" s="140" t="s">
        <v>854</v>
      </c>
    </row>
    <row r="1214" spans="1:8" ht="15.75" customHeight="1">
      <c r="A1214" s="140" t="s">
        <v>60</v>
      </c>
      <c r="B1214" s="140" t="s">
        <v>21</v>
      </c>
      <c r="C1214" s="141" t="s">
        <v>689</v>
      </c>
      <c r="D1214" s="140" t="s">
        <v>690</v>
      </c>
      <c r="E1214" s="140">
        <v>6</v>
      </c>
      <c r="F1214" s="142">
        <v>45701.375</v>
      </c>
      <c r="G1214" s="140" t="s">
        <v>845</v>
      </c>
      <c r="H1214" s="140" t="s">
        <v>854</v>
      </c>
    </row>
    <row r="1215" spans="1:8" ht="15.75" customHeight="1">
      <c r="A1215" s="140" t="s">
        <v>60</v>
      </c>
      <c r="B1215" s="140" t="s">
        <v>21</v>
      </c>
      <c r="C1215" s="141" t="s">
        <v>689</v>
      </c>
      <c r="D1215" s="140" t="s">
        <v>690</v>
      </c>
      <c r="E1215" s="140">
        <v>7</v>
      </c>
      <c r="F1215" s="142">
        <v>45707.458333333328</v>
      </c>
      <c r="G1215" s="140" t="s">
        <v>845</v>
      </c>
      <c r="H1215" s="140" t="s">
        <v>854</v>
      </c>
    </row>
    <row r="1216" spans="1:8" ht="15.75" customHeight="1">
      <c r="A1216" s="140" t="s">
        <v>60</v>
      </c>
      <c r="B1216" s="140" t="s">
        <v>21</v>
      </c>
      <c r="C1216" s="141" t="s">
        <v>689</v>
      </c>
      <c r="D1216" s="140" t="s">
        <v>690</v>
      </c>
      <c r="E1216" s="140">
        <v>8</v>
      </c>
      <c r="F1216" s="142">
        <v>45715.375</v>
      </c>
      <c r="G1216" s="140" t="s">
        <v>845</v>
      </c>
      <c r="H1216" s="140" t="s">
        <v>854</v>
      </c>
    </row>
    <row r="1217" spans="1:8" ht="15.75" customHeight="1">
      <c r="A1217" s="140" t="s">
        <v>60</v>
      </c>
      <c r="B1217" s="140" t="s">
        <v>21</v>
      </c>
      <c r="C1217" s="141" t="s">
        <v>689</v>
      </c>
      <c r="D1217" s="140" t="s">
        <v>690</v>
      </c>
      <c r="E1217" s="140">
        <v>9</v>
      </c>
      <c r="F1217" s="142">
        <v>45762.458333333328</v>
      </c>
      <c r="G1217" s="140" t="s">
        <v>845</v>
      </c>
      <c r="H1217" s="140" t="s">
        <v>854</v>
      </c>
    </row>
    <row r="1218" spans="1:8" ht="15.75" customHeight="1">
      <c r="A1218" s="140" t="s">
        <v>60</v>
      </c>
      <c r="B1218" s="140" t="s">
        <v>21</v>
      </c>
      <c r="C1218" s="141" t="s">
        <v>689</v>
      </c>
      <c r="D1218" s="140" t="s">
        <v>690</v>
      </c>
      <c r="E1218" s="140">
        <v>10</v>
      </c>
      <c r="F1218" s="142">
        <v>45799.375</v>
      </c>
      <c r="G1218" s="140" t="s">
        <v>845</v>
      </c>
      <c r="H1218" s="140" t="s">
        <v>854</v>
      </c>
    </row>
    <row r="1219" spans="1:8" ht="15.75" customHeight="1">
      <c r="A1219" s="140" t="s">
        <v>61</v>
      </c>
      <c r="B1219" s="140" t="s">
        <v>21</v>
      </c>
      <c r="C1219" s="141" t="s">
        <v>140</v>
      </c>
      <c r="D1219" s="140" t="s">
        <v>141</v>
      </c>
      <c r="E1219" s="140">
        <v>1</v>
      </c>
      <c r="F1219" s="142">
        <v>45644.375</v>
      </c>
      <c r="G1219" s="140" t="s">
        <v>845</v>
      </c>
      <c r="H1219" s="140" t="s">
        <v>855</v>
      </c>
    </row>
    <row r="1220" spans="1:8" ht="15.75" customHeight="1">
      <c r="A1220" s="140" t="s">
        <v>61</v>
      </c>
      <c r="B1220" s="140" t="s">
        <v>21</v>
      </c>
      <c r="C1220" s="141" t="s">
        <v>140</v>
      </c>
      <c r="D1220" s="140" t="s">
        <v>141</v>
      </c>
      <c r="E1220" s="140">
        <v>2</v>
      </c>
      <c r="F1220" s="142">
        <v>45652.375</v>
      </c>
      <c r="G1220" s="140" t="s">
        <v>845</v>
      </c>
      <c r="H1220" s="140" t="s">
        <v>855</v>
      </c>
    </row>
    <row r="1221" spans="1:8" ht="15.75" customHeight="1">
      <c r="A1221" s="140" t="s">
        <v>61</v>
      </c>
      <c r="B1221" s="140" t="s">
        <v>21</v>
      </c>
      <c r="C1221" s="141" t="s">
        <v>140</v>
      </c>
      <c r="D1221" s="140" t="s">
        <v>141</v>
      </c>
      <c r="E1221" s="140">
        <v>3</v>
      </c>
      <c r="F1221" s="142">
        <v>45666.375</v>
      </c>
      <c r="G1221" s="140" t="s">
        <v>845</v>
      </c>
      <c r="H1221" s="140" t="s">
        <v>855</v>
      </c>
    </row>
    <row r="1222" spans="1:8" ht="15.75" customHeight="1">
      <c r="A1222" s="140" t="s">
        <v>61</v>
      </c>
      <c r="B1222" s="140" t="s">
        <v>21</v>
      </c>
      <c r="C1222" s="141" t="s">
        <v>140</v>
      </c>
      <c r="D1222" s="140" t="s">
        <v>141</v>
      </c>
      <c r="E1222" s="140">
        <v>4</v>
      </c>
      <c r="F1222" s="142">
        <v>45692.375</v>
      </c>
      <c r="G1222" s="140" t="s">
        <v>845</v>
      </c>
      <c r="H1222" s="140" t="s">
        <v>855</v>
      </c>
    </row>
    <row r="1223" spans="1:8" ht="15.75" customHeight="1">
      <c r="A1223" s="140" t="s">
        <v>61</v>
      </c>
      <c r="B1223" s="140" t="s">
        <v>21</v>
      </c>
      <c r="C1223" s="141" t="s">
        <v>140</v>
      </c>
      <c r="D1223" s="140" t="s">
        <v>141</v>
      </c>
      <c r="E1223" s="140">
        <v>5</v>
      </c>
      <c r="F1223" s="142">
        <v>45700.458333333328</v>
      </c>
      <c r="G1223" s="140" t="s">
        <v>845</v>
      </c>
      <c r="H1223" s="140" t="s">
        <v>855</v>
      </c>
    </row>
    <row r="1224" spans="1:8" ht="15.75" customHeight="1">
      <c r="A1224" s="140" t="s">
        <v>61</v>
      </c>
      <c r="B1224" s="140" t="s">
        <v>21</v>
      </c>
      <c r="C1224" s="141" t="s">
        <v>140</v>
      </c>
      <c r="D1224" s="140" t="s">
        <v>141</v>
      </c>
      <c r="E1224" s="140">
        <v>6</v>
      </c>
      <c r="F1224" s="142">
        <v>45708.375</v>
      </c>
      <c r="G1224" s="140" t="s">
        <v>845</v>
      </c>
      <c r="H1224" s="140" t="s">
        <v>855</v>
      </c>
    </row>
    <row r="1225" spans="1:8" ht="15.75" customHeight="1">
      <c r="A1225" s="140" t="s">
        <v>61</v>
      </c>
      <c r="B1225" s="140" t="s">
        <v>21</v>
      </c>
      <c r="C1225" s="141" t="s">
        <v>140</v>
      </c>
      <c r="D1225" s="140" t="s">
        <v>141</v>
      </c>
      <c r="E1225" s="140">
        <v>7</v>
      </c>
      <c r="F1225" s="142">
        <v>45714.458333333328</v>
      </c>
      <c r="G1225" s="140" t="s">
        <v>845</v>
      </c>
      <c r="H1225" s="140" t="s">
        <v>855</v>
      </c>
    </row>
    <row r="1226" spans="1:8" ht="15.75" customHeight="1">
      <c r="A1226" s="140" t="s">
        <v>61</v>
      </c>
      <c r="B1226" s="140" t="s">
        <v>21</v>
      </c>
      <c r="C1226" s="141" t="s">
        <v>140</v>
      </c>
      <c r="D1226" s="140" t="s">
        <v>141</v>
      </c>
      <c r="E1226" s="140">
        <v>8</v>
      </c>
      <c r="F1226" s="142">
        <v>45756.458333333328</v>
      </c>
      <c r="G1226" s="140" t="s">
        <v>845</v>
      </c>
      <c r="H1226" s="140" t="s">
        <v>855</v>
      </c>
    </row>
    <row r="1227" spans="1:8" ht="15.75" customHeight="1">
      <c r="A1227" s="140" t="s">
        <v>61</v>
      </c>
      <c r="B1227" s="140" t="s">
        <v>21</v>
      </c>
      <c r="C1227" s="141" t="s">
        <v>140</v>
      </c>
      <c r="D1227" s="140" t="s">
        <v>141</v>
      </c>
      <c r="E1227" s="140">
        <v>9</v>
      </c>
      <c r="F1227" s="142">
        <v>45762.375</v>
      </c>
      <c r="G1227" s="140" t="s">
        <v>845</v>
      </c>
      <c r="H1227" s="140" t="s">
        <v>855</v>
      </c>
    </row>
    <row r="1228" spans="1:8" ht="15.75" customHeight="1">
      <c r="A1228" s="140" t="s">
        <v>61</v>
      </c>
      <c r="B1228" s="140" t="s">
        <v>21</v>
      </c>
      <c r="C1228" s="141" t="s">
        <v>140</v>
      </c>
      <c r="D1228" s="140" t="s">
        <v>141</v>
      </c>
      <c r="E1228" s="140">
        <v>10</v>
      </c>
      <c r="F1228" s="142">
        <v>45799.375</v>
      </c>
      <c r="G1228" s="140" t="s">
        <v>845</v>
      </c>
      <c r="H1228" s="140" t="s">
        <v>855</v>
      </c>
    </row>
    <row r="1229" spans="1:8" ht="15.75" customHeight="1">
      <c r="A1229" s="140" t="s">
        <v>61</v>
      </c>
      <c r="B1229" s="140" t="s">
        <v>21</v>
      </c>
      <c r="C1229" s="141" t="s">
        <v>340</v>
      </c>
      <c r="D1229" s="140" t="s">
        <v>341</v>
      </c>
      <c r="E1229" s="140">
        <v>1</v>
      </c>
      <c r="F1229" s="142">
        <v>45644.375</v>
      </c>
      <c r="G1229" s="140" t="s">
        <v>845</v>
      </c>
      <c r="H1229" s="140" t="s">
        <v>855</v>
      </c>
    </row>
    <row r="1230" spans="1:8" ht="15.75" customHeight="1">
      <c r="A1230" s="140" t="s">
        <v>61</v>
      </c>
      <c r="B1230" s="140" t="s">
        <v>21</v>
      </c>
      <c r="C1230" s="141" t="s">
        <v>340</v>
      </c>
      <c r="D1230" s="140" t="s">
        <v>341</v>
      </c>
      <c r="E1230" s="140">
        <v>2</v>
      </c>
      <c r="F1230" s="142">
        <v>45652.375</v>
      </c>
      <c r="G1230" s="140" t="s">
        <v>845</v>
      </c>
      <c r="H1230" s="140" t="s">
        <v>855</v>
      </c>
    </row>
    <row r="1231" spans="1:8" ht="15.75" customHeight="1">
      <c r="A1231" s="140" t="s">
        <v>61</v>
      </c>
      <c r="B1231" s="140" t="s">
        <v>21</v>
      </c>
      <c r="C1231" s="141" t="s">
        <v>340</v>
      </c>
      <c r="D1231" s="140" t="s">
        <v>341</v>
      </c>
      <c r="E1231" s="140">
        <v>3</v>
      </c>
      <c r="F1231" s="142">
        <v>45666.375</v>
      </c>
      <c r="G1231" s="140" t="s">
        <v>845</v>
      </c>
      <c r="H1231" s="140" t="s">
        <v>855</v>
      </c>
    </row>
    <row r="1232" spans="1:8" ht="15.75" customHeight="1">
      <c r="A1232" s="140" t="s">
        <v>61</v>
      </c>
      <c r="B1232" s="140" t="s">
        <v>21</v>
      </c>
      <c r="C1232" s="141" t="s">
        <v>340</v>
      </c>
      <c r="D1232" s="140" t="s">
        <v>341</v>
      </c>
      <c r="E1232" s="140">
        <v>4</v>
      </c>
      <c r="F1232" s="142">
        <v>45692.375</v>
      </c>
      <c r="G1232" s="140" t="s">
        <v>845</v>
      </c>
      <c r="H1232" s="140" t="s">
        <v>855</v>
      </c>
    </row>
    <row r="1233" spans="1:8" ht="15.75" customHeight="1">
      <c r="A1233" s="140" t="s">
        <v>61</v>
      </c>
      <c r="B1233" s="140" t="s">
        <v>21</v>
      </c>
      <c r="C1233" s="141" t="s">
        <v>340</v>
      </c>
      <c r="D1233" s="140" t="s">
        <v>341</v>
      </c>
      <c r="E1233" s="140">
        <v>5</v>
      </c>
      <c r="F1233" s="142">
        <v>45700.458333333328</v>
      </c>
      <c r="G1233" s="140" t="s">
        <v>845</v>
      </c>
      <c r="H1233" s="140" t="s">
        <v>855</v>
      </c>
    </row>
    <row r="1234" spans="1:8" ht="15.75" customHeight="1">
      <c r="A1234" s="140" t="s">
        <v>61</v>
      </c>
      <c r="B1234" s="140" t="s">
        <v>21</v>
      </c>
      <c r="C1234" s="141" t="s">
        <v>340</v>
      </c>
      <c r="D1234" s="140" t="s">
        <v>341</v>
      </c>
      <c r="E1234" s="140">
        <v>6</v>
      </c>
      <c r="F1234" s="142">
        <v>45708.375</v>
      </c>
      <c r="G1234" s="140" t="s">
        <v>845</v>
      </c>
      <c r="H1234" s="140" t="s">
        <v>855</v>
      </c>
    </row>
    <row r="1235" spans="1:8" ht="15.75" customHeight="1">
      <c r="A1235" s="140" t="s">
        <v>61</v>
      </c>
      <c r="B1235" s="140" t="s">
        <v>21</v>
      </c>
      <c r="C1235" s="141" t="s">
        <v>340</v>
      </c>
      <c r="D1235" s="140" t="s">
        <v>341</v>
      </c>
      <c r="E1235" s="140">
        <v>7</v>
      </c>
      <c r="F1235" s="142">
        <v>45714.458333333328</v>
      </c>
      <c r="G1235" s="140" t="s">
        <v>845</v>
      </c>
      <c r="H1235" s="140" t="s">
        <v>855</v>
      </c>
    </row>
    <row r="1236" spans="1:8" ht="15.75" customHeight="1">
      <c r="A1236" s="140" t="s">
        <v>61</v>
      </c>
      <c r="B1236" s="140" t="s">
        <v>21</v>
      </c>
      <c r="C1236" s="141" t="s">
        <v>340</v>
      </c>
      <c r="D1236" s="140" t="s">
        <v>341</v>
      </c>
      <c r="E1236" s="140">
        <v>8</v>
      </c>
      <c r="F1236" s="142">
        <v>45756.458333333328</v>
      </c>
      <c r="G1236" s="140" t="s">
        <v>845</v>
      </c>
      <c r="H1236" s="140" t="s">
        <v>855</v>
      </c>
    </row>
    <row r="1237" spans="1:8" ht="15.75" customHeight="1">
      <c r="A1237" s="140" t="s">
        <v>61</v>
      </c>
      <c r="B1237" s="140" t="s">
        <v>21</v>
      </c>
      <c r="C1237" s="141" t="s">
        <v>340</v>
      </c>
      <c r="D1237" s="140" t="s">
        <v>341</v>
      </c>
      <c r="E1237" s="140">
        <v>9</v>
      </c>
      <c r="F1237" s="142">
        <v>45762.375</v>
      </c>
      <c r="G1237" s="140" t="s">
        <v>845</v>
      </c>
      <c r="H1237" s="140" t="s">
        <v>855</v>
      </c>
    </row>
    <row r="1238" spans="1:8" ht="15.75" customHeight="1">
      <c r="A1238" s="140" t="s">
        <v>61</v>
      </c>
      <c r="B1238" s="140" t="s">
        <v>21</v>
      </c>
      <c r="C1238" s="141" t="s">
        <v>340</v>
      </c>
      <c r="D1238" s="140" t="s">
        <v>341</v>
      </c>
      <c r="E1238" s="140">
        <v>10</v>
      </c>
      <c r="F1238" s="142">
        <v>45799.375</v>
      </c>
      <c r="G1238" s="140" t="s">
        <v>845</v>
      </c>
      <c r="H1238" s="140" t="s">
        <v>855</v>
      </c>
    </row>
    <row r="1239" spans="1:8" ht="15.75" customHeight="1">
      <c r="A1239" s="140" t="s">
        <v>61</v>
      </c>
      <c r="B1239" s="140" t="s">
        <v>21</v>
      </c>
      <c r="C1239" s="141" t="s">
        <v>395</v>
      </c>
      <c r="D1239" s="140" t="s">
        <v>396</v>
      </c>
      <c r="E1239" s="140">
        <v>1</v>
      </c>
      <c r="F1239" s="142">
        <v>45644.375</v>
      </c>
      <c r="G1239" s="140" t="s">
        <v>845</v>
      </c>
      <c r="H1239" s="140" t="s">
        <v>855</v>
      </c>
    </row>
    <row r="1240" spans="1:8" ht="15.75" customHeight="1">
      <c r="A1240" s="140" t="s">
        <v>61</v>
      </c>
      <c r="B1240" s="140" t="s">
        <v>21</v>
      </c>
      <c r="C1240" s="141" t="s">
        <v>395</v>
      </c>
      <c r="D1240" s="140" t="s">
        <v>396</v>
      </c>
      <c r="E1240" s="140">
        <v>2</v>
      </c>
      <c r="F1240" s="142">
        <v>45652.375</v>
      </c>
      <c r="G1240" s="140" t="s">
        <v>843</v>
      </c>
      <c r="H1240" s="140" t="s">
        <v>855</v>
      </c>
    </row>
    <row r="1241" spans="1:8" ht="15.75" customHeight="1">
      <c r="A1241" s="140" t="s">
        <v>61</v>
      </c>
      <c r="B1241" s="140" t="s">
        <v>21</v>
      </c>
      <c r="C1241" s="141" t="s">
        <v>395</v>
      </c>
      <c r="D1241" s="140" t="s">
        <v>396</v>
      </c>
      <c r="E1241" s="140">
        <v>3</v>
      </c>
      <c r="F1241" s="142">
        <v>45666.375</v>
      </c>
      <c r="G1241" s="140" t="s">
        <v>845</v>
      </c>
      <c r="H1241" s="140" t="s">
        <v>855</v>
      </c>
    </row>
    <row r="1242" spans="1:8" ht="15.75" customHeight="1">
      <c r="A1242" s="140" t="s">
        <v>61</v>
      </c>
      <c r="B1242" s="140" t="s">
        <v>21</v>
      </c>
      <c r="C1242" s="141" t="s">
        <v>395</v>
      </c>
      <c r="D1242" s="140" t="s">
        <v>396</v>
      </c>
      <c r="E1242" s="140">
        <v>4</v>
      </c>
      <c r="F1242" s="142">
        <v>45692.375</v>
      </c>
      <c r="G1242" s="140" t="s">
        <v>845</v>
      </c>
      <c r="H1242" s="140" t="s">
        <v>855</v>
      </c>
    </row>
    <row r="1243" spans="1:8" ht="15.75" customHeight="1">
      <c r="A1243" s="140" t="s">
        <v>61</v>
      </c>
      <c r="B1243" s="140" t="s">
        <v>21</v>
      </c>
      <c r="C1243" s="141" t="s">
        <v>395</v>
      </c>
      <c r="D1243" s="140" t="s">
        <v>396</v>
      </c>
      <c r="E1243" s="140">
        <v>5</v>
      </c>
      <c r="F1243" s="142">
        <v>45700.458333333328</v>
      </c>
      <c r="G1243" s="140" t="s">
        <v>845</v>
      </c>
      <c r="H1243" s="140" t="s">
        <v>855</v>
      </c>
    </row>
    <row r="1244" spans="1:8" ht="15.75" customHeight="1">
      <c r="A1244" s="140" t="s">
        <v>61</v>
      </c>
      <c r="B1244" s="140" t="s">
        <v>21</v>
      </c>
      <c r="C1244" s="141" t="s">
        <v>395</v>
      </c>
      <c r="D1244" s="140" t="s">
        <v>396</v>
      </c>
      <c r="E1244" s="140">
        <v>6</v>
      </c>
      <c r="F1244" s="142">
        <v>45708.375</v>
      </c>
      <c r="G1244" s="140" t="s">
        <v>845</v>
      </c>
      <c r="H1244" s="140" t="s">
        <v>855</v>
      </c>
    </row>
    <row r="1245" spans="1:8" ht="15.75" customHeight="1">
      <c r="A1245" s="140" t="s">
        <v>61</v>
      </c>
      <c r="B1245" s="140" t="s">
        <v>21</v>
      </c>
      <c r="C1245" s="141" t="s">
        <v>395</v>
      </c>
      <c r="D1245" s="140" t="s">
        <v>396</v>
      </c>
      <c r="E1245" s="140">
        <v>7</v>
      </c>
      <c r="F1245" s="142">
        <v>45714.458333333328</v>
      </c>
      <c r="G1245" s="140" t="s">
        <v>845</v>
      </c>
      <c r="H1245" s="140" t="s">
        <v>855</v>
      </c>
    </row>
    <row r="1246" spans="1:8" ht="15.75" customHeight="1">
      <c r="A1246" s="140" t="s">
        <v>61</v>
      </c>
      <c r="B1246" s="140" t="s">
        <v>21</v>
      </c>
      <c r="C1246" s="141" t="s">
        <v>395</v>
      </c>
      <c r="D1246" s="140" t="s">
        <v>396</v>
      </c>
      <c r="E1246" s="140">
        <v>8</v>
      </c>
      <c r="F1246" s="142">
        <v>45756.458333333328</v>
      </c>
      <c r="G1246" s="140" t="s">
        <v>845</v>
      </c>
      <c r="H1246" s="140" t="s">
        <v>855</v>
      </c>
    </row>
    <row r="1247" spans="1:8" ht="15.75" customHeight="1">
      <c r="A1247" s="140" t="s">
        <v>61</v>
      </c>
      <c r="B1247" s="140" t="s">
        <v>21</v>
      </c>
      <c r="C1247" s="141" t="s">
        <v>395</v>
      </c>
      <c r="D1247" s="140" t="s">
        <v>396</v>
      </c>
      <c r="E1247" s="140">
        <v>9</v>
      </c>
      <c r="F1247" s="142">
        <v>45762.375</v>
      </c>
      <c r="G1247" s="140" t="s">
        <v>845</v>
      </c>
      <c r="H1247" s="140" t="s">
        <v>855</v>
      </c>
    </row>
    <row r="1248" spans="1:8" ht="15.75" customHeight="1">
      <c r="A1248" s="140" t="s">
        <v>61</v>
      </c>
      <c r="B1248" s="140" t="s">
        <v>21</v>
      </c>
      <c r="C1248" s="141" t="s">
        <v>395</v>
      </c>
      <c r="D1248" s="140" t="s">
        <v>396</v>
      </c>
      <c r="E1248" s="140">
        <v>10</v>
      </c>
      <c r="F1248" s="142">
        <v>45799.375</v>
      </c>
      <c r="G1248" s="140" t="s">
        <v>845</v>
      </c>
      <c r="H1248" s="140" t="s">
        <v>855</v>
      </c>
    </row>
    <row r="1249" spans="1:8" ht="15.75" customHeight="1">
      <c r="A1249" s="140" t="s">
        <v>61</v>
      </c>
      <c r="B1249" s="140" t="s">
        <v>21</v>
      </c>
      <c r="C1249" s="141" t="s">
        <v>504</v>
      </c>
      <c r="D1249" s="140" t="s">
        <v>505</v>
      </c>
      <c r="E1249" s="140">
        <v>1</v>
      </c>
      <c r="F1249" s="142">
        <v>45644.375</v>
      </c>
      <c r="G1249" s="140" t="s">
        <v>845</v>
      </c>
      <c r="H1249" s="140" t="s">
        <v>855</v>
      </c>
    </row>
    <row r="1250" spans="1:8" ht="15.75" customHeight="1">
      <c r="A1250" s="140" t="s">
        <v>61</v>
      </c>
      <c r="B1250" s="140" t="s">
        <v>21</v>
      </c>
      <c r="C1250" s="141" t="s">
        <v>504</v>
      </c>
      <c r="D1250" s="140" t="s">
        <v>505</v>
      </c>
      <c r="E1250" s="140">
        <v>2</v>
      </c>
      <c r="F1250" s="142">
        <v>45652.375</v>
      </c>
      <c r="G1250" s="140" t="s">
        <v>845</v>
      </c>
      <c r="H1250" s="140" t="s">
        <v>855</v>
      </c>
    </row>
    <row r="1251" spans="1:8" ht="15.75" customHeight="1">
      <c r="A1251" s="140" t="s">
        <v>61</v>
      </c>
      <c r="B1251" s="140" t="s">
        <v>21</v>
      </c>
      <c r="C1251" s="141" t="s">
        <v>504</v>
      </c>
      <c r="D1251" s="140" t="s">
        <v>505</v>
      </c>
      <c r="E1251" s="140">
        <v>3</v>
      </c>
      <c r="F1251" s="142">
        <v>45666.375</v>
      </c>
      <c r="G1251" s="140" t="s">
        <v>845</v>
      </c>
      <c r="H1251" s="140" t="s">
        <v>855</v>
      </c>
    </row>
    <row r="1252" spans="1:8" ht="15.75" customHeight="1">
      <c r="A1252" s="140" t="s">
        <v>61</v>
      </c>
      <c r="B1252" s="140" t="s">
        <v>21</v>
      </c>
      <c r="C1252" s="141" t="s">
        <v>504</v>
      </c>
      <c r="D1252" s="140" t="s">
        <v>505</v>
      </c>
      <c r="E1252" s="140">
        <v>4</v>
      </c>
      <c r="F1252" s="142">
        <v>45692.375</v>
      </c>
      <c r="G1252" s="140" t="s">
        <v>845</v>
      </c>
      <c r="H1252" s="140" t="s">
        <v>855</v>
      </c>
    </row>
    <row r="1253" spans="1:8" ht="15.75" customHeight="1">
      <c r="A1253" s="140" t="s">
        <v>61</v>
      </c>
      <c r="B1253" s="140" t="s">
        <v>21</v>
      </c>
      <c r="C1253" s="141" t="s">
        <v>504</v>
      </c>
      <c r="D1253" s="140" t="s">
        <v>505</v>
      </c>
      <c r="E1253" s="140">
        <v>5</v>
      </c>
      <c r="F1253" s="142">
        <v>45700.458333333328</v>
      </c>
      <c r="G1253" s="140" t="s">
        <v>845</v>
      </c>
      <c r="H1253" s="140" t="s">
        <v>855</v>
      </c>
    </row>
    <row r="1254" spans="1:8" ht="15.75" customHeight="1">
      <c r="A1254" s="140" t="s">
        <v>61</v>
      </c>
      <c r="B1254" s="140" t="s">
        <v>21</v>
      </c>
      <c r="C1254" s="141" t="s">
        <v>504</v>
      </c>
      <c r="D1254" s="140" t="s">
        <v>505</v>
      </c>
      <c r="E1254" s="140">
        <v>6</v>
      </c>
      <c r="F1254" s="142">
        <v>45708.375</v>
      </c>
      <c r="G1254" s="140" t="s">
        <v>843</v>
      </c>
      <c r="H1254" s="140" t="s">
        <v>855</v>
      </c>
    </row>
    <row r="1255" spans="1:8" ht="15.75" customHeight="1">
      <c r="A1255" s="140" t="s">
        <v>61</v>
      </c>
      <c r="B1255" s="140" t="s">
        <v>21</v>
      </c>
      <c r="C1255" s="141" t="s">
        <v>504</v>
      </c>
      <c r="D1255" s="140" t="s">
        <v>505</v>
      </c>
      <c r="E1255" s="140">
        <v>7</v>
      </c>
      <c r="F1255" s="142">
        <v>45714.458333333328</v>
      </c>
      <c r="G1255" s="140" t="s">
        <v>845</v>
      </c>
      <c r="H1255" s="140" t="s">
        <v>855</v>
      </c>
    </row>
    <row r="1256" spans="1:8" ht="15.75" customHeight="1">
      <c r="A1256" s="140" t="s">
        <v>61</v>
      </c>
      <c r="B1256" s="140" t="s">
        <v>21</v>
      </c>
      <c r="C1256" s="141" t="s">
        <v>504</v>
      </c>
      <c r="D1256" s="140" t="s">
        <v>505</v>
      </c>
      <c r="E1256" s="140">
        <v>8</v>
      </c>
      <c r="F1256" s="142">
        <v>45756.458333333328</v>
      </c>
      <c r="G1256" s="140" t="s">
        <v>845</v>
      </c>
      <c r="H1256" s="140" t="s">
        <v>855</v>
      </c>
    </row>
    <row r="1257" spans="1:8" ht="15.75" customHeight="1">
      <c r="A1257" s="140" t="s">
        <v>61</v>
      </c>
      <c r="B1257" s="140" t="s">
        <v>21</v>
      </c>
      <c r="C1257" s="141" t="s">
        <v>504</v>
      </c>
      <c r="D1257" s="140" t="s">
        <v>505</v>
      </c>
      <c r="E1257" s="140">
        <v>9</v>
      </c>
      <c r="F1257" s="142">
        <v>45762.375</v>
      </c>
      <c r="G1257" s="140" t="s">
        <v>845</v>
      </c>
      <c r="H1257" s="140" t="s">
        <v>855</v>
      </c>
    </row>
    <row r="1258" spans="1:8" ht="15.75" customHeight="1">
      <c r="A1258" s="140" t="s">
        <v>61</v>
      </c>
      <c r="B1258" s="140" t="s">
        <v>21</v>
      </c>
      <c r="C1258" s="141" t="s">
        <v>504</v>
      </c>
      <c r="D1258" s="140" t="s">
        <v>505</v>
      </c>
      <c r="E1258" s="140">
        <v>10</v>
      </c>
      <c r="F1258" s="142">
        <v>45799.375</v>
      </c>
      <c r="G1258" s="140" t="s">
        <v>845</v>
      </c>
      <c r="H1258" s="140" t="s">
        <v>855</v>
      </c>
    </row>
    <row r="1259" spans="1:8" ht="15.75" customHeight="1">
      <c r="A1259" s="140" t="s">
        <v>61</v>
      </c>
      <c r="B1259" s="140" t="s">
        <v>21</v>
      </c>
      <c r="C1259" s="141" t="s">
        <v>583</v>
      </c>
      <c r="D1259" s="140" t="s">
        <v>584</v>
      </c>
      <c r="E1259" s="140">
        <v>1</v>
      </c>
      <c r="F1259" s="142">
        <v>45644.375</v>
      </c>
      <c r="G1259" s="140" t="s">
        <v>845</v>
      </c>
      <c r="H1259" s="140" t="s">
        <v>855</v>
      </c>
    </row>
    <row r="1260" spans="1:8" ht="15.75" customHeight="1">
      <c r="A1260" s="140" t="s">
        <v>61</v>
      </c>
      <c r="B1260" s="140" t="s">
        <v>21</v>
      </c>
      <c r="C1260" s="141" t="s">
        <v>583</v>
      </c>
      <c r="D1260" s="140" t="s">
        <v>584</v>
      </c>
      <c r="E1260" s="140">
        <v>2</v>
      </c>
      <c r="F1260" s="142">
        <v>45652.375</v>
      </c>
      <c r="G1260" s="140" t="s">
        <v>845</v>
      </c>
      <c r="H1260" s="140" t="s">
        <v>855</v>
      </c>
    </row>
    <row r="1261" spans="1:8" ht="15.75" customHeight="1">
      <c r="A1261" s="140" t="s">
        <v>61</v>
      </c>
      <c r="B1261" s="140" t="s">
        <v>21</v>
      </c>
      <c r="C1261" s="141" t="s">
        <v>583</v>
      </c>
      <c r="D1261" s="140" t="s">
        <v>584</v>
      </c>
      <c r="E1261" s="140">
        <v>3</v>
      </c>
      <c r="F1261" s="142">
        <v>45666.375</v>
      </c>
      <c r="G1261" s="140" t="s">
        <v>845</v>
      </c>
      <c r="H1261" s="140" t="s">
        <v>855</v>
      </c>
    </row>
    <row r="1262" spans="1:8" ht="15.75" customHeight="1">
      <c r="A1262" s="140" t="s">
        <v>61</v>
      </c>
      <c r="B1262" s="140" t="s">
        <v>21</v>
      </c>
      <c r="C1262" s="141" t="s">
        <v>583</v>
      </c>
      <c r="D1262" s="140" t="s">
        <v>584</v>
      </c>
      <c r="E1262" s="140">
        <v>4</v>
      </c>
      <c r="F1262" s="142">
        <v>45692.375</v>
      </c>
      <c r="G1262" s="140" t="s">
        <v>845</v>
      </c>
      <c r="H1262" s="140" t="s">
        <v>855</v>
      </c>
    </row>
    <row r="1263" spans="1:8" ht="15.75" customHeight="1">
      <c r="A1263" s="140" t="s">
        <v>61</v>
      </c>
      <c r="B1263" s="140" t="s">
        <v>21</v>
      </c>
      <c r="C1263" s="141" t="s">
        <v>583</v>
      </c>
      <c r="D1263" s="140" t="s">
        <v>584</v>
      </c>
      <c r="E1263" s="140">
        <v>5</v>
      </c>
      <c r="F1263" s="142">
        <v>45700.458333333328</v>
      </c>
      <c r="G1263" s="140" t="s">
        <v>845</v>
      </c>
      <c r="H1263" s="140" t="s">
        <v>855</v>
      </c>
    </row>
    <row r="1264" spans="1:8" ht="15.75" customHeight="1">
      <c r="A1264" s="140" t="s">
        <v>61</v>
      </c>
      <c r="B1264" s="140" t="s">
        <v>21</v>
      </c>
      <c r="C1264" s="141" t="s">
        <v>583</v>
      </c>
      <c r="D1264" s="140" t="s">
        <v>584</v>
      </c>
      <c r="E1264" s="140">
        <v>6</v>
      </c>
      <c r="F1264" s="142">
        <v>45708.375</v>
      </c>
      <c r="G1264" s="140" t="s">
        <v>845</v>
      </c>
      <c r="H1264" s="140" t="s">
        <v>855</v>
      </c>
    </row>
    <row r="1265" spans="1:8" ht="15.75" customHeight="1">
      <c r="A1265" s="140" t="s">
        <v>61</v>
      </c>
      <c r="B1265" s="140" t="s">
        <v>21</v>
      </c>
      <c r="C1265" s="141" t="s">
        <v>583</v>
      </c>
      <c r="D1265" s="140" t="s">
        <v>584</v>
      </c>
      <c r="E1265" s="140">
        <v>7</v>
      </c>
      <c r="F1265" s="142">
        <v>45714.458333333328</v>
      </c>
      <c r="G1265" s="140" t="s">
        <v>845</v>
      </c>
      <c r="H1265" s="140" t="s">
        <v>855</v>
      </c>
    </row>
    <row r="1266" spans="1:8" ht="15.75" customHeight="1">
      <c r="A1266" s="140" t="s">
        <v>61</v>
      </c>
      <c r="B1266" s="140" t="s">
        <v>21</v>
      </c>
      <c r="C1266" s="141" t="s">
        <v>583</v>
      </c>
      <c r="D1266" s="140" t="s">
        <v>584</v>
      </c>
      <c r="E1266" s="140">
        <v>8</v>
      </c>
      <c r="F1266" s="142">
        <v>45756.458333333328</v>
      </c>
      <c r="G1266" s="140" t="s">
        <v>845</v>
      </c>
      <c r="H1266" s="140" t="s">
        <v>855</v>
      </c>
    </row>
    <row r="1267" spans="1:8" ht="15.75" customHeight="1">
      <c r="A1267" s="140" t="s">
        <v>61</v>
      </c>
      <c r="B1267" s="140" t="s">
        <v>21</v>
      </c>
      <c r="C1267" s="141" t="s">
        <v>583</v>
      </c>
      <c r="D1267" s="140" t="s">
        <v>584</v>
      </c>
      <c r="E1267" s="140">
        <v>9</v>
      </c>
      <c r="F1267" s="142">
        <v>45762.375</v>
      </c>
      <c r="G1267" s="140" t="s">
        <v>845</v>
      </c>
      <c r="H1267" s="140" t="s">
        <v>855</v>
      </c>
    </row>
    <row r="1268" spans="1:8" ht="15.75" customHeight="1">
      <c r="A1268" s="140" t="s">
        <v>61</v>
      </c>
      <c r="B1268" s="140" t="s">
        <v>21</v>
      </c>
      <c r="C1268" s="141" t="s">
        <v>583</v>
      </c>
      <c r="D1268" s="140" t="s">
        <v>584</v>
      </c>
      <c r="E1268" s="140">
        <v>10</v>
      </c>
      <c r="F1268" s="142">
        <v>45799.375</v>
      </c>
      <c r="G1268" s="140" t="s">
        <v>845</v>
      </c>
      <c r="H1268" s="140" t="s">
        <v>855</v>
      </c>
    </row>
    <row r="1269" spans="1:8" ht="15.75" customHeight="1">
      <c r="A1269" s="140" t="s">
        <v>62</v>
      </c>
      <c r="B1269" s="140" t="s">
        <v>21</v>
      </c>
      <c r="C1269" s="141" t="s">
        <v>190</v>
      </c>
      <c r="D1269" s="140" t="s">
        <v>191</v>
      </c>
      <c r="E1269" s="140">
        <v>1</v>
      </c>
      <c r="F1269" s="142">
        <v>45646.375</v>
      </c>
      <c r="G1269" s="140" t="s">
        <v>845</v>
      </c>
      <c r="H1269" s="140" t="s">
        <v>856</v>
      </c>
    </row>
    <row r="1270" spans="1:8" ht="15.75" customHeight="1">
      <c r="A1270" s="140" t="s">
        <v>62</v>
      </c>
      <c r="B1270" s="140" t="s">
        <v>21</v>
      </c>
      <c r="C1270" s="141" t="s">
        <v>190</v>
      </c>
      <c r="D1270" s="140" t="s">
        <v>191</v>
      </c>
      <c r="E1270" s="140">
        <v>2</v>
      </c>
      <c r="F1270" s="142">
        <v>45653.375</v>
      </c>
      <c r="G1270" s="140" t="s">
        <v>845</v>
      </c>
      <c r="H1270" s="140" t="s">
        <v>856</v>
      </c>
    </row>
    <row r="1271" spans="1:8" ht="15.75" customHeight="1">
      <c r="A1271" s="140" t="s">
        <v>62</v>
      </c>
      <c r="B1271" s="140" t="s">
        <v>21</v>
      </c>
      <c r="C1271" s="141" t="s">
        <v>190</v>
      </c>
      <c r="D1271" s="140" t="s">
        <v>191</v>
      </c>
      <c r="E1271" s="140">
        <v>3</v>
      </c>
      <c r="F1271" s="142">
        <v>45673.416666666672</v>
      </c>
      <c r="G1271" s="140" t="s">
        <v>845</v>
      </c>
      <c r="H1271" s="140" t="s">
        <v>856</v>
      </c>
    </row>
    <row r="1272" spans="1:8" ht="15.75" customHeight="1">
      <c r="A1272" s="140" t="s">
        <v>62</v>
      </c>
      <c r="B1272" s="140" t="s">
        <v>21</v>
      </c>
      <c r="C1272" s="141" t="s">
        <v>190</v>
      </c>
      <c r="D1272" s="140" t="s">
        <v>191</v>
      </c>
      <c r="E1272" s="140">
        <v>4</v>
      </c>
      <c r="F1272" s="142">
        <v>45680.375</v>
      </c>
      <c r="G1272" s="140" t="s">
        <v>843</v>
      </c>
      <c r="H1272" s="140" t="s">
        <v>856</v>
      </c>
    </row>
    <row r="1273" spans="1:8" ht="15.75" customHeight="1">
      <c r="A1273" s="140" t="s">
        <v>62</v>
      </c>
      <c r="B1273" s="140" t="s">
        <v>21</v>
      </c>
      <c r="C1273" s="141" t="s">
        <v>190</v>
      </c>
      <c r="D1273" s="140" t="s">
        <v>191</v>
      </c>
      <c r="E1273" s="140">
        <v>5</v>
      </c>
      <c r="F1273" s="142">
        <v>45700.583333333328</v>
      </c>
      <c r="G1273" s="140" t="s">
        <v>845</v>
      </c>
      <c r="H1273" s="140" t="s">
        <v>856</v>
      </c>
    </row>
    <row r="1274" spans="1:8" ht="15.75" customHeight="1">
      <c r="A1274" s="140" t="s">
        <v>62</v>
      </c>
      <c r="B1274" s="140" t="s">
        <v>21</v>
      </c>
      <c r="C1274" s="141" t="s">
        <v>190</v>
      </c>
      <c r="D1274" s="140" t="s">
        <v>191</v>
      </c>
      <c r="E1274" s="140">
        <v>6</v>
      </c>
      <c r="F1274" s="142">
        <v>45707.583333333328</v>
      </c>
      <c r="G1274" s="140" t="s">
        <v>845</v>
      </c>
      <c r="H1274" s="140" t="s">
        <v>856</v>
      </c>
    </row>
    <row r="1275" spans="1:8" ht="15.75" customHeight="1">
      <c r="A1275" s="140" t="s">
        <v>62</v>
      </c>
      <c r="B1275" s="140" t="s">
        <v>21</v>
      </c>
      <c r="C1275" s="141" t="s">
        <v>190</v>
      </c>
      <c r="D1275" s="140" t="s">
        <v>191</v>
      </c>
      <c r="E1275" s="140">
        <v>7</v>
      </c>
      <c r="F1275" s="142">
        <v>45714.583333333328</v>
      </c>
      <c r="G1275" s="140" t="s">
        <v>845</v>
      </c>
      <c r="H1275" s="140" t="s">
        <v>856</v>
      </c>
    </row>
    <row r="1276" spans="1:8" ht="15.75" customHeight="1">
      <c r="A1276" s="140" t="s">
        <v>62</v>
      </c>
      <c r="B1276" s="140" t="s">
        <v>21</v>
      </c>
      <c r="C1276" s="141" t="s">
        <v>190</v>
      </c>
      <c r="D1276" s="140" t="s">
        <v>191</v>
      </c>
      <c r="E1276" s="140">
        <v>8</v>
      </c>
      <c r="F1276" s="142">
        <v>45756.375</v>
      </c>
      <c r="G1276" s="140" t="s">
        <v>845</v>
      </c>
      <c r="H1276" s="140" t="s">
        <v>856</v>
      </c>
    </row>
    <row r="1277" spans="1:8" ht="15.75" customHeight="1">
      <c r="A1277" s="140" t="s">
        <v>62</v>
      </c>
      <c r="B1277" s="140" t="s">
        <v>21</v>
      </c>
      <c r="C1277" s="141" t="s">
        <v>190</v>
      </c>
      <c r="D1277" s="140" t="s">
        <v>191</v>
      </c>
      <c r="E1277" s="140">
        <v>9</v>
      </c>
      <c r="F1277" s="142">
        <v>45784.375</v>
      </c>
      <c r="G1277" s="140" t="s">
        <v>845</v>
      </c>
      <c r="H1277" s="140" t="s">
        <v>856</v>
      </c>
    </row>
    <row r="1278" spans="1:8" ht="15.75" customHeight="1">
      <c r="A1278" s="140" t="s">
        <v>62</v>
      </c>
      <c r="B1278" s="140" t="s">
        <v>21</v>
      </c>
      <c r="C1278" s="141" t="s">
        <v>198</v>
      </c>
      <c r="D1278" s="140" t="s">
        <v>199</v>
      </c>
      <c r="E1278" s="140">
        <v>1</v>
      </c>
      <c r="F1278" s="142">
        <v>45646.375</v>
      </c>
      <c r="G1278" s="140" t="s">
        <v>845</v>
      </c>
      <c r="H1278" s="140" t="s">
        <v>856</v>
      </c>
    </row>
    <row r="1279" spans="1:8" ht="15.75" customHeight="1">
      <c r="A1279" s="140" t="s">
        <v>62</v>
      </c>
      <c r="B1279" s="140" t="s">
        <v>21</v>
      </c>
      <c r="C1279" s="141" t="s">
        <v>198</v>
      </c>
      <c r="D1279" s="140" t="s">
        <v>199</v>
      </c>
      <c r="E1279" s="140">
        <v>2</v>
      </c>
      <c r="F1279" s="142">
        <v>45653.375</v>
      </c>
      <c r="G1279" s="140" t="s">
        <v>845</v>
      </c>
      <c r="H1279" s="140" t="s">
        <v>856</v>
      </c>
    </row>
    <row r="1280" spans="1:8" ht="15.75" customHeight="1">
      <c r="A1280" s="140" t="s">
        <v>62</v>
      </c>
      <c r="B1280" s="140" t="s">
        <v>21</v>
      </c>
      <c r="C1280" s="141" t="s">
        <v>198</v>
      </c>
      <c r="D1280" s="140" t="s">
        <v>199</v>
      </c>
      <c r="E1280" s="140">
        <v>3</v>
      </c>
      <c r="F1280" s="142">
        <v>45673.375</v>
      </c>
      <c r="G1280" s="140" t="s">
        <v>845</v>
      </c>
      <c r="H1280" s="140" t="s">
        <v>856</v>
      </c>
    </row>
    <row r="1281" spans="1:8" ht="15.75" customHeight="1">
      <c r="A1281" s="140" t="s">
        <v>62</v>
      </c>
      <c r="B1281" s="140" t="s">
        <v>21</v>
      </c>
      <c r="C1281" s="141" t="s">
        <v>198</v>
      </c>
      <c r="D1281" s="140" t="s">
        <v>199</v>
      </c>
      <c r="E1281" s="140">
        <v>4</v>
      </c>
      <c r="F1281" s="142">
        <v>45680.375</v>
      </c>
      <c r="G1281" s="140" t="s">
        <v>845</v>
      </c>
      <c r="H1281" s="140" t="s">
        <v>856</v>
      </c>
    </row>
    <row r="1282" spans="1:8" ht="15.75" customHeight="1">
      <c r="A1282" s="140" t="s">
        <v>62</v>
      </c>
      <c r="B1282" s="140" t="s">
        <v>21</v>
      </c>
      <c r="C1282" s="141" t="s">
        <v>198</v>
      </c>
      <c r="D1282" s="140" t="s">
        <v>199</v>
      </c>
      <c r="E1282" s="140">
        <v>5</v>
      </c>
      <c r="F1282" s="142">
        <v>45700.583333333328</v>
      </c>
      <c r="G1282" s="140" t="s">
        <v>845</v>
      </c>
      <c r="H1282" s="140" t="s">
        <v>856</v>
      </c>
    </row>
    <row r="1283" spans="1:8" ht="15.75" customHeight="1">
      <c r="A1283" s="140" t="s">
        <v>62</v>
      </c>
      <c r="B1283" s="140" t="s">
        <v>21</v>
      </c>
      <c r="C1283" s="141" t="s">
        <v>198</v>
      </c>
      <c r="D1283" s="140" t="s">
        <v>199</v>
      </c>
      <c r="E1283" s="140">
        <v>6</v>
      </c>
      <c r="F1283" s="142">
        <v>45707.583333333328</v>
      </c>
      <c r="G1283" s="140" t="s">
        <v>845</v>
      </c>
      <c r="H1283" s="140" t="s">
        <v>856</v>
      </c>
    </row>
    <row r="1284" spans="1:8" ht="15.75" customHeight="1">
      <c r="A1284" s="140" t="s">
        <v>62</v>
      </c>
      <c r="B1284" s="140" t="s">
        <v>21</v>
      </c>
      <c r="C1284" s="141" t="s">
        <v>198</v>
      </c>
      <c r="D1284" s="140" t="s">
        <v>199</v>
      </c>
      <c r="E1284" s="140">
        <v>7</v>
      </c>
      <c r="F1284" s="142">
        <v>45714.583333333328</v>
      </c>
      <c r="G1284" s="140" t="s">
        <v>845</v>
      </c>
      <c r="H1284" s="140" t="s">
        <v>856</v>
      </c>
    </row>
    <row r="1285" spans="1:8" ht="15.75" customHeight="1">
      <c r="A1285" s="140" t="s">
        <v>62</v>
      </c>
      <c r="B1285" s="140" t="s">
        <v>21</v>
      </c>
      <c r="C1285" s="141" t="s">
        <v>198</v>
      </c>
      <c r="D1285" s="140" t="s">
        <v>199</v>
      </c>
      <c r="E1285" s="140">
        <v>8</v>
      </c>
      <c r="F1285" s="142">
        <v>45756.375</v>
      </c>
      <c r="G1285" s="140" t="s">
        <v>845</v>
      </c>
      <c r="H1285" s="140" t="s">
        <v>856</v>
      </c>
    </row>
    <row r="1286" spans="1:8" ht="15.75" customHeight="1">
      <c r="A1286" s="140" t="s">
        <v>62</v>
      </c>
      <c r="B1286" s="140" t="s">
        <v>21</v>
      </c>
      <c r="C1286" s="141" t="s">
        <v>198</v>
      </c>
      <c r="D1286" s="140" t="s">
        <v>199</v>
      </c>
      <c r="E1286" s="140">
        <v>9</v>
      </c>
      <c r="F1286" s="142">
        <v>45784.375</v>
      </c>
      <c r="G1286" s="140" t="s">
        <v>843</v>
      </c>
      <c r="H1286" s="140" t="s">
        <v>856</v>
      </c>
    </row>
    <row r="1287" spans="1:8" ht="15.75" customHeight="1">
      <c r="A1287" s="140" t="s">
        <v>62</v>
      </c>
      <c r="B1287" s="140" t="s">
        <v>21</v>
      </c>
      <c r="C1287" s="141" t="s">
        <v>237</v>
      </c>
      <c r="D1287" s="140" t="s">
        <v>238</v>
      </c>
      <c r="E1287" s="140">
        <v>1</v>
      </c>
      <c r="F1287" s="142">
        <v>45646.375</v>
      </c>
      <c r="G1287" s="140" t="s">
        <v>845</v>
      </c>
      <c r="H1287" s="140" t="s">
        <v>856</v>
      </c>
    </row>
    <row r="1288" spans="1:8" ht="15.75" customHeight="1">
      <c r="A1288" s="140" t="s">
        <v>62</v>
      </c>
      <c r="B1288" s="140" t="s">
        <v>21</v>
      </c>
      <c r="C1288" s="141" t="s">
        <v>237</v>
      </c>
      <c r="D1288" s="140" t="s">
        <v>238</v>
      </c>
      <c r="E1288" s="140">
        <v>2</v>
      </c>
      <c r="F1288" s="142">
        <v>45653.375</v>
      </c>
      <c r="G1288" s="140" t="s">
        <v>845</v>
      </c>
      <c r="H1288" s="140" t="s">
        <v>856</v>
      </c>
    </row>
    <row r="1289" spans="1:8" ht="15.75" customHeight="1">
      <c r="A1289" s="140" t="s">
        <v>62</v>
      </c>
      <c r="B1289" s="140" t="s">
        <v>21</v>
      </c>
      <c r="C1289" s="141" t="s">
        <v>237</v>
      </c>
      <c r="D1289" s="140" t="s">
        <v>238</v>
      </c>
      <c r="E1289" s="140">
        <v>3</v>
      </c>
      <c r="F1289" s="142">
        <v>45673.416666666672</v>
      </c>
      <c r="G1289" s="140" t="s">
        <v>845</v>
      </c>
      <c r="H1289" s="140" t="s">
        <v>856</v>
      </c>
    </row>
    <row r="1290" spans="1:8" ht="15.75" customHeight="1">
      <c r="A1290" s="140" t="s">
        <v>62</v>
      </c>
      <c r="B1290" s="140" t="s">
        <v>21</v>
      </c>
      <c r="C1290" s="141" t="s">
        <v>237</v>
      </c>
      <c r="D1290" s="140" t="s">
        <v>238</v>
      </c>
      <c r="E1290" s="140">
        <v>4</v>
      </c>
      <c r="F1290" s="142">
        <v>45680.416666666672</v>
      </c>
      <c r="G1290" s="140" t="s">
        <v>845</v>
      </c>
      <c r="H1290" s="140" t="s">
        <v>856</v>
      </c>
    </row>
    <row r="1291" spans="1:8" ht="15.75" customHeight="1">
      <c r="A1291" s="140" t="s">
        <v>62</v>
      </c>
      <c r="B1291" s="140" t="s">
        <v>21</v>
      </c>
      <c r="C1291" s="141" t="s">
        <v>237</v>
      </c>
      <c r="D1291" s="140" t="s">
        <v>238</v>
      </c>
      <c r="E1291" s="140">
        <v>5</v>
      </c>
      <c r="F1291" s="142">
        <v>45700.583333333328</v>
      </c>
      <c r="G1291" s="140" t="s">
        <v>845</v>
      </c>
      <c r="H1291" s="140" t="s">
        <v>856</v>
      </c>
    </row>
    <row r="1292" spans="1:8" ht="15.75" customHeight="1">
      <c r="A1292" s="140" t="s">
        <v>62</v>
      </c>
      <c r="B1292" s="140" t="s">
        <v>21</v>
      </c>
      <c r="C1292" s="141" t="s">
        <v>237</v>
      </c>
      <c r="D1292" s="140" t="s">
        <v>238</v>
      </c>
      <c r="E1292" s="140">
        <v>6</v>
      </c>
      <c r="F1292" s="142">
        <v>45707.583333333328</v>
      </c>
      <c r="G1292" s="140" t="s">
        <v>845</v>
      </c>
      <c r="H1292" s="140" t="s">
        <v>856</v>
      </c>
    </row>
    <row r="1293" spans="1:8" ht="15.75" customHeight="1">
      <c r="A1293" s="140" t="s">
        <v>62</v>
      </c>
      <c r="B1293" s="140" t="s">
        <v>21</v>
      </c>
      <c r="C1293" s="141" t="s">
        <v>237</v>
      </c>
      <c r="D1293" s="140" t="s">
        <v>238</v>
      </c>
      <c r="E1293" s="140">
        <v>7</v>
      </c>
      <c r="F1293" s="142">
        <v>45714.583333333328</v>
      </c>
      <c r="G1293" s="140" t="s">
        <v>843</v>
      </c>
      <c r="H1293" s="140" t="s">
        <v>856</v>
      </c>
    </row>
    <row r="1294" spans="1:8" ht="15.75" customHeight="1">
      <c r="A1294" s="140" t="s">
        <v>62</v>
      </c>
      <c r="B1294" s="140" t="s">
        <v>21</v>
      </c>
      <c r="C1294" s="141" t="s">
        <v>237</v>
      </c>
      <c r="D1294" s="140" t="s">
        <v>238</v>
      </c>
      <c r="E1294" s="140">
        <v>8</v>
      </c>
      <c r="F1294" s="142">
        <v>45756.375</v>
      </c>
      <c r="G1294" s="140" t="s">
        <v>845</v>
      </c>
      <c r="H1294" s="140" t="s">
        <v>856</v>
      </c>
    </row>
    <row r="1295" spans="1:8" ht="15.75" customHeight="1">
      <c r="A1295" s="140" t="s">
        <v>62</v>
      </c>
      <c r="B1295" s="140" t="s">
        <v>21</v>
      </c>
      <c r="C1295" s="141" t="s">
        <v>237</v>
      </c>
      <c r="D1295" s="140" t="s">
        <v>238</v>
      </c>
      <c r="E1295" s="140">
        <v>9</v>
      </c>
      <c r="F1295" s="142">
        <v>45784.375</v>
      </c>
      <c r="G1295" s="140" t="s">
        <v>843</v>
      </c>
      <c r="H1295" s="140" t="s">
        <v>856</v>
      </c>
    </row>
    <row r="1296" spans="1:8" ht="15.75" customHeight="1">
      <c r="A1296" s="140" t="s">
        <v>62</v>
      </c>
      <c r="B1296" s="140" t="s">
        <v>21</v>
      </c>
      <c r="C1296" s="141" t="s">
        <v>249</v>
      </c>
      <c r="D1296" s="140" t="s">
        <v>250</v>
      </c>
      <c r="E1296" s="140">
        <v>1</v>
      </c>
      <c r="F1296" s="142">
        <v>45646.375</v>
      </c>
      <c r="G1296" s="140" t="s">
        <v>845</v>
      </c>
      <c r="H1296" s="140" t="s">
        <v>856</v>
      </c>
    </row>
    <row r="1297" spans="1:8" ht="15.75" customHeight="1">
      <c r="A1297" s="140" t="s">
        <v>62</v>
      </c>
      <c r="B1297" s="140" t="s">
        <v>21</v>
      </c>
      <c r="C1297" s="141" t="s">
        <v>249</v>
      </c>
      <c r="D1297" s="140" t="s">
        <v>250</v>
      </c>
      <c r="E1297" s="140">
        <v>2</v>
      </c>
      <c r="F1297" s="142">
        <v>45653.375</v>
      </c>
      <c r="G1297" s="140" t="s">
        <v>845</v>
      </c>
      <c r="H1297" s="140" t="s">
        <v>856</v>
      </c>
    </row>
    <row r="1298" spans="1:8" ht="15.75" customHeight="1">
      <c r="A1298" s="140" t="s">
        <v>62</v>
      </c>
      <c r="B1298" s="140" t="s">
        <v>21</v>
      </c>
      <c r="C1298" s="141" t="s">
        <v>249</v>
      </c>
      <c r="D1298" s="140" t="s">
        <v>250</v>
      </c>
      <c r="E1298" s="140">
        <v>3</v>
      </c>
      <c r="F1298" s="142">
        <v>45673.375</v>
      </c>
      <c r="G1298" s="140" t="s">
        <v>845</v>
      </c>
      <c r="H1298" s="140" t="s">
        <v>856</v>
      </c>
    </row>
    <row r="1299" spans="1:8" ht="15.75" customHeight="1">
      <c r="A1299" s="140" t="s">
        <v>62</v>
      </c>
      <c r="B1299" s="140" t="s">
        <v>21</v>
      </c>
      <c r="C1299" s="141" t="s">
        <v>249</v>
      </c>
      <c r="D1299" s="140" t="s">
        <v>250</v>
      </c>
      <c r="E1299" s="140">
        <v>4</v>
      </c>
      <c r="F1299" s="142">
        <v>45680.375</v>
      </c>
      <c r="G1299" s="140" t="s">
        <v>843</v>
      </c>
      <c r="H1299" s="140" t="s">
        <v>856</v>
      </c>
    </row>
    <row r="1300" spans="1:8" ht="15.75" customHeight="1">
      <c r="A1300" s="140" t="s">
        <v>62</v>
      </c>
      <c r="B1300" s="140" t="s">
        <v>21</v>
      </c>
      <c r="C1300" s="141" t="s">
        <v>249</v>
      </c>
      <c r="D1300" s="140" t="s">
        <v>250</v>
      </c>
      <c r="E1300" s="140">
        <v>5</v>
      </c>
      <c r="F1300" s="142">
        <v>45700.583333333328</v>
      </c>
      <c r="G1300" s="140" t="s">
        <v>845</v>
      </c>
      <c r="H1300" s="140" t="s">
        <v>856</v>
      </c>
    </row>
    <row r="1301" spans="1:8" ht="15.75" customHeight="1">
      <c r="A1301" s="140" t="s">
        <v>62</v>
      </c>
      <c r="B1301" s="140" t="s">
        <v>21</v>
      </c>
      <c r="C1301" s="141" t="s">
        <v>249</v>
      </c>
      <c r="D1301" s="140" t="s">
        <v>250</v>
      </c>
      <c r="E1301" s="140">
        <v>6</v>
      </c>
      <c r="F1301" s="142">
        <v>45707.583333333328</v>
      </c>
      <c r="G1301" s="140" t="s">
        <v>845</v>
      </c>
      <c r="H1301" s="140" t="s">
        <v>856</v>
      </c>
    </row>
    <row r="1302" spans="1:8" ht="15.75" customHeight="1">
      <c r="A1302" s="140" t="s">
        <v>62</v>
      </c>
      <c r="B1302" s="140" t="s">
        <v>21</v>
      </c>
      <c r="C1302" s="141" t="s">
        <v>249</v>
      </c>
      <c r="D1302" s="140" t="s">
        <v>250</v>
      </c>
      <c r="E1302" s="140">
        <v>7</v>
      </c>
      <c r="F1302" s="142">
        <v>45714.583333333328</v>
      </c>
      <c r="G1302" s="140" t="s">
        <v>845</v>
      </c>
      <c r="H1302" s="140" t="s">
        <v>856</v>
      </c>
    </row>
    <row r="1303" spans="1:8" ht="15.75" customHeight="1">
      <c r="A1303" s="140" t="s">
        <v>62</v>
      </c>
      <c r="B1303" s="140" t="s">
        <v>21</v>
      </c>
      <c r="C1303" s="141" t="s">
        <v>249</v>
      </c>
      <c r="D1303" s="140" t="s">
        <v>250</v>
      </c>
      <c r="E1303" s="140">
        <v>8</v>
      </c>
      <c r="F1303" s="142">
        <v>45756.375</v>
      </c>
      <c r="G1303" s="140" t="s">
        <v>845</v>
      </c>
      <c r="H1303" s="140" t="s">
        <v>856</v>
      </c>
    </row>
    <row r="1304" spans="1:8" ht="15.75" customHeight="1">
      <c r="A1304" s="140" t="s">
        <v>62</v>
      </c>
      <c r="B1304" s="140" t="s">
        <v>21</v>
      </c>
      <c r="C1304" s="141" t="s">
        <v>249</v>
      </c>
      <c r="D1304" s="140" t="s">
        <v>250</v>
      </c>
      <c r="E1304" s="140">
        <v>9</v>
      </c>
      <c r="F1304" s="142">
        <v>45784.375</v>
      </c>
      <c r="G1304" s="140" t="s">
        <v>845</v>
      </c>
      <c r="H1304" s="140" t="s">
        <v>856</v>
      </c>
    </row>
    <row r="1305" spans="1:8" ht="15.75" customHeight="1">
      <c r="A1305" s="140" t="s">
        <v>62</v>
      </c>
      <c r="B1305" s="140" t="s">
        <v>21</v>
      </c>
      <c r="C1305" s="141" t="s">
        <v>307</v>
      </c>
      <c r="D1305" s="140" t="s">
        <v>308</v>
      </c>
      <c r="E1305" s="140">
        <v>1</v>
      </c>
      <c r="F1305" s="142">
        <v>45646.375</v>
      </c>
      <c r="G1305" s="140" t="s">
        <v>845</v>
      </c>
      <c r="H1305" s="140" t="s">
        <v>856</v>
      </c>
    </row>
    <row r="1306" spans="1:8" ht="15.75" customHeight="1">
      <c r="A1306" s="140" t="s">
        <v>62</v>
      </c>
      <c r="B1306" s="140" t="s">
        <v>21</v>
      </c>
      <c r="C1306" s="141" t="s">
        <v>307</v>
      </c>
      <c r="D1306" s="140" t="s">
        <v>308</v>
      </c>
      <c r="E1306" s="140">
        <v>2</v>
      </c>
      <c r="F1306" s="142">
        <v>45653.375</v>
      </c>
      <c r="G1306" s="140" t="s">
        <v>845</v>
      </c>
      <c r="H1306" s="140" t="s">
        <v>856</v>
      </c>
    </row>
    <row r="1307" spans="1:8" ht="15.75" customHeight="1">
      <c r="A1307" s="140" t="s">
        <v>62</v>
      </c>
      <c r="B1307" s="140" t="s">
        <v>21</v>
      </c>
      <c r="C1307" s="141" t="s">
        <v>307</v>
      </c>
      <c r="D1307" s="140" t="s">
        <v>308</v>
      </c>
      <c r="E1307" s="140">
        <v>3</v>
      </c>
      <c r="F1307" s="142">
        <v>45673.416666666672</v>
      </c>
      <c r="G1307" s="140" t="s">
        <v>845</v>
      </c>
      <c r="H1307" s="140" t="s">
        <v>856</v>
      </c>
    </row>
    <row r="1308" spans="1:8" ht="15.75" customHeight="1">
      <c r="A1308" s="140" t="s">
        <v>62</v>
      </c>
      <c r="B1308" s="140" t="s">
        <v>21</v>
      </c>
      <c r="C1308" s="141" t="s">
        <v>307</v>
      </c>
      <c r="D1308" s="140" t="s">
        <v>308</v>
      </c>
      <c r="E1308" s="140">
        <v>4</v>
      </c>
      <c r="F1308" s="142">
        <v>45680.416666666672</v>
      </c>
      <c r="G1308" s="140" t="s">
        <v>845</v>
      </c>
      <c r="H1308" s="140" t="s">
        <v>856</v>
      </c>
    </row>
    <row r="1309" spans="1:8" ht="15.75" customHeight="1">
      <c r="A1309" s="140" t="s">
        <v>62</v>
      </c>
      <c r="B1309" s="140" t="s">
        <v>21</v>
      </c>
      <c r="C1309" s="141" t="s">
        <v>307</v>
      </c>
      <c r="D1309" s="140" t="s">
        <v>308</v>
      </c>
      <c r="E1309" s="140">
        <v>5</v>
      </c>
      <c r="F1309" s="142">
        <v>45694.375</v>
      </c>
      <c r="G1309" s="140" t="s">
        <v>845</v>
      </c>
      <c r="H1309" s="140" t="s">
        <v>856</v>
      </c>
    </row>
    <row r="1310" spans="1:8" ht="15.75" customHeight="1">
      <c r="A1310" s="140" t="s">
        <v>62</v>
      </c>
      <c r="B1310" s="140" t="s">
        <v>21</v>
      </c>
      <c r="C1310" s="141" t="s">
        <v>307</v>
      </c>
      <c r="D1310" s="140" t="s">
        <v>308</v>
      </c>
      <c r="E1310" s="140">
        <v>6</v>
      </c>
      <c r="F1310" s="142">
        <v>45701.375</v>
      </c>
      <c r="G1310" s="140" t="s">
        <v>845</v>
      </c>
      <c r="H1310" s="140" t="s">
        <v>856</v>
      </c>
    </row>
    <row r="1311" spans="1:8" ht="15.75" customHeight="1">
      <c r="A1311" s="140" t="s">
        <v>62</v>
      </c>
      <c r="B1311" s="140" t="s">
        <v>21</v>
      </c>
      <c r="C1311" s="141" t="s">
        <v>307</v>
      </c>
      <c r="D1311" s="140" t="s">
        <v>308</v>
      </c>
      <c r="E1311" s="140">
        <v>7</v>
      </c>
      <c r="F1311" s="142">
        <v>45708.375</v>
      </c>
      <c r="G1311" s="140" t="s">
        <v>845</v>
      </c>
      <c r="H1311" s="140" t="s">
        <v>856</v>
      </c>
    </row>
    <row r="1312" spans="1:8" ht="15.75" customHeight="1">
      <c r="A1312" s="140" t="s">
        <v>62</v>
      </c>
      <c r="B1312" s="140" t="s">
        <v>21</v>
      </c>
      <c r="C1312" s="141" t="s">
        <v>307</v>
      </c>
      <c r="D1312" s="140" t="s">
        <v>308</v>
      </c>
      <c r="E1312" s="140">
        <v>8</v>
      </c>
      <c r="F1312" s="142">
        <v>45756.375</v>
      </c>
      <c r="G1312" s="140" t="s">
        <v>845</v>
      </c>
      <c r="H1312" s="140" t="s">
        <v>856</v>
      </c>
    </row>
    <row r="1313" spans="1:8" ht="15.75" customHeight="1">
      <c r="A1313" s="140" t="s">
        <v>62</v>
      </c>
      <c r="B1313" s="140" t="s">
        <v>21</v>
      </c>
      <c r="C1313" s="141" t="s">
        <v>307</v>
      </c>
      <c r="D1313" s="140" t="s">
        <v>308</v>
      </c>
      <c r="E1313" s="140">
        <v>9</v>
      </c>
      <c r="F1313" s="142">
        <v>45784.375</v>
      </c>
      <c r="G1313" s="140" t="s">
        <v>845</v>
      </c>
      <c r="H1313" s="140" t="s">
        <v>856</v>
      </c>
    </row>
    <row r="1314" spans="1:8" ht="15.75" customHeight="1">
      <c r="A1314" s="140" t="s">
        <v>62</v>
      </c>
      <c r="B1314" s="140" t="s">
        <v>21</v>
      </c>
      <c r="C1314" s="141" t="s">
        <v>376</v>
      </c>
      <c r="D1314" s="140" t="s">
        <v>377</v>
      </c>
      <c r="E1314" s="140">
        <v>1</v>
      </c>
      <c r="F1314" s="142">
        <v>45646.375</v>
      </c>
      <c r="G1314" s="140" t="s">
        <v>845</v>
      </c>
      <c r="H1314" s="140" t="s">
        <v>856</v>
      </c>
    </row>
    <row r="1315" spans="1:8" ht="15.75" customHeight="1">
      <c r="A1315" s="140" t="s">
        <v>62</v>
      </c>
      <c r="B1315" s="140" t="s">
        <v>21</v>
      </c>
      <c r="C1315" s="141" t="s">
        <v>376</v>
      </c>
      <c r="D1315" s="140" t="s">
        <v>377</v>
      </c>
      <c r="E1315" s="140">
        <v>2</v>
      </c>
      <c r="F1315" s="142">
        <v>45653.375</v>
      </c>
      <c r="G1315" s="140" t="s">
        <v>845</v>
      </c>
      <c r="H1315" s="140" t="s">
        <v>856</v>
      </c>
    </row>
    <row r="1316" spans="1:8" ht="15.75" customHeight="1">
      <c r="A1316" s="140" t="s">
        <v>62</v>
      </c>
      <c r="B1316" s="140" t="s">
        <v>21</v>
      </c>
      <c r="C1316" s="141" t="s">
        <v>376</v>
      </c>
      <c r="D1316" s="140" t="s">
        <v>377</v>
      </c>
      <c r="E1316" s="140">
        <v>3</v>
      </c>
      <c r="F1316" s="142">
        <v>45673.416666666672</v>
      </c>
      <c r="G1316" s="140" t="s">
        <v>843</v>
      </c>
      <c r="H1316" s="140" t="s">
        <v>856</v>
      </c>
    </row>
    <row r="1317" spans="1:8" ht="15.75" customHeight="1">
      <c r="A1317" s="140" t="s">
        <v>62</v>
      </c>
      <c r="B1317" s="140" t="s">
        <v>21</v>
      </c>
      <c r="C1317" s="141" t="s">
        <v>376</v>
      </c>
      <c r="D1317" s="140" t="s">
        <v>377</v>
      </c>
      <c r="E1317" s="140">
        <v>4</v>
      </c>
      <c r="F1317" s="142">
        <v>45680.375</v>
      </c>
      <c r="G1317" s="140" t="s">
        <v>843</v>
      </c>
      <c r="H1317" s="140" t="s">
        <v>856</v>
      </c>
    </row>
    <row r="1318" spans="1:8" ht="15.75" customHeight="1">
      <c r="A1318" s="140" t="s">
        <v>62</v>
      </c>
      <c r="B1318" s="140" t="s">
        <v>21</v>
      </c>
      <c r="C1318" s="141" t="s">
        <v>376</v>
      </c>
      <c r="D1318" s="140" t="s">
        <v>377</v>
      </c>
      <c r="E1318" s="140">
        <v>5</v>
      </c>
      <c r="F1318" s="142">
        <v>45700.583333333328</v>
      </c>
      <c r="G1318" s="140" t="s">
        <v>845</v>
      </c>
      <c r="H1318" s="140" t="s">
        <v>856</v>
      </c>
    </row>
    <row r="1319" spans="1:8" ht="15.75" customHeight="1">
      <c r="A1319" s="140" t="s">
        <v>62</v>
      </c>
      <c r="B1319" s="140" t="s">
        <v>21</v>
      </c>
      <c r="C1319" s="141" t="s">
        <v>376</v>
      </c>
      <c r="D1319" s="140" t="s">
        <v>377</v>
      </c>
      <c r="E1319" s="140">
        <v>6</v>
      </c>
      <c r="F1319" s="142">
        <v>45707.583333333328</v>
      </c>
      <c r="G1319" s="140" t="s">
        <v>845</v>
      </c>
      <c r="H1319" s="140" t="s">
        <v>856</v>
      </c>
    </row>
    <row r="1320" spans="1:8" ht="15.75" customHeight="1">
      <c r="A1320" s="140" t="s">
        <v>62</v>
      </c>
      <c r="B1320" s="140" t="s">
        <v>21</v>
      </c>
      <c r="C1320" s="141" t="s">
        <v>376</v>
      </c>
      <c r="D1320" s="140" t="s">
        <v>377</v>
      </c>
      <c r="E1320" s="140">
        <v>7</v>
      </c>
      <c r="F1320" s="142">
        <v>45714.583333333328</v>
      </c>
      <c r="G1320" s="140" t="s">
        <v>843</v>
      </c>
      <c r="H1320" s="140" t="s">
        <v>856</v>
      </c>
    </row>
    <row r="1321" spans="1:8" ht="15.75" customHeight="1">
      <c r="A1321" s="140" t="s">
        <v>62</v>
      </c>
      <c r="B1321" s="140" t="s">
        <v>21</v>
      </c>
      <c r="C1321" s="141" t="s">
        <v>376</v>
      </c>
      <c r="D1321" s="140" t="s">
        <v>377</v>
      </c>
      <c r="E1321" s="140">
        <v>8</v>
      </c>
      <c r="F1321" s="142">
        <v>45756.375</v>
      </c>
      <c r="G1321" s="140" t="s">
        <v>843</v>
      </c>
      <c r="H1321" s="140" t="s">
        <v>856</v>
      </c>
    </row>
    <row r="1322" spans="1:8" ht="15.75" customHeight="1">
      <c r="A1322" s="140" t="s">
        <v>62</v>
      </c>
      <c r="B1322" s="140" t="s">
        <v>21</v>
      </c>
      <c r="C1322" s="141" t="s">
        <v>376</v>
      </c>
      <c r="D1322" s="140" t="s">
        <v>377</v>
      </c>
      <c r="E1322" s="140">
        <v>9</v>
      </c>
      <c r="F1322" s="142">
        <v>45784.375</v>
      </c>
      <c r="G1322" s="140" t="s">
        <v>845</v>
      </c>
      <c r="H1322" s="140" t="s">
        <v>856</v>
      </c>
    </row>
    <row r="1323" spans="1:8" ht="15.75" customHeight="1">
      <c r="A1323" s="140" t="s">
        <v>62</v>
      </c>
      <c r="B1323" s="140" t="s">
        <v>21</v>
      </c>
      <c r="C1323" s="141" t="s">
        <v>387</v>
      </c>
      <c r="D1323" s="140" t="s">
        <v>388</v>
      </c>
      <c r="E1323" s="140">
        <v>1</v>
      </c>
      <c r="F1323" s="142">
        <v>45646.375</v>
      </c>
      <c r="G1323" s="140" t="s">
        <v>843</v>
      </c>
      <c r="H1323" s="140" t="s">
        <v>856</v>
      </c>
    </row>
    <row r="1324" spans="1:8" ht="15.75" customHeight="1">
      <c r="A1324" s="140" t="s">
        <v>62</v>
      </c>
      <c r="B1324" s="140" t="s">
        <v>21</v>
      </c>
      <c r="C1324" s="141" t="s">
        <v>387</v>
      </c>
      <c r="D1324" s="140" t="s">
        <v>388</v>
      </c>
      <c r="E1324" s="140">
        <v>2</v>
      </c>
      <c r="F1324" s="142">
        <v>45653.375</v>
      </c>
      <c r="G1324" s="140" t="s">
        <v>845</v>
      </c>
      <c r="H1324" s="140" t="s">
        <v>856</v>
      </c>
    </row>
    <row r="1325" spans="1:8" ht="15.75" customHeight="1">
      <c r="A1325" s="140" t="s">
        <v>62</v>
      </c>
      <c r="B1325" s="140" t="s">
        <v>21</v>
      </c>
      <c r="C1325" s="141" t="s">
        <v>387</v>
      </c>
      <c r="D1325" s="140" t="s">
        <v>388</v>
      </c>
      <c r="E1325" s="140">
        <v>3</v>
      </c>
      <c r="F1325" s="142">
        <v>45673.375</v>
      </c>
      <c r="G1325" s="140" t="s">
        <v>845</v>
      </c>
      <c r="H1325" s="140" t="s">
        <v>856</v>
      </c>
    </row>
    <row r="1326" spans="1:8" ht="15.75" customHeight="1">
      <c r="A1326" s="140" t="s">
        <v>62</v>
      </c>
      <c r="B1326" s="140" t="s">
        <v>21</v>
      </c>
      <c r="C1326" s="141" t="s">
        <v>387</v>
      </c>
      <c r="D1326" s="140" t="s">
        <v>388</v>
      </c>
      <c r="E1326" s="140">
        <v>4</v>
      </c>
      <c r="F1326" s="142">
        <v>45680.375</v>
      </c>
      <c r="G1326" s="140" t="s">
        <v>845</v>
      </c>
      <c r="H1326" s="140" t="s">
        <v>856</v>
      </c>
    </row>
    <row r="1327" spans="1:8" ht="15.75" customHeight="1">
      <c r="A1327" s="140" t="s">
        <v>62</v>
      </c>
      <c r="B1327" s="140" t="s">
        <v>21</v>
      </c>
      <c r="C1327" s="141" t="s">
        <v>387</v>
      </c>
      <c r="D1327" s="140" t="s">
        <v>388</v>
      </c>
      <c r="E1327" s="140">
        <v>5</v>
      </c>
      <c r="F1327" s="142">
        <v>45700.583333333328</v>
      </c>
      <c r="G1327" s="140" t="s">
        <v>845</v>
      </c>
      <c r="H1327" s="140" t="s">
        <v>856</v>
      </c>
    </row>
    <row r="1328" spans="1:8" ht="15.75" customHeight="1">
      <c r="A1328" s="140" t="s">
        <v>62</v>
      </c>
      <c r="B1328" s="140" t="s">
        <v>21</v>
      </c>
      <c r="C1328" s="141" t="s">
        <v>387</v>
      </c>
      <c r="D1328" s="140" t="s">
        <v>388</v>
      </c>
      <c r="E1328" s="140">
        <v>6</v>
      </c>
      <c r="F1328" s="142">
        <v>45707.583333333328</v>
      </c>
      <c r="G1328" s="140" t="s">
        <v>845</v>
      </c>
      <c r="H1328" s="140" t="s">
        <v>856</v>
      </c>
    </row>
    <row r="1329" spans="1:8" ht="15.75" customHeight="1">
      <c r="A1329" s="140" t="s">
        <v>62</v>
      </c>
      <c r="B1329" s="140" t="s">
        <v>21</v>
      </c>
      <c r="C1329" s="141" t="s">
        <v>387</v>
      </c>
      <c r="D1329" s="140" t="s">
        <v>388</v>
      </c>
      <c r="E1329" s="140">
        <v>7</v>
      </c>
      <c r="F1329" s="142">
        <v>45714.583333333328</v>
      </c>
      <c r="G1329" s="140" t="s">
        <v>845</v>
      </c>
      <c r="H1329" s="140" t="s">
        <v>856</v>
      </c>
    </row>
    <row r="1330" spans="1:8" ht="15.75" customHeight="1">
      <c r="A1330" s="140" t="s">
        <v>62</v>
      </c>
      <c r="B1330" s="140" t="s">
        <v>21</v>
      </c>
      <c r="C1330" s="141" t="s">
        <v>387</v>
      </c>
      <c r="D1330" s="140" t="s">
        <v>388</v>
      </c>
      <c r="E1330" s="140">
        <v>8</v>
      </c>
      <c r="F1330" s="142">
        <v>45756.375</v>
      </c>
      <c r="G1330" s="140" t="s">
        <v>845</v>
      </c>
      <c r="H1330" s="140" t="s">
        <v>856</v>
      </c>
    </row>
    <row r="1331" spans="1:8" ht="15.75" customHeight="1">
      <c r="A1331" s="140" t="s">
        <v>62</v>
      </c>
      <c r="B1331" s="140" t="s">
        <v>21</v>
      </c>
      <c r="C1331" s="141" t="s">
        <v>387</v>
      </c>
      <c r="D1331" s="140" t="s">
        <v>388</v>
      </c>
      <c r="E1331" s="140">
        <v>9</v>
      </c>
      <c r="F1331" s="142">
        <v>45784.375</v>
      </c>
      <c r="G1331" s="140" t="s">
        <v>845</v>
      </c>
      <c r="H1331" s="140" t="s">
        <v>856</v>
      </c>
    </row>
    <row r="1332" spans="1:8" ht="15.75" customHeight="1">
      <c r="A1332" s="140" t="s">
        <v>63</v>
      </c>
      <c r="B1332" s="140" t="s">
        <v>21</v>
      </c>
      <c r="C1332" s="141" t="s">
        <v>220</v>
      </c>
      <c r="D1332" s="140" t="s">
        <v>221</v>
      </c>
      <c r="E1332" s="140">
        <v>1</v>
      </c>
      <c r="F1332" s="142">
        <v>45637.375</v>
      </c>
      <c r="G1332" s="140" t="s">
        <v>845</v>
      </c>
      <c r="H1332" s="140" t="s">
        <v>857</v>
      </c>
    </row>
    <row r="1333" spans="1:8" ht="15.75" customHeight="1">
      <c r="A1333" s="140" t="s">
        <v>63</v>
      </c>
      <c r="B1333" s="140" t="s">
        <v>21</v>
      </c>
      <c r="C1333" s="141" t="s">
        <v>220</v>
      </c>
      <c r="D1333" s="140" t="s">
        <v>221</v>
      </c>
      <c r="E1333" s="140">
        <v>2</v>
      </c>
      <c r="F1333" s="142">
        <v>45645.375</v>
      </c>
      <c r="G1333" s="140" t="s">
        <v>845</v>
      </c>
      <c r="H1333" s="140" t="s">
        <v>857</v>
      </c>
    </row>
    <row r="1334" spans="1:8" ht="15.75" customHeight="1">
      <c r="A1334" s="140" t="s">
        <v>63</v>
      </c>
      <c r="B1334" s="140" t="s">
        <v>21</v>
      </c>
      <c r="C1334" s="141" t="s">
        <v>220</v>
      </c>
      <c r="D1334" s="140" t="s">
        <v>221</v>
      </c>
      <c r="E1334" s="140">
        <v>3</v>
      </c>
      <c r="F1334" s="142">
        <v>45667.416666666672</v>
      </c>
      <c r="G1334" s="140" t="s">
        <v>845</v>
      </c>
      <c r="H1334" s="140" t="s">
        <v>857</v>
      </c>
    </row>
    <row r="1335" spans="1:8" ht="15.75" customHeight="1">
      <c r="A1335" s="140" t="s">
        <v>63</v>
      </c>
      <c r="B1335" s="140" t="s">
        <v>21</v>
      </c>
      <c r="C1335" s="141" t="s">
        <v>220</v>
      </c>
      <c r="D1335" s="140" t="s">
        <v>221</v>
      </c>
      <c r="E1335" s="140">
        <v>4</v>
      </c>
      <c r="F1335" s="142">
        <v>45674.416666666672</v>
      </c>
      <c r="G1335" s="140" t="s">
        <v>845</v>
      </c>
      <c r="H1335" s="140" t="s">
        <v>857</v>
      </c>
    </row>
    <row r="1336" spans="1:8" ht="15.75" customHeight="1">
      <c r="A1336" s="140" t="s">
        <v>63</v>
      </c>
      <c r="B1336" s="140" t="s">
        <v>21</v>
      </c>
      <c r="C1336" s="141" t="s">
        <v>220</v>
      </c>
      <c r="D1336" s="140" t="s">
        <v>221</v>
      </c>
      <c r="E1336" s="140">
        <v>5</v>
      </c>
      <c r="F1336" s="142">
        <v>45695.416666666672</v>
      </c>
      <c r="G1336" s="140" t="s">
        <v>845</v>
      </c>
      <c r="H1336" s="140" t="s">
        <v>857</v>
      </c>
    </row>
    <row r="1337" spans="1:8" ht="15.75" customHeight="1">
      <c r="A1337" s="140" t="s">
        <v>63</v>
      </c>
      <c r="B1337" s="140" t="s">
        <v>21</v>
      </c>
      <c r="C1337" s="141" t="s">
        <v>220</v>
      </c>
      <c r="D1337" s="140" t="s">
        <v>221</v>
      </c>
      <c r="E1337" s="140">
        <v>6</v>
      </c>
      <c r="F1337" s="142">
        <v>45702.416666666672</v>
      </c>
      <c r="G1337" s="140" t="s">
        <v>845</v>
      </c>
      <c r="H1337" s="140" t="s">
        <v>857</v>
      </c>
    </row>
    <row r="1338" spans="1:8" ht="15.75" customHeight="1">
      <c r="A1338" s="140" t="s">
        <v>63</v>
      </c>
      <c r="B1338" s="140" t="s">
        <v>21</v>
      </c>
      <c r="C1338" s="141" t="s">
        <v>220</v>
      </c>
      <c r="D1338" s="140" t="s">
        <v>221</v>
      </c>
      <c r="E1338" s="140">
        <v>7</v>
      </c>
      <c r="F1338" s="142">
        <v>45709.583333333328</v>
      </c>
      <c r="G1338" s="140" t="s">
        <v>845</v>
      </c>
      <c r="H1338" s="140" t="s">
        <v>857</v>
      </c>
    </row>
    <row r="1339" spans="1:8" ht="15.75" customHeight="1">
      <c r="A1339" s="140" t="s">
        <v>63</v>
      </c>
      <c r="B1339" s="140" t="s">
        <v>21</v>
      </c>
      <c r="C1339" s="141" t="s">
        <v>220</v>
      </c>
      <c r="D1339" s="140" t="s">
        <v>221</v>
      </c>
      <c r="E1339" s="140">
        <v>8</v>
      </c>
      <c r="F1339" s="142">
        <v>45716.541666666672</v>
      </c>
      <c r="G1339" s="140" t="s">
        <v>845</v>
      </c>
      <c r="H1339" s="140" t="s">
        <v>857</v>
      </c>
    </row>
    <row r="1340" spans="1:8" ht="15.75" customHeight="1">
      <c r="A1340" s="140" t="s">
        <v>63</v>
      </c>
      <c r="B1340" s="140" t="s">
        <v>21</v>
      </c>
      <c r="C1340" s="141" t="s">
        <v>220</v>
      </c>
      <c r="D1340" s="140" t="s">
        <v>221</v>
      </c>
      <c r="E1340" s="140">
        <v>9</v>
      </c>
      <c r="F1340" s="142">
        <v>45765.625</v>
      </c>
      <c r="G1340" s="140" t="s">
        <v>845</v>
      </c>
      <c r="H1340" s="140" t="s">
        <v>857</v>
      </c>
    </row>
    <row r="1341" spans="1:8" ht="15.75" customHeight="1">
      <c r="A1341" s="140" t="s">
        <v>63</v>
      </c>
      <c r="B1341" s="140" t="s">
        <v>21</v>
      </c>
      <c r="C1341" s="141" t="s">
        <v>220</v>
      </c>
      <c r="D1341" s="140" t="s">
        <v>221</v>
      </c>
      <c r="E1341" s="140">
        <v>10</v>
      </c>
      <c r="F1341" s="142">
        <v>45806.416666666672</v>
      </c>
      <c r="G1341" s="140" t="s">
        <v>845</v>
      </c>
      <c r="H1341" s="140" t="s">
        <v>857</v>
      </c>
    </row>
    <row r="1342" spans="1:8" ht="15.75" customHeight="1">
      <c r="A1342" s="140" t="s">
        <v>63</v>
      </c>
      <c r="B1342" s="140" t="s">
        <v>22</v>
      </c>
      <c r="C1342" s="141" t="s">
        <v>220</v>
      </c>
      <c r="D1342" s="140" t="s">
        <v>221</v>
      </c>
      <c r="E1342" s="140">
        <v>1</v>
      </c>
      <c r="F1342" s="142">
        <v>45841.375</v>
      </c>
      <c r="G1342" s="140" t="s">
        <v>845</v>
      </c>
      <c r="H1342" s="140" t="s">
        <v>857</v>
      </c>
    </row>
    <row r="1343" spans="1:8" ht="15.75" customHeight="1">
      <c r="A1343" s="140" t="s">
        <v>63</v>
      </c>
      <c r="B1343" s="140" t="s">
        <v>22</v>
      </c>
      <c r="C1343" s="141" t="s">
        <v>220</v>
      </c>
      <c r="D1343" s="140" t="s">
        <v>221</v>
      </c>
      <c r="E1343" s="140">
        <v>2</v>
      </c>
      <c r="F1343" s="142">
        <v>45849.375</v>
      </c>
      <c r="G1343" s="140" t="s">
        <v>845</v>
      </c>
      <c r="H1343" s="140" t="s">
        <v>857</v>
      </c>
    </row>
    <row r="1344" spans="1:8" ht="15.75" customHeight="1">
      <c r="A1344" s="140" t="s">
        <v>63</v>
      </c>
      <c r="B1344" s="140" t="s">
        <v>22</v>
      </c>
      <c r="C1344" s="141" t="s">
        <v>220</v>
      </c>
      <c r="D1344" s="140" t="s">
        <v>221</v>
      </c>
      <c r="E1344" s="140">
        <v>3</v>
      </c>
      <c r="F1344" s="142">
        <v>45862.375</v>
      </c>
      <c r="G1344" s="140" t="s">
        <v>845</v>
      </c>
      <c r="H1344" s="140" t="s">
        <v>857</v>
      </c>
    </row>
    <row r="1345" spans="1:8" ht="15.75" customHeight="1">
      <c r="A1345" s="140" t="s">
        <v>63</v>
      </c>
      <c r="B1345" s="140" t="s">
        <v>22</v>
      </c>
      <c r="C1345" s="141" t="s">
        <v>220</v>
      </c>
      <c r="D1345" s="140" t="s">
        <v>221</v>
      </c>
      <c r="E1345" s="140">
        <v>4</v>
      </c>
      <c r="F1345" s="142">
        <v>45881.416666666672</v>
      </c>
      <c r="G1345" s="140" t="s">
        <v>843</v>
      </c>
      <c r="H1345" s="140" t="s">
        <v>857</v>
      </c>
    </row>
    <row r="1346" spans="1:8" ht="15.75" customHeight="1">
      <c r="A1346" s="140" t="s">
        <v>63</v>
      </c>
      <c r="B1346" s="140" t="s">
        <v>22</v>
      </c>
      <c r="C1346" s="141" t="s">
        <v>220</v>
      </c>
      <c r="D1346" s="140" t="s">
        <v>221</v>
      </c>
      <c r="E1346" s="140">
        <v>5</v>
      </c>
      <c r="F1346" s="142">
        <v>45888.416666666672</v>
      </c>
      <c r="G1346" s="140" t="s">
        <v>845</v>
      </c>
      <c r="H1346" s="140" t="s">
        <v>857</v>
      </c>
    </row>
    <row r="1347" spans="1:8" ht="15.75" customHeight="1">
      <c r="A1347" s="140" t="s">
        <v>63</v>
      </c>
      <c r="B1347" s="140" t="s">
        <v>22</v>
      </c>
      <c r="C1347" s="141" t="s">
        <v>220</v>
      </c>
      <c r="D1347" s="140" t="s">
        <v>221</v>
      </c>
      <c r="E1347" s="140">
        <v>6</v>
      </c>
      <c r="F1347" s="142">
        <v>45895.416666666672</v>
      </c>
      <c r="G1347" s="140" t="s">
        <v>845</v>
      </c>
      <c r="H1347" s="140" t="s">
        <v>857</v>
      </c>
    </row>
    <row r="1348" spans="1:8" ht="15.75" customHeight="1">
      <c r="A1348" s="140" t="s">
        <v>63</v>
      </c>
      <c r="B1348" s="140" t="s">
        <v>22</v>
      </c>
      <c r="C1348" s="141" t="s">
        <v>220</v>
      </c>
      <c r="D1348" s="140" t="s">
        <v>221</v>
      </c>
      <c r="E1348" s="140">
        <v>7</v>
      </c>
      <c r="F1348" s="142">
        <v>45911.458333333328</v>
      </c>
      <c r="G1348" s="140" t="s">
        <v>845</v>
      </c>
      <c r="H1348" s="140" t="s">
        <v>857</v>
      </c>
    </row>
    <row r="1349" spans="1:8" ht="15.75" customHeight="1">
      <c r="A1349" s="140" t="s">
        <v>63</v>
      </c>
      <c r="B1349" s="140" t="s">
        <v>22</v>
      </c>
      <c r="C1349" s="141" t="s">
        <v>220</v>
      </c>
      <c r="D1349" s="140" t="s">
        <v>221</v>
      </c>
      <c r="E1349" s="140">
        <v>8</v>
      </c>
      <c r="F1349" s="142">
        <v>45925.416666666672</v>
      </c>
      <c r="G1349" s="140" t="s">
        <v>845</v>
      </c>
      <c r="H1349" s="140" t="s">
        <v>857</v>
      </c>
    </row>
    <row r="1350" spans="1:8" ht="15.75" customHeight="1">
      <c r="A1350" s="140" t="s">
        <v>63</v>
      </c>
      <c r="B1350" s="140" t="s">
        <v>22</v>
      </c>
      <c r="C1350" s="141" t="s">
        <v>220</v>
      </c>
      <c r="D1350" s="140" t="s">
        <v>221</v>
      </c>
      <c r="E1350" s="140">
        <v>9</v>
      </c>
      <c r="F1350" s="142">
        <v>45932.458333333328</v>
      </c>
      <c r="G1350" s="140" t="s">
        <v>843</v>
      </c>
      <c r="H1350" s="140" t="s">
        <v>857</v>
      </c>
    </row>
    <row r="1351" spans="1:8" ht="15.75" customHeight="1">
      <c r="A1351" s="140" t="s">
        <v>63</v>
      </c>
      <c r="B1351" s="140" t="s">
        <v>22</v>
      </c>
      <c r="C1351" s="141" t="s">
        <v>220</v>
      </c>
      <c r="D1351" s="140" t="s">
        <v>221</v>
      </c>
      <c r="E1351" s="140">
        <v>10</v>
      </c>
      <c r="F1351" s="142">
        <v>45939.458333333328</v>
      </c>
      <c r="G1351" s="140" t="s">
        <v>845</v>
      </c>
      <c r="H1351" s="140" t="s">
        <v>857</v>
      </c>
    </row>
    <row r="1352" spans="1:8" ht="15.75" customHeight="1">
      <c r="A1352" s="140" t="s">
        <v>63</v>
      </c>
      <c r="B1352" s="140" t="s">
        <v>22</v>
      </c>
      <c r="C1352" s="141" t="s">
        <v>220</v>
      </c>
      <c r="D1352" s="140" t="s">
        <v>221</v>
      </c>
      <c r="E1352" s="140">
        <v>11</v>
      </c>
      <c r="F1352" s="142">
        <v>45946.375</v>
      </c>
      <c r="G1352" s="140" t="s">
        <v>845</v>
      </c>
      <c r="H1352" s="140" t="s">
        <v>857</v>
      </c>
    </row>
    <row r="1353" spans="1:8" ht="15.75" customHeight="1">
      <c r="A1353" s="140" t="s">
        <v>63</v>
      </c>
      <c r="B1353" s="140" t="s">
        <v>22</v>
      </c>
      <c r="C1353" s="141" t="s">
        <v>220</v>
      </c>
      <c r="D1353" s="140" t="s">
        <v>221</v>
      </c>
      <c r="E1353" s="140">
        <v>12</v>
      </c>
      <c r="F1353" s="142">
        <v>45961.458333333328</v>
      </c>
      <c r="G1353" s="140" t="s">
        <v>845</v>
      </c>
      <c r="H1353" s="140" t="s">
        <v>857</v>
      </c>
    </row>
    <row r="1354" spans="1:8" ht="15.75" customHeight="1">
      <c r="A1354" s="140" t="s">
        <v>63</v>
      </c>
      <c r="B1354" s="140" t="s">
        <v>22</v>
      </c>
      <c r="C1354" s="141" t="s">
        <v>220</v>
      </c>
      <c r="D1354" s="140" t="s">
        <v>221</v>
      </c>
      <c r="E1354" s="140">
        <v>13</v>
      </c>
      <c r="F1354" s="142">
        <v>45967.625</v>
      </c>
      <c r="G1354" s="140" t="s">
        <v>845</v>
      </c>
      <c r="H1354" s="140" t="s">
        <v>857</v>
      </c>
    </row>
    <row r="1355" spans="1:8" ht="15.75" customHeight="1">
      <c r="A1355" s="140" t="s">
        <v>63</v>
      </c>
      <c r="B1355" s="140" t="s">
        <v>22</v>
      </c>
      <c r="C1355" s="141" t="s">
        <v>220</v>
      </c>
      <c r="D1355" s="140" t="s">
        <v>221</v>
      </c>
      <c r="E1355" s="140">
        <v>14</v>
      </c>
      <c r="F1355" s="142">
        <v>45974.625</v>
      </c>
      <c r="G1355" s="140" t="s">
        <v>845</v>
      </c>
      <c r="H1355" s="140" t="s">
        <v>857</v>
      </c>
    </row>
    <row r="1356" spans="1:8" ht="15.75" customHeight="1">
      <c r="A1356" s="140" t="s">
        <v>63</v>
      </c>
      <c r="B1356" s="140" t="s">
        <v>22</v>
      </c>
      <c r="C1356" s="141" t="s">
        <v>220</v>
      </c>
      <c r="D1356" s="140" t="s">
        <v>221</v>
      </c>
      <c r="E1356" s="140">
        <v>15</v>
      </c>
      <c r="F1356" s="142">
        <v>46006.416666666672</v>
      </c>
      <c r="G1356" s="140" t="s">
        <v>845</v>
      </c>
      <c r="H1356" s="140" t="s">
        <v>857</v>
      </c>
    </row>
    <row r="1357" spans="1:8" ht="15.75" customHeight="1">
      <c r="A1357" s="140" t="s">
        <v>63</v>
      </c>
      <c r="B1357" s="140" t="s">
        <v>22</v>
      </c>
      <c r="C1357" s="141" t="s">
        <v>220</v>
      </c>
      <c r="D1357" s="140" t="s">
        <v>221</v>
      </c>
      <c r="E1357" s="140">
        <v>16</v>
      </c>
      <c r="F1357" s="142">
        <v>46045.416666666672</v>
      </c>
      <c r="G1357" s="140" t="s">
        <v>845</v>
      </c>
      <c r="H1357" s="140" t="s">
        <v>857</v>
      </c>
    </row>
    <row r="1358" spans="1:8" ht="15.75" customHeight="1">
      <c r="A1358" s="140" t="s">
        <v>63</v>
      </c>
      <c r="B1358" s="140" t="s">
        <v>23</v>
      </c>
      <c r="C1358" s="141" t="s">
        <v>220</v>
      </c>
      <c r="D1358" s="140" t="s">
        <v>221</v>
      </c>
      <c r="E1358" s="140">
        <v>1</v>
      </c>
      <c r="F1358" s="142">
        <v>45729.458333333328</v>
      </c>
      <c r="G1358" s="140" t="s">
        <v>845</v>
      </c>
      <c r="H1358" s="140" t="s">
        <v>857</v>
      </c>
    </row>
    <row r="1359" spans="1:8" ht="15.75" customHeight="1">
      <c r="A1359" s="140" t="s">
        <v>63</v>
      </c>
      <c r="B1359" s="140" t="s">
        <v>23</v>
      </c>
      <c r="C1359" s="141" t="s">
        <v>220</v>
      </c>
      <c r="D1359" s="140" t="s">
        <v>221</v>
      </c>
      <c r="E1359" s="140">
        <v>2</v>
      </c>
      <c r="F1359" s="142">
        <v>45743.458333333328</v>
      </c>
      <c r="G1359" s="140" t="s">
        <v>845</v>
      </c>
      <c r="H1359" s="140" t="s">
        <v>857</v>
      </c>
    </row>
    <row r="1360" spans="1:8" ht="15.75" customHeight="1">
      <c r="A1360" s="140" t="s">
        <v>63</v>
      </c>
      <c r="B1360" s="140" t="s">
        <v>23</v>
      </c>
      <c r="C1360" s="141" t="s">
        <v>220</v>
      </c>
      <c r="D1360" s="140" t="s">
        <v>221</v>
      </c>
      <c r="E1360" s="140">
        <v>3</v>
      </c>
      <c r="F1360" s="142">
        <v>46113.458333333328</v>
      </c>
      <c r="G1360" s="140" t="s">
        <v>845</v>
      </c>
      <c r="H1360" s="140" t="s">
        <v>857</v>
      </c>
    </row>
    <row r="1361" spans="1:8" ht="15.75" customHeight="1">
      <c r="A1361" s="140" t="s">
        <v>63</v>
      </c>
      <c r="B1361" s="140" t="s">
        <v>21</v>
      </c>
      <c r="C1361" s="141" t="s">
        <v>234</v>
      </c>
      <c r="D1361" s="140" t="s">
        <v>235</v>
      </c>
      <c r="E1361" s="140">
        <v>1</v>
      </c>
      <c r="F1361" s="142">
        <v>45637.375</v>
      </c>
      <c r="G1361" s="140" t="s">
        <v>845</v>
      </c>
      <c r="H1361" s="140" t="s">
        <v>857</v>
      </c>
    </row>
    <row r="1362" spans="1:8" ht="15.75" customHeight="1">
      <c r="A1362" s="140" t="s">
        <v>63</v>
      </c>
      <c r="B1362" s="140" t="s">
        <v>21</v>
      </c>
      <c r="C1362" s="141" t="s">
        <v>234</v>
      </c>
      <c r="D1362" s="140" t="s">
        <v>235</v>
      </c>
      <c r="E1362" s="140">
        <v>2</v>
      </c>
      <c r="F1362" s="142">
        <v>45645.375</v>
      </c>
      <c r="G1362" s="140" t="s">
        <v>845</v>
      </c>
      <c r="H1362" s="140" t="s">
        <v>857</v>
      </c>
    </row>
    <row r="1363" spans="1:8" ht="15.75" customHeight="1">
      <c r="A1363" s="140" t="s">
        <v>63</v>
      </c>
      <c r="B1363" s="140" t="s">
        <v>21</v>
      </c>
      <c r="C1363" s="141" t="s">
        <v>234</v>
      </c>
      <c r="D1363" s="140" t="s">
        <v>235</v>
      </c>
      <c r="E1363" s="140">
        <v>3</v>
      </c>
      <c r="F1363" s="142">
        <v>45667.416666666672</v>
      </c>
      <c r="G1363" s="140" t="s">
        <v>845</v>
      </c>
      <c r="H1363" s="140" t="s">
        <v>857</v>
      </c>
    </row>
    <row r="1364" spans="1:8" ht="15.75" customHeight="1">
      <c r="A1364" s="140" t="s">
        <v>63</v>
      </c>
      <c r="B1364" s="140" t="s">
        <v>21</v>
      </c>
      <c r="C1364" s="141" t="s">
        <v>234</v>
      </c>
      <c r="D1364" s="140" t="s">
        <v>235</v>
      </c>
      <c r="E1364" s="140">
        <v>4</v>
      </c>
      <c r="F1364" s="142">
        <v>45674.416666666672</v>
      </c>
      <c r="G1364" s="140" t="s">
        <v>845</v>
      </c>
      <c r="H1364" s="140" t="s">
        <v>857</v>
      </c>
    </row>
    <row r="1365" spans="1:8" ht="15.75" customHeight="1">
      <c r="A1365" s="140" t="s">
        <v>63</v>
      </c>
      <c r="B1365" s="140" t="s">
        <v>21</v>
      </c>
      <c r="C1365" s="141" t="s">
        <v>234</v>
      </c>
      <c r="D1365" s="140" t="s">
        <v>235</v>
      </c>
      <c r="E1365" s="140">
        <v>5</v>
      </c>
      <c r="F1365" s="142">
        <v>45695.416666666672</v>
      </c>
      <c r="G1365" s="140" t="s">
        <v>845</v>
      </c>
      <c r="H1365" s="140" t="s">
        <v>857</v>
      </c>
    </row>
    <row r="1366" spans="1:8" ht="15.75" customHeight="1">
      <c r="A1366" s="140" t="s">
        <v>63</v>
      </c>
      <c r="B1366" s="140" t="s">
        <v>21</v>
      </c>
      <c r="C1366" s="141" t="s">
        <v>234</v>
      </c>
      <c r="D1366" s="140" t="s">
        <v>235</v>
      </c>
      <c r="E1366" s="140">
        <v>6</v>
      </c>
      <c r="F1366" s="142">
        <v>45702.416666666672</v>
      </c>
      <c r="G1366" s="140" t="s">
        <v>845</v>
      </c>
      <c r="H1366" s="140" t="s">
        <v>857</v>
      </c>
    </row>
    <row r="1367" spans="1:8" ht="15.75" customHeight="1">
      <c r="A1367" s="140" t="s">
        <v>63</v>
      </c>
      <c r="B1367" s="140" t="s">
        <v>21</v>
      </c>
      <c r="C1367" s="141" t="s">
        <v>234</v>
      </c>
      <c r="D1367" s="140" t="s">
        <v>235</v>
      </c>
      <c r="E1367" s="140">
        <v>7</v>
      </c>
      <c r="F1367" s="142">
        <v>45709.583333333328</v>
      </c>
      <c r="G1367" s="140" t="s">
        <v>845</v>
      </c>
      <c r="H1367" s="140" t="s">
        <v>857</v>
      </c>
    </row>
    <row r="1368" spans="1:8" ht="15.75" customHeight="1">
      <c r="A1368" s="140" t="s">
        <v>63</v>
      </c>
      <c r="B1368" s="140" t="s">
        <v>21</v>
      </c>
      <c r="C1368" s="141" t="s">
        <v>234</v>
      </c>
      <c r="D1368" s="140" t="s">
        <v>235</v>
      </c>
      <c r="E1368" s="140">
        <v>8</v>
      </c>
      <c r="F1368" s="142">
        <v>45716.541666666672</v>
      </c>
      <c r="G1368" s="140" t="s">
        <v>845</v>
      </c>
      <c r="H1368" s="140" t="s">
        <v>857</v>
      </c>
    </row>
    <row r="1369" spans="1:8" ht="15.75" customHeight="1">
      <c r="A1369" s="140" t="s">
        <v>63</v>
      </c>
      <c r="B1369" s="140" t="s">
        <v>21</v>
      </c>
      <c r="C1369" s="141" t="s">
        <v>234</v>
      </c>
      <c r="D1369" s="140" t="s">
        <v>235</v>
      </c>
      <c r="E1369" s="140">
        <v>9</v>
      </c>
      <c r="F1369" s="142">
        <v>45765.625</v>
      </c>
      <c r="G1369" s="140" t="s">
        <v>845</v>
      </c>
      <c r="H1369" s="140" t="s">
        <v>857</v>
      </c>
    </row>
    <row r="1370" spans="1:8" ht="15.75" customHeight="1">
      <c r="A1370" s="140" t="s">
        <v>63</v>
      </c>
      <c r="B1370" s="140" t="s">
        <v>21</v>
      </c>
      <c r="C1370" s="141" t="s">
        <v>234</v>
      </c>
      <c r="D1370" s="140" t="s">
        <v>235</v>
      </c>
      <c r="E1370" s="140">
        <v>10</v>
      </c>
      <c r="F1370" s="142">
        <v>45806.416666666672</v>
      </c>
      <c r="G1370" s="140" t="s">
        <v>845</v>
      </c>
      <c r="H1370" s="140" t="s">
        <v>857</v>
      </c>
    </row>
    <row r="1371" spans="1:8" ht="15.75" customHeight="1">
      <c r="A1371" s="140" t="s">
        <v>63</v>
      </c>
      <c r="B1371" s="140" t="s">
        <v>22</v>
      </c>
      <c r="C1371" s="141" t="s">
        <v>234</v>
      </c>
      <c r="D1371" s="140" t="s">
        <v>235</v>
      </c>
      <c r="E1371" s="140">
        <v>1</v>
      </c>
      <c r="F1371" s="142">
        <v>45841.375</v>
      </c>
      <c r="G1371" s="140" t="s">
        <v>845</v>
      </c>
      <c r="H1371" s="140" t="s">
        <v>857</v>
      </c>
    </row>
    <row r="1372" spans="1:8" ht="15.75" customHeight="1">
      <c r="A1372" s="140" t="s">
        <v>63</v>
      </c>
      <c r="B1372" s="140" t="s">
        <v>22</v>
      </c>
      <c r="C1372" s="141" t="s">
        <v>234</v>
      </c>
      <c r="D1372" s="140" t="s">
        <v>235</v>
      </c>
      <c r="E1372" s="140">
        <v>2</v>
      </c>
      <c r="F1372" s="142">
        <v>45849.375</v>
      </c>
      <c r="G1372" s="140" t="s">
        <v>845</v>
      </c>
      <c r="H1372" s="140" t="s">
        <v>857</v>
      </c>
    </row>
    <row r="1373" spans="1:8" ht="15.75" customHeight="1">
      <c r="A1373" s="140" t="s">
        <v>63</v>
      </c>
      <c r="B1373" s="140" t="s">
        <v>22</v>
      </c>
      <c r="C1373" s="141" t="s">
        <v>234</v>
      </c>
      <c r="D1373" s="140" t="s">
        <v>235</v>
      </c>
      <c r="E1373" s="140">
        <v>3</v>
      </c>
      <c r="F1373" s="142">
        <v>45862.375</v>
      </c>
      <c r="G1373" s="140" t="s">
        <v>845</v>
      </c>
      <c r="H1373" s="140" t="s">
        <v>857</v>
      </c>
    </row>
    <row r="1374" spans="1:8" ht="15.75" customHeight="1">
      <c r="A1374" s="140" t="s">
        <v>63</v>
      </c>
      <c r="B1374" s="140" t="s">
        <v>22</v>
      </c>
      <c r="C1374" s="141" t="s">
        <v>234</v>
      </c>
      <c r="D1374" s="140" t="s">
        <v>235</v>
      </c>
      <c r="E1374" s="140">
        <v>4</v>
      </c>
      <c r="F1374" s="142">
        <v>45881.416666666672</v>
      </c>
      <c r="G1374" s="140" t="s">
        <v>845</v>
      </c>
      <c r="H1374" s="140" t="s">
        <v>857</v>
      </c>
    </row>
    <row r="1375" spans="1:8" ht="15.75" customHeight="1">
      <c r="A1375" s="140" t="s">
        <v>63</v>
      </c>
      <c r="B1375" s="140" t="s">
        <v>22</v>
      </c>
      <c r="C1375" s="141" t="s">
        <v>234</v>
      </c>
      <c r="D1375" s="140" t="s">
        <v>235</v>
      </c>
      <c r="E1375" s="140">
        <v>5</v>
      </c>
      <c r="F1375" s="142">
        <v>45888.416666666672</v>
      </c>
      <c r="G1375" s="140" t="s">
        <v>845</v>
      </c>
      <c r="H1375" s="140" t="s">
        <v>857</v>
      </c>
    </row>
    <row r="1376" spans="1:8" ht="15.75" customHeight="1">
      <c r="A1376" s="140" t="s">
        <v>63</v>
      </c>
      <c r="B1376" s="140" t="s">
        <v>22</v>
      </c>
      <c r="C1376" s="141" t="s">
        <v>234</v>
      </c>
      <c r="D1376" s="140" t="s">
        <v>235</v>
      </c>
      <c r="E1376" s="140">
        <v>6</v>
      </c>
      <c r="F1376" s="142">
        <v>45895.416666666672</v>
      </c>
      <c r="G1376" s="140" t="s">
        <v>845</v>
      </c>
      <c r="H1376" s="140" t="s">
        <v>857</v>
      </c>
    </row>
    <row r="1377" spans="1:8" ht="15.75" customHeight="1">
      <c r="A1377" s="140" t="s">
        <v>63</v>
      </c>
      <c r="B1377" s="140" t="s">
        <v>22</v>
      </c>
      <c r="C1377" s="141" t="s">
        <v>234</v>
      </c>
      <c r="D1377" s="140" t="s">
        <v>235</v>
      </c>
      <c r="E1377" s="140">
        <v>7</v>
      </c>
      <c r="F1377" s="142">
        <v>45911.458333333328</v>
      </c>
      <c r="G1377" s="140" t="s">
        <v>845</v>
      </c>
      <c r="H1377" s="140" t="s">
        <v>857</v>
      </c>
    </row>
    <row r="1378" spans="1:8" ht="15.75" customHeight="1">
      <c r="A1378" s="140" t="s">
        <v>63</v>
      </c>
      <c r="B1378" s="140" t="s">
        <v>22</v>
      </c>
      <c r="C1378" s="141" t="s">
        <v>234</v>
      </c>
      <c r="D1378" s="140" t="s">
        <v>235</v>
      </c>
      <c r="E1378" s="140">
        <v>8</v>
      </c>
      <c r="F1378" s="142">
        <v>45925.416666666672</v>
      </c>
      <c r="G1378" s="140" t="s">
        <v>845</v>
      </c>
      <c r="H1378" s="140" t="s">
        <v>857</v>
      </c>
    </row>
    <row r="1379" spans="1:8" ht="15.75" customHeight="1">
      <c r="A1379" s="140" t="s">
        <v>63</v>
      </c>
      <c r="B1379" s="140" t="s">
        <v>22</v>
      </c>
      <c r="C1379" s="141" t="s">
        <v>234</v>
      </c>
      <c r="D1379" s="140" t="s">
        <v>235</v>
      </c>
      <c r="E1379" s="140">
        <v>9</v>
      </c>
      <c r="F1379" s="142">
        <v>45932.458333333328</v>
      </c>
      <c r="G1379" s="140" t="s">
        <v>845</v>
      </c>
      <c r="H1379" s="140" t="s">
        <v>857</v>
      </c>
    </row>
    <row r="1380" spans="1:8" ht="15.75" customHeight="1">
      <c r="A1380" s="140" t="s">
        <v>63</v>
      </c>
      <c r="B1380" s="140" t="s">
        <v>22</v>
      </c>
      <c r="C1380" s="141" t="s">
        <v>234</v>
      </c>
      <c r="D1380" s="140" t="s">
        <v>235</v>
      </c>
      <c r="E1380" s="140">
        <v>10</v>
      </c>
      <c r="F1380" s="142">
        <v>45939.458333333328</v>
      </c>
      <c r="G1380" s="140" t="s">
        <v>845</v>
      </c>
      <c r="H1380" s="140" t="s">
        <v>857</v>
      </c>
    </row>
    <row r="1381" spans="1:8" ht="15.75" customHeight="1">
      <c r="A1381" s="140" t="s">
        <v>63</v>
      </c>
      <c r="B1381" s="140" t="s">
        <v>22</v>
      </c>
      <c r="C1381" s="141" t="s">
        <v>234</v>
      </c>
      <c r="D1381" s="140" t="s">
        <v>235</v>
      </c>
      <c r="E1381" s="140">
        <v>11</v>
      </c>
      <c r="F1381" s="142">
        <v>45946.375</v>
      </c>
      <c r="G1381" s="140" t="s">
        <v>845</v>
      </c>
      <c r="H1381" s="140" t="s">
        <v>857</v>
      </c>
    </row>
    <row r="1382" spans="1:8" ht="15.75" customHeight="1">
      <c r="A1382" s="140" t="s">
        <v>63</v>
      </c>
      <c r="B1382" s="140" t="s">
        <v>22</v>
      </c>
      <c r="C1382" s="141" t="s">
        <v>234</v>
      </c>
      <c r="D1382" s="140" t="s">
        <v>235</v>
      </c>
      <c r="E1382" s="140">
        <v>12</v>
      </c>
      <c r="F1382" s="142">
        <v>45961.458333333328</v>
      </c>
      <c r="G1382" s="140" t="s">
        <v>845</v>
      </c>
      <c r="H1382" s="140" t="s">
        <v>857</v>
      </c>
    </row>
    <row r="1383" spans="1:8" ht="15.75" customHeight="1">
      <c r="A1383" s="140" t="s">
        <v>63</v>
      </c>
      <c r="B1383" s="140" t="s">
        <v>22</v>
      </c>
      <c r="C1383" s="141" t="s">
        <v>234</v>
      </c>
      <c r="D1383" s="140" t="s">
        <v>235</v>
      </c>
      <c r="E1383" s="140">
        <v>13</v>
      </c>
      <c r="F1383" s="142">
        <v>45967.625</v>
      </c>
      <c r="G1383" s="140" t="s">
        <v>845</v>
      </c>
      <c r="H1383" s="140" t="s">
        <v>857</v>
      </c>
    </row>
    <row r="1384" spans="1:8" ht="15.75" customHeight="1">
      <c r="A1384" s="140" t="s">
        <v>63</v>
      </c>
      <c r="B1384" s="140" t="s">
        <v>22</v>
      </c>
      <c r="C1384" s="141" t="s">
        <v>234</v>
      </c>
      <c r="D1384" s="140" t="s">
        <v>235</v>
      </c>
      <c r="E1384" s="140">
        <v>14</v>
      </c>
      <c r="F1384" s="142">
        <v>45974.625</v>
      </c>
      <c r="G1384" s="140" t="s">
        <v>845</v>
      </c>
      <c r="H1384" s="140" t="s">
        <v>857</v>
      </c>
    </row>
    <row r="1385" spans="1:8" ht="15.75" customHeight="1">
      <c r="A1385" s="140" t="s">
        <v>63</v>
      </c>
      <c r="B1385" s="140" t="s">
        <v>22</v>
      </c>
      <c r="C1385" s="141" t="s">
        <v>234</v>
      </c>
      <c r="D1385" s="140" t="s">
        <v>235</v>
      </c>
      <c r="E1385" s="140">
        <v>15</v>
      </c>
      <c r="F1385" s="142">
        <v>46006.416666666672</v>
      </c>
      <c r="G1385" s="140" t="s">
        <v>845</v>
      </c>
      <c r="H1385" s="140" t="s">
        <v>857</v>
      </c>
    </row>
    <row r="1386" spans="1:8" ht="15.75" customHeight="1">
      <c r="A1386" s="140" t="s">
        <v>63</v>
      </c>
      <c r="B1386" s="140" t="s">
        <v>22</v>
      </c>
      <c r="C1386" s="141" t="s">
        <v>234</v>
      </c>
      <c r="D1386" s="140" t="s">
        <v>235</v>
      </c>
      <c r="E1386" s="140">
        <v>16</v>
      </c>
      <c r="F1386" s="142">
        <v>46045.416666666672</v>
      </c>
      <c r="G1386" s="140" t="s">
        <v>845</v>
      </c>
      <c r="H1386" s="140" t="s">
        <v>857</v>
      </c>
    </row>
    <row r="1387" spans="1:8" ht="15.75" customHeight="1">
      <c r="A1387" s="140" t="s">
        <v>63</v>
      </c>
      <c r="B1387" s="140" t="s">
        <v>23</v>
      </c>
      <c r="C1387" s="141" t="s">
        <v>234</v>
      </c>
      <c r="D1387" s="140" t="s">
        <v>235</v>
      </c>
      <c r="E1387" s="140">
        <v>1</v>
      </c>
      <c r="F1387" s="142">
        <v>45729.458333333328</v>
      </c>
      <c r="G1387" s="140" t="s">
        <v>845</v>
      </c>
      <c r="H1387" s="140" t="s">
        <v>857</v>
      </c>
    </row>
    <row r="1388" spans="1:8" ht="15.75" customHeight="1">
      <c r="A1388" s="140" t="s">
        <v>63</v>
      </c>
      <c r="B1388" s="140" t="s">
        <v>23</v>
      </c>
      <c r="C1388" s="141" t="s">
        <v>234</v>
      </c>
      <c r="D1388" s="140" t="s">
        <v>235</v>
      </c>
      <c r="E1388" s="140">
        <v>2</v>
      </c>
      <c r="F1388" s="142">
        <v>45743.458333333328</v>
      </c>
      <c r="G1388" s="140" t="s">
        <v>845</v>
      </c>
      <c r="H1388" s="140" t="s">
        <v>857</v>
      </c>
    </row>
    <row r="1389" spans="1:8" ht="15.75" customHeight="1">
      <c r="A1389" s="140" t="s">
        <v>63</v>
      </c>
      <c r="B1389" s="140" t="s">
        <v>23</v>
      </c>
      <c r="C1389" s="141" t="s">
        <v>234</v>
      </c>
      <c r="D1389" s="140" t="s">
        <v>235</v>
      </c>
      <c r="E1389" s="140">
        <v>3</v>
      </c>
      <c r="F1389" s="142">
        <v>46113.458333333328</v>
      </c>
      <c r="G1389" s="140" t="s">
        <v>845</v>
      </c>
      <c r="H1389" s="140" t="s">
        <v>857</v>
      </c>
    </row>
    <row r="1390" spans="1:8" ht="15.75" customHeight="1">
      <c r="A1390" s="140" t="s">
        <v>63</v>
      </c>
      <c r="B1390" s="140" t="s">
        <v>21</v>
      </c>
      <c r="C1390" s="141" t="s">
        <v>298</v>
      </c>
      <c r="D1390" s="140" t="s">
        <v>299</v>
      </c>
      <c r="E1390" s="140">
        <v>1</v>
      </c>
      <c r="F1390" s="142">
        <v>45639.375</v>
      </c>
      <c r="G1390" s="140" t="s">
        <v>845</v>
      </c>
      <c r="H1390" s="140" t="s">
        <v>857</v>
      </c>
    </row>
    <row r="1391" spans="1:8" ht="15.75" customHeight="1">
      <c r="A1391" s="140" t="s">
        <v>63</v>
      </c>
      <c r="B1391" s="140" t="s">
        <v>21</v>
      </c>
      <c r="C1391" s="141" t="s">
        <v>298</v>
      </c>
      <c r="D1391" s="140" t="s">
        <v>299</v>
      </c>
      <c r="E1391" s="140">
        <v>2</v>
      </c>
      <c r="F1391" s="142">
        <v>45645.375</v>
      </c>
      <c r="G1391" s="140" t="s">
        <v>845</v>
      </c>
      <c r="H1391" s="140" t="s">
        <v>857</v>
      </c>
    </row>
    <row r="1392" spans="1:8" ht="15.75" customHeight="1">
      <c r="A1392" s="140" t="s">
        <v>63</v>
      </c>
      <c r="B1392" s="140" t="s">
        <v>21</v>
      </c>
      <c r="C1392" s="141" t="s">
        <v>298</v>
      </c>
      <c r="D1392" s="140" t="s">
        <v>299</v>
      </c>
      <c r="E1392" s="140">
        <v>3</v>
      </c>
      <c r="F1392" s="142">
        <v>45667.416666666672</v>
      </c>
      <c r="G1392" s="140" t="s">
        <v>845</v>
      </c>
      <c r="H1392" s="140" t="s">
        <v>857</v>
      </c>
    </row>
    <row r="1393" spans="1:8" ht="15.75" customHeight="1">
      <c r="A1393" s="140" t="s">
        <v>63</v>
      </c>
      <c r="B1393" s="140" t="s">
        <v>21</v>
      </c>
      <c r="C1393" s="141" t="s">
        <v>298</v>
      </c>
      <c r="D1393" s="140" t="s">
        <v>299</v>
      </c>
      <c r="E1393" s="140">
        <v>4</v>
      </c>
      <c r="F1393" s="142">
        <v>45674.416666666672</v>
      </c>
      <c r="G1393" s="140" t="s">
        <v>845</v>
      </c>
      <c r="H1393" s="140" t="s">
        <v>857</v>
      </c>
    </row>
    <row r="1394" spans="1:8" ht="15.75" customHeight="1">
      <c r="A1394" s="140" t="s">
        <v>63</v>
      </c>
      <c r="B1394" s="140" t="s">
        <v>21</v>
      </c>
      <c r="C1394" s="141" t="s">
        <v>298</v>
      </c>
      <c r="D1394" s="140" t="s">
        <v>299</v>
      </c>
      <c r="E1394" s="140">
        <v>5</v>
      </c>
      <c r="F1394" s="142">
        <v>45695.416666666672</v>
      </c>
      <c r="G1394" s="140" t="s">
        <v>845</v>
      </c>
      <c r="H1394" s="140" t="s">
        <v>857</v>
      </c>
    </row>
    <row r="1395" spans="1:8" ht="15.75" customHeight="1">
      <c r="A1395" s="140" t="s">
        <v>63</v>
      </c>
      <c r="B1395" s="140" t="s">
        <v>21</v>
      </c>
      <c r="C1395" s="141" t="s">
        <v>298</v>
      </c>
      <c r="D1395" s="140" t="s">
        <v>299</v>
      </c>
      <c r="E1395" s="140">
        <v>6</v>
      </c>
      <c r="F1395" s="142">
        <v>45702.416666666672</v>
      </c>
      <c r="G1395" s="140" t="s">
        <v>845</v>
      </c>
      <c r="H1395" s="140" t="s">
        <v>857</v>
      </c>
    </row>
    <row r="1396" spans="1:8" ht="15.75" customHeight="1">
      <c r="A1396" s="140" t="s">
        <v>63</v>
      </c>
      <c r="B1396" s="140" t="s">
        <v>21</v>
      </c>
      <c r="C1396" s="141" t="s">
        <v>298</v>
      </c>
      <c r="D1396" s="140" t="s">
        <v>299</v>
      </c>
      <c r="E1396" s="140">
        <v>7</v>
      </c>
      <c r="F1396" s="142">
        <v>45709.583333333328</v>
      </c>
      <c r="G1396" s="140" t="s">
        <v>843</v>
      </c>
      <c r="H1396" s="140" t="s">
        <v>857</v>
      </c>
    </row>
    <row r="1397" spans="1:8" ht="15.75" customHeight="1">
      <c r="A1397" s="140" t="s">
        <v>63</v>
      </c>
      <c r="B1397" s="140" t="s">
        <v>21</v>
      </c>
      <c r="C1397" s="141" t="s">
        <v>298</v>
      </c>
      <c r="D1397" s="140" t="s">
        <v>299</v>
      </c>
      <c r="E1397" s="140">
        <v>8</v>
      </c>
      <c r="F1397" s="142">
        <v>45716.541666666672</v>
      </c>
      <c r="G1397" s="140" t="s">
        <v>845</v>
      </c>
      <c r="H1397" s="140" t="s">
        <v>857</v>
      </c>
    </row>
    <row r="1398" spans="1:8" ht="15.75" customHeight="1">
      <c r="A1398" s="140" t="s">
        <v>63</v>
      </c>
      <c r="B1398" s="140" t="s">
        <v>21</v>
      </c>
      <c r="C1398" s="141" t="s">
        <v>298</v>
      </c>
      <c r="D1398" s="140" t="s">
        <v>299</v>
      </c>
      <c r="E1398" s="140">
        <v>9</v>
      </c>
      <c r="F1398" s="142">
        <v>45765.625</v>
      </c>
      <c r="G1398" s="140" t="s">
        <v>845</v>
      </c>
      <c r="H1398" s="140" t="s">
        <v>857</v>
      </c>
    </row>
    <row r="1399" spans="1:8" ht="15.75" customHeight="1">
      <c r="A1399" s="140" t="s">
        <v>63</v>
      </c>
      <c r="B1399" s="140" t="s">
        <v>21</v>
      </c>
      <c r="C1399" s="141" t="s">
        <v>298</v>
      </c>
      <c r="D1399" s="140" t="s">
        <v>299</v>
      </c>
      <c r="E1399" s="140">
        <v>10</v>
      </c>
      <c r="F1399" s="142">
        <v>45806.416666666672</v>
      </c>
      <c r="G1399" s="140" t="s">
        <v>845</v>
      </c>
      <c r="H1399" s="140" t="s">
        <v>857</v>
      </c>
    </row>
    <row r="1400" spans="1:8" ht="15.75" customHeight="1">
      <c r="A1400" s="140" t="s">
        <v>63</v>
      </c>
      <c r="B1400" s="140" t="s">
        <v>22</v>
      </c>
      <c r="C1400" s="141" t="s">
        <v>298</v>
      </c>
      <c r="D1400" s="140" t="s">
        <v>299</v>
      </c>
      <c r="E1400" s="140">
        <v>1</v>
      </c>
      <c r="F1400" s="142">
        <v>45841.375</v>
      </c>
      <c r="G1400" s="140" t="s">
        <v>845</v>
      </c>
      <c r="H1400" s="140" t="s">
        <v>857</v>
      </c>
    </row>
    <row r="1401" spans="1:8" ht="15.75" customHeight="1">
      <c r="A1401" s="140" t="s">
        <v>63</v>
      </c>
      <c r="B1401" s="140" t="s">
        <v>22</v>
      </c>
      <c r="C1401" s="141" t="s">
        <v>298</v>
      </c>
      <c r="D1401" s="140" t="s">
        <v>299</v>
      </c>
      <c r="E1401" s="140">
        <v>2</v>
      </c>
      <c r="F1401" s="142">
        <v>45849.375</v>
      </c>
      <c r="G1401" s="140" t="s">
        <v>843</v>
      </c>
      <c r="H1401" s="140" t="s">
        <v>857</v>
      </c>
    </row>
    <row r="1402" spans="1:8" ht="15.75" customHeight="1">
      <c r="A1402" s="140" t="s">
        <v>63</v>
      </c>
      <c r="B1402" s="140" t="s">
        <v>22</v>
      </c>
      <c r="C1402" s="141" t="s">
        <v>298</v>
      </c>
      <c r="D1402" s="140" t="s">
        <v>299</v>
      </c>
      <c r="E1402" s="140">
        <v>3</v>
      </c>
      <c r="F1402" s="142">
        <v>45862.375</v>
      </c>
      <c r="G1402" s="140" t="s">
        <v>845</v>
      </c>
      <c r="H1402" s="140" t="s">
        <v>857</v>
      </c>
    </row>
    <row r="1403" spans="1:8" ht="15.75" customHeight="1">
      <c r="A1403" s="140" t="s">
        <v>63</v>
      </c>
      <c r="B1403" s="140" t="s">
        <v>22</v>
      </c>
      <c r="C1403" s="141" t="s">
        <v>298</v>
      </c>
      <c r="D1403" s="140" t="s">
        <v>299</v>
      </c>
      <c r="E1403" s="140">
        <v>4</v>
      </c>
      <c r="F1403" s="142">
        <v>45881.416666666672</v>
      </c>
      <c r="G1403" s="140" t="s">
        <v>845</v>
      </c>
      <c r="H1403" s="140" t="s">
        <v>857</v>
      </c>
    </row>
    <row r="1404" spans="1:8" ht="15.75" customHeight="1">
      <c r="A1404" s="140" t="s">
        <v>63</v>
      </c>
      <c r="B1404" s="140" t="s">
        <v>22</v>
      </c>
      <c r="C1404" s="141" t="s">
        <v>298</v>
      </c>
      <c r="D1404" s="140" t="s">
        <v>299</v>
      </c>
      <c r="E1404" s="140">
        <v>5</v>
      </c>
      <c r="F1404" s="142">
        <v>45888.416666666672</v>
      </c>
      <c r="G1404" s="140" t="s">
        <v>845</v>
      </c>
      <c r="H1404" s="140" t="s">
        <v>857</v>
      </c>
    </row>
    <row r="1405" spans="1:8" ht="15.75" customHeight="1">
      <c r="A1405" s="140" t="s">
        <v>63</v>
      </c>
      <c r="B1405" s="140" t="s">
        <v>22</v>
      </c>
      <c r="C1405" s="141" t="s">
        <v>298</v>
      </c>
      <c r="D1405" s="140" t="s">
        <v>299</v>
      </c>
      <c r="E1405" s="140">
        <v>6</v>
      </c>
      <c r="F1405" s="142">
        <v>45895.416666666672</v>
      </c>
      <c r="G1405" s="140" t="s">
        <v>845</v>
      </c>
      <c r="H1405" s="140" t="s">
        <v>857</v>
      </c>
    </row>
    <row r="1406" spans="1:8" ht="15.75" customHeight="1">
      <c r="A1406" s="140" t="s">
        <v>63</v>
      </c>
      <c r="B1406" s="140" t="s">
        <v>22</v>
      </c>
      <c r="C1406" s="141" t="s">
        <v>298</v>
      </c>
      <c r="D1406" s="140" t="s">
        <v>299</v>
      </c>
      <c r="E1406" s="140">
        <v>7</v>
      </c>
      <c r="F1406" s="142">
        <v>45911.458333333328</v>
      </c>
      <c r="G1406" s="140" t="s">
        <v>845</v>
      </c>
      <c r="H1406" s="140" t="s">
        <v>857</v>
      </c>
    </row>
    <row r="1407" spans="1:8" ht="15.75" customHeight="1">
      <c r="A1407" s="140" t="s">
        <v>63</v>
      </c>
      <c r="B1407" s="140" t="s">
        <v>22</v>
      </c>
      <c r="C1407" s="141" t="s">
        <v>298</v>
      </c>
      <c r="D1407" s="140" t="s">
        <v>299</v>
      </c>
      <c r="E1407" s="140">
        <v>8</v>
      </c>
      <c r="F1407" s="142">
        <v>45925.416666666672</v>
      </c>
      <c r="G1407" s="140" t="s">
        <v>843</v>
      </c>
      <c r="H1407" s="140" t="s">
        <v>857</v>
      </c>
    </row>
    <row r="1408" spans="1:8" ht="15.75" customHeight="1">
      <c r="A1408" s="140" t="s">
        <v>63</v>
      </c>
      <c r="B1408" s="140" t="s">
        <v>22</v>
      </c>
      <c r="C1408" s="141" t="s">
        <v>298</v>
      </c>
      <c r="D1408" s="140" t="s">
        <v>299</v>
      </c>
      <c r="E1408" s="140">
        <v>9</v>
      </c>
      <c r="F1408" s="142">
        <v>45932.458333333328</v>
      </c>
      <c r="G1408" s="140" t="s">
        <v>845</v>
      </c>
      <c r="H1408" s="140" t="s">
        <v>857</v>
      </c>
    </row>
    <row r="1409" spans="1:8" ht="15.75" customHeight="1">
      <c r="A1409" s="140" t="s">
        <v>63</v>
      </c>
      <c r="B1409" s="140" t="s">
        <v>22</v>
      </c>
      <c r="C1409" s="141" t="s">
        <v>298</v>
      </c>
      <c r="D1409" s="140" t="s">
        <v>299</v>
      </c>
      <c r="E1409" s="140">
        <v>10</v>
      </c>
      <c r="F1409" s="142">
        <v>45939.458333333328</v>
      </c>
      <c r="G1409" s="140" t="s">
        <v>845</v>
      </c>
      <c r="H1409" s="140" t="s">
        <v>857</v>
      </c>
    </row>
    <row r="1410" spans="1:8" ht="15.75" customHeight="1">
      <c r="A1410" s="140" t="s">
        <v>63</v>
      </c>
      <c r="B1410" s="140" t="s">
        <v>22</v>
      </c>
      <c r="C1410" s="141" t="s">
        <v>298</v>
      </c>
      <c r="D1410" s="140" t="s">
        <v>299</v>
      </c>
      <c r="E1410" s="140">
        <v>11</v>
      </c>
      <c r="F1410" s="142">
        <v>45946.375</v>
      </c>
      <c r="G1410" s="140" t="s">
        <v>845</v>
      </c>
      <c r="H1410" s="140" t="s">
        <v>857</v>
      </c>
    </row>
    <row r="1411" spans="1:8" ht="15.75" customHeight="1">
      <c r="A1411" s="140" t="s">
        <v>63</v>
      </c>
      <c r="B1411" s="140" t="s">
        <v>22</v>
      </c>
      <c r="C1411" s="141" t="s">
        <v>298</v>
      </c>
      <c r="D1411" s="140" t="s">
        <v>299</v>
      </c>
      <c r="E1411" s="140">
        <v>12</v>
      </c>
      <c r="F1411" s="142">
        <v>45961.458333333328</v>
      </c>
      <c r="G1411" s="140" t="s">
        <v>845</v>
      </c>
      <c r="H1411" s="140" t="s">
        <v>857</v>
      </c>
    </row>
    <row r="1412" spans="1:8" ht="15.75" customHeight="1">
      <c r="A1412" s="140" t="s">
        <v>63</v>
      </c>
      <c r="B1412" s="140" t="s">
        <v>22</v>
      </c>
      <c r="C1412" s="141" t="s">
        <v>298</v>
      </c>
      <c r="D1412" s="140" t="s">
        <v>299</v>
      </c>
      <c r="E1412" s="140">
        <v>13</v>
      </c>
      <c r="F1412" s="142">
        <v>45967.625</v>
      </c>
      <c r="G1412" s="140" t="s">
        <v>845</v>
      </c>
      <c r="H1412" s="140" t="s">
        <v>857</v>
      </c>
    </row>
    <row r="1413" spans="1:8" ht="15.75" customHeight="1">
      <c r="A1413" s="140" t="s">
        <v>63</v>
      </c>
      <c r="B1413" s="140" t="s">
        <v>22</v>
      </c>
      <c r="C1413" s="141" t="s">
        <v>298</v>
      </c>
      <c r="D1413" s="140" t="s">
        <v>299</v>
      </c>
      <c r="E1413" s="140">
        <v>14</v>
      </c>
      <c r="F1413" s="142">
        <v>45974.625</v>
      </c>
      <c r="G1413" s="140" t="s">
        <v>845</v>
      </c>
      <c r="H1413" s="140" t="s">
        <v>857</v>
      </c>
    </row>
    <row r="1414" spans="1:8" ht="15.75" customHeight="1">
      <c r="A1414" s="140" t="s">
        <v>63</v>
      </c>
      <c r="B1414" s="140" t="s">
        <v>22</v>
      </c>
      <c r="C1414" s="141" t="s">
        <v>298</v>
      </c>
      <c r="D1414" s="140" t="s">
        <v>299</v>
      </c>
      <c r="E1414" s="140">
        <v>15</v>
      </c>
      <c r="F1414" s="142">
        <v>46006.416666666672</v>
      </c>
      <c r="G1414" s="140" t="s">
        <v>845</v>
      </c>
      <c r="H1414" s="140" t="s">
        <v>857</v>
      </c>
    </row>
    <row r="1415" spans="1:8" ht="15.75" customHeight="1">
      <c r="A1415" s="140" t="s">
        <v>63</v>
      </c>
      <c r="B1415" s="140" t="s">
        <v>22</v>
      </c>
      <c r="C1415" s="141" t="s">
        <v>298</v>
      </c>
      <c r="D1415" s="140" t="s">
        <v>299</v>
      </c>
      <c r="E1415" s="140">
        <v>16</v>
      </c>
      <c r="F1415" s="142">
        <v>46045.416666666672</v>
      </c>
      <c r="G1415" s="140" t="s">
        <v>845</v>
      </c>
      <c r="H1415" s="140" t="s">
        <v>857</v>
      </c>
    </row>
    <row r="1416" spans="1:8" ht="15.75" customHeight="1">
      <c r="A1416" s="140" t="s">
        <v>63</v>
      </c>
      <c r="B1416" s="140" t="s">
        <v>23</v>
      </c>
      <c r="C1416" s="141" t="s">
        <v>298</v>
      </c>
      <c r="D1416" s="140" t="s">
        <v>299</v>
      </c>
      <c r="E1416" s="140">
        <v>1</v>
      </c>
      <c r="F1416" s="142">
        <v>45729.458333333328</v>
      </c>
      <c r="G1416" s="140" t="s">
        <v>845</v>
      </c>
      <c r="H1416" s="140" t="s">
        <v>857</v>
      </c>
    </row>
    <row r="1417" spans="1:8" ht="15.75" customHeight="1">
      <c r="A1417" s="140" t="s">
        <v>63</v>
      </c>
      <c r="B1417" s="140" t="s">
        <v>23</v>
      </c>
      <c r="C1417" s="141" t="s">
        <v>298</v>
      </c>
      <c r="D1417" s="140" t="s">
        <v>299</v>
      </c>
      <c r="E1417" s="140">
        <v>2</v>
      </c>
      <c r="F1417" s="142">
        <v>45743.458333333328</v>
      </c>
      <c r="G1417" s="140" t="s">
        <v>845</v>
      </c>
      <c r="H1417" s="140" t="s">
        <v>857</v>
      </c>
    </row>
    <row r="1418" spans="1:8" ht="15.75" customHeight="1">
      <c r="A1418" s="140" t="s">
        <v>63</v>
      </c>
      <c r="B1418" s="140" t="s">
        <v>23</v>
      </c>
      <c r="C1418" s="141" t="s">
        <v>298</v>
      </c>
      <c r="D1418" s="140" t="s">
        <v>299</v>
      </c>
      <c r="E1418" s="140">
        <v>3</v>
      </c>
      <c r="F1418" s="142">
        <v>46113.458333333328</v>
      </c>
      <c r="G1418" s="140" t="s">
        <v>845</v>
      </c>
      <c r="H1418" s="140" t="s">
        <v>857</v>
      </c>
    </row>
    <row r="1419" spans="1:8" ht="15.75" customHeight="1">
      <c r="A1419" s="140" t="s">
        <v>63</v>
      </c>
      <c r="B1419" s="140" t="s">
        <v>21</v>
      </c>
      <c r="C1419" s="141" t="s">
        <v>438</v>
      </c>
      <c r="D1419" s="140" t="s">
        <v>439</v>
      </c>
      <c r="E1419" s="140">
        <v>1</v>
      </c>
      <c r="F1419" s="142">
        <v>45637.375</v>
      </c>
      <c r="G1419" s="140" t="s">
        <v>843</v>
      </c>
      <c r="H1419" s="140" t="s">
        <v>857</v>
      </c>
    </row>
    <row r="1420" spans="1:8" ht="15.75" customHeight="1">
      <c r="A1420" s="140" t="s">
        <v>63</v>
      </c>
      <c r="B1420" s="140" t="s">
        <v>21</v>
      </c>
      <c r="C1420" s="141" t="s">
        <v>438</v>
      </c>
      <c r="D1420" s="140" t="s">
        <v>439</v>
      </c>
      <c r="E1420" s="140">
        <v>2</v>
      </c>
      <c r="F1420" s="142">
        <v>45645.375</v>
      </c>
      <c r="G1420" s="140" t="s">
        <v>845</v>
      </c>
      <c r="H1420" s="140" t="s">
        <v>857</v>
      </c>
    </row>
    <row r="1421" spans="1:8" ht="15.75" customHeight="1">
      <c r="A1421" s="140" t="s">
        <v>63</v>
      </c>
      <c r="B1421" s="140" t="s">
        <v>21</v>
      </c>
      <c r="C1421" s="141" t="s">
        <v>438</v>
      </c>
      <c r="D1421" s="140" t="s">
        <v>439</v>
      </c>
      <c r="E1421" s="140">
        <v>3</v>
      </c>
      <c r="F1421" s="142">
        <v>45667.416666666672</v>
      </c>
      <c r="G1421" s="140" t="s">
        <v>845</v>
      </c>
      <c r="H1421" s="140" t="s">
        <v>857</v>
      </c>
    </row>
    <row r="1422" spans="1:8" ht="15.75" customHeight="1">
      <c r="A1422" s="140" t="s">
        <v>63</v>
      </c>
      <c r="B1422" s="140" t="s">
        <v>21</v>
      </c>
      <c r="C1422" s="141" t="s">
        <v>438</v>
      </c>
      <c r="D1422" s="140" t="s">
        <v>439</v>
      </c>
      <c r="E1422" s="140">
        <v>4</v>
      </c>
      <c r="F1422" s="142">
        <v>45674.416666666672</v>
      </c>
      <c r="G1422" s="140" t="s">
        <v>843</v>
      </c>
      <c r="H1422" s="140" t="s">
        <v>857</v>
      </c>
    </row>
    <row r="1423" spans="1:8" ht="15.75" customHeight="1">
      <c r="A1423" s="140" t="s">
        <v>63</v>
      </c>
      <c r="B1423" s="140" t="s">
        <v>21</v>
      </c>
      <c r="C1423" s="141" t="s">
        <v>438</v>
      </c>
      <c r="D1423" s="140" t="s">
        <v>439</v>
      </c>
      <c r="E1423" s="140">
        <v>5</v>
      </c>
      <c r="F1423" s="142">
        <v>45695.416666666672</v>
      </c>
      <c r="G1423" s="140" t="s">
        <v>845</v>
      </c>
      <c r="H1423" s="140" t="s">
        <v>857</v>
      </c>
    </row>
    <row r="1424" spans="1:8" ht="15.75" customHeight="1">
      <c r="A1424" s="140" t="s">
        <v>63</v>
      </c>
      <c r="B1424" s="140" t="s">
        <v>21</v>
      </c>
      <c r="C1424" s="141" t="s">
        <v>438</v>
      </c>
      <c r="D1424" s="140" t="s">
        <v>439</v>
      </c>
      <c r="E1424" s="140">
        <v>6</v>
      </c>
      <c r="F1424" s="142">
        <v>45702.416666666672</v>
      </c>
      <c r="G1424" s="140" t="s">
        <v>845</v>
      </c>
      <c r="H1424" s="140" t="s">
        <v>857</v>
      </c>
    </row>
    <row r="1425" spans="1:8" ht="15.75" customHeight="1">
      <c r="A1425" s="140" t="s">
        <v>63</v>
      </c>
      <c r="B1425" s="140" t="s">
        <v>21</v>
      </c>
      <c r="C1425" s="141" t="s">
        <v>438</v>
      </c>
      <c r="D1425" s="140" t="s">
        <v>439</v>
      </c>
      <c r="E1425" s="140">
        <v>7</v>
      </c>
      <c r="F1425" s="142">
        <v>45709.583333333328</v>
      </c>
      <c r="G1425" s="140" t="s">
        <v>845</v>
      </c>
      <c r="H1425" s="140" t="s">
        <v>857</v>
      </c>
    </row>
    <row r="1426" spans="1:8" ht="15.75" customHeight="1">
      <c r="A1426" s="140" t="s">
        <v>63</v>
      </c>
      <c r="B1426" s="140" t="s">
        <v>21</v>
      </c>
      <c r="C1426" s="141" t="s">
        <v>438</v>
      </c>
      <c r="D1426" s="140" t="s">
        <v>439</v>
      </c>
      <c r="E1426" s="140">
        <v>8</v>
      </c>
      <c r="F1426" s="142">
        <v>45716.541666666672</v>
      </c>
      <c r="G1426" s="140" t="s">
        <v>845</v>
      </c>
      <c r="H1426" s="140" t="s">
        <v>857</v>
      </c>
    </row>
    <row r="1427" spans="1:8" ht="15.75" customHeight="1">
      <c r="A1427" s="140" t="s">
        <v>63</v>
      </c>
      <c r="B1427" s="140" t="s">
        <v>21</v>
      </c>
      <c r="C1427" s="141" t="s">
        <v>438</v>
      </c>
      <c r="D1427" s="140" t="s">
        <v>439</v>
      </c>
      <c r="E1427" s="140">
        <v>9</v>
      </c>
      <c r="F1427" s="142">
        <v>45765.625</v>
      </c>
      <c r="G1427" s="140" t="s">
        <v>845</v>
      </c>
      <c r="H1427" s="140" t="s">
        <v>857</v>
      </c>
    </row>
    <row r="1428" spans="1:8" ht="15.75" customHeight="1">
      <c r="A1428" s="140" t="s">
        <v>63</v>
      </c>
      <c r="B1428" s="140" t="s">
        <v>21</v>
      </c>
      <c r="C1428" s="141" t="s">
        <v>438</v>
      </c>
      <c r="D1428" s="140" t="s">
        <v>439</v>
      </c>
      <c r="E1428" s="140">
        <v>10</v>
      </c>
      <c r="F1428" s="142">
        <v>45806.416666666672</v>
      </c>
      <c r="G1428" s="140" t="s">
        <v>845</v>
      </c>
      <c r="H1428" s="140" t="s">
        <v>857</v>
      </c>
    </row>
    <row r="1429" spans="1:8" ht="15.75" customHeight="1">
      <c r="A1429" s="140" t="s">
        <v>63</v>
      </c>
      <c r="B1429" s="140" t="s">
        <v>22</v>
      </c>
      <c r="C1429" s="141" t="s">
        <v>438</v>
      </c>
      <c r="D1429" s="140" t="s">
        <v>439</v>
      </c>
      <c r="E1429" s="140">
        <v>1</v>
      </c>
      <c r="F1429" s="142">
        <v>45841.375</v>
      </c>
      <c r="G1429" s="140" t="s">
        <v>843</v>
      </c>
      <c r="H1429" s="140" t="s">
        <v>857</v>
      </c>
    </row>
    <row r="1430" spans="1:8" ht="15.75" customHeight="1">
      <c r="A1430" s="140" t="s">
        <v>63</v>
      </c>
      <c r="B1430" s="140" t="s">
        <v>22</v>
      </c>
      <c r="C1430" s="141" t="s">
        <v>438</v>
      </c>
      <c r="D1430" s="140" t="s">
        <v>439</v>
      </c>
      <c r="E1430" s="140">
        <v>2</v>
      </c>
      <c r="F1430" s="142">
        <v>45849.375</v>
      </c>
      <c r="G1430" s="140" t="s">
        <v>845</v>
      </c>
      <c r="H1430" s="140" t="s">
        <v>857</v>
      </c>
    </row>
    <row r="1431" spans="1:8" ht="15.75" customHeight="1">
      <c r="A1431" s="140" t="s">
        <v>63</v>
      </c>
      <c r="B1431" s="140" t="s">
        <v>22</v>
      </c>
      <c r="C1431" s="141" t="s">
        <v>438</v>
      </c>
      <c r="D1431" s="140" t="s">
        <v>439</v>
      </c>
      <c r="E1431" s="140">
        <v>3</v>
      </c>
      <c r="F1431" s="142">
        <v>45862.375</v>
      </c>
      <c r="G1431" s="140" t="s">
        <v>845</v>
      </c>
      <c r="H1431" s="140" t="s">
        <v>857</v>
      </c>
    </row>
    <row r="1432" spans="1:8" ht="15.75" customHeight="1">
      <c r="A1432" s="140" t="s">
        <v>63</v>
      </c>
      <c r="B1432" s="140" t="s">
        <v>22</v>
      </c>
      <c r="C1432" s="141" t="s">
        <v>438</v>
      </c>
      <c r="D1432" s="140" t="s">
        <v>439</v>
      </c>
      <c r="E1432" s="140">
        <v>4</v>
      </c>
      <c r="F1432" s="142">
        <v>45881.416666666672</v>
      </c>
      <c r="G1432" s="140" t="s">
        <v>845</v>
      </c>
      <c r="H1432" s="140" t="s">
        <v>857</v>
      </c>
    </row>
    <row r="1433" spans="1:8" ht="15.75" customHeight="1">
      <c r="A1433" s="140" t="s">
        <v>63</v>
      </c>
      <c r="B1433" s="140" t="s">
        <v>22</v>
      </c>
      <c r="C1433" s="141" t="s">
        <v>438</v>
      </c>
      <c r="D1433" s="140" t="s">
        <v>439</v>
      </c>
      <c r="E1433" s="140">
        <v>5</v>
      </c>
      <c r="F1433" s="142">
        <v>45888.416666666672</v>
      </c>
      <c r="G1433" s="140" t="s">
        <v>845</v>
      </c>
      <c r="H1433" s="140" t="s">
        <v>857</v>
      </c>
    </row>
    <row r="1434" spans="1:8" ht="15.75" customHeight="1">
      <c r="A1434" s="140" t="s">
        <v>63</v>
      </c>
      <c r="B1434" s="140" t="s">
        <v>22</v>
      </c>
      <c r="C1434" s="141" t="s">
        <v>438</v>
      </c>
      <c r="D1434" s="140" t="s">
        <v>439</v>
      </c>
      <c r="E1434" s="140">
        <v>6</v>
      </c>
      <c r="F1434" s="142">
        <v>45895.416666666672</v>
      </c>
      <c r="G1434" s="140" t="s">
        <v>845</v>
      </c>
      <c r="H1434" s="140" t="s">
        <v>857</v>
      </c>
    </row>
    <row r="1435" spans="1:8" ht="15.75" customHeight="1">
      <c r="A1435" s="140" t="s">
        <v>63</v>
      </c>
      <c r="B1435" s="140" t="s">
        <v>22</v>
      </c>
      <c r="C1435" s="141" t="s">
        <v>438</v>
      </c>
      <c r="D1435" s="140" t="s">
        <v>439</v>
      </c>
      <c r="E1435" s="140">
        <v>7</v>
      </c>
      <c r="F1435" s="142">
        <v>45911.458333333328</v>
      </c>
      <c r="G1435" s="140" t="s">
        <v>843</v>
      </c>
      <c r="H1435" s="140" t="s">
        <v>857</v>
      </c>
    </row>
    <row r="1436" spans="1:8" ht="15.75" customHeight="1">
      <c r="A1436" s="140" t="s">
        <v>63</v>
      </c>
      <c r="B1436" s="140" t="s">
        <v>22</v>
      </c>
      <c r="C1436" s="141" t="s">
        <v>438</v>
      </c>
      <c r="D1436" s="140" t="s">
        <v>439</v>
      </c>
      <c r="E1436" s="140">
        <v>8</v>
      </c>
      <c r="F1436" s="142">
        <v>45925.416666666672</v>
      </c>
      <c r="G1436" s="140" t="s">
        <v>843</v>
      </c>
      <c r="H1436" s="140" t="s">
        <v>857</v>
      </c>
    </row>
    <row r="1437" spans="1:8" ht="15.75" customHeight="1">
      <c r="A1437" s="140" t="s">
        <v>63</v>
      </c>
      <c r="B1437" s="140" t="s">
        <v>22</v>
      </c>
      <c r="C1437" s="141" t="s">
        <v>438</v>
      </c>
      <c r="D1437" s="140" t="s">
        <v>439</v>
      </c>
      <c r="E1437" s="140">
        <v>9</v>
      </c>
      <c r="F1437" s="142">
        <v>45932.458333333328</v>
      </c>
      <c r="G1437" s="140" t="s">
        <v>843</v>
      </c>
      <c r="H1437" s="140" t="s">
        <v>857</v>
      </c>
    </row>
    <row r="1438" spans="1:8" ht="15.75" customHeight="1">
      <c r="A1438" s="140" t="s">
        <v>63</v>
      </c>
      <c r="B1438" s="140" t="s">
        <v>22</v>
      </c>
      <c r="C1438" s="141" t="s">
        <v>438</v>
      </c>
      <c r="D1438" s="140" t="s">
        <v>439</v>
      </c>
      <c r="E1438" s="140">
        <v>10</v>
      </c>
      <c r="F1438" s="142">
        <v>45939.458333333328</v>
      </c>
      <c r="G1438" s="140" t="s">
        <v>843</v>
      </c>
      <c r="H1438" s="140" t="s">
        <v>857</v>
      </c>
    </row>
    <row r="1439" spans="1:8" ht="15.75" customHeight="1">
      <c r="A1439" s="140" t="s">
        <v>63</v>
      </c>
      <c r="B1439" s="140" t="s">
        <v>22</v>
      </c>
      <c r="C1439" s="141" t="s">
        <v>438</v>
      </c>
      <c r="D1439" s="140" t="s">
        <v>439</v>
      </c>
      <c r="E1439" s="140">
        <v>11</v>
      </c>
      <c r="F1439" s="142">
        <v>45946.375</v>
      </c>
      <c r="G1439" s="140" t="s">
        <v>843</v>
      </c>
      <c r="H1439" s="140" t="s">
        <v>857</v>
      </c>
    </row>
    <row r="1440" spans="1:8" ht="15.75" customHeight="1">
      <c r="A1440" s="140" t="s">
        <v>63</v>
      </c>
      <c r="B1440" s="140" t="s">
        <v>22</v>
      </c>
      <c r="C1440" s="141" t="s">
        <v>438</v>
      </c>
      <c r="D1440" s="140" t="s">
        <v>439</v>
      </c>
      <c r="E1440" s="140">
        <v>12</v>
      </c>
      <c r="F1440" s="142">
        <v>45961.458333333328</v>
      </c>
      <c r="G1440" s="140" t="s">
        <v>843</v>
      </c>
      <c r="H1440" s="140" t="s">
        <v>857</v>
      </c>
    </row>
    <row r="1441" spans="1:8" ht="15.75" customHeight="1">
      <c r="A1441" s="140" t="s">
        <v>63</v>
      </c>
      <c r="B1441" s="140" t="s">
        <v>22</v>
      </c>
      <c r="C1441" s="141" t="s">
        <v>438</v>
      </c>
      <c r="D1441" s="140" t="s">
        <v>439</v>
      </c>
      <c r="E1441" s="140">
        <v>13</v>
      </c>
      <c r="F1441" s="142">
        <v>45967.625</v>
      </c>
      <c r="G1441" s="140" t="s">
        <v>845</v>
      </c>
      <c r="H1441" s="140" t="s">
        <v>857</v>
      </c>
    </row>
    <row r="1442" spans="1:8" ht="15.75" customHeight="1">
      <c r="A1442" s="140" t="s">
        <v>63</v>
      </c>
      <c r="B1442" s="140" t="s">
        <v>22</v>
      </c>
      <c r="C1442" s="141" t="s">
        <v>438</v>
      </c>
      <c r="D1442" s="140" t="s">
        <v>439</v>
      </c>
      <c r="E1442" s="140">
        <v>14</v>
      </c>
      <c r="F1442" s="142">
        <v>45974.625</v>
      </c>
      <c r="G1442" s="140" t="s">
        <v>843</v>
      </c>
      <c r="H1442" s="140" t="s">
        <v>857</v>
      </c>
    </row>
    <row r="1443" spans="1:8" ht="15.75" customHeight="1">
      <c r="A1443" s="140" t="s">
        <v>63</v>
      </c>
      <c r="B1443" s="140" t="s">
        <v>22</v>
      </c>
      <c r="C1443" s="141" t="s">
        <v>438</v>
      </c>
      <c r="D1443" s="140" t="s">
        <v>439</v>
      </c>
      <c r="E1443" s="140">
        <v>15</v>
      </c>
      <c r="F1443" s="142">
        <v>46006.416666666672</v>
      </c>
      <c r="G1443" s="140" t="s">
        <v>843</v>
      </c>
      <c r="H1443" s="140" t="s">
        <v>857</v>
      </c>
    </row>
    <row r="1444" spans="1:8" ht="15.75" customHeight="1">
      <c r="A1444" s="140" t="s">
        <v>63</v>
      </c>
      <c r="B1444" s="140" t="s">
        <v>22</v>
      </c>
      <c r="C1444" s="141" t="s">
        <v>438</v>
      </c>
      <c r="D1444" s="140" t="s">
        <v>439</v>
      </c>
      <c r="E1444" s="140">
        <v>16</v>
      </c>
      <c r="F1444" s="142">
        <v>46045.416666666672</v>
      </c>
      <c r="G1444" s="140" t="s">
        <v>843</v>
      </c>
      <c r="H1444" s="140" t="s">
        <v>857</v>
      </c>
    </row>
    <row r="1445" spans="1:8" ht="15.75" customHeight="1">
      <c r="A1445" s="140" t="s">
        <v>63</v>
      </c>
      <c r="B1445" s="140" t="s">
        <v>23</v>
      </c>
      <c r="C1445" s="141" t="s">
        <v>553</v>
      </c>
      <c r="D1445" s="140" t="s">
        <v>554</v>
      </c>
      <c r="E1445" s="140">
        <v>1</v>
      </c>
      <c r="F1445" s="142">
        <v>45729.458333333328</v>
      </c>
      <c r="G1445" s="140" t="s">
        <v>845</v>
      </c>
      <c r="H1445" s="140" t="s">
        <v>857</v>
      </c>
    </row>
    <row r="1446" spans="1:8" ht="15.75" customHeight="1">
      <c r="A1446" s="140" t="s">
        <v>63</v>
      </c>
      <c r="B1446" s="140" t="s">
        <v>23</v>
      </c>
      <c r="C1446" s="141" t="s">
        <v>553</v>
      </c>
      <c r="D1446" s="140" t="s">
        <v>554</v>
      </c>
      <c r="E1446" s="140">
        <v>2</v>
      </c>
      <c r="F1446" s="142">
        <v>45743.458333333328</v>
      </c>
      <c r="G1446" s="140" t="s">
        <v>845</v>
      </c>
      <c r="H1446" s="140" t="s">
        <v>857</v>
      </c>
    </row>
    <row r="1447" spans="1:8" ht="15.75" customHeight="1">
      <c r="A1447" s="140" t="s">
        <v>63</v>
      </c>
      <c r="B1447" s="140" t="s">
        <v>23</v>
      </c>
      <c r="C1447" s="141" t="s">
        <v>553</v>
      </c>
      <c r="D1447" s="140" t="s">
        <v>554</v>
      </c>
      <c r="E1447" s="140">
        <v>3</v>
      </c>
      <c r="F1447" s="142">
        <v>46113.458333333328</v>
      </c>
      <c r="G1447" s="140" t="s">
        <v>845</v>
      </c>
      <c r="H1447" s="140" t="s">
        <v>857</v>
      </c>
    </row>
    <row r="1448" spans="1:8" ht="15.75" customHeight="1">
      <c r="A1448" s="140" t="s">
        <v>63</v>
      </c>
      <c r="B1448" s="140" t="s">
        <v>21</v>
      </c>
      <c r="C1448" s="141" t="s">
        <v>599</v>
      </c>
      <c r="D1448" s="140" t="s">
        <v>600</v>
      </c>
      <c r="E1448" s="140">
        <v>1</v>
      </c>
      <c r="F1448" s="142">
        <v>45636.458333333328</v>
      </c>
      <c r="G1448" s="140" t="s">
        <v>845</v>
      </c>
      <c r="H1448" s="140" t="s">
        <v>857</v>
      </c>
    </row>
    <row r="1449" spans="1:8" ht="15.75" customHeight="1">
      <c r="A1449" s="140" t="s">
        <v>63</v>
      </c>
      <c r="B1449" s="140" t="s">
        <v>21</v>
      </c>
      <c r="C1449" s="141" t="s">
        <v>599</v>
      </c>
      <c r="D1449" s="140" t="s">
        <v>600</v>
      </c>
      <c r="E1449" s="140">
        <v>2</v>
      </c>
      <c r="F1449" s="142">
        <v>45653.458333333328</v>
      </c>
      <c r="G1449" s="140" t="s">
        <v>845</v>
      </c>
      <c r="H1449" s="140" t="s">
        <v>857</v>
      </c>
    </row>
    <row r="1450" spans="1:8" ht="15.75" customHeight="1">
      <c r="A1450" s="140" t="s">
        <v>63</v>
      </c>
      <c r="B1450" s="140" t="s">
        <v>21</v>
      </c>
      <c r="C1450" s="141" t="s">
        <v>599</v>
      </c>
      <c r="D1450" s="140" t="s">
        <v>600</v>
      </c>
      <c r="E1450" s="140">
        <v>3</v>
      </c>
      <c r="F1450" s="142">
        <v>45667.416666666672</v>
      </c>
      <c r="G1450" s="140" t="s">
        <v>845</v>
      </c>
      <c r="H1450" s="140" t="s">
        <v>857</v>
      </c>
    </row>
    <row r="1451" spans="1:8" ht="15.75" customHeight="1">
      <c r="A1451" s="140" t="s">
        <v>63</v>
      </c>
      <c r="B1451" s="140" t="s">
        <v>21</v>
      </c>
      <c r="C1451" s="141" t="s">
        <v>599</v>
      </c>
      <c r="D1451" s="140" t="s">
        <v>600</v>
      </c>
      <c r="E1451" s="140">
        <v>4</v>
      </c>
      <c r="F1451" s="142">
        <v>45674.416666666672</v>
      </c>
      <c r="G1451" s="140" t="s">
        <v>845</v>
      </c>
      <c r="H1451" s="140" t="s">
        <v>857</v>
      </c>
    </row>
    <row r="1452" spans="1:8" ht="15.75" customHeight="1">
      <c r="A1452" s="140" t="s">
        <v>63</v>
      </c>
      <c r="B1452" s="140" t="s">
        <v>21</v>
      </c>
      <c r="C1452" s="141" t="s">
        <v>599</v>
      </c>
      <c r="D1452" s="140" t="s">
        <v>600</v>
      </c>
      <c r="E1452" s="140">
        <v>5</v>
      </c>
      <c r="F1452" s="142">
        <v>45695.416666666672</v>
      </c>
      <c r="G1452" s="140" t="s">
        <v>843</v>
      </c>
      <c r="H1452" s="140" t="s">
        <v>857</v>
      </c>
    </row>
    <row r="1453" spans="1:8" ht="15.75" customHeight="1">
      <c r="A1453" s="140" t="s">
        <v>63</v>
      </c>
      <c r="B1453" s="140" t="s">
        <v>21</v>
      </c>
      <c r="C1453" s="141" t="s">
        <v>599</v>
      </c>
      <c r="D1453" s="140" t="s">
        <v>600</v>
      </c>
      <c r="E1453" s="140">
        <v>6</v>
      </c>
      <c r="F1453" s="142">
        <v>45702.416666666672</v>
      </c>
      <c r="G1453" s="140" t="s">
        <v>845</v>
      </c>
      <c r="H1453" s="140" t="s">
        <v>857</v>
      </c>
    </row>
    <row r="1454" spans="1:8" ht="15.75" customHeight="1">
      <c r="A1454" s="140" t="s">
        <v>63</v>
      </c>
      <c r="B1454" s="140" t="s">
        <v>21</v>
      </c>
      <c r="C1454" s="141" t="s">
        <v>599</v>
      </c>
      <c r="D1454" s="140" t="s">
        <v>600</v>
      </c>
      <c r="E1454" s="140">
        <v>7</v>
      </c>
      <c r="F1454" s="142">
        <v>45709.583333333328</v>
      </c>
      <c r="G1454" s="140" t="s">
        <v>845</v>
      </c>
      <c r="H1454" s="140" t="s">
        <v>857</v>
      </c>
    </row>
    <row r="1455" spans="1:8" ht="15.75" customHeight="1">
      <c r="A1455" s="140" t="s">
        <v>63</v>
      </c>
      <c r="B1455" s="140" t="s">
        <v>21</v>
      </c>
      <c r="C1455" s="141" t="s">
        <v>599</v>
      </c>
      <c r="D1455" s="140" t="s">
        <v>600</v>
      </c>
      <c r="E1455" s="140">
        <v>8</v>
      </c>
      <c r="F1455" s="142">
        <v>45716.541666666672</v>
      </c>
      <c r="G1455" s="140" t="s">
        <v>843</v>
      </c>
      <c r="H1455" s="140" t="s">
        <v>857</v>
      </c>
    </row>
    <row r="1456" spans="1:8" ht="15.75" customHeight="1">
      <c r="A1456" s="140" t="s">
        <v>63</v>
      </c>
      <c r="B1456" s="140" t="s">
        <v>21</v>
      </c>
      <c r="C1456" s="141" t="s">
        <v>599</v>
      </c>
      <c r="D1456" s="140" t="s">
        <v>600</v>
      </c>
      <c r="E1456" s="140">
        <v>9</v>
      </c>
      <c r="F1456" s="142">
        <v>45765.625</v>
      </c>
      <c r="G1456" s="140" t="s">
        <v>843</v>
      </c>
      <c r="H1456" s="140" t="s">
        <v>857</v>
      </c>
    </row>
    <row r="1457" spans="1:8" ht="15.75" customHeight="1">
      <c r="A1457" s="140" t="s">
        <v>63</v>
      </c>
      <c r="B1457" s="140" t="s">
        <v>21</v>
      </c>
      <c r="C1457" s="141" t="s">
        <v>599</v>
      </c>
      <c r="D1457" s="140" t="s">
        <v>600</v>
      </c>
      <c r="E1457" s="140">
        <v>10</v>
      </c>
      <c r="F1457" s="142">
        <v>45806.416666666672</v>
      </c>
      <c r="G1457" s="140" t="s">
        <v>845</v>
      </c>
      <c r="H1457" s="140" t="s">
        <v>857</v>
      </c>
    </row>
    <row r="1458" spans="1:8" ht="15.75" customHeight="1">
      <c r="A1458" s="140" t="s">
        <v>63</v>
      </c>
      <c r="B1458" s="140" t="s">
        <v>22</v>
      </c>
      <c r="C1458" s="141" t="s">
        <v>599</v>
      </c>
      <c r="D1458" s="140" t="s">
        <v>600</v>
      </c>
      <c r="E1458" s="140">
        <v>1</v>
      </c>
      <c r="F1458" s="142">
        <v>45841.375</v>
      </c>
      <c r="G1458" s="140" t="s">
        <v>845</v>
      </c>
      <c r="H1458" s="140" t="s">
        <v>857</v>
      </c>
    </row>
    <row r="1459" spans="1:8" ht="15.75" customHeight="1">
      <c r="A1459" s="140" t="s">
        <v>63</v>
      </c>
      <c r="B1459" s="140" t="s">
        <v>22</v>
      </c>
      <c r="C1459" s="141" t="s">
        <v>599</v>
      </c>
      <c r="D1459" s="140" t="s">
        <v>600</v>
      </c>
      <c r="E1459" s="140">
        <v>2</v>
      </c>
      <c r="F1459" s="142">
        <v>45849.375</v>
      </c>
      <c r="G1459" s="140" t="s">
        <v>845</v>
      </c>
      <c r="H1459" s="140" t="s">
        <v>857</v>
      </c>
    </row>
    <row r="1460" spans="1:8" ht="15.75" customHeight="1">
      <c r="A1460" s="140" t="s">
        <v>63</v>
      </c>
      <c r="B1460" s="140" t="s">
        <v>22</v>
      </c>
      <c r="C1460" s="141" t="s">
        <v>599</v>
      </c>
      <c r="D1460" s="140" t="s">
        <v>600</v>
      </c>
      <c r="E1460" s="140">
        <v>3</v>
      </c>
      <c r="F1460" s="142">
        <v>45862.375</v>
      </c>
      <c r="G1460" s="140" t="s">
        <v>845</v>
      </c>
      <c r="H1460" s="140" t="s">
        <v>857</v>
      </c>
    </row>
    <row r="1461" spans="1:8" ht="15.75" customHeight="1">
      <c r="A1461" s="140" t="s">
        <v>63</v>
      </c>
      <c r="B1461" s="140" t="s">
        <v>22</v>
      </c>
      <c r="C1461" s="141" t="s">
        <v>599</v>
      </c>
      <c r="D1461" s="140" t="s">
        <v>600</v>
      </c>
      <c r="E1461" s="140">
        <v>4</v>
      </c>
      <c r="F1461" s="142">
        <v>45881.416666666672</v>
      </c>
      <c r="G1461" s="140" t="s">
        <v>845</v>
      </c>
      <c r="H1461" s="140" t="s">
        <v>857</v>
      </c>
    </row>
    <row r="1462" spans="1:8" ht="15.75" customHeight="1">
      <c r="A1462" s="140" t="s">
        <v>63</v>
      </c>
      <c r="B1462" s="140" t="s">
        <v>22</v>
      </c>
      <c r="C1462" s="141" t="s">
        <v>599</v>
      </c>
      <c r="D1462" s="140" t="s">
        <v>600</v>
      </c>
      <c r="E1462" s="140">
        <v>5</v>
      </c>
      <c r="F1462" s="142">
        <v>45888.416666666672</v>
      </c>
      <c r="G1462" s="140" t="s">
        <v>845</v>
      </c>
      <c r="H1462" s="140" t="s">
        <v>857</v>
      </c>
    </row>
    <row r="1463" spans="1:8" ht="15.75" customHeight="1">
      <c r="A1463" s="140" t="s">
        <v>63</v>
      </c>
      <c r="B1463" s="140" t="s">
        <v>22</v>
      </c>
      <c r="C1463" s="141" t="s">
        <v>599</v>
      </c>
      <c r="D1463" s="140" t="s">
        <v>600</v>
      </c>
      <c r="E1463" s="140">
        <v>6</v>
      </c>
      <c r="F1463" s="142">
        <v>45895.416666666672</v>
      </c>
      <c r="G1463" s="140" t="s">
        <v>845</v>
      </c>
      <c r="H1463" s="140" t="s">
        <v>857</v>
      </c>
    </row>
    <row r="1464" spans="1:8" ht="15.75" customHeight="1">
      <c r="A1464" s="140" t="s">
        <v>63</v>
      </c>
      <c r="B1464" s="140" t="s">
        <v>22</v>
      </c>
      <c r="C1464" s="141" t="s">
        <v>599</v>
      </c>
      <c r="D1464" s="140" t="s">
        <v>600</v>
      </c>
      <c r="E1464" s="140">
        <v>7</v>
      </c>
      <c r="F1464" s="142">
        <v>45911.458333333328</v>
      </c>
      <c r="G1464" s="140" t="s">
        <v>845</v>
      </c>
      <c r="H1464" s="140" t="s">
        <v>857</v>
      </c>
    </row>
    <row r="1465" spans="1:8" ht="15.75" customHeight="1">
      <c r="A1465" s="140" t="s">
        <v>63</v>
      </c>
      <c r="B1465" s="140" t="s">
        <v>22</v>
      </c>
      <c r="C1465" s="141" t="s">
        <v>599</v>
      </c>
      <c r="D1465" s="140" t="s">
        <v>600</v>
      </c>
      <c r="E1465" s="140">
        <v>8</v>
      </c>
      <c r="F1465" s="142">
        <v>45925.416666666672</v>
      </c>
      <c r="G1465" s="140" t="s">
        <v>845</v>
      </c>
      <c r="H1465" s="140" t="s">
        <v>857</v>
      </c>
    </row>
    <row r="1466" spans="1:8" ht="15.75" customHeight="1">
      <c r="A1466" s="140" t="s">
        <v>63</v>
      </c>
      <c r="B1466" s="140" t="s">
        <v>22</v>
      </c>
      <c r="C1466" s="141" t="s">
        <v>599</v>
      </c>
      <c r="D1466" s="140" t="s">
        <v>600</v>
      </c>
      <c r="E1466" s="140">
        <v>9</v>
      </c>
      <c r="F1466" s="142">
        <v>45932.458333333328</v>
      </c>
      <c r="G1466" s="140" t="s">
        <v>845</v>
      </c>
      <c r="H1466" s="140" t="s">
        <v>857</v>
      </c>
    </row>
    <row r="1467" spans="1:8" ht="15.75" customHeight="1">
      <c r="A1467" s="140" t="s">
        <v>63</v>
      </c>
      <c r="B1467" s="140" t="s">
        <v>22</v>
      </c>
      <c r="C1467" s="141" t="s">
        <v>599</v>
      </c>
      <c r="D1467" s="140" t="s">
        <v>600</v>
      </c>
      <c r="E1467" s="140">
        <v>10</v>
      </c>
      <c r="F1467" s="142">
        <v>45939.458333333328</v>
      </c>
      <c r="G1467" s="140" t="s">
        <v>843</v>
      </c>
      <c r="H1467" s="140" t="s">
        <v>857</v>
      </c>
    </row>
    <row r="1468" spans="1:8" ht="15.75" customHeight="1">
      <c r="A1468" s="140" t="s">
        <v>63</v>
      </c>
      <c r="B1468" s="140" t="s">
        <v>22</v>
      </c>
      <c r="C1468" s="141" t="s">
        <v>599</v>
      </c>
      <c r="D1468" s="140" t="s">
        <v>600</v>
      </c>
      <c r="E1468" s="140">
        <v>11</v>
      </c>
      <c r="F1468" s="142">
        <v>45946.375</v>
      </c>
      <c r="G1468" s="140" t="s">
        <v>845</v>
      </c>
      <c r="H1468" s="140" t="s">
        <v>857</v>
      </c>
    </row>
    <row r="1469" spans="1:8" ht="15.75" customHeight="1">
      <c r="A1469" s="140" t="s">
        <v>63</v>
      </c>
      <c r="B1469" s="140" t="s">
        <v>22</v>
      </c>
      <c r="C1469" s="141" t="s">
        <v>599</v>
      </c>
      <c r="D1469" s="140" t="s">
        <v>600</v>
      </c>
      <c r="E1469" s="140">
        <v>12</v>
      </c>
      <c r="F1469" s="142">
        <v>45961.458333333328</v>
      </c>
      <c r="G1469" s="140" t="s">
        <v>845</v>
      </c>
      <c r="H1469" s="140" t="s">
        <v>857</v>
      </c>
    </row>
    <row r="1470" spans="1:8" ht="15.75" customHeight="1">
      <c r="A1470" s="140" t="s">
        <v>63</v>
      </c>
      <c r="B1470" s="140" t="s">
        <v>22</v>
      </c>
      <c r="C1470" s="141" t="s">
        <v>599</v>
      </c>
      <c r="D1470" s="140" t="s">
        <v>600</v>
      </c>
      <c r="E1470" s="140">
        <v>13</v>
      </c>
      <c r="F1470" s="142">
        <v>45967.625</v>
      </c>
      <c r="G1470" s="140" t="s">
        <v>845</v>
      </c>
      <c r="H1470" s="140" t="s">
        <v>857</v>
      </c>
    </row>
    <row r="1471" spans="1:8" ht="15.75" customHeight="1">
      <c r="A1471" s="140" t="s">
        <v>63</v>
      </c>
      <c r="B1471" s="140" t="s">
        <v>22</v>
      </c>
      <c r="C1471" s="141" t="s">
        <v>599</v>
      </c>
      <c r="D1471" s="140" t="s">
        <v>600</v>
      </c>
      <c r="E1471" s="140">
        <v>14</v>
      </c>
      <c r="F1471" s="142">
        <v>45974.625</v>
      </c>
      <c r="G1471" s="140" t="s">
        <v>845</v>
      </c>
      <c r="H1471" s="140" t="s">
        <v>857</v>
      </c>
    </row>
    <row r="1472" spans="1:8" ht="15.75" customHeight="1">
      <c r="A1472" s="140" t="s">
        <v>63</v>
      </c>
      <c r="B1472" s="140" t="s">
        <v>22</v>
      </c>
      <c r="C1472" s="141" t="s">
        <v>599</v>
      </c>
      <c r="D1472" s="140" t="s">
        <v>600</v>
      </c>
      <c r="E1472" s="140">
        <v>15</v>
      </c>
      <c r="F1472" s="142">
        <v>46006.416666666672</v>
      </c>
      <c r="G1472" s="140" t="s">
        <v>845</v>
      </c>
      <c r="H1472" s="140" t="s">
        <v>857</v>
      </c>
    </row>
    <row r="1473" spans="1:8" ht="15.75" customHeight="1">
      <c r="A1473" s="140" t="s">
        <v>63</v>
      </c>
      <c r="B1473" s="140" t="s">
        <v>22</v>
      </c>
      <c r="C1473" s="141" t="s">
        <v>599</v>
      </c>
      <c r="D1473" s="140" t="s">
        <v>600</v>
      </c>
      <c r="E1473" s="140">
        <v>16</v>
      </c>
      <c r="F1473" s="142">
        <v>46045.416666666672</v>
      </c>
      <c r="G1473" s="140" t="s">
        <v>845</v>
      </c>
      <c r="H1473" s="140" t="s">
        <v>857</v>
      </c>
    </row>
    <row r="1474" spans="1:8" ht="15.75" customHeight="1">
      <c r="A1474" s="140" t="s">
        <v>63</v>
      </c>
      <c r="B1474" s="140" t="s">
        <v>23</v>
      </c>
      <c r="C1474" s="141" t="s">
        <v>599</v>
      </c>
      <c r="D1474" s="140" t="s">
        <v>600</v>
      </c>
      <c r="E1474" s="140">
        <v>1</v>
      </c>
      <c r="F1474" s="142">
        <v>45729.458333333328</v>
      </c>
      <c r="G1474" s="140" t="s">
        <v>845</v>
      </c>
      <c r="H1474" s="140" t="s">
        <v>857</v>
      </c>
    </row>
    <row r="1475" spans="1:8" ht="15.75" customHeight="1">
      <c r="A1475" s="140" t="s">
        <v>63</v>
      </c>
      <c r="B1475" s="140" t="s">
        <v>23</v>
      </c>
      <c r="C1475" s="141" t="s">
        <v>599</v>
      </c>
      <c r="D1475" s="140" t="s">
        <v>600</v>
      </c>
      <c r="E1475" s="140">
        <v>2</v>
      </c>
      <c r="F1475" s="142">
        <v>45743.458333333328</v>
      </c>
      <c r="G1475" s="140" t="s">
        <v>845</v>
      </c>
      <c r="H1475" s="140" t="s">
        <v>857</v>
      </c>
    </row>
    <row r="1476" spans="1:8" ht="15.75" customHeight="1">
      <c r="A1476" s="140" t="s">
        <v>63</v>
      </c>
      <c r="B1476" s="140" t="s">
        <v>23</v>
      </c>
      <c r="C1476" s="141" t="s">
        <v>599</v>
      </c>
      <c r="D1476" s="140" t="s">
        <v>600</v>
      </c>
      <c r="E1476" s="140">
        <v>3</v>
      </c>
      <c r="F1476" s="142">
        <v>46113.458333333328</v>
      </c>
      <c r="G1476" s="140" t="s">
        <v>845</v>
      </c>
      <c r="H1476" s="140" t="s">
        <v>857</v>
      </c>
    </row>
    <row r="1477" spans="1:8" ht="15.75" customHeight="1">
      <c r="A1477" s="140" t="s">
        <v>63</v>
      </c>
      <c r="B1477" s="140" t="s">
        <v>21</v>
      </c>
      <c r="C1477" s="141" t="s">
        <v>611</v>
      </c>
      <c r="D1477" s="140" t="s">
        <v>612</v>
      </c>
      <c r="E1477" s="140">
        <v>1</v>
      </c>
      <c r="F1477" s="142">
        <v>45639.375</v>
      </c>
      <c r="G1477" s="140" t="s">
        <v>845</v>
      </c>
      <c r="H1477" s="140" t="s">
        <v>857</v>
      </c>
    </row>
    <row r="1478" spans="1:8" ht="15.75" customHeight="1">
      <c r="A1478" s="140" t="s">
        <v>63</v>
      </c>
      <c r="B1478" s="140" t="s">
        <v>21</v>
      </c>
      <c r="C1478" s="141" t="s">
        <v>611</v>
      </c>
      <c r="D1478" s="140" t="s">
        <v>612</v>
      </c>
      <c r="E1478" s="140">
        <v>2</v>
      </c>
      <c r="F1478" s="142">
        <v>45645.375</v>
      </c>
      <c r="G1478" s="140" t="s">
        <v>845</v>
      </c>
      <c r="H1478" s="140" t="s">
        <v>857</v>
      </c>
    </row>
    <row r="1479" spans="1:8" ht="15.75" customHeight="1">
      <c r="A1479" s="140" t="s">
        <v>63</v>
      </c>
      <c r="B1479" s="140" t="s">
        <v>21</v>
      </c>
      <c r="C1479" s="141" t="s">
        <v>611</v>
      </c>
      <c r="D1479" s="140" t="s">
        <v>612</v>
      </c>
      <c r="E1479" s="140">
        <v>3</v>
      </c>
      <c r="F1479" s="142">
        <v>45667.416666666672</v>
      </c>
      <c r="G1479" s="140" t="s">
        <v>845</v>
      </c>
      <c r="H1479" s="140" t="s">
        <v>857</v>
      </c>
    </row>
    <row r="1480" spans="1:8" ht="15.75" customHeight="1">
      <c r="A1480" s="140" t="s">
        <v>63</v>
      </c>
      <c r="B1480" s="140" t="s">
        <v>21</v>
      </c>
      <c r="C1480" s="141" t="s">
        <v>611</v>
      </c>
      <c r="D1480" s="140" t="s">
        <v>612</v>
      </c>
      <c r="E1480" s="140">
        <v>4</v>
      </c>
      <c r="F1480" s="142">
        <v>45674.416666666672</v>
      </c>
      <c r="G1480" s="140" t="s">
        <v>845</v>
      </c>
      <c r="H1480" s="140" t="s">
        <v>857</v>
      </c>
    </row>
    <row r="1481" spans="1:8" ht="15.75" customHeight="1">
      <c r="A1481" s="140" t="s">
        <v>63</v>
      </c>
      <c r="B1481" s="140" t="s">
        <v>21</v>
      </c>
      <c r="C1481" s="141" t="s">
        <v>611</v>
      </c>
      <c r="D1481" s="140" t="s">
        <v>612</v>
      </c>
      <c r="E1481" s="140">
        <v>5</v>
      </c>
      <c r="F1481" s="142">
        <v>45695.416666666672</v>
      </c>
      <c r="G1481" s="140" t="s">
        <v>845</v>
      </c>
      <c r="H1481" s="140" t="s">
        <v>857</v>
      </c>
    </row>
    <row r="1482" spans="1:8" ht="15.75" customHeight="1">
      <c r="A1482" s="140" t="s">
        <v>63</v>
      </c>
      <c r="B1482" s="140" t="s">
        <v>21</v>
      </c>
      <c r="C1482" s="141" t="s">
        <v>611</v>
      </c>
      <c r="D1482" s="140" t="s">
        <v>612</v>
      </c>
      <c r="E1482" s="140">
        <v>6</v>
      </c>
      <c r="F1482" s="142">
        <v>45702.416666666672</v>
      </c>
      <c r="G1482" s="140" t="s">
        <v>845</v>
      </c>
      <c r="H1482" s="140" t="s">
        <v>857</v>
      </c>
    </row>
    <row r="1483" spans="1:8" ht="15.75" customHeight="1">
      <c r="A1483" s="140" t="s">
        <v>63</v>
      </c>
      <c r="B1483" s="140" t="s">
        <v>21</v>
      </c>
      <c r="C1483" s="141" t="s">
        <v>611</v>
      </c>
      <c r="D1483" s="140" t="s">
        <v>612</v>
      </c>
      <c r="E1483" s="140">
        <v>7</v>
      </c>
      <c r="F1483" s="142">
        <v>45709.583333333328</v>
      </c>
      <c r="G1483" s="140" t="s">
        <v>845</v>
      </c>
      <c r="H1483" s="140" t="s">
        <v>857</v>
      </c>
    </row>
    <row r="1484" spans="1:8" ht="15.75" customHeight="1">
      <c r="A1484" s="140" t="s">
        <v>63</v>
      </c>
      <c r="B1484" s="140" t="s">
        <v>21</v>
      </c>
      <c r="C1484" s="141" t="s">
        <v>611</v>
      </c>
      <c r="D1484" s="140" t="s">
        <v>612</v>
      </c>
      <c r="E1484" s="140">
        <v>8</v>
      </c>
      <c r="F1484" s="142">
        <v>45716.541666666672</v>
      </c>
      <c r="G1484" s="140" t="s">
        <v>845</v>
      </c>
      <c r="H1484" s="140" t="s">
        <v>857</v>
      </c>
    </row>
    <row r="1485" spans="1:8" ht="15.75" customHeight="1">
      <c r="A1485" s="140" t="s">
        <v>63</v>
      </c>
      <c r="B1485" s="140" t="s">
        <v>21</v>
      </c>
      <c r="C1485" s="141" t="s">
        <v>611</v>
      </c>
      <c r="D1485" s="140" t="s">
        <v>612</v>
      </c>
      <c r="E1485" s="140">
        <v>9</v>
      </c>
      <c r="F1485" s="142">
        <v>45765.625</v>
      </c>
      <c r="G1485" s="140" t="s">
        <v>845</v>
      </c>
      <c r="H1485" s="140" t="s">
        <v>857</v>
      </c>
    </row>
    <row r="1486" spans="1:8" ht="15.75" customHeight="1">
      <c r="A1486" s="140" t="s">
        <v>63</v>
      </c>
      <c r="B1486" s="140" t="s">
        <v>21</v>
      </c>
      <c r="C1486" s="141" t="s">
        <v>611</v>
      </c>
      <c r="D1486" s="140" t="s">
        <v>612</v>
      </c>
      <c r="E1486" s="140">
        <v>10</v>
      </c>
      <c r="F1486" s="142">
        <v>45806.416666666672</v>
      </c>
      <c r="G1486" s="140" t="s">
        <v>845</v>
      </c>
      <c r="H1486" s="140" t="s">
        <v>857</v>
      </c>
    </row>
    <row r="1487" spans="1:8" ht="15.75" customHeight="1">
      <c r="A1487" s="140" t="s">
        <v>63</v>
      </c>
      <c r="B1487" s="140" t="s">
        <v>22</v>
      </c>
      <c r="C1487" s="141" t="s">
        <v>611</v>
      </c>
      <c r="D1487" s="140" t="s">
        <v>612</v>
      </c>
      <c r="E1487" s="140">
        <v>1</v>
      </c>
      <c r="F1487" s="142">
        <v>45841.375</v>
      </c>
      <c r="G1487" s="140" t="s">
        <v>845</v>
      </c>
      <c r="H1487" s="140" t="s">
        <v>857</v>
      </c>
    </row>
    <row r="1488" spans="1:8" ht="15.75" customHeight="1">
      <c r="A1488" s="140" t="s">
        <v>63</v>
      </c>
      <c r="B1488" s="140" t="s">
        <v>22</v>
      </c>
      <c r="C1488" s="141" t="s">
        <v>611</v>
      </c>
      <c r="D1488" s="140" t="s">
        <v>612</v>
      </c>
      <c r="E1488" s="140">
        <v>2</v>
      </c>
      <c r="F1488" s="142">
        <v>45849.375</v>
      </c>
      <c r="G1488" s="140" t="s">
        <v>845</v>
      </c>
      <c r="H1488" s="140" t="s">
        <v>857</v>
      </c>
    </row>
    <row r="1489" spans="1:8" ht="15.75" customHeight="1">
      <c r="A1489" s="140" t="s">
        <v>63</v>
      </c>
      <c r="B1489" s="140" t="s">
        <v>22</v>
      </c>
      <c r="C1489" s="141" t="s">
        <v>611</v>
      </c>
      <c r="D1489" s="140" t="s">
        <v>612</v>
      </c>
      <c r="E1489" s="140">
        <v>3</v>
      </c>
      <c r="F1489" s="142">
        <v>45862.375</v>
      </c>
      <c r="G1489" s="140" t="s">
        <v>845</v>
      </c>
      <c r="H1489" s="140" t="s">
        <v>857</v>
      </c>
    </row>
    <row r="1490" spans="1:8" ht="15.75" customHeight="1">
      <c r="A1490" s="140" t="s">
        <v>63</v>
      </c>
      <c r="B1490" s="140" t="s">
        <v>22</v>
      </c>
      <c r="C1490" s="141" t="s">
        <v>611</v>
      </c>
      <c r="D1490" s="140" t="s">
        <v>612</v>
      </c>
      <c r="E1490" s="140">
        <v>4</v>
      </c>
      <c r="F1490" s="142">
        <v>45881.416666666672</v>
      </c>
      <c r="G1490" s="140" t="s">
        <v>845</v>
      </c>
      <c r="H1490" s="140" t="s">
        <v>857</v>
      </c>
    </row>
    <row r="1491" spans="1:8" ht="15.75" customHeight="1">
      <c r="A1491" s="140" t="s">
        <v>63</v>
      </c>
      <c r="B1491" s="140" t="s">
        <v>22</v>
      </c>
      <c r="C1491" s="141" t="s">
        <v>611</v>
      </c>
      <c r="D1491" s="140" t="s">
        <v>612</v>
      </c>
      <c r="E1491" s="140">
        <v>5</v>
      </c>
      <c r="F1491" s="142">
        <v>45888.416666666672</v>
      </c>
      <c r="G1491" s="140" t="s">
        <v>845</v>
      </c>
      <c r="H1491" s="140" t="s">
        <v>857</v>
      </c>
    </row>
    <row r="1492" spans="1:8" ht="15.75" customHeight="1">
      <c r="A1492" s="140" t="s">
        <v>63</v>
      </c>
      <c r="B1492" s="140" t="s">
        <v>22</v>
      </c>
      <c r="C1492" s="141" t="s">
        <v>611</v>
      </c>
      <c r="D1492" s="140" t="s">
        <v>612</v>
      </c>
      <c r="E1492" s="140">
        <v>6</v>
      </c>
      <c r="F1492" s="142">
        <v>45895.416666666672</v>
      </c>
      <c r="G1492" s="140" t="s">
        <v>845</v>
      </c>
      <c r="H1492" s="140" t="s">
        <v>857</v>
      </c>
    </row>
    <row r="1493" spans="1:8" ht="15.75" customHeight="1">
      <c r="A1493" s="140" t="s">
        <v>63</v>
      </c>
      <c r="B1493" s="140" t="s">
        <v>22</v>
      </c>
      <c r="C1493" s="141" t="s">
        <v>611</v>
      </c>
      <c r="D1493" s="140" t="s">
        <v>612</v>
      </c>
      <c r="E1493" s="140">
        <v>7</v>
      </c>
      <c r="F1493" s="142">
        <v>45911.458333333328</v>
      </c>
      <c r="G1493" s="140" t="s">
        <v>845</v>
      </c>
      <c r="H1493" s="140" t="s">
        <v>857</v>
      </c>
    </row>
    <row r="1494" spans="1:8" ht="15.75" customHeight="1">
      <c r="A1494" s="140" t="s">
        <v>63</v>
      </c>
      <c r="B1494" s="140" t="s">
        <v>22</v>
      </c>
      <c r="C1494" s="141" t="s">
        <v>611</v>
      </c>
      <c r="D1494" s="140" t="s">
        <v>612</v>
      </c>
      <c r="E1494" s="140">
        <v>8</v>
      </c>
      <c r="F1494" s="142">
        <v>45925.416666666672</v>
      </c>
      <c r="G1494" s="140" t="s">
        <v>845</v>
      </c>
      <c r="H1494" s="140" t="s">
        <v>857</v>
      </c>
    </row>
    <row r="1495" spans="1:8" ht="15.75" customHeight="1">
      <c r="A1495" s="140" t="s">
        <v>63</v>
      </c>
      <c r="B1495" s="140" t="s">
        <v>22</v>
      </c>
      <c r="C1495" s="141" t="s">
        <v>611</v>
      </c>
      <c r="D1495" s="140" t="s">
        <v>612</v>
      </c>
      <c r="E1495" s="140">
        <v>9</v>
      </c>
      <c r="F1495" s="142">
        <v>45932.458333333328</v>
      </c>
      <c r="G1495" s="140" t="s">
        <v>843</v>
      </c>
      <c r="H1495" s="140" t="s">
        <v>857</v>
      </c>
    </row>
    <row r="1496" spans="1:8" ht="15.75" customHeight="1">
      <c r="A1496" s="140" t="s">
        <v>63</v>
      </c>
      <c r="B1496" s="140" t="s">
        <v>22</v>
      </c>
      <c r="C1496" s="141" t="s">
        <v>611</v>
      </c>
      <c r="D1496" s="140" t="s">
        <v>612</v>
      </c>
      <c r="E1496" s="140">
        <v>10</v>
      </c>
      <c r="F1496" s="142">
        <v>45939.458333333328</v>
      </c>
      <c r="G1496" s="140" t="s">
        <v>845</v>
      </c>
      <c r="H1496" s="140" t="s">
        <v>857</v>
      </c>
    </row>
    <row r="1497" spans="1:8" ht="15.75" customHeight="1">
      <c r="A1497" s="140" t="s">
        <v>63</v>
      </c>
      <c r="B1497" s="140" t="s">
        <v>22</v>
      </c>
      <c r="C1497" s="141" t="s">
        <v>611</v>
      </c>
      <c r="D1497" s="140" t="s">
        <v>612</v>
      </c>
      <c r="E1497" s="140">
        <v>11</v>
      </c>
      <c r="F1497" s="142">
        <v>45946.375</v>
      </c>
      <c r="G1497" s="140" t="s">
        <v>845</v>
      </c>
      <c r="H1497" s="140" t="s">
        <v>857</v>
      </c>
    </row>
    <row r="1498" spans="1:8" ht="15.75" customHeight="1">
      <c r="A1498" s="140" t="s">
        <v>63</v>
      </c>
      <c r="B1498" s="140" t="s">
        <v>22</v>
      </c>
      <c r="C1498" s="141" t="s">
        <v>611</v>
      </c>
      <c r="D1498" s="140" t="s">
        <v>612</v>
      </c>
      <c r="E1498" s="140">
        <v>12</v>
      </c>
      <c r="F1498" s="142">
        <v>45961.458333333328</v>
      </c>
      <c r="G1498" s="140" t="s">
        <v>843</v>
      </c>
      <c r="H1498" s="140" t="s">
        <v>857</v>
      </c>
    </row>
    <row r="1499" spans="1:8" ht="15.75" customHeight="1">
      <c r="A1499" s="140" t="s">
        <v>63</v>
      </c>
      <c r="B1499" s="140" t="s">
        <v>22</v>
      </c>
      <c r="C1499" s="141" t="s">
        <v>611</v>
      </c>
      <c r="D1499" s="140" t="s">
        <v>612</v>
      </c>
      <c r="E1499" s="140">
        <v>13</v>
      </c>
      <c r="F1499" s="142">
        <v>45967.625</v>
      </c>
      <c r="G1499" s="140" t="s">
        <v>845</v>
      </c>
      <c r="H1499" s="140" t="s">
        <v>857</v>
      </c>
    </row>
    <row r="1500" spans="1:8" ht="15.75" customHeight="1">
      <c r="A1500" s="140" t="s">
        <v>63</v>
      </c>
      <c r="B1500" s="140" t="s">
        <v>22</v>
      </c>
      <c r="C1500" s="141" t="s">
        <v>611</v>
      </c>
      <c r="D1500" s="140" t="s">
        <v>612</v>
      </c>
      <c r="E1500" s="140">
        <v>14</v>
      </c>
      <c r="F1500" s="142">
        <v>45974.625</v>
      </c>
      <c r="G1500" s="140" t="s">
        <v>845</v>
      </c>
      <c r="H1500" s="140" t="s">
        <v>857</v>
      </c>
    </row>
    <row r="1501" spans="1:8" ht="15.75" customHeight="1">
      <c r="A1501" s="140" t="s">
        <v>63</v>
      </c>
      <c r="B1501" s="140" t="s">
        <v>22</v>
      </c>
      <c r="C1501" s="141" t="s">
        <v>611</v>
      </c>
      <c r="D1501" s="140" t="s">
        <v>612</v>
      </c>
      <c r="E1501" s="140">
        <v>15</v>
      </c>
      <c r="F1501" s="142">
        <v>46006.416666666672</v>
      </c>
      <c r="G1501" s="140" t="s">
        <v>845</v>
      </c>
      <c r="H1501" s="140" t="s">
        <v>857</v>
      </c>
    </row>
    <row r="1502" spans="1:8" ht="15.75" customHeight="1">
      <c r="A1502" s="140" t="s">
        <v>63</v>
      </c>
      <c r="B1502" s="140" t="s">
        <v>22</v>
      </c>
      <c r="C1502" s="141" t="s">
        <v>611</v>
      </c>
      <c r="D1502" s="140" t="s">
        <v>612</v>
      </c>
      <c r="E1502" s="140">
        <v>16</v>
      </c>
      <c r="F1502" s="142">
        <v>46045.416666666672</v>
      </c>
      <c r="G1502" s="140" t="s">
        <v>845</v>
      </c>
      <c r="H1502" s="140" t="s">
        <v>857</v>
      </c>
    </row>
    <row r="1503" spans="1:8" ht="15.75" customHeight="1">
      <c r="A1503" s="140" t="s">
        <v>63</v>
      </c>
      <c r="B1503" s="140" t="s">
        <v>23</v>
      </c>
      <c r="C1503" s="141" t="s">
        <v>611</v>
      </c>
      <c r="D1503" s="140" t="s">
        <v>612</v>
      </c>
      <c r="E1503" s="140">
        <v>1</v>
      </c>
      <c r="F1503" s="142">
        <v>45729.458333333328</v>
      </c>
      <c r="G1503" s="140" t="s">
        <v>845</v>
      </c>
      <c r="H1503" s="140" t="s">
        <v>857</v>
      </c>
    </row>
    <row r="1504" spans="1:8" ht="15.75" customHeight="1">
      <c r="A1504" s="140" t="s">
        <v>63</v>
      </c>
      <c r="B1504" s="140" t="s">
        <v>23</v>
      </c>
      <c r="C1504" s="141" t="s">
        <v>611</v>
      </c>
      <c r="D1504" s="140" t="s">
        <v>612</v>
      </c>
      <c r="E1504" s="140">
        <v>2</v>
      </c>
      <c r="F1504" s="142">
        <v>45743.458333333328</v>
      </c>
      <c r="G1504" s="140" t="s">
        <v>845</v>
      </c>
      <c r="H1504" s="140" t="s">
        <v>857</v>
      </c>
    </row>
    <row r="1505" spans="1:8" ht="15.75" customHeight="1">
      <c r="A1505" s="140" t="s">
        <v>63</v>
      </c>
      <c r="B1505" s="140" t="s">
        <v>23</v>
      </c>
      <c r="C1505" s="141" t="s">
        <v>611</v>
      </c>
      <c r="D1505" s="140" t="s">
        <v>612</v>
      </c>
      <c r="E1505" s="140">
        <v>3</v>
      </c>
      <c r="F1505" s="142">
        <v>46113.458333333328</v>
      </c>
      <c r="G1505" s="140" t="s">
        <v>845</v>
      </c>
      <c r="H1505" s="140" t="s">
        <v>857</v>
      </c>
    </row>
    <row r="1506" spans="1:8" ht="15.75" customHeight="1">
      <c r="A1506" s="140" t="s">
        <v>64</v>
      </c>
      <c r="B1506" s="140" t="s">
        <v>21</v>
      </c>
      <c r="C1506" s="141" t="s">
        <v>317</v>
      </c>
      <c r="D1506" s="140" t="s">
        <v>318</v>
      </c>
      <c r="E1506" s="140">
        <v>1</v>
      </c>
      <c r="F1506" s="142">
        <v>45637.375</v>
      </c>
      <c r="G1506" s="140" t="s">
        <v>845</v>
      </c>
      <c r="H1506" s="140" t="s">
        <v>829</v>
      </c>
    </row>
    <row r="1507" spans="1:8" ht="15.75" customHeight="1">
      <c r="A1507" s="140" t="s">
        <v>64</v>
      </c>
      <c r="B1507" s="140" t="s">
        <v>21</v>
      </c>
      <c r="C1507" s="141" t="s">
        <v>317</v>
      </c>
      <c r="D1507" s="140" t="s">
        <v>318</v>
      </c>
      <c r="E1507" s="140">
        <v>2</v>
      </c>
      <c r="F1507" s="142">
        <v>45660.375</v>
      </c>
      <c r="G1507" s="140" t="s">
        <v>845</v>
      </c>
      <c r="H1507" s="140" t="s">
        <v>829</v>
      </c>
    </row>
    <row r="1508" spans="1:8" ht="15.75" customHeight="1">
      <c r="A1508" s="140" t="s">
        <v>64</v>
      </c>
      <c r="B1508" s="140" t="s">
        <v>21</v>
      </c>
      <c r="C1508" s="141" t="s">
        <v>317</v>
      </c>
      <c r="D1508" s="140" t="s">
        <v>318</v>
      </c>
      <c r="E1508" s="140">
        <v>3</v>
      </c>
      <c r="F1508" s="142">
        <v>45664.416666666672</v>
      </c>
      <c r="G1508" s="140" t="s">
        <v>845</v>
      </c>
      <c r="H1508" s="140" t="s">
        <v>829</v>
      </c>
    </row>
    <row r="1509" spans="1:8" ht="15.75" customHeight="1">
      <c r="A1509" s="140" t="s">
        <v>64</v>
      </c>
      <c r="B1509" s="140" t="s">
        <v>21</v>
      </c>
      <c r="C1509" s="141" t="s">
        <v>317</v>
      </c>
      <c r="D1509" s="140" t="s">
        <v>318</v>
      </c>
      <c r="E1509" s="140">
        <v>4</v>
      </c>
      <c r="F1509" s="142">
        <v>45671.458333333328</v>
      </c>
      <c r="G1509" s="140" t="s">
        <v>845</v>
      </c>
      <c r="H1509" s="140" t="s">
        <v>829</v>
      </c>
    </row>
    <row r="1510" spans="1:8" ht="15.75" customHeight="1">
      <c r="A1510" s="140" t="s">
        <v>64</v>
      </c>
      <c r="B1510" s="140" t="s">
        <v>21</v>
      </c>
      <c r="C1510" s="141" t="s">
        <v>317</v>
      </c>
      <c r="D1510" s="140" t="s">
        <v>318</v>
      </c>
      <c r="E1510" s="140">
        <v>5</v>
      </c>
      <c r="F1510" s="142">
        <v>45678.458333333328</v>
      </c>
      <c r="G1510" s="140" t="s">
        <v>845</v>
      </c>
      <c r="H1510" s="140" t="s">
        <v>829</v>
      </c>
    </row>
    <row r="1511" spans="1:8" ht="15.75" customHeight="1">
      <c r="A1511" s="140" t="s">
        <v>64</v>
      </c>
      <c r="B1511" s="140" t="s">
        <v>21</v>
      </c>
      <c r="C1511" s="141" t="s">
        <v>317</v>
      </c>
      <c r="D1511" s="140" t="s">
        <v>318</v>
      </c>
      <c r="E1511" s="140">
        <v>6</v>
      </c>
      <c r="F1511" s="142">
        <v>45692.416666666672</v>
      </c>
      <c r="G1511" s="140" t="s">
        <v>845</v>
      </c>
      <c r="H1511" s="140" t="s">
        <v>829</v>
      </c>
    </row>
    <row r="1512" spans="1:8" ht="15.75" customHeight="1">
      <c r="A1512" s="140" t="s">
        <v>64</v>
      </c>
      <c r="B1512" s="140" t="s">
        <v>21</v>
      </c>
      <c r="C1512" s="141" t="s">
        <v>317</v>
      </c>
      <c r="D1512" s="140" t="s">
        <v>318</v>
      </c>
      <c r="E1512" s="140">
        <v>7</v>
      </c>
      <c r="F1512" s="142">
        <v>45699.458333333328</v>
      </c>
      <c r="G1512" s="140" t="s">
        <v>845</v>
      </c>
      <c r="H1512" s="140" t="s">
        <v>829</v>
      </c>
    </row>
    <row r="1513" spans="1:8" ht="15.75" customHeight="1">
      <c r="A1513" s="140" t="s">
        <v>64</v>
      </c>
      <c r="B1513" s="140" t="s">
        <v>21</v>
      </c>
      <c r="C1513" s="141" t="s">
        <v>317</v>
      </c>
      <c r="D1513" s="140" t="s">
        <v>318</v>
      </c>
      <c r="E1513" s="140">
        <v>8</v>
      </c>
      <c r="F1513" s="142">
        <v>45706.416666666672</v>
      </c>
      <c r="G1513" s="140" t="s">
        <v>845</v>
      </c>
      <c r="H1513" s="140" t="s">
        <v>829</v>
      </c>
    </row>
    <row r="1514" spans="1:8" ht="15.75" customHeight="1">
      <c r="A1514" s="140" t="s">
        <v>64</v>
      </c>
      <c r="B1514" s="140" t="s">
        <v>21</v>
      </c>
      <c r="C1514" s="141" t="s">
        <v>317</v>
      </c>
      <c r="D1514" s="140" t="s">
        <v>318</v>
      </c>
      <c r="E1514" s="140">
        <v>9</v>
      </c>
      <c r="F1514" s="142">
        <v>45706.541666666672</v>
      </c>
      <c r="G1514" s="140" t="s">
        <v>845</v>
      </c>
      <c r="H1514" s="140" t="s">
        <v>829</v>
      </c>
    </row>
    <row r="1515" spans="1:8" ht="15.75" customHeight="1">
      <c r="A1515" s="140" t="s">
        <v>64</v>
      </c>
      <c r="B1515" s="140" t="s">
        <v>21</v>
      </c>
      <c r="C1515" s="141" t="s">
        <v>317</v>
      </c>
      <c r="D1515" s="140" t="s">
        <v>318</v>
      </c>
      <c r="E1515" s="140">
        <v>10</v>
      </c>
      <c r="F1515" s="142">
        <v>45801.416666666672</v>
      </c>
      <c r="G1515" s="140" t="s">
        <v>845</v>
      </c>
      <c r="H1515" s="140" t="s">
        <v>829</v>
      </c>
    </row>
    <row r="1516" spans="1:8" ht="15.75" customHeight="1">
      <c r="A1516" s="140" t="s">
        <v>64</v>
      </c>
      <c r="B1516" s="140" t="s">
        <v>21</v>
      </c>
      <c r="C1516" s="141" t="s">
        <v>342</v>
      </c>
      <c r="D1516" s="140" t="s">
        <v>343</v>
      </c>
      <c r="E1516" s="140">
        <v>1</v>
      </c>
      <c r="F1516" s="142">
        <v>45635.4375</v>
      </c>
      <c r="G1516" s="140" t="s">
        <v>845</v>
      </c>
      <c r="H1516" s="140" t="s">
        <v>829</v>
      </c>
    </row>
    <row r="1517" spans="1:8" ht="15.75" customHeight="1">
      <c r="A1517" s="140" t="s">
        <v>64</v>
      </c>
      <c r="B1517" s="140" t="s">
        <v>21</v>
      </c>
      <c r="C1517" s="141" t="s">
        <v>342</v>
      </c>
      <c r="D1517" s="140" t="s">
        <v>343</v>
      </c>
      <c r="E1517" s="140">
        <v>2</v>
      </c>
      <c r="F1517" s="142">
        <v>45660.375</v>
      </c>
      <c r="G1517" s="140" t="s">
        <v>845</v>
      </c>
      <c r="H1517" s="140" t="s">
        <v>829</v>
      </c>
    </row>
    <row r="1518" spans="1:8" ht="15.75" customHeight="1">
      <c r="A1518" s="140" t="s">
        <v>64</v>
      </c>
      <c r="B1518" s="140" t="s">
        <v>21</v>
      </c>
      <c r="C1518" s="141" t="s">
        <v>342</v>
      </c>
      <c r="D1518" s="140" t="s">
        <v>343</v>
      </c>
      <c r="E1518" s="140">
        <v>3</v>
      </c>
      <c r="F1518" s="142">
        <v>45664.416666666672</v>
      </c>
      <c r="G1518" s="140" t="s">
        <v>845</v>
      </c>
      <c r="H1518" s="140" t="s">
        <v>829</v>
      </c>
    </row>
    <row r="1519" spans="1:8" ht="15.75" customHeight="1">
      <c r="A1519" s="140" t="s">
        <v>64</v>
      </c>
      <c r="B1519" s="140" t="s">
        <v>21</v>
      </c>
      <c r="C1519" s="141" t="s">
        <v>342</v>
      </c>
      <c r="D1519" s="140" t="s">
        <v>343</v>
      </c>
      <c r="E1519" s="140">
        <v>4</v>
      </c>
      <c r="F1519" s="142">
        <v>45671.458333333328</v>
      </c>
      <c r="G1519" s="140" t="s">
        <v>845</v>
      </c>
      <c r="H1519" s="140" t="s">
        <v>829</v>
      </c>
    </row>
    <row r="1520" spans="1:8" ht="15.75" customHeight="1">
      <c r="A1520" s="140" t="s">
        <v>64</v>
      </c>
      <c r="B1520" s="140" t="s">
        <v>21</v>
      </c>
      <c r="C1520" s="141" t="s">
        <v>342</v>
      </c>
      <c r="D1520" s="140" t="s">
        <v>343</v>
      </c>
      <c r="E1520" s="140">
        <v>5</v>
      </c>
      <c r="F1520" s="142">
        <v>45678.458333333328</v>
      </c>
      <c r="G1520" s="140" t="s">
        <v>845</v>
      </c>
      <c r="H1520" s="140" t="s">
        <v>829</v>
      </c>
    </row>
    <row r="1521" spans="1:8" ht="15.75" customHeight="1">
      <c r="A1521" s="140" t="s">
        <v>64</v>
      </c>
      <c r="B1521" s="140" t="s">
        <v>21</v>
      </c>
      <c r="C1521" s="141" t="s">
        <v>342</v>
      </c>
      <c r="D1521" s="140" t="s">
        <v>343</v>
      </c>
      <c r="E1521" s="140">
        <v>6</v>
      </c>
      <c r="F1521" s="142">
        <v>45692.416666666672</v>
      </c>
      <c r="G1521" s="140" t="s">
        <v>845</v>
      </c>
      <c r="H1521" s="140" t="s">
        <v>829</v>
      </c>
    </row>
    <row r="1522" spans="1:8" ht="15.75" customHeight="1">
      <c r="A1522" s="140" t="s">
        <v>64</v>
      </c>
      <c r="B1522" s="140" t="s">
        <v>21</v>
      </c>
      <c r="C1522" s="141" t="s">
        <v>342</v>
      </c>
      <c r="D1522" s="140" t="s">
        <v>343</v>
      </c>
      <c r="E1522" s="140">
        <v>7</v>
      </c>
      <c r="F1522" s="142">
        <v>45699.375</v>
      </c>
      <c r="G1522" s="140" t="s">
        <v>845</v>
      </c>
      <c r="H1522" s="140" t="s">
        <v>829</v>
      </c>
    </row>
    <row r="1523" spans="1:8" ht="15.75" customHeight="1">
      <c r="A1523" s="140" t="s">
        <v>64</v>
      </c>
      <c r="B1523" s="140" t="s">
        <v>21</v>
      </c>
      <c r="C1523" s="141" t="s">
        <v>342</v>
      </c>
      <c r="D1523" s="140" t="s">
        <v>343</v>
      </c>
      <c r="E1523" s="140">
        <v>8</v>
      </c>
      <c r="F1523" s="142">
        <v>45706.416666666672</v>
      </c>
      <c r="G1523" s="140" t="s">
        <v>845</v>
      </c>
      <c r="H1523" s="140" t="s">
        <v>829</v>
      </c>
    </row>
    <row r="1524" spans="1:8" ht="15.75" customHeight="1">
      <c r="A1524" s="140" t="s">
        <v>64</v>
      </c>
      <c r="B1524" s="140" t="s">
        <v>21</v>
      </c>
      <c r="C1524" s="141" t="s">
        <v>342</v>
      </c>
      <c r="D1524" s="140" t="s">
        <v>343</v>
      </c>
      <c r="E1524" s="140">
        <v>9</v>
      </c>
      <c r="F1524" s="142">
        <v>45713.416666666672</v>
      </c>
      <c r="G1524" s="140" t="s">
        <v>845</v>
      </c>
      <c r="H1524" s="140" t="s">
        <v>829</v>
      </c>
    </row>
    <row r="1525" spans="1:8" ht="15.75" customHeight="1">
      <c r="A1525" s="140" t="s">
        <v>64</v>
      </c>
      <c r="B1525" s="140" t="s">
        <v>21</v>
      </c>
      <c r="C1525" s="141" t="s">
        <v>342</v>
      </c>
      <c r="D1525" s="140" t="s">
        <v>343</v>
      </c>
      <c r="E1525" s="140">
        <v>10</v>
      </c>
      <c r="F1525" s="142">
        <v>45801.416666666672</v>
      </c>
      <c r="G1525" s="140" t="s">
        <v>845</v>
      </c>
      <c r="H1525" s="140" t="s">
        <v>829</v>
      </c>
    </row>
    <row r="1526" spans="1:8" ht="15.75" customHeight="1">
      <c r="A1526" s="140" t="s">
        <v>64</v>
      </c>
      <c r="B1526" s="140" t="s">
        <v>21</v>
      </c>
      <c r="C1526" s="141" t="s">
        <v>370</v>
      </c>
      <c r="D1526" s="140" t="s">
        <v>371</v>
      </c>
      <c r="E1526" s="140">
        <v>1</v>
      </c>
      <c r="F1526" s="142">
        <v>45635.4375</v>
      </c>
      <c r="G1526" s="140" t="s">
        <v>845</v>
      </c>
      <c r="H1526" s="140" t="s">
        <v>829</v>
      </c>
    </row>
    <row r="1527" spans="1:8" ht="15.75" customHeight="1">
      <c r="A1527" s="140" t="s">
        <v>64</v>
      </c>
      <c r="B1527" s="140" t="s">
        <v>21</v>
      </c>
      <c r="C1527" s="141" t="s">
        <v>370</v>
      </c>
      <c r="D1527" s="140" t="s">
        <v>371</v>
      </c>
      <c r="E1527" s="140">
        <v>2</v>
      </c>
      <c r="F1527" s="142">
        <v>45660.375</v>
      </c>
      <c r="G1527" s="140" t="s">
        <v>845</v>
      </c>
      <c r="H1527" s="140" t="s">
        <v>829</v>
      </c>
    </row>
    <row r="1528" spans="1:8" ht="15.75" customHeight="1">
      <c r="A1528" s="140" t="s">
        <v>64</v>
      </c>
      <c r="B1528" s="140" t="s">
        <v>21</v>
      </c>
      <c r="C1528" s="141" t="s">
        <v>370</v>
      </c>
      <c r="D1528" s="140" t="s">
        <v>371</v>
      </c>
      <c r="E1528" s="140">
        <v>3</v>
      </c>
      <c r="F1528" s="142">
        <v>45664.416666666672</v>
      </c>
      <c r="G1528" s="140" t="s">
        <v>845</v>
      </c>
      <c r="H1528" s="140" t="s">
        <v>829</v>
      </c>
    </row>
    <row r="1529" spans="1:8" ht="15.75" customHeight="1">
      <c r="A1529" s="140" t="s">
        <v>64</v>
      </c>
      <c r="B1529" s="140" t="s">
        <v>21</v>
      </c>
      <c r="C1529" s="141" t="s">
        <v>370</v>
      </c>
      <c r="D1529" s="140" t="s">
        <v>371</v>
      </c>
      <c r="E1529" s="140">
        <v>4</v>
      </c>
      <c r="F1529" s="142">
        <v>45671.458333333328</v>
      </c>
      <c r="G1529" s="140" t="s">
        <v>843</v>
      </c>
      <c r="H1529" s="140" t="s">
        <v>829</v>
      </c>
    </row>
    <row r="1530" spans="1:8" ht="15.75" customHeight="1">
      <c r="A1530" s="140" t="s">
        <v>64</v>
      </c>
      <c r="B1530" s="140" t="s">
        <v>21</v>
      </c>
      <c r="C1530" s="141" t="s">
        <v>370</v>
      </c>
      <c r="D1530" s="140" t="s">
        <v>371</v>
      </c>
      <c r="E1530" s="140">
        <v>5</v>
      </c>
      <c r="F1530" s="142">
        <v>45678.458333333328</v>
      </c>
      <c r="G1530" s="140" t="s">
        <v>845</v>
      </c>
      <c r="H1530" s="140" t="s">
        <v>829</v>
      </c>
    </row>
    <row r="1531" spans="1:8" ht="15.75" customHeight="1">
      <c r="A1531" s="140" t="s">
        <v>64</v>
      </c>
      <c r="B1531" s="140" t="s">
        <v>21</v>
      </c>
      <c r="C1531" s="141" t="s">
        <v>370</v>
      </c>
      <c r="D1531" s="140" t="s">
        <v>371</v>
      </c>
      <c r="E1531" s="140">
        <v>6</v>
      </c>
      <c r="F1531" s="142">
        <v>45699.375</v>
      </c>
      <c r="G1531" s="140" t="s">
        <v>845</v>
      </c>
      <c r="H1531" s="140" t="s">
        <v>829</v>
      </c>
    </row>
    <row r="1532" spans="1:8" ht="15.75" customHeight="1">
      <c r="A1532" s="140" t="s">
        <v>64</v>
      </c>
      <c r="B1532" s="140" t="s">
        <v>21</v>
      </c>
      <c r="C1532" s="141" t="s">
        <v>370</v>
      </c>
      <c r="D1532" s="140" t="s">
        <v>371</v>
      </c>
      <c r="E1532" s="140">
        <v>7</v>
      </c>
      <c r="F1532" s="142">
        <v>45699.458333333328</v>
      </c>
      <c r="G1532" s="140" t="s">
        <v>843</v>
      </c>
      <c r="H1532" s="140" t="s">
        <v>829</v>
      </c>
    </row>
    <row r="1533" spans="1:8" ht="15.75" customHeight="1">
      <c r="A1533" s="140" t="s">
        <v>64</v>
      </c>
      <c r="B1533" s="140" t="s">
        <v>21</v>
      </c>
      <c r="C1533" s="141" t="s">
        <v>370</v>
      </c>
      <c r="D1533" s="140" t="s">
        <v>371</v>
      </c>
      <c r="E1533" s="140">
        <v>8</v>
      </c>
      <c r="F1533" s="142">
        <v>45706.416666666672</v>
      </c>
      <c r="G1533" s="140" t="s">
        <v>845</v>
      </c>
      <c r="H1533" s="140" t="s">
        <v>829</v>
      </c>
    </row>
    <row r="1534" spans="1:8" ht="15.75" customHeight="1">
      <c r="A1534" s="140" t="s">
        <v>64</v>
      </c>
      <c r="B1534" s="140" t="s">
        <v>21</v>
      </c>
      <c r="C1534" s="141" t="s">
        <v>370</v>
      </c>
      <c r="D1534" s="140" t="s">
        <v>371</v>
      </c>
      <c r="E1534" s="140">
        <v>9</v>
      </c>
      <c r="F1534" s="142">
        <v>45713.416666666672</v>
      </c>
      <c r="G1534" s="140" t="s">
        <v>845</v>
      </c>
      <c r="H1534" s="140" t="s">
        <v>829</v>
      </c>
    </row>
    <row r="1535" spans="1:8" ht="15.75" customHeight="1">
      <c r="A1535" s="140" t="s">
        <v>64</v>
      </c>
      <c r="B1535" s="140" t="s">
        <v>21</v>
      </c>
      <c r="C1535" s="141" t="s">
        <v>370</v>
      </c>
      <c r="D1535" s="140" t="s">
        <v>371</v>
      </c>
      <c r="E1535" s="140">
        <v>10</v>
      </c>
      <c r="F1535" s="142">
        <v>45801.416666666672</v>
      </c>
      <c r="G1535" s="140" t="s">
        <v>845</v>
      </c>
      <c r="H1535" s="140" t="s">
        <v>829</v>
      </c>
    </row>
    <row r="1536" spans="1:8" ht="15.75" customHeight="1">
      <c r="A1536" s="140" t="s">
        <v>64</v>
      </c>
      <c r="B1536" s="140" t="s">
        <v>21</v>
      </c>
      <c r="C1536" s="141" t="s">
        <v>717</v>
      </c>
      <c r="D1536" s="140" t="s">
        <v>718</v>
      </c>
      <c r="E1536" s="140">
        <v>1</v>
      </c>
      <c r="F1536" s="142">
        <v>45635.4375</v>
      </c>
      <c r="G1536" s="140" t="s">
        <v>845</v>
      </c>
      <c r="H1536" s="140" t="s">
        <v>829</v>
      </c>
    </row>
    <row r="1537" spans="1:8" ht="15.75" customHeight="1">
      <c r="A1537" s="140" t="s">
        <v>64</v>
      </c>
      <c r="B1537" s="140" t="s">
        <v>21</v>
      </c>
      <c r="C1537" s="141" t="s">
        <v>717</v>
      </c>
      <c r="D1537" s="140" t="s">
        <v>718</v>
      </c>
      <c r="E1537" s="140">
        <v>2</v>
      </c>
      <c r="F1537" s="142">
        <v>45660.375</v>
      </c>
      <c r="G1537" s="140" t="s">
        <v>845</v>
      </c>
      <c r="H1537" s="140" t="s">
        <v>829</v>
      </c>
    </row>
    <row r="1538" spans="1:8" ht="15.75" customHeight="1">
      <c r="A1538" s="140" t="s">
        <v>64</v>
      </c>
      <c r="B1538" s="140" t="s">
        <v>21</v>
      </c>
      <c r="C1538" s="141" t="s">
        <v>717</v>
      </c>
      <c r="D1538" s="140" t="s">
        <v>718</v>
      </c>
      <c r="E1538" s="140">
        <v>3</v>
      </c>
      <c r="F1538" s="142">
        <v>45664.416666666672</v>
      </c>
      <c r="G1538" s="140" t="s">
        <v>845</v>
      </c>
      <c r="H1538" s="140" t="s">
        <v>829</v>
      </c>
    </row>
    <row r="1539" spans="1:8" ht="15.75" customHeight="1">
      <c r="A1539" s="140" t="s">
        <v>64</v>
      </c>
      <c r="B1539" s="140" t="s">
        <v>21</v>
      </c>
      <c r="C1539" s="141" t="s">
        <v>717</v>
      </c>
      <c r="D1539" s="140" t="s">
        <v>718</v>
      </c>
      <c r="E1539" s="140">
        <v>4</v>
      </c>
      <c r="F1539" s="142">
        <v>45671.458333333328</v>
      </c>
      <c r="G1539" s="140" t="s">
        <v>845</v>
      </c>
      <c r="H1539" s="140" t="s">
        <v>829</v>
      </c>
    </row>
    <row r="1540" spans="1:8" ht="15.75" customHeight="1">
      <c r="A1540" s="140" t="s">
        <v>64</v>
      </c>
      <c r="B1540" s="140" t="s">
        <v>21</v>
      </c>
      <c r="C1540" s="141" t="s">
        <v>717</v>
      </c>
      <c r="D1540" s="140" t="s">
        <v>718</v>
      </c>
      <c r="E1540" s="140">
        <v>5</v>
      </c>
      <c r="F1540" s="142">
        <v>45678.458333333328</v>
      </c>
      <c r="G1540" s="140" t="s">
        <v>845</v>
      </c>
      <c r="H1540" s="140" t="s">
        <v>829</v>
      </c>
    </row>
    <row r="1541" spans="1:8" ht="15.75" customHeight="1">
      <c r="A1541" s="140" t="s">
        <v>64</v>
      </c>
      <c r="B1541" s="140" t="s">
        <v>21</v>
      </c>
      <c r="C1541" s="141" t="s">
        <v>717</v>
      </c>
      <c r="D1541" s="140" t="s">
        <v>718</v>
      </c>
      <c r="E1541" s="140">
        <v>6</v>
      </c>
      <c r="F1541" s="142">
        <v>45692.416666666672</v>
      </c>
      <c r="G1541" s="140" t="s">
        <v>845</v>
      </c>
      <c r="H1541" s="140" t="s">
        <v>829</v>
      </c>
    </row>
    <row r="1542" spans="1:8" ht="15.75" customHeight="1">
      <c r="A1542" s="140" t="s">
        <v>64</v>
      </c>
      <c r="B1542" s="140" t="s">
        <v>21</v>
      </c>
      <c r="C1542" s="141" t="s">
        <v>717</v>
      </c>
      <c r="D1542" s="140" t="s">
        <v>718</v>
      </c>
      <c r="E1542" s="140">
        <v>7</v>
      </c>
      <c r="F1542" s="142">
        <v>45699.375</v>
      </c>
      <c r="G1542" s="140" t="s">
        <v>845</v>
      </c>
      <c r="H1542" s="140" t="s">
        <v>829</v>
      </c>
    </row>
    <row r="1543" spans="1:8" ht="15.75" customHeight="1">
      <c r="A1543" s="140" t="s">
        <v>64</v>
      </c>
      <c r="B1543" s="140" t="s">
        <v>21</v>
      </c>
      <c r="C1543" s="141" t="s">
        <v>717</v>
      </c>
      <c r="D1543" s="140" t="s">
        <v>718</v>
      </c>
      <c r="E1543" s="140">
        <v>8</v>
      </c>
      <c r="F1543" s="142">
        <v>45706.416666666672</v>
      </c>
      <c r="G1543" s="140" t="s">
        <v>845</v>
      </c>
      <c r="H1543" s="140" t="s">
        <v>829</v>
      </c>
    </row>
    <row r="1544" spans="1:8" ht="15.75" customHeight="1">
      <c r="A1544" s="140" t="s">
        <v>64</v>
      </c>
      <c r="B1544" s="140" t="s">
        <v>21</v>
      </c>
      <c r="C1544" s="141" t="s">
        <v>717</v>
      </c>
      <c r="D1544" s="140" t="s">
        <v>718</v>
      </c>
      <c r="E1544" s="140">
        <v>9</v>
      </c>
      <c r="F1544" s="142">
        <v>45713.416666666672</v>
      </c>
      <c r="G1544" s="140" t="s">
        <v>845</v>
      </c>
      <c r="H1544" s="140" t="s">
        <v>829</v>
      </c>
    </row>
    <row r="1545" spans="1:8" ht="15.75" customHeight="1">
      <c r="A1545" s="140" t="s">
        <v>64</v>
      </c>
      <c r="B1545" s="140" t="s">
        <v>21</v>
      </c>
      <c r="C1545" s="141" t="s">
        <v>717</v>
      </c>
      <c r="D1545" s="140" t="s">
        <v>718</v>
      </c>
      <c r="E1545" s="140">
        <v>10</v>
      </c>
      <c r="F1545" s="142">
        <v>45801.416666666672</v>
      </c>
      <c r="G1545" s="140" t="s">
        <v>845</v>
      </c>
      <c r="H1545" s="140" t="s">
        <v>829</v>
      </c>
    </row>
    <row r="1546" spans="1:8" ht="15.75" customHeight="1">
      <c r="A1546" s="140" t="s">
        <v>64</v>
      </c>
      <c r="B1546" s="140" t="s">
        <v>21</v>
      </c>
      <c r="C1546" s="141">
        <v>213820</v>
      </c>
      <c r="D1546" s="140" t="s">
        <v>723</v>
      </c>
      <c r="E1546" s="140">
        <v>1</v>
      </c>
      <c r="F1546" s="142">
        <v>45635.4375</v>
      </c>
      <c r="G1546" s="140" t="s">
        <v>845</v>
      </c>
      <c r="H1546" s="140" t="s">
        <v>829</v>
      </c>
    </row>
    <row r="1547" spans="1:8" ht="15.75" customHeight="1">
      <c r="A1547" s="140" t="s">
        <v>64</v>
      </c>
      <c r="B1547" s="140" t="s">
        <v>21</v>
      </c>
      <c r="C1547" s="141">
        <v>213820</v>
      </c>
      <c r="D1547" s="140" t="s">
        <v>723</v>
      </c>
      <c r="E1547" s="140">
        <v>2</v>
      </c>
      <c r="F1547" s="142">
        <v>45660.375</v>
      </c>
      <c r="G1547" s="140" t="s">
        <v>845</v>
      </c>
      <c r="H1547" s="140" t="s">
        <v>829</v>
      </c>
    </row>
    <row r="1548" spans="1:8" ht="15.75" customHeight="1">
      <c r="A1548" s="140" t="s">
        <v>64</v>
      </c>
      <c r="B1548" s="140" t="s">
        <v>21</v>
      </c>
      <c r="C1548" s="141">
        <v>213820</v>
      </c>
      <c r="D1548" s="140" t="s">
        <v>723</v>
      </c>
      <c r="E1548" s="140">
        <v>3</v>
      </c>
      <c r="F1548" s="142">
        <v>45664.416666666672</v>
      </c>
      <c r="G1548" s="140" t="s">
        <v>845</v>
      </c>
      <c r="H1548" s="140" t="s">
        <v>829</v>
      </c>
    </row>
    <row r="1549" spans="1:8" ht="15.75" customHeight="1">
      <c r="A1549" s="140" t="s">
        <v>64</v>
      </c>
      <c r="B1549" s="140" t="s">
        <v>21</v>
      </c>
      <c r="C1549" s="141">
        <v>213820</v>
      </c>
      <c r="D1549" s="140" t="s">
        <v>723</v>
      </c>
      <c r="E1549" s="140">
        <v>4</v>
      </c>
      <c r="F1549" s="142">
        <v>45671.458333333328</v>
      </c>
      <c r="G1549" s="140" t="s">
        <v>845</v>
      </c>
      <c r="H1549" s="140" t="s">
        <v>829</v>
      </c>
    </row>
    <row r="1550" spans="1:8" ht="15.75" customHeight="1">
      <c r="A1550" s="140" t="s">
        <v>64</v>
      </c>
      <c r="B1550" s="140" t="s">
        <v>21</v>
      </c>
      <c r="C1550" s="141">
        <v>213820</v>
      </c>
      <c r="D1550" s="140" t="s">
        <v>723</v>
      </c>
      <c r="E1550" s="140">
        <v>5</v>
      </c>
      <c r="F1550" s="142">
        <v>45678.458333333328</v>
      </c>
      <c r="G1550" s="140" t="s">
        <v>845</v>
      </c>
      <c r="H1550" s="140" t="s">
        <v>829</v>
      </c>
    </row>
    <row r="1551" spans="1:8" ht="15.75" customHeight="1">
      <c r="A1551" s="140" t="s">
        <v>64</v>
      </c>
      <c r="B1551" s="140" t="s">
        <v>21</v>
      </c>
      <c r="C1551" s="141">
        <v>213820</v>
      </c>
      <c r="D1551" s="140" t="s">
        <v>723</v>
      </c>
      <c r="E1551" s="140">
        <v>6</v>
      </c>
      <c r="F1551" s="142">
        <v>45692.416666666672</v>
      </c>
      <c r="G1551" s="140" t="s">
        <v>845</v>
      </c>
      <c r="H1551" s="140" t="s">
        <v>829</v>
      </c>
    </row>
    <row r="1552" spans="1:8" ht="15.75" customHeight="1">
      <c r="A1552" s="140" t="s">
        <v>64</v>
      </c>
      <c r="B1552" s="140" t="s">
        <v>21</v>
      </c>
      <c r="C1552" s="141">
        <v>213820</v>
      </c>
      <c r="D1552" s="140" t="s">
        <v>723</v>
      </c>
      <c r="E1552" s="140">
        <v>7</v>
      </c>
      <c r="F1552" s="142">
        <v>45699.375</v>
      </c>
      <c r="G1552" s="140" t="s">
        <v>845</v>
      </c>
      <c r="H1552" s="140" t="s">
        <v>829</v>
      </c>
    </row>
    <row r="1553" spans="1:8" ht="15.75" customHeight="1">
      <c r="A1553" s="140" t="s">
        <v>64</v>
      </c>
      <c r="B1553" s="140" t="s">
        <v>21</v>
      </c>
      <c r="C1553" s="141">
        <v>213820</v>
      </c>
      <c r="D1553" s="140" t="s">
        <v>723</v>
      </c>
      <c r="E1553" s="140">
        <v>8</v>
      </c>
      <c r="F1553" s="142">
        <v>45706.416666666672</v>
      </c>
      <c r="G1553" s="140" t="s">
        <v>845</v>
      </c>
      <c r="H1553" s="140" t="s">
        <v>829</v>
      </c>
    </row>
    <row r="1554" spans="1:8" ht="15.75" customHeight="1">
      <c r="A1554" s="140" t="s">
        <v>64</v>
      </c>
      <c r="B1554" s="140" t="s">
        <v>21</v>
      </c>
      <c r="C1554" s="141">
        <v>213820</v>
      </c>
      <c r="D1554" s="140" t="s">
        <v>723</v>
      </c>
      <c r="E1554" s="140">
        <v>9</v>
      </c>
      <c r="F1554" s="142">
        <v>45713.416666666672</v>
      </c>
      <c r="G1554" s="140" t="s">
        <v>845</v>
      </c>
      <c r="H1554" s="140" t="s">
        <v>829</v>
      </c>
    </row>
    <row r="1555" spans="1:8" ht="15.75" customHeight="1">
      <c r="A1555" s="140" t="s">
        <v>64</v>
      </c>
      <c r="B1555" s="140" t="s">
        <v>21</v>
      </c>
      <c r="C1555" s="141">
        <v>213820</v>
      </c>
      <c r="D1555" s="140" t="s">
        <v>723</v>
      </c>
      <c r="E1555" s="140">
        <v>10</v>
      </c>
      <c r="F1555" s="142">
        <v>45801.416666666672</v>
      </c>
      <c r="G1555" s="140" t="s">
        <v>845</v>
      </c>
      <c r="H1555" s="140" t="s">
        <v>829</v>
      </c>
    </row>
    <row r="1556" spans="1:8" ht="15.75" customHeight="1">
      <c r="A1556" s="140" t="s">
        <v>65</v>
      </c>
      <c r="B1556" s="140" t="s">
        <v>21</v>
      </c>
      <c r="C1556" s="141" t="s">
        <v>149</v>
      </c>
      <c r="D1556" s="140" t="s">
        <v>150</v>
      </c>
      <c r="E1556" s="140">
        <v>1</v>
      </c>
      <c r="F1556" s="142">
        <v>45644.458333333328</v>
      </c>
      <c r="G1556" s="140" t="s">
        <v>843</v>
      </c>
      <c r="H1556" s="140" t="s">
        <v>858</v>
      </c>
    </row>
    <row r="1557" spans="1:8" ht="15.75" customHeight="1">
      <c r="A1557" s="140" t="s">
        <v>65</v>
      </c>
      <c r="B1557" s="140" t="s">
        <v>21</v>
      </c>
      <c r="C1557" s="141" t="s">
        <v>149</v>
      </c>
      <c r="D1557" s="140" t="s">
        <v>150</v>
      </c>
      <c r="E1557" s="140">
        <v>2</v>
      </c>
      <c r="F1557" s="142">
        <v>45656.375</v>
      </c>
      <c r="G1557" s="140" t="s">
        <v>845</v>
      </c>
      <c r="H1557" s="140" t="s">
        <v>858</v>
      </c>
    </row>
    <row r="1558" spans="1:8" ht="15.75" customHeight="1">
      <c r="A1558" s="140" t="s">
        <v>65</v>
      </c>
      <c r="B1558" s="140" t="s">
        <v>21</v>
      </c>
      <c r="C1558" s="141" t="s">
        <v>149</v>
      </c>
      <c r="D1558" s="140" t="s">
        <v>150</v>
      </c>
      <c r="E1558" s="140">
        <v>3</v>
      </c>
      <c r="F1558" s="142">
        <v>45665.458333333328</v>
      </c>
      <c r="G1558" s="140" t="s">
        <v>845</v>
      </c>
      <c r="H1558" s="140" t="s">
        <v>858</v>
      </c>
    </row>
    <row r="1559" spans="1:8" ht="15.75" customHeight="1">
      <c r="A1559" s="140" t="s">
        <v>65</v>
      </c>
      <c r="B1559" s="140" t="s">
        <v>21</v>
      </c>
      <c r="C1559" s="141" t="s">
        <v>149</v>
      </c>
      <c r="D1559" s="140" t="s">
        <v>150</v>
      </c>
      <c r="E1559" s="140">
        <v>4</v>
      </c>
      <c r="F1559" s="142">
        <v>45672.458333333328</v>
      </c>
      <c r="G1559" s="140" t="s">
        <v>845</v>
      </c>
      <c r="H1559" s="140" t="s">
        <v>858</v>
      </c>
    </row>
    <row r="1560" spans="1:8" ht="15.75" customHeight="1">
      <c r="A1560" s="140" t="s">
        <v>65</v>
      </c>
      <c r="B1560" s="140" t="s">
        <v>21</v>
      </c>
      <c r="C1560" s="141" t="s">
        <v>149</v>
      </c>
      <c r="D1560" s="140" t="s">
        <v>150</v>
      </c>
      <c r="E1560" s="140">
        <v>5</v>
      </c>
      <c r="F1560" s="142">
        <v>45679.458333333328</v>
      </c>
      <c r="G1560" s="140" t="s">
        <v>843</v>
      </c>
      <c r="H1560" s="140" t="s">
        <v>858</v>
      </c>
    </row>
    <row r="1561" spans="1:8" ht="15.75" customHeight="1">
      <c r="A1561" s="140" t="s">
        <v>65</v>
      </c>
      <c r="B1561" s="140" t="s">
        <v>21</v>
      </c>
      <c r="C1561" s="141" t="s">
        <v>149</v>
      </c>
      <c r="D1561" s="140" t="s">
        <v>150</v>
      </c>
      <c r="E1561" s="140">
        <v>6</v>
      </c>
      <c r="F1561" s="142">
        <v>45694.458333333328</v>
      </c>
      <c r="G1561" s="140" t="s">
        <v>845</v>
      </c>
      <c r="H1561" s="140" t="s">
        <v>858</v>
      </c>
    </row>
    <row r="1562" spans="1:8" ht="15.75" customHeight="1">
      <c r="A1562" s="140" t="s">
        <v>65</v>
      </c>
      <c r="B1562" s="140" t="s">
        <v>21</v>
      </c>
      <c r="C1562" s="141" t="s">
        <v>149</v>
      </c>
      <c r="D1562" s="140" t="s">
        <v>150</v>
      </c>
      <c r="E1562" s="140">
        <v>7</v>
      </c>
      <c r="F1562" s="142">
        <v>45699.458333333328</v>
      </c>
      <c r="G1562" s="140" t="s">
        <v>845</v>
      </c>
      <c r="H1562" s="140" t="s">
        <v>858</v>
      </c>
    </row>
    <row r="1563" spans="1:8" ht="15.75" customHeight="1">
      <c r="A1563" s="140" t="s">
        <v>65</v>
      </c>
      <c r="B1563" s="140" t="s">
        <v>21</v>
      </c>
      <c r="C1563" s="141" t="s">
        <v>149</v>
      </c>
      <c r="D1563" s="140" t="s">
        <v>150</v>
      </c>
      <c r="E1563" s="140">
        <v>8</v>
      </c>
      <c r="F1563" s="142">
        <v>45706.541666666672</v>
      </c>
      <c r="G1563" s="140" t="s">
        <v>845</v>
      </c>
      <c r="H1563" s="140" t="s">
        <v>858</v>
      </c>
    </row>
    <row r="1564" spans="1:8" ht="15.75" customHeight="1">
      <c r="A1564" s="140" t="s">
        <v>65</v>
      </c>
      <c r="B1564" s="140" t="s">
        <v>21</v>
      </c>
      <c r="C1564" s="141" t="s">
        <v>149</v>
      </c>
      <c r="D1564" s="140" t="s">
        <v>150</v>
      </c>
      <c r="E1564" s="140">
        <v>9</v>
      </c>
      <c r="F1564" s="142">
        <v>45713.541666666672</v>
      </c>
      <c r="G1564" s="140" t="s">
        <v>845</v>
      </c>
      <c r="H1564" s="140" t="s">
        <v>858</v>
      </c>
    </row>
    <row r="1565" spans="1:8" ht="15.75" customHeight="1">
      <c r="A1565" s="140" t="s">
        <v>65</v>
      </c>
      <c r="B1565" s="140" t="s">
        <v>21</v>
      </c>
      <c r="C1565" s="141" t="s">
        <v>149</v>
      </c>
      <c r="D1565" s="140" t="s">
        <v>150</v>
      </c>
      <c r="E1565" s="140">
        <v>10</v>
      </c>
      <c r="F1565" s="142">
        <v>45801.416666666672</v>
      </c>
      <c r="G1565" s="140" t="s">
        <v>845</v>
      </c>
      <c r="H1565" s="140" t="s">
        <v>858</v>
      </c>
    </row>
    <row r="1566" spans="1:8" ht="15.75" customHeight="1">
      <c r="A1566" s="140" t="s">
        <v>65</v>
      </c>
      <c r="B1566" s="140" t="s">
        <v>21</v>
      </c>
      <c r="C1566" s="141" t="s">
        <v>212</v>
      </c>
      <c r="D1566" s="140" t="s">
        <v>213</v>
      </c>
      <c r="E1566" s="140">
        <v>1</v>
      </c>
      <c r="F1566" s="142">
        <v>45644.458333333328</v>
      </c>
      <c r="G1566" s="140" t="s">
        <v>843</v>
      </c>
      <c r="H1566" s="140" t="s">
        <v>858</v>
      </c>
    </row>
    <row r="1567" spans="1:8" ht="15.75" customHeight="1">
      <c r="A1567" s="140" t="s">
        <v>65</v>
      </c>
      <c r="B1567" s="140" t="s">
        <v>21</v>
      </c>
      <c r="C1567" s="141" t="s">
        <v>212</v>
      </c>
      <c r="D1567" s="140" t="s">
        <v>213</v>
      </c>
      <c r="E1567" s="140">
        <v>2</v>
      </c>
      <c r="F1567" s="142">
        <v>45656.375</v>
      </c>
      <c r="G1567" s="140" t="s">
        <v>845</v>
      </c>
      <c r="H1567" s="140" t="s">
        <v>858</v>
      </c>
    </row>
    <row r="1568" spans="1:8" ht="15.75" customHeight="1">
      <c r="A1568" s="140" t="s">
        <v>65</v>
      </c>
      <c r="B1568" s="140" t="s">
        <v>21</v>
      </c>
      <c r="C1568" s="141" t="s">
        <v>212</v>
      </c>
      <c r="D1568" s="140" t="s">
        <v>213</v>
      </c>
      <c r="E1568" s="140">
        <v>3</v>
      </c>
      <c r="F1568" s="142">
        <v>45665.458333333328</v>
      </c>
      <c r="G1568" s="140" t="s">
        <v>845</v>
      </c>
      <c r="H1568" s="140" t="s">
        <v>858</v>
      </c>
    </row>
    <row r="1569" spans="1:8" ht="15.75" customHeight="1">
      <c r="A1569" s="140" t="s">
        <v>65</v>
      </c>
      <c r="B1569" s="140" t="s">
        <v>21</v>
      </c>
      <c r="C1569" s="141" t="s">
        <v>212</v>
      </c>
      <c r="D1569" s="140" t="s">
        <v>213</v>
      </c>
      <c r="E1569" s="140">
        <v>4</v>
      </c>
      <c r="F1569" s="142">
        <v>45672.458333333328</v>
      </c>
      <c r="G1569" s="140" t="s">
        <v>845</v>
      </c>
      <c r="H1569" s="140" t="s">
        <v>858</v>
      </c>
    </row>
    <row r="1570" spans="1:8" ht="15.75" customHeight="1">
      <c r="A1570" s="140" t="s">
        <v>65</v>
      </c>
      <c r="B1570" s="140" t="s">
        <v>21</v>
      </c>
      <c r="C1570" s="141" t="s">
        <v>212</v>
      </c>
      <c r="D1570" s="140" t="s">
        <v>213</v>
      </c>
      <c r="E1570" s="140">
        <v>5</v>
      </c>
      <c r="F1570" s="142">
        <v>45679.458333333328</v>
      </c>
      <c r="G1570" s="140" t="s">
        <v>845</v>
      </c>
      <c r="H1570" s="140" t="s">
        <v>858</v>
      </c>
    </row>
    <row r="1571" spans="1:8" ht="15.75" customHeight="1">
      <c r="A1571" s="140" t="s">
        <v>65</v>
      </c>
      <c r="B1571" s="140" t="s">
        <v>21</v>
      </c>
      <c r="C1571" s="141" t="s">
        <v>212</v>
      </c>
      <c r="D1571" s="140" t="s">
        <v>213</v>
      </c>
      <c r="E1571" s="140">
        <v>6</v>
      </c>
      <c r="F1571" s="142">
        <v>45694.458333333328</v>
      </c>
      <c r="G1571" s="140" t="s">
        <v>845</v>
      </c>
      <c r="H1571" s="140" t="s">
        <v>858</v>
      </c>
    </row>
    <row r="1572" spans="1:8" ht="15.75" customHeight="1">
      <c r="A1572" s="140" t="s">
        <v>65</v>
      </c>
      <c r="B1572" s="140" t="s">
        <v>21</v>
      </c>
      <c r="C1572" s="141" t="s">
        <v>212</v>
      </c>
      <c r="D1572" s="140" t="s">
        <v>213</v>
      </c>
      <c r="E1572" s="140">
        <v>7</v>
      </c>
      <c r="F1572" s="142">
        <v>45699.458333333328</v>
      </c>
      <c r="G1572" s="140" t="s">
        <v>845</v>
      </c>
      <c r="H1572" s="140" t="s">
        <v>858</v>
      </c>
    </row>
    <row r="1573" spans="1:8" ht="15.75" customHeight="1">
      <c r="A1573" s="140" t="s">
        <v>65</v>
      </c>
      <c r="B1573" s="140" t="s">
        <v>21</v>
      </c>
      <c r="C1573" s="141" t="s">
        <v>212</v>
      </c>
      <c r="D1573" s="140" t="s">
        <v>213</v>
      </c>
      <c r="E1573" s="140">
        <v>8</v>
      </c>
      <c r="F1573" s="142">
        <v>45706.541666666672</v>
      </c>
      <c r="G1573" s="140" t="s">
        <v>845</v>
      </c>
      <c r="H1573" s="140" t="s">
        <v>858</v>
      </c>
    </row>
    <row r="1574" spans="1:8" ht="15.75" customHeight="1">
      <c r="A1574" s="140" t="s">
        <v>65</v>
      </c>
      <c r="B1574" s="140" t="s">
        <v>21</v>
      </c>
      <c r="C1574" s="141" t="s">
        <v>212</v>
      </c>
      <c r="D1574" s="140" t="s">
        <v>213</v>
      </c>
      <c r="E1574" s="140">
        <v>9</v>
      </c>
      <c r="F1574" s="142">
        <v>45713.541666666672</v>
      </c>
      <c r="G1574" s="140" t="s">
        <v>845</v>
      </c>
      <c r="H1574" s="140" t="s">
        <v>858</v>
      </c>
    </row>
    <row r="1575" spans="1:8" ht="15.75" customHeight="1">
      <c r="A1575" s="140" t="s">
        <v>65</v>
      </c>
      <c r="B1575" s="140" t="s">
        <v>21</v>
      </c>
      <c r="C1575" s="141" t="s">
        <v>212</v>
      </c>
      <c r="D1575" s="140" t="s">
        <v>213</v>
      </c>
      <c r="E1575" s="140">
        <v>10</v>
      </c>
      <c r="F1575" s="142">
        <v>45801.416666666672</v>
      </c>
      <c r="G1575" s="140" t="s">
        <v>845</v>
      </c>
      <c r="H1575" s="140" t="s">
        <v>858</v>
      </c>
    </row>
    <row r="1576" spans="1:8" ht="15.75" customHeight="1">
      <c r="A1576" s="140" t="s">
        <v>65</v>
      </c>
      <c r="B1576" s="140" t="s">
        <v>22</v>
      </c>
      <c r="C1576" s="141" t="s">
        <v>212</v>
      </c>
      <c r="D1576" s="140" t="s">
        <v>213</v>
      </c>
      <c r="E1576" s="140">
        <v>1</v>
      </c>
      <c r="F1576" s="142">
        <v>45839.375</v>
      </c>
      <c r="G1576" s="140" t="s">
        <v>845</v>
      </c>
      <c r="H1576" s="140" t="s">
        <v>858</v>
      </c>
    </row>
    <row r="1577" spans="1:8" ht="15.75" customHeight="1">
      <c r="A1577" s="140" t="s">
        <v>65</v>
      </c>
      <c r="B1577" s="140" t="s">
        <v>22</v>
      </c>
      <c r="C1577" s="141" t="s">
        <v>212</v>
      </c>
      <c r="D1577" s="140" t="s">
        <v>213</v>
      </c>
      <c r="E1577" s="140">
        <v>2</v>
      </c>
      <c r="F1577" s="142">
        <v>45846.375</v>
      </c>
      <c r="G1577" s="140" t="s">
        <v>845</v>
      </c>
      <c r="H1577" s="140" t="s">
        <v>858</v>
      </c>
    </row>
    <row r="1578" spans="1:8" ht="15.75" customHeight="1">
      <c r="A1578" s="140" t="s">
        <v>65</v>
      </c>
      <c r="B1578" s="140" t="s">
        <v>22</v>
      </c>
      <c r="C1578" s="141" t="s">
        <v>212</v>
      </c>
      <c r="D1578" s="140" t="s">
        <v>213</v>
      </c>
      <c r="E1578" s="140">
        <v>3</v>
      </c>
      <c r="F1578" s="142">
        <v>45852.416666666672</v>
      </c>
      <c r="G1578" s="140" t="s">
        <v>845</v>
      </c>
      <c r="H1578" s="140" t="s">
        <v>858</v>
      </c>
    </row>
    <row r="1579" spans="1:8" ht="15.75" customHeight="1">
      <c r="A1579" s="140" t="s">
        <v>65</v>
      </c>
      <c r="B1579" s="140" t="s">
        <v>22</v>
      </c>
      <c r="C1579" s="141" t="s">
        <v>212</v>
      </c>
      <c r="D1579" s="140" t="s">
        <v>213</v>
      </c>
      <c r="E1579" s="140">
        <v>4</v>
      </c>
      <c r="F1579" s="142">
        <v>45859.416666666672</v>
      </c>
      <c r="G1579" s="140" t="s">
        <v>845</v>
      </c>
      <c r="H1579" s="140" t="s">
        <v>858</v>
      </c>
    </row>
    <row r="1580" spans="1:8" ht="15.75" customHeight="1">
      <c r="A1580" s="140" t="s">
        <v>65</v>
      </c>
      <c r="B1580" s="140" t="s">
        <v>21</v>
      </c>
      <c r="C1580" s="141" t="s">
        <v>267</v>
      </c>
      <c r="D1580" s="140" t="s">
        <v>268</v>
      </c>
      <c r="E1580" s="140">
        <v>1</v>
      </c>
      <c r="F1580" s="142">
        <v>45644.458333333328</v>
      </c>
      <c r="G1580" s="140" t="s">
        <v>845</v>
      </c>
      <c r="H1580" s="140" t="s">
        <v>858</v>
      </c>
    </row>
    <row r="1581" spans="1:8" ht="15.75" customHeight="1">
      <c r="A1581" s="140" t="s">
        <v>65</v>
      </c>
      <c r="B1581" s="140" t="s">
        <v>21</v>
      </c>
      <c r="C1581" s="141" t="s">
        <v>267</v>
      </c>
      <c r="D1581" s="140" t="s">
        <v>268</v>
      </c>
      <c r="E1581" s="140">
        <v>2</v>
      </c>
      <c r="F1581" s="142">
        <v>45656.375</v>
      </c>
      <c r="G1581" s="140" t="s">
        <v>845</v>
      </c>
      <c r="H1581" s="140" t="s">
        <v>858</v>
      </c>
    </row>
    <row r="1582" spans="1:8" ht="15.75" customHeight="1">
      <c r="A1582" s="140" t="s">
        <v>65</v>
      </c>
      <c r="B1582" s="140" t="s">
        <v>21</v>
      </c>
      <c r="C1582" s="141" t="s">
        <v>267</v>
      </c>
      <c r="D1582" s="140" t="s">
        <v>268</v>
      </c>
      <c r="E1582" s="140">
        <v>3</v>
      </c>
      <c r="F1582" s="142">
        <v>45665.458333333328</v>
      </c>
      <c r="G1582" s="140" t="s">
        <v>845</v>
      </c>
      <c r="H1582" s="140" t="s">
        <v>858</v>
      </c>
    </row>
    <row r="1583" spans="1:8" ht="15.75" customHeight="1">
      <c r="A1583" s="140" t="s">
        <v>65</v>
      </c>
      <c r="B1583" s="140" t="s">
        <v>21</v>
      </c>
      <c r="C1583" s="141" t="s">
        <v>267</v>
      </c>
      <c r="D1583" s="140" t="s">
        <v>268</v>
      </c>
      <c r="E1583" s="140">
        <v>4</v>
      </c>
      <c r="F1583" s="142">
        <v>45672.458333333328</v>
      </c>
      <c r="G1583" s="140" t="s">
        <v>845</v>
      </c>
      <c r="H1583" s="140" t="s">
        <v>858</v>
      </c>
    </row>
    <row r="1584" spans="1:8" ht="15.75" customHeight="1">
      <c r="A1584" s="140" t="s">
        <v>65</v>
      </c>
      <c r="B1584" s="140" t="s">
        <v>21</v>
      </c>
      <c r="C1584" s="141" t="s">
        <v>267</v>
      </c>
      <c r="D1584" s="140" t="s">
        <v>268</v>
      </c>
      <c r="E1584" s="140">
        <v>5</v>
      </c>
      <c r="F1584" s="142">
        <v>45679.458333333328</v>
      </c>
      <c r="G1584" s="140" t="s">
        <v>845</v>
      </c>
      <c r="H1584" s="140" t="s">
        <v>858</v>
      </c>
    </row>
    <row r="1585" spans="1:8" ht="15.75" customHeight="1">
      <c r="A1585" s="140" t="s">
        <v>65</v>
      </c>
      <c r="B1585" s="140" t="s">
        <v>21</v>
      </c>
      <c r="C1585" s="141" t="s">
        <v>267</v>
      </c>
      <c r="D1585" s="140" t="s">
        <v>268</v>
      </c>
      <c r="E1585" s="140">
        <v>6</v>
      </c>
      <c r="F1585" s="142">
        <v>45694.458333333328</v>
      </c>
      <c r="G1585" s="140" t="s">
        <v>845</v>
      </c>
      <c r="H1585" s="140" t="s">
        <v>858</v>
      </c>
    </row>
    <row r="1586" spans="1:8" ht="15.75" customHeight="1">
      <c r="A1586" s="140" t="s">
        <v>65</v>
      </c>
      <c r="B1586" s="140" t="s">
        <v>21</v>
      </c>
      <c r="C1586" s="141" t="s">
        <v>267</v>
      </c>
      <c r="D1586" s="140" t="s">
        <v>268</v>
      </c>
      <c r="E1586" s="140">
        <v>7</v>
      </c>
      <c r="F1586" s="142">
        <v>45699.458333333328</v>
      </c>
      <c r="G1586" s="140" t="s">
        <v>843</v>
      </c>
      <c r="H1586" s="140" t="s">
        <v>858</v>
      </c>
    </row>
    <row r="1587" spans="1:8" ht="15.75" customHeight="1">
      <c r="A1587" s="140" t="s">
        <v>65</v>
      </c>
      <c r="B1587" s="140" t="s">
        <v>21</v>
      </c>
      <c r="C1587" s="141" t="s">
        <v>267</v>
      </c>
      <c r="D1587" s="140" t="s">
        <v>268</v>
      </c>
      <c r="E1587" s="140">
        <v>8</v>
      </c>
      <c r="F1587" s="142">
        <v>45706.541666666672</v>
      </c>
      <c r="G1587" s="140" t="s">
        <v>845</v>
      </c>
      <c r="H1587" s="140" t="s">
        <v>858</v>
      </c>
    </row>
    <row r="1588" spans="1:8" ht="15.75" customHeight="1">
      <c r="A1588" s="140" t="s">
        <v>65</v>
      </c>
      <c r="B1588" s="140" t="s">
        <v>21</v>
      </c>
      <c r="C1588" s="141" t="s">
        <v>267</v>
      </c>
      <c r="D1588" s="140" t="s">
        <v>268</v>
      </c>
      <c r="E1588" s="140">
        <v>9</v>
      </c>
      <c r="F1588" s="142">
        <v>45713.541666666672</v>
      </c>
      <c r="G1588" s="140" t="s">
        <v>845</v>
      </c>
      <c r="H1588" s="140" t="s">
        <v>858</v>
      </c>
    </row>
    <row r="1589" spans="1:8" ht="15.75" customHeight="1">
      <c r="A1589" s="140" t="s">
        <v>65</v>
      </c>
      <c r="B1589" s="140" t="s">
        <v>21</v>
      </c>
      <c r="C1589" s="141" t="s">
        <v>267</v>
      </c>
      <c r="D1589" s="140" t="s">
        <v>268</v>
      </c>
      <c r="E1589" s="140">
        <v>10</v>
      </c>
      <c r="F1589" s="142">
        <v>45801.416666666672</v>
      </c>
      <c r="G1589" s="140" t="s">
        <v>845</v>
      </c>
      <c r="H1589" s="140" t="s">
        <v>858</v>
      </c>
    </row>
    <row r="1590" spans="1:8" ht="15.75" customHeight="1">
      <c r="A1590" s="140" t="s">
        <v>65</v>
      </c>
      <c r="B1590" s="140" t="s">
        <v>22</v>
      </c>
      <c r="C1590" s="141" t="s">
        <v>267</v>
      </c>
      <c r="D1590" s="140" t="s">
        <v>268</v>
      </c>
      <c r="E1590" s="140">
        <v>1</v>
      </c>
      <c r="F1590" s="142">
        <v>45839.375</v>
      </c>
      <c r="G1590" s="140" t="s">
        <v>845</v>
      </c>
      <c r="H1590" s="140" t="s">
        <v>858</v>
      </c>
    </row>
    <row r="1591" spans="1:8" ht="15.75" customHeight="1">
      <c r="A1591" s="140" t="s">
        <v>65</v>
      </c>
      <c r="B1591" s="140" t="s">
        <v>22</v>
      </c>
      <c r="C1591" s="141" t="s">
        <v>267</v>
      </c>
      <c r="D1591" s="140" t="s">
        <v>268</v>
      </c>
      <c r="E1591" s="140">
        <v>2</v>
      </c>
      <c r="F1591" s="142">
        <v>45846.375</v>
      </c>
      <c r="G1591" s="140" t="s">
        <v>845</v>
      </c>
      <c r="H1591" s="140" t="s">
        <v>858</v>
      </c>
    </row>
    <row r="1592" spans="1:8" ht="15.75" customHeight="1">
      <c r="A1592" s="140" t="s">
        <v>65</v>
      </c>
      <c r="B1592" s="140" t="s">
        <v>22</v>
      </c>
      <c r="C1592" s="141" t="s">
        <v>267</v>
      </c>
      <c r="D1592" s="140" t="s">
        <v>268</v>
      </c>
      <c r="E1592" s="140">
        <v>3</v>
      </c>
      <c r="F1592" s="142">
        <v>45852.416666666672</v>
      </c>
      <c r="G1592" s="140" t="s">
        <v>845</v>
      </c>
      <c r="H1592" s="140" t="s">
        <v>858</v>
      </c>
    </row>
    <row r="1593" spans="1:8" ht="15.75" customHeight="1">
      <c r="A1593" s="140" t="s">
        <v>65</v>
      </c>
      <c r="B1593" s="140" t="s">
        <v>22</v>
      </c>
      <c r="C1593" s="141" t="s">
        <v>267</v>
      </c>
      <c r="D1593" s="140" t="s">
        <v>268</v>
      </c>
      <c r="E1593" s="140">
        <v>4</v>
      </c>
      <c r="F1593" s="142">
        <v>45859.416666666672</v>
      </c>
      <c r="G1593" s="140" t="s">
        <v>845</v>
      </c>
      <c r="H1593" s="140" t="s">
        <v>858</v>
      </c>
    </row>
    <row r="1594" spans="1:8" ht="15.75" customHeight="1">
      <c r="A1594" s="140" t="s">
        <v>65</v>
      </c>
      <c r="B1594" s="140" t="s">
        <v>21</v>
      </c>
      <c r="C1594" s="141" t="s">
        <v>413</v>
      </c>
      <c r="D1594" s="140" t="s">
        <v>414</v>
      </c>
      <c r="E1594" s="140">
        <v>1</v>
      </c>
      <c r="F1594" s="142">
        <v>45637.375</v>
      </c>
      <c r="G1594" s="140" t="s">
        <v>845</v>
      </c>
      <c r="H1594" s="140" t="s">
        <v>858</v>
      </c>
    </row>
    <row r="1595" spans="1:8" ht="15.75" customHeight="1">
      <c r="A1595" s="140" t="s">
        <v>65</v>
      </c>
      <c r="B1595" s="140" t="s">
        <v>21</v>
      </c>
      <c r="C1595" s="141" t="s">
        <v>413</v>
      </c>
      <c r="D1595" s="140" t="s">
        <v>414</v>
      </c>
      <c r="E1595" s="140">
        <v>2</v>
      </c>
      <c r="F1595" s="142">
        <v>45656.375</v>
      </c>
      <c r="G1595" s="140" t="s">
        <v>845</v>
      </c>
      <c r="H1595" s="140" t="s">
        <v>858</v>
      </c>
    </row>
    <row r="1596" spans="1:8" ht="15.75" customHeight="1">
      <c r="A1596" s="140" t="s">
        <v>65</v>
      </c>
      <c r="B1596" s="140" t="s">
        <v>21</v>
      </c>
      <c r="C1596" s="141" t="s">
        <v>413</v>
      </c>
      <c r="D1596" s="140" t="s">
        <v>414</v>
      </c>
      <c r="E1596" s="140">
        <v>3</v>
      </c>
      <c r="F1596" s="142">
        <v>45665.458333333328</v>
      </c>
      <c r="G1596" s="140" t="s">
        <v>845</v>
      </c>
      <c r="H1596" s="140" t="s">
        <v>858</v>
      </c>
    </row>
    <row r="1597" spans="1:8" ht="15.75" customHeight="1">
      <c r="A1597" s="140" t="s">
        <v>65</v>
      </c>
      <c r="B1597" s="140" t="s">
        <v>21</v>
      </c>
      <c r="C1597" s="141" t="s">
        <v>413</v>
      </c>
      <c r="D1597" s="140" t="s">
        <v>414</v>
      </c>
      <c r="E1597" s="140">
        <v>4</v>
      </c>
      <c r="F1597" s="142">
        <v>45672.458333333328</v>
      </c>
      <c r="G1597" s="140" t="s">
        <v>845</v>
      </c>
      <c r="H1597" s="140" t="s">
        <v>858</v>
      </c>
    </row>
    <row r="1598" spans="1:8" ht="15.75" customHeight="1">
      <c r="A1598" s="140" t="s">
        <v>65</v>
      </c>
      <c r="B1598" s="140" t="s">
        <v>21</v>
      </c>
      <c r="C1598" s="141" t="s">
        <v>413</v>
      </c>
      <c r="D1598" s="140" t="s">
        <v>414</v>
      </c>
      <c r="E1598" s="140">
        <v>5</v>
      </c>
      <c r="F1598" s="142">
        <v>45679.458333333328</v>
      </c>
      <c r="G1598" s="140" t="s">
        <v>845</v>
      </c>
      <c r="H1598" s="140" t="s">
        <v>858</v>
      </c>
    </row>
    <row r="1599" spans="1:8" ht="15.75" customHeight="1">
      <c r="A1599" s="140" t="s">
        <v>65</v>
      </c>
      <c r="B1599" s="140" t="s">
        <v>21</v>
      </c>
      <c r="C1599" s="141" t="s">
        <v>413</v>
      </c>
      <c r="D1599" s="140" t="s">
        <v>414</v>
      </c>
      <c r="E1599" s="140">
        <v>6</v>
      </c>
      <c r="F1599" s="142">
        <v>45694.458333333328</v>
      </c>
      <c r="G1599" s="140" t="s">
        <v>845</v>
      </c>
      <c r="H1599" s="140" t="s">
        <v>858</v>
      </c>
    </row>
    <row r="1600" spans="1:8" ht="15.75" customHeight="1">
      <c r="A1600" s="140" t="s">
        <v>65</v>
      </c>
      <c r="B1600" s="140" t="s">
        <v>21</v>
      </c>
      <c r="C1600" s="141" t="s">
        <v>413</v>
      </c>
      <c r="D1600" s="140" t="s">
        <v>414</v>
      </c>
      <c r="E1600" s="140">
        <v>7</v>
      </c>
      <c r="F1600" s="142">
        <v>45699.458333333328</v>
      </c>
      <c r="G1600" s="140" t="s">
        <v>845</v>
      </c>
      <c r="H1600" s="140" t="s">
        <v>858</v>
      </c>
    </row>
    <row r="1601" spans="1:8" ht="15.75" customHeight="1">
      <c r="A1601" s="140" t="s">
        <v>65</v>
      </c>
      <c r="B1601" s="140" t="s">
        <v>21</v>
      </c>
      <c r="C1601" s="141" t="s">
        <v>413</v>
      </c>
      <c r="D1601" s="140" t="s">
        <v>414</v>
      </c>
      <c r="E1601" s="140">
        <v>8</v>
      </c>
      <c r="F1601" s="142">
        <v>45706.541666666672</v>
      </c>
      <c r="G1601" s="140" t="s">
        <v>845</v>
      </c>
      <c r="H1601" s="140" t="s">
        <v>858</v>
      </c>
    </row>
    <row r="1602" spans="1:8" ht="15.75" customHeight="1">
      <c r="A1602" s="140" t="s">
        <v>65</v>
      </c>
      <c r="B1602" s="140" t="s">
        <v>21</v>
      </c>
      <c r="C1602" s="141" t="s">
        <v>413</v>
      </c>
      <c r="D1602" s="140" t="s">
        <v>414</v>
      </c>
      <c r="E1602" s="140">
        <v>9</v>
      </c>
      <c r="F1602" s="142">
        <v>45713.541666666672</v>
      </c>
      <c r="G1602" s="140" t="s">
        <v>845</v>
      </c>
      <c r="H1602" s="140" t="s">
        <v>858</v>
      </c>
    </row>
    <row r="1603" spans="1:8" ht="15.75" customHeight="1">
      <c r="A1603" s="140" t="s">
        <v>65</v>
      </c>
      <c r="B1603" s="140" t="s">
        <v>21</v>
      </c>
      <c r="C1603" s="141" t="s">
        <v>413</v>
      </c>
      <c r="D1603" s="140" t="s">
        <v>414</v>
      </c>
      <c r="E1603" s="140">
        <v>10</v>
      </c>
      <c r="F1603" s="142">
        <v>45801.416666666672</v>
      </c>
      <c r="G1603" s="140" t="s">
        <v>845</v>
      </c>
      <c r="H1603" s="140" t="s">
        <v>858</v>
      </c>
    </row>
    <row r="1604" spans="1:8" ht="15.75" customHeight="1">
      <c r="A1604" s="140" t="s">
        <v>65</v>
      </c>
      <c r="B1604" s="140" t="s">
        <v>22</v>
      </c>
      <c r="C1604" s="141" t="s">
        <v>413</v>
      </c>
      <c r="D1604" s="140" t="s">
        <v>414</v>
      </c>
      <c r="E1604" s="140">
        <v>1</v>
      </c>
      <c r="F1604" s="142">
        <v>45839.375</v>
      </c>
      <c r="G1604" s="140" t="s">
        <v>845</v>
      </c>
      <c r="H1604" s="140" t="s">
        <v>858</v>
      </c>
    </row>
    <row r="1605" spans="1:8" ht="15.75" customHeight="1">
      <c r="A1605" s="140" t="s">
        <v>65</v>
      </c>
      <c r="B1605" s="140" t="s">
        <v>22</v>
      </c>
      <c r="C1605" s="141" t="s">
        <v>413</v>
      </c>
      <c r="D1605" s="140" t="s">
        <v>414</v>
      </c>
      <c r="E1605" s="140">
        <v>2</v>
      </c>
      <c r="F1605" s="142">
        <v>45846.375</v>
      </c>
      <c r="G1605" s="140" t="s">
        <v>845</v>
      </c>
      <c r="H1605" s="140" t="s">
        <v>858</v>
      </c>
    </row>
    <row r="1606" spans="1:8" ht="15.75" customHeight="1">
      <c r="A1606" s="140" t="s">
        <v>65</v>
      </c>
      <c r="B1606" s="140" t="s">
        <v>22</v>
      </c>
      <c r="C1606" s="141" t="s">
        <v>413</v>
      </c>
      <c r="D1606" s="140" t="s">
        <v>414</v>
      </c>
      <c r="E1606" s="140">
        <v>3</v>
      </c>
      <c r="F1606" s="142">
        <v>45852.416666666672</v>
      </c>
      <c r="G1606" s="140" t="s">
        <v>845</v>
      </c>
      <c r="H1606" s="140" t="s">
        <v>858</v>
      </c>
    </row>
    <row r="1607" spans="1:8" ht="15.75" customHeight="1">
      <c r="A1607" s="140" t="s">
        <v>65</v>
      </c>
      <c r="B1607" s="140" t="s">
        <v>22</v>
      </c>
      <c r="C1607" s="141" t="s">
        <v>413</v>
      </c>
      <c r="D1607" s="140" t="s">
        <v>414</v>
      </c>
      <c r="E1607" s="140">
        <v>4</v>
      </c>
      <c r="F1607" s="142">
        <v>45859.416666666672</v>
      </c>
      <c r="G1607" s="140" t="s">
        <v>845</v>
      </c>
      <c r="H1607" s="140" t="s">
        <v>858</v>
      </c>
    </row>
    <row r="1608" spans="1:8" ht="15.75" customHeight="1">
      <c r="A1608" s="140" t="s">
        <v>65</v>
      </c>
      <c r="B1608" s="140" t="s">
        <v>21</v>
      </c>
      <c r="C1608" s="141" t="s">
        <v>601</v>
      </c>
      <c r="D1608" s="140" t="s">
        <v>602</v>
      </c>
      <c r="E1608" s="140">
        <v>1</v>
      </c>
      <c r="F1608" s="142">
        <v>45637.375</v>
      </c>
      <c r="G1608" s="140" t="s">
        <v>845</v>
      </c>
      <c r="H1608" s="140" t="s">
        <v>858</v>
      </c>
    </row>
    <row r="1609" spans="1:8" ht="15.75" customHeight="1">
      <c r="A1609" s="140" t="s">
        <v>65</v>
      </c>
      <c r="B1609" s="140" t="s">
        <v>21</v>
      </c>
      <c r="C1609" s="141" t="s">
        <v>601</v>
      </c>
      <c r="D1609" s="140" t="s">
        <v>602</v>
      </c>
      <c r="E1609" s="140">
        <v>2</v>
      </c>
      <c r="F1609" s="142">
        <v>45656.375</v>
      </c>
      <c r="G1609" s="140" t="s">
        <v>845</v>
      </c>
      <c r="H1609" s="140" t="s">
        <v>858</v>
      </c>
    </row>
    <row r="1610" spans="1:8" ht="15.75" customHeight="1">
      <c r="A1610" s="140" t="s">
        <v>65</v>
      </c>
      <c r="B1610" s="140" t="s">
        <v>21</v>
      </c>
      <c r="C1610" s="141" t="s">
        <v>601</v>
      </c>
      <c r="D1610" s="140" t="s">
        <v>602</v>
      </c>
      <c r="E1610" s="140">
        <v>3</v>
      </c>
      <c r="F1610" s="142">
        <v>45665.458333333328</v>
      </c>
      <c r="G1610" s="140" t="s">
        <v>845</v>
      </c>
      <c r="H1610" s="140" t="s">
        <v>858</v>
      </c>
    </row>
    <row r="1611" spans="1:8" ht="15.75" customHeight="1">
      <c r="A1611" s="140" t="s">
        <v>65</v>
      </c>
      <c r="B1611" s="140" t="s">
        <v>21</v>
      </c>
      <c r="C1611" s="141" t="s">
        <v>601</v>
      </c>
      <c r="D1611" s="140" t="s">
        <v>602</v>
      </c>
      <c r="E1611" s="140">
        <v>4</v>
      </c>
      <c r="F1611" s="142">
        <v>45671.458333333328</v>
      </c>
      <c r="G1611" s="140" t="s">
        <v>845</v>
      </c>
      <c r="H1611" s="140" t="s">
        <v>858</v>
      </c>
    </row>
    <row r="1612" spans="1:8" ht="15.75" customHeight="1">
      <c r="A1612" s="140" t="s">
        <v>65</v>
      </c>
      <c r="B1612" s="140" t="s">
        <v>21</v>
      </c>
      <c r="C1612" s="141" t="s">
        <v>601</v>
      </c>
      <c r="D1612" s="140" t="s">
        <v>602</v>
      </c>
      <c r="E1612" s="140">
        <v>5</v>
      </c>
      <c r="F1612" s="142">
        <v>45678.458333333328</v>
      </c>
      <c r="G1612" s="140" t="s">
        <v>845</v>
      </c>
      <c r="H1612" s="140" t="s">
        <v>858</v>
      </c>
    </row>
    <row r="1613" spans="1:8" ht="15.75" customHeight="1">
      <c r="A1613" s="140" t="s">
        <v>65</v>
      </c>
      <c r="B1613" s="140" t="s">
        <v>21</v>
      </c>
      <c r="C1613" s="141" t="s">
        <v>601</v>
      </c>
      <c r="D1613" s="140" t="s">
        <v>602</v>
      </c>
      <c r="E1613" s="140">
        <v>6</v>
      </c>
      <c r="F1613" s="142">
        <v>45692.416666666672</v>
      </c>
      <c r="G1613" s="140" t="s">
        <v>845</v>
      </c>
      <c r="H1613" s="140" t="s">
        <v>858</v>
      </c>
    </row>
    <row r="1614" spans="1:8" ht="15.75" customHeight="1">
      <c r="A1614" s="140" t="s">
        <v>65</v>
      </c>
      <c r="B1614" s="140" t="s">
        <v>21</v>
      </c>
      <c r="C1614" s="141" t="s">
        <v>601</v>
      </c>
      <c r="D1614" s="140" t="s">
        <v>602</v>
      </c>
      <c r="E1614" s="140">
        <v>7</v>
      </c>
      <c r="F1614" s="142">
        <v>45699.458333333328</v>
      </c>
      <c r="G1614" s="140" t="s">
        <v>845</v>
      </c>
      <c r="H1614" s="140" t="s">
        <v>858</v>
      </c>
    </row>
    <row r="1615" spans="1:8" ht="15.75" customHeight="1">
      <c r="A1615" s="140" t="s">
        <v>65</v>
      </c>
      <c r="B1615" s="140" t="s">
        <v>21</v>
      </c>
      <c r="C1615" s="141" t="s">
        <v>601</v>
      </c>
      <c r="D1615" s="140" t="s">
        <v>602</v>
      </c>
      <c r="E1615" s="140">
        <v>8</v>
      </c>
      <c r="F1615" s="142">
        <v>45706.541666666672</v>
      </c>
      <c r="G1615" s="140" t="s">
        <v>845</v>
      </c>
      <c r="H1615" s="140" t="s">
        <v>858</v>
      </c>
    </row>
    <row r="1616" spans="1:8" ht="15.75" customHeight="1">
      <c r="A1616" s="140" t="s">
        <v>65</v>
      </c>
      <c r="B1616" s="140" t="s">
        <v>21</v>
      </c>
      <c r="C1616" s="141" t="s">
        <v>601</v>
      </c>
      <c r="D1616" s="140" t="s">
        <v>602</v>
      </c>
      <c r="E1616" s="140">
        <v>9</v>
      </c>
      <c r="F1616" s="142">
        <v>45713.541666666672</v>
      </c>
      <c r="G1616" s="140" t="s">
        <v>845</v>
      </c>
      <c r="H1616" s="140" t="s">
        <v>858</v>
      </c>
    </row>
    <row r="1617" spans="1:8" ht="15.75" customHeight="1">
      <c r="A1617" s="140" t="s">
        <v>65</v>
      </c>
      <c r="B1617" s="140" t="s">
        <v>21</v>
      </c>
      <c r="C1617" s="141" t="s">
        <v>601</v>
      </c>
      <c r="D1617" s="140" t="s">
        <v>602</v>
      </c>
      <c r="E1617" s="140">
        <v>10</v>
      </c>
      <c r="F1617" s="142">
        <v>45801.416666666672</v>
      </c>
      <c r="G1617" s="140" t="s">
        <v>845</v>
      </c>
      <c r="H1617" s="140" t="s">
        <v>858</v>
      </c>
    </row>
    <row r="1618" spans="1:8" ht="15.75" customHeight="1">
      <c r="A1618" s="140" t="s">
        <v>65</v>
      </c>
      <c r="B1618" s="140" t="s">
        <v>21</v>
      </c>
      <c r="C1618" s="141" t="s">
        <v>699</v>
      </c>
      <c r="D1618" s="140" t="s">
        <v>700</v>
      </c>
      <c r="E1618" s="140">
        <v>1</v>
      </c>
      <c r="F1618" s="142">
        <v>45644.458333333328</v>
      </c>
      <c r="G1618" s="140" t="s">
        <v>845</v>
      </c>
      <c r="H1618" s="140" t="s">
        <v>858</v>
      </c>
    </row>
    <row r="1619" spans="1:8" ht="15.75" customHeight="1">
      <c r="A1619" s="140" t="s">
        <v>65</v>
      </c>
      <c r="B1619" s="140" t="s">
        <v>21</v>
      </c>
      <c r="C1619" s="141" t="s">
        <v>699</v>
      </c>
      <c r="D1619" s="140" t="s">
        <v>700</v>
      </c>
      <c r="E1619" s="140">
        <v>2</v>
      </c>
      <c r="F1619" s="142">
        <v>45656.375</v>
      </c>
      <c r="G1619" s="140" t="s">
        <v>845</v>
      </c>
      <c r="H1619" s="140" t="s">
        <v>858</v>
      </c>
    </row>
    <row r="1620" spans="1:8" ht="15.75" customHeight="1">
      <c r="A1620" s="140" t="s">
        <v>65</v>
      </c>
      <c r="B1620" s="140" t="s">
        <v>21</v>
      </c>
      <c r="C1620" s="141" t="s">
        <v>699</v>
      </c>
      <c r="D1620" s="140" t="s">
        <v>700</v>
      </c>
      <c r="E1620" s="140">
        <v>3</v>
      </c>
      <c r="F1620" s="142">
        <v>45665.458333333328</v>
      </c>
      <c r="G1620" s="140" t="s">
        <v>845</v>
      </c>
      <c r="H1620" s="140" t="s">
        <v>858</v>
      </c>
    </row>
    <row r="1621" spans="1:8" ht="15.75" customHeight="1">
      <c r="A1621" s="140" t="s">
        <v>65</v>
      </c>
      <c r="B1621" s="140" t="s">
        <v>21</v>
      </c>
      <c r="C1621" s="141" t="s">
        <v>699</v>
      </c>
      <c r="D1621" s="140" t="s">
        <v>700</v>
      </c>
      <c r="E1621" s="140">
        <v>4</v>
      </c>
      <c r="F1621" s="142">
        <v>45672.458333333328</v>
      </c>
      <c r="G1621" s="140" t="s">
        <v>845</v>
      </c>
      <c r="H1621" s="140" t="s">
        <v>858</v>
      </c>
    </row>
    <row r="1622" spans="1:8" ht="15.75" customHeight="1">
      <c r="A1622" s="140" t="s">
        <v>65</v>
      </c>
      <c r="B1622" s="140" t="s">
        <v>21</v>
      </c>
      <c r="C1622" s="141" t="s">
        <v>699</v>
      </c>
      <c r="D1622" s="140" t="s">
        <v>700</v>
      </c>
      <c r="E1622" s="140">
        <v>5</v>
      </c>
      <c r="F1622" s="142">
        <v>45679.458333333328</v>
      </c>
      <c r="G1622" s="140" t="s">
        <v>845</v>
      </c>
      <c r="H1622" s="140" t="s">
        <v>858</v>
      </c>
    </row>
    <row r="1623" spans="1:8" ht="15.75" customHeight="1">
      <c r="A1623" s="140" t="s">
        <v>65</v>
      </c>
      <c r="B1623" s="140" t="s">
        <v>21</v>
      </c>
      <c r="C1623" s="141" t="s">
        <v>699</v>
      </c>
      <c r="D1623" s="140" t="s">
        <v>700</v>
      </c>
      <c r="E1623" s="140">
        <v>6</v>
      </c>
      <c r="F1623" s="142">
        <v>45694.458333333328</v>
      </c>
      <c r="G1623" s="140" t="s">
        <v>845</v>
      </c>
      <c r="H1623" s="140" t="s">
        <v>858</v>
      </c>
    </row>
    <row r="1624" spans="1:8" ht="15.75" customHeight="1">
      <c r="A1624" s="140" t="s">
        <v>65</v>
      </c>
      <c r="B1624" s="140" t="s">
        <v>21</v>
      </c>
      <c r="C1624" s="141" t="s">
        <v>699</v>
      </c>
      <c r="D1624" s="140" t="s">
        <v>700</v>
      </c>
      <c r="E1624" s="140">
        <v>7</v>
      </c>
      <c r="F1624" s="142">
        <v>45699.458333333328</v>
      </c>
      <c r="G1624" s="140" t="s">
        <v>845</v>
      </c>
      <c r="H1624" s="140" t="s">
        <v>858</v>
      </c>
    </row>
    <row r="1625" spans="1:8" ht="15.75" customHeight="1">
      <c r="A1625" s="140" t="s">
        <v>65</v>
      </c>
      <c r="B1625" s="140" t="s">
        <v>21</v>
      </c>
      <c r="C1625" s="141" t="s">
        <v>699</v>
      </c>
      <c r="D1625" s="140" t="s">
        <v>700</v>
      </c>
      <c r="E1625" s="140">
        <v>8</v>
      </c>
      <c r="F1625" s="142">
        <v>45706.541666666672</v>
      </c>
      <c r="G1625" s="140" t="s">
        <v>845</v>
      </c>
      <c r="H1625" s="140" t="s">
        <v>858</v>
      </c>
    </row>
    <row r="1626" spans="1:8" ht="15.75" customHeight="1">
      <c r="A1626" s="140" t="s">
        <v>65</v>
      </c>
      <c r="B1626" s="140" t="s">
        <v>21</v>
      </c>
      <c r="C1626" s="141" t="s">
        <v>699</v>
      </c>
      <c r="D1626" s="140" t="s">
        <v>700</v>
      </c>
      <c r="E1626" s="140">
        <v>9</v>
      </c>
      <c r="F1626" s="142">
        <v>45713.541666666672</v>
      </c>
      <c r="G1626" s="140" t="s">
        <v>845</v>
      </c>
      <c r="H1626" s="140" t="s">
        <v>858</v>
      </c>
    </row>
    <row r="1627" spans="1:8" ht="15.75" customHeight="1">
      <c r="A1627" s="140" t="s">
        <v>65</v>
      </c>
      <c r="B1627" s="140" t="s">
        <v>21</v>
      </c>
      <c r="C1627" s="141" t="s">
        <v>699</v>
      </c>
      <c r="D1627" s="140" t="s">
        <v>700</v>
      </c>
      <c r="E1627" s="140">
        <v>10</v>
      </c>
      <c r="F1627" s="142">
        <v>45801.416666666672</v>
      </c>
      <c r="G1627" s="140" t="s">
        <v>845</v>
      </c>
      <c r="H1627" s="140" t="s">
        <v>858</v>
      </c>
    </row>
    <row r="1628" spans="1:8" ht="15.75" customHeight="1">
      <c r="A1628" s="140" t="s">
        <v>65</v>
      </c>
      <c r="B1628" s="140" t="s">
        <v>22</v>
      </c>
      <c r="C1628" s="141" t="s">
        <v>699</v>
      </c>
      <c r="D1628" s="140" t="s">
        <v>700</v>
      </c>
      <c r="E1628" s="140">
        <v>1</v>
      </c>
      <c r="F1628" s="142">
        <v>45839.375</v>
      </c>
      <c r="G1628" s="140" t="s">
        <v>845</v>
      </c>
      <c r="H1628" s="140" t="s">
        <v>858</v>
      </c>
    </row>
    <row r="1629" spans="1:8" ht="15.75" customHeight="1">
      <c r="A1629" s="140" t="s">
        <v>65</v>
      </c>
      <c r="B1629" s="140" t="s">
        <v>22</v>
      </c>
      <c r="C1629" s="141" t="s">
        <v>699</v>
      </c>
      <c r="D1629" s="140" t="s">
        <v>700</v>
      </c>
      <c r="E1629" s="140">
        <v>2</v>
      </c>
      <c r="F1629" s="142">
        <v>45846.375</v>
      </c>
      <c r="G1629" s="140" t="s">
        <v>845</v>
      </c>
      <c r="H1629" s="140" t="s">
        <v>858</v>
      </c>
    </row>
    <row r="1630" spans="1:8" ht="15.75" customHeight="1">
      <c r="A1630" s="140" t="s">
        <v>65</v>
      </c>
      <c r="B1630" s="140" t="s">
        <v>22</v>
      </c>
      <c r="C1630" s="141" t="s">
        <v>699</v>
      </c>
      <c r="D1630" s="140" t="s">
        <v>700</v>
      </c>
      <c r="E1630" s="140">
        <v>3</v>
      </c>
      <c r="F1630" s="142">
        <v>45852.416666666672</v>
      </c>
      <c r="G1630" s="140" t="s">
        <v>845</v>
      </c>
      <c r="H1630" s="140" t="s">
        <v>858</v>
      </c>
    </row>
    <row r="1631" spans="1:8" ht="15.75" customHeight="1">
      <c r="A1631" s="140" t="s">
        <v>65</v>
      </c>
      <c r="B1631" s="140" t="s">
        <v>22</v>
      </c>
      <c r="C1631" s="141" t="s">
        <v>699</v>
      </c>
      <c r="D1631" s="140" t="s">
        <v>700</v>
      </c>
      <c r="E1631" s="140">
        <v>4</v>
      </c>
      <c r="F1631" s="142">
        <v>45859.416666666672</v>
      </c>
      <c r="G1631" s="140" t="s">
        <v>845</v>
      </c>
      <c r="H1631" s="140" t="s">
        <v>858</v>
      </c>
    </row>
    <row r="1632" spans="1:8" ht="15.75" customHeight="1">
      <c r="A1632" s="140" t="s">
        <v>66</v>
      </c>
      <c r="B1632" s="140" t="s">
        <v>21</v>
      </c>
      <c r="C1632" s="141" t="s">
        <v>346</v>
      </c>
      <c r="D1632" s="140" t="s">
        <v>347</v>
      </c>
      <c r="E1632" s="140">
        <v>1</v>
      </c>
      <c r="F1632" s="142">
        <v>45693.458333333328</v>
      </c>
      <c r="G1632" s="140" t="s">
        <v>845</v>
      </c>
      <c r="H1632" s="140" t="s">
        <v>859</v>
      </c>
    </row>
    <row r="1633" spans="1:8" ht="15.75" customHeight="1">
      <c r="A1633" s="140" t="s">
        <v>66</v>
      </c>
      <c r="B1633" s="140" t="s">
        <v>21</v>
      </c>
      <c r="C1633" s="141" t="s">
        <v>346</v>
      </c>
      <c r="D1633" s="140" t="s">
        <v>347</v>
      </c>
      <c r="E1633" s="140">
        <v>2</v>
      </c>
      <c r="F1633" s="142">
        <v>45705.583333333328</v>
      </c>
      <c r="G1633" s="140" t="s">
        <v>845</v>
      </c>
      <c r="H1633" s="140" t="s">
        <v>859</v>
      </c>
    </row>
    <row r="1634" spans="1:8" ht="15.75" customHeight="1">
      <c r="A1634" s="140" t="s">
        <v>66</v>
      </c>
      <c r="B1634" s="140" t="s">
        <v>21</v>
      </c>
      <c r="C1634" s="141" t="s">
        <v>346</v>
      </c>
      <c r="D1634" s="140" t="s">
        <v>347</v>
      </c>
      <c r="E1634" s="140">
        <v>3</v>
      </c>
      <c r="F1634" s="142">
        <v>45712.583333333328</v>
      </c>
      <c r="G1634" s="140" t="s">
        <v>845</v>
      </c>
      <c r="H1634" s="140" t="s">
        <v>859</v>
      </c>
    </row>
    <row r="1635" spans="1:8" ht="15.75" customHeight="1">
      <c r="A1635" s="140" t="s">
        <v>66</v>
      </c>
      <c r="B1635" s="140" t="s">
        <v>21</v>
      </c>
      <c r="C1635" s="141" t="s">
        <v>514</v>
      </c>
      <c r="D1635" s="140" t="s">
        <v>515</v>
      </c>
      <c r="E1635" s="140">
        <v>1</v>
      </c>
      <c r="F1635" s="142">
        <v>45693.458333333328</v>
      </c>
      <c r="G1635" s="140" t="s">
        <v>845</v>
      </c>
      <c r="H1635" s="140" t="s">
        <v>859</v>
      </c>
    </row>
    <row r="1636" spans="1:8" ht="15.75" customHeight="1">
      <c r="A1636" s="140" t="s">
        <v>66</v>
      </c>
      <c r="B1636" s="140" t="s">
        <v>21</v>
      </c>
      <c r="C1636" s="141" t="s">
        <v>514</v>
      </c>
      <c r="D1636" s="140" t="s">
        <v>515</v>
      </c>
      <c r="E1636" s="140">
        <v>2</v>
      </c>
      <c r="F1636" s="142">
        <v>45705.583333333328</v>
      </c>
      <c r="G1636" s="140" t="s">
        <v>845</v>
      </c>
      <c r="H1636" s="140" t="s">
        <v>859</v>
      </c>
    </row>
    <row r="1637" spans="1:8" ht="15.75" customHeight="1">
      <c r="A1637" s="140" t="s">
        <v>66</v>
      </c>
      <c r="B1637" s="140" t="s">
        <v>21</v>
      </c>
      <c r="C1637" s="141" t="s">
        <v>514</v>
      </c>
      <c r="D1637" s="140" t="s">
        <v>515</v>
      </c>
      <c r="E1637" s="140">
        <v>3</v>
      </c>
      <c r="F1637" s="142">
        <v>45712.583333333328</v>
      </c>
      <c r="G1637" s="140" t="s">
        <v>843</v>
      </c>
      <c r="H1637" s="140" t="s">
        <v>859</v>
      </c>
    </row>
    <row r="1638" spans="1:8" ht="15.75" customHeight="1">
      <c r="A1638" s="140" t="s">
        <v>66</v>
      </c>
      <c r="B1638" s="140" t="s">
        <v>21</v>
      </c>
      <c r="C1638" s="141" t="s">
        <v>518</v>
      </c>
      <c r="D1638" s="140" t="s">
        <v>519</v>
      </c>
      <c r="E1638" s="140">
        <v>1</v>
      </c>
      <c r="F1638" s="142">
        <v>45693.458333333328</v>
      </c>
      <c r="G1638" s="140" t="s">
        <v>845</v>
      </c>
      <c r="H1638" s="140" t="s">
        <v>859</v>
      </c>
    </row>
    <row r="1639" spans="1:8" ht="15.75" customHeight="1">
      <c r="A1639" s="140" t="s">
        <v>66</v>
      </c>
      <c r="B1639" s="140" t="s">
        <v>21</v>
      </c>
      <c r="C1639" s="141" t="s">
        <v>518</v>
      </c>
      <c r="D1639" s="140" t="s">
        <v>519</v>
      </c>
      <c r="E1639" s="140">
        <v>2</v>
      </c>
      <c r="F1639" s="142">
        <v>45705.583333333328</v>
      </c>
      <c r="G1639" s="140" t="s">
        <v>845</v>
      </c>
      <c r="H1639" s="140" t="s">
        <v>859</v>
      </c>
    </row>
    <row r="1640" spans="1:8" ht="15.75" customHeight="1">
      <c r="A1640" s="140" t="s">
        <v>66</v>
      </c>
      <c r="B1640" s="140" t="s">
        <v>21</v>
      </c>
      <c r="C1640" s="141" t="s">
        <v>518</v>
      </c>
      <c r="D1640" s="140" t="s">
        <v>519</v>
      </c>
      <c r="E1640" s="140">
        <v>3</v>
      </c>
      <c r="F1640" s="142">
        <v>45712.583333333328</v>
      </c>
      <c r="G1640" s="140" t="s">
        <v>843</v>
      </c>
      <c r="H1640" s="140" t="s">
        <v>859</v>
      </c>
    </row>
    <row r="1641" spans="1:8" ht="15.75" customHeight="1">
      <c r="A1641" s="140" t="s">
        <v>66</v>
      </c>
      <c r="B1641" s="140" t="s">
        <v>21</v>
      </c>
      <c r="C1641" s="141" t="s">
        <v>522</v>
      </c>
      <c r="D1641" s="140" t="s">
        <v>523</v>
      </c>
      <c r="E1641" s="140">
        <v>1</v>
      </c>
      <c r="F1641" s="142">
        <v>45693.458333333328</v>
      </c>
      <c r="G1641" s="140" t="s">
        <v>845</v>
      </c>
      <c r="H1641" s="140" t="s">
        <v>859</v>
      </c>
    </row>
    <row r="1642" spans="1:8" ht="15.75" customHeight="1">
      <c r="A1642" s="140" t="s">
        <v>66</v>
      </c>
      <c r="B1642" s="140" t="s">
        <v>21</v>
      </c>
      <c r="C1642" s="141" t="s">
        <v>522</v>
      </c>
      <c r="D1642" s="140" t="s">
        <v>523</v>
      </c>
      <c r="E1642" s="140">
        <v>2</v>
      </c>
      <c r="F1642" s="142">
        <v>45705.583333333328</v>
      </c>
      <c r="G1642" s="140" t="s">
        <v>845</v>
      </c>
      <c r="H1642" s="140" t="s">
        <v>859</v>
      </c>
    </row>
    <row r="1643" spans="1:8" ht="15.75" customHeight="1">
      <c r="A1643" s="140" t="s">
        <v>66</v>
      </c>
      <c r="B1643" s="140" t="s">
        <v>21</v>
      </c>
      <c r="C1643" s="141" t="s">
        <v>522</v>
      </c>
      <c r="D1643" s="140" t="s">
        <v>523</v>
      </c>
      <c r="E1643" s="140">
        <v>3</v>
      </c>
      <c r="F1643" s="142">
        <v>45712.583333333328</v>
      </c>
      <c r="G1643" s="140" t="s">
        <v>845</v>
      </c>
      <c r="H1643" s="140" t="s">
        <v>859</v>
      </c>
    </row>
    <row r="1644" spans="1:8" ht="15.75" customHeight="1">
      <c r="A1644" s="140" t="s">
        <v>66</v>
      </c>
      <c r="B1644" s="140" t="s">
        <v>21</v>
      </c>
      <c r="C1644" s="141" t="s">
        <v>589</v>
      </c>
      <c r="D1644" s="140" t="s">
        <v>590</v>
      </c>
      <c r="E1644" s="140">
        <v>1</v>
      </c>
      <c r="F1644" s="142">
        <v>45693.458333333328</v>
      </c>
      <c r="G1644" s="140" t="s">
        <v>845</v>
      </c>
      <c r="H1644" s="140" t="s">
        <v>859</v>
      </c>
    </row>
    <row r="1645" spans="1:8" ht="15.75" customHeight="1">
      <c r="A1645" s="140" t="s">
        <v>66</v>
      </c>
      <c r="B1645" s="140" t="s">
        <v>21</v>
      </c>
      <c r="C1645" s="141" t="s">
        <v>589</v>
      </c>
      <c r="D1645" s="140" t="s">
        <v>590</v>
      </c>
      <c r="E1645" s="140">
        <v>2</v>
      </c>
      <c r="F1645" s="142">
        <v>45705.583333333328</v>
      </c>
      <c r="G1645" s="140" t="s">
        <v>845</v>
      </c>
      <c r="H1645" s="140" t="s">
        <v>859</v>
      </c>
    </row>
    <row r="1646" spans="1:8" ht="15.75" customHeight="1">
      <c r="A1646" s="140" t="s">
        <v>66</v>
      </c>
      <c r="B1646" s="140" t="s">
        <v>21</v>
      </c>
      <c r="C1646" s="141" t="s">
        <v>589</v>
      </c>
      <c r="D1646" s="140" t="s">
        <v>590</v>
      </c>
      <c r="E1646" s="140">
        <v>3</v>
      </c>
      <c r="F1646" s="142">
        <v>45712.583333333328</v>
      </c>
      <c r="G1646" s="140" t="s">
        <v>843</v>
      </c>
      <c r="H1646" s="140" t="s">
        <v>859</v>
      </c>
    </row>
    <row r="1647" spans="1:8" ht="15.75" customHeight="1">
      <c r="A1647" s="140" t="s">
        <v>66</v>
      </c>
      <c r="B1647" s="140" t="s">
        <v>21</v>
      </c>
      <c r="C1647" s="141" t="s">
        <v>645</v>
      </c>
      <c r="D1647" s="140" t="s">
        <v>646</v>
      </c>
      <c r="E1647" s="140">
        <v>1</v>
      </c>
      <c r="F1647" s="142">
        <v>45693.458333333328</v>
      </c>
      <c r="G1647" s="140" t="s">
        <v>845</v>
      </c>
      <c r="H1647" s="140" t="s">
        <v>859</v>
      </c>
    </row>
    <row r="1648" spans="1:8" ht="15.75" customHeight="1">
      <c r="A1648" s="140" t="s">
        <v>66</v>
      </c>
      <c r="B1648" s="140" t="s">
        <v>21</v>
      </c>
      <c r="C1648" s="141" t="s">
        <v>645</v>
      </c>
      <c r="D1648" s="140" t="s">
        <v>646</v>
      </c>
      <c r="E1648" s="140">
        <v>2</v>
      </c>
      <c r="F1648" s="142">
        <v>45705.583333333328</v>
      </c>
      <c r="G1648" s="140" t="s">
        <v>845</v>
      </c>
      <c r="H1648" s="140" t="s">
        <v>859</v>
      </c>
    </row>
    <row r="1649" spans="1:8" ht="15.75" customHeight="1">
      <c r="A1649" s="140" t="s">
        <v>66</v>
      </c>
      <c r="B1649" s="140" t="s">
        <v>21</v>
      </c>
      <c r="C1649" s="141" t="s">
        <v>645</v>
      </c>
      <c r="D1649" s="140" t="s">
        <v>646</v>
      </c>
      <c r="E1649" s="140">
        <v>3</v>
      </c>
      <c r="F1649" s="142">
        <v>45712.583333333328</v>
      </c>
      <c r="G1649" s="140" t="s">
        <v>845</v>
      </c>
      <c r="H1649" s="140" t="s">
        <v>859</v>
      </c>
    </row>
    <row r="1650" spans="1:8" ht="15.75" customHeight="1">
      <c r="A1650" s="140" t="s">
        <v>67</v>
      </c>
      <c r="B1650" s="140" t="s">
        <v>21</v>
      </c>
      <c r="C1650" s="141" t="s">
        <v>142</v>
      </c>
      <c r="D1650" s="140" t="s">
        <v>143</v>
      </c>
      <c r="E1650" s="140">
        <v>1</v>
      </c>
      <c r="F1650" s="142">
        <v>45639.458333333328</v>
      </c>
      <c r="G1650" s="140" t="s">
        <v>845</v>
      </c>
      <c r="H1650" s="140" t="s">
        <v>860</v>
      </c>
    </row>
    <row r="1651" spans="1:8" ht="15.75" customHeight="1">
      <c r="A1651" s="140" t="s">
        <v>67</v>
      </c>
      <c r="B1651" s="140" t="s">
        <v>21</v>
      </c>
      <c r="C1651" s="141" t="s">
        <v>142</v>
      </c>
      <c r="D1651" s="140" t="s">
        <v>143</v>
      </c>
      <c r="E1651" s="140">
        <v>2</v>
      </c>
      <c r="F1651" s="142">
        <v>45643.395833333328</v>
      </c>
      <c r="G1651" s="140" t="s">
        <v>845</v>
      </c>
      <c r="H1651" s="140" t="s">
        <v>860</v>
      </c>
    </row>
    <row r="1652" spans="1:8" ht="15.75" customHeight="1">
      <c r="A1652" s="140" t="s">
        <v>67</v>
      </c>
      <c r="B1652" s="140" t="s">
        <v>21</v>
      </c>
      <c r="C1652" s="141" t="s">
        <v>142</v>
      </c>
      <c r="D1652" s="140" t="s">
        <v>143</v>
      </c>
      <c r="E1652" s="140">
        <v>3</v>
      </c>
      <c r="F1652" s="142">
        <v>45653.416666666672</v>
      </c>
      <c r="G1652" s="140" t="s">
        <v>845</v>
      </c>
      <c r="H1652" s="140" t="s">
        <v>860</v>
      </c>
    </row>
    <row r="1653" spans="1:8" ht="15.75" customHeight="1">
      <c r="A1653" s="140" t="s">
        <v>67</v>
      </c>
      <c r="B1653" s="140" t="s">
        <v>21</v>
      </c>
      <c r="C1653" s="141" t="s">
        <v>142</v>
      </c>
      <c r="D1653" s="140" t="s">
        <v>143</v>
      </c>
      <c r="E1653" s="140">
        <v>4</v>
      </c>
      <c r="F1653" s="142">
        <v>45667.375</v>
      </c>
      <c r="G1653" s="140" t="s">
        <v>845</v>
      </c>
      <c r="H1653" s="140" t="s">
        <v>860</v>
      </c>
    </row>
    <row r="1654" spans="1:8" ht="15.75" customHeight="1">
      <c r="A1654" s="140" t="s">
        <v>67</v>
      </c>
      <c r="B1654" s="140" t="s">
        <v>21</v>
      </c>
      <c r="C1654" s="141" t="s">
        <v>142</v>
      </c>
      <c r="D1654" s="140" t="s">
        <v>143</v>
      </c>
      <c r="E1654" s="140">
        <v>5</v>
      </c>
      <c r="F1654" s="142">
        <v>45674.375</v>
      </c>
      <c r="G1654" s="140" t="s">
        <v>845</v>
      </c>
      <c r="H1654" s="140" t="s">
        <v>860</v>
      </c>
    </row>
    <row r="1655" spans="1:8" ht="15.75" customHeight="1">
      <c r="A1655" s="140" t="s">
        <v>67</v>
      </c>
      <c r="B1655" s="140" t="s">
        <v>21</v>
      </c>
      <c r="C1655" s="141" t="s">
        <v>142</v>
      </c>
      <c r="D1655" s="140" t="s">
        <v>143</v>
      </c>
      <c r="E1655" s="140">
        <v>6</v>
      </c>
      <c r="F1655" s="142">
        <v>45693.583333333328</v>
      </c>
      <c r="G1655" s="140" t="s">
        <v>845</v>
      </c>
      <c r="H1655" s="140" t="s">
        <v>860</v>
      </c>
    </row>
    <row r="1656" spans="1:8" ht="15.75" customHeight="1">
      <c r="A1656" s="140" t="s">
        <v>67</v>
      </c>
      <c r="B1656" s="140" t="s">
        <v>21</v>
      </c>
      <c r="C1656" s="141" t="s">
        <v>142</v>
      </c>
      <c r="D1656" s="140" t="s">
        <v>143</v>
      </c>
      <c r="E1656" s="140">
        <v>7</v>
      </c>
      <c r="F1656" s="142">
        <v>45698.541666666672</v>
      </c>
      <c r="G1656" s="140" t="s">
        <v>843</v>
      </c>
      <c r="H1656" s="140" t="s">
        <v>860</v>
      </c>
    </row>
    <row r="1657" spans="1:8" ht="15.75" customHeight="1">
      <c r="A1657" s="140" t="s">
        <v>67</v>
      </c>
      <c r="B1657" s="140" t="s">
        <v>21</v>
      </c>
      <c r="C1657" s="141" t="s">
        <v>142</v>
      </c>
      <c r="D1657" s="140" t="s">
        <v>143</v>
      </c>
      <c r="E1657" s="140">
        <v>8</v>
      </c>
      <c r="F1657" s="142">
        <v>45707.416666666672</v>
      </c>
      <c r="G1657" s="140" t="s">
        <v>845</v>
      </c>
      <c r="H1657" s="140" t="s">
        <v>860</v>
      </c>
    </row>
    <row r="1658" spans="1:8" ht="15.75" customHeight="1">
      <c r="A1658" s="140" t="s">
        <v>67</v>
      </c>
      <c r="B1658" s="140" t="s">
        <v>21</v>
      </c>
      <c r="C1658" s="141" t="s">
        <v>142</v>
      </c>
      <c r="D1658" s="140" t="s">
        <v>143</v>
      </c>
      <c r="E1658" s="140">
        <v>9</v>
      </c>
      <c r="F1658" s="142">
        <v>45714.416666666672</v>
      </c>
      <c r="G1658" s="140" t="s">
        <v>845</v>
      </c>
      <c r="H1658" s="140" t="s">
        <v>860</v>
      </c>
    </row>
    <row r="1659" spans="1:8" ht="15.75" customHeight="1">
      <c r="A1659" s="140" t="s">
        <v>67</v>
      </c>
      <c r="B1659" s="140" t="s">
        <v>21</v>
      </c>
      <c r="C1659" s="141" t="s">
        <v>142</v>
      </c>
      <c r="D1659" s="140" t="s">
        <v>143</v>
      </c>
      <c r="E1659" s="140">
        <v>10</v>
      </c>
      <c r="F1659" s="142">
        <v>45769.583333333328</v>
      </c>
      <c r="G1659" s="140" t="s">
        <v>845</v>
      </c>
      <c r="H1659" s="140" t="s">
        <v>860</v>
      </c>
    </row>
    <row r="1660" spans="1:8" ht="15.75" customHeight="1">
      <c r="A1660" s="140" t="s">
        <v>67</v>
      </c>
      <c r="B1660" s="140" t="s">
        <v>21</v>
      </c>
      <c r="C1660" s="141" t="s">
        <v>204</v>
      </c>
      <c r="D1660" s="140" t="s">
        <v>205</v>
      </c>
      <c r="E1660" s="140">
        <v>1</v>
      </c>
      <c r="F1660" s="142">
        <v>45639.458333333328</v>
      </c>
      <c r="G1660" s="140" t="s">
        <v>845</v>
      </c>
      <c r="H1660" s="140" t="s">
        <v>860</v>
      </c>
    </row>
    <row r="1661" spans="1:8" ht="15.75" customHeight="1">
      <c r="A1661" s="140" t="s">
        <v>67</v>
      </c>
      <c r="B1661" s="140" t="s">
        <v>21</v>
      </c>
      <c r="C1661" s="141" t="s">
        <v>204</v>
      </c>
      <c r="D1661" s="140" t="s">
        <v>205</v>
      </c>
      <c r="E1661" s="140">
        <v>2</v>
      </c>
      <c r="F1661" s="142">
        <v>45643.395833333328</v>
      </c>
      <c r="G1661" s="140" t="s">
        <v>843</v>
      </c>
      <c r="H1661" s="140" t="s">
        <v>860</v>
      </c>
    </row>
    <row r="1662" spans="1:8" ht="15.75" customHeight="1">
      <c r="A1662" s="140" t="s">
        <v>67</v>
      </c>
      <c r="B1662" s="140" t="s">
        <v>21</v>
      </c>
      <c r="C1662" s="141" t="s">
        <v>204</v>
      </c>
      <c r="D1662" s="140" t="s">
        <v>205</v>
      </c>
      <c r="E1662" s="140">
        <v>3</v>
      </c>
      <c r="F1662" s="142">
        <v>45653.416666666672</v>
      </c>
      <c r="G1662" s="140" t="s">
        <v>845</v>
      </c>
      <c r="H1662" s="140" t="s">
        <v>860</v>
      </c>
    </row>
    <row r="1663" spans="1:8" ht="15.75" customHeight="1">
      <c r="A1663" s="140" t="s">
        <v>67</v>
      </c>
      <c r="B1663" s="140" t="s">
        <v>21</v>
      </c>
      <c r="C1663" s="141" t="s">
        <v>204</v>
      </c>
      <c r="D1663" s="140" t="s">
        <v>205</v>
      </c>
      <c r="E1663" s="140">
        <v>4</v>
      </c>
      <c r="F1663" s="142">
        <v>45667.375</v>
      </c>
      <c r="G1663" s="140" t="s">
        <v>843</v>
      </c>
      <c r="H1663" s="140" t="s">
        <v>860</v>
      </c>
    </row>
    <row r="1664" spans="1:8" ht="15.75" customHeight="1">
      <c r="A1664" s="140" t="s">
        <v>67</v>
      </c>
      <c r="B1664" s="140" t="s">
        <v>21</v>
      </c>
      <c r="C1664" s="141" t="s">
        <v>204</v>
      </c>
      <c r="D1664" s="140" t="s">
        <v>205</v>
      </c>
      <c r="E1664" s="140">
        <v>5</v>
      </c>
      <c r="F1664" s="142">
        <v>45674.375</v>
      </c>
      <c r="G1664" s="140" t="s">
        <v>845</v>
      </c>
      <c r="H1664" s="140" t="s">
        <v>860</v>
      </c>
    </row>
    <row r="1665" spans="1:8" ht="15.75" customHeight="1">
      <c r="A1665" s="140" t="s">
        <v>67</v>
      </c>
      <c r="B1665" s="140" t="s">
        <v>21</v>
      </c>
      <c r="C1665" s="141" t="s">
        <v>204</v>
      </c>
      <c r="D1665" s="140" t="s">
        <v>205</v>
      </c>
      <c r="E1665" s="140">
        <v>6</v>
      </c>
      <c r="F1665" s="142">
        <v>45693.583333333328</v>
      </c>
      <c r="G1665" s="140" t="s">
        <v>845</v>
      </c>
      <c r="H1665" s="140" t="s">
        <v>860</v>
      </c>
    </row>
    <row r="1666" spans="1:8" ht="15.75" customHeight="1">
      <c r="A1666" s="140" t="s">
        <v>67</v>
      </c>
      <c r="B1666" s="140" t="s">
        <v>21</v>
      </c>
      <c r="C1666" s="141" t="s">
        <v>204</v>
      </c>
      <c r="D1666" s="140" t="s">
        <v>205</v>
      </c>
      <c r="E1666" s="140">
        <v>7</v>
      </c>
      <c r="F1666" s="142">
        <v>45698.541666666672</v>
      </c>
      <c r="G1666" s="140" t="s">
        <v>845</v>
      </c>
      <c r="H1666" s="140" t="s">
        <v>860</v>
      </c>
    </row>
    <row r="1667" spans="1:8" ht="15.75" customHeight="1">
      <c r="A1667" s="140" t="s">
        <v>67</v>
      </c>
      <c r="B1667" s="140" t="s">
        <v>21</v>
      </c>
      <c r="C1667" s="141" t="s">
        <v>204</v>
      </c>
      <c r="D1667" s="140" t="s">
        <v>205</v>
      </c>
      <c r="E1667" s="140">
        <v>8</v>
      </c>
      <c r="F1667" s="142">
        <v>45707.416666666672</v>
      </c>
      <c r="G1667" s="140" t="s">
        <v>845</v>
      </c>
      <c r="H1667" s="140" t="s">
        <v>860</v>
      </c>
    </row>
    <row r="1668" spans="1:8" ht="15.75" customHeight="1">
      <c r="A1668" s="140" t="s">
        <v>67</v>
      </c>
      <c r="B1668" s="140" t="s">
        <v>21</v>
      </c>
      <c r="C1668" s="141" t="s">
        <v>204</v>
      </c>
      <c r="D1668" s="140" t="s">
        <v>205</v>
      </c>
      <c r="E1668" s="140">
        <v>9</v>
      </c>
      <c r="F1668" s="142">
        <v>45714.416666666672</v>
      </c>
      <c r="G1668" s="140" t="s">
        <v>845</v>
      </c>
      <c r="H1668" s="140" t="s">
        <v>860</v>
      </c>
    </row>
    <row r="1669" spans="1:8" ht="15.75" customHeight="1">
      <c r="A1669" s="140" t="s">
        <v>67</v>
      </c>
      <c r="B1669" s="140" t="s">
        <v>21</v>
      </c>
      <c r="C1669" s="141" t="s">
        <v>204</v>
      </c>
      <c r="D1669" s="140" t="s">
        <v>205</v>
      </c>
      <c r="E1669" s="140">
        <v>10</v>
      </c>
      <c r="F1669" s="142">
        <v>45769.583333333328</v>
      </c>
      <c r="G1669" s="140" t="s">
        <v>845</v>
      </c>
      <c r="H1669" s="140" t="s">
        <v>860</v>
      </c>
    </row>
    <row r="1670" spans="1:8" ht="15.75" customHeight="1">
      <c r="A1670" s="140" t="s">
        <v>67</v>
      </c>
      <c r="B1670" s="140" t="s">
        <v>21</v>
      </c>
      <c r="C1670" s="141" t="s">
        <v>222</v>
      </c>
      <c r="D1670" s="140" t="s">
        <v>223</v>
      </c>
      <c r="E1670" s="140">
        <v>1</v>
      </c>
      <c r="F1670" s="142">
        <v>45639.458333333328</v>
      </c>
      <c r="G1670" s="140" t="s">
        <v>845</v>
      </c>
      <c r="H1670" s="140" t="s">
        <v>860</v>
      </c>
    </row>
    <row r="1671" spans="1:8" ht="15.75" customHeight="1">
      <c r="A1671" s="140" t="s">
        <v>67</v>
      </c>
      <c r="B1671" s="140" t="s">
        <v>21</v>
      </c>
      <c r="C1671" s="141" t="s">
        <v>222</v>
      </c>
      <c r="D1671" s="140" t="s">
        <v>223</v>
      </c>
      <c r="E1671" s="140">
        <v>2</v>
      </c>
      <c r="F1671" s="142">
        <v>45643.395833333328</v>
      </c>
      <c r="G1671" s="140" t="s">
        <v>845</v>
      </c>
      <c r="H1671" s="140" t="s">
        <v>860</v>
      </c>
    </row>
    <row r="1672" spans="1:8" ht="15.75" customHeight="1">
      <c r="A1672" s="140" t="s">
        <v>67</v>
      </c>
      <c r="B1672" s="140" t="s">
        <v>21</v>
      </c>
      <c r="C1672" s="141" t="s">
        <v>222</v>
      </c>
      <c r="D1672" s="140" t="s">
        <v>223</v>
      </c>
      <c r="E1672" s="140">
        <v>3</v>
      </c>
      <c r="F1672" s="142">
        <v>45653.416666666672</v>
      </c>
      <c r="G1672" s="140" t="s">
        <v>845</v>
      </c>
      <c r="H1672" s="140" t="s">
        <v>860</v>
      </c>
    </row>
    <row r="1673" spans="1:8" ht="15.75" customHeight="1">
      <c r="A1673" s="140" t="s">
        <v>67</v>
      </c>
      <c r="B1673" s="140" t="s">
        <v>21</v>
      </c>
      <c r="C1673" s="141" t="s">
        <v>222</v>
      </c>
      <c r="D1673" s="140" t="s">
        <v>223</v>
      </c>
      <c r="E1673" s="140">
        <v>4</v>
      </c>
      <c r="F1673" s="142">
        <v>45667.375</v>
      </c>
      <c r="G1673" s="140" t="s">
        <v>843</v>
      </c>
      <c r="H1673" s="140" t="s">
        <v>860</v>
      </c>
    </row>
    <row r="1674" spans="1:8" ht="15.75" customHeight="1">
      <c r="A1674" s="140" t="s">
        <v>67</v>
      </c>
      <c r="B1674" s="140" t="s">
        <v>21</v>
      </c>
      <c r="C1674" s="141" t="s">
        <v>222</v>
      </c>
      <c r="D1674" s="140" t="s">
        <v>223</v>
      </c>
      <c r="E1674" s="140">
        <v>5</v>
      </c>
      <c r="F1674" s="142">
        <v>45674.375</v>
      </c>
      <c r="G1674" s="140" t="s">
        <v>843</v>
      </c>
      <c r="H1674" s="140" t="s">
        <v>860</v>
      </c>
    </row>
    <row r="1675" spans="1:8" ht="15.75" customHeight="1">
      <c r="A1675" s="140" t="s">
        <v>67</v>
      </c>
      <c r="B1675" s="140" t="s">
        <v>21</v>
      </c>
      <c r="C1675" s="141" t="s">
        <v>222</v>
      </c>
      <c r="D1675" s="140" t="s">
        <v>223</v>
      </c>
      <c r="E1675" s="140">
        <v>6</v>
      </c>
      <c r="F1675" s="142">
        <v>45693.583333333328</v>
      </c>
      <c r="G1675" s="140" t="s">
        <v>845</v>
      </c>
      <c r="H1675" s="140" t="s">
        <v>860</v>
      </c>
    </row>
    <row r="1676" spans="1:8" ht="15.75" customHeight="1">
      <c r="A1676" s="140" t="s">
        <v>67</v>
      </c>
      <c r="B1676" s="140" t="s">
        <v>21</v>
      </c>
      <c r="C1676" s="141" t="s">
        <v>222</v>
      </c>
      <c r="D1676" s="140" t="s">
        <v>223</v>
      </c>
      <c r="E1676" s="140">
        <v>7</v>
      </c>
      <c r="F1676" s="142">
        <v>45698.541666666672</v>
      </c>
      <c r="G1676" s="140" t="s">
        <v>845</v>
      </c>
      <c r="H1676" s="140" t="s">
        <v>860</v>
      </c>
    </row>
    <row r="1677" spans="1:8" ht="15.75" customHeight="1">
      <c r="A1677" s="140" t="s">
        <v>67</v>
      </c>
      <c r="B1677" s="140" t="s">
        <v>21</v>
      </c>
      <c r="C1677" s="141" t="s">
        <v>222</v>
      </c>
      <c r="D1677" s="140" t="s">
        <v>223</v>
      </c>
      <c r="E1677" s="140">
        <v>8</v>
      </c>
      <c r="F1677" s="142">
        <v>45707.416666666672</v>
      </c>
      <c r="G1677" s="140" t="s">
        <v>845</v>
      </c>
      <c r="H1677" s="140" t="s">
        <v>860</v>
      </c>
    </row>
    <row r="1678" spans="1:8" ht="15.75" customHeight="1">
      <c r="A1678" s="140" t="s">
        <v>67</v>
      </c>
      <c r="B1678" s="140" t="s">
        <v>21</v>
      </c>
      <c r="C1678" s="141" t="s">
        <v>222</v>
      </c>
      <c r="D1678" s="140" t="s">
        <v>223</v>
      </c>
      <c r="E1678" s="140">
        <v>9</v>
      </c>
      <c r="F1678" s="142">
        <v>45714.416666666672</v>
      </c>
      <c r="G1678" s="140" t="s">
        <v>845</v>
      </c>
      <c r="H1678" s="140" t="s">
        <v>860</v>
      </c>
    </row>
    <row r="1679" spans="1:8" ht="15.75" customHeight="1">
      <c r="A1679" s="140" t="s">
        <v>67</v>
      </c>
      <c r="B1679" s="140" t="s">
        <v>21</v>
      </c>
      <c r="C1679" s="141" t="s">
        <v>222</v>
      </c>
      <c r="D1679" s="140" t="s">
        <v>223</v>
      </c>
      <c r="E1679" s="140">
        <v>10</v>
      </c>
      <c r="F1679" s="142">
        <v>45769.583333333328</v>
      </c>
      <c r="G1679" s="140" t="s">
        <v>845</v>
      </c>
      <c r="H1679" s="140" t="s">
        <v>860</v>
      </c>
    </row>
    <row r="1680" spans="1:8" ht="15.75" customHeight="1">
      <c r="A1680" s="140" t="s">
        <v>67</v>
      </c>
      <c r="B1680" s="140" t="s">
        <v>21</v>
      </c>
      <c r="C1680" s="141" t="s">
        <v>292</v>
      </c>
      <c r="D1680" s="140" t="s">
        <v>293</v>
      </c>
      <c r="E1680" s="140">
        <v>1</v>
      </c>
      <c r="F1680" s="142">
        <v>45639.458333333328</v>
      </c>
      <c r="G1680" s="140" t="s">
        <v>845</v>
      </c>
      <c r="H1680" s="140" t="s">
        <v>860</v>
      </c>
    </row>
    <row r="1681" spans="1:8" ht="15.75" customHeight="1">
      <c r="A1681" s="140" t="s">
        <v>67</v>
      </c>
      <c r="B1681" s="140" t="s">
        <v>21</v>
      </c>
      <c r="C1681" s="141" t="s">
        <v>292</v>
      </c>
      <c r="D1681" s="140" t="s">
        <v>293</v>
      </c>
      <c r="E1681" s="140">
        <v>2</v>
      </c>
      <c r="F1681" s="142">
        <v>45643.395833333328</v>
      </c>
      <c r="G1681" s="140" t="s">
        <v>843</v>
      </c>
      <c r="H1681" s="140" t="s">
        <v>860</v>
      </c>
    </row>
    <row r="1682" spans="1:8" ht="15.75" customHeight="1">
      <c r="A1682" s="140" t="s">
        <v>67</v>
      </c>
      <c r="B1682" s="140" t="s">
        <v>21</v>
      </c>
      <c r="C1682" s="141" t="s">
        <v>292</v>
      </c>
      <c r="D1682" s="140" t="s">
        <v>293</v>
      </c>
      <c r="E1682" s="140">
        <v>3</v>
      </c>
      <c r="F1682" s="142">
        <v>45653.416666666672</v>
      </c>
      <c r="G1682" s="140" t="s">
        <v>843</v>
      </c>
      <c r="H1682" s="140" t="s">
        <v>860</v>
      </c>
    </row>
    <row r="1683" spans="1:8" ht="15.75" customHeight="1">
      <c r="A1683" s="140" t="s">
        <v>67</v>
      </c>
      <c r="B1683" s="140" t="s">
        <v>21</v>
      </c>
      <c r="C1683" s="141" t="s">
        <v>292</v>
      </c>
      <c r="D1683" s="140" t="s">
        <v>293</v>
      </c>
      <c r="E1683" s="140">
        <v>4</v>
      </c>
      <c r="F1683" s="142">
        <v>45667.375</v>
      </c>
      <c r="G1683" s="140" t="s">
        <v>845</v>
      </c>
      <c r="H1683" s="140" t="s">
        <v>860</v>
      </c>
    </row>
    <row r="1684" spans="1:8" ht="15.75" customHeight="1">
      <c r="A1684" s="140" t="s">
        <v>67</v>
      </c>
      <c r="B1684" s="140" t="s">
        <v>21</v>
      </c>
      <c r="C1684" s="141" t="s">
        <v>292</v>
      </c>
      <c r="D1684" s="140" t="s">
        <v>293</v>
      </c>
      <c r="E1684" s="140">
        <v>5</v>
      </c>
      <c r="F1684" s="142">
        <v>45674.375</v>
      </c>
      <c r="G1684" s="140" t="s">
        <v>845</v>
      </c>
      <c r="H1684" s="140" t="s">
        <v>860</v>
      </c>
    </row>
    <row r="1685" spans="1:8" ht="15.75" customHeight="1">
      <c r="A1685" s="140" t="s">
        <v>67</v>
      </c>
      <c r="B1685" s="140" t="s">
        <v>21</v>
      </c>
      <c r="C1685" s="141" t="s">
        <v>292</v>
      </c>
      <c r="D1685" s="140" t="s">
        <v>293</v>
      </c>
      <c r="E1685" s="140">
        <v>6</v>
      </c>
      <c r="F1685" s="142">
        <v>45693.583333333328</v>
      </c>
      <c r="G1685" s="140" t="s">
        <v>845</v>
      </c>
      <c r="H1685" s="140" t="s">
        <v>860</v>
      </c>
    </row>
    <row r="1686" spans="1:8" ht="15.75" customHeight="1">
      <c r="A1686" s="140" t="s">
        <v>67</v>
      </c>
      <c r="B1686" s="140" t="s">
        <v>21</v>
      </c>
      <c r="C1686" s="141" t="s">
        <v>292</v>
      </c>
      <c r="D1686" s="140" t="s">
        <v>293</v>
      </c>
      <c r="E1686" s="140">
        <v>7</v>
      </c>
      <c r="F1686" s="142">
        <v>45698.541666666672</v>
      </c>
      <c r="G1686" s="140" t="s">
        <v>845</v>
      </c>
      <c r="H1686" s="140" t="s">
        <v>860</v>
      </c>
    </row>
    <row r="1687" spans="1:8" ht="15.75" customHeight="1">
      <c r="A1687" s="140" t="s">
        <v>67</v>
      </c>
      <c r="B1687" s="140" t="s">
        <v>21</v>
      </c>
      <c r="C1687" s="141" t="s">
        <v>292</v>
      </c>
      <c r="D1687" s="140" t="s">
        <v>293</v>
      </c>
      <c r="E1687" s="140">
        <v>8</v>
      </c>
      <c r="F1687" s="142">
        <v>45707.416666666672</v>
      </c>
      <c r="G1687" s="140" t="s">
        <v>845</v>
      </c>
      <c r="H1687" s="140" t="s">
        <v>860</v>
      </c>
    </row>
    <row r="1688" spans="1:8" ht="15.75" customHeight="1">
      <c r="A1688" s="140" t="s">
        <v>67</v>
      </c>
      <c r="B1688" s="140" t="s">
        <v>21</v>
      </c>
      <c r="C1688" s="141" t="s">
        <v>292</v>
      </c>
      <c r="D1688" s="140" t="s">
        <v>293</v>
      </c>
      <c r="E1688" s="140">
        <v>9</v>
      </c>
      <c r="F1688" s="142">
        <v>45714.416666666672</v>
      </c>
      <c r="G1688" s="140" t="s">
        <v>843</v>
      </c>
      <c r="H1688" s="140" t="s">
        <v>860</v>
      </c>
    </row>
    <row r="1689" spans="1:8" ht="15.75" customHeight="1">
      <c r="A1689" s="140" t="s">
        <v>67</v>
      </c>
      <c r="B1689" s="140" t="s">
        <v>21</v>
      </c>
      <c r="C1689" s="141" t="s">
        <v>292</v>
      </c>
      <c r="D1689" s="140" t="s">
        <v>293</v>
      </c>
      <c r="E1689" s="140">
        <v>10</v>
      </c>
      <c r="F1689" s="142">
        <v>45769.583333333328</v>
      </c>
      <c r="G1689" s="140" t="s">
        <v>845</v>
      </c>
      <c r="H1689" s="140" t="s">
        <v>860</v>
      </c>
    </row>
    <row r="1690" spans="1:8" ht="15.75" customHeight="1">
      <c r="A1690" s="140" t="s">
        <v>67</v>
      </c>
      <c r="B1690" s="140" t="s">
        <v>21</v>
      </c>
      <c r="C1690" s="141" t="s">
        <v>348</v>
      </c>
      <c r="D1690" s="140" t="s">
        <v>349</v>
      </c>
      <c r="E1690" s="140">
        <v>1</v>
      </c>
      <c r="F1690" s="142">
        <v>45639.458333333328</v>
      </c>
      <c r="G1690" s="140" t="s">
        <v>845</v>
      </c>
      <c r="H1690" s="140" t="s">
        <v>860</v>
      </c>
    </row>
    <row r="1691" spans="1:8" ht="15.75" customHeight="1">
      <c r="A1691" s="140" t="s">
        <v>67</v>
      </c>
      <c r="B1691" s="140" t="s">
        <v>21</v>
      </c>
      <c r="C1691" s="141" t="s">
        <v>348</v>
      </c>
      <c r="D1691" s="140" t="s">
        <v>349</v>
      </c>
      <c r="E1691" s="140">
        <v>2</v>
      </c>
      <c r="F1691" s="142">
        <v>45643.395833333328</v>
      </c>
      <c r="G1691" s="140" t="s">
        <v>845</v>
      </c>
      <c r="H1691" s="140" t="s">
        <v>860</v>
      </c>
    </row>
    <row r="1692" spans="1:8" ht="15.75" customHeight="1">
      <c r="A1692" s="140" t="s">
        <v>67</v>
      </c>
      <c r="B1692" s="140" t="s">
        <v>21</v>
      </c>
      <c r="C1692" s="141" t="s">
        <v>348</v>
      </c>
      <c r="D1692" s="140" t="s">
        <v>349</v>
      </c>
      <c r="E1692" s="140">
        <v>3</v>
      </c>
      <c r="F1692" s="142">
        <v>45653.416666666672</v>
      </c>
      <c r="G1692" s="140" t="s">
        <v>845</v>
      </c>
      <c r="H1692" s="140" t="s">
        <v>860</v>
      </c>
    </row>
    <row r="1693" spans="1:8" ht="15.75" customHeight="1">
      <c r="A1693" s="140" t="s">
        <v>67</v>
      </c>
      <c r="B1693" s="140" t="s">
        <v>21</v>
      </c>
      <c r="C1693" s="141" t="s">
        <v>348</v>
      </c>
      <c r="D1693" s="140" t="s">
        <v>349</v>
      </c>
      <c r="E1693" s="140">
        <v>4</v>
      </c>
      <c r="F1693" s="142">
        <v>45667.375</v>
      </c>
      <c r="G1693" s="140" t="s">
        <v>845</v>
      </c>
      <c r="H1693" s="140" t="s">
        <v>860</v>
      </c>
    </row>
    <row r="1694" spans="1:8" ht="15.75" customHeight="1">
      <c r="A1694" s="140" t="s">
        <v>67</v>
      </c>
      <c r="B1694" s="140" t="s">
        <v>21</v>
      </c>
      <c r="C1694" s="141" t="s">
        <v>348</v>
      </c>
      <c r="D1694" s="140" t="s">
        <v>349</v>
      </c>
      <c r="E1694" s="140">
        <v>5</v>
      </c>
      <c r="F1694" s="142">
        <v>45674.375</v>
      </c>
      <c r="G1694" s="140" t="s">
        <v>845</v>
      </c>
      <c r="H1694" s="140" t="s">
        <v>860</v>
      </c>
    </row>
    <row r="1695" spans="1:8" ht="15.75" customHeight="1">
      <c r="A1695" s="140" t="s">
        <v>67</v>
      </c>
      <c r="B1695" s="140" t="s">
        <v>21</v>
      </c>
      <c r="C1695" s="141" t="s">
        <v>348</v>
      </c>
      <c r="D1695" s="140" t="s">
        <v>349</v>
      </c>
      <c r="E1695" s="140">
        <v>6</v>
      </c>
      <c r="F1695" s="142">
        <v>45693.583333333328</v>
      </c>
      <c r="G1695" s="140" t="s">
        <v>845</v>
      </c>
      <c r="H1695" s="140" t="s">
        <v>860</v>
      </c>
    </row>
    <row r="1696" spans="1:8" ht="15.75" customHeight="1">
      <c r="A1696" s="140" t="s">
        <v>67</v>
      </c>
      <c r="B1696" s="140" t="s">
        <v>21</v>
      </c>
      <c r="C1696" s="141" t="s">
        <v>348</v>
      </c>
      <c r="D1696" s="140" t="s">
        <v>349</v>
      </c>
      <c r="E1696" s="140">
        <v>7</v>
      </c>
      <c r="F1696" s="142">
        <v>45698.541666666672</v>
      </c>
      <c r="G1696" s="140" t="s">
        <v>845</v>
      </c>
      <c r="H1696" s="140" t="s">
        <v>860</v>
      </c>
    </row>
    <row r="1697" spans="1:8" ht="15.75" customHeight="1">
      <c r="A1697" s="140" t="s">
        <v>67</v>
      </c>
      <c r="B1697" s="140" t="s">
        <v>21</v>
      </c>
      <c r="C1697" s="141" t="s">
        <v>348</v>
      </c>
      <c r="D1697" s="140" t="s">
        <v>349</v>
      </c>
      <c r="E1697" s="140">
        <v>8</v>
      </c>
      <c r="F1697" s="142">
        <v>45707.416666666672</v>
      </c>
      <c r="G1697" s="140" t="s">
        <v>845</v>
      </c>
      <c r="H1697" s="140" t="s">
        <v>860</v>
      </c>
    </row>
    <row r="1698" spans="1:8" ht="15.75" customHeight="1">
      <c r="A1698" s="140" t="s">
        <v>67</v>
      </c>
      <c r="B1698" s="140" t="s">
        <v>21</v>
      </c>
      <c r="C1698" s="141" t="s">
        <v>348</v>
      </c>
      <c r="D1698" s="140" t="s">
        <v>349</v>
      </c>
      <c r="E1698" s="140">
        <v>9</v>
      </c>
      <c r="F1698" s="142">
        <v>45714.416666666672</v>
      </c>
      <c r="G1698" s="140" t="s">
        <v>845</v>
      </c>
      <c r="H1698" s="140" t="s">
        <v>860</v>
      </c>
    </row>
    <row r="1699" spans="1:8" ht="15.75" customHeight="1">
      <c r="A1699" s="140" t="s">
        <v>67</v>
      </c>
      <c r="B1699" s="140" t="s">
        <v>21</v>
      </c>
      <c r="C1699" s="141" t="s">
        <v>348</v>
      </c>
      <c r="D1699" s="140" t="s">
        <v>349</v>
      </c>
      <c r="E1699" s="140">
        <v>10</v>
      </c>
      <c r="F1699" s="142">
        <v>45769.583333333328</v>
      </c>
      <c r="G1699" s="140" t="s">
        <v>845</v>
      </c>
      <c r="H1699" s="140" t="s">
        <v>860</v>
      </c>
    </row>
    <row r="1700" spans="1:8" ht="15.75" customHeight="1">
      <c r="A1700" s="140" t="s">
        <v>67</v>
      </c>
      <c r="B1700" s="140" t="s">
        <v>21</v>
      </c>
      <c r="C1700" s="141" t="s">
        <v>480</v>
      </c>
      <c r="D1700" s="140" t="s">
        <v>481</v>
      </c>
      <c r="E1700" s="140">
        <v>1</v>
      </c>
      <c r="F1700" s="142">
        <v>45639.458333333328</v>
      </c>
      <c r="G1700" s="140" t="s">
        <v>845</v>
      </c>
      <c r="H1700" s="140" t="s">
        <v>860</v>
      </c>
    </row>
    <row r="1701" spans="1:8" ht="15.75" customHeight="1">
      <c r="A1701" s="140" t="s">
        <v>67</v>
      </c>
      <c r="B1701" s="140" t="s">
        <v>21</v>
      </c>
      <c r="C1701" s="141" t="s">
        <v>480</v>
      </c>
      <c r="D1701" s="140" t="s">
        <v>481</v>
      </c>
      <c r="E1701" s="140">
        <v>2</v>
      </c>
      <c r="F1701" s="142">
        <v>45643.395833333328</v>
      </c>
      <c r="G1701" s="140" t="s">
        <v>845</v>
      </c>
      <c r="H1701" s="140" t="s">
        <v>860</v>
      </c>
    </row>
    <row r="1702" spans="1:8" ht="15.75" customHeight="1">
      <c r="A1702" s="140" t="s">
        <v>67</v>
      </c>
      <c r="B1702" s="140" t="s">
        <v>21</v>
      </c>
      <c r="C1702" s="141" t="s">
        <v>480</v>
      </c>
      <c r="D1702" s="140" t="s">
        <v>481</v>
      </c>
      <c r="E1702" s="140">
        <v>3</v>
      </c>
      <c r="F1702" s="142">
        <v>45653.416666666672</v>
      </c>
      <c r="G1702" s="140" t="s">
        <v>845</v>
      </c>
      <c r="H1702" s="140" t="s">
        <v>860</v>
      </c>
    </row>
    <row r="1703" spans="1:8" ht="15.75" customHeight="1">
      <c r="A1703" s="140" t="s">
        <v>67</v>
      </c>
      <c r="B1703" s="140" t="s">
        <v>21</v>
      </c>
      <c r="C1703" s="141" t="s">
        <v>480</v>
      </c>
      <c r="D1703" s="140" t="s">
        <v>481</v>
      </c>
      <c r="E1703" s="140">
        <v>4</v>
      </c>
      <c r="F1703" s="142">
        <v>45667.375</v>
      </c>
      <c r="G1703" s="140" t="s">
        <v>845</v>
      </c>
      <c r="H1703" s="140" t="s">
        <v>860</v>
      </c>
    </row>
    <row r="1704" spans="1:8" ht="15.75" customHeight="1">
      <c r="A1704" s="140" t="s">
        <v>67</v>
      </c>
      <c r="B1704" s="140" t="s">
        <v>21</v>
      </c>
      <c r="C1704" s="141" t="s">
        <v>480</v>
      </c>
      <c r="D1704" s="140" t="s">
        <v>481</v>
      </c>
      <c r="E1704" s="140">
        <v>5</v>
      </c>
      <c r="F1704" s="142">
        <v>45674.375</v>
      </c>
      <c r="G1704" s="140" t="s">
        <v>845</v>
      </c>
      <c r="H1704" s="140" t="s">
        <v>860</v>
      </c>
    </row>
    <row r="1705" spans="1:8" ht="15.75" customHeight="1">
      <c r="A1705" s="140" t="s">
        <v>67</v>
      </c>
      <c r="B1705" s="140" t="s">
        <v>21</v>
      </c>
      <c r="C1705" s="141" t="s">
        <v>480</v>
      </c>
      <c r="D1705" s="140" t="s">
        <v>481</v>
      </c>
      <c r="E1705" s="140">
        <v>6</v>
      </c>
      <c r="F1705" s="142">
        <v>45693.583333333328</v>
      </c>
      <c r="G1705" s="140" t="s">
        <v>845</v>
      </c>
      <c r="H1705" s="140" t="s">
        <v>860</v>
      </c>
    </row>
    <row r="1706" spans="1:8" ht="15.75" customHeight="1">
      <c r="A1706" s="140" t="s">
        <v>67</v>
      </c>
      <c r="B1706" s="140" t="s">
        <v>21</v>
      </c>
      <c r="C1706" s="141" t="s">
        <v>480</v>
      </c>
      <c r="D1706" s="140" t="s">
        <v>481</v>
      </c>
      <c r="E1706" s="140">
        <v>7</v>
      </c>
      <c r="F1706" s="142">
        <v>45698.541666666672</v>
      </c>
      <c r="G1706" s="140" t="s">
        <v>845</v>
      </c>
      <c r="H1706" s="140" t="s">
        <v>860</v>
      </c>
    </row>
    <row r="1707" spans="1:8" ht="15.75" customHeight="1">
      <c r="A1707" s="140" t="s">
        <v>67</v>
      </c>
      <c r="B1707" s="140" t="s">
        <v>21</v>
      </c>
      <c r="C1707" s="141" t="s">
        <v>480</v>
      </c>
      <c r="D1707" s="140" t="s">
        <v>481</v>
      </c>
      <c r="E1707" s="140">
        <v>8</v>
      </c>
      <c r="F1707" s="142">
        <v>45707.416666666672</v>
      </c>
      <c r="G1707" s="140" t="s">
        <v>845</v>
      </c>
      <c r="H1707" s="140" t="s">
        <v>860</v>
      </c>
    </row>
    <row r="1708" spans="1:8" ht="15.75" customHeight="1">
      <c r="A1708" s="140" t="s">
        <v>67</v>
      </c>
      <c r="B1708" s="140" t="s">
        <v>21</v>
      </c>
      <c r="C1708" s="141" t="s">
        <v>480</v>
      </c>
      <c r="D1708" s="140" t="s">
        <v>481</v>
      </c>
      <c r="E1708" s="140">
        <v>9</v>
      </c>
      <c r="F1708" s="142">
        <v>45714.416666666672</v>
      </c>
      <c r="G1708" s="140" t="s">
        <v>845</v>
      </c>
      <c r="H1708" s="140" t="s">
        <v>860</v>
      </c>
    </row>
    <row r="1709" spans="1:8" ht="15.75" customHeight="1">
      <c r="A1709" s="140" t="s">
        <v>67</v>
      </c>
      <c r="B1709" s="140" t="s">
        <v>21</v>
      </c>
      <c r="C1709" s="141" t="s">
        <v>480</v>
      </c>
      <c r="D1709" s="140" t="s">
        <v>481</v>
      </c>
      <c r="E1709" s="140">
        <v>10</v>
      </c>
      <c r="F1709" s="142">
        <v>45769.583333333328</v>
      </c>
      <c r="G1709" s="140" t="s">
        <v>845</v>
      </c>
      <c r="H1709" s="140" t="s">
        <v>860</v>
      </c>
    </row>
    <row r="1710" spans="1:8" ht="15.75" customHeight="1">
      <c r="A1710" s="140" t="s">
        <v>67</v>
      </c>
      <c r="B1710" s="140" t="s">
        <v>21</v>
      </c>
      <c r="C1710" s="141" t="s">
        <v>564</v>
      </c>
      <c r="D1710" s="140" t="s">
        <v>565</v>
      </c>
      <c r="E1710" s="140">
        <v>1</v>
      </c>
      <c r="F1710" s="142">
        <v>45639.458333333328</v>
      </c>
      <c r="G1710" s="140" t="s">
        <v>845</v>
      </c>
      <c r="H1710" s="140" t="s">
        <v>860</v>
      </c>
    </row>
    <row r="1711" spans="1:8" ht="15.75" customHeight="1">
      <c r="A1711" s="140" t="s">
        <v>67</v>
      </c>
      <c r="B1711" s="140" t="s">
        <v>21</v>
      </c>
      <c r="C1711" s="141" t="s">
        <v>564</v>
      </c>
      <c r="D1711" s="140" t="s">
        <v>565</v>
      </c>
      <c r="E1711" s="140">
        <v>2</v>
      </c>
      <c r="F1711" s="142">
        <v>45643.395833333328</v>
      </c>
      <c r="G1711" s="140" t="s">
        <v>845</v>
      </c>
      <c r="H1711" s="140" t="s">
        <v>860</v>
      </c>
    </row>
    <row r="1712" spans="1:8" ht="15.75" customHeight="1">
      <c r="A1712" s="140" t="s">
        <v>67</v>
      </c>
      <c r="B1712" s="140" t="s">
        <v>21</v>
      </c>
      <c r="C1712" s="141" t="s">
        <v>564</v>
      </c>
      <c r="D1712" s="140" t="s">
        <v>565</v>
      </c>
      <c r="E1712" s="140">
        <v>3</v>
      </c>
      <c r="F1712" s="142">
        <v>45653.416666666672</v>
      </c>
      <c r="G1712" s="140" t="s">
        <v>845</v>
      </c>
      <c r="H1712" s="140" t="s">
        <v>860</v>
      </c>
    </row>
    <row r="1713" spans="1:8" ht="15.75" customHeight="1">
      <c r="A1713" s="140" t="s">
        <v>67</v>
      </c>
      <c r="B1713" s="140" t="s">
        <v>21</v>
      </c>
      <c r="C1713" s="141" t="s">
        <v>564</v>
      </c>
      <c r="D1713" s="140" t="s">
        <v>565</v>
      </c>
      <c r="E1713" s="140">
        <v>4</v>
      </c>
      <c r="F1713" s="142">
        <v>45667.375</v>
      </c>
      <c r="G1713" s="140" t="s">
        <v>843</v>
      </c>
      <c r="H1713" s="140" t="s">
        <v>860</v>
      </c>
    </row>
    <row r="1714" spans="1:8" ht="15.75" customHeight="1">
      <c r="A1714" s="140" t="s">
        <v>67</v>
      </c>
      <c r="B1714" s="140" t="s">
        <v>21</v>
      </c>
      <c r="C1714" s="141" t="s">
        <v>564</v>
      </c>
      <c r="D1714" s="140" t="s">
        <v>565</v>
      </c>
      <c r="E1714" s="140">
        <v>5</v>
      </c>
      <c r="F1714" s="142">
        <v>45674.375</v>
      </c>
      <c r="G1714" s="140" t="s">
        <v>843</v>
      </c>
      <c r="H1714" s="140" t="s">
        <v>860</v>
      </c>
    </row>
    <row r="1715" spans="1:8" ht="15.75" customHeight="1">
      <c r="A1715" s="140" t="s">
        <v>67</v>
      </c>
      <c r="B1715" s="140" t="s">
        <v>21</v>
      </c>
      <c r="C1715" s="141" t="s">
        <v>564</v>
      </c>
      <c r="D1715" s="140" t="s">
        <v>565</v>
      </c>
      <c r="E1715" s="140">
        <v>6</v>
      </c>
      <c r="F1715" s="142">
        <v>45693.583333333328</v>
      </c>
      <c r="G1715" s="140" t="s">
        <v>843</v>
      </c>
      <c r="H1715" s="140" t="s">
        <v>860</v>
      </c>
    </row>
    <row r="1716" spans="1:8" ht="15.75" customHeight="1">
      <c r="A1716" s="140" t="s">
        <v>67</v>
      </c>
      <c r="B1716" s="140" t="s">
        <v>21</v>
      </c>
      <c r="C1716" s="141" t="s">
        <v>564</v>
      </c>
      <c r="D1716" s="140" t="s">
        <v>565</v>
      </c>
      <c r="E1716" s="140">
        <v>7</v>
      </c>
      <c r="F1716" s="142">
        <v>45698.541666666672</v>
      </c>
      <c r="G1716" s="140" t="s">
        <v>843</v>
      </c>
      <c r="H1716" s="140" t="s">
        <v>860</v>
      </c>
    </row>
    <row r="1717" spans="1:8" ht="15.75" customHeight="1">
      <c r="A1717" s="140" t="s">
        <v>67</v>
      </c>
      <c r="B1717" s="140" t="s">
        <v>21</v>
      </c>
      <c r="C1717" s="141" t="s">
        <v>564</v>
      </c>
      <c r="D1717" s="140" t="s">
        <v>565</v>
      </c>
      <c r="E1717" s="140">
        <v>8</v>
      </c>
      <c r="F1717" s="142">
        <v>45707.416666666672</v>
      </c>
      <c r="G1717" s="140" t="s">
        <v>843</v>
      </c>
      <c r="H1717" s="140" t="s">
        <v>860</v>
      </c>
    </row>
    <row r="1718" spans="1:8" ht="15.75" customHeight="1">
      <c r="A1718" s="140" t="s">
        <v>67</v>
      </c>
      <c r="B1718" s="140" t="s">
        <v>21</v>
      </c>
      <c r="C1718" s="141" t="s">
        <v>564</v>
      </c>
      <c r="D1718" s="140" t="s">
        <v>565</v>
      </c>
      <c r="E1718" s="140">
        <v>9</v>
      </c>
      <c r="F1718" s="142">
        <v>45714.416666666672</v>
      </c>
      <c r="G1718" s="140" t="s">
        <v>843</v>
      </c>
      <c r="H1718" s="140" t="s">
        <v>860</v>
      </c>
    </row>
    <row r="1719" spans="1:8" ht="15.75" customHeight="1">
      <c r="A1719" s="140" t="s">
        <v>67</v>
      </c>
      <c r="B1719" s="140" t="s">
        <v>21</v>
      </c>
      <c r="C1719" s="141" t="s">
        <v>564</v>
      </c>
      <c r="D1719" s="140" t="s">
        <v>565</v>
      </c>
      <c r="E1719" s="140">
        <v>10</v>
      </c>
      <c r="F1719" s="142">
        <v>45769.583333333328</v>
      </c>
      <c r="G1719" s="140" t="s">
        <v>843</v>
      </c>
      <c r="H1719" s="140" t="s">
        <v>860</v>
      </c>
    </row>
    <row r="1720" spans="1:8" ht="15.75" customHeight="1">
      <c r="A1720" s="140" t="s">
        <v>67</v>
      </c>
      <c r="B1720" s="140" t="s">
        <v>21</v>
      </c>
      <c r="C1720" s="141" t="s">
        <v>647</v>
      </c>
      <c r="D1720" s="140" t="s">
        <v>648</v>
      </c>
      <c r="E1720" s="140">
        <v>1</v>
      </c>
      <c r="F1720" s="142">
        <v>45639.458333333328</v>
      </c>
      <c r="G1720" s="140" t="s">
        <v>845</v>
      </c>
      <c r="H1720" s="140" t="s">
        <v>860</v>
      </c>
    </row>
    <row r="1721" spans="1:8" ht="15.75" customHeight="1">
      <c r="A1721" s="140" t="s">
        <v>67</v>
      </c>
      <c r="B1721" s="140" t="s">
        <v>21</v>
      </c>
      <c r="C1721" s="141" t="s">
        <v>647</v>
      </c>
      <c r="D1721" s="140" t="s">
        <v>648</v>
      </c>
      <c r="E1721" s="140">
        <v>2</v>
      </c>
      <c r="F1721" s="142">
        <v>45643.395833333328</v>
      </c>
      <c r="G1721" s="140" t="s">
        <v>845</v>
      </c>
      <c r="H1721" s="140" t="s">
        <v>860</v>
      </c>
    </row>
    <row r="1722" spans="1:8" ht="15.75" customHeight="1">
      <c r="A1722" s="140" t="s">
        <v>67</v>
      </c>
      <c r="B1722" s="140" t="s">
        <v>21</v>
      </c>
      <c r="C1722" s="141" t="s">
        <v>647</v>
      </c>
      <c r="D1722" s="140" t="s">
        <v>648</v>
      </c>
      <c r="E1722" s="140">
        <v>3</v>
      </c>
      <c r="F1722" s="142">
        <v>45653.416666666672</v>
      </c>
      <c r="G1722" s="140" t="s">
        <v>845</v>
      </c>
      <c r="H1722" s="140" t="s">
        <v>860</v>
      </c>
    </row>
    <row r="1723" spans="1:8" ht="15.75" customHeight="1">
      <c r="A1723" s="140" t="s">
        <v>67</v>
      </c>
      <c r="B1723" s="140" t="s">
        <v>21</v>
      </c>
      <c r="C1723" s="141" t="s">
        <v>647</v>
      </c>
      <c r="D1723" s="140" t="s">
        <v>648</v>
      </c>
      <c r="E1723" s="140">
        <v>4</v>
      </c>
      <c r="F1723" s="142">
        <v>45667.375</v>
      </c>
      <c r="G1723" s="140" t="s">
        <v>845</v>
      </c>
      <c r="H1723" s="140" t="s">
        <v>860</v>
      </c>
    </row>
    <row r="1724" spans="1:8" ht="15.75" customHeight="1">
      <c r="A1724" s="140" t="s">
        <v>67</v>
      </c>
      <c r="B1724" s="140" t="s">
        <v>21</v>
      </c>
      <c r="C1724" s="141" t="s">
        <v>647</v>
      </c>
      <c r="D1724" s="140" t="s">
        <v>648</v>
      </c>
      <c r="E1724" s="140">
        <v>5</v>
      </c>
      <c r="F1724" s="142">
        <v>45674.375</v>
      </c>
      <c r="G1724" s="140" t="s">
        <v>845</v>
      </c>
      <c r="H1724" s="140" t="s">
        <v>860</v>
      </c>
    </row>
    <row r="1725" spans="1:8" ht="15.75" customHeight="1">
      <c r="A1725" s="140" t="s">
        <v>67</v>
      </c>
      <c r="B1725" s="140" t="s">
        <v>21</v>
      </c>
      <c r="C1725" s="141" t="s">
        <v>647</v>
      </c>
      <c r="D1725" s="140" t="s">
        <v>648</v>
      </c>
      <c r="E1725" s="140">
        <v>6</v>
      </c>
      <c r="F1725" s="142">
        <v>45693.583333333328</v>
      </c>
      <c r="G1725" s="140" t="s">
        <v>843</v>
      </c>
      <c r="H1725" s="140" t="s">
        <v>860</v>
      </c>
    </row>
    <row r="1726" spans="1:8" ht="15.75" customHeight="1">
      <c r="A1726" s="140" t="s">
        <v>67</v>
      </c>
      <c r="B1726" s="140" t="s">
        <v>21</v>
      </c>
      <c r="C1726" s="141" t="s">
        <v>647</v>
      </c>
      <c r="D1726" s="140" t="s">
        <v>648</v>
      </c>
      <c r="E1726" s="140">
        <v>7</v>
      </c>
      <c r="F1726" s="142">
        <v>45698.541666666672</v>
      </c>
      <c r="G1726" s="140" t="s">
        <v>845</v>
      </c>
      <c r="H1726" s="140" t="s">
        <v>860</v>
      </c>
    </row>
    <row r="1727" spans="1:8" ht="15.75" customHeight="1">
      <c r="A1727" s="140" t="s">
        <v>67</v>
      </c>
      <c r="B1727" s="140" t="s">
        <v>21</v>
      </c>
      <c r="C1727" s="141" t="s">
        <v>647</v>
      </c>
      <c r="D1727" s="140" t="s">
        <v>648</v>
      </c>
      <c r="E1727" s="140">
        <v>8</v>
      </c>
      <c r="F1727" s="142">
        <v>45707.416666666672</v>
      </c>
      <c r="G1727" s="140" t="s">
        <v>843</v>
      </c>
      <c r="H1727" s="140" t="s">
        <v>860</v>
      </c>
    </row>
    <row r="1728" spans="1:8" ht="15.75" customHeight="1">
      <c r="A1728" s="140" t="s">
        <v>67</v>
      </c>
      <c r="B1728" s="140" t="s">
        <v>21</v>
      </c>
      <c r="C1728" s="141" t="s">
        <v>647</v>
      </c>
      <c r="D1728" s="140" t="s">
        <v>648</v>
      </c>
      <c r="E1728" s="140">
        <v>9</v>
      </c>
      <c r="F1728" s="142">
        <v>45714.416666666672</v>
      </c>
      <c r="G1728" s="140" t="s">
        <v>843</v>
      </c>
      <c r="H1728" s="140" t="s">
        <v>860</v>
      </c>
    </row>
    <row r="1729" spans="1:8" ht="15.75" customHeight="1">
      <c r="A1729" s="140" t="s">
        <v>67</v>
      </c>
      <c r="B1729" s="140" t="s">
        <v>21</v>
      </c>
      <c r="C1729" s="141" t="s">
        <v>647</v>
      </c>
      <c r="D1729" s="140" t="s">
        <v>648</v>
      </c>
      <c r="E1729" s="140">
        <v>10</v>
      </c>
      <c r="F1729" s="142">
        <v>45769.583333333328</v>
      </c>
      <c r="G1729" s="140" t="s">
        <v>843</v>
      </c>
      <c r="H1729" s="140" t="s">
        <v>860</v>
      </c>
    </row>
    <row r="1730" spans="1:8" ht="15.75" customHeight="1">
      <c r="A1730" s="140" t="s">
        <v>68</v>
      </c>
      <c r="B1730" s="140" t="s">
        <v>21</v>
      </c>
      <c r="C1730" s="141" t="s">
        <v>218</v>
      </c>
      <c r="D1730" s="140" t="s">
        <v>219</v>
      </c>
      <c r="E1730" s="140">
        <v>1</v>
      </c>
      <c r="F1730" s="142">
        <v>45645.416666666672</v>
      </c>
      <c r="G1730" s="140" t="s">
        <v>845</v>
      </c>
      <c r="H1730" s="140" t="s">
        <v>861</v>
      </c>
    </row>
    <row r="1731" spans="1:8" ht="15.75" customHeight="1">
      <c r="A1731" s="140" t="s">
        <v>68</v>
      </c>
      <c r="B1731" s="140" t="s">
        <v>21</v>
      </c>
      <c r="C1731" s="141" t="s">
        <v>218</v>
      </c>
      <c r="D1731" s="140" t="s">
        <v>219</v>
      </c>
      <c r="E1731" s="140">
        <v>2</v>
      </c>
      <c r="F1731" s="142">
        <v>45665.416666666672</v>
      </c>
      <c r="G1731" s="140" t="s">
        <v>845</v>
      </c>
      <c r="H1731" s="140" t="s">
        <v>861</v>
      </c>
    </row>
    <row r="1732" spans="1:8" ht="15.75" customHeight="1">
      <c r="A1732" s="140" t="s">
        <v>68</v>
      </c>
      <c r="B1732" s="140" t="s">
        <v>21</v>
      </c>
      <c r="C1732" s="141" t="s">
        <v>218</v>
      </c>
      <c r="D1732" s="140" t="s">
        <v>219</v>
      </c>
      <c r="E1732" s="140">
        <v>3</v>
      </c>
      <c r="F1732" s="142">
        <v>45707.375</v>
      </c>
      <c r="G1732" s="140" t="s">
        <v>843</v>
      </c>
      <c r="H1732" s="140" t="s">
        <v>861</v>
      </c>
    </row>
    <row r="1733" spans="1:8" ht="15.75" customHeight="1">
      <c r="A1733" s="140" t="s">
        <v>68</v>
      </c>
      <c r="B1733" s="140" t="s">
        <v>21</v>
      </c>
      <c r="C1733" s="141" t="s">
        <v>218</v>
      </c>
      <c r="D1733" s="140" t="s">
        <v>219</v>
      </c>
      <c r="E1733" s="140">
        <v>4</v>
      </c>
      <c r="F1733" s="142">
        <v>45714.375</v>
      </c>
      <c r="G1733" s="140" t="s">
        <v>843</v>
      </c>
      <c r="H1733" s="140" t="s">
        <v>861</v>
      </c>
    </row>
    <row r="1734" spans="1:8" ht="15.75" customHeight="1">
      <c r="A1734" s="140" t="s">
        <v>68</v>
      </c>
      <c r="B1734" s="140" t="s">
        <v>21</v>
      </c>
      <c r="C1734" s="141" t="s">
        <v>218</v>
      </c>
      <c r="D1734" s="140" t="s">
        <v>219</v>
      </c>
      <c r="E1734" s="140">
        <v>5</v>
      </c>
      <c r="F1734" s="142">
        <v>45756.416666666672</v>
      </c>
      <c r="G1734" s="140" t="s">
        <v>845</v>
      </c>
      <c r="H1734" s="140" t="s">
        <v>861</v>
      </c>
    </row>
    <row r="1735" spans="1:8" ht="15.75" customHeight="1">
      <c r="A1735" s="140" t="s">
        <v>68</v>
      </c>
      <c r="B1735" s="140" t="s">
        <v>21</v>
      </c>
      <c r="C1735" s="141" t="s">
        <v>218</v>
      </c>
      <c r="D1735" s="140" t="s">
        <v>219</v>
      </c>
      <c r="E1735" s="140">
        <v>6</v>
      </c>
      <c r="F1735" s="142">
        <v>45763.416666666672</v>
      </c>
      <c r="G1735" s="140" t="s">
        <v>845</v>
      </c>
      <c r="H1735" s="140" t="s">
        <v>861</v>
      </c>
    </row>
    <row r="1736" spans="1:8" ht="15.75" customHeight="1">
      <c r="A1736" s="140" t="s">
        <v>68</v>
      </c>
      <c r="B1736" s="140" t="s">
        <v>21</v>
      </c>
      <c r="C1736" s="141" t="s">
        <v>218</v>
      </c>
      <c r="D1736" s="140" t="s">
        <v>219</v>
      </c>
      <c r="E1736" s="140">
        <v>7</v>
      </c>
      <c r="F1736" s="142">
        <v>45789.416666666672</v>
      </c>
      <c r="G1736" s="140" t="s">
        <v>845</v>
      </c>
      <c r="H1736" s="140" t="s">
        <v>861</v>
      </c>
    </row>
    <row r="1737" spans="1:8" ht="15.75" customHeight="1">
      <c r="A1737" s="140" t="s">
        <v>68</v>
      </c>
      <c r="B1737" s="140" t="s">
        <v>21</v>
      </c>
      <c r="C1737" s="141" t="s">
        <v>218</v>
      </c>
      <c r="D1737" s="140" t="s">
        <v>219</v>
      </c>
      <c r="E1737" s="140">
        <v>8</v>
      </c>
      <c r="F1737" s="142">
        <v>45800.416666666672</v>
      </c>
      <c r="G1737" s="140" t="s">
        <v>845</v>
      </c>
      <c r="H1737" s="140" t="s">
        <v>861</v>
      </c>
    </row>
    <row r="1738" spans="1:8" ht="15.75" customHeight="1">
      <c r="A1738" s="140" t="s">
        <v>68</v>
      </c>
      <c r="B1738" s="140" t="s">
        <v>21</v>
      </c>
      <c r="C1738" s="141" t="s">
        <v>218</v>
      </c>
      <c r="D1738" s="140" t="s">
        <v>219</v>
      </c>
      <c r="E1738" s="140">
        <v>9</v>
      </c>
      <c r="F1738" s="142">
        <v>45803.375</v>
      </c>
      <c r="G1738" s="140" t="s">
        <v>845</v>
      </c>
      <c r="H1738" s="140" t="s">
        <v>861</v>
      </c>
    </row>
    <row r="1739" spans="1:8" ht="15.75" customHeight="1">
      <c r="A1739" s="140" t="s">
        <v>68</v>
      </c>
      <c r="B1739" s="140" t="s">
        <v>21</v>
      </c>
      <c r="C1739" s="141" t="s">
        <v>218</v>
      </c>
      <c r="D1739" s="140" t="s">
        <v>219</v>
      </c>
      <c r="E1739" s="140">
        <v>10</v>
      </c>
      <c r="F1739" s="142">
        <v>45819.416666666672</v>
      </c>
      <c r="G1739" s="140" t="s">
        <v>845</v>
      </c>
      <c r="H1739" s="140" t="s">
        <v>861</v>
      </c>
    </row>
    <row r="1740" spans="1:8" ht="15.75" customHeight="1">
      <c r="A1740" s="140" t="s">
        <v>68</v>
      </c>
      <c r="B1740" s="140" t="s">
        <v>21</v>
      </c>
      <c r="C1740" s="141" t="s">
        <v>218</v>
      </c>
      <c r="D1740" s="140" t="s">
        <v>219</v>
      </c>
      <c r="E1740" s="140">
        <v>11</v>
      </c>
      <c r="F1740" s="142">
        <v>45826.416666666672</v>
      </c>
      <c r="G1740" s="140" t="s">
        <v>845</v>
      </c>
      <c r="H1740" s="140" t="s">
        <v>861</v>
      </c>
    </row>
    <row r="1741" spans="1:8" ht="15.75" customHeight="1">
      <c r="A1741" s="140" t="s">
        <v>68</v>
      </c>
      <c r="B1741" s="140" t="s">
        <v>21</v>
      </c>
      <c r="C1741" s="141" t="s">
        <v>218</v>
      </c>
      <c r="D1741" s="140" t="s">
        <v>219</v>
      </c>
      <c r="E1741" s="140">
        <v>12</v>
      </c>
      <c r="F1741" s="142">
        <v>45853.416666666672</v>
      </c>
      <c r="G1741" s="140" t="s">
        <v>845</v>
      </c>
      <c r="H1741" s="140" t="s">
        <v>861</v>
      </c>
    </row>
    <row r="1742" spans="1:8" ht="15.75" customHeight="1">
      <c r="A1742" s="140" t="s">
        <v>68</v>
      </c>
      <c r="B1742" s="140" t="s">
        <v>22</v>
      </c>
      <c r="C1742" s="141" t="s">
        <v>218</v>
      </c>
      <c r="D1742" s="140" t="s">
        <v>219</v>
      </c>
      <c r="E1742" s="140">
        <v>1</v>
      </c>
      <c r="F1742" s="142">
        <v>45887.375</v>
      </c>
      <c r="G1742" s="140" t="s">
        <v>845</v>
      </c>
      <c r="H1742" s="140" t="s">
        <v>861</v>
      </c>
    </row>
    <row r="1743" spans="1:8" ht="15.75" customHeight="1">
      <c r="A1743" s="140" t="s">
        <v>68</v>
      </c>
      <c r="B1743" s="140" t="s">
        <v>22</v>
      </c>
      <c r="C1743" s="141" t="s">
        <v>218</v>
      </c>
      <c r="D1743" s="140" t="s">
        <v>219</v>
      </c>
      <c r="E1743" s="140">
        <v>2</v>
      </c>
      <c r="F1743" s="142">
        <v>45894.458333333328</v>
      </c>
      <c r="G1743" s="140" t="s">
        <v>843</v>
      </c>
      <c r="H1743" s="140" t="s">
        <v>861</v>
      </c>
    </row>
    <row r="1744" spans="1:8" ht="15.75" customHeight="1">
      <c r="A1744" s="140" t="s">
        <v>68</v>
      </c>
      <c r="B1744" s="140" t="s">
        <v>22</v>
      </c>
      <c r="C1744" s="141" t="s">
        <v>218</v>
      </c>
      <c r="D1744" s="140" t="s">
        <v>219</v>
      </c>
      <c r="E1744" s="140">
        <v>3</v>
      </c>
      <c r="F1744" s="142">
        <v>45912.583333333328</v>
      </c>
      <c r="G1744" s="140" t="s">
        <v>845</v>
      </c>
      <c r="H1744" s="140" t="s">
        <v>861</v>
      </c>
    </row>
    <row r="1745" spans="1:8" ht="15.75" customHeight="1">
      <c r="A1745" s="140" t="s">
        <v>68</v>
      </c>
      <c r="B1745" s="140" t="s">
        <v>22</v>
      </c>
      <c r="C1745" s="141" t="s">
        <v>218</v>
      </c>
      <c r="D1745" s="140" t="s">
        <v>219</v>
      </c>
      <c r="E1745" s="140">
        <v>4</v>
      </c>
      <c r="F1745" s="142">
        <v>45915.583333333328</v>
      </c>
      <c r="G1745" s="140" t="s">
        <v>845</v>
      </c>
      <c r="H1745" s="140" t="s">
        <v>861</v>
      </c>
    </row>
    <row r="1746" spans="1:8" ht="15.75" customHeight="1">
      <c r="A1746" s="140" t="s">
        <v>68</v>
      </c>
      <c r="B1746" s="140" t="s">
        <v>22</v>
      </c>
      <c r="C1746" s="141" t="s">
        <v>218</v>
      </c>
      <c r="D1746" s="140" t="s">
        <v>219</v>
      </c>
      <c r="E1746" s="140">
        <v>5</v>
      </c>
      <c r="F1746" s="142">
        <v>45922.625</v>
      </c>
      <c r="G1746" s="140" t="s">
        <v>845</v>
      </c>
      <c r="H1746" s="140" t="s">
        <v>861</v>
      </c>
    </row>
    <row r="1747" spans="1:8" ht="15.75" customHeight="1">
      <c r="A1747" s="140" t="s">
        <v>68</v>
      </c>
      <c r="B1747" s="140" t="s">
        <v>22</v>
      </c>
      <c r="C1747" s="141" t="s">
        <v>218</v>
      </c>
      <c r="D1747" s="140" t="s">
        <v>219</v>
      </c>
      <c r="E1747" s="140">
        <v>6</v>
      </c>
      <c r="F1747" s="142">
        <v>45926.583333333328</v>
      </c>
      <c r="G1747" s="140" t="s">
        <v>845</v>
      </c>
      <c r="H1747" s="140" t="s">
        <v>861</v>
      </c>
    </row>
    <row r="1748" spans="1:8" ht="15.75" customHeight="1">
      <c r="A1748" s="140" t="s">
        <v>68</v>
      </c>
      <c r="B1748" s="140" t="s">
        <v>22</v>
      </c>
      <c r="C1748" s="141" t="s">
        <v>218</v>
      </c>
      <c r="D1748" s="140" t="s">
        <v>219</v>
      </c>
      <c r="E1748" s="140">
        <v>7</v>
      </c>
      <c r="F1748" s="142">
        <v>45940.625</v>
      </c>
      <c r="G1748" s="140" t="s">
        <v>845</v>
      </c>
      <c r="H1748" s="140" t="s">
        <v>861</v>
      </c>
    </row>
    <row r="1749" spans="1:8" ht="15.75" customHeight="1">
      <c r="A1749" s="140" t="s">
        <v>68</v>
      </c>
      <c r="B1749" s="140" t="s">
        <v>22</v>
      </c>
      <c r="C1749" s="141" t="s">
        <v>218</v>
      </c>
      <c r="D1749" s="140" t="s">
        <v>219</v>
      </c>
      <c r="E1749" s="140">
        <v>8</v>
      </c>
      <c r="F1749" s="142">
        <v>45943.625</v>
      </c>
      <c r="G1749" s="140" t="s">
        <v>845</v>
      </c>
      <c r="H1749" s="140" t="s">
        <v>861</v>
      </c>
    </row>
    <row r="1750" spans="1:8" ht="15.75" customHeight="1">
      <c r="A1750" s="140" t="s">
        <v>68</v>
      </c>
      <c r="B1750" s="140" t="s">
        <v>22</v>
      </c>
      <c r="C1750" s="141" t="s">
        <v>218</v>
      </c>
      <c r="D1750" s="140" t="s">
        <v>219</v>
      </c>
      <c r="E1750" s="140">
        <v>9</v>
      </c>
      <c r="F1750" s="142">
        <v>45950.625</v>
      </c>
      <c r="G1750" s="140" t="s">
        <v>845</v>
      </c>
      <c r="H1750" s="140" t="s">
        <v>861</v>
      </c>
    </row>
    <row r="1751" spans="1:8" ht="15.75" customHeight="1">
      <c r="A1751" s="140" t="s">
        <v>68</v>
      </c>
      <c r="B1751" s="140" t="s">
        <v>22</v>
      </c>
      <c r="C1751" s="141" t="s">
        <v>218</v>
      </c>
      <c r="D1751" s="140" t="s">
        <v>219</v>
      </c>
      <c r="E1751" s="140">
        <v>10</v>
      </c>
      <c r="F1751" s="142">
        <v>45957.625</v>
      </c>
      <c r="G1751" s="140" t="s">
        <v>845</v>
      </c>
      <c r="H1751" s="140" t="s">
        <v>861</v>
      </c>
    </row>
    <row r="1752" spans="1:8" ht="15.75" customHeight="1">
      <c r="A1752" s="140" t="s">
        <v>68</v>
      </c>
      <c r="B1752" s="140" t="s">
        <v>22</v>
      </c>
      <c r="C1752" s="141" t="s">
        <v>218</v>
      </c>
      <c r="D1752" s="140" t="s">
        <v>219</v>
      </c>
      <c r="E1752" s="140">
        <v>11</v>
      </c>
      <c r="F1752" s="142">
        <v>46007.625</v>
      </c>
      <c r="G1752" s="140" t="s">
        <v>845</v>
      </c>
      <c r="H1752" s="140" t="s">
        <v>861</v>
      </c>
    </row>
    <row r="1753" spans="1:8" ht="15.75" customHeight="1">
      <c r="A1753" s="140" t="s">
        <v>68</v>
      </c>
      <c r="B1753" s="140" t="s">
        <v>22</v>
      </c>
      <c r="C1753" s="141" t="s">
        <v>218</v>
      </c>
      <c r="D1753" s="140" t="s">
        <v>219</v>
      </c>
      <c r="E1753" s="140">
        <v>12</v>
      </c>
      <c r="F1753" s="142">
        <v>46021.583333333328</v>
      </c>
      <c r="G1753" s="140" t="s">
        <v>845</v>
      </c>
      <c r="H1753" s="140" t="s">
        <v>861</v>
      </c>
    </row>
    <row r="1754" spans="1:8" ht="15.75" customHeight="1">
      <c r="A1754" s="140" t="s">
        <v>68</v>
      </c>
      <c r="B1754" s="140" t="s">
        <v>22</v>
      </c>
      <c r="C1754" s="141" t="s">
        <v>323</v>
      </c>
      <c r="D1754" s="140" t="s">
        <v>324</v>
      </c>
      <c r="E1754" s="140">
        <v>1</v>
      </c>
      <c r="F1754" s="142">
        <v>45887.375</v>
      </c>
      <c r="G1754" s="140" t="s">
        <v>845</v>
      </c>
      <c r="H1754" s="140" t="s">
        <v>861</v>
      </c>
    </row>
    <row r="1755" spans="1:8" ht="15.75" customHeight="1">
      <c r="A1755" s="140" t="s">
        <v>68</v>
      </c>
      <c r="B1755" s="140" t="s">
        <v>22</v>
      </c>
      <c r="C1755" s="141" t="s">
        <v>323</v>
      </c>
      <c r="D1755" s="140" t="s">
        <v>324</v>
      </c>
      <c r="E1755" s="140">
        <v>2</v>
      </c>
      <c r="F1755" s="142">
        <v>45894.458333333328</v>
      </c>
      <c r="G1755" s="140" t="s">
        <v>845</v>
      </c>
      <c r="H1755" s="140" t="s">
        <v>861</v>
      </c>
    </row>
    <row r="1756" spans="1:8" ht="15.75" customHeight="1">
      <c r="A1756" s="140" t="s">
        <v>68</v>
      </c>
      <c r="B1756" s="140" t="s">
        <v>22</v>
      </c>
      <c r="C1756" s="141" t="s">
        <v>323</v>
      </c>
      <c r="D1756" s="140" t="s">
        <v>324</v>
      </c>
      <c r="E1756" s="140">
        <v>3</v>
      </c>
      <c r="F1756" s="142">
        <v>45912.583333333328</v>
      </c>
      <c r="G1756" s="140" t="s">
        <v>845</v>
      </c>
      <c r="H1756" s="140" t="s">
        <v>861</v>
      </c>
    </row>
    <row r="1757" spans="1:8" ht="15.75" customHeight="1">
      <c r="A1757" s="140" t="s">
        <v>68</v>
      </c>
      <c r="B1757" s="140" t="s">
        <v>22</v>
      </c>
      <c r="C1757" s="141" t="s">
        <v>323</v>
      </c>
      <c r="D1757" s="140" t="s">
        <v>324</v>
      </c>
      <c r="E1757" s="140">
        <v>4</v>
      </c>
      <c r="F1757" s="142">
        <v>45915.583333333328</v>
      </c>
      <c r="G1757" s="140" t="s">
        <v>845</v>
      </c>
      <c r="H1757" s="140" t="s">
        <v>861</v>
      </c>
    </row>
    <row r="1758" spans="1:8" ht="15.75" customHeight="1">
      <c r="A1758" s="140" t="s">
        <v>68</v>
      </c>
      <c r="B1758" s="140" t="s">
        <v>22</v>
      </c>
      <c r="C1758" s="141" t="s">
        <v>323</v>
      </c>
      <c r="D1758" s="140" t="s">
        <v>324</v>
      </c>
      <c r="E1758" s="140">
        <v>5</v>
      </c>
      <c r="F1758" s="142">
        <v>45922.625</v>
      </c>
      <c r="G1758" s="140" t="s">
        <v>845</v>
      </c>
      <c r="H1758" s="140" t="s">
        <v>861</v>
      </c>
    </row>
    <row r="1759" spans="1:8" ht="15.75" customHeight="1">
      <c r="A1759" s="140" t="s">
        <v>68</v>
      </c>
      <c r="B1759" s="140" t="s">
        <v>22</v>
      </c>
      <c r="C1759" s="141" t="s">
        <v>323</v>
      </c>
      <c r="D1759" s="140" t="s">
        <v>324</v>
      </c>
      <c r="E1759" s="140">
        <v>6</v>
      </c>
      <c r="F1759" s="142">
        <v>45926.583333333328</v>
      </c>
      <c r="G1759" s="140" t="s">
        <v>845</v>
      </c>
      <c r="H1759" s="140" t="s">
        <v>861</v>
      </c>
    </row>
    <row r="1760" spans="1:8" ht="15.75" customHeight="1">
      <c r="A1760" s="140" t="s">
        <v>68</v>
      </c>
      <c r="B1760" s="140" t="s">
        <v>22</v>
      </c>
      <c r="C1760" s="141" t="s">
        <v>323</v>
      </c>
      <c r="D1760" s="140" t="s">
        <v>324</v>
      </c>
      <c r="E1760" s="140">
        <v>7</v>
      </c>
      <c r="F1760" s="142">
        <v>45940.625</v>
      </c>
      <c r="G1760" s="140" t="s">
        <v>843</v>
      </c>
      <c r="H1760" s="140" t="s">
        <v>861</v>
      </c>
    </row>
    <row r="1761" spans="1:8" ht="15.75" customHeight="1">
      <c r="A1761" s="140" t="s">
        <v>68</v>
      </c>
      <c r="B1761" s="140" t="s">
        <v>22</v>
      </c>
      <c r="C1761" s="141" t="s">
        <v>323</v>
      </c>
      <c r="D1761" s="140" t="s">
        <v>324</v>
      </c>
      <c r="E1761" s="140">
        <v>8</v>
      </c>
      <c r="F1761" s="142">
        <v>45943.625</v>
      </c>
      <c r="G1761" s="140" t="s">
        <v>845</v>
      </c>
      <c r="H1761" s="140" t="s">
        <v>861</v>
      </c>
    </row>
    <row r="1762" spans="1:8" ht="15.75" customHeight="1">
      <c r="A1762" s="140" t="s">
        <v>68</v>
      </c>
      <c r="B1762" s="140" t="s">
        <v>22</v>
      </c>
      <c r="C1762" s="141" t="s">
        <v>323</v>
      </c>
      <c r="D1762" s="140" t="s">
        <v>324</v>
      </c>
      <c r="E1762" s="140">
        <v>9</v>
      </c>
      <c r="F1762" s="142">
        <v>45950.625</v>
      </c>
      <c r="G1762" s="140" t="s">
        <v>845</v>
      </c>
      <c r="H1762" s="140" t="s">
        <v>861</v>
      </c>
    </row>
    <row r="1763" spans="1:8" ht="15.75" customHeight="1">
      <c r="A1763" s="140" t="s">
        <v>68</v>
      </c>
      <c r="B1763" s="140" t="s">
        <v>22</v>
      </c>
      <c r="C1763" s="141" t="s">
        <v>323</v>
      </c>
      <c r="D1763" s="140" t="s">
        <v>324</v>
      </c>
      <c r="E1763" s="140">
        <v>10</v>
      </c>
      <c r="F1763" s="142">
        <v>45957.625</v>
      </c>
      <c r="G1763" s="140" t="s">
        <v>845</v>
      </c>
      <c r="H1763" s="140" t="s">
        <v>861</v>
      </c>
    </row>
    <row r="1764" spans="1:8" ht="15.75" customHeight="1">
      <c r="A1764" s="140" t="s">
        <v>68</v>
      </c>
      <c r="B1764" s="140" t="s">
        <v>22</v>
      </c>
      <c r="C1764" s="141" t="s">
        <v>323</v>
      </c>
      <c r="D1764" s="140" t="s">
        <v>324</v>
      </c>
      <c r="E1764" s="140">
        <v>11</v>
      </c>
      <c r="F1764" s="142">
        <v>46007.625</v>
      </c>
      <c r="G1764" s="140" t="s">
        <v>845</v>
      </c>
      <c r="H1764" s="140" t="s">
        <v>861</v>
      </c>
    </row>
    <row r="1765" spans="1:8" ht="15.75" customHeight="1">
      <c r="A1765" s="140" t="s">
        <v>68</v>
      </c>
      <c r="B1765" s="140" t="s">
        <v>22</v>
      </c>
      <c r="C1765" s="141" t="s">
        <v>323</v>
      </c>
      <c r="D1765" s="140" t="s">
        <v>324</v>
      </c>
      <c r="E1765" s="140">
        <v>12</v>
      </c>
      <c r="F1765" s="142">
        <v>46021.583333333328</v>
      </c>
      <c r="G1765" s="140" t="s">
        <v>845</v>
      </c>
      <c r="H1765" s="140" t="s">
        <v>861</v>
      </c>
    </row>
    <row r="1766" spans="1:8" ht="15.75" customHeight="1">
      <c r="A1766" s="140" t="s">
        <v>68</v>
      </c>
      <c r="B1766" s="140" t="s">
        <v>21</v>
      </c>
      <c r="C1766" s="141" t="s">
        <v>374</v>
      </c>
      <c r="D1766" s="140" t="s">
        <v>375</v>
      </c>
      <c r="E1766" s="140">
        <v>1</v>
      </c>
      <c r="F1766" s="142">
        <v>45645.416666666672</v>
      </c>
      <c r="G1766" s="140" t="s">
        <v>845</v>
      </c>
      <c r="H1766" s="140" t="s">
        <v>861</v>
      </c>
    </row>
    <row r="1767" spans="1:8" ht="15.75" customHeight="1">
      <c r="A1767" s="140" t="s">
        <v>68</v>
      </c>
      <c r="B1767" s="140" t="s">
        <v>21</v>
      </c>
      <c r="C1767" s="141" t="s">
        <v>374</v>
      </c>
      <c r="D1767" s="140" t="s">
        <v>375</v>
      </c>
      <c r="E1767" s="140">
        <v>2</v>
      </c>
      <c r="F1767" s="142">
        <v>45665.416666666672</v>
      </c>
      <c r="G1767" s="140" t="s">
        <v>845</v>
      </c>
      <c r="H1767" s="140" t="s">
        <v>861</v>
      </c>
    </row>
    <row r="1768" spans="1:8" ht="15.75" customHeight="1">
      <c r="A1768" s="140" t="s">
        <v>68</v>
      </c>
      <c r="B1768" s="140" t="s">
        <v>21</v>
      </c>
      <c r="C1768" s="141" t="s">
        <v>374</v>
      </c>
      <c r="D1768" s="140" t="s">
        <v>375</v>
      </c>
      <c r="E1768" s="140">
        <v>3</v>
      </c>
      <c r="F1768" s="142">
        <v>45707.375</v>
      </c>
      <c r="G1768" s="140" t="s">
        <v>845</v>
      </c>
      <c r="H1768" s="140" t="s">
        <v>861</v>
      </c>
    </row>
    <row r="1769" spans="1:8" ht="15.75" customHeight="1">
      <c r="A1769" s="140" t="s">
        <v>68</v>
      </c>
      <c r="B1769" s="140" t="s">
        <v>21</v>
      </c>
      <c r="C1769" s="141" t="s">
        <v>374</v>
      </c>
      <c r="D1769" s="140" t="s">
        <v>375</v>
      </c>
      <c r="E1769" s="140">
        <v>4</v>
      </c>
      <c r="F1769" s="142">
        <v>45714.375</v>
      </c>
      <c r="G1769" s="140" t="s">
        <v>845</v>
      </c>
      <c r="H1769" s="140" t="s">
        <v>861</v>
      </c>
    </row>
    <row r="1770" spans="1:8" ht="15.75" customHeight="1">
      <c r="A1770" s="140" t="s">
        <v>68</v>
      </c>
      <c r="B1770" s="140" t="s">
        <v>21</v>
      </c>
      <c r="C1770" s="141" t="s">
        <v>374</v>
      </c>
      <c r="D1770" s="140" t="s">
        <v>375</v>
      </c>
      <c r="E1770" s="140">
        <v>5</v>
      </c>
      <c r="F1770" s="142">
        <v>45756.416666666672</v>
      </c>
      <c r="G1770" s="140" t="s">
        <v>845</v>
      </c>
      <c r="H1770" s="140" t="s">
        <v>861</v>
      </c>
    </row>
    <row r="1771" spans="1:8" ht="15.75" customHeight="1">
      <c r="A1771" s="140" t="s">
        <v>68</v>
      </c>
      <c r="B1771" s="140" t="s">
        <v>21</v>
      </c>
      <c r="C1771" s="141" t="s">
        <v>374</v>
      </c>
      <c r="D1771" s="140" t="s">
        <v>375</v>
      </c>
      <c r="E1771" s="140">
        <v>6</v>
      </c>
      <c r="F1771" s="142">
        <v>45763.416666666672</v>
      </c>
      <c r="G1771" s="140" t="s">
        <v>845</v>
      </c>
      <c r="H1771" s="140" t="s">
        <v>861</v>
      </c>
    </row>
    <row r="1772" spans="1:8" ht="15.75" customHeight="1">
      <c r="A1772" s="140" t="s">
        <v>68</v>
      </c>
      <c r="B1772" s="140" t="s">
        <v>21</v>
      </c>
      <c r="C1772" s="141" t="s">
        <v>374</v>
      </c>
      <c r="D1772" s="140" t="s">
        <v>375</v>
      </c>
      <c r="E1772" s="140">
        <v>7</v>
      </c>
      <c r="F1772" s="142">
        <v>45789.416666666672</v>
      </c>
      <c r="G1772" s="140" t="s">
        <v>845</v>
      </c>
      <c r="H1772" s="140" t="s">
        <v>861</v>
      </c>
    </row>
    <row r="1773" spans="1:8" ht="15.75" customHeight="1">
      <c r="A1773" s="140" t="s">
        <v>68</v>
      </c>
      <c r="B1773" s="140" t="s">
        <v>21</v>
      </c>
      <c r="C1773" s="141" t="s">
        <v>374</v>
      </c>
      <c r="D1773" s="140" t="s">
        <v>375</v>
      </c>
      <c r="E1773" s="140">
        <v>8</v>
      </c>
      <c r="F1773" s="142">
        <v>45800.416666666672</v>
      </c>
      <c r="G1773" s="140" t="s">
        <v>845</v>
      </c>
      <c r="H1773" s="140" t="s">
        <v>861</v>
      </c>
    </row>
    <row r="1774" spans="1:8" ht="15.75" customHeight="1">
      <c r="A1774" s="140" t="s">
        <v>68</v>
      </c>
      <c r="B1774" s="140" t="s">
        <v>21</v>
      </c>
      <c r="C1774" s="141" t="s">
        <v>374</v>
      </c>
      <c r="D1774" s="140" t="s">
        <v>375</v>
      </c>
      <c r="E1774" s="140">
        <v>9</v>
      </c>
      <c r="F1774" s="142">
        <v>45803.375</v>
      </c>
      <c r="G1774" s="140" t="s">
        <v>845</v>
      </c>
      <c r="H1774" s="140" t="s">
        <v>861</v>
      </c>
    </row>
    <row r="1775" spans="1:8" ht="15.75" customHeight="1">
      <c r="A1775" s="140" t="s">
        <v>68</v>
      </c>
      <c r="B1775" s="140" t="s">
        <v>21</v>
      </c>
      <c r="C1775" s="141" t="s">
        <v>374</v>
      </c>
      <c r="D1775" s="140" t="s">
        <v>375</v>
      </c>
      <c r="E1775" s="140">
        <v>10</v>
      </c>
      <c r="F1775" s="142">
        <v>45819.416666666672</v>
      </c>
      <c r="G1775" s="140" t="s">
        <v>845</v>
      </c>
      <c r="H1775" s="140" t="s">
        <v>861</v>
      </c>
    </row>
    <row r="1776" spans="1:8" ht="15.75" customHeight="1">
      <c r="A1776" s="140" t="s">
        <v>68</v>
      </c>
      <c r="B1776" s="140" t="s">
        <v>21</v>
      </c>
      <c r="C1776" s="141" t="s">
        <v>374</v>
      </c>
      <c r="D1776" s="140" t="s">
        <v>375</v>
      </c>
      <c r="E1776" s="140">
        <v>11</v>
      </c>
      <c r="F1776" s="142">
        <v>45826.416666666672</v>
      </c>
      <c r="G1776" s="140" t="s">
        <v>843</v>
      </c>
      <c r="H1776" s="140" t="s">
        <v>861</v>
      </c>
    </row>
    <row r="1777" spans="1:8" ht="15.75" customHeight="1">
      <c r="A1777" s="140" t="s">
        <v>68</v>
      </c>
      <c r="B1777" s="140" t="s">
        <v>21</v>
      </c>
      <c r="C1777" s="141" t="s">
        <v>374</v>
      </c>
      <c r="D1777" s="140" t="s">
        <v>375</v>
      </c>
      <c r="E1777" s="140">
        <v>12</v>
      </c>
      <c r="F1777" s="142">
        <v>45853.416666666672</v>
      </c>
      <c r="G1777" s="140" t="s">
        <v>843</v>
      </c>
      <c r="H1777" s="140" t="s">
        <v>861</v>
      </c>
    </row>
    <row r="1778" spans="1:8" ht="15.75" customHeight="1">
      <c r="A1778" s="140" t="s">
        <v>68</v>
      </c>
      <c r="B1778" s="140" t="s">
        <v>21</v>
      </c>
      <c r="C1778" s="141" t="s">
        <v>556</v>
      </c>
      <c r="D1778" s="140" t="s">
        <v>557</v>
      </c>
      <c r="E1778" s="140">
        <v>2</v>
      </c>
      <c r="F1778" s="142">
        <v>45665.416666666672</v>
      </c>
      <c r="G1778" s="140" t="s">
        <v>845</v>
      </c>
      <c r="H1778" s="140" t="s">
        <v>861</v>
      </c>
    </row>
    <row r="1779" spans="1:8" ht="15.75" customHeight="1">
      <c r="A1779" s="140" t="s">
        <v>68</v>
      </c>
      <c r="B1779" s="140" t="s">
        <v>21</v>
      </c>
      <c r="C1779" s="141" t="s">
        <v>556</v>
      </c>
      <c r="D1779" s="140" t="s">
        <v>557</v>
      </c>
      <c r="E1779" s="140">
        <v>3</v>
      </c>
      <c r="F1779" s="142">
        <v>45707.375</v>
      </c>
      <c r="G1779" s="140" t="s">
        <v>845</v>
      </c>
      <c r="H1779" s="140" t="s">
        <v>861</v>
      </c>
    </row>
    <row r="1780" spans="1:8" ht="15.75" customHeight="1">
      <c r="A1780" s="140" t="s">
        <v>68</v>
      </c>
      <c r="B1780" s="140" t="s">
        <v>21</v>
      </c>
      <c r="C1780" s="141" t="s">
        <v>556</v>
      </c>
      <c r="D1780" s="140" t="s">
        <v>557</v>
      </c>
      <c r="E1780" s="140">
        <v>4</v>
      </c>
      <c r="F1780" s="142">
        <v>45714.375</v>
      </c>
      <c r="G1780" s="140" t="s">
        <v>845</v>
      </c>
      <c r="H1780" s="140" t="s">
        <v>861</v>
      </c>
    </row>
    <row r="1781" spans="1:8" ht="15.75" customHeight="1">
      <c r="A1781" s="140" t="s">
        <v>68</v>
      </c>
      <c r="B1781" s="140" t="s">
        <v>21</v>
      </c>
      <c r="C1781" s="141" t="s">
        <v>556</v>
      </c>
      <c r="D1781" s="140" t="s">
        <v>557</v>
      </c>
      <c r="E1781" s="140">
        <v>5</v>
      </c>
      <c r="F1781" s="142">
        <v>45756.416666666672</v>
      </c>
      <c r="G1781" s="140" t="s">
        <v>843</v>
      </c>
      <c r="H1781" s="140" t="s">
        <v>861</v>
      </c>
    </row>
    <row r="1782" spans="1:8" ht="15.75" customHeight="1">
      <c r="A1782" s="140" t="s">
        <v>68</v>
      </c>
      <c r="B1782" s="140" t="s">
        <v>21</v>
      </c>
      <c r="C1782" s="141" t="s">
        <v>556</v>
      </c>
      <c r="D1782" s="140" t="s">
        <v>557</v>
      </c>
      <c r="E1782" s="140">
        <v>6</v>
      </c>
      <c r="F1782" s="142">
        <v>45763.416666666672</v>
      </c>
      <c r="G1782" s="140" t="s">
        <v>845</v>
      </c>
      <c r="H1782" s="140" t="s">
        <v>861</v>
      </c>
    </row>
    <row r="1783" spans="1:8" ht="15.75" customHeight="1">
      <c r="A1783" s="140" t="s">
        <v>68</v>
      </c>
      <c r="B1783" s="140" t="s">
        <v>21</v>
      </c>
      <c r="C1783" s="141" t="s">
        <v>556</v>
      </c>
      <c r="D1783" s="140" t="s">
        <v>557</v>
      </c>
      <c r="E1783" s="140">
        <v>7</v>
      </c>
      <c r="F1783" s="142">
        <v>45789.416666666672</v>
      </c>
      <c r="G1783" s="140" t="s">
        <v>845</v>
      </c>
      <c r="H1783" s="140" t="s">
        <v>861</v>
      </c>
    </row>
    <row r="1784" spans="1:8" ht="15.75" customHeight="1">
      <c r="A1784" s="140" t="s">
        <v>68</v>
      </c>
      <c r="B1784" s="140" t="s">
        <v>21</v>
      </c>
      <c r="C1784" s="141" t="s">
        <v>556</v>
      </c>
      <c r="D1784" s="140" t="s">
        <v>557</v>
      </c>
      <c r="E1784" s="140">
        <v>8</v>
      </c>
      <c r="F1784" s="142">
        <v>45800.416666666672</v>
      </c>
      <c r="G1784" s="140" t="s">
        <v>845</v>
      </c>
      <c r="H1784" s="140" t="s">
        <v>861</v>
      </c>
    </row>
    <row r="1785" spans="1:8" ht="15.75" customHeight="1">
      <c r="A1785" s="140" t="s">
        <v>68</v>
      </c>
      <c r="B1785" s="140" t="s">
        <v>21</v>
      </c>
      <c r="C1785" s="141" t="s">
        <v>556</v>
      </c>
      <c r="D1785" s="140" t="s">
        <v>557</v>
      </c>
      <c r="E1785" s="140">
        <v>9</v>
      </c>
      <c r="F1785" s="142">
        <v>45803.375</v>
      </c>
      <c r="G1785" s="140" t="s">
        <v>845</v>
      </c>
      <c r="H1785" s="140" t="s">
        <v>861</v>
      </c>
    </row>
    <row r="1786" spans="1:8" ht="15.75" customHeight="1">
      <c r="A1786" s="140" t="s">
        <v>68</v>
      </c>
      <c r="B1786" s="140" t="s">
        <v>21</v>
      </c>
      <c r="C1786" s="141" t="s">
        <v>556</v>
      </c>
      <c r="D1786" s="140" t="s">
        <v>557</v>
      </c>
      <c r="E1786" s="140">
        <v>10</v>
      </c>
      <c r="F1786" s="142">
        <v>45819.416666666672</v>
      </c>
      <c r="G1786" s="140" t="s">
        <v>845</v>
      </c>
      <c r="H1786" s="140" t="s">
        <v>861</v>
      </c>
    </row>
    <row r="1787" spans="1:8" ht="15.75" customHeight="1">
      <c r="A1787" s="140" t="s">
        <v>68</v>
      </c>
      <c r="B1787" s="140" t="s">
        <v>21</v>
      </c>
      <c r="C1787" s="141" t="s">
        <v>556</v>
      </c>
      <c r="D1787" s="140" t="s">
        <v>557</v>
      </c>
      <c r="E1787" s="140">
        <v>11</v>
      </c>
      <c r="F1787" s="142">
        <v>45826.416666666672</v>
      </c>
      <c r="G1787" s="140" t="s">
        <v>845</v>
      </c>
      <c r="H1787" s="140" t="s">
        <v>861</v>
      </c>
    </row>
    <row r="1788" spans="1:8" ht="15.75" customHeight="1">
      <c r="A1788" s="140" t="s">
        <v>68</v>
      </c>
      <c r="B1788" s="140" t="s">
        <v>21</v>
      </c>
      <c r="C1788" s="141" t="s">
        <v>556</v>
      </c>
      <c r="D1788" s="140" t="s">
        <v>557</v>
      </c>
      <c r="E1788" s="140">
        <v>12</v>
      </c>
      <c r="F1788" s="142">
        <v>45853.416666666672</v>
      </c>
      <c r="G1788" s="140" t="s">
        <v>845</v>
      </c>
      <c r="H1788" s="140" t="s">
        <v>861</v>
      </c>
    </row>
    <row r="1789" spans="1:8" ht="15.75" customHeight="1">
      <c r="A1789" s="140" t="s">
        <v>68</v>
      </c>
      <c r="B1789" s="140" t="s">
        <v>22</v>
      </c>
      <c r="C1789" s="141" t="s">
        <v>556</v>
      </c>
      <c r="D1789" s="140" t="s">
        <v>557</v>
      </c>
      <c r="E1789" s="140">
        <v>1</v>
      </c>
      <c r="F1789" s="142">
        <v>45887.375</v>
      </c>
      <c r="G1789" s="140" t="s">
        <v>845</v>
      </c>
      <c r="H1789" s="140" t="s">
        <v>861</v>
      </c>
    </row>
    <row r="1790" spans="1:8" ht="15.75" customHeight="1">
      <c r="A1790" s="140" t="s">
        <v>68</v>
      </c>
      <c r="B1790" s="140" t="s">
        <v>22</v>
      </c>
      <c r="C1790" s="141" t="s">
        <v>556</v>
      </c>
      <c r="D1790" s="140" t="s">
        <v>557</v>
      </c>
      <c r="E1790" s="140">
        <v>2</v>
      </c>
      <c r="F1790" s="142">
        <v>45894.458333333328</v>
      </c>
      <c r="G1790" s="140" t="s">
        <v>845</v>
      </c>
      <c r="H1790" s="140" t="s">
        <v>861</v>
      </c>
    </row>
    <row r="1791" spans="1:8" ht="15.75" customHeight="1">
      <c r="A1791" s="140" t="s">
        <v>68</v>
      </c>
      <c r="B1791" s="140" t="s">
        <v>22</v>
      </c>
      <c r="C1791" s="141" t="s">
        <v>556</v>
      </c>
      <c r="D1791" s="140" t="s">
        <v>557</v>
      </c>
      <c r="E1791" s="140">
        <v>3</v>
      </c>
      <c r="F1791" s="142">
        <v>45912.583333333328</v>
      </c>
      <c r="G1791" s="140" t="s">
        <v>845</v>
      </c>
      <c r="H1791" s="140" t="s">
        <v>861</v>
      </c>
    </row>
    <row r="1792" spans="1:8" ht="15.75" customHeight="1">
      <c r="A1792" s="140" t="s">
        <v>68</v>
      </c>
      <c r="B1792" s="140" t="s">
        <v>22</v>
      </c>
      <c r="C1792" s="141" t="s">
        <v>556</v>
      </c>
      <c r="D1792" s="140" t="s">
        <v>557</v>
      </c>
      <c r="E1792" s="140">
        <v>4</v>
      </c>
      <c r="F1792" s="142">
        <v>45915.583333333328</v>
      </c>
      <c r="G1792" s="140" t="s">
        <v>845</v>
      </c>
      <c r="H1792" s="140" t="s">
        <v>861</v>
      </c>
    </row>
    <row r="1793" spans="1:8" ht="15.75" customHeight="1">
      <c r="A1793" s="140" t="s">
        <v>68</v>
      </c>
      <c r="B1793" s="140" t="s">
        <v>22</v>
      </c>
      <c r="C1793" s="141" t="s">
        <v>556</v>
      </c>
      <c r="D1793" s="140" t="s">
        <v>557</v>
      </c>
      <c r="E1793" s="140">
        <v>5</v>
      </c>
      <c r="F1793" s="142">
        <v>45922.625</v>
      </c>
      <c r="G1793" s="140" t="s">
        <v>845</v>
      </c>
      <c r="H1793" s="140" t="s">
        <v>861</v>
      </c>
    </row>
    <row r="1794" spans="1:8" ht="15.75" customHeight="1">
      <c r="A1794" s="140" t="s">
        <v>68</v>
      </c>
      <c r="B1794" s="140" t="s">
        <v>22</v>
      </c>
      <c r="C1794" s="141" t="s">
        <v>556</v>
      </c>
      <c r="D1794" s="140" t="s">
        <v>557</v>
      </c>
      <c r="E1794" s="140">
        <v>6</v>
      </c>
      <c r="F1794" s="142">
        <v>45926.583333333328</v>
      </c>
      <c r="G1794" s="140" t="s">
        <v>845</v>
      </c>
      <c r="H1794" s="140" t="s">
        <v>861</v>
      </c>
    </row>
    <row r="1795" spans="1:8" ht="15.75" customHeight="1">
      <c r="A1795" s="140" t="s">
        <v>68</v>
      </c>
      <c r="B1795" s="140" t="s">
        <v>22</v>
      </c>
      <c r="C1795" s="141" t="s">
        <v>556</v>
      </c>
      <c r="D1795" s="140" t="s">
        <v>557</v>
      </c>
      <c r="E1795" s="140">
        <v>7</v>
      </c>
      <c r="F1795" s="142">
        <v>45940.625</v>
      </c>
      <c r="G1795" s="140" t="s">
        <v>845</v>
      </c>
      <c r="H1795" s="140" t="s">
        <v>861</v>
      </c>
    </row>
    <row r="1796" spans="1:8" ht="15.75" customHeight="1">
      <c r="A1796" s="140" t="s">
        <v>68</v>
      </c>
      <c r="B1796" s="140" t="s">
        <v>22</v>
      </c>
      <c r="C1796" s="141" t="s">
        <v>556</v>
      </c>
      <c r="D1796" s="140" t="s">
        <v>557</v>
      </c>
      <c r="E1796" s="140">
        <v>8</v>
      </c>
      <c r="F1796" s="142">
        <v>45943.625</v>
      </c>
      <c r="G1796" s="140" t="s">
        <v>845</v>
      </c>
      <c r="H1796" s="140" t="s">
        <v>861</v>
      </c>
    </row>
    <row r="1797" spans="1:8" ht="15.75" customHeight="1">
      <c r="A1797" s="140" t="s">
        <v>68</v>
      </c>
      <c r="B1797" s="140" t="s">
        <v>22</v>
      </c>
      <c r="C1797" s="141" t="s">
        <v>556</v>
      </c>
      <c r="D1797" s="140" t="s">
        <v>557</v>
      </c>
      <c r="E1797" s="140">
        <v>9</v>
      </c>
      <c r="F1797" s="142">
        <v>45950.625</v>
      </c>
      <c r="G1797" s="140" t="s">
        <v>845</v>
      </c>
      <c r="H1797" s="140" t="s">
        <v>861</v>
      </c>
    </row>
    <row r="1798" spans="1:8" ht="15.75" customHeight="1">
      <c r="A1798" s="140" t="s">
        <v>68</v>
      </c>
      <c r="B1798" s="140" t="s">
        <v>22</v>
      </c>
      <c r="C1798" s="141" t="s">
        <v>556</v>
      </c>
      <c r="D1798" s="140" t="s">
        <v>557</v>
      </c>
      <c r="E1798" s="140">
        <v>10</v>
      </c>
      <c r="F1798" s="142">
        <v>45957.625</v>
      </c>
      <c r="G1798" s="140" t="s">
        <v>845</v>
      </c>
      <c r="H1798" s="140" t="s">
        <v>861</v>
      </c>
    </row>
    <row r="1799" spans="1:8" ht="15.75" customHeight="1">
      <c r="A1799" s="140" t="s">
        <v>68</v>
      </c>
      <c r="B1799" s="140" t="s">
        <v>22</v>
      </c>
      <c r="C1799" s="141" t="s">
        <v>556</v>
      </c>
      <c r="D1799" s="140" t="s">
        <v>557</v>
      </c>
      <c r="E1799" s="140">
        <v>11</v>
      </c>
      <c r="F1799" s="142">
        <v>46007.625</v>
      </c>
      <c r="G1799" s="140" t="s">
        <v>843</v>
      </c>
      <c r="H1799" s="140" t="s">
        <v>861</v>
      </c>
    </row>
    <row r="1800" spans="1:8" ht="15.75" customHeight="1">
      <c r="A1800" s="140" t="s">
        <v>68</v>
      </c>
      <c r="B1800" s="140" t="s">
        <v>22</v>
      </c>
      <c r="C1800" s="141" t="s">
        <v>556</v>
      </c>
      <c r="D1800" s="140" t="s">
        <v>557</v>
      </c>
      <c r="E1800" s="140">
        <v>12</v>
      </c>
      <c r="F1800" s="142">
        <v>46021.583333333328</v>
      </c>
      <c r="G1800" s="140" t="s">
        <v>845</v>
      </c>
      <c r="H1800" s="140" t="s">
        <v>861</v>
      </c>
    </row>
    <row r="1801" spans="1:8" ht="15.75" customHeight="1">
      <c r="A1801" s="140" t="s">
        <v>68</v>
      </c>
      <c r="B1801" s="140" t="s">
        <v>22</v>
      </c>
      <c r="C1801" s="141" t="s">
        <v>639</v>
      </c>
      <c r="D1801" s="140" t="s">
        <v>640</v>
      </c>
      <c r="E1801" s="140">
        <v>1</v>
      </c>
      <c r="F1801" s="142">
        <v>45887.375</v>
      </c>
      <c r="G1801" s="140" t="s">
        <v>845</v>
      </c>
      <c r="H1801" s="140" t="s">
        <v>861</v>
      </c>
    </row>
    <row r="1802" spans="1:8" ht="15.75" customHeight="1">
      <c r="A1802" s="140" t="s">
        <v>68</v>
      </c>
      <c r="B1802" s="140" t="s">
        <v>22</v>
      </c>
      <c r="C1802" s="141" t="s">
        <v>639</v>
      </c>
      <c r="D1802" s="140" t="s">
        <v>640</v>
      </c>
      <c r="E1802" s="140">
        <v>2</v>
      </c>
      <c r="F1802" s="142">
        <v>45894.458333333328</v>
      </c>
      <c r="G1802" s="140" t="s">
        <v>845</v>
      </c>
      <c r="H1802" s="140" t="s">
        <v>861</v>
      </c>
    </row>
    <row r="1803" spans="1:8" ht="15.75" customHeight="1">
      <c r="A1803" s="140" t="s">
        <v>68</v>
      </c>
      <c r="B1803" s="140" t="s">
        <v>22</v>
      </c>
      <c r="C1803" s="141" t="s">
        <v>639</v>
      </c>
      <c r="D1803" s="140" t="s">
        <v>640</v>
      </c>
      <c r="E1803" s="140">
        <v>3</v>
      </c>
      <c r="F1803" s="142">
        <v>45912.583333333328</v>
      </c>
      <c r="G1803" s="140" t="s">
        <v>845</v>
      </c>
      <c r="H1803" s="140" t="s">
        <v>861</v>
      </c>
    </row>
    <row r="1804" spans="1:8" ht="15.75" customHeight="1">
      <c r="A1804" s="140" t="s">
        <v>68</v>
      </c>
      <c r="B1804" s="140" t="s">
        <v>22</v>
      </c>
      <c r="C1804" s="141" t="s">
        <v>639</v>
      </c>
      <c r="D1804" s="140" t="s">
        <v>640</v>
      </c>
      <c r="E1804" s="140">
        <v>4</v>
      </c>
      <c r="F1804" s="142">
        <v>45915.583333333328</v>
      </c>
      <c r="G1804" s="140" t="s">
        <v>845</v>
      </c>
      <c r="H1804" s="140" t="s">
        <v>861</v>
      </c>
    </row>
    <row r="1805" spans="1:8" ht="15.75" customHeight="1">
      <c r="A1805" s="140" t="s">
        <v>68</v>
      </c>
      <c r="B1805" s="140" t="s">
        <v>22</v>
      </c>
      <c r="C1805" s="141" t="s">
        <v>639</v>
      </c>
      <c r="D1805" s="140" t="s">
        <v>640</v>
      </c>
      <c r="E1805" s="140">
        <v>5</v>
      </c>
      <c r="F1805" s="142">
        <v>45922.625</v>
      </c>
      <c r="G1805" s="140" t="s">
        <v>845</v>
      </c>
      <c r="H1805" s="140" t="s">
        <v>861</v>
      </c>
    </row>
    <row r="1806" spans="1:8" ht="15.75" customHeight="1">
      <c r="A1806" s="140" t="s">
        <v>68</v>
      </c>
      <c r="B1806" s="140" t="s">
        <v>22</v>
      </c>
      <c r="C1806" s="141" t="s">
        <v>639</v>
      </c>
      <c r="D1806" s="140" t="s">
        <v>640</v>
      </c>
      <c r="E1806" s="140">
        <v>6</v>
      </c>
      <c r="F1806" s="142">
        <v>45926.583333333328</v>
      </c>
      <c r="G1806" s="140" t="s">
        <v>845</v>
      </c>
      <c r="H1806" s="140" t="s">
        <v>861</v>
      </c>
    </row>
    <row r="1807" spans="1:8" ht="15.75" customHeight="1">
      <c r="A1807" s="140" t="s">
        <v>68</v>
      </c>
      <c r="B1807" s="140" t="s">
        <v>22</v>
      </c>
      <c r="C1807" s="141" t="s">
        <v>639</v>
      </c>
      <c r="D1807" s="140" t="s">
        <v>640</v>
      </c>
      <c r="E1807" s="140">
        <v>7</v>
      </c>
      <c r="F1807" s="142">
        <v>45940.625</v>
      </c>
      <c r="G1807" s="140" t="s">
        <v>845</v>
      </c>
      <c r="H1807" s="140" t="s">
        <v>861</v>
      </c>
    </row>
    <row r="1808" spans="1:8" ht="15.75" customHeight="1">
      <c r="A1808" s="140" t="s">
        <v>68</v>
      </c>
      <c r="B1808" s="140" t="s">
        <v>22</v>
      </c>
      <c r="C1808" s="141" t="s">
        <v>639</v>
      </c>
      <c r="D1808" s="140" t="s">
        <v>640</v>
      </c>
      <c r="E1808" s="140">
        <v>8</v>
      </c>
      <c r="F1808" s="142">
        <v>45943.625</v>
      </c>
      <c r="G1808" s="140" t="s">
        <v>845</v>
      </c>
      <c r="H1808" s="140" t="s">
        <v>861</v>
      </c>
    </row>
    <row r="1809" spans="1:8" ht="15.75" customHeight="1">
      <c r="A1809" s="140" t="s">
        <v>68</v>
      </c>
      <c r="B1809" s="140" t="s">
        <v>22</v>
      </c>
      <c r="C1809" s="141" t="s">
        <v>639</v>
      </c>
      <c r="D1809" s="140" t="s">
        <v>640</v>
      </c>
      <c r="E1809" s="140">
        <v>9</v>
      </c>
      <c r="F1809" s="142">
        <v>45950.625</v>
      </c>
      <c r="G1809" s="140" t="s">
        <v>845</v>
      </c>
      <c r="H1809" s="140" t="s">
        <v>861</v>
      </c>
    </row>
    <row r="1810" spans="1:8" ht="15.75" customHeight="1">
      <c r="A1810" s="140" t="s">
        <v>68</v>
      </c>
      <c r="B1810" s="140" t="s">
        <v>22</v>
      </c>
      <c r="C1810" s="141" t="s">
        <v>639</v>
      </c>
      <c r="D1810" s="140" t="s">
        <v>640</v>
      </c>
      <c r="E1810" s="140">
        <v>10</v>
      </c>
      <c r="F1810" s="142">
        <v>45957.625</v>
      </c>
      <c r="G1810" s="140" t="s">
        <v>845</v>
      </c>
      <c r="H1810" s="140" t="s">
        <v>861</v>
      </c>
    </row>
    <row r="1811" spans="1:8" ht="15.75" customHeight="1">
      <c r="A1811" s="140" t="s">
        <v>68</v>
      </c>
      <c r="B1811" s="140" t="s">
        <v>22</v>
      </c>
      <c r="C1811" s="141" t="s">
        <v>639</v>
      </c>
      <c r="D1811" s="140" t="s">
        <v>640</v>
      </c>
      <c r="E1811" s="140">
        <v>11</v>
      </c>
      <c r="F1811" s="142">
        <v>46007.625</v>
      </c>
      <c r="G1811" s="140" t="s">
        <v>845</v>
      </c>
      <c r="H1811" s="140" t="s">
        <v>861</v>
      </c>
    </row>
    <row r="1812" spans="1:8" ht="15.75" customHeight="1">
      <c r="A1812" s="140" t="s">
        <v>68</v>
      </c>
      <c r="B1812" s="140" t="s">
        <v>22</v>
      </c>
      <c r="C1812" s="141" t="s">
        <v>639</v>
      </c>
      <c r="D1812" s="140" t="s">
        <v>640</v>
      </c>
      <c r="E1812" s="140">
        <v>12</v>
      </c>
      <c r="F1812" s="142">
        <v>46021.583333333328</v>
      </c>
      <c r="G1812" s="140" t="s">
        <v>845</v>
      </c>
      <c r="H1812" s="140" t="s">
        <v>861</v>
      </c>
    </row>
    <row r="1813" spans="1:8" ht="15.75" customHeight="1">
      <c r="A1813" s="140" t="s">
        <v>68</v>
      </c>
      <c r="B1813" s="140" t="s">
        <v>21</v>
      </c>
      <c r="C1813" s="141" t="s">
        <v>643</v>
      </c>
      <c r="D1813" s="140" t="s">
        <v>644</v>
      </c>
      <c r="E1813" s="140">
        <v>1</v>
      </c>
      <c r="F1813" s="142">
        <v>45645.416666666672</v>
      </c>
      <c r="G1813" s="140" t="s">
        <v>845</v>
      </c>
      <c r="H1813" s="140" t="s">
        <v>861</v>
      </c>
    </row>
    <row r="1814" spans="1:8" ht="15.75" customHeight="1">
      <c r="A1814" s="140" t="s">
        <v>68</v>
      </c>
      <c r="B1814" s="140" t="s">
        <v>21</v>
      </c>
      <c r="C1814" s="141" t="s">
        <v>643</v>
      </c>
      <c r="D1814" s="140" t="s">
        <v>644</v>
      </c>
      <c r="E1814" s="140">
        <v>2</v>
      </c>
      <c r="F1814" s="142">
        <v>45665.416666666672</v>
      </c>
      <c r="G1814" s="140" t="s">
        <v>845</v>
      </c>
      <c r="H1814" s="140" t="s">
        <v>861</v>
      </c>
    </row>
    <row r="1815" spans="1:8" ht="15.75" customHeight="1">
      <c r="A1815" s="140" t="s">
        <v>68</v>
      </c>
      <c r="B1815" s="140" t="s">
        <v>21</v>
      </c>
      <c r="C1815" s="141" t="s">
        <v>643</v>
      </c>
      <c r="D1815" s="140" t="s">
        <v>644</v>
      </c>
      <c r="E1815" s="140">
        <v>3</v>
      </c>
      <c r="F1815" s="142">
        <v>45707.375</v>
      </c>
      <c r="G1815" s="140" t="s">
        <v>845</v>
      </c>
      <c r="H1815" s="140" t="s">
        <v>861</v>
      </c>
    </row>
    <row r="1816" spans="1:8" ht="15.75" customHeight="1">
      <c r="A1816" s="140" t="s">
        <v>68</v>
      </c>
      <c r="B1816" s="140" t="s">
        <v>21</v>
      </c>
      <c r="C1816" s="141" t="s">
        <v>643</v>
      </c>
      <c r="D1816" s="140" t="s">
        <v>644</v>
      </c>
      <c r="E1816" s="140">
        <v>4</v>
      </c>
      <c r="F1816" s="142">
        <v>45714.375</v>
      </c>
      <c r="G1816" s="140" t="s">
        <v>845</v>
      </c>
      <c r="H1816" s="140" t="s">
        <v>861</v>
      </c>
    </row>
    <row r="1817" spans="1:8" ht="15.75" customHeight="1">
      <c r="A1817" s="140" t="s">
        <v>68</v>
      </c>
      <c r="B1817" s="140" t="s">
        <v>21</v>
      </c>
      <c r="C1817" s="141" t="s">
        <v>643</v>
      </c>
      <c r="D1817" s="140" t="s">
        <v>644</v>
      </c>
      <c r="E1817" s="140">
        <v>5</v>
      </c>
      <c r="F1817" s="142">
        <v>45756.416666666672</v>
      </c>
      <c r="G1817" s="140" t="s">
        <v>845</v>
      </c>
      <c r="H1817" s="140" t="s">
        <v>861</v>
      </c>
    </row>
    <row r="1818" spans="1:8" ht="15.75" customHeight="1">
      <c r="A1818" s="140" t="s">
        <v>68</v>
      </c>
      <c r="B1818" s="140" t="s">
        <v>21</v>
      </c>
      <c r="C1818" s="141" t="s">
        <v>643</v>
      </c>
      <c r="D1818" s="140" t="s">
        <v>644</v>
      </c>
      <c r="E1818" s="140">
        <v>6</v>
      </c>
      <c r="F1818" s="142">
        <v>45763.416666666672</v>
      </c>
      <c r="G1818" s="140" t="s">
        <v>845</v>
      </c>
      <c r="H1818" s="140" t="s">
        <v>861</v>
      </c>
    </row>
    <row r="1819" spans="1:8" ht="15.75" customHeight="1">
      <c r="A1819" s="140" t="s">
        <v>68</v>
      </c>
      <c r="B1819" s="140" t="s">
        <v>21</v>
      </c>
      <c r="C1819" s="141" t="s">
        <v>643</v>
      </c>
      <c r="D1819" s="140" t="s">
        <v>644</v>
      </c>
      <c r="E1819" s="140">
        <v>7</v>
      </c>
      <c r="F1819" s="142">
        <v>45789.416666666672</v>
      </c>
      <c r="G1819" s="140" t="s">
        <v>845</v>
      </c>
      <c r="H1819" s="140" t="s">
        <v>861</v>
      </c>
    </row>
    <row r="1820" spans="1:8" ht="15.75" customHeight="1">
      <c r="A1820" s="140" t="s">
        <v>68</v>
      </c>
      <c r="B1820" s="140" t="s">
        <v>21</v>
      </c>
      <c r="C1820" s="141" t="s">
        <v>643</v>
      </c>
      <c r="D1820" s="140" t="s">
        <v>644</v>
      </c>
      <c r="E1820" s="140">
        <v>8</v>
      </c>
      <c r="F1820" s="142">
        <v>45800.416666666672</v>
      </c>
      <c r="G1820" s="140" t="s">
        <v>845</v>
      </c>
      <c r="H1820" s="140" t="s">
        <v>861</v>
      </c>
    </row>
    <row r="1821" spans="1:8" ht="15.75" customHeight="1">
      <c r="A1821" s="140" t="s">
        <v>68</v>
      </c>
      <c r="B1821" s="140" t="s">
        <v>21</v>
      </c>
      <c r="C1821" s="141" t="s">
        <v>643</v>
      </c>
      <c r="D1821" s="140" t="s">
        <v>644</v>
      </c>
      <c r="E1821" s="140">
        <v>9</v>
      </c>
      <c r="F1821" s="142">
        <v>45803.375</v>
      </c>
      <c r="G1821" s="140" t="s">
        <v>845</v>
      </c>
      <c r="H1821" s="140" t="s">
        <v>861</v>
      </c>
    </row>
    <row r="1822" spans="1:8" ht="15.75" customHeight="1">
      <c r="A1822" s="140" t="s">
        <v>68</v>
      </c>
      <c r="B1822" s="140" t="s">
        <v>21</v>
      </c>
      <c r="C1822" s="141" t="s">
        <v>643</v>
      </c>
      <c r="D1822" s="140" t="s">
        <v>644</v>
      </c>
      <c r="E1822" s="140">
        <v>10</v>
      </c>
      <c r="F1822" s="142">
        <v>45819.416666666672</v>
      </c>
      <c r="G1822" s="140" t="s">
        <v>845</v>
      </c>
      <c r="H1822" s="140" t="s">
        <v>861</v>
      </c>
    </row>
    <row r="1823" spans="1:8" ht="15.75" customHeight="1">
      <c r="A1823" s="140" t="s">
        <v>68</v>
      </c>
      <c r="B1823" s="140" t="s">
        <v>21</v>
      </c>
      <c r="C1823" s="141" t="s">
        <v>643</v>
      </c>
      <c r="D1823" s="140" t="s">
        <v>644</v>
      </c>
      <c r="E1823" s="140">
        <v>11</v>
      </c>
      <c r="F1823" s="142">
        <v>45826.416666666672</v>
      </c>
      <c r="G1823" s="140" t="s">
        <v>845</v>
      </c>
      <c r="H1823" s="140" t="s">
        <v>861</v>
      </c>
    </row>
    <row r="1824" spans="1:8" ht="15.75" customHeight="1">
      <c r="A1824" s="140" t="s">
        <v>68</v>
      </c>
      <c r="B1824" s="140" t="s">
        <v>21</v>
      </c>
      <c r="C1824" s="141" t="s">
        <v>643</v>
      </c>
      <c r="D1824" s="140" t="s">
        <v>644</v>
      </c>
      <c r="E1824" s="140">
        <v>12</v>
      </c>
      <c r="F1824" s="142">
        <v>45853.416666666672</v>
      </c>
      <c r="G1824" s="140" t="s">
        <v>845</v>
      </c>
      <c r="H1824" s="140" t="s">
        <v>861</v>
      </c>
    </row>
    <row r="1825" spans="1:8" ht="15.75" customHeight="1">
      <c r="A1825" s="140" t="s">
        <v>68</v>
      </c>
      <c r="B1825" s="140" t="s">
        <v>22</v>
      </c>
      <c r="C1825" s="141" t="s">
        <v>643</v>
      </c>
      <c r="D1825" s="140" t="s">
        <v>644</v>
      </c>
      <c r="E1825" s="140">
        <v>1</v>
      </c>
      <c r="F1825" s="142">
        <v>45887.375</v>
      </c>
      <c r="G1825" s="140" t="s">
        <v>845</v>
      </c>
      <c r="H1825" s="140" t="s">
        <v>861</v>
      </c>
    </row>
    <row r="1826" spans="1:8" ht="15.75" customHeight="1">
      <c r="A1826" s="140" t="s">
        <v>68</v>
      </c>
      <c r="B1826" s="140" t="s">
        <v>22</v>
      </c>
      <c r="C1826" s="141" t="s">
        <v>643</v>
      </c>
      <c r="D1826" s="140" t="s">
        <v>644</v>
      </c>
      <c r="E1826" s="140">
        <v>2</v>
      </c>
      <c r="F1826" s="142">
        <v>45894.458333333328</v>
      </c>
      <c r="G1826" s="140" t="s">
        <v>845</v>
      </c>
      <c r="H1826" s="140" t="s">
        <v>861</v>
      </c>
    </row>
    <row r="1827" spans="1:8" ht="15.75" customHeight="1">
      <c r="A1827" s="140" t="s">
        <v>68</v>
      </c>
      <c r="B1827" s="140" t="s">
        <v>22</v>
      </c>
      <c r="C1827" s="141" t="s">
        <v>643</v>
      </c>
      <c r="D1827" s="140" t="s">
        <v>644</v>
      </c>
      <c r="E1827" s="140">
        <v>3</v>
      </c>
      <c r="F1827" s="142">
        <v>45912.583333333328</v>
      </c>
      <c r="G1827" s="140" t="s">
        <v>845</v>
      </c>
      <c r="H1827" s="140" t="s">
        <v>861</v>
      </c>
    </row>
    <row r="1828" spans="1:8" ht="15.75" customHeight="1">
      <c r="A1828" s="140" t="s">
        <v>68</v>
      </c>
      <c r="B1828" s="140" t="s">
        <v>22</v>
      </c>
      <c r="C1828" s="141" t="s">
        <v>643</v>
      </c>
      <c r="D1828" s="140" t="s">
        <v>644</v>
      </c>
      <c r="E1828" s="140">
        <v>4</v>
      </c>
      <c r="F1828" s="142">
        <v>45915.583333333328</v>
      </c>
      <c r="G1828" s="140" t="s">
        <v>843</v>
      </c>
      <c r="H1828" s="140" t="s">
        <v>861</v>
      </c>
    </row>
    <row r="1829" spans="1:8" ht="15.75" customHeight="1">
      <c r="A1829" s="140" t="s">
        <v>68</v>
      </c>
      <c r="B1829" s="140" t="s">
        <v>22</v>
      </c>
      <c r="C1829" s="141" t="s">
        <v>643</v>
      </c>
      <c r="D1829" s="140" t="s">
        <v>644</v>
      </c>
      <c r="E1829" s="140">
        <v>5</v>
      </c>
      <c r="F1829" s="142">
        <v>45922.625</v>
      </c>
      <c r="G1829" s="140" t="s">
        <v>845</v>
      </c>
      <c r="H1829" s="140" t="s">
        <v>861</v>
      </c>
    </row>
    <row r="1830" spans="1:8" ht="15.75" customHeight="1">
      <c r="A1830" s="140" t="s">
        <v>68</v>
      </c>
      <c r="B1830" s="140" t="s">
        <v>22</v>
      </c>
      <c r="C1830" s="141" t="s">
        <v>643</v>
      </c>
      <c r="D1830" s="140" t="s">
        <v>644</v>
      </c>
      <c r="E1830" s="140">
        <v>6</v>
      </c>
      <c r="F1830" s="142">
        <v>45926.583333333328</v>
      </c>
      <c r="G1830" s="140" t="s">
        <v>845</v>
      </c>
      <c r="H1830" s="140" t="s">
        <v>861</v>
      </c>
    </row>
    <row r="1831" spans="1:8" ht="15.75" customHeight="1">
      <c r="A1831" s="140" t="s">
        <v>68</v>
      </c>
      <c r="B1831" s="140" t="s">
        <v>22</v>
      </c>
      <c r="C1831" s="141" t="s">
        <v>643</v>
      </c>
      <c r="D1831" s="140" t="s">
        <v>644</v>
      </c>
      <c r="E1831" s="140">
        <v>7</v>
      </c>
      <c r="F1831" s="142">
        <v>45940.625</v>
      </c>
      <c r="G1831" s="140" t="s">
        <v>845</v>
      </c>
      <c r="H1831" s="140" t="s">
        <v>861</v>
      </c>
    </row>
    <row r="1832" spans="1:8" ht="15.75" customHeight="1">
      <c r="A1832" s="140" t="s">
        <v>68</v>
      </c>
      <c r="B1832" s="140" t="s">
        <v>22</v>
      </c>
      <c r="C1832" s="141" t="s">
        <v>643</v>
      </c>
      <c r="D1832" s="140" t="s">
        <v>644</v>
      </c>
      <c r="E1832" s="140">
        <v>8</v>
      </c>
      <c r="F1832" s="142">
        <v>45943.625</v>
      </c>
      <c r="G1832" s="140" t="s">
        <v>845</v>
      </c>
      <c r="H1832" s="140" t="s">
        <v>861</v>
      </c>
    </row>
    <row r="1833" spans="1:8" ht="15.75" customHeight="1">
      <c r="A1833" s="140" t="s">
        <v>68</v>
      </c>
      <c r="B1833" s="140" t="s">
        <v>22</v>
      </c>
      <c r="C1833" s="141" t="s">
        <v>643</v>
      </c>
      <c r="D1833" s="140" t="s">
        <v>644</v>
      </c>
      <c r="E1833" s="140">
        <v>9</v>
      </c>
      <c r="F1833" s="142">
        <v>45950.625</v>
      </c>
      <c r="G1833" s="140" t="s">
        <v>845</v>
      </c>
      <c r="H1833" s="140" t="s">
        <v>861</v>
      </c>
    </row>
    <row r="1834" spans="1:8" ht="15.75" customHeight="1">
      <c r="A1834" s="140" t="s">
        <v>68</v>
      </c>
      <c r="B1834" s="140" t="s">
        <v>22</v>
      </c>
      <c r="C1834" s="141" t="s">
        <v>643</v>
      </c>
      <c r="D1834" s="140" t="s">
        <v>644</v>
      </c>
      <c r="E1834" s="140">
        <v>10</v>
      </c>
      <c r="F1834" s="142">
        <v>45957.625</v>
      </c>
      <c r="G1834" s="140" t="s">
        <v>845</v>
      </c>
      <c r="H1834" s="140" t="s">
        <v>861</v>
      </c>
    </row>
    <row r="1835" spans="1:8" ht="15.75" customHeight="1">
      <c r="A1835" s="140" t="s">
        <v>68</v>
      </c>
      <c r="B1835" s="140" t="s">
        <v>22</v>
      </c>
      <c r="C1835" s="141" t="s">
        <v>643</v>
      </c>
      <c r="D1835" s="140" t="s">
        <v>644</v>
      </c>
      <c r="E1835" s="140">
        <v>11</v>
      </c>
      <c r="F1835" s="142">
        <v>46007.625</v>
      </c>
      <c r="G1835" s="140" t="s">
        <v>845</v>
      </c>
      <c r="H1835" s="140" t="s">
        <v>861</v>
      </c>
    </row>
    <row r="1836" spans="1:8" ht="15.75" customHeight="1">
      <c r="A1836" s="140" t="s">
        <v>68</v>
      </c>
      <c r="B1836" s="140" t="s">
        <v>22</v>
      </c>
      <c r="C1836" s="141" t="s">
        <v>643</v>
      </c>
      <c r="D1836" s="140" t="s">
        <v>644</v>
      </c>
      <c r="E1836" s="140">
        <v>12</v>
      </c>
      <c r="F1836" s="142">
        <v>46021.583333333328</v>
      </c>
      <c r="G1836" s="140" t="s">
        <v>845</v>
      </c>
      <c r="H1836" s="140" t="s">
        <v>861</v>
      </c>
    </row>
    <row r="1837" spans="1:8" ht="15.75" customHeight="1">
      <c r="A1837" s="140" t="s">
        <v>68</v>
      </c>
      <c r="B1837" s="140" t="s">
        <v>22</v>
      </c>
      <c r="C1837" s="141" t="s">
        <v>715</v>
      </c>
      <c r="D1837" s="140" t="s">
        <v>716</v>
      </c>
      <c r="E1837" s="140">
        <v>1</v>
      </c>
      <c r="F1837" s="142">
        <v>45887.375</v>
      </c>
      <c r="G1837" s="140" t="s">
        <v>845</v>
      </c>
      <c r="H1837" s="140" t="s">
        <v>861</v>
      </c>
    </row>
    <row r="1838" spans="1:8" ht="15.75" customHeight="1">
      <c r="A1838" s="140" t="s">
        <v>68</v>
      </c>
      <c r="B1838" s="140" t="s">
        <v>22</v>
      </c>
      <c r="C1838" s="141" t="s">
        <v>715</v>
      </c>
      <c r="D1838" s="140" t="s">
        <v>716</v>
      </c>
      <c r="E1838" s="140">
        <v>2</v>
      </c>
      <c r="F1838" s="142">
        <v>45894.458333333328</v>
      </c>
      <c r="G1838" s="140" t="s">
        <v>845</v>
      </c>
      <c r="H1838" s="140" t="s">
        <v>861</v>
      </c>
    </row>
    <row r="1839" spans="1:8" ht="15.75" customHeight="1">
      <c r="A1839" s="140" t="s">
        <v>68</v>
      </c>
      <c r="B1839" s="140" t="s">
        <v>22</v>
      </c>
      <c r="C1839" s="141" t="s">
        <v>715</v>
      </c>
      <c r="D1839" s="140" t="s">
        <v>716</v>
      </c>
      <c r="E1839" s="140">
        <v>3</v>
      </c>
      <c r="F1839" s="142">
        <v>45912.583333333328</v>
      </c>
      <c r="G1839" s="140" t="s">
        <v>845</v>
      </c>
      <c r="H1839" s="140" t="s">
        <v>861</v>
      </c>
    </row>
    <row r="1840" spans="1:8" ht="15.75" customHeight="1">
      <c r="A1840" s="140" t="s">
        <v>68</v>
      </c>
      <c r="B1840" s="140" t="s">
        <v>22</v>
      </c>
      <c r="C1840" s="141" t="s">
        <v>715</v>
      </c>
      <c r="D1840" s="140" t="s">
        <v>716</v>
      </c>
      <c r="E1840" s="140">
        <v>4</v>
      </c>
      <c r="F1840" s="142">
        <v>45915.583333333328</v>
      </c>
      <c r="G1840" s="140" t="s">
        <v>843</v>
      </c>
      <c r="H1840" s="140" t="s">
        <v>861</v>
      </c>
    </row>
    <row r="1841" spans="1:8" ht="15.75" customHeight="1">
      <c r="A1841" s="140" t="s">
        <v>68</v>
      </c>
      <c r="B1841" s="140" t="s">
        <v>22</v>
      </c>
      <c r="C1841" s="141" t="s">
        <v>715</v>
      </c>
      <c r="D1841" s="140" t="s">
        <v>716</v>
      </c>
      <c r="E1841" s="140">
        <v>5</v>
      </c>
      <c r="F1841" s="142">
        <v>45922.625</v>
      </c>
      <c r="G1841" s="140" t="s">
        <v>845</v>
      </c>
      <c r="H1841" s="140" t="s">
        <v>861</v>
      </c>
    </row>
    <row r="1842" spans="1:8" ht="15.75" customHeight="1">
      <c r="A1842" s="140" t="s">
        <v>68</v>
      </c>
      <c r="B1842" s="140" t="s">
        <v>22</v>
      </c>
      <c r="C1842" s="141" t="s">
        <v>715</v>
      </c>
      <c r="D1842" s="140" t="s">
        <v>716</v>
      </c>
      <c r="E1842" s="140">
        <v>6</v>
      </c>
      <c r="F1842" s="142">
        <v>45926.583333333328</v>
      </c>
      <c r="G1842" s="140" t="s">
        <v>845</v>
      </c>
      <c r="H1842" s="140" t="s">
        <v>861</v>
      </c>
    </row>
    <row r="1843" spans="1:8" ht="15.75" customHeight="1">
      <c r="A1843" s="140" t="s">
        <v>68</v>
      </c>
      <c r="B1843" s="140" t="s">
        <v>22</v>
      </c>
      <c r="C1843" s="141" t="s">
        <v>715</v>
      </c>
      <c r="D1843" s="140" t="s">
        <v>716</v>
      </c>
      <c r="E1843" s="140">
        <v>7</v>
      </c>
      <c r="F1843" s="142">
        <v>45940.625</v>
      </c>
      <c r="G1843" s="140" t="s">
        <v>845</v>
      </c>
      <c r="H1843" s="140" t="s">
        <v>861</v>
      </c>
    </row>
    <row r="1844" spans="1:8" ht="15.75" customHeight="1">
      <c r="A1844" s="140" t="s">
        <v>68</v>
      </c>
      <c r="B1844" s="140" t="s">
        <v>22</v>
      </c>
      <c r="C1844" s="141" t="s">
        <v>715</v>
      </c>
      <c r="D1844" s="140" t="s">
        <v>716</v>
      </c>
      <c r="E1844" s="140">
        <v>8</v>
      </c>
      <c r="F1844" s="142">
        <v>45943.625</v>
      </c>
      <c r="G1844" s="140" t="s">
        <v>845</v>
      </c>
      <c r="H1844" s="140" t="s">
        <v>861</v>
      </c>
    </row>
    <row r="1845" spans="1:8" ht="15.75" customHeight="1">
      <c r="A1845" s="140" t="s">
        <v>68</v>
      </c>
      <c r="B1845" s="140" t="s">
        <v>22</v>
      </c>
      <c r="C1845" s="141" t="s">
        <v>715</v>
      </c>
      <c r="D1845" s="140" t="s">
        <v>716</v>
      </c>
      <c r="E1845" s="140">
        <v>9</v>
      </c>
      <c r="F1845" s="142">
        <v>45950.625</v>
      </c>
      <c r="G1845" s="140" t="s">
        <v>845</v>
      </c>
      <c r="H1845" s="140" t="s">
        <v>861</v>
      </c>
    </row>
    <row r="1846" spans="1:8" ht="15.75" customHeight="1">
      <c r="A1846" s="140" t="s">
        <v>68</v>
      </c>
      <c r="B1846" s="140" t="s">
        <v>22</v>
      </c>
      <c r="C1846" s="141" t="s">
        <v>715</v>
      </c>
      <c r="D1846" s="140" t="s">
        <v>716</v>
      </c>
      <c r="E1846" s="140">
        <v>10</v>
      </c>
      <c r="F1846" s="142">
        <v>45957.625</v>
      </c>
      <c r="G1846" s="140" t="s">
        <v>845</v>
      </c>
      <c r="H1846" s="140" t="s">
        <v>861</v>
      </c>
    </row>
    <row r="1847" spans="1:8" ht="15.75" customHeight="1">
      <c r="A1847" s="140" t="s">
        <v>68</v>
      </c>
      <c r="B1847" s="140" t="s">
        <v>22</v>
      </c>
      <c r="C1847" s="141" t="s">
        <v>715</v>
      </c>
      <c r="D1847" s="140" t="s">
        <v>716</v>
      </c>
      <c r="E1847" s="140">
        <v>11</v>
      </c>
      <c r="F1847" s="142">
        <v>46007.625</v>
      </c>
      <c r="G1847" s="140" t="s">
        <v>845</v>
      </c>
      <c r="H1847" s="140" t="s">
        <v>861</v>
      </c>
    </row>
    <row r="1848" spans="1:8" ht="15.75" customHeight="1">
      <c r="A1848" s="140" t="s">
        <v>68</v>
      </c>
      <c r="B1848" s="140" t="s">
        <v>22</v>
      </c>
      <c r="C1848" s="141" t="s">
        <v>715</v>
      </c>
      <c r="D1848" s="140" t="s">
        <v>716</v>
      </c>
      <c r="E1848" s="140">
        <v>12</v>
      </c>
      <c r="F1848" s="142">
        <v>46021.583333333328</v>
      </c>
      <c r="G1848" s="140" t="s">
        <v>845</v>
      </c>
      <c r="H1848" s="140" t="s">
        <v>861</v>
      </c>
    </row>
    <row r="1849" spans="1:8" ht="15.75" customHeight="1">
      <c r="A1849" s="140" t="s">
        <v>69</v>
      </c>
      <c r="B1849" s="140" t="s">
        <v>21</v>
      </c>
      <c r="C1849" s="141" t="s">
        <v>257</v>
      </c>
      <c r="D1849" s="140" t="s">
        <v>258</v>
      </c>
      <c r="E1849" s="140">
        <v>1</v>
      </c>
      <c r="F1849" s="142">
        <v>45663.416666666672</v>
      </c>
      <c r="G1849" s="140" t="s">
        <v>845</v>
      </c>
      <c r="H1849" s="140" t="s">
        <v>862</v>
      </c>
    </row>
    <row r="1850" spans="1:8" ht="15.75" customHeight="1">
      <c r="A1850" s="140" t="s">
        <v>69</v>
      </c>
      <c r="B1850" s="140" t="s">
        <v>21</v>
      </c>
      <c r="C1850" s="141" t="s">
        <v>257</v>
      </c>
      <c r="D1850" s="140" t="s">
        <v>258</v>
      </c>
      <c r="E1850" s="140">
        <v>2</v>
      </c>
      <c r="F1850" s="142">
        <v>45671.416666666672</v>
      </c>
      <c r="G1850" s="140" t="s">
        <v>845</v>
      </c>
      <c r="H1850" s="140" t="s">
        <v>862</v>
      </c>
    </row>
    <row r="1851" spans="1:8" ht="15.75" customHeight="1">
      <c r="A1851" s="140" t="s">
        <v>69</v>
      </c>
      <c r="B1851" s="140" t="s">
        <v>21</v>
      </c>
      <c r="C1851" s="141" t="s">
        <v>257</v>
      </c>
      <c r="D1851" s="140" t="s">
        <v>258</v>
      </c>
      <c r="E1851" s="140">
        <v>3</v>
      </c>
      <c r="F1851" s="142">
        <v>45677.416666666672</v>
      </c>
      <c r="G1851" s="140" t="s">
        <v>845</v>
      </c>
      <c r="H1851" s="140" t="s">
        <v>862</v>
      </c>
    </row>
    <row r="1852" spans="1:8" ht="15.75" customHeight="1">
      <c r="A1852" s="140" t="s">
        <v>69</v>
      </c>
      <c r="B1852" s="140" t="s">
        <v>21</v>
      </c>
      <c r="C1852" s="141" t="s">
        <v>257</v>
      </c>
      <c r="D1852" s="140" t="s">
        <v>258</v>
      </c>
      <c r="E1852" s="140">
        <v>4</v>
      </c>
      <c r="F1852" s="142">
        <v>45695.458333333328</v>
      </c>
      <c r="G1852" s="140" t="s">
        <v>845</v>
      </c>
      <c r="H1852" s="140" t="s">
        <v>862</v>
      </c>
    </row>
    <row r="1853" spans="1:8" ht="15.75" customHeight="1">
      <c r="A1853" s="140" t="s">
        <v>69</v>
      </c>
      <c r="B1853" s="140" t="s">
        <v>21</v>
      </c>
      <c r="C1853" s="141" t="s">
        <v>257</v>
      </c>
      <c r="D1853" s="140" t="s">
        <v>258</v>
      </c>
      <c r="E1853" s="140">
        <v>5</v>
      </c>
      <c r="F1853" s="142">
        <v>45702.541666666672</v>
      </c>
      <c r="G1853" s="140" t="s">
        <v>845</v>
      </c>
      <c r="H1853" s="140" t="s">
        <v>862</v>
      </c>
    </row>
    <row r="1854" spans="1:8" ht="15.75" customHeight="1">
      <c r="A1854" s="140" t="s">
        <v>69</v>
      </c>
      <c r="B1854" s="140" t="s">
        <v>21</v>
      </c>
      <c r="C1854" s="141" t="s">
        <v>257</v>
      </c>
      <c r="D1854" s="140" t="s">
        <v>258</v>
      </c>
      <c r="E1854" s="140">
        <v>6</v>
      </c>
      <c r="F1854" s="142">
        <v>45706.458333333328</v>
      </c>
      <c r="G1854" s="140" t="s">
        <v>845</v>
      </c>
      <c r="H1854" s="140" t="s">
        <v>862</v>
      </c>
    </row>
    <row r="1855" spans="1:8" ht="15.75" customHeight="1">
      <c r="A1855" s="140" t="s">
        <v>69</v>
      </c>
      <c r="B1855" s="140" t="s">
        <v>21</v>
      </c>
      <c r="C1855" s="141" t="s">
        <v>257</v>
      </c>
      <c r="D1855" s="140" t="s">
        <v>258</v>
      </c>
      <c r="E1855" s="140">
        <v>7</v>
      </c>
      <c r="F1855" s="142">
        <v>45709.416666666672</v>
      </c>
      <c r="G1855" s="140" t="s">
        <v>845</v>
      </c>
      <c r="H1855" s="140" t="s">
        <v>862</v>
      </c>
    </row>
    <row r="1856" spans="1:8" ht="15.75" customHeight="1">
      <c r="A1856" s="140" t="s">
        <v>69</v>
      </c>
      <c r="B1856" s="140" t="s">
        <v>21</v>
      </c>
      <c r="C1856" s="141" t="s">
        <v>257</v>
      </c>
      <c r="D1856" s="140" t="s">
        <v>258</v>
      </c>
      <c r="E1856" s="140">
        <v>8</v>
      </c>
      <c r="F1856" s="142">
        <v>45713.458333333328</v>
      </c>
      <c r="G1856" s="140" t="s">
        <v>845</v>
      </c>
      <c r="H1856" s="140" t="s">
        <v>862</v>
      </c>
    </row>
    <row r="1857" spans="1:8" ht="15.75" customHeight="1">
      <c r="A1857" s="140" t="s">
        <v>69</v>
      </c>
      <c r="B1857" s="140" t="s">
        <v>21</v>
      </c>
      <c r="C1857" s="141" t="s">
        <v>257</v>
      </c>
      <c r="D1857" s="140" t="s">
        <v>258</v>
      </c>
      <c r="E1857" s="140">
        <v>9</v>
      </c>
      <c r="F1857" s="142">
        <v>45716.416666666672</v>
      </c>
      <c r="G1857" s="140" t="s">
        <v>845</v>
      </c>
      <c r="H1857" s="140" t="s">
        <v>862</v>
      </c>
    </row>
    <row r="1858" spans="1:8" ht="15.75" customHeight="1">
      <c r="A1858" s="140" t="s">
        <v>69</v>
      </c>
      <c r="B1858" s="140" t="s">
        <v>21</v>
      </c>
      <c r="C1858" s="141" t="s">
        <v>257</v>
      </c>
      <c r="D1858" s="140" t="s">
        <v>258</v>
      </c>
      <c r="E1858" s="140">
        <v>10</v>
      </c>
      <c r="F1858" s="142">
        <v>45758.416666666672</v>
      </c>
      <c r="G1858" s="140" t="s">
        <v>845</v>
      </c>
      <c r="H1858" s="140" t="s">
        <v>862</v>
      </c>
    </row>
    <row r="1859" spans="1:8" ht="15.75" customHeight="1">
      <c r="A1859" s="140" t="s">
        <v>69</v>
      </c>
      <c r="B1859" s="140" t="s">
        <v>21</v>
      </c>
      <c r="C1859" s="141" t="s">
        <v>257</v>
      </c>
      <c r="D1859" s="140" t="s">
        <v>258</v>
      </c>
      <c r="E1859" s="140">
        <v>11</v>
      </c>
      <c r="F1859" s="142">
        <v>45765.416666666672</v>
      </c>
      <c r="G1859" s="140" t="s">
        <v>845</v>
      </c>
      <c r="H1859" s="140" t="s">
        <v>862</v>
      </c>
    </row>
    <row r="1860" spans="1:8" ht="15.75" customHeight="1">
      <c r="A1860" s="140" t="s">
        <v>69</v>
      </c>
      <c r="B1860" s="140" t="s">
        <v>21</v>
      </c>
      <c r="C1860" s="141" t="s">
        <v>257</v>
      </c>
      <c r="D1860" s="140" t="s">
        <v>258</v>
      </c>
      <c r="E1860" s="140">
        <v>12</v>
      </c>
      <c r="F1860" s="142">
        <v>45772.416666666672</v>
      </c>
      <c r="G1860" s="140" t="s">
        <v>845</v>
      </c>
      <c r="H1860" s="140" t="s">
        <v>862</v>
      </c>
    </row>
    <row r="1861" spans="1:8" ht="15.75" customHeight="1">
      <c r="A1861" s="140" t="s">
        <v>69</v>
      </c>
      <c r="B1861" s="140" t="s">
        <v>21</v>
      </c>
      <c r="C1861" s="141" t="s">
        <v>311</v>
      </c>
      <c r="D1861" s="140" t="s">
        <v>312</v>
      </c>
      <c r="E1861" s="140">
        <v>1</v>
      </c>
      <c r="F1861" s="142">
        <v>45663.416666666672</v>
      </c>
      <c r="G1861" s="140" t="s">
        <v>845</v>
      </c>
      <c r="H1861" s="140" t="s">
        <v>862</v>
      </c>
    </row>
    <row r="1862" spans="1:8" ht="15.75" customHeight="1">
      <c r="A1862" s="140" t="s">
        <v>69</v>
      </c>
      <c r="B1862" s="140" t="s">
        <v>21</v>
      </c>
      <c r="C1862" s="141" t="s">
        <v>311</v>
      </c>
      <c r="D1862" s="140" t="s">
        <v>312</v>
      </c>
      <c r="E1862" s="140">
        <v>2</v>
      </c>
      <c r="F1862" s="142">
        <v>45671.416666666672</v>
      </c>
      <c r="G1862" s="140" t="s">
        <v>845</v>
      </c>
      <c r="H1862" s="140" t="s">
        <v>862</v>
      </c>
    </row>
    <row r="1863" spans="1:8" ht="15.75" customHeight="1">
      <c r="A1863" s="140" t="s">
        <v>69</v>
      </c>
      <c r="B1863" s="140" t="s">
        <v>21</v>
      </c>
      <c r="C1863" s="141" t="s">
        <v>311</v>
      </c>
      <c r="D1863" s="140" t="s">
        <v>312</v>
      </c>
      <c r="E1863" s="140">
        <v>3</v>
      </c>
      <c r="F1863" s="142">
        <v>45677.416666666672</v>
      </c>
      <c r="G1863" s="140" t="s">
        <v>845</v>
      </c>
      <c r="H1863" s="140" t="s">
        <v>862</v>
      </c>
    </row>
    <row r="1864" spans="1:8" ht="15.75" customHeight="1">
      <c r="A1864" s="140" t="s">
        <v>69</v>
      </c>
      <c r="B1864" s="140" t="s">
        <v>21</v>
      </c>
      <c r="C1864" s="141" t="s">
        <v>311</v>
      </c>
      <c r="D1864" s="140" t="s">
        <v>312</v>
      </c>
      <c r="E1864" s="140">
        <v>4</v>
      </c>
      <c r="F1864" s="142">
        <v>45695.458333333328</v>
      </c>
      <c r="G1864" s="140" t="s">
        <v>845</v>
      </c>
      <c r="H1864" s="140" t="s">
        <v>862</v>
      </c>
    </row>
    <row r="1865" spans="1:8" ht="15.75" customHeight="1">
      <c r="A1865" s="140" t="s">
        <v>69</v>
      </c>
      <c r="B1865" s="140" t="s">
        <v>21</v>
      </c>
      <c r="C1865" s="141" t="s">
        <v>311</v>
      </c>
      <c r="D1865" s="140" t="s">
        <v>312</v>
      </c>
      <c r="E1865" s="140">
        <v>5</v>
      </c>
      <c r="F1865" s="142">
        <v>45702.541666666672</v>
      </c>
      <c r="G1865" s="140" t="s">
        <v>845</v>
      </c>
      <c r="H1865" s="140" t="s">
        <v>862</v>
      </c>
    </row>
    <row r="1866" spans="1:8" ht="15.75" customHeight="1">
      <c r="A1866" s="140" t="s">
        <v>69</v>
      </c>
      <c r="B1866" s="140" t="s">
        <v>21</v>
      </c>
      <c r="C1866" s="141" t="s">
        <v>311</v>
      </c>
      <c r="D1866" s="140" t="s">
        <v>312</v>
      </c>
      <c r="E1866" s="140">
        <v>6</v>
      </c>
      <c r="F1866" s="142">
        <v>45706.458333333328</v>
      </c>
      <c r="G1866" s="140" t="s">
        <v>845</v>
      </c>
      <c r="H1866" s="140" t="s">
        <v>862</v>
      </c>
    </row>
    <row r="1867" spans="1:8" ht="15.75" customHeight="1">
      <c r="A1867" s="140" t="s">
        <v>69</v>
      </c>
      <c r="B1867" s="140" t="s">
        <v>21</v>
      </c>
      <c r="C1867" s="141" t="s">
        <v>311</v>
      </c>
      <c r="D1867" s="140" t="s">
        <v>312</v>
      </c>
      <c r="E1867" s="140">
        <v>7</v>
      </c>
      <c r="F1867" s="142">
        <v>45709.416666666672</v>
      </c>
      <c r="G1867" s="140" t="s">
        <v>843</v>
      </c>
      <c r="H1867" s="140" t="s">
        <v>862</v>
      </c>
    </row>
    <row r="1868" spans="1:8" ht="15.75" customHeight="1">
      <c r="A1868" s="140" t="s">
        <v>69</v>
      </c>
      <c r="B1868" s="140" t="s">
        <v>21</v>
      </c>
      <c r="C1868" s="141" t="s">
        <v>311</v>
      </c>
      <c r="D1868" s="140" t="s">
        <v>312</v>
      </c>
      <c r="E1868" s="140">
        <v>8</v>
      </c>
      <c r="F1868" s="142">
        <v>45713.458333333328</v>
      </c>
      <c r="G1868" s="140" t="s">
        <v>845</v>
      </c>
      <c r="H1868" s="140" t="s">
        <v>862</v>
      </c>
    </row>
    <row r="1869" spans="1:8" ht="15.75" customHeight="1">
      <c r="A1869" s="140" t="s">
        <v>69</v>
      </c>
      <c r="B1869" s="140" t="s">
        <v>21</v>
      </c>
      <c r="C1869" s="141" t="s">
        <v>311</v>
      </c>
      <c r="D1869" s="140" t="s">
        <v>312</v>
      </c>
      <c r="E1869" s="140">
        <v>9</v>
      </c>
      <c r="F1869" s="142">
        <v>45716.416666666672</v>
      </c>
      <c r="G1869" s="140" t="s">
        <v>845</v>
      </c>
      <c r="H1869" s="140" t="s">
        <v>862</v>
      </c>
    </row>
    <row r="1870" spans="1:8" ht="15.75" customHeight="1">
      <c r="A1870" s="140" t="s">
        <v>69</v>
      </c>
      <c r="B1870" s="140" t="s">
        <v>21</v>
      </c>
      <c r="C1870" s="141" t="s">
        <v>311</v>
      </c>
      <c r="D1870" s="140" t="s">
        <v>312</v>
      </c>
      <c r="E1870" s="140">
        <v>10</v>
      </c>
      <c r="F1870" s="142">
        <v>45758.416666666672</v>
      </c>
      <c r="G1870" s="140" t="s">
        <v>845</v>
      </c>
      <c r="H1870" s="140" t="s">
        <v>862</v>
      </c>
    </row>
    <row r="1871" spans="1:8" ht="15.75" customHeight="1">
      <c r="A1871" s="140" t="s">
        <v>69</v>
      </c>
      <c r="B1871" s="140" t="s">
        <v>21</v>
      </c>
      <c r="C1871" s="141" t="s">
        <v>311</v>
      </c>
      <c r="D1871" s="140" t="s">
        <v>312</v>
      </c>
      <c r="E1871" s="140">
        <v>11</v>
      </c>
      <c r="F1871" s="142">
        <v>45765.416666666672</v>
      </c>
      <c r="G1871" s="140" t="s">
        <v>845</v>
      </c>
      <c r="H1871" s="140" t="s">
        <v>862</v>
      </c>
    </row>
    <row r="1872" spans="1:8" ht="15.75" customHeight="1">
      <c r="A1872" s="140" t="s">
        <v>69</v>
      </c>
      <c r="B1872" s="140" t="s">
        <v>21</v>
      </c>
      <c r="C1872" s="141" t="s">
        <v>311</v>
      </c>
      <c r="D1872" s="140" t="s">
        <v>312</v>
      </c>
      <c r="E1872" s="140">
        <v>12</v>
      </c>
      <c r="F1872" s="142">
        <v>45772.416666666672</v>
      </c>
      <c r="G1872" s="140" t="s">
        <v>845</v>
      </c>
      <c r="H1872" s="140" t="s">
        <v>862</v>
      </c>
    </row>
    <row r="1873" spans="1:8" ht="15.75" customHeight="1">
      <c r="A1873" s="140" t="s">
        <v>69</v>
      </c>
      <c r="B1873" s="140" t="s">
        <v>21</v>
      </c>
      <c r="C1873" s="141" t="s">
        <v>323</v>
      </c>
      <c r="D1873" s="140" t="s">
        <v>324</v>
      </c>
      <c r="E1873" s="140">
        <v>1</v>
      </c>
      <c r="F1873" s="142">
        <v>45663.416666666672</v>
      </c>
      <c r="G1873" s="140" t="s">
        <v>845</v>
      </c>
      <c r="H1873" s="140" t="s">
        <v>862</v>
      </c>
    </row>
    <row r="1874" spans="1:8" ht="15.75" customHeight="1">
      <c r="A1874" s="140" t="s">
        <v>69</v>
      </c>
      <c r="B1874" s="140" t="s">
        <v>21</v>
      </c>
      <c r="C1874" s="141" t="s">
        <v>323</v>
      </c>
      <c r="D1874" s="140" t="s">
        <v>324</v>
      </c>
      <c r="E1874" s="140">
        <v>2</v>
      </c>
      <c r="F1874" s="142">
        <v>45671.416666666672</v>
      </c>
      <c r="G1874" s="140" t="s">
        <v>845</v>
      </c>
      <c r="H1874" s="140" t="s">
        <v>862</v>
      </c>
    </row>
    <row r="1875" spans="1:8" ht="15.75" customHeight="1">
      <c r="A1875" s="140" t="s">
        <v>69</v>
      </c>
      <c r="B1875" s="140" t="s">
        <v>21</v>
      </c>
      <c r="C1875" s="141" t="s">
        <v>323</v>
      </c>
      <c r="D1875" s="140" t="s">
        <v>324</v>
      </c>
      <c r="E1875" s="140">
        <v>3</v>
      </c>
      <c r="F1875" s="142">
        <v>45677.416666666672</v>
      </c>
      <c r="G1875" s="140" t="s">
        <v>845</v>
      </c>
      <c r="H1875" s="140" t="s">
        <v>862</v>
      </c>
    </row>
    <row r="1876" spans="1:8" ht="15.75" customHeight="1">
      <c r="A1876" s="140" t="s">
        <v>69</v>
      </c>
      <c r="B1876" s="140" t="s">
        <v>21</v>
      </c>
      <c r="C1876" s="141" t="s">
        <v>323</v>
      </c>
      <c r="D1876" s="140" t="s">
        <v>324</v>
      </c>
      <c r="E1876" s="140">
        <v>4</v>
      </c>
      <c r="F1876" s="142">
        <v>45695.458333333328</v>
      </c>
      <c r="G1876" s="140" t="s">
        <v>845</v>
      </c>
      <c r="H1876" s="140" t="s">
        <v>862</v>
      </c>
    </row>
    <row r="1877" spans="1:8" ht="15.75" customHeight="1">
      <c r="A1877" s="140" t="s">
        <v>69</v>
      </c>
      <c r="B1877" s="140" t="s">
        <v>21</v>
      </c>
      <c r="C1877" s="141" t="s">
        <v>323</v>
      </c>
      <c r="D1877" s="140" t="s">
        <v>324</v>
      </c>
      <c r="E1877" s="140">
        <v>5</v>
      </c>
      <c r="F1877" s="142">
        <v>45702.541666666672</v>
      </c>
      <c r="G1877" s="140" t="s">
        <v>845</v>
      </c>
      <c r="H1877" s="140" t="s">
        <v>862</v>
      </c>
    </row>
    <row r="1878" spans="1:8" ht="15.75" customHeight="1">
      <c r="A1878" s="140" t="s">
        <v>69</v>
      </c>
      <c r="B1878" s="140" t="s">
        <v>21</v>
      </c>
      <c r="C1878" s="141" t="s">
        <v>323</v>
      </c>
      <c r="D1878" s="140" t="s">
        <v>324</v>
      </c>
      <c r="E1878" s="140">
        <v>6</v>
      </c>
      <c r="F1878" s="142">
        <v>45706.458333333328</v>
      </c>
      <c r="G1878" s="140" t="s">
        <v>845</v>
      </c>
      <c r="H1878" s="140" t="s">
        <v>862</v>
      </c>
    </row>
    <row r="1879" spans="1:8" ht="15.75" customHeight="1">
      <c r="A1879" s="140" t="s">
        <v>69</v>
      </c>
      <c r="B1879" s="140" t="s">
        <v>21</v>
      </c>
      <c r="C1879" s="141" t="s">
        <v>323</v>
      </c>
      <c r="D1879" s="140" t="s">
        <v>324</v>
      </c>
      <c r="E1879" s="140">
        <v>7</v>
      </c>
      <c r="F1879" s="142">
        <v>45709.416666666672</v>
      </c>
      <c r="G1879" s="140" t="s">
        <v>845</v>
      </c>
      <c r="H1879" s="140" t="s">
        <v>862</v>
      </c>
    </row>
    <row r="1880" spans="1:8" ht="15.75" customHeight="1">
      <c r="A1880" s="140" t="s">
        <v>69</v>
      </c>
      <c r="B1880" s="140" t="s">
        <v>21</v>
      </c>
      <c r="C1880" s="141" t="s">
        <v>323</v>
      </c>
      <c r="D1880" s="140" t="s">
        <v>324</v>
      </c>
      <c r="E1880" s="140">
        <v>8</v>
      </c>
      <c r="F1880" s="142">
        <v>45713.458333333328</v>
      </c>
      <c r="G1880" s="140" t="s">
        <v>845</v>
      </c>
      <c r="H1880" s="140" t="s">
        <v>862</v>
      </c>
    </row>
    <row r="1881" spans="1:8" ht="15.75" customHeight="1">
      <c r="A1881" s="140" t="s">
        <v>69</v>
      </c>
      <c r="B1881" s="140" t="s">
        <v>21</v>
      </c>
      <c r="C1881" s="141" t="s">
        <v>323</v>
      </c>
      <c r="D1881" s="140" t="s">
        <v>324</v>
      </c>
      <c r="E1881" s="140">
        <v>9</v>
      </c>
      <c r="F1881" s="142">
        <v>45716.416666666672</v>
      </c>
      <c r="G1881" s="140" t="s">
        <v>845</v>
      </c>
      <c r="H1881" s="140" t="s">
        <v>862</v>
      </c>
    </row>
    <row r="1882" spans="1:8" ht="15.75" customHeight="1">
      <c r="A1882" s="140" t="s">
        <v>69</v>
      </c>
      <c r="B1882" s="140" t="s">
        <v>21</v>
      </c>
      <c r="C1882" s="141" t="s">
        <v>323</v>
      </c>
      <c r="D1882" s="140" t="s">
        <v>324</v>
      </c>
      <c r="E1882" s="140">
        <v>10</v>
      </c>
      <c r="F1882" s="142">
        <v>45758.416666666672</v>
      </c>
      <c r="G1882" s="140" t="s">
        <v>843</v>
      </c>
      <c r="H1882" s="140" t="s">
        <v>862</v>
      </c>
    </row>
    <row r="1883" spans="1:8" ht="15.75" customHeight="1">
      <c r="A1883" s="140" t="s">
        <v>69</v>
      </c>
      <c r="B1883" s="140" t="s">
        <v>21</v>
      </c>
      <c r="C1883" s="141" t="s">
        <v>323</v>
      </c>
      <c r="D1883" s="140" t="s">
        <v>324</v>
      </c>
      <c r="E1883" s="140">
        <v>11</v>
      </c>
      <c r="F1883" s="142">
        <v>45765.416666666672</v>
      </c>
      <c r="G1883" s="140" t="s">
        <v>845</v>
      </c>
      <c r="H1883" s="140" t="s">
        <v>862</v>
      </c>
    </row>
    <row r="1884" spans="1:8" ht="15.75" customHeight="1">
      <c r="A1884" s="140" t="s">
        <v>69</v>
      </c>
      <c r="B1884" s="140" t="s">
        <v>21</v>
      </c>
      <c r="C1884" s="141" t="s">
        <v>323</v>
      </c>
      <c r="D1884" s="140" t="s">
        <v>324</v>
      </c>
      <c r="E1884" s="140">
        <v>12</v>
      </c>
      <c r="F1884" s="142">
        <v>45772.416666666672</v>
      </c>
      <c r="G1884" s="140" t="s">
        <v>845</v>
      </c>
      <c r="H1884" s="140" t="s">
        <v>862</v>
      </c>
    </row>
    <row r="1885" spans="1:8" ht="15.75" customHeight="1">
      <c r="A1885" s="140" t="s">
        <v>69</v>
      </c>
      <c r="B1885" s="140" t="s">
        <v>21</v>
      </c>
      <c r="C1885" s="141" t="s">
        <v>403</v>
      </c>
      <c r="D1885" s="140" t="s">
        <v>404</v>
      </c>
      <c r="E1885" s="140">
        <v>1</v>
      </c>
      <c r="F1885" s="142">
        <v>45663.416666666672</v>
      </c>
      <c r="G1885" s="140" t="s">
        <v>845</v>
      </c>
      <c r="H1885" s="140" t="s">
        <v>862</v>
      </c>
    </row>
    <row r="1886" spans="1:8" ht="15.75" customHeight="1">
      <c r="A1886" s="140" t="s">
        <v>69</v>
      </c>
      <c r="B1886" s="140" t="s">
        <v>21</v>
      </c>
      <c r="C1886" s="141" t="s">
        <v>403</v>
      </c>
      <c r="D1886" s="140" t="s">
        <v>404</v>
      </c>
      <c r="E1886" s="140">
        <v>2</v>
      </c>
      <c r="F1886" s="142">
        <v>45671.416666666672</v>
      </c>
      <c r="G1886" s="140" t="s">
        <v>845</v>
      </c>
      <c r="H1886" s="140" t="s">
        <v>862</v>
      </c>
    </row>
    <row r="1887" spans="1:8" ht="15.75" customHeight="1">
      <c r="A1887" s="140" t="s">
        <v>69</v>
      </c>
      <c r="B1887" s="140" t="s">
        <v>21</v>
      </c>
      <c r="C1887" s="141" t="s">
        <v>403</v>
      </c>
      <c r="D1887" s="140" t="s">
        <v>404</v>
      </c>
      <c r="E1887" s="140">
        <v>3</v>
      </c>
      <c r="F1887" s="142">
        <v>45677.416666666672</v>
      </c>
      <c r="G1887" s="140" t="s">
        <v>845</v>
      </c>
      <c r="H1887" s="140" t="s">
        <v>862</v>
      </c>
    </row>
    <row r="1888" spans="1:8" ht="15.75" customHeight="1">
      <c r="A1888" s="140" t="s">
        <v>69</v>
      </c>
      <c r="B1888" s="140" t="s">
        <v>21</v>
      </c>
      <c r="C1888" s="141" t="s">
        <v>403</v>
      </c>
      <c r="D1888" s="140" t="s">
        <v>404</v>
      </c>
      <c r="E1888" s="140">
        <v>4</v>
      </c>
      <c r="F1888" s="142">
        <v>45695.458333333328</v>
      </c>
      <c r="G1888" s="140" t="s">
        <v>845</v>
      </c>
      <c r="H1888" s="140" t="s">
        <v>862</v>
      </c>
    </row>
    <row r="1889" spans="1:8" ht="15.75" customHeight="1">
      <c r="A1889" s="140" t="s">
        <v>69</v>
      </c>
      <c r="B1889" s="140" t="s">
        <v>21</v>
      </c>
      <c r="C1889" s="141" t="s">
        <v>403</v>
      </c>
      <c r="D1889" s="140" t="s">
        <v>404</v>
      </c>
      <c r="E1889" s="140">
        <v>5</v>
      </c>
      <c r="F1889" s="142">
        <v>45702.541666666672</v>
      </c>
      <c r="G1889" s="140" t="s">
        <v>843</v>
      </c>
      <c r="H1889" s="140" t="s">
        <v>862</v>
      </c>
    </row>
    <row r="1890" spans="1:8" ht="15.75" customHeight="1">
      <c r="A1890" s="140" t="s">
        <v>69</v>
      </c>
      <c r="B1890" s="140" t="s">
        <v>21</v>
      </c>
      <c r="C1890" s="141" t="s">
        <v>403</v>
      </c>
      <c r="D1890" s="140" t="s">
        <v>404</v>
      </c>
      <c r="E1890" s="140">
        <v>6</v>
      </c>
      <c r="F1890" s="142">
        <v>45706.458333333328</v>
      </c>
      <c r="G1890" s="140" t="s">
        <v>845</v>
      </c>
      <c r="H1890" s="140" t="s">
        <v>862</v>
      </c>
    </row>
    <row r="1891" spans="1:8" ht="15.75" customHeight="1">
      <c r="A1891" s="140" t="s">
        <v>69</v>
      </c>
      <c r="B1891" s="140" t="s">
        <v>21</v>
      </c>
      <c r="C1891" s="141" t="s">
        <v>403</v>
      </c>
      <c r="D1891" s="140" t="s">
        <v>404</v>
      </c>
      <c r="E1891" s="140">
        <v>7</v>
      </c>
      <c r="F1891" s="142">
        <v>45709.416666666672</v>
      </c>
      <c r="G1891" s="140" t="s">
        <v>845</v>
      </c>
      <c r="H1891" s="140" t="s">
        <v>862</v>
      </c>
    </row>
    <row r="1892" spans="1:8" ht="15.75" customHeight="1">
      <c r="A1892" s="140" t="s">
        <v>69</v>
      </c>
      <c r="B1892" s="140" t="s">
        <v>21</v>
      </c>
      <c r="C1892" s="141" t="s">
        <v>403</v>
      </c>
      <c r="D1892" s="140" t="s">
        <v>404</v>
      </c>
      <c r="E1892" s="140">
        <v>8</v>
      </c>
      <c r="F1892" s="142">
        <v>45713.458333333328</v>
      </c>
      <c r="G1892" s="140" t="s">
        <v>845</v>
      </c>
      <c r="H1892" s="140" t="s">
        <v>862</v>
      </c>
    </row>
    <row r="1893" spans="1:8" ht="15.75" customHeight="1">
      <c r="A1893" s="140" t="s">
        <v>69</v>
      </c>
      <c r="B1893" s="140" t="s">
        <v>21</v>
      </c>
      <c r="C1893" s="141" t="s">
        <v>403</v>
      </c>
      <c r="D1893" s="140" t="s">
        <v>404</v>
      </c>
      <c r="E1893" s="140">
        <v>9</v>
      </c>
      <c r="F1893" s="142">
        <v>45716.416666666672</v>
      </c>
      <c r="G1893" s="140" t="s">
        <v>845</v>
      </c>
      <c r="H1893" s="140" t="s">
        <v>862</v>
      </c>
    </row>
    <row r="1894" spans="1:8" ht="15.75" customHeight="1">
      <c r="A1894" s="140" t="s">
        <v>69</v>
      </c>
      <c r="B1894" s="140" t="s">
        <v>21</v>
      </c>
      <c r="C1894" s="141" t="s">
        <v>403</v>
      </c>
      <c r="D1894" s="140" t="s">
        <v>404</v>
      </c>
      <c r="E1894" s="140">
        <v>10</v>
      </c>
      <c r="F1894" s="142">
        <v>45758.416666666672</v>
      </c>
      <c r="G1894" s="140" t="s">
        <v>845</v>
      </c>
      <c r="H1894" s="140" t="s">
        <v>862</v>
      </c>
    </row>
    <row r="1895" spans="1:8" ht="15.75" customHeight="1">
      <c r="A1895" s="140" t="s">
        <v>69</v>
      </c>
      <c r="B1895" s="140" t="s">
        <v>21</v>
      </c>
      <c r="C1895" s="141" t="s">
        <v>403</v>
      </c>
      <c r="D1895" s="140" t="s">
        <v>404</v>
      </c>
      <c r="E1895" s="140">
        <v>11</v>
      </c>
      <c r="F1895" s="142">
        <v>45765.416666666672</v>
      </c>
      <c r="G1895" s="140" t="s">
        <v>843</v>
      </c>
      <c r="H1895" s="140" t="s">
        <v>862</v>
      </c>
    </row>
    <row r="1896" spans="1:8" ht="15.75" customHeight="1">
      <c r="A1896" s="140" t="s">
        <v>69</v>
      </c>
      <c r="B1896" s="140" t="s">
        <v>21</v>
      </c>
      <c r="C1896" s="141" t="s">
        <v>403</v>
      </c>
      <c r="D1896" s="140" t="s">
        <v>404</v>
      </c>
      <c r="E1896" s="140">
        <v>12</v>
      </c>
      <c r="F1896" s="142">
        <v>45772.416666666672</v>
      </c>
      <c r="G1896" s="140" t="s">
        <v>845</v>
      </c>
      <c r="H1896" s="140" t="s">
        <v>862</v>
      </c>
    </row>
    <row r="1897" spans="1:8" ht="15.75" customHeight="1">
      <c r="A1897" s="140" t="s">
        <v>69</v>
      </c>
      <c r="B1897" s="140" t="s">
        <v>21</v>
      </c>
      <c r="C1897" s="141" t="s">
        <v>639</v>
      </c>
      <c r="D1897" s="140" t="s">
        <v>640</v>
      </c>
      <c r="E1897" s="140">
        <v>1</v>
      </c>
      <c r="F1897" s="142">
        <v>45663.416666666672</v>
      </c>
      <c r="G1897" s="140" t="s">
        <v>845</v>
      </c>
      <c r="H1897" s="140" t="s">
        <v>862</v>
      </c>
    </row>
    <row r="1898" spans="1:8" ht="15.75" customHeight="1">
      <c r="A1898" s="140" t="s">
        <v>69</v>
      </c>
      <c r="B1898" s="140" t="s">
        <v>21</v>
      </c>
      <c r="C1898" s="141" t="s">
        <v>639</v>
      </c>
      <c r="D1898" s="140" t="s">
        <v>640</v>
      </c>
      <c r="E1898" s="140">
        <v>2</v>
      </c>
      <c r="F1898" s="142">
        <v>45671.416666666672</v>
      </c>
      <c r="G1898" s="140" t="s">
        <v>845</v>
      </c>
      <c r="H1898" s="140" t="s">
        <v>862</v>
      </c>
    </row>
    <row r="1899" spans="1:8" ht="15.75" customHeight="1">
      <c r="A1899" s="140" t="s">
        <v>69</v>
      </c>
      <c r="B1899" s="140" t="s">
        <v>21</v>
      </c>
      <c r="C1899" s="141" t="s">
        <v>639</v>
      </c>
      <c r="D1899" s="140" t="s">
        <v>640</v>
      </c>
      <c r="E1899" s="140">
        <v>3</v>
      </c>
      <c r="F1899" s="142">
        <v>45677.416666666672</v>
      </c>
      <c r="G1899" s="140" t="s">
        <v>845</v>
      </c>
      <c r="H1899" s="140" t="s">
        <v>862</v>
      </c>
    </row>
    <row r="1900" spans="1:8" ht="15.75" customHeight="1">
      <c r="A1900" s="140" t="s">
        <v>69</v>
      </c>
      <c r="B1900" s="140" t="s">
        <v>21</v>
      </c>
      <c r="C1900" s="141" t="s">
        <v>639</v>
      </c>
      <c r="D1900" s="140" t="s">
        <v>640</v>
      </c>
      <c r="E1900" s="140">
        <v>4</v>
      </c>
      <c r="F1900" s="142">
        <v>45695.458333333328</v>
      </c>
      <c r="G1900" s="140" t="s">
        <v>845</v>
      </c>
      <c r="H1900" s="140" t="s">
        <v>862</v>
      </c>
    </row>
    <row r="1901" spans="1:8" ht="15.75" customHeight="1">
      <c r="A1901" s="140" t="s">
        <v>69</v>
      </c>
      <c r="B1901" s="140" t="s">
        <v>21</v>
      </c>
      <c r="C1901" s="141" t="s">
        <v>639</v>
      </c>
      <c r="D1901" s="140" t="s">
        <v>640</v>
      </c>
      <c r="E1901" s="140">
        <v>5</v>
      </c>
      <c r="F1901" s="142">
        <v>45702.541666666672</v>
      </c>
      <c r="G1901" s="140" t="s">
        <v>845</v>
      </c>
      <c r="H1901" s="140" t="s">
        <v>862</v>
      </c>
    </row>
    <row r="1902" spans="1:8" ht="15.75" customHeight="1">
      <c r="A1902" s="140" t="s">
        <v>69</v>
      </c>
      <c r="B1902" s="140" t="s">
        <v>21</v>
      </c>
      <c r="C1902" s="141" t="s">
        <v>639</v>
      </c>
      <c r="D1902" s="140" t="s">
        <v>640</v>
      </c>
      <c r="E1902" s="140">
        <v>6</v>
      </c>
      <c r="F1902" s="142">
        <v>45706.458333333328</v>
      </c>
      <c r="G1902" s="140" t="s">
        <v>845</v>
      </c>
      <c r="H1902" s="140" t="s">
        <v>862</v>
      </c>
    </row>
    <row r="1903" spans="1:8" ht="15.75" customHeight="1">
      <c r="A1903" s="140" t="s">
        <v>69</v>
      </c>
      <c r="B1903" s="140" t="s">
        <v>21</v>
      </c>
      <c r="C1903" s="141" t="s">
        <v>639</v>
      </c>
      <c r="D1903" s="140" t="s">
        <v>640</v>
      </c>
      <c r="E1903" s="140">
        <v>7</v>
      </c>
      <c r="F1903" s="142">
        <v>45709.416666666672</v>
      </c>
      <c r="G1903" s="140" t="s">
        <v>845</v>
      </c>
      <c r="H1903" s="140" t="s">
        <v>862</v>
      </c>
    </row>
    <row r="1904" spans="1:8" ht="15.75" customHeight="1">
      <c r="A1904" s="140" t="s">
        <v>69</v>
      </c>
      <c r="B1904" s="140" t="s">
        <v>21</v>
      </c>
      <c r="C1904" s="141" t="s">
        <v>639</v>
      </c>
      <c r="D1904" s="140" t="s">
        <v>640</v>
      </c>
      <c r="E1904" s="140">
        <v>8</v>
      </c>
      <c r="F1904" s="142">
        <v>45713.458333333328</v>
      </c>
      <c r="G1904" s="140" t="s">
        <v>845</v>
      </c>
      <c r="H1904" s="140" t="s">
        <v>862</v>
      </c>
    </row>
    <row r="1905" spans="1:8" ht="15.75" customHeight="1">
      <c r="A1905" s="140" t="s">
        <v>69</v>
      </c>
      <c r="B1905" s="140" t="s">
        <v>21</v>
      </c>
      <c r="C1905" s="141" t="s">
        <v>639</v>
      </c>
      <c r="D1905" s="140" t="s">
        <v>640</v>
      </c>
      <c r="E1905" s="140">
        <v>9</v>
      </c>
      <c r="F1905" s="142">
        <v>45716.416666666672</v>
      </c>
      <c r="G1905" s="140" t="s">
        <v>845</v>
      </c>
      <c r="H1905" s="140" t="s">
        <v>862</v>
      </c>
    </row>
    <row r="1906" spans="1:8" ht="15.75" customHeight="1">
      <c r="A1906" s="140" t="s">
        <v>69</v>
      </c>
      <c r="B1906" s="140" t="s">
        <v>21</v>
      </c>
      <c r="C1906" s="141" t="s">
        <v>639</v>
      </c>
      <c r="D1906" s="140" t="s">
        <v>640</v>
      </c>
      <c r="E1906" s="140">
        <v>10</v>
      </c>
      <c r="F1906" s="142">
        <v>45758.416666666672</v>
      </c>
      <c r="G1906" s="140" t="s">
        <v>845</v>
      </c>
      <c r="H1906" s="140" t="s">
        <v>862</v>
      </c>
    </row>
    <row r="1907" spans="1:8" ht="15.75" customHeight="1">
      <c r="A1907" s="140" t="s">
        <v>69</v>
      </c>
      <c r="B1907" s="140" t="s">
        <v>21</v>
      </c>
      <c r="C1907" s="141" t="s">
        <v>639</v>
      </c>
      <c r="D1907" s="140" t="s">
        <v>640</v>
      </c>
      <c r="E1907" s="140">
        <v>11</v>
      </c>
      <c r="F1907" s="142">
        <v>45765.416666666672</v>
      </c>
      <c r="G1907" s="140" t="s">
        <v>845</v>
      </c>
      <c r="H1907" s="140" t="s">
        <v>862</v>
      </c>
    </row>
    <row r="1908" spans="1:8" ht="15.75" customHeight="1">
      <c r="A1908" s="140" t="s">
        <v>69</v>
      </c>
      <c r="B1908" s="140" t="s">
        <v>21</v>
      </c>
      <c r="C1908" s="141" t="s">
        <v>639</v>
      </c>
      <c r="D1908" s="140" t="s">
        <v>640</v>
      </c>
      <c r="E1908" s="140">
        <v>12</v>
      </c>
      <c r="F1908" s="142">
        <v>45772.416666666672</v>
      </c>
      <c r="G1908" s="140" t="s">
        <v>845</v>
      </c>
      <c r="H1908" s="140" t="s">
        <v>862</v>
      </c>
    </row>
    <row r="1909" spans="1:8" ht="15.75" customHeight="1">
      <c r="A1909" s="140" t="s">
        <v>69</v>
      </c>
      <c r="B1909" s="140" t="s">
        <v>21</v>
      </c>
      <c r="C1909" s="141" t="s">
        <v>715</v>
      </c>
      <c r="D1909" s="140" t="s">
        <v>716</v>
      </c>
      <c r="E1909" s="140">
        <v>1</v>
      </c>
      <c r="F1909" s="142">
        <v>45663.416666666672</v>
      </c>
      <c r="G1909" s="140" t="s">
        <v>845</v>
      </c>
      <c r="H1909" s="140" t="s">
        <v>862</v>
      </c>
    </row>
    <row r="1910" spans="1:8" ht="15.75" customHeight="1">
      <c r="A1910" s="140" t="s">
        <v>69</v>
      </c>
      <c r="B1910" s="140" t="s">
        <v>21</v>
      </c>
      <c r="C1910" s="141" t="s">
        <v>715</v>
      </c>
      <c r="D1910" s="140" t="s">
        <v>716</v>
      </c>
      <c r="E1910" s="140">
        <v>2</v>
      </c>
      <c r="F1910" s="142">
        <v>45671.416666666672</v>
      </c>
      <c r="G1910" s="140" t="s">
        <v>845</v>
      </c>
      <c r="H1910" s="140" t="s">
        <v>862</v>
      </c>
    </row>
    <row r="1911" spans="1:8" ht="15.75" customHeight="1">
      <c r="A1911" s="140" t="s">
        <v>69</v>
      </c>
      <c r="B1911" s="140" t="s">
        <v>21</v>
      </c>
      <c r="C1911" s="141" t="s">
        <v>715</v>
      </c>
      <c r="D1911" s="140" t="s">
        <v>716</v>
      </c>
      <c r="E1911" s="140">
        <v>3</v>
      </c>
      <c r="F1911" s="142">
        <v>45677.416666666672</v>
      </c>
      <c r="G1911" s="140" t="s">
        <v>845</v>
      </c>
      <c r="H1911" s="140" t="s">
        <v>862</v>
      </c>
    </row>
    <row r="1912" spans="1:8" ht="15.75" customHeight="1">
      <c r="A1912" s="140" t="s">
        <v>69</v>
      </c>
      <c r="B1912" s="140" t="s">
        <v>21</v>
      </c>
      <c r="C1912" s="141" t="s">
        <v>715</v>
      </c>
      <c r="D1912" s="140" t="s">
        <v>716</v>
      </c>
      <c r="E1912" s="140">
        <v>4</v>
      </c>
      <c r="F1912" s="142">
        <v>45695.458333333328</v>
      </c>
      <c r="G1912" s="140" t="s">
        <v>845</v>
      </c>
      <c r="H1912" s="140" t="s">
        <v>862</v>
      </c>
    </row>
    <row r="1913" spans="1:8" ht="15.75" customHeight="1">
      <c r="A1913" s="140" t="s">
        <v>69</v>
      </c>
      <c r="B1913" s="140" t="s">
        <v>21</v>
      </c>
      <c r="C1913" s="141" t="s">
        <v>715</v>
      </c>
      <c r="D1913" s="140" t="s">
        <v>716</v>
      </c>
      <c r="E1913" s="140">
        <v>5</v>
      </c>
      <c r="F1913" s="142">
        <v>45702.541666666672</v>
      </c>
      <c r="G1913" s="140" t="s">
        <v>845</v>
      </c>
      <c r="H1913" s="140" t="s">
        <v>862</v>
      </c>
    </row>
    <row r="1914" spans="1:8" ht="15.75" customHeight="1">
      <c r="A1914" s="140" t="s">
        <v>69</v>
      </c>
      <c r="B1914" s="140" t="s">
        <v>21</v>
      </c>
      <c r="C1914" s="141" t="s">
        <v>715</v>
      </c>
      <c r="D1914" s="140" t="s">
        <v>716</v>
      </c>
      <c r="E1914" s="140">
        <v>6</v>
      </c>
      <c r="F1914" s="142">
        <v>45706.458333333328</v>
      </c>
      <c r="G1914" s="140" t="s">
        <v>845</v>
      </c>
      <c r="H1914" s="140" t="s">
        <v>862</v>
      </c>
    </row>
    <row r="1915" spans="1:8" ht="15.75" customHeight="1">
      <c r="A1915" s="140" t="s">
        <v>69</v>
      </c>
      <c r="B1915" s="140" t="s">
        <v>21</v>
      </c>
      <c r="C1915" s="141" t="s">
        <v>715</v>
      </c>
      <c r="D1915" s="140" t="s">
        <v>716</v>
      </c>
      <c r="E1915" s="140">
        <v>7</v>
      </c>
      <c r="F1915" s="142">
        <v>45709.416666666672</v>
      </c>
      <c r="G1915" s="140" t="s">
        <v>845</v>
      </c>
      <c r="H1915" s="140" t="s">
        <v>862</v>
      </c>
    </row>
    <row r="1916" spans="1:8" ht="15.75" customHeight="1">
      <c r="A1916" s="140" t="s">
        <v>69</v>
      </c>
      <c r="B1916" s="140" t="s">
        <v>21</v>
      </c>
      <c r="C1916" s="141" t="s">
        <v>715</v>
      </c>
      <c r="D1916" s="140" t="s">
        <v>716</v>
      </c>
      <c r="E1916" s="140">
        <v>8</v>
      </c>
      <c r="F1916" s="142">
        <v>45713.458333333328</v>
      </c>
      <c r="G1916" s="140" t="s">
        <v>845</v>
      </c>
      <c r="H1916" s="140" t="s">
        <v>862</v>
      </c>
    </row>
    <row r="1917" spans="1:8" ht="15.75" customHeight="1">
      <c r="A1917" s="140" t="s">
        <v>69</v>
      </c>
      <c r="B1917" s="140" t="s">
        <v>21</v>
      </c>
      <c r="C1917" s="141" t="s">
        <v>715</v>
      </c>
      <c r="D1917" s="140" t="s">
        <v>716</v>
      </c>
      <c r="E1917" s="140">
        <v>9</v>
      </c>
      <c r="F1917" s="142">
        <v>45716.416666666672</v>
      </c>
      <c r="G1917" s="140" t="s">
        <v>845</v>
      </c>
      <c r="H1917" s="140" t="s">
        <v>862</v>
      </c>
    </row>
    <row r="1918" spans="1:8" ht="15.75" customHeight="1">
      <c r="A1918" s="140" t="s">
        <v>69</v>
      </c>
      <c r="B1918" s="140" t="s">
        <v>21</v>
      </c>
      <c r="C1918" s="141" t="s">
        <v>715</v>
      </c>
      <c r="D1918" s="140" t="s">
        <v>716</v>
      </c>
      <c r="E1918" s="140">
        <v>10</v>
      </c>
      <c r="F1918" s="142">
        <v>45758.416666666672</v>
      </c>
      <c r="G1918" s="140" t="s">
        <v>843</v>
      </c>
      <c r="H1918" s="140" t="s">
        <v>862</v>
      </c>
    </row>
    <row r="1919" spans="1:8" ht="15.75" customHeight="1">
      <c r="A1919" s="140" t="s">
        <v>69</v>
      </c>
      <c r="B1919" s="140" t="s">
        <v>21</v>
      </c>
      <c r="C1919" s="141" t="s">
        <v>715</v>
      </c>
      <c r="D1919" s="140" t="s">
        <v>716</v>
      </c>
      <c r="E1919" s="140">
        <v>11</v>
      </c>
      <c r="F1919" s="142">
        <v>45765.416666666672</v>
      </c>
      <c r="G1919" s="140" t="s">
        <v>845</v>
      </c>
      <c r="H1919" s="140" t="s">
        <v>862</v>
      </c>
    </row>
    <row r="1920" spans="1:8" ht="15.75" customHeight="1">
      <c r="A1920" s="140" t="s">
        <v>69</v>
      </c>
      <c r="B1920" s="140" t="s">
        <v>21</v>
      </c>
      <c r="C1920" s="141" t="s">
        <v>715</v>
      </c>
      <c r="D1920" s="140" t="s">
        <v>716</v>
      </c>
      <c r="E1920" s="140">
        <v>12</v>
      </c>
      <c r="F1920" s="142">
        <v>45772.416666666672</v>
      </c>
      <c r="G1920" s="140" t="s">
        <v>845</v>
      </c>
      <c r="H1920" s="140" t="s">
        <v>862</v>
      </c>
    </row>
    <row r="1921" spans="1:8" ht="15.75" customHeight="1">
      <c r="A1921" s="140" t="s">
        <v>70</v>
      </c>
      <c r="B1921" s="140" t="s">
        <v>21</v>
      </c>
      <c r="C1921" s="141" t="s">
        <v>167</v>
      </c>
      <c r="D1921" s="140" t="s">
        <v>168</v>
      </c>
      <c r="E1921" s="140">
        <v>1</v>
      </c>
      <c r="F1921" s="142">
        <v>45638.416666666672</v>
      </c>
      <c r="G1921" s="140" t="s">
        <v>845</v>
      </c>
      <c r="H1921" s="140" t="s">
        <v>863</v>
      </c>
    </row>
    <row r="1922" spans="1:8" ht="15.75" customHeight="1">
      <c r="A1922" s="140" t="s">
        <v>70</v>
      </c>
      <c r="B1922" s="140" t="s">
        <v>21</v>
      </c>
      <c r="C1922" s="141" t="s">
        <v>167</v>
      </c>
      <c r="D1922" s="140" t="s">
        <v>168</v>
      </c>
      <c r="E1922" s="140">
        <v>2</v>
      </c>
      <c r="F1922" s="142">
        <v>45649.416666666672</v>
      </c>
      <c r="G1922" s="140" t="s">
        <v>845</v>
      </c>
      <c r="H1922" s="140" t="s">
        <v>863</v>
      </c>
    </row>
    <row r="1923" spans="1:8" ht="15.75" customHeight="1">
      <c r="A1923" s="140" t="s">
        <v>70</v>
      </c>
      <c r="B1923" s="140" t="s">
        <v>21</v>
      </c>
      <c r="C1923" s="141" t="s">
        <v>167</v>
      </c>
      <c r="D1923" s="140" t="s">
        <v>168</v>
      </c>
      <c r="E1923" s="140">
        <v>3</v>
      </c>
      <c r="F1923" s="142">
        <v>45666.416666666672</v>
      </c>
      <c r="G1923" s="140" t="s">
        <v>845</v>
      </c>
      <c r="H1923" s="140" t="s">
        <v>863</v>
      </c>
    </row>
    <row r="1924" spans="1:8" ht="15.75" customHeight="1">
      <c r="A1924" s="140" t="s">
        <v>70</v>
      </c>
      <c r="B1924" s="140" t="s">
        <v>21</v>
      </c>
      <c r="C1924" s="141" t="s">
        <v>167</v>
      </c>
      <c r="D1924" s="140" t="s">
        <v>168</v>
      </c>
      <c r="E1924" s="140">
        <v>4</v>
      </c>
      <c r="F1924" s="142">
        <v>45678.416666666672</v>
      </c>
      <c r="G1924" s="140" t="s">
        <v>845</v>
      </c>
      <c r="H1924" s="140" t="s">
        <v>863</v>
      </c>
    </row>
    <row r="1925" spans="1:8" ht="15.75" customHeight="1">
      <c r="A1925" s="140" t="s">
        <v>70</v>
      </c>
      <c r="B1925" s="140" t="s">
        <v>21</v>
      </c>
      <c r="C1925" s="141" t="s">
        <v>167</v>
      </c>
      <c r="D1925" s="140" t="s">
        <v>168</v>
      </c>
      <c r="E1925" s="140">
        <v>5</v>
      </c>
      <c r="F1925" s="142">
        <v>45694.416666666672</v>
      </c>
      <c r="G1925" s="140" t="s">
        <v>845</v>
      </c>
      <c r="H1925" s="140" t="s">
        <v>863</v>
      </c>
    </row>
    <row r="1926" spans="1:8" ht="15.75" customHeight="1">
      <c r="A1926" s="140" t="s">
        <v>70</v>
      </c>
      <c r="B1926" s="140" t="s">
        <v>21</v>
      </c>
      <c r="C1926" s="141" t="s">
        <v>167</v>
      </c>
      <c r="D1926" s="140" t="s">
        <v>168</v>
      </c>
      <c r="E1926" s="140">
        <v>6</v>
      </c>
      <c r="F1926" s="142">
        <v>45705.416666666672</v>
      </c>
      <c r="G1926" s="140" t="s">
        <v>843</v>
      </c>
      <c r="H1926" s="140" t="s">
        <v>863</v>
      </c>
    </row>
    <row r="1927" spans="1:8" ht="15.75" customHeight="1">
      <c r="A1927" s="140" t="s">
        <v>70</v>
      </c>
      <c r="B1927" s="140" t="s">
        <v>21</v>
      </c>
      <c r="C1927" s="141" t="s">
        <v>167</v>
      </c>
      <c r="D1927" s="140" t="s">
        <v>168</v>
      </c>
      <c r="E1927" s="140">
        <v>7</v>
      </c>
      <c r="F1927" s="142">
        <v>45712.416666666672</v>
      </c>
      <c r="G1927" s="140" t="s">
        <v>843</v>
      </c>
      <c r="H1927" s="140" t="s">
        <v>863</v>
      </c>
    </row>
    <row r="1928" spans="1:8" ht="15.75" customHeight="1">
      <c r="A1928" s="140" t="s">
        <v>70</v>
      </c>
      <c r="B1928" s="140" t="s">
        <v>21</v>
      </c>
      <c r="C1928" s="141" t="s">
        <v>167</v>
      </c>
      <c r="D1928" s="140" t="s">
        <v>168</v>
      </c>
      <c r="E1928" s="140">
        <v>8</v>
      </c>
      <c r="F1928" s="142">
        <v>45756.541666666672</v>
      </c>
      <c r="G1928" s="140" t="s">
        <v>843</v>
      </c>
      <c r="H1928" s="140" t="s">
        <v>863</v>
      </c>
    </row>
    <row r="1929" spans="1:8" ht="15.75" customHeight="1">
      <c r="A1929" s="140" t="s">
        <v>70</v>
      </c>
      <c r="B1929" s="140" t="s">
        <v>21</v>
      </c>
      <c r="C1929" s="141" t="s">
        <v>167</v>
      </c>
      <c r="D1929" s="140" t="s">
        <v>168</v>
      </c>
      <c r="E1929" s="140">
        <v>9</v>
      </c>
      <c r="F1929" s="142">
        <v>45772.458333333328</v>
      </c>
      <c r="G1929" s="140" t="s">
        <v>845</v>
      </c>
      <c r="H1929" s="140" t="s">
        <v>863</v>
      </c>
    </row>
    <row r="1930" spans="1:8" ht="15.75" customHeight="1">
      <c r="A1930" s="140" t="s">
        <v>70</v>
      </c>
      <c r="B1930" s="140" t="s">
        <v>21</v>
      </c>
      <c r="C1930" s="141" t="s">
        <v>167</v>
      </c>
      <c r="D1930" s="140" t="s">
        <v>168</v>
      </c>
      <c r="E1930" s="140">
        <v>10</v>
      </c>
      <c r="F1930" s="142">
        <v>45807.416666666672</v>
      </c>
      <c r="G1930" s="140" t="s">
        <v>845</v>
      </c>
      <c r="H1930" s="140" t="s">
        <v>863</v>
      </c>
    </row>
    <row r="1931" spans="1:8" ht="15.75" customHeight="1">
      <c r="A1931" s="140" t="s">
        <v>70</v>
      </c>
      <c r="B1931" s="140" t="s">
        <v>22</v>
      </c>
      <c r="C1931" s="141" t="s">
        <v>167</v>
      </c>
      <c r="D1931" s="140" t="s">
        <v>168</v>
      </c>
      <c r="E1931" s="140">
        <v>1</v>
      </c>
      <c r="F1931" s="142">
        <v>45841.583333333328</v>
      </c>
      <c r="G1931" s="140" t="s">
        <v>845</v>
      </c>
      <c r="H1931" s="140" t="s">
        <v>863</v>
      </c>
    </row>
    <row r="1932" spans="1:8" ht="15.75" customHeight="1">
      <c r="A1932" s="140" t="s">
        <v>70</v>
      </c>
      <c r="B1932" s="140" t="s">
        <v>22</v>
      </c>
      <c r="C1932" s="141" t="s">
        <v>167</v>
      </c>
      <c r="D1932" s="140" t="s">
        <v>168</v>
      </c>
      <c r="E1932" s="140">
        <v>2</v>
      </c>
      <c r="F1932" s="142">
        <v>45853.416666666672</v>
      </c>
      <c r="G1932" s="140" t="s">
        <v>845</v>
      </c>
      <c r="H1932" s="140" t="s">
        <v>863</v>
      </c>
    </row>
    <row r="1933" spans="1:8" ht="15.75" customHeight="1">
      <c r="A1933" s="140" t="s">
        <v>70</v>
      </c>
      <c r="B1933" s="140" t="s">
        <v>22</v>
      </c>
      <c r="C1933" s="141" t="s">
        <v>167</v>
      </c>
      <c r="D1933" s="140" t="s">
        <v>168</v>
      </c>
      <c r="E1933" s="140">
        <v>3</v>
      </c>
      <c r="F1933" s="142">
        <v>45882.625</v>
      </c>
      <c r="G1933" s="140" t="s">
        <v>843</v>
      </c>
      <c r="H1933" s="140" t="s">
        <v>863</v>
      </c>
    </row>
    <row r="1934" spans="1:8" ht="15.75" customHeight="1">
      <c r="A1934" s="140" t="s">
        <v>70</v>
      </c>
      <c r="B1934" s="140" t="s">
        <v>22</v>
      </c>
      <c r="C1934" s="141" t="s">
        <v>167</v>
      </c>
      <c r="D1934" s="140" t="s">
        <v>168</v>
      </c>
      <c r="E1934" s="140">
        <v>4</v>
      </c>
      <c r="F1934" s="142">
        <v>45889.625</v>
      </c>
      <c r="G1934" s="140" t="s">
        <v>845</v>
      </c>
      <c r="H1934" s="140" t="s">
        <v>863</v>
      </c>
    </row>
    <row r="1935" spans="1:8" ht="15.75" customHeight="1">
      <c r="A1935" s="140" t="s">
        <v>70</v>
      </c>
      <c r="B1935" s="140" t="s">
        <v>22</v>
      </c>
      <c r="C1935" s="141" t="s">
        <v>167</v>
      </c>
      <c r="D1935" s="140" t="s">
        <v>168</v>
      </c>
      <c r="E1935" s="140">
        <v>5</v>
      </c>
      <c r="F1935" s="142">
        <v>45917.625</v>
      </c>
      <c r="G1935" s="140" t="s">
        <v>843</v>
      </c>
      <c r="H1935" s="140" t="s">
        <v>863</v>
      </c>
    </row>
    <row r="1936" spans="1:8" ht="15.75" customHeight="1">
      <c r="A1936" s="140" t="s">
        <v>70</v>
      </c>
      <c r="B1936" s="140" t="s">
        <v>22</v>
      </c>
      <c r="C1936" s="141" t="s">
        <v>167</v>
      </c>
      <c r="D1936" s="140" t="s">
        <v>168</v>
      </c>
      <c r="E1936" s="140">
        <v>6</v>
      </c>
      <c r="F1936" s="142">
        <v>45924.625</v>
      </c>
      <c r="G1936" s="140" t="s">
        <v>845</v>
      </c>
      <c r="H1936" s="140" t="s">
        <v>863</v>
      </c>
    </row>
    <row r="1937" spans="1:8" ht="15.75" customHeight="1">
      <c r="A1937" s="140" t="s">
        <v>70</v>
      </c>
      <c r="B1937" s="140" t="s">
        <v>22</v>
      </c>
      <c r="C1937" s="141" t="s">
        <v>167</v>
      </c>
      <c r="D1937" s="140" t="s">
        <v>168</v>
      </c>
      <c r="E1937" s="140">
        <v>7</v>
      </c>
      <c r="F1937" s="142">
        <v>45931.625</v>
      </c>
      <c r="G1937" s="140" t="s">
        <v>845</v>
      </c>
      <c r="H1937" s="140" t="s">
        <v>863</v>
      </c>
    </row>
    <row r="1938" spans="1:8" ht="15.75" customHeight="1">
      <c r="A1938" s="140" t="s">
        <v>70</v>
      </c>
      <c r="B1938" s="140" t="s">
        <v>21</v>
      </c>
      <c r="C1938" s="141" t="s">
        <v>184</v>
      </c>
      <c r="D1938" s="140" t="s">
        <v>185</v>
      </c>
      <c r="E1938" s="140">
        <v>2</v>
      </c>
      <c r="F1938" s="142">
        <v>45649.416666666672</v>
      </c>
      <c r="G1938" s="140" t="s">
        <v>845</v>
      </c>
      <c r="H1938" s="140" t="s">
        <v>863</v>
      </c>
    </row>
    <row r="1939" spans="1:8" ht="15.75" customHeight="1">
      <c r="A1939" s="140" t="s">
        <v>70</v>
      </c>
      <c r="B1939" s="140" t="s">
        <v>21</v>
      </c>
      <c r="C1939" s="141" t="s">
        <v>184</v>
      </c>
      <c r="D1939" s="140" t="s">
        <v>185</v>
      </c>
      <c r="E1939" s="140">
        <v>3</v>
      </c>
      <c r="F1939" s="142">
        <v>45656.416666666672</v>
      </c>
      <c r="G1939" s="140" t="s">
        <v>845</v>
      </c>
      <c r="H1939" s="140" t="s">
        <v>863</v>
      </c>
    </row>
    <row r="1940" spans="1:8" ht="15.75" customHeight="1">
      <c r="A1940" s="140" t="s">
        <v>70</v>
      </c>
      <c r="B1940" s="140" t="s">
        <v>21</v>
      </c>
      <c r="C1940" s="141" t="s">
        <v>184</v>
      </c>
      <c r="D1940" s="140" t="s">
        <v>185</v>
      </c>
      <c r="E1940" s="140">
        <v>4</v>
      </c>
      <c r="F1940" s="142">
        <v>45678.416666666672</v>
      </c>
      <c r="G1940" s="140" t="s">
        <v>843</v>
      </c>
      <c r="H1940" s="140" t="s">
        <v>863</v>
      </c>
    </row>
    <row r="1941" spans="1:8" ht="15.75" customHeight="1">
      <c r="A1941" s="140" t="s">
        <v>70</v>
      </c>
      <c r="B1941" s="140" t="s">
        <v>21</v>
      </c>
      <c r="C1941" s="141" t="s">
        <v>184</v>
      </c>
      <c r="D1941" s="140" t="s">
        <v>185</v>
      </c>
      <c r="E1941" s="140">
        <v>5</v>
      </c>
      <c r="F1941" s="142">
        <v>45701.416666666672</v>
      </c>
      <c r="G1941" s="140" t="s">
        <v>845</v>
      </c>
      <c r="H1941" s="140" t="s">
        <v>863</v>
      </c>
    </row>
    <row r="1942" spans="1:8" ht="15.75" customHeight="1">
      <c r="A1942" s="140" t="s">
        <v>70</v>
      </c>
      <c r="B1942" s="140" t="s">
        <v>21</v>
      </c>
      <c r="C1942" s="141" t="s">
        <v>184</v>
      </c>
      <c r="D1942" s="140" t="s">
        <v>185</v>
      </c>
      <c r="E1942" s="140">
        <v>6</v>
      </c>
      <c r="F1942" s="142">
        <v>45705.416666666672</v>
      </c>
      <c r="G1942" s="140" t="s">
        <v>845</v>
      </c>
      <c r="H1942" s="140" t="s">
        <v>863</v>
      </c>
    </row>
    <row r="1943" spans="1:8" ht="15.75" customHeight="1">
      <c r="A1943" s="140" t="s">
        <v>70</v>
      </c>
      <c r="B1943" s="140" t="s">
        <v>21</v>
      </c>
      <c r="C1943" s="141" t="s">
        <v>184</v>
      </c>
      <c r="D1943" s="140" t="s">
        <v>185</v>
      </c>
      <c r="E1943" s="140">
        <v>7</v>
      </c>
      <c r="F1943" s="142">
        <v>45712.416666666672</v>
      </c>
      <c r="G1943" s="140" t="s">
        <v>845</v>
      </c>
      <c r="H1943" s="140" t="s">
        <v>863</v>
      </c>
    </row>
    <row r="1944" spans="1:8" ht="15.75" customHeight="1">
      <c r="A1944" s="140" t="s">
        <v>70</v>
      </c>
      <c r="B1944" s="140" t="s">
        <v>21</v>
      </c>
      <c r="C1944" s="141" t="s">
        <v>184</v>
      </c>
      <c r="D1944" s="140" t="s">
        <v>185</v>
      </c>
      <c r="E1944" s="140">
        <v>8</v>
      </c>
      <c r="F1944" s="142">
        <v>45756.541666666672</v>
      </c>
      <c r="G1944" s="140" t="s">
        <v>845</v>
      </c>
      <c r="H1944" s="140" t="s">
        <v>863</v>
      </c>
    </row>
    <row r="1945" spans="1:8" ht="15.75" customHeight="1">
      <c r="A1945" s="140" t="s">
        <v>70</v>
      </c>
      <c r="B1945" s="140" t="s">
        <v>21</v>
      </c>
      <c r="C1945" s="141" t="s">
        <v>184</v>
      </c>
      <c r="D1945" s="140" t="s">
        <v>185</v>
      </c>
      <c r="E1945" s="140">
        <v>9</v>
      </c>
      <c r="F1945" s="142">
        <v>45772.458333333328</v>
      </c>
      <c r="G1945" s="140" t="s">
        <v>845</v>
      </c>
      <c r="H1945" s="140" t="s">
        <v>863</v>
      </c>
    </row>
    <row r="1946" spans="1:8" ht="15.75" customHeight="1">
      <c r="A1946" s="140" t="s">
        <v>70</v>
      </c>
      <c r="B1946" s="140" t="s">
        <v>21</v>
      </c>
      <c r="C1946" s="141" t="s">
        <v>184</v>
      </c>
      <c r="D1946" s="140" t="s">
        <v>185</v>
      </c>
      <c r="E1946" s="140">
        <v>10</v>
      </c>
      <c r="F1946" s="142">
        <v>45807.416666666672</v>
      </c>
      <c r="G1946" s="140" t="s">
        <v>845</v>
      </c>
      <c r="H1946" s="140" t="s">
        <v>863</v>
      </c>
    </row>
    <row r="1947" spans="1:8" ht="15.75" customHeight="1">
      <c r="A1947" s="140" t="s">
        <v>70</v>
      </c>
      <c r="B1947" s="140" t="s">
        <v>22</v>
      </c>
      <c r="C1947" s="141" t="s">
        <v>184</v>
      </c>
      <c r="D1947" s="140" t="s">
        <v>185</v>
      </c>
      <c r="E1947" s="140">
        <v>1</v>
      </c>
      <c r="F1947" s="142">
        <v>45841.583333333328</v>
      </c>
      <c r="G1947" s="140" t="s">
        <v>845</v>
      </c>
      <c r="H1947" s="140" t="s">
        <v>863</v>
      </c>
    </row>
    <row r="1948" spans="1:8" ht="15.75" customHeight="1">
      <c r="A1948" s="140" t="s">
        <v>70</v>
      </c>
      <c r="B1948" s="140" t="s">
        <v>22</v>
      </c>
      <c r="C1948" s="141" t="s">
        <v>184</v>
      </c>
      <c r="D1948" s="140" t="s">
        <v>185</v>
      </c>
      <c r="E1948" s="140">
        <v>2</v>
      </c>
      <c r="F1948" s="142">
        <v>45853.416666666672</v>
      </c>
      <c r="G1948" s="140" t="s">
        <v>845</v>
      </c>
      <c r="H1948" s="140" t="s">
        <v>863</v>
      </c>
    </row>
    <row r="1949" spans="1:8" ht="15.75" customHeight="1">
      <c r="A1949" s="140" t="s">
        <v>70</v>
      </c>
      <c r="B1949" s="140" t="s">
        <v>22</v>
      </c>
      <c r="C1949" s="141" t="s">
        <v>184</v>
      </c>
      <c r="D1949" s="140" t="s">
        <v>185</v>
      </c>
      <c r="E1949" s="140">
        <v>3</v>
      </c>
      <c r="F1949" s="142">
        <v>45882.625</v>
      </c>
      <c r="G1949" s="140" t="s">
        <v>845</v>
      </c>
      <c r="H1949" s="140" t="s">
        <v>863</v>
      </c>
    </row>
    <row r="1950" spans="1:8" ht="15.75" customHeight="1">
      <c r="A1950" s="140" t="s">
        <v>70</v>
      </c>
      <c r="B1950" s="140" t="s">
        <v>22</v>
      </c>
      <c r="C1950" s="141" t="s">
        <v>184</v>
      </c>
      <c r="D1950" s="140" t="s">
        <v>185</v>
      </c>
      <c r="E1950" s="140">
        <v>4</v>
      </c>
      <c r="F1950" s="142">
        <v>45889.625</v>
      </c>
      <c r="G1950" s="140" t="s">
        <v>845</v>
      </c>
      <c r="H1950" s="140" t="s">
        <v>863</v>
      </c>
    </row>
    <row r="1951" spans="1:8" ht="15.75" customHeight="1">
      <c r="A1951" s="140" t="s">
        <v>70</v>
      </c>
      <c r="B1951" s="140" t="s">
        <v>22</v>
      </c>
      <c r="C1951" s="141" t="s">
        <v>184</v>
      </c>
      <c r="D1951" s="140" t="s">
        <v>185</v>
      </c>
      <c r="E1951" s="140">
        <v>5</v>
      </c>
      <c r="F1951" s="142">
        <v>45917.625</v>
      </c>
      <c r="G1951" s="140" t="s">
        <v>845</v>
      </c>
      <c r="H1951" s="140" t="s">
        <v>863</v>
      </c>
    </row>
    <row r="1952" spans="1:8" ht="15.75" customHeight="1">
      <c r="A1952" s="140" t="s">
        <v>70</v>
      </c>
      <c r="B1952" s="140" t="s">
        <v>22</v>
      </c>
      <c r="C1952" s="141" t="s">
        <v>184</v>
      </c>
      <c r="D1952" s="140" t="s">
        <v>185</v>
      </c>
      <c r="E1952" s="140">
        <v>6</v>
      </c>
      <c r="F1952" s="142">
        <v>45924.625</v>
      </c>
      <c r="G1952" s="140" t="s">
        <v>845</v>
      </c>
      <c r="H1952" s="140" t="s">
        <v>863</v>
      </c>
    </row>
    <row r="1953" spans="1:8" ht="15.75" customHeight="1">
      <c r="A1953" s="140" t="s">
        <v>70</v>
      </c>
      <c r="B1953" s="140" t="s">
        <v>22</v>
      </c>
      <c r="C1953" s="141" t="s">
        <v>184</v>
      </c>
      <c r="D1953" s="140" t="s">
        <v>185</v>
      </c>
      <c r="E1953" s="140">
        <v>7</v>
      </c>
      <c r="F1953" s="142">
        <v>45931.625</v>
      </c>
      <c r="G1953" s="140" t="s">
        <v>845</v>
      </c>
      <c r="H1953" s="140" t="s">
        <v>863</v>
      </c>
    </row>
    <row r="1954" spans="1:8" ht="15.75" customHeight="1">
      <c r="A1954" s="140" t="s">
        <v>70</v>
      </c>
      <c r="B1954" s="140" t="s">
        <v>21</v>
      </c>
      <c r="C1954" s="141" t="s">
        <v>188</v>
      </c>
      <c r="D1954" s="140" t="s">
        <v>189</v>
      </c>
      <c r="E1954" s="140">
        <v>1</v>
      </c>
      <c r="F1954" s="142">
        <v>45638.416666666672</v>
      </c>
      <c r="G1954" s="140" t="s">
        <v>845</v>
      </c>
      <c r="H1954" s="140" t="s">
        <v>863</v>
      </c>
    </row>
    <row r="1955" spans="1:8" ht="15.75" customHeight="1">
      <c r="A1955" s="140" t="s">
        <v>70</v>
      </c>
      <c r="B1955" s="140" t="s">
        <v>21</v>
      </c>
      <c r="C1955" s="141" t="s">
        <v>188</v>
      </c>
      <c r="D1955" s="140" t="s">
        <v>189</v>
      </c>
      <c r="E1955" s="140">
        <v>2</v>
      </c>
      <c r="F1955" s="142">
        <v>45649.416666666672</v>
      </c>
      <c r="G1955" s="140" t="s">
        <v>845</v>
      </c>
      <c r="H1955" s="140" t="s">
        <v>863</v>
      </c>
    </row>
    <row r="1956" spans="1:8" ht="15.75" customHeight="1">
      <c r="A1956" s="140" t="s">
        <v>70</v>
      </c>
      <c r="B1956" s="140" t="s">
        <v>21</v>
      </c>
      <c r="C1956" s="141" t="s">
        <v>188</v>
      </c>
      <c r="D1956" s="140" t="s">
        <v>189</v>
      </c>
      <c r="E1956" s="140">
        <v>3</v>
      </c>
      <c r="F1956" s="142">
        <v>45666.416666666672</v>
      </c>
      <c r="G1956" s="140" t="s">
        <v>845</v>
      </c>
      <c r="H1956" s="140" t="s">
        <v>863</v>
      </c>
    </row>
    <row r="1957" spans="1:8" ht="15.75" customHeight="1">
      <c r="A1957" s="140" t="s">
        <v>70</v>
      </c>
      <c r="B1957" s="140" t="s">
        <v>21</v>
      </c>
      <c r="C1957" s="141" t="s">
        <v>188</v>
      </c>
      <c r="D1957" s="140" t="s">
        <v>189</v>
      </c>
      <c r="E1957" s="140">
        <v>4</v>
      </c>
      <c r="F1957" s="142">
        <v>45678.416666666672</v>
      </c>
      <c r="G1957" s="140" t="s">
        <v>845</v>
      </c>
      <c r="H1957" s="140" t="s">
        <v>863</v>
      </c>
    </row>
    <row r="1958" spans="1:8" ht="15.75" customHeight="1">
      <c r="A1958" s="140" t="s">
        <v>70</v>
      </c>
      <c r="B1958" s="140" t="s">
        <v>21</v>
      </c>
      <c r="C1958" s="141" t="s">
        <v>188</v>
      </c>
      <c r="D1958" s="140" t="s">
        <v>189</v>
      </c>
      <c r="E1958" s="140">
        <v>5</v>
      </c>
      <c r="F1958" s="142">
        <v>45701.416666666672</v>
      </c>
      <c r="G1958" s="140" t="s">
        <v>845</v>
      </c>
      <c r="H1958" s="140" t="s">
        <v>863</v>
      </c>
    </row>
    <row r="1959" spans="1:8" ht="15.75" customHeight="1">
      <c r="A1959" s="140" t="s">
        <v>70</v>
      </c>
      <c r="B1959" s="140" t="s">
        <v>21</v>
      </c>
      <c r="C1959" s="141" t="s">
        <v>188</v>
      </c>
      <c r="D1959" s="140" t="s">
        <v>189</v>
      </c>
      <c r="E1959" s="140">
        <v>6</v>
      </c>
      <c r="F1959" s="142">
        <v>45705.416666666672</v>
      </c>
      <c r="G1959" s="140" t="s">
        <v>843</v>
      </c>
      <c r="H1959" s="140" t="s">
        <v>863</v>
      </c>
    </row>
    <row r="1960" spans="1:8" ht="15.75" customHeight="1">
      <c r="A1960" s="140" t="s">
        <v>70</v>
      </c>
      <c r="B1960" s="140" t="s">
        <v>21</v>
      </c>
      <c r="C1960" s="141" t="s">
        <v>188</v>
      </c>
      <c r="D1960" s="140" t="s">
        <v>189</v>
      </c>
      <c r="E1960" s="140">
        <v>7</v>
      </c>
      <c r="F1960" s="142">
        <v>45712.416666666672</v>
      </c>
      <c r="G1960" s="140" t="s">
        <v>845</v>
      </c>
      <c r="H1960" s="140" t="s">
        <v>863</v>
      </c>
    </row>
    <row r="1961" spans="1:8" ht="15.75" customHeight="1">
      <c r="A1961" s="140" t="s">
        <v>70</v>
      </c>
      <c r="B1961" s="140" t="s">
        <v>21</v>
      </c>
      <c r="C1961" s="141" t="s">
        <v>188</v>
      </c>
      <c r="D1961" s="140" t="s">
        <v>189</v>
      </c>
      <c r="E1961" s="140">
        <v>8</v>
      </c>
      <c r="F1961" s="142">
        <v>45756.541666666672</v>
      </c>
      <c r="G1961" s="140" t="s">
        <v>845</v>
      </c>
      <c r="H1961" s="140" t="s">
        <v>863</v>
      </c>
    </row>
    <row r="1962" spans="1:8" ht="15.75" customHeight="1">
      <c r="A1962" s="140" t="s">
        <v>70</v>
      </c>
      <c r="B1962" s="140" t="s">
        <v>21</v>
      </c>
      <c r="C1962" s="141" t="s">
        <v>188</v>
      </c>
      <c r="D1962" s="140" t="s">
        <v>189</v>
      </c>
      <c r="E1962" s="140">
        <v>9</v>
      </c>
      <c r="F1962" s="142">
        <v>45772.458333333328</v>
      </c>
      <c r="G1962" s="140" t="s">
        <v>845</v>
      </c>
      <c r="H1962" s="140" t="s">
        <v>863</v>
      </c>
    </row>
    <row r="1963" spans="1:8" ht="15.75" customHeight="1">
      <c r="A1963" s="140" t="s">
        <v>70</v>
      </c>
      <c r="B1963" s="140" t="s">
        <v>21</v>
      </c>
      <c r="C1963" s="141" t="s">
        <v>188</v>
      </c>
      <c r="D1963" s="140" t="s">
        <v>189</v>
      </c>
      <c r="E1963" s="140">
        <v>10</v>
      </c>
      <c r="F1963" s="142">
        <v>45807.416666666672</v>
      </c>
      <c r="G1963" s="140" t="s">
        <v>845</v>
      </c>
      <c r="H1963" s="140" t="s">
        <v>863</v>
      </c>
    </row>
    <row r="1964" spans="1:8" ht="15.75" customHeight="1">
      <c r="A1964" s="140" t="s">
        <v>70</v>
      </c>
      <c r="B1964" s="140" t="s">
        <v>22</v>
      </c>
      <c r="C1964" s="141" t="s">
        <v>188</v>
      </c>
      <c r="D1964" s="140" t="s">
        <v>189</v>
      </c>
      <c r="E1964" s="140">
        <v>1</v>
      </c>
      <c r="F1964" s="142">
        <v>45841.583333333328</v>
      </c>
      <c r="G1964" s="140" t="s">
        <v>845</v>
      </c>
      <c r="H1964" s="140" t="s">
        <v>863</v>
      </c>
    </row>
    <row r="1965" spans="1:8" ht="15.75" customHeight="1">
      <c r="A1965" s="140" t="s">
        <v>70</v>
      </c>
      <c r="B1965" s="140" t="s">
        <v>22</v>
      </c>
      <c r="C1965" s="141" t="s">
        <v>188</v>
      </c>
      <c r="D1965" s="140" t="s">
        <v>189</v>
      </c>
      <c r="E1965" s="140">
        <v>2</v>
      </c>
      <c r="F1965" s="142">
        <v>45853.416666666672</v>
      </c>
      <c r="G1965" s="140" t="s">
        <v>845</v>
      </c>
      <c r="H1965" s="140" t="s">
        <v>863</v>
      </c>
    </row>
    <row r="1966" spans="1:8" ht="15.75" customHeight="1">
      <c r="A1966" s="140" t="s">
        <v>70</v>
      </c>
      <c r="B1966" s="140" t="s">
        <v>22</v>
      </c>
      <c r="C1966" s="141" t="s">
        <v>188</v>
      </c>
      <c r="D1966" s="140" t="s">
        <v>189</v>
      </c>
      <c r="E1966" s="140">
        <v>3</v>
      </c>
      <c r="F1966" s="142">
        <v>45882.625</v>
      </c>
      <c r="G1966" s="140" t="s">
        <v>845</v>
      </c>
      <c r="H1966" s="140" t="s">
        <v>863</v>
      </c>
    </row>
    <row r="1967" spans="1:8" ht="15.75" customHeight="1">
      <c r="A1967" s="140" t="s">
        <v>70</v>
      </c>
      <c r="B1967" s="140" t="s">
        <v>22</v>
      </c>
      <c r="C1967" s="141" t="s">
        <v>188</v>
      </c>
      <c r="D1967" s="140" t="s">
        <v>189</v>
      </c>
      <c r="E1967" s="140">
        <v>4</v>
      </c>
      <c r="F1967" s="142">
        <v>45889.625</v>
      </c>
      <c r="G1967" s="140" t="s">
        <v>845</v>
      </c>
      <c r="H1967" s="140" t="s">
        <v>863</v>
      </c>
    </row>
    <row r="1968" spans="1:8" ht="15.75" customHeight="1">
      <c r="A1968" s="140" t="s">
        <v>70</v>
      </c>
      <c r="B1968" s="140" t="s">
        <v>22</v>
      </c>
      <c r="C1968" s="141" t="s">
        <v>188</v>
      </c>
      <c r="D1968" s="140" t="s">
        <v>189</v>
      </c>
      <c r="E1968" s="140">
        <v>5</v>
      </c>
      <c r="F1968" s="142">
        <v>45917.625</v>
      </c>
      <c r="G1968" s="140" t="s">
        <v>845</v>
      </c>
      <c r="H1968" s="140" t="s">
        <v>863</v>
      </c>
    </row>
    <row r="1969" spans="1:8" ht="15.75" customHeight="1">
      <c r="A1969" s="140" t="s">
        <v>70</v>
      </c>
      <c r="B1969" s="140" t="s">
        <v>22</v>
      </c>
      <c r="C1969" s="141" t="s">
        <v>188</v>
      </c>
      <c r="D1969" s="140" t="s">
        <v>189</v>
      </c>
      <c r="E1969" s="140">
        <v>6</v>
      </c>
      <c r="F1969" s="142">
        <v>45924.625</v>
      </c>
      <c r="G1969" s="140" t="s">
        <v>845</v>
      </c>
      <c r="H1969" s="140" t="s">
        <v>863</v>
      </c>
    </row>
    <row r="1970" spans="1:8" ht="15.75" customHeight="1">
      <c r="A1970" s="140" t="s">
        <v>70</v>
      </c>
      <c r="B1970" s="140" t="s">
        <v>22</v>
      </c>
      <c r="C1970" s="141" t="s">
        <v>188</v>
      </c>
      <c r="D1970" s="140" t="s">
        <v>189</v>
      </c>
      <c r="E1970" s="140">
        <v>7</v>
      </c>
      <c r="F1970" s="142">
        <v>45931.625</v>
      </c>
      <c r="G1970" s="140" t="s">
        <v>845</v>
      </c>
      <c r="H1970" s="140" t="s">
        <v>863</v>
      </c>
    </row>
    <row r="1971" spans="1:8" ht="15.75" customHeight="1">
      <c r="A1971" s="140" t="s">
        <v>70</v>
      </c>
      <c r="B1971" s="140" t="s">
        <v>21</v>
      </c>
      <c r="C1971" s="141" t="s">
        <v>192</v>
      </c>
      <c r="D1971" s="140" t="s">
        <v>193</v>
      </c>
      <c r="E1971" s="140">
        <v>1</v>
      </c>
      <c r="F1971" s="142">
        <v>45638.416666666672</v>
      </c>
      <c r="G1971" s="140" t="s">
        <v>845</v>
      </c>
      <c r="H1971" s="140" t="s">
        <v>863</v>
      </c>
    </row>
    <row r="1972" spans="1:8" ht="15.75" customHeight="1">
      <c r="A1972" s="140" t="s">
        <v>70</v>
      </c>
      <c r="B1972" s="140" t="s">
        <v>21</v>
      </c>
      <c r="C1972" s="141" t="s">
        <v>192</v>
      </c>
      <c r="D1972" s="140" t="s">
        <v>193</v>
      </c>
      <c r="E1972" s="140">
        <v>2</v>
      </c>
      <c r="F1972" s="142">
        <v>45649.416666666672</v>
      </c>
      <c r="G1972" s="140" t="s">
        <v>843</v>
      </c>
      <c r="H1972" s="140" t="s">
        <v>863</v>
      </c>
    </row>
    <row r="1973" spans="1:8" ht="15.75" customHeight="1">
      <c r="A1973" s="140" t="s">
        <v>70</v>
      </c>
      <c r="B1973" s="140" t="s">
        <v>21</v>
      </c>
      <c r="C1973" s="141" t="s">
        <v>192</v>
      </c>
      <c r="D1973" s="140" t="s">
        <v>193</v>
      </c>
      <c r="E1973" s="140">
        <v>3</v>
      </c>
      <c r="F1973" s="142">
        <v>45656.416666666672</v>
      </c>
      <c r="G1973" s="140" t="s">
        <v>845</v>
      </c>
      <c r="H1973" s="140" t="s">
        <v>863</v>
      </c>
    </row>
    <row r="1974" spans="1:8" ht="15.75" customHeight="1">
      <c r="A1974" s="140" t="s">
        <v>70</v>
      </c>
      <c r="B1974" s="140" t="s">
        <v>21</v>
      </c>
      <c r="C1974" s="141" t="s">
        <v>192</v>
      </c>
      <c r="D1974" s="140" t="s">
        <v>193</v>
      </c>
      <c r="E1974" s="140">
        <v>4</v>
      </c>
      <c r="F1974" s="142">
        <v>45670.416666666672</v>
      </c>
      <c r="G1974" s="140" t="s">
        <v>845</v>
      </c>
      <c r="H1974" s="140" t="s">
        <v>863</v>
      </c>
    </row>
    <row r="1975" spans="1:8" ht="15.75" customHeight="1">
      <c r="A1975" s="140" t="s">
        <v>70</v>
      </c>
      <c r="B1975" s="140" t="s">
        <v>21</v>
      </c>
      <c r="C1975" s="141" t="s">
        <v>192</v>
      </c>
      <c r="D1975" s="140" t="s">
        <v>193</v>
      </c>
      <c r="E1975" s="140">
        <v>5</v>
      </c>
      <c r="F1975" s="142">
        <v>45701.416666666672</v>
      </c>
      <c r="G1975" s="140" t="s">
        <v>845</v>
      </c>
      <c r="H1975" s="140" t="s">
        <v>863</v>
      </c>
    </row>
    <row r="1976" spans="1:8" ht="15.75" customHeight="1">
      <c r="A1976" s="140" t="s">
        <v>70</v>
      </c>
      <c r="B1976" s="140" t="s">
        <v>21</v>
      </c>
      <c r="C1976" s="141" t="s">
        <v>192</v>
      </c>
      <c r="D1976" s="140" t="s">
        <v>193</v>
      </c>
      <c r="E1976" s="140">
        <v>6</v>
      </c>
      <c r="F1976" s="142">
        <v>45705.416666666672</v>
      </c>
      <c r="G1976" s="140" t="s">
        <v>845</v>
      </c>
      <c r="H1976" s="140" t="s">
        <v>863</v>
      </c>
    </row>
    <row r="1977" spans="1:8" ht="15.75" customHeight="1">
      <c r="A1977" s="140" t="s">
        <v>70</v>
      </c>
      <c r="B1977" s="140" t="s">
        <v>21</v>
      </c>
      <c r="C1977" s="141" t="s">
        <v>192</v>
      </c>
      <c r="D1977" s="140" t="s">
        <v>193</v>
      </c>
      <c r="E1977" s="140">
        <v>7</v>
      </c>
      <c r="F1977" s="142">
        <v>45712.416666666672</v>
      </c>
      <c r="G1977" s="140" t="s">
        <v>845</v>
      </c>
      <c r="H1977" s="140" t="s">
        <v>863</v>
      </c>
    </row>
    <row r="1978" spans="1:8" ht="15.75" customHeight="1">
      <c r="A1978" s="140" t="s">
        <v>70</v>
      </c>
      <c r="B1978" s="140" t="s">
        <v>21</v>
      </c>
      <c r="C1978" s="141" t="s">
        <v>192</v>
      </c>
      <c r="D1978" s="140" t="s">
        <v>193</v>
      </c>
      <c r="E1978" s="140">
        <v>8</v>
      </c>
      <c r="F1978" s="142">
        <v>45756.541666666672</v>
      </c>
      <c r="G1978" s="140" t="s">
        <v>845</v>
      </c>
      <c r="H1978" s="140" t="s">
        <v>863</v>
      </c>
    </row>
    <row r="1979" spans="1:8" ht="15.75" customHeight="1">
      <c r="A1979" s="140" t="s">
        <v>70</v>
      </c>
      <c r="B1979" s="140" t="s">
        <v>21</v>
      </c>
      <c r="C1979" s="141" t="s">
        <v>192</v>
      </c>
      <c r="D1979" s="140" t="s">
        <v>193</v>
      </c>
      <c r="E1979" s="140">
        <v>9</v>
      </c>
      <c r="F1979" s="142">
        <v>45772.458333333328</v>
      </c>
      <c r="G1979" s="140" t="s">
        <v>845</v>
      </c>
      <c r="H1979" s="140" t="s">
        <v>863</v>
      </c>
    </row>
    <row r="1980" spans="1:8" ht="15.75" customHeight="1">
      <c r="A1980" s="140" t="s">
        <v>70</v>
      </c>
      <c r="B1980" s="140" t="s">
        <v>21</v>
      </c>
      <c r="C1980" s="141" t="s">
        <v>192</v>
      </c>
      <c r="D1980" s="140" t="s">
        <v>193</v>
      </c>
      <c r="E1980" s="140">
        <v>10</v>
      </c>
      <c r="F1980" s="142">
        <v>45807.416666666672</v>
      </c>
      <c r="G1980" s="140" t="s">
        <v>845</v>
      </c>
      <c r="H1980" s="140" t="s">
        <v>863</v>
      </c>
    </row>
    <row r="1981" spans="1:8" ht="15.75" customHeight="1">
      <c r="A1981" s="140" t="s">
        <v>70</v>
      </c>
      <c r="B1981" s="140" t="s">
        <v>21</v>
      </c>
      <c r="C1981" s="141" t="s">
        <v>202</v>
      </c>
      <c r="D1981" s="140" t="s">
        <v>203</v>
      </c>
      <c r="E1981" s="140">
        <v>1</v>
      </c>
      <c r="F1981" s="142">
        <v>45638.416666666672</v>
      </c>
      <c r="G1981" s="140" t="s">
        <v>845</v>
      </c>
      <c r="H1981" s="140" t="s">
        <v>863</v>
      </c>
    </row>
    <row r="1982" spans="1:8" ht="15.75" customHeight="1">
      <c r="A1982" s="140" t="s">
        <v>70</v>
      </c>
      <c r="B1982" s="140" t="s">
        <v>21</v>
      </c>
      <c r="C1982" s="141" t="s">
        <v>202</v>
      </c>
      <c r="D1982" s="140" t="s">
        <v>203</v>
      </c>
      <c r="E1982" s="140">
        <v>2</v>
      </c>
      <c r="F1982" s="142">
        <v>45649.416666666672</v>
      </c>
      <c r="G1982" s="140" t="s">
        <v>845</v>
      </c>
      <c r="H1982" s="140" t="s">
        <v>863</v>
      </c>
    </row>
    <row r="1983" spans="1:8" ht="15.75" customHeight="1">
      <c r="A1983" s="140" t="s">
        <v>70</v>
      </c>
      <c r="B1983" s="140" t="s">
        <v>21</v>
      </c>
      <c r="C1983" s="141" t="s">
        <v>202</v>
      </c>
      <c r="D1983" s="140" t="s">
        <v>203</v>
      </c>
      <c r="E1983" s="140">
        <v>3</v>
      </c>
      <c r="F1983" s="142">
        <v>45656.416666666672</v>
      </c>
      <c r="G1983" s="140" t="s">
        <v>845</v>
      </c>
      <c r="H1983" s="140" t="s">
        <v>863</v>
      </c>
    </row>
    <row r="1984" spans="1:8" ht="15.75" customHeight="1">
      <c r="A1984" s="140" t="s">
        <v>70</v>
      </c>
      <c r="B1984" s="140" t="s">
        <v>21</v>
      </c>
      <c r="C1984" s="141" t="s">
        <v>202</v>
      </c>
      <c r="D1984" s="140" t="s">
        <v>203</v>
      </c>
      <c r="E1984" s="140">
        <v>4</v>
      </c>
      <c r="F1984" s="142">
        <v>45670.416666666672</v>
      </c>
      <c r="G1984" s="140" t="s">
        <v>845</v>
      </c>
      <c r="H1984" s="140" t="s">
        <v>863</v>
      </c>
    </row>
    <row r="1985" spans="1:8" ht="15.75" customHeight="1">
      <c r="A1985" s="140" t="s">
        <v>70</v>
      </c>
      <c r="B1985" s="140" t="s">
        <v>21</v>
      </c>
      <c r="C1985" s="141" t="s">
        <v>202</v>
      </c>
      <c r="D1985" s="140" t="s">
        <v>203</v>
      </c>
      <c r="E1985" s="140">
        <v>5</v>
      </c>
      <c r="F1985" s="142">
        <v>45694.416666666672</v>
      </c>
      <c r="G1985" s="140" t="s">
        <v>845</v>
      </c>
      <c r="H1985" s="140" t="s">
        <v>863</v>
      </c>
    </row>
    <row r="1986" spans="1:8" ht="15.75" customHeight="1">
      <c r="A1986" s="140" t="s">
        <v>70</v>
      </c>
      <c r="B1986" s="140" t="s">
        <v>21</v>
      </c>
      <c r="C1986" s="141" t="s">
        <v>202</v>
      </c>
      <c r="D1986" s="140" t="s">
        <v>203</v>
      </c>
      <c r="E1986" s="140">
        <v>6</v>
      </c>
      <c r="F1986" s="142">
        <v>45705.416666666672</v>
      </c>
      <c r="G1986" s="140" t="s">
        <v>845</v>
      </c>
      <c r="H1986" s="140" t="s">
        <v>863</v>
      </c>
    </row>
    <row r="1987" spans="1:8" ht="15.75" customHeight="1">
      <c r="A1987" s="140" t="s">
        <v>70</v>
      </c>
      <c r="B1987" s="140" t="s">
        <v>21</v>
      </c>
      <c r="C1987" s="141" t="s">
        <v>202</v>
      </c>
      <c r="D1987" s="140" t="s">
        <v>203</v>
      </c>
      <c r="E1987" s="140">
        <v>7</v>
      </c>
      <c r="F1987" s="142">
        <v>45712.416666666672</v>
      </c>
      <c r="G1987" s="140" t="s">
        <v>845</v>
      </c>
      <c r="H1987" s="140" t="s">
        <v>863</v>
      </c>
    </row>
    <row r="1988" spans="1:8" ht="15.75" customHeight="1">
      <c r="A1988" s="140" t="s">
        <v>70</v>
      </c>
      <c r="B1988" s="140" t="s">
        <v>21</v>
      </c>
      <c r="C1988" s="141" t="s">
        <v>202</v>
      </c>
      <c r="D1988" s="140" t="s">
        <v>203</v>
      </c>
      <c r="E1988" s="140">
        <v>8</v>
      </c>
      <c r="F1988" s="142">
        <v>45756.541666666672</v>
      </c>
      <c r="G1988" s="140" t="s">
        <v>845</v>
      </c>
      <c r="H1988" s="140" t="s">
        <v>863</v>
      </c>
    </row>
    <row r="1989" spans="1:8" ht="15.75" customHeight="1">
      <c r="A1989" s="140" t="s">
        <v>70</v>
      </c>
      <c r="B1989" s="140" t="s">
        <v>21</v>
      </c>
      <c r="C1989" s="141" t="s">
        <v>202</v>
      </c>
      <c r="D1989" s="140" t="s">
        <v>203</v>
      </c>
      <c r="E1989" s="140">
        <v>9</v>
      </c>
      <c r="F1989" s="142">
        <v>45772.458333333328</v>
      </c>
      <c r="G1989" s="140" t="s">
        <v>845</v>
      </c>
      <c r="H1989" s="140" t="s">
        <v>863</v>
      </c>
    </row>
    <row r="1990" spans="1:8" ht="15.75" customHeight="1">
      <c r="A1990" s="140" t="s">
        <v>70</v>
      </c>
      <c r="B1990" s="140" t="s">
        <v>21</v>
      </c>
      <c r="C1990" s="141" t="s">
        <v>202</v>
      </c>
      <c r="D1990" s="140" t="s">
        <v>203</v>
      </c>
      <c r="E1990" s="140">
        <v>10</v>
      </c>
      <c r="F1990" s="142">
        <v>45807.416666666672</v>
      </c>
      <c r="G1990" s="140" t="s">
        <v>845</v>
      </c>
      <c r="H1990" s="140" t="s">
        <v>863</v>
      </c>
    </row>
    <row r="1991" spans="1:8" ht="15.75" customHeight="1">
      <c r="A1991" s="140" t="s">
        <v>70</v>
      </c>
      <c r="B1991" s="140" t="s">
        <v>21</v>
      </c>
      <c r="C1991" s="141" t="s">
        <v>434</v>
      </c>
      <c r="D1991" s="140" t="s">
        <v>435</v>
      </c>
      <c r="E1991" s="140">
        <v>1</v>
      </c>
      <c r="F1991" s="142">
        <v>45638.416666666672</v>
      </c>
      <c r="G1991" s="140" t="s">
        <v>843</v>
      </c>
      <c r="H1991" s="140" t="s">
        <v>863</v>
      </c>
    </row>
    <row r="1992" spans="1:8" ht="15.75" customHeight="1">
      <c r="A1992" s="140" t="s">
        <v>70</v>
      </c>
      <c r="B1992" s="140" t="s">
        <v>21</v>
      </c>
      <c r="C1992" s="141" t="s">
        <v>434</v>
      </c>
      <c r="D1992" s="140" t="s">
        <v>435</v>
      </c>
      <c r="E1992" s="140">
        <v>2</v>
      </c>
      <c r="F1992" s="142">
        <v>45649.416666666672</v>
      </c>
      <c r="G1992" s="140" t="s">
        <v>845</v>
      </c>
      <c r="H1992" s="140" t="s">
        <v>863</v>
      </c>
    </row>
    <row r="1993" spans="1:8" ht="15.75" customHeight="1">
      <c r="A1993" s="140" t="s">
        <v>70</v>
      </c>
      <c r="B1993" s="140" t="s">
        <v>21</v>
      </c>
      <c r="C1993" s="141" t="s">
        <v>434</v>
      </c>
      <c r="D1993" s="140" t="s">
        <v>435</v>
      </c>
      <c r="E1993" s="140">
        <v>3</v>
      </c>
      <c r="F1993" s="142">
        <v>45666.416666666672</v>
      </c>
      <c r="G1993" s="140" t="s">
        <v>845</v>
      </c>
      <c r="H1993" s="140" t="s">
        <v>863</v>
      </c>
    </row>
    <row r="1994" spans="1:8" ht="15.75" customHeight="1">
      <c r="A1994" s="140" t="s">
        <v>70</v>
      </c>
      <c r="B1994" s="140" t="s">
        <v>21</v>
      </c>
      <c r="C1994" s="141" t="s">
        <v>434</v>
      </c>
      <c r="D1994" s="140" t="s">
        <v>435</v>
      </c>
      <c r="E1994" s="140">
        <v>4</v>
      </c>
      <c r="F1994" s="142">
        <v>45678.416666666672</v>
      </c>
      <c r="G1994" s="140" t="s">
        <v>845</v>
      </c>
      <c r="H1994" s="140" t="s">
        <v>863</v>
      </c>
    </row>
    <row r="1995" spans="1:8" ht="15.75" customHeight="1">
      <c r="A1995" s="140" t="s">
        <v>70</v>
      </c>
      <c r="B1995" s="140" t="s">
        <v>21</v>
      </c>
      <c r="C1995" s="141" t="s">
        <v>434</v>
      </c>
      <c r="D1995" s="140" t="s">
        <v>435</v>
      </c>
      <c r="E1995" s="140">
        <v>5</v>
      </c>
      <c r="F1995" s="142">
        <v>45701.416666666672</v>
      </c>
      <c r="G1995" s="140" t="s">
        <v>845</v>
      </c>
      <c r="H1995" s="140" t="s">
        <v>863</v>
      </c>
    </row>
    <row r="1996" spans="1:8" ht="15.75" customHeight="1">
      <c r="A1996" s="140" t="s">
        <v>70</v>
      </c>
      <c r="B1996" s="140" t="s">
        <v>21</v>
      </c>
      <c r="C1996" s="141" t="s">
        <v>434</v>
      </c>
      <c r="D1996" s="140" t="s">
        <v>435</v>
      </c>
      <c r="E1996" s="140">
        <v>6</v>
      </c>
      <c r="F1996" s="142">
        <v>45705.416666666672</v>
      </c>
      <c r="G1996" s="140" t="s">
        <v>845</v>
      </c>
      <c r="H1996" s="140" t="s">
        <v>863</v>
      </c>
    </row>
    <row r="1997" spans="1:8" ht="15.75" customHeight="1">
      <c r="A1997" s="140" t="s">
        <v>70</v>
      </c>
      <c r="B1997" s="140" t="s">
        <v>21</v>
      </c>
      <c r="C1997" s="141" t="s">
        <v>434</v>
      </c>
      <c r="D1997" s="140" t="s">
        <v>435</v>
      </c>
      <c r="E1997" s="140">
        <v>7</v>
      </c>
      <c r="F1997" s="142">
        <v>45712.416666666672</v>
      </c>
      <c r="G1997" s="140" t="s">
        <v>843</v>
      </c>
      <c r="H1997" s="140" t="s">
        <v>863</v>
      </c>
    </row>
    <row r="1998" spans="1:8" ht="15.75" customHeight="1">
      <c r="A1998" s="140" t="s">
        <v>70</v>
      </c>
      <c r="B1998" s="140" t="s">
        <v>21</v>
      </c>
      <c r="C1998" s="141" t="s">
        <v>434</v>
      </c>
      <c r="D1998" s="140" t="s">
        <v>435</v>
      </c>
      <c r="E1998" s="140">
        <v>8</v>
      </c>
      <c r="F1998" s="142">
        <v>45756.541666666672</v>
      </c>
      <c r="G1998" s="140" t="s">
        <v>845</v>
      </c>
      <c r="H1998" s="140" t="s">
        <v>863</v>
      </c>
    </row>
    <row r="1999" spans="1:8" ht="15.75" customHeight="1">
      <c r="A1999" s="140" t="s">
        <v>70</v>
      </c>
      <c r="B1999" s="140" t="s">
        <v>21</v>
      </c>
      <c r="C1999" s="141" t="s">
        <v>434</v>
      </c>
      <c r="D1999" s="140" t="s">
        <v>435</v>
      </c>
      <c r="E1999" s="140">
        <v>9</v>
      </c>
      <c r="F1999" s="142">
        <v>45772.458333333328</v>
      </c>
      <c r="G1999" s="140" t="s">
        <v>845</v>
      </c>
      <c r="H1999" s="140" t="s">
        <v>863</v>
      </c>
    </row>
    <row r="2000" spans="1:8" ht="15.75" customHeight="1">
      <c r="A2000" s="140" t="s">
        <v>70</v>
      </c>
      <c r="B2000" s="140" t="s">
        <v>21</v>
      </c>
      <c r="C2000" s="141" t="s">
        <v>434</v>
      </c>
      <c r="D2000" s="140" t="s">
        <v>435</v>
      </c>
      <c r="E2000" s="140">
        <v>10</v>
      </c>
      <c r="F2000" s="142">
        <v>45807.416666666672</v>
      </c>
      <c r="G2000" s="140" t="s">
        <v>845</v>
      </c>
      <c r="H2000" s="140" t="s">
        <v>863</v>
      </c>
    </row>
    <row r="2001" spans="1:8" ht="15.75" customHeight="1">
      <c r="A2001" s="140" t="s">
        <v>70</v>
      </c>
      <c r="B2001" s="140" t="s">
        <v>22</v>
      </c>
      <c r="C2001" s="141" t="s">
        <v>434</v>
      </c>
      <c r="D2001" s="140" t="s">
        <v>435</v>
      </c>
      <c r="E2001" s="140">
        <v>1</v>
      </c>
      <c r="F2001" s="142">
        <v>45841.583333333328</v>
      </c>
      <c r="G2001" s="140" t="s">
        <v>845</v>
      </c>
      <c r="H2001" s="140" t="s">
        <v>863</v>
      </c>
    </row>
    <row r="2002" spans="1:8" ht="15.75" customHeight="1">
      <c r="A2002" s="140" t="s">
        <v>70</v>
      </c>
      <c r="B2002" s="140" t="s">
        <v>22</v>
      </c>
      <c r="C2002" s="141" t="s">
        <v>434</v>
      </c>
      <c r="D2002" s="140" t="s">
        <v>435</v>
      </c>
      <c r="E2002" s="140">
        <v>2</v>
      </c>
      <c r="F2002" s="142">
        <v>45853.416666666672</v>
      </c>
      <c r="G2002" s="140" t="s">
        <v>845</v>
      </c>
      <c r="H2002" s="140" t="s">
        <v>863</v>
      </c>
    </row>
    <row r="2003" spans="1:8" ht="15.75" customHeight="1">
      <c r="A2003" s="140" t="s">
        <v>70</v>
      </c>
      <c r="B2003" s="140" t="s">
        <v>22</v>
      </c>
      <c r="C2003" s="141" t="s">
        <v>434</v>
      </c>
      <c r="D2003" s="140" t="s">
        <v>435</v>
      </c>
      <c r="E2003" s="140">
        <v>3</v>
      </c>
      <c r="F2003" s="142">
        <v>45882.625</v>
      </c>
      <c r="G2003" s="140" t="s">
        <v>843</v>
      </c>
      <c r="H2003" s="140" t="s">
        <v>863</v>
      </c>
    </row>
    <row r="2004" spans="1:8" ht="15.75" customHeight="1">
      <c r="A2004" s="140" t="s">
        <v>70</v>
      </c>
      <c r="B2004" s="140" t="s">
        <v>22</v>
      </c>
      <c r="C2004" s="141" t="s">
        <v>434</v>
      </c>
      <c r="D2004" s="140" t="s">
        <v>435</v>
      </c>
      <c r="E2004" s="140">
        <v>4</v>
      </c>
      <c r="F2004" s="142">
        <v>45889.625</v>
      </c>
      <c r="G2004" s="140" t="s">
        <v>845</v>
      </c>
      <c r="H2004" s="140" t="s">
        <v>863</v>
      </c>
    </row>
    <row r="2005" spans="1:8" ht="15.75" customHeight="1">
      <c r="A2005" s="140" t="s">
        <v>70</v>
      </c>
      <c r="B2005" s="140" t="s">
        <v>22</v>
      </c>
      <c r="C2005" s="141" t="s">
        <v>434</v>
      </c>
      <c r="D2005" s="140" t="s">
        <v>435</v>
      </c>
      <c r="E2005" s="140">
        <v>5</v>
      </c>
      <c r="F2005" s="142">
        <v>45917.625</v>
      </c>
      <c r="G2005" s="140" t="s">
        <v>845</v>
      </c>
      <c r="H2005" s="140" t="s">
        <v>863</v>
      </c>
    </row>
    <row r="2006" spans="1:8" ht="15.75" customHeight="1">
      <c r="A2006" s="140" t="s">
        <v>70</v>
      </c>
      <c r="B2006" s="140" t="s">
        <v>22</v>
      </c>
      <c r="C2006" s="141" t="s">
        <v>434</v>
      </c>
      <c r="D2006" s="140" t="s">
        <v>435</v>
      </c>
      <c r="E2006" s="140">
        <v>6</v>
      </c>
      <c r="F2006" s="142">
        <v>45924.625</v>
      </c>
      <c r="G2006" s="140" t="s">
        <v>845</v>
      </c>
      <c r="H2006" s="140" t="s">
        <v>863</v>
      </c>
    </row>
    <row r="2007" spans="1:8" ht="15.75" customHeight="1">
      <c r="A2007" s="140" t="s">
        <v>70</v>
      </c>
      <c r="B2007" s="140" t="s">
        <v>22</v>
      </c>
      <c r="C2007" s="141" t="s">
        <v>434</v>
      </c>
      <c r="D2007" s="140" t="s">
        <v>435</v>
      </c>
      <c r="E2007" s="140">
        <v>7</v>
      </c>
      <c r="F2007" s="142">
        <v>45931.625</v>
      </c>
      <c r="G2007" s="140" t="s">
        <v>843</v>
      </c>
      <c r="H2007" s="140" t="s">
        <v>863</v>
      </c>
    </row>
    <row r="2008" spans="1:8" ht="15.75" customHeight="1">
      <c r="A2008" s="140" t="s">
        <v>70</v>
      </c>
      <c r="B2008" s="140" t="s">
        <v>21</v>
      </c>
      <c r="C2008" s="141" t="s">
        <v>607</v>
      </c>
      <c r="D2008" s="140" t="s">
        <v>608</v>
      </c>
      <c r="E2008" s="140">
        <v>1</v>
      </c>
      <c r="F2008" s="142">
        <v>45638.416666666672</v>
      </c>
      <c r="G2008" s="140" t="s">
        <v>843</v>
      </c>
      <c r="H2008" s="140" t="s">
        <v>863</v>
      </c>
    </row>
    <row r="2009" spans="1:8" ht="15.75" customHeight="1">
      <c r="A2009" s="140" t="s">
        <v>70</v>
      </c>
      <c r="B2009" s="140" t="s">
        <v>21</v>
      </c>
      <c r="C2009" s="141" t="s">
        <v>607</v>
      </c>
      <c r="D2009" s="140" t="s">
        <v>608</v>
      </c>
      <c r="E2009" s="140">
        <v>2</v>
      </c>
      <c r="F2009" s="142">
        <v>45649.416666666672</v>
      </c>
      <c r="G2009" s="140" t="s">
        <v>845</v>
      </c>
      <c r="H2009" s="140" t="s">
        <v>863</v>
      </c>
    </row>
    <row r="2010" spans="1:8" ht="15.75" customHeight="1">
      <c r="A2010" s="140" t="s">
        <v>70</v>
      </c>
      <c r="B2010" s="140" t="s">
        <v>21</v>
      </c>
      <c r="C2010" s="141" t="s">
        <v>607</v>
      </c>
      <c r="D2010" s="140" t="s">
        <v>608</v>
      </c>
      <c r="E2010" s="140">
        <v>3</v>
      </c>
      <c r="F2010" s="142">
        <v>45666.416666666672</v>
      </c>
      <c r="G2010" s="140" t="s">
        <v>845</v>
      </c>
      <c r="H2010" s="140" t="s">
        <v>863</v>
      </c>
    </row>
    <row r="2011" spans="1:8" ht="15.75" customHeight="1">
      <c r="A2011" s="140" t="s">
        <v>70</v>
      </c>
      <c r="B2011" s="140" t="s">
        <v>21</v>
      </c>
      <c r="C2011" s="141" t="s">
        <v>607</v>
      </c>
      <c r="D2011" s="140" t="s">
        <v>608</v>
      </c>
      <c r="E2011" s="140">
        <v>4</v>
      </c>
      <c r="F2011" s="142">
        <v>45678.416666666672</v>
      </c>
      <c r="G2011" s="140" t="s">
        <v>843</v>
      </c>
      <c r="H2011" s="140" t="s">
        <v>863</v>
      </c>
    </row>
    <row r="2012" spans="1:8" ht="15.75" customHeight="1">
      <c r="A2012" s="140" t="s">
        <v>70</v>
      </c>
      <c r="B2012" s="140" t="s">
        <v>21</v>
      </c>
      <c r="C2012" s="141" t="s">
        <v>607</v>
      </c>
      <c r="D2012" s="140" t="s">
        <v>608</v>
      </c>
      <c r="E2012" s="140">
        <v>5</v>
      </c>
      <c r="F2012" s="142">
        <v>45694.416666666672</v>
      </c>
      <c r="G2012" s="140" t="s">
        <v>845</v>
      </c>
      <c r="H2012" s="140" t="s">
        <v>863</v>
      </c>
    </row>
    <row r="2013" spans="1:8" ht="15.75" customHeight="1">
      <c r="A2013" s="140" t="s">
        <v>70</v>
      </c>
      <c r="B2013" s="140" t="s">
        <v>21</v>
      </c>
      <c r="C2013" s="141" t="s">
        <v>607</v>
      </c>
      <c r="D2013" s="140" t="s">
        <v>608</v>
      </c>
      <c r="E2013" s="140">
        <v>6</v>
      </c>
      <c r="F2013" s="142">
        <v>45705.416666666672</v>
      </c>
      <c r="G2013" s="140" t="s">
        <v>843</v>
      </c>
      <c r="H2013" s="140" t="s">
        <v>863</v>
      </c>
    </row>
    <row r="2014" spans="1:8" ht="15.75" customHeight="1">
      <c r="A2014" s="140" t="s">
        <v>70</v>
      </c>
      <c r="B2014" s="140" t="s">
        <v>21</v>
      </c>
      <c r="C2014" s="141" t="s">
        <v>607</v>
      </c>
      <c r="D2014" s="140" t="s">
        <v>608</v>
      </c>
      <c r="E2014" s="140">
        <v>7</v>
      </c>
      <c r="F2014" s="142">
        <v>45712.416666666672</v>
      </c>
      <c r="G2014" s="140" t="s">
        <v>845</v>
      </c>
      <c r="H2014" s="140" t="s">
        <v>863</v>
      </c>
    </row>
    <row r="2015" spans="1:8" ht="15.75" customHeight="1">
      <c r="A2015" s="140" t="s">
        <v>70</v>
      </c>
      <c r="B2015" s="140" t="s">
        <v>21</v>
      </c>
      <c r="C2015" s="141" t="s">
        <v>607</v>
      </c>
      <c r="D2015" s="140" t="s">
        <v>608</v>
      </c>
      <c r="E2015" s="140">
        <v>8</v>
      </c>
      <c r="F2015" s="142">
        <v>45756.541666666672</v>
      </c>
      <c r="G2015" s="140" t="s">
        <v>843</v>
      </c>
      <c r="H2015" s="140" t="s">
        <v>863</v>
      </c>
    </row>
    <row r="2016" spans="1:8" ht="15.75" customHeight="1">
      <c r="A2016" s="140" t="s">
        <v>70</v>
      </c>
      <c r="B2016" s="140" t="s">
        <v>21</v>
      </c>
      <c r="C2016" s="141" t="s">
        <v>607</v>
      </c>
      <c r="D2016" s="140" t="s">
        <v>608</v>
      </c>
      <c r="E2016" s="140">
        <v>9</v>
      </c>
      <c r="F2016" s="142">
        <v>45772.458333333328</v>
      </c>
      <c r="G2016" s="140" t="s">
        <v>845</v>
      </c>
      <c r="H2016" s="140" t="s">
        <v>863</v>
      </c>
    </row>
    <row r="2017" spans="1:8" ht="15.75" customHeight="1">
      <c r="A2017" s="140" t="s">
        <v>70</v>
      </c>
      <c r="B2017" s="140" t="s">
        <v>21</v>
      </c>
      <c r="C2017" s="141" t="s">
        <v>607</v>
      </c>
      <c r="D2017" s="140" t="s">
        <v>608</v>
      </c>
      <c r="E2017" s="140">
        <v>10</v>
      </c>
      <c r="F2017" s="142">
        <v>45807.416666666672</v>
      </c>
      <c r="G2017" s="140" t="s">
        <v>845</v>
      </c>
      <c r="H2017" s="140" t="s">
        <v>863</v>
      </c>
    </row>
    <row r="2018" spans="1:8" ht="15.75" customHeight="1">
      <c r="A2018" s="140" t="s">
        <v>70</v>
      </c>
      <c r="B2018" s="140" t="s">
        <v>21</v>
      </c>
      <c r="C2018" s="141" t="s">
        <v>697</v>
      </c>
      <c r="D2018" s="140" t="s">
        <v>698</v>
      </c>
      <c r="E2018" s="140">
        <v>1</v>
      </c>
      <c r="F2018" s="142">
        <v>45638.416666666672</v>
      </c>
      <c r="G2018" s="140" t="s">
        <v>845</v>
      </c>
      <c r="H2018" s="140" t="s">
        <v>863</v>
      </c>
    </row>
    <row r="2019" spans="1:8" ht="15.75" customHeight="1">
      <c r="A2019" s="140" t="s">
        <v>70</v>
      </c>
      <c r="B2019" s="140" t="s">
        <v>21</v>
      </c>
      <c r="C2019" s="141" t="s">
        <v>697</v>
      </c>
      <c r="D2019" s="140" t="s">
        <v>698</v>
      </c>
      <c r="E2019" s="140">
        <v>2</v>
      </c>
      <c r="F2019" s="142">
        <v>45649.416666666672</v>
      </c>
      <c r="G2019" s="140" t="s">
        <v>845</v>
      </c>
      <c r="H2019" s="140" t="s">
        <v>863</v>
      </c>
    </row>
    <row r="2020" spans="1:8" ht="15.75" customHeight="1">
      <c r="A2020" s="140" t="s">
        <v>70</v>
      </c>
      <c r="B2020" s="140" t="s">
        <v>21</v>
      </c>
      <c r="C2020" s="141" t="s">
        <v>697</v>
      </c>
      <c r="D2020" s="140" t="s">
        <v>698</v>
      </c>
      <c r="E2020" s="140">
        <v>3</v>
      </c>
      <c r="F2020" s="142">
        <v>45656.416666666672</v>
      </c>
      <c r="G2020" s="140" t="s">
        <v>845</v>
      </c>
      <c r="H2020" s="140" t="s">
        <v>863</v>
      </c>
    </row>
    <row r="2021" spans="1:8" ht="15.75" customHeight="1">
      <c r="A2021" s="140" t="s">
        <v>70</v>
      </c>
      <c r="B2021" s="140" t="s">
        <v>21</v>
      </c>
      <c r="C2021" s="141" t="s">
        <v>697</v>
      </c>
      <c r="D2021" s="140" t="s">
        <v>698</v>
      </c>
      <c r="E2021" s="140">
        <v>4</v>
      </c>
      <c r="F2021" s="142">
        <v>45670.416666666672</v>
      </c>
      <c r="G2021" s="140" t="s">
        <v>845</v>
      </c>
      <c r="H2021" s="140" t="s">
        <v>863</v>
      </c>
    </row>
    <row r="2022" spans="1:8" ht="15.75" customHeight="1">
      <c r="A2022" s="140" t="s">
        <v>70</v>
      </c>
      <c r="B2022" s="140" t="s">
        <v>21</v>
      </c>
      <c r="C2022" s="141" t="s">
        <v>697</v>
      </c>
      <c r="D2022" s="140" t="s">
        <v>698</v>
      </c>
      <c r="E2022" s="140">
        <v>5</v>
      </c>
      <c r="F2022" s="142">
        <v>45694.416666666672</v>
      </c>
      <c r="G2022" s="140" t="s">
        <v>845</v>
      </c>
      <c r="H2022" s="140" t="s">
        <v>863</v>
      </c>
    </row>
    <row r="2023" spans="1:8" ht="15.75" customHeight="1">
      <c r="A2023" s="140" t="s">
        <v>70</v>
      </c>
      <c r="B2023" s="140" t="s">
        <v>21</v>
      </c>
      <c r="C2023" s="141" t="s">
        <v>697</v>
      </c>
      <c r="D2023" s="140" t="s">
        <v>698</v>
      </c>
      <c r="E2023" s="140">
        <v>6</v>
      </c>
      <c r="F2023" s="142">
        <v>45705.416666666672</v>
      </c>
      <c r="G2023" s="140" t="s">
        <v>845</v>
      </c>
      <c r="H2023" s="140" t="s">
        <v>863</v>
      </c>
    </row>
    <row r="2024" spans="1:8" ht="15.75" customHeight="1">
      <c r="A2024" s="140" t="s">
        <v>70</v>
      </c>
      <c r="B2024" s="140" t="s">
        <v>21</v>
      </c>
      <c r="C2024" s="141" t="s">
        <v>697</v>
      </c>
      <c r="D2024" s="140" t="s">
        <v>698</v>
      </c>
      <c r="E2024" s="140">
        <v>7</v>
      </c>
      <c r="F2024" s="142">
        <v>45712.416666666672</v>
      </c>
      <c r="G2024" s="140" t="s">
        <v>845</v>
      </c>
      <c r="H2024" s="140" t="s">
        <v>863</v>
      </c>
    </row>
    <row r="2025" spans="1:8" ht="15.75" customHeight="1">
      <c r="A2025" s="140" t="s">
        <v>70</v>
      </c>
      <c r="B2025" s="140" t="s">
        <v>21</v>
      </c>
      <c r="C2025" s="141" t="s">
        <v>697</v>
      </c>
      <c r="D2025" s="140" t="s">
        <v>698</v>
      </c>
      <c r="E2025" s="140">
        <v>8</v>
      </c>
      <c r="F2025" s="142">
        <v>45756.541666666672</v>
      </c>
      <c r="G2025" s="140" t="s">
        <v>845</v>
      </c>
      <c r="H2025" s="140" t="s">
        <v>863</v>
      </c>
    </row>
    <row r="2026" spans="1:8" ht="15.75" customHeight="1">
      <c r="A2026" s="140" t="s">
        <v>70</v>
      </c>
      <c r="B2026" s="140" t="s">
        <v>21</v>
      </c>
      <c r="C2026" s="141" t="s">
        <v>697</v>
      </c>
      <c r="D2026" s="140" t="s">
        <v>698</v>
      </c>
      <c r="E2026" s="140">
        <v>9</v>
      </c>
      <c r="F2026" s="142">
        <v>45772.458333333328</v>
      </c>
      <c r="G2026" s="140" t="s">
        <v>845</v>
      </c>
      <c r="H2026" s="140" t="s">
        <v>863</v>
      </c>
    </row>
    <row r="2027" spans="1:8" ht="15.75" customHeight="1">
      <c r="A2027" s="140" t="s">
        <v>70</v>
      </c>
      <c r="B2027" s="140" t="s">
        <v>21</v>
      </c>
      <c r="C2027" s="141" t="s">
        <v>697</v>
      </c>
      <c r="D2027" s="140" t="s">
        <v>698</v>
      </c>
      <c r="E2027" s="140">
        <v>10</v>
      </c>
      <c r="F2027" s="142">
        <v>45807.416666666672</v>
      </c>
      <c r="G2027" s="140" t="s">
        <v>845</v>
      </c>
      <c r="H2027" s="140" t="s">
        <v>863</v>
      </c>
    </row>
    <row r="2028" spans="1:8" ht="15.75" customHeight="1">
      <c r="A2028" s="140" t="s">
        <v>70</v>
      </c>
      <c r="B2028" s="140" t="s">
        <v>22</v>
      </c>
      <c r="C2028" s="141" t="s">
        <v>697</v>
      </c>
      <c r="D2028" s="140" t="s">
        <v>698</v>
      </c>
      <c r="E2028" s="140">
        <v>1</v>
      </c>
      <c r="F2028" s="142">
        <v>45841.583333333328</v>
      </c>
      <c r="G2028" s="140" t="s">
        <v>845</v>
      </c>
      <c r="H2028" s="140" t="s">
        <v>863</v>
      </c>
    </row>
    <row r="2029" spans="1:8" ht="15.75" customHeight="1">
      <c r="A2029" s="140" t="s">
        <v>70</v>
      </c>
      <c r="B2029" s="140" t="s">
        <v>22</v>
      </c>
      <c r="C2029" s="141" t="s">
        <v>697</v>
      </c>
      <c r="D2029" s="140" t="s">
        <v>698</v>
      </c>
      <c r="E2029" s="140">
        <v>2</v>
      </c>
      <c r="F2029" s="142">
        <v>45853.416666666672</v>
      </c>
      <c r="G2029" s="140" t="s">
        <v>845</v>
      </c>
      <c r="H2029" s="140" t="s">
        <v>863</v>
      </c>
    </row>
    <row r="2030" spans="1:8" ht="15.75" customHeight="1">
      <c r="A2030" s="140" t="s">
        <v>70</v>
      </c>
      <c r="B2030" s="140" t="s">
        <v>22</v>
      </c>
      <c r="C2030" s="141" t="s">
        <v>697</v>
      </c>
      <c r="D2030" s="140" t="s">
        <v>698</v>
      </c>
      <c r="E2030" s="140">
        <v>3</v>
      </c>
      <c r="F2030" s="142">
        <v>45882.625</v>
      </c>
      <c r="G2030" s="140" t="s">
        <v>845</v>
      </c>
      <c r="H2030" s="140" t="s">
        <v>863</v>
      </c>
    </row>
    <row r="2031" spans="1:8" ht="15.75" customHeight="1">
      <c r="A2031" s="140" t="s">
        <v>70</v>
      </c>
      <c r="B2031" s="140" t="s">
        <v>22</v>
      </c>
      <c r="C2031" s="141" t="s">
        <v>697</v>
      </c>
      <c r="D2031" s="140" t="s">
        <v>698</v>
      </c>
      <c r="E2031" s="140">
        <v>4</v>
      </c>
      <c r="F2031" s="142">
        <v>45889.625</v>
      </c>
      <c r="G2031" s="140" t="s">
        <v>845</v>
      </c>
      <c r="H2031" s="140" t="s">
        <v>863</v>
      </c>
    </row>
    <row r="2032" spans="1:8" ht="15.75" customHeight="1">
      <c r="A2032" s="140" t="s">
        <v>70</v>
      </c>
      <c r="B2032" s="140" t="s">
        <v>22</v>
      </c>
      <c r="C2032" s="141" t="s">
        <v>697</v>
      </c>
      <c r="D2032" s="140" t="s">
        <v>698</v>
      </c>
      <c r="E2032" s="140">
        <v>5</v>
      </c>
      <c r="F2032" s="142">
        <v>45917.625</v>
      </c>
      <c r="G2032" s="140" t="s">
        <v>845</v>
      </c>
      <c r="H2032" s="140" t="s">
        <v>863</v>
      </c>
    </row>
    <row r="2033" spans="1:8" ht="15.75" customHeight="1">
      <c r="A2033" s="140" t="s">
        <v>70</v>
      </c>
      <c r="B2033" s="140" t="s">
        <v>22</v>
      </c>
      <c r="C2033" s="141" t="s">
        <v>697</v>
      </c>
      <c r="D2033" s="140" t="s">
        <v>698</v>
      </c>
      <c r="E2033" s="140">
        <v>6</v>
      </c>
      <c r="F2033" s="142">
        <v>45924.625</v>
      </c>
      <c r="G2033" s="140" t="s">
        <v>845</v>
      </c>
      <c r="H2033" s="140" t="s">
        <v>863</v>
      </c>
    </row>
    <row r="2034" spans="1:8" ht="15.75" customHeight="1">
      <c r="A2034" s="140" t="s">
        <v>70</v>
      </c>
      <c r="B2034" s="140" t="s">
        <v>22</v>
      </c>
      <c r="C2034" s="141" t="s">
        <v>697</v>
      </c>
      <c r="D2034" s="140" t="s">
        <v>698</v>
      </c>
      <c r="E2034" s="140">
        <v>7</v>
      </c>
      <c r="F2034" s="142">
        <v>45931.625</v>
      </c>
      <c r="G2034" s="140" t="s">
        <v>845</v>
      </c>
      <c r="H2034" s="140" t="s">
        <v>863</v>
      </c>
    </row>
    <row r="2035" spans="1:8" ht="15.75" customHeight="1">
      <c r="A2035" s="140" t="s">
        <v>71</v>
      </c>
      <c r="B2035" s="140" t="s">
        <v>24</v>
      </c>
      <c r="C2035" s="141" t="s">
        <v>288</v>
      </c>
      <c r="D2035" s="140" t="s">
        <v>289</v>
      </c>
      <c r="E2035" s="140">
        <v>1</v>
      </c>
      <c r="F2035" s="142">
        <v>45713.583333333328</v>
      </c>
      <c r="G2035" s="140" t="s">
        <v>845</v>
      </c>
      <c r="H2035" s="140" t="s">
        <v>864</v>
      </c>
    </row>
    <row r="2036" spans="1:8" ht="15.75" customHeight="1">
      <c r="A2036" s="140" t="s">
        <v>71</v>
      </c>
      <c r="B2036" s="140" t="s">
        <v>24</v>
      </c>
      <c r="C2036" s="141" t="s">
        <v>288</v>
      </c>
      <c r="D2036" s="140" t="s">
        <v>289</v>
      </c>
      <c r="E2036" s="140">
        <v>2</v>
      </c>
      <c r="F2036" s="142">
        <v>45827.458333333328</v>
      </c>
      <c r="G2036" s="140" t="s">
        <v>845</v>
      </c>
      <c r="H2036" s="140" t="s">
        <v>864</v>
      </c>
    </row>
    <row r="2037" spans="1:8" ht="15.75" customHeight="1">
      <c r="A2037" s="140" t="s">
        <v>71</v>
      </c>
      <c r="B2037" s="140" t="s">
        <v>24</v>
      </c>
      <c r="C2037" s="141" t="s">
        <v>288</v>
      </c>
      <c r="D2037" s="140" t="s">
        <v>289</v>
      </c>
      <c r="E2037" s="140">
        <v>3</v>
      </c>
      <c r="F2037" s="142">
        <v>45833.625</v>
      </c>
      <c r="G2037" s="140" t="s">
        <v>845</v>
      </c>
      <c r="H2037" s="140" t="s">
        <v>864</v>
      </c>
    </row>
    <row r="2038" spans="1:8" ht="15.75" customHeight="1">
      <c r="A2038" s="140" t="s">
        <v>71</v>
      </c>
      <c r="B2038" s="140" t="s">
        <v>24</v>
      </c>
      <c r="C2038" s="141" t="s">
        <v>288</v>
      </c>
      <c r="D2038" s="140" t="s">
        <v>289</v>
      </c>
      <c r="E2038" s="140">
        <v>4</v>
      </c>
      <c r="F2038" s="142">
        <v>45853.625</v>
      </c>
      <c r="G2038" s="140" t="s">
        <v>845</v>
      </c>
      <c r="H2038" s="140" t="s">
        <v>864</v>
      </c>
    </row>
    <row r="2039" spans="1:8" ht="15.75" customHeight="1">
      <c r="A2039" s="140" t="s">
        <v>71</v>
      </c>
      <c r="B2039" s="140" t="s">
        <v>24</v>
      </c>
      <c r="C2039" s="141" t="s">
        <v>288</v>
      </c>
      <c r="D2039" s="140" t="s">
        <v>289</v>
      </c>
      <c r="E2039" s="140">
        <v>5</v>
      </c>
      <c r="F2039" s="142">
        <v>45869.375</v>
      </c>
      <c r="G2039" s="140" t="s">
        <v>845</v>
      </c>
      <c r="H2039" s="140" t="s">
        <v>864</v>
      </c>
    </row>
    <row r="2040" spans="1:8" ht="15.75" customHeight="1">
      <c r="A2040" s="140" t="s">
        <v>71</v>
      </c>
      <c r="B2040" s="140" t="s">
        <v>24</v>
      </c>
      <c r="C2040" s="141" t="s">
        <v>288</v>
      </c>
      <c r="D2040" s="140" t="s">
        <v>289</v>
      </c>
      <c r="E2040" s="140">
        <v>6</v>
      </c>
      <c r="F2040" s="142">
        <v>45882.458333333328</v>
      </c>
      <c r="G2040" s="140" t="s">
        <v>845</v>
      </c>
      <c r="H2040" s="140" t="s">
        <v>864</v>
      </c>
    </row>
    <row r="2041" spans="1:8" ht="15.75" customHeight="1">
      <c r="A2041" s="140" t="s">
        <v>71</v>
      </c>
      <c r="B2041" s="140" t="s">
        <v>24</v>
      </c>
      <c r="C2041" s="141" t="s">
        <v>288</v>
      </c>
      <c r="D2041" s="140" t="s">
        <v>289</v>
      </c>
      <c r="E2041" s="140">
        <v>7</v>
      </c>
      <c r="F2041" s="142">
        <v>45896.625</v>
      </c>
      <c r="G2041" s="140" t="s">
        <v>843</v>
      </c>
      <c r="H2041" s="140" t="s">
        <v>864</v>
      </c>
    </row>
    <row r="2042" spans="1:8" ht="15.75" customHeight="1">
      <c r="A2042" s="140" t="s">
        <v>71</v>
      </c>
      <c r="B2042" s="140" t="s">
        <v>24</v>
      </c>
      <c r="C2042" s="141" t="s">
        <v>288</v>
      </c>
      <c r="D2042" s="140" t="s">
        <v>289</v>
      </c>
      <c r="E2042" s="140">
        <v>8</v>
      </c>
      <c r="F2042" s="142">
        <v>45917.375</v>
      </c>
      <c r="G2042" s="140" t="s">
        <v>845</v>
      </c>
      <c r="H2042" s="140" t="s">
        <v>864</v>
      </c>
    </row>
    <row r="2043" spans="1:8" ht="15.75" customHeight="1">
      <c r="A2043" s="140" t="s">
        <v>71</v>
      </c>
      <c r="B2043" s="140" t="s">
        <v>24</v>
      </c>
      <c r="C2043" s="141" t="s">
        <v>288</v>
      </c>
      <c r="D2043" s="140" t="s">
        <v>289</v>
      </c>
      <c r="E2043" s="140">
        <v>9</v>
      </c>
      <c r="F2043" s="142">
        <v>45924.416666666672</v>
      </c>
      <c r="G2043" s="140" t="s">
        <v>845</v>
      </c>
      <c r="H2043" s="140" t="s">
        <v>864</v>
      </c>
    </row>
    <row r="2044" spans="1:8" ht="15.75" customHeight="1">
      <c r="A2044" s="140" t="s">
        <v>71</v>
      </c>
      <c r="B2044" s="140" t="s">
        <v>24</v>
      </c>
      <c r="C2044" s="141" t="s">
        <v>288</v>
      </c>
      <c r="D2044" s="140" t="s">
        <v>289</v>
      </c>
      <c r="E2044" s="140">
        <v>10</v>
      </c>
      <c r="F2044" s="142">
        <v>45952.458333333328</v>
      </c>
      <c r="G2044" s="140" t="s">
        <v>845</v>
      </c>
      <c r="H2044" s="140" t="s">
        <v>864</v>
      </c>
    </row>
    <row r="2045" spans="1:8" ht="15.75" customHeight="1">
      <c r="A2045" s="140" t="s">
        <v>71</v>
      </c>
      <c r="B2045" s="140" t="s">
        <v>24</v>
      </c>
      <c r="C2045" s="141" t="s">
        <v>288</v>
      </c>
      <c r="D2045" s="140" t="s">
        <v>289</v>
      </c>
      <c r="E2045" s="140">
        <v>11</v>
      </c>
      <c r="F2045" s="142">
        <v>45981.625</v>
      </c>
      <c r="G2045" s="140" t="s">
        <v>845</v>
      </c>
      <c r="H2045" s="140" t="s">
        <v>864</v>
      </c>
    </row>
    <row r="2046" spans="1:8" ht="15.75" customHeight="1">
      <c r="A2046" s="140" t="s">
        <v>71</v>
      </c>
      <c r="B2046" s="140" t="s">
        <v>24</v>
      </c>
      <c r="C2046" s="141" t="s">
        <v>288</v>
      </c>
      <c r="D2046" s="140" t="s">
        <v>289</v>
      </c>
      <c r="E2046" s="140">
        <v>12</v>
      </c>
      <c r="F2046" s="142">
        <v>45987.458333333328</v>
      </c>
      <c r="G2046" s="140" t="s">
        <v>843</v>
      </c>
      <c r="H2046" s="140" t="s">
        <v>864</v>
      </c>
    </row>
    <row r="2047" spans="1:8" ht="15.75" customHeight="1">
      <c r="A2047" s="140" t="s">
        <v>71</v>
      </c>
      <c r="B2047" s="140" t="s">
        <v>24</v>
      </c>
      <c r="C2047" s="141" t="s">
        <v>288</v>
      </c>
      <c r="D2047" s="140" t="s">
        <v>289</v>
      </c>
      <c r="E2047" s="140">
        <v>13</v>
      </c>
      <c r="F2047" s="142">
        <v>45994.458333333328</v>
      </c>
      <c r="G2047" s="140" t="s">
        <v>845</v>
      </c>
      <c r="H2047" s="140" t="s">
        <v>864</v>
      </c>
    </row>
    <row r="2048" spans="1:8" ht="15.75" customHeight="1">
      <c r="A2048" s="140" t="s">
        <v>71</v>
      </c>
      <c r="B2048" s="140" t="s">
        <v>24</v>
      </c>
      <c r="C2048" s="141" t="s">
        <v>288</v>
      </c>
      <c r="D2048" s="140" t="s">
        <v>289</v>
      </c>
      <c r="E2048" s="140">
        <v>14</v>
      </c>
      <c r="F2048" s="142">
        <v>46008.458333333328</v>
      </c>
      <c r="G2048" s="140" t="s">
        <v>845</v>
      </c>
      <c r="H2048" s="140" t="s">
        <v>864</v>
      </c>
    </row>
    <row r="2049" spans="1:8" ht="15.75" customHeight="1">
      <c r="A2049" s="140" t="s">
        <v>71</v>
      </c>
      <c r="B2049" s="140" t="s">
        <v>24</v>
      </c>
      <c r="C2049" s="141" t="s">
        <v>288</v>
      </c>
      <c r="D2049" s="140" t="s">
        <v>289</v>
      </c>
      <c r="E2049" s="140">
        <v>15</v>
      </c>
      <c r="F2049" s="142">
        <v>46050.541666666672</v>
      </c>
      <c r="G2049" s="140" t="s">
        <v>845</v>
      </c>
      <c r="H2049" s="140" t="s">
        <v>864</v>
      </c>
    </row>
    <row r="2050" spans="1:8" ht="15.75" customHeight="1">
      <c r="A2050" s="140" t="s">
        <v>71</v>
      </c>
      <c r="B2050" s="140" t="s">
        <v>24</v>
      </c>
      <c r="C2050" s="141" t="s">
        <v>348</v>
      </c>
      <c r="D2050" s="140" t="s">
        <v>349</v>
      </c>
      <c r="E2050" s="140">
        <v>1</v>
      </c>
      <c r="F2050" s="142">
        <v>45713.583333333328</v>
      </c>
      <c r="G2050" s="140" t="s">
        <v>843</v>
      </c>
      <c r="H2050" s="140" t="s">
        <v>864</v>
      </c>
    </row>
    <row r="2051" spans="1:8" ht="15.75" customHeight="1">
      <c r="A2051" s="140" t="s">
        <v>71</v>
      </c>
      <c r="B2051" s="140" t="s">
        <v>24</v>
      </c>
      <c r="C2051" s="141" t="s">
        <v>348</v>
      </c>
      <c r="D2051" s="140" t="s">
        <v>349</v>
      </c>
      <c r="E2051" s="140">
        <v>2</v>
      </c>
      <c r="F2051" s="142">
        <v>45827.458333333328</v>
      </c>
      <c r="G2051" s="140" t="s">
        <v>843</v>
      </c>
      <c r="H2051" s="140" t="s">
        <v>864</v>
      </c>
    </row>
    <row r="2052" spans="1:8" ht="15.75" customHeight="1">
      <c r="A2052" s="140" t="s">
        <v>71</v>
      </c>
      <c r="B2052" s="140" t="s">
        <v>24</v>
      </c>
      <c r="C2052" s="141" t="s">
        <v>348</v>
      </c>
      <c r="D2052" s="140" t="s">
        <v>349</v>
      </c>
      <c r="E2052" s="140">
        <v>3</v>
      </c>
      <c r="F2052" s="142">
        <v>45833.625</v>
      </c>
      <c r="G2052" s="140" t="s">
        <v>845</v>
      </c>
      <c r="H2052" s="140" t="s">
        <v>864</v>
      </c>
    </row>
    <row r="2053" spans="1:8" ht="15.75" customHeight="1">
      <c r="A2053" s="140" t="s">
        <v>71</v>
      </c>
      <c r="B2053" s="140" t="s">
        <v>24</v>
      </c>
      <c r="C2053" s="141" t="s">
        <v>348</v>
      </c>
      <c r="D2053" s="140" t="s">
        <v>349</v>
      </c>
      <c r="E2053" s="140">
        <v>4</v>
      </c>
      <c r="F2053" s="142">
        <v>45853.625</v>
      </c>
      <c r="G2053" s="140" t="s">
        <v>845</v>
      </c>
      <c r="H2053" s="140" t="s">
        <v>864</v>
      </c>
    </row>
    <row r="2054" spans="1:8" ht="15.75" customHeight="1">
      <c r="A2054" s="140" t="s">
        <v>71</v>
      </c>
      <c r="B2054" s="140" t="s">
        <v>24</v>
      </c>
      <c r="C2054" s="141" t="s">
        <v>348</v>
      </c>
      <c r="D2054" s="140" t="s">
        <v>349</v>
      </c>
      <c r="E2054" s="140">
        <v>5</v>
      </c>
      <c r="F2054" s="142">
        <v>45869.375</v>
      </c>
      <c r="G2054" s="140" t="s">
        <v>845</v>
      </c>
      <c r="H2054" s="140" t="s">
        <v>864</v>
      </c>
    </row>
    <row r="2055" spans="1:8" ht="15.75" customHeight="1">
      <c r="A2055" s="140" t="s">
        <v>71</v>
      </c>
      <c r="B2055" s="140" t="s">
        <v>24</v>
      </c>
      <c r="C2055" s="141" t="s">
        <v>348</v>
      </c>
      <c r="D2055" s="140" t="s">
        <v>349</v>
      </c>
      <c r="E2055" s="140">
        <v>6</v>
      </c>
      <c r="F2055" s="142">
        <v>45882.458333333328</v>
      </c>
      <c r="G2055" s="140" t="s">
        <v>845</v>
      </c>
      <c r="H2055" s="140" t="s">
        <v>864</v>
      </c>
    </row>
    <row r="2056" spans="1:8" ht="15.75" customHeight="1">
      <c r="A2056" s="140" t="s">
        <v>71</v>
      </c>
      <c r="B2056" s="140" t="s">
        <v>24</v>
      </c>
      <c r="C2056" s="141" t="s">
        <v>348</v>
      </c>
      <c r="D2056" s="140" t="s">
        <v>349</v>
      </c>
      <c r="E2056" s="140">
        <v>7</v>
      </c>
      <c r="F2056" s="142">
        <v>45896.625</v>
      </c>
      <c r="G2056" s="140" t="s">
        <v>845</v>
      </c>
      <c r="H2056" s="140" t="s">
        <v>864</v>
      </c>
    </row>
    <row r="2057" spans="1:8" ht="15.75" customHeight="1">
      <c r="A2057" s="140" t="s">
        <v>71</v>
      </c>
      <c r="B2057" s="140" t="s">
        <v>24</v>
      </c>
      <c r="C2057" s="141" t="s">
        <v>348</v>
      </c>
      <c r="D2057" s="140" t="s">
        <v>349</v>
      </c>
      <c r="E2057" s="140">
        <v>8</v>
      </c>
      <c r="F2057" s="142">
        <v>45917.375</v>
      </c>
      <c r="G2057" s="140" t="s">
        <v>845</v>
      </c>
      <c r="H2057" s="140" t="s">
        <v>864</v>
      </c>
    </row>
    <row r="2058" spans="1:8" ht="15.75" customHeight="1">
      <c r="A2058" s="140" t="s">
        <v>71</v>
      </c>
      <c r="B2058" s="140" t="s">
        <v>24</v>
      </c>
      <c r="C2058" s="141" t="s">
        <v>348</v>
      </c>
      <c r="D2058" s="140" t="s">
        <v>349</v>
      </c>
      <c r="E2058" s="140">
        <v>9</v>
      </c>
      <c r="F2058" s="142">
        <v>45924.416666666672</v>
      </c>
      <c r="G2058" s="140" t="s">
        <v>845</v>
      </c>
      <c r="H2058" s="140" t="s">
        <v>864</v>
      </c>
    </row>
    <row r="2059" spans="1:8" ht="15.75" customHeight="1">
      <c r="A2059" s="140" t="s">
        <v>71</v>
      </c>
      <c r="B2059" s="140" t="s">
        <v>24</v>
      </c>
      <c r="C2059" s="141" t="s">
        <v>348</v>
      </c>
      <c r="D2059" s="140" t="s">
        <v>349</v>
      </c>
      <c r="E2059" s="140">
        <v>10</v>
      </c>
      <c r="F2059" s="142">
        <v>45952.458333333328</v>
      </c>
      <c r="G2059" s="140" t="s">
        <v>845</v>
      </c>
      <c r="H2059" s="140" t="s">
        <v>864</v>
      </c>
    </row>
    <row r="2060" spans="1:8" ht="15.75" customHeight="1">
      <c r="A2060" s="140" t="s">
        <v>71</v>
      </c>
      <c r="B2060" s="140" t="s">
        <v>24</v>
      </c>
      <c r="C2060" s="141" t="s">
        <v>348</v>
      </c>
      <c r="D2060" s="140" t="s">
        <v>349</v>
      </c>
      <c r="E2060" s="140">
        <v>11</v>
      </c>
      <c r="F2060" s="142">
        <v>45981.625</v>
      </c>
      <c r="G2060" s="140" t="s">
        <v>845</v>
      </c>
      <c r="H2060" s="140" t="s">
        <v>864</v>
      </c>
    </row>
    <row r="2061" spans="1:8" ht="15.75" customHeight="1">
      <c r="A2061" s="140" t="s">
        <v>71</v>
      </c>
      <c r="B2061" s="140" t="s">
        <v>24</v>
      </c>
      <c r="C2061" s="141" t="s">
        <v>348</v>
      </c>
      <c r="D2061" s="140" t="s">
        <v>349</v>
      </c>
      <c r="E2061" s="140">
        <v>12</v>
      </c>
      <c r="F2061" s="142">
        <v>45987.458333333328</v>
      </c>
      <c r="G2061" s="140" t="s">
        <v>843</v>
      </c>
      <c r="H2061" s="140" t="s">
        <v>864</v>
      </c>
    </row>
    <row r="2062" spans="1:8" ht="15.75" customHeight="1">
      <c r="A2062" s="140" t="s">
        <v>71</v>
      </c>
      <c r="B2062" s="140" t="s">
        <v>24</v>
      </c>
      <c r="C2062" s="141" t="s">
        <v>348</v>
      </c>
      <c r="D2062" s="140" t="s">
        <v>349</v>
      </c>
      <c r="E2062" s="140">
        <v>13</v>
      </c>
      <c r="F2062" s="142">
        <v>45994.458333333328</v>
      </c>
      <c r="G2062" s="140" t="s">
        <v>845</v>
      </c>
      <c r="H2062" s="140" t="s">
        <v>864</v>
      </c>
    </row>
    <row r="2063" spans="1:8" ht="15.75" customHeight="1">
      <c r="A2063" s="140" t="s">
        <v>71</v>
      </c>
      <c r="B2063" s="140" t="s">
        <v>24</v>
      </c>
      <c r="C2063" s="141" t="s">
        <v>348</v>
      </c>
      <c r="D2063" s="140" t="s">
        <v>349</v>
      </c>
      <c r="E2063" s="140">
        <v>14</v>
      </c>
      <c r="F2063" s="142">
        <v>46008.458333333328</v>
      </c>
      <c r="G2063" s="140" t="s">
        <v>845</v>
      </c>
      <c r="H2063" s="140" t="s">
        <v>864</v>
      </c>
    </row>
    <row r="2064" spans="1:8" ht="15.75" customHeight="1">
      <c r="A2064" s="140" t="s">
        <v>71</v>
      </c>
      <c r="B2064" s="140" t="s">
        <v>24</v>
      </c>
      <c r="C2064" s="141" t="s">
        <v>348</v>
      </c>
      <c r="D2064" s="140" t="s">
        <v>349</v>
      </c>
      <c r="E2064" s="140">
        <v>15</v>
      </c>
      <c r="F2064" s="142">
        <v>46050.541666666672</v>
      </c>
      <c r="G2064" s="140" t="s">
        <v>843</v>
      </c>
      <c r="H2064" s="140" t="s">
        <v>864</v>
      </c>
    </row>
    <row r="2065" spans="1:8" ht="15.75" customHeight="1">
      <c r="A2065" s="140" t="s">
        <v>71</v>
      </c>
      <c r="B2065" s="140" t="s">
        <v>24</v>
      </c>
      <c r="C2065" s="141" t="s">
        <v>570</v>
      </c>
      <c r="D2065" s="140" t="s">
        <v>571</v>
      </c>
      <c r="E2065" s="140">
        <v>1</v>
      </c>
      <c r="F2065" s="142">
        <v>45713.583333333328</v>
      </c>
      <c r="G2065" s="140" t="s">
        <v>843</v>
      </c>
      <c r="H2065" s="140" t="s">
        <v>864</v>
      </c>
    </row>
    <row r="2066" spans="1:8" ht="15.75" customHeight="1">
      <c r="A2066" s="140" t="s">
        <v>71</v>
      </c>
      <c r="B2066" s="140" t="s">
        <v>24</v>
      </c>
      <c r="C2066" s="141" t="s">
        <v>570</v>
      </c>
      <c r="D2066" s="140" t="s">
        <v>571</v>
      </c>
      <c r="E2066" s="140">
        <v>2</v>
      </c>
      <c r="F2066" s="142">
        <v>45827.458333333328</v>
      </c>
      <c r="G2066" s="140" t="s">
        <v>843</v>
      </c>
      <c r="H2066" s="140" t="s">
        <v>864</v>
      </c>
    </row>
    <row r="2067" spans="1:8" ht="15.75" customHeight="1">
      <c r="A2067" s="140" t="s">
        <v>71</v>
      </c>
      <c r="B2067" s="140" t="s">
        <v>24</v>
      </c>
      <c r="C2067" s="141" t="s">
        <v>570</v>
      </c>
      <c r="D2067" s="140" t="s">
        <v>571</v>
      </c>
      <c r="E2067" s="140">
        <v>3</v>
      </c>
      <c r="F2067" s="142">
        <v>45833.625</v>
      </c>
      <c r="G2067" s="140" t="s">
        <v>843</v>
      </c>
      <c r="H2067" s="140" t="s">
        <v>864</v>
      </c>
    </row>
    <row r="2068" spans="1:8" ht="15.75" customHeight="1">
      <c r="A2068" s="140" t="s">
        <v>71</v>
      </c>
      <c r="B2068" s="140" t="s">
        <v>24</v>
      </c>
      <c r="C2068" s="141" t="s">
        <v>570</v>
      </c>
      <c r="D2068" s="140" t="s">
        <v>571</v>
      </c>
      <c r="E2068" s="140">
        <v>4</v>
      </c>
      <c r="F2068" s="142">
        <v>45853.625</v>
      </c>
      <c r="G2068" s="140" t="s">
        <v>843</v>
      </c>
      <c r="H2068" s="140" t="s">
        <v>864</v>
      </c>
    </row>
    <row r="2069" spans="1:8" ht="15.75" customHeight="1">
      <c r="A2069" s="140" t="s">
        <v>71</v>
      </c>
      <c r="B2069" s="140" t="s">
        <v>24</v>
      </c>
      <c r="C2069" s="141" t="s">
        <v>570</v>
      </c>
      <c r="D2069" s="140" t="s">
        <v>571</v>
      </c>
      <c r="E2069" s="140">
        <v>5</v>
      </c>
      <c r="F2069" s="142">
        <v>45869.375</v>
      </c>
      <c r="G2069" s="140" t="s">
        <v>845</v>
      </c>
      <c r="H2069" s="140" t="s">
        <v>864</v>
      </c>
    </row>
    <row r="2070" spans="1:8" ht="15.75" customHeight="1">
      <c r="A2070" s="140" t="s">
        <v>71</v>
      </c>
      <c r="B2070" s="140" t="s">
        <v>24</v>
      </c>
      <c r="C2070" s="141" t="s">
        <v>570</v>
      </c>
      <c r="D2070" s="140" t="s">
        <v>571</v>
      </c>
      <c r="E2070" s="140">
        <v>6</v>
      </c>
      <c r="F2070" s="142">
        <v>45882.458333333328</v>
      </c>
      <c r="G2070" s="140" t="s">
        <v>845</v>
      </c>
      <c r="H2070" s="140" t="s">
        <v>864</v>
      </c>
    </row>
    <row r="2071" spans="1:8" ht="15.75" customHeight="1">
      <c r="A2071" s="140" t="s">
        <v>71</v>
      </c>
      <c r="B2071" s="140" t="s">
        <v>24</v>
      </c>
      <c r="C2071" s="141" t="s">
        <v>570</v>
      </c>
      <c r="D2071" s="140" t="s">
        <v>571</v>
      </c>
      <c r="E2071" s="140">
        <v>7</v>
      </c>
      <c r="F2071" s="142">
        <v>45896.625</v>
      </c>
      <c r="G2071" s="140" t="s">
        <v>843</v>
      </c>
      <c r="H2071" s="140" t="s">
        <v>864</v>
      </c>
    </row>
    <row r="2072" spans="1:8" ht="15.75" customHeight="1">
      <c r="A2072" s="140" t="s">
        <v>71</v>
      </c>
      <c r="B2072" s="140" t="s">
        <v>24</v>
      </c>
      <c r="C2072" s="141" t="s">
        <v>570</v>
      </c>
      <c r="D2072" s="140" t="s">
        <v>571</v>
      </c>
      <c r="E2072" s="140">
        <v>8</v>
      </c>
      <c r="F2072" s="142">
        <v>45917.375</v>
      </c>
      <c r="G2072" s="140" t="s">
        <v>845</v>
      </c>
      <c r="H2072" s="140" t="s">
        <v>864</v>
      </c>
    </row>
    <row r="2073" spans="1:8" ht="15.75" customHeight="1">
      <c r="A2073" s="140" t="s">
        <v>71</v>
      </c>
      <c r="B2073" s="140" t="s">
        <v>24</v>
      </c>
      <c r="C2073" s="141" t="s">
        <v>570</v>
      </c>
      <c r="D2073" s="140" t="s">
        <v>571</v>
      </c>
      <c r="E2073" s="140">
        <v>9</v>
      </c>
      <c r="F2073" s="142">
        <v>45924.416666666672</v>
      </c>
      <c r="G2073" s="140" t="s">
        <v>845</v>
      </c>
      <c r="H2073" s="140" t="s">
        <v>864</v>
      </c>
    </row>
    <row r="2074" spans="1:8" ht="15.75" customHeight="1">
      <c r="A2074" s="140" t="s">
        <v>71</v>
      </c>
      <c r="B2074" s="140" t="s">
        <v>24</v>
      </c>
      <c r="C2074" s="141" t="s">
        <v>570</v>
      </c>
      <c r="D2074" s="140" t="s">
        <v>571</v>
      </c>
      <c r="E2074" s="140">
        <v>10</v>
      </c>
      <c r="F2074" s="142">
        <v>45952.458333333328</v>
      </c>
      <c r="G2074" s="140" t="s">
        <v>845</v>
      </c>
      <c r="H2074" s="140" t="s">
        <v>864</v>
      </c>
    </row>
    <row r="2075" spans="1:8" ht="15.75" customHeight="1">
      <c r="A2075" s="140" t="s">
        <v>71</v>
      </c>
      <c r="B2075" s="140" t="s">
        <v>24</v>
      </c>
      <c r="C2075" s="141" t="s">
        <v>570</v>
      </c>
      <c r="D2075" s="140" t="s">
        <v>571</v>
      </c>
      <c r="E2075" s="140">
        <v>11</v>
      </c>
      <c r="F2075" s="142">
        <v>45981.625</v>
      </c>
      <c r="G2075" s="140" t="s">
        <v>843</v>
      </c>
      <c r="H2075" s="140" t="s">
        <v>864</v>
      </c>
    </row>
    <row r="2076" spans="1:8" ht="15.75" customHeight="1">
      <c r="A2076" s="140" t="s">
        <v>71</v>
      </c>
      <c r="B2076" s="140" t="s">
        <v>24</v>
      </c>
      <c r="C2076" s="141" t="s">
        <v>570</v>
      </c>
      <c r="D2076" s="140" t="s">
        <v>571</v>
      </c>
      <c r="E2076" s="140">
        <v>12</v>
      </c>
      <c r="F2076" s="142">
        <v>45987.458333333328</v>
      </c>
      <c r="G2076" s="140" t="s">
        <v>845</v>
      </c>
      <c r="H2076" s="140" t="s">
        <v>864</v>
      </c>
    </row>
    <row r="2077" spans="1:8" ht="15.75" customHeight="1">
      <c r="A2077" s="140" t="s">
        <v>71</v>
      </c>
      <c r="B2077" s="140" t="s">
        <v>24</v>
      </c>
      <c r="C2077" s="141" t="s">
        <v>570</v>
      </c>
      <c r="D2077" s="140" t="s">
        <v>571</v>
      </c>
      <c r="E2077" s="140">
        <v>13</v>
      </c>
      <c r="F2077" s="142">
        <v>45994.458333333328</v>
      </c>
      <c r="G2077" s="140" t="s">
        <v>845</v>
      </c>
      <c r="H2077" s="140" t="s">
        <v>864</v>
      </c>
    </row>
    <row r="2078" spans="1:8" ht="15.75" customHeight="1">
      <c r="A2078" s="140" t="s">
        <v>71</v>
      </c>
      <c r="B2078" s="140" t="s">
        <v>24</v>
      </c>
      <c r="C2078" s="141" t="s">
        <v>570</v>
      </c>
      <c r="D2078" s="140" t="s">
        <v>571</v>
      </c>
      <c r="E2078" s="140">
        <v>14</v>
      </c>
      <c r="F2078" s="142">
        <v>46008.458333333328</v>
      </c>
      <c r="G2078" s="140" t="s">
        <v>845</v>
      </c>
      <c r="H2078" s="140" t="s">
        <v>864</v>
      </c>
    </row>
    <row r="2079" spans="1:8" ht="15.75" customHeight="1">
      <c r="A2079" s="140" t="s">
        <v>71</v>
      </c>
      <c r="B2079" s="140" t="s">
        <v>24</v>
      </c>
      <c r="C2079" s="141" t="s">
        <v>570</v>
      </c>
      <c r="D2079" s="140" t="s">
        <v>571</v>
      </c>
      <c r="E2079" s="140">
        <v>15</v>
      </c>
      <c r="F2079" s="142">
        <v>46050.541666666672</v>
      </c>
      <c r="G2079" s="140" t="s">
        <v>845</v>
      </c>
      <c r="H2079" s="140" t="s">
        <v>864</v>
      </c>
    </row>
    <row r="2080" spans="1:8" ht="15.75" customHeight="1">
      <c r="A2080" s="140" t="s">
        <v>71</v>
      </c>
      <c r="B2080" s="140" t="s">
        <v>24</v>
      </c>
      <c r="C2080" s="141" t="s">
        <v>619</v>
      </c>
      <c r="D2080" s="140" t="s">
        <v>620</v>
      </c>
      <c r="E2080" s="140">
        <v>1</v>
      </c>
      <c r="F2080" s="142">
        <v>45713.583333333328</v>
      </c>
      <c r="G2080" s="140" t="s">
        <v>845</v>
      </c>
      <c r="H2080" s="140" t="s">
        <v>864</v>
      </c>
    </row>
    <row r="2081" spans="1:8" ht="15.75" customHeight="1">
      <c r="A2081" s="140" t="s">
        <v>71</v>
      </c>
      <c r="B2081" s="140" t="s">
        <v>24</v>
      </c>
      <c r="C2081" s="141" t="s">
        <v>619</v>
      </c>
      <c r="D2081" s="140" t="s">
        <v>620</v>
      </c>
      <c r="E2081" s="140">
        <v>2</v>
      </c>
      <c r="F2081" s="142">
        <v>45827.458333333328</v>
      </c>
      <c r="G2081" s="140" t="s">
        <v>845</v>
      </c>
      <c r="H2081" s="140" t="s">
        <v>864</v>
      </c>
    </row>
    <row r="2082" spans="1:8" ht="15.75" customHeight="1">
      <c r="A2082" s="140" t="s">
        <v>71</v>
      </c>
      <c r="B2082" s="140" t="s">
        <v>24</v>
      </c>
      <c r="C2082" s="141" t="s">
        <v>619</v>
      </c>
      <c r="D2082" s="140" t="s">
        <v>620</v>
      </c>
      <c r="E2082" s="140">
        <v>3</v>
      </c>
      <c r="F2082" s="142">
        <v>45833.625</v>
      </c>
      <c r="G2082" s="140" t="s">
        <v>845</v>
      </c>
      <c r="H2082" s="140" t="s">
        <v>864</v>
      </c>
    </row>
    <row r="2083" spans="1:8" ht="15.75" customHeight="1">
      <c r="A2083" s="140" t="s">
        <v>71</v>
      </c>
      <c r="B2083" s="140" t="s">
        <v>24</v>
      </c>
      <c r="C2083" s="141" t="s">
        <v>619</v>
      </c>
      <c r="D2083" s="140" t="s">
        <v>620</v>
      </c>
      <c r="E2083" s="140">
        <v>4</v>
      </c>
      <c r="F2083" s="142">
        <v>45853.625</v>
      </c>
      <c r="G2083" s="140" t="s">
        <v>845</v>
      </c>
      <c r="H2083" s="140" t="s">
        <v>864</v>
      </c>
    </row>
    <row r="2084" spans="1:8" ht="15.75" customHeight="1">
      <c r="A2084" s="140" t="s">
        <v>71</v>
      </c>
      <c r="B2084" s="140" t="s">
        <v>24</v>
      </c>
      <c r="C2084" s="141" t="s">
        <v>619</v>
      </c>
      <c r="D2084" s="140" t="s">
        <v>620</v>
      </c>
      <c r="E2084" s="140">
        <v>5</v>
      </c>
      <c r="F2084" s="142">
        <v>45869.375</v>
      </c>
      <c r="G2084" s="140" t="s">
        <v>845</v>
      </c>
      <c r="H2084" s="140" t="s">
        <v>864</v>
      </c>
    </row>
    <row r="2085" spans="1:8" ht="15.75" customHeight="1">
      <c r="A2085" s="140" t="s">
        <v>71</v>
      </c>
      <c r="B2085" s="140" t="s">
        <v>24</v>
      </c>
      <c r="C2085" s="141" t="s">
        <v>619</v>
      </c>
      <c r="D2085" s="140" t="s">
        <v>620</v>
      </c>
      <c r="E2085" s="140">
        <v>6</v>
      </c>
      <c r="F2085" s="142">
        <v>45882.458333333328</v>
      </c>
      <c r="G2085" s="140" t="s">
        <v>845</v>
      </c>
      <c r="H2085" s="140" t="s">
        <v>864</v>
      </c>
    </row>
    <row r="2086" spans="1:8" ht="15.75" customHeight="1">
      <c r="A2086" s="140" t="s">
        <v>71</v>
      </c>
      <c r="B2086" s="140" t="s">
        <v>24</v>
      </c>
      <c r="C2086" s="141" t="s">
        <v>619</v>
      </c>
      <c r="D2086" s="140" t="s">
        <v>620</v>
      </c>
      <c r="E2086" s="140">
        <v>7</v>
      </c>
      <c r="F2086" s="142">
        <v>45896.625</v>
      </c>
      <c r="G2086" s="140" t="s">
        <v>845</v>
      </c>
      <c r="H2086" s="140" t="s">
        <v>864</v>
      </c>
    </row>
    <row r="2087" spans="1:8" ht="15.75" customHeight="1">
      <c r="A2087" s="140" t="s">
        <v>71</v>
      </c>
      <c r="B2087" s="140" t="s">
        <v>24</v>
      </c>
      <c r="C2087" s="141" t="s">
        <v>619</v>
      </c>
      <c r="D2087" s="140" t="s">
        <v>620</v>
      </c>
      <c r="E2087" s="140">
        <v>8</v>
      </c>
      <c r="F2087" s="142">
        <v>45917.375</v>
      </c>
      <c r="G2087" s="140" t="s">
        <v>845</v>
      </c>
      <c r="H2087" s="140" t="s">
        <v>864</v>
      </c>
    </row>
    <row r="2088" spans="1:8" ht="15.75" customHeight="1">
      <c r="A2088" s="140" t="s">
        <v>71</v>
      </c>
      <c r="B2088" s="140" t="s">
        <v>24</v>
      </c>
      <c r="C2088" s="141" t="s">
        <v>619</v>
      </c>
      <c r="D2088" s="140" t="s">
        <v>620</v>
      </c>
      <c r="E2088" s="140">
        <v>9</v>
      </c>
      <c r="F2088" s="142">
        <v>45924.416666666672</v>
      </c>
      <c r="G2088" s="140" t="s">
        <v>845</v>
      </c>
      <c r="H2088" s="140" t="s">
        <v>864</v>
      </c>
    </row>
    <row r="2089" spans="1:8" ht="15.75" customHeight="1">
      <c r="A2089" s="140" t="s">
        <v>71</v>
      </c>
      <c r="B2089" s="140" t="s">
        <v>24</v>
      </c>
      <c r="C2089" s="141" t="s">
        <v>619</v>
      </c>
      <c r="D2089" s="140" t="s">
        <v>620</v>
      </c>
      <c r="E2089" s="140">
        <v>10</v>
      </c>
      <c r="F2089" s="142">
        <v>45952.458333333328</v>
      </c>
      <c r="G2089" s="140" t="s">
        <v>845</v>
      </c>
      <c r="H2089" s="140" t="s">
        <v>864</v>
      </c>
    </row>
    <row r="2090" spans="1:8" ht="15.75" customHeight="1">
      <c r="A2090" s="140" t="s">
        <v>71</v>
      </c>
      <c r="B2090" s="140" t="s">
        <v>24</v>
      </c>
      <c r="C2090" s="141" t="s">
        <v>619</v>
      </c>
      <c r="D2090" s="140" t="s">
        <v>620</v>
      </c>
      <c r="E2090" s="140">
        <v>11</v>
      </c>
      <c r="F2090" s="142">
        <v>45981.625</v>
      </c>
      <c r="G2090" s="140" t="s">
        <v>843</v>
      </c>
      <c r="H2090" s="140" t="s">
        <v>864</v>
      </c>
    </row>
    <row r="2091" spans="1:8" ht="15.75" customHeight="1">
      <c r="A2091" s="140" t="s">
        <v>71</v>
      </c>
      <c r="B2091" s="140" t="s">
        <v>24</v>
      </c>
      <c r="C2091" s="141" t="s">
        <v>619</v>
      </c>
      <c r="D2091" s="140" t="s">
        <v>620</v>
      </c>
      <c r="E2091" s="140">
        <v>12</v>
      </c>
      <c r="F2091" s="142">
        <v>45987.458333333328</v>
      </c>
      <c r="G2091" s="140" t="s">
        <v>845</v>
      </c>
      <c r="H2091" s="140" t="s">
        <v>864</v>
      </c>
    </row>
    <row r="2092" spans="1:8" ht="15.75" customHeight="1">
      <c r="A2092" s="140" t="s">
        <v>71</v>
      </c>
      <c r="B2092" s="140" t="s">
        <v>24</v>
      </c>
      <c r="C2092" s="141" t="s">
        <v>619</v>
      </c>
      <c r="D2092" s="140" t="s">
        <v>620</v>
      </c>
      <c r="E2092" s="140">
        <v>13</v>
      </c>
      <c r="F2092" s="142">
        <v>45994.458333333328</v>
      </c>
      <c r="G2092" s="140" t="s">
        <v>845</v>
      </c>
      <c r="H2092" s="140" t="s">
        <v>864</v>
      </c>
    </row>
    <row r="2093" spans="1:8" ht="15.75" customHeight="1">
      <c r="A2093" s="140" t="s">
        <v>71</v>
      </c>
      <c r="B2093" s="140" t="s">
        <v>24</v>
      </c>
      <c r="C2093" s="141" t="s">
        <v>619</v>
      </c>
      <c r="D2093" s="140" t="s">
        <v>620</v>
      </c>
      <c r="E2093" s="140">
        <v>14</v>
      </c>
      <c r="F2093" s="142">
        <v>46008.458333333328</v>
      </c>
      <c r="G2093" s="140" t="s">
        <v>845</v>
      </c>
      <c r="H2093" s="140" t="s">
        <v>864</v>
      </c>
    </row>
    <row r="2094" spans="1:8" ht="15.75" customHeight="1">
      <c r="A2094" s="140" t="s">
        <v>71</v>
      </c>
      <c r="B2094" s="140" t="s">
        <v>24</v>
      </c>
      <c r="C2094" s="141" t="s">
        <v>619</v>
      </c>
      <c r="D2094" s="140" t="s">
        <v>620</v>
      </c>
      <c r="E2094" s="140">
        <v>15</v>
      </c>
      <c r="F2094" s="142">
        <v>46050.541666666672</v>
      </c>
      <c r="G2094" s="140" t="s">
        <v>845</v>
      </c>
      <c r="H2094" s="140" t="s">
        <v>864</v>
      </c>
    </row>
    <row r="2095" spans="1:8" ht="15.75" customHeight="1">
      <c r="A2095" s="140" t="s">
        <v>71</v>
      </c>
      <c r="B2095" s="140" t="s">
        <v>24</v>
      </c>
      <c r="C2095" s="141" t="s">
        <v>631</v>
      </c>
      <c r="D2095" s="140" t="s">
        <v>632</v>
      </c>
      <c r="E2095" s="140">
        <v>1</v>
      </c>
      <c r="F2095" s="142">
        <v>45713.583333333328</v>
      </c>
      <c r="G2095" s="140" t="s">
        <v>845</v>
      </c>
      <c r="H2095" s="140" t="s">
        <v>864</v>
      </c>
    </row>
    <row r="2096" spans="1:8" ht="15.75" customHeight="1">
      <c r="A2096" s="140" t="s">
        <v>71</v>
      </c>
      <c r="B2096" s="140" t="s">
        <v>24</v>
      </c>
      <c r="C2096" s="141" t="s">
        <v>631</v>
      </c>
      <c r="D2096" s="140" t="s">
        <v>632</v>
      </c>
      <c r="E2096" s="140">
        <v>2</v>
      </c>
      <c r="F2096" s="142">
        <v>45827.458333333328</v>
      </c>
      <c r="G2096" s="140" t="s">
        <v>845</v>
      </c>
      <c r="H2096" s="140" t="s">
        <v>864</v>
      </c>
    </row>
    <row r="2097" spans="1:8" ht="15.75" customHeight="1">
      <c r="A2097" s="140" t="s">
        <v>71</v>
      </c>
      <c r="B2097" s="140" t="s">
        <v>24</v>
      </c>
      <c r="C2097" s="141" t="s">
        <v>631</v>
      </c>
      <c r="D2097" s="140" t="s">
        <v>632</v>
      </c>
      <c r="E2097" s="140">
        <v>3</v>
      </c>
      <c r="F2097" s="142">
        <v>45833.625</v>
      </c>
      <c r="G2097" s="140" t="s">
        <v>845</v>
      </c>
      <c r="H2097" s="140" t="s">
        <v>864</v>
      </c>
    </row>
    <row r="2098" spans="1:8" ht="15.75" customHeight="1">
      <c r="A2098" s="140" t="s">
        <v>71</v>
      </c>
      <c r="B2098" s="140" t="s">
        <v>24</v>
      </c>
      <c r="C2098" s="141" t="s">
        <v>631</v>
      </c>
      <c r="D2098" s="140" t="s">
        <v>632</v>
      </c>
      <c r="E2098" s="140">
        <v>4</v>
      </c>
      <c r="F2098" s="142">
        <v>45853.625</v>
      </c>
      <c r="G2098" s="140" t="s">
        <v>845</v>
      </c>
      <c r="H2098" s="140" t="s">
        <v>864</v>
      </c>
    </row>
    <row r="2099" spans="1:8" ht="15.75" customHeight="1">
      <c r="A2099" s="140" t="s">
        <v>71</v>
      </c>
      <c r="B2099" s="140" t="s">
        <v>24</v>
      </c>
      <c r="C2099" s="141" t="s">
        <v>631</v>
      </c>
      <c r="D2099" s="140" t="s">
        <v>632</v>
      </c>
      <c r="E2099" s="140">
        <v>5</v>
      </c>
      <c r="F2099" s="142">
        <v>45869.375</v>
      </c>
      <c r="G2099" s="140" t="s">
        <v>845</v>
      </c>
      <c r="H2099" s="140" t="s">
        <v>864</v>
      </c>
    </row>
    <row r="2100" spans="1:8" ht="15.75" customHeight="1">
      <c r="A2100" s="140" t="s">
        <v>71</v>
      </c>
      <c r="B2100" s="140" t="s">
        <v>24</v>
      </c>
      <c r="C2100" s="141" t="s">
        <v>631</v>
      </c>
      <c r="D2100" s="140" t="s">
        <v>632</v>
      </c>
      <c r="E2100" s="140">
        <v>6</v>
      </c>
      <c r="F2100" s="142">
        <v>45882.458333333328</v>
      </c>
      <c r="G2100" s="140" t="s">
        <v>845</v>
      </c>
      <c r="H2100" s="140" t="s">
        <v>864</v>
      </c>
    </row>
    <row r="2101" spans="1:8" ht="15.75" customHeight="1">
      <c r="A2101" s="140" t="s">
        <v>71</v>
      </c>
      <c r="B2101" s="140" t="s">
        <v>24</v>
      </c>
      <c r="C2101" s="141" t="s">
        <v>631</v>
      </c>
      <c r="D2101" s="140" t="s">
        <v>632</v>
      </c>
      <c r="E2101" s="140">
        <v>7</v>
      </c>
      <c r="F2101" s="142">
        <v>45896.625</v>
      </c>
      <c r="G2101" s="140" t="s">
        <v>843</v>
      </c>
      <c r="H2101" s="140" t="s">
        <v>864</v>
      </c>
    </row>
    <row r="2102" spans="1:8" ht="15.75" customHeight="1">
      <c r="A2102" s="140" t="s">
        <v>71</v>
      </c>
      <c r="B2102" s="140" t="s">
        <v>24</v>
      </c>
      <c r="C2102" s="141" t="s">
        <v>631</v>
      </c>
      <c r="D2102" s="140" t="s">
        <v>632</v>
      </c>
      <c r="E2102" s="140">
        <v>8</v>
      </c>
      <c r="F2102" s="142">
        <v>45917.375</v>
      </c>
      <c r="G2102" s="140" t="s">
        <v>845</v>
      </c>
      <c r="H2102" s="140" t="s">
        <v>864</v>
      </c>
    </row>
    <row r="2103" spans="1:8" ht="15.75" customHeight="1">
      <c r="A2103" s="140" t="s">
        <v>71</v>
      </c>
      <c r="B2103" s="140" t="s">
        <v>24</v>
      </c>
      <c r="C2103" s="141" t="s">
        <v>631</v>
      </c>
      <c r="D2103" s="140" t="s">
        <v>632</v>
      </c>
      <c r="E2103" s="140">
        <v>9</v>
      </c>
      <c r="F2103" s="142">
        <v>45924.416666666672</v>
      </c>
      <c r="G2103" s="140" t="s">
        <v>845</v>
      </c>
      <c r="H2103" s="140" t="s">
        <v>864</v>
      </c>
    </row>
    <row r="2104" spans="1:8" ht="15.75" customHeight="1">
      <c r="A2104" s="140" t="s">
        <v>71</v>
      </c>
      <c r="B2104" s="140" t="s">
        <v>24</v>
      </c>
      <c r="C2104" s="141" t="s">
        <v>631</v>
      </c>
      <c r="D2104" s="140" t="s">
        <v>632</v>
      </c>
      <c r="E2104" s="140">
        <v>10</v>
      </c>
      <c r="F2104" s="142">
        <v>45952.458333333328</v>
      </c>
      <c r="G2104" s="140" t="s">
        <v>845</v>
      </c>
      <c r="H2104" s="140" t="s">
        <v>864</v>
      </c>
    </row>
    <row r="2105" spans="1:8" ht="15.75" customHeight="1">
      <c r="A2105" s="140" t="s">
        <v>71</v>
      </c>
      <c r="B2105" s="140" t="s">
        <v>24</v>
      </c>
      <c r="C2105" s="141" t="s">
        <v>631</v>
      </c>
      <c r="D2105" s="140" t="s">
        <v>632</v>
      </c>
      <c r="E2105" s="140">
        <v>11</v>
      </c>
      <c r="F2105" s="142">
        <v>45981.625</v>
      </c>
      <c r="G2105" s="140" t="s">
        <v>845</v>
      </c>
      <c r="H2105" s="140" t="s">
        <v>864</v>
      </c>
    </row>
    <row r="2106" spans="1:8" ht="15.75" customHeight="1">
      <c r="A2106" s="140" t="s">
        <v>71</v>
      </c>
      <c r="B2106" s="140" t="s">
        <v>24</v>
      </c>
      <c r="C2106" s="141" t="s">
        <v>631</v>
      </c>
      <c r="D2106" s="140" t="s">
        <v>632</v>
      </c>
      <c r="E2106" s="140">
        <v>12</v>
      </c>
      <c r="F2106" s="142">
        <v>45987.458333333328</v>
      </c>
      <c r="G2106" s="140" t="s">
        <v>845</v>
      </c>
      <c r="H2106" s="140" t="s">
        <v>864</v>
      </c>
    </row>
    <row r="2107" spans="1:8" ht="15.75" customHeight="1">
      <c r="A2107" s="140" t="s">
        <v>71</v>
      </c>
      <c r="B2107" s="140" t="s">
        <v>24</v>
      </c>
      <c r="C2107" s="141" t="s">
        <v>631</v>
      </c>
      <c r="D2107" s="140" t="s">
        <v>632</v>
      </c>
      <c r="E2107" s="140">
        <v>13</v>
      </c>
      <c r="F2107" s="142">
        <v>45994.458333333328</v>
      </c>
      <c r="G2107" s="140" t="s">
        <v>845</v>
      </c>
      <c r="H2107" s="140" t="s">
        <v>864</v>
      </c>
    </row>
    <row r="2108" spans="1:8" ht="15.75" customHeight="1">
      <c r="A2108" s="140" t="s">
        <v>71</v>
      </c>
      <c r="B2108" s="140" t="s">
        <v>24</v>
      </c>
      <c r="C2108" s="141" t="s">
        <v>631</v>
      </c>
      <c r="D2108" s="140" t="s">
        <v>632</v>
      </c>
      <c r="E2108" s="140">
        <v>14</v>
      </c>
      <c r="F2108" s="142">
        <v>46008.458333333328</v>
      </c>
      <c r="G2108" s="140" t="s">
        <v>845</v>
      </c>
      <c r="H2108" s="140" t="s">
        <v>864</v>
      </c>
    </row>
    <row r="2109" spans="1:8" ht="15.75" customHeight="1">
      <c r="A2109" s="140" t="s">
        <v>71</v>
      </c>
      <c r="B2109" s="140" t="s">
        <v>24</v>
      </c>
      <c r="C2109" s="141" t="s">
        <v>631</v>
      </c>
      <c r="D2109" s="140" t="s">
        <v>632</v>
      </c>
      <c r="E2109" s="140">
        <v>15</v>
      </c>
      <c r="F2109" s="142">
        <v>46050.541666666672</v>
      </c>
      <c r="G2109" s="140" t="s">
        <v>845</v>
      </c>
      <c r="H2109" s="140" t="s">
        <v>864</v>
      </c>
    </row>
    <row r="2110" spans="1:8" ht="15.75" customHeight="1">
      <c r="A2110" s="140" t="s">
        <v>71</v>
      </c>
      <c r="B2110" s="140" t="s">
        <v>24</v>
      </c>
      <c r="C2110" s="141" t="s">
        <v>635</v>
      </c>
      <c r="D2110" s="140" t="s">
        <v>636</v>
      </c>
      <c r="E2110" s="140">
        <v>1</v>
      </c>
      <c r="F2110" s="142">
        <v>45713.583333333328</v>
      </c>
      <c r="G2110" s="140" t="s">
        <v>845</v>
      </c>
      <c r="H2110" s="140" t="s">
        <v>864</v>
      </c>
    </row>
    <row r="2111" spans="1:8" ht="15.75" customHeight="1">
      <c r="A2111" s="140" t="s">
        <v>71</v>
      </c>
      <c r="B2111" s="140" t="s">
        <v>24</v>
      </c>
      <c r="C2111" s="141" t="s">
        <v>635</v>
      </c>
      <c r="D2111" s="140" t="s">
        <v>636</v>
      </c>
      <c r="E2111" s="140">
        <v>2</v>
      </c>
      <c r="F2111" s="142">
        <v>45827.458333333328</v>
      </c>
      <c r="G2111" s="140" t="s">
        <v>845</v>
      </c>
      <c r="H2111" s="140" t="s">
        <v>864</v>
      </c>
    </row>
    <row r="2112" spans="1:8" ht="15.75" customHeight="1">
      <c r="A2112" s="140" t="s">
        <v>71</v>
      </c>
      <c r="B2112" s="140" t="s">
        <v>24</v>
      </c>
      <c r="C2112" s="141" t="s">
        <v>635</v>
      </c>
      <c r="D2112" s="140" t="s">
        <v>636</v>
      </c>
      <c r="E2112" s="140">
        <v>3</v>
      </c>
      <c r="F2112" s="142">
        <v>45833.625</v>
      </c>
      <c r="G2112" s="140" t="s">
        <v>845</v>
      </c>
      <c r="H2112" s="140" t="s">
        <v>864</v>
      </c>
    </row>
    <row r="2113" spans="1:8" ht="15.75" customHeight="1">
      <c r="A2113" s="140" t="s">
        <v>71</v>
      </c>
      <c r="B2113" s="140" t="s">
        <v>24</v>
      </c>
      <c r="C2113" s="141" t="s">
        <v>635</v>
      </c>
      <c r="D2113" s="140" t="s">
        <v>636</v>
      </c>
      <c r="E2113" s="140">
        <v>4</v>
      </c>
      <c r="F2113" s="142">
        <v>45853.625</v>
      </c>
      <c r="G2113" s="140" t="s">
        <v>845</v>
      </c>
      <c r="H2113" s="140" t="s">
        <v>864</v>
      </c>
    </row>
    <row r="2114" spans="1:8" ht="15.75" customHeight="1">
      <c r="A2114" s="140" t="s">
        <v>71</v>
      </c>
      <c r="B2114" s="140" t="s">
        <v>24</v>
      </c>
      <c r="C2114" s="141" t="s">
        <v>635</v>
      </c>
      <c r="D2114" s="140" t="s">
        <v>636</v>
      </c>
      <c r="E2114" s="140">
        <v>5</v>
      </c>
      <c r="F2114" s="142">
        <v>45869.375</v>
      </c>
      <c r="G2114" s="140" t="s">
        <v>845</v>
      </c>
      <c r="H2114" s="140" t="s">
        <v>864</v>
      </c>
    </row>
    <row r="2115" spans="1:8" ht="15.75" customHeight="1">
      <c r="A2115" s="140" t="s">
        <v>71</v>
      </c>
      <c r="B2115" s="140" t="s">
        <v>24</v>
      </c>
      <c r="C2115" s="141" t="s">
        <v>635</v>
      </c>
      <c r="D2115" s="140" t="s">
        <v>636</v>
      </c>
      <c r="E2115" s="140">
        <v>6</v>
      </c>
      <c r="F2115" s="142">
        <v>45882.458333333328</v>
      </c>
      <c r="G2115" s="140" t="s">
        <v>845</v>
      </c>
      <c r="H2115" s="140" t="s">
        <v>864</v>
      </c>
    </row>
    <row r="2116" spans="1:8" ht="15.75" customHeight="1">
      <c r="A2116" s="140" t="s">
        <v>71</v>
      </c>
      <c r="B2116" s="140" t="s">
        <v>24</v>
      </c>
      <c r="C2116" s="141" t="s">
        <v>635</v>
      </c>
      <c r="D2116" s="140" t="s">
        <v>636</v>
      </c>
      <c r="E2116" s="140">
        <v>7</v>
      </c>
      <c r="F2116" s="142">
        <v>45896.625</v>
      </c>
      <c r="G2116" s="140" t="s">
        <v>845</v>
      </c>
      <c r="H2116" s="140" t="s">
        <v>864</v>
      </c>
    </row>
    <row r="2117" spans="1:8" ht="15.75" customHeight="1">
      <c r="A2117" s="140" t="s">
        <v>71</v>
      </c>
      <c r="B2117" s="140" t="s">
        <v>24</v>
      </c>
      <c r="C2117" s="141" t="s">
        <v>635</v>
      </c>
      <c r="D2117" s="140" t="s">
        <v>636</v>
      </c>
      <c r="E2117" s="140">
        <v>8</v>
      </c>
      <c r="F2117" s="142">
        <v>45917.375</v>
      </c>
      <c r="G2117" s="140" t="s">
        <v>845</v>
      </c>
      <c r="H2117" s="140" t="s">
        <v>864</v>
      </c>
    </row>
    <row r="2118" spans="1:8" ht="15.75" customHeight="1">
      <c r="A2118" s="140" t="s">
        <v>71</v>
      </c>
      <c r="B2118" s="140" t="s">
        <v>24</v>
      </c>
      <c r="C2118" s="141" t="s">
        <v>635</v>
      </c>
      <c r="D2118" s="140" t="s">
        <v>636</v>
      </c>
      <c r="E2118" s="140">
        <v>9</v>
      </c>
      <c r="F2118" s="142">
        <v>45924.416666666672</v>
      </c>
      <c r="G2118" s="140" t="s">
        <v>845</v>
      </c>
      <c r="H2118" s="140" t="s">
        <v>864</v>
      </c>
    </row>
    <row r="2119" spans="1:8" ht="15.75" customHeight="1">
      <c r="A2119" s="140" t="s">
        <v>71</v>
      </c>
      <c r="B2119" s="140" t="s">
        <v>24</v>
      </c>
      <c r="C2119" s="141" t="s">
        <v>635</v>
      </c>
      <c r="D2119" s="140" t="s">
        <v>636</v>
      </c>
      <c r="E2119" s="140">
        <v>10</v>
      </c>
      <c r="F2119" s="142">
        <v>45952.458333333328</v>
      </c>
      <c r="G2119" s="140" t="s">
        <v>843</v>
      </c>
      <c r="H2119" s="140" t="s">
        <v>864</v>
      </c>
    </row>
    <row r="2120" spans="1:8" ht="15.75" customHeight="1">
      <c r="A2120" s="140" t="s">
        <v>71</v>
      </c>
      <c r="B2120" s="140" t="s">
        <v>24</v>
      </c>
      <c r="C2120" s="141" t="s">
        <v>635</v>
      </c>
      <c r="D2120" s="140" t="s">
        <v>636</v>
      </c>
      <c r="E2120" s="140">
        <v>11</v>
      </c>
      <c r="F2120" s="142">
        <v>45981.625</v>
      </c>
      <c r="G2120" s="140" t="s">
        <v>845</v>
      </c>
      <c r="H2120" s="140" t="s">
        <v>864</v>
      </c>
    </row>
    <row r="2121" spans="1:8" ht="15.75" customHeight="1">
      <c r="A2121" s="140" t="s">
        <v>71</v>
      </c>
      <c r="B2121" s="140" t="s">
        <v>24</v>
      </c>
      <c r="C2121" s="141" t="s">
        <v>635</v>
      </c>
      <c r="D2121" s="140" t="s">
        <v>636</v>
      </c>
      <c r="E2121" s="140">
        <v>12</v>
      </c>
      <c r="F2121" s="142">
        <v>45987.458333333328</v>
      </c>
      <c r="G2121" s="140" t="s">
        <v>845</v>
      </c>
      <c r="H2121" s="140" t="s">
        <v>864</v>
      </c>
    </row>
    <row r="2122" spans="1:8" ht="15.75" customHeight="1">
      <c r="A2122" s="140" t="s">
        <v>71</v>
      </c>
      <c r="B2122" s="140" t="s">
        <v>24</v>
      </c>
      <c r="C2122" s="141" t="s">
        <v>635</v>
      </c>
      <c r="D2122" s="140" t="s">
        <v>636</v>
      </c>
      <c r="E2122" s="140">
        <v>13</v>
      </c>
      <c r="F2122" s="142">
        <v>45994.458333333328</v>
      </c>
      <c r="G2122" s="140" t="s">
        <v>845</v>
      </c>
      <c r="H2122" s="140" t="s">
        <v>864</v>
      </c>
    </row>
    <row r="2123" spans="1:8" ht="15.75" customHeight="1">
      <c r="A2123" s="140" t="s">
        <v>71</v>
      </c>
      <c r="B2123" s="140" t="s">
        <v>24</v>
      </c>
      <c r="C2123" s="141" t="s">
        <v>635</v>
      </c>
      <c r="D2123" s="140" t="s">
        <v>636</v>
      </c>
      <c r="E2123" s="140">
        <v>14</v>
      </c>
      <c r="F2123" s="142">
        <v>46008.458333333328</v>
      </c>
      <c r="G2123" s="140" t="s">
        <v>845</v>
      </c>
      <c r="H2123" s="140" t="s">
        <v>864</v>
      </c>
    </row>
    <row r="2124" spans="1:8" ht="15.75" customHeight="1">
      <c r="A2124" s="140" t="s">
        <v>71</v>
      </c>
      <c r="B2124" s="140" t="s">
        <v>24</v>
      </c>
      <c r="C2124" s="141" t="s">
        <v>635</v>
      </c>
      <c r="D2124" s="140" t="s">
        <v>636</v>
      </c>
      <c r="E2124" s="140">
        <v>15</v>
      </c>
      <c r="F2124" s="142">
        <v>46050.541666666672</v>
      </c>
      <c r="G2124" s="140" t="s">
        <v>845</v>
      </c>
      <c r="H2124" s="140" t="s">
        <v>864</v>
      </c>
    </row>
    <row r="2125" spans="1:8" ht="15.75" customHeight="1">
      <c r="A2125" s="140" t="s">
        <v>71</v>
      </c>
      <c r="B2125" s="140" t="s">
        <v>24</v>
      </c>
      <c r="C2125" s="141" t="s">
        <v>667</v>
      </c>
      <c r="D2125" s="140" t="s">
        <v>668</v>
      </c>
      <c r="E2125" s="140">
        <v>1</v>
      </c>
      <c r="F2125" s="142">
        <v>45713.583333333328</v>
      </c>
      <c r="G2125" s="140" t="s">
        <v>845</v>
      </c>
      <c r="H2125" s="140" t="s">
        <v>864</v>
      </c>
    </row>
    <row r="2126" spans="1:8" ht="15.75" customHeight="1">
      <c r="A2126" s="140" t="s">
        <v>71</v>
      </c>
      <c r="B2126" s="140" t="s">
        <v>24</v>
      </c>
      <c r="C2126" s="141" t="s">
        <v>667</v>
      </c>
      <c r="D2126" s="140" t="s">
        <v>668</v>
      </c>
      <c r="E2126" s="140">
        <v>2</v>
      </c>
      <c r="F2126" s="142">
        <v>45827.458333333328</v>
      </c>
      <c r="G2126" s="140" t="s">
        <v>845</v>
      </c>
      <c r="H2126" s="140" t="s">
        <v>864</v>
      </c>
    </row>
    <row r="2127" spans="1:8" ht="15.75" customHeight="1">
      <c r="A2127" s="140" t="s">
        <v>71</v>
      </c>
      <c r="B2127" s="140" t="s">
        <v>24</v>
      </c>
      <c r="C2127" s="141" t="s">
        <v>667</v>
      </c>
      <c r="D2127" s="140" t="s">
        <v>668</v>
      </c>
      <c r="E2127" s="140">
        <v>3</v>
      </c>
      <c r="F2127" s="142">
        <v>45833.625</v>
      </c>
      <c r="G2127" s="140" t="s">
        <v>845</v>
      </c>
      <c r="H2127" s="140" t="s">
        <v>864</v>
      </c>
    </row>
    <row r="2128" spans="1:8" ht="15.75" customHeight="1">
      <c r="A2128" s="140" t="s">
        <v>71</v>
      </c>
      <c r="B2128" s="140" t="s">
        <v>24</v>
      </c>
      <c r="C2128" s="141" t="s">
        <v>667</v>
      </c>
      <c r="D2128" s="140" t="s">
        <v>668</v>
      </c>
      <c r="E2128" s="140">
        <v>4</v>
      </c>
      <c r="F2128" s="142">
        <v>45853.625</v>
      </c>
      <c r="G2128" s="140" t="s">
        <v>845</v>
      </c>
      <c r="H2128" s="140" t="s">
        <v>864</v>
      </c>
    </row>
    <row r="2129" spans="1:8" ht="15.75" customHeight="1">
      <c r="A2129" s="140" t="s">
        <v>71</v>
      </c>
      <c r="B2129" s="140" t="s">
        <v>24</v>
      </c>
      <c r="C2129" s="141" t="s">
        <v>667</v>
      </c>
      <c r="D2129" s="140" t="s">
        <v>668</v>
      </c>
      <c r="E2129" s="140">
        <v>5</v>
      </c>
      <c r="F2129" s="142">
        <v>45869.375</v>
      </c>
      <c r="G2129" s="140" t="s">
        <v>845</v>
      </c>
      <c r="H2129" s="140" t="s">
        <v>864</v>
      </c>
    </row>
    <row r="2130" spans="1:8" ht="15.75" customHeight="1">
      <c r="A2130" s="140" t="s">
        <v>71</v>
      </c>
      <c r="B2130" s="140" t="s">
        <v>24</v>
      </c>
      <c r="C2130" s="141" t="s">
        <v>667</v>
      </c>
      <c r="D2130" s="140" t="s">
        <v>668</v>
      </c>
      <c r="E2130" s="140">
        <v>6</v>
      </c>
      <c r="F2130" s="142">
        <v>45882.458333333328</v>
      </c>
      <c r="G2130" s="140" t="s">
        <v>845</v>
      </c>
      <c r="H2130" s="140" t="s">
        <v>864</v>
      </c>
    </row>
    <row r="2131" spans="1:8" ht="15.75" customHeight="1">
      <c r="A2131" s="140" t="s">
        <v>71</v>
      </c>
      <c r="B2131" s="140" t="s">
        <v>24</v>
      </c>
      <c r="C2131" s="141" t="s">
        <v>667</v>
      </c>
      <c r="D2131" s="140" t="s">
        <v>668</v>
      </c>
      <c r="E2131" s="140">
        <v>7</v>
      </c>
      <c r="F2131" s="142">
        <v>45896.625</v>
      </c>
      <c r="G2131" s="140" t="s">
        <v>845</v>
      </c>
      <c r="H2131" s="140" t="s">
        <v>864</v>
      </c>
    </row>
    <row r="2132" spans="1:8" ht="15.75" customHeight="1">
      <c r="A2132" s="140" t="s">
        <v>71</v>
      </c>
      <c r="B2132" s="140" t="s">
        <v>24</v>
      </c>
      <c r="C2132" s="141" t="s">
        <v>667</v>
      </c>
      <c r="D2132" s="140" t="s">
        <v>668</v>
      </c>
      <c r="E2132" s="140">
        <v>8</v>
      </c>
      <c r="F2132" s="142">
        <v>45917.375</v>
      </c>
      <c r="G2132" s="140" t="s">
        <v>845</v>
      </c>
      <c r="H2132" s="140" t="s">
        <v>864</v>
      </c>
    </row>
    <row r="2133" spans="1:8" ht="15.75" customHeight="1">
      <c r="A2133" s="140" t="s">
        <v>71</v>
      </c>
      <c r="B2133" s="140" t="s">
        <v>24</v>
      </c>
      <c r="C2133" s="141" t="s">
        <v>667</v>
      </c>
      <c r="D2133" s="140" t="s">
        <v>668</v>
      </c>
      <c r="E2133" s="140">
        <v>9</v>
      </c>
      <c r="F2133" s="142">
        <v>45924.416666666672</v>
      </c>
      <c r="G2133" s="140" t="s">
        <v>845</v>
      </c>
      <c r="H2133" s="140" t="s">
        <v>864</v>
      </c>
    </row>
    <row r="2134" spans="1:8" ht="15.75" customHeight="1">
      <c r="A2134" s="140" t="s">
        <v>71</v>
      </c>
      <c r="B2134" s="140" t="s">
        <v>24</v>
      </c>
      <c r="C2134" s="141" t="s">
        <v>667</v>
      </c>
      <c r="D2134" s="140" t="s">
        <v>668</v>
      </c>
      <c r="E2134" s="140">
        <v>10</v>
      </c>
      <c r="F2134" s="142">
        <v>45952.458333333328</v>
      </c>
      <c r="G2134" s="140" t="s">
        <v>845</v>
      </c>
      <c r="H2134" s="140" t="s">
        <v>864</v>
      </c>
    </row>
    <row r="2135" spans="1:8" ht="15.75" customHeight="1">
      <c r="A2135" s="140" t="s">
        <v>71</v>
      </c>
      <c r="B2135" s="140" t="s">
        <v>24</v>
      </c>
      <c r="C2135" s="141" t="s">
        <v>667</v>
      </c>
      <c r="D2135" s="140" t="s">
        <v>668</v>
      </c>
      <c r="E2135" s="140">
        <v>11</v>
      </c>
      <c r="F2135" s="142">
        <v>45981.625</v>
      </c>
      <c r="G2135" s="140" t="s">
        <v>845</v>
      </c>
      <c r="H2135" s="140" t="s">
        <v>864</v>
      </c>
    </row>
    <row r="2136" spans="1:8" ht="15.75" customHeight="1">
      <c r="A2136" s="140" t="s">
        <v>71</v>
      </c>
      <c r="B2136" s="140" t="s">
        <v>24</v>
      </c>
      <c r="C2136" s="141" t="s">
        <v>667</v>
      </c>
      <c r="D2136" s="140" t="s">
        <v>668</v>
      </c>
      <c r="E2136" s="140">
        <v>12</v>
      </c>
      <c r="F2136" s="142">
        <v>45987.458333333328</v>
      </c>
      <c r="G2136" s="140" t="s">
        <v>845</v>
      </c>
      <c r="H2136" s="140" t="s">
        <v>864</v>
      </c>
    </row>
    <row r="2137" spans="1:8" ht="15.75" customHeight="1">
      <c r="A2137" s="140" t="s">
        <v>71</v>
      </c>
      <c r="B2137" s="140" t="s">
        <v>24</v>
      </c>
      <c r="C2137" s="141" t="s">
        <v>667</v>
      </c>
      <c r="D2137" s="140" t="s">
        <v>668</v>
      </c>
      <c r="E2137" s="140">
        <v>13</v>
      </c>
      <c r="F2137" s="142">
        <v>45994.458333333328</v>
      </c>
      <c r="G2137" s="140" t="s">
        <v>845</v>
      </c>
      <c r="H2137" s="140" t="s">
        <v>864</v>
      </c>
    </row>
    <row r="2138" spans="1:8" ht="15.75" customHeight="1">
      <c r="A2138" s="140" t="s">
        <v>71</v>
      </c>
      <c r="B2138" s="140" t="s">
        <v>24</v>
      </c>
      <c r="C2138" s="141" t="s">
        <v>667</v>
      </c>
      <c r="D2138" s="140" t="s">
        <v>668</v>
      </c>
      <c r="E2138" s="140">
        <v>14</v>
      </c>
      <c r="F2138" s="142">
        <v>46008.458333333328</v>
      </c>
      <c r="G2138" s="140" t="s">
        <v>845</v>
      </c>
      <c r="H2138" s="140" t="s">
        <v>864</v>
      </c>
    </row>
    <row r="2139" spans="1:8" ht="15.75" customHeight="1">
      <c r="A2139" s="140" t="s">
        <v>71</v>
      </c>
      <c r="B2139" s="140" t="s">
        <v>24</v>
      </c>
      <c r="C2139" s="141" t="s">
        <v>667</v>
      </c>
      <c r="D2139" s="140" t="s">
        <v>668</v>
      </c>
      <c r="E2139" s="140">
        <v>15</v>
      </c>
      <c r="F2139" s="142">
        <v>46050.541666666672</v>
      </c>
      <c r="G2139" s="140" t="s">
        <v>845</v>
      </c>
      <c r="H2139" s="140" t="s">
        <v>864</v>
      </c>
    </row>
    <row r="2140" spans="1:8" ht="15.75" customHeight="1">
      <c r="A2140" s="140" t="s">
        <v>72</v>
      </c>
      <c r="B2140" s="140" t="s">
        <v>21</v>
      </c>
      <c r="C2140" s="141" t="s">
        <v>265</v>
      </c>
      <c r="D2140" s="140" t="s">
        <v>266</v>
      </c>
      <c r="E2140" s="140">
        <v>1</v>
      </c>
      <c r="F2140" s="142">
        <v>45670.541666666672</v>
      </c>
      <c r="G2140" s="140" t="s">
        <v>845</v>
      </c>
      <c r="H2140" s="140" t="s">
        <v>865</v>
      </c>
    </row>
    <row r="2141" spans="1:8" ht="15.75" customHeight="1">
      <c r="A2141" s="140" t="s">
        <v>72</v>
      </c>
      <c r="B2141" s="140" t="s">
        <v>21</v>
      </c>
      <c r="C2141" s="141" t="s">
        <v>265</v>
      </c>
      <c r="D2141" s="140" t="s">
        <v>266</v>
      </c>
      <c r="E2141" s="140">
        <v>2</v>
      </c>
      <c r="F2141" s="142">
        <v>45679.375</v>
      </c>
      <c r="G2141" s="140" t="s">
        <v>845</v>
      </c>
      <c r="H2141" s="140" t="s">
        <v>865</v>
      </c>
    </row>
    <row r="2142" spans="1:8" ht="15.75" customHeight="1">
      <c r="A2142" s="140" t="s">
        <v>72</v>
      </c>
      <c r="B2142" s="140" t="s">
        <v>21</v>
      </c>
      <c r="C2142" s="141" t="s">
        <v>265</v>
      </c>
      <c r="D2142" s="140" t="s">
        <v>266</v>
      </c>
      <c r="E2142" s="140">
        <v>3</v>
      </c>
      <c r="F2142" s="142">
        <v>45698.458333333328</v>
      </c>
      <c r="G2142" s="140" t="s">
        <v>845</v>
      </c>
      <c r="H2142" s="140" t="s">
        <v>865</v>
      </c>
    </row>
    <row r="2143" spans="1:8" ht="15.75" customHeight="1">
      <c r="A2143" s="140" t="s">
        <v>72</v>
      </c>
      <c r="B2143" s="140" t="s">
        <v>21</v>
      </c>
      <c r="C2143" s="141" t="s">
        <v>265</v>
      </c>
      <c r="D2143" s="140" t="s">
        <v>266</v>
      </c>
      <c r="E2143" s="140">
        <v>4</v>
      </c>
      <c r="F2143" s="142">
        <v>45705.458333333328</v>
      </c>
      <c r="G2143" s="140" t="s">
        <v>845</v>
      </c>
      <c r="H2143" s="140" t="s">
        <v>865</v>
      </c>
    </row>
    <row r="2144" spans="1:8" ht="15.75" customHeight="1">
      <c r="A2144" s="140" t="s">
        <v>72</v>
      </c>
      <c r="B2144" s="140" t="s">
        <v>21</v>
      </c>
      <c r="C2144" s="141" t="s">
        <v>265</v>
      </c>
      <c r="D2144" s="140" t="s">
        <v>266</v>
      </c>
      <c r="E2144" s="140">
        <v>5</v>
      </c>
      <c r="F2144" s="142">
        <v>45712.541666666672</v>
      </c>
      <c r="G2144" s="140" t="s">
        <v>845</v>
      </c>
      <c r="H2144" s="140" t="s">
        <v>865</v>
      </c>
    </row>
    <row r="2145" spans="1:8" ht="15.75" customHeight="1">
      <c r="A2145" s="140" t="s">
        <v>72</v>
      </c>
      <c r="B2145" s="140" t="s">
        <v>21</v>
      </c>
      <c r="C2145" s="141" t="s">
        <v>265</v>
      </c>
      <c r="D2145" s="140" t="s">
        <v>266</v>
      </c>
      <c r="E2145" s="140">
        <v>6</v>
      </c>
      <c r="F2145" s="142">
        <v>45761.458333333328</v>
      </c>
      <c r="G2145" s="140" t="s">
        <v>845</v>
      </c>
      <c r="H2145" s="140" t="s">
        <v>865</v>
      </c>
    </row>
    <row r="2146" spans="1:8" ht="15.75" customHeight="1">
      <c r="A2146" s="140" t="s">
        <v>72</v>
      </c>
      <c r="B2146" s="140" t="s">
        <v>21</v>
      </c>
      <c r="C2146" s="141" t="s">
        <v>265</v>
      </c>
      <c r="D2146" s="140" t="s">
        <v>266</v>
      </c>
      <c r="E2146" s="140">
        <v>7</v>
      </c>
      <c r="F2146" s="142">
        <v>45769.458333333328</v>
      </c>
      <c r="G2146" s="140" t="s">
        <v>845</v>
      </c>
      <c r="H2146" s="140" t="s">
        <v>865</v>
      </c>
    </row>
    <row r="2147" spans="1:8" ht="15.75" customHeight="1">
      <c r="A2147" s="140" t="s">
        <v>72</v>
      </c>
      <c r="B2147" s="140" t="s">
        <v>21</v>
      </c>
      <c r="C2147" s="141" t="s">
        <v>265</v>
      </c>
      <c r="D2147" s="140" t="s">
        <v>266</v>
      </c>
      <c r="E2147" s="140">
        <v>8</v>
      </c>
      <c r="F2147" s="142">
        <v>45782.458333333328</v>
      </c>
      <c r="G2147" s="140" t="s">
        <v>843</v>
      </c>
      <c r="H2147" s="140" t="s">
        <v>865</v>
      </c>
    </row>
    <row r="2148" spans="1:8" ht="15.75" customHeight="1">
      <c r="A2148" s="140" t="s">
        <v>72</v>
      </c>
      <c r="B2148" s="140" t="s">
        <v>21</v>
      </c>
      <c r="C2148" s="141" t="s">
        <v>265</v>
      </c>
      <c r="D2148" s="140" t="s">
        <v>266</v>
      </c>
      <c r="E2148" s="140">
        <v>9</v>
      </c>
      <c r="F2148" s="142">
        <v>45789.458333333328</v>
      </c>
      <c r="G2148" s="140" t="s">
        <v>845</v>
      </c>
      <c r="H2148" s="140" t="s">
        <v>865</v>
      </c>
    </row>
    <row r="2149" spans="1:8" ht="15.75" customHeight="1">
      <c r="A2149" s="140" t="s">
        <v>72</v>
      </c>
      <c r="B2149" s="140" t="s">
        <v>21</v>
      </c>
      <c r="C2149" s="141" t="s">
        <v>265</v>
      </c>
      <c r="D2149" s="140" t="s">
        <v>266</v>
      </c>
      <c r="E2149" s="140">
        <v>10</v>
      </c>
      <c r="F2149" s="142">
        <v>45803.541666666672</v>
      </c>
      <c r="G2149" s="140" t="s">
        <v>845</v>
      </c>
      <c r="H2149" s="140" t="s">
        <v>865</v>
      </c>
    </row>
    <row r="2150" spans="1:8" ht="15.75" customHeight="1">
      <c r="A2150" s="140" t="s">
        <v>72</v>
      </c>
      <c r="B2150" s="140" t="s">
        <v>21</v>
      </c>
      <c r="C2150" s="141" t="s">
        <v>265</v>
      </c>
      <c r="D2150" s="140" t="s">
        <v>266</v>
      </c>
      <c r="E2150" s="140">
        <v>11</v>
      </c>
      <c r="F2150" s="142">
        <v>45812.416666666672</v>
      </c>
      <c r="G2150" s="140" t="s">
        <v>845</v>
      </c>
      <c r="H2150" s="140" t="s">
        <v>865</v>
      </c>
    </row>
    <row r="2151" spans="1:8" ht="15.75" customHeight="1">
      <c r="A2151" s="140" t="s">
        <v>72</v>
      </c>
      <c r="B2151" s="140" t="s">
        <v>21</v>
      </c>
      <c r="C2151" s="141" t="s">
        <v>265</v>
      </c>
      <c r="D2151" s="140" t="s">
        <v>266</v>
      </c>
      <c r="E2151" s="140">
        <v>12</v>
      </c>
      <c r="F2151" s="142">
        <v>45832.375</v>
      </c>
      <c r="G2151" s="140" t="s">
        <v>845</v>
      </c>
      <c r="H2151" s="140" t="s">
        <v>865</v>
      </c>
    </row>
    <row r="2152" spans="1:8" ht="15.75" customHeight="1">
      <c r="A2152" s="140" t="s">
        <v>72</v>
      </c>
      <c r="B2152" s="140" t="s">
        <v>22</v>
      </c>
      <c r="C2152" s="141" t="s">
        <v>265</v>
      </c>
      <c r="D2152" s="140" t="s">
        <v>266</v>
      </c>
      <c r="E2152" s="140">
        <v>1</v>
      </c>
      <c r="F2152" s="142">
        <v>45866.541666666672</v>
      </c>
      <c r="G2152" s="140" t="s">
        <v>845</v>
      </c>
      <c r="H2152" s="140" t="s">
        <v>865</v>
      </c>
    </row>
    <row r="2153" spans="1:8" ht="15.75" customHeight="1">
      <c r="A2153" s="140" t="s">
        <v>72</v>
      </c>
      <c r="B2153" s="140" t="s">
        <v>22</v>
      </c>
      <c r="C2153" s="141" t="s">
        <v>265</v>
      </c>
      <c r="D2153" s="140" t="s">
        <v>266</v>
      </c>
      <c r="E2153" s="140">
        <v>2</v>
      </c>
      <c r="F2153" s="142">
        <v>45910.458333333328</v>
      </c>
      <c r="G2153" s="140" t="s">
        <v>845</v>
      </c>
      <c r="H2153" s="140" t="s">
        <v>865</v>
      </c>
    </row>
    <row r="2154" spans="1:8" ht="15.75" customHeight="1">
      <c r="A2154" s="140" t="s">
        <v>72</v>
      </c>
      <c r="B2154" s="140" t="s">
        <v>22</v>
      </c>
      <c r="C2154" s="141" t="s">
        <v>265</v>
      </c>
      <c r="D2154" s="140" t="s">
        <v>266</v>
      </c>
      <c r="E2154" s="140">
        <v>3</v>
      </c>
      <c r="F2154" s="142">
        <v>45915.458333333328</v>
      </c>
      <c r="G2154" s="140" t="s">
        <v>845</v>
      </c>
      <c r="H2154" s="140" t="s">
        <v>865</v>
      </c>
    </row>
    <row r="2155" spans="1:8" ht="15.75" customHeight="1">
      <c r="A2155" s="140" t="s">
        <v>72</v>
      </c>
      <c r="B2155" s="140" t="s">
        <v>22</v>
      </c>
      <c r="C2155" s="141" t="s">
        <v>265</v>
      </c>
      <c r="D2155" s="140" t="s">
        <v>266</v>
      </c>
      <c r="E2155" s="140">
        <v>4</v>
      </c>
      <c r="F2155" s="142">
        <v>45922.458333333328</v>
      </c>
      <c r="G2155" s="140" t="s">
        <v>845</v>
      </c>
      <c r="H2155" s="140" t="s">
        <v>865</v>
      </c>
    </row>
    <row r="2156" spans="1:8" ht="15.75" customHeight="1">
      <c r="A2156" s="140" t="s">
        <v>72</v>
      </c>
      <c r="B2156" s="140" t="s">
        <v>22</v>
      </c>
      <c r="C2156" s="141" t="s">
        <v>265</v>
      </c>
      <c r="D2156" s="140" t="s">
        <v>266</v>
      </c>
      <c r="E2156" s="140">
        <v>5</v>
      </c>
      <c r="F2156" s="142">
        <v>45929.458333333328</v>
      </c>
      <c r="G2156" s="140" t="s">
        <v>845</v>
      </c>
      <c r="H2156" s="140" t="s">
        <v>865</v>
      </c>
    </row>
    <row r="2157" spans="1:8" ht="15.75" customHeight="1">
      <c r="A2157" s="140" t="s">
        <v>72</v>
      </c>
      <c r="B2157" s="140" t="s">
        <v>22</v>
      </c>
      <c r="C2157" s="141" t="s">
        <v>265</v>
      </c>
      <c r="D2157" s="140" t="s">
        <v>266</v>
      </c>
      <c r="E2157" s="140">
        <v>6</v>
      </c>
      <c r="F2157" s="142">
        <v>45943.416666666672</v>
      </c>
      <c r="G2157" s="140" t="s">
        <v>845</v>
      </c>
      <c r="H2157" s="140" t="s">
        <v>865</v>
      </c>
    </row>
    <row r="2158" spans="1:8" ht="15.75" customHeight="1">
      <c r="A2158" s="140" t="s">
        <v>72</v>
      </c>
      <c r="B2158" s="140" t="s">
        <v>22</v>
      </c>
      <c r="C2158" s="141" t="s">
        <v>265</v>
      </c>
      <c r="D2158" s="140" t="s">
        <v>266</v>
      </c>
      <c r="E2158" s="140">
        <v>7</v>
      </c>
      <c r="F2158" s="142">
        <v>45944.583333333328</v>
      </c>
      <c r="G2158" s="140" t="s">
        <v>845</v>
      </c>
      <c r="H2158" s="140" t="s">
        <v>865</v>
      </c>
    </row>
    <row r="2159" spans="1:8" ht="15.75" customHeight="1">
      <c r="A2159" s="140" t="s">
        <v>72</v>
      </c>
      <c r="B2159" s="140" t="s">
        <v>22</v>
      </c>
      <c r="C2159" s="141" t="s">
        <v>265</v>
      </c>
      <c r="D2159" s="140" t="s">
        <v>266</v>
      </c>
      <c r="E2159" s="140">
        <v>9</v>
      </c>
      <c r="F2159" s="142">
        <v>45957.416666666672</v>
      </c>
      <c r="G2159" s="140" t="s">
        <v>845</v>
      </c>
      <c r="H2159" s="140" t="s">
        <v>865</v>
      </c>
    </row>
    <row r="2160" spans="1:8" ht="15.75" customHeight="1">
      <c r="A2160" s="140" t="s">
        <v>72</v>
      </c>
      <c r="B2160" s="140" t="s">
        <v>22</v>
      </c>
      <c r="C2160" s="141" t="s">
        <v>265</v>
      </c>
      <c r="D2160" s="140" t="s">
        <v>266</v>
      </c>
      <c r="E2160" s="140">
        <v>10</v>
      </c>
      <c r="F2160" s="142">
        <v>45964.583333333328</v>
      </c>
      <c r="G2160" s="140" t="s">
        <v>845</v>
      </c>
      <c r="H2160" s="140" t="s">
        <v>865</v>
      </c>
    </row>
    <row r="2161" spans="1:8" ht="15.75" customHeight="1">
      <c r="A2161" s="140" t="s">
        <v>72</v>
      </c>
      <c r="B2161" s="140" t="s">
        <v>22</v>
      </c>
      <c r="C2161" s="141" t="s">
        <v>265</v>
      </c>
      <c r="D2161" s="140" t="s">
        <v>266</v>
      </c>
      <c r="E2161" s="140">
        <v>11</v>
      </c>
      <c r="F2161" s="142">
        <v>45971.541666666672</v>
      </c>
      <c r="G2161" s="140" t="s">
        <v>845</v>
      </c>
      <c r="H2161" s="140" t="s">
        <v>865</v>
      </c>
    </row>
    <row r="2162" spans="1:8" ht="15.75" customHeight="1">
      <c r="A2162" s="140" t="s">
        <v>72</v>
      </c>
      <c r="B2162" s="140" t="s">
        <v>22</v>
      </c>
      <c r="C2162" s="141" t="s">
        <v>265</v>
      </c>
      <c r="D2162" s="140" t="s">
        <v>266</v>
      </c>
      <c r="E2162" s="140">
        <v>12</v>
      </c>
      <c r="F2162" s="142">
        <v>45985.583333333328</v>
      </c>
      <c r="G2162" s="140" t="s">
        <v>845</v>
      </c>
      <c r="H2162" s="140" t="s">
        <v>865</v>
      </c>
    </row>
    <row r="2163" spans="1:8" ht="15.75" customHeight="1">
      <c r="A2163" s="140" t="s">
        <v>72</v>
      </c>
      <c r="B2163" s="140" t="s">
        <v>22</v>
      </c>
      <c r="C2163" s="141" t="s">
        <v>265</v>
      </c>
      <c r="D2163" s="140" t="s">
        <v>266</v>
      </c>
      <c r="E2163" s="140">
        <v>13</v>
      </c>
      <c r="F2163" s="142">
        <v>45992.541666666672</v>
      </c>
      <c r="G2163" s="140" t="s">
        <v>845</v>
      </c>
      <c r="H2163" s="140" t="s">
        <v>865</v>
      </c>
    </row>
    <row r="2164" spans="1:8" ht="15.75" customHeight="1">
      <c r="A2164" s="140" t="s">
        <v>72</v>
      </c>
      <c r="B2164" s="140" t="s">
        <v>22</v>
      </c>
      <c r="C2164" s="141" t="s">
        <v>265</v>
      </c>
      <c r="D2164" s="140" t="s">
        <v>266</v>
      </c>
      <c r="E2164" s="140">
        <v>14</v>
      </c>
      <c r="F2164" s="142">
        <v>45999.416666666672</v>
      </c>
      <c r="G2164" s="140" t="s">
        <v>843</v>
      </c>
      <c r="H2164" s="140" t="s">
        <v>865</v>
      </c>
    </row>
    <row r="2165" spans="1:8" ht="15.75" customHeight="1">
      <c r="A2165" s="140" t="s">
        <v>72</v>
      </c>
      <c r="B2165" s="140" t="s">
        <v>22</v>
      </c>
      <c r="C2165" s="141" t="s">
        <v>265</v>
      </c>
      <c r="D2165" s="140" t="s">
        <v>266</v>
      </c>
      <c r="E2165" s="140">
        <v>15</v>
      </c>
      <c r="F2165" s="142">
        <v>46006.458333333328</v>
      </c>
      <c r="G2165" s="140" t="s">
        <v>845</v>
      </c>
      <c r="H2165" s="140" t="s">
        <v>865</v>
      </c>
    </row>
    <row r="2166" spans="1:8" ht="15.75" customHeight="1">
      <c r="A2166" s="140" t="s">
        <v>72</v>
      </c>
      <c r="B2166" s="140" t="s">
        <v>22</v>
      </c>
      <c r="C2166" s="141" t="s">
        <v>265</v>
      </c>
      <c r="D2166" s="140" t="s">
        <v>266</v>
      </c>
      <c r="E2166" s="140">
        <v>16</v>
      </c>
      <c r="F2166" s="142">
        <v>46048.416666666672</v>
      </c>
      <c r="G2166" s="140" t="s">
        <v>845</v>
      </c>
      <c r="H2166" s="140" t="s">
        <v>865</v>
      </c>
    </row>
    <row r="2167" spans="1:8" ht="15.75" customHeight="1">
      <c r="A2167" s="140" t="s">
        <v>72</v>
      </c>
      <c r="B2167" s="140" t="s">
        <v>23</v>
      </c>
      <c r="C2167" s="141" t="s">
        <v>265</v>
      </c>
      <c r="D2167" s="140" t="s">
        <v>266</v>
      </c>
      <c r="E2167" s="140">
        <v>1</v>
      </c>
      <c r="F2167" s="142">
        <v>46084.583333333328</v>
      </c>
      <c r="G2167" s="140" t="s">
        <v>845</v>
      </c>
      <c r="H2167" s="140" t="s">
        <v>865</v>
      </c>
    </row>
    <row r="2168" spans="1:8" ht="15.75" customHeight="1">
      <c r="A2168" s="140" t="s">
        <v>72</v>
      </c>
      <c r="B2168" s="140" t="s">
        <v>23</v>
      </c>
      <c r="C2168" s="141" t="s">
        <v>265</v>
      </c>
      <c r="D2168" s="140" t="s">
        <v>266</v>
      </c>
      <c r="E2168" s="140">
        <v>2</v>
      </c>
      <c r="F2168" s="142">
        <v>46099.458333333328</v>
      </c>
      <c r="G2168" s="140" t="s">
        <v>843</v>
      </c>
      <c r="H2168" s="140" t="s">
        <v>865</v>
      </c>
    </row>
    <row r="2169" spans="1:8" ht="15.75" customHeight="1">
      <c r="A2169" s="140" t="s">
        <v>72</v>
      </c>
      <c r="B2169" s="140" t="s">
        <v>23</v>
      </c>
      <c r="C2169" s="141" t="s">
        <v>265</v>
      </c>
      <c r="D2169" s="140" t="s">
        <v>266</v>
      </c>
      <c r="E2169" s="140">
        <v>3</v>
      </c>
      <c r="F2169" s="142">
        <v>46106.458333333328</v>
      </c>
      <c r="G2169" s="140" t="s">
        <v>845</v>
      </c>
      <c r="H2169" s="140" t="s">
        <v>865</v>
      </c>
    </row>
    <row r="2170" spans="1:8" ht="15.75" customHeight="1">
      <c r="A2170" s="140" t="s">
        <v>72</v>
      </c>
      <c r="B2170" s="140" t="s">
        <v>23</v>
      </c>
      <c r="C2170" s="141" t="s">
        <v>265</v>
      </c>
      <c r="D2170" s="140" t="s">
        <v>266</v>
      </c>
      <c r="E2170" s="140">
        <v>4</v>
      </c>
      <c r="F2170" s="142">
        <v>46119.458333333328</v>
      </c>
      <c r="G2170" s="140" t="s">
        <v>845</v>
      </c>
      <c r="H2170" s="140" t="s">
        <v>865</v>
      </c>
    </row>
    <row r="2171" spans="1:8" ht="15.75" customHeight="1">
      <c r="A2171" s="140" t="s">
        <v>72</v>
      </c>
      <c r="B2171" s="140" t="s">
        <v>23</v>
      </c>
      <c r="C2171" s="141" t="s">
        <v>265</v>
      </c>
      <c r="D2171" s="140" t="s">
        <v>266</v>
      </c>
      <c r="E2171" s="140">
        <v>5</v>
      </c>
      <c r="F2171" s="142">
        <v>46127.541666666672</v>
      </c>
      <c r="G2171" s="140" t="s">
        <v>845</v>
      </c>
      <c r="H2171" s="140" t="s">
        <v>865</v>
      </c>
    </row>
    <row r="2172" spans="1:8" ht="15.75" customHeight="1">
      <c r="A2172" s="140" t="s">
        <v>72</v>
      </c>
      <c r="B2172" s="140" t="s">
        <v>23</v>
      </c>
      <c r="C2172" s="141" t="s">
        <v>265</v>
      </c>
      <c r="D2172" s="140" t="s">
        <v>266</v>
      </c>
      <c r="E2172" s="140">
        <v>6</v>
      </c>
      <c r="F2172" s="142">
        <v>46134.583333333328</v>
      </c>
      <c r="G2172" s="140" t="s">
        <v>845</v>
      </c>
      <c r="H2172" s="140" t="s">
        <v>865</v>
      </c>
    </row>
    <row r="2173" spans="1:8" ht="15.75" customHeight="1">
      <c r="A2173" s="140" t="s">
        <v>72</v>
      </c>
      <c r="B2173" s="140" t="s">
        <v>21</v>
      </c>
      <c r="C2173" s="141" t="s">
        <v>108</v>
      </c>
      <c r="D2173" s="140" t="s">
        <v>283</v>
      </c>
      <c r="E2173" s="140">
        <v>1</v>
      </c>
      <c r="F2173" s="142">
        <v>45670.541666666672</v>
      </c>
      <c r="G2173" s="140" t="s">
        <v>845</v>
      </c>
      <c r="H2173" s="140" t="s">
        <v>865</v>
      </c>
    </row>
    <row r="2174" spans="1:8" ht="15.75" customHeight="1">
      <c r="A2174" s="140" t="s">
        <v>72</v>
      </c>
      <c r="B2174" s="140" t="s">
        <v>21</v>
      </c>
      <c r="C2174" s="141" t="s">
        <v>108</v>
      </c>
      <c r="D2174" s="140" t="s">
        <v>283</v>
      </c>
      <c r="E2174" s="140">
        <v>2</v>
      </c>
      <c r="F2174" s="142">
        <v>45679.375</v>
      </c>
      <c r="G2174" s="140" t="s">
        <v>845</v>
      </c>
      <c r="H2174" s="140" t="s">
        <v>865</v>
      </c>
    </row>
    <row r="2175" spans="1:8" ht="15.75" customHeight="1">
      <c r="A2175" s="140" t="s">
        <v>72</v>
      </c>
      <c r="B2175" s="140" t="s">
        <v>21</v>
      </c>
      <c r="C2175" s="141" t="s">
        <v>108</v>
      </c>
      <c r="D2175" s="140" t="s">
        <v>283</v>
      </c>
      <c r="E2175" s="140">
        <v>3</v>
      </c>
      <c r="F2175" s="142">
        <v>45698.458333333328</v>
      </c>
      <c r="G2175" s="140" t="s">
        <v>845</v>
      </c>
      <c r="H2175" s="140" t="s">
        <v>865</v>
      </c>
    </row>
    <row r="2176" spans="1:8" ht="15.75" customHeight="1">
      <c r="A2176" s="140" t="s">
        <v>72</v>
      </c>
      <c r="B2176" s="140" t="s">
        <v>21</v>
      </c>
      <c r="C2176" s="141" t="s">
        <v>108</v>
      </c>
      <c r="D2176" s="140" t="s">
        <v>283</v>
      </c>
      <c r="E2176" s="140">
        <v>4</v>
      </c>
      <c r="F2176" s="142">
        <v>45705.458333333328</v>
      </c>
      <c r="G2176" s="140" t="s">
        <v>845</v>
      </c>
      <c r="H2176" s="140" t="s">
        <v>865</v>
      </c>
    </row>
    <row r="2177" spans="1:8" ht="15.75" customHeight="1">
      <c r="A2177" s="140" t="s">
        <v>72</v>
      </c>
      <c r="B2177" s="140" t="s">
        <v>21</v>
      </c>
      <c r="C2177" s="141" t="s">
        <v>108</v>
      </c>
      <c r="D2177" s="140" t="s">
        <v>283</v>
      </c>
      <c r="E2177" s="140">
        <v>5</v>
      </c>
      <c r="F2177" s="142">
        <v>45712.541666666672</v>
      </c>
      <c r="G2177" s="140" t="s">
        <v>845</v>
      </c>
      <c r="H2177" s="140" t="s">
        <v>865</v>
      </c>
    </row>
    <row r="2178" spans="1:8" ht="15.75" customHeight="1">
      <c r="A2178" s="140" t="s">
        <v>72</v>
      </c>
      <c r="B2178" s="140" t="s">
        <v>21</v>
      </c>
      <c r="C2178" s="141" t="s">
        <v>108</v>
      </c>
      <c r="D2178" s="140" t="s">
        <v>283</v>
      </c>
      <c r="E2178" s="140">
        <v>6</v>
      </c>
      <c r="F2178" s="142">
        <v>45761.458333333328</v>
      </c>
      <c r="G2178" s="140" t="s">
        <v>845</v>
      </c>
      <c r="H2178" s="140" t="s">
        <v>865</v>
      </c>
    </row>
    <row r="2179" spans="1:8" ht="15.75" customHeight="1">
      <c r="A2179" s="140" t="s">
        <v>72</v>
      </c>
      <c r="B2179" s="140" t="s">
        <v>21</v>
      </c>
      <c r="C2179" s="141" t="s">
        <v>108</v>
      </c>
      <c r="D2179" s="140" t="s">
        <v>283</v>
      </c>
      <c r="E2179" s="140">
        <v>7</v>
      </c>
      <c r="F2179" s="142">
        <v>45769.458333333328</v>
      </c>
      <c r="G2179" s="140" t="s">
        <v>845</v>
      </c>
      <c r="H2179" s="140" t="s">
        <v>865</v>
      </c>
    </row>
    <row r="2180" spans="1:8" ht="15.75" customHeight="1">
      <c r="A2180" s="140" t="s">
        <v>72</v>
      </c>
      <c r="B2180" s="140" t="s">
        <v>21</v>
      </c>
      <c r="C2180" s="141" t="s">
        <v>108</v>
      </c>
      <c r="D2180" s="140" t="s">
        <v>283</v>
      </c>
      <c r="E2180" s="140">
        <v>8</v>
      </c>
      <c r="F2180" s="142">
        <v>45782.458333333328</v>
      </c>
      <c r="G2180" s="140" t="s">
        <v>845</v>
      </c>
      <c r="H2180" s="140" t="s">
        <v>865</v>
      </c>
    </row>
    <row r="2181" spans="1:8" ht="15.75" customHeight="1">
      <c r="A2181" s="140" t="s">
        <v>72</v>
      </c>
      <c r="B2181" s="140" t="s">
        <v>21</v>
      </c>
      <c r="C2181" s="141" t="s">
        <v>108</v>
      </c>
      <c r="D2181" s="140" t="s">
        <v>283</v>
      </c>
      <c r="E2181" s="140">
        <v>9</v>
      </c>
      <c r="F2181" s="142">
        <v>45789.458333333328</v>
      </c>
      <c r="G2181" s="140" t="s">
        <v>845</v>
      </c>
      <c r="H2181" s="140" t="s">
        <v>865</v>
      </c>
    </row>
    <row r="2182" spans="1:8" ht="15.75" customHeight="1">
      <c r="A2182" s="140" t="s">
        <v>72</v>
      </c>
      <c r="B2182" s="140" t="s">
        <v>21</v>
      </c>
      <c r="C2182" s="141" t="s">
        <v>108</v>
      </c>
      <c r="D2182" s="140" t="s">
        <v>283</v>
      </c>
      <c r="E2182" s="140">
        <v>10</v>
      </c>
      <c r="F2182" s="142">
        <v>45803.541666666672</v>
      </c>
      <c r="G2182" s="140" t="s">
        <v>845</v>
      </c>
      <c r="H2182" s="140" t="s">
        <v>865</v>
      </c>
    </row>
    <row r="2183" spans="1:8" ht="15.75" customHeight="1">
      <c r="A2183" s="140" t="s">
        <v>72</v>
      </c>
      <c r="B2183" s="140" t="s">
        <v>21</v>
      </c>
      <c r="C2183" s="141" t="s">
        <v>108</v>
      </c>
      <c r="D2183" s="140" t="s">
        <v>283</v>
      </c>
      <c r="E2183" s="140">
        <v>11</v>
      </c>
      <c r="F2183" s="142">
        <v>45812.416666666672</v>
      </c>
      <c r="G2183" s="140" t="s">
        <v>845</v>
      </c>
      <c r="H2183" s="140" t="s">
        <v>865</v>
      </c>
    </row>
    <row r="2184" spans="1:8" ht="15.75" customHeight="1">
      <c r="A2184" s="140" t="s">
        <v>72</v>
      </c>
      <c r="B2184" s="140" t="s">
        <v>21</v>
      </c>
      <c r="C2184" s="141" t="s">
        <v>108</v>
      </c>
      <c r="D2184" s="140" t="s">
        <v>283</v>
      </c>
      <c r="E2184" s="140">
        <v>12</v>
      </c>
      <c r="F2184" s="142">
        <v>45832.375</v>
      </c>
      <c r="G2184" s="140" t="s">
        <v>845</v>
      </c>
      <c r="H2184" s="140" t="s">
        <v>865</v>
      </c>
    </row>
    <row r="2185" spans="1:8" ht="15.75" customHeight="1">
      <c r="A2185" s="140" t="s">
        <v>72</v>
      </c>
      <c r="B2185" s="140" t="s">
        <v>22</v>
      </c>
      <c r="C2185" s="141" t="s">
        <v>108</v>
      </c>
      <c r="D2185" s="140" t="s">
        <v>283</v>
      </c>
      <c r="E2185" s="140">
        <v>1</v>
      </c>
      <c r="F2185" s="142">
        <v>45866.541666666672</v>
      </c>
      <c r="G2185" s="140" t="s">
        <v>845</v>
      </c>
      <c r="H2185" s="140" t="s">
        <v>865</v>
      </c>
    </row>
    <row r="2186" spans="1:8" ht="15.75" customHeight="1">
      <c r="A2186" s="140" t="s">
        <v>72</v>
      </c>
      <c r="B2186" s="140" t="s">
        <v>22</v>
      </c>
      <c r="C2186" s="141" t="s">
        <v>108</v>
      </c>
      <c r="D2186" s="140" t="s">
        <v>283</v>
      </c>
      <c r="E2186" s="140">
        <v>2</v>
      </c>
      <c r="F2186" s="142">
        <v>45910.458333333328</v>
      </c>
      <c r="G2186" s="140" t="s">
        <v>845</v>
      </c>
      <c r="H2186" s="140" t="s">
        <v>865</v>
      </c>
    </row>
    <row r="2187" spans="1:8" ht="15.75" customHeight="1">
      <c r="A2187" s="140" t="s">
        <v>72</v>
      </c>
      <c r="B2187" s="140" t="s">
        <v>22</v>
      </c>
      <c r="C2187" s="141" t="s">
        <v>108</v>
      </c>
      <c r="D2187" s="140" t="s">
        <v>283</v>
      </c>
      <c r="E2187" s="140">
        <v>3</v>
      </c>
      <c r="F2187" s="142">
        <v>45915.458333333328</v>
      </c>
      <c r="G2187" s="140" t="s">
        <v>845</v>
      </c>
      <c r="H2187" s="140" t="s">
        <v>865</v>
      </c>
    </row>
    <row r="2188" spans="1:8" ht="15.75" customHeight="1">
      <c r="A2188" s="140" t="s">
        <v>72</v>
      </c>
      <c r="B2188" s="140" t="s">
        <v>22</v>
      </c>
      <c r="C2188" s="141" t="s">
        <v>108</v>
      </c>
      <c r="D2188" s="140" t="s">
        <v>283</v>
      </c>
      <c r="E2188" s="140">
        <v>4</v>
      </c>
      <c r="F2188" s="142">
        <v>45922.458333333328</v>
      </c>
      <c r="G2188" s="140" t="s">
        <v>845</v>
      </c>
      <c r="H2188" s="140" t="s">
        <v>865</v>
      </c>
    </row>
    <row r="2189" spans="1:8" ht="15.75" customHeight="1">
      <c r="A2189" s="140" t="s">
        <v>72</v>
      </c>
      <c r="B2189" s="140" t="s">
        <v>22</v>
      </c>
      <c r="C2189" s="141" t="s">
        <v>108</v>
      </c>
      <c r="D2189" s="140" t="s">
        <v>283</v>
      </c>
      <c r="E2189" s="140">
        <v>5</v>
      </c>
      <c r="F2189" s="142">
        <v>45929.458333333328</v>
      </c>
      <c r="G2189" s="140" t="s">
        <v>845</v>
      </c>
      <c r="H2189" s="140" t="s">
        <v>865</v>
      </c>
    </row>
    <row r="2190" spans="1:8" ht="15.75" customHeight="1">
      <c r="A2190" s="140" t="s">
        <v>72</v>
      </c>
      <c r="B2190" s="140" t="s">
        <v>22</v>
      </c>
      <c r="C2190" s="141" t="s">
        <v>108</v>
      </c>
      <c r="D2190" s="140" t="s">
        <v>283</v>
      </c>
      <c r="E2190" s="140">
        <v>6</v>
      </c>
      <c r="F2190" s="142">
        <v>45943.416666666672</v>
      </c>
      <c r="G2190" s="140" t="s">
        <v>845</v>
      </c>
      <c r="H2190" s="140" t="s">
        <v>865</v>
      </c>
    </row>
    <row r="2191" spans="1:8" ht="15.75" customHeight="1">
      <c r="A2191" s="140" t="s">
        <v>72</v>
      </c>
      <c r="B2191" s="140" t="s">
        <v>22</v>
      </c>
      <c r="C2191" s="141" t="s">
        <v>108</v>
      </c>
      <c r="D2191" s="140" t="s">
        <v>283</v>
      </c>
      <c r="E2191" s="140">
        <v>7</v>
      </c>
      <c r="F2191" s="142">
        <v>45944.583333333328</v>
      </c>
      <c r="G2191" s="140" t="s">
        <v>845</v>
      </c>
      <c r="H2191" s="140" t="s">
        <v>865</v>
      </c>
    </row>
    <row r="2192" spans="1:8" ht="15.75" customHeight="1">
      <c r="A2192" s="140" t="s">
        <v>72</v>
      </c>
      <c r="B2192" s="140" t="s">
        <v>22</v>
      </c>
      <c r="C2192" s="141" t="s">
        <v>108</v>
      </c>
      <c r="D2192" s="140" t="s">
        <v>283</v>
      </c>
      <c r="E2192" s="140">
        <v>9</v>
      </c>
      <c r="F2192" s="142">
        <v>45957.416666666672</v>
      </c>
      <c r="G2192" s="140" t="s">
        <v>845</v>
      </c>
      <c r="H2192" s="140" t="s">
        <v>865</v>
      </c>
    </row>
    <row r="2193" spans="1:8" ht="15.75" customHeight="1">
      <c r="A2193" s="140" t="s">
        <v>72</v>
      </c>
      <c r="B2193" s="140" t="s">
        <v>22</v>
      </c>
      <c r="C2193" s="141" t="s">
        <v>108</v>
      </c>
      <c r="D2193" s="140" t="s">
        <v>283</v>
      </c>
      <c r="E2193" s="140">
        <v>10</v>
      </c>
      <c r="F2193" s="142">
        <v>45964.583333333328</v>
      </c>
      <c r="G2193" s="140" t="s">
        <v>845</v>
      </c>
      <c r="H2193" s="140" t="s">
        <v>865</v>
      </c>
    </row>
    <row r="2194" spans="1:8" ht="15.75" customHeight="1">
      <c r="A2194" s="140" t="s">
        <v>72</v>
      </c>
      <c r="B2194" s="140" t="s">
        <v>22</v>
      </c>
      <c r="C2194" s="141" t="s">
        <v>108</v>
      </c>
      <c r="D2194" s="140" t="s">
        <v>283</v>
      </c>
      <c r="E2194" s="140">
        <v>11</v>
      </c>
      <c r="F2194" s="142">
        <v>45971.541666666672</v>
      </c>
      <c r="G2194" s="140" t="s">
        <v>845</v>
      </c>
      <c r="H2194" s="140" t="s">
        <v>865</v>
      </c>
    </row>
    <row r="2195" spans="1:8" ht="15.75" customHeight="1">
      <c r="A2195" s="140" t="s">
        <v>72</v>
      </c>
      <c r="B2195" s="140" t="s">
        <v>22</v>
      </c>
      <c r="C2195" s="141" t="s">
        <v>108</v>
      </c>
      <c r="D2195" s="140" t="s">
        <v>283</v>
      </c>
      <c r="E2195" s="140">
        <v>12</v>
      </c>
      <c r="F2195" s="142">
        <v>45985.583333333328</v>
      </c>
      <c r="G2195" s="140" t="s">
        <v>845</v>
      </c>
      <c r="H2195" s="140" t="s">
        <v>865</v>
      </c>
    </row>
    <row r="2196" spans="1:8" ht="15.75" customHeight="1">
      <c r="A2196" s="140" t="s">
        <v>72</v>
      </c>
      <c r="B2196" s="140" t="s">
        <v>22</v>
      </c>
      <c r="C2196" s="141" t="s">
        <v>108</v>
      </c>
      <c r="D2196" s="140" t="s">
        <v>283</v>
      </c>
      <c r="E2196" s="140">
        <v>13</v>
      </c>
      <c r="F2196" s="142">
        <v>45992.541666666672</v>
      </c>
      <c r="G2196" s="140" t="s">
        <v>845</v>
      </c>
      <c r="H2196" s="140" t="s">
        <v>865</v>
      </c>
    </row>
    <row r="2197" spans="1:8" ht="15.75" customHeight="1">
      <c r="A2197" s="140" t="s">
        <v>72</v>
      </c>
      <c r="B2197" s="140" t="s">
        <v>22</v>
      </c>
      <c r="C2197" s="141" t="s">
        <v>108</v>
      </c>
      <c r="D2197" s="140" t="s">
        <v>283</v>
      </c>
      <c r="E2197" s="140">
        <v>14</v>
      </c>
      <c r="F2197" s="142">
        <v>45999.416666666672</v>
      </c>
      <c r="G2197" s="140" t="s">
        <v>845</v>
      </c>
      <c r="H2197" s="140" t="s">
        <v>865</v>
      </c>
    </row>
    <row r="2198" spans="1:8" ht="15.75" customHeight="1">
      <c r="A2198" s="140" t="s">
        <v>72</v>
      </c>
      <c r="B2198" s="140" t="s">
        <v>22</v>
      </c>
      <c r="C2198" s="141" t="s">
        <v>108</v>
      </c>
      <c r="D2198" s="140" t="s">
        <v>283</v>
      </c>
      <c r="E2198" s="140">
        <v>15</v>
      </c>
      <c r="F2198" s="142">
        <v>46006.458333333328</v>
      </c>
      <c r="G2198" s="140" t="s">
        <v>845</v>
      </c>
      <c r="H2198" s="140" t="s">
        <v>865</v>
      </c>
    </row>
    <row r="2199" spans="1:8" ht="15.75" customHeight="1">
      <c r="A2199" s="140" t="s">
        <v>72</v>
      </c>
      <c r="B2199" s="140" t="s">
        <v>22</v>
      </c>
      <c r="C2199" s="141" t="s">
        <v>108</v>
      </c>
      <c r="D2199" s="140" t="s">
        <v>283</v>
      </c>
      <c r="E2199" s="140">
        <v>16</v>
      </c>
      <c r="F2199" s="142">
        <v>46048.416666666672</v>
      </c>
      <c r="G2199" s="140" t="s">
        <v>845</v>
      </c>
      <c r="H2199" s="140" t="s">
        <v>865</v>
      </c>
    </row>
    <row r="2200" spans="1:8" ht="15.75" customHeight="1">
      <c r="A2200" s="140" t="s">
        <v>72</v>
      </c>
      <c r="B2200" s="140" t="s">
        <v>23</v>
      </c>
      <c r="C2200" s="141" t="s">
        <v>108</v>
      </c>
      <c r="D2200" s="140" t="s">
        <v>283</v>
      </c>
      <c r="E2200" s="140">
        <v>1</v>
      </c>
      <c r="F2200" s="142">
        <v>46084.583333333328</v>
      </c>
      <c r="G2200" s="140" t="s">
        <v>845</v>
      </c>
      <c r="H2200" s="140" t="s">
        <v>865</v>
      </c>
    </row>
    <row r="2201" spans="1:8" ht="15.75" customHeight="1">
      <c r="A2201" s="140" t="s">
        <v>72</v>
      </c>
      <c r="B2201" s="140" t="s">
        <v>23</v>
      </c>
      <c r="C2201" s="141" t="s">
        <v>108</v>
      </c>
      <c r="D2201" s="140" t="s">
        <v>283</v>
      </c>
      <c r="E2201" s="140">
        <v>2</v>
      </c>
      <c r="F2201" s="142">
        <v>46099.458333333328</v>
      </c>
      <c r="G2201" s="140" t="s">
        <v>845</v>
      </c>
      <c r="H2201" s="140" t="s">
        <v>865</v>
      </c>
    </row>
    <row r="2202" spans="1:8" ht="15.75" customHeight="1">
      <c r="A2202" s="140" t="s">
        <v>72</v>
      </c>
      <c r="B2202" s="140" t="s">
        <v>23</v>
      </c>
      <c r="C2202" s="141" t="s">
        <v>108</v>
      </c>
      <c r="D2202" s="140" t="s">
        <v>283</v>
      </c>
      <c r="E2202" s="140">
        <v>3</v>
      </c>
      <c r="F2202" s="142">
        <v>46106.458333333328</v>
      </c>
      <c r="G2202" s="140" t="s">
        <v>845</v>
      </c>
      <c r="H2202" s="140" t="s">
        <v>865</v>
      </c>
    </row>
    <row r="2203" spans="1:8" ht="15.75" customHeight="1">
      <c r="A2203" s="140" t="s">
        <v>72</v>
      </c>
      <c r="B2203" s="140" t="s">
        <v>23</v>
      </c>
      <c r="C2203" s="141" t="s">
        <v>108</v>
      </c>
      <c r="D2203" s="140" t="s">
        <v>283</v>
      </c>
      <c r="E2203" s="140">
        <v>4</v>
      </c>
      <c r="F2203" s="142">
        <v>46119.458333333328</v>
      </c>
      <c r="G2203" s="140" t="s">
        <v>845</v>
      </c>
      <c r="H2203" s="140" t="s">
        <v>865</v>
      </c>
    </row>
    <row r="2204" spans="1:8" ht="15.75" customHeight="1">
      <c r="A2204" s="140" t="s">
        <v>72</v>
      </c>
      <c r="B2204" s="140" t="s">
        <v>23</v>
      </c>
      <c r="C2204" s="141" t="s">
        <v>108</v>
      </c>
      <c r="D2204" s="140" t="s">
        <v>283</v>
      </c>
      <c r="E2204" s="140">
        <v>5</v>
      </c>
      <c r="F2204" s="142">
        <v>46127.541666666672</v>
      </c>
      <c r="G2204" s="140" t="s">
        <v>845</v>
      </c>
      <c r="H2204" s="140" t="s">
        <v>865</v>
      </c>
    </row>
    <row r="2205" spans="1:8" ht="15.75" customHeight="1">
      <c r="A2205" s="140" t="s">
        <v>72</v>
      </c>
      <c r="B2205" s="140" t="s">
        <v>23</v>
      </c>
      <c r="C2205" s="141" t="s">
        <v>108</v>
      </c>
      <c r="D2205" s="140" t="s">
        <v>283</v>
      </c>
      <c r="E2205" s="140">
        <v>6</v>
      </c>
      <c r="F2205" s="142">
        <v>46134.583333333328</v>
      </c>
      <c r="G2205" s="140" t="s">
        <v>845</v>
      </c>
      <c r="H2205" s="140" t="s">
        <v>865</v>
      </c>
    </row>
    <row r="2206" spans="1:8" ht="15.75" customHeight="1">
      <c r="A2206" s="140" t="s">
        <v>72</v>
      </c>
      <c r="B2206" s="140" t="s">
        <v>23</v>
      </c>
      <c r="C2206" s="141" t="s">
        <v>296</v>
      </c>
      <c r="D2206" s="140" t="s">
        <v>297</v>
      </c>
      <c r="E2206" s="140">
        <v>1</v>
      </c>
      <c r="F2206" s="142">
        <v>46084.583333333328</v>
      </c>
      <c r="G2206" s="140" t="s">
        <v>845</v>
      </c>
      <c r="H2206" s="140" t="s">
        <v>865</v>
      </c>
    </row>
    <row r="2207" spans="1:8" ht="15.75" customHeight="1">
      <c r="A2207" s="140" t="s">
        <v>72</v>
      </c>
      <c r="B2207" s="140" t="s">
        <v>23</v>
      </c>
      <c r="C2207" s="141" t="s">
        <v>296</v>
      </c>
      <c r="D2207" s="140" t="s">
        <v>297</v>
      </c>
      <c r="E2207" s="140">
        <v>2</v>
      </c>
      <c r="F2207" s="142">
        <v>46099.458333333328</v>
      </c>
      <c r="G2207" s="140" t="s">
        <v>845</v>
      </c>
      <c r="H2207" s="140" t="s">
        <v>865</v>
      </c>
    </row>
    <row r="2208" spans="1:8" ht="15.75" customHeight="1">
      <c r="A2208" s="140" t="s">
        <v>72</v>
      </c>
      <c r="B2208" s="140" t="s">
        <v>23</v>
      </c>
      <c r="C2208" s="141" t="s">
        <v>296</v>
      </c>
      <c r="D2208" s="140" t="s">
        <v>297</v>
      </c>
      <c r="E2208" s="140">
        <v>3</v>
      </c>
      <c r="F2208" s="142">
        <v>46106.458333333328</v>
      </c>
      <c r="G2208" s="140" t="s">
        <v>845</v>
      </c>
      <c r="H2208" s="140" t="s">
        <v>865</v>
      </c>
    </row>
    <row r="2209" spans="1:8" ht="15.75" customHeight="1">
      <c r="A2209" s="140" t="s">
        <v>72</v>
      </c>
      <c r="B2209" s="140" t="s">
        <v>23</v>
      </c>
      <c r="C2209" s="141" t="s">
        <v>296</v>
      </c>
      <c r="D2209" s="140" t="s">
        <v>297</v>
      </c>
      <c r="E2209" s="140">
        <v>4</v>
      </c>
      <c r="F2209" s="142">
        <v>46119.458333333328</v>
      </c>
      <c r="G2209" s="140" t="s">
        <v>843</v>
      </c>
      <c r="H2209" s="140" t="s">
        <v>865</v>
      </c>
    </row>
    <row r="2210" spans="1:8" ht="15.75" customHeight="1">
      <c r="A2210" s="140" t="s">
        <v>72</v>
      </c>
      <c r="B2210" s="140" t="s">
        <v>23</v>
      </c>
      <c r="C2210" s="141" t="s">
        <v>296</v>
      </c>
      <c r="D2210" s="140" t="s">
        <v>297</v>
      </c>
      <c r="E2210" s="140">
        <v>5</v>
      </c>
      <c r="F2210" s="142">
        <v>46127.541666666672</v>
      </c>
      <c r="G2210" s="140" t="s">
        <v>845</v>
      </c>
      <c r="H2210" s="140" t="s">
        <v>865</v>
      </c>
    </row>
    <row r="2211" spans="1:8" ht="15.75" customHeight="1">
      <c r="A2211" s="140" t="s">
        <v>72</v>
      </c>
      <c r="B2211" s="140" t="s">
        <v>23</v>
      </c>
      <c r="C2211" s="141" t="s">
        <v>296</v>
      </c>
      <c r="D2211" s="140" t="s">
        <v>297</v>
      </c>
      <c r="E2211" s="140">
        <v>6</v>
      </c>
      <c r="F2211" s="142">
        <v>46134.583333333328</v>
      </c>
      <c r="G2211" s="140" t="s">
        <v>845</v>
      </c>
      <c r="H2211" s="140" t="s">
        <v>865</v>
      </c>
    </row>
    <row r="2212" spans="1:8" ht="15.75" customHeight="1">
      <c r="A2212" s="140" t="s">
        <v>72</v>
      </c>
      <c r="B2212" s="140" t="s">
        <v>21</v>
      </c>
      <c r="C2212" s="141" t="s">
        <v>315</v>
      </c>
      <c r="D2212" s="140" t="s">
        <v>316</v>
      </c>
      <c r="E2212" s="140">
        <v>1</v>
      </c>
      <c r="F2212" s="142">
        <v>45670.541666666672</v>
      </c>
      <c r="G2212" s="140" t="s">
        <v>845</v>
      </c>
      <c r="H2212" s="140" t="s">
        <v>865</v>
      </c>
    </row>
    <row r="2213" spans="1:8" ht="15.75" customHeight="1">
      <c r="A2213" s="140" t="s">
        <v>72</v>
      </c>
      <c r="B2213" s="140" t="s">
        <v>21</v>
      </c>
      <c r="C2213" s="141" t="s">
        <v>315</v>
      </c>
      <c r="D2213" s="140" t="s">
        <v>316</v>
      </c>
      <c r="E2213" s="140">
        <v>2</v>
      </c>
      <c r="F2213" s="142">
        <v>45679.375</v>
      </c>
      <c r="G2213" s="140" t="s">
        <v>845</v>
      </c>
      <c r="H2213" s="140" t="s">
        <v>865</v>
      </c>
    </row>
    <row r="2214" spans="1:8" ht="15.75" customHeight="1">
      <c r="A2214" s="140" t="s">
        <v>72</v>
      </c>
      <c r="B2214" s="140" t="s">
        <v>21</v>
      </c>
      <c r="C2214" s="141" t="s">
        <v>315</v>
      </c>
      <c r="D2214" s="140" t="s">
        <v>316</v>
      </c>
      <c r="E2214" s="140">
        <v>3</v>
      </c>
      <c r="F2214" s="142">
        <v>45698.458333333328</v>
      </c>
      <c r="G2214" s="140" t="s">
        <v>845</v>
      </c>
      <c r="H2214" s="140" t="s">
        <v>865</v>
      </c>
    </row>
    <row r="2215" spans="1:8" ht="15.75" customHeight="1">
      <c r="A2215" s="140" t="s">
        <v>72</v>
      </c>
      <c r="B2215" s="140" t="s">
        <v>21</v>
      </c>
      <c r="C2215" s="141" t="s">
        <v>315</v>
      </c>
      <c r="D2215" s="140" t="s">
        <v>316</v>
      </c>
      <c r="E2215" s="140">
        <v>4</v>
      </c>
      <c r="F2215" s="142">
        <v>45705.458333333328</v>
      </c>
      <c r="G2215" s="140" t="s">
        <v>845</v>
      </c>
      <c r="H2215" s="140" t="s">
        <v>865</v>
      </c>
    </row>
    <row r="2216" spans="1:8" ht="15.75" customHeight="1">
      <c r="A2216" s="140" t="s">
        <v>72</v>
      </c>
      <c r="B2216" s="140" t="s">
        <v>21</v>
      </c>
      <c r="C2216" s="141" t="s">
        <v>315</v>
      </c>
      <c r="D2216" s="140" t="s">
        <v>316</v>
      </c>
      <c r="E2216" s="140">
        <v>5</v>
      </c>
      <c r="F2216" s="142">
        <v>45712.541666666672</v>
      </c>
      <c r="G2216" s="140" t="s">
        <v>845</v>
      </c>
      <c r="H2216" s="140" t="s">
        <v>865</v>
      </c>
    </row>
    <row r="2217" spans="1:8" ht="15.75" customHeight="1">
      <c r="A2217" s="140" t="s">
        <v>72</v>
      </c>
      <c r="B2217" s="140" t="s">
        <v>21</v>
      </c>
      <c r="C2217" s="141" t="s">
        <v>315</v>
      </c>
      <c r="D2217" s="140" t="s">
        <v>316</v>
      </c>
      <c r="E2217" s="140">
        <v>6</v>
      </c>
      <c r="F2217" s="142">
        <v>45761.458333333328</v>
      </c>
      <c r="G2217" s="140" t="s">
        <v>845</v>
      </c>
      <c r="H2217" s="140" t="s">
        <v>865</v>
      </c>
    </row>
    <row r="2218" spans="1:8" ht="15.75" customHeight="1">
      <c r="A2218" s="140" t="s">
        <v>72</v>
      </c>
      <c r="B2218" s="140" t="s">
        <v>21</v>
      </c>
      <c r="C2218" s="141" t="s">
        <v>315</v>
      </c>
      <c r="D2218" s="140" t="s">
        <v>316</v>
      </c>
      <c r="E2218" s="140">
        <v>7</v>
      </c>
      <c r="F2218" s="142">
        <v>45769.458333333328</v>
      </c>
      <c r="G2218" s="140" t="s">
        <v>845</v>
      </c>
      <c r="H2218" s="140" t="s">
        <v>865</v>
      </c>
    </row>
    <row r="2219" spans="1:8" ht="15.75" customHeight="1">
      <c r="A2219" s="140" t="s">
        <v>72</v>
      </c>
      <c r="B2219" s="140" t="s">
        <v>21</v>
      </c>
      <c r="C2219" s="141" t="s">
        <v>315</v>
      </c>
      <c r="D2219" s="140" t="s">
        <v>316</v>
      </c>
      <c r="E2219" s="140">
        <v>8</v>
      </c>
      <c r="F2219" s="142">
        <v>45782.458333333328</v>
      </c>
      <c r="G2219" s="140" t="s">
        <v>845</v>
      </c>
      <c r="H2219" s="140" t="s">
        <v>865</v>
      </c>
    </row>
    <row r="2220" spans="1:8" ht="15.75" customHeight="1">
      <c r="A2220" s="140" t="s">
        <v>72</v>
      </c>
      <c r="B2220" s="140" t="s">
        <v>21</v>
      </c>
      <c r="C2220" s="141" t="s">
        <v>315</v>
      </c>
      <c r="D2220" s="140" t="s">
        <v>316</v>
      </c>
      <c r="E2220" s="140">
        <v>9</v>
      </c>
      <c r="F2220" s="142">
        <v>45789.458333333328</v>
      </c>
      <c r="G2220" s="140" t="s">
        <v>843</v>
      </c>
      <c r="H2220" s="140" t="s">
        <v>865</v>
      </c>
    </row>
    <row r="2221" spans="1:8" ht="15.75" customHeight="1">
      <c r="A2221" s="140" t="s">
        <v>72</v>
      </c>
      <c r="B2221" s="140" t="s">
        <v>21</v>
      </c>
      <c r="C2221" s="141" t="s">
        <v>315</v>
      </c>
      <c r="D2221" s="140" t="s">
        <v>316</v>
      </c>
      <c r="E2221" s="140">
        <v>10</v>
      </c>
      <c r="F2221" s="142">
        <v>45803.541666666672</v>
      </c>
      <c r="G2221" s="140" t="s">
        <v>845</v>
      </c>
      <c r="H2221" s="140" t="s">
        <v>865</v>
      </c>
    </row>
    <row r="2222" spans="1:8" ht="15.75" customHeight="1">
      <c r="A2222" s="140" t="s">
        <v>72</v>
      </c>
      <c r="B2222" s="140" t="s">
        <v>21</v>
      </c>
      <c r="C2222" s="141" t="s">
        <v>315</v>
      </c>
      <c r="D2222" s="140" t="s">
        <v>316</v>
      </c>
      <c r="E2222" s="140">
        <v>11</v>
      </c>
      <c r="F2222" s="142">
        <v>45812.416666666672</v>
      </c>
      <c r="G2222" s="140" t="s">
        <v>845</v>
      </c>
      <c r="H2222" s="140" t="s">
        <v>865</v>
      </c>
    </row>
    <row r="2223" spans="1:8" ht="15.75" customHeight="1">
      <c r="A2223" s="140" t="s">
        <v>72</v>
      </c>
      <c r="B2223" s="140" t="s">
        <v>21</v>
      </c>
      <c r="C2223" s="141" t="s">
        <v>315</v>
      </c>
      <c r="D2223" s="140" t="s">
        <v>316</v>
      </c>
      <c r="E2223" s="140">
        <v>12</v>
      </c>
      <c r="F2223" s="142">
        <v>45832.375</v>
      </c>
      <c r="G2223" s="140" t="s">
        <v>845</v>
      </c>
      <c r="H2223" s="140" t="s">
        <v>865</v>
      </c>
    </row>
    <row r="2224" spans="1:8" ht="15.75" customHeight="1">
      <c r="A2224" s="140" t="s">
        <v>72</v>
      </c>
      <c r="B2224" s="140" t="s">
        <v>22</v>
      </c>
      <c r="C2224" s="141" t="s">
        <v>315</v>
      </c>
      <c r="D2224" s="140" t="s">
        <v>316</v>
      </c>
      <c r="E2224" s="140">
        <v>1</v>
      </c>
      <c r="F2224" s="142">
        <v>45866.541666666672</v>
      </c>
      <c r="G2224" s="140" t="s">
        <v>843</v>
      </c>
      <c r="H2224" s="140" t="s">
        <v>865</v>
      </c>
    </row>
    <row r="2225" spans="1:8" ht="15.75" customHeight="1">
      <c r="A2225" s="140" t="s">
        <v>72</v>
      </c>
      <c r="B2225" s="140" t="s">
        <v>22</v>
      </c>
      <c r="C2225" s="141" t="s">
        <v>315</v>
      </c>
      <c r="D2225" s="140" t="s">
        <v>316</v>
      </c>
      <c r="E2225" s="140">
        <v>2</v>
      </c>
      <c r="F2225" s="142">
        <v>45910.458333333328</v>
      </c>
      <c r="G2225" s="140" t="s">
        <v>845</v>
      </c>
      <c r="H2225" s="140" t="s">
        <v>865</v>
      </c>
    </row>
    <row r="2226" spans="1:8" ht="15.75" customHeight="1">
      <c r="A2226" s="140" t="s">
        <v>72</v>
      </c>
      <c r="B2226" s="140" t="s">
        <v>22</v>
      </c>
      <c r="C2226" s="141" t="s">
        <v>315</v>
      </c>
      <c r="D2226" s="140" t="s">
        <v>316</v>
      </c>
      <c r="E2226" s="140">
        <v>3</v>
      </c>
      <c r="F2226" s="142">
        <v>45915.458333333328</v>
      </c>
      <c r="G2226" s="140" t="s">
        <v>845</v>
      </c>
      <c r="H2226" s="140" t="s">
        <v>865</v>
      </c>
    </row>
    <row r="2227" spans="1:8" ht="15.75" customHeight="1">
      <c r="A2227" s="140" t="s">
        <v>72</v>
      </c>
      <c r="B2227" s="140" t="s">
        <v>22</v>
      </c>
      <c r="C2227" s="141" t="s">
        <v>315</v>
      </c>
      <c r="D2227" s="140" t="s">
        <v>316</v>
      </c>
      <c r="E2227" s="140">
        <v>4</v>
      </c>
      <c r="F2227" s="142">
        <v>45922.458333333328</v>
      </c>
      <c r="G2227" s="140" t="s">
        <v>845</v>
      </c>
      <c r="H2227" s="140" t="s">
        <v>865</v>
      </c>
    </row>
    <row r="2228" spans="1:8" ht="15.75" customHeight="1">
      <c r="A2228" s="140" t="s">
        <v>72</v>
      </c>
      <c r="B2228" s="140" t="s">
        <v>22</v>
      </c>
      <c r="C2228" s="141" t="s">
        <v>315</v>
      </c>
      <c r="D2228" s="140" t="s">
        <v>316</v>
      </c>
      <c r="E2228" s="140">
        <v>5</v>
      </c>
      <c r="F2228" s="142">
        <v>45929.458333333328</v>
      </c>
      <c r="G2228" s="140" t="s">
        <v>845</v>
      </c>
      <c r="H2228" s="140" t="s">
        <v>865</v>
      </c>
    </row>
    <row r="2229" spans="1:8" ht="15.75" customHeight="1">
      <c r="A2229" s="140" t="s">
        <v>72</v>
      </c>
      <c r="B2229" s="140" t="s">
        <v>22</v>
      </c>
      <c r="C2229" s="141" t="s">
        <v>315</v>
      </c>
      <c r="D2229" s="140" t="s">
        <v>316</v>
      </c>
      <c r="E2229" s="140">
        <v>6</v>
      </c>
      <c r="F2229" s="142">
        <v>45943.416666666672</v>
      </c>
      <c r="G2229" s="140" t="s">
        <v>845</v>
      </c>
      <c r="H2229" s="140" t="s">
        <v>865</v>
      </c>
    </row>
    <row r="2230" spans="1:8" ht="15.75" customHeight="1">
      <c r="A2230" s="140" t="s">
        <v>72</v>
      </c>
      <c r="B2230" s="140" t="s">
        <v>22</v>
      </c>
      <c r="C2230" s="141" t="s">
        <v>315</v>
      </c>
      <c r="D2230" s="140" t="s">
        <v>316</v>
      </c>
      <c r="E2230" s="140">
        <v>7</v>
      </c>
      <c r="F2230" s="142">
        <v>45944.583333333328</v>
      </c>
      <c r="G2230" s="140" t="s">
        <v>845</v>
      </c>
      <c r="H2230" s="140" t="s">
        <v>865</v>
      </c>
    </row>
    <row r="2231" spans="1:8" ht="15.75" customHeight="1">
      <c r="A2231" s="140" t="s">
        <v>72</v>
      </c>
      <c r="B2231" s="140" t="s">
        <v>22</v>
      </c>
      <c r="C2231" s="141" t="s">
        <v>315</v>
      </c>
      <c r="D2231" s="140" t="s">
        <v>316</v>
      </c>
      <c r="E2231" s="140">
        <v>9</v>
      </c>
      <c r="F2231" s="142">
        <v>45957.416666666672</v>
      </c>
      <c r="G2231" s="140" t="s">
        <v>845</v>
      </c>
      <c r="H2231" s="140" t="s">
        <v>865</v>
      </c>
    </row>
    <row r="2232" spans="1:8" ht="15.75" customHeight="1">
      <c r="A2232" s="140" t="s">
        <v>72</v>
      </c>
      <c r="B2232" s="140" t="s">
        <v>22</v>
      </c>
      <c r="C2232" s="141" t="s">
        <v>315</v>
      </c>
      <c r="D2232" s="140" t="s">
        <v>316</v>
      </c>
      <c r="E2232" s="140">
        <v>10</v>
      </c>
      <c r="F2232" s="142">
        <v>45964.583333333328</v>
      </c>
      <c r="G2232" s="140" t="s">
        <v>845</v>
      </c>
      <c r="H2232" s="140" t="s">
        <v>865</v>
      </c>
    </row>
    <row r="2233" spans="1:8" ht="15.75" customHeight="1">
      <c r="A2233" s="140" t="s">
        <v>72</v>
      </c>
      <c r="B2233" s="140" t="s">
        <v>22</v>
      </c>
      <c r="C2233" s="141" t="s">
        <v>315</v>
      </c>
      <c r="D2233" s="140" t="s">
        <v>316</v>
      </c>
      <c r="E2233" s="140">
        <v>11</v>
      </c>
      <c r="F2233" s="142">
        <v>45971.541666666672</v>
      </c>
      <c r="G2233" s="140" t="s">
        <v>845</v>
      </c>
      <c r="H2233" s="140" t="s">
        <v>865</v>
      </c>
    </row>
    <row r="2234" spans="1:8" ht="15.75" customHeight="1">
      <c r="A2234" s="140" t="s">
        <v>72</v>
      </c>
      <c r="B2234" s="140" t="s">
        <v>22</v>
      </c>
      <c r="C2234" s="141" t="s">
        <v>315</v>
      </c>
      <c r="D2234" s="140" t="s">
        <v>316</v>
      </c>
      <c r="E2234" s="140">
        <v>12</v>
      </c>
      <c r="F2234" s="142">
        <v>45985.583333333328</v>
      </c>
      <c r="G2234" s="140" t="s">
        <v>845</v>
      </c>
      <c r="H2234" s="140" t="s">
        <v>865</v>
      </c>
    </row>
    <row r="2235" spans="1:8" ht="15.75" customHeight="1">
      <c r="A2235" s="140" t="s">
        <v>72</v>
      </c>
      <c r="B2235" s="140" t="s">
        <v>22</v>
      </c>
      <c r="C2235" s="141" t="s">
        <v>315</v>
      </c>
      <c r="D2235" s="140" t="s">
        <v>316</v>
      </c>
      <c r="E2235" s="140">
        <v>13</v>
      </c>
      <c r="F2235" s="142">
        <v>45992.541666666672</v>
      </c>
      <c r="G2235" s="140" t="s">
        <v>845</v>
      </c>
      <c r="H2235" s="140" t="s">
        <v>865</v>
      </c>
    </row>
    <row r="2236" spans="1:8" ht="15.75" customHeight="1">
      <c r="A2236" s="140" t="s">
        <v>72</v>
      </c>
      <c r="B2236" s="140" t="s">
        <v>22</v>
      </c>
      <c r="C2236" s="141" t="s">
        <v>315</v>
      </c>
      <c r="D2236" s="140" t="s">
        <v>316</v>
      </c>
      <c r="E2236" s="140">
        <v>14</v>
      </c>
      <c r="F2236" s="142">
        <v>45999.416666666672</v>
      </c>
      <c r="G2236" s="140" t="s">
        <v>845</v>
      </c>
      <c r="H2236" s="140" t="s">
        <v>865</v>
      </c>
    </row>
    <row r="2237" spans="1:8" ht="15.75" customHeight="1">
      <c r="A2237" s="140" t="s">
        <v>72</v>
      </c>
      <c r="B2237" s="140" t="s">
        <v>22</v>
      </c>
      <c r="C2237" s="141" t="s">
        <v>315</v>
      </c>
      <c r="D2237" s="140" t="s">
        <v>316</v>
      </c>
      <c r="E2237" s="140">
        <v>15</v>
      </c>
      <c r="F2237" s="142">
        <v>46006.458333333328</v>
      </c>
      <c r="G2237" s="140" t="s">
        <v>845</v>
      </c>
      <c r="H2237" s="140" t="s">
        <v>865</v>
      </c>
    </row>
    <row r="2238" spans="1:8" ht="15.75" customHeight="1">
      <c r="A2238" s="140" t="s">
        <v>72</v>
      </c>
      <c r="B2238" s="140" t="s">
        <v>22</v>
      </c>
      <c r="C2238" s="141" t="s">
        <v>315</v>
      </c>
      <c r="D2238" s="140" t="s">
        <v>316</v>
      </c>
      <c r="E2238" s="140">
        <v>16</v>
      </c>
      <c r="F2238" s="142">
        <v>46048.416666666672</v>
      </c>
      <c r="G2238" s="140" t="s">
        <v>845</v>
      </c>
      <c r="H2238" s="140" t="s">
        <v>865</v>
      </c>
    </row>
    <row r="2239" spans="1:8" ht="15.75" customHeight="1">
      <c r="A2239" s="140" t="s">
        <v>72</v>
      </c>
      <c r="B2239" s="140" t="s">
        <v>23</v>
      </c>
      <c r="C2239" s="141" t="s">
        <v>315</v>
      </c>
      <c r="D2239" s="140" t="s">
        <v>316</v>
      </c>
      <c r="E2239" s="140">
        <v>1</v>
      </c>
      <c r="F2239" s="142">
        <v>46084.583333333328</v>
      </c>
      <c r="G2239" s="140" t="s">
        <v>845</v>
      </c>
      <c r="H2239" s="140" t="s">
        <v>865</v>
      </c>
    </row>
    <row r="2240" spans="1:8" ht="15.75" customHeight="1">
      <c r="A2240" s="140" t="s">
        <v>72</v>
      </c>
      <c r="B2240" s="140" t="s">
        <v>23</v>
      </c>
      <c r="C2240" s="141" t="s">
        <v>315</v>
      </c>
      <c r="D2240" s="140" t="s">
        <v>316</v>
      </c>
      <c r="E2240" s="140">
        <v>2</v>
      </c>
      <c r="F2240" s="142">
        <v>46099.458333333328</v>
      </c>
      <c r="G2240" s="140" t="s">
        <v>845</v>
      </c>
      <c r="H2240" s="140" t="s">
        <v>865</v>
      </c>
    </row>
    <row r="2241" spans="1:8" ht="15.75" customHeight="1">
      <c r="A2241" s="140" t="s">
        <v>72</v>
      </c>
      <c r="B2241" s="140" t="s">
        <v>23</v>
      </c>
      <c r="C2241" s="141" t="s">
        <v>315</v>
      </c>
      <c r="D2241" s="140" t="s">
        <v>316</v>
      </c>
      <c r="E2241" s="140">
        <v>3</v>
      </c>
      <c r="F2241" s="142">
        <v>46106.458333333328</v>
      </c>
      <c r="G2241" s="140" t="s">
        <v>845</v>
      </c>
      <c r="H2241" s="140" t="s">
        <v>865</v>
      </c>
    </row>
    <row r="2242" spans="1:8" ht="15.75" customHeight="1">
      <c r="A2242" s="140" t="s">
        <v>72</v>
      </c>
      <c r="B2242" s="140" t="s">
        <v>23</v>
      </c>
      <c r="C2242" s="141" t="s">
        <v>315</v>
      </c>
      <c r="D2242" s="140" t="s">
        <v>316</v>
      </c>
      <c r="E2242" s="140">
        <v>4</v>
      </c>
      <c r="F2242" s="142">
        <v>46119.458333333328</v>
      </c>
      <c r="G2242" s="140" t="s">
        <v>845</v>
      </c>
      <c r="H2242" s="140" t="s">
        <v>865</v>
      </c>
    </row>
    <row r="2243" spans="1:8" ht="15.75" customHeight="1">
      <c r="A2243" s="140" t="s">
        <v>72</v>
      </c>
      <c r="B2243" s="140" t="s">
        <v>23</v>
      </c>
      <c r="C2243" s="141" t="s">
        <v>315</v>
      </c>
      <c r="D2243" s="140" t="s">
        <v>316</v>
      </c>
      <c r="E2243" s="140">
        <v>5</v>
      </c>
      <c r="F2243" s="142">
        <v>46127.541666666672</v>
      </c>
      <c r="G2243" s="140" t="s">
        <v>845</v>
      </c>
      <c r="H2243" s="140" t="s">
        <v>865</v>
      </c>
    </row>
    <row r="2244" spans="1:8" ht="15.75" customHeight="1">
      <c r="A2244" s="140" t="s">
        <v>72</v>
      </c>
      <c r="B2244" s="140" t="s">
        <v>23</v>
      </c>
      <c r="C2244" s="141" t="s">
        <v>315</v>
      </c>
      <c r="D2244" s="140" t="s">
        <v>316</v>
      </c>
      <c r="E2244" s="140">
        <v>6</v>
      </c>
      <c r="F2244" s="142">
        <v>46134.583333333328</v>
      </c>
      <c r="G2244" s="140" t="s">
        <v>845</v>
      </c>
      <c r="H2244" s="140" t="s">
        <v>865</v>
      </c>
    </row>
    <row r="2245" spans="1:8" ht="15.75" customHeight="1">
      <c r="A2245" s="140" t="s">
        <v>72</v>
      </c>
      <c r="B2245" s="140" t="s">
        <v>23</v>
      </c>
      <c r="C2245" s="141" t="s">
        <v>319</v>
      </c>
      <c r="D2245" s="140" t="s">
        <v>320</v>
      </c>
      <c r="E2245" s="140">
        <v>1</v>
      </c>
      <c r="F2245" s="142">
        <v>46084.583333333328</v>
      </c>
      <c r="G2245" s="140" t="s">
        <v>845</v>
      </c>
      <c r="H2245" s="140" t="s">
        <v>865</v>
      </c>
    </row>
    <row r="2246" spans="1:8" ht="15.75" customHeight="1">
      <c r="A2246" s="140" t="s">
        <v>72</v>
      </c>
      <c r="B2246" s="140" t="s">
        <v>23</v>
      </c>
      <c r="C2246" s="141" t="s">
        <v>319</v>
      </c>
      <c r="D2246" s="140" t="s">
        <v>320</v>
      </c>
      <c r="E2246" s="140">
        <v>2</v>
      </c>
      <c r="F2246" s="142">
        <v>46099.458333333328</v>
      </c>
      <c r="G2246" s="140" t="s">
        <v>845</v>
      </c>
      <c r="H2246" s="140" t="s">
        <v>865</v>
      </c>
    </row>
    <row r="2247" spans="1:8" ht="15.75" customHeight="1">
      <c r="A2247" s="140" t="s">
        <v>72</v>
      </c>
      <c r="B2247" s="140" t="s">
        <v>23</v>
      </c>
      <c r="C2247" s="141" t="s">
        <v>319</v>
      </c>
      <c r="D2247" s="140" t="s">
        <v>320</v>
      </c>
      <c r="E2247" s="140">
        <v>3</v>
      </c>
      <c r="F2247" s="142">
        <v>46106.458333333328</v>
      </c>
      <c r="G2247" s="140" t="s">
        <v>845</v>
      </c>
      <c r="H2247" s="140" t="s">
        <v>865</v>
      </c>
    </row>
    <row r="2248" spans="1:8" ht="15.75" customHeight="1">
      <c r="A2248" s="140" t="s">
        <v>72</v>
      </c>
      <c r="B2248" s="140" t="s">
        <v>23</v>
      </c>
      <c r="C2248" s="141" t="s">
        <v>319</v>
      </c>
      <c r="D2248" s="140" t="s">
        <v>320</v>
      </c>
      <c r="E2248" s="140">
        <v>4</v>
      </c>
      <c r="F2248" s="142">
        <v>46119.458333333328</v>
      </c>
      <c r="G2248" s="140" t="s">
        <v>843</v>
      </c>
      <c r="H2248" s="140" t="s">
        <v>865</v>
      </c>
    </row>
    <row r="2249" spans="1:8" ht="15.75" customHeight="1">
      <c r="A2249" s="140" t="s">
        <v>72</v>
      </c>
      <c r="B2249" s="140" t="s">
        <v>23</v>
      </c>
      <c r="C2249" s="141" t="s">
        <v>319</v>
      </c>
      <c r="D2249" s="140" t="s">
        <v>320</v>
      </c>
      <c r="E2249" s="140">
        <v>5</v>
      </c>
      <c r="F2249" s="142">
        <v>46127.541666666672</v>
      </c>
      <c r="G2249" s="140" t="s">
        <v>845</v>
      </c>
      <c r="H2249" s="140" t="s">
        <v>865</v>
      </c>
    </row>
    <row r="2250" spans="1:8" ht="15.75" customHeight="1">
      <c r="A2250" s="140" t="s">
        <v>72</v>
      </c>
      <c r="B2250" s="140" t="s">
        <v>23</v>
      </c>
      <c r="C2250" s="141" t="s">
        <v>319</v>
      </c>
      <c r="D2250" s="140" t="s">
        <v>320</v>
      </c>
      <c r="E2250" s="140">
        <v>6</v>
      </c>
      <c r="F2250" s="142">
        <v>46134.583333333328</v>
      </c>
      <c r="G2250" s="140" t="s">
        <v>845</v>
      </c>
      <c r="H2250" s="140" t="s">
        <v>865</v>
      </c>
    </row>
    <row r="2251" spans="1:8" ht="15.75" customHeight="1">
      <c r="A2251" s="140" t="s">
        <v>72</v>
      </c>
      <c r="B2251" s="140" t="s">
        <v>21</v>
      </c>
      <c r="C2251" s="141" t="s">
        <v>334</v>
      </c>
      <c r="D2251" s="140" t="s">
        <v>335</v>
      </c>
      <c r="E2251" s="140">
        <v>1</v>
      </c>
      <c r="F2251" s="142">
        <v>45670.541666666672</v>
      </c>
      <c r="G2251" s="140" t="s">
        <v>845</v>
      </c>
      <c r="H2251" s="140" t="s">
        <v>865</v>
      </c>
    </row>
    <row r="2252" spans="1:8" ht="15.75" customHeight="1">
      <c r="A2252" s="140" t="s">
        <v>72</v>
      </c>
      <c r="B2252" s="140" t="s">
        <v>21</v>
      </c>
      <c r="C2252" s="141" t="s">
        <v>334</v>
      </c>
      <c r="D2252" s="140" t="s">
        <v>335</v>
      </c>
      <c r="E2252" s="140">
        <v>2</v>
      </c>
      <c r="F2252" s="142">
        <v>45679.375</v>
      </c>
      <c r="G2252" s="140" t="s">
        <v>845</v>
      </c>
      <c r="H2252" s="140" t="s">
        <v>865</v>
      </c>
    </row>
    <row r="2253" spans="1:8" ht="15.75" customHeight="1">
      <c r="A2253" s="140" t="s">
        <v>72</v>
      </c>
      <c r="B2253" s="140" t="s">
        <v>21</v>
      </c>
      <c r="C2253" s="141" t="s">
        <v>334</v>
      </c>
      <c r="D2253" s="140" t="s">
        <v>335</v>
      </c>
      <c r="E2253" s="140">
        <v>3</v>
      </c>
      <c r="F2253" s="142">
        <v>45698.458333333328</v>
      </c>
      <c r="G2253" s="140" t="s">
        <v>845</v>
      </c>
      <c r="H2253" s="140" t="s">
        <v>865</v>
      </c>
    </row>
    <row r="2254" spans="1:8" ht="15.75" customHeight="1">
      <c r="A2254" s="140" t="s">
        <v>72</v>
      </c>
      <c r="B2254" s="140" t="s">
        <v>21</v>
      </c>
      <c r="C2254" s="141" t="s">
        <v>334</v>
      </c>
      <c r="D2254" s="140" t="s">
        <v>335</v>
      </c>
      <c r="E2254" s="140">
        <v>4</v>
      </c>
      <c r="F2254" s="142">
        <v>45705.458333333328</v>
      </c>
      <c r="G2254" s="140" t="s">
        <v>845</v>
      </c>
      <c r="H2254" s="140" t="s">
        <v>865</v>
      </c>
    </row>
    <row r="2255" spans="1:8" ht="15.75" customHeight="1">
      <c r="A2255" s="140" t="s">
        <v>72</v>
      </c>
      <c r="B2255" s="140" t="s">
        <v>21</v>
      </c>
      <c r="C2255" s="141" t="s">
        <v>334</v>
      </c>
      <c r="D2255" s="140" t="s">
        <v>335</v>
      </c>
      <c r="E2255" s="140">
        <v>5</v>
      </c>
      <c r="F2255" s="142">
        <v>45712.541666666672</v>
      </c>
      <c r="G2255" s="140" t="s">
        <v>845</v>
      </c>
      <c r="H2255" s="140" t="s">
        <v>865</v>
      </c>
    </row>
    <row r="2256" spans="1:8" ht="15.75" customHeight="1">
      <c r="A2256" s="140" t="s">
        <v>72</v>
      </c>
      <c r="B2256" s="140" t="s">
        <v>21</v>
      </c>
      <c r="C2256" s="141" t="s">
        <v>334</v>
      </c>
      <c r="D2256" s="140" t="s">
        <v>335</v>
      </c>
      <c r="E2256" s="140">
        <v>6</v>
      </c>
      <c r="F2256" s="142">
        <v>45761.458333333328</v>
      </c>
      <c r="G2256" s="140" t="s">
        <v>845</v>
      </c>
      <c r="H2256" s="140" t="s">
        <v>865</v>
      </c>
    </row>
    <row r="2257" spans="1:8" ht="15.75" customHeight="1">
      <c r="A2257" s="140" t="s">
        <v>72</v>
      </c>
      <c r="B2257" s="140" t="s">
        <v>21</v>
      </c>
      <c r="C2257" s="141" t="s">
        <v>334</v>
      </c>
      <c r="D2257" s="140" t="s">
        <v>335</v>
      </c>
      <c r="E2257" s="140">
        <v>7</v>
      </c>
      <c r="F2257" s="142">
        <v>45769.458333333328</v>
      </c>
      <c r="G2257" s="140" t="s">
        <v>845</v>
      </c>
      <c r="H2257" s="140" t="s">
        <v>865</v>
      </c>
    </row>
    <row r="2258" spans="1:8" ht="15.75" customHeight="1">
      <c r="A2258" s="140" t="s">
        <v>72</v>
      </c>
      <c r="B2258" s="140" t="s">
        <v>21</v>
      </c>
      <c r="C2258" s="141" t="s">
        <v>334</v>
      </c>
      <c r="D2258" s="140" t="s">
        <v>335</v>
      </c>
      <c r="E2258" s="140">
        <v>8</v>
      </c>
      <c r="F2258" s="142">
        <v>45782.458333333328</v>
      </c>
      <c r="G2258" s="140" t="s">
        <v>845</v>
      </c>
      <c r="H2258" s="140" t="s">
        <v>865</v>
      </c>
    </row>
    <row r="2259" spans="1:8" ht="15.75" customHeight="1">
      <c r="A2259" s="140" t="s">
        <v>72</v>
      </c>
      <c r="B2259" s="140" t="s">
        <v>21</v>
      </c>
      <c r="C2259" s="141" t="s">
        <v>334</v>
      </c>
      <c r="D2259" s="140" t="s">
        <v>335</v>
      </c>
      <c r="E2259" s="140">
        <v>9</v>
      </c>
      <c r="F2259" s="142">
        <v>45789.458333333328</v>
      </c>
      <c r="G2259" s="140" t="s">
        <v>843</v>
      </c>
      <c r="H2259" s="140" t="s">
        <v>865</v>
      </c>
    </row>
    <row r="2260" spans="1:8" ht="15.75" customHeight="1">
      <c r="A2260" s="140" t="s">
        <v>72</v>
      </c>
      <c r="B2260" s="140" t="s">
        <v>21</v>
      </c>
      <c r="C2260" s="141" t="s">
        <v>334</v>
      </c>
      <c r="D2260" s="140" t="s">
        <v>335</v>
      </c>
      <c r="E2260" s="140">
        <v>10</v>
      </c>
      <c r="F2260" s="142">
        <v>45803.541666666672</v>
      </c>
      <c r="G2260" s="140" t="s">
        <v>845</v>
      </c>
      <c r="H2260" s="140" t="s">
        <v>865</v>
      </c>
    </row>
    <row r="2261" spans="1:8" ht="15.75" customHeight="1">
      <c r="A2261" s="140" t="s">
        <v>72</v>
      </c>
      <c r="B2261" s="140" t="s">
        <v>21</v>
      </c>
      <c r="C2261" s="141" t="s">
        <v>334</v>
      </c>
      <c r="D2261" s="140" t="s">
        <v>335</v>
      </c>
      <c r="E2261" s="140">
        <v>11</v>
      </c>
      <c r="F2261" s="142">
        <v>45812.416666666672</v>
      </c>
      <c r="G2261" s="140" t="s">
        <v>843</v>
      </c>
      <c r="H2261" s="140" t="s">
        <v>865</v>
      </c>
    </row>
    <row r="2262" spans="1:8" ht="15.75" customHeight="1">
      <c r="A2262" s="140" t="s">
        <v>72</v>
      </c>
      <c r="B2262" s="140" t="s">
        <v>21</v>
      </c>
      <c r="C2262" s="141" t="s">
        <v>334</v>
      </c>
      <c r="D2262" s="140" t="s">
        <v>335</v>
      </c>
      <c r="E2262" s="140">
        <v>12</v>
      </c>
      <c r="F2262" s="142">
        <v>45832.375</v>
      </c>
      <c r="G2262" s="140" t="s">
        <v>845</v>
      </c>
      <c r="H2262" s="140" t="s">
        <v>865</v>
      </c>
    </row>
    <row r="2263" spans="1:8" ht="15.75" customHeight="1">
      <c r="A2263" s="140" t="s">
        <v>72</v>
      </c>
      <c r="B2263" s="140" t="s">
        <v>22</v>
      </c>
      <c r="C2263" s="141" t="s">
        <v>334</v>
      </c>
      <c r="D2263" s="140" t="s">
        <v>335</v>
      </c>
      <c r="E2263" s="140">
        <v>1</v>
      </c>
      <c r="F2263" s="142">
        <v>45866.541666666672</v>
      </c>
      <c r="G2263" s="140" t="s">
        <v>845</v>
      </c>
      <c r="H2263" s="140" t="s">
        <v>865</v>
      </c>
    </row>
    <row r="2264" spans="1:8" ht="15.75" customHeight="1">
      <c r="A2264" s="140" t="s">
        <v>72</v>
      </c>
      <c r="B2264" s="140" t="s">
        <v>22</v>
      </c>
      <c r="C2264" s="141" t="s">
        <v>334</v>
      </c>
      <c r="D2264" s="140" t="s">
        <v>335</v>
      </c>
      <c r="E2264" s="140">
        <v>2</v>
      </c>
      <c r="F2264" s="142">
        <v>45910.458333333328</v>
      </c>
      <c r="G2264" s="140" t="s">
        <v>845</v>
      </c>
      <c r="H2264" s="140" t="s">
        <v>865</v>
      </c>
    </row>
    <row r="2265" spans="1:8" ht="15.75" customHeight="1">
      <c r="A2265" s="140" t="s">
        <v>72</v>
      </c>
      <c r="B2265" s="140" t="s">
        <v>22</v>
      </c>
      <c r="C2265" s="141" t="s">
        <v>334</v>
      </c>
      <c r="D2265" s="140" t="s">
        <v>335</v>
      </c>
      <c r="E2265" s="140">
        <v>3</v>
      </c>
      <c r="F2265" s="142">
        <v>45915.458333333328</v>
      </c>
      <c r="G2265" s="140" t="s">
        <v>845</v>
      </c>
      <c r="H2265" s="140" t="s">
        <v>865</v>
      </c>
    </row>
    <row r="2266" spans="1:8" ht="15.75" customHeight="1">
      <c r="A2266" s="140" t="s">
        <v>72</v>
      </c>
      <c r="B2266" s="140" t="s">
        <v>22</v>
      </c>
      <c r="C2266" s="141" t="s">
        <v>334</v>
      </c>
      <c r="D2266" s="140" t="s">
        <v>335</v>
      </c>
      <c r="E2266" s="140">
        <v>4</v>
      </c>
      <c r="F2266" s="142">
        <v>45922.458333333328</v>
      </c>
      <c r="G2266" s="140" t="s">
        <v>845</v>
      </c>
      <c r="H2266" s="140" t="s">
        <v>865</v>
      </c>
    </row>
    <row r="2267" spans="1:8" ht="15.75" customHeight="1">
      <c r="A2267" s="140" t="s">
        <v>72</v>
      </c>
      <c r="B2267" s="140" t="s">
        <v>22</v>
      </c>
      <c r="C2267" s="141" t="s">
        <v>334</v>
      </c>
      <c r="D2267" s="140" t="s">
        <v>335</v>
      </c>
      <c r="E2267" s="140">
        <v>5</v>
      </c>
      <c r="F2267" s="142">
        <v>45929.458333333328</v>
      </c>
      <c r="G2267" s="140" t="s">
        <v>843</v>
      </c>
      <c r="H2267" s="140" t="s">
        <v>865</v>
      </c>
    </row>
    <row r="2268" spans="1:8" ht="15.75" customHeight="1">
      <c r="A2268" s="140" t="s">
        <v>72</v>
      </c>
      <c r="B2268" s="140" t="s">
        <v>22</v>
      </c>
      <c r="C2268" s="141" t="s">
        <v>334</v>
      </c>
      <c r="D2268" s="140" t="s">
        <v>335</v>
      </c>
      <c r="E2268" s="140">
        <v>6</v>
      </c>
      <c r="F2268" s="142">
        <v>45943.416666666672</v>
      </c>
      <c r="G2268" s="140" t="s">
        <v>845</v>
      </c>
      <c r="H2268" s="140" t="s">
        <v>865</v>
      </c>
    </row>
    <row r="2269" spans="1:8" ht="15.75" customHeight="1">
      <c r="A2269" s="140" t="s">
        <v>72</v>
      </c>
      <c r="B2269" s="140" t="s">
        <v>22</v>
      </c>
      <c r="C2269" s="141" t="s">
        <v>334</v>
      </c>
      <c r="D2269" s="140" t="s">
        <v>335</v>
      </c>
      <c r="E2269" s="140">
        <v>7</v>
      </c>
      <c r="F2269" s="142">
        <v>45944.583333333328</v>
      </c>
      <c r="G2269" s="140" t="s">
        <v>845</v>
      </c>
      <c r="H2269" s="140" t="s">
        <v>865</v>
      </c>
    </row>
    <row r="2270" spans="1:8" ht="15.75" customHeight="1">
      <c r="A2270" s="140" t="s">
        <v>72</v>
      </c>
      <c r="B2270" s="140" t="s">
        <v>22</v>
      </c>
      <c r="C2270" s="141" t="s">
        <v>334</v>
      </c>
      <c r="D2270" s="140" t="s">
        <v>335</v>
      </c>
      <c r="E2270" s="140">
        <v>9</v>
      </c>
      <c r="F2270" s="142">
        <v>45957.416666666672</v>
      </c>
      <c r="G2270" s="140" t="s">
        <v>845</v>
      </c>
      <c r="H2270" s="140" t="s">
        <v>865</v>
      </c>
    </row>
    <row r="2271" spans="1:8" ht="15.75" customHeight="1">
      <c r="A2271" s="140" t="s">
        <v>72</v>
      </c>
      <c r="B2271" s="140" t="s">
        <v>22</v>
      </c>
      <c r="C2271" s="141" t="s">
        <v>334</v>
      </c>
      <c r="D2271" s="140" t="s">
        <v>335</v>
      </c>
      <c r="E2271" s="140">
        <v>10</v>
      </c>
      <c r="F2271" s="142">
        <v>45964.583333333328</v>
      </c>
      <c r="G2271" s="140" t="s">
        <v>845</v>
      </c>
      <c r="H2271" s="140" t="s">
        <v>865</v>
      </c>
    </row>
    <row r="2272" spans="1:8" ht="15.75" customHeight="1">
      <c r="A2272" s="140" t="s">
        <v>72</v>
      </c>
      <c r="B2272" s="140" t="s">
        <v>22</v>
      </c>
      <c r="C2272" s="141" t="s">
        <v>334</v>
      </c>
      <c r="D2272" s="140" t="s">
        <v>335</v>
      </c>
      <c r="E2272" s="140">
        <v>11</v>
      </c>
      <c r="F2272" s="142">
        <v>45971.541666666672</v>
      </c>
      <c r="G2272" s="140" t="s">
        <v>845</v>
      </c>
      <c r="H2272" s="140" t="s">
        <v>865</v>
      </c>
    </row>
    <row r="2273" spans="1:8" ht="15.75" customHeight="1">
      <c r="A2273" s="140" t="s">
        <v>72</v>
      </c>
      <c r="B2273" s="140" t="s">
        <v>22</v>
      </c>
      <c r="C2273" s="141" t="s">
        <v>334</v>
      </c>
      <c r="D2273" s="140" t="s">
        <v>335</v>
      </c>
      <c r="E2273" s="140">
        <v>12</v>
      </c>
      <c r="F2273" s="142">
        <v>45985.583333333328</v>
      </c>
      <c r="G2273" s="140" t="s">
        <v>845</v>
      </c>
      <c r="H2273" s="140" t="s">
        <v>865</v>
      </c>
    </row>
    <row r="2274" spans="1:8" ht="15.75" customHeight="1">
      <c r="A2274" s="140" t="s">
        <v>72</v>
      </c>
      <c r="B2274" s="140" t="s">
        <v>22</v>
      </c>
      <c r="C2274" s="141" t="s">
        <v>334</v>
      </c>
      <c r="D2274" s="140" t="s">
        <v>335</v>
      </c>
      <c r="E2274" s="140">
        <v>13</v>
      </c>
      <c r="F2274" s="142">
        <v>45992.541666666672</v>
      </c>
      <c r="G2274" s="140" t="s">
        <v>845</v>
      </c>
      <c r="H2274" s="140" t="s">
        <v>865</v>
      </c>
    </row>
    <row r="2275" spans="1:8" ht="15.75" customHeight="1">
      <c r="A2275" s="140" t="s">
        <v>72</v>
      </c>
      <c r="B2275" s="140" t="s">
        <v>22</v>
      </c>
      <c r="C2275" s="141" t="s">
        <v>334</v>
      </c>
      <c r="D2275" s="140" t="s">
        <v>335</v>
      </c>
      <c r="E2275" s="140">
        <v>14</v>
      </c>
      <c r="F2275" s="142">
        <v>45999.416666666672</v>
      </c>
      <c r="G2275" s="140" t="s">
        <v>843</v>
      </c>
      <c r="H2275" s="140" t="s">
        <v>865</v>
      </c>
    </row>
    <row r="2276" spans="1:8" ht="15.75" customHeight="1">
      <c r="A2276" s="140" t="s">
        <v>72</v>
      </c>
      <c r="B2276" s="140" t="s">
        <v>22</v>
      </c>
      <c r="C2276" s="141" t="s">
        <v>334</v>
      </c>
      <c r="D2276" s="140" t="s">
        <v>335</v>
      </c>
      <c r="E2276" s="140">
        <v>15</v>
      </c>
      <c r="F2276" s="142">
        <v>46006.458333333328</v>
      </c>
      <c r="G2276" s="140" t="s">
        <v>845</v>
      </c>
      <c r="H2276" s="140" t="s">
        <v>865</v>
      </c>
    </row>
    <row r="2277" spans="1:8" ht="15.75" customHeight="1">
      <c r="A2277" s="140" t="s">
        <v>72</v>
      </c>
      <c r="B2277" s="140" t="s">
        <v>22</v>
      </c>
      <c r="C2277" s="141" t="s">
        <v>334</v>
      </c>
      <c r="D2277" s="140" t="s">
        <v>335</v>
      </c>
      <c r="E2277" s="140">
        <v>16</v>
      </c>
      <c r="F2277" s="142">
        <v>46048.416666666672</v>
      </c>
      <c r="G2277" s="140" t="s">
        <v>843</v>
      </c>
      <c r="H2277" s="140" t="s">
        <v>865</v>
      </c>
    </row>
    <row r="2278" spans="1:8" ht="15.75" customHeight="1">
      <c r="A2278" s="140" t="s">
        <v>72</v>
      </c>
      <c r="B2278" s="140" t="s">
        <v>21</v>
      </c>
      <c r="C2278" s="141" t="s">
        <v>401</v>
      </c>
      <c r="D2278" s="140" t="s">
        <v>402</v>
      </c>
      <c r="E2278" s="140">
        <v>1</v>
      </c>
      <c r="F2278" s="142">
        <v>45670.541666666672</v>
      </c>
      <c r="G2278" s="140" t="s">
        <v>845</v>
      </c>
      <c r="H2278" s="140" t="s">
        <v>865</v>
      </c>
    </row>
    <row r="2279" spans="1:8" ht="15.75" customHeight="1">
      <c r="A2279" s="140" t="s">
        <v>72</v>
      </c>
      <c r="B2279" s="140" t="s">
        <v>21</v>
      </c>
      <c r="C2279" s="141" t="s">
        <v>401</v>
      </c>
      <c r="D2279" s="140" t="s">
        <v>402</v>
      </c>
      <c r="E2279" s="140">
        <v>2</v>
      </c>
      <c r="F2279" s="142">
        <v>45679.375</v>
      </c>
      <c r="G2279" s="140" t="s">
        <v>845</v>
      </c>
      <c r="H2279" s="140" t="s">
        <v>865</v>
      </c>
    </row>
    <row r="2280" spans="1:8" ht="15.75" customHeight="1">
      <c r="A2280" s="140" t="s">
        <v>72</v>
      </c>
      <c r="B2280" s="140" t="s">
        <v>21</v>
      </c>
      <c r="C2280" s="141" t="s">
        <v>401</v>
      </c>
      <c r="D2280" s="140" t="s">
        <v>402</v>
      </c>
      <c r="E2280" s="140">
        <v>3</v>
      </c>
      <c r="F2280" s="142">
        <v>45698.458333333328</v>
      </c>
      <c r="G2280" s="140" t="s">
        <v>843</v>
      </c>
      <c r="H2280" s="140" t="s">
        <v>865</v>
      </c>
    </row>
    <row r="2281" spans="1:8" ht="15.75" customHeight="1">
      <c r="A2281" s="140" t="s">
        <v>72</v>
      </c>
      <c r="B2281" s="140" t="s">
        <v>21</v>
      </c>
      <c r="C2281" s="141" t="s">
        <v>401</v>
      </c>
      <c r="D2281" s="140" t="s">
        <v>402</v>
      </c>
      <c r="E2281" s="140">
        <v>4</v>
      </c>
      <c r="F2281" s="142">
        <v>45705.458333333328</v>
      </c>
      <c r="G2281" s="140" t="s">
        <v>845</v>
      </c>
      <c r="H2281" s="140" t="s">
        <v>865</v>
      </c>
    </row>
    <row r="2282" spans="1:8" ht="15.75" customHeight="1">
      <c r="A2282" s="140" t="s">
        <v>72</v>
      </c>
      <c r="B2282" s="140" t="s">
        <v>21</v>
      </c>
      <c r="C2282" s="141" t="s">
        <v>401</v>
      </c>
      <c r="D2282" s="140" t="s">
        <v>402</v>
      </c>
      <c r="E2282" s="140">
        <v>5</v>
      </c>
      <c r="F2282" s="142">
        <v>45712.541666666672</v>
      </c>
      <c r="G2282" s="140" t="s">
        <v>845</v>
      </c>
      <c r="H2282" s="140" t="s">
        <v>865</v>
      </c>
    </row>
    <row r="2283" spans="1:8" ht="15.75" customHeight="1">
      <c r="A2283" s="140" t="s">
        <v>72</v>
      </c>
      <c r="B2283" s="140" t="s">
        <v>21</v>
      </c>
      <c r="C2283" s="141" t="s">
        <v>401</v>
      </c>
      <c r="D2283" s="140" t="s">
        <v>402</v>
      </c>
      <c r="E2283" s="140">
        <v>6</v>
      </c>
      <c r="F2283" s="142">
        <v>45761.458333333328</v>
      </c>
      <c r="G2283" s="140" t="s">
        <v>845</v>
      </c>
      <c r="H2283" s="140" t="s">
        <v>865</v>
      </c>
    </row>
    <row r="2284" spans="1:8" ht="15.75" customHeight="1">
      <c r="A2284" s="140" t="s">
        <v>72</v>
      </c>
      <c r="B2284" s="140" t="s">
        <v>21</v>
      </c>
      <c r="C2284" s="141" t="s">
        <v>401</v>
      </c>
      <c r="D2284" s="140" t="s">
        <v>402</v>
      </c>
      <c r="E2284" s="140">
        <v>7</v>
      </c>
      <c r="F2284" s="142">
        <v>45769.458333333328</v>
      </c>
      <c r="G2284" s="140" t="s">
        <v>845</v>
      </c>
      <c r="H2284" s="140" t="s">
        <v>865</v>
      </c>
    </row>
    <row r="2285" spans="1:8" ht="15.75" customHeight="1">
      <c r="A2285" s="140" t="s">
        <v>72</v>
      </c>
      <c r="B2285" s="140" t="s">
        <v>21</v>
      </c>
      <c r="C2285" s="141" t="s">
        <v>401</v>
      </c>
      <c r="D2285" s="140" t="s">
        <v>402</v>
      </c>
      <c r="E2285" s="140">
        <v>8</v>
      </c>
      <c r="F2285" s="142">
        <v>45782.458333333328</v>
      </c>
      <c r="G2285" s="140" t="s">
        <v>845</v>
      </c>
      <c r="H2285" s="140" t="s">
        <v>865</v>
      </c>
    </row>
    <row r="2286" spans="1:8" ht="15.75" customHeight="1">
      <c r="A2286" s="140" t="s">
        <v>72</v>
      </c>
      <c r="B2286" s="140" t="s">
        <v>21</v>
      </c>
      <c r="C2286" s="141" t="s">
        <v>401</v>
      </c>
      <c r="D2286" s="140" t="s">
        <v>402</v>
      </c>
      <c r="E2286" s="140">
        <v>9</v>
      </c>
      <c r="F2286" s="142">
        <v>45789.458333333328</v>
      </c>
      <c r="G2286" s="140" t="s">
        <v>845</v>
      </c>
      <c r="H2286" s="140" t="s">
        <v>865</v>
      </c>
    </row>
    <row r="2287" spans="1:8" ht="15.75" customHeight="1">
      <c r="A2287" s="140" t="s">
        <v>72</v>
      </c>
      <c r="B2287" s="140" t="s">
        <v>21</v>
      </c>
      <c r="C2287" s="141" t="s">
        <v>401</v>
      </c>
      <c r="D2287" s="140" t="s">
        <v>402</v>
      </c>
      <c r="E2287" s="140">
        <v>10</v>
      </c>
      <c r="F2287" s="142">
        <v>45803.541666666672</v>
      </c>
      <c r="G2287" s="140" t="s">
        <v>845</v>
      </c>
      <c r="H2287" s="140" t="s">
        <v>865</v>
      </c>
    </row>
    <row r="2288" spans="1:8" ht="15.75" customHeight="1">
      <c r="A2288" s="140" t="s">
        <v>72</v>
      </c>
      <c r="B2288" s="140" t="s">
        <v>21</v>
      </c>
      <c r="C2288" s="141" t="s">
        <v>401</v>
      </c>
      <c r="D2288" s="140" t="s">
        <v>402</v>
      </c>
      <c r="E2288" s="140">
        <v>11</v>
      </c>
      <c r="F2288" s="142">
        <v>45812.416666666672</v>
      </c>
      <c r="G2288" s="140" t="s">
        <v>845</v>
      </c>
      <c r="H2288" s="140" t="s">
        <v>865</v>
      </c>
    </row>
    <row r="2289" spans="1:8" ht="15.75" customHeight="1">
      <c r="A2289" s="140" t="s">
        <v>72</v>
      </c>
      <c r="B2289" s="140" t="s">
        <v>21</v>
      </c>
      <c r="C2289" s="141" t="s">
        <v>401</v>
      </c>
      <c r="D2289" s="140" t="s">
        <v>402</v>
      </c>
      <c r="E2289" s="140">
        <v>12</v>
      </c>
      <c r="F2289" s="142">
        <v>45832.375</v>
      </c>
      <c r="G2289" s="140" t="s">
        <v>845</v>
      </c>
      <c r="H2289" s="140" t="s">
        <v>865</v>
      </c>
    </row>
    <row r="2290" spans="1:8" ht="15.75" customHeight="1">
      <c r="A2290" s="140" t="s">
        <v>72</v>
      </c>
      <c r="B2290" s="140" t="s">
        <v>22</v>
      </c>
      <c r="C2290" s="141" t="s">
        <v>401</v>
      </c>
      <c r="D2290" s="140" t="s">
        <v>402</v>
      </c>
      <c r="E2290" s="140">
        <v>1</v>
      </c>
      <c r="F2290" s="142">
        <v>45866.541666666672</v>
      </c>
      <c r="G2290" s="140" t="s">
        <v>843</v>
      </c>
      <c r="H2290" s="140" t="s">
        <v>865</v>
      </c>
    </row>
    <row r="2291" spans="1:8" ht="15.75" customHeight="1">
      <c r="A2291" s="140" t="s">
        <v>72</v>
      </c>
      <c r="B2291" s="140" t="s">
        <v>22</v>
      </c>
      <c r="C2291" s="141" t="s">
        <v>401</v>
      </c>
      <c r="D2291" s="140" t="s">
        <v>402</v>
      </c>
      <c r="E2291" s="140">
        <v>2</v>
      </c>
      <c r="F2291" s="142">
        <v>45910.458333333328</v>
      </c>
      <c r="G2291" s="140" t="s">
        <v>845</v>
      </c>
      <c r="H2291" s="140" t="s">
        <v>865</v>
      </c>
    </row>
    <row r="2292" spans="1:8" ht="15.75" customHeight="1">
      <c r="A2292" s="140" t="s">
        <v>72</v>
      </c>
      <c r="B2292" s="140" t="s">
        <v>22</v>
      </c>
      <c r="C2292" s="141" t="s">
        <v>401</v>
      </c>
      <c r="D2292" s="140" t="s">
        <v>402</v>
      </c>
      <c r="E2292" s="140">
        <v>3</v>
      </c>
      <c r="F2292" s="142">
        <v>45915.458333333328</v>
      </c>
      <c r="G2292" s="140" t="s">
        <v>845</v>
      </c>
      <c r="H2292" s="140" t="s">
        <v>865</v>
      </c>
    </row>
    <row r="2293" spans="1:8" ht="15.75" customHeight="1">
      <c r="A2293" s="140" t="s">
        <v>72</v>
      </c>
      <c r="B2293" s="140" t="s">
        <v>22</v>
      </c>
      <c r="C2293" s="141" t="s">
        <v>401</v>
      </c>
      <c r="D2293" s="140" t="s">
        <v>402</v>
      </c>
      <c r="E2293" s="140">
        <v>4</v>
      </c>
      <c r="F2293" s="142">
        <v>45922.458333333328</v>
      </c>
      <c r="G2293" s="140" t="s">
        <v>845</v>
      </c>
      <c r="H2293" s="140" t="s">
        <v>865</v>
      </c>
    </row>
    <row r="2294" spans="1:8" ht="15.75" customHeight="1">
      <c r="A2294" s="140" t="s">
        <v>72</v>
      </c>
      <c r="B2294" s="140" t="s">
        <v>22</v>
      </c>
      <c r="C2294" s="141" t="s">
        <v>401</v>
      </c>
      <c r="D2294" s="140" t="s">
        <v>402</v>
      </c>
      <c r="E2294" s="140">
        <v>5</v>
      </c>
      <c r="F2294" s="142">
        <v>45929.458333333328</v>
      </c>
      <c r="G2294" s="140" t="s">
        <v>845</v>
      </c>
      <c r="H2294" s="140" t="s">
        <v>865</v>
      </c>
    </row>
    <row r="2295" spans="1:8" ht="15.75" customHeight="1">
      <c r="A2295" s="140" t="s">
        <v>72</v>
      </c>
      <c r="B2295" s="140" t="s">
        <v>22</v>
      </c>
      <c r="C2295" s="141" t="s">
        <v>401</v>
      </c>
      <c r="D2295" s="140" t="s">
        <v>402</v>
      </c>
      <c r="E2295" s="140">
        <v>6</v>
      </c>
      <c r="F2295" s="142">
        <v>45943.416666666672</v>
      </c>
      <c r="G2295" s="140" t="s">
        <v>843</v>
      </c>
      <c r="H2295" s="140" t="s">
        <v>865</v>
      </c>
    </row>
    <row r="2296" spans="1:8" ht="15.75" customHeight="1">
      <c r="A2296" s="140" t="s">
        <v>72</v>
      </c>
      <c r="B2296" s="140" t="s">
        <v>22</v>
      </c>
      <c r="C2296" s="141" t="s">
        <v>401</v>
      </c>
      <c r="D2296" s="140" t="s">
        <v>402</v>
      </c>
      <c r="E2296" s="140">
        <v>7</v>
      </c>
      <c r="F2296" s="142">
        <v>45944.583333333328</v>
      </c>
      <c r="G2296" s="140" t="s">
        <v>845</v>
      </c>
      <c r="H2296" s="140" t="s">
        <v>865</v>
      </c>
    </row>
    <row r="2297" spans="1:8" ht="15.75" customHeight="1">
      <c r="A2297" s="140" t="s">
        <v>72</v>
      </c>
      <c r="B2297" s="140" t="s">
        <v>22</v>
      </c>
      <c r="C2297" s="141" t="s">
        <v>401</v>
      </c>
      <c r="D2297" s="140" t="s">
        <v>402</v>
      </c>
      <c r="E2297" s="140">
        <v>9</v>
      </c>
      <c r="F2297" s="142">
        <v>45957.416666666672</v>
      </c>
      <c r="G2297" s="140" t="s">
        <v>845</v>
      </c>
      <c r="H2297" s="140" t="s">
        <v>865</v>
      </c>
    </row>
    <row r="2298" spans="1:8" ht="15.75" customHeight="1">
      <c r="A2298" s="140" t="s">
        <v>72</v>
      </c>
      <c r="B2298" s="140" t="s">
        <v>22</v>
      </c>
      <c r="C2298" s="141" t="s">
        <v>401</v>
      </c>
      <c r="D2298" s="140" t="s">
        <v>402</v>
      </c>
      <c r="E2298" s="140">
        <v>10</v>
      </c>
      <c r="F2298" s="142">
        <v>45964.583333333328</v>
      </c>
      <c r="G2298" s="140" t="s">
        <v>845</v>
      </c>
      <c r="H2298" s="140" t="s">
        <v>865</v>
      </c>
    </row>
    <row r="2299" spans="1:8" ht="15.75" customHeight="1">
      <c r="A2299" s="140" t="s">
        <v>72</v>
      </c>
      <c r="B2299" s="140" t="s">
        <v>22</v>
      </c>
      <c r="C2299" s="141" t="s">
        <v>401</v>
      </c>
      <c r="D2299" s="140" t="s">
        <v>402</v>
      </c>
      <c r="E2299" s="140">
        <v>11</v>
      </c>
      <c r="F2299" s="142">
        <v>45971.541666666672</v>
      </c>
      <c r="G2299" s="140" t="s">
        <v>845</v>
      </c>
      <c r="H2299" s="140" t="s">
        <v>865</v>
      </c>
    </row>
    <row r="2300" spans="1:8" ht="15.75" customHeight="1">
      <c r="A2300" s="140" t="s">
        <v>72</v>
      </c>
      <c r="B2300" s="140" t="s">
        <v>22</v>
      </c>
      <c r="C2300" s="141" t="s">
        <v>401</v>
      </c>
      <c r="D2300" s="140" t="s">
        <v>402</v>
      </c>
      <c r="E2300" s="140">
        <v>12</v>
      </c>
      <c r="F2300" s="142">
        <v>45985.583333333328</v>
      </c>
      <c r="G2300" s="140" t="s">
        <v>845</v>
      </c>
      <c r="H2300" s="140" t="s">
        <v>865</v>
      </c>
    </row>
    <row r="2301" spans="1:8" ht="15.75" customHeight="1">
      <c r="A2301" s="140" t="s">
        <v>72</v>
      </c>
      <c r="B2301" s="140" t="s">
        <v>22</v>
      </c>
      <c r="C2301" s="141" t="s">
        <v>401</v>
      </c>
      <c r="D2301" s="140" t="s">
        <v>402</v>
      </c>
      <c r="E2301" s="140">
        <v>13</v>
      </c>
      <c r="F2301" s="142">
        <v>45992.541666666672</v>
      </c>
      <c r="G2301" s="140" t="s">
        <v>845</v>
      </c>
      <c r="H2301" s="140" t="s">
        <v>865</v>
      </c>
    </row>
    <row r="2302" spans="1:8" ht="15.75" customHeight="1">
      <c r="A2302" s="140" t="s">
        <v>72</v>
      </c>
      <c r="B2302" s="140" t="s">
        <v>22</v>
      </c>
      <c r="C2302" s="141" t="s">
        <v>401</v>
      </c>
      <c r="D2302" s="140" t="s">
        <v>402</v>
      </c>
      <c r="E2302" s="140">
        <v>14</v>
      </c>
      <c r="F2302" s="142">
        <v>45999.416666666672</v>
      </c>
      <c r="G2302" s="140" t="s">
        <v>845</v>
      </c>
      <c r="H2302" s="140" t="s">
        <v>865</v>
      </c>
    </row>
    <row r="2303" spans="1:8" ht="15.75" customHeight="1">
      <c r="A2303" s="140" t="s">
        <v>72</v>
      </c>
      <c r="B2303" s="140" t="s">
        <v>22</v>
      </c>
      <c r="C2303" s="141" t="s">
        <v>401</v>
      </c>
      <c r="D2303" s="140" t="s">
        <v>402</v>
      </c>
      <c r="E2303" s="140">
        <v>15</v>
      </c>
      <c r="F2303" s="142">
        <v>46006.458333333328</v>
      </c>
      <c r="G2303" s="140" t="s">
        <v>845</v>
      </c>
      <c r="H2303" s="140" t="s">
        <v>865</v>
      </c>
    </row>
    <row r="2304" spans="1:8" ht="15.75" customHeight="1">
      <c r="A2304" s="140" t="s">
        <v>72</v>
      </c>
      <c r="B2304" s="140" t="s">
        <v>22</v>
      </c>
      <c r="C2304" s="141" t="s">
        <v>401</v>
      </c>
      <c r="D2304" s="140" t="s">
        <v>402</v>
      </c>
      <c r="E2304" s="140">
        <v>16</v>
      </c>
      <c r="F2304" s="142">
        <v>46048.416666666672</v>
      </c>
      <c r="G2304" s="140" t="s">
        <v>845</v>
      </c>
      <c r="H2304" s="140" t="s">
        <v>865</v>
      </c>
    </row>
    <row r="2305" spans="1:8" ht="15.75" customHeight="1">
      <c r="A2305" s="140" t="s">
        <v>72</v>
      </c>
      <c r="B2305" s="140" t="s">
        <v>23</v>
      </c>
      <c r="C2305" s="141" t="s">
        <v>401</v>
      </c>
      <c r="D2305" s="140" t="s">
        <v>402</v>
      </c>
      <c r="E2305" s="140">
        <v>1</v>
      </c>
      <c r="F2305" s="142">
        <v>46084.583333333328</v>
      </c>
      <c r="G2305" s="140" t="s">
        <v>845</v>
      </c>
      <c r="H2305" s="140" t="s">
        <v>865</v>
      </c>
    </row>
    <row r="2306" spans="1:8" ht="15.75" customHeight="1">
      <c r="A2306" s="140" t="s">
        <v>72</v>
      </c>
      <c r="B2306" s="140" t="s">
        <v>23</v>
      </c>
      <c r="C2306" s="141" t="s">
        <v>401</v>
      </c>
      <c r="D2306" s="140" t="s">
        <v>402</v>
      </c>
      <c r="E2306" s="140">
        <v>2</v>
      </c>
      <c r="F2306" s="142">
        <v>46099.458333333328</v>
      </c>
      <c r="G2306" s="140" t="s">
        <v>845</v>
      </c>
      <c r="H2306" s="140" t="s">
        <v>865</v>
      </c>
    </row>
    <row r="2307" spans="1:8" ht="15.75" customHeight="1">
      <c r="A2307" s="140" t="s">
        <v>72</v>
      </c>
      <c r="B2307" s="140" t="s">
        <v>23</v>
      </c>
      <c r="C2307" s="141" t="s">
        <v>401</v>
      </c>
      <c r="D2307" s="140" t="s">
        <v>402</v>
      </c>
      <c r="E2307" s="140">
        <v>3</v>
      </c>
      <c r="F2307" s="142">
        <v>46106.458333333328</v>
      </c>
      <c r="G2307" s="140" t="s">
        <v>843</v>
      </c>
      <c r="H2307" s="140" t="s">
        <v>865</v>
      </c>
    </row>
    <row r="2308" spans="1:8" ht="15.75" customHeight="1">
      <c r="A2308" s="140" t="s">
        <v>72</v>
      </c>
      <c r="B2308" s="140" t="s">
        <v>23</v>
      </c>
      <c r="C2308" s="141" t="s">
        <v>401</v>
      </c>
      <c r="D2308" s="140" t="s">
        <v>402</v>
      </c>
      <c r="E2308" s="140">
        <v>4</v>
      </c>
      <c r="F2308" s="142">
        <v>46119.458333333328</v>
      </c>
      <c r="G2308" s="140" t="s">
        <v>845</v>
      </c>
      <c r="H2308" s="140" t="s">
        <v>865</v>
      </c>
    </row>
    <row r="2309" spans="1:8" ht="15.75" customHeight="1">
      <c r="A2309" s="140" t="s">
        <v>72</v>
      </c>
      <c r="B2309" s="140" t="s">
        <v>23</v>
      </c>
      <c r="C2309" s="141" t="s">
        <v>401</v>
      </c>
      <c r="D2309" s="140" t="s">
        <v>402</v>
      </c>
      <c r="E2309" s="140">
        <v>5</v>
      </c>
      <c r="F2309" s="142">
        <v>46127.541666666672</v>
      </c>
      <c r="G2309" s="140" t="s">
        <v>845</v>
      </c>
      <c r="H2309" s="140" t="s">
        <v>865</v>
      </c>
    </row>
    <row r="2310" spans="1:8" ht="15.75" customHeight="1">
      <c r="A2310" s="140" t="s">
        <v>72</v>
      </c>
      <c r="B2310" s="140" t="s">
        <v>23</v>
      </c>
      <c r="C2310" s="141" t="s">
        <v>401</v>
      </c>
      <c r="D2310" s="140" t="s">
        <v>402</v>
      </c>
      <c r="E2310" s="140">
        <v>6</v>
      </c>
      <c r="F2310" s="142">
        <v>46134.583333333328</v>
      </c>
      <c r="G2310" s="140" t="s">
        <v>845</v>
      </c>
      <c r="H2310" s="140" t="s">
        <v>865</v>
      </c>
    </row>
    <row r="2311" spans="1:8" ht="15.75" customHeight="1">
      <c r="A2311" s="140" t="s">
        <v>72</v>
      </c>
      <c r="B2311" s="140" t="s">
        <v>23</v>
      </c>
      <c r="C2311" s="141" t="s">
        <v>474</v>
      </c>
      <c r="D2311" s="140" t="s">
        <v>475</v>
      </c>
      <c r="E2311" s="140">
        <v>2</v>
      </c>
      <c r="F2311" s="142">
        <v>46099.458333333328</v>
      </c>
      <c r="G2311" s="140" t="s">
        <v>845</v>
      </c>
      <c r="H2311" s="140" t="s">
        <v>865</v>
      </c>
    </row>
    <row r="2312" spans="1:8" ht="15.75" customHeight="1">
      <c r="A2312" s="140" t="s">
        <v>72</v>
      </c>
      <c r="B2312" s="140" t="s">
        <v>23</v>
      </c>
      <c r="C2312" s="141" t="s">
        <v>474</v>
      </c>
      <c r="D2312" s="140" t="s">
        <v>475</v>
      </c>
      <c r="E2312" s="140">
        <v>3</v>
      </c>
      <c r="F2312" s="142">
        <v>46106.458333333328</v>
      </c>
      <c r="G2312" s="140" t="s">
        <v>845</v>
      </c>
      <c r="H2312" s="140" t="s">
        <v>865</v>
      </c>
    </row>
    <row r="2313" spans="1:8" ht="15.75" customHeight="1">
      <c r="A2313" s="140" t="s">
        <v>72</v>
      </c>
      <c r="B2313" s="140" t="s">
        <v>23</v>
      </c>
      <c r="C2313" s="141" t="s">
        <v>474</v>
      </c>
      <c r="D2313" s="140" t="s">
        <v>475</v>
      </c>
      <c r="E2313" s="140">
        <v>4</v>
      </c>
      <c r="F2313" s="142">
        <v>46119.458333333328</v>
      </c>
      <c r="G2313" s="140" t="s">
        <v>843</v>
      </c>
      <c r="H2313" s="140" t="s">
        <v>865</v>
      </c>
    </row>
    <row r="2314" spans="1:8" ht="15.75" customHeight="1">
      <c r="A2314" s="140" t="s">
        <v>72</v>
      </c>
      <c r="B2314" s="140" t="s">
        <v>23</v>
      </c>
      <c r="C2314" s="141" t="s">
        <v>474</v>
      </c>
      <c r="D2314" s="140" t="s">
        <v>475</v>
      </c>
      <c r="E2314" s="140">
        <v>5</v>
      </c>
      <c r="F2314" s="142">
        <v>46127.541666666672</v>
      </c>
      <c r="G2314" s="140" t="s">
        <v>845</v>
      </c>
      <c r="H2314" s="140" t="s">
        <v>865</v>
      </c>
    </row>
    <row r="2315" spans="1:8" ht="15.75" customHeight="1">
      <c r="A2315" s="140" t="s">
        <v>72</v>
      </c>
      <c r="B2315" s="140" t="s">
        <v>23</v>
      </c>
      <c r="C2315" s="141" t="s">
        <v>474</v>
      </c>
      <c r="D2315" s="140" t="s">
        <v>475</v>
      </c>
      <c r="E2315" s="140">
        <v>6</v>
      </c>
      <c r="F2315" s="142">
        <v>46134.583333333328</v>
      </c>
      <c r="G2315" s="140" t="s">
        <v>845</v>
      </c>
      <c r="H2315" s="140" t="s">
        <v>865</v>
      </c>
    </row>
    <row r="2316" spans="1:8" ht="15.75" customHeight="1">
      <c r="A2316" s="140" t="s">
        <v>72</v>
      </c>
      <c r="B2316" s="140" t="s">
        <v>21</v>
      </c>
      <c r="C2316" s="141" t="s">
        <v>572</v>
      </c>
      <c r="D2316" s="140" t="s">
        <v>573</v>
      </c>
      <c r="E2316" s="140">
        <v>1</v>
      </c>
      <c r="F2316" s="142">
        <v>45670.541666666672</v>
      </c>
      <c r="G2316" s="140" t="s">
        <v>845</v>
      </c>
      <c r="H2316" s="140" t="s">
        <v>865</v>
      </c>
    </row>
    <row r="2317" spans="1:8" ht="15.75" customHeight="1">
      <c r="A2317" s="140" t="s">
        <v>72</v>
      </c>
      <c r="B2317" s="140" t="s">
        <v>21</v>
      </c>
      <c r="C2317" s="141" t="s">
        <v>572</v>
      </c>
      <c r="D2317" s="140" t="s">
        <v>573</v>
      </c>
      <c r="E2317" s="140">
        <v>2</v>
      </c>
      <c r="F2317" s="142">
        <v>45679.375</v>
      </c>
      <c r="G2317" s="140" t="s">
        <v>845</v>
      </c>
      <c r="H2317" s="140" t="s">
        <v>865</v>
      </c>
    </row>
    <row r="2318" spans="1:8" ht="15.75" customHeight="1">
      <c r="A2318" s="140" t="s">
        <v>72</v>
      </c>
      <c r="B2318" s="140" t="s">
        <v>21</v>
      </c>
      <c r="C2318" s="141" t="s">
        <v>572</v>
      </c>
      <c r="D2318" s="140" t="s">
        <v>573</v>
      </c>
      <c r="E2318" s="140">
        <v>3</v>
      </c>
      <c r="F2318" s="142">
        <v>45698.458333333328</v>
      </c>
      <c r="G2318" s="140" t="s">
        <v>845</v>
      </c>
      <c r="H2318" s="140" t="s">
        <v>865</v>
      </c>
    </row>
    <row r="2319" spans="1:8" ht="15.75" customHeight="1">
      <c r="A2319" s="140" t="s">
        <v>72</v>
      </c>
      <c r="B2319" s="140" t="s">
        <v>21</v>
      </c>
      <c r="C2319" s="141" t="s">
        <v>572</v>
      </c>
      <c r="D2319" s="140" t="s">
        <v>573</v>
      </c>
      <c r="E2319" s="140">
        <v>4</v>
      </c>
      <c r="F2319" s="142">
        <v>45705.458333333328</v>
      </c>
      <c r="G2319" s="140" t="s">
        <v>845</v>
      </c>
      <c r="H2319" s="140" t="s">
        <v>865</v>
      </c>
    </row>
    <row r="2320" spans="1:8" ht="15.75" customHeight="1">
      <c r="A2320" s="140" t="s">
        <v>72</v>
      </c>
      <c r="B2320" s="140" t="s">
        <v>21</v>
      </c>
      <c r="C2320" s="141" t="s">
        <v>572</v>
      </c>
      <c r="D2320" s="140" t="s">
        <v>573</v>
      </c>
      <c r="E2320" s="140">
        <v>5</v>
      </c>
      <c r="F2320" s="142">
        <v>45712.541666666672</v>
      </c>
      <c r="G2320" s="140" t="s">
        <v>845</v>
      </c>
      <c r="H2320" s="140" t="s">
        <v>865</v>
      </c>
    </row>
    <row r="2321" spans="1:8" ht="15.75" customHeight="1">
      <c r="A2321" s="140" t="s">
        <v>72</v>
      </c>
      <c r="B2321" s="140" t="s">
        <v>21</v>
      </c>
      <c r="C2321" s="141" t="s">
        <v>572</v>
      </c>
      <c r="D2321" s="140" t="s">
        <v>573</v>
      </c>
      <c r="E2321" s="140">
        <v>6</v>
      </c>
      <c r="F2321" s="142">
        <v>45761.458333333328</v>
      </c>
      <c r="G2321" s="140" t="s">
        <v>845</v>
      </c>
      <c r="H2321" s="140" t="s">
        <v>865</v>
      </c>
    </row>
    <row r="2322" spans="1:8" ht="15.75" customHeight="1">
      <c r="A2322" s="140" t="s">
        <v>72</v>
      </c>
      <c r="B2322" s="140" t="s">
        <v>21</v>
      </c>
      <c r="C2322" s="141" t="s">
        <v>572</v>
      </c>
      <c r="D2322" s="140" t="s">
        <v>573</v>
      </c>
      <c r="E2322" s="140">
        <v>7</v>
      </c>
      <c r="F2322" s="142">
        <v>45769.458333333328</v>
      </c>
      <c r="G2322" s="140" t="s">
        <v>845</v>
      </c>
      <c r="H2322" s="140" t="s">
        <v>865</v>
      </c>
    </row>
    <row r="2323" spans="1:8" ht="15.75" customHeight="1">
      <c r="A2323" s="140" t="s">
        <v>72</v>
      </c>
      <c r="B2323" s="140" t="s">
        <v>21</v>
      </c>
      <c r="C2323" s="141" t="s">
        <v>572</v>
      </c>
      <c r="D2323" s="140" t="s">
        <v>573</v>
      </c>
      <c r="E2323" s="140">
        <v>8</v>
      </c>
      <c r="F2323" s="142">
        <v>45782.458333333328</v>
      </c>
      <c r="G2323" s="140" t="s">
        <v>845</v>
      </c>
      <c r="H2323" s="140" t="s">
        <v>865</v>
      </c>
    </row>
    <row r="2324" spans="1:8" ht="15.75" customHeight="1">
      <c r="A2324" s="140" t="s">
        <v>72</v>
      </c>
      <c r="B2324" s="140" t="s">
        <v>21</v>
      </c>
      <c r="C2324" s="141" t="s">
        <v>572</v>
      </c>
      <c r="D2324" s="140" t="s">
        <v>573</v>
      </c>
      <c r="E2324" s="140">
        <v>9</v>
      </c>
      <c r="F2324" s="142">
        <v>45789.458333333328</v>
      </c>
      <c r="G2324" s="140" t="s">
        <v>845</v>
      </c>
      <c r="H2324" s="140" t="s">
        <v>865</v>
      </c>
    </row>
    <row r="2325" spans="1:8" ht="15.75" customHeight="1">
      <c r="A2325" s="140" t="s">
        <v>72</v>
      </c>
      <c r="B2325" s="140" t="s">
        <v>21</v>
      </c>
      <c r="C2325" s="141" t="s">
        <v>572</v>
      </c>
      <c r="D2325" s="140" t="s">
        <v>573</v>
      </c>
      <c r="E2325" s="140">
        <v>10</v>
      </c>
      <c r="F2325" s="142">
        <v>45803.541666666672</v>
      </c>
      <c r="G2325" s="140" t="s">
        <v>845</v>
      </c>
      <c r="H2325" s="140" t="s">
        <v>865</v>
      </c>
    </row>
    <row r="2326" spans="1:8" ht="15.75" customHeight="1">
      <c r="A2326" s="140" t="s">
        <v>72</v>
      </c>
      <c r="B2326" s="140" t="s">
        <v>21</v>
      </c>
      <c r="C2326" s="141" t="s">
        <v>572</v>
      </c>
      <c r="D2326" s="140" t="s">
        <v>573</v>
      </c>
      <c r="E2326" s="140">
        <v>11</v>
      </c>
      <c r="F2326" s="142">
        <v>45812.416666666672</v>
      </c>
      <c r="G2326" s="140" t="s">
        <v>845</v>
      </c>
      <c r="H2326" s="140" t="s">
        <v>865</v>
      </c>
    </row>
    <row r="2327" spans="1:8" ht="15.75" customHeight="1">
      <c r="A2327" s="140" t="s">
        <v>72</v>
      </c>
      <c r="B2327" s="140" t="s">
        <v>21</v>
      </c>
      <c r="C2327" s="141" t="s">
        <v>572</v>
      </c>
      <c r="D2327" s="140" t="s">
        <v>573</v>
      </c>
      <c r="E2327" s="140">
        <v>12</v>
      </c>
      <c r="F2327" s="142">
        <v>45832.375</v>
      </c>
      <c r="G2327" s="140" t="s">
        <v>845</v>
      </c>
      <c r="H2327" s="140" t="s">
        <v>865</v>
      </c>
    </row>
    <row r="2328" spans="1:8" ht="15.75" customHeight="1">
      <c r="A2328" s="140" t="s">
        <v>72</v>
      </c>
      <c r="B2328" s="140" t="s">
        <v>22</v>
      </c>
      <c r="C2328" s="141" t="s">
        <v>572</v>
      </c>
      <c r="D2328" s="140" t="s">
        <v>573</v>
      </c>
      <c r="E2328" s="140">
        <v>1</v>
      </c>
      <c r="F2328" s="142">
        <v>45866.541666666672</v>
      </c>
      <c r="G2328" s="140" t="s">
        <v>845</v>
      </c>
      <c r="H2328" s="140" t="s">
        <v>865</v>
      </c>
    </row>
    <row r="2329" spans="1:8" ht="15.75" customHeight="1">
      <c r="A2329" s="140" t="s">
        <v>72</v>
      </c>
      <c r="B2329" s="140" t="s">
        <v>22</v>
      </c>
      <c r="C2329" s="141" t="s">
        <v>572</v>
      </c>
      <c r="D2329" s="140" t="s">
        <v>573</v>
      </c>
      <c r="E2329" s="140">
        <v>2</v>
      </c>
      <c r="F2329" s="142">
        <v>45910.458333333328</v>
      </c>
      <c r="G2329" s="140" t="s">
        <v>845</v>
      </c>
      <c r="H2329" s="140" t="s">
        <v>865</v>
      </c>
    </row>
    <row r="2330" spans="1:8" ht="15.75" customHeight="1">
      <c r="A2330" s="140" t="s">
        <v>72</v>
      </c>
      <c r="B2330" s="140" t="s">
        <v>22</v>
      </c>
      <c r="C2330" s="141" t="s">
        <v>572</v>
      </c>
      <c r="D2330" s="140" t="s">
        <v>573</v>
      </c>
      <c r="E2330" s="140">
        <v>3</v>
      </c>
      <c r="F2330" s="142">
        <v>45915.458333333328</v>
      </c>
      <c r="G2330" s="140" t="s">
        <v>845</v>
      </c>
      <c r="H2330" s="140" t="s">
        <v>865</v>
      </c>
    </row>
    <row r="2331" spans="1:8" ht="15.75" customHeight="1">
      <c r="A2331" s="140" t="s">
        <v>72</v>
      </c>
      <c r="B2331" s="140" t="s">
        <v>22</v>
      </c>
      <c r="C2331" s="141" t="s">
        <v>572</v>
      </c>
      <c r="D2331" s="140" t="s">
        <v>573</v>
      </c>
      <c r="E2331" s="140">
        <v>4</v>
      </c>
      <c r="F2331" s="142">
        <v>45922.458333333328</v>
      </c>
      <c r="G2331" s="140" t="s">
        <v>845</v>
      </c>
      <c r="H2331" s="140" t="s">
        <v>865</v>
      </c>
    </row>
    <row r="2332" spans="1:8" ht="15.75" customHeight="1">
      <c r="A2332" s="140" t="s">
        <v>72</v>
      </c>
      <c r="B2332" s="140" t="s">
        <v>22</v>
      </c>
      <c r="C2332" s="141" t="s">
        <v>572</v>
      </c>
      <c r="D2332" s="140" t="s">
        <v>573</v>
      </c>
      <c r="E2332" s="140">
        <v>5</v>
      </c>
      <c r="F2332" s="142">
        <v>45929.458333333328</v>
      </c>
      <c r="G2332" s="140" t="s">
        <v>845</v>
      </c>
      <c r="H2332" s="140" t="s">
        <v>865</v>
      </c>
    </row>
    <row r="2333" spans="1:8" ht="15.75" customHeight="1">
      <c r="A2333" s="140" t="s">
        <v>72</v>
      </c>
      <c r="B2333" s="140" t="s">
        <v>22</v>
      </c>
      <c r="C2333" s="141" t="s">
        <v>572</v>
      </c>
      <c r="D2333" s="140" t="s">
        <v>573</v>
      </c>
      <c r="E2333" s="140">
        <v>6</v>
      </c>
      <c r="F2333" s="142">
        <v>45943.416666666672</v>
      </c>
      <c r="G2333" s="140" t="s">
        <v>845</v>
      </c>
      <c r="H2333" s="140" t="s">
        <v>865</v>
      </c>
    </row>
    <row r="2334" spans="1:8" ht="15.75" customHeight="1">
      <c r="A2334" s="140" t="s">
        <v>72</v>
      </c>
      <c r="B2334" s="140" t="s">
        <v>22</v>
      </c>
      <c r="C2334" s="141" t="s">
        <v>572</v>
      </c>
      <c r="D2334" s="140" t="s">
        <v>573</v>
      </c>
      <c r="E2334" s="140">
        <v>7</v>
      </c>
      <c r="F2334" s="142">
        <v>45944.583333333328</v>
      </c>
      <c r="G2334" s="140" t="s">
        <v>845</v>
      </c>
      <c r="H2334" s="140" t="s">
        <v>865</v>
      </c>
    </row>
    <row r="2335" spans="1:8" ht="15.75" customHeight="1">
      <c r="A2335" s="140" t="s">
        <v>72</v>
      </c>
      <c r="B2335" s="140" t="s">
        <v>22</v>
      </c>
      <c r="C2335" s="141" t="s">
        <v>572</v>
      </c>
      <c r="D2335" s="140" t="s">
        <v>573</v>
      </c>
      <c r="E2335" s="140">
        <v>9</v>
      </c>
      <c r="F2335" s="142">
        <v>45957.416666666672</v>
      </c>
      <c r="G2335" s="140" t="s">
        <v>845</v>
      </c>
      <c r="H2335" s="140" t="s">
        <v>865</v>
      </c>
    </row>
    <row r="2336" spans="1:8" ht="15.75" customHeight="1">
      <c r="A2336" s="140" t="s">
        <v>72</v>
      </c>
      <c r="B2336" s="140" t="s">
        <v>22</v>
      </c>
      <c r="C2336" s="141" t="s">
        <v>572</v>
      </c>
      <c r="D2336" s="140" t="s">
        <v>573</v>
      </c>
      <c r="E2336" s="140">
        <v>10</v>
      </c>
      <c r="F2336" s="142">
        <v>45964.583333333328</v>
      </c>
      <c r="G2336" s="140" t="s">
        <v>845</v>
      </c>
      <c r="H2336" s="140" t="s">
        <v>865</v>
      </c>
    </row>
    <row r="2337" spans="1:8" ht="15.75" customHeight="1">
      <c r="A2337" s="140" t="s">
        <v>72</v>
      </c>
      <c r="B2337" s="140" t="s">
        <v>22</v>
      </c>
      <c r="C2337" s="141" t="s">
        <v>572</v>
      </c>
      <c r="D2337" s="140" t="s">
        <v>573</v>
      </c>
      <c r="E2337" s="140">
        <v>11</v>
      </c>
      <c r="F2337" s="142">
        <v>45971.541666666672</v>
      </c>
      <c r="G2337" s="140" t="s">
        <v>845</v>
      </c>
      <c r="H2337" s="140" t="s">
        <v>865</v>
      </c>
    </row>
    <row r="2338" spans="1:8" ht="15.75" customHeight="1">
      <c r="A2338" s="140" t="s">
        <v>72</v>
      </c>
      <c r="B2338" s="140" t="s">
        <v>22</v>
      </c>
      <c r="C2338" s="141" t="s">
        <v>572</v>
      </c>
      <c r="D2338" s="140" t="s">
        <v>573</v>
      </c>
      <c r="E2338" s="140">
        <v>12</v>
      </c>
      <c r="F2338" s="142">
        <v>45985.583333333328</v>
      </c>
      <c r="G2338" s="140" t="s">
        <v>845</v>
      </c>
      <c r="H2338" s="140" t="s">
        <v>865</v>
      </c>
    </row>
    <row r="2339" spans="1:8" ht="15.75" customHeight="1">
      <c r="A2339" s="140" t="s">
        <v>72</v>
      </c>
      <c r="B2339" s="140" t="s">
        <v>22</v>
      </c>
      <c r="C2339" s="141" t="s">
        <v>572</v>
      </c>
      <c r="D2339" s="140" t="s">
        <v>573</v>
      </c>
      <c r="E2339" s="140">
        <v>13</v>
      </c>
      <c r="F2339" s="142">
        <v>45992.541666666672</v>
      </c>
      <c r="G2339" s="140" t="s">
        <v>845</v>
      </c>
      <c r="H2339" s="140" t="s">
        <v>865</v>
      </c>
    </row>
    <row r="2340" spans="1:8" ht="15.75" customHeight="1">
      <c r="A2340" s="140" t="s">
        <v>72</v>
      </c>
      <c r="B2340" s="140" t="s">
        <v>22</v>
      </c>
      <c r="C2340" s="141" t="s">
        <v>572</v>
      </c>
      <c r="D2340" s="140" t="s">
        <v>573</v>
      </c>
      <c r="E2340" s="140">
        <v>14</v>
      </c>
      <c r="F2340" s="142">
        <v>45999.416666666672</v>
      </c>
      <c r="G2340" s="140" t="s">
        <v>845</v>
      </c>
      <c r="H2340" s="140" t="s">
        <v>865</v>
      </c>
    </row>
    <row r="2341" spans="1:8" ht="15.75" customHeight="1">
      <c r="A2341" s="140" t="s">
        <v>72</v>
      </c>
      <c r="B2341" s="140" t="s">
        <v>22</v>
      </c>
      <c r="C2341" s="141" t="s">
        <v>572</v>
      </c>
      <c r="D2341" s="140" t="s">
        <v>573</v>
      </c>
      <c r="E2341" s="140">
        <v>15</v>
      </c>
      <c r="F2341" s="142">
        <v>46006.458333333328</v>
      </c>
      <c r="G2341" s="140" t="s">
        <v>843</v>
      </c>
      <c r="H2341" s="140" t="s">
        <v>865</v>
      </c>
    </row>
    <row r="2342" spans="1:8" ht="15.75" customHeight="1">
      <c r="A2342" s="140" t="s">
        <v>72</v>
      </c>
      <c r="B2342" s="140" t="s">
        <v>22</v>
      </c>
      <c r="C2342" s="141" t="s">
        <v>572</v>
      </c>
      <c r="D2342" s="140" t="s">
        <v>573</v>
      </c>
      <c r="E2342" s="140">
        <v>16</v>
      </c>
      <c r="F2342" s="142">
        <v>46048.416666666672</v>
      </c>
      <c r="G2342" s="140" t="s">
        <v>845</v>
      </c>
      <c r="H2342" s="140" t="s">
        <v>865</v>
      </c>
    </row>
    <row r="2343" spans="1:8" ht="15.75" customHeight="1">
      <c r="A2343" s="140" t="s">
        <v>72</v>
      </c>
      <c r="B2343" s="140" t="s">
        <v>21</v>
      </c>
      <c r="C2343" s="141" t="s">
        <v>576</v>
      </c>
      <c r="D2343" s="140" t="s">
        <v>577</v>
      </c>
      <c r="E2343" s="140">
        <v>1</v>
      </c>
      <c r="F2343" s="142">
        <v>45670.541666666672</v>
      </c>
      <c r="G2343" s="140" t="s">
        <v>845</v>
      </c>
      <c r="H2343" s="140" t="s">
        <v>865</v>
      </c>
    </row>
    <row r="2344" spans="1:8" ht="15.75" customHeight="1">
      <c r="A2344" s="140" t="s">
        <v>72</v>
      </c>
      <c r="B2344" s="140" t="s">
        <v>21</v>
      </c>
      <c r="C2344" s="141" t="s">
        <v>576</v>
      </c>
      <c r="D2344" s="140" t="s">
        <v>577</v>
      </c>
      <c r="E2344" s="140">
        <v>2</v>
      </c>
      <c r="F2344" s="142">
        <v>45679.375</v>
      </c>
      <c r="G2344" s="140" t="s">
        <v>845</v>
      </c>
      <c r="H2344" s="140" t="s">
        <v>865</v>
      </c>
    </row>
    <row r="2345" spans="1:8" ht="15.75" customHeight="1">
      <c r="A2345" s="140" t="s">
        <v>72</v>
      </c>
      <c r="B2345" s="140" t="s">
        <v>21</v>
      </c>
      <c r="C2345" s="141" t="s">
        <v>576</v>
      </c>
      <c r="D2345" s="140" t="s">
        <v>577</v>
      </c>
      <c r="E2345" s="140">
        <v>3</v>
      </c>
      <c r="F2345" s="142">
        <v>45698.458333333328</v>
      </c>
      <c r="G2345" s="140" t="s">
        <v>845</v>
      </c>
      <c r="H2345" s="140" t="s">
        <v>865</v>
      </c>
    </row>
    <row r="2346" spans="1:8" ht="15.75" customHeight="1">
      <c r="A2346" s="140" t="s">
        <v>72</v>
      </c>
      <c r="B2346" s="140" t="s">
        <v>21</v>
      </c>
      <c r="C2346" s="141" t="s">
        <v>576</v>
      </c>
      <c r="D2346" s="140" t="s">
        <v>577</v>
      </c>
      <c r="E2346" s="140">
        <v>4</v>
      </c>
      <c r="F2346" s="142">
        <v>45705.458333333328</v>
      </c>
      <c r="G2346" s="140" t="s">
        <v>845</v>
      </c>
      <c r="H2346" s="140" t="s">
        <v>865</v>
      </c>
    </row>
    <row r="2347" spans="1:8" ht="15.75" customHeight="1">
      <c r="A2347" s="140" t="s">
        <v>72</v>
      </c>
      <c r="B2347" s="140" t="s">
        <v>21</v>
      </c>
      <c r="C2347" s="141" t="s">
        <v>576</v>
      </c>
      <c r="D2347" s="140" t="s">
        <v>577</v>
      </c>
      <c r="E2347" s="140">
        <v>5</v>
      </c>
      <c r="F2347" s="142">
        <v>45712.541666666672</v>
      </c>
      <c r="G2347" s="140" t="s">
        <v>845</v>
      </c>
      <c r="H2347" s="140" t="s">
        <v>865</v>
      </c>
    </row>
    <row r="2348" spans="1:8" ht="15.75" customHeight="1">
      <c r="A2348" s="140" t="s">
        <v>72</v>
      </c>
      <c r="B2348" s="140" t="s">
        <v>21</v>
      </c>
      <c r="C2348" s="141" t="s">
        <v>576</v>
      </c>
      <c r="D2348" s="140" t="s">
        <v>577</v>
      </c>
      <c r="E2348" s="140">
        <v>6</v>
      </c>
      <c r="F2348" s="142">
        <v>45761.458333333328</v>
      </c>
      <c r="G2348" s="140" t="s">
        <v>845</v>
      </c>
      <c r="H2348" s="140" t="s">
        <v>865</v>
      </c>
    </row>
    <row r="2349" spans="1:8" ht="15.75" customHeight="1">
      <c r="A2349" s="140" t="s">
        <v>72</v>
      </c>
      <c r="B2349" s="140" t="s">
        <v>21</v>
      </c>
      <c r="C2349" s="141" t="s">
        <v>576</v>
      </c>
      <c r="D2349" s="140" t="s">
        <v>577</v>
      </c>
      <c r="E2349" s="140">
        <v>7</v>
      </c>
      <c r="F2349" s="142">
        <v>45769.458333333328</v>
      </c>
      <c r="G2349" s="140" t="s">
        <v>845</v>
      </c>
      <c r="H2349" s="140" t="s">
        <v>865</v>
      </c>
    </row>
    <row r="2350" spans="1:8" ht="15.75" customHeight="1">
      <c r="A2350" s="140" t="s">
        <v>72</v>
      </c>
      <c r="B2350" s="140" t="s">
        <v>21</v>
      </c>
      <c r="C2350" s="141" t="s">
        <v>576</v>
      </c>
      <c r="D2350" s="140" t="s">
        <v>577</v>
      </c>
      <c r="E2350" s="140">
        <v>8</v>
      </c>
      <c r="F2350" s="142">
        <v>45782.458333333328</v>
      </c>
      <c r="G2350" s="140" t="s">
        <v>845</v>
      </c>
      <c r="H2350" s="140" t="s">
        <v>865</v>
      </c>
    </row>
    <row r="2351" spans="1:8" ht="15.75" customHeight="1">
      <c r="A2351" s="140" t="s">
        <v>72</v>
      </c>
      <c r="B2351" s="140" t="s">
        <v>21</v>
      </c>
      <c r="C2351" s="141" t="s">
        <v>576</v>
      </c>
      <c r="D2351" s="140" t="s">
        <v>577</v>
      </c>
      <c r="E2351" s="140">
        <v>9</v>
      </c>
      <c r="F2351" s="142">
        <v>45789.458333333328</v>
      </c>
      <c r="G2351" s="140" t="s">
        <v>843</v>
      </c>
      <c r="H2351" s="140" t="s">
        <v>865</v>
      </c>
    </row>
    <row r="2352" spans="1:8" ht="15.75" customHeight="1">
      <c r="A2352" s="140" t="s">
        <v>72</v>
      </c>
      <c r="B2352" s="140" t="s">
        <v>21</v>
      </c>
      <c r="C2352" s="141" t="s">
        <v>576</v>
      </c>
      <c r="D2352" s="140" t="s">
        <v>577</v>
      </c>
      <c r="E2352" s="140">
        <v>10</v>
      </c>
      <c r="F2352" s="142">
        <v>45803.541666666672</v>
      </c>
      <c r="G2352" s="140" t="s">
        <v>845</v>
      </c>
      <c r="H2352" s="140" t="s">
        <v>865</v>
      </c>
    </row>
    <row r="2353" spans="1:8" ht="15.75" customHeight="1">
      <c r="A2353" s="140" t="s">
        <v>72</v>
      </c>
      <c r="B2353" s="140" t="s">
        <v>21</v>
      </c>
      <c r="C2353" s="141" t="s">
        <v>576</v>
      </c>
      <c r="D2353" s="140" t="s">
        <v>577</v>
      </c>
      <c r="E2353" s="140">
        <v>11</v>
      </c>
      <c r="F2353" s="142">
        <v>45812.416666666672</v>
      </c>
      <c r="G2353" s="140" t="s">
        <v>845</v>
      </c>
      <c r="H2353" s="140" t="s">
        <v>865</v>
      </c>
    </row>
    <row r="2354" spans="1:8" ht="15.75" customHeight="1">
      <c r="A2354" s="140" t="s">
        <v>72</v>
      </c>
      <c r="B2354" s="140" t="s">
        <v>21</v>
      </c>
      <c r="C2354" s="141" t="s">
        <v>576</v>
      </c>
      <c r="D2354" s="140" t="s">
        <v>577</v>
      </c>
      <c r="E2354" s="140">
        <v>12</v>
      </c>
      <c r="F2354" s="142">
        <v>45832.375</v>
      </c>
      <c r="G2354" s="140" t="s">
        <v>845</v>
      </c>
      <c r="H2354" s="140" t="s">
        <v>865</v>
      </c>
    </row>
    <row r="2355" spans="1:8" ht="15.75" customHeight="1">
      <c r="A2355" s="140" t="s">
        <v>72</v>
      </c>
      <c r="B2355" s="140" t="s">
        <v>22</v>
      </c>
      <c r="C2355" s="141" t="s">
        <v>576</v>
      </c>
      <c r="D2355" s="140" t="s">
        <v>577</v>
      </c>
      <c r="E2355" s="140">
        <v>1</v>
      </c>
      <c r="F2355" s="142">
        <v>45866.541666666672</v>
      </c>
      <c r="G2355" s="140" t="s">
        <v>845</v>
      </c>
      <c r="H2355" s="140" t="s">
        <v>865</v>
      </c>
    </row>
    <row r="2356" spans="1:8" ht="15.75" customHeight="1">
      <c r="A2356" s="140" t="s">
        <v>72</v>
      </c>
      <c r="B2356" s="140" t="s">
        <v>22</v>
      </c>
      <c r="C2356" s="141" t="s">
        <v>576</v>
      </c>
      <c r="D2356" s="140" t="s">
        <v>577</v>
      </c>
      <c r="E2356" s="140">
        <v>2</v>
      </c>
      <c r="F2356" s="142">
        <v>45910.458333333328</v>
      </c>
      <c r="G2356" s="140" t="s">
        <v>843</v>
      </c>
      <c r="H2356" s="140" t="s">
        <v>865</v>
      </c>
    </row>
    <row r="2357" spans="1:8" ht="15.75" customHeight="1">
      <c r="A2357" s="140" t="s">
        <v>72</v>
      </c>
      <c r="B2357" s="140" t="s">
        <v>22</v>
      </c>
      <c r="C2357" s="141" t="s">
        <v>576</v>
      </c>
      <c r="D2357" s="140" t="s">
        <v>577</v>
      </c>
      <c r="E2357" s="140">
        <v>3</v>
      </c>
      <c r="F2357" s="142">
        <v>45915.458333333328</v>
      </c>
      <c r="G2357" s="140" t="s">
        <v>845</v>
      </c>
      <c r="H2357" s="140" t="s">
        <v>865</v>
      </c>
    </row>
    <row r="2358" spans="1:8" ht="15.75" customHeight="1">
      <c r="A2358" s="140" t="s">
        <v>72</v>
      </c>
      <c r="B2358" s="140" t="s">
        <v>22</v>
      </c>
      <c r="C2358" s="141" t="s">
        <v>576</v>
      </c>
      <c r="D2358" s="140" t="s">
        <v>577</v>
      </c>
      <c r="E2358" s="140">
        <v>4</v>
      </c>
      <c r="F2358" s="142">
        <v>45922.458333333328</v>
      </c>
      <c r="G2358" s="140" t="s">
        <v>845</v>
      </c>
      <c r="H2358" s="140" t="s">
        <v>865</v>
      </c>
    </row>
    <row r="2359" spans="1:8" ht="15.75" customHeight="1">
      <c r="A2359" s="140" t="s">
        <v>72</v>
      </c>
      <c r="B2359" s="140" t="s">
        <v>22</v>
      </c>
      <c r="C2359" s="141" t="s">
        <v>576</v>
      </c>
      <c r="D2359" s="140" t="s">
        <v>577</v>
      </c>
      <c r="E2359" s="140">
        <v>5</v>
      </c>
      <c r="F2359" s="142">
        <v>45929.458333333328</v>
      </c>
      <c r="G2359" s="140" t="s">
        <v>845</v>
      </c>
      <c r="H2359" s="140" t="s">
        <v>865</v>
      </c>
    </row>
    <row r="2360" spans="1:8" ht="15.75" customHeight="1">
      <c r="A2360" s="140" t="s">
        <v>72</v>
      </c>
      <c r="B2360" s="140" t="s">
        <v>22</v>
      </c>
      <c r="C2360" s="141" t="s">
        <v>576</v>
      </c>
      <c r="D2360" s="140" t="s">
        <v>577</v>
      </c>
      <c r="E2360" s="140">
        <v>6</v>
      </c>
      <c r="F2360" s="142">
        <v>45943.416666666672</v>
      </c>
      <c r="G2360" s="140" t="s">
        <v>845</v>
      </c>
      <c r="H2360" s="140" t="s">
        <v>865</v>
      </c>
    </row>
    <row r="2361" spans="1:8" ht="15.75" customHeight="1">
      <c r="A2361" s="140" t="s">
        <v>72</v>
      </c>
      <c r="B2361" s="140" t="s">
        <v>22</v>
      </c>
      <c r="C2361" s="141" t="s">
        <v>576</v>
      </c>
      <c r="D2361" s="140" t="s">
        <v>577</v>
      </c>
      <c r="E2361" s="140">
        <v>7</v>
      </c>
      <c r="F2361" s="142">
        <v>45944.583333333328</v>
      </c>
      <c r="G2361" s="140" t="s">
        <v>845</v>
      </c>
      <c r="H2361" s="140" t="s">
        <v>865</v>
      </c>
    </row>
    <row r="2362" spans="1:8" ht="15.75" customHeight="1">
      <c r="A2362" s="140" t="s">
        <v>72</v>
      </c>
      <c r="B2362" s="140" t="s">
        <v>22</v>
      </c>
      <c r="C2362" s="141" t="s">
        <v>576</v>
      </c>
      <c r="D2362" s="140" t="s">
        <v>577</v>
      </c>
      <c r="E2362" s="140">
        <v>9</v>
      </c>
      <c r="F2362" s="142">
        <v>45957.416666666672</v>
      </c>
      <c r="G2362" s="140" t="s">
        <v>845</v>
      </c>
      <c r="H2362" s="140" t="s">
        <v>865</v>
      </c>
    </row>
    <row r="2363" spans="1:8" ht="15.75" customHeight="1">
      <c r="A2363" s="140" t="s">
        <v>72</v>
      </c>
      <c r="B2363" s="140" t="s">
        <v>22</v>
      </c>
      <c r="C2363" s="141" t="s">
        <v>576</v>
      </c>
      <c r="D2363" s="140" t="s">
        <v>577</v>
      </c>
      <c r="E2363" s="140">
        <v>10</v>
      </c>
      <c r="F2363" s="142">
        <v>45964.583333333328</v>
      </c>
      <c r="G2363" s="140" t="s">
        <v>845</v>
      </c>
      <c r="H2363" s="140" t="s">
        <v>865</v>
      </c>
    </row>
    <row r="2364" spans="1:8" ht="15.75" customHeight="1">
      <c r="A2364" s="140" t="s">
        <v>72</v>
      </c>
      <c r="B2364" s="140" t="s">
        <v>22</v>
      </c>
      <c r="C2364" s="141" t="s">
        <v>576</v>
      </c>
      <c r="D2364" s="140" t="s">
        <v>577</v>
      </c>
      <c r="E2364" s="140">
        <v>11</v>
      </c>
      <c r="F2364" s="142">
        <v>45971.541666666672</v>
      </c>
      <c r="G2364" s="140" t="s">
        <v>845</v>
      </c>
      <c r="H2364" s="140" t="s">
        <v>865</v>
      </c>
    </row>
    <row r="2365" spans="1:8" ht="15.75" customHeight="1">
      <c r="A2365" s="140" t="s">
        <v>72</v>
      </c>
      <c r="B2365" s="140" t="s">
        <v>22</v>
      </c>
      <c r="C2365" s="141" t="s">
        <v>576</v>
      </c>
      <c r="D2365" s="140" t="s">
        <v>577</v>
      </c>
      <c r="E2365" s="140">
        <v>12</v>
      </c>
      <c r="F2365" s="142">
        <v>45985.583333333328</v>
      </c>
      <c r="G2365" s="140" t="s">
        <v>845</v>
      </c>
      <c r="H2365" s="140" t="s">
        <v>865</v>
      </c>
    </row>
    <row r="2366" spans="1:8" ht="15.75" customHeight="1">
      <c r="A2366" s="140" t="s">
        <v>72</v>
      </c>
      <c r="B2366" s="140" t="s">
        <v>22</v>
      </c>
      <c r="C2366" s="141" t="s">
        <v>576</v>
      </c>
      <c r="D2366" s="140" t="s">
        <v>577</v>
      </c>
      <c r="E2366" s="140">
        <v>13</v>
      </c>
      <c r="F2366" s="142">
        <v>45992.541666666672</v>
      </c>
      <c r="G2366" s="140" t="s">
        <v>845</v>
      </c>
      <c r="H2366" s="140" t="s">
        <v>865</v>
      </c>
    </row>
    <row r="2367" spans="1:8" ht="15.75" customHeight="1">
      <c r="A2367" s="140" t="s">
        <v>72</v>
      </c>
      <c r="B2367" s="140" t="s">
        <v>22</v>
      </c>
      <c r="C2367" s="141" t="s">
        <v>576</v>
      </c>
      <c r="D2367" s="140" t="s">
        <v>577</v>
      </c>
      <c r="E2367" s="140">
        <v>14</v>
      </c>
      <c r="F2367" s="142">
        <v>45999.416666666672</v>
      </c>
      <c r="G2367" s="140" t="s">
        <v>845</v>
      </c>
      <c r="H2367" s="140" t="s">
        <v>865</v>
      </c>
    </row>
    <row r="2368" spans="1:8" ht="15.75" customHeight="1">
      <c r="A2368" s="140" t="s">
        <v>72</v>
      </c>
      <c r="B2368" s="140" t="s">
        <v>22</v>
      </c>
      <c r="C2368" s="141" t="s">
        <v>576</v>
      </c>
      <c r="D2368" s="140" t="s">
        <v>577</v>
      </c>
      <c r="E2368" s="140">
        <v>15</v>
      </c>
      <c r="F2368" s="142">
        <v>46006.458333333328</v>
      </c>
      <c r="G2368" s="140" t="s">
        <v>845</v>
      </c>
      <c r="H2368" s="140" t="s">
        <v>865</v>
      </c>
    </row>
    <row r="2369" spans="1:8" ht="15.75" customHeight="1">
      <c r="A2369" s="140" t="s">
        <v>72</v>
      </c>
      <c r="B2369" s="140" t="s">
        <v>22</v>
      </c>
      <c r="C2369" s="141" t="s">
        <v>576</v>
      </c>
      <c r="D2369" s="140" t="s">
        <v>577</v>
      </c>
      <c r="E2369" s="140">
        <v>16</v>
      </c>
      <c r="F2369" s="142">
        <v>46048.416666666672</v>
      </c>
      <c r="G2369" s="140" t="s">
        <v>845</v>
      </c>
      <c r="H2369" s="140" t="s">
        <v>865</v>
      </c>
    </row>
    <row r="2370" spans="1:8" ht="15.75" customHeight="1">
      <c r="A2370" s="140" t="s">
        <v>72</v>
      </c>
      <c r="B2370" s="140" t="s">
        <v>21</v>
      </c>
      <c r="C2370" s="141" t="s">
        <v>683</v>
      </c>
      <c r="D2370" s="140" t="s">
        <v>684</v>
      </c>
      <c r="E2370" s="140">
        <v>1</v>
      </c>
      <c r="F2370" s="142">
        <v>45670.541666666672</v>
      </c>
      <c r="G2370" s="140" t="s">
        <v>845</v>
      </c>
      <c r="H2370" s="140" t="s">
        <v>865</v>
      </c>
    </row>
    <row r="2371" spans="1:8" ht="15.75" customHeight="1">
      <c r="A2371" s="140" t="s">
        <v>72</v>
      </c>
      <c r="B2371" s="140" t="s">
        <v>21</v>
      </c>
      <c r="C2371" s="141" t="s">
        <v>683</v>
      </c>
      <c r="D2371" s="140" t="s">
        <v>684</v>
      </c>
      <c r="E2371" s="140">
        <v>2</v>
      </c>
      <c r="F2371" s="142">
        <v>45679.375</v>
      </c>
      <c r="G2371" s="140" t="s">
        <v>845</v>
      </c>
      <c r="H2371" s="140" t="s">
        <v>865</v>
      </c>
    </row>
    <row r="2372" spans="1:8" ht="15.75" customHeight="1">
      <c r="A2372" s="140" t="s">
        <v>72</v>
      </c>
      <c r="B2372" s="140" t="s">
        <v>21</v>
      </c>
      <c r="C2372" s="141" t="s">
        <v>683</v>
      </c>
      <c r="D2372" s="140" t="s">
        <v>684</v>
      </c>
      <c r="E2372" s="140">
        <v>3</v>
      </c>
      <c r="F2372" s="142">
        <v>45698.458333333328</v>
      </c>
      <c r="G2372" s="140" t="s">
        <v>845</v>
      </c>
      <c r="H2372" s="140" t="s">
        <v>865</v>
      </c>
    </row>
    <row r="2373" spans="1:8" ht="15.75" customHeight="1">
      <c r="A2373" s="140" t="s">
        <v>72</v>
      </c>
      <c r="B2373" s="140" t="s">
        <v>21</v>
      </c>
      <c r="C2373" s="141" t="s">
        <v>683</v>
      </c>
      <c r="D2373" s="140" t="s">
        <v>684</v>
      </c>
      <c r="E2373" s="140">
        <v>4</v>
      </c>
      <c r="F2373" s="142">
        <v>45705.458333333328</v>
      </c>
      <c r="G2373" s="140" t="s">
        <v>845</v>
      </c>
      <c r="H2373" s="140" t="s">
        <v>865</v>
      </c>
    </row>
    <row r="2374" spans="1:8" ht="15.75" customHeight="1">
      <c r="A2374" s="140" t="s">
        <v>72</v>
      </c>
      <c r="B2374" s="140" t="s">
        <v>21</v>
      </c>
      <c r="C2374" s="141" t="s">
        <v>683</v>
      </c>
      <c r="D2374" s="140" t="s">
        <v>684</v>
      </c>
      <c r="E2374" s="140">
        <v>5</v>
      </c>
      <c r="F2374" s="142">
        <v>45712.541666666672</v>
      </c>
      <c r="G2374" s="140" t="s">
        <v>845</v>
      </c>
      <c r="H2374" s="140" t="s">
        <v>865</v>
      </c>
    </row>
    <row r="2375" spans="1:8" ht="15.75" customHeight="1">
      <c r="A2375" s="140" t="s">
        <v>72</v>
      </c>
      <c r="B2375" s="140" t="s">
        <v>21</v>
      </c>
      <c r="C2375" s="141" t="s">
        <v>683</v>
      </c>
      <c r="D2375" s="140" t="s">
        <v>684</v>
      </c>
      <c r="E2375" s="140">
        <v>6</v>
      </c>
      <c r="F2375" s="142">
        <v>45761.458333333328</v>
      </c>
      <c r="G2375" s="140" t="s">
        <v>845</v>
      </c>
      <c r="H2375" s="140" t="s">
        <v>865</v>
      </c>
    </row>
    <row r="2376" spans="1:8" ht="15.75" customHeight="1">
      <c r="A2376" s="140" t="s">
        <v>72</v>
      </c>
      <c r="B2376" s="140" t="s">
        <v>21</v>
      </c>
      <c r="C2376" s="141" t="s">
        <v>683</v>
      </c>
      <c r="D2376" s="140" t="s">
        <v>684</v>
      </c>
      <c r="E2376" s="140">
        <v>7</v>
      </c>
      <c r="F2376" s="142">
        <v>45769.458333333328</v>
      </c>
      <c r="G2376" s="140" t="s">
        <v>845</v>
      </c>
      <c r="H2376" s="140" t="s">
        <v>865</v>
      </c>
    </row>
    <row r="2377" spans="1:8" ht="15.75" customHeight="1">
      <c r="A2377" s="140" t="s">
        <v>72</v>
      </c>
      <c r="B2377" s="140" t="s">
        <v>21</v>
      </c>
      <c r="C2377" s="141" t="s">
        <v>683</v>
      </c>
      <c r="D2377" s="140" t="s">
        <v>684</v>
      </c>
      <c r="E2377" s="140">
        <v>8</v>
      </c>
      <c r="F2377" s="142">
        <v>45782.458333333328</v>
      </c>
      <c r="G2377" s="140" t="s">
        <v>845</v>
      </c>
      <c r="H2377" s="140" t="s">
        <v>865</v>
      </c>
    </row>
    <row r="2378" spans="1:8" ht="15.75" customHeight="1">
      <c r="A2378" s="140" t="s">
        <v>72</v>
      </c>
      <c r="B2378" s="140" t="s">
        <v>21</v>
      </c>
      <c r="C2378" s="141" t="s">
        <v>683</v>
      </c>
      <c r="D2378" s="140" t="s">
        <v>684</v>
      </c>
      <c r="E2378" s="140">
        <v>9</v>
      </c>
      <c r="F2378" s="142">
        <v>45789.458333333328</v>
      </c>
      <c r="G2378" s="140" t="s">
        <v>845</v>
      </c>
      <c r="H2378" s="140" t="s">
        <v>865</v>
      </c>
    </row>
    <row r="2379" spans="1:8" ht="15.75" customHeight="1">
      <c r="A2379" s="140" t="s">
        <v>72</v>
      </c>
      <c r="B2379" s="140" t="s">
        <v>21</v>
      </c>
      <c r="C2379" s="141" t="s">
        <v>683</v>
      </c>
      <c r="D2379" s="140" t="s">
        <v>684</v>
      </c>
      <c r="E2379" s="140">
        <v>10</v>
      </c>
      <c r="F2379" s="142">
        <v>45803.541666666672</v>
      </c>
      <c r="G2379" s="140" t="s">
        <v>843</v>
      </c>
      <c r="H2379" s="140" t="s">
        <v>865</v>
      </c>
    </row>
    <row r="2380" spans="1:8" ht="15.75" customHeight="1">
      <c r="A2380" s="140" t="s">
        <v>72</v>
      </c>
      <c r="B2380" s="140" t="s">
        <v>21</v>
      </c>
      <c r="C2380" s="141" t="s">
        <v>683</v>
      </c>
      <c r="D2380" s="140" t="s">
        <v>684</v>
      </c>
      <c r="E2380" s="140">
        <v>11</v>
      </c>
      <c r="F2380" s="142">
        <v>45812.416666666672</v>
      </c>
      <c r="G2380" s="140" t="s">
        <v>845</v>
      </c>
      <c r="H2380" s="140" t="s">
        <v>865</v>
      </c>
    </row>
    <row r="2381" spans="1:8" ht="15.75" customHeight="1">
      <c r="A2381" s="140" t="s">
        <v>72</v>
      </c>
      <c r="B2381" s="140" t="s">
        <v>21</v>
      </c>
      <c r="C2381" s="141" t="s">
        <v>683</v>
      </c>
      <c r="D2381" s="140" t="s">
        <v>684</v>
      </c>
      <c r="E2381" s="140">
        <v>12</v>
      </c>
      <c r="F2381" s="142">
        <v>45832.375</v>
      </c>
      <c r="G2381" s="140" t="s">
        <v>845</v>
      </c>
      <c r="H2381" s="140" t="s">
        <v>865</v>
      </c>
    </row>
    <row r="2382" spans="1:8" ht="15.75" customHeight="1">
      <c r="A2382" s="140" t="s">
        <v>72</v>
      </c>
      <c r="B2382" s="140" t="s">
        <v>22</v>
      </c>
      <c r="C2382" s="141" t="s">
        <v>683</v>
      </c>
      <c r="D2382" s="140" t="s">
        <v>684</v>
      </c>
      <c r="E2382" s="140">
        <v>1</v>
      </c>
      <c r="F2382" s="142">
        <v>45866.541666666672</v>
      </c>
      <c r="G2382" s="140" t="s">
        <v>845</v>
      </c>
      <c r="H2382" s="140" t="s">
        <v>865</v>
      </c>
    </row>
    <row r="2383" spans="1:8" ht="15.75" customHeight="1">
      <c r="A2383" s="140" t="s">
        <v>72</v>
      </c>
      <c r="B2383" s="140" t="s">
        <v>22</v>
      </c>
      <c r="C2383" s="141" t="s">
        <v>683</v>
      </c>
      <c r="D2383" s="140" t="s">
        <v>684</v>
      </c>
      <c r="E2383" s="140">
        <v>2</v>
      </c>
      <c r="F2383" s="142">
        <v>45910.458333333328</v>
      </c>
      <c r="G2383" s="140" t="s">
        <v>843</v>
      </c>
      <c r="H2383" s="140" t="s">
        <v>865</v>
      </c>
    </row>
    <row r="2384" spans="1:8" ht="15.75" customHeight="1">
      <c r="A2384" s="140" t="s">
        <v>72</v>
      </c>
      <c r="B2384" s="140" t="s">
        <v>22</v>
      </c>
      <c r="C2384" s="141" t="s">
        <v>683</v>
      </c>
      <c r="D2384" s="140" t="s">
        <v>684</v>
      </c>
      <c r="E2384" s="140">
        <v>3</v>
      </c>
      <c r="F2384" s="142">
        <v>45915.458333333328</v>
      </c>
      <c r="G2384" s="140" t="s">
        <v>845</v>
      </c>
      <c r="H2384" s="140" t="s">
        <v>865</v>
      </c>
    </row>
    <row r="2385" spans="1:8" ht="15.75" customHeight="1">
      <c r="A2385" s="140" t="s">
        <v>72</v>
      </c>
      <c r="B2385" s="140" t="s">
        <v>22</v>
      </c>
      <c r="C2385" s="141" t="s">
        <v>683</v>
      </c>
      <c r="D2385" s="140" t="s">
        <v>684</v>
      </c>
      <c r="E2385" s="140">
        <v>4</v>
      </c>
      <c r="F2385" s="142">
        <v>45922.458333333328</v>
      </c>
      <c r="G2385" s="140" t="s">
        <v>845</v>
      </c>
      <c r="H2385" s="140" t="s">
        <v>865</v>
      </c>
    </row>
    <row r="2386" spans="1:8" ht="15.75" customHeight="1">
      <c r="A2386" s="140" t="s">
        <v>72</v>
      </c>
      <c r="B2386" s="140" t="s">
        <v>22</v>
      </c>
      <c r="C2386" s="141" t="s">
        <v>683</v>
      </c>
      <c r="D2386" s="140" t="s">
        <v>684</v>
      </c>
      <c r="E2386" s="140">
        <v>5</v>
      </c>
      <c r="F2386" s="142">
        <v>45929.458333333328</v>
      </c>
      <c r="G2386" s="140" t="s">
        <v>845</v>
      </c>
      <c r="H2386" s="140" t="s">
        <v>865</v>
      </c>
    </row>
    <row r="2387" spans="1:8" ht="15.75" customHeight="1">
      <c r="A2387" s="140" t="s">
        <v>72</v>
      </c>
      <c r="B2387" s="140" t="s">
        <v>22</v>
      </c>
      <c r="C2387" s="141" t="s">
        <v>683</v>
      </c>
      <c r="D2387" s="140" t="s">
        <v>684</v>
      </c>
      <c r="E2387" s="140">
        <v>6</v>
      </c>
      <c r="F2387" s="142">
        <v>45943.416666666672</v>
      </c>
      <c r="G2387" s="140" t="s">
        <v>845</v>
      </c>
      <c r="H2387" s="140" t="s">
        <v>865</v>
      </c>
    </row>
    <row r="2388" spans="1:8" ht="15.75" customHeight="1">
      <c r="A2388" s="140" t="s">
        <v>72</v>
      </c>
      <c r="B2388" s="140" t="s">
        <v>22</v>
      </c>
      <c r="C2388" s="141" t="s">
        <v>683</v>
      </c>
      <c r="D2388" s="140" t="s">
        <v>684</v>
      </c>
      <c r="E2388" s="140">
        <v>7</v>
      </c>
      <c r="F2388" s="142">
        <v>45944.583333333328</v>
      </c>
      <c r="G2388" s="140" t="s">
        <v>845</v>
      </c>
      <c r="H2388" s="140" t="s">
        <v>865</v>
      </c>
    </row>
    <row r="2389" spans="1:8" ht="15.75" customHeight="1">
      <c r="A2389" s="140" t="s">
        <v>72</v>
      </c>
      <c r="B2389" s="140" t="s">
        <v>22</v>
      </c>
      <c r="C2389" s="141" t="s">
        <v>683</v>
      </c>
      <c r="D2389" s="140" t="s">
        <v>684</v>
      </c>
      <c r="E2389" s="140">
        <v>9</v>
      </c>
      <c r="F2389" s="142">
        <v>45957.416666666672</v>
      </c>
      <c r="G2389" s="140" t="s">
        <v>845</v>
      </c>
      <c r="H2389" s="140" t="s">
        <v>865</v>
      </c>
    </row>
    <row r="2390" spans="1:8" ht="15.75" customHeight="1">
      <c r="A2390" s="140" t="s">
        <v>72</v>
      </c>
      <c r="B2390" s="140" t="s">
        <v>22</v>
      </c>
      <c r="C2390" s="141" t="s">
        <v>683</v>
      </c>
      <c r="D2390" s="140" t="s">
        <v>684</v>
      </c>
      <c r="E2390" s="140">
        <v>10</v>
      </c>
      <c r="F2390" s="142">
        <v>45964.583333333328</v>
      </c>
      <c r="G2390" s="140" t="s">
        <v>845</v>
      </c>
      <c r="H2390" s="140" t="s">
        <v>865</v>
      </c>
    </row>
    <row r="2391" spans="1:8" ht="15.75" customHeight="1">
      <c r="A2391" s="140" t="s">
        <v>72</v>
      </c>
      <c r="B2391" s="140" t="s">
        <v>22</v>
      </c>
      <c r="C2391" s="141" t="s">
        <v>683</v>
      </c>
      <c r="D2391" s="140" t="s">
        <v>684</v>
      </c>
      <c r="E2391" s="140">
        <v>11</v>
      </c>
      <c r="F2391" s="142">
        <v>45971.541666666672</v>
      </c>
      <c r="G2391" s="140" t="s">
        <v>843</v>
      </c>
      <c r="H2391" s="140" t="s">
        <v>865</v>
      </c>
    </row>
    <row r="2392" spans="1:8" ht="15.75" customHeight="1">
      <c r="A2392" s="140" t="s">
        <v>72</v>
      </c>
      <c r="B2392" s="140" t="s">
        <v>22</v>
      </c>
      <c r="C2392" s="141" t="s">
        <v>683</v>
      </c>
      <c r="D2392" s="140" t="s">
        <v>684</v>
      </c>
      <c r="E2392" s="140">
        <v>12</v>
      </c>
      <c r="F2392" s="142">
        <v>45985.583333333328</v>
      </c>
      <c r="G2392" s="140" t="s">
        <v>845</v>
      </c>
      <c r="H2392" s="140" t="s">
        <v>865</v>
      </c>
    </row>
    <row r="2393" spans="1:8" ht="15.75" customHeight="1">
      <c r="A2393" s="140" t="s">
        <v>72</v>
      </c>
      <c r="B2393" s="140" t="s">
        <v>22</v>
      </c>
      <c r="C2393" s="141" t="s">
        <v>683</v>
      </c>
      <c r="D2393" s="140" t="s">
        <v>684</v>
      </c>
      <c r="E2393" s="140">
        <v>13</v>
      </c>
      <c r="F2393" s="142">
        <v>45992.541666666672</v>
      </c>
      <c r="G2393" s="140" t="s">
        <v>845</v>
      </c>
      <c r="H2393" s="140" t="s">
        <v>865</v>
      </c>
    </row>
    <row r="2394" spans="1:8" ht="15.75" customHeight="1">
      <c r="A2394" s="140" t="s">
        <v>72</v>
      </c>
      <c r="B2394" s="140" t="s">
        <v>22</v>
      </c>
      <c r="C2394" s="141" t="s">
        <v>683</v>
      </c>
      <c r="D2394" s="140" t="s">
        <v>684</v>
      </c>
      <c r="E2394" s="140">
        <v>14</v>
      </c>
      <c r="F2394" s="142">
        <v>45999.416666666672</v>
      </c>
      <c r="G2394" s="140" t="s">
        <v>845</v>
      </c>
      <c r="H2394" s="140" t="s">
        <v>865</v>
      </c>
    </row>
    <row r="2395" spans="1:8" ht="15.75" customHeight="1">
      <c r="A2395" s="140" t="s">
        <v>72</v>
      </c>
      <c r="B2395" s="140" t="s">
        <v>22</v>
      </c>
      <c r="C2395" s="141" t="s">
        <v>683</v>
      </c>
      <c r="D2395" s="140" t="s">
        <v>684</v>
      </c>
      <c r="E2395" s="140">
        <v>15</v>
      </c>
      <c r="F2395" s="142">
        <v>46006.458333333328</v>
      </c>
      <c r="G2395" s="140" t="s">
        <v>845</v>
      </c>
      <c r="H2395" s="140" t="s">
        <v>865</v>
      </c>
    </row>
    <row r="2396" spans="1:8" ht="15.75" customHeight="1">
      <c r="A2396" s="140" t="s">
        <v>72</v>
      </c>
      <c r="B2396" s="140" t="s">
        <v>22</v>
      </c>
      <c r="C2396" s="141" t="s">
        <v>683</v>
      </c>
      <c r="D2396" s="140" t="s">
        <v>684</v>
      </c>
      <c r="E2396" s="140">
        <v>16</v>
      </c>
      <c r="F2396" s="142">
        <v>46048.416666666672</v>
      </c>
      <c r="G2396" s="140" t="s">
        <v>845</v>
      </c>
      <c r="H2396" s="140" t="s">
        <v>865</v>
      </c>
    </row>
    <row r="2397" spans="1:8" ht="15.75" customHeight="1">
      <c r="A2397" s="140" t="s">
        <v>72</v>
      </c>
      <c r="B2397" s="140" t="s">
        <v>23</v>
      </c>
      <c r="C2397" s="141" t="s">
        <v>683</v>
      </c>
      <c r="D2397" s="140" t="s">
        <v>684</v>
      </c>
      <c r="E2397" s="140">
        <v>1</v>
      </c>
      <c r="F2397" s="142">
        <v>46084.583333333328</v>
      </c>
      <c r="G2397" s="140" t="s">
        <v>845</v>
      </c>
      <c r="H2397" s="140" t="s">
        <v>865</v>
      </c>
    </row>
    <row r="2398" spans="1:8" ht="15.75" customHeight="1">
      <c r="A2398" s="140" t="s">
        <v>72</v>
      </c>
      <c r="B2398" s="140" t="s">
        <v>23</v>
      </c>
      <c r="C2398" s="141" t="s">
        <v>683</v>
      </c>
      <c r="D2398" s="140" t="s">
        <v>684</v>
      </c>
      <c r="E2398" s="140">
        <v>2</v>
      </c>
      <c r="F2398" s="142">
        <v>46099.458333333328</v>
      </c>
      <c r="G2398" s="140" t="s">
        <v>845</v>
      </c>
      <c r="H2398" s="140" t="s">
        <v>865</v>
      </c>
    </row>
    <row r="2399" spans="1:8" ht="15.75" customHeight="1">
      <c r="A2399" s="140" t="s">
        <v>72</v>
      </c>
      <c r="B2399" s="140" t="s">
        <v>23</v>
      </c>
      <c r="C2399" s="141" t="s">
        <v>683</v>
      </c>
      <c r="D2399" s="140" t="s">
        <v>684</v>
      </c>
      <c r="E2399" s="140">
        <v>3</v>
      </c>
      <c r="F2399" s="142">
        <v>46106.458333333328</v>
      </c>
      <c r="G2399" s="140" t="s">
        <v>843</v>
      </c>
      <c r="H2399" s="140" t="s">
        <v>865</v>
      </c>
    </row>
    <row r="2400" spans="1:8" ht="15.75" customHeight="1">
      <c r="A2400" s="140" t="s">
        <v>72</v>
      </c>
      <c r="B2400" s="140" t="s">
        <v>23</v>
      </c>
      <c r="C2400" s="141" t="s">
        <v>683</v>
      </c>
      <c r="D2400" s="140" t="s">
        <v>684</v>
      </c>
      <c r="E2400" s="140">
        <v>4</v>
      </c>
      <c r="F2400" s="142">
        <v>46119.458333333328</v>
      </c>
      <c r="G2400" s="140" t="s">
        <v>845</v>
      </c>
      <c r="H2400" s="140" t="s">
        <v>865</v>
      </c>
    </row>
    <row r="2401" spans="1:8" ht="15.75" customHeight="1">
      <c r="A2401" s="140" t="s">
        <v>72</v>
      </c>
      <c r="B2401" s="140" t="s">
        <v>23</v>
      </c>
      <c r="C2401" s="141" t="s">
        <v>683</v>
      </c>
      <c r="D2401" s="140" t="s">
        <v>684</v>
      </c>
      <c r="E2401" s="140">
        <v>5</v>
      </c>
      <c r="F2401" s="142">
        <v>46127.541666666672</v>
      </c>
      <c r="G2401" s="140" t="s">
        <v>845</v>
      </c>
      <c r="H2401" s="140" t="s">
        <v>865</v>
      </c>
    </row>
    <row r="2402" spans="1:8" ht="15.75" customHeight="1">
      <c r="A2402" s="140" t="s">
        <v>72</v>
      </c>
      <c r="B2402" s="140" t="s">
        <v>23</v>
      </c>
      <c r="C2402" s="141" t="s">
        <v>683</v>
      </c>
      <c r="D2402" s="140" t="s">
        <v>684</v>
      </c>
      <c r="E2402" s="140">
        <v>6</v>
      </c>
      <c r="F2402" s="142">
        <v>46134.583333333328</v>
      </c>
      <c r="G2402" s="140" t="s">
        <v>845</v>
      </c>
      <c r="H2402" s="140" t="s">
        <v>865</v>
      </c>
    </row>
    <row r="2403" spans="1:8" ht="15.75" customHeight="1">
      <c r="A2403" s="140" t="s">
        <v>73</v>
      </c>
      <c r="B2403" s="140" t="s">
        <v>21</v>
      </c>
      <c r="C2403" s="141" t="s">
        <v>309</v>
      </c>
      <c r="D2403" s="140" t="s">
        <v>310</v>
      </c>
      <c r="E2403" s="140">
        <v>1</v>
      </c>
      <c r="F2403" s="142">
        <v>45765.375</v>
      </c>
      <c r="G2403" s="140" t="s">
        <v>845</v>
      </c>
      <c r="H2403" s="140" t="s">
        <v>866</v>
      </c>
    </row>
    <row r="2404" spans="1:8" ht="15.75" customHeight="1">
      <c r="A2404" s="140" t="s">
        <v>73</v>
      </c>
      <c r="B2404" s="140" t="s">
        <v>21</v>
      </c>
      <c r="C2404" s="141" t="s">
        <v>309</v>
      </c>
      <c r="D2404" s="140" t="s">
        <v>310</v>
      </c>
      <c r="E2404" s="140">
        <v>2</v>
      </c>
      <c r="F2404" s="142">
        <v>45783.416666666672</v>
      </c>
      <c r="G2404" s="140" t="s">
        <v>845</v>
      </c>
      <c r="H2404" s="140" t="s">
        <v>866</v>
      </c>
    </row>
    <row r="2405" spans="1:8" ht="15.75" customHeight="1">
      <c r="A2405" s="140" t="s">
        <v>73</v>
      </c>
      <c r="B2405" s="140" t="s">
        <v>21</v>
      </c>
      <c r="C2405" s="141" t="s">
        <v>309</v>
      </c>
      <c r="D2405" s="140" t="s">
        <v>310</v>
      </c>
      <c r="E2405" s="140">
        <v>3</v>
      </c>
      <c r="F2405" s="142">
        <v>45790.416666666672</v>
      </c>
      <c r="G2405" s="140" t="s">
        <v>845</v>
      </c>
      <c r="H2405" s="140" t="s">
        <v>866</v>
      </c>
    </row>
    <row r="2406" spans="1:8" ht="15.75" customHeight="1">
      <c r="A2406" s="140" t="s">
        <v>73</v>
      </c>
      <c r="B2406" s="140" t="s">
        <v>21</v>
      </c>
      <c r="C2406" s="141" t="s">
        <v>309</v>
      </c>
      <c r="D2406" s="140" t="s">
        <v>310</v>
      </c>
      <c r="E2406" s="140">
        <v>4</v>
      </c>
      <c r="F2406" s="142">
        <v>45804.416666666672</v>
      </c>
      <c r="G2406" s="140" t="s">
        <v>845</v>
      </c>
      <c r="H2406" s="140" t="s">
        <v>866</v>
      </c>
    </row>
    <row r="2407" spans="1:8" ht="15.75" customHeight="1">
      <c r="A2407" s="140" t="s">
        <v>73</v>
      </c>
      <c r="B2407" s="140" t="s">
        <v>21</v>
      </c>
      <c r="C2407" s="141" t="s">
        <v>309</v>
      </c>
      <c r="D2407" s="140" t="s">
        <v>310</v>
      </c>
      <c r="E2407" s="140">
        <v>5</v>
      </c>
      <c r="F2407" s="142">
        <v>45811.625</v>
      </c>
      <c r="G2407" s="140" t="s">
        <v>845</v>
      </c>
      <c r="H2407" s="140" t="s">
        <v>866</v>
      </c>
    </row>
    <row r="2408" spans="1:8" ht="15.75" customHeight="1">
      <c r="A2408" s="140" t="s">
        <v>73</v>
      </c>
      <c r="B2408" s="140" t="s">
        <v>21</v>
      </c>
      <c r="C2408" s="141" t="s">
        <v>309</v>
      </c>
      <c r="D2408" s="140" t="s">
        <v>310</v>
      </c>
      <c r="E2408" s="140">
        <v>6</v>
      </c>
      <c r="F2408" s="142">
        <v>45818.625</v>
      </c>
      <c r="G2408" s="140" t="s">
        <v>845</v>
      </c>
      <c r="H2408" s="140" t="s">
        <v>866</v>
      </c>
    </row>
    <row r="2409" spans="1:8" ht="15.75" customHeight="1">
      <c r="A2409" s="140" t="s">
        <v>73</v>
      </c>
      <c r="B2409" s="140" t="s">
        <v>21</v>
      </c>
      <c r="C2409" s="141" t="s">
        <v>309</v>
      </c>
      <c r="D2409" s="140" t="s">
        <v>310</v>
      </c>
      <c r="E2409" s="140">
        <v>7</v>
      </c>
      <c r="F2409" s="142">
        <v>45825.625</v>
      </c>
      <c r="G2409" s="140" t="s">
        <v>845</v>
      </c>
      <c r="H2409" s="140" t="s">
        <v>866</v>
      </c>
    </row>
    <row r="2410" spans="1:8" ht="15.75" customHeight="1">
      <c r="A2410" s="140" t="s">
        <v>73</v>
      </c>
      <c r="B2410" s="140" t="s">
        <v>21</v>
      </c>
      <c r="C2410" s="141" t="s">
        <v>309</v>
      </c>
      <c r="D2410" s="140" t="s">
        <v>310</v>
      </c>
      <c r="E2410" s="140">
        <v>8</v>
      </c>
      <c r="F2410" s="142">
        <v>45832.625</v>
      </c>
      <c r="G2410" s="140" t="s">
        <v>845</v>
      </c>
      <c r="H2410" s="140" t="s">
        <v>866</v>
      </c>
    </row>
    <row r="2411" spans="1:8" ht="15.75" customHeight="1">
      <c r="A2411" s="140" t="s">
        <v>73</v>
      </c>
      <c r="B2411" s="140" t="s">
        <v>21</v>
      </c>
      <c r="C2411" s="141" t="s">
        <v>309</v>
      </c>
      <c r="D2411" s="140" t="s">
        <v>310</v>
      </c>
      <c r="E2411" s="140">
        <v>9</v>
      </c>
      <c r="F2411" s="142">
        <v>45846.625</v>
      </c>
      <c r="G2411" s="140" t="s">
        <v>845</v>
      </c>
      <c r="H2411" s="140" t="s">
        <v>866</v>
      </c>
    </row>
    <row r="2412" spans="1:8" ht="15.75" customHeight="1">
      <c r="A2412" s="140" t="s">
        <v>73</v>
      </c>
      <c r="B2412" s="140" t="s">
        <v>21</v>
      </c>
      <c r="C2412" s="141" t="s">
        <v>309</v>
      </c>
      <c r="D2412" s="140" t="s">
        <v>310</v>
      </c>
      <c r="E2412" s="140">
        <v>10</v>
      </c>
      <c r="F2412" s="142">
        <v>45867.583333333328</v>
      </c>
      <c r="G2412" s="140" t="s">
        <v>845</v>
      </c>
      <c r="H2412" s="140" t="s">
        <v>866</v>
      </c>
    </row>
    <row r="2413" spans="1:8" ht="15.75" customHeight="1">
      <c r="A2413" s="140" t="s">
        <v>73</v>
      </c>
      <c r="B2413" s="140" t="s">
        <v>21</v>
      </c>
      <c r="C2413" s="141" t="s">
        <v>332</v>
      </c>
      <c r="D2413" s="140" t="s">
        <v>333</v>
      </c>
      <c r="E2413" s="140">
        <v>1</v>
      </c>
      <c r="F2413" s="142">
        <v>45765.375</v>
      </c>
      <c r="G2413" s="140" t="s">
        <v>845</v>
      </c>
      <c r="H2413" s="140" t="s">
        <v>866</v>
      </c>
    </row>
    <row r="2414" spans="1:8" ht="15.75" customHeight="1">
      <c r="A2414" s="140" t="s">
        <v>73</v>
      </c>
      <c r="B2414" s="140" t="s">
        <v>21</v>
      </c>
      <c r="C2414" s="141" t="s">
        <v>332</v>
      </c>
      <c r="D2414" s="140" t="s">
        <v>333</v>
      </c>
      <c r="E2414" s="140">
        <v>2</v>
      </c>
      <c r="F2414" s="142">
        <v>45783.416666666672</v>
      </c>
      <c r="G2414" s="140" t="s">
        <v>845</v>
      </c>
      <c r="H2414" s="140" t="s">
        <v>866</v>
      </c>
    </row>
    <row r="2415" spans="1:8" ht="15.75" customHeight="1">
      <c r="A2415" s="140" t="s">
        <v>73</v>
      </c>
      <c r="B2415" s="140" t="s">
        <v>21</v>
      </c>
      <c r="C2415" s="141" t="s">
        <v>332</v>
      </c>
      <c r="D2415" s="140" t="s">
        <v>333</v>
      </c>
      <c r="E2415" s="140">
        <v>3</v>
      </c>
      <c r="F2415" s="142">
        <v>45790.416666666672</v>
      </c>
      <c r="G2415" s="140" t="s">
        <v>845</v>
      </c>
      <c r="H2415" s="140" t="s">
        <v>866</v>
      </c>
    </row>
    <row r="2416" spans="1:8" ht="15.75" customHeight="1">
      <c r="A2416" s="140" t="s">
        <v>73</v>
      </c>
      <c r="B2416" s="140" t="s">
        <v>21</v>
      </c>
      <c r="C2416" s="141" t="s">
        <v>332</v>
      </c>
      <c r="D2416" s="140" t="s">
        <v>333</v>
      </c>
      <c r="E2416" s="140">
        <v>4</v>
      </c>
      <c r="F2416" s="142">
        <v>45804.416666666672</v>
      </c>
      <c r="G2416" s="140" t="s">
        <v>845</v>
      </c>
      <c r="H2416" s="140" t="s">
        <v>866</v>
      </c>
    </row>
    <row r="2417" spans="1:8" ht="15.75" customHeight="1">
      <c r="A2417" s="140" t="s">
        <v>73</v>
      </c>
      <c r="B2417" s="140" t="s">
        <v>21</v>
      </c>
      <c r="C2417" s="141" t="s">
        <v>332</v>
      </c>
      <c r="D2417" s="140" t="s">
        <v>333</v>
      </c>
      <c r="E2417" s="140">
        <v>5</v>
      </c>
      <c r="F2417" s="142">
        <v>45811.625</v>
      </c>
      <c r="G2417" s="140" t="s">
        <v>845</v>
      </c>
      <c r="H2417" s="140" t="s">
        <v>866</v>
      </c>
    </row>
    <row r="2418" spans="1:8" ht="15.75" customHeight="1">
      <c r="A2418" s="140" t="s">
        <v>73</v>
      </c>
      <c r="B2418" s="140" t="s">
        <v>21</v>
      </c>
      <c r="C2418" s="141" t="s">
        <v>332</v>
      </c>
      <c r="D2418" s="140" t="s">
        <v>333</v>
      </c>
      <c r="E2418" s="140">
        <v>6</v>
      </c>
      <c r="F2418" s="142">
        <v>45818.625</v>
      </c>
      <c r="G2418" s="140" t="s">
        <v>845</v>
      </c>
      <c r="H2418" s="140" t="s">
        <v>866</v>
      </c>
    </row>
    <row r="2419" spans="1:8" ht="15.75" customHeight="1">
      <c r="A2419" s="140" t="s">
        <v>73</v>
      </c>
      <c r="B2419" s="140" t="s">
        <v>21</v>
      </c>
      <c r="C2419" s="141" t="s">
        <v>332</v>
      </c>
      <c r="D2419" s="140" t="s">
        <v>333</v>
      </c>
      <c r="E2419" s="140">
        <v>7</v>
      </c>
      <c r="F2419" s="142">
        <v>45825.625</v>
      </c>
      <c r="G2419" s="140" t="s">
        <v>845</v>
      </c>
      <c r="H2419" s="140" t="s">
        <v>866</v>
      </c>
    </row>
    <row r="2420" spans="1:8" ht="15.75" customHeight="1">
      <c r="A2420" s="140" t="s">
        <v>73</v>
      </c>
      <c r="B2420" s="140" t="s">
        <v>21</v>
      </c>
      <c r="C2420" s="141" t="s">
        <v>332</v>
      </c>
      <c r="D2420" s="140" t="s">
        <v>333</v>
      </c>
      <c r="E2420" s="140">
        <v>8</v>
      </c>
      <c r="F2420" s="142">
        <v>45832.625</v>
      </c>
      <c r="G2420" s="140" t="s">
        <v>845</v>
      </c>
      <c r="H2420" s="140" t="s">
        <v>866</v>
      </c>
    </row>
    <row r="2421" spans="1:8" ht="15.75" customHeight="1">
      <c r="A2421" s="140" t="s">
        <v>73</v>
      </c>
      <c r="B2421" s="140" t="s">
        <v>21</v>
      </c>
      <c r="C2421" s="141" t="s">
        <v>332</v>
      </c>
      <c r="D2421" s="140" t="s">
        <v>333</v>
      </c>
      <c r="E2421" s="140">
        <v>9</v>
      </c>
      <c r="F2421" s="142">
        <v>45846.625</v>
      </c>
      <c r="G2421" s="140" t="s">
        <v>845</v>
      </c>
      <c r="H2421" s="140" t="s">
        <v>866</v>
      </c>
    </row>
    <row r="2422" spans="1:8" ht="15.75" customHeight="1">
      <c r="A2422" s="140" t="s">
        <v>73</v>
      </c>
      <c r="B2422" s="140" t="s">
        <v>21</v>
      </c>
      <c r="C2422" s="141" t="s">
        <v>332</v>
      </c>
      <c r="D2422" s="140" t="s">
        <v>333</v>
      </c>
      <c r="E2422" s="140">
        <v>10</v>
      </c>
      <c r="F2422" s="142">
        <v>45867.583333333328</v>
      </c>
      <c r="G2422" s="140" t="s">
        <v>845</v>
      </c>
      <c r="H2422" s="140" t="s">
        <v>866</v>
      </c>
    </row>
    <row r="2423" spans="1:8" ht="15.75" customHeight="1">
      <c r="A2423" s="140" t="s">
        <v>73</v>
      </c>
      <c r="B2423" s="140" t="s">
        <v>21</v>
      </c>
      <c r="C2423" s="141" t="s">
        <v>419</v>
      </c>
      <c r="D2423" s="140" t="s">
        <v>420</v>
      </c>
      <c r="E2423" s="140">
        <v>1</v>
      </c>
      <c r="F2423" s="142">
        <v>45765.375</v>
      </c>
      <c r="G2423" s="140" t="s">
        <v>845</v>
      </c>
      <c r="H2423" s="140" t="s">
        <v>866</v>
      </c>
    </row>
    <row r="2424" spans="1:8" ht="15.75" customHeight="1">
      <c r="A2424" s="140" t="s">
        <v>73</v>
      </c>
      <c r="B2424" s="140" t="s">
        <v>21</v>
      </c>
      <c r="C2424" s="141" t="s">
        <v>419</v>
      </c>
      <c r="D2424" s="140" t="s">
        <v>420</v>
      </c>
      <c r="E2424" s="140">
        <v>2</v>
      </c>
      <c r="F2424" s="142">
        <v>45783.416666666672</v>
      </c>
      <c r="G2424" s="140" t="s">
        <v>845</v>
      </c>
      <c r="H2424" s="140" t="s">
        <v>866</v>
      </c>
    </row>
    <row r="2425" spans="1:8" ht="15.75" customHeight="1">
      <c r="A2425" s="140" t="s">
        <v>73</v>
      </c>
      <c r="B2425" s="140" t="s">
        <v>21</v>
      </c>
      <c r="C2425" s="141" t="s">
        <v>419</v>
      </c>
      <c r="D2425" s="140" t="s">
        <v>420</v>
      </c>
      <c r="E2425" s="140">
        <v>3</v>
      </c>
      <c r="F2425" s="142">
        <v>45790.416666666672</v>
      </c>
      <c r="G2425" s="140" t="s">
        <v>845</v>
      </c>
      <c r="H2425" s="140" t="s">
        <v>866</v>
      </c>
    </row>
    <row r="2426" spans="1:8" ht="15.75" customHeight="1">
      <c r="A2426" s="140" t="s">
        <v>73</v>
      </c>
      <c r="B2426" s="140" t="s">
        <v>21</v>
      </c>
      <c r="C2426" s="141" t="s">
        <v>419</v>
      </c>
      <c r="D2426" s="140" t="s">
        <v>420</v>
      </c>
      <c r="E2426" s="140">
        <v>4</v>
      </c>
      <c r="F2426" s="142">
        <v>45804.416666666672</v>
      </c>
      <c r="G2426" s="140" t="s">
        <v>845</v>
      </c>
      <c r="H2426" s="140" t="s">
        <v>866</v>
      </c>
    </row>
    <row r="2427" spans="1:8" ht="15.75" customHeight="1">
      <c r="A2427" s="140" t="s">
        <v>73</v>
      </c>
      <c r="B2427" s="140" t="s">
        <v>21</v>
      </c>
      <c r="C2427" s="141" t="s">
        <v>419</v>
      </c>
      <c r="D2427" s="140" t="s">
        <v>420</v>
      </c>
      <c r="E2427" s="140">
        <v>5</v>
      </c>
      <c r="F2427" s="142">
        <v>45811.625</v>
      </c>
      <c r="G2427" s="140" t="s">
        <v>845</v>
      </c>
      <c r="H2427" s="140" t="s">
        <v>866</v>
      </c>
    </row>
    <row r="2428" spans="1:8" ht="15.75" customHeight="1">
      <c r="A2428" s="140" t="s">
        <v>73</v>
      </c>
      <c r="B2428" s="140" t="s">
        <v>21</v>
      </c>
      <c r="C2428" s="141" t="s">
        <v>419</v>
      </c>
      <c r="D2428" s="140" t="s">
        <v>420</v>
      </c>
      <c r="E2428" s="140">
        <v>6</v>
      </c>
      <c r="F2428" s="142">
        <v>45818.625</v>
      </c>
      <c r="G2428" s="140" t="s">
        <v>845</v>
      </c>
      <c r="H2428" s="140" t="s">
        <v>866</v>
      </c>
    </row>
    <row r="2429" spans="1:8" ht="15.75" customHeight="1">
      <c r="A2429" s="140" t="s">
        <v>73</v>
      </c>
      <c r="B2429" s="140" t="s">
        <v>21</v>
      </c>
      <c r="C2429" s="141" t="s">
        <v>419</v>
      </c>
      <c r="D2429" s="140" t="s">
        <v>420</v>
      </c>
      <c r="E2429" s="140">
        <v>7</v>
      </c>
      <c r="F2429" s="142">
        <v>45825.625</v>
      </c>
      <c r="G2429" s="140" t="s">
        <v>845</v>
      </c>
      <c r="H2429" s="140" t="s">
        <v>866</v>
      </c>
    </row>
    <row r="2430" spans="1:8" ht="15.75" customHeight="1">
      <c r="A2430" s="140" t="s">
        <v>73</v>
      </c>
      <c r="B2430" s="140" t="s">
        <v>21</v>
      </c>
      <c r="C2430" s="141" t="s">
        <v>419</v>
      </c>
      <c r="D2430" s="140" t="s">
        <v>420</v>
      </c>
      <c r="E2430" s="140">
        <v>8</v>
      </c>
      <c r="F2430" s="142">
        <v>45832.625</v>
      </c>
      <c r="G2430" s="140" t="s">
        <v>845</v>
      </c>
      <c r="H2430" s="140" t="s">
        <v>866</v>
      </c>
    </row>
    <row r="2431" spans="1:8" ht="15.75" customHeight="1">
      <c r="A2431" s="140" t="s">
        <v>73</v>
      </c>
      <c r="B2431" s="140" t="s">
        <v>21</v>
      </c>
      <c r="C2431" s="141" t="s">
        <v>419</v>
      </c>
      <c r="D2431" s="140" t="s">
        <v>420</v>
      </c>
      <c r="E2431" s="140">
        <v>9</v>
      </c>
      <c r="F2431" s="142">
        <v>45846.625</v>
      </c>
      <c r="G2431" s="140" t="s">
        <v>845</v>
      </c>
      <c r="H2431" s="140" t="s">
        <v>866</v>
      </c>
    </row>
    <row r="2432" spans="1:8" ht="15.75" customHeight="1">
      <c r="A2432" s="140" t="s">
        <v>73</v>
      </c>
      <c r="B2432" s="140" t="s">
        <v>21</v>
      </c>
      <c r="C2432" s="141" t="s">
        <v>419</v>
      </c>
      <c r="D2432" s="140" t="s">
        <v>420</v>
      </c>
      <c r="E2432" s="140">
        <v>10</v>
      </c>
      <c r="F2432" s="142">
        <v>45867.583333333328</v>
      </c>
      <c r="G2432" s="140" t="s">
        <v>845</v>
      </c>
      <c r="H2432" s="140" t="s">
        <v>866</v>
      </c>
    </row>
    <row r="2433" spans="1:8" ht="15.75" customHeight="1">
      <c r="A2433" s="140" t="s">
        <v>73</v>
      </c>
      <c r="B2433" s="140" t="s">
        <v>21</v>
      </c>
      <c r="C2433" s="141" t="s">
        <v>562</v>
      </c>
      <c r="D2433" s="140" t="s">
        <v>563</v>
      </c>
      <c r="E2433" s="140">
        <v>1</v>
      </c>
      <c r="F2433" s="142">
        <v>45765.375</v>
      </c>
      <c r="G2433" s="140" t="s">
        <v>845</v>
      </c>
      <c r="H2433" s="140" t="s">
        <v>866</v>
      </c>
    </row>
    <row r="2434" spans="1:8" ht="15.75" customHeight="1">
      <c r="A2434" s="140" t="s">
        <v>73</v>
      </c>
      <c r="B2434" s="140" t="s">
        <v>21</v>
      </c>
      <c r="C2434" s="141" t="s">
        <v>562</v>
      </c>
      <c r="D2434" s="140" t="s">
        <v>563</v>
      </c>
      <c r="E2434" s="140">
        <v>2</v>
      </c>
      <c r="F2434" s="142">
        <v>45783.416666666672</v>
      </c>
      <c r="G2434" s="140" t="s">
        <v>845</v>
      </c>
      <c r="H2434" s="140" t="s">
        <v>866</v>
      </c>
    </row>
    <row r="2435" spans="1:8" ht="15.75" customHeight="1">
      <c r="A2435" s="140" t="s">
        <v>73</v>
      </c>
      <c r="B2435" s="140" t="s">
        <v>21</v>
      </c>
      <c r="C2435" s="141" t="s">
        <v>562</v>
      </c>
      <c r="D2435" s="140" t="s">
        <v>563</v>
      </c>
      <c r="E2435" s="140">
        <v>3</v>
      </c>
      <c r="F2435" s="142">
        <v>45790.416666666672</v>
      </c>
      <c r="G2435" s="140" t="s">
        <v>845</v>
      </c>
      <c r="H2435" s="140" t="s">
        <v>866</v>
      </c>
    </row>
    <row r="2436" spans="1:8" ht="15.75" customHeight="1">
      <c r="A2436" s="140" t="s">
        <v>73</v>
      </c>
      <c r="B2436" s="140" t="s">
        <v>21</v>
      </c>
      <c r="C2436" s="141" t="s">
        <v>562</v>
      </c>
      <c r="D2436" s="140" t="s">
        <v>563</v>
      </c>
      <c r="E2436" s="140">
        <v>4</v>
      </c>
      <c r="F2436" s="142">
        <v>45804.416666666672</v>
      </c>
      <c r="G2436" s="140" t="s">
        <v>845</v>
      </c>
      <c r="H2436" s="140" t="s">
        <v>866</v>
      </c>
    </row>
    <row r="2437" spans="1:8" ht="15.75" customHeight="1">
      <c r="A2437" s="140" t="s">
        <v>73</v>
      </c>
      <c r="B2437" s="140" t="s">
        <v>21</v>
      </c>
      <c r="C2437" s="141" t="s">
        <v>562</v>
      </c>
      <c r="D2437" s="140" t="s">
        <v>563</v>
      </c>
      <c r="E2437" s="140">
        <v>5</v>
      </c>
      <c r="F2437" s="142">
        <v>45811.625</v>
      </c>
      <c r="G2437" s="140" t="s">
        <v>845</v>
      </c>
      <c r="H2437" s="140" t="s">
        <v>866</v>
      </c>
    </row>
    <row r="2438" spans="1:8" ht="15.75" customHeight="1">
      <c r="A2438" s="140" t="s">
        <v>73</v>
      </c>
      <c r="B2438" s="140" t="s">
        <v>21</v>
      </c>
      <c r="C2438" s="141" t="s">
        <v>562</v>
      </c>
      <c r="D2438" s="140" t="s">
        <v>563</v>
      </c>
      <c r="E2438" s="140">
        <v>6</v>
      </c>
      <c r="F2438" s="142">
        <v>45818.625</v>
      </c>
      <c r="G2438" s="140" t="s">
        <v>845</v>
      </c>
      <c r="H2438" s="140" t="s">
        <v>866</v>
      </c>
    </row>
    <row r="2439" spans="1:8" ht="15.75" customHeight="1">
      <c r="A2439" s="140" t="s">
        <v>73</v>
      </c>
      <c r="B2439" s="140" t="s">
        <v>21</v>
      </c>
      <c r="C2439" s="141" t="s">
        <v>562</v>
      </c>
      <c r="D2439" s="140" t="s">
        <v>563</v>
      </c>
      <c r="E2439" s="140">
        <v>7</v>
      </c>
      <c r="F2439" s="142">
        <v>45825.625</v>
      </c>
      <c r="G2439" s="140" t="s">
        <v>845</v>
      </c>
      <c r="H2439" s="140" t="s">
        <v>866</v>
      </c>
    </row>
    <row r="2440" spans="1:8" ht="15.75" customHeight="1">
      <c r="A2440" s="140" t="s">
        <v>73</v>
      </c>
      <c r="B2440" s="140" t="s">
        <v>21</v>
      </c>
      <c r="C2440" s="141" t="s">
        <v>562</v>
      </c>
      <c r="D2440" s="140" t="s">
        <v>563</v>
      </c>
      <c r="E2440" s="140">
        <v>8</v>
      </c>
      <c r="F2440" s="142">
        <v>45832.625</v>
      </c>
      <c r="G2440" s="140" t="s">
        <v>843</v>
      </c>
      <c r="H2440" s="140" t="s">
        <v>866</v>
      </c>
    </row>
    <row r="2441" spans="1:8" ht="15.75" customHeight="1">
      <c r="A2441" s="140" t="s">
        <v>73</v>
      </c>
      <c r="B2441" s="140" t="s">
        <v>21</v>
      </c>
      <c r="C2441" s="141" t="s">
        <v>562</v>
      </c>
      <c r="D2441" s="140" t="s">
        <v>563</v>
      </c>
      <c r="E2441" s="140">
        <v>9</v>
      </c>
      <c r="F2441" s="142">
        <v>45846.625</v>
      </c>
      <c r="G2441" s="140" t="s">
        <v>845</v>
      </c>
      <c r="H2441" s="140" t="s">
        <v>866</v>
      </c>
    </row>
    <row r="2442" spans="1:8" ht="15.75" customHeight="1">
      <c r="A2442" s="140" t="s">
        <v>73</v>
      </c>
      <c r="B2442" s="140" t="s">
        <v>21</v>
      </c>
      <c r="C2442" s="141" t="s">
        <v>562</v>
      </c>
      <c r="D2442" s="140" t="s">
        <v>563</v>
      </c>
      <c r="E2442" s="140">
        <v>10</v>
      </c>
      <c r="F2442" s="142">
        <v>45867.583333333328</v>
      </c>
      <c r="G2442" s="140" t="s">
        <v>845</v>
      </c>
      <c r="H2442" s="140" t="s">
        <v>866</v>
      </c>
    </row>
    <row r="2443" spans="1:8" ht="15.75" customHeight="1">
      <c r="A2443" s="140" t="s">
        <v>73</v>
      </c>
      <c r="B2443" s="140" t="s">
        <v>21</v>
      </c>
      <c r="C2443" s="141" t="s">
        <v>693</v>
      </c>
      <c r="D2443" s="140" t="s">
        <v>694</v>
      </c>
      <c r="E2443" s="140">
        <v>1</v>
      </c>
      <c r="F2443" s="142">
        <v>45765.375</v>
      </c>
      <c r="G2443" s="140" t="s">
        <v>845</v>
      </c>
      <c r="H2443" s="140" t="s">
        <v>866</v>
      </c>
    </row>
    <row r="2444" spans="1:8" ht="15.75" customHeight="1">
      <c r="A2444" s="140" t="s">
        <v>73</v>
      </c>
      <c r="B2444" s="140" t="s">
        <v>21</v>
      </c>
      <c r="C2444" s="141" t="s">
        <v>693</v>
      </c>
      <c r="D2444" s="140" t="s">
        <v>694</v>
      </c>
      <c r="E2444" s="140">
        <v>2</v>
      </c>
      <c r="F2444" s="142">
        <v>45783.416666666672</v>
      </c>
      <c r="G2444" s="140" t="s">
        <v>845</v>
      </c>
      <c r="H2444" s="140" t="s">
        <v>866</v>
      </c>
    </row>
    <row r="2445" spans="1:8" ht="15.75" customHeight="1">
      <c r="A2445" s="140" t="s">
        <v>73</v>
      </c>
      <c r="B2445" s="140" t="s">
        <v>21</v>
      </c>
      <c r="C2445" s="141" t="s">
        <v>693</v>
      </c>
      <c r="D2445" s="140" t="s">
        <v>694</v>
      </c>
      <c r="E2445" s="140">
        <v>3</v>
      </c>
      <c r="F2445" s="142">
        <v>45790.416666666672</v>
      </c>
      <c r="G2445" s="140" t="s">
        <v>845</v>
      </c>
      <c r="H2445" s="140" t="s">
        <v>866</v>
      </c>
    </row>
    <row r="2446" spans="1:8" ht="15.75" customHeight="1">
      <c r="A2446" s="140" t="s">
        <v>73</v>
      </c>
      <c r="B2446" s="140" t="s">
        <v>21</v>
      </c>
      <c r="C2446" s="141" t="s">
        <v>693</v>
      </c>
      <c r="D2446" s="140" t="s">
        <v>694</v>
      </c>
      <c r="E2446" s="140">
        <v>4</v>
      </c>
      <c r="F2446" s="142">
        <v>45804.416666666672</v>
      </c>
      <c r="G2446" s="140" t="s">
        <v>845</v>
      </c>
      <c r="H2446" s="140" t="s">
        <v>866</v>
      </c>
    </row>
    <row r="2447" spans="1:8" ht="15.75" customHeight="1">
      <c r="A2447" s="140" t="s">
        <v>73</v>
      </c>
      <c r="B2447" s="140" t="s">
        <v>21</v>
      </c>
      <c r="C2447" s="141" t="s">
        <v>693</v>
      </c>
      <c r="D2447" s="140" t="s">
        <v>694</v>
      </c>
      <c r="E2447" s="140">
        <v>5</v>
      </c>
      <c r="F2447" s="142">
        <v>45811.625</v>
      </c>
      <c r="G2447" s="140" t="s">
        <v>845</v>
      </c>
      <c r="H2447" s="140" t="s">
        <v>866</v>
      </c>
    </row>
    <row r="2448" spans="1:8" ht="15.75" customHeight="1">
      <c r="A2448" s="140" t="s">
        <v>73</v>
      </c>
      <c r="B2448" s="140" t="s">
        <v>21</v>
      </c>
      <c r="C2448" s="141" t="s">
        <v>693</v>
      </c>
      <c r="D2448" s="140" t="s">
        <v>694</v>
      </c>
      <c r="E2448" s="140">
        <v>6</v>
      </c>
      <c r="F2448" s="142">
        <v>45818.625</v>
      </c>
      <c r="G2448" s="140" t="s">
        <v>845</v>
      </c>
      <c r="H2448" s="140" t="s">
        <v>866</v>
      </c>
    </row>
    <row r="2449" spans="1:8" ht="15.75" customHeight="1">
      <c r="A2449" s="140" t="s">
        <v>73</v>
      </c>
      <c r="B2449" s="140" t="s">
        <v>21</v>
      </c>
      <c r="C2449" s="141" t="s">
        <v>693</v>
      </c>
      <c r="D2449" s="140" t="s">
        <v>694</v>
      </c>
      <c r="E2449" s="140">
        <v>7</v>
      </c>
      <c r="F2449" s="142">
        <v>45825.625</v>
      </c>
      <c r="G2449" s="140" t="s">
        <v>845</v>
      </c>
      <c r="H2449" s="140" t="s">
        <v>866</v>
      </c>
    </row>
    <row r="2450" spans="1:8" ht="15.75" customHeight="1">
      <c r="A2450" s="140" t="s">
        <v>73</v>
      </c>
      <c r="B2450" s="140" t="s">
        <v>21</v>
      </c>
      <c r="C2450" s="141" t="s">
        <v>693</v>
      </c>
      <c r="D2450" s="140" t="s">
        <v>694</v>
      </c>
      <c r="E2450" s="140">
        <v>8</v>
      </c>
      <c r="F2450" s="142">
        <v>45832.625</v>
      </c>
      <c r="G2450" s="140" t="s">
        <v>845</v>
      </c>
      <c r="H2450" s="140" t="s">
        <v>866</v>
      </c>
    </row>
    <row r="2451" spans="1:8" ht="15.75" customHeight="1">
      <c r="A2451" s="140" t="s">
        <v>73</v>
      </c>
      <c r="B2451" s="140" t="s">
        <v>21</v>
      </c>
      <c r="C2451" s="141" t="s">
        <v>693</v>
      </c>
      <c r="D2451" s="140" t="s">
        <v>694</v>
      </c>
      <c r="E2451" s="140">
        <v>9</v>
      </c>
      <c r="F2451" s="142">
        <v>45846.625</v>
      </c>
      <c r="G2451" s="140" t="s">
        <v>845</v>
      </c>
      <c r="H2451" s="140" t="s">
        <v>866</v>
      </c>
    </row>
    <row r="2452" spans="1:8" ht="15.75" customHeight="1">
      <c r="A2452" s="140" t="s">
        <v>73</v>
      </c>
      <c r="B2452" s="140" t="s">
        <v>21</v>
      </c>
      <c r="C2452" s="141" t="s">
        <v>693</v>
      </c>
      <c r="D2452" s="140" t="s">
        <v>694</v>
      </c>
      <c r="E2452" s="140">
        <v>10</v>
      </c>
      <c r="F2452" s="142">
        <v>45867.583333333328</v>
      </c>
      <c r="G2452" s="140" t="s">
        <v>845</v>
      </c>
      <c r="H2452" s="140" t="s">
        <v>866</v>
      </c>
    </row>
    <row r="2453" spans="1:8" ht="15.75" customHeight="1">
      <c r="A2453" s="140" t="s">
        <v>74</v>
      </c>
      <c r="B2453" s="140" t="s">
        <v>21</v>
      </c>
      <c r="C2453" s="141" t="s">
        <v>186</v>
      </c>
      <c r="D2453" s="140" t="s">
        <v>187</v>
      </c>
      <c r="E2453" s="140">
        <v>1</v>
      </c>
      <c r="F2453" s="142">
        <v>45813.375</v>
      </c>
      <c r="G2453" s="140" t="s">
        <v>845</v>
      </c>
      <c r="H2453" s="140" t="s">
        <v>867</v>
      </c>
    </row>
    <row r="2454" spans="1:8" ht="15.75" customHeight="1">
      <c r="A2454" s="140" t="s">
        <v>74</v>
      </c>
      <c r="B2454" s="140" t="s">
        <v>21</v>
      </c>
      <c r="C2454" s="141" t="s">
        <v>186</v>
      </c>
      <c r="D2454" s="140" t="s">
        <v>187</v>
      </c>
      <c r="E2454" s="140">
        <v>2</v>
      </c>
      <c r="F2454" s="142">
        <v>45818.375</v>
      </c>
      <c r="G2454" s="140" t="s">
        <v>845</v>
      </c>
      <c r="H2454" s="140" t="s">
        <v>867</v>
      </c>
    </row>
    <row r="2455" spans="1:8" ht="15.75" customHeight="1">
      <c r="A2455" s="140" t="s">
        <v>74</v>
      </c>
      <c r="B2455" s="140" t="s">
        <v>21</v>
      </c>
      <c r="C2455" s="141" t="s">
        <v>186</v>
      </c>
      <c r="D2455" s="140" t="s">
        <v>187</v>
      </c>
      <c r="E2455" s="140">
        <v>3</v>
      </c>
      <c r="F2455" s="142">
        <v>45827.375</v>
      </c>
      <c r="G2455" s="140" t="s">
        <v>845</v>
      </c>
      <c r="H2455" s="140" t="s">
        <v>867</v>
      </c>
    </row>
    <row r="2456" spans="1:8" ht="15.75" customHeight="1">
      <c r="A2456" s="140" t="s">
        <v>74</v>
      </c>
      <c r="B2456" s="140" t="s">
        <v>21</v>
      </c>
      <c r="C2456" s="141" t="s">
        <v>186</v>
      </c>
      <c r="D2456" s="140" t="s">
        <v>187</v>
      </c>
      <c r="E2456" s="140">
        <v>4</v>
      </c>
      <c r="F2456" s="142">
        <v>45831.375</v>
      </c>
      <c r="G2456" s="140" t="s">
        <v>845</v>
      </c>
      <c r="H2456" s="140" t="s">
        <v>867</v>
      </c>
    </row>
    <row r="2457" spans="1:8" ht="15.75" customHeight="1">
      <c r="A2457" s="140" t="s">
        <v>74</v>
      </c>
      <c r="B2457" s="140" t="s">
        <v>21</v>
      </c>
      <c r="C2457" s="141" t="s">
        <v>186</v>
      </c>
      <c r="D2457" s="140" t="s">
        <v>187</v>
      </c>
      <c r="E2457" s="140">
        <v>5</v>
      </c>
      <c r="F2457" s="142">
        <v>45917.458333333328</v>
      </c>
      <c r="G2457" s="140" t="s">
        <v>845</v>
      </c>
      <c r="H2457" s="140" t="s">
        <v>867</v>
      </c>
    </row>
    <row r="2458" spans="1:8" ht="15.75" customHeight="1">
      <c r="A2458" s="140" t="s">
        <v>74</v>
      </c>
      <c r="B2458" s="140" t="s">
        <v>21</v>
      </c>
      <c r="C2458" s="141" t="s">
        <v>186</v>
      </c>
      <c r="D2458" s="140" t="s">
        <v>187</v>
      </c>
      <c r="E2458" s="140">
        <v>6</v>
      </c>
      <c r="F2458" s="142">
        <v>45923.458333333328</v>
      </c>
      <c r="G2458" s="140" t="s">
        <v>845</v>
      </c>
      <c r="H2458" s="140" t="s">
        <v>867</v>
      </c>
    </row>
    <row r="2459" spans="1:8" ht="15.75" customHeight="1">
      <c r="A2459" s="140" t="s">
        <v>74</v>
      </c>
      <c r="B2459" s="140" t="s">
        <v>21</v>
      </c>
      <c r="C2459" s="141" t="s">
        <v>186</v>
      </c>
      <c r="D2459" s="140" t="s">
        <v>187</v>
      </c>
      <c r="E2459" s="140">
        <v>7</v>
      </c>
      <c r="F2459" s="142">
        <v>45926.625</v>
      </c>
      <c r="G2459" s="140" t="s">
        <v>845</v>
      </c>
      <c r="H2459" s="140" t="s">
        <v>867</v>
      </c>
    </row>
    <row r="2460" spans="1:8" ht="15.75" customHeight="1">
      <c r="A2460" s="140" t="s">
        <v>74</v>
      </c>
      <c r="B2460" s="140" t="s">
        <v>21</v>
      </c>
      <c r="C2460" s="141" t="s">
        <v>186</v>
      </c>
      <c r="D2460" s="140" t="s">
        <v>187</v>
      </c>
      <c r="E2460" s="140">
        <v>8</v>
      </c>
      <c r="F2460" s="142">
        <v>45939.583333333328</v>
      </c>
      <c r="G2460" s="140" t="s">
        <v>845</v>
      </c>
      <c r="H2460" s="140" t="s">
        <v>867</v>
      </c>
    </row>
    <row r="2461" spans="1:8" ht="15.75" customHeight="1">
      <c r="A2461" s="140" t="s">
        <v>74</v>
      </c>
      <c r="B2461" s="140" t="s">
        <v>21</v>
      </c>
      <c r="C2461" s="141" t="s">
        <v>186</v>
      </c>
      <c r="D2461" s="140" t="s">
        <v>187</v>
      </c>
      <c r="E2461" s="140">
        <v>9</v>
      </c>
      <c r="F2461" s="142">
        <v>45940.541666666672</v>
      </c>
      <c r="G2461" s="140" t="s">
        <v>845</v>
      </c>
      <c r="H2461" s="140" t="s">
        <v>867</v>
      </c>
    </row>
    <row r="2462" spans="1:8" ht="15.75" customHeight="1">
      <c r="A2462" s="140" t="s">
        <v>74</v>
      </c>
      <c r="B2462" s="140" t="s">
        <v>21</v>
      </c>
      <c r="C2462" s="141" t="s">
        <v>186</v>
      </c>
      <c r="D2462" s="140" t="s">
        <v>187</v>
      </c>
      <c r="E2462" s="140">
        <v>10</v>
      </c>
      <c r="F2462" s="142">
        <v>45947.458333333328</v>
      </c>
      <c r="G2462" s="140" t="s">
        <v>845</v>
      </c>
      <c r="H2462" s="140" t="s">
        <v>867</v>
      </c>
    </row>
    <row r="2463" spans="1:8" ht="15.75" customHeight="1">
      <c r="A2463" s="140" t="s">
        <v>74</v>
      </c>
      <c r="B2463" s="140" t="s">
        <v>21</v>
      </c>
      <c r="C2463" s="141" t="s">
        <v>186</v>
      </c>
      <c r="D2463" s="140" t="s">
        <v>187</v>
      </c>
      <c r="E2463" s="140">
        <v>11</v>
      </c>
      <c r="F2463" s="142">
        <v>45957.583333333328</v>
      </c>
      <c r="G2463" s="140" t="s">
        <v>845</v>
      </c>
      <c r="H2463" s="140" t="s">
        <v>867</v>
      </c>
    </row>
    <row r="2464" spans="1:8" ht="15.75" customHeight="1">
      <c r="A2464" s="140" t="s">
        <v>74</v>
      </c>
      <c r="B2464" s="140" t="s">
        <v>21</v>
      </c>
      <c r="C2464" s="141" t="s">
        <v>186</v>
      </c>
      <c r="D2464" s="140" t="s">
        <v>187</v>
      </c>
      <c r="E2464" s="140">
        <v>12</v>
      </c>
      <c r="F2464" s="142">
        <v>45964.458333333328</v>
      </c>
      <c r="G2464" s="140" t="s">
        <v>845</v>
      </c>
      <c r="H2464" s="140" t="s">
        <v>867</v>
      </c>
    </row>
    <row r="2465" spans="1:8" ht="15.75" customHeight="1">
      <c r="A2465" s="140" t="s">
        <v>74</v>
      </c>
      <c r="B2465" s="140" t="s">
        <v>21</v>
      </c>
      <c r="C2465" s="141" t="s">
        <v>186</v>
      </c>
      <c r="D2465" s="140" t="s">
        <v>187</v>
      </c>
      <c r="E2465" s="140">
        <v>13</v>
      </c>
      <c r="F2465" s="142">
        <v>45971.583333333328</v>
      </c>
      <c r="G2465" s="140" t="s">
        <v>845</v>
      </c>
      <c r="H2465" s="140" t="s">
        <v>867</v>
      </c>
    </row>
    <row r="2466" spans="1:8" ht="15.75" customHeight="1">
      <c r="A2466" s="140" t="s">
        <v>74</v>
      </c>
      <c r="B2466" s="140" t="s">
        <v>21</v>
      </c>
      <c r="C2466" s="141" t="s">
        <v>186</v>
      </c>
      <c r="D2466" s="140" t="s">
        <v>187</v>
      </c>
      <c r="E2466" s="140">
        <v>14</v>
      </c>
      <c r="F2466" s="142">
        <v>45985.416666666672</v>
      </c>
      <c r="G2466" s="140" t="s">
        <v>845</v>
      </c>
      <c r="H2466" s="140" t="s">
        <v>867</v>
      </c>
    </row>
    <row r="2467" spans="1:8" ht="15.75" customHeight="1">
      <c r="A2467" s="140" t="s">
        <v>74</v>
      </c>
      <c r="B2467" s="140" t="s">
        <v>22</v>
      </c>
      <c r="C2467" s="141" t="s">
        <v>186</v>
      </c>
      <c r="D2467" s="140" t="s">
        <v>187</v>
      </c>
      <c r="E2467" s="140">
        <v>2</v>
      </c>
      <c r="F2467" s="142">
        <v>46106.416666666672</v>
      </c>
      <c r="G2467" s="140" t="s">
        <v>845</v>
      </c>
      <c r="H2467" s="140" t="s">
        <v>867</v>
      </c>
    </row>
    <row r="2468" spans="1:8" ht="15.75" customHeight="1">
      <c r="A2468" s="140" t="s">
        <v>74</v>
      </c>
      <c r="B2468" s="140" t="s">
        <v>22</v>
      </c>
      <c r="C2468" s="141" t="s">
        <v>186</v>
      </c>
      <c r="D2468" s="140" t="s">
        <v>187</v>
      </c>
      <c r="E2468" s="140">
        <v>3</v>
      </c>
      <c r="F2468" s="142">
        <v>46114.458333333328</v>
      </c>
      <c r="G2468" s="140" t="s">
        <v>843</v>
      </c>
      <c r="H2468" s="140" t="s">
        <v>867</v>
      </c>
    </row>
    <row r="2469" spans="1:8" ht="15.75" customHeight="1">
      <c r="A2469" s="140" t="s">
        <v>74</v>
      </c>
      <c r="B2469" s="140" t="s">
        <v>22</v>
      </c>
      <c r="C2469" s="141" t="s">
        <v>186</v>
      </c>
      <c r="D2469" s="140" t="s">
        <v>187</v>
      </c>
      <c r="E2469" s="140">
        <v>4</v>
      </c>
      <c r="F2469" s="142">
        <v>46119.583333333328</v>
      </c>
      <c r="G2469" s="140" t="s">
        <v>845</v>
      </c>
      <c r="H2469" s="140" t="s">
        <v>867</v>
      </c>
    </row>
    <row r="2470" spans="1:8" ht="15.75" customHeight="1">
      <c r="A2470" s="140" t="s">
        <v>74</v>
      </c>
      <c r="B2470" s="140" t="s">
        <v>22</v>
      </c>
      <c r="C2470" s="141" t="s">
        <v>186</v>
      </c>
      <c r="D2470" s="140" t="s">
        <v>187</v>
      </c>
      <c r="E2470" s="140">
        <v>5</v>
      </c>
      <c r="F2470" s="142">
        <v>46126.416666666672</v>
      </c>
      <c r="G2470" s="140" t="s">
        <v>845</v>
      </c>
      <c r="H2470" s="140" t="s">
        <v>867</v>
      </c>
    </row>
    <row r="2471" spans="1:8" ht="15.75" customHeight="1">
      <c r="A2471" s="140" t="s">
        <v>74</v>
      </c>
      <c r="B2471" s="140" t="s">
        <v>22</v>
      </c>
      <c r="C2471" s="141" t="s">
        <v>186</v>
      </c>
      <c r="D2471" s="140" t="s">
        <v>187</v>
      </c>
      <c r="E2471" s="140">
        <v>6</v>
      </c>
      <c r="F2471" s="142">
        <v>46135.416666666672</v>
      </c>
      <c r="G2471" s="140" t="s">
        <v>845</v>
      </c>
      <c r="H2471" s="140" t="s">
        <v>867</v>
      </c>
    </row>
    <row r="2472" spans="1:8" ht="15.75" customHeight="1">
      <c r="A2472" s="140" t="s">
        <v>74</v>
      </c>
      <c r="B2472" s="140" t="s">
        <v>25</v>
      </c>
      <c r="C2472" s="141" t="s">
        <v>186</v>
      </c>
      <c r="D2472" s="140" t="s">
        <v>187</v>
      </c>
      <c r="E2472" s="140">
        <v>1</v>
      </c>
      <c r="F2472" s="142">
        <v>45818.375</v>
      </c>
      <c r="G2472" s="140" t="s">
        <v>845</v>
      </c>
      <c r="H2472" s="140" t="s">
        <v>867</v>
      </c>
    </row>
    <row r="2473" spans="1:8" ht="15.75" customHeight="1">
      <c r="A2473" s="140" t="s">
        <v>74</v>
      </c>
      <c r="B2473" s="140" t="s">
        <v>25</v>
      </c>
      <c r="C2473" s="141" t="s">
        <v>186</v>
      </c>
      <c r="D2473" s="140" t="s">
        <v>187</v>
      </c>
      <c r="E2473" s="140">
        <v>2</v>
      </c>
      <c r="F2473" s="142">
        <v>45827.375</v>
      </c>
      <c r="G2473" s="140" t="s">
        <v>845</v>
      </c>
      <c r="H2473" s="140" t="s">
        <v>867</v>
      </c>
    </row>
    <row r="2474" spans="1:8" ht="15.75" customHeight="1">
      <c r="A2474" s="140" t="s">
        <v>74</v>
      </c>
      <c r="B2474" s="140" t="s">
        <v>25</v>
      </c>
      <c r="C2474" s="141" t="s">
        <v>186</v>
      </c>
      <c r="D2474" s="140" t="s">
        <v>187</v>
      </c>
      <c r="E2474" s="140">
        <v>3</v>
      </c>
      <c r="F2474" s="142">
        <v>45831.375</v>
      </c>
      <c r="G2474" s="140" t="s">
        <v>845</v>
      </c>
      <c r="H2474" s="140" t="s">
        <v>867</v>
      </c>
    </row>
    <row r="2475" spans="1:8" ht="15.75" customHeight="1">
      <c r="A2475" s="140" t="s">
        <v>74</v>
      </c>
      <c r="B2475" s="140" t="s">
        <v>25</v>
      </c>
      <c r="C2475" s="141" t="s">
        <v>186</v>
      </c>
      <c r="D2475" s="140" t="s">
        <v>187</v>
      </c>
      <c r="E2475" s="140">
        <v>4</v>
      </c>
      <c r="F2475" s="142">
        <v>45840.458333333328</v>
      </c>
      <c r="G2475" s="140" t="s">
        <v>845</v>
      </c>
      <c r="H2475" s="140" t="s">
        <v>867</v>
      </c>
    </row>
    <row r="2476" spans="1:8" ht="15.75" customHeight="1">
      <c r="A2476" s="140" t="s">
        <v>74</v>
      </c>
      <c r="B2476" s="140" t="s">
        <v>25</v>
      </c>
      <c r="C2476" s="141" t="s">
        <v>186</v>
      </c>
      <c r="D2476" s="140" t="s">
        <v>187</v>
      </c>
      <c r="E2476" s="140">
        <v>5</v>
      </c>
      <c r="F2476" s="142">
        <v>45852.458333333328</v>
      </c>
      <c r="G2476" s="140" t="s">
        <v>845</v>
      </c>
      <c r="H2476" s="140" t="s">
        <v>867</v>
      </c>
    </row>
    <row r="2477" spans="1:8" ht="15.75" customHeight="1">
      <c r="A2477" s="140" t="s">
        <v>74</v>
      </c>
      <c r="B2477" s="140" t="s">
        <v>25</v>
      </c>
      <c r="C2477" s="141" t="s">
        <v>186</v>
      </c>
      <c r="D2477" s="140" t="s">
        <v>187</v>
      </c>
      <c r="E2477" s="140">
        <v>6</v>
      </c>
      <c r="F2477" s="142">
        <v>45855.458333333328</v>
      </c>
      <c r="G2477" s="140" t="s">
        <v>845</v>
      </c>
      <c r="H2477" s="140" t="s">
        <v>867</v>
      </c>
    </row>
    <row r="2478" spans="1:8" ht="15.75" customHeight="1">
      <c r="A2478" s="140" t="s">
        <v>74</v>
      </c>
      <c r="B2478" s="140" t="s">
        <v>25</v>
      </c>
      <c r="C2478" s="141" t="s">
        <v>186</v>
      </c>
      <c r="D2478" s="140" t="s">
        <v>187</v>
      </c>
      <c r="E2478" s="140">
        <v>7</v>
      </c>
      <c r="F2478" s="142">
        <v>45866.458333333328</v>
      </c>
      <c r="G2478" s="140" t="s">
        <v>845</v>
      </c>
      <c r="H2478" s="140" t="s">
        <v>867</v>
      </c>
    </row>
    <row r="2479" spans="1:8" ht="15.75" customHeight="1">
      <c r="A2479" s="140" t="s">
        <v>74</v>
      </c>
      <c r="B2479" s="140" t="s">
        <v>25</v>
      </c>
      <c r="C2479" s="141" t="s">
        <v>186</v>
      </c>
      <c r="D2479" s="140" t="s">
        <v>187</v>
      </c>
      <c r="E2479" s="140">
        <v>8</v>
      </c>
      <c r="F2479" s="142">
        <v>45881.625</v>
      </c>
      <c r="G2479" s="140" t="s">
        <v>845</v>
      </c>
      <c r="H2479" s="140" t="s">
        <v>867</v>
      </c>
    </row>
    <row r="2480" spans="1:8" ht="15.75" customHeight="1">
      <c r="A2480" s="140" t="s">
        <v>74</v>
      </c>
      <c r="B2480" s="140" t="s">
        <v>25</v>
      </c>
      <c r="C2480" s="141" t="s">
        <v>186</v>
      </c>
      <c r="D2480" s="140" t="s">
        <v>187</v>
      </c>
      <c r="E2480" s="140">
        <v>9</v>
      </c>
      <c r="F2480" s="142">
        <v>45884.583333333328</v>
      </c>
      <c r="G2480" s="140" t="s">
        <v>845</v>
      </c>
      <c r="H2480" s="140" t="s">
        <v>867</v>
      </c>
    </row>
    <row r="2481" spans="1:8" ht="15.75" customHeight="1">
      <c r="A2481" s="140" t="s">
        <v>74</v>
      </c>
      <c r="B2481" s="140" t="s">
        <v>25</v>
      </c>
      <c r="C2481" s="141" t="s">
        <v>186</v>
      </c>
      <c r="D2481" s="140" t="s">
        <v>187</v>
      </c>
      <c r="E2481" s="140">
        <v>10</v>
      </c>
      <c r="F2481" s="142">
        <v>45884.625</v>
      </c>
      <c r="G2481" s="140" t="s">
        <v>845</v>
      </c>
      <c r="H2481" s="140" t="s">
        <v>867</v>
      </c>
    </row>
    <row r="2482" spans="1:8" ht="15.75" customHeight="1">
      <c r="A2482" s="140" t="s">
        <v>74</v>
      </c>
      <c r="B2482" s="140" t="s">
        <v>25</v>
      </c>
      <c r="C2482" s="141" t="s">
        <v>186</v>
      </c>
      <c r="D2482" s="140" t="s">
        <v>187</v>
      </c>
      <c r="E2482" s="140">
        <v>11</v>
      </c>
      <c r="F2482" s="142">
        <v>45887.416666666672</v>
      </c>
      <c r="G2482" s="140" t="s">
        <v>845</v>
      </c>
      <c r="H2482" s="140" t="s">
        <v>867</v>
      </c>
    </row>
    <row r="2483" spans="1:8" ht="15.75" customHeight="1">
      <c r="A2483" s="140" t="s">
        <v>74</v>
      </c>
      <c r="B2483" s="140" t="s">
        <v>25</v>
      </c>
      <c r="C2483" s="141" t="s">
        <v>186</v>
      </c>
      <c r="D2483" s="140" t="s">
        <v>187</v>
      </c>
      <c r="E2483" s="140">
        <v>12</v>
      </c>
      <c r="F2483" s="142">
        <v>45903.458333333328</v>
      </c>
      <c r="G2483" s="140" t="s">
        <v>845</v>
      </c>
      <c r="H2483" s="140" t="s">
        <v>867</v>
      </c>
    </row>
    <row r="2484" spans="1:8" ht="15.75" customHeight="1">
      <c r="A2484" s="140" t="s">
        <v>74</v>
      </c>
      <c r="B2484" s="140" t="s">
        <v>25</v>
      </c>
      <c r="C2484" s="141" t="s">
        <v>186</v>
      </c>
      <c r="D2484" s="140" t="s">
        <v>187</v>
      </c>
      <c r="E2484" s="140">
        <v>13</v>
      </c>
      <c r="F2484" s="142">
        <v>45904.458333333328</v>
      </c>
      <c r="G2484" s="140" t="s">
        <v>845</v>
      </c>
      <c r="H2484" s="140" t="s">
        <v>867</v>
      </c>
    </row>
    <row r="2485" spans="1:8" ht="15.75" customHeight="1">
      <c r="A2485" s="140" t="s">
        <v>74</v>
      </c>
      <c r="B2485" s="140" t="s">
        <v>25</v>
      </c>
      <c r="C2485" s="141" t="s">
        <v>186</v>
      </c>
      <c r="D2485" s="140" t="s">
        <v>187</v>
      </c>
      <c r="E2485" s="140">
        <v>14</v>
      </c>
      <c r="F2485" s="142">
        <v>45909.458333333328</v>
      </c>
      <c r="G2485" s="140" t="s">
        <v>845</v>
      </c>
      <c r="H2485" s="140" t="s">
        <v>867</v>
      </c>
    </row>
    <row r="2486" spans="1:8" ht="15.75" customHeight="1">
      <c r="A2486" s="140" t="s">
        <v>74</v>
      </c>
      <c r="B2486" s="140" t="s">
        <v>25</v>
      </c>
      <c r="C2486" s="141" t="s">
        <v>186</v>
      </c>
      <c r="D2486" s="140" t="s">
        <v>187</v>
      </c>
      <c r="E2486" s="140">
        <v>15</v>
      </c>
      <c r="F2486" s="142">
        <v>45989.625</v>
      </c>
      <c r="G2486" s="140" t="s">
        <v>845</v>
      </c>
      <c r="H2486" s="140" t="s">
        <v>867</v>
      </c>
    </row>
    <row r="2487" spans="1:8" ht="15.75" customHeight="1">
      <c r="A2487" s="140" t="s">
        <v>74</v>
      </c>
      <c r="B2487" s="140" t="s">
        <v>25</v>
      </c>
      <c r="C2487" s="141" t="s">
        <v>186</v>
      </c>
      <c r="D2487" s="140" t="s">
        <v>187</v>
      </c>
      <c r="E2487" s="140">
        <v>16</v>
      </c>
      <c r="F2487" s="142">
        <v>46041.416666666672</v>
      </c>
      <c r="G2487" s="140" t="s">
        <v>845</v>
      </c>
      <c r="H2487" s="140" t="s">
        <v>867</v>
      </c>
    </row>
    <row r="2488" spans="1:8" ht="15.75" customHeight="1">
      <c r="A2488" s="140" t="s">
        <v>74</v>
      </c>
      <c r="B2488" s="140" t="s">
        <v>21</v>
      </c>
      <c r="C2488" s="141" t="s">
        <v>224</v>
      </c>
      <c r="D2488" s="140" t="s">
        <v>225</v>
      </c>
      <c r="E2488" s="140">
        <v>1</v>
      </c>
      <c r="F2488" s="142">
        <v>45813.375</v>
      </c>
      <c r="G2488" s="140" t="s">
        <v>845</v>
      </c>
      <c r="H2488" s="140" t="s">
        <v>867</v>
      </c>
    </row>
    <row r="2489" spans="1:8" ht="15.75" customHeight="1">
      <c r="A2489" s="140" t="s">
        <v>74</v>
      </c>
      <c r="B2489" s="140" t="s">
        <v>21</v>
      </c>
      <c r="C2489" s="141" t="s">
        <v>224</v>
      </c>
      <c r="D2489" s="140" t="s">
        <v>225</v>
      </c>
      <c r="E2489" s="140">
        <v>2</v>
      </c>
      <c r="F2489" s="142">
        <v>45818.375</v>
      </c>
      <c r="G2489" s="140" t="s">
        <v>845</v>
      </c>
      <c r="H2489" s="140" t="s">
        <v>867</v>
      </c>
    </row>
    <row r="2490" spans="1:8" ht="15.75" customHeight="1">
      <c r="A2490" s="140" t="s">
        <v>74</v>
      </c>
      <c r="B2490" s="140" t="s">
        <v>21</v>
      </c>
      <c r="C2490" s="141" t="s">
        <v>224</v>
      </c>
      <c r="D2490" s="140" t="s">
        <v>225</v>
      </c>
      <c r="E2490" s="140">
        <v>3</v>
      </c>
      <c r="F2490" s="142">
        <v>45827.375</v>
      </c>
      <c r="G2490" s="140" t="s">
        <v>845</v>
      </c>
      <c r="H2490" s="140" t="s">
        <v>867</v>
      </c>
    </row>
    <row r="2491" spans="1:8" ht="15.75" customHeight="1">
      <c r="A2491" s="140" t="s">
        <v>74</v>
      </c>
      <c r="B2491" s="140" t="s">
        <v>21</v>
      </c>
      <c r="C2491" s="141" t="s">
        <v>224</v>
      </c>
      <c r="D2491" s="140" t="s">
        <v>225</v>
      </c>
      <c r="E2491" s="140">
        <v>4</v>
      </c>
      <c r="F2491" s="142">
        <v>45831.375</v>
      </c>
      <c r="G2491" s="140" t="s">
        <v>843</v>
      </c>
      <c r="H2491" s="140" t="s">
        <v>867</v>
      </c>
    </row>
    <row r="2492" spans="1:8" ht="15.75" customHeight="1">
      <c r="A2492" s="140" t="s">
        <v>74</v>
      </c>
      <c r="B2492" s="140" t="s">
        <v>21</v>
      </c>
      <c r="C2492" s="141" t="s">
        <v>224</v>
      </c>
      <c r="D2492" s="140" t="s">
        <v>225</v>
      </c>
      <c r="E2492" s="140">
        <v>5</v>
      </c>
      <c r="F2492" s="142">
        <v>45917.458333333328</v>
      </c>
      <c r="G2492" s="140" t="s">
        <v>845</v>
      </c>
      <c r="H2492" s="140" t="s">
        <v>867</v>
      </c>
    </row>
    <row r="2493" spans="1:8" ht="15.75" customHeight="1">
      <c r="A2493" s="140" t="s">
        <v>74</v>
      </c>
      <c r="B2493" s="140" t="s">
        <v>21</v>
      </c>
      <c r="C2493" s="141" t="s">
        <v>224</v>
      </c>
      <c r="D2493" s="140" t="s">
        <v>225</v>
      </c>
      <c r="E2493" s="140">
        <v>6</v>
      </c>
      <c r="F2493" s="142">
        <v>45923.458333333328</v>
      </c>
      <c r="G2493" s="140" t="s">
        <v>845</v>
      </c>
      <c r="H2493" s="140" t="s">
        <v>867</v>
      </c>
    </row>
    <row r="2494" spans="1:8" ht="15.75" customHeight="1">
      <c r="A2494" s="140" t="s">
        <v>74</v>
      </c>
      <c r="B2494" s="140" t="s">
        <v>21</v>
      </c>
      <c r="C2494" s="141" t="s">
        <v>224</v>
      </c>
      <c r="D2494" s="140" t="s">
        <v>225</v>
      </c>
      <c r="E2494" s="140">
        <v>7</v>
      </c>
      <c r="F2494" s="142">
        <v>45926.625</v>
      </c>
      <c r="G2494" s="140" t="s">
        <v>845</v>
      </c>
      <c r="H2494" s="140" t="s">
        <v>867</v>
      </c>
    </row>
    <row r="2495" spans="1:8" ht="15.75" customHeight="1">
      <c r="A2495" s="140" t="s">
        <v>74</v>
      </c>
      <c r="B2495" s="140" t="s">
        <v>21</v>
      </c>
      <c r="C2495" s="141" t="s">
        <v>224</v>
      </c>
      <c r="D2495" s="140" t="s">
        <v>225</v>
      </c>
      <c r="E2495" s="140">
        <v>8</v>
      </c>
      <c r="F2495" s="142">
        <v>45939.583333333328</v>
      </c>
      <c r="G2495" s="140" t="s">
        <v>845</v>
      </c>
      <c r="H2495" s="140" t="s">
        <v>867</v>
      </c>
    </row>
    <row r="2496" spans="1:8" ht="15.75" customHeight="1">
      <c r="A2496" s="140" t="s">
        <v>74</v>
      </c>
      <c r="B2496" s="140" t="s">
        <v>21</v>
      </c>
      <c r="C2496" s="141" t="s">
        <v>224</v>
      </c>
      <c r="D2496" s="140" t="s">
        <v>225</v>
      </c>
      <c r="E2496" s="140">
        <v>9</v>
      </c>
      <c r="F2496" s="142">
        <v>45940.541666666672</v>
      </c>
      <c r="G2496" s="140" t="s">
        <v>845</v>
      </c>
      <c r="H2496" s="140" t="s">
        <v>867</v>
      </c>
    </row>
    <row r="2497" spans="1:8" ht="15.75" customHeight="1">
      <c r="A2497" s="140" t="s">
        <v>74</v>
      </c>
      <c r="B2497" s="140" t="s">
        <v>21</v>
      </c>
      <c r="C2497" s="141" t="s">
        <v>224</v>
      </c>
      <c r="D2497" s="140" t="s">
        <v>225</v>
      </c>
      <c r="E2497" s="140">
        <v>10</v>
      </c>
      <c r="F2497" s="142">
        <v>45947.458333333328</v>
      </c>
      <c r="G2497" s="140" t="s">
        <v>845</v>
      </c>
      <c r="H2497" s="140" t="s">
        <v>867</v>
      </c>
    </row>
    <row r="2498" spans="1:8" ht="15.75" customHeight="1">
      <c r="A2498" s="140" t="s">
        <v>74</v>
      </c>
      <c r="B2498" s="140" t="s">
        <v>21</v>
      </c>
      <c r="C2498" s="141" t="s">
        <v>224</v>
      </c>
      <c r="D2498" s="140" t="s">
        <v>225</v>
      </c>
      <c r="E2498" s="140">
        <v>11</v>
      </c>
      <c r="F2498" s="142">
        <v>45957.583333333328</v>
      </c>
      <c r="G2498" s="140" t="s">
        <v>845</v>
      </c>
      <c r="H2498" s="140" t="s">
        <v>867</v>
      </c>
    </row>
    <row r="2499" spans="1:8" ht="15.75" customHeight="1">
      <c r="A2499" s="140" t="s">
        <v>74</v>
      </c>
      <c r="B2499" s="140" t="s">
        <v>21</v>
      </c>
      <c r="C2499" s="141" t="s">
        <v>224</v>
      </c>
      <c r="D2499" s="140" t="s">
        <v>225</v>
      </c>
      <c r="E2499" s="140">
        <v>12</v>
      </c>
      <c r="F2499" s="142">
        <v>45964.458333333328</v>
      </c>
      <c r="G2499" s="140" t="s">
        <v>845</v>
      </c>
      <c r="H2499" s="140" t="s">
        <v>867</v>
      </c>
    </row>
    <row r="2500" spans="1:8" ht="15.75" customHeight="1">
      <c r="A2500" s="140" t="s">
        <v>74</v>
      </c>
      <c r="B2500" s="140" t="s">
        <v>21</v>
      </c>
      <c r="C2500" s="141" t="s">
        <v>224</v>
      </c>
      <c r="D2500" s="140" t="s">
        <v>225</v>
      </c>
      <c r="E2500" s="140">
        <v>13</v>
      </c>
      <c r="F2500" s="142">
        <v>45971.583333333328</v>
      </c>
      <c r="G2500" s="140" t="s">
        <v>845</v>
      </c>
      <c r="H2500" s="140" t="s">
        <v>867</v>
      </c>
    </row>
    <row r="2501" spans="1:8" ht="15.75" customHeight="1">
      <c r="A2501" s="140" t="s">
        <v>74</v>
      </c>
      <c r="B2501" s="140" t="s">
        <v>21</v>
      </c>
      <c r="C2501" s="141" t="s">
        <v>224</v>
      </c>
      <c r="D2501" s="140" t="s">
        <v>225</v>
      </c>
      <c r="E2501" s="140">
        <v>14</v>
      </c>
      <c r="F2501" s="142">
        <v>45985.416666666672</v>
      </c>
      <c r="G2501" s="140" t="s">
        <v>845</v>
      </c>
      <c r="H2501" s="140" t="s">
        <v>867</v>
      </c>
    </row>
    <row r="2502" spans="1:8" ht="15.75" customHeight="1">
      <c r="A2502" s="140" t="s">
        <v>74</v>
      </c>
      <c r="B2502" s="140" t="s">
        <v>22</v>
      </c>
      <c r="C2502" s="141" t="s">
        <v>224</v>
      </c>
      <c r="D2502" s="140" t="s">
        <v>225</v>
      </c>
      <c r="E2502" s="140">
        <v>2</v>
      </c>
      <c r="F2502" s="142">
        <v>46106.416666666672</v>
      </c>
      <c r="G2502" s="140" t="s">
        <v>845</v>
      </c>
      <c r="H2502" s="140" t="s">
        <v>867</v>
      </c>
    </row>
    <row r="2503" spans="1:8" ht="15.75" customHeight="1">
      <c r="A2503" s="140" t="s">
        <v>74</v>
      </c>
      <c r="B2503" s="140" t="s">
        <v>22</v>
      </c>
      <c r="C2503" s="141" t="s">
        <v>224</v>
      </c>
      <c r="D2503" s="140" t="s">
        <v>225</v>
      </c>
      <c r="E2503" s="140">
        <v>3</v>
      </c>
      <c r="F2503" s="142">
        <v>46114.458333333328</v>
      </c>
      <c r="G2503" s="140" t="s">
        <v>845</v>
      </c>
      <c r="H2503" s="140" t="s">
        <v>867</v>
      </c>
    </row>
    <row r="2504" spans="1:8" ht="15.75" customHeight="1">
      <c r="A2504" s="140" t="s">
        <v>74</v>
      </c>
      <c r="B2504" s="140" t="s">
        <v>22</v>
      </c>
      <c r="C2504" s="141" t="s">
        <v>224</v>
      </c>
      <c r="D2504" s="140" t="s">
        <v>225</v>
      </c>
      <c r="E2504" s="140">
        <v>4</v>
      </c>
      <c r="F2504" s="142">
        <v>46119.583333333328</v>
      </c>
      <c r="G2504" s="140" t="s">
        <v>845</v>
      </c>
      <c r="H2504" s="140" t="s">
        <v>867</v>
      </c>
    </row>
    <row r="2505" spans="1:8" ht="15.75" customHeight="1">
      <c r="A2505" s="140" t="s">
        <v>74</v>
      </c>
      <c r="B2505" s="140" t="s">
        <v>22</v>
      </c>
      <c r="C2505" s="141" t="s">
        <v>224</v>
      </c>
      <c r="D2505" s="140" t="s">
        <v>225</v>
      </c>
      <c r="E2505" s="140">
        <v>5</v>
      </c>
      <c r="F2505" s="142">
        <v>46126.416666666672</v>
      </c>
      <c r="G2505" s="140" t="s">
        <v>845</v>
      </c>
      <c r="H2505" s="140" t="s">
        <v>867</v>
      </c>
    </row>
    <row r="2506" spans="1:8" ht="15.75" customHeight="1">
      <c r="A2506" s="140" t="s">
        <v>74</v>
      </c>
      <c r="B2506" s="140" t="s">
        <v>22</v>
      </c>
      <c r="C2506" s="141" t="s">
        <v>224</v>
      </c>
      <c r="D2506" s="140" t="s">
        <v>225</v>
      </c>
      <c r="E2506" s="140">
        <v>6</v>
      </c>
      <c r="F2506" s="142">
        <v>46135.416666666672</v>
      </c>
      <c r="G2506" s="140" t="s">
        <v>845</v>
      </c>
      <c r="H2506" s="140" t="s">
        <v>867</v>
      </c>
    </row>
    <row r="2507" spans="1:8" ht="15.75" customHeight="1">
      <c r="A2507" s="140" t="s">
        <v>74</v>
      </c>
      <c r="B2507" s="140" t="s">
        <v>25</v>
      </c>
      <c r="C2507" s="141" t="s">
        <v>224</v>
      </c>
      <c r="D2507" s="140" t="s">
        <v>225</v>
      </c>
      <c r="E2507" s="140">
        <v>1</v>
      </c>
      <c r="F2507" s="142">
        <v>45818.375</v>
      </c>
      <c r="G2507" s="140" t="s">
        <v>845</v>
      </c>
      <c r="H2507" s="140" t="s">
        <v>867</v>
      </c>
    </row>
    <row r="2508" spans="1:8" ht="15.75" customHeight="1">
      <c r="A2508" s="140" t="s">
        <v>74</v>
      </c>
      <c r="B2508" s="140" t="s">
        <v>25</v>
      </c>
      <c r="C2508" s="141" t="s">
        <v>224</v>
      </c>
      <c r="D2508" s="140" t="s">
        <v>225</v>
      </c>
      <c r="E2508" s="140">
        <v>2</v>
      </c>
      <c r="F2508" s="142">
        <v>45827.375</v>
      </c>
      <c r="G2508" s="140" t="s">
        <v>845</v>
      </c>
      <c r="H2508" s="140" t="s">
        <v>867</v>
      </c>
    </row>
    <row r="2509" spans="1:8" ht="15.75" customHeight="1">
      <c r="A2509" s="140" t="s">
        <v>74</v>
      </c>
      <c r="B2509" s="140" t="s">
        <v>25</v>
      </c>
      <c r="C2509" s="141" t="s">
        <v>224</v>
      </c>
      <c r="D2509" s="140" t="s">
        <v>225</v>
      </c>
      <c r="E2509" s="140">
        <v>3</v>
      </c>
      <c r="F2509" s="142">
        <v>45831.375</v>
      </c>
      <c r="G2509" s="140" t="s">
        <v>843</v>
      </c>
      <c r="H2509" s="140" t="s">
        <v>867</v>
      </c>
    </row>
    <row r="2510" spans="1:8" ht="15.75" customHeight="1">
      <c r="A2510" s="140" t="s">
        <v>74</v>
      </c>
      <c r="B2510" s="140" t="s">
        <v>25</v>
      </c>
      <c r="C2510" s="141" t="s">
        <v>224</v>
      </c>
      <c r="D2510" s="140" t="s">
        <v>225</v>
      </c>
      <c r="E2510" s="140">
        <v>4</v>
      </c>
      <c r="F2510" s="142">
        <v>45840.458333333328</v>
      </c>
      <c r="G2510" s="140" t="s">
        <v>845</v>
      </c>
      <c r="H2510" s="140" t="s">
        <v>867</v>
      </c>
    </row>
    <row r="2511" spans="1:8" ht="15.75" customHeight="1">
      <c r="A2511" s="140" t="s">
        <v>74</v>
      </c>
      <c r="B2511" s="140" t="s">
        <v>25</v>
      </c>
      <c r="C2511" s="141" t="s">
        <v>224</v>
      </c>
      <c r="D2511" s="140" t="s">
        <v>225</v>
      </c>
      <c r="E2511" s="140">
        <v>5</v>
      </c>
      <c r="F2511" s="142">
        <v>45852.458333333328</v>
      </c>
      <c r="G2511" s="140" t="s">
        <v>845</v>
      </c>
      <c r="H2511" s="140" t="s">
        <v>867</v>
      </c>
    </row>
    <row r="2512" spans="1:8" ht="15.75" customHeight="1">
      <c r="A2512" s="140" t="s">
        <v>74</v>
      </c>
      <c r="B2512" s="140" t="s">
        <v>25</v>
      </c>
      <c r="C2512" s="141" t="s">
        <v>224</v>
      </c>
      <c r="D2512" s="140" t="s">
        <v>225</v>
      </c>
      <c r="E2512" s="140">
        <v>6</v>
      </c>
      <c r="F2512" s="142">
        <v>45855.458333333328</v>
      </c>
      <c r="G2512" s="140" t="s">
        <v>845</v>
      </c>
      <c r="H2512" s="140" t="s">
        <v>867</v>
      </c>
    </row>
    <row r="2513" spans="1:8" ht="15.75" customHeight="1">
      <c r="A2513" s="140" t="s">
        <v>74</v>
      </c>
      <c r="B2513" s="140" t="s">
        <v>25</v>
      </c>
      <c r="C2513" s="141" t="s">
        <v>224</v>
      </c>
      <c r="D2513" s="140" t="s">
        <v>225</v>
      </c>
      <c r="E2513" s="140">
        <v>7</v>
      </c>
      <c r="F2513" s="142">
        <v>45866.458333333328</v>
      </c>
      <c r="G2513" s="140" t="s">
        <v>845</v>
      </c>
      <c r="H2513" s="140" t="s">
        <v>867</v>
      </c>
    </row>
    <row r="2514" spans="1:8" ht="15.75" customHeight="1">
      <c r="A2514" s="140" t="s">
        <v>74</v>
      </c>
      <c r="B2514" s="140" t="s">
        <v>25</v>
      </c>
      <c r="C2514" s="141" t="s">
        <v>224</v>
      </c>
      <c r="D2514" s="140" t="s">
        <v>225</v>
      </c>
      <c r="E2514" s="140">
        <v>8</v>
      </c>
      <c r="F2514" s="142">
        <v>45881.625</v>
      </c>
      <c r="G2514" s="140" t="s">
        <v>845</v>
      </c>
      <c r="H2514" s="140" t="s">
        <v>867</v>
      </c>
    </row>
    <row r="2515" spans="1:8" ht="15.75" customHeight="1">
      <c r="A2515" s="140" t="s">
        <v>74</v>
      </c>
      <c r="B2515" s="140" t="s">
        <v>25</v>
      </c>
      <c r="C2515" s="141" t="s">
        <v>224</v>
      </c>
      <c r="D2515" s="140" t="s">
        <v>225</v>
      </c>
      <c r="E2515" s="140">
        <v>9</v>
      </c>
      <c r="F2515" s="142">
        <v>45884.583333333328</v>
      </c>
      <c r="G2515" s="140" t="s">
        <v>845</v>
      </c>
      <c r="H2515" s="140" t="s">
        <v>867</v>
      </c>
    </row>
    <row r="2516" spans="1:8" ht="15.75" customHeight="1">
      <c r="A2516" s="140" t="s">
        <v>74</v>
      </c>
      <c r="B2516" s="140" t="s">
        <v>25</v>
      </c>
      <c r="C2516" s="141" t="s">
        <v>224</v>
      </c>
      <c r="D2516" s="140" t="s">
        <v>225</v>
      </c>
      <c r="E2516" s="140">
        <v>10</v>
      </c>
      <c r="F2516" s="142">
        <v>45884.625</v>
      </c>
      <c r="G2516" s="140" t="s">
        <v>845</v>
      </c>
      <c r="H2516" s="140" t="s">
        <v>867</v>
      </c>
    </row>
    <row r="2517" spans="1:8" ht="15.75" customHeight="1">
      <c r="A2517" s="140" t="s">
        <v>74</v>
      </c>
      <c r="B2517" s="140" t="s">
        <v>25</v>
      </c>
      <c r="C2517" s="141" t="s">
        <v>224</v>
      </c>
      <c r="D2517" s="140" t="s">
        <v>225</v>
      </c>
      <c r="E2517" s="140">
        <v>11</v>
      </c>
      <c r="F2517" s="142">
        <v>45887.416666666672</v>
      </c>
      <c r="G2517" s="140" t="s">
        <v>845</v>
      </c>
      <c r="H2517" s="140" t="s">
        <v>867</v>
      </c>
    </row>
    <row r="2518" spans="1:8" ht="15.75" customHeight="1">
      <c r="A2518" s="140" t="s">
        <v>74</v>
      </c>
      <c r="B2518" s="140" t="s">
        <v>25</v>
      </c>
      <c r="C2518" s="141" t="s">
        <v>224</v>
      </c>
      <c r="D2518" s="140" t="s">
        <v>225</v>
      </c>
      <c r="E2518" s="140">
        <v>12</v>
      </c>
      <c r="F2518" s="142">
        <v>45903.458333333328</v>
      </c>
      <c r="G2518" s="140" t="s">
        <v>845</v>
      </c>
      <c r="H2518" s="140" t="s">
        <v>867</v>
      </c>
    </row>
    <row r="2519" spans="1:8" ht="15.75" customHeight="1">
      <c r="A2519" s="140" t="s">
        <v>74</v>
      </c>
      <c r="B2519" s="140" t="s">
        <v>25</v>
      </c>
      <c r="C2519" s="141" t="s">
        <v>224</v>
      </c>
      <c r="D2519" s="140" t="s">
        <v>225</v>
      </c>
      <c r="E2519" s="140">
        <v>13</v>
      </c>
      <c r="F2519" s="142">
        <v>45904.458333333328</v>
      </c>
      <c r="G2519" s="140" t="s">
        <v>845</v>
      </c>
      <c r="H2519" s="140" t="s">
        <v>867</v>
      </c>
    </row>
    <row r="2520" spans="1:8" ht="15.75" customHeight="1">
      <c r="A2520" s="140" t="s">
        <v>74</v>
      </c>
      <c r="B2520" s="140" t="s">
        <v>25</v>
      </c>
      <c r="C2520" s="141" t="s">
        <v>224</v>
      </c>
      <c r="D2520" s="140" t="s">
        <v>225</v>
      </c>
      <c r="E2520" s="140">
        <v>14</v>
      </c>
      <c r="F2520" s="142">
        <v>45909.458333333328</v>
      </c>
      <c r="G2520" s="140" t="s">
        <v>845</v>
      </c>
      <c r="H2520" s="140" t="s">
        <v>867</v>
      </c>
    </row>
    <row r="2521" spans="1:8" ht="15.75" customHeight="1">
      <c r="A2521" s="140" t="s">
        <v>74</v>
      </c>
      <c r="B2521" s="140" t="s">
        <v>25</v>
      </c>
      <c r="C2521" s="141" t="s">
        <v>224</v>
      </c>
      <c r="D2521" s="140" t="s">
        <v>225</v>
      </c>
      <c r="E2521" s="140">
        <v>15</v>
      </c>
      <c r="F2521" s="142">
        <v>45989.625</v>
      </c>
      <c r="G2521" s="140" t="s">
        <v>845</v>
      </c>
      <c r="H2521" s="140" t="s">
        <v>867</v>
      </c>
    </row>
    <row r="2522" spans="1:8" ht="15.75" customHeight="1">
      <c r="A2522" s="140" t="s">
        <v>74</v>
      </c>
      <c r="B2522" s="140" t="s">
        <v>25</v>
      </c>
      <c r="C2522" s="141" t="s">
        <v>224</v>
      </c>
      <c r="D2522" s="140" t="s">
        <v>225</v>
      </c>
      <c r="E2522" s="140">
        <v>16</v>
      </c>
      <c r="F2522" s="142">
        <v>46041.416666666672</v>
      </c>
      <c r="G2522" s="140" t="s">
        <v>845</v>
      </c>
      <c r="H2522" s="140" t="s">
        <v>867</v>
      </c>
    </row>
    <row r="2523" spans="1:8" ht="15.75" customHeight="1">
      <c r="A2523" s="140" t="s">
        <v>74</v>
      </c>
      <c r="B2523" s="140" t="s">
        <v>21</v>
      </c>
      <c r="C2523" s="141" t="s">
        <v>382</v>
      </c>
      <c r="D2523" s="140" t="s">
        <v>380</v>
      </c>
      <c r="E2523" s="140">
        <v>1</v>
      </c>
      <c r="F2523" s="142">
        <v>45813.375</v>
      </c>
      <c r="G2523" s="140" t="s">
        <v>843</v>
      </c>
      <c r="H2523" s="140" t="s">
        <v>867</v>
      </c>
    </row>
    <row r="2524" spans="1:8" ht="15.75" customHeight="1">
      <c r="A2524" s="140" t="s">
        <v>74</v>
      </c>
      <c r="B2524" s="140" t="s">
        <v>21</v>
      </c>
      <c r="C2524" s="141" t="s">
        <v>382</v>
      </c>
      <c r="D2524" s="140" t="s">
        <v>380</v>
      </c>
      <c r="E2524" s="140">
        <v>2</v>
      </c>
      <c r="F2524" s="142">
        <v>45818.375</v>
      </c>
      <c r="G2524" s="140" t="s">
        <v>845</v>
      </c>
      <c r="H2524" s="140" t="s">
        <v>867</v>
      </c>
    </row>
    <row r="2525" spans="1:8" ht="15.75" customHeight="1">
      <c r="A2525" s="140" t="s">
        <v>74</v>
      </c>
      <c r="B2525" s="140" t="s">
        <v>21</v>
      </c>
      <c r="C2525" s="141" t="s">
        <v>382</v>
      </c>
      <c r="D2525" s="140" t="s">
        <v>380</v>
      </c>
      <c r="E2525" s="140">
        <v>3</v>
      </c>
      <c r="F2525" s="142">
        <v>45827.375</v>
      </c>
      <c r="G2525" s="140" t="s">
        <v>845</v>
      </c>
      <c r="H2525" s="140" t="s">
        <v>867</v>
      </c>
    </row>
    <row r="2526" spans="1:8" ht="15.75" customHeight="1">
      <c r="A2526" s="140" t="s">
        <v>74</v>
      </c>
      <c r="B2526" s="140" t="s">
        <v>21</v>
      </c>
      <c r="C2526" s="141" t="s">
        <v>382</v>
      </c>
      <c r="D2526" s="140" t="s">
        <v>380</v>
      </c>
      <c r="E2526" s="140">
        <v>4</v>
      </c>
      <c r="F2526" s="142">
        <v>45831.375</v>
      </c>
      <c r="G2526" s="140" t="s">
        <v>843</v>
      </c>
      <c r="H2526" s="140" t="s">
        <v>867</v>
      </c>
    </row>
    <row r="2527" spans="1:8" ht="15.75" customHeight="1">
      <c r="A2527" s="140" t="s">
        <v>74</v>
      </c>
      <c r="B2527" s="140" t="s">
        <v>21</v>
      </c>
      <c r="C2527" s="141" t="s">
        <v>382</v>
      </c>
      <c r="D2527" s="140" t="s">
        <v>380</v>
      </c>
      <c r="E2527" s="140">
        <v>5</v>
      </c>
      <c r="F2527" s="142">
        <v>45917.458333333328</v>
      </c>
      <c r="G2527" s="140" t="s">
        <v>845</v>
      </c>
      <c r="H2527" s="140" t="s">
        <v>867</v>
      </c>
    </row>
    <row r="2528" spans="1:8" ht="15.75" customHeight="1">
      <c r="A2528" s="140" t="s">
        <v>74</v>
      </c>
      <c r="B2528" s="140" t="s">
        <v>21</v>
      </c>
      <c r="C2528" s="141" t="s">
        <v>382</v>
      </c>
      <c r="D2528" s="140" t="s">
        <v>380</v>
      </c>
      <c r="E2528" s="140">
        <v>6</v>
      </c>
      <c r="F2528" s="142">
        <v>45923.458333333328</v>
      </c>
      <c r="G2528" s="140" t="s">
        <v>845</v>
      </c>
      <c r="H2528" s="140" t="s">
        <v>867</v>
      </c>
    </row>
    <row r="2529" spans="1:8" ht="15.75" customHeight="1">
      <c r="A2529" s="140" t="s">
        <v>74</v>
      </c>
      <c r="B2529" s="140" t="s">
        <v>21</v>
      </c>
      <c r="C2529" s="141" t="s">
        <v>382</v>
      </c>
      <c r="D2529" s="140" t="s">
        <v>380</v>
      </c>
      <c r="E2529" s="140">
        <v>7</v>
      </c>
      <c r="F2529" s="142">
        <v>45926.625</v>
      </c>
      <c r="G2529" s="140" t="s">
        <v>845</v>
      </c>
      <c r="H2529" s="140" t="s">
        <v>867</v>
      </c>
    </row>
    <row r="2530" spans="1:8" ht="15.75" customHeight="1">
      <c r="A2530" s="140" t="s">
        <v>74</v>
      </c>
      <c r="B2530" s="140" t="s">
        <v>21</v>
      </c>
      <c r="C2530" s="141" t="s">
        <v>382</v>
      </c>
      <c r="D2530" s="140" t="s">
        <v>380</v>
      </c>
      <c r="E2530" s="140">
        <v>8</v>
      </c>
      <c r="F2530" s="142">
        <v>45939.583333333328</v>
      </c>
      <c r="G2530" s="140" t="s">
        <v>845</v>
      </c>
      <c r="H2530" s="140" t="s">
        <v>867</v>
      </c>
    </row>
    <row r="2531" spans="1:8" ht="15.75" customHeight="1">
      <c r="A2531" s="140" t="s">
        <v>74</v>
      </c>
      <c r="B2531" s="140" t="s">
        <v>21</v>
      </c>
      <c r="C2531" s="141" t="s">
        <v>382</v>
      </c>
      <c r="D2531" s="140" t="s">
        <v>380</v>
      </c>
      <c r="E2531" s="140">
        <v>9</v>
      </c>
      <c r="F2531" s="142">
        <v>45940.541666666672</v>
      </c>
      <c r="G2531" s="140" t="s">
        <v>843</v>
      </c>
      <c r="H2531" s="140" t="s">
        <v>867</v>
      </c>
    </row>
    <row r="2532" spans="1:8" ht="15.75" customHeight="1">
      <c r="A2532" s="140" t="s">
        <v>74</v>
      </c>
      <c r="B2532" s="140" t="s">
        <v>21</v>
      </c>
      <c r="C2532" s="141" t="s">
        <v>382</v>
      </c>
      <c r="D2532" s="140" t="s">
        <v>380</v>
      </c>
      <c r="E2532" s="140">
        <v>10</v>
      </c>
      <c r="F2532" s="142">
        <v>45947.458333333328</v>
      </c>
      <c r="G2532" s="140" t="s">
        <v>845</v>
      </c>
      <c r="H2532" s="140" t="s">
        <v>867</v>
      </c>
    </row>
    <row r="2533" spans="1:8" ht="15.75" customHeight="1">
      <c r="A2533" s="140" t="s">
        <v>74</v>
      </c>
      <c r="B2533" s="140" t="s">
        <v>21</v>
      </c>
      <c r="C2533" s="141" t="s">
        <v>382</v>
      </c>
      <c r="D2533" s="140" t="s">
        <v>380</v>
      </c>
      <c r="E2533" s="140">
        <v>11</v>
      </c>
      <c r="F2533" s="142">
        <v>45957.583333333328</v>
      </c>
      <c r="G2533" s="140" t="s">
        <v>845</v>
      </c>
      <c r="H2533" s="140" t="s">
        <v>867</v>
      </c>
    </row>
    <row r="2534" spans="1:8" ht="15.75" customHeight="1">
      <c r="A2534" s="140" t="s">
        <v>74</v>
      </c>
      <c r="B2534" s="140" t="s">
        <v>21</v>
      </c>
      <c r="C2534" s="141" t="s">
        <v>382</v>
      </c>
      <c r="D2534" s="140" t="s">
        <v>380</v>
      </c>
      <c r="E2534" s="140">
        <v>12</v>
      </c>
      <c r="F2534" s="142">
        <v>45964.458333333328</v>
      </c>
      <c r="G2534" s="140" t="s">
        <v>845</v>
      </c>
      <c r="H2534" s="140" t="s">
        <v>867</v>
      </c>
    </row>
    <row r="2535" spans="1:8" ht="15.75" customHeight="1">
      <c r="A2535" s="140" t="s">
        <v>74</v>
      </c>
      <c r="B2535" s="140" t="s">
        <v>21</v>
      </c>
      <c r="C2535" s="141" t="s">
        <v>382</v>
      </c>
      <c r="D2535" s="140" t="s">
        <v>380</v>
      </c>
      <c r="E2535" s="140">
        <v>13</v>
      </c>
      <c r="F2535" s="142">
        <v>45971.583333333328</v>
      </c>
      <c r="G2535" s="140" t="s">
        <v>843</v>
      </c>
      <c r="H2535" s="140" t="s">
        <v>867</v>
      </c>
    </row>
    <row r="2536" spans="1:8" ht="15.75" customHeight="1">
      <c r="A2536" s="140" t="s">
        <v>74</v>
      </c>
      <c r="B2536" s="140" t="s">
        <v>21</v>
      </c>
      <c r="C2536" s="141" t="s">
        <v>382</v>
      </c>
      <c r="D2536" s="140" t="s">
        <v>380</v>
      </c>
      <c r="E2536" s="140">
        <v>14</v>
      </c>
      <c r="F2536" s="142">
        <v>45985.416666666672</v>
      </c>
      <c r="G2536" s="140" t="s">
        <v>845</v>
      </c>
      <c r="H2536" s="140" t="s">
        <v>867</v>
      </c>
    </row>
    <row r="2537" spans="1:8" ht="15.75" customHeight="1">
      <c r="A2537" s="140" t="s">
        <v>74</v>
      </c>
      <c r="B2537" s="140" t="s">
        <v>22</v>
      </c>
      <c r="C2537" s="141" t="s">
        <v>382</v>
      </c>
      <c r="D2537" s="140" t="s">
        <v>380</v>
      </c>
      <c r="E2537" s="140">
        <v>2</v>
      </c>
      <c r="F2537" s="142">
        <v>46106.416666666672</v>
      </c>
      <c r="G2537" s="140" t="s">
        <v>845</v>
      </c>
      <c r="H2537" s="140" t="s">
        <v>867</v>
      </c>
    </row>
    <row r="2538" spans="1:8" ht="15.75" customHeight="1">
      <c r="A2538" s="140" t="s">
        <v>74</v>
      </c>
      <c r="B2538" s="140" t="s">
        <v>22</v>
      </c>
      <c r="C2538" s="141" t="s">
        <v>382</v>
      </c>
      <c r="D2538" s="140" t="s">
        <v>380</v>
      </c>
      <c r="E2538" s="140">
        <v>3</v>
      </c>
      <c r="F2538" s="142">
        <v>46114.458333333328</v>
      </c>
      <c r="G2538" s="140" t="s">
        <v>845</v>
      </c>
      <c r="H2538" s="140" t="s">
        <v>867</v>
      </c>
    </row>
    <row r="2539" spans="1:8" ht="15.75" customHeight="1">
      <c r="A2539" s="140" t="s">
        <v>74</v>
      </c>
      <c r="B2539" s="140" t="s">
        <v>22</v>
      </c>
      <c r="C2539" s="141" t="s">
        <v>382</v>
      </c>
      <c r="D2539" s="140" t="s">
        <v>380</v>
      </c>
      <c r="E2539" s="140">
        <v>4</v>
      </c>
      <c r="F2539" s="142">
        <v>46119.583333333328</v>
      </c>
      <c r="G2539" s="140" t="s">
        <v>845</v>
      </c>
      <c r="H2539" s="140" t="s">
        <v>867</v>
      </c>
    </row>
    <row r="2540" spans="1:8" ht="15.75" customHeight="1">
      <c r="A2540" s="140" t="s">
        <v>74</v>
      </c>
      <c r="B2540" s="140" t="s">
        <v>22</v>
      </c>
      <c r="C2540" s="141" t="s">
        <v>382</v>
      </c>
      <c r="D2540" s="140" t="s">
        <v>380</v>
      </c>
      <c r="E2540" s="140">
        <v>5</v>
      </c>
      <c r="F2540" s="142">
        <v>46126.416666666672</v>
      </c>
      <c r="G2540" s="140" t="s">
        <v>845</v>
      </c>
      <c r="H2540" s="140" t="s">
        <v>867</v>
      </c>
    </row>
    <row r="2541" spans="1:8" ht="15.75" customHeight="1">
      <c r="A2541" s="140" t="s">
        <v>74</v>
      </c>
      <c r="B2541" s="140" t="s">
        <v>22</v>
      </c>
      <c r="C2541" s="141" t="s">
        <v>382</v>
      </c>
      <c r="D2541" s="140" t="s">
        <v>380</v>
      </c>
      <c r="E2541" s="140">
        <v>6</v>
      </c>
      <c r="F2541" s="142">
        <v>46135.416666666672</v>
      </c>
      <c r="G2541" s="140" t="s">
        <v>845</v>
      </c>
      <c r="H2541" s="140" t="s">
        <v>867</v>
      </c>
    </row>
    <row r="2542" spans="1:8" ht="15.75" customHeight="1">
      <c r="A2542" s="140" t="s">
        <v>74</v>
      </c>
      <c r="B2542" s="140" t="s">
        <v>25</v>
      </c>
      <c r="C2542" s="141" t="s">
        <v>382</v>
      </c>
      <c r="D2542" s="140" t="s">
        <v>380</v>
      </c>
      <c r="E2542" s="140">
        <v>1</v>
      </c>
      <c r="F2542" s="142">
        <v>45818.375</v>
      </c>
      <c r="G2542" s="140" t="s">
        <v>845</v>
      </c>
      <c r="H2542" s="140" t="s">
        <v>867</v>
      </c>
    </row>
    <row r="2543" spans="1:8" ht="15.75" customHeight="1">
      <c r="A2543" s="140" t="s">
        <v>74</v>
      </c>
      <c r="B2543" s="140" t="s">
        <v>25</v>
      </c>
      <c r="C2543" s="141" t="s">
        <v>382</v>
      </c>
      <c r="D2543" s="140" t="s">
        <v>380</v>
      </c>
      <c r="E2543" s="140">
        <v>2</v>
      </c>
      <c r="F2543" s="142">
        <v>45827.375</v>
      </c>
      <c r="G2543" s="140" t="s">
        <v>845</v>
      </c>
      <c r="H2543" s="140" t="s">
        <v>867</v>
      </c>
    </row>
    <row r="2544" spans="1:8" ht="15.75" customHeight="1">
      <c r="A2544" s="140" t="s">
        <v>74</v>
      </c>
      <c r="B2544" s="140" t="s">
        <v>25</v>
      </c>
      <c r="C2544" s="141" t="s">
        <v>382</v>
      </c>
      <c r="D2544" s="140" t="s">
        <v>380</v>
      </c>
      <c r="E2544" s="140">
        <v>3</v>
      </c>
      <c r="F2544" s="142">
        <v>45831.375</v>
      </c>
      <c r="G2544" s="140" t="s">
        <v>843</v>
      </c>
      <c r="H2544" s="140" t="s">
        <v>867</v>
      </c>
    </row>
    <row r="2545" spans="1:8" ht="15.75" customHeight="1">
      <c r="A2545" s="140" t="s">
        <v>74</v>
      </c>
      <c r="B2545" s="140" t="s">
        <v>25</v>
      </c>
      <c r="C2545" s="141" t="s">
        <v>382</v>
      </c>
      <c r="D2545" s="140" t="s">
        <v>380</v>
      </c>
      <c r="E2545" s="140">
        <v>4</v>
      </c>
      <c r="F2545" s="142">
        <v>45840.458333333328</v>
      </c>
      <c r="G2545" s="140" t="s">
        <v>845</v>
      </c>
      <c r="H2545" s="140" t="s">
        <v>867</v>
      </c>
    </row>
    <row r="2546" spans="1:8" ht="15.75" customHeight="1">
      <c r="A2546" s="140" t="s">
        <v>74</v>
      </c>
      <c r="B2546" s="140" t="s">
        <v>25</v>
      </c>
      <c r="C2546" s="141" t="s">
        <v>382</v>
      </c>
      <c r="D2546" s="140" t="s">
        <v>380</v>
      </c>
      <c r="E2546" s="140">
        <v>5</v>
      </c>
      <c r="F2546" s="142">
        <v>45852.458333333328</v>
      </c>
      <c r="G2546" s="140" t="s">
        <v>845</v>
      </c>
      <c r="H2546" s="140" t="s">
        <v>867</v>
      </c>
    </row>
    <row r="2547" spans="1:8" ht="15.75" customHeight="1">
      <c r="A2547" s="140" t="s">
        <v>74</v>
      </c>
      <c r="B2547" s="140" t="s">
        <v>25</v>
      </c>
      <c r="C2547" s="141" t="s">
        <v>382</v>
      </c>
      <c r="D2547" s="140" t="s">
        <v>380</v>
      </c>
      <c r="E2547" s="140">
        <v>6</v>
      </c>
      <c r="F2547" s="142">
        <v>45855.458333333328</v>
      </c>
      <c r="G2547" s="140" t="s">
        <v>845</v>
      </c>
      <c r="H2547" s="140" t="s">
        <v>867</v>
      </c>
    </row>
    <row r="2548" spans="1:8" ht="15.75" customHeight="1">
      <c r="A2548" s="140" t="s">
        <v>74</v>
      </c>
      <c r="B2548" s="140" t="s">
        <v>25</v>
      </c>
      <c r="C2548" s="141" t="s">
        <v>382</v>
      </c>
      <c r="D2548" s="140" t="s">
        <v>380</v>
      </c>
      <c r="E2548" s="140">
        <v>7</v>
      </c>
      <c r="F2548" s="142">
        <v>45866.458333333328</v>
      </c>
      <c r="G2548" s="140" t="s">
        <v>845</v>
      </c>
      <c r="H2548" s="140" t="s">
        <v>867</v>
      </c>
    </row>
    <row r="2549" spans="1:8" ht="15.75" customHeight="1">
      <c r="A2549" s="140" t="s">
        <v>74</v>
      </c>
      <c r="B2549" s="140" t="s">
        <v>25</v>
      </c>
      <c r="C2549" s="141" t="s">
        <v>382</v>
      </c>
      <c r="D2549" s="140" t="s">
        <v>380</v>
      </c>
      <c r="E2549" s="140">
        <v>8</v>
      </c>
      <c r="F2549" s="142">
        <v>45881.625</v>
      </c>
      <c r="G2549" s="140" t="s">
        <v>845</v>
      </c>
      <c r="H2549" s="140" t="s">
        <v>867</v>
      </c>
    </row>
    <row r="2550" spans="1:8" ht="15.75" customHeight="1">
      <c r="A2550" s="140" t="s">
        <v>74</v>
      </c>
      <c r="B2550" s="140" t="s">
        <v>25</v>
      </c>
      <c r="C2550" s="141" t="s">
        <v>382</v>
      </c>
      <c r="D2550" s="140" t="s">
        <v>380</v>
      </c>
      <c r="E2550" s="140">
        <v>9</v>
      </c>
      <c r="F2550" s="142">
        <v>45884.583333333328</v>
      </c>
      <c r="G2550" s="140" t="s">
        <v>845</v>
      </c>
      <c r="H2550" s="140" t="s">
        <v>867</v>
      </c>
    </row>
    <row r="2551" spans="1:8" ht="15.75" customHeight="1">
      <c r="A2551" s="140" t="s">
        <v>74</v>
      </c>
      <c r="B2551" s="140" t="s">
        <v>25</v>
      </c>
      <c r="C2551" s="141" t="s">
        <v>382</v>
      </c>
      <c r="D2551" s="140" t="s">
        <v>380</v>
      </c>
      <c r="E2551" s="140">
        <v>10</v>
      </c>
      <c r="F2551" s="142">
        <v>45884.625</v>
      </c>
      <c r="G2551" s="140" t="s">
        <v>845</v>
      </c>
      <c r="H2551" s="140" t="s">
        <v>867</v>
      </c>
    </row>
    <row r="2552" spans="1:8" ht="15.75" customHeight="1">
      <c r="A2552" s="140" t="s">
        <v>74</v>
      </c>
      <c r="B2552" s="140" t="s">
        <v>25</v>
      </c>
      <c r="C2552" s="141" t="s">
        <v>382</v>
      </c>
      <c r="D2552" s="140" t="s">
        <v>380</v>
      </c>
      <c r="E2552" s="140">
        <v>11</v>
      </c>
      <c r="F2552" s="142">
        <v>45887.416666666672</v>
      </c>
      <c r="G2552" s="140" t="s">
        <v>845</v>
      </c>
      <c r="H2552" s="140" t="s">
        <v>867</v>
      </c>
    </row>
    <row r="2553" spans="1:8" ht="15.75" customHeight="1">
      <c r="A2553" s="140" t="s">
        <v>74</v>
      </c>
      <c r="B2553" s="140" t="s">
        <v>25</v>
      </c>
      <c r="C2553" s="141" t="s">
        <v>382</v>
      </c>
      <c r="D2553" s="140" t="s">
        <v>380</v>
      </c>
      <c r="E2553" s="140">
        <v>12</v>
      </c>
      <c r="F2553" s="142">
        <v>45903.458333333328</v>
      </c>
      <c r="G2553" s="140" t="s">
        <v>845</v>
      </c>
      <c r="H2553" s="140" t="s">
        <v>867</v>
      </c>
    </row>
    <row r="2554" spans="1:8" ht="15.75" customHeight="1">
      <c r="A2554" s="140" t="s">
        <v>74</v>
      </c>
      <c r="B2554" s="140" t="s">
        <v>25</v>
      </c>
      <c r="C2554" s="141" t="s">
        <v>382</v>
      </c>
      <c r="D2554" s="140" t="s">
        <v>380</v>
      </c>
      <c r="E2554" s="140">
        <v>13</v>
      </c>
      <c r="F2554" s="142">
        <v>45904.458333333328</v>
      </c>
      <c r="G2554" s="140" t="s">
        <v>845</v>
      </c>
      <c r="H2554" s="140" t="s">
        <v>867</v>
      </c>
    </row>
    <row r="2555" spans="1:8" ht="15.75" customHeight="1">
      <c r="A2555" s="140" t="s">
        <v>74</v>
      </c>
      <c r="B2555" s="140" t="s">
        <v>25</v>
      </c>
      <c r="C2555" s="141" t="s">
        <v>382</v>
      </c>
      <c r="D2555" s="140" t="s">
        <v>380</v>
      </c>
      <c r="E2555" s="140">
        <v>14</v>
      </c>
      <c r="F2555" s="142">
        <v>45909.458333333328</v>
      </c>
      <c r="G2555" s="140" t="s">
        <v>845</v>
      </c>
      <c r="H2555" s="140" t="s">
        <v>867</v>
      </c>
    </row>
    <row r="2556" spans="1:8" ht="15.75" customHeight="1">
      <c r="A2556" s="140" t="s">
        <v>74</v>
      </c>
      <c r="B2556" s="140" t="s">
        <v>25</v>
      </c>
      <c r="C2556" s="141" t="s">
        <v>382</v>
      </c>
      <c r="D2556" s="140" t="s">
        <v>380</v>
      </c>
      <c r="E2556" s="140">
        <v>15</v>
      </c>
      <c r="F2556" s="142">
        <v>45989.625</v>
      </c>
      <c r="G2556" s="140" t="s">
        <v>845</v>
      </c>
      <c r="H2556" s="140" t="s">
        <v>867</v>
      </c>
    </row>
    <row r="2557" spans="1:8" ht="15.75" customHeight="1">
      <c r="A2557" s="140" t="s">
        <v>74</v>
      </c>
      <c r="B2557" s="140" t="s">
        <v>25</v>
      </c>
      <c r="C2557" s="141" t="s">
        <v>382</v>
      </c>
      <c r="D2557" s="140" t="s">
        <v>380</v>
      </c>
      <c r="E2557" s="140">
        <v>16</v>
      </c>
      <c r="F2557" s="142">
        <v>46041.416666666672</v>
      </c>
      <c r="G2557" s="140" t="s">
        <v>845</v>
      </c>
      <c r="H2557" s="140" t="s">
        <v>867</v>
      </c>
    </row>
    <row r="2558" spans="1:8" ht="15.75" customHeight="1">
      <c r="A2558" s="140" t="s">
        <v>74</v>
      </c>
      <c r="B2558" s="140" t="s">
        <v>21</v>
      </c>
      <c r="C2558" s="141" t="s">
        <v>425</v>
      </c>
      <c r="D2558" s="140" t="s">
        <v>426</v>
      </c>
      <c r="E2558" s="140">
        <v>1</v>
      </c>
      <c r="F2558" s="142">
        <v>45813.375</v>
      </c>
      <c r="G2558" s="140" t="s">
        <v>845</v>
      </c>
      <c r="H2558" s="140" t="s">
        <v>867</v>
      </c>
    </row>
    <row r="2559" spans="1:8" ht="15.75" customHeight="1">
      <c r="A2559" s="140" t="s">
        <v>74</v>
      </c>
      <c r="B2559" s="140" t="s">
        <v>21</v>
      </c>
      <c r="C2559" s="141" t="s">
        <v>425</v>
      </c>
      <c r="D2559" s="140" t="s">
        <v>426</v>
      </c>
      <c r="E2559" s="140">
        <v>2</v>
      </c>
      <c r="F2559" s="142">
        <v>45818.375</v>
      </c>
      <c r="G2559" s="140" t="s">
        <v>845</v>
      </c>
      <c r="H2559" s="140" t="s">
        <v>867</v>
      </c>
    </row>
    <row r="2560" spans="1:8" ht="15.75" customHeight="1">
      <c r="A2560" s="140" t="s">
        <v>74</v>
      </c>
      <c r="B2560" s="140" t="s">
        <v>21</v>
      </c>
      <c r="C2560" s="141" t="s">
        <v>425</v>
      </c>
      <c r="D2560" s="140" t="s">
        <v>426</v>
      </c>
      <c r="E2560" s="140">
        <v>3</v>
      </c>
      <c r="F2560" s="142">
        <v>45827.375</v>
      </c>
      <c r="G2560" s="140" t="s">
        <v>845</v>
      </c>
      <c r="H2560" s="140" t="s">
        <v>867</v>
      </c>
    </row>
    <row r="2561" spans="1:8" ht="15.75" customHeight="1">
      <c r="A2561" s="140" t="s">
        <v>74</v>
      </c>
      <c r="B2561" s="140" t="s">
        <v>21</v>
      </c>
      <c r="C2561" s="141" t="s">
        <v>425</v>
      </c>
      <c r="D2561" s="140" t="s">
        <v>426</v>
      </c>
      <c r="E2561" s="140">
        <v>4</v>
      </c>
      <c r="F2561" s="142">
        <v>45831.375</v>
      </c>
      <c r="G2561" s="140" t="s">
        <v>845</v>
      </c>
      <c r="H2561" s="140" t="s">
        <v>867</v>
      </c>
    </row>
    <row r="2562" spans="1:8" ht="15.75" customHeight="1">
      <c r="A2562" s="140" t="s">
        <v>74</v>
      </c>
      <c r="B2562" s="140" t="s">
        <v>21</v>
      </c>
      <c r="C2562" s="141" t="s">
        <v>425</v>
      </c>
      <c r="D2562" s="140" t="s">
        <v>426</v>
      </c>
      <c r="E2562" s="140">
        <v>5</v>
      </c>
      <c r="F2562" s="142">
        <v>45917.458333333328</v>
      </c>
      <c r="G2562" s="140" t="s">
        <v>845</v>
      </c>
      <c r="H2562" s="140" t="s">
        <v>867</v>
      </c>
    </row>
    <row r="2563" spans="1:8" ht="15.75" customHeight="1">
      <c r="A2563" s="140" t="s">
        <v>74</v>
      </c>
      <c r="B2563" s="140" t="s">
        <v>21</v>
      </c>
      <c r="C2563" s="141" t="s">
        <v>425</v>
      </c>
      <c r="D2563" s="140" t="s">
        <v>426</v>
      </c>
      <c r="E2563" s="140">
        <v>6</v>
      </c>
      <c r="F2563" s="142">
        <v>45923.458333333328</v>
      </c>
      <c r="G2563" s="140" t="s">
        <v>845</v>
      </c>
      <c r="H2563" s="140" t="s">
        <v>867</v>
      </c>
    </row>
    <row r="2564" spans="1:8" ht="15.75" customHeight="1">
      <c r="A2564" s="140" t="s">
        <v>74</v>
      </c>
      <c r="B2564" s="140" t="s">
        <v>21</v>
      </c>
      <c r="C2564" s="141" t="s">
        <v>425</v>
      </c>
      <c r="D2564" s="140" t="s">
        <v>426</v>
      </c>
      <c r="E2564" s="140">
        <v>7</v>
      </c>
      <c r="F2564" s="142">
        <v>45926.625</v>
      </c>
      <c r="G2564" s="140" t="s">
        <v>845</v>
      </c>
      <c r="H2564" s="140" t="s">
        <v>867</v>
      </c>
    </row>
    <row r="2565" spans="1:8" ht="15.75" customHeight="1">
      <c r="A2565" s="140" t="s">
        <v>74</v>
      </c>
      <c r="B2565" s="140" t="s">
        <v>21</v>
      </c>
      <c r="C2565" s="141" t="s">
        <v>425</v>
      </c>
      <c r="D2565" s="140" t="s">
        <v>426</v>
      </c>
      <c r="E2565" s="140">
        <v>8</v>
      </c>
      <c r="F2565" s="142">
        <v>45939.583333333328</v>
      </c>
      <c r="G2565" s="140" t="s">
        <v>845</v>
      </c>
      <c r="H2565" s="140" t="s">
        <v>867</v>
      </c>
    </row>
    <row r="2566" spans="1:8" ht="15.75" customHeight="1">
      <c r="A2566" s="140" t="s">
        <v>74</v>
      </c>
      <c r="B2566" s="140" t="s">
        <v>21</v>
      </c>
      <c r="C2566" s="141" t="s">
        <v>425</v>
      </c>
      <c r="D2566" s="140" t="s">
        <v>426</v>
      </c>
      <c r="E2566" s="140">
        <v>9</v>
      </c>
      <c r="F2566" s="142">
        <v>45940.541666666672</v>
      </c>
      <c r="G2566" s="140" t="s">
        <v>845</v>
      </c>
      <c r="H2566" s="140" t="s">
        <v>867</v>
      </c>
    </row>
    <row r="2567" spans="1:8" ht="15.75" customHeight="1">
      <c r="A2567" s="140" t="s">
        <v>74</v>
      </c>
      <c r="B2567" s="140" t="s">
        <v>21</v>
      </c>
      <c r="C2567" s="141" t="s">
        <v>425</v>
      </c>
      <c r="D2567" s="140" t="s">
        <v>426</v>
      </c>
      <c r="E2567" s="140">
        <v>10</v>
      </c>
      <c r="F2567" s="142">
        <v>45947.458333333328</v>
      </c>
      <c r="G2567" s="140" t="s">
        <v>845</v>
      </c>
      <c r="H2567" s="140" t="s">
        <v>867</v>
      </c>
    </row>
    <row r="2568" spans="1:8" ht="15.75" customHeight="1">
      <c r="A2568" s="140" t="s">
        <v>74</v>
      </c>
      <c r="B2568" s="140" t="s">
        <v>21</v>
      </c>
      <c r="C2568" s="141" t="s">
        <v>425</v>
      </c>
      <c r="D2568" s="140" t="s">
        <v>426</v>
      </c>
      <c r="E2568" s="140">
        <v>11</v>
      </c>
      <c r="F2568" s="142">
        <v>45957.583333333328</v>
      </c>
      <c r="G2568" s="140" t="s">
        <v>845</v>
      </c>
      <c r="H2568" s="140" t="s">
        <v>867</v>
      </c>
    </row>
    <row r="2569" spans="1:8" ht="15.75" customHeight="1">
      <c r="A2569" s="140" t="s">
        <v>74</v>
      </c>
      <c r="B2569" s="140" t="s">
        <v>21</v>
      </c>
      <c r="C2569" s="141" t="s">
        <v>425</v>
      </c>
      <c r="D2569" s="140" t="s">
        <v>426</v>
      </c>
      <c r="E2569" s="140">
        <v>12</v>
      </c>
      <c r="F2569" s="142">
        <v>45964.458333333328</v>
      </c>
      <c r="G2569" s="140" t="s">
        <v>845</v>
      </c>
      <c r="H2569" s="140" t="s">
        <v>867</v>
      </c>
    </row>
    <row r="2570" spans="1:8" ht="15.75" customHeight="1">
      <c r="A2570" s="140" t="s">
        <v>74</v>
      </c>
      <c r="B2570" s="140" t="s">
        <v>21</v>
      </c>
      <c r="C2570" s="141" t="s">
        <v>425</v>
      </c>
      <c r="D2570" s="140" t="s">
        <v>426</v>
      </c>
      <c r="E2570" s="140">
        <v>13</v>
      </c>
      <c r="F2570" s="142">
        <v>45971.583333333328</v>
      </c>
      <c r="G2570" s="140" t="s">
        <v>845</v>
      </c>
      <c r="H2570" s="140" t="s">
        <v>867</v>
      </c>
    </row>
    <row r="2571" spans="1:8" ht="15.75" customHeight="1">
      <c r="A2571" s="140" t="s">
        <v>74</v>
      </c>
      <c r="B2571" s="140" t="s">
        <v>21</v>
      </c>
      <c r="C2571" s="141" t="s">
        <v>425</v>
      </c>
      <c r="D2571" s="140" t="s">
        <v>426</v>
      </c>
      <c r="E2571" s="140">
        <v>14</v>
      </c>
      <c r="F2571" s="142">
        <v>45985.416666666672</v>
      </c>
      <c r="G2571" s="140" t="s">
        <v>845</v>
      </c>
      <c r="H2571" s="140" t="s">
        <v>867</v>
      </c>
    </row>
    <row r="2572" spans="1:8" ht="15.75" customHeight="1">
      <c r="A2572" s="140" t="s">
        <v>74</v>
      </c>
      <c r="B2572" s="140" t="s">
        <v>22</v>
      </c>
      <c r="C2572" s="141" t="s">
        <v>425</v>
      </c>
      <c r="D2572" s="140" t="s">
        <v>426</v>
      </c>
      <c r="E2572" s="140">
        <v>2</v>
      </c>
      <c r="F2572" s="142">
        <v>46106.416666666672</v>
      </c>
      <c r="G2572" s="140" t="s">
        <v>845</v>
      </c>
      <c r="H2572" s="140" t="s">
        <v>867</v>
      </c>
    </row>
    <row r="2573" spans="1:8" ht="15.75" customHeight="1">
      <c r="A2573" s="140" t="s">
        <v>74</v>
      </c>
      <c r="B2573" s="140" t="s">
        <v>22</v>
      </c>
      <c r="C2573" s="141" t="s">
        <v>425</v>
      </c>
      <c r="D2573" s="140" t="s">
        <v>426</v>
      </c>
      <c r="E2573" s="140">
        <v>3</v>
      </c>
      <c r="F2573" s="142">
        <v>46114.458333333328</v>
      </c>
      <c r="G2573" s="140" t="s">
        <v>845</v>
      </c>
      <c r="H2573" s="140" t="s">
        <v>867</v>
      </c>
    </row>
    <row r="2574" spans="1:8" ht="15.75" customHeight="1">
      <c r="A2574" s="140" t="s">
        <v>74</v>
      </c>
      <c r="B2574" s="140" t="s">
        <v>22</v>
      </c>
      <c r="C2574" s="141" t="s">
        <v>425</v>
      </c>
      <c r="D2574" s="140" t="s">
        <v>426</v>
      </c>
      <c r="E2574" s="140">
        <v>4</v>
      </c>
      <c r="F2574" s="142">
        <v>46119.583333333328</v>
      </c>
      <c r="G2574" s="140" t="s">
        <v>845</v>
      </c>
      <c r="H2574" s="140" t="s">
        <v>867</v>
      </c>
    </row>
    <row r="2575" spans="1:8" ht="15.75" customHeight="1">
      <c r="A2575" s="140" t="s">
        <v>74</v>
      </c>
      <c r="B2575" s="140" t="s">
        <v>22</v>
      </c>
      <c r="C2575" s="141" t="s">
        <v>425</v>
      </c>
      <c r="D2575" s="140" t="s">
        <v>426</v>
      </c>
      <c r="E2575" s="140">
        <v>5</v>
      </c>
      <c r="F2575" s="142">
        <v>46126.416666666672</v>
      </c>
      <c r="G2575" s="140" t="s">
        <v>845</v>
      </c>
      <c r="H2575" s="140" t="s">
        <v>867</v>
      </c>
    </row>
    <row r="2576" spans="1:8" ht="15.75" customHeight="1">
      <c r="A2576" s="140" t="s">
        <v>74</v>
      </c>
      <c r="B2576" s="140" t="s">
        <v>22</v>
      </c>
      <c r="C2576" s="141" t="s">
        <v>425</v>
      </c>
      <c r="D2576" s="140" t="s">
        <v>426</v>
      </c>
      <c r="E2576" s="140">
        <v>6</v>
      </c>
      <c r="F2576" s="142">
        <v>46135.416666666672</v>
      </c>
      <c r="G2576" s="140" t="s">
        <v>845</v>
      </c>
      <c r="H2576" s="140" t="s">
        <v>867</v>
      </c>
    </row>
    <row r="2577" spans="1:8" ht="15.75" customHeight="1">
      <c r="A2577" s="140" t="s">
        <v>74</v>
      </c>
      <c r="B2577" s="140" t="s">
        <v>25</v>
      </c>
      <c r="C2577" s="141" t="s">
        <v>425</v>
      </c>
      <c r="D2577" s="140" t="s">
        <v>426</v>
      </c>
      <c r="E2577" s="140">
        <v>1</v>
      </c>
      <c r="F2577" s="142">
        <v>45818.375</v>
      </c>
      <c r="G2577" s="140" t="s">
        <v>845</v>
      </c>
      <c r="H2577" s="140" t="s">
        <v>867</v>
      </c>
    </row>
    <row r="2578" spans="1:8" ht="15.75" customHeight="1">
      <c r="A2578" s="140" t="s">
        <v>74</v>
      </c>
      <c r="B2578" s="140" t="s">
        <v>25</v>
      </c>
      <c r="C2578" s="141" t="s">
        <v>425</v>
      </c>
      <c r="D2578" s="140" t="s">
        <v>426</v>
      </c>
      <c r="E2578" s="140">
        <v>2</v>
      </c>
      <c r="F2578" s="142">
        <v>45827.375</v>
      </c>
      <c r="G2578" s="140" t="s">
        <v>845</v>
      </c>
      <c r="H2578" s="140" t="s">
        <v>867</v>
      </c>
    </row>
    <row r="2579" spans="1:8" ht="15.75" customHeight="1">
      <c r="A2579" s="140" t="s">
        <v>74</v>
      </c>
      <c r="B2579" s="140" t="s">
        <v>25</v>
      </c>
      <c r="C2579" s="141" t="s">
        <v>425</v>
      </c>
      <c r="D2579" s="140" t="s">
        <v>426</v>
      </c>
      <c r="E2579" s="140">
        <v>3</v>
      </c>
      <c r="F2579" s="142">
        <v>45831.375</v>
      </c>
      <c r="G2579" s="140" t="s">
        <v>845</v>
      </c>
      <c r="H2579" s="140" t="s">
        <v>867</v>
      </c>
    </row>
    <row r="2580" spans="1:8" ht="15.75" customHeight="1">
      <c r="A2580" s="140" t="s">
        <v>74</v>
      </c>
      <c r="B2580" s="140" t="s">
        <v>25</v>
      </c>
      <c r="C2580" s="141" t="s">
        <v>425</v>
      </c>
      <c r="D2580" s="140" t="s">
        <v>426</v>
      </c>
      <c r="E2580" s="140">
        <v>4</v>
      </c>
      <c r="F2580" s="142">
        <v>45840.458333333328</v>
      </c>
      <c r="G2580" s="140" t="s">
        <v>845</v>
      </c>
      <c r="H2580" s="140" t="s">
        <v>867</v>
      </c>
    </row>
    <row r="2581" spans="1:8" ht="15.75" customHeight="1">
      <c r="A2581" s="140" t="s">
        <v>74</v>
      </c>
      <c r="B2581" s="140" t="s">
        <v>25</v>
      </c>
      <c r="C2581" s="141" t="s">
        <v>425</v>
      </c>
      <c r="D2581" s="140" t="s">
        <v>426</v>
      </c>
      <c r="E2581" s="140">
        <v>5</v>
      </c>
      <c r="F2581" s="142">
        <v>45852.458333333328</v>
      </c>
      <c r="G2581" s="140" t="s">
        <v>845</v>
      </c>
      <c r="H2581" s="140" t="s">
        <v>867</v>
      </c>
    </row>
    <row r="2582" spans="1:8" ht="15.75" customHeight="1">
      <c r="A2582" s="140" t="s">
        <v>74</v>
      </c>
      <c r="B2582" s="140" t="s">
        <v>25</v>
      </c>
      <c r="C2582" s="141" t="s">
        <v>425</v>
      </c>
      <c r="D2582" s="140" t="s">
        <v>426</v>
      </c>
      <c r="E2582" s="140">
        <v>6</v>
      </c>
      <c r="F2582" s="142">
        <v>45855.458333333328</v>
      </c>
      <c r="G2582" s="140" t="s">
        <v>845</v>
      </c>
      <c r="H2582" s="140" t="s">
        <v>867</v>
      </c>
    </row>
    <row r="2583" spans="1:8" ht="15.75" customHeight="1">
      <c r="A2583" s="140" t="s">
        <v>74</v>
      </c>
      <c r="B2583" s="140" t="s">
        <v>25</v>
      </c>
      <c r="C2583" s="141" t="s">
        <v>425</v>
      </c>
      <c r="D2583" s="140" t="s">
        <v>426</v>
      </c>
      <c r="E2583" s="140">
        <v>7</v>
      </c>
      <c r="F2583" s="142">
        <v>45866.458333333328</v>
      </c>
      <c r="G2583" s="140" t="s">
        <v>845</v>
      </c>
      <c r="H2583" s="140" t="s">
        <v>867</v>
      </c>
    </row>
    <row r="2584" spans="1:8" ht="15.75" customHeight="1">
      <c r="A2584" s="140" t="s">
        <v>74</v>
      </c>
      <c r="B2584" s="140" t="s">
        <v>25</v>
      </c>
      <c r="C2584" s="141" t="s">
        <v>425</v>
      </c>
      <c r="D2584" s="140" t="s">
        <v>426</v>
      </c>
      <c r="E2584" s="140">
        <v>8</v>
      </c>
      <c r="F2584" s="142">
        <v>45881.625</v>
      </c>
      <c r="G2584" s="140" t="s">
        <v>843</v>
      </c>
      <c r="H2584" s="140" t="s">
        <v>867</v>
      </c>
    </row>
    <row r="2585" spans="1:8" ht="15.75" customHeight="1">
      <c r="A2585" s="140" t="s">
        <v>74</v>
      </c>
      <c r="B2585" s="140" t="s">
        <v>25</v>
      </c>
      <c r="C2585" s="141" t="s">
        <v>425</v>
      </c>
      <c r="D2585" s="140" t="s">
        <v>426</v>
      </c>
      <c r="E2585" s="140">
        <v>9</v>
      </c>
      <c r="F2585" s="142">
        <v>45884.583333333328</v>
      </c>
      <c r="G2585" s="140" t="s">
        <v>845</v>
      </c>
      <c r="H2585" s="140" t="s">
        <v>867</v>
      </c>
    </row>
    <row r="2586" spans="1:8" ht="15.75" customHeight="1">
      <c r="A2586" s="140" t="s">
        <v>74</v>
      </c>
      <c r="B2586" s="140" t="s">
        <v>25</v>
      </c>
      <c r="C2586" s="141" t="s">
        <v>425</v>
      </c>
      <c r="D2586" s="140" t="s">
        <v>426</v>
      </c>
      <c r="E2586" s="140">
        <v>10</v>
      </c>
      <c r="F2586" s="142">
        <v>45884.625</v>
      </c>
      <c r="G2586" s="140" t="s">
        <v>845</v>
      </c>
      <c r="H2586" s="140" t="s">
        <v>867</v>
      </c>
    </row>
    <row r="2587" spans="1:8" ht="15.75" customHeight="1">
      <c r="A2587" s="140" t="s">
        <v>74</v>
      </c>
      <c r="B2587" s="140" t="s">
        <v>25</v>
      </c>
      <c r="C2587" s="141" t="s">
        <v>425</v>
      </c>
      <c r="D2587" s="140" t="s">
        <v>426</v>
      </c>
      <c r="E2587" s="140">
        <v>11</v>
      </c>
      <c r="F2587" s="142">
        <v>45887.416666666672</v>
      </c>
      <c r="G2587" s="140" t="s">
        <v>845</v>
      </c>
      <c r="H2587" s="140" t="s">
        <v>867</v>
      </c>
    </row>
    <row r="2588" spans="1:8" ht="15.75" customHeight="1">
      <c r="A2588" s="140" t="s">
        <v>74</v>
      </c>
      <c r="B2588" s="140" t="s">
        <v>25</v>
      </c>
      <c r="C2588" s="141" t="s">
        <v>425</v>
      </c>
      <c r="D2588" s="140" t="s">
        <v>426</v>
      </c>
      <c r="E2588" s="140">
        <v>12</v>
      </c>
      <c r="F2588" s="142">
        <v>45903.458333333328</v>
      </c>
      <c r="G2588" s="140" t="s">
        <v>845</v>
      </c>
      <c r="H2588" s="140" t="s">
        <v>867</v>
      </c>
    </row>
    <row r="2589" spans="1:8" ht="15.75" customHeight="1">
      <c r="A2589" s="140" t="s">
        <v>74</v>
      </c>
      <c r="B2589" s="140" t="s">
        <v>25</v>
      </c>
      <c r="C2589" s="141" t="s">
        <v>425</v>
      </c>
      <c r="D2589" s="140" t="s">
        <v>426</v>
      </c>
      <c r="E2589" s="140">
        <v>13</v>
      </c>
      <c r="F2589" s="142">
        <v>45904.458333333328</v>
      </c>
      <c r="G2589" s="140" t="s">
        <v>845</v>
      </c>
      <c r="H2589" s="140" t="s">
        <v>867</v>
      </c>
    </row>
    <row r="2590" spans="1:8" ht="15.75" customHeight="1">
      <c r="A2590" s="140" t="s">
        <v>74</v>
      </c>
      <c r="B2590" s="140" t="s">
        <v>25</v>
      </c>
      <c r="C2590" s="141" t="s">
        <v>425</v>
      </c>
      <c r="D2590" s="140" t="s">
        <v>426</v>
      </c>
      <c r="E2590" s="140">
        <v>14</v>
      </c>
      <c r="F2590" s="142">
        <v>45909.458333333328</v>
      </c>
      <c r="G2590" s="140" t="s">
        <v>845</v>
      </c>
      <c r="H2590" s="140" t="s">
        <v>867</v>
      </c>
    </row>
    <row r="2591" spans="1:8" ht="15.75" customHeight="1">
      <c r="A2591" s="140" t="s">
        <v>74</v>
      </c>
      <c r="B2591" s="140" t="s">
        <v>25</v>
      </c>
      <c r="C2591" s="141" t="s">
        <v>425</v>
      </c>
      <c r="D2591" s="140" t="s">
        <v>426</v>
      </c>
      <c r="E2591" s="140">
        <v>15</v>
      </c>
      <c r="F2591" s="142">
        <v>45989.625</v>
      </c>
      <c r="G2591" s="140" t="s">
        <v>845</v>
      </c>
      <c r="H2591" s="140" t="s">
        <v>867</v>
      </c>
    </row>
    <row r="2592" spans="1:8" ht="15.75" customHeight="1">
      <c r="A2592" s="140" t="s">
        <v>74</v>
      </c>
      <c r="B2592" s="140" t="s">
        <v>25</v>
      </c>
      <c r="C2592" s="141" t="s">
        <v>425</v>
      </c>
      <c r="D2592" s="140" t="s">
        <v>426</v>
      </c>
      <c r="E2592" s="140">
        <v>16</v>
      </c>
      <c r="F2592" s="142">
        <v>46041.416666666672</v>
      </c>
      <c r="G2592" s="140" t="s">
        <v>845</v>
      </c>
      <c r="H2592" s="140" t="s">
        <v>867</v>
      </c>
    </row>
    <row r="2593" spans="1:8" ht="15.75" customHeight="1">
      <c r="A2593" s="140" t="s">
        <v>74</v>
      </c>
      <c r="B2593" s="140" t="s">
        <v>21</v>
      </c>
      <c r="C2593" s="141" t="s">
        <v>431</v>
      </c>
      <c r="D2593" s="140" t="s">
        <v>432</v>
      </c>
      <c r="E2593" s="140">
        <v>1</v>
      </c>
      <c r="F2593" s="142">
        <v>45813.375</v>
      </c>
      <c r="G2593" s="140" t="s">
        <v>845</v>
      </c>
      <c r="H2593" s="140" t="s">
        <v>867</v>
      </c>
    </row>
    <row r="2594" spans="1:8" ht="15.75" customHeight="1">
      <c r="A2594" s="140" t="s">
        <v>74</v>
      </c>
      <c r="B2594" s="140" t="s">
        <v>21</v>
      </c>
      <c r="C2594" s="141" t="s">
        <v>431</v>
      </c>
      <c r="D2594" s="140" t="s">
        <v>432</v>
      </c>
      <c r="E2594" s="140">
        <v>2</v>
      </c>
      <c r="F2594" s="142">
        <v>45818.375</v>
      </c>
      <c r="G2594" s="140" t="s">
        <v>845</v>
      </c>
      <c r="H2594" s="140" t="s">
        <v>867</v>
      </c>
    </row>
    <row r="2595" spans="1:8" ht="15.75" customHeight="1">
      <c r="A2595" s="140" t="s">
        <v>74</v>
      </c>
      <c r="B2595" s="140" t="s">
        <v>21</v>
      </c>
      <c r="C2595" s="141" t="s">
        <v>431</v>
      </c>
      <c r="D2595" s="140" t="s">
        <v>432</v>
      </c>
      <c r="E2595" s="140">
        <v>3</v>
      </c>
      <c r="F2595" s="142">
        <v>45827.375</v>
      </c>
      <c r="G2595" s="140" t="s">
        <v>845</v>
      </c>
      <c r="H2595" s="140" t="s">
        <v>867</v>
      </c>
    </row>
    <row r="2596" spans="1:8" ht="15.75" customHeight="1">
      <c r="A2596" s="140" t="s">
        <v>74</v>
      </c>
      <c r="B2596" s="140" t="s">
        <v>21</v>
      </c>
      <c r="C2596" s="141" t="s">
        <v>431</v>
      </c>
      <c r="D2596" s="140" t="s">
        <v>432</v>
      </c>
      <c r="E2596" s="140">
        <v>4</v>
      </c>
      <c r="F2596" s="142">
        <v>45831.375</v>
      </c>
      <c r="G2596" s="140" t="s">
        <v>845</v>
      </c>
      <c r="H2596" s="140" t="s">
        <v>867</v>
      </c>
    </row>
    <row r="2597" spans="1:8" ht="15.75" customHeight="1">
      <c r="A2597" s="140" t="s">
        <v>74</v>
      </c>
      <c r="B2597" s="140" t="s">
        <v>21</v>
      </c>
      <c r="C2597" s="141" t="s">
        <v>431</v>
      </c>
      <c r="D2597" s="140" t="s">
        <v>432</v>
      </c>
      <c r="E2597" s="140">
        <v>5</v>
      </c>
      <c r="F2597" s="142">
        <v>45917.458333333328</v>
      </c>
      <c r="G2597" s="140" t="s">
        <v>845</v>
      </c>
      <c r="H2597" s="140" t="s">
        <v>867</v>
      </c>
    </row>
    <row r="2598" spans="1:8" ht="15.75" customHeight="1">
      <c r="A2598" s="140" t="s">
        <v>74</v>
      </c>
      <c r="B2598" s="140" t="s">
        <v>21</v>
      </c>
      <c r="C2598" s="141" t="s">
        <v>431</v>
      </c>
      <c r="D2598" s="140" t="s">
        <v>432</v>
      </c>
      <c r="E2598" s="140">
        <v>6</v>
      </c>
      <c r="F2598" s="142">
        <v>45923.458333333328</v>
      </c>
      <c r="G2598" s="140" t="s">
        <v>845</v>
      </c>
      <c r="H2598" s="140" t="s">
        <v>867</v>
      </c>
    </row>
    <row r="2599" spans="1:8" ht="15.75" customHeight="1">
      <c r="A2599" s="140" t="s">
        <v>74</v>
      </c>
      <c r="B2599" s="140" t="s">
        <v>21</v>
      </c>
      <c r="C2599" s="141" t="s">
        <v>431</v>
      </c>
      <c r="D2599" s="140" t="s">
        <v>432</v>
      </c>
      <c r="E2599" s="140">
        <v>7</v>
      </c>
      <c r="F2599" s="142">
        <v>45926.625</v>
      </c>
      <c r="G2599" s="140" t="s">
        <v>845</v>
      </c>
      <c r="H2599" s="140" t="s">
        <v>867</v>
      </c>
    </row>
    <row r="2600" spans="1:8" ht="15.75" customHeight="1">
      <c r="A2600" s="140" t="s">
        <v>74</v>
      </c>
      <c r="B2600" s="140" t="s">
        <v>21</v>
      </c>
      <c r="C2600" s="141" t="s">
        <v>431</v>
      </c>
      <c r="D2600" s="140" t="s">
        <v>432</v>
      </c>
      <c r="E2600" s="140">
        <v>8</v>
      </c>
      <c r="F2600" s="142">
        <v>45939.583333333328</v>
      </c>
      <c r="G2600" s="140" t="s">
        <v>845</v>
      </c>
      <c r="H2600" s="140" t="s">
        <v>867</v>
      </c>
    </row>
    <row r="2601" spans="1:8" ht="15.75" customHeight="1">
      <c r="A2601" s="140" t="s">
        <v>74</v>
      </c>
      <c r="B2601" s="140" t="s">
        <v>21</v>
      </c>
      <c r="C2601" s="141" t="s">
        <v>431</v>
      </c>
      <c r="D2601" s="140" t="s">
        <v>432</v>
      </c>
      <c r="E2601" s="140">
        <v>9</v>
      </c>
      <c r="F2601" s="142">
        <v>45940.541666666672</v>
      </c>
      <c r="G2601" s="140" t="s">
        <v>845</v>
      </c>
      <c r="H2601" s="140" t="s">
        <v>867</v>
      </c>
    </row>
    <row r="2602" spans="1:8" ht="15.75" customHeight="1">
      <c r="A2602" s="140" t="s">
        <v>74</v>
      </c>
      <c r="B2602" s="140" t="s">
        <v>21</v>
      </c>
      <c r="C2602" s="141" t="s">
        <v>431</v>
      </c>
      <c r="D2602" s="140" t="s">
        <v>432</v>
      </c>
      <c r="E2602" s="140">
        <v>10</v>
      </c>
      <c r="F2602" s="142">
        <v>45947.458333333328</v>
      </c>
      <c r="G2602" s="140" t="s">
        <v>845</v>
      </c>
      <c r="H2602" s="140" t="s">
        <v>867</v>
      </c>
    </row>
    <row r="2603" spans="1:8" ht="15.75" customHeight="1">
      <c r="A2603" s="140" t="s">
        <v>74</v>
      </c>
      <c r="B2603" s="140" t="s">
        <v>21</v>
      </c>
      <c r="C2603" s="141" t="s">
        <v>431</v>
      </c>
      <c r="D2603" s="140" t="s">
        <v>432</v>
      </c>
      <c r="E2603" s="140">
        <v>11</v>
      </c>
      <c r="F2603" s="142">
        <v>45957.583333333328</v>
      </c>
      <c r="G2603" s="140" t="s">
        <v>845</v>
      </c>
      <c r="H2603" s="140" t="s">
        <v>867</v>
      </c>
    </row>
    <row r="2604" spans="1:8" ht="15.75" customHeight="1">
      <c r="A2604" s="140" t="s">
        <v>74</v>
      </c>
      <c r="B2604" s="140" t="s">
        <v>21</v>
      </c>
      <c r="C2604" s="141" t="s">
        <v>431</v>
      </c>
      <c r="D2604" s="140" t="s">
        <v>432</v>
      </c>
      <c r="E2604" s="140">
        <v>12</v>
      </c>
      <c r="F2604" s="142">
        <v>45964.458333333328</v>
      </c>
      <c r="G2604" s="140" t="s">
        <v>845</v>
      </c>
      <c r="H2604" s="140" t="s">
        <v>867</v>
      </c>
    </row>
    <row r="2605" spans="1:8" ht="15.75" customHeight="1">
      <c r="A2605" s="140" t="s">
        <v>74</v>
      </c>
      <c r="B2605" s="140" t="s">
        <v>21</v>
      </c>
      <c r="C2605" s="141" t="s">
        <v>431</v>
      </c>
      <c r="D2605" s="140" t="s">
        <v>432</v>
      </c>
      <c r="E2605" s="140">
        <v>13</v>
      </c>
      <c r="F2605" s="142">
        <v>45971.583333333328</v>
      </c>
      <c r="G2605" s="140" t="s">
        <v>845</v>
      </c>
      <c r="H2605" s="140" t="s">
        <v>867</v>
      </c>
    </row>
    <row r="2606" spans="1:8" ht="15.75" customHeight="1">
      <c r="A2606" s="140" t="s">
        <v>74</v>
      </c>
      <c r="B2606" s="140" t="s">
        <v>21</v>
      </c>
      <c r="C2606" s="141" t="s">
        <v>431</v>
      </c>
      <c r="D2606" s="140" t="s">
        <v>432</v>
      </c>
      <c r="E2606" s="140">
        <v>14</v>
      </c>
      <c r="F2606" s="142">
        <v>45985.416666666672</v>
      </c>
      <c r="G2606" s="140" t="s">
        <v>845</v>
      </c>
      <c r="H2606" s="140" t="s">
        <v>867</v>
      </c>
    </row>
    <row r="2607" spans="1:8" ht="15.75" customHeight="1">
      <c r="A2607" s="140" t="s">
        <v>74</v>
      </c>
      <c r="B2607" s="140" t="s">
        <v>22</v>
      </c>
      <c r="C2607" s="141" t="s">
        <v>431</v>
      </c>
      <c r="D2607" s="140" t="s">
        <v>432</v>
      </c>
      <c r="E2607" s="140">
        <v>2</v>
      </c>
      <c r="F2607" s="142">
        <v>46106.416666666672</v>
      </c>
      <c r="G2607" s="140" t="s">
        <v>845</v>
      </c>
      <c r="H2607" s="140" t="s">
        <v>867</v>
      </c>
    </row>
    <row r="2608" spans="1:8" ht="15.75" customHeight="1">
      <c r="A2608" s="140" t="s">
        <v>74</v>
      </c>
      <c r="B2608" s="140" t="s">
        <v>22</v>
      </c>
      <c r="C2608" s="141" t="s">
        <v>431</v>
      </c>
      <c r="D2608" s="140" t="s">
        <v>432</v>
      </c>
      <c r="E2608" s="140">
        <v>3</v>
      </c>
      <c r="F2608" s="142">
        <v>46114.458333333328</v>
      </c>
      <c r="G2608" s="140" t="s">
        <v>845</v>
      </c>
      <c r="H2608" s="140" t="s">
        <v>867</v>
      </c>
    </row>
    <row r="2609" spans="1:8" ht="15.75" customHeight="1">
      <c r="A2609" s="140" t="s">
        <v>74</v>
      </c>
      <c r="B2609" s="140" t="s">
        <v>22</v>
      </c>
      <c r="C2609" s="141" t="s">
        <v>431</v>
      </c>
      <c r="D2609" s="140" t="s">
        <v>432</v>
      </c>
      <c r="E2609" s="140">
        <v>4</v>
      </c>
      <c r="F2609" s="142">
        <v>46119.583333333328</v>
      </c>
      <c r="G2609" s="140" t="s">
        <v>845</v>
      </c>
      <c r="H2609" s="140" t="s">
        <v>867</v>
      </c>
    </row>
    <row r="2610" spans="1:8" ht="15.75" customHeight="1">
      <c r="A2610" s="140" t="s">
        <v>74</v>
      </c>
      <c r="B2610" s="140" t="s">
        <v>22</v>
      </c>
      <c r="C2610" s="141" t="s">
        <v>431</v>
      </c>
      <c r="D2610" s="140" t="s">
        <v>432</v>
      </c>
      <c r="E2610" s="140">
        <v>5</v>
      </c>
      <c r="F2610" s="142">
        <v>46126.416666666672</v>
      </c>
      <c r="G2610" s="140" t="s">
        <v>845</v>
      </c>
      <c r="H2610" s="140" t="s">
        <v>867</v>
      </c>
    </row>
    <row r="2611" spans="1:8" ht="15.75" customHeight="1">
      <c r="A2611" s="140" t="s">
        <v>74</v>
      </c>
      <c r="B2611" s="140" t="s">
        <v>22</v>
      </c>
      <c r="C2611" s="141" t="s">
        <v>431</v>
      </c>
      <c r="D2611" s="140" t="s">
        <v>432</v>
      </c>
      <c r="E2611" s="140">
        <v>6</v>
      </c>
      <c r="F2611" s="142">
        <v>46135.416666666672</v>
      </c>
      <c r="G2611" s="140" t="s">
        <v>845</v>
      </c>
      <c r="H2611" s="140" t="s">
        <v>867</v>
      </c>
    </row>
    <row r="2612" spans="1:8" ht="15.75" customHeight="1">
      <c r="A2612" s="140" t="s">
        <v>74</v>
      </c>
      <c r="B2612" s="140" t="s">
        <v>25</v>
      </c>
      <c r="C2612" s="141" t="s">
        <v>431</v>
      </c>
      <c r="D2612" s="140" t="s">
        <v>432</v>
      </c>
      <c r="E2612" s="140">
        <v>1</v>
      </c>
      <c r="F2612" s="142">
        <v>45818.375</v>
      </c>
      <c r="G2612" s="140" t="s">
        <v>845</v>
      </c>
      <c r="H2612" s="140" t="s">
        <v>867</v>
      </c>
    </row>
    <row r="2613" spans="1:8" ht="15.75" customHeight="1">
      <c r="A2613" s="140" t="s">
        <v>74</v>
      </c>
      <c r="B2613" s="140" t="s">
        <v>25</v>
      </c>
      <c r="C2613" s="141" t="s">
        <v>431</v>
      </c>
      <c r="D2613" s="140" t="s">
        <v>432</v>
      </c>
      <c r="E2613" s="140">
        <v>2</v>
      </c>
      <c r="F2613" s="142">
        <v>45827.375</v>
      </c>
      <c r="G2613" s="140" t="s">
        <v>845</v>
      </c>
      <c r="H2613" s="140" t="s">
        <v>867</v>
      </c>
    </row>
    <row r="2614" spans="1:8" ht="15.75" customHeight="1">
      <c r="A2614" s="140" t="s">
        <v>74</v>
      </c>
      <c r="B2614" s="140" t="s">
        <v>25</v>
      </c>
      <c r="C2614" s="141" t="s">
        <v>431</v>
      </c>
      <c r="D2614" s="140" t="s">
        <v>432</v>
      </c>
      <c r="E2614" s="140">
        <v>3</v>
      </c>
      <c r="F2614" s="142">
        <v>45831.375</v>
      </c>
      <c r="G2614" s="140" t="s">
        <v>845</v>
      </c>
      <c r="H2614" s="140" t="s">
        <v>867</v>
      </c>
    </row>
    <row r="2615" spans="1:8" ht="15.75" customHeight="1">
      <c r="A2615" s="140" t="s">
        <v>74</v>
      </c>
      <c r="B2615" s="140" t="s">
        <v>25</v>
      </c>
      <c r="C2615" s="141" t="s">
        <v>431</v>
      </c>
      <c r="D2615" s="140" t="s">
        <v>432</v>
      </c>
      <c r="E2615" s="140">
        <v>4</v>
      </c>
      <c r="F2615" s="142">
        <v>45840.458333333328</v>
      </c>
      <c r="G2615" s="140" t="s">
        <v>845</v>
      </c>
      <c r="H2615" s="140" t="s">
        <v>867</v>
      </c>
    </row>
    <row r="2616" spans="1:8" ht="15.75" customHeight="1">
      <c r="A2616" s="140" t="s">
        <v>74</v>
      </c>
      <c r="B2616" s="140" t="s">
        <v>25</v>
      </c>
      <c r="C2616" s="141" t="s">
        <v>431</v>
      </c>
      <c r="D2616" s="140" t="s">
        <v>432</v>
      </c>
      <c r="E2616" s="140">
        <v>5</v>
      </c>
      <c r="F2616" s="142">
        <v>45852.458333333328</v>
      </c>
      <c r="G2616" s="140" t="s">
        <v>845</v>
      </c>
      <c r="H2616" s="140" t="s">
        <v>867</v>
      </c>
    </row>
    <row r="2617" spans="1:8" ht="15.75" customHeight="1">
      <c r="A2617" s="140" t="s">
        <v>74</v>
      </c>
      <c r="B2617" s="140" t="s">
        <v>25</v>
      </c>
      <c r="C2617" s="141" t="s">
        <v>431</v>
      </c>
      <c r="D2617" s="140" t="s">
        <v>432</v>
      </c>
      <c r="E2617" s="140">
        <v>6</v>
      </c>
      <c r="F2617" s="142">
        <v>45855.458333333328</v>
      </c>
      <c r="G2617" s="140" t="s">
        <v>845</v>
      </c>
      <c r="H2617" s="140" t="s">
        <v>867</v>
      </c>
    </row>
    <row r="2618" spans="1:8" ht="15.75" customHeight="1">
      <c r="A2618" s="140" t="s">
        <v>74</v>
      </c>
      <c r="B2618" s="140" t="s">
        <v>25</v>
      </c>
      <c r="C2618" s="141" t="s">
        <v>431</v>
      </c>
      <c r="D2618" s="140" t="s">
        <v>432</v>
      </c>
      <c r="E2618" s="140">
        <v>7</v>
      </c>
      <c r="F2618" s="142">
        <v>45866.458333333328</v>
      </c>
      <c r="G2618" s="140" t="s">
        <v>845</v>
      </c>
      <c r="H2618" s="140" t="s">
        <v>867</v>
      </c>
    </row>
    <row r="2619" spans="1:8" ht="15.75" customHeight="1">
      <c r="A2619" s="140" t="s">
        <v>74</v>
      </c>
      <c r="B2619" s="140" t="s">
        <v>25</v>
      </c>
      <c r="C2619" s="141" t="s">
        <v>431</v>
      </c>
      <c r="D2619" s="140" t="s">
        <v>432</v>
      </c>
      <c r="E2619" s="140">
        <v>8</v>
      </c>
      <c r="F2619" s="142">
        <v>45881.625</v>
      </c>
      <c r="G2619" s="140" t="s">
        <v>845</v>
      </c>
      <c r="H2619" s="140" t="s">
        <v>867</v>
      </c>
    </row>
    <row r="2620" spans="1:8" ht="15.75" customHeight="1">
      <c r="A2620" s="140" t="s">
        <v>74</v>
      </c>
      <c r="B2620" s="140" t="s">
        <v>25</v>
      </c>
      <c r="C2620" s="141" t="s">
        <v>431</v>
      </c>
      <c r="D2620" s="140" t="s">
        <v>432</v>
      </c>
      <c r="E2620" s="140">
        <v>9</v>
      </c>
      <c r="F2620" s="142">
        <v>45884.583333333328</v>
      </c>
      <c r="G2620" s="140" t="s">
        <v>845</v>
      </c>
      <c r="H2620" s="140" t="s">
        <v>867</v>
      </c>
    </row>
    <row r="2621" spans="1:8" ht="15.75" customHeight="1">
      <c r="A2621" s="140" t="s">
        <v>74</v>
      </c>
      <c r="B2621" s="140" t="s">
        <v>25</v>
      </c>
      <c r="C2621" s="141" t="s">
        <v>431</v>
      </c>
      <c r="D2621" s="140" t="s">
        <v>432</v>
      </c>
      <c r="E2621" s="140">
        <v>10</v>
      </c>
      <c r="F2621" s="142">
        <v>45884.625</v>
      </c>
      <c r="G2621" s="140" t="s">
        <v>845</v>
      </c>
      <c r="H2621" s="140" t="s">
        <v>867</v>
      </c>
    </row>
    <row r="2622" spans="1:8" ht="15.75" customHeight="1">
      <c r="A2622" s="140" t="s">
        <v>74</v>
      </c>
      <c r="B2622" s="140" t="s">
        <v>25</v>
      </c>
      <c r="C2622" s="141" t="s">
        <v>431</v>
      </c>
      <c r="D2622" s="140" t="s">
        <v>432</v>
      </c>
      <c r="E2622" s="140">
        <v>11</v>
      </c>
      <c r="F2622" s="142">
        <v>45887.416666666672</v>
      </c>
      <c r="G2622" s="140" t="s">
        <v>845</v>
      </c>
      <c r="H2622" s="140" t="s">
        <v>867</v>
      </c>
    </row>
    <row r="2623" spans="1:8" ht="15.75" customHeight="1">
      <c r="A2623" s="140" t="s">
        <v>74</v>
      </c>
      <c r="B2623" s="140" t="s">
        <v>25</v>
      </c>
      <c r="C2623" s="141" t="s">
        <v>431</v>
      </c>
      <c r="D2623" s="140" t="s">
        <v>432</v>
      </c>
      <c r="E2623" s="140">
        <v>12</v>
      </c>
      <c r="F2623" s="142">
        <v>45903.458333333328</v>
      </c>
      <c r="G2623" s="140" t="s">
        <v>845</v>
      </c>
      <c r="H2623" s="140" t="s">
        <v>867</v>
      </c>
    </row>
    <row r="2624" spans="1:8" ht="15.75" customHeight="1">
      <c r="A2624" s="140" t="s">
        <v>74</v>
      </c>
      <c r="B2624" s="140" t="s">
        <v>25</v>
      </c>
      <c r="C2624" s="141" t="s">
        <v>431</v>
      </c>
      <c r="D2624" s="140" t="s">
        <v>432</v>
      </c>
      <c r="E2624" s="140">
        <v>13</v>
      </c>
      <c r="F2624" s="142">
        <v>45904.458333333328</v>
      </c>
      <c r="G2624" s="140" t="s">
        <v>845</v>
      </c>
      <c r="H2624" s="140" t="s">
        <v>867</v>
      </c>
    </row>
    <row r="2625" spans="1:8" ht="15.75" customHeight="1">
      <c r="A2625" s="140" t="s">
        <v>74</v>
      </c>
      <c r="B2625" s="140" t="s">
        <v>25</v>
      </c>
      <c r="C2625" s="141" t="s">
        <v>431</v>
      </c>
      <c r="D2625" s="140" t="s">
        <v>432</v>
      </c>
      <c r="E2625" s="140">
        <v>14</v>
      </c>
      <c r="F2625" s="142">
        <v>45909.458333333328</v>
      </c>
      <c r="G2625" s="140" t="s">
        <v>845</v>
      </c>
      <c r="H2625" s="140" t="s">
        <v>867</v>
      </c>
    </row>
    <row r="2626" spans="1:8" ht="15.75" customHeight="1">
      <c r="A2626" s="140" t="s">
        <v>74</v>
      </c>
      <c r="B2626" s="140" t="s">
        <v>25</v>
      </c>
      <c r="C2626" s="141" t="s">
        <v>431</v>
      </c>
      <c r="D2626" s="140" t="s">
        <v>432</v>
      </c>
      <c r="E2626" s="140">
        <v>15</v>
      </c>
      <c r="F2626" s="142">
        <v>45989.625</v>
      </c>
      <c r="G2626" s="140" t="s">
        <v>845</v>
      </c>
      <c r="H2626" s="140" t="s">
        <v>867</v>
      </c>
    </row>
    <row r="2627" spans="1:8" ht="15.75" customHeight="1">
      <c r="A2627" s="140" t="s">
        <v>74</v>
      </c>
      <c r="B2627" s="140" t="s">
        <v>25</v>
      </c>
      <c r="C2627" s="141" t="s">
        <v>431</v>
      </c>
      <c r="D2627" s="140" t="s">
        <v>432</v>
      </c>
      <c r="E2627" s="140">
        <v>16</v>
      </c>
      <c r="F2627" s="142">
        <v>46041.416666666672</v>
      </c>
      <c r="G2627" s="140" t="s">
        <v>845</v>
      </c>
      <c r="H2627" s="140" t="s">
        <v>867</v>
      </c>
    </row>
    <row r="2628" spans="1:8" ht="15.75" customHeight="1">
      <c r="A2628" s="140" t="s">
        <v>74</v>
      </c>
      <c r="B2628" s="140" t="s">
        <v>21</v>
      </c>
      <c r="C2628" s="141" t="s">
        <v>453</v>
      </c>
      <c r="D2628" s="140" t="s">
        <v>454</v>
      </c>
      <c r="E2628" s="140">
        <v>1</v>
      </c>
      <c r="F2628" s="142">
        <v>45813.375</v>
      </c>
      <c r="G2628" s="140" t="s">
        <v>843</v>
      </c>
      <c r="H2628" s="140" t="s">
        <v>867</v>
      </c>
    </row>
    <row r="2629" spans="1:8" ht="15.75" customHeight="1">
      <c r="A2629" s="140" t="s">
        <v>74</v>
      </c>
      <c r="B2629" s="140" t="s">
        <v>21</v>
      </c>
      <c r="C2629" s="141" t="s">
        <v>453</v>
      </c>
      <c r="D2629" s="140" t="s">
        <v>454</v>
      </c>
      <c r="E2629" s="140">
        <v>2</v>
      </c>
      <c r="F2629" s="142">
        <v>45818.375</v>
      </c>
      <c r="G2629" s="140" t="s">
        <v>845</v>
      </c>
      <c r="H2629" s="140" t="s">
        <v>867</v>
      </c>
    </row>
    <row r="2630" spans="1:8" ht="15.75" customHeight="1">
      <c r="A2630" s="140" t="s">
        <v>74</v>
      </c>
      <c r="B2630" s="140" t="s">
        <v>21</v>
      </c>
      <c r="C2630" s="141" t="s">
        <v>453</v>
      </c>
      <c r="D2630" s="140" t="s">
        <v>454</v>
      </c>
      <c r="E2630" s="140">
        <v>3</v>
      </c>
      <c r="F2630" s="142">
        <v>45827.375</v>
      </c>
      <c r="G2630" s="140" t="s">
        <v>845</v>
      </c>
      <c r="H2630" s="140" t="s">
        <v>867</v>
      </c>
    </row>
    <row r="2631" spans="1:8" ht="15.75" customHeight="1">
      <c r="A2631" s="140" t="s">
        <v>74</v>
      </c>
      <c r="B2631" s="140" t="s">
        <v>21</v>
      </c>
      <c r="C2631" s="141" t="s">
        <v>453</v>
      </c>
      <c r="D2631" s="140" t="s">
        <v>454</v>
      </c>
      <c r="E2631" s="140">
        <v>4</v>
      </c>
      <c r="F2631" s="142">
        <v>45831.375</v>
      </c>
      <c r="G2631" s="140" t="s">
        <v>845</v>
      </c>
      <c r="H2631" s="140" t="s">
        <v>867</v>
      </c>
    </row>
    <row r="2632" spans="1:8" ht="15.75" customHeight="1">
      <c r="A2632" s="140" t="s">
        <v>74</v>
      </c>
      <c r="B2632" s="140" t="s">
        <v>21</v>
      </c>
      <c r="C2632" s="141" t="s">
        <v>453</v>
      </c>
      <c r="D2632" s="140" t="s">
        <v>454</v>
      </c>
      <c r="E2632" s="140">
        <v>5</v>
      </c>
      <c r="F2632" s="142">
        <v>45917.458333333328</v>
      </c>
      <c r="G2632" s="140" t="s">
        <v>845</v>
      </c>
      <c r="H2632" s="140" t="s">
        <v>867</v>
      </c>
    </row>
    <row r="2633" spans="1:8" ht="15.75" customHeight="1">
      <c r="A2633" s="140" t="s">
        <v>74</v>
      </c>
      <c r="B2633" s="140" t="s">
        <v>21</v>
      </c>
      <c r="C2633" s="141" t="s">
        <v>453</v>
      </c>
      <c r="D2633" s="140" t="s">
        <v>454</v>
      </c>
      <c r="E2633" s="140">
        <v>6</v>
      </c>
      <c r="F2633" s="142">
        <v>45923.458333333328</v>
      </c>
      <c r="G2633" s="140" t="s">
        <v>845</v>
      </c>
      <c r="H2633" s="140" t="s">
        <v>867</v>
      </c>
    </row>
    <row r="2634" spans="1:8" ht="15.75" customHeight="1">
      <c r="A2634" s="140" t="s">
        <v>74</v>
      </c>
      <c r="B2634" s="140" t="s">
        <v>21</v>
      </c>
      <c r="C2634" s="141" t="s">
        <v>453</v>
      </c>
      <c r="D2634" s="140" t="s">
        <v>454</v>
      </c>
      <c r="E2634" s="140">
        <v>7</v>
      </c>
      <c r="F2634" s="142">
        <v>45926.625</v>
      </c>
      <c r="G2634" s="140" t="s">
        <v>845</v>
      </c>
      <c r="H2634" s="140" t="s">
        <v>867</v>
      </c>
    </row>
    <row r="2635" spans="1:8" ht="15.75" customHeight="1">
      <c r="A2635" s="140" t="s">
        <v>74</v>
      </c>
      <c r="B2635" s="140" t="s">
        <v>21</v>
      </c>
      <c r="C2635" s="141" t="s">
        <v>453</v>
      </c>
      <c r="D2635" s="140" t="s">
        <v>454</v>
      </c>
      <c r="E2635" s="140">
        <v>8</v>
      </c>
      <c r="F2635" s="142">
        <v>45939.583333333328</v>
      </c>
      <c r="G2635" s="140" t="s">
        <v>845</v>
      </c>
      <c r="H2635" s="140" t="s">
        <v>867</v>
      </c>
    </row>
    <row r="2636" spans="1:8" ht="15.75" customHeight="1">
      <c r="A2636" s="140" t="s">
        <v>74</v>
      </c>
      <c r="B2636" s="140" t="s">
        <v>21</v>
      </c>
      <c r="C2636" s="141" t="s">
        <v>453</v>
      </c>
      <c r="D2636" s="140" t="s">
        <v>454</v>
      </c>
      <c r="E2636" s="140">
        <v>9</v>
      </c>
      <c r="F2636" s="142">
        <v>45940.541666666672</v>
      </c>
      <c r="G2636" s="140" t="s">
        <v>845</v>
      </c>
      <c r="H2636" s="140" t="s">
        <v>867</v>
      </c>
    </row>
    <row r="2637" spans="1:8" ht="15.75" customHeight="1">
      <c r="A2637" s="140" t="s">
        <v>74</v>
      </c>
      <c r="B2637" s="140" t="s">
        <v>21</v>
      </c>
      <c r="C2637" s="141" t="s">
        <v>453</v>
      </c>
      <c r="D2637" s="140" t="s">
        <v>454</v>
      </c>
      <c r="E2637" s="140">
        <v>10</v>
      </c>
      <c r="F2637" s="142">
        <v>45947.458333333328</v>
      </c>
      <c r="G2637" s="140" t="s">
        <v>845</v>
      </c>
      <c r="H2637" s="140" t="s">
        <v>867</v>
      </c>
    </row>
    <row r="2638" spans="1:8" ht="15.75" customHeight="1">
      <c r="A2638" s="140" t="s">
        <v>74</v>
      </c>
      <c r="B2638" s="140" t="s">
        <v>21</v>
      </c>
      <c r="C2638" s="141" t="s">
        <v>453</v>
      </c>
      <c r="D2638" s="140" t="s">
        <v>454</v>
      </c>
      <c r="E2638" s="140">
        <v>11</v>
      </c>
      <c r="F2638" s="142">
        <v>45957.583333333328</v>
      </c>
      <c r="G2638" s="140" t="s">
        <v>845</v>
      </c>
      <c r="H2638" s="140" t="s">
        <v>867</v>
      </c>
    </row>
    <row r="2639" spans="1:8" ht="15.75" customHeight="1">
      <c r="A2639" s="140" t="s">
        <v>74</v>
      </c>
      <c r="B2639" s="140" t="s">
        <v>21</v>
      </c>
      <c r="C2639" s="141" t="s">
        <v>453</v>
      </c>
      <c r="D2639" s="140" t="s">
        <v>454</v>
      </c>
      <c r="E2639" s="140">
        <v>12</v>
      </c>
      <c r="F2639" s="142">
        <v>45964.458333333328</v>
      </c>
      <c r="G2639" s="140" t="s">
        <v>845</v>
      </c>
      <c r="H2639" s="140" t="s">
        <v>867</v>
      </c>
    </row>
    <row r="2640" spans="1:8" ht="15.75" customHeight="1">
      <c r="A2640" s="140" t="s">
        <v>74</v>
      </c>
      <c r="B2640" s="140" t="s">
        <v>21</v>
      </c>
      <c r="C2640" s="141" t="s">
        <v>453</v>
      </c>
      <c r="D2640" s="140" t="s">
        <v>454</v>
      </c>
      <c r="E2640" s="140">
        <v>13</v>
      </c>
      <c r="F2640" s="142">
        <v>45971.583333333328</v>
      </c>
      <c r="G2640" s="140" t="s">
        <v>845</v>
      </c>
      <c r="H2640" s="140" t="s">
        <v>867</v>
      </c>
    </row>
    <row r="2641" spans="1:8" ht="15.75" customHeight="1">
      <c r="A2641" s="140" t="s">
        <v>74</v>
      </c>
      <c r="B2641" s="140" t="s">
        <v>21</v>
      </c>
      <c r="C2641" s="141" t="s">
        <v>453</v>
      </c>
      <c r="D2641" s="140" t="s">
        <v>454</v>
      </c>
      <c r="E2641" s="140">
        <v>14</v>
      </c>
      <c r="F2641" s="142">
        <v>45985.416666666672</v>
      </c>
      <c r="G2641" s="140" t="s">
        <v>845</v>
      </c>
      <c r="H2641" s="140" t="s">
        <v>867</v>
      </c>
    </row>
    <row r="2642" spans="1:8" ht="15.75" customHeight="1">
      <c r="A2642" s="140" t="s">
        <v>74</v>
      </c>
      <c r="B2642" s="140" t="s">
        <v>22</v>
      </c>
      <c r="C2642" s="141" t="s">
        <v>453</v>
      </c>
      <c r="D2642" s="140" t="s">
        <v>454</v>
      </c>
      <c r="E2642" s="140">
        <v>2</v>
      </c>
      <c r="F2642" s="142">
        <v>46106.416666666672</v>
      </c>
      <c r="G2642" s="140" t="s">
        <v>845</v>
      </c>
      <c r="H2642" s="140" t="s">
        <v>867</v>
      </c>
    </row>
    <row r="2643" spans="1:8" ht="15.75" customHeight="1">
      <c r="A2643" s="140" t="s">
        <v>74</v>
      </c>
      <c r="B2643" s="140" t="s">
        <v>22</v>
      </c>
      <c r="C2643" s="141" t="s">
        <v>453</v>
      </c>
      <c r="D2643" s="140" t="s">
        <v>454</v>
      </c>
      <c r="E2643" s="140">
        <v>3</v>
      </c>
      <c r="F2643" s="142">
        <v>46114.458333333328</v>
      </c>
      <c r="G2643" s="140" t="s">
        <v>845</v>
      </c>
      <c r="H2643" s="140" t="s">
        <v>867</v>
      </c>
    </row>
    <row r="2644" spans="1:8" ht="15.75" customHeight="1">
      <c r="A2644" s="140" t="s">
        <v>74</v>
      </c>
      <c r="B2644" s="140" t="s">
        <v>22</v>
      </c>
      <c r="C2644" s="141" t="s">
        <v>453</v>
      </c>
      <c r="D2644" s="140" t="s">
        <v>454</v>
      </c>
      <c r="E2644" s="140">
        <v>4</v>
      </c>
      <c r="F2644" s="142">
        <v>46119.583333333328</v>
      </c>
      <c r="G2644" s="140" t="s">
        <v>845</v>
      </c>
      <c r="H2644" s="140" t="s">
        <v>867</v>
      </c>
    </row>
    <row r="2645" spans="1:8" ht="15.75" customHeight="1">
      <c r="A2645" s="140" t="s">
        <v>74</v>
      </c>
      <c r="B2645" s="140" t="s">
        <v>22</v>
      </c>
      <c r="C2645" s="141" t="s">
        <v>453</v>
      </c>
      <c r="D2645" s="140" t="s">
        <v>454</v>
      </c>
      <c r="E2645" s="140">
        <v>5</v>
      </c>
      <c r="F2645" s="142">
        <v>46126.416666666672</v>
      </c>
      <c r="G2645" s="140" t="s">
        <v>845</v>
      </c>
      <c r="H2645" s="140" t="s">
        <v>867</v>
      </c>
    </row>
    <row r="2646" spans="1:8" ht="15.75" customHeight="1">
      <c r="A2646" s="140" t="s">
        <v>74</v>
      </c>
      <c r="B2646" s="140" t="s">
        <v>22</v>
      </c>
      <c r="C2646" s="141" t="s">
        <v>453</v>
      </c>
      <c r="D2646" s="140" t="s">
        <v>454</v>
      </c>
      <c r="E2646" s="140">
        <v>6</v>
      </c>
      <c r="F2646" s="142">
        <v>46135.416666666672</v>
      </c>
      <c r="G2646" s="140" t="s">
        <v>845</v>
      </c>
      <c r="H2646" s="140" t="s">
        <v>867</v>
      </c>
    </row>
    <row r="2647" spans="1:8" ht="15.75" customHeight="1">
      <c r="A2647" s="140" t="s">
        <v>74</v>
      </c>
      <c r="B2647" s="140" t="s">
        <v>25</v>
      </c>
      <c r="C2647" s="141" t="s">
        <v>453</v>
      </c>
      <c r="D2647" s="140" t="s">
        <v>454</v>
      </c>
      <c r="E2647" s="140">
        <v>1</v>
      </c>
      <c r="F2647" s="142">
        <v>45818.375</v>
      </c>
      <c r="G2647" s="140" t="s">
        <v>845</v>
      </c>
      <c r="H2647" s="140" t="s">
        <v>867</v>
      </c>
    </row>
    <row r="2648" spans="1:8" ht="15.75" customHeight="1">
      <c r="A2648" s="140" t="s">
        <v>74</v>
      </c>
      <c r="B2648" s="140" t="s">
        <v>25</v>
      </c>
      <c r="C2648" s="141" t="s">
        <v>453</v>
      </c>
      <c r="D2648" s="140" t="s">
        <v>454</v>
      </c>
      <c r="E2648" s="140">
        <v>2</v>
      </c>
      <c r="F2648" s="142">
        <v>45827.375</v>
      </c>
      <c r="G2648" s="140" t="s">
        <v>845</v>
      </c>
      <c r="H2648" s="140" t="s">
        <v>867</v>
      </c>
    </row>
    <row r="2649" spans="1:8" ht="15.75" customHeight="1">
      <c r="A2649" s="140" t="s">
        <v>74</v>
      </c>
      <c r="B2649" s="140" t="s">
        <v>25</v>
      </c>
      <c r="C2649" s="141" t="s">
        <v>453</v>
      </c>
      <c r="D2649" s="140" t="s">
        <v>454</v>
      </c>
      <c r="E2649" s="140">
        <v>3</v>
      </c>
      <c r="F2649" s="142">
        <v>45831.375</v>
      </c>
      <c r="G2649" s="140" t="s">
        <v>845</v>
      </c>
      <c r="H2649" s="140" t="s">
        <v>867</v>
      </c>
    </row>
    <row r="2650" spans="1:8" ht="15.75" customHeight="1">
      <c r="A2650" s="140" t="s">
        <v>74</v>
      </c>
      <c r="B2650" s="140" t="s">
        <v>25</v>
      </c>
      <c r="C2650" s="141" t="s">
        <v>453</v>
      </c>
      <c r="D2650" s="140" t="s">
        <v>454</v>
      </c>
      <c r="E2650" s="140">
        <v>4</v>
      </c>
      <c r="F2650" s="142">
        <v>45840.458333333328</v>
      </c>
      <c r="G2650" s="140" t="s">
        <v>845</v>
      </c>
      <c r="H2650" s="140" t="s">
        <v>867</v>
      </c>
    </row>
    <row r="2651" spans="1:8" ht="15.75" customHeight="1">
      <c r="A2651" s="140" t="s">
        <v>74</v>
      </c>
      <c r="B2651" s="140" t="s">
        <v>25</v>
      </c>
      <c r="C2651" s="141" t="s">
        <v>453</v>
      </c>
      <c r="D2651" s="140" t="s">
        <v>454</v>
      </c>
      <c r="E2651" s="140">
        <v>5</v>
      </c>
      <c r="F2651" s="142">
        <v>45852.458333333328</v>
      </c>
      <c r="G2651" s="140" t="s">
        <v>845</v>
      </c>
      <c r="H2651" s="140" t="s">
        <v>867</v>
      </c>
    </row>
    <row r="2652" spans="1:8" ht="15.75" customHeight="1">
      <c r="A2652" s="140" t="s">
        <v>74</v>
      </c>
      <c r="B2652" s="140" t="s">
        <v>25</v>
      </c>
      <c r="C2652" s="141" t="s">
        <v>453</v>
      </c>
      <c r="D2652" s="140" t="s">
        <v>454</v>
      </c>
      <c r="E2652" s="140">
        <v>6</v>
      </c>
      <c r="F2652" s="142">
        <v>45855.458333333328</v>
      </c>
      <c r="G2652" s="140" t="s">
        <v>845</v>
      </c>
      <c r="H2652" s="140" t="s">
        <v>867</v>
      </c>
    </row>
    <row r="2653" spans="1:8" ht="15.75" customHeight="1">
      <c r="A2653" s="140" t="s">
        <v>74</v>
      </c>
      <c r="B2653" s="140" t="s">
        <v>25</v>
      </c>
      <c r="C2653" s="141" t="s">
        <v>453</v>
      </c>
      <c r="D2653" s="140" t="s">
        <v>454</v>
      </c>
      <c r="E2653" s="140">
        <v>7</v>
      </c>
      <c r="F2653" s="142">
        <v>45866.458333333328</v>
      </c>
      <c r="G2653" s="140" t="s">
        <v>845</v>
      </c>
      <c r="H2653" s="140" t="s">
        <v>867</v>
      </c>
    </row>
    <row r="2654" spans="1:8" ht="15.75" customHeight="1">
      <c r="A2654" s="140" t="s">
        <v>74</v>
      </c>
      <c r="B2654" s="140" t="s">
        <v>25</v>
      </c>
      <c r="C2654" s="141" t="s">
        <v>453</v>
      </c>
      <c r="D2654" s="140" t="s">
        <v>454</v>
      </c>
      <c r="E2654" s="140">
        <v>8</v>
      </c>
      <c r="F2654" s="142">
        <v>45881.625</v>
      </c>
      <c r="G2654" s="140" t="s">
        <v>845</v>
      </c>
      <c r="H2654" s="140" t="s">
        <v>867</v>
      </c>
    </row>
    <row r="2655" spans="1:8" ht="15.75" customHeight="1">
      <c r="A2655" s="140" t="s">
        <v>74</v>
      </c>
      <c r="B2655" s="140" t="s">
        <v>25</v>
      </c>
      <c r="C2655" s="141" t="s">
        <v>453</v>
      </c>
      <c r="D2655" s="140" t="s">
        <v>454</v>
      </c>
      <c r="E2655" s="140">
        <v>9</v>
      </c>
      <c r="F2655" s="142">
        <v>45884.583333333328</v>
      </c>
      <c r="G2655" s="140" t="s">
        <v>845</v>
      </c>
      <c r="H2655" s="140" t="s">
        <v>867</v>
      </c>
    </row>
    <row r="2656" spans="1:8" ht="15.75" customHeight="1">
      <c r="A2656" s="140" t="s">
        <v>74</v>
      </c>
      <c r="B2656" s="140" t="s">
        <v>25</v>
      </c>
      <c r="C2656" s="141" t="s">
        <v>453</v>
      </c>
      <c r="D2656" s="140" t="s">
        <v>454</v>
      </c>
      <c r="E2656" s="140">
        <v>10</v>
      </c>
      <c r="F2656" s="142">
        <v>45884.625</v>
      </c>
      <c r="G2656" s="140" t="s">
        <v>845</v>
      </c>
      <c r="H2656" s="140" t="s">
        <v>867</v>
      </c>
    </row>
    <row r="2657" spans="1:8" ht="15.75" customHeight="1">
      <c r="A2657" s="140" t="s">
        <v>74</v>
      </c>
      <c r="B2657" s="140" t="s">
        <v>25</v>
      </c>
      <c r="C2657" s="141" t="s">
        <v>453</v>
      </c>
      <c r="D2657" s="140" t="s">
        <v>454</v>
      </c>
      <c r="E2657" s="140">
        <v>11</v>
      </c>
      <c r="F2657" s="142">
        <v>45887.416666666672</v>
      </c>
      <c r="G2657" s="140" t="s">
        <v>845</v>
      </c>
      <c r="H2657" s="140" t="s">
        <v>867</v>
      </c>
    </row>
    <row r="2658" spans="1:8" ht="15.75" customHeight="1">
      <c r="A2658" s="140" t="s">
        <v>74</v>
      </c>
      <c r="B2658" s="140" t="s">
        <v>25</v>
      </c>
      <c r="C2658" s="141" t="s">
        <v>453</v>
      </c>
      <c r="D2658" s="140" t="s">
        <v>454</v>
      </c>
      <c r="E2658" s="140">
        <v>12</v>
      </c>
      <c r="F2658" s="142">
        <v>45903.458333333328</v>
      </c>
      <c r="G2658" s="140" t="s">
        <v>845</v>
      </c>
      <c r="H2658" s="140" t="s">
        <v>867</v>
      </c>
    </row>
    <row r="2659" spans="1:8" ht="15.75" customHeight="1">
      <c r="A2659" s="140" t="s">
        <v>74</v>
      </c>
      <c r="B2659" s="140" t="s">
        <v>25</v>
      </c>
      <c r="C2659" s="141" t="s">
        <v>453</v>
      </c>
      <c r="D2659" s="140" t="s">
        <v>454</v>
      </c>
      <c r="E2659" s="140">
        <v>13</v>
      </c>
      <c r="F2659" s="142">
        <v>45904.458333333328</v>
      </c>
      <c r="G2659" s="140" t="s">
        <v>845</v>
      </c>
      <c r="H2659" s="140" t="s">
        <v>867</v>
      </c>
    </row>
    <row r="2660" spans="1:8" ht="15.75" customHeight="1">
      <c r="A2660" s="140" t="s">
        <v>74</v>
      </c>
      <c r="B2660" s="140" t="s">
        <v>25</v>
      </c>
      <c r="C2660" s="141" t="s">
        <v>453</v>
      </c>
      <c r="D2660" s="140" t="s">
        <v>454</v>
      </c>
      <c r="E2660" s="140">
        <v>14</v>
      </c>
      <c r="F2660" s="142">
        <v>45909.458333333328</v>
      </c>
      <c r="G2660" s="140" t="s">
        <v>843</v>
      </c>
      <c r="H2660" s="140" t="s">
        <v>867</v>
      </c>
    </row>
    <row r="2661" spans="1:8" ht="15.75" customHeight="1">
      <c r="A2661" s="140" t="s">
        <v>74</v>
      </c>
      <c r="B2661" s="140" t="s">
        <v>25</v>
      </c>
      <c r="C2661" s="141" t="s">
        <v>453</v>
      </c>
      <c r="D2661" s="140" t="s">
        <v>454</v>
      </c>
      <c r="E2661" s="140">
        <v>15</v>
      </c>
      <c r="F2661" s="142">
        <v>45989.625</v>
      </c>
      <c r="G2661" s="140" t="s">
        <v>845</v>
      </c>
      <c r="H2661" s="140" t="s">
        <v>867</v>
      </c>
    </row>
    <row r="2662" spans="1:8" ht="15.75" customHeight="1">
      <c r="A2662" s="140" t="s">
        <v>74</v>
      </c>
      <c r="B2662" s="140" t="s">
        <v>25</v>
      </c>
      <c r="C2662" s="141" t="s">
        <v>453</v>
      </c>
      <c r="D2662" s="140" t="s">
        <v>454</v>
      </c>
      <c r="E2662" s="140">
        <v>16</v>
      </c>
      <c r="F2662" s="142">
        <v>46041.416666666672</v>
      </c>
      <c r="G2662" s="140" t="s">
        <v>845</v>
      </c>
      <c r="H2662" s="140" t="s">
        <v>867</v>
      </c>
    </row>
    <row r="2663" spans="1:8" ht="15.75" customHeight="1">
      <c r="A2663" s="140" t="s">
        <v>74</v>
      </c>
      <c r="B2663" s="140" t="s">
        <v>21</v>
      </c>
      <c r="C2663" s="141" t="s">
        <v>492</v>
      </c>
      <c r="D2663" s="140" t="s">
        <v>493</v>
      </c>
      <c r="E2663" s="140">
        <v>1</v>
      </c>
      <c r="F2663" s="142">
        <v>45813.375</v>
      </c>
      <c r="G2663" s="140" t="s">
        <v>843</v>
      </c>
      <c r="H2663" s="140" t="s">
        <v>867</v>
      </c>
    </row>
    <row r="2664" spans="1:8" ht="15.75" customHeight="1">
      <c r="A2664" s="140" t="s">
        <v>74</v>
      </c>
      <c r="B2664" s="140" t="s">
        <v>21</v>
      </c>
      <c r="C2664" s="141" t="s">
        <v>492</v>
      </c>
      <c r="D2664" s="140" t="s">
        <v>493</v>
      </c>
      <c r="E2664" s="140">
        <v>5</v>
      </c>
      <c r="F2664" s="142">
        <v>45917.458333333328</v>
      </c>
      <c r="G2664" s="140" t="s">
        <v>843</v>
      </c>
      <c r="H2664" s="140" t="s">
        <v>867</v>
      </c>
    </row>
    <row r="2665" spans="1:8" ht="15.75" customHeight="1">
      <c r="A2665" s="140" t="s">
        <v>74</v>
      </c>
      <c r="B2665" s="140" t="s">
        <v>21</v>
      </c>
      <c r="C2665" s="141" t="s">
        <v>492</v>
      </c>
      <c r="D2665" s="140" t="s">
        <v>493</v>
      </c>
      <c r="E2665" s="140">
        <v>6</v>
      </c>
      <c r="F2665" s="142">
        <v>45923.458333333328</v>
      </c>
      <c r="G2665" s="140" t="s">
        <v>843</v>
      </c>
      <c r="H2665" s="140" t="s">
        <v>867</v>
      </c>
    </row>
    <row r="2666" spans="1:8" ht="15.75" customHeight="1">
      <c r="A2666" s="140" t="s">
        <v>74</v>
      </c>
      <c r="B2666" s="140" t="s">
        <v>21</v>
      </c>
      <c r="C2666" s="141" t="s">
        <v>492</v>
      </c>
      <c r="D2666" s="140" t="s">
        <v>493</v>
      </c>
      <c r="E2666" s="140">
        <v>8</v>
      </c>
      <c r="F2666" s="142">
        <v>45939.583333333328</v>
      </c>
      <c r="G2666" s="140" t="s">
        <v>843</v>
      </c>
      <c r="H2666" s="140" t="s">
        <v>867</v>
      </c>
    </row>
    <row r="2667" spans="1:8" ht="15.75" customHeight="1">
      <c r="A2667" s="140" t="s">
        <v>74</v>
      </c>
      <c r="B2667" s="140" t="s">
        <v>21</v>
      </c>
      <c r="C2667" s="141" t="s">
        <v>492</v>
      </c>
      <c r="D2667" s="140" t="s">
        <v>493</v>
      </c>
      <c r="E2667" s="140">
        <v>9</v>
      </c>
      <c r="F2667" s="142">
        <v>45940.541666666672</v>
      </c>
      <c r="G2667" s="140" t="s">
        <v>843</v>
      </c>
      <c r="H2667" s="140" t="s">
        <v>867</v>
      </c>
    </row>
    <row r="2668" spans="1:8" ht="15.75" customHeight="1">
      <c r="A2668" s="140" t="s">
        <v>74</v>
      </c>
      <c r="B2668" s="140" t="s">
        <v>21</v>
      </c>
      <c r="C2668" s="141" t="s">
        <v>492</v>
      </c>
      <c r="D2668" s="140" t="s">
        <v>493</v>
      </c>
      <c r="E2668" s="140">
        <v>10</v>
      </c>
      <c r="F2668" s="142">
        <v>45947.458333333328</v>
      </c>
      <c r="G2668" s="140" t="s">
        <v>843</v>
      </c>
      <c r="H2668" s="140" t="s">
        <v>867</v>
      </c>
    </row>
    <row r="2669" spans="1:8" ht="15.75" customHeight="1">
      <c r="A2669" s="140" t="s">
        <v>74</v>
      </c>
      <c r="B2669" s="140" t="s">
        <v>21</v>
      </c>
      <c r="C2669" s="141" t="s">
        <v>492</v>
      </c>
      <c r="D2669" s="140" t="s">
        <v>493</v>
      </c>
      <c r="E2669" s="140">
        <v>11</v>
      </c>
      <c r="F2669" s="142">
        <v>45957.583333333328</v>
      </c>
      <c r="G2669" s="140" t="s">
        <v>843</v>
      </c>
      <c r="H2669" s="140" t="s">
        <v>867</v>
      </c>
    </row>
    <row r="2670" spans="1:8" ht="15.75" customHeight="1">
      <c r="A2670" s="140" t="s">
        <v>74</v>
      </c>
      <c r="B2670" s="140" t="s">
        <v>21</v>
      </c>
      <c r="C2670" s="141" t="s">
        <v>492</v>
      </c>
      <c r="D2670" s="140" t="s">
        <v>493</v>
      </c>
      <c r="E2670" s="140">
        <v>12</v>
      </c>
      <c r="F2670" s="142">
        <v>45964.458333333328</v>
      </c>
      <c r="G2670" s="140" t="s">
        <v>843</v>
      </c>
      <c r="H2670" s="140" t="s">
        <v>867</v>
      </c>
    </row>
    <row r="2671" spans="1:8" ht="15.75" customHeight="1">
      <c r="A2671" s="140" t="s">
        <v>74</v>
      </c>
      <c r="B2671" s="140" t="s">
        <v>21</v>
      </c>
      <c r="C2671" s="141" t="s">
        <v>492</v>
      </c>
      <c r="D2671" s="140" t="s">
        <v>493</v>
      </c>
      <c r="E2671" s="140">
        <v>13</v>
      </c>
      <c r="F2671" s="142">
        <v>45971.583333333328</v>
      </c>
      <c r="G2671" s="140" t="s">
        <v>843</v>
      </c>
      <c r="H2671" s="140" t="s">
        <v>867</v>
      </c>
    </row>
    <row r="2672" spans="1:8" ht="15.75" customHeight="1">
      <c r="A2672" s="140" t="s">
        <v>74</v>
      </c>
      <c r="B2672" s="140" t="s">
        <v>21</v>
      </c>
      <c r="C2672" s="141" t="s">
        <v>492</v>
      </c>
      <c r="D2672" s="140" t="s">
        <v>493</v>
      </c>
      <c r="E2672" s="140">
        <v>14</v>
      </c>
      <c r="F2672" s="142">
        <v>45985.416666666672</v>
      </c>
      <c r="G2672" s="140" t="s">
        <v>843</v>
      </c>
      <c r="H2672" s="140" t="s">
        <v>867</v>
      </c>
    </row>
    <row r="2673" spans="1:8" ht="15.75" customHeight="1">
      <c r="A2673" s="140" t="s">
        <v>74</v>
      </c>
      <c r="B2673" s="140" t="s">
        <v>22</v>
      </c>
      <c r="C2673" s="141" t="s">
        <v>492</v>
      </c>
      <c r="D2673" s="140" t="s">
        <v>493</v>
      </c>
      <c r="E2673" s="140">
        <v>2</v>
      </c>
      <c r="F2673" s="142">
        <v>46106.416666666672</v>
      </c>
      <c r="G2673" s="140" t="s">
        <v>843</v>
      </c>
      <c r="H2673" s="140" t="s">
        <v>867</v>
      </c>
    </row>
    <row r="2674" spans="1:8" ht="15.75" customHeight="1">
      <c r="A2674" s="140" t="s">
        <v>74</v>
      </c>
      <c r="B2674" s="140" t="s">
        <v>22</v>
      </c>
      <c r="C2674" s="141" t="s">
        <v>492</v>
      </c>
      <c r="D2674" s="140" t="s">
        <v>493</v>
      </c>
      <c r="E2674" s="140">
        <v>3</v>
      </c>
      <c r="F2674" s="142">
        <v>46114.458333333328</v>
      </c>
      <c r="G2674" s="140" t="s">
        <v>843</v>
      </c>
      <c r="H2674" s="140" t="s">
        <v>867</v>
      </c>
    </row>
    <row r="2675" spans="1:8" ht="15.75" customHeight="1">
      <c r="A2675" s="140" t="s">
        <v>74</v>
      </c>
      <c r="B2675" s="140" t="s">
        <v>22</v>
      </c>
      <c r="C2675" s="141" t="s">
        <v>492</v>
      </c>
      <c r="D2675" s="140" t="s">
        <v>493</v>
      </c>
      <c r="E2675" s="140">
        <v>4</v>
      </c>
      <c r="F2675" s="142">
        <v>46119.583333333328</v>
      </c>
      <c r="G2675" s="140" t="s">
        <v>843</v>
      </c>
      <c r="H2675" s="140" t="s">
        <v>867</v>
      </c>
    </row>
    <row r="2676" spans="1:8" ht="15.75" customHeight="1">
      <c r="A2676" s="140" t="s">
        <v>74</v>
      </c>
      <c r="B2676" s="140" t="s">
        <v>22</v>
      </c>
      <c r="C2676" s="141" t="s">
        <v>492</v>
      </c>
      <c r="D2676" s="140" t="s">
        <v>493</v>
      </c>
      <c r="E2676" s="140">
        <v>5</v>
      </c>
      <c r="F2676" s="142">
        <v>46126.416666666672</v>
      </c>
      <c r="G2676" s="140" t="s">
        <v>843</v>
      </c>
      <c r="H2676" s="140" t="s">
        <v>867</v>
      </c>
    </row>
    <row r="2677" spans="1:8" ht="15.75" customHeight="1">
      <c r="A2677" s="140" t="s">
        <v>74</v>
      </c>
      <c r="B2677" s="140" t="s">
        <v>22</v>
      </c>
      <c r="C2677" s="141" t="s">
        <v>492</v>
      </c>
      <c r="D2677" s="140" t="s">
        <v>493</v>
      </c>
      <c r="E2677" s="140">
        <v>6</v>
      </c>
      <c r="F2677" s="142">
        <v>46135.416666666672</v>
      </c>
      <c r="G2677" s="140" t="s">
        <v>843</v>
      </c>
      <c r="H2677" s="140" t="s">
        <v>867</v>
      </c>
    </row>
    <row r="2678" spans="1:8" ht="15.75" customHeight="1">
      <c r="A2678" s="140" t="s">
        <v>74</v>
      </c>
      <c r="B2678" s="140" t="s">
        <v>21</v>
      </c>
      <c r="C2678" s="141" t="s">
        <v>591</v>
      </c>
      <c r="D2678" s="140" t="s">
        <v>592</v>
      </c>
      <c r="E2678" s="140">
        <v>1</v>
      </c>
      <c r="F2678" s="142">
        <v>45813.375</v>
      </c>
      <c r="G2678" s="140" t="s">
        <v>845</v>
      </c>
      <c r="H2678" s="140" t="s">
        <v>867</v>
      </c>
    </row>
    <row r="2679" spans="1:8" ht="15.75" customHeight="1">
      <c r="A2679" s="140" t="s">
        <v>74</v>
      </c>
      <c r="B2679" s="140" t="s">
        <v>21</v>
      </c>
      <c r="C2679" s="141" t="s">
        <v>591</v>
      </c>
      <c r="D2679" s="140" t="s">
        <v>592</v>
      </c>
      <c r="E2679" s="140">
        <v>2</v>
      </c>
      <c r="F2679" s="142">
        <v>45818.375</v>
      </c>
      <c r="G2679" s="140" t="s">
        <v>845</v>
      </c>
      <c r="H2679" s="140" t="s">
        <v>867</v>
      </c>
    </row>
    <row r="2680" spans="1:8" ht="15.75" customHeight="1">
      <c r="A2680" s="140" t="s">
        <v>74</v>
      </c>
      <c r="B2680" s="140" t="s">
        <v>21</v>
      </c>
      <c r="C2680" s="141" t="s">
        <v>591</v>
      </c>
      <c r="D2680" s="140" t="s">
        <v>592</v>
      </c>
      <c r="E2680" s="140">
        <v>3</v>
      </c>
      <c r="F2680" s="142">
        <v>45827.375</v>
      </c>
      <c r="G2680" s="140" t="s">
        <v>843</v>
      </c>
      <c r="H2680" s="140" t="s">
        <v>867</v>
      </c>
    </row>
    <row r="2681" spans="1:8" ht="15.75" customHeight="1">
      <c r="A2681" s="140" t="s">
        <v>74</v>
      </c>
      <c r="B2681" s="140" t="s">
        <v>21</v>
      </c>
      <c r="C2681" s="141" t="s">
        <v>591</v>
      </c>
      <c r="D2681" s="140" t="s">
        <v>592</v>
      </c>
      <c r="E2681" s="140">
        <v>4</v>
      </c>
      <c r="F2681" s="142">
        <v>45831.375</v>
      </c>
      <c r="G2681" s="140" t="s">
        <v>843</v>
      </c>
      <c r="H2681" s="140" t="s">
        <v>867</v>
      </c>
    </row>
    <row r="2682" spans="1:8" ht="15.75" customHeight="1">
      <c r="A2682" s="140" t="s">
        <v>74</v>
      </c>
      <c r="B2682" s="140" t="s">
        <v>21</v>
      </c>
      <c r="C2682" s="141" t="s">
        <v>591</v>
      </c>
      <c r="D2682" s="140" t="s">
        <v>592</v>
      </c>
      <c r="E2682" s="140">
        <v>5</v>
      </c>
      <c r="F2682" s="142">
        <v>45917.458333333328</v>
      </c>
      <c r="G2682" s="140" t="s">
        <v>843</v>
      </c>
      <c r="H2682" s="140" t="s">
        <v>867</v>
      </c>
    </row>
    <row r="2683" spans="1:8" ht="15.75" customHeight="1">
      <c r="A2683" s="140" t="s">
        <v>74</v>
      </c>
      <c r="B2683" s="140" t="s">
        <v>21</v>
      </c>
      <c r="C2683" s="141" t="s">
        <v>591</v>
      </c>
      <c r="D2683" s="140" t="s">
        <v>592</v>
      </c>
      <c r="E2683" s="140">
        <v>6</v>
      </c>
      <c r="F2683" s="142">
        <v>45923.458333333328</v>
      </c>
      <c r="G2683" s="140" t="s">
        <v>843</v>
      </c>
      <c r="H2683" s="140" t="s">
        <v>867</v>
      </c>
    </row>
    <row r="2684" spans="1:8" ht="15.75" customHeight="1">
      <c r="A2684" s="140" t="s">
        <v>74</v>
      </c>
      <c r="B2684" s="140" t="s">
        <v>21</v>
      </c>
      <c r="C2684" s="141" t="s">
        <v>591</v>
      </c>
      <c r="D2684" s="140" t="s">
        <v>592</v>
      </c>
      <c r="E2684" s="140">
        <v>8</v>
      </c>
      <c r="F2684" s="142">
        <v>45939.583333333328</v>
      </c>
      <c r="G2684" s="140" t="s">
        <v>843</v>
      </c>
      <c r="H2684" s="140" t="s">
        <v>867</v>
      </c>
    </row>
    <row r="2685" spans="1:8" ht="15.75" customHeight="1">
      <c r="A2685" s="140" t="s">
        <v>74</v>
      </c>
      <c r="B2685" s="140" t="s">
        <v>21</v>
      </c>
      <c r="C2685" s="141" t="s">
        <v>591</v>
      </c>
      <c r="D2685" s="140" t="s">
        <v>592</v>
      </c>
      <c r="E2685" s="140">
        <v>9</v>
      </c>
      <c r="F2685" s="142">
        <v>45940.541666666672</v>
      </c>
      <c r="G2685" s="140" t="s">
        <v>843</v>
      </c>
      <c r="H2685" s="140" t="s">
        <v>867</v>
      </c>
    </row>
    <row r="2686" spans="1:8" ht="15.75" customHeight="1">
      <c r="A2686" s="140" t="s">
        <v>74</v>
      </c>
      <c r="B2686" s="140" t="s">
        <v>21</v>
      </c>
      <c r="C2686" s="141" t="s">
        <v>591</v>
      </c>
      <c r="D2686" s="140" t="s">
        <v>592</v>
      </c>
      <c r="E2686" s="140">
        <v>10</v>
      </c>
      <c r="F2686" s="142">
        <v>45947.458333333328</v>
      </c>
      <c r="G2686" s="140" t="s">
        <v>843</v>
      </c>
      <c r="H2686" s="140" t="s">
        <v>867</v>
      </c>
    </row>
    <row r="2687" spans="1:8" ht="15.75" customHeight="1">
      <c r="A2687" s="140" t="s">
        <v>74</v>
      </c>
      <c r="B2687" s="140" t="s">
        <v>21</v>
      </c>
      <c r="C2687" s="141" t="s">
        <v>591</v>
      </c>
      <c r="D2687" s="140" t="s">
        <v>592</v>
      </c>
      <c r="E2687" s="140">
        <v>11</v>
      </c>
      <c r="F2687" s="142">
        <v>45957.583333333328</v>
      </c>
      <c r="G2687" s="140" t="s">
        <v>843</v>
      </c>
      <c r="H2687" s="140" t="s">
        <v>867</v>
      </c>
    </row>
    <row r="2688" spans="1:8" ht="15.75" customHeight="1">
      <c r="A2688" s="140" t="s">
        <v>74</v>
      </c>
      <c r="B2688" s="140" t="s">
        <v>21</v>
      </c>
      <c r="C2688" s="141" t="s">
        <v>591</v>
      </c>
      <c r="D2688" s="140" t="s">
        <v>592</v>
      </c>
      <c r="E2688" s="140">
        <v>12</v>
      </c>
      <c r="F2688" s="142">
        <v>45964.458333333328</v>
      </c>
      <c r="G2688" s="140" t="s">
        <v>843</v>
      </c>
      <c r="H2688" s="140" t="s">
        <v>867</v>
      </c>
    </row>
    <row r="2689" spans="1:8" ht="15.75" customHeight="1">
      <c r="A2689" s="140" t="s">
        <v>74</v>
      </c>
      <c r="B2689" s="140" t="s">
        <v>21</v>
      </c>
      <c r="C2689" s="141" t="s">
        <v>591</v>
      </c>
      <c r="D2689" s="140" t="s">
        <v>592</v>
      </c>
      <c r="E2689" s="140">
        <v>13</v>
      </c>
      <c r="F2689" s="142">
        <v>45971.583333333328</v>
      </c>
      <c r="G2689" s="140" t="s">
        <v>843</v>
      </c>
      <c r="H2689" s="140" t="s">
        <v>867</v>
      </c>
    </row>
    <row r="2690" spans="1:8" ht="15.75" customHeight="1">
      <c r="A2690" s="140" t="s">
        <v>74</v>
      </c>
      <c r="B2690" s="140" t="s">
        <v>21</v>
      </c>
      <c r="C2690" s="141" t="s">
        <v>591</v>
      </c>
      <c r="D2690" s="140" t="s">
        <v>592</v>
      </c>
      <c r="E2690" s="140">
        <v>14</v>
      </c>
      <c r="F2690" s="142">
        <v>45985.416666666672</v>
      </c>
      <c r="G2690" s="140" t="s">
        <v>843</v>
      </c>
      <c r="H2690" s="140" t="s">
        <v>867</v>
      </c>
    </row>
    <row r="2691" spans="1:8" ht="15.75" customHeight="1">
      <c r="A2691" s="140" t="s">
        <v>74</v>
      </c>
      <c r="B2691" s="140" t="s">
        <v>22</v>
      </c>
      <c r="C2691" s="141" t="s">
        <v>591</v>
      </c>
      <c r="D2691" s="140" t="s">
        <v>592</v>
      </c>
      <c r="E2691" s="140">
        <v>2</v>
      </c>
      <c r="F2691" s="142">
        <v>46106.416666666672</v>
      </c>
      <c r="G2691" s="140" t="s">
        <v>843</v>
      </c>
      <c r="H2691" s="140" t="s">
        <v>867</v>
      </c>
    </row>
    <row r="2692" spans="1:8" ht="15.75" customHeight="1">
      <c r="A2692" s="140" t="s">
        <v>74</v>
      </c>
      <c r="B2692" s="140" t="s">
        <v>22</v>
      </c>
      <c r="C2692" s="141" t="s">
        <v>591</v>
      </c>
      <c r="D2692" s="140" t="s">
        <v>592</v>
      </c>
      <c r="E2692" s="140">
        <v>3</v>
      </c>
      <c r="F2692" s="142">
        <v>46114.458333333328</v>
      </c>
      <c r="G2692" s="140" t="s">
        <v>843</v>
      </c>
      <c r="H2692" s="140" t="s">
        <v>867</v>
      </c>
    </row>
    <row r="2693" spans="1:8" ht="15.75" customHeight="1">
      <c r="A2693" s="140" t="s">
        <v>74</v>
      </c>
      <c r="B2693" s="140" t="s">
        <v>22</v>
      </c>
      <c r="C2693" s="141" t="s">
        <v>591</v>
      </c>
      <c r="D2693" s="140" t="s">
        <v>592</v>
      </c>
      <c r="E2693" s="140">
        <v>4</v>
      </c>
      <c r="F2693" s="142">
        <v>46119.583333333328</v>
      </c>
      <c r="G2693" s="140" t="s">
        <v>843</v>
      </c>
      <c r="H2693" s="140" t="s">
        <v>867</v>
      </c>
    </row>
    <row r="2694" spans="1:8" ht="15.75" customHeight="1">
      <c r="A2694" s="140" t="s">
        <v>74</v>
      </c>
      <c r="B2694" s="140" t="s">
        <v>22</v>
      </c>
      <c r="C2694" s="141" t="s">
        <v>591</v>
      </c>
      <c r="D2694" s="140" t="s">
        <v>592</v>
      </c>
      <c r="E2694" s="140">
        <v>5</v>
      </c>
      <c r="F2694" s="142">
        <v>46126.416666666672</v>
      </c>
      <c r="G2694" s="140" t="s">
        <v>843</v>
      </c>
      <c r="H2694" s="140" t="s">
        <v>867</v>
      </c>
    </row>
    <row r="2695" spans="1:8" ht="15.75" customHeight="1">
      <c r="A2695" s="140" t="s">
        <v>74</v>
      </c>
      <c r="B2695" s="140" t="s">
        <v>22</v>
      </c>
      <c r="C2695" s="141" t="s">
        <v>591</v>
      </c>
      <c r="D2695" s="140" t="s">
        <v>592</v>
      </c>
      <c r="E2695" s="140">
        <v>6</v>
      </c>
      <c r="F2695" s="142">
        <v>46135.416666666672</v>
      </c>
      <c r="G2695" s="140" t="s">
        <v>843</v>
      </c>
      <c r="H2695" s="140" t="s">
        <v>867</v>
      </c>
    </row>
    <row r="2696" spans="1:8" ht="15.75" customHeight="1">
      <c r="A2696" s="140" t="s">
        <v>75</v>
      </c>
      <c r="B2696" s="140" t="s">
        <v>21</v>
      </c>
      <c r="C2696" s="141" t="s">
        <v>173</v>
      </c>
      <c r="D2696" s="140" t="s">
        <v>174</v>
      </c>
      <c r="E2696" s="140">
        <v>1</v>
      </c>
      <c r="F2696" s="142">
        <v>45761.416666666672</v>
      </c>
      <c r="G2696" s="140" t="s">
        <v>845</v>
      </c>
      <c r="H2696" s="140" t="s">
        <v>868</v>
      </c>
    </row>
    <row r="2697" spans="1:8" ht="15.75" customHeight="1">
      <c r="A2697" s="140" t="s">
        <v>75</v>
      </c>
      <c r="B2697" s="140" t="s">
        <v>21</v>
      </c>
      <c r="C2697" s="141" t="s">
        <v>173</v>
      </c>
      <c r="D2697" s="140" t="s">
        <v>174</v>
      </c>
      <c r="E2697" s="140">
        <v>2</v>
      </c>
      <c r="F2697" s="142">
        <v>45786.458333333328</v>
      </c>
      <c r="G2697" s="140" t="s">
        <v>845</v>
      </c>
      <c r="H2697" s="140" t="s">
        <v>868</v>
      </c>
    </row>
    <row r="2698" spans="1:8" ht="15.75" customHeight="1">
      <c r="A2698" s="140" t="s">
        <v>75</v>
      </c>
      <c r="B2698" s="140" t="s">
        <v>21</v>
      </c>
      <c r="C2698" s="141" t="s">
        <v>173</v>
      </c>
      <c r="D2698" s="140" t="s">
        <v>174</v>
      </c>
      <c r="E2698" s="140">
        <v>3</v>
      </c>
      <c r="F2698" s="142">
        <v>45793.458333333328</v>
      </c>
      <c r="G2698" s="140" t="s">
        <v>845</v>
      </c>
      <c r="H2698" s="140" t="s">
        <v>868</v>
      </c>
    </row>
    <row r="2699" spans="1:8" ht="15.75" customHeight="1">
      <c r="A2699" s="140" t="s">
        <v>75</v>
      </c>
      <c r="B2699" s="140" t="s">
        <v>21</v>
      </c>
      <c r="C2699" s="141" t="s">
        <v>173</v>
      </c>
      <c r="D2699" s="140" t="s">
        <v>174</v>
      </c>
      <c r="E2699" s="140">
        <v>4</v>
      </c>
      <c r="F2699" s="142">
        <v>45803.458333333328</v>
      </c>
      <c r="G2699" s="140" t="s">
        <v>845</v>
      </c>
      <c r="H2699" s="140" t="s">
        <v>868</v>
      </c>
    </row>
    <row r="2700" spans="1:8" ht="15.75" customHeight="1">
      <c r="A2700" s="140" t="s">
        <v>75</v>
      </c>
      <c r="B2700" s="140" t="s">
        <v>21</v>
      </c>
      <c r="C2700" s="141" t="s">
        <v>173</v>
      </c>
      <c r="D2700" s="140" t="s">
        <v>174</v>
      </c>
      <c r="E2700" s="140">
        <v>5</v>
      </c>
      <c r="F2700" s="142">
        <v>45817.458333333328</v>
      </c>
      <c r="G2700" s="140" t="s">
        <v>845</v>
      </c>
      <c r="H2700" s="140" t="s">
        <v>868</v>
      </c>
    </row>
    <row r="2701" spans="1:8" ht="15.75" customHeight="1">
      <c r="A2701" s="140" t="s">
        <v>75</v>
      </c>
      <c r="B2701" s="140" t="s">
        <v>21</v>
      </c>
      <c r="C2701" s="141" t="s">
        <v>173</v>
      </c>
      <c r="D2701" s="140" t="s">
        <v>174</v>
      </c>
      <c r="E2701" s="140">
        <v>6</v>
      </c>
      <c r="F2701" s="142">
        <v>45824.458333333328</v>
      </c>
      <c r="G2701" s="140" t="s">
        <v>845</v>
      </c>
      <c r="H2701" s="140" t="s">
        <v>868</v>
      </c>
    </row>
    <row r="2702" spans="1:8" ht="15.75" customHeight="1">
      <c r="A2702" s="140" t="s">
        <v>75</v>
      </c>
      <c r="B2702" s="140" t="s">
        <v>21</v>
      </c>
      <c r="C2702" s="141" t="s">
        <v>173</v>
      </c>
      <c r="D2702" s="140" t="s">
        <v>174</v>
      </c>
      <c r="E2702" s="140">
        <v>7</v>
      </c>
      <c r="F2702" s="142">
        <v>45852.625</v>
      </c>
      <c r="G2702" s="140" t="s">
        <v>845</v>
      </c>
      <c r="H2702" s="140" t="s">
        <v>868</v>
      </c>
    </row>
    <row r="2703" spans="1:8" ht="15.75" customHeight="1">
      <c r="A2703" s="140" t="s">
        <v>75</v>
      </c>
      <c r="B2703" s="140" t="s">
        <v>21</v>
      </c>
      <c r="C2703" s="141" t="s">
        <v>173</v>
      </c>
      <c r="D2703" s="140" t="s">
        <v>174</v>
      </c>
      <c r="E2703" s="140">
        <v>8</v>
      </c>
      <c r="F2703" s="142">
        <v>45859.375</v>
      </c>
      <c r="G2703" s="140" t="s">
        <v>845</v>
      </c>
      <c r="H2703" s="140" t="s">
        <v>868</v>
      </c>
    </row>
    <row r="2704" spans="1:8" ht="15.75" customHeight="1">
      <c r="A2704" s="140" t="s">
        <v>75</v>
      </c>
      <c r="B2704" s="140" t="s">
        <v>21</v>
      </c>
      <c r="C2704" s="141" t="s">
        <v>173</v>
      </c>
      <c r="D2704" s="140" t="s">
        <v>174</v>
      </c>
      <c r="E2704" s="140">
        <v>9</v>
      </c>
      <c r="F2704" s="142">
        <v>45866.416666666672</v>
      </c>
      <c r="G2704" s="140" t="s">
        <v>845</v>
      </c>
      <c r="H2704" s="140" t="s">
        <v>868</v>
      </c>
    </row>
    <row r="2705" spans="1:8" ht="15.75" customHeight="1">
      <c r="A2705" s="140" t="s">
        <v>75</v>
      </c>
      <c r="B2705" s="140" t="s">
        <v>21</v>
      </c>
      <c r="C2705" s="141" t="s">
        <v>173</v>
      </c>
      <c r="D2705" s="140" t="s">
        <v>174</v>
      </c>
      <c r="E2705" s="140">
        <v>10</v>
      </c>
      <c r="F2705" s="142">
        <v>45894.541666666672</v>
      </c>
      <c r="G2705" s="140" t="s">
        <v>845</v>
      </c>
      <c r="H2705" s="140" t="s">
        <v>868</v>
      </c>
    </row>
    <row r="2706" spans="1:8" ht="15.75" customHeight="1">
      <c r="A2706" s="140" t="s">
        <v>75</v>
      </c>
      <c r="B2706" s="140" t="s">
        <v>22</v>
      </c>
      <c r="C2706" s="141" t="s">
        <v>173</v>
      </c>
      <c r="D2706" s="140" t="s">
        <v>174</v>
      </c>
      <c r="E2706" s="140">
        <v>1</v>
      </c>
      <c r="F2706" s="142">
        <v>45922.416666666672</v>
      </c>
      <c r="G2706" s="140" t="s">
        <v>845</v>
      </c>
      <c r="H2706" s="140" t="s">
        <v>868</v>
      </c>
    </row>
    <row r="2707" spans="1:8" ht="15.75" customHeight="1">
      <c r="A2707" s="140" t="s">
        <v>75</v>
      </c>
      <c r="B2707" s="140" t="s">
        <v>22</v>
      </c>
      <c r="C2707" s="141" t="s">
        <v>173</v>
      </c>
      <c r="D2707" s="140" t="s">
        <v>174</v>
      </c>
      <c r="E2707" s="140">
        <v>2</v>
      </c>
      <c r="F2707" s="142">
        <v>45926.541666666672</v>
      </c>
      <c r="G2707" s="140" t="s">
        <v>845</v>
      </c>
      <c r="H2707" s="140" t="s">
        <v>868</v>
      </c>
    </row>
    <row r="2708" spans="1:8" ht="15.75" customHeight="1">
      <c r="A2708" s="140" t="s">
        <v>75</v>
      </c>
      <c r="B2708" s="140" t="s">
        <v>22</v>
      </c>
      <c r="C2708" s="141" t="s">
        <v>173</v>
      </c>
      <c r="D2708" s="140" t="s">
        <v>174</v>
      </c>
      <c r="E2708" s="140">
        <v>3</v>
      </c>
      <c r="F2708" s="142">
        <v>45929.416666666672</v>
      </c>
      <c r="G2708" s="140" t="s">
        <v>845</v>
      </c>
      <c r="H2708" s="140" t="s">
        <v>868</v>
      </c>
    </row>
    <row r="2709" spans="1:8" ht="15.75" customHeight="1">
      <c r="A2709" s="140" t="s">
        <v>75</v>
      </c>
      <c r="B2709" s="140" t="s">
        <v>22</v>
      </c>
      <c r="C2709" s="141" t="s">
        <v>173</v>
      </c>
      <c r="D2709" s="140" t="s">
        <v>174</v>
      </c>
      <c r="E2709" s="140">
        <v>5</v>
      </c>
      <c r="F2709" s="142">
        <v>45947.416666666672</v>
      </c>
      <c r="G2709" s="140" t="s">
        <v>845</v>
      </c>
      <c r="H2709" s="140" t="s">
        <v>868</v>
      </c>
    </row>
    <row r="2710" spans="1:8" ht="15.75" customHeight="1">
      <c r="A2710" s="140" t="s">
        <v>75</v>
      </c>
      <c r="B2710" s="140" t="s">
        <v>22</v>
      </c>
      <c r="C2710" s="141" t="s">
        <v>173</v>
      </c>
      <c r="D2710" s="140" t="s">
        <v>174</v>
      </c>
      <c r="E2710" s="140">
        <v>6</v>
      </c>
      <c r="F2710" s="142">
        <v>45950.416666666672</v>
      </c>
      <c r="G2710" s="140" t="s">
        <v>845</v>
      </c>
      <c r="H2710" s="140" t="s">
        <v>868</v>
      </c>
    </row>
    <row r="2711" spans="1:8" ht="15.75" customHeight="1">
      <c r="A2711" s="140" t="s">
        <v>75</v>
      </c>
      <c r="B2711" s="140" t="s">
        <v>22</v>
      </c>
      <c r="C2711" s="141" t="s">
        <v>173</v>
      </c>
      <c r="D2711" s="140" t="s">
        <v>174</v>
      </c>
      <c r="E2711" s="140">
        <v>7</v>
      </c>
      <c r="F2711" s="142">
        <v>45971.625</v>
      </c>
      <c r="G2711" s="140" t="s">
        <v>845</v>
      </c>
      <c r="H2711" s="140" t="s">
        <v>868</v>
      </c>
    </row>
    <row r="2712" spans="1:8" ht="15.75" customHeight="1">
      <c r="A2712" s="140" t="s">
        <v>75</v>
      </c>
      <c r="B2712" s="140" t="s">
        <v>22</v>
      </c>
      <c r="C2712" s="141" t="s">
        <v>173</v>
      </c>
      <c r="D2712" s="140" t="s">
        <v>174</v>
      </c>
      <c r="E2712" s="140">
        <v>8</v>
      </c>
      <c r="F2712" s="142">
        <v>45980.625</v>
      </c>
      <c r="G2712" s="140" t="s">
        <v>845</v>
      </c>
      <c r="H2712" s="140" t="s">
        <v>868</v>
      </c>
    </row>
    <row r="2713" spans="1:8" ht="15.75" customHeight="1">
      <c r="A2713" s="140" t="s">
        <v>75</v>
      </c>
      <c r="B2713" s="140" t="s">
        <v>22</v>
      </c>
      <c r="C2713" s="141" t="s">
        <v>173</v>
      </c>
      <c r="D2713" s="140" t="s">
        <v>174</v>
      </c>
      <c r="E2713" s="140">
        <v>9</v>
      </c>
      <c r="F2713" s="142">
        <v>46008.625</v>
      </c>
      <c r="G2713" s="140" t="s">
        <v>845</v>
      </c>
      <c r="H2713" s="140" t="s">
        <v>868</v>
      </c>
    </row>
    <row r="2714" spans="1:8" ht="15.75" customHeight="1">
      <c r="A2714" s="140" t="s">
        <v>75</v>
      </c>
      <c r="B2714" s="140" t="s">
        <v>22</v>
      </c>
      <c r="C2714" s="141" t="s">
        <v>173</v>
      </c>
      <c r="D2714" s="140" t="s">
        <v>174</v>
      </c>
      <c r="E2714" s="140">
        <v>10</v>
      </c>
      <c r="F2714" s="142">
        <v>46017.625</v>
      </c>
      <c r="G2714" s="140" t="s">
        <v>845</v>
      </c>
      <c r="H2714" s="140" t="s">
        <v>868</v>
      </c>
    </row>
    <row r="2715" spans="1:8" ht="15.75" customHeight="1">
      <c r="A2715" s="140" t="s">
        <v>75</v>
      </c>
      <c r="B2715" s="140" t="s">
        <v>22</v>
      </c>
      <c r="C2715" s="141" t="s">
        <v>173</v>
      </c>
      <c r="D2715" s="140" t="s">
        <v>174</v>
      </c>
      <c r="E2715" s="140">
        <v>11</v>
      </c>
      <c r="F2715" s="142">
        <v>46041.625</v>
      </c>
      <c r="G2715" s="140" t="s">
        <v>845</v>
      </c>
      <c r="H2715" s="140" t="s">
        <v>868</v>
      </c>
    </row>
    <row r="2716" spans="1:8" ht="15.75" customHeight="1">
      <c r="A2716" s="140" t="s">
        <v>75</v>
      </c>
      <c r="B2716" s="140" t="s">
        <v>22</v>
      </c>
      <c r="C2716" s="141" t="s">
        <v>173</v>
      </c>
      <c r="D2716" s="140" t="s">
        <v>174</v>
      </c>
      <c r="E2716" s="140">
        <v>12</v>
      </c>
      <c r="F2716" s="142">
        <v>46048.541666666672</v>
      </c>
      <c r="G2716" s="140" t="s">
        <v>845</v>
      </c>
      <c r="H2716" s="140" t="s">
        <v>868</v>
      </c>
    </row>
    <row r="2717" spans="1:8" ht="15.75" customHeight="1">
      <c r="A2717" s="140" t="s">
        <v>75</v>
      </c>
      <c r="B2717" s="140" t="s">
        <v>22</v>
      </c>
      <c r="C2717" s="141" t="s">
        <v>173</v>
      </c>
      <c r="D2717" s="140" t="s">
        <v>174</v>
      </c>
      <c r="E2717" s="140">
        <v>13</v>
      </c>
      <c r="F2717" s="142">
        <v>46086.416666666672</v>
      </c>
      <c r="G2717" s="140" t="s">
        <v>845</v>
      </c>
      <c r="H2717" s="140" t="s">
        <v>868</v>
      </c>
    </row>
    <row r="2718" spans="1:8" ht="15.75" customHeight="1">
      <c r="A2718" s="140" t="s">
        <v>75</v>
      </c>
      <c r="B2718" s="140" t="s">
        <v>22</v>
      </c>
      <c r="C2718" s="141" t="s">
        <v>173</v>
      </c>
      <c r="D2718" s="140" t="s">
        <v>174</v>
      </c>
      <c r="E2718" s="140">
        <v>14</v>
      </c>
      <c r="F2718" s="142">
        <v>46087.416666666672</v>
      </c>
      <c r="G2718" s="140" t="s">
        <v>845</v>
      </c>
      <c r="H2718" s="140" t="s">
        <v>868</v>
      </c>
    </row>
    <row r="2719" spans="1:8" ht="15.75" customHeight="1">
      <c r="A2719" s="140" t="s">
        <v>75</v>
      </c>
      <c r="B2719" s="140" t="s">
        <v>22</v>
      </c>
      <c r="C2719" s="141" t="s">
        <v>173</v>
      </c>
      <c r="D2719" s="140" t="s">
        <v>174</v>
      </c>
      <c r="E2719" s="140">
        <v>15</v>
      </c>
      <c r="F2719" s="142">
        <v>46094.416666666672</v>
      </c>
      <c r="G2719" s="140" t="s">
        <v>845</v>
      </c>
      <c r="H2719" s="140" t="s">
        <v>868</v>
      </c>
    </row>
    <row r="2720" spans="1:8" ht="15.75" customHeight="1">
      <c r="A2720" s="140" t="s">
        <v>75</v>
      </c>
      <c r="B2720" s="140" t="s">
        <v>21</v>
      </c>
      <c r="C2720" s="141" t="s">
        <v>281</v>
      </c>
      <c r="D2720" s="140" t="s">
        <v>282</v>
      </c>
      <c r="E2720" s="140">
        <v>1</v>
      </c>
      <c r="F2720" s="142">
        <v>45761.416666666672</v>
      </c>
      <c r="G2720" s="140" t="s">
        <v>845</v>
      </c>
      <c r="H2720" s="140" t="s">
        <v>868</v>
      </c>
    </row>
    <row r="2721" spans="1:8" ht="15.75" customHeight="1">
      <c r="A2721" s="140" t="s">
        <v>75</v>
      </c>
      <c r="B2721" s="140" t="s">
        <v>21</v>
      </c>
      <c r="C2721" s="141" t="s">
        <v>281</v>
      </c>
      <c r="D2721" s="140" t="s">
        <v>282</v>
      </c>
      <c r="E2721" s="140">
        <v>2</v>
      </c>
      <c r="F2721" s="142">
        <v>45786.458333333328</v>
      </c>
      <c r="G2721" s="140" t="s">
        <v>845</v>
      </c>
      <c r="H2721" s="140" t="s">
        <v>868</v>
      </c>
    </row>
    <row r="2722" spans="1:8" ht="15.75" customHeight="1">
      <c r="A2722" s="140" t="s">
        <v>75</v>
      </c>
      <c r="B2722" s="140" t="s">
        <v>21</v>
      </c>
      <c r="C2722" s="141" t="s">
        <v>281</v>
      </c>
      <c r="D2722" s="140" t="s">
        <v>282</v>
      </c>
      <c r="E2722" s="140">
        <v>3</v>
      </c>
      <c r="F2722" s="142">
        <v>45793.458333333328</v>
      </c>
      <c r="G2722" s="140" t="s">
        <v>845</v>
      </c>
      <c r="H2722" s="140" t="s">
        <v>868</v>
      </c>
    </row>
    <row r="2723" spans="1:8" ht="15.75" customHeight="1">
      <c r="A2723" s="140" t="s">
        <v>75</v>
      </c>
      <c r="B2723" s="140" t="s">
        <v>21</v>
      </c>
      <c r="C2723" s="141" t="s">
        <v>281</v>
      </c>
      <c r="D2723" s="140" t="s">
        <v>282</v>
      </c>
      <c r="E2723" s="140">
        <v>4</v>
      </c>
      <c r="F2723" s="142">
        <v>45803.458333333328</v>
      </c>
      <c r="G2723" s="140" t="s">
        <v>845</v>
      </c>
      <c r="H2723" s="140" t="s">
        <v>868</v>
      </c>
    </row>
    <row r="2724" spans="1:8" ht="15.75" customHeight="1">
      <c r="A2724" s="140" t="s">
        <v>75</v>
      </c>
      <c r="B2724" s="140" t="s">
        <v>21</v>
      </c>
      <c r="C2724" s="141" t="s">
        <v>281</v>
      </c>
      <c r="D2724" s="140" t="s">
        <v>282</v>
      </c>
      <c r="E2724" s="140">
        <v>5</v>
      </c>
      <c r="F2724" s="142">
        <v>45817.458333333328</v>
      </c>
      <c r="G2724" s="140" t="s">
        <v>845</v>
      </c>
      <c r="H2724" s="140" t="s">
        <v>868</v>
      </c>
    </row>
    <row r="2725" spans="1:8" ht="15.75" customHeight="1">
      <c r="A2725" s="140" t="s">
        <v>75</v>
      </c>
      <c r="B2725" s="140" t="s">
        <v>21</v>
      </c>
      <c r="C2725" s="141" t="s">
        <v>281</v>
      </c>
      <c r="D2725" s="140" t="s">
        <v>282</v>
      </c>
      <c r="E2725" s="140">
        <v>6</v>
      </c>
      <c r="F2725" s="142">
        <v>45824.458333333328</v>
      </c>
      <c r="G2725" s="140" t="s">
        <v>845</v>
      </c>
      <c r="H2725" s="140" t="s">
        <v>868</v>
      </c>
    </row>
    <row r="2726" spans="1:8" ht="15.75" customHeight="1">
      <c r="A2726" s="140" t="s">
        <v>75</v>
      </c>
      <c r="B2726" s="140" t="s">
        <v>21</v>
      </c>
      <c r="C2726" s="141" t="s">
        <v>281</v>
      </c>
      <c r="D2726" s="140" t="s">
        <v>282</v>
      </c>
      <c r="E2726" s="140">
        <v>7</v>
      </c>
      <c r="F2726" s="142">
        <v>45852.625</v>
      </c>
      <c r="G2726" s="140" t="s">
        <v>845</v>
      </c>
      <c r="H2726" s="140" t="s">
        <v>868</v>
      </c>
    </row>
    <row r="2727" spans="1:8" ht="15.75" customHeight="1">
      <c r="A2727" s="140" t="s">
        <v>75</v>
      </c>
      <c r="B2727" s="140" t="s">
        <v>21</v>
      </c>
      <c r="C2727" s="141" t="s">
        <v>281</v>
      </c>
      <c r="D2727" s="140" t="s">
        <v>282</v>
      </c>
      <c r="E2727" s="140">
        <v>8</v>
      </c>
      <c r="F2727" s="142">
        <v>45859.375</v>
      </c>
      <c r="G2727" s="140" t="s">
        <v>845</v>
      </c>
      <c r="H2727" s="140" t="s">
        <v>868</v>
      </c>
    </row>
    <row r="2728" spans="1:8" ht="15.75" customHeight="1">
      <c r="A2728" s="140" t="s">
        <v>75</v>
      </c>
      <c r="B2728" s="140" t="s">
        <v>21</v>
      </c>
      <c r="C2728" s="141" t="s">
        <v>281</v>
      </c>
      <c r="D2728" s="140" t="s">
        <v>282</v>
      </c>
      <c r="E2728" s="140">
        <v>9</v>
      </c>
      <c r="F2728" s="142">
        <v>45866.416666666672</v>
      </c>
      <c r="G2728" s="140" t="s">
        <v>843</v>
      </c>
      <c r="H2728" s="140" t="s">
        <v>868</v>
      </c>
    </row>
    <row r="2729" spans="1:8" ht="15.75" customHeight="1">
      <c r="A2729" s="140" t="s">
        <v>75</v>
      </c>
      <c r="B2729" s="140" t="s">
        <v>21</v>
      </c>
      <c r="C2729" s="141" t="s">
        <v>281</v>
      </c>
      <c r="D2729" s="140" t="s">
        <v>282</v>
      </c>
      <c r="E2729" s="140">
        <v>10</v>
      </c>
      <c r="F2729" s="142">
        <v>45894.541666666672</v>
      </c>
      <c r="G2729" s="140" t="s">
        <v>845</v>
      </c>
      <c r="H2729" s="140" t="s">
        <v>868</v>
      </c>
    </row>
    <row r="2730" spans="1:8" ht="15.75" customHeight="1">
      <c r="A2730" s="140" t="s">
        <v>75</v>
      </c>
      <c r="B2730" s="140" t="s">
        <v>22</v>
      </c>
      <c r="C2730" s="141" t="s">
        <v>281</v>
      </c>
      <c r="D2730" s="140" t="s">
        <v>282</v>
      </c>
      <c r="E2730" s="140">
        <v>1</v>
      </c>
      <c r="F2730" s="142">
        <v>45922.416666666672</v>
      </c>
      <c r="G2730" s="140" t="s">
        <v>845</v>
      </c>
      <c r="H2730" s="140" t="s">
        <v>868</v>
      </c>
    </row>
    <row r="2731" spans="1:8" ht="15.75" customHeight="1">
      <c r="A2731" s="140" t="s">
        <v>75</v>
      </c>
      <c r="B2731" s="140" t="s">
        <v>22</v>
      </c>
      <c r="C2731" s="141" t="s">
        <v>281</v>
      </c>
      <c r="D2731" s="140" t="s">
        <v>282</v>
      </c>
      <c r="E2731" s="140">
        <v>2</v>
      </c>
      <c r="F2731" s="142">
        <v>45926.541666666672</v>
      </c>
      <c r="G2731" s="140" t="s">
        <v>845</v>
      </c>
      <c r="H2731" s="140" t="s">
        <v>868</v>
      </c>
    </row>
    <row r="2732" spans="1:8" ht="15.75" customHeight="1">
      <c r="A2732" s="140" t="s">
        <v>75</v>
      </c>
      <c r="B2732" s="140" t="s">
        <v>22</v>
      </c>
      <c r="C2732" s="141" t="s">
        <v>281</v>
      </c>
      <c r="D2732" s="140" t="s">
        <v>282</v>
      </c>
      <c r="E2732" s="140">
        <v>3</v>
      </c>
      <c r="F2732" s="142">
        <v>45929.416666666672</v>
      </c>
      <c r="G2732" s="140" t="s">
        <v>845</v>
      </c>
      <c r="H2732" s="140" t="s">
        <v>868</v>
      </c>
    </row>
    <row r="2733" spans="1:8" ht="15.75" customHeight="1">
      <c r="A2733" s="140" t="s">
        <v>75</v>
      </c>
      <c r="B2733" s="140" t="s">
        <v>22</v>
      </c>
      <c r="C2733" s="141" t="s">
        <v>281</v>
      </c>
      <c r="D2733" s="140" t="s">
        <v>282</v>
      </c>
      <c r="E2733" s="140">
        <v>5</v>
      </c>
      <c r="F2733" s="142">
        <v>45947.416666666672</v>
      </c>
      <c r="G2733" s="140" t="s">
        <v>843</v>
      </c>
      <c r="H2733" s="140" t="s">
        <v>868</v>
      </c>
    </row>
    <row r="2734" spans="1:8" ht="15.75" customHeight="1">
      <c r="A2734" s="140" t="s">
        <v>75</v>
      </c>
      <c r="B2734" s="140" t="s">
        <v>22</v>
      </c>
      <c r="C2734" s="141" t="s">
        <v>281</v>
      </c>
      <c r="D2734" s="140" t="s">
        <v>282</v>
      </c>
      <c r="E2734" s="140">
        <v>6</v>
      </c>
      <c r="F2734" s="142">
        <v>45950.416666666672</v>
      </c>
      <c r="G2734" s="140" t="s">
        <v>845</v>
      </c>
      <c r="H2734" s="140" t="s">
        <v>868</v>
      </c>
    </row>
    <row r="2735" spans="1:8" ht="15.75" customHeight="1">
      <c r="A2735" s="140" t="s">
        <v>75</v>
      </c>
      <c r="B2735" s="140" t="s">
        <v>22</v>
      </c>
      <c r="C2735" s="141" t="s">
        <v>281</v>
      </c>
      <c r="D2735" s="140" t="s">
        <v>282</v>
      </c>
      <c r="E2735" s="140">
        <v>7</v>
      </c>
      <c r="F2735" s="142">
        <v>45971.625</v>
      </c>
      <c r="G2735" s="140" t="s">
        <v>845</v>
      </c>
      <c r="H2735" s="140" t="s">
        <v>868</v>
      </c>
    </row>
    <row r="2736" spans="1:8" ht="15.75" customHeight="1">
      <c r="A2736" s="140" t="s">
        <v>75</v>
      </c>
      <c r="B2736" s="140" t="s">
        <v>22</v>
      </c>
      <c r="C2736" s="141" t="s">
        <v>281</v>
      </c>
      <c r="D2736" s="140" t="s">
        <v>282</v>
      </c>
      <c r="E2736" s="140">
        <v>8</v>
      </c>
      <c r="F2736" s="142">
        <v>45980.625</v>
      </c>
      <c r="G2736" s="140" t="s">
        <v>845</v>
      </c>
      <c r="H2736" s="140" t="s">
        <v>868</v>
      </c>
    </row>
    <row r="2737" spans="1:8" ht="15.75" customHeight="1">
      <c r="A2737" s="140" t="s">
        <v>75</v>
      </c>
      <c r="B2737" s="140" t="s">
        <v>22</v>
      </c>
      <c r="C2737" s="141" t="s">
        <v>281</v>
      </c>
      <c r="D2737" s="140" t="s">
        <v>282</v>
      </c>
      <c r="E2737" s="140">
        <v>9</v>
      </c>
      <c r="F2737" s="142">
        <v>46008.625</v>
      </c>
      <c r="G2737" s="140" t="s">
        <v>845</v>
      </c>
      <c r="H2737" s="140" t="s">
        <v>868</v>
      </c>
    </row>
    <row r="2738" spans="1:8" ht="15.75" customHeight="1">
      <c r="A2738" s="140" t="s">
        <v>75</v>
      </c>
      <c r="B2738" s="140" t="s">
        <v>22</v>
      </c>
      <c r="C2738" s="141" t="s">
        <v>281</v>
      </c>
      <c r="D2738" s="140" t="s">
        <v>282</v>
      </c>
      <c r="E2738" s="140">
        <v>10</v>
      </c>
      <c r="F2738" s="142">
        <v>46017.625</v>
      </c>
      <c r="G2738" s="140" t="s">
        <v>843</v>
      </c>
      <c r="H2738" s="140" t="s">
        <v>868</v>
      </c>
    </row>
    <row r="2739" spans="1:8" ht="15.75" customHeight="1">
      <c r="A2739" s="140" t="s">
        <v>75</v>
      </c>
      <c r="B2739" s="140" t="s">
        <v>22</v>
      </c>
      <c r="C2739" s="141" t="s">
        <v>281</v>
      </c>
      <c r="D2739" s="140" t="s">
        <v>282</v>
      </c>
      <c r="E2739" s="140">
        <v>11</v>
      </c>
      <c r="F2739" s="142">
        <v>46041.625</v>
      </c>
      <c r="G2739" s="140" t="s">
        <v>845</v>
      </c>
      <c r="H2739" s="140" t="s">
        <v>868</v>
      </c>
    </row>
    <row r="2740" spans="1:8" ht="15.75" customHeight="1">
      <c r="A2740" s="140" t="s">
        <v>75</v>
      </c>
      <c r="B2740" s="140" t="s">
        <v>22</v>
      </c>
      <c r="C2740" s="141" t="s">
        <v>281</v>
      </c>
      <c r="D2740" s="140" t="s">
        <v>282</v>
      </c>
      <c r="E2740" s="140">
        <v>12</v>
      </c>
      <c r="F2740" s="142">
        <v>46048.541666666672</v>
      </c>
      <c r="G2740" s="140" t="s">
        <v>845</v>
      </c>
      <c r="H2740" s="140" t="s">
        <v>868</v>
      </c>
    </row>
    <row r="2741" spans="1:8" ht="15.75" customHeight="1">
      <c r="A2741" s="140" t="s">
        <v>75</v>
      </c>
      <c r="B2741" s="140" t="s">
        <v>22</v>
      </c>
      <c r="C2741" s="141" t="s">
        <v>281</v>
      </c>
      <c r="D2741" s="140" t="s">
        <v>282</v>
      </c>
      <c r="E2741" s="140">
        <v>13</v>
      </c>
      <c r="F2741" s="142">
        <v>46086.416666666672</v>
      </c>
      <c r="G2741" s="140" t="s">
        <v>845</v>
      </c>
      <c r="H2741" s="140" t="s">
        <v>868</v>
      </c>
    </row>
    <row r="2742" spans="1:8" ht="15.75" customHeight="1">
      <c r="A2742" s="140" t="s">
        <v>75</v>
      </c>
      <c r="B2742" s="140" t="s">
        <v>22</v>
      </c>
      <c r="C2742" s="141" t="s">
        <v>281</v>
      </c>
      <c r="D2742" s="140" t="s">
        <v>282</v>
      </c>
      <c r="E2742" s="140">
        <v>14</v>
      </c>
      <c r="F2742" s="142">
        <v>46087.416666666672</v>
      </c>
      <c r="G2742" s="140" t="s">
        <v>843</v>
      </c>
      <c r="H2742" s="140" t="s">
        <v>868</v>
      </c>
    </row>
    <row r="2743" spans="1:8" ht="15.75" customHeight="1">
      <c r="A2743" s="140" t="s">
        <v>75</v>
      </c>
      <c r="B2743" s="140" t="s">
        <v>22</v>
      </c>
      <c r="C2743" s="141" t="s">
        <v>281</v>
      </c>
      <c r="D2743" s="140" t="s">
        <v>282</v>
      </c>
      <c r="E2743" s="140">
        <v>15</v>
      </c>
      <c r="F2743" s="142">
        <v>46094.416666666672</v>
      </c>
      <c r="G2743" s="140" t="s">
        <v>843</v>
      </c>
      <c r="H2743" s="140" t="s">
        <v>868</v>
      </c>
    </row>
    <row r="2744" spans="1:8" ht="15.75" customHeight="1">
      <c r="A2744" s="140" t="s">
        <v>75</v>
      </c>
      <c r="B2744" s="140" t="s">
        <v>21</v>
      </c>
      <c r="C2744" s="141" t="s">
        <v>336</v>
      </c>
      <c r="D2744" s="140" t="s">
        <v>337</v>
      </c>
      <c r="E2744" s="140">
        <v>1</v>
      </c>
      <c r="F2744" s="142">
        <v>45761.416666666672</v>
      </c>
      <c r="G2744" s="140" t="s">
        <v>845</v>
      </c>
      <c r="H2744" s="140" t="s">
        <v>868</v>
      </c>
    </row>
    <row r="2745" spans="1:8" ht="15.75" customHeight="1">
      <c r="A2745" s="140" t="s">
        <v>75</v>
      </c>
      <c r="B2745" s="140" t="s">
        <v>21</v>
      </c>
      <c r="C2745" s="141" t="s">
        <v>336</v>
      </c>
      <c r="D2745" s="140" t="s">
        <v>337</v>
      </c>
      <c r="E2745" s="140">
        <v>2</v>
      </c>
      <c r="F2745" s="142">
        <v>45786.458333333328</v>
      </c>
      <c r="G2745" s="140" t="s">
        <v>845</v>
      </c>
      <c r="H2745" s="140" t="s">
        <v>868</v>
      </c>
    </row>
    <row r="2746" spans="1:8" ht="15.75" customHeight="1">
      <c r="A2746" s="140" t="s">
        <v>75</v>
      </c>
      <c r="B2746" s="140" t="s">
        <v>21</v>
      </c>
      <c r="C2746" s="141" t="s">
        <v>336</v>
      </c>
      <c r="D2746" s="140" t="s">
        <v>337</v>
      </c>
      <c r="E2746" s="140">
        <v>3</v>
      </c>
      <c r="F2746" s="142">
        <v>45793.458333333328</v>
      </c>
      <c r="G2746" s="140" t="s">
        <v>845</v>
      </c>
      <c r="H2746" s="140" t="s">
        <v>868</v>
      </c>
    </row>
    <row r="2747" spans="1:8" ht="15.75" customHeight="1">
      <c r="A2747" s="140" t="s">
        <v>75</v>
      </c>
      <c r="B2747" s="140" t="s">
        <v>21</v>
      </c>
      <c r="C2747" s="141" t="s">
        <v>336</v>
      </c>
      <c r="D2747" s="140" t="s">
        <v>337</v>
      </c>
      <c r="E2747" s="140">
        <v>4</v>
      </c>
      <c r="F2747" s="142">
        <v>45803.458333333328</v>
      </c>
      <c r="G2747" s="140" t="s">
        <v>845</v>
      </c>
      <c r="H2747" s="140" t="s">
        <v>868</v>
      </c>
    </row>
    <row r="2748" spans="1:8" ht="15.75" customHeight="1">
      <c r="A2748" s="140" t="s">
        <v>75</v>
      </c>
      <c r="B2748" s="140" t="s">
        <v>21</v>
      </c>
      <c r="C2748" s="141" t="s">
        <v>336</v>
      </c>
      <c r="D2748" s="140" t="s">
        <v>337</v>
      </c>
      <c r="E2748" s="140">
        <v>5</v>
      </c>
      <c r="F2748" s="142">
        <v>45817.458333333328</v>
      </c>
      <c r="G2748" s="140" t="s">
        <v>845</v>
      </c>
      <c r="H2748" s="140" t="s">
        <v>868</v>
      </c>
    </row>
    <row r="2749" spans="1:8" ht="15.75" customHeight="1">
      <c r="A2749" s="140" t="s">
        <v>75</v>
      </c>
      <c r="B2749" s="140" t="s">
        <v>21</v>
      </c>
      <c r="C2749" s="141" t="s">
        <v>336</v>
      </c>
      <c r="D2749" s="140" t="s">
        <v>337</v>
      </c>
      <c r="E2749" s="140">
        <v>6</v>
      </c>
      <c r="F2749" s="142">
        <v>45824.458333333328</v>
      </c>
      <c r="G2749" s="140" t="s">
        <v>845</v>
      </c>
      <c r="H2749" s="140" t="s">
        <v>868</v>
      </c>
    </row>
    <row r="2750" spans="1:8" ht="15.75" customHeight="1">
      <c r="A2750" s="140" t="s">
        <v>75</v>
      </c>
      <c r="B2750" s="140" t="s">
        <v>21</v>
      </c>
      <c r="C2750" s="141" t="s">
        <v>336</v>
      </c>
      <c r="D2750" s="140" t="s">
        <v>337</v>
      </c>
      <c r="E2750" s="140">
        <v>7</v>
      </c>
      <c r="F2750" s="142">
        <v>45852.625</v>
      </c>
      <c r="G2750" s="140" t="s">
        <v>845</v>
      </c>
      <c r="H2750" s="140" t="s">
        <v>868</v>
      </c>
    </row>
    <row r="2751" spans="1:8" ht="15.75" customHeight="1">
      <c r="A2751" s="140" t="s">
        <v>75</v>
      </c>
      <c r="B2751" s="140" t="s">
        <v>21</v>
      </c>
      <c r="C2751" s="141" t="s">
        <v>336</v>
      </c>
      <c r="D2751" s="140" t="s">
        <v>337</v>
      </c>
      <c r="E2751" s="140">
        <v>8</v>
      </c>
      <c r="F2751" s="142">
        <v>45859.375</v>
      </c>
      <c r="G2751" s="140" t="s">
        <v>845</v>
      </c>
      <c r="H2751" s="140" t="s">
        <v>868</v>
      </c>
    </row>
    <row r="2752" spans="1:8" ht="15.75" customHeight="1">
      <c r="A2752" s="140" t="s">
        <v>75</v>
      </c>
      <c r="B2752" s="140" t="s">
        <v>21</v>
      </c>
      <c r="C2752" s="141" t="s">
        <v>336</v>
      </c>
      <c r="D2752" s="140" t="s">
        <v>337</v>
      </c>
      <c r="E2752" s="140">
        <v>9</v>
      </c>
      <c r="F2752" s="142">
        <v>45866.416666666672</v>
      </c>
      <c r="G2752" s="140" t="s">
        <v>845</v>
      </c>
      <c r="H2752" s="140" t="s">
        <v>868</v>
      </c>
    </row>
    <row r="2753" spans="1:8" ht="15.75" customHeight="1">
      <c r="A2753" s="140" t="s">
        <v>75</v>
      </c>
      <c r="B2753" s="140" t="s">
        <v>21</v>
      </c>
      <c r="C2753" s="141" t="s">
        <v>336</v>
      </c>
      <c r="D2753" s="140" t="s">
        <v>337</v>
      </c>
      <c r="E2753" s="140">
        <v>10</v>
      </c>
      <c r="F2753" s="142">
        <v>45894.541666666672</v>
      </c>
      <c r="G2753" s="140" t="s">
        <v>845</v>
      </c>
      <c r="H2753" s="140" t="s">
        <v>868</v>
      </c>
    </row>
    <row r="2754" spans="1:8" ht="15.75" customHeight="1">
      <c r="A2754" s="140" t="s">
        <v>75</v>
      </c>
      <c r="B2754" s="140" t="s">
        <v>22</v>
      </c>
      <c r="C2754" s="141" t="s">
        <v>336</v>
      </c>
      <c r="D2754" s="140" t="s">
        <v>337</v>
      </c>
      <c r="E2754" s="140">
        <v>1</v>
      </c>
      <c r="F2754" s="142">
        <v>45922.416666666672</v>
      </c>
      <c r="G2754" s="140" t="s">
        <v>845</v>
      </c>
      <c r="H2754" s="140" t="s">
        <v>868</v>
      </c>
    </row>
    <row r="2755" spans="1:8" ht="15.75" customHeight="1">
      <c r="A2755" s="140" t="s">
        <v>75</v>
      </c>
      <c r="B2755" s="140" t="s">
        <v>22</v>
      </c>
      <c r="C2755" s="141" t="s">
        <v>336</v>
      </c>
      <c r="D2755" s="140" t="s">
        <v>337</v>
      </c>
      <c r="E2755" s="140">
        <v>2</v>
      </c>
      <c r="F2755" s="142">
        <v>45926.541666666672</v>
      </c>
      <c r="G2755" s="140" t="s">
        <v>845</v>
      </c>
      <c r="H2755" s="140" t="s">
        <v>868</v>
      </c>
    </row>
    <row r="2756" spans="1:8" ht="15.75" customHeight="1">
      <c r="A2756" s="140" t="s">
        <v>75</v>
      </c>
      <c r="B2756" s="140" t="s">
        <v>22</v>
      </c>
      <c r="C2756" s="141" t="s">
        <v>336</v>
      </c>
      <c r="D2756" s="140" t="s">
        <v>337</v>
      </c>
      <c r="E2756" s="140">
        <v>3</v>
      </c>
      <c r="F2756" s="142">
        <v>45929.416666666672</v>
      </c>
      <c r="G2756" s="140" t="s">
        <v>843</v>
      </c>
      <c r="H2756" s="140" t="s">
        <v>868</v>
      </c>
    </row>
    <row r="2757" spans="1:8" ht="15.75" customHeight="1">
      <c r="A2757" s="140" t="s">
        <v>75</v>
      </c>
      <c r="B2757" s="140" t="s">
        <v>22</v>
      </c>
      <c r="C2757" s="141" t="s">
        <v>336</v>
      </c>
      <c r="D2757" s="140" t="s">
        <v>337</v>
      </c>
      <c r="E2757" s="140">
        <v>5</v>
      </c>
      <c r="F2757" s="142">
        <v>45947.416666666672</v>
      </c>
      <c r="G2757" s="140" t="s">
        <v>845</v>
      </c>
      <c r="H2757" s="140" t="s">
        <v>868</v>
      </c>
    </row>
    <row r="2758" spans="1:8" ht="15.75" customHeight="1">
      <c r="A2758" s="140" t="s">
        <v>75</v>
      </c>
      <c r="B2758" s="140" t="s">
        <v>22</v>
      </c>
      <c r="C2758" s="141" t="s">
        <v>336</v>
      </c>
      <c r="D2758" s="140" t="s">
        <v>337</v>
      </c>
      <c r="E2758" s="140">
        <v>6</v>
      </c>
      <c r="F2758" s="142">
        <v>45950.416666666672</v>
      </c>
      <c r="G2758" s="140" t="s">
        <v>845</v>
      </c>
      <c r="H2758" s="140" t="s">
        <v>868</v>
      </c>
    </row>
    <row r="2759" spans="1:8" ht="15.75" customHeight="1">
      <c r="A2759" s="140" t="s">
        <v>75</v>
      </c>
      <c r="B2759" s="140" t="s">
        <v>22</v>
      </c>
      <c r="C2759" s="141" t="s">
        <v>336</v>
      </c>
      <c r="D2759" s="140" t="s">
        <v>337</v>
      </c>
      <c r="E2759" s="140">
        <v>7</v>
      </c>
      <c r="F2759" s="142">
        <v>45971.625</v>
      </c>
      <c r="G2759" s="140" t="s">
        <v>845</v>
      </c>
      <c r="H2759" s="140" t="s">
        <v>868</v>
      </c>
    </row>
    <row r="2760" spans="1:8" ht="15.75" customHeight="1">
      <c r="A2760" s="140" t="s">
        <v>75</v>
      </c>
      <c r="B2760" s="140" t="s">
        <v>22</v>
      </c>
      <c r="C2760" s="141" t="s">
        <v>336</v>
      </c>
      <c r="D2760" s="140" t="s">
        <v>337</v>
      </c>
      <c r="E2760" s="140">
        <v>8</v>
      </c>
      <c r="F2760" s="142">
        <v>45980.625</v>
      </c>
      <c r="G2760" s="140" t="s">
        <v>845</v>
      </c>
      <c r="H2760" s="140" t="s">
        <v>868</v>
      </c>
    </row>
    <row r="2761" spans="1:8" ht="15.75" customHeight="1">
      <c r="A2761" s="140" t="s">
        <v>75</v>
      </c>
      <c r="B2761" s="140" t="s">
        <v>22</v>
      </c>
      <c r="C2761" s="141" t="s">
        <v>336</v>
      </c>
      <c r="D2761" s="140" t="s">
        <v>337</v>
      </c>
      <c r="E2761" s="140">
        <v>9</v>
      </c>
      <c r="F2761" s="142">
        <v>46008.625</v>
      </c>
      <c r="G2761" s="140" t="s">
        <v>843</v>
      </c>
      <c r="H2761" s="140" t="s">
        <v>868</v>
      </c>
    </row>
    <row r="2762" spans="1:8" ht="15.75" customHeight="1">
      <c r="A2762" s="140" t="s">
        <v>75</v>
      </c>
      <c r="B2762" s="140" t="s">
        <v>22</v>
      </c>
      <c r="C2762" s="141" t="s">
        <v>336</v>
      </c>
      <c r="D2762" s="140" t="s">
        <v>337</v>
      </c>
      <c r="E2762" s="140">
        <v>10</v>
      </c>
      <c r="F2762" s="142">
        <v>46017.625</v>
      </c>
      <c r="G2762" s="140" t="s">
        <v>845</v>
      </c>
      <c r="H2762" s="140" t="s">
        <v>868</v>
      </c>
    </row>
    <row r="2763" spans="1:8" ht="15.75" customHeight="1">
      <c r="A2763" s="140" t="s">
        <v>75</v>
      </c>
      <c r="B2763" s="140" t="s">
        <v>22</v>
      </c>
      <c r="C2763" s="141" t="s">
        <v>336</v>
      </c>
      <c r="D2763" s="140" t="s">
        <v>337</v>
      </c>
      <c r="E2763" s="140">
        <v>11</v>
      </c>
      <c r="F2763" s="142">
        <v>46041.625</v>
      </c>
      <c r="G2763" s="140" t="s">
        <v>845</v>
      </c>
      <c r="H2763" s="140" t="s">
        <v>868</v>
      </c>
    </row>
    <row r="2764" spans="1:8" ht="15.75" customHeight="1">
      <c r="A2764" s="140" t="s">
        <v>75</v>
      </c>
      <c r="B2764" s="140" t="s">
        <v>22</v>
      </c>
      <c r="C2764" s="141" t="s">
        <v>336</v>
      </c>
      <c r="D2764" s="140" t="s">
        <v>337</v>
      </c>
      <c r="E2764" s="140">
        <v>12</v>
      </c>
      <c r="F2764" s="142">
        <v>46048.541666666672</v>
      </c>
      <c r="G2764" s="140" t="s">
        <v>845</v>
      </c>
      <c r="H2764" s="140" t="s">
        <v>868</v>
      </c>
    </row>
    <row r="2765" spans="1:8" ht="15.75" customHeight="1">
      <c r="A2765" s="140" t="s">
        <v>75</v>
      </c>
      <c r="B2765" s="140" t="s">
        <v>22</v>
      </c>
      <c r="C2765" s="141" t="s">
        <v>336</v>
      </c>
      <c r="D2765" s="140" t="s">
        <v>337</v>
      </c>
      <c r="E2765" s="140">
        <v>13</v>
      </c>
      <c r="F2765" s="142">
        <v>46086.416666666672</v>
      </c>
      <c r="G2765" s="140" t="s">
        <v>845</v>
      </c>
      <c r="H2765" s="140" t="s">
        <v>868</v>
      </c>
    </row>
    <row r="2766" spans="1:8" ht="15.75" customHeight="1">
      <c r="A2766" s="140" t="s">
        <v>75</v>
      </c>
      <c r="B2766" s="140" t="s">
        <v>22</v>
      </c>
      <c r="C2766" s="141" t="s">
        <v>336</v>
      </c>
      <c r="D2766" s="140" t="s">
        <v>337</v>
      </c>
      <c r="E2766" s="140">
        <v>14</v>
      </c>
      <c r="F2766" s="142">
        <v>46087.416666666672</v>
      </c>
      <c r="G2766" s="140" t="s">
        <v>845</v>
      </c>
      <c r="H2766" s="140" t="s">
        <v>868</v>
      </c>
    </row>
    <row r="2767" spans="1:8" ht="15.75" customHeight="1">
      <c r="A2767" s="140" t="s">
        <v>75</v>
      </c>
      <c r="B2767" s="140" t="s">
        <v>22</v>
      </c>
      <c r="C2767" s="141" t="s">
        <v>336</v>
      </c>
      <c r="D2767" s="140" t="s">
        <v>337</v>
      </c>
      <c r="E2767" s="140">
        <v>15</v>
      </c>
      <c r="F2767" s="142">
        <v>46094.416666666672</v>
      </c>
      <c r="G2767" s="140" t="s">
        <v>845</v>
      </c>
      <c r="H2767" s="140" t="s">
        <v>868</v>
      </c>
    </row>
    <row r="2768" spans="1:8" ht="15.75" customHeight="1">
      <c r="A2768" s="140" t="s">
        <v>75</v>
      </c>
      <c r="B2768" s="140" t="s">
        <v>21</v>
      </c>
      <c r="C2768" s="141" t="s">
        <v>417</v>
      </c>
      <c r="D2768" s="140" t="s">
        <v>418</v>
      </c>
      <c r="E2768" s="140">
        <v>1</v>
      </c>
      <c r="F2768" s="142">
        <v>45761.416666666672</v>
      </c>
      <c r="G2768" s="140" t="s">
        <v>845</v>
      </c>
      <c r="H2768" s="140" t="s">
        <v>868</v>
      </c>
    </row>
    <row r="2769" spans="1:8" ht="15.75" customHeight="1">
      <c r="A2769" s="140" t="s">
        <v>75</v>
      </c>
      <c r="B2769" s="140" t="s">
        <v>21</v>
      </c>
      <c r="C2769" s="141" t="s">
        <v>417</v>
      </c>
      <c r="D2769" s="140" t="s">
        <v>418</v>
      </c>
      <c r="E2769" s="140">
        <v>2</v>
      </c>
      <c r="F2769" s="142">
        <v>45786.458333333328</v>
      </c>
      <c r="G2769" s="140" t="s">
        <v>843</v>
      </c>
      <c r="H2769" s="140" t="s">
        <v>868</v>
      </c>
    </row>
    <row r="2770" spans="1:8" ht="15.75" customHeight="1">
      <c r="A2770" s="140" t="s">
        <v>75</v>
      </c>
      <c r="B2770" s="140" t="s">
        <v>21</v>
      </c>
      <c r="C2770" s="141" t="s">
        <v>417</v>
      </c>
      <c r="D2770" s="140" t="s">
        <v>418</v>
      </c>
      <c r="E2770" s="140">
        <v>3</v>
      </c>
      <c r="F2770" s="142">
        <v>45793.458333333328</v>
      </c>
      <c r="G2770" s="140" t="s">
        <v>845</v>
      </c>
      <c r="H2770" s="140" t="s">
        <v>868</v>
      </c>
    </row>
    <row r="2771" spans="1:8" ht="15.75" customHeight="1">
      <c r="A2771" s="140" t="s">
        <v>75</v>
      </c>
      <c r="B2771" s="140" t="s">
        <v>21</v>
      </c>
      <c r="C2771" s="141" t="s">
        <v>417</v>
      </c>
      <c r="D2771" s="140" t="s">
        <v>418</v>
      </c>
      <c r="E2771" s="140">
        <v>4</v>
      </c>
      <c r="F2771" s="142">
        <v>45803.458333333328</v>
      </c>
      <c r="G2771" s="140" t="s">
        <v>845</v>
      </c>
      <c r="H2771" s="140" t="s">
        <v>868</v>
      </c>
    </row>
    <row r="2772" spans="1:8" ht="15.75" customHeight="1">
      <c r="A2772" s="140" t="s">
        <v>75</v>
      </c>
      <c r="B2772" s="140" t="s">
        <v>21</v>
      </c>
      <c r="C2772" s="141" t="s">
        <v>417</v>
      </c>
      <c r="D2772" s="140" t="s">
        <v>418</v>
      </c>
      <c r="E2772" s="140">
        <v>5</v>
      </c>
      <c r="F2772" s="142">
        <v>45817.458333333328</v>
      </c>
      <c r="G2772" s="140" t="s">
        <v>845</v>
      </c>
      <c r="H2772" s="140" t="s">
        <v>868</v>
      </c>
    </row>
    <row r="2773" spans="1:8" ht="15.75" customHeight="1">
      <c r="A2773" s="140" t="s">
        <v>75</v>
      </c>
      <c r="B2773" s="140" t="s">
        <v>21</v>
      </c>
      <c r="C2773" s="141" t="s">
        <v>417</v>
      </c>
      <c r="D2773" s="140" t="s">
        <v>418</v>
      </c>
      <c r="E2773" s="140">
        <v>6</v>
      </c>
      <c r="F2773" s="142">
        <v>45824.458333333328</v>
      </c>
      <c r="G2773" s="140" t="s">
        <v>845</v>
      </c>
      <c r="H2773" s="140" t="s">
        <v>868</v>
      </c>
    </row>
    <row r="2774" spans="1:8" ht="15.75" customHeight="1">
      <c r="A2774" s="140" t="s">
        <v>75</v>
      </c>
      <c r="B2774" s="140" t="s">
        <v>21</v>
      </c>
      <c r="C2774" s="141" t="s">
        <v>417</v>
      </c>
      <c r="D2774" s="140" t="s">
        <v>418</v>
      </c>
      <c r="E2774" s="140">
        <v>7</v>
      </c>
      <c r="F2774" s="142">
        <v>45852.625</v>
      </c>
      <c r="G2774" s="140" t="s">
        <v>845</v>
      </c>
      <c r="H2774" s="140" t="s">
        <v>868</v>
      </c>
    </row>
    <row r="2775" spans="1:8" ht="15.75" customHeight="1">
      <c r="A2775" s="140" t="s">
        <v>75</v>
      </c>
      <c r="B2775" s="140" t="s">
        <v>21</v>
      </c>
      <c r="C2775" s="141" t="s">
        <v>417</v>
      </c>
      <c r="D2775" s="140" t="s">
        <v>418</v>
      </c>
      <c r="E2775" s="140">
        <v>8</v>
      </c>
      <c r="F2775" s="142">
        <v>45859.375</v>
      </c>
      <c r="G2775" s="140" t="s">
        <v>845</v>
      </c>
      <c r="H2775" s="140" t="s">
        <v>868</v>
      </c>
    </row>
    <row r="2776" spans="1:8" ht="15.75" customHeight="1">
      <c r="A2776" s="140" t="s">
        <v>75</v>
      </c>
      <c r="B2776" s="140" t="s">
        <v>21</v>
      </c>
      <c r="C2776" s="141" t="s">
        <v>417</v>
      </c>
      <c r="D2776" s="140" t="s">
        <v>418</v>
      </c>
      <c r="E2776" s="140">
        <v>9</v>
      </c>
      <c r="F2776" s="142">
        <v>45866.416666666672</v>
      </c>
      <c r="G2776" s="140" t="s">
        <v>845</v>
      </c>
      <c r="H2776" s="140" t="s">
        <v>868</v>
      </c>
    </row>
    <row r="2777" spans="1:8" ht="15.75" customHeight="1">
      <c r="A2777" s="140" t="s">
        <v>75</v>
      </c>
      <c r="B2777" s="140" t="s">
        <v>21</v>
      </c>
      <c r="C2777" s="141" t="s">
        <v>417</v>
      </c>
      <c r="D2777" s="140" t="s">
        <v>418</v>
      </c>
      <c r="E2777" s="140">
        <v>10</v>
      </c>
      <c r="F2777" s="142">
        <v>45894.541666666672</v>
      </c>
      <c r="G2777" s="140" t="s">
        <v>845</v>
      </c>
      <c r="H2777" s="140" t="s">
        <v>868</v>
      </c>
    </row>
    <row r="2778" spans="1:8" ht="15.75" customHeight="1">
      <c r="A2778" s="140" t="s">
        <v>75</v>
      </c>
      <c r="B2778" s="140" t="s">
        <v>22</v>
      </c>
      <c r="C2778" s="141" t="s">
        <v>417</v>
      </c>
      <c r="D2778" s="140" t="s">
        <v>418</v>
      </c>
      <c r="E2778" s="140">
        <v>1</v>
      </c>
      <c r="F2778" s="142">
        <v>45922.416666666672</v>
      </c>
      <c r="G2778" s="140" t="s">
        <v>845</v>
      </c>
      <c r="H2778" s="140" t="s">
        <v>868</v>
      </c>
    </row>
    <row r="2779" spans="1:8" ht="15.75" customHeight="1">
      <c r="A2779" s="140" t="s">
        <v>75</v>
      </c>
      <c r="B2779" s="140" t="s">
        <v>22</v>
      </c>
      <c r="C2779" s="141" t="s">
        <v>417</v>
      </c>
      <c r="D2779" s="140" t="s">
        <v>418</v>
      </c>
      <c r="E2779" s="140">
        <v>2</v>
      </c>
      <c r="F2779" s="142">
        <v>45926.541666666672</v>
      </c>
      <c r="G2779" s="140" t="s">
        <v>845</v>
      </c>
      <c r="H2779" s="140" t="s">
        <v>868</v>
      </c>
    </row>
    <row r="2780" spans="1:8" ht="15.75" customHeight="1">
      <c r="A2780" s="140" t="s">
        <v>75</v>
      </c>
      <c r="B2780" s="140" t="s">
        <v>22</v>
      </c>
      <c r="C2780" s="141" t="s">
        <v>417</v>
      </c>
      <c r="D2780" s="140" t="s">
        <v>418</v>
      </c>
      <c r="E2780" s="140">
        <v>3</v>
      </c>
      <c r="F2780" s="142">
        <v>45929.416666666672</v>
      </c>
      <c r="G2780" s="140" t="s">
        <v>845</v>
      </c>
      <c r="H2780" s="140" t="s">
        <v>868</v>
      </c>
    </row>
    <row r="2781" spans="1:8" ht="15.75" customHeight="1">
      <c r="A2781" s="140" t="s">
        <v>75</v>
      </c>
      <c r="B2781" s="140" t="s">
        <v>22</v>
      </c>
      <c r="C2781" s="141" t="s">
        <v>417</v>
      </c>
      <c r="D2781" s="140" t="s">
        <v>418</v>
      </c>
      <c r="E2781" s="140">
        <v>5</v>
      </c>
      <c r="F2781" s="142">
        <v>45947.416666666672</v>
      </c>
      <c r="G2781" s="140" t="s">
        <v>845</v>
      </c>
      <c r="H2781" s="140" t="s">
        <v>868</v>
      </c>
    </row>
    <row r="2782" spans="1:8" ht="15.75" customHeight="1">
      <c r="A2782" s="140" t="s">
        <v>75</v>
      </c>
      <c r="B2782" s="140" t="s">
        <v>22</v>
      </c>
      <c r="C2782" s="141" t="s">
        <v>417</v>
      </c>
      <c r="D2782" s="140" t="s">
        <v>418</v>
      </c>
      <c r="E2782" s="140">
        <v>6</v>
      </c>
      <c r="F2782" s="142">
        <v>45950.416666666672</v>
      </c>
      <c r="G2782" s="140" t="s">
        <v>845</v>
      </c>
      <c r="H2782" s="140" t="s">
        <v>868</v>
      </c>
    </row>
    <row r="2783" spans="1:8" ht="15.75" customHeight="1">
      <c r="A2783" s="140" t="s">
        <v>75</v>
      </c>
      <c r="B2783" s="140" t="s">
        <v>22</v>
      </c>
      <c r="C2783" s="141" t="s">
        <v>417</v>
      </c>
      <c r="D2783" s="140" t="s">
        <v>418</v>
      </c>
      <c r="E2783" s="140">
        <v>7</v>
      </c>
      <c r="F2783" s="142">
        <v>45971.625</v>
      </c>
      <c r="G2783" s="140" t="s">
        <v>845</v>
      </c>
      <c r="H2783" s="140" t="s">
        <v>868</v>
      </c>
    </row>
    <row r="2784" spans="1:8" ht="15.75" customHeight="1">
      <c r="A2784" s="140" t="s">
        <v>75</v>
      </c>
      <c r="B2784" s="140" t="s">
        <v>22</v>
      </c>
      <c r="C2784" s="141" t="s">
        <v>417</v>
      </c>
      <c r="D2784" s="140" t="s">
        <v>418</v>
      </c>
      <c r="E2784" s="140">
        <v>8</v>
      </c>
      <c r="F2784" s="142">
        <v>45980.625</v>
      </c>
      <c r="G2784" s="140" t="s">
        <v>845</v>
      </c>
      <c r="H2784" s="140" t="s">
        <v>868</v>
      </c>
    </row>
    <row r="2785" spans="1:8" ht="15.75" customHeight="1">
      <c r="A2785" s="140" t="s">
        <v>75</v>
      </c>
      <c r="B2785" s="140" t="s">
        <v>22</v>
      </c>
      <c r="C2785" s="141" t="s">
        <v>417</v>
      </c>
      <c r="D2785" s="140" t="s">
        <v>418</v>
      </c>
      <c r="E2785" s="140">
        <v>9</v>
      </c>
      <c r="F2785" s="142">
        <v>46008.625</v>
      </c>
      <c r="G2785" s="140" t="s">
        <v>845</v>
      </c>
      <c r="H2785" s="140" t="s">
        <v>868</v>
      </c>
    </row>
    <row r="2786" spans="1:8" ht="15.75" customHeight="1">
      <c r="A2786" s="140" t="s">
        <v>75</v>
      </c>
      <c r="B2786" s="140" t="s">
        <v>22</v>
      </c>
      <c r="C2786" s="141" t="s">
        <v>417</v>
      </c>
      <c r="D2786" s="140" t="s">
        <v>418</v>
      </c>
      <c r="E2786" s="140">
        <v>10</v>
      </c>
      <c r="F2786" s="142">
        <v>46017.625</v>
      </c>
      <c r="G2786" s="140" t="s">
        <v>843</v>
      </c>
      <c r="H2786" s="140" t="s">
        <v>868</v>
      </c>
    </row>
    <row r="2787" spans="1:8" ht="15.75" customHeight="1">
      <c r="A2787" s="140" t="s">
        <v>75</v>
      </c>
      <c r="B2787" s="140" t="s">
        <v>22</v>
      </c>
      <c r="C2787" s="141" t="s">
        <v>417</v>
      </c>
      <c r="D2787" s="140" t="s">
        <v>418</v>
      </c>
      <c r="E2787" s="140">
        <v>11</v>
      </c>
      <c r="F2787" s="142">
        <v>46041.625</v>
      </c>
      <c r="G2787" s="140" t="s">
        <v>845</v>
      </c>
      <c r="H2787" s="140" t="s">
        <v>868</v>
      </c>
    </row>
    <row r="2788" spans="1:8" ht="15.75" customHeight="1">
      <c r="A2788" s="140" t="s">
        <v>75</v>
      </c>
      <c r="B2788" s="140" t="s">
        <v>22</v>
      </c>
      <c r="C2788" s="141" t="s">
        <v>417</v>
      </c>
      <c r="D2788" s="140" t="s">
        <v>418</v>
      </c>
      <c r="E2788" s="140">
        <v>12</v>
      </c>
      <c r="F2788" s="142">
        <v>46048.541666666672</v>
      </c>
      <c r="G2788" s="140" t="s">
        <v>845</v>
      </c>
      <c r="H2788" s="140" t="s">
        <v>868</v>
      </c>
    </row>
    <row r="2789" spans="1:8" ht="15.75" customHeight="1">
      <c r="A2789" s="140" t="s">
        <v>75</v>
      </c>
      <c r="B2789" s="140" t="s">
        <v>22</v>
      </c>
      <c r="C2789" s="141" t="s">
        <v>417</v>
      </c>
      <c r="D2789" s="140" t="s">
        <v>418</v>
      </c>
      <c r="E2789" s="140">
        <v>13</v>
      </c>
      <c r="F2789" s="142">
        <v>46086.416666666672</v>
      </c>
      <c r="G2789" s="140" t="s">
        <v>845</v>
      </c>
      <c r="H2789" s="140" t="s">
        <v>868</v>
      </c>
    </row>
    <row r="2790" spans="1:8" ht="15.75" customHeight="1">
      <c r="A2790" s="140" t="s">
        <v>75</v>
      </c>
      <c r="B2790" s="140" t="s">
        <v>22</v>
      </c>
      <c r="C2790" s="141" t="s">
        <v>417</v>
      </c>
      <c r="D2790" s="140" t="s">
        <v>418</v>
      </c>
      <c r="E2790" s="140">
        <v>14</v>
      </c>
      <c r="F2790" s="142">
        <v>46087.416666666672</v>
      </c>
      <c r="G2790" s="140" t="s">
        <v>845</v>
      </c>
      <c r="H2790" s="140" t="s">
        <v>868</v>
      </c>
    </row>
    <row r="2791" spans="1:8" ht="15.75" customHeight="1">
      <c r="A2791" s="140" t="s">
        <v>75</v>
      </c>
      <c r="B2791" s="140" t="s">
        <v>22</v>
      </c>
      <c r="C2791" s="141" t="s">
        <v>417</v>
      </c>
      <c r="D2791" s="140" t="s">
        <v>418</v>
      </c>
      <c r="E2791" s="140">
        <v>15</v>
      </c>
      <c r="F2791" s="142">
        <v>46094.416666666672</v>
      </c>
      <c r="G2791" s="140" t="s">
        <v>845</v>
      </c>
      <c r="H2791" s="140" t="s">
        <v>868</v>
      </c>
    </row>
    <row r="2792" spans="1:8" ht="15.75" customHeight="1">
      <c r="A2792" s="140" t="s">
        <v>75</v>
      </c>
      <c r="B2792" s="140" t="s">
        <v>21</v>
      </c>
      <c r="C2792" s="141" t="s">
        <v>587</v>
      </c>
      <c r="D2792" s="140" t="s">
        <v>588</v>
      </c>
      <c r="E2792" s="140">
        <v>1</v>
      </c>
      <c r="F2792" s="142">
        <v>45761.416666666672</v>
      </c>
      <c r="G2792" s="140" t="s">
        <v>845</v>
      </c>
      <c r="H2792" s="140" t="s">
        <v>868</v>
      </c>
    </row>
    <row r="2793" spans="1:8" ht="15.75" customHeight="1">
      <c r="A2793" s="140" t="s">
        <v>75</v>
      </c>
      <c r="B2793" s="140" t="s">
        <v>21</v>
      </c>
      <c r="C2793" s="141" t="s">
        <v>587</v>
      </c>
      <c r="D2793" s="140" t="s">
        <v>588</v>
      </c>
      <c r="E2793" s="140">
        <v>2</v>
      </c>
      <c r="F2793" s="142">
        <v>45786.458333333328</v>
      </c>
      <c r="G2793" s="140" t="s">
        <v>845</v>
      </c>
      <c r="H2793" s="140" t="s">
        <v>868</v>
      </c>
    </row>
    <row r="2794" spans="1:8" ht="15.75" customHeight="1">
      <c r="A2794" s="140" t="s">
        <v>75</v>
      </c>
      <c r="B2794" s="140" t="s">
        <v>21</v>
      </c>
      <c r="C2794" s="141" t="s">
        <v>587</v>
      </c>
      <c r="D2794" s="140" t="s">
        <v>588</v>
      </c>
      <c r="E2794" s="140">
        <v>3</v>
      </c>
      <c r="F2794" s="142">
        <v>45793.458333333328</v>
      </c>
      <c r="G2794" s="140" t="s">
        <v>845</v>
      </c>
      <c r="H2794" s="140" t="s">
        <v>868</v>
      </c>
    </row>
    <row r="2795" spans="1:8" ht="15.75" customHeight="1">
      <c r="A2795" s="140" t="s">
        <v>75</v>
      </c>
      <c r="B2795" s="140" t="s">
        <v>21</v>
      </c>
      <c r="C2795" s="141" t="s">
        <v>587</v>
      </c>
      <c r="D2795" s="140" t="s">
        <v>588</v>
      </c>
      <c r="E2795" s="140">
        <v>4</v>
      </c>
      <c r="F2795" s="142">
        <v>45803.458333333328</v>
      </c>
      <c r="G2795" s="140" t="s">
        <v>843</v>
      </c>
      <c r="H2795" s="140" t="s">
        <v>868</v>
      </c>
    </row>
    <row r="2796" spans="1:8" ht="15.75" customHeight="1">
      <c r="A2796" s="140" t="s">
        <v>75</v>
      </c>
      <c r="B2796" s="140" t="s">
        <v>21</v>
      </c>
      <c r="C2796" s="141" t="s">
        <v>587</v>
      </c>
      <c r="D2796" s="140" t="s">
        <v>588</v>
      </c>
      <c r="E2796" s="140">
        <v>5</v>
      </c>
      <c r="F2796" s="142">
        <v>45817.458333333328</v>
      </c>
      <c r="G2796" s="140" t="s">
        <v>845</v>
      </c>
      <c r="H2796" s="140" t="s">
        <v>868</v>
      </c>
    </row>
    <row r="2797" spans="1:8" ht="15.75" customHeight="1">
      <c r="A2797" s="140" t="s">
        <v>75</v>
      </c>
      <c r="B2797" s="140" t="s">
        <v>21</v>
      </c>
      <c r="C2797" s="141" t="s">
        <v>587</v>
      </c>
      <c r="D2797" s="140" t="s">
        <v>588</v>
      </c>
      <c r="E2797" s="140">
        <v>6</v>
      </c>
      <c r="F2797" s="142">
        <v>45824.458333333328</v>
      </c>
      <c r="G2797" s="140" t="s">
        <v>845</v>
      </c>
      <c r="H2797" s="140" t="s">
        <v>868</v>
      </c>
    </row>
    <row r="2798" spans="1:8" ht="15.75" customHeight="1">
      <c r="A2798" s="140" t="s">
        <v>75</v>
      </c>
      <c r="B2798" s="140" t="s">
        <v>21</v>
      </c>
      <c r="C2798" s="141" t="s">
        <v>587</v>
      </c>
      <c r="D2798" s="140" t="s">
        <v>588</v>
      </c>
      <c r="E2798" s="140">
        <v>7</v>
      </c>
      <c r="F2798" s="142">
        <v>45852.625</v>
      </c>
      <c r="G2798" s="140" t="s">
        <v>845</v>
      </c>
      <c r="H2798" s="140" t="s">
        <v>868</v>
      </c>
    </row>
    <row r="2799" spans="1:8" ht="15.75" customHeight="1">
      <c r="A2799" s="140" t="s">
        <v>75</v>
      </c>
      <c r="B2799" s="140" t="s">
        <v>21</v>
      </c>
      <c r="C2799" s="141" t="s">
        <v>587</v>
      </c>
      <c r="D2799" s="140" t="s">
        <v>588</v>
      </c>
      <c r="E2799" s="140">
        <v>8</v>
      </c>
      <c r="F2799" s="142">
        <v>45859.375</v>
      </c>
      <c r="G2799" s="140" t="s">
        <v>845</v>
      </c>
      <c r="H2799" s="140" t="s">
        <v>868</v>
      </c>
    </row>
    <row r="2800" spans="1:8" ht="15.75" customHeight="1">
      <c r="A2800" s="140" t="s">
        <v>75</v>
      </c>
      <c r="B2800" s="140" t="s">
        <v>21</v>
      </c>
      <c r="C2800" s="141" t="s">
        <v>587</v>
      </c>
      <c r="D2800" s="140" t="s">
        <v>588</v>
      </c>
      <c r="E2800" s="140">
        <v>9</v>
      </c>
      <c r="F2800" s="142">
        <v>45866.416666666672</v>
      </c>
      <c r="G2800" s="140" t="s">
        <v>843</v>
      </c>
      <c r="H2800" s="140" t="s">
        <v>868</v>
      </c>
    </row>
    <row r="2801" spans="1:8" ht="15.75" customHeight="1">
      <c r="A2801" s="140" t="s">
        <v>75</v>
      </c>
      <c r="B2801" s="140" t="s">
        <v>21</v>
      </c>
      <c r="C2801" s="141" t="s">
        <v>587</v>
      </c>
      <c r="D2801" s="140" t="s">
        <v>588</v>
      </c>
      <c r="E2801" s="140">
        <v>10</v>
      </c>
      <c r="F2801" s="142">
        <v>45894.541666666672</v>
      </c>
      <c r="G2801" s="140" t="s">
        <v>845</v>
      </c>
      <c r="H2801" s="140" t="s">
        <v>868</v>
      </c>
    </row>
    <row r="2802" spans="1:8" ht="15.75" customHeight="1">
      <c r="A2802" s="140" t="s">
        <v>75</v>
      </c>
      <c r="B2802" s="140" t="s">
        <v>22</v>
      </c>
      <c r="C2802" s="141" t="s">
        <v>587</v>
      </c>
      <c r="D2802" s="140" t="s">
        <v>588</v>
      </c>
      <c r="E2802" s="140">
        <v>1</v>
      </c>
      <c r="F2802" s="142">
        <v>45922.416666666672</v>
      </c>
      <c r="G2802" s="140" t="s">
        <v>843</v>
      </c>
      <c r="H2802" s="140" t="s">
        <v>868</v>
      </c>
    </row>
    <row r="2803" spans="1:8" ht="15.75" customHeight="1">
      <c r="A2803" s="140" t="s">
        <v>75</v>
      </c>
      <c r="B2803" s="140" t="s">
        <v>22</v>
      </c>
      <c r="C2803" s="141" t="s">
        <v>587</v>
      </c>
      <c r="D2803" s="140" t="s">
        <v>588</v>
      </c>
      <c r="E2803" s="140">
        <v>2</v>
      </c>
      <c r="F2803" s="142">
        <v>45926.541666666672</v>
      </c>
      <c r="G2803" s="140" t="s">
        <v>843</v>
      </c>
      <c r="H2803" s="140" t="s">
        <v>868</v>
      </c>
    </row>
    <row r="2804" spans="1:8" ht="15.75" customHeight="1">
      <c r="A2804" s="140" t="s">
        <v>75</v>
      </c>
      <c r="B2804" s="140" t="s">
        <v>22</v>
      </c>
      <c r="C2804" s="141" t="s">
        <v>587</v>
      </c>
      <c r="D2804" s="140" t="s">
        <v>588</v>
      </c>
      <c r="E2804" s="140">
        <v>3</v>
      </c>
      <c r="F2804" s="142">
        <v>45929.416666666672</v>
      </c>
      <c r="G2804" s="140" t="s">
        <v>843</v>
      </c>
      <c r="H2804" s="140" t="s">
        <v>868</v>
      </c>
    </row>
    <row r="2805" spans="1:8" ht="15.75" customHeight="1">
      <c r="A2805" s="140" t="s">
        <v>75</v>
      </c>
      <c r="B2805" s="140" t="s">
        <v>22</v>
      </c>
      <c r="C2805" s="141" t="s">
        <v>587</v>
      </c>
      <c r="D2805" s="140" t="s">
        <v>588</v>
      </c>
      <c r="E2805" s="140">
        <v>5</v>
      </c>
      <c r="F2805" s="142">
        <v>45947.416666666672</v>
      </c>
      <c r="G2805" s="140" t="s">
        <v>843</v>
      </c>
      <c r="H2805" s="140" t="s">
        <v>868</v>
      </c>
    </row>
    <row r="2806" spans="1:8" ht="15.75" customHeight="1">
      <c r="A2806" s="140" t="s">
        <v>75</v>
      </c>
      <c r="B2806" s="140" t="s">
        <v>22</v>
      </c>
      <c r="C2806" s="141" t="s">
        <v>587</v>
      </c>
      <c r="D2806" s="140" t="s">
        <v>588</v>
      </c>
      <c r="E2806" s="140">
        <v>6</v>
      </c>
      <c r="F2806" s="142">
        <v>45950.416666666672</v>
      </c>
      <c r="G2806" s="140" t="s">
        <v>843</v>
      </c>
      <c r="H2806" s="140" t="s">
        <v>868</v>
      </c>
    </row>
    <row r="2807" spans="1:8" ht="15.75" customHeight="1">
      <c r="A2807" s="140" t="s">
        <v>75</v>
      </c>
      <c r="B2807" s="140" t="s">
        <v>22</v>
      </c>
      <c r="C2807" s="141" t="s">
        <v>587</v>
      </c>
      <c r="D2807" s="140" t="s">
        <v>588</v>
      </c>
      <c r="E2807" s="140">
        <v>7</v>
      </c>
      <c r="F2807" s="142">
        <v>45971.625</v>
      </c>
      <c r="G2807" s="140" t="s">
        <v>843</v>
      </c>
      <c r="H2807" s="140" t="s">
        <v>868</v>
      </c>
    </row>
    <row r="2808" spans="1:8" ht="15.75" customHeight="1">
      <c r="A2808" s="140" t="s">
        <v>75</v>
      </c>
      <c r="B2808" s="140" t="s">
        <v>22</v>
      </c>
      <c r="C2808" s="141" t="s">
        <v>587</v>
      </c>
      <c r="D2808" s="140" t="s">
        <v>588</v>
      </c>
      <c r="E2808" s="140">
        <v>8</v>
      </c>
      <c r="F2808" s="142">
        <v>45980.625</v>
      </c>
      <c r="G2808" s="140" t="s">
        <v>843</v>
      </c>
      <c r="H2808" s="140" t="s">
        <v>868</v>
      </c>
    </row>
    <row r="2809" spans="1:8" ht="15.75" customHeight="1">
      <c r="A2809" s="140" t="s">
        <v>75</v>
      </c>
      <c r="B2809" s="140" t="s">
        <v>22</v>
      </c>
      <c r="C2809" s="141" t="s">
        <v>587</v>
      </c>
      <c r="D2809" s="140" t="s">
        <v>588</v>
      </c>
      <c r="E2809" s="140">
        <v>9</v>
      </c>
      <c r="F2809" s="142">
        <v>46008.625</v>
      </c>
      <c r="G2809" s="140" t="s">
        <v>843</v>
      </c>
      <c r="H2809" s="140" t="s">
        <v>868</v>
      </c>
    </row>
    <row r="2810" spans="1:8" ht="15.75" customHeight="1">
      <c r="A2810" s="140" t="s">
        <v>75</v>
      </c>
      <c r="B2810" s="140" t="s">
        <v>22</v>
      </c>
      <c r="C2810" s="141" t="s">
        <v>587</v>
      </c>
      <c r="D2810" s="140" t="s">
        <v>588</v>
      </c>
      <c r="E2810" s="140">
        <v>10</v>
      </c>
      <c r="F2810" s="142">
        <v>46017.625</v>
      </c>
      <c r="G2810" s="140" t="s">
        <v>843</v>
      </c>
      <c r="H2810" s="140" t="s">
        <v>868</v>
      </c>
    </row>
    <row r="2811" spans="1:8" ht="15.75" customHeight="1">
      <c r="A2811" s="140" t="s">
        <v>75</v>
      </c>
      <c r="B2811" s="140" t="s">
        <v>22</v>
      </c>
      <c r="C2811" s="141" t="s">
        <v>587</v>
      </c>
      <c r="D2811" s="140" t="s">
        <v>588</v>
      </c>
      <c r="E2811" s="140">
        <v>11</v>
      </c>
      <c r="F2811" s="142">
        <v>46041.625</v>
      </c>
      <c r="G2811" s="140" t="s">
        <v>843</v>
      </c>
      <c r="H2811" s="140" t="s">
        <v>868</v>
      </c>
    </row>
    <row r="2812" spans="1:8" ht="15.75" customHeight="1">
      <c r="A2812" s="140" t="s">
        <v>75</v>
      </c>
      <c r="B2812" s="140" t="s">
        <v>22</v>
      </c>
      <c r="C2812" s="141" t="s">
        <v>587</v>
      </c>
      <c r="D2812" s="140" t="s">
        <v>588</v>
      </c>
      <c r="E2812" s="140">
        <v>12</v>
      </c>
      <c r="F2812" s="142">
        <v>46048.541666666672</v>
      </c>
      <c r="G2812" s="140" t="s">
        <v>843</v>
      </c>
      <c r="H2812" s="140" t="s">
        <v>868</v>
      </c>
    </row>
    <row r="2813" spans="1:8" ht="15.75" customHeight="1">
      <c r="A2813" s="140" t="s">
        <v>75</v>
      </c>
      <c r="B2813" s="140" t="s">
        <v>21</v>
      </c>
      <c r="C2813" s="141" t="s">
        <v>593</v>
      </c>
      <c r="D2813" s="140" t="s">
        <v>594</v>
      </c>
      <c r="E2813" s="140">
        <v>1</v>
      </c>
      <c r="F2813" s="142">
        <v>45761.416666666672</v>
      </c>
      <c r="G2813" s="140" t="s">
        <v>845</v>
      </c>
      <c r="H2813" s="140" t="s">
        <v>868</v>
      </c>
    </row>
    <row r="2814" spans="1:8" ht="15.75" customHeight="1">
      <c r="A2814" s="140" t="s">
        <v>75</v>
      </c>
      <c r="B2814" s="140" t="s">
        <v>21</v>
      </c>
      <c r="C2814" s="141" t="s">
        <v>593</v>
      </c>
      <c r="D2814" s="140" t="s">
        <v>594</v>
      </c>
      <c r="E2814" s="140">
        <v>2</v>
      </c>
      <c r="F2814" s="142">
        <v>45786.458333333328</v>
      </c>
      <c r="G2814" s="140" t="s">
        <v>845</v>
      </c>
      <c r="H2814" s="140" t="s">
        <v>868</v>
      </c>
    </row>
    <row r="2815" spans="1:8" ht="15.75" customHeight="1">
      <c r="A2815" s="140" t="s">
        <v>75</v>
      </c>
      <c r="B2815" s="140" t="s">
        <v>21</v>
      </c>
      <c r="C2815" s="141" t="s">
        <v>593</v>
      </c>
      <c r="D2815" s="140" t="s">
        <v>594</v>
      </c>
      <c r="E2815" s="140">
        <v>3</v>
      </c>
      <c r="F2815" s="142">
        <v>45793.458333333328</v>
      </c>
      <c r="G2815" s="140" t="s">
        <v>843</v>
      </c>
      <c r="H2815" s="140" t="s">
        <v>868</v>
      </c>
    </row>
    <row r="2816" spans="1:8" ht="15.75" customHeight="1">
      <c r="A2816" s="140" t="s">
        <v>75</v>
      </c>
      <c r="B2816" s="140" t="s">
        <v>21</v>
      </c>
      <c r="C2816" s="141" t="s">
        <v>593</v>
      </c>
      <c r="D2816" s="140" t="s">
        <v>594</v>
      </c>
      <c r="E2816" s="140">
        <v>4</v>
      </c>
      <c r="F2816" s="142">
        <v>45803.458333333328</v>
      </c>
      <c r="G2816" s="140" t="s">
        <v>845</v>
      </c>
      <c r="H2816" s="140" t="s">
        <v>868</v>
      </c>
    </row>
    <row r="2817" spans="1:8" ht="15.75" customHeight="1">
      <c r="A2817" s="140" t="s">
        <v>75</v>
      </c>
      <c r="B2817" s="140" t="s">
        <v>21</v>
      </c>
      <c r="C2817" s="141" t="s">
        <v>593</v>
      </c>
      <c r="D2817" s="140" t="s">
        <v>594</v>
      </c>
      <c r="E2817" s="140">
        <v>5</v>
      </c>
      <c r="F2817" s="142">
        <v>45817.458333333328</v>
      </c>
      <c r="G2817" s="140" t="s">
        <v>845</v>
      </c>
      <c r="H2817" s="140" t="s">
        <v>868</v>
      </c>
    </row>
    <row r="2818" spans="1:8" ht="15.75" customHeight="1">
      <c r="A2818" s="140" t="s">
        <v>75</v>
      </c>
      <c r="B2818" s="140" t="s">
        <v>21</v>
      </c>
      <c r="C2818" s="141" t="s">
        <v>593</v>
      </c>
      <c r="D2818" s="140" t="s">
        <v>594</v>
      </c>
      <c r="E2818" s="140">
        <v>6</v>
      </c>
      <c r="F2818" s="142">
        <v>45824.458333333328</v>
      </c>
      <c r="G2818" s="140" t="s">
        <v>845</v>
      </c>
      <c r="H2818" s="140" t="s">
        <v>868</v>
      </c>
    </row>
    <row r="2819" spans="1:8" ht="15.75" customHeight="1">
      <c r="A2819" s="140" t="s">
        <v>75</v>
      </c>
      <c r="B2819" s="140" t="s">
        <v>21</v>
      </c>
      <c r="C2819" s="141" t="s">
        <v>593</v>
      </c>
      <c r="D2819" s="140" t="s">
        <v>594</v>
      </c>
      <c r="E2819" s="140">
        <v>7</v>
      </c>
      <c r="F2819" s="142">
        <v>45852.625</v>
      </c>
      <c r="G2819" s="140" t="s">
        <v>845</v>
      </c>
      <c r="H2819" s="140" t="s">
        <v>868</v>
      </c>
    </row>
    <row r="2820" spans="1:8" ht="15.75" customHeight="1">
      <c r="A2820" s="140" t="s">
        <v>75</v>
      </c>
      <c r="B2820" s="140" t="s">
        <v>21</v>
      </c>
      <c r="C2820" s="141" t="s">
        <v>593</v>
      </c>
      <c r="D2820" s="140" t="s">
        <v>594</v>
      </c>
      <c r="E2820" s="140">
        <v>8</v>
      </c>
      <c r="F2820" s="142">
        <v>45859.375</v>
      </c>
      <c r="G2820" s="140" t="s">
        <v>845</v>
      </c>
      <c r="H2820" s="140" t="s">
        <v>868</v>
      </c>
    </row>
    <row r="2821" spans="1:8" ht="15.75" customHeight="1">
      <c r="A2821" s="140" t="s">
        <v>75</v>
      </c>
      <c r="B2821" s="140" t="s">
        <v>21</v>
      </c>
      <c r="C2821" s="141" t="s">
        <v>593</v>
      </c>
      <c r="D2821" s="140" t="s">
        <v>594</v>
      </c>
      <c r="E2821" s="140">
        <v>9</v>
      </c>
      <c r="F2821" s="142">
        <v>45866.416666666672</v>
      </c>
      <c r="G2821" s="140" t="s">
        <v>845</v>
      </c>
      <c r="H2821" s="140" t="s">
        <v>868</v>
      </c>
    </row>
    <row r="2822" spans="1:8" ht="15.75" customHeight="1">
      <c r="A2822" s="140" t="s">
        <v>75</v>
      </c>
      <c r="B2822" s="140" t="s">
        <v>21</v>
      </c>
      <c r="C2822" s="141" t="s">
        <v>593</v>
      </c>
      <c r="D2822" s="140" t="s">
        <v>594</v>
      </c>
      <c r="E2822" s="140">
        <v>10</v>
      </c>
      <c r="F2822" s="142">
        <v>45894.541666666672</v>
      </c>
      <c r="G2822" s="140" t="s">
        <v>845</v>
      </c>
      <c r="H2822" s="140" t="s">
        <v>868</v>
      </c>
    </row>
    <row r="2823" spans="1:8" ht="15.75" customHeight="1">
      <c r="A2823" s="140" t="s">
        <v>75</v>
      </c>
      <c r="B2823" s="140" t="s">
        <v>22</v>
      </c>
      <c r="C2823" s="141" t="s">
        <v>593</v>
      </c>
      <c r="D2823" s="140" t="s">
        <v>594</v>
      </c>
      <c r="E2823" s="140">
        <v>1</v>
      </c>
      <c r="F2823" s="142">
        <v>45922.416666666672</v>
      </c>
      <c r="G2823" s="140" t="s">
        <v>845</v>
      </c>
      <c r="H2823" s="140" t="s">
        <v>868</v>
      </c>
    </row>
    <row r="2824" spans="1:8" ht="15.75" customHeight="1">
      <c r="A2824" s="140" t="s">
        <v>75</v>
      </c>
      <c r="B2824" s="140" t="s">
        <v>22</v>
      </c>
      <c r="C2824" s="141" t="s">
        <v>593</v>
      </c>
      <c r="D2824" s="140" t="s">
        <v>594</v>
      </c>
      <c r="E2824" s="140">
        <v>2</v>
      </c>
      <c r="F2824" s="142">
        <v>45926.541666666672</v>
      </c>
      <c r="G2824" s="140" t="s">
        <v>845</v>
      </c>
      <c r="H2824" s="140" t="s">
        <v>868</v>
      </c>
    </row>
    <row r="2825" spans="1:8" ht="15.75" customHeight="1">
      <c r="A2825" s="140" t="s">
        <v>75</v>
      </c>
      <c r="B2825" s="140" t="s">
        <v>22</v>
      </c>
      <c r="C2825" s="141" t="s">
        <v>593</v>
      </c>
      <c r="D2825" s="140" t="s">
        <v>594</v>
      </c>
      <c r="E2825" s="140">
        <v>3</v>
      </c>
      <c r="F2825" s="142">
        <v>45929.416666666672</v>
      </c>
      <c r="G2825" s="140" t="s">
        <v>845</v>
      </c>
      <c r="H2825" s="140" t="s">
        <v>868</v>
      </c>
    </row>
    <row r="2826" spans="1:8" ht="15.75" customHeight="1">
      <c r="A2826" s="140" t="s">
        <v>75</v>
      </c>
      <c r="B2826" s="140" t="s">
        <v>22</v>
      </c>
      <c r="C2826" s="141" t="s">
        <v>593</v>
      </c>
      <c r="D2826" s="140" t="s">
        <v>594</v>
      </c>
      <c r="E2826" s="140">
        <v>5</v>
      </c>
      <c r="F2826" s="142">
        <v>45947.416666666672</v>
      </c>
      <c r="G2826" s="140" t="s">
        <v>845</v>
      </c>
      <c r="H2826" s="140" t="s">
        <v>868</v>
      </c>
    </row>
    <row r="2827" spans="1:8" ht="15.75" customHeight="1">
      <c r="A2827" s="140" t="s">
        <v>75</v>
      </c>
      <c r="B2827" s="140" t="s">
        <v>22</v>
      </c>
      <c r="C2827" s="141" t="s">
        <v>593</v>
      </c>
      <c r="D2827" s="140" t="s">
        <v>594</v>
      </c>
      <c r="E2827" s="140">
        <v>6</v>
      </c>
      <c r="F2827" s="142">
        <v>45950.416666666672</v>
      </c>
      <c r="G2827" s="140" t="s">
        <v>843</v>
      </c>
      <c r="H2827" s="140" t="s">
        <v>868</v>
      </c>
    </row>
    <row r="2828" spans="1:8" ht="15.75" customHeight="1">
      <c r="A2828" s="140" t="s">
        <v>75</v>
      </c>
      <c r="B2828" s="140" t="s">
        <v>22</v>
      </c>
      <c r="C2828" s="141" t="s">
        <v>593</v>
      </c>
      <c r="D2828" s="140" t="s">
        <v>594</v>
      </c>
      <c r="E2828" s="140">
        <v>7</v>
      </c>
      <c r="F2828" s="142">
        <v>45971.625</v>
      </c>
      <c r="G2828" s="140" t="s">
        <v>845</v>
      </c>
      <c r="H2828" s="140" t="s">
        <v>868</v>
      </c>
    </row>
    <row r="2829" spans="1:8" ht="15.75" customHeight="1">
      <c r="A2829" s="140" t="s">
        <v>75</v>
      </c>
      <c r="B2829" s="140" t="s">
        <v>22</v>
      </c>
      <c r="C2829" s="141" t="s">
        <v>593</v>
      </c>
      <c r="D2829" s="140" t="s">
        <v>594</v>
      </c>
      <c r="E2829" s="140">
        <v>8</v>
      </c>
      <c r="F2829" s="142">
        <v>45980.625</v>
      </c>
      <c r="G2829" s="140" t="s">
        <v>845</v>
      </c>
      <c r="H2829" s="140" t="s">
        <v>868</v>
      </c>
    </row>
    <row r="2830" spans="1:8" ht="15.75" customHeight="1">
      <c r="A2830" s="140" t="s">
        <v>75</v>
      </c>
      <c r="B2830" s="140" t="s">
        <v>22</v>
      </c>
      <c r="C2830" s="141" t="s">
        <v>593</v>
      </c>
      <c r="D2830" s="140" t="s">
        <v>594</v>
      </c>
      <c r="E2830" s="140">
        <v>9</v>
      </c>
      <c r="F2830" s="142">
        <v>46008.625</v>
      </c>
      <c r="G2830" s="140" t="s">
        <v>845</v>
      </c>
      <c r="H2830" s="140" t="s">
        <v>868</v>
      </c>
    </row>
    <row r="2831" spans="1:8" ht="15.75" customHeight="1">
      <c r="A2831" s="140" t="s">
        <v>75</v>
      </c>
      <c r="B2831" s="140" t="s">
        <v>22</v>
      </c>
      <c r="C2831" s="141" t="s">
        <v>593</v>
      </c>
      <c r="D2831" s="140" t="s">
        <v>594</v>
      </c>
      <c r="E2831" s="140">
        <v>10</v>
      </c>
      <c r="F2831" s="142">
        <v>46017.625</v>
      </c>
      <c r="G2831" s="140" t="s">
        <v>845</v>
      </c>
      <c r="H2831" s="140" t="s">
        <v>868</v>
      </c>
    </row>
    <row r="2832" spans="1:8" ht="15.75" customHeight="1">
      <c r="A2832" s="140" t="s">
        <v>75</v>
      </c>
      <c r="B2832" s="140" t="s">
        <v>22</v>
      </c>
      <c r="C2832" s="141" t="s">
        <v>593</v>
      </c>
      <c r="D2832" s="140" t="s">
        <v>594</v>
      </c>
      <c r="E2832" s="140">
        <v>11</v>
      </c>
      <c r="F2832" s="142">
        <v>46041.625</v>
      </c>
      <c r="G2832" s="140" t="s">
        <v>845</v>
      </c>
      <c r="H2832" s="140" t="s">
        <v>868</v>
      </c>
    </row>
    <row r="2833" spans="1:8" ht="15.75" customHeight="1">
      <c r="A2833" s="140" t="s">
        <v>75</v>
      </c>
      <c r="B2833" s="140" t="s">
        <v>22</v>
      </c>
      <c r="C2833" s="141" t="s">
        <v>593</v>
      </c>
      <c r="D2833" s="140" t="s">
        <v>594</v>
      </c>
      <c r="E2833" s="140">
        <v>12</v>
      </c>
      <c r="F2833" s="142">
        <v>46048.541666666672</v>
      </c>
      <c r="G2833" s="140" t="s">
        <v>845</v>
      </c>
      <c r="H2833" s="140" t="s">
        <v>868</v>
      </c>
    </row>
    <row r="2834" spans="1:8" ht="15.75" customHeight="1">
      <c r="A2834" s="140" t="s">
        <v>75</v>
      </c>
      <c r="B2834" s="140" t="s">
        <v>22</v>
      </c>
      <c r="C2834" s="141" t="s">
        <v>593</v>
      </c>
      <c r="D2834" s="140" t="s">
        <v>594</v>
      </c>
      <c r="E2834" s="140">
        <v>13</v>
      </c>
      <c r="F2834" s="142">
        <v>46086.416666666672</v>
      </c>
      <c r="G2834" s="140" t="s">
        <v>845</v>
      </c>
      <c r="H2834" s="140" t="s">
        <v>868</v>
      </c>
    </row>
    <row r="2835" spans="1:8" ht="15.75" customHeight="1">
      <c r="A2835" s="140" t="s">
        <v>75</v>
      </c>
      <c r="B2835" s="140" t="s">
        <v>22</v>
      </c>
      <c r="C2835" s="141" t="s">
        <v>593</v>
      </c>
      <c r="D2835" s="140" t="s">
        <v>594</v>
      </c>
      <c r="E2835" s="140">
        <v>14</v>
      </c>
      <c r="F2835" s="142">
        <v>46087.416666666672</v>
      </c>
      <c r="G2835" s="140" t="s">
        <v>845</v>
      </c>
      <c r="H2835" s="140" t="s">
        <v>868</v>
      </c>
    </row>
    <row r="2836" spans="1:8" ht="15.75" customHeight="1">
      <c r="A2836" s="140" t="s">
        <v>75</v>
      </c>
      <c r="B2836" s="140" t="s">
        <v>22</v>
      </c>
      <c r="C2836" s="141" t="s">
        <v>593</v>
      </c>
      <c r="D2836" s="140" t="s">
        <v>594</v>
      </c>
      <c r="E2836" s="140">
        <v>15</v>
      </c>
      <c r="F2836" s="142">
        <v>46094.416666666672</v>
      </c>
      <c r="G2836" s="140" t="s">
        <v>845</v>
      </c>
      <c r="H2836" s="140" t="s">
        <v>868</v>
      </c>
    </row>
    <row r="2837" spans="1:8" ht="15.75" customHeight="1">
      <c r="A2837" s="140" t="s">
        <v>76</v>
      </c>
      <c r="B2837" s="140" t="s">
        <v>21</v>
      </c>
      <c r="C2837" s="141" t="s">
        <v>210</v>
      </c>
      <c r="D2837" s="140" t="s">
        <v>211</v>
      </c>
      <c r="E2837" s="140">
        <v>1</v>
      </c>
      <c r="F2837" s="142">
        <v>45763.541666666672</v>
      </c>
      <c r="G2837" s="140" t="s">
        <v>845</v>
      </c>
      <c r="H2837" s="140" t="s">
        <v>869</v>
      </c>
    </row>
    <row r="2838" spans="1:8" ht="15.75" customHeight="1">
      <c r="A2838" s="140" t="s">
        <v>76</v>
      </c>
      <c r="B2838" s="140" t="s">
        <v>21</v>
      </c>
      <c r="C2838" s="141" t="s">
        <v>210</v>
      </c>
      <c r="D2838" s="140" t="s">
        <v>211</v>
      </c>
      <c r="E2838" s="140">
        <v>2</v>
      </c>
      <c r="F2838" s="142">
        <v>45769.541666666672</v>
      </c>
      <c r="G2838" s="140" t="s">
        <v>845</v>
      </c>
      <c r="H2838" s="140" t="s">
        <v>869</v>
      </c>
    </row>
    <row r="2839" spans="1:8" ht="15.75" customHeight="1">
      <c r="A2839" s="140" t="s">
        <v>76</v>
      </c>
      <c r="B2839" s="140" t="s">
        <v>21</v>
      </c>
      <c r="C2839" s="141" t="s">
        <v>210</v>
      </c>
      <c r="D2839" s="140" t="s">
        <v>211</v>
      </c>
      <c r="E2839" s="140">
        <v>3</v>
      </c>
      <c r="F2839" s="142">
        <v>45786.416666666672</v>
      </c>
      <c r="G2839" s="140" t="s">
        <v>845</v>
      </c>
      <c r="H2839" s="140" t="s">
        <v>869</v>
      </c>
    </row>
    <row r="2840" spans="1:8" ht="15.75" customHeight="1">
      <c r="A2840" s="140" t="s">
        <v>76</v>
      </c>
      <c r="B2840" s="140" t="s">
        <v>21</v>
      </c>
      <c r="C2840" s="141" t="s">
        <v>210</v>
      </c>
      <c r="D2840" s="140" t="s">
        <v>211</v>
      </c>
      <c r="E2840" s="140">
        <v>4</v>
      </c>
      <c r="F2840" s="142">
        <v>45804.541666666672</v>
      </c>
      <c r="G2840" s="140" t="s">
        <v>845</v>
      </c>
      <c r="H2840" s="140" t="s">
        <v>869</v>
      </c>
    </row>
    <row r="2841" spans="1:8" ht="15.75" customHeight="1">
      <c r="A2841" s="140" t="s">
        <v>76</v>
      </c>
      <c r="B2841" s="140" t="s">
        <v>21</v>
      </c>
      <c r="C2841" s="141" t="s">
        <v>210</v>
      </c>
      <c r="D2841" s="140" t="s">
        <v>211</v>
      </c>
      <c r="E2841" s="140">
        <v>5</v>
      </c>
      <c r="F2841" s="142">
        <v>45811.583333333328</v>
      </c>
      <c r="G2841" s="140" t="s">
        <v>845</v>
      </c>
      <c r="H2841" s="140" t="s">
        <v>869</v>
      </c>
    </row>
    <row r="2842" spans="1:8" ht="15.75" customHeight="1">
      <c r="A2842" s="140" t="s">
        <v>76</v>
      </c>
      <c r="B2842" s="140" t="s">
        <v>21</v>
      </c>
      <c r="C2842" s="141" t="s">
        <v>210</v>
      </c>
      <c r="D2842" s="140" t="s">
        <v>211</v>
      </c>
      <c r="E2842" s="140">
        <v>6</v>
      </c>
      <c r="F2842" s="142">
        <v>45818.583333333328</v>
      </c>
      <c r="G2842" s="140" t="s">
        <v>845</v>
      </c>
      <c r="H2842" s="140" t="s">
        <v>869</v>
      </c>
    </row>
    <row r="2843" spans="1:8" ht="15.75" customHeight="1">
      <c r="A2843" s="140" t="s">
        <v>76</v>
      </c>
      <c r="B2843" s="140" t="s">
        <v>21</v>
      </c>
      <c r="C2843" s="141" t="s">
        <v>210</v>
      </c>
      <c r="D2843" s="140" t="s">
        <v>211</v>
      </c>
      <c r="E2843" s="140">
        <v>7</v>
      </c>
      <c r="F2843" s="142">
        <v>45825.583333333328</v>
      </c>
      <c r="G2843" s="140" t="s">
        <v>845</v>
      </c>
      <c r="H2843" s="140" t="s">
        <v>869</v>
      </c>
    </row>
    <row r="2844" spans="1:8" ht="15.75" customHeight="1">
      <c r="A2844" s="140" t="s">
        <v>76</v>
      </c>
      <c r="B2844" s="140" t="s">
        <v>21</v>
      </c>
      <c r="C2844" s="141" t="s">
        <v>210</v>
      </c>
      <c r="D2844" s="140" t="s">
        <v>211</v>
      </c>
      <c r="E2844" s="140">
        <v>8</v>
      </c>
      <c r="F2844" s="142">
        <v>45832.583333333328</v>
      </c>
      <c r="G2844" s="140" t="s">
        <v>845</v>
      </c>
      <c r="H2844" s="140" t="s">
        <v>869</v>
      </c>
    </row>
    <row r="2845" spans="1:8" ht="15.75" customHeight="1">
      <c r="A2845" s="140" t="s">
        <v>76</v>
      </c>
      <c r="B2845" s="140" t="s">
        <v>21</v>
      </c>
      <c r="C2845" s="141" t="s">
        <v>210</v>
      </c>
      <c r="D2845" s="140" t="s">
        <v>211</v>
      </c>
      <c r="E2845" s="140">
        <v>9</v>
      </c>
      <c r="F2845" s="142">
        <v>45846.583333333328</v>
      </c>
      <c r="G2845" s="140" t="s">
        <v>845</v>
      </c>
      <c r="H2845" s="140" t="s">
        <v>869</v>
      </c>
    </row>
    <row r="2846" spans="1:8" ht="15.75" customHeight="1">
      <c r="A2846" s="140" t="s">
        <v>76</v>
      </c>
      <c r="B2846" s="140" t="s">
        <v>21</v>
      </c>
      <c r="C2846" s="141" t="s">
        <v>210</v>
      </c>
      <c r="D2846" s="140" t="s">
        <v>211</v>
      </c>
      <c r="E2846" s="140">
        <v>10</v>
      </c>
      <c r="F2846" s="142">
        <v>45868.375</v>
      </c>
      <c r="G2846" s="140" t="s">
        <v>845</v>
      </c>
      <c r="H2846" s="140" t="s">
        <v>869</v>
      </c>
    </row>
    <row r="2847" spans="1:8" ht="15.75" customHeight="1">
      <c r="A2847" s="140" t="s">
        <v>76</v>
      </c>
      <c r="B2847" s="140" t="s">
        <v>22</v>
      </c>
      <c r="C2847" s="141" t="s">
        <v>210</v>
      </c>
      <c r="D2847" s="140" t="s">
        <v>211</v>
      </c>
      <c r="E2847" s="140">
        <v>1</v>
      </c>
      <c r="F2847" s="142">
        <v>45895.583333333328</v>
      </c>
      <c r="G2847" s="140" t="s">
        <v>845</v>
      </c>
      <c r="H2847" s="140" t="s">
        <v>869</v>
      </c>
    </row>
    <row r="2848" spans="1:8" ht="15.75" customHeight="1">
      <c r="A2848" s="140" t="s">
        <v>76</v>
      </c>
      <c r="B2848" s="140" t="s">
        <v>22</v>
      </c>
      <c r="C2848" s="141" t="s">
        <v>210</v>
      </c>
      <c r="D2848" s="140" t="s">
        <v>211</v>
      </c>
      <c r="E2848" s="140">
        <v>2</v>
      </c>
      <c r="F2848" s="142">
        <v>45895.583333333328</v>
      </c>
      <c r="G2848" s="140" t="s">
        <v>845</v>
      </c>
      <c r="H2848" s="140" t="s">
        <v>869</v>
      </c>
    </row>
    <row r="2849" spans="1:8" ht="15.75" customHeight="1">
      <c r="A2849" s="140" t="s">
        <v>76</v>
      </c>
      <c r="B2849" s="140" t="s">
        <v>22</v>
      </c>
      <c r="C2849" s="141" t="s">
        <v>210</v>
      </c>
      <c r="D2849" s="140" t="s">
        <v>211</v>
      </c>
      <c r="E2849" s="140">
        <v>3</v>
      </c>
      <c r="F2849" s="142">
        <v>45916.625</v>
      </c>
      <c r="G2849" s="140" t="s">
        <v>843</v>
      </c>
      <c r="H2849" s="140" t="s">
        <v>869</v>
      </c>
    </row>
    <row r="2850" spans="1:8" ht="15.75" customHeight="1">
      <c r="A2850" s="140" t="s">
        <v>76</v>
      </c>
      <c r="B2850" s="140" t="s">
        <v>22</v>
      </c>
      <c r="C2850" s="141" t="s">
        <v>210</v>
      </c>
      <c r="D2850" s="140" t="s">
        <v>211</v>
      </c>
      <c r="E2850" s="140">
        <v>4</v>
      </c>
      <c r="F2850" s="142">
        <v>45953.625</v>
      </c>
      <c r="G2850" s="140" t="s">
        <v>845</v>
      </c>
      <c r="H2850" s="140" t="s">
        <v>869</v>
      </c>
    </row>
    <row r="2851" spans="1:8" ht="15.75" customHeight="1">
      <c r="A2851" s="140" t="s">
        <v>76</v>
      </c>
      <c r="B2851" s="140" t="s">
        <v>22</v>
      </c>
      <c r="C2851" s="141" t="s">
        <v>210</v>
      </c>
      <c r="D2851" s="140" t="s">
        <v>211</v>
      </c>
      <c r="E2851" s="140">
        <v>5</v>
      </c>
      <c r="F2851" s="142">
        <v>45930.625</v>
      </c>
      <c r="G2851" s="140" t="s">
        <v>843</v>
      </c>
      <c r="H2851" s="140" t="s">
        <v>869</v>
      </c>
    </row>
    <row r="2852" spans="1:8" ht="15.75" customHeight="1">
      <c r="A2852" s="140" t="s">
        <v>76</v>
      </c>
      <c r="B2852" s="140" t="s">
        <v>22</v>
      </c>
      <c r="C2852" s="141" t="s">
        <v>210</v>
      </c>
      <c r="D2852" s="140" t="s">
        <v>211</v>
      </c>
      <c r="E2852" s="140">
        <v>6</v>
      </c>
      <c r="F2852" s="142">
        <v>45964.625</v>
      </c>
      <c r="G2852" s="140" t="s">
        <v>845</v>
      </c>
      <c r="H2852" s="140" t="s">
        <v>869</v>
      </c>
    </row>
    <row r="2853" spans="1:8" ht="15.75" customHeight="1">
      <c r="A2853" s="140" t="s">
        <v>76</v>
      </c>
      <c r="B2853" s="140" t="s">
        <v>22</v>
      </c>
      <c r="C2853" s="141" t="s">
        <v>210</v>
      </c>
      <c r="D2853" s="140" t="s">
        <v>211</v>
      </c>
      <c r="E2853" s="140">
        <v>7</v>
      </c>
      <c r="F2853" s="142">
        <v>45979.625</v>
      </c>
      <c r="G2853" s="140" t="s">
        <v>843</v>
      </c>
      <c r="H2853" s="140" t="s">
        <v>869</v>
      </c>
    </row>
    <row r="2854" spans="1:8" ht="15.75" customHeight="1">
      <c r="A2854" s="140" t="s">
        <v>76</v>
      </c>
      <c r="B2854" s="140" t="s">
        <v>22</v>
      </c>
      <c r="C2854" s="141" t="s">
        <v>210</v>
      </c>
      <c r="D2854" s="140" t="s">
        <v>211</v>
      </c>
      <c r="E2854" s="140">
        <v>8</v>
      </c>
      <c r="F2854" s="142">
        <v>45993.583333333328</v>
      </c>
      <c r="G2854" s="140" t="s">
        <v>845</v>
      </c>
      <c r="H2854" s="140" t="s">
        <v>869</v>
      </c>
    </row>
    <row r="2855" spans="1:8" ht="15.75" customHeight="1">
      <c r="A2855" s="140" t="s">
        <v>76</v>
      </c>
      <c r="B2855" s="140" t="s">
        <v>22</v>
      </c>
      <c r="C2855" s="141" t="s">
        <v>210</v>
      </c>
      <c r="D2855" s="140" t="s">
        <v>211</v>
      </c>
      <c r="E2855" s="140">
        <v>9</v>
      </c>
      <c r="F2855" s="142">
        <v>46000.583333333328</v>
      </c>
      <c r="G2855" s="140" t="s">
        <v>845</v>
      </c>
      <c r="H2855" s="140" t="s">
        <v>869</v>
      </c>
    </row>
    <row r="2856" spans="1:8" ht="15.75" customHeight="1">
      <c r="A2856" s="140" t="s">
        <v>76</v>
      </c>
      <c r="B2856" s="140" t="s">
        <v>22</v>
      </c>
      <c r="C2856" s="141" t="s">
        <v>210</v>
      </c>
      <c r="D2856" s="140" t="s">
        <v>211</v>
      </c>
      <c r="E2856" s="140">
        <v>10</v>
      </c>
      <c r="F2856" s="142">
        <v>46007.583333333328</v>
      </c>
      <c r="G2856" s="140" t="s">
        <v>845</v>
      </c>
      <c r="H2856" s="140" t="s">
        <v>869</v>
      </c>
    </row>
    <row r="2857" spans="1:8" ht="15.75" customHeight="1">
      <c r="A2857" s="140" t="s">
        <v>76</v>
      </c>
      <c r="B2857" s="140" t="s">
        <v>22</v>
      </c>
      <c r="C2857" s="141" t="s">
        <v>210</v>
      </c>
      <c r="D2857" s="140" t="s">
        <v>211</v>
      </c>
      <c r="E2857" s="140">
        <v>11</v>
      </c>
      <c r="F2857" s="142">
        <v>46013.583333333328</v>
      </c>
      <c r="G2857" s="140" t="s">
        <v>845</v>
      </c>
      <c r="H2857" s="140" t="s">
        <v>869</v>
      </c>
    </row>
    <row r="2858" spans="1:8" ht="15.75" customHeight="1">
      <c r="A2858" s="140" t="s">
        <v>76</v>
      </c>
      <c r="B2858" s="140" t="s">
        <v>22</v>
      </c>
      <c r="C2858" s="141" t="s">
        <v>228</v>
      </c>
      <c r="D2858" s="140" t="s">
        <v>229</v>
      </c>
      <c r="E2858" s="140">
        <v>1</v>
      </c>
      <c r="F2858" s="142">
        <v>45895.583333333328</v>
      </c>
      <c r="G2858" s="140" t="s">
        <v>845</v>
      </c>
      <c r="H2858" s="140" t="s">
        <v>869</v>
      </c>
    </row>
    <row r="2859" spans="1:8" ht="15.75" customHeight="1">
      <c r="A2859" s="140" t="s">
        <v>76</v>
      </c>
      <c r="B2859" s="140" t="s">
        <v>22</v>
      </c>
      <c r="C2859" s="141" t="s">
        <v>228</v>
      </c>
      <c r="D2859" s="140" t="s">
        <v>229</v>
      </c>
      <c r="E2859" s="140">
        <v>2</v>
      </c>
      <c r="F2859" s="142">
        <v>45895.583333333328</v>
      </c>
      <c r="G2859" s="140" t="s">
        <v>843</v>
      </c>
      <c r="H2859" s="140" t="s">
        <v>869</v>
      </c>
    </row>
    <row r="2860" spans="1:8" ht="15.75" customHeight="1">
      <c r="A2860" s="140" t="s">
        <v>76</v>
      </c>
      <c r="B2860" s="140" t="s">
        <v>22</v>
      </c>
      <c r="C2860" s="141" t="s">
        <v>228</v>
      </c>
      <c r="D2860" s="140" t="s">
        <v>229</v>
      </c>
      <c r="E2860" s="140">
        <v>3</v>
      </c>
      <c r="F2860" s="142">
        <v>45916.625</v>
      </c>
      <c r="G2860" s="140" t="s">
        <v>843</v>
      </c>
      <c r="H2860" s="140" t="s">
        <v>869</v>
      </c>
    </row>
    <row r="2861" spans="1:8" ht="15.75" customHeight="1">
      <c r="A2861" s="140" t="s">
        <v>76</v>
      </c>
      <c r="B2861" s="140" t="s">
        <v>22</v>
      </c>
      <c r="C2861" s="141" t="s">
        <v>228</v>
      </c>
      <c r="D2861" s="140" t="s">
        <v>229</v>
      </c>
      <c r="E2861" s="140">
        <v>4</v>
      </c>
      <c r="F2861" s="142">
        <v>45923.625</v>
      </c>
      <c r="G2861" s="140" t="s">
        <v>845</v>
      </c>
      <c r="H2861" s="140" t="s">
        <v>869</v>
      </c>
    </row>
    <row r="2862" spans="1:8" ht="15.75" customHeight="1">
      <c r="A2862" s="140" t="s">
        <v>76</v>
      </c>
      <c r="B2862" s="140" t="s">
        <v>22</v>
      </c>
      <c r="C2862" s="141" t="s">
        <v>228</v>
      </c>
      <c r="D2862" s="140" t="s">
        <v>229</v>
      </c>
      <c r="E2862" s="140">
        <v>5</v>
      </c>
      <c r="F2862" s="142">
        <v>45930.625</v>
      </c>
      <c r="G2862" s="140" t="s">
        <v>845</v>
      </c>
      <c r="H2862" s="140" t="s">
        <v>869</v>
      </c>
    </row>
    <row r="2863" spans="1:8" ht="15.75" customHeight="1">
      <c r="A2863" s="140" t="s">
        <v>76</v>
      </c>
      <c r="B2863" s="140" t="s">
        <v>22</v>
      </c>
      <c r="C2863" s="141" t="s">
        <v>228</v>
      </c>
      <c r="D2863" s="140" t="s">
        <v>229</v>
      </c>
      <c r="E2863" s="140">
        <v>6</v>
      </c>
      <c r="F2863" s="142">
        <v>45964.625</v>
      </c>
      <c r="G2863" s="140" t="s">
        <v>845</v>
      </c>
      <c r="H2863" s="140" t="s">
        <v>869</v>
      </c>
    </row>
    <row r="2864" spans="1:8" ht="15.75" customHeight="1">
      <c r="A2864" s="140" t="s">
        <v>76</v>
      </c>
      <c r="B2864" s="140" t="s">
        <v>22</v>
      </c>
      <c r="C2864" s="141" t="s">
        <v>228</v>
      </c>
      <c r="D2864" s="140" t="s">
        <v>229</v>
      </c>
      <c r="E2864" s="140">
        <v>7</v>
      </c>
      <c r="F2864" s="142">
        <v>45979.625</v>
      </c>
      <c r="G2864" s="140" t="s">
        <v>845</v>
      </c>
      <c r="H2864" s="140" t="s">
        <v>869</v>
      </c>
    </row>
    <row r="2865" spans="1:8" ht="15.75" customHeight="1">
      <c r="A2865" s="140" t="s">
        <v>76</v>
      </c>
      <c r="B2865" s="140" t="s">
        <v>22</v>
      </c>
      <c r="C2865" s="141" t="s">
        <v>228</v>
      </c>
      <c r="D2865" s="140" t="s">
        <v>229</v>
      </c>
      <c r="E2865" s="140">
        <v>8</v>
      </c>
      <c r="F2865" s="142">
        <v>45993.583333333328</v>
      </c>
      <c r="G2865" s="140" t="s">
        <v>845</v>
      </c>
      <c r="H2865" s="140" t="s">
        <v>869</v>
      </c>
    </row>
    <row r="2866" spans="1:8" ht="15.75" customHeight="1">
      <c r="A2866" s="140" t="s">
        <v>76</v>
      </c>
      <c r="B2866" s="140" t="s">
        <v>22</v>
      </c>
      <c r="C2866" s="141" t="s">
        <v>228</v>
      </c>
      <c r="D2866" s="140" t="s">
        <v>229</v>
      </c>
      <c r="E2866" s="140">
        <v>9</v>
      </c>
      <c r="F2866" s="142">
        <v>46000.583333333328</v>
      </c>
      <c r="G2866" s="140" t="s">
        <v>845</v>
      </c>
      <c r="H2866" s="140" t="s">
        <v>869</v>
      </c>
    </row>
    <row r="2867" spans="1:8" ht="15.75" customHeight="1">
      <c r="A2867" s="140" t="s">
        <v>76</v>
      </c>
      <c r="B2867" s="140" t="s">
        <v>22</v>
      </c>
      <c r="C2867" s="141" t="s">
        <v>228</v>
      </c>
      <c r="D2867" s="140" t="s">
        <v>229</v>
      </c>
      <c r="E2867" s="140">
        <v>10</v>
      </c>
      <c r="F2867" s="142">
        <v>46007.583333333328</v>
      </c>
      <c r="G2867" s="140" t="s">
        <v>845</v>
      </c>
      <c r="H2867" s="140" t="s">
        <v>869</v>
      </c>
    </row>
    <row r="2868" spans="1:8" ht="15.75" customHeight="1">
      <c r="A2868" s="140" t="s">
        <v>76</v>
      </c>
      <c r="B2868" s="140" t="s">
        <v>22</v>
      </c>
      <c r="C2868" s="141" t="s">
        <v>228</v>
      </c>
      <c r="D2868" s="140" t="s">
        <v>229</v>
      </c>
      <c r="E2868" s="140">
        <v>11</v>
      </c>
      <c r="F2868" s="142">
        <v>46013.583333333328</v>
      </c>
      <c r="G2868" s="140" t="s">
        <v>845</v>
      </c>
      <c r="H2868" s="140" t="s">
        <v>869</v>
      </c>
    </row>
    <row r="2869" spans="1:8" ht="15.75" customHeight="1">
      <c r="A2869" s="140" t="s">
        <v>76</v>
      </c>
      <c r="B2869" s="140" t="s">
        <v>22</v>
      </c>
      <c r="C2869" s="141" t="s">
        <v>399</v>
      </c>
      <c r="D2869" s="140" t="s">
        <v>400</v>
      </c>
      <c r="E2869" s="140">
        <v>1</v>
      </c>
      <c r="F2869" s="142">
        <v>45895.583333333328</v>
      </c>
      <c r="G2869" s="140" t="s">
        <v>845</v>
      </c>
      <c r="H2869" s="140" t="s">
        <v>869</v>
      </c>
    </row>
    <row r="2870" spans="1:8" ht="15.75" customHeight="1">
      <c r="A2870" s="140" t="s">
        <v>76</v>
      </c>
      <c r="B2870" s="140" t="s">
        <v>22</v>
      </c>
      <c r="C2870" s="141" t="s">
        <v>399</v>
      </c>
      <c r="D2870" s="140" t="s">
        <v>400</v>
      </c>
      <c r="E2870" s="140">
        <v>2</v>
      </c>
      <c r="F2870" s="142">
        <v>45895.583333333328</v>
      </c>
      <c r="G2870" s="140" t="s">
        <v>845</v>
      </c>
      <c r="H2870" s="140" t="s">
        <v>869</v>
      </c>
    </row>
    <row r="2871" spans="1:8" ht="15.75" customHeight="1">
      <c r="A2871" s="140" t="s">
        <v>76</v>
      </c>
      <c r="B2871" s="140" t="s">
        <v>22</v>
      </c>
      <c r="C2871" s="141" t="s">
        <v>399</v>
      </c>
      <c r="D2871" s="140" t="s">
        <v>400</v>
      </c>
      <c r="E2871" s="140">
        <v>3</v>
      </c>
      <c r="F2871" s="142">
        <v>45916.625</v>
      </c>
      <c r="G2871" s="140" t="s">
        <v>845</v>
      </c>
      <c r="H2871" s="140" t="s">
        <v>869</v>
      </c>
    </row>
    <row r="2872" spans="1:8" ht="15.75" customHeight="1">
      <c r="A2872" s="140" t="s">
        <v>76</v>
      </c>
      <c r="B2872" s="140" t="s">
        <v>22</v>
      </c>
      <c r="C2872" s="141" t="s">
        <v>399</v>
      </c>
      <c r="D2872" s="140" t="s">
        <v>400</v>
      </c>
      <c r="E2872" s="140">
        <v>4</v>
      </c>
      <c r="F2872" s="142">
        <v>45923.625</v>
      </c>
      <c r="G2872" s="140" t="s">
        <v>845</v>
      </c>
      <c r="H2872" s="140" t="s">
        <v>869</v>
      </c>
    </row>
    <row r="2873" spans="1:8" ht="15.75" customHeight="1">
      <c r="A2873" s="140" t="s">
        <v>76</v>
      </c>
      <c r="B2873" s="140" t="s">
        <v>22</v>
      </c>
      <c r="C2873" s="141" t="s">
        <v>399</v>
      </c>
      <c r="D2873" s="140" t="s">
        <v>400</v>
      </c>
      <c r="E2873" s="140">
        <v>5</v>
      </c>
      <c r="F2873" s="142">
        <v>45930.625</v>
      </c>
      <c r="G2873" s="140" t="s">
        <v>845</v>
      </c>
      <c r="H2873" s="140" t="s">
        <v>869</v>
      </c>
    </row>
    <row r="2874" spans="1:8" ht="15.75" customHeight="1">
      <c r="A2874" s="140" t="s">
        <v>76</v>
      </c>
      <c r="B2874" s="140" t="s">
        <v>22</v>
      </c>
      <c r="C2874" s="141" t="s">
        <v>399</v>
      </c>
      <c r="D2874" s="140" t="s">
        <v>400</v>
      </c>
      <c r="E2874" s="140">
        <v>6</v>
      </c>
      <c r="F2874" s="142">
        <v>45964.625</v>
      </c>
      <c r="G2874" s="140" t="s">
        <v>845</v>
      </c>
      <c r="H2874" s="140" t="s">
        <v>869</v>
      </c>
    </row>
    <row r="2875" spans="1:8" ht="15.75" customHeight="1">
      <c r="A2875" s="140" t="s">
        <v>76</v>
      </c>
      <c r="B2875" s="140" t="s">
        <v>22</v>
      </c>
      <c r="C2875" s="141" t="s">
        <v>399</v>
      </c>
      <c r="D2875" s="140" t="s">
        <v>400</v>
      </c>
      <c r="E2875" s="140">
        <v>7</v>
      </c>
      <c r="F2875" s="142">
        <v>45979.625</v>
      </c>
      <c r="G2875" s="140" t="s">
        <v>845</v>
      </c>
      <c r="H2875" s="140" t="s">
        <v>869</v>
      </c>
    </row>
    <row r="2876" spans="1:8" ht="15.75" customHeight="1">
      <c r="A2876" s="140" t="s">
        <v>76</v>
      </c>
      <c r="B2876" s="140" t="s">
        <v>22</v>
      </c>
      <c r="C2876" s="141" t="s">
        <v>399</v>
      </c>
      <c r="D2876" s="140" t="s">
        <v>400</v>
      </c>
      <c r="E2876" s="140">
        <v>8</v>
      </c>
      <c r="F2876" s="142">
        <v>45993.583333333328</v>
      </c>
      <c r="G2876" s="140" t="s">
        <v>845</v>
      </c>
      <c r="H2876" s="140" t="s">
        <v>869</v>
      </c>
    </row>
    <row r="2877" spans="1:8" ht="15.75" customHeight="1">
      <c r="A2877" s="140" t="s">
        <v>76</v>
      </c>
      <c r="B2877" s="140" t="s">
        <v>22</v>
      </c>
      <c r="C2877" s="141" t="s">
        <v>399</v>
      </c>
      <c r="D2877" s="140" t="s">
        <v>400</v>
      </c>
      <c r="E2877" s="140">
        <v>9</v>
      </c>
      <c r="F2877" s="142">
        <v>46000.583333333328</v>
      </c>
      <c r="G2877" s="140" t="s">
        <v>845</v>
      </c>
      <c r="H2877" s="140" t="s">
        <v>869</v>
      </c>
    </row>
    <row r="2878" spans="1:8" ht="15.75" customHeight="1">
      <c r="A2878" s="140" t="s">
        <v>76</v>
      </c>
      <c r="B2878" s="140" t="s">
        <v>22</v>
      </c>
      <c r="C2878" s="141" t="s">
        <v>399</v>
      </c>
      <c r="D2878" s="140" t="s">
        <v>400</v>
      </c>
      <c r="E2878" s="140">
        <v>10</v>
      </c>
      <c r="F2878" s="142">
        <v>46007.583333333328</v>
      </c>
      <c r="G2878" s="140" t="s">
        <v>843</v>
      </c>
      <c r="H2878" s="140" t="s">
        <v>869</v>
      </c>
    </row>
    <row r="2879" spans="1:8" ht="15.75" customHeight="1">
      <c r="A2879" s="140" t="s">
        <v>76</v>
      </c>
      <c r="B2879" s="140" t="s">
        <v>22</v>
      </c>
      <c r="C2879" s="141" t="s">
        <v>399</v>
      </c>
      <c r="D2879" s="140" t="s">
        <v>400</v>
      </c>
      <c r="E2879" s="140">
        <v>11</v>
      </c>
      <c r="F2879" s="142">
        <v>46013.583333333328</v>
      </c>
      <c r="G2879" s="140" t="s">
        <v>845</v>
      </c>
      <c r="H2879" s="140" t="s">
        <v>869</v>
      </c>
    </row>
    <row r="2880" spans="1:8" ht="15.75" customHeight="1">
      <c r="A2880" s="140" t="s">
        <v>76</v>
      </c>
      <c r="B2880" s="140" t="s">
        <v>21</v>
      </c>
      <c r="C2880" s="141" t="s">
        <v>440</v>
      </c>
      <c r="D2880" s="140" t="s">
        <v>441</v>
      </c>
      <c r="E2880" s="140">
        <v>1</v>
      </c>
      <c r="F2880" s="142">
        <v>45763.541666666672</v>
      </c>
      <c r="G2880" s="140" t="s">
        <v>845</v>
      </c>
      <c r="H2880" s="140" t="s">
        <v>869</v>
      </c>
    </row>
    <row r="2881" spans="1:8" ht="15.75" customHeight="1">
      <c r="A2881" s="140" t="s">
        <v>76</v>
      </c>
      <c r="B2881" s="140" t="s">
        <v>21</v>
      </c>
      <c r="C2881" s="141" t="s">
        <v>440</v>
      </c>
      <c r="D2881" s="140" t="s">
        <v>441</v>
      </c>
      <c r="E2881" s="140">
        <v>2</v>
      </c>
      <c r="F2881" s="142">
        <v>45769.541666666672</v>
      </c>
      <c r="G2881" s="140" t="s">
        <v>845</v>
      </c>
      <c r="H2881" s="140" t="s">
        <v>869</v>
      </c>
    </row>
    <row r="2882" spans="1:8" ht="15.75" customHeight="1">
      <c r="A2882" s="140" t="s">
        <v>76</v>
      </c>
      <c r="B2882" s="140" t="s">
        <v>21</v>
      </c>
      <c r="C2882" s="141" t="s">
        <v>440</v>
      </c>
      <c r="D2882" s="140" t="s">
        <v>441</v>
      </c>
      <c r="E2882" s="140">
        <v>3</v>
      </c>
      <c r="F2882" s="142">
        <v>45786.416666666672</v>
      </c>
      <c r="G2882" s="140" t="s">
        <v>845</v>
      </c>
      <c r="H2882" s="140" t="s">
        <v>869</v>
      </c>
    </row>
    <row r="2883" spans="1:8" ht="15.75" customHeight="1">
      <c r="A2883" s="140" t="s">
        <v>76</v>
      </c>
      <c r="B2883" s="140" t="s">
        <v>21</v>
      </c>
      <c r="C2883" s="141" t="s">
        <v>440</v>
      </c>
      <c r="D2883" s="140" t="s">
        <v>441</v>
      </c>
      <c r="E2883" s="140">
        <v>4</v>
      </c>
      <c r="F2883" s="142">
        <v>45804.541666666672</v>
      </c>
      <c r="G2883" s="140" t="s">
        <v>845</v>
      </c>
      <c r="H2883" s="140" t="s">
        <v>869</v>
      </c>
    </row>
    <row r="2884" spans="1:8" ht="15.75" customHeight="1">
      <c r="A2884" s="140" t="s">
        <v>76</v>
      </c>
      <c r="B2884" s="140" t="s">
        <v>21</v>
      </c>
      <c r="C2884" s="141" t="s">
        <v>440</v>
      </c>
      <c r="D2884" s="140" t="s">
        <v>441</v>
      </c>
      <c r="E2884" s="140">
        <v>5</v>
      </c>
      <c r="F2884" s="142">
        <v>45811.583333333328</v>
      </c>
      <c r="G2884" s="140" t="s">
        <v>845</v>
      </c>
      <c r="H2884" s="140" t="s">
        <v>869</v>
      </c>
    </row>
    <row r="2885" spans="1:8" ht="15.75" customHeight="1">
      <c r="A2885" s="140" t="s">
        <v>76</v>
      </c>
      <c r="B2885" s="140" t="s">
        <v>21</v>
      </c>
      <c r="C2885" s="141" t="s">
        <v>440</v>
      </c>
      <c r="D2885" s="140" t="s">
        <v>441</v>
      </c>
      <c r="E2885" s="140">
        <v>6</v>
      </c>
      <c r="F2885" s="142">
        <v>45818.583333333328</v>
      </c>
      <c r="G2885" s="140" t="s">
        <v>845</v>
      </c>
      <c r="H2885" s="140" t="s">
        <v>869</v>
      </c>
    </row>
    <row r="2886" spans="1:8" ht="15.75" customHeight="1">
      <c r="A2886" s="140" t="s">
        <v>76</v>
      </c>
      <c r="B2886" s="140" t="s">
        <v>21</v>
      </c>
      <c r="C2886" s="141" t="s">
        <v>440</v>
      </c>
      <c r="D2886" s="140" t="s">
        <v>441</v>
      </c>
      <c r="E2886" s="140">
        <v>7</v>
      </c>
      <c r="F2886" s="142">
        <v>45825.583333333328</v>
      </c>
      <c r="G2886" s="140" t="s">
        <v>845</v>
      </c>
      <c r="H2886" s="140" t="s">
        <v>869</v>
      </c>
    </row>
    <row r="2887" spans="1:8" ht="15.75" customHeight="1">
      <c r="A2887" s="140" t="s">
        <v>76</v>
      </c>
      <c r="B2887" s="140" t="s">
        <v>21</v>
      </c>
      <c r="C2887" s="141" t="s">
        <v>440</v>
      </c>
      <c r="D2887" s="140" t="s">
        <v>441</v>
      </c>
      <c r="E2887" s="140">
        <v>8</v>
      </c>
      <c r="F2887" s="142">
        <v>45832.583333333328</v>
      </c>
      <c r="G2887" s="140" t="s">
        <v>845</v>
      </c>
      <c r="H2887" s="140" t="s">
        <v>869</v>
      </c>
    </row>
    <row r="2888" spans="1:8" ht="15.75" customHeight="1">
      <c r="A2888" s="140" t="s">
        <v>76</v>
      </c>
      <c r="B2888" s="140" t="s">
        <v>21</v>
      </c>
      <c r="C2888" s="141" t="s">
        <v>440</v>
      </c>
      <c r="D2888" s="140" t="s">
        <v>441</v>
      </c>
      <c r="E2888" s="140">
        <v>9</v>
      </c>
      <c r="F2888" s="142">
        <v>45846.583333333328</v>
      </c>
      <c r="G2888" s="140" t="s">
        <v>845</v>
      </c>
      <c r="H2888" s="140" t="s">
        <v>869</v>
      </c>
    </row>
    <row r="2889" spans="1:8" ht="15.75" customHeight="1">
      <c r="A2889" s="140" t="s">
        <v>76</v>
      </c>
      <c r="B2889" s="140" t="s">
        <v>21</v>
      </c>
      <c r="C2889" s="141" t="s">
        <v>440</v>
      </c>
      <c r="D2889" s="140" t="s">
        <v>441</v>
      </c>
      <c r="E2889" s="140">
        <v>10</v>
      </c>
      <c r="F2889" s="142">
        <v>45868.375</v>
      </c>
      <c r="G2889" s="140" t="s">
        <v>845</v>
      </c>
      <c r="H2889" s="140" t="s">
        <v>869</v>
      </c>
    </row>
    <row r="2890" spans="1:8" ht="15.75" customHeight="1">
      <c r="A2890" s="140" t="s">
        <v>76</v>
      </c>
      <c r="B2890" s="140" t="s">
        <v>21</v>
      </c>
      <c r="C2890" s="141" t="s">
        <v>520</v>
      </c>
      <c r="D2890" s="140" t="s">
        <v>521</v>
      </c>
      <c r="E2890" s="140">
        <v>1</v>
      </c>
      <c r="F2890" s="142">
        <v>45763.541666666672</v>
      </c>
      <c r="G2890" s="140" t="s">
        <v>845</v>
      </c>
      <c r="H2890" s="140" t="s">
        <v>869</v>
      </c>
    </row>
    <row r="2891" spans="1:8" ht="15.75" customHeight="1">
      <c r="A2891" s="140" t="s">
        <v>76</v>
      </c>
      <c r="B2891" s="140" t="s">
        <v>21</v>
      </c>
      <c r="C2891" s="141" t="s">
        <v>520</v>
      </c>
      <c r="D2891" s="140" t="s">
        <v>521</v>
      </c>
      <c r="E2891" s="140">
        <v>2</v>
      </c>
      <c r="F2891" s="142">
        <v>45769.541666666672</v>
      </c>
      <c r="G2891" s="140" t="s">
        <v>845</v>
      </c>
      <c r="H2891" s="140" t="s">
        <v>869</v>
      </c>
    </row>
    <row r="2892" spans="1:8" ht="15.75" customHeight="1">
      <c r="A2892" s="140" t="s">
        <v>76</v>
      </c>
      <c r="B2892" s="140" t="s">
        <v>21</v>
      </c>
      <c r="C2892" s="141" t="s">
        <v>520</v>
      </c>
      <c r="D2892" s="140" t="s">
        <v>521</v>
      </c>
      <c r="E2892" s="140">
        <v>3</v>
      </c>
      <c r="F2892" s="142">
        <v>45786.416666666672</v>
      </c>
      <c r="G2892" s="140" t="s">
        <v>845</v>
      </c>
      <c r="H2892" s="140" t="s">
        <v>869</v>
      </c>
    </row>
    <row r="2893" spans="1:8" ht="15.75" customHeight="1">
      <c r="A2893" s="140" t="s">
        <v>76</v>
      </c>
      <c r="B2893" s="140" t="s">
        <v>21</v>
      </c>
      <c r="C2893" s="141" t="s">
        <v>520</v>
      </c>
      <c r="D2893" s="140" t="s">
        <v>521</v>
      </c>
      <c r="E2893" s="140">
        <v>4</v>
      </c>
      <c r="F2893" s="142">
        <v>45804.541666666672</v>
      </c>
      <c r="G2893" s="140" t="s">
        <v>845</v>
      </c>
      <c r="H2893" s="140" t="s">
        <v>869</v>
      </c>
    </row>
    <row r="2894" spans="1:8" ht="15.75" customHeight="1">
      <c r="A2894" s="140" t="s">
        <v>76</v>
      </c>
      <c r="B2894" s="140" t="s">
        <v>21</v>
      </c>
      <c r="C2894" s="141" t="s">
        <v>520</v>
      </c>
      <c r="D2894" s="140" t="s">
        <v>521</v>
      </c>
      <c r="E2894" s="140">
        <v>5</v>
      </c>
      <c r="F2894" s="142">
        <v>45811.583333333328</v>
      </c>
      <c r="G2894" s="140" t="s">
        <v>845</v>
      </c>
      <c r="H2894" s="140" t="s">
        <v>869</v>
      </c>
    </row>
    <row r="2895" spans="1:8" ht="15.75" customHeight="1">
      <c r="A2895" s="140" t="s">
        <v>76</v>
      </c>
      <c r="B2895" s="140" t="s">
        <v>21</v>
      </c>
      <c r="C2895" s="141" t="s">
        <v>520</v>
      </c>
      <c r="D2895" s="140" t="s">
        <v>521</v>
      </c>
      <c r="E2895" s="140">
        <v>6</v>
      </c>
      <c r="F2895" s="142">
        <v>45818.583333333328</v>
      </c>
      <c r="G2895" s="140" t="s">
        <v>845</v>
      </c>
      <c r="H2895" s="140" t="s">
        <v>869</v>
      </c>
    </row>
    <row r="2896" spans="1:8" ht="15.75" customHeight="1">
      <c r="A2896" s="140" t="s">
        <v>76</v>
      </c>
      <c r="B2896" s="140" t="s">
        <v>21</v>
      </c>
      <c r="C2896" s="141" t="s">
        <v>520</v>
      </c>
      <c r="D2896" s="140" t="s">
        <v>521</v>
      </c>
      <c r="E2896" s="140">
        <v>7</v>
      </c>
      <c r="F2896" s="142">
        <v>45825.583333333328</v>
      </c>
      <c r="G2896" s="140" t="s">
        <v>845</v>
      </c>
      <c r="H2896" s="140" t="s">
        <v>869</v>
      </c>
    </row>
    <row r="2897" spans="1:8" ht="15.75" customHeight="1">
      <c r="A2897" s="140" t="s">
        <v>76</v>
      </c>
      <c r="B2897" s="140" t="s">
        <v>21</v>
      </c>
      <c r="C2897" s="141" t="s">
        <v>520</v>
      </c>
      <c r="D2897" s="140" t="s">
        <v>521</v>
      </c>
      <c r="E2897" s="140">
        <v>8</v>
      </c>
      <c r="F2897" s="142">
        <v>45832.583333333328</v>
      </c>
      <c r="G2897" s="140" t="s">
        <v>845</v>
      </c>
      <c r="H2897" s="140" t="s">
        <v>869</v>
      </c>
    </row>
    <row r="2898" spans="1:8" ht="15.75" customHeight="1">
      <c r="A2898" s="140" t="s">
        <v>76</v>
      </c>
      <c r="B2898" s="140" t="s">
        <v>21</v>
      </c>
      <c r="C2898" s="141" t="s">
        <v>520</v>
      </c>
      <c r="D2898" s="140" t="s">
        <v>521</v>
      </c>
      <c r="E2898" s="140">
        <v>9</v>
      </c>
      <c r="F2898" s="142">
        <v>45846.583333333328</v>
      </c>
      <c r="G2898" s="140" t="s">
        <v>845</v>
      </c>
      <c r="H2898" s="140" t="s">
        <v>869</v>
      </c>
    </row>
    <row r="2899" spans="1:8" ht="15.75" customHeight="1">
      <c r="A2899" s="140" t="s">
        <v>76</v>
      </c>
      <c r="B2899" s="140" t="s">
        <v>21</v>
      </c>
      <c r="C2899" s="141" t="s">
        <v>520</v>
      </c>
      <c r="D2899" s="140" t="s">
        <v>521</v>
      </c>
      <c r="E2899" s="140">
        <v>10</v>
      </c>
      <c r="F2899" s="142">
        <v>45868.375</v>
      </c>
      <c r="G2899" s="140" t="s">
        <v>845</v>
      </c>
      <c r="H2899" s="140" t="s">
        <v>869</v>
      </c>
    </row>
    <row r="2900" spans="1:8" ht="15.75" customHeight="1">
      <c r="A2900" s="140" t="s">
        <v>76</v>
      </c>
      <c r="B2900" s="140" t="s">
        <v>22</v>
      </c>
      <c r="C2900" s="141" t="s">
        <v>534</v>
      </c>
      <c r="D2900" s="140" t="s">
        <v>535</v>
      </c>
      <c r="E2900" s="140">
        <v>1</v>
      </c>
      <c r="F2900" s="142">
        <v>45895.583333333328</v>
      </c>
      <c r="G2900" s="140" t="s">
        <v>845</v>
      </c>
      <c r="H2900" s="140" t="s">
        <v>869</v>
      </c>
    </row>
    <row r="2901" spans="1:8" ht="15.75" customHeight="1">
      <c r="A2901" s="140" t="s">
        <v>76</v>
      </c>
      <c r="B2901" s="140" t="s">
        <v>22</v>
      </c>
      <c r="C2901" s="141" t="s">
        <v>534</v>
      </c>
      <c r="D2901" s="140" t="s">
        <v>535</v>
      </c>
      <c r="E2901" s="140">
        <v>2</v>
      </c>
      <c r="F2901" s="142">
        <v>45895.583333333328</v>
      </c>
      <c r="G2901" s="140" t="s">
        <v>845</v>
      </c>
      <c r="H2901" s="140" t="s">
        <v>869</v>
      </c>
    </row>
    <row r="2902" spans="1:8" ht="15.75" customHeight="1">
      <c r="A2902" s="140" t="s">
        <v>76</v>
      </c>
      <c r="B2902" s="140" t="s">
        <v>22</v>
      </c>
      <c r="C2902" s="141" t="s">
        <v>534</v>
      </c>
      <c r="D2902" s="140" t="s">
        <v>535</v>
      </c>
      <c r="E2902" s="140">
        <v>3</v>
      </c>
      <c r="F2902" s="142">
        <v>45916.625</v>
      </c>
      <c r="G2902" s="140" t="s">
        <v>845</v>
      </c>
      <c r="H2902" s="140" t="s">
        <v>869</v>
      </c>
    </row>
    <row r="2903" spans="1:8" ht="15.75" customHeight="1">
      <c r="A2903" s="140" t="s">
        <v>76</v>
      </c>
      <c r="B2903" s="140" t="s">
        <v>22</v>
      </c>
      <c r="C2903" s="141" t="s">
        <v>534</v>
      </c>
      <c r="D2903" s="140" t="s">
        <v>535</v>
      </c>
      <c r="E2903" s="140">
        <v>4</v>
      </c>
      <c r="F2903" s="142">
        <v>45923.625</v>
      </c>
      <c r="G2903" s="140" t="s">
        <v>845</v>
      </c>
      <c r="H2903" s="140" t="s">
        <v>869</v>
      </c>
    </row>
    <row r="2904" spans="1:8" ht="15.75" customHeight="1">
      <c r="A2904" s="140" t="s">
        <v>76</v>
      </c>
      <c r="B2904" s="140" t="s">
        <v>22</v>
      </c>
      <c r="C2904" s="141" t="s">
        <v>534</v>
      </c>
      <c r="D2904" s="140" t="s">
        <v>535</v>
      </c>
      <c r="E2904" s="140">
        <v>5</v>
      </c>
      <c r="F2904" s="142">
        <v>45930.625</v>
      </c>
      <c r="G2904" s="140" t="s">
        <v>845</v>
      </c>
      <c r="H2904" s="140" t="s">
        <v>869</v>
      </c>
    </row>
    <row r="2905" spans="1:8" ht="15.75" customHeight="1">
      <c r="A2905" s="140" t="s">
        <v>76</v>
      </c>
      <c r="B2905" s="140" t="s">
        <v>22</v>
      </c>
      <c r="C2905" s="141" t="s">
        <v>534</v>
      </c>
      <c r="D2905" s="140" t="s">
        <v>535</v>
      </c>
      <c r="E2905" s="140">
        <v>6</v>
      </c>
      <c r="F2905" s="142">
        <v>45964.625</v>
      </c>
      <c r="G2905" s="140" t="s">
        <v>845</v>
      </c>
      <c r="H2905" s="140" t="s">
        <v>869</v>
      </c>
    </row>
    <row r="2906" spans="1:8" ht="15.75" customHeight="1">
      <c r="A2906" s="140" t="s">
        <v>76</v>
      </c>
      <c r="B2906" s="140" t="s">
        <v>22</v>
      </c>
      <c r="C2906" s="141" t="s">
        <v>534</v>
      </c>
      <c r="D2906" s="140" t="s">
        <v>535</v>
      </c>
      <c r="E2906" s="140">
        <v>7</v>
      </c>
      <c r="F2906" s="142">
        <v>45979.625</v>
      </c>
      <c r="G2906" s="140" t="s">
        <v>845</v>
      </c>
      <c r="H2906" s="140" t="s">
        <v>869</v>
      </c>
    </row>
    <row r="2907" spans="1:8" ht="15.75" customHeight="1">
      <c r="A2907" s="140" t="s">
        <v>76</v>
      </c>
      <c r="B2907" s="140" t="s">
        <v>22</v>
      </c>
      <c r="C2907" s="141" t="s">
        <v>534</v>
      </c>
      <c r="D2907" s="140" t="s">
        <v>535</v>
      </c>
      <c r="E2907" s="140">
        <v>8</v>
      </c>
      <c r="F2907" s="142">
        <v>45993.583333333328</v>
      </c>
      <c r="G2907" s="140" t="s">
        <v>845</v>
      </c>
      <c r="H2907" s="140" t="s">
        <v>869</v>
      </c>
    </row>
    <row r="2908" spans="1:8" ht="15.75" customHeight="1">
      <c r="A2908" s="140" t="s">
        <v>76</v>
      </c>
      <c r="B2908" s="140" t="s">
        <v>22</v>
      </c>
      <c r="C2908" s="141" t="s">
        <v>534</v>
      </c>
      <c r="D2908" s="140" t="s">
        <v>535</v>
      </c>
      <c r="E2908" s="140">
        <v>9</v>
      </c>
      <c r="F2908" s="142">
        <v>46000.583333333328</v>
      </c>
      <c r="G2908" s="140" t="s">
        <v>845</v>
      </c>
      <c r="H2908" s="140" t="s">
        <v>869</v>
      </c>
    </row>
    <row r="2909" spans="1:8" ht="15.75" customHeight="1">
      <c r="A2909" s="140" t="s">
        <v>76</v>
      </c>
      <c r="B2909" s="140" t="s">
        <v>22</v>
      </c>
      <c r="C2909" s="141" t="s">
        <v>534</v>
      </c>
      <c r="D2909" s="140" t="s">
        <v>535</v>
      </c>
      <c r="E2909" s="140">
        <v>10</v>
      </c>
      <c r="F2909" s="142">
        <v>46007.583333333328</v>
      </c>
      <c r="G2909" s="140" t="s">
        <v>845</v>
      </c>
      <c r="H2909" s="140" t="s">
        <v>869</v>
      </c>
    </row>
    <row r="2910" spans="1:8" ht="15.75" customHeight="1">
      <c r="A2910" s="140" t="s">
        <v>76</v>
      </c>
      <c r="B2910" s="140" t="s">
        <v>22</v>
      </c>
      <c r="C2910" s="141" t="s">
        <v>534</v>
      </c>
      <c r="D2910" s="140" t="s">
        <v>535</v>
      </c>
      <c r="E2910" s="140">
        <v>11</v>
      </c>
      <c r="F2910" s="142">
        <v>46013.583333333328</v>
      </c>
      <c r="G2910" s="140" t="s">
        <v>845</v>
      </c>
      <c r="H2910" s="140" t="s">
        <v>869</v>
      </c>
    </row>
    <row r="2911" spans="1:8" ht="15.75" customHeight="1">
      <c r="A2911" s="140" t="s">
        <v>76</v>
      </c>
      <c r="B2911" s="140" t="s">
        <v>21</v>
      </c>
      <c r="C2911" s="141" t="s">
        <v>595</v>
      </c>
      <c r="D2911" s="140" t="s">
        <v>596</v>
      </c>
      <c r="E2911" s="140">
        <v>1</v>
      </c>
      <c r="F2911" s="142">
        <v>45763.541666666672</v>
      </c>
      <c r="G2911" s="140" t="s">
        <v>845</v>
      </c>
      <c r="H2911" s="140" t="s">
        <v>869</v>
      </c>
    </row>
    <row r="2912" spans="1:8" ht="15.75" customHeight="1">
      <c r="A2912" s="140" t="s">
        <v>76</v>
      </c>
      <c r="B2912" s="140" t="s">
        <v>21</v>
      </c>
      <c r="C2912" s="141" t="s">
        <v>595</v>
      </c>
      <c r="D2912" s="140" t="s">
        <v>596</v>
      </c>
      <c r="E2912" s="140">
        <v>2</v>
      </c>
      <c r="F2912" s="142">
        <v>45769.541666666672</v>
      </c>
      <c r="G2912" s="140" t="s">
        <v>845</v>
      </c>
      <c r="H2912" s="140" t="s">
        <v>869</v>
      </c>
    </row>
    <row r="2913" spans="1:8" ht="15.75" customHeight="1">
      <c r="A2913" s="140" t="s">
        <v>76</v>
      </c>
      <c r="B2913" s="140" t="s">
        <v>21</v>
      </c>
      <c r="C2913" s="141" t="s">
        <v>595</v>
      </c>
      <c r="D2913" s="140" t="s">
        <v>596</v>
      </c>
      <c r="E2913" s="140">
        <v>3</v>
      </c>
      <c r="F2913" s="142">
        <v>45786.416666666672</v>
      </c>
      <c r="G2913" s="140" t="s">
        <v>843</v>
      </c>
      <c r="H2913" s="140" t="s">
        <v>869</v>
      </c>
    </row>
    <row r="2914" spans="1:8" ht="15.75" customHeight="1">
      <c r="A2914" s="140" t="s">
        <v>76</v>
      </c>
      <c r="B2914" s="140" t="s">
        <v>21</v>
      </c>
      <c r="C2914" s="141" t="s">
        <v>595</v>
      </c>
      <c r="D2914" s="140" t="s">
        <v>596</v>
      </c>
      <c r="E2914" s="140">
        <v>4</v>
      </c>
      <c r="F2914" s="142">
        <v>45804.541666666672</v>
      </c>
      <c r="G2914" s="140" t="s">
        <v>845</v>
      </c>
      <c r="H2914" s="140" t="s">
        <v>869</v>
      </c>
    </row>
    <row r="2915" spans="1:8" ht="15.75" customHeight="1">
      <c r="A2915" s="140" t="s">
        <v>76</v>
      </c>
      <c r="B2915" s="140" t="s">
        <v>21</v>
      </c>
      <c r="C2915" s="141" t="s">
        <v>595</v>
      </c>
      <c r="D2915" s="140" t="s">
        <v>596</v>
      </c>
      <c r="E2915" s="140">
        <v>5</v>
      </c>
      <c r="F2915" s="142">
        <v>45811.583333333328</v>
      </c>
      <c r="G2915" s="140" t="s">
        <v>845</v>
      </c>
      <c r="H2915" s="140" t="s">
        <v>869</v>
      </c>
    </row>
    <row r="2916" spans="1:8" ht="15.75" customHeight="1">
      <c r="A2916" s="140" t="s">
        <v>76</v>
      </c>
      <c r="B2916" s="140" t="s">
        <v>21</v>
      </c>
      <c r="C2916" s="141" t="s">
        <v>595</v>
      </c>
      <c r="D2916" s="140" t="s">
        <v>596</v>
      </c>
      <c r="E2916" s="140">
        <v>6</v>
      </c>
      <c r="F2916" s="142">
        <v>45818.583333333328</v>
      </c>
      <c r="G2916" s="140" t="s">
        <v>845</v>
      </c>
      <c r="H2916" s="140" t="s">
        <v>869</v>
      </c>
    </row>
    <row r="2917" spans="1:8" ht="15.75" customHeight="1">
      <c r="A2917" s="140" t="s">
        <v>76</v>
      </c>
      <c r="B2917" s="140" t="s">
        <v>21</v>
      </c>
      <c r="C2917" s="141" t="s">
        <v>595</v>
      </c>
      <c r="D2917" s="140" t="s">
        <v>596</v>
      </c>
      <c r="E2917" s="140">
        <v>7</v>
      </c>
      <c r="F2917" s="142">
        <v>45825.583333333328</v>
      </c>
      <c r="G2917" s="140" t="s">
        <v>845</v>
      </c>
      <c r="H2917" s="140" t="s">
        <v>869</v>
      </c>
    </row>
    <row r="2918" spans="1:8" ht="15.75" customHeight="1">
      <c r="A2918" s="140" t="s">
        <v>76</v>
      </c>
      <c r="B2918" s="140" t="s">
        <v>21</v>
      </c>
      <c r="C2918" s="141" t="s">
        <v>595</v>
      </c>
      <c r="D2918" s="140" t="s">
        <v>596</v>
      </c>
      <c r="E2918" s="140">
        <v>8</v>
      </c>
      <c r="F2918" s="142">
        <v>45832.583333333328</v>
      </c>
      <c r="G2918" s="140" t="s">
        <v>845</v>
      </c>
      <c r="H2918" s="140" t="s">
        <v>869</v>
      </c>
    </row>
    <row r="2919" spans="1:8" ht="15.75" customHeight="1">
      <c r="A2919" s="140" t="s">
        <v>76</v>
      </c>
      <c r="B2919" s="140" t="s">
        <v>21</v>
      </c>
      <c r="C2919" s="141" t="s">
        <v>595</v>
      </c>
      <c r="D2919" s="140" t="s">
        <v>596</v>
      </c>
      <c r="E2919" s="140">
        <v>9</v>
      </c>
      <c r="F2919" s="142">
        <v>45846.583333333328</v>
      </c>
      <c r="G2919" s="140" t="s">
        <v>843</v>
      </c>
      <c r="H2919" s="140" t="s">
        <v>869</v>
      </c>
    </row>
    <row r="2920" spans="1:8" ht="15.75" customHeight="1">
      <c r="A2920" s="140" t="s">
        <v>76</v>
      </c>
      <c r="B2920" s="140" t="s">
        <v>21</v>
      </c>
      <c r="C2920" s="141" t="s">
        <v>595</v>
      </c>
      <c r="D2920" s="140" t="s">
        <v>596</v>
      </c>
      <c r="E2920" s="140">
        <v>10</v>
      </c>
      <c r="F2920" s="142">
        <v>45868.375</v>
      </c>
      <c r="G2920" s="140" t="s">
        <v>845</v>
      </c>
      <c r="H2920" s="140" t="s">
        <v>869</v>
      </c>
    </row>
    <row r="2921" spans="1:8" ht="15.75" customHeight="1">
      <c r="A2921" s="140" t="s">
        <v>76</v>
      </c>
      <c r="B2921" s="140" t="s">
        <v>22</v>
      </c>
      <c r="C2921" s="141" t="s">
        <v>595</v>
      </c>
      <c r="D2921" s="140" t="s">
        <v>596</v>
      </c>
      <c r="E2921" s="140">
        <v>1</v>
      </c>
      <c r="F2921" s="142">
        <v>45895.583333333328</v>
      </c>
      <c r="G2921" s="140" t="s">
        <v>845</v>
      </c>
      <c r="H2921" s="140" t="s">
        <v>869</v>
      </c>
    </row>
    <row r="2922" spans="1:8" ht="15.75" customHeight="1">
      <c r="A2922" s="140" t="s">
        <v>76</v>
      </c>
      <c r="B2922" s="140" t="s">
        <v>22</v>
      </c>
      <c r="C2922" s="141" t="s">
        <v>595</v>
      </c>
      <c r="D2922" s="140" t="s">
        <v>596</v>
      </c>
      <c r="E2922" s="140">
        <v>2</v>
      </c>
      <c r="F2922" s="142">
        <v>45895.583333333328</v>
      </c>
      <c r="G2922" s="140" t="s">
        <v>845</v>
      </c>
      <c r="H2922" s="140" t="s">
        <v>869</v>
      </c>
    </row>
    <row r="2923" spans="1:8" ht="15.75" customHeight="1">
      <c r="A2923" s="140" t="s">
        <v>76</v>
      </c>
      <c r="B2923" s="140" t="s">
        <v>22</v>
      </c>
      <c r="C2923" s="141" t="s">
        <v>595</v>
      </c>
      <c r="D2923" s="140" t="s">
        <v>596</v>
      </c>
      <c r="E2923" s="140">
        <v>3</v>
      </c>
      <c r="F2923" s="142">
        <v>45916.625</v>
      </c>
      <c r="G2923" s="140" t="s">
        <v>845</v>
      </c>
      <c r="H2923" s="140" t="s">
        <v>869</v>
      </c>
    </row>
    <row r="2924" spans="1:8" ht="15.75" customHeight="1">
      <c r="A2924" s="140" t="s">
        <v>76</v>
      </c>
      <c r="B2924" s="140" t="s">
        <v>22</v>
      </c>
      <c r="C2924" s="141" t="s">
        <v>595</v>
      </c>
      <c r="D2924" s="140" t="s">
        <v>596</v>
      </c>
      <c r="E2924" s="140">
        <v>4</v>
      </c>
      <c r="F2924" s="142">
        <v>45923.625</v>
      </c>
      <c r="G2924" s="140" t="s">
        <v>845</v>
      </c>
      <c r="H2924" s="140" t="s">
        <v>869</v>
      </c>
    </row>
    <row r="2925" spans="1:8" ht="15.75" customHeight="1">
      <c r="A2925" s="140" t="s">
        <v>76</v>
      </c>
      <c r="B2925" s="140" t="s">
        <v>22</v>
      </c>
      <c r="C2925" s="141" t="s">
        <v>595</v>
      </c>
      <c r="D2925" s="140" t="s">
        <v>596</v>
      </c>
      <c r="E2925" s="140">
        <v>5</v>
      </c>
      <c r="F2925" s="142">
        <v>45930.625</v>
      </c>
      <c r="G2925" s="140" t="s">
        <v>845</v>
      </c>
      <c r="H2925" s="140" t="s">
        <v>869</v>
      </c>
    </row>
    <row r="2926" spans="1:8" ht="15.75" customHeight="1">
      <c r="A2926" s="140" t="s">
        <v>76</v>
      </c>
      <c r="B2926" s="140" t="s">
        <v>22</v>
      </c>
      <c r="C2926" s="141" t="s">
        <v>595</v>
      </c>
      <c r="D2926" s="140" t="s">
        <v>596</v>
      </c>
      <c r="E2926" s="140">
        <v>6</v>
      </c>
      <c r="F2926" s="142">
        <v>45964.625</v>
      </c>
      <c r="G2926" s="140" t="s">
        <v>843</v>
      </c>
      <c r="H2926" s="140" t="s">
        <v>869</v>
      </c>
    </row>
    <row r="2927" spans="1:8" ht="15.75" customHeight="1">
      <c r="A2927" s="140" t="s">
        <v>76</v>
      </c>
      <c r="B2927" s="140" t="s">
        <v>22</v>
      </c>
      <c r="C2927" s="141" t="s">
        <v>595</v>
      </c>
      <c r="D2927" s="140" t="s">
        <v>596</v>
      </c>
      <c r="E2927" s="140">
        <v>7</v>
      </c>
      <c r="F2927" s="142">
        <v>45979.625</v>
      </c>
      <c r="G2927" s="140" t="s">
        <v>845</v>
      </c>
      <c r="H2927" s="140" t="s">
        <v>869</v>
      </c>
    </row>
    <row r="2928" spans="1:8" ht="15.75" customHeight="1">
      <c r="A2928" s="140" t="s">
        <v>76</v>
      </c>
      <c r="B2928" s="140" t="s">
        <v>22</v>
      </c>
      <c r="C2928" s="141" t="s">
        <v>595</v>
      </c>
      <c r="D2928" s="140" t="s">
        <v>596</v>
      </c>
      <c r="E2928" s="140">
        <v>8</v>
      </c>
      <c r="F2928" s="142">
        <v>45993.583333333328</v>
      </c>
      <c r="G2928" s="140" t="s">
        <v>845</v>
      </c>
      <c r="H2928" s="140" t="s">
        <v>869</v>
      </c>
    </row>
    <row r="2929" spans="1:8" ht="15.75" customHeight="1">
      <c r="A2929" s="140" t="s">
        <v>76</v>
      </c>
      <c r="B2929" s="140" t="s">
        <v>22</v>
      </c>
      <c r="C2929" s="141" t="s">
        <v>595</v>
      </c>
      <c r="D2929" s="140" t="s">
        <v>596</v>
      </c>
      <c r="E2929" s="140">
        <v>9</v>
      </c>
      <c r="F2929" s="142">
        <v>46000.583333333328</v>
      </c>
      <c r="G2929" s="140" t="s">
        <v>845</v>
      </c>
      <c r="H2929" s="140" t="s">
        <v>869</v>
      </c>
    </row>
    <row r="2930" spans="1:8" ht="15.75" customHeight="1">
      <c r="A2930" s="140" t="s">
        <v>76</v>
      </c>
      <c r="B2930" s="140" t="s">
        <v>22</v>
      </c>
      <c r="C2930" s="141" t="s">
        <v>595</v>
      </c>
      <c r="D2930" s="140" t="s">
        <v>596</v>
      </c>
      <c r="E2930" s="140">
        <v>10</v>
      </c>
      <c r="F2930" s="142">
        <v>46007.583333333328</v>
      </c>
      <c r="G2930" s="140" t="s">
        <v>845</v>
      </c>
      <c r="H2930" s="140" t="s">
        <v>869</v>
      </c>
    </row>
    <row r="2931" spans="1:8" ht="15.75" customHeight="1">
      <c r="A2931" s="140" t="s">
        <v>76</v>
      </c>
      <c r="B2931" s="140" t="s">
        <v>22</v>
      </c>
      <c r="C2931" s="141" t="s">
        <v>595</v>
      </c>
      <c r="D2931" s="140" t="s">
        <v>596</v>
      </c>
      <c r="E2931" s="140">
        <v>11</v>
      </c>
      <c r="F2931" s="142">
        <v>46013.583333333328</v>
      </c>
      <c r="G2931" s="140" t="s">
        <v>845</v>
      </c>
      <c r="H2931" s="140" t="s">
        <v>869</v>
      </c>
    </row>
    <row r="2932" spans="1:8" ht="15.75" customHeight="1">
      <c r="A2932" s="140" t="s">
        <v>76</v>
      </c>
      <c r="B2932" s="140" t="s">
        <v>21</v>
      </c>
      <c r="C2932" s="141" t="s">
        <v>615</v>
      </c>
      <c r="D2932" s="140" t="s">
        <v>616</v>
      </c>
      <c r="E2932" s="140">
        <v>1</v>
      </c>
      <c r="F2932" s="142">
        <v>45763.541666666672</v>
      </c>
      <c r="G2932" s="140" t="s">
        <v>845</v>
      </c>
      <c r="H2932" s="140" t="s">
        <v>869</v>
      </c>
    </row>
    <row r="2933" spans="1:8" ht="15.75" customHeight="1">
      <c r="A2933" s="140" t="s">
        <v>76</v>
      </c>
      <c r="B2933" s="140" t="s">
        <v>21</v>
      </c>
      <c r="C2933" s="141" t="s">
        <v>615</v>
      </c>
      <c r="D2933" s="140" t="s">
        <v>616</v>
      </c>
      <c r="E2933" s="140">
        <v>2</v>
      </c>
      <c r="F2933" s="142">
        <v>45769.541666666672</v>
      </c>
      <c r="G2933" s="140" t="s">
        <v>845</v>
      </c>
      <c r="H2933" s="140" t="s">
        <v>869</v>
      </c>
    </row>
    <row r="2934" spans="1:8" ht="15.75" customHeight="1">
      <c r="A2934" s="140" t="s">
        <v>76</v>
      </c>
      <c r="B2934" s="140" t="s">
        <v>21</v>
      </c>
      <c r="C2934" s="141" t="s">
        <v>615</v>
      </c>
      <c r="D2934" s="140" t="s">
        <v>616</v>
      </c>
      <c r="E2934" s="140">
        <v>3</v>
      </c>
      <c r="F2934" s="142">
        <v>45786.416666666672</v>
      </c>
      <c r="G2934" s="140" t="s">
        <v>845</v>
      </c>
      <c r="H2934" s="140" t="s">
        <v>869</v>
      </c>
    </row>
    <row r="2935" spans="1:8" ht="15.75" customHeight="1">
      <c r="A2935" s="140" t="s">
        <v>76</v>
      </c>
      <c r="B2935" s="140" t="s">
        <v>21</v>
      </c>
      <c r="C2935" s="141" t="s">
        <v>615</v>
      </c>
      <c r="D2935" s="140" t="s">
        <v>616</v>
      </c>
      <c r="E2935" s="140">
        <v>4</v>
      </c>
      <c r="F2935" s="142">
        <v>45804.541666666672</v>
      </c>
      <c r="G2935" s="140" t="s">
        <v>845</v>
      </c>
      <c r="H2935" s="140" t="s">
        <v>869</v>
      </c>
    </row>
    <row r="2936" spans="1:8" ht="15.75" customHeight="1">
      <c r="A2936" s="140" t="s">
        <v>76</v>
      </c>
      <c r="B2936" s="140" t="s">
        <v>21</v>
      </c>
      <c r="C2936" s="141" t="s">
        <v>615</v>
      </c>
      <c r="D2936" s="140" t="s">
        <v>616</v>
      </c>
      <c r="E2936" s="140">
        <v>5</v>
      </c>
      <c r="F2936" s="142">
        <v>45811.583333333328</v>
      </c>
      <c r="G2936" s="140" t="s">
        <v>845</v>
      </c>
      <c r="H2936" s="140" t="s">
        <v>869</v>
      </c>
    </row>
    <row r="2937" spans="1:8" ht="15.75" customHeight="1">
      <c r="A2937" s="140" t="s">
        <v>76</v>
      </c>
      <c r="B2937" s="140" t="s">
        <v>21</v>
      </c>
      <c r="C2937" s="141" t="s">
        <v>615</v>
      </c>
      <c r="D2937" s="140" t="s">
        <v>616</v>
      </c>
      <c r="E2937" s="140">
        <v>6</v>
      </c>
      <c r="F2937" s="142">
        <v>45818.583333333328</v>
      </c>
      <c r="G2937" s="140" t="s">
        <v>845</v>
      </c>
      <c r="H2937" s="140" t="s">
        <v>869</v>
      </c>
    </row>
    <row r="2938" spans="1:8" ht="15.75" customHeight="1">
      <c r="A2938" s="140" t="s">
        <v>76</v>
      </c>
      <c r="B2938" s="140" t="s">
        <v>21</v>
      </c>
      <c r="C2938" s="141" t="s">
        <v>615</v>
      </c>
      <c r="D2938" s="140" t="s">
        <v>616</v>
      </c>
      <c r="E2938" s="140">
        <v>7</v>
      </c>
      <c r="F2938" s="142">
        <v>45825.583333333328</v>
      </c>
      <c r="G2938" s="140" t="s">
        <v>845</v>
      </c>
      <c r="H2938" s="140" t="s">
        <v>869</v>
      </c>
    </row>
    <row r="2939" spans="1:8" ht="15.75" customHeight="1">
      <c r="A2939" s="140" t="s">
        <v>76</v>
      </c>
      <c r="B2939" s="140" t="s">
        <v>21</v>
      </c>
      <c r="C2939" s="141" t="s">
        <v>615</v>
      </c>
      <c r="D2939" s="140" t="s">
        <v>616</v>
      </c>
      <c r="E2939" s="140">
        <v>8</v>
      </c>
      <c r="F2939" s="142">
        <v>45832.583333333328</v>
      </c>
      <c r="G2939" s="140" t="s">
        <v>843</v>
      </c>
      <c r="H2939" s="140" t="s">
        <v>869</v>
      </c>
    </row>
    <row r="2940" spans="1:8" ht="15.75" customHeight="1">
      <c r="A2940" s="140" t="s">
        <v>76</v>
      </c>
      <c r="B2940" s="140" t="s">
        <v>21</v>
      </c>
      <c r="C2940" s="141" t="s">
        <v>615</v>
      </c>
      <c r="D2940" s="140" t="s">
        <v>616</v>
      </c>
      <c r="E2940" s="140">
        <v>9</v>
      </c>
      <c r="F2940" s="142">
        <v>45846.583333333328</v>
      </c>
      <c r="G2940" s="140" t="s">
        <v>845</v>
      </c>
      <c r="H2940" s="140" t="s">
        <v>869</v>
      </c>
    </row>
    <row r="2941" spans="1:8" ht="15.75" customHeight="1">
      <c r="A2941" s="140" t="s">
        <v>76</v>
      </c>
      <c r="B2941" s="140" t="s">
        <v>21</v>
      </c>
      <c r="C2941" s="141" t="s">
        <v>615</v>
      </c>
      <c r="D2941" s="140" t="s">
        <v>616</v>
      </c>
      <c r="E2941" s="140">
        <v>10</v>
      </c>
      <c r="F2941" s="142">
        <v>45868.375</v>
      </c>
      <c r="G2941" s="140" t="s">
        <v>845</v>
      </c>
      <c r="H2941" s="140" t="s">
        <v>869</v>
      </c>
    </row>
    <row r="2942" spans="1:8" ht="15.75" customHeight="1">
      <c r="A2942" s="140" t="s">
        <v>76</v>
      </c>
      <c r="B2942" s="140" t="s">
        <v>22</v>
      </c>
      <c r="C2942" s="141" t="s">
        <v>615</v>
      </c>
      <c r="D2942" s="140" t="s">
        <v>616</v>
      </c>
      <c r="E2942" s="140">
        <v>1</v>
      </c>
      <c r="F2942" s="142">
        <v>45895.583333333328</v>
      </c>
      <c r="G2942" s="140" t="s">
        <v>845</v>
      </c>
      <c r="H2942" s="140" t="s">
        <v>869</v>
      </c>
    </row>
    <row r="2943" spans="1:8" ht="15.75" customHeight="1">
      <c r="A2943" s="140" t="s">
        <v>76</v>
      </c>
      <c r="B2943" s="140" t="s">
        <v>22</v>
      </c>
      <c r="C2943" s="141" t="s">
        <v>615</v>
      </c>
      <c r="D2943" s="140" t="s">
        <v>616</v>
      </c>
      <c r="E2943" s="140">
        <v>2</v>
      </c>
      <c r="F2943" s="142">
        <v>45895.583333333328</v>
      </c>
      <c r="G2943" s="140" t="s">
        <v>845</v>
      </c>
      <c r="H2943" s="140" t="s">
        <v>869</v>
      </c>
    </row>
    <row r="2944" spans="1:8" ht="15.75" customHeight="1">
      <c r="A2944" s="140" t="s">
        <v>76</v>
      </c>
      <c r="B2944" s="140" t="s">
        <v>22</v>
      </c>
      <c r="C2944" s="141" t="s">
        <v>615</v>
      </c>
      <c r="D2944" s="140" t="s">
        <v>616</v>
      </c>
      <c r="E2944" s="140">
        <v>3</v>
      </c>
      <c r="F2944" s="142">
        <v>45916.625</v>
      </c>
      <c r="G2944" s="140" t="s">
        <v>845</v>
      </c>
      <c r="H2944" s="140" t="s">
        <v>869</v>
      </c>
    </row>
    <row r="2945" spans="1:8" ht="15.75" customHeight="1">
      <c r="A2945" s="140" t="s">
        <v>76</v>
      </c>
      <c r="B2945" s="140" t="s">
        <v>22</v>
      </c>
      <c r="C2945" s="141" t="s">
        <v>615</v>
      </c>
      <c r="D2945" s="140" t="s">
        <v>616</v>
      </c>
      <c r="E2945" s="140">
        <v>4</v>
      </c>
      <c r="F2945" s="142">
        <v>45923.625</v>
      </c>
      <c r="G2945" s="140" t="s">
        <v>845</v>
      </c>
      <c r="H2945" s="140" t="s">
        <v>869</v>
      </c>
    </row>
    <row r="2946" spans="1:8" ht="15.75" customHeight="1">
      <c r="A2946" s="140" t="s">
        <v>76</v>
      </c>
      <c r="B2946" s="140" t="s">
        <v>22</v>
      </c>
      <c r="C2946" s="141" t="s">
        <v>615</v>
      </c>
      <c r="D2946" s="140" t="s">
        <v>616</v>
      </c>
      <c r="E2946" s="140">
        <v>5</v>
      </c>
      <c r="F2946" s="142">
        <v>45930.625</v>
      </c>
      <c r="G2946" s="140" t="s">
        <v>845</v>
      </c>
      <c r="H2946" s="140" t="s">
        <v>869</v>
      </c>
    </row>
    <row r="2947" spans="1:8" ht="15.75" customHeight="1">
      <c r="A2947" s="140" t="s">
        <v>76</v>
      </c>
      <c r="B2947" s="140" t="s">
        <v>22</v>
      </c>
      <c r="C2947" s="141" t="s">
        <v>615</v>
      </c>
      <c r="D2947" s="140" t="s">
        <v>616</v>
      </c>
      <c r="E2947" s="140">
        <v>6</v>
      </c>
      <c r="F2947" s="142">
        <v>45964.625</v>
      </c>
      <c r="G2947" s="140" t="s">
        <v>845</v>
      </c>
      <c r="H2947" s="140" t="s">
        <v>869</v>
      </c>
    </row>
    <row r="2948" spans="1:8" ht="15.75" customHeight="1">
      <c r="A2948" s="140" t="s">
        <v>76</v>
      </c>
      <c r="B2948" s="140" t="s">
        <v>22</v>
      </c>
      <c r="C2948" s="141" t="s">
        <v>615</v>
      </c>
      <c r="D2948" s="140" t="s">
        <v>616</v>
      </c>
      <c r="E2948" s="140">
        <v>7</v>
      </c>
      <c r="F2948" s="142">
        <v>45979.625</v>
      </c>
      <c r="G2948" s="140" t="s">
        <v>845</v>
      </c>
      <c r="H2948" s="140" t="s">
        <v>869</v>
      </c>
    </row>
    <row r="2949" spans="1:8" ht="15.75" customHeight="1">
      <c r="A2949" s="140" t="s">
        <v>76</v>
      </c>
      <c r="B2949" s="140" t="s">
        <v>22</v>
      </c>
      <c r="C2949" s="141" t="s">
        <v>615</v>
      </c>
      <c r="D2949" s="140" t="s">
        <v>616</v>
      </c>
      <c r="E2949" s="140">
        <v>8</v>
      </c>
      <c r="F2949" s="142">
        <v>45993.583333333328</v>
      </c>
      <c r="G2949" s="140" t="s">
        <v>845</v>
      </c>
      <c r="H2949" s="140" t="s">
        <v>869</v>
      </c>
    </row>
    <row r="2950" spans="1:8" ht="15.75" customHeight="1">
      <c r="A2950" s="140" t="s">
        <v>76</v>
      </c>
      <c r="B2950" s="140" t="s">
        <v>22</v>
      </c>
      <c r="C2950" s="141" t="s">
        <v>615</v>
      </c>
      <c r="D2950" s="140" t="s">
        <v>616</v>
      </c>
      <c r="E2950" s="140">
        <v>9</v>
      </c>
      <c r="F2950" s="142">
        <v>46000.583333333328</v>
      </c>
      <c r="G2950" s="140" t="s">
        <v>845</v>
      </c>
      <c r="H2950" s="140" t="s">
        <v>869</v>
      </c>
    </row>
    <row r="2951" spans="1:8" ht="15.75" customHeight="1">
      <c r="A2951" s="140" t="s">
        <v>76</v>
      </c>
      <c r="B2951" s="140" t="s">
        <v>22</v>
      </c>
      <c r="C2951" s="141" t="s">
        <v>615</v>
      </c>
      <c r="D2951" s="140" t="s">
        <v>616</v>
      </c>
      <c r="E2951" s="140">
        <v>10</v>
      </c>
      <c r="F2951" s="142">
        <v>46007.583333333328</v>
      </c>
      <c r="G2951" s="140" t="s">
        <v>843</v>
      </c>
      <c r="H2951" s="140" t="s">
        <v>869</v>
      </c>
    </row>
    <row r="2952" spans="1:8" ht="15.75" customHeight="1">
      <c r="A2952" s="140" t="s">
        <v>76</v>
      </c>
      <c r="B2952" s="140" t="s">
        <v>22</v>
      </c>
      <c r="C2952" s="141" t="s">
        <v>615</v>
      </c>
      <c r="D2952" s="140" t="s">
        <v>616</v>
      </c>
      <c r="E2952" s="140">
        <v>11</v>
      </c>
      <c r="F2952" s="142">
        <v>46013.583333333328</v>
      </c>
      <c r="G2952" s="140" t="s">
        <v>845</v>
      </c>
      <c r="H2952" s="140" t="s">
        <v>869</v>
      </c>
    </row>
    <row r="2953" spans="1:8" ht="15.75" customHeight="1">
      <c r="A2953" s="140" t="s">
        <v>76</v>
      </c>
      <c r="B2953" s="140" t="s">
        <v>21</v>
      </c>
      <c r="C2953" s="141" t="s">
        <v>651</v>
      </c>
      <c r="D2953" s="140" t="s">
        <v>652</v>
      </c>
      <c r="E2953" s="140">
        <v>1</v>
      </c>
      <c r="F2953" s="142">
        <v>45763.541666666672</v>
      </c>
      <c r="G2953" s="140" t="s">
        <v>845</v>
      </c>
      <c r="H2953" s="140" t="s">
        <v>869</v>
      </c>
    </row>
    <row r="2954" spans="1:8" ht="15.75" customHeight="1">
      <c r="A2954" s="140" t="s">
        <v>76</v>
      </c>
      <c r="B2954" s="140" t="s">
        <v>21</v>
      </c>
      <c r="C2954" s="141" t="s">
        <v>651</v>
      </c>
      <c r="D2954" s="140" t="s">
        <v>652</v>
      </c>
      <c r="E2954" s="140">
        <v>2</v>
      </c>
      <c r="F2954" s="142">
        <v>45769.541666666672</v>
      </c>
      <c r="G2954" s="140" t="s">
        <v>845</v>
      </c>
      <c r="H2954" s="140" t="s">
        <v>869</v>
      </c>
    </row>
    <row r="2955" spans="1:8" ht="15.75" customHeight="1">
      <c r="A2955" s="140" t="s">
        <v>76</v>
      </c>
      <c r="B2955" s="140" t="s">
        <v>21</v>
      </c>
      <c r="C2955" s="141" t="s">
        <v>651</v>
      </c>
      <c r="D2955" s="140" t="s">
        <v>652</v>
      </c>
      <c r="E2955" s="140">
        <v>3</v>
      </c>
      <c r="F2955" s="142">
        <v>45786.416666666672</v>
      </c>
      <c r="G2955" s="140" t="s">
        <v>845</v>
      </c>
      <c r="H2955" s="140" t="s">
        <v>869</v>
      </c>
    </row>
    <row r="2956" spans="1:8" ht="15.75" customHeight="1">
      <c r="A2956" s="140" t="s">
        <v>76</v>
      </c>
      <c r="B2956" s="140" t="s">
        <v>21</v>
      </c>
      <c r="C2956" s="141" t="s">
        <v>651</v>
      </c>
      <c r="D2956" s="140" t="s">
        <v>652</v>
      </c>
      <c r="E2956" s="140">
        <v>4</v>
      </c>
      <c r="F2956" s="142">
        <v>45804.541666666672</v>
      </c>
      <c r="G2956" s="140" t="s">
        <v>845</v>
      </c>
      <c r="H2956" s="140" t="s">
        <v>869</v>
      </c>
    </row>
    <row r="2957" spans="1:8" ht="15.75" customHeight="1">
      <c r="A2957" s="140" t="s">
        <v>76</v>
      </c>
      <c r="B2957" s="140" t="s">
        <v>21</v>
      </c>
      <c r="C2957" s="141" t="s">
        <v>651</v>
      </c>
      <c r="D2957" s="140" t="s">
        <v>652</v>
      </c>
      <c r="E2957" s="140">
        <v>5</v>
      </c>
      <c r="F2957" s="142">
        <v>45811.583333333328</v>
      </c>
      <c r="G2957" s="140" t="s">
        <v>845</v>
      </c>
      <c r="H2957" s="140" t="s">
        <v>869</v>
      </c>
    </row>
    <row r="2958" spans="1:8" ht="15.75" customHeight="1">
      <c r="A2958" s="140" t="s">
        <v>76</v>
      </c>
      <c r="B2958" s="140" t="s">
        <v>21</v>
      </c>
      <c r="C2958" s="141" t="s">
        <v>651</v>
      </c>
      <c r="D2958" s="140" t="s">
        <v>652</v>
      </c>
      <c r="E2958" s="140">
        <v>6</v>
      </c>
      <c r="F2958" s="142">
        <v>45818.583333333328</v>
      </c>
      <c r="G2958" s="140" t="s">
        <v>845</v>
      </c>
      <c r="H2958" s="140" t="s">
        <v>869</v>
      </c>
    </row>
    <row r="2959" spans="1:8" ht="15.75" customHeight="1">
      <c r="A2959" s="140" t="s">
        <v>76</v>
      </c>
      <c r="B2959" s="140" t="s">
        <v>21</v>
      </c>
      <c r="C2959" s="141" t="s">
        <v>651</v>
      </c>
      <c r="D2959" s="140" t="s">
        <v>652</v>
      </c>
      <c r="E2959" s="140">
        <v>7</v>
      </c>
      <c r="F2959" s="142">
        <v>45825.583333333328</v>
      </c>
      <c r="G2959" s="140" t="s">
        <v>845</v>
      </c>
      <c r="H2959" s="140" t="s">
        <v>869</v>
      </c>
    </row>
    <row r="2960" spans="1:8" ht="15.75" customHeight="1">
      <c r="A2960" s="140" t="s">
        <v>76</v>
      </c>
      <c r="B2960" s="140" t="s">
        <v>21</v>
      </c>
      <c r="C2960" s="141" t="s">
        <v>651</v>
      </c>
      <c r="D2960" s="140" t="s">
        <v>652</v>
      </c>
      <c r="E2960" s="140">
        <v>8</v>
      </c>
      <c r="F2960" s="142">
        <v>45832.583333333328</v>
      </c>
      <c r="G2960" s="140" t="s">
        <v>845</v>
      </c>
      <c r="H2960" s="140" t="s">
        <v>869</v>
      </c>
    </row>
    <row r="2961" spans="1:8" ht="15.75" customHeight="1">
      <c r="A2961" s="140" t="s">
        <v>76</v>
      </c>
      <c r="B2961" s="140" t="s">
        <v>21</v>
      </c>
      <c r="C2961" s="141" t="s">
        <v>651</v>
      </c>
      <c r="D2961" s="140" t="s">
        <v>652</v>
      </c>
      <c r="E2961" s="140">
        <v>9</v>
      </c>
      <c r="F2961" s="142">
        <v>45846.583333333328</v>
      </c>
      <c r="G2961" s="140" t="s">
        <v>845</v>
      </c>
      <c r="H2961" s="140" t="s">
        <v>869</v>
      </c>
    </row>
    <row r="2962" spans="1:8" ht="15.75" customHeight="1">
      <c r="A2962" s="140" t="s">
        <v>76</v>
      </c>
      <c r="B2962" s="140" t="s">
        <v>21</v>
      </c>
      <c r="C2962" s="141" t="s">
        <v>651</v>
      </c>
      <c r="D2962" s="140" t="s">
        <v>652</v>
      </c>
      <c r="E2962" s="140">
        <v>10</v>
      </c>
      <c r="F2962" s="142">
        <v>45868.375</v>
      </c>
      <c r="G2962" s="140" t="s">
        <v>845</v>
      </c>
      <c r="H2962" s="140" t="s">
        <v>869</v>
      </c>
    </row>
    <row r="2963" spans="1:8" ht="15.75" customHeight="1">
      <c r="A2963" s="140" t="s">
        <v>76</v>
      </c>
      <c r="B2963" s="140" t="s">
        <v>22</v>
      </c>
      <c r="C2963" s="141" t="s">
        <v>651</v>
      </c>
      <c r="D2963" s="140" t="s">
        <v>652</v>
      </c>
      <c r="E2963" s="140">
        <v>1</v>
      </c>
      <c r="F2963" s="142">
        <v>45895.583333333328</v>
      </c>
      <c r="G2963" s="140" t="s">
        <v>845</v>
      </c>
      <c r="H2963" s="140" t="s">
        <v>869</v>
      </c>
    </row>
    <row r="2964" spans="1:8" ht="15.75" customHeight="1">
      <c r="A2964" s="140" t="s">
        <v>76</v>
      </c>
      <c r="B2964" s="140" t="s">
        <v>22</v>
      </c>
      <c r="C2964" s="141" t="s">
        <v>651</v>
      </c>
      <c r="D2964" s="140" t="s">
        <v>652</v>
      </c>
      <c r="E2964" s="140">
        <v>2</v>
      </c>
      <c r="F2964" s="142">
        <v>45895.583333333328</v>
      </c>
      <c r="G2964" s="140" t="s">
        <v>845</v>
      </c>
      <c r="H2964" s="140" t="s">
        <v>869</v>
      </c>
    </row>
    <row r="2965" spans="1:8" ht="15.75" customHeight="1">
      <c r="A2965" s="140" t="s">
        <v>76</v>
      </c>
      <c r="B2965" s="140" t="s">
        <v>22</v>
      </c>
      <c r="C2965" s="141" t="s">
        <v>651</v>
      </c>
      <c r="D2965" s="140" t="s">
        <v>652</v>
      </c>
      <c r="E2965" s="140">
        <v>3</v>
      </c>
      <c r="F2965" s="142">
        <v>45916.625</v>
      </c>
      <c r="G2965" s="140" t="s">
        <v>845</v>
      </c>
      <c r="H2965" s="140" t="s">
        <v>869</v>
      </c>
    </row>
    <row r="2966" spans="1:8" ht="15.75" customHeight="1">
      <c r="A2966" s="140" t="s">
        <v>76</v>
      </c>
      <c r="B2966" s="140" t="s">
        <v>22</v>
      </c>
      <c r="C2966" s="141" t="s">
        <v>651</v>
      </c>
      <c r="D2966" s="140" t="s">
        <v>652</v>
      </c>
      <c r="E2966" s="140">
        <v>4</v>
      </c>
      <c r="F2966" s="142">
        <v>45953.625</v>
      </c>
      <c r="G2966" s="140" t="s">
        <v>845</v>
      </c>
      <c r="H2966" s="140" t="s">
        <v>869</v>
      </c>
    </row>
    <row r="2967" spans="1:8" ht="15.75" customHeight="1">
      <c r="A2967" s="140" t="s">
        <v>76</v>
      </c>
      <c r="B2967" s="140" t="s">
        <v>22</v>
      </c>
      <c r="C2967" s="141" t="s">
        <v>651</v>
      </c>
      <c r="D2967" s="140" t="s">
        <v>652</v>
      </c>
      <c r="E2967" s="140">
        <v>5</v>
      </c>
      <c r="F2967" s="142">
        <v>45930.625</v>
      </c>
      <c r="G2967" s="140" t="s">
        <v>843</v>
      </c>
      <c r="H2967" s="140" t="s">
        <v>869</v>
      </c>
    </row>
    <row r="2968" spans="1:8" ht="15.75" customHeight="1">
      <c r="A2968" s="140" t="s">
        <v>76</v>
      </c>
      <c r="B2968" s="140" t="s">
        <v>22</v>
      </c>
      <c r="C2968" s="141" t="s">
        <v>651</v>
      </c>
      <c r="D2968" s="140" t="s">
        <v>652</v>
      </c>
      <c r="E2968" s="140">
        <v>6</v>
      </c>
      <c r="F2968" s="142">
        <v>45964.625</v>
      </c>
      <c r="G2968" s="140" t="s">
        <v>845</v>
      </c>
      <c r="H2968" s="140" t="s">
        <v>869</v>
      </c>
    </row>
    <row r="2969" spans="1:8" ht="15.75" customHeight="1">
      <c r="A2969" s="140" t="s">
        <v>76</v>
      </c>
      <c r="B2969" s="140" t="s">
        <v>22</v>
      </c>
      <c r="C2969" s="141" t="s">
        <v>651</v>
      </c>
      <c r="D2969" s="140" t="s">
        <v>652</v>
      </c>
      <c r="E2969" s="140">
        <v>7</v>
      </c>
      <c r="F2969" s="142">
        <v>45979.625</v>
      </c>
      <c r="G2969" s="140" t="s">
        <v>845</v>
      </c>
      <c r="H2969" s="140" t="s">
        <v>869</v>
      </c>
    </row>
    <row r="2970" spans="1:8" ht="15.75" customHeight="1">
      <c r="A2970" s="140" t="s">
        <v>76</v>
      </c>
      <c r="B2970" s="140" t="s">
        <v>22</v>
      </c>
      <c r="C2970" s="141" t="s">
        <v>651</v>
      </c>
      <c r="D2970" s="140" t="s">
        <v>652</v>
      </c>
      <c r="E2970" s="140">
        <v>8</v>
      </c>
      <c r="F2970" s="142">
        <v>45993.583333333328</v>
      </c>
      <c r="G2970" s="140" t="s">
        <v>845</v>
      </c>
      <c r="H2970" s="140" t="s">
        <v>869</v>
      </c>
    </row>
    <row r="2971" spans="1:8" ht="15.75" customHeight="1">
      <c r="A2971" s="140" t="s">
        <v>76</v>
      </c>
      <c r="B2971" s="140" t="s">
        <v>22</v>
      </c>
      <c r="C2971" s="141" t="s">
        <v>651</v>
      </c>
      <c r="D2971" s="140" t="s">
        <v>652</v>
      </c>
      <c r="E2971" s="140">
        <v>9</v>
      </c>
      <c r="F2971" s="142">
        <v>46000.583333333328</v>
      </c>
      <c r="G2971" s="140" t="s">
        <v>845</v>
      </c>
      <c r="H2971" s="140" t="s">
        <v>869</v>
      </c>
    </row>
    <row r="2972" spans="1:8" ht="15.75" customHeight="1">
      <c r="A2972" s="140" t="s">
        <v>76</v>
      </c>
      <c r="B2972" s="140" t="s">
        <v>22</v>
      </c>
      <c r="C2972" s="141" t="s">
        <v>651</v>
      </c>
      <c r="D2972" s="140" t="s">
        <v>652</v>
      </c>
      <c r="E2972" s="140">
        <v>10</v>
      </c>
      <c r="F2972" s="142">
        <v>46007.583333333328</v>
      </c>
      <c r="G2972" s="140" t="s">
        <v>845</v>
      </c>
      <c r="H2972" s="140" t="s">
        <v>869</v>
      </c>
    </row>
    <row r="2973" spans="1:8" ht="15.75" customHeight="1">
      <c r="A2973" s="140" t="s">
        <v>76</v>
      </c>
      <c r="B2973" s="140" t="s">
        <v>22</v>
      </c>
      <c r="C2973" s="141" t="s">
        <v>651</v>
      </c>
      <c r="D2973" s="140" t="s">
        <v>652</v>
      </c>
      <c r="E2973" s="140">
        <v>11</v>
      </c>
      <c r="F2973" s="142">
        <v>46013.583333333328</v>
      </c>
      <c r="G2973" s="140" t="s">
        <v>845</v>
      </c>
      <c r="H2973" s="140" t="s">
        <v>869</v>
      </c>
    </row>
    <row r="2974" spans="1:8" ht="15.75" customHeight="1">
      <c r="A2974" s="140" t="s">
        <v>76</v>
      </c>
      <c r="B2974" s="140" t="s">
        <v>21</v>
      </c>
      <c r="C2974" s="141" t="s">
        <v>685</v>
      </c>
      <c r="D2974" s="140" t="s">
        <v>686</v>
      </c>
      <c r="E2974" s="140">
        <v>1</v>
      </c>
      <c r="F2974" s="142">
        <v>45763.541666666672</v>
      </c>
      <c r="G2974" s="140" t="s">
        <v>845</v>
      </c>
      <c r="H2974" s="140" t="s">
        <v>869</v>
      </c>
    </row>
    <row r="2975" spans="1:8" ht="15.75" customHeight="1">
      <c r="A2975" s="140" t="s">
        <v>76</v>
      </c>
      <c r="B2975" s="140" t="s">
        <v>21</v>
      </c>
      <c r="C2975" s="141" t="s">
        <v>685</v>
      </c>
      <c r="D2975" s="140" t="s">
        <v>686</v>
      </c>
      <c r="E2975" s="140">
        <v>2</v>
      </c>
      <c r="F2975" s="142">
        <v>45769.541666666672</v>
      </c>
      <c r="G2975" s="140" t="s">
        <v>845</v>
      </c>
      <c r="H2975" s="140" t="s">
        <v>869</v>
      </c>
    </row>
    <row r="2976" spans="1:8" ht="15.75" customHeight="1">
      <c r="A2976" s="140" t="s">
        <v>76</v>
      </c>
      <c r="B2976" s="140" t="s">
        <v>21</v>
      </c>
      <c r="C2976" s="141" t="s">
        <v>685</v>
      </c>
      <c r="D2976" s="140" t="s">
        <v>686</v>
      </c>
      <c r="E2976" s="140">
        <v>3</v>
      </c>
      <c r="F2976" s="142">
        <v>45786.416666666672</v>
      </c>
      <c r="G2976" s="140" t="s">
        <v>845</v>
      </c>
      <c r="H2976" s="140" t="s">
        <v>869</v>
      </c>
    </row>
    <row r="2977" spans="1:8" ht="15.75" customHeight="1">
      <c r="A2977" s="140" t="s">
        <v>76</v>
      </c>
      <c r="B2977" s="140" t="s">
        <v>21</v>
      </c>
      <c r="C2977" s="141" t="s">
        <v>685</v>
      </c>
      <c r="D2977" s="140" t="s">
        <v>686</v>
      </c>
      <c r="E2977" s="140">
        <v>4</v>
      </c>
      <c r="F2977" s="142">
        <v>45804.541666666672</v>
      </c>
      <c r="G2977" s="140" t="s">
        <v>845</v>
      </c>
      <c r="H2977" s="140" t="s">
        <v>869</v>
      </c>
    </row>
    <row r="2978" spans="1:8" ht="15.75" customHeight="1">
      <c r="A2978" s="140" t="s">
        <v>76</v>
      </c>
      <c r="B2978" s="140" t="s">
        <v>21</v>
      </c>
      <c r="C2978" s="141" t="s">
        <v>685</v>
      </c>
      <c r="D2978" s="140" t="s">
        <v>686</v>
      </c>
      <c r="E2978" s="140">
        <v>5</v>
      </c>
      <c r="F2978" s="142">
        <v>45811.583333333328</v>
      </c>
      <c r="G2978" s="140" t="s">
        <v>845</v>
      </c>
      <c r="H2978" s="140" t="s">
        <v>869</v>
      </c>
    </row>
    <row r="2979" spans="1:8" ht="15.75" customHeight="1">
      <c r="A2979" s="140" t="s">
        <v>76</v>
      </c>
      <c r="B2979" s="140" t="s">
        <v>21</v>
      </c>
      <c r="C2979" s="141" t="s">
        <v>685</v>
      </c>
      <c r="D2979" s="140" t="s">
        <v>686</v>
      </c>
      <c r="E2979" s="140">
        <v>6</v>
      </c>
      <c r="F2979" s="142">
        <v>45818.583333333328</v>
      </c>
      <c r="G2979" s="140" t="s">
        <v>845</v>
      </c>
      <c r="H2979" s="140" t="s">
        <v>869</v>
      </c>
    </row>
    <row r="2980" spans="1:8" ht="15.75" customHeight="1">
      <c r="A2980" s="140" t="s">
        <v>76</v>
      </c>
      <c r="B2980" s="140" t="s">
        <v>21</v>
      </c>
      <c r="C2980" s="141" t="s">
        <v>685</v>
      </c>
      <c r="D2980" s="140" t="s">
        <v>686</v>
      </c>
      <c r="E2980" s="140">
        <v>7</v>
      </c>
      <c r="F2980" s="142">
        <v>45825.583333333328</v>
      </c>
      <c r="G2980" s="140" t="s">
        <v>845</v>
      </c>
      <c r="H2980" s="140" t="s">
        <v>869</v>
      </c>
    </row>
    <row r="2981" spans="1:8" ht="15.75" customHeight="1">
      <c r="A2981" s="140" t="s">
        <v>76</v>
      </c>
      <c r="B2981" s="140" t="s">
        <v>21</v>
      </c>
      <c r="C2981" s="141" t="s">
        <v>685</v>
      </c>
      <c r="D2981" s="140" t="s">
        <v>686</v>
      </c>
      <c r="E2981" s="140">
        <v>8</v>
      </c>
      <c r="F2981" s="142">
        <v>45832.583333333328</v>
      </c>
      <c r="G2981" s="140" t="s">
        <v>845</v>
      </c>
      <c r="H2981" s="140" t="s">
        <v>869</v>
      </c>
    </row>
    <row r="2982" spans="1:8" ht="15.75" customHeight="1">
      <c r="A2982" s="140" t="s">
        <v>76</v>
      </c>
      <c r="B2982" s="140" t="s">
        <v>21</v>
      </c>
      <c r="C2982" s="141" t="s">
        <v>685</v>
      </c>
      <c r="D2982" s="140" t="s">
        <v>686</v>
      </c>
      <c r="E2982" s="140">
        <v>9</v>
      </c>
      <c r="F2982" s="142">
        <v>45846.583333333328</v>
      </c>
      <c r="G2982" s="140" t="s">
        <v>845</v>
      </c>
      <c r="H2982" s="140" t="s">
        <v>869</v>
      </c>
    </row>
    <row r="2983" spans="1:8" ht="15.75" customHeight="1">
      <c r="A2983" s="140" t="s">
        <v>76</v>
      </c>
      <c r="B2983" s="140" t="s">
        <v>21</v>
      </c>
      <c r="C2983" s="141" t="s">
        <v>685</v>
      </c>
      <c r="D2983" s="140" t="s">
        <v>686</v>
      </c>
      <c r="E2983" s="140">
        <v>10</v>
      </c>
      <c r="F2983" s="142">
        <v>45868.375</v>
      </c>
      <c r="G2983" s="140" t="s">
        <v>845</v>
      </c>
      <c r="H2983" s="140" t="s">
        <v>869</v>
      </c>
    </row>
    <row r="2984" spans="1:8" ht="15.75" customHeight="1">
      <c r="A2984" s="140" t="s">
        <v>76</v>
      </c>
      <c r="B2984" s="140" t="s">
        <v>21</v>
      </c>
      <c r="C2984" s="141" t="s">
        <v>709</v>
      </c>
      <c r="D2984" s="140" t="s">
        <v>710</v>
      </c>
      <c r="E2984" s="140">
        <v>1</v>
      </c>
      <c r="F2984" s="142">
        <v>45763.541666666672</v>
      </c>
      <c r="G2984" s="140" t="s">
        <v>845</v>
      </c>
      <c r="H2984" s="140" t="s">
        <v>869</v>
      </c>
    </row>
    <row r="2985" spans="1:8" ht="15.75" customHeight="1">
      <c r="A2985" s="140" t="s">
        <v>76</v>
      </c>
      <c r="B2985" s="140" t="s">
        <v>21</v>
      </c>
      <c r="C2985" s="141" t="s">
        <v>709</v>
      </c>
      <c r="D2985" s="140" t="s">
        <v>710</v>
      </c>
      <c r="E2985" s="140">
        <v>2</v>
      </c>
      <c r="F2985" s="142">
        <v>45769.541666666672</v>
      </c>
      <c r="G2985" s="140" t="s">
        <v>845</v>
      </c>
      <c r="H2985" s="140" t="s">
        <v>869</v>
      </c>
    </row>
    <row r="2986" spans="1:8" ht="15.75" customHeight="1">
      <c r="A2986" s="140" t="s">
        <v>76</v>
      </c>
      <c r="B2986" s="140" t="s">
        <v>21</v>
      </c>
      <c r="C2986" s="141" t="s">
        <v>709</v>
      </c>
      <c r="D2986" s="140" t="s">
        <v>710</v>
      </c>
      <c r="E2986" s="140">
        <v>3</v>
      </c>
      <c r="F2986" s="142">
        <v>45786.416666666672</v>
      </c>
      <c r="G2986" s="140" t="s">
        <v>845</v>
      </c>
      <c r="H2986" s="140" t="s">
        <v>869</v>
      </c>
    </row>
    <row r="2987" spans="1:8" ht="15.75" customHeight="1">
      <c r="A2987" s="140" t="s">
        <v>76</v>
      </c>
      <c r="B2987" s="140" t="s">
        <v>21</v>
      </c>
      <c r="C2987" s="141" t="s">
        <v>709</v>
      </c>
      <c r="D2987" s="140" t="s">
        <v>710</v>
      </c>
      <c r="E2987" s="140">
        <v>4</v>
      </c>
      <c r="F2987" s="142">
        <v>45804.541666666672</v>
      </c>
      <c r="G2987" s="140" t="s">
        <v>845</v>
      </c>
      <c r="H2987" s="140" t="s">
        <v>869</v>
      </c>
    </row>
    <row r="2988" spans="1:8" ht="15.75" customHeight="1">
      <c r="A2988" s="140" t="s">
        <v>76</v>
      </c>
      <c r="B2988" s="140" t="s">
        <v>21</v>
      </c>
      <c r="C2988" s="141" t="s">
        <v>709</v>
      </c>
      <c r="D2988" s="140" t="s">
        <v>710</v>
      </c>
      <c r="E2988" s="140">
        <v>5</v>
      </c>
      <c r="F2988" s="142">
        <v>45811.583333333328</v>
      </c>
      <c r="G2988" s="140" t="s">
        <v>845</v>
      </c>
      <c r="H2988" s="140" t="s">
        <v>869</v>
      </c>
    </row>
    <row r="2989" spans="1:8" ht="15.75" customHeight="1">
      <c r="A2989" s="140" t="s">
        <v>76</v>
      </c>
      <c r="B2989" s="140" t="s">
        <v>21</v>
      </c>
      <c r="C2989" s="141" t="s">
        <v>709</v>
      </c>
      <c r="D2989" s="140" t="s">
        <v>710</v>
      </c>
      <c r="E2989" s="140">
        <v>6</v>
      </c>
      <c r="F2989" s="142">
        <v>45818.583333333328</v>
      </c>
      <c r="G2989" s="140" t="s">
        <v>845</v>
      </c>
      <c r="H2989" s="140" t="s">
        <v>869</v>
      </c>
    </row>
    <row r="2990" spans="1:8" ht="15.75" customHeight="1">
      <c r="A2990" s="140" t="s">
        <v>76</v>
      </c>
      <c r="B2990" s="140" t="s">
        <v>21</v>
      </c>
      <c r="C2990" s="141" t="s">
        <v>709</v>
      </c>
      <c r="D2990" s="140" t="s">
        <v>710</v>
      </c>
      <c r="E2990" s="140">
        <v>7</v>
      </c>
      <c r="F2990" s="142">
        <v>45825.583333333328</v>
      </c>
      <c r="G2990" s="140" t="s">
        <v>845</v>
      </c>
      <c r="H2990" s="140" t="s">
        <v>869</v>
      </c>
    </row>
    <row r="2991" spans="1:8" ht="15.75" customHeight="1">
      <c r="A2991" s="140" t="s">
        <v>76</v>
      </c>
      <c r="B2991" s="140" t="s">
        <v>21</v>
      </c>
      <c r="C2991" s="141" t="s">
        <v>709</v>
      </c>
      <c r="D2991" s="140" t="s">
        <v>710</v>
      </c>
      <c r="E2991" s="140">
        <v>8</v>
      </c>
      <c r="F2991" s="142">
        <v>45832.583333333328</v>
      </c>
      <c r="G2991" s="140" t="s">
        <v>845</v>
      </c>
      <c r="H2991" s="140" t="s">
        <v>869</v>
      </c>
    </row>
    <row r="2992" spans="1:8" ht="15.75" customHeight="1">
      <c r="A2992" s="140" t="s">
        <v>76</v>
      </c>
      <c r="B2992" s="140" t="s">
        <v>21</v>
      </c>
      <c r="C2992" s="141" t="s">
        <v>709</v>
      </c>
      <c r="D2992" s="140" t="s">
        <v>710</v>
      </c>
      <c r="E2992" s="140">
        <v>9</v>
      </c>
      <c r="F2992" s="142">
        <v>45846.583333333328</v>
      </c>
      <c r="G2992" s="140" t="s">
        <v>845</v>
      </c>
      <c r="H2992" s="140" t="s">
        <v>869</v>
      </c>
    </row>
    <row r="2993" spans="1:8" ht="15.75" customHeight="1">
      <c r="A2993" s="140" t="s">
        <v>76</v>
      </c>
      <c r="B2993" s="140" t="s">
        <v>21</v>
      </c>
      <c r="C2993" s="141" t="s">
        <v>709</v>
      </c>
      <c r="D2993" s="140" t="s">
        <v>710</v>
      </c>
      <c r="E2993" s="140">
        <v>10</v>
      </c>
      <c r="F2993" s="142">
        <v>45868.375</v>
      </c>
      <c r="G2993" s="140" t="s">
        <v>845</v>
      </c>
      <c r="H2993" s="140" t="s">
        <v>869</v>
      </c>
    </row>
    <row r="2994" spans="1:8" ht="15.75" customHeight="1">
      <c r="A2994" s="140" t="s">
        <v>77</v>
      </c>
      <c r="B2994" s="140" t="s">
        <v>21</v>
      </c>
      <c r="C2994" s="141" t="s">
        <v>147</v>
      </c>
      <c r="D2994" s="140" t="s">
        <v>148</v>
      </c>
      <c r="E2994" s="140">
        <v>1</v>
      </c>
      <c r="F2994" s="142">
        <v>45715.583333333328</v>
      </c>
      <c r="G2994" s="140" t="s">
        <v>845</v>
      </c>
      <c r="H2994" s="140" t="s">
        <v>870</v>
      </c>
    </row>
    <row r="2995" spans="1:8" ht="15.75" customHeight="1">
      <c r="A2995" s="140" t="s">
        <v>77</v>
      </c>
      <c r="B2995" s="140" t="s">
        <v>21</v>
      </c>
      <c r="C2995" s="141" t="s">
        <v>147</v>
      </c>
      <c r="D2995" s="140" t="s">
        <v>148</v>
      </c>
      <c r="E2995" s="140">
        <v>2</v>
      </c>
      <c r="F2995" s="142">
        <v>45756.583333333328</v>
      </c>
      <c r="G2995" s="140" t="s">
        <v>845</v>
      </c>
      <c r="H2995" s="140" t="s">
        <v>870</v>
      </c>
    </row>
    <row r="2996" spans="1:8" ht="15.75" customHeight="1">
      <c r="A2996" s="140" t="s">
        <v>77</v>
      </c>
      <c r="B2996" s="140" t="s">
        <v>21</v>
      </c>
      <c r="C2996" s="141" t="s">
        <v>147</v>
      </c>
      <c r="D2996" s="140" t="s">
        <v>148</v>
      </c>
      <c r="E2996" s="140">
        <v>3</v>
      </c>
      <c r="F2996" s="142">
        <v>45771.541666666672</v>
      </c>
      <c r="G2996" s="140" t="s">
        <v>845</v>
      </c>
      <c r="H2996" s="140" t="s">
        <v>870</v>
      </c>
    </row>
    <row r="2997" spans="1:8" ht="15.75" customHeight="1">
      <c r="A2997" s="140" t="s">
        <v>77</v>
      </c>
      <c r="B2997" s="140" t="s">
        <v>21</v>
      </c>
      <c r="C2997" s="141" t="s">
        <v>147</v>
      </c>
      <c r="D2997" s="140" t="s">
        <v>148</v>
      </c>
      <c r="E2997" s="140">
        <v>4</v>
      </c>
      <c r="F2997" s="142">
        <v>45786.541666666672</v>
      </c>
      <c r="G2997" s="140" t="s">
        <v>845</v>
      </c>
      <c r="H2997" s="140" t="s">
        <v>870</v>
      </c>
    </row>
    <row r="2998" spans="1:8" ht="15.75" customHeight="1">
      <c r="A2998" s="140" t="s">
        <v>77</v>
      </c>
      <c r="B2998" s="140" t="s">
        <v>21</v>
      </c>
      <c r="C2998" s="141" t="s">
        <v>147</v>
      </c>
      <c r="D2998" s="140" t="s">
        <v>148</v>
      </c>
      <c r="E2998" s="140">
        <v>5</v>
      </c>
      <c r="F2998" s="142">
        <v>45790.541666666672</v>
      </c>
      <c r="G2998" s="140" t="s">
        <v>845</v>
      </c>
      <c r="H2998" s="140" t="s">
        <v>870</v>
      </c>
    </row>
    <row r="2999" spans="1:8" ht="15.75" customHeight="1">
      <c r="A2999" s="140" t="s">
        <v>77</v>
      </c>
      <c r="B2999" s="140" t="s">
        <v>21</v>
      </c>
      <c r="C2999" s="141" t="s">
        <v>147</v>
      </c>
      <c r="D2999" s="140" t="s">
        <v>148</v>
      </c>
      <c r="E2999" s="140">
        <v>6</v>
      </c>
      <c r="F2999" s="142">
        <v>45799.541666666672</v>
      </c>
      <c r="G2999" s="140" t="s">
        <v>845</v>
      </c>
      <c r="H2999" s="140" t="s">
        <v>870</v>
      </c>
    </row>
    <row r="3000" spans="1:8" ht="15.75" customHeight="1">
      <c r="A3000" s="140" t="s">
        <v>77</v>
      </c>
      <c r="B3000" s="140" t="s">
        <v>21</v>
      </c>
      <c r="C3000" s="141" t="s">
        <v>147</v>
      </c>
      <c r="D3000" s="140" t="s">
        <v>148</v>
      </c>
      <c r="E3000" s="140">
        <v>7</v>
      </c>
      <c r="F3000" s="142">
        <v>45805.541666666672</v>
      </c>
      <c r="G3000" s="140" t="s">
        <v>845</v>
      </c>
      <c r="H3000" s="140" t="s">
        <v>870</v>
      </c>
    </row>
    <row r="3001" spans="1:8" ht="15.75" customHeight="1">
      <c r="A3001" s="140" t="s">
        <v>77</v>
      </c>
      <c r="B3001" s="140" t="s">
        <v>21</v>
      </c>
      <c r="C3001" s="141" t="s">
        <v>147</v>
      </c>
      <c r="D3001" s="140" t="s">
        <v>148</v>
      </c>
      <c r="E3001" s="140">
        <v>8</v>
      </c>
      <c r="F3001" s="142">
        <v>45813.583333333328</v>
      </c>
      <c r="G3001" s="140" t="s">
        <v>845</v>
      </c>
      <c r="H3001" s="140" t="s">
        <v>870</v>
      </c>
    </row>
    <row r="3002" spans="1:8" ht="15.75" customHeight="1">
      <c r="A3002" s="140" t="s">
        <v>77</v>
      </c>
      <c r="B3002" s="140" t="s">
        <v>21</v>
      </c>
      <c r="C3002" s="141" t="s">
        <v>147</v>
      </c>
      <c r="D3002" s="140" t="s">
        <v>148</v>
      </c>
      <c r="E3002" s="140">
        <v>9</v>
      </c>
      <c r="F3002" s="142">
        <v>45820.583333333328</v>
      </c>
      <c r="G3002" s="140" t="s">
        <v>845</v>
      </c>
      <c r="H3002" s="140" t="s">
        <v>870</v>
      </c>
    </row>
    <row r="3003" spans="1:8" ht="15.75" customHeight="1">
      <c r="A3003" s="140" t="s">
        <v>77</v>
      </c>
      <c r="B3003" s="140" t="s">
        <v>21</v>
      </c>
      <c r="C3003" s="141" t="s">
        <v>147</v>
      </c>
      <c r="D3003" s="140" t="s">
        <v>148</v>
      </c>
      <c r="E3003" s="140">
        <v>10</v>
      </c>
      <c r="F3003" s="142">
        <v>45849.541666666672</v>
      </c>
      <c r="G3003" s="140" t="s">
        <v>845</v>
      </c>
      <c r="H3003" s="140" t="s">
        <v>870</v>
      </c>
    </row>
    <row r="3004" spans="1:8" ht="15.75" customHeight="1">
      <c r="A3004" s="140" t="s">
        <v>77</v>
      </c>
      <c r="B3004" s="140" t="s">
        <v>22</v>
      </c>
      <c r="C3004" s="141" t="s">
        <v>147</v>
      </c>
      <c r="D3004" s="140" t="s">
        <v>148</v>
      </c>
      <c r="E3004" s="140">
        <v>1</v>
      </c>
      <c r="F3004" s="142">
        <v>45890.541666666672</v>
      </c>
      <c r="G3004" s="140" t="s">
        <v>845</v>
      </c>
      <c r="H3004" s="140" t="s">
        <v>870</v>
      </c>
    </row>
    <row r="3005" spans="1:8" ht="15.75" customHeight="1">
      <c r="A3005" s="140" t="s">
        <v>77</v>
      </c>
      <c r="B3005" s="140" t="s">
        <v>22</v>
      </c>
      <c r="C3005" s="141" t="s">
        <v>147</v>
      </c>
      <c r="D3005" s="140" t="s">
        <v>148</v>
      </c>
      <c r="E3005" s="140">
        <v>2</v>
      </c>
      <c r="F3005" s="142">
        <v>45897.583333333328</v>
      </c>
      <c r="G3005" s="140" t="s">
        <v>845</v>
      </c>
      <c r="H3005" s="140" t="s">
        <v>870</v>
      </c>
    </row>
    <row r="3006" spans="1:8" ht="15.75" customHeight="1">
      <c r="A3006" s="140" t="s">
        <v>77</v>
      </c>
      <c r="B3006" s="140" t="s">
        <v>22</v>
      </c>
      <c r="C3006" s="141" t="s">
        <v>147</v>
      </c>
      <c r="D3006" s="140" t="s">
        <v>148</v>
      </c>
      <c r="E3006" s="140">
        <v>3</v>
      </c>
      <c r="F3006" s="142">
        <v>45911.583333333328</v>
      </c>
      <c r="G3006" s="140" t="s">
        <v>845</v>
      </c>
      <c r="H3006" s="140" t="s">
        <v>870</v>
      </c>
    </row>
    <row r="3007" spans="1:8" ht="15.75" customHeight="1">
      <c r="A3007" s="140" t="s">
        <v>77</v>
      </c>
      <c r="B3007" s="140" t="s">
        <v>22</v>
      </c>
      <c r="C3007" s="141" t="s">
        <v>147</v>
      </c>
      <c r="D3007" s="140" t="s">
        <v>148</v>
      </c>
      <c r="E3007" s="140">
        <v>4</v>
      </c>
      <c r="F3007" s="142">
        <v>45918.583333333328</v>
      </c>
      <c r="G3007" s="140" t="s">
        <v>845</v>
      </c>
      <c r="H3007" s="140" t="s">
        <v>870</v>
      </c>
    </row>
    <row r="3008" spans="1:8" ht="15.75" customHeight="1">
      <c r="A3008" s="140" t="s">
        <v>77</v>
      </c>
      <c r="B3008" s="140" t="s">
        <v>22</v>
      </c>
      <c r="C3008" s="141" t="s">
        <v>147</v>
      </c>
      <c r="D3008" s="140" t="s">
        <v>148</v>
      </c>
      <c r="E3008" s="140">
        <v>5</v>
      </c>
      <c r="F3008" s="142">
        <v>45925.583333333328</v>
      </c>
      <c r="G3008" s="140" t="s">
        <v>845</v>
      </c>
      <c r="H3008" s="140" t="s">
        <v>870</v>
      </c>
    </row>
    <row r="3009" spans="1:8" ht="15.75" customHeight="1">
      <c r="A3009" s="140" t="s">
        <v>77</v>
      </c>
      <c r="B3009" s="140" t="s">
        <v>22</v>
      </c>
      <c r="C3009" s="141" t="s">
        <v>147</v>
      </c>
      <c r="D3009" s="140" t="s">
        <v>148</v>
      </c>
      <c r="E3009" s="140">
        <v>6</v>
      </c>
      <c r="F3009" s="142">
        <v>45932.583333333328</v>
      </c>
      <c r="G3009" s="140" t="s">
        <v>845</v>
      </c>
      <c r="H3009" s="140" t="s">
        <v>870</v>
      </c>
    </row>
    <row r="3010" spans="1:8" ht="15.75" customHeight="1">
      <c r="A3010" s="140" t="s">
        <v>77</v>
      </c>
      <c r="B3010" s="140" t="s">
        <v>22</v>
      </c>
      <c r="C3010" s="141" t="s">
        <v>147</v>
      </c>
      <c r="D3010" s="140" t="s">
        <v>148</v>
      </c>
      <c r="E3010" s="140">
        <v>7</v>
      </c>
      <c r="F3010" s="142">
        <v>45946.583333333328</v>
      </c>
      <c r="G3010" s="140" t="s">
        <v>845</v>
      </c>
      <c r="H3010" s="140" t="s">
        <v>870</v>
      </c>
    </row>
    <row r="3011" spans="1:8" ht="15.75" customHeight="1">
      <c r="A3011" s="140" t="s">
        <v>77</v>
      </c>
      <c r="B3011" s="140" t="s">
        <v>22</v>
      </c>
      <c r="C3011" s="141" t="s">
        <v>147</v>
      </c>
      <c r="D3011" s="140" t="s">
        <v>148</v>
      </c>
      <c r="E3011" s="140">
        <v>8</v>
      </c>
      <c r="F3011" s="142">
        <v>45953.583333333328</v>
      </c>
      <c r="G3011" s="140" t="s">
        <v>845</v>
      </c>
      <c r="H3011" s="140" t="s">
        <v>870</v>
      </c>
    </row>
    <row r="3012" spans="1:8" ht="15.75" customHeight="1">
      <c r="A3012" s="140" t="s">
        <v>77</v>
      </c>
      <c r="B3012" s="140" t="s">
        <v>22</v>
      </c>
      <c r="C3012" s="141" t="s">
        <v>147</v>
      </c>
      <c r="D3012" s="140" t="s">
        <v>148</v>
      </c>
      <c r="E3012" s="140">
        <v>9</v>
      </c>
      <c r="F3012" s="142">
        <v>45960.583333333328</v>
      </c>
      <c r="G3012" s="140" t="s">
        <v>845</v>
      </c>
      <c r="H3012" s="140" t="s">
        <v>870</v>
      </c>
    </row>
    <row r="3013" spans="1:8" ht="15.75" customHeight="1">
      <c r="A3013" s="140" t="s">
        <v>77</v>
      </c>
      <c r="B3013" s="140" t="s">
        <v>22</v>
      </c>
      <c r="C3013" s="141" t="s">
        <v>147</v>
      </c>
      <c r="D3013" s="140" t="s">
        <v>148</v>
      </c>
      <c r="E3013" s="140">
        <v>10</v>
      </c>
      <c r="F3013" s="142">
        <v>45966.583333333328</v>
      </c>
      <c r="G3013" s="140" t="s">
        <v>845</v>
      </c>
      <c r="H3013" s="140" t="s">
        <v>870</v>
      </c>
    </row>
    <row r="3014" spans="1:8" ht="15.75" customHeight="1">
      <c r="A3014" s="140" t="s">
        <v>77</v>
      </c>
      <c r="B3014" s="140" t="s">
        <v>22</v>
      </c>
      <c r="C3014" s="141" t="s">
        <v>147</v>
      </c>
      <c r="D3014" s="140" t="s">
        <v>148</v>
      </c>
      <c r="E3014" s="140">
        <v>11</v>
      </c>
      <c r="F3014" s="142">
        <v>45982.583333333328</v>
      </c>
      <c r="G3014" s="140" t="s">
        <v>845</v>
      </c>
      <c r="H3014" s="140" t="s">
        <v>870</v>
      </c>
    </row>
    <row r="3015" spans="1:8" ht="15.75" customHeight="1">
      <c r="A3015" s="140" t="s">
        <v>77</v>
      </c>
      <c r="B3015" s="140" t="s">
        <v>22</v>
      </c>
      <c r="C3015" s="141" t="s">
        <v>147</v>
      </c>
      <c r="D3015" s="140" t="s">
        <v>148</v>
      </c>
      <c r="E3015" s="140">
        <v>12</v>
      </c>
      <c r="F3015" s="142">
        <v>45988.583333333328</v>
      </c>
      <c r="G3015" s="140" t="s">
        <v>845</v>
      </c>
      <c r="H3015" s="140" t="s">
        <v>870</v>
      </c>
    </row>
    <row r="3016" spans="1:8" ht="15.75" customHeight="1">
      <c r="A3016" s="140" t="s">
        <v>77</v>
      </c>
      <c r="B3016" s="140" t="s">
        <v>22</v>
      </c>
      <c r="C3016" s="141" t="s">
        <v>147</v>
      </c>
      <c r="D3016" s="140" t="s">
        <v>148</v>
      </c>
      <c r="E3016" s="140">
        <v>13</v>
      </c>
      <c r="F3016" s="142">
        <v>45995.583333333328</v>
      </c>
      <c r="G3016" s="140" t="s">
        <v>845</v>
      </c>
      <c r="H3016" s="140" t="s">
        <v>870</v>
      </c>
    </row>
    <row r="3017" spans="1:8" ht="15.75" customHeight="1">
      <c r="A3017" s="140" t="s">
        <v>77</v>
      </c>
      <c r="B3017" s="140" t="s">
        <v>22</v>
      </c>
      <c r="C3017" s="141" t="s">
        <v>147</v>
      </c>
      <c r="D3017" s="140" t="s">
        <v>148</v>
      </c>
      <c r="E3017" s="140">
        <v>14</v>
      </c>
      <c r="F3017" s="142">
        <v>45999.458333333328</v>
      </c>
      <c r="G3017" s="140" t="s">
        <v>845</v>
      </c>
      <c r="H3017" s="140" t="s">
        <v>870</v>
      </c>
    </row>
    <row r="3018" spans="1:8" ht="15.75" customHeight="1">
      <c r="A3018" s="140" t="s">
        <v>77</v>
      </c>
      <c r="B3018" s="140" t="s">
        <v>22</v>
      </c>
      <c r="C3018" s="141" t="s">
        <v>147</v>
      </c>
      <c r="D3018" s="140" t="s">
        <v>148</v>
      </c>
      <c r="E3018" s="140">
        <v>15</v>
      </c>
      <c r="F3018" s="142">
        <v>46014.625</v>
      </c>
      <c r="G3018" s="140" t="s">
        <v>845</v>
      </c>
      <c r="H3018" s="140" t="s">
        <v>870</v>
      </c>
    </row>
    <row r="3019" spans="1:8" ht="15.75" customHeight="1">
      <c r="A3019" s="140" t="s">
        <v>77</v>
      </c>
      <c r="B3019" s="140" t="s">
        <v>22</v>
      </c>
      <c r="C3019" s="141" t="s">
        <v>147</v>
      </c>
      <c r="D3019" s="140" t="s">
        <v>148</v>
      </c>
      <c r="E3019" s="140">
        <v>16</v>
      </c>
      <c r="F3019" s="142">
        <v>46044.541666666672</v>
      </c>
      <c r="G3019" s="140" t="s">
        <v>845</v>
      </c>
      <c r="H3019" s="140" t="s">
        <v>870</v>
      </c>
    </row>
    <row r="3020" spans="1:8" ht="15.75" customHeight="1">
      <c r="A3020" s="140" t="s">
        <v>77</v>
      </c>
      <c r="B3020" s="140" t="s">
        <v>23</v>
      </c>
      <c r="C3020" s="141" t="s">
        <v>147</v>
      </c>
      <c r="D3020" s="140" t="s">
        <v>148</v>
      </c>
      <c r="E3020" s="140">
        <v>2</v>
      </c>
      <c r="F3020" s="142">
        <v>46107.583333333328</v>
      </c>
      <c r="G3020" s="140" t="s">
        <v>845</v>
      </c>
      <c r="H3020" s="140" t="s">
        <v>870</v>
      </c>
    </row>
    <row r="3021" spans="1:8" ht="15.75" customHeight="1">
      <c r="A3021" s="140" t="s">
        <v>77</v>
      </c>
      <c r="B3021" s="140" t="s">
        <v>23</v>
      </c>
      <c r="C3021" s="141" t="s">
        <v>147</v>
      </c>
      <c r="D3021" s="140" t="s">
        <v>148</v>
      </c>
      <c r="E3021" s="140">
        <v>3</v>
      </c>
      <c r="F3021" s="142">
        <v>46114.583333333328</v>
      </c>
      <c r="G3021" s="140" t="s">
        <v>845</v>
      </c>
      <c r="H3021" s="140" t="s">
        <v>870</v>
      </c>
    </row>
    <row r="3022" spans="1:8" ht="15.75" customHeight="1">
      <c r="A3022" s="140" t="s">
        <v>77</v>
      </c>
      <c r="B3022" s="140" t="s">
        <v>23</v>
      </c>
      <c r="C3022" s="141" t="s">
        <v>147</v>
      </c>
      <c r="D3022" s="140" t="s">
        <v>148</v>
      </c>
      <c r="E3022" s="140">
        <v>4</v>
      </c>
      <c r="F3022" s="142">
        <v>46121.583333333328</v>
      </c>
      <c r="G3022" s="140" t="s">
        <v>845</v>
      </c>
      <c r="H3022" s="140" t="s">
        <v>870</v>
      </c>
    </row>
    <row r="3023" spans="1:8" ht="15.75" customHeight="1">
      <c r="A3023" s="140" t="s">
        <v>77</v>
      </c>
      <c r="B3023" s="140" t="s">
        <v>23</v>
      </c>
      <c r="C3023" s="141" t="s">
        <v>147</v>
      </c>
      <c r="D3023" s="140" t="s">
        <v>148</v>
      </c>
      <c r="E3023" s="140">
        <v>5</v>
      </c>
      <c r="F3023" s="142">
        <v>46128.583333333328</v>
      </c>
      <c r="G3023" s="140" t="s">
        <v>845</v>
      </c>
      <c r="H3023" s="140" t="s">
        <v>870</v>
      </c>
    </row>
    <row r="3024" spans="1:8" ht="15.75" customHeight="1">
      <c r="A3024" s="140" t="s">
        <v>77</v>
      </c>
      <c r="B3024" s="140" t="s">
        <v>23</v>
      </c>
      <c r="C3024" s="141" t="s">
        <v>147</v>
      </c>
      <c r="D3024" s="140" t="s">
        <v>148</v>
      </c>
      <c r="E3024" s="140">
        <v>6</v>
      </c>
      <c r="F3024" s="142">
        <v>46135.583333333328</v>
      </c>
      <c r="G3024" s="140" t="s">
        <v>843</v>
      </c>
      <c r="H3024" s="140" t="s">
        <v>870</v>
      </c>
    </row>
    <row r="3025" spans="1:8" ht="15.75" customHeight="1">
      <c r="A3025" s="140" t="s">
        <v>77</v>
      </c>
      <c r="B3025" s="140" t="s">
        <v>22</v>
      </c>
      <c r="C3025" s="141" t="s">
        <v>159</v>
      </c>
      <c r="D3025" s="140" t="s">
        <v>160</v>
      </c>
      <c r="E3025" s="140">
        <v>1</v>
      </c>
      <c r="F3025" s="142">
        <v>45890.541666666672</v>
      </c>
      <c r="G3025" s="140" t="s">
        <v>845</v>
      </c>
      <c r="H3025" s="140" t="s">
        <v>870</v>
      </c>
    </row>
    <row r="3026" spans="1:8" ht="15.75" customHeight="1">
      <c r="A3026" s="140" t="s">
        <v>77</v>
      </c>
      <c r="B3026" s="140" t="s">
        <v>22</v>
      </c>
      <c r="C3026" s="141" t="s">
        <v>159</v>
      </c>
      <c r="D3026" s="140" t="s">
        <v>160</v>
      </c>
      <c r="E3026" s="140">
        <v>2</v>
      </c>
      <c r="F3026" s="142">
        <v>45897.583333333328</v>
      </c>
      <c r="G3026" s="140" t="s">
        <v>845</v>
      </c>
      <c r="H3026" s="140" t="s">
        <v>870</v>
      </c>
    </row>
    <row r="3027" spans="1:8" ht="15.75" customHeight="1">
      <c r="A3027" s="140" t="s">
        <v>77</v>
      </c>
      <c r="B3027" s="140" t="s">
        <v>22</v>
      </c>
      <c r="C3027" s="141" t="s">
        <v>159</v>
      </c>
      <c r="D3027" s="140" t="s">
        <v>160</v>
      </c>
      <c r="E3027" s="140">
        <v>3</v>
      </c>
      <c r="F3027" s="142">
        <v>45911.583333333328</v>
      </c>
      <c r="G3027" s="140" t="s">
        <v>845</v>
      </c>
      <c r="H3027" s="140" t="s">
        <v>870</v>
      </c>
    </row>
    <row r="3028" spans="1:8" ht="15.75" customHeight="1">
      <c r="A3028" s="140" t="s">
        <v>77</v>
      </c>
      <c r="B3028" s="140" t="s">
        <v>22</v>
      </c>
      <c r="C3028" s="141" t="s">
        <v>159</v>
      </c>
      <c r="D3028" s="140" t="s">
        <v>160</v>
      </c>
      <c r="E3028" s="140">
        <v>4</v>
      </c>
      <c r="F3028" s="142">
        <v>45918.583333333328</v>
      </c>
      <c r="G3028" s="140" t="s">
        <v>845</v>
      </c>
      <c r="H3028" s="140" t="s">
        <v>870</v>
      </c>
    </row>
    <row r="3029" spans="1:8" ht="15.75" customHeight="1">
      <c r="A3029" s="140" t="s">
        <v>77</v>
      </c>
      <c r="B3029" s="140" t="s">
        <v>22</v>
      </c>
      <c r="C3029" s="141" t="s">
        <v>159</v>
      </c>
      <c r="D3029" s="140" t="s">
        <v>160</v>
      </c>
      <c r="E3029" s="140">
        <v>5</v>
      </c>
      <c r="F3029" s="142">
        <v>45925.583333333328</v>
      </c>
      <c r="G3029" s="140" t="s">
        <v>845</v>
      </c>
      <c r="H3029" s="140" t="s">
        <v>870</v>
      </c>
    </row>
    <row r="3030" spans="1:8" ht="15.75" customHeight="1">
      <c r="A3030" s="140" t="s">
        <v>77</v>
      </c>
      <c r="B3030" s="140" t="s">
        <v>22</v>
      </c>
      <c r="C3030" s="141" t="s">
        <v>159</v>
      </c>
      <c r="D3030" s="140" t="s">
        <v>160</v>
      </c>
      <c r="E3030" s="140">
        <v>6</v>
      </c>
      <c r="F3030" s="142">
        <v>45932.583333333328</v>
      </c>
      <c r="G3030" s="140" t="s">
        <v>845</v>
      </c>
      <c r="H3030" s="140" t="s">
        <v>870</v>
      </c>
    </row>
    <row r="3031" spans="1:8" ht="15.75" customHeight="1">
      <c r="A3031" s="140" t="s">
        <v>77</v>
      </c>
      <c r="B3031" s="140" t="s">
        <v>22</v>
      </c>
      <c r="C3031" s="141" t="s">
        <v>159</v>
      </c>
      <c r="D3031" s="140" t="s">
        <v>160</v>
      </c>
      <c r="E3031" s="140">
        <v>7</v>
      </c>
      <c r="F3031" s="142">
        <v>45946.583333333328</v>
      </c>
      <c r="G3031" s="140" t="s">
        <v>845</v>
      </c>
      <c r="H3031" s="140" t="s">
        <v>870</v>
      </c>
    </row>
    <row r="3032" spans="1:8" ht="15.75" customHeight="1">
      <c r="A3032" s="140" t="s">
        <v>77</v>
      </c>
      <c r="B3032" s="140" t="s">
        <v>22</v>
      </c>
      <c r="C3032" s="141" t="s">
        <v>159</v>
      </c>
      <c r="D3032" s="140" t="s">
        <v>160</v>
      </c>
      <c r="E3032" s="140">
        <v>8</v>
      </c>
      <c r="F3032" s="142">
        <v>45953.583333333328</v>
      </c>
      <c r="G3032" s="140" t="s">
        <v>845</v>
      </c>
      <c r="H3032" s="140" t="s">
        <v>870</v>
      </c>
    </row>
    <row r="3033" spans="1:8" ht="15.75" customHeight="1">
      <c r="A3033" s="140" t="s">
        <v>77</v>
      </c>
      <c r="B3033" s="140" t="s">
        <v>22</v>
      </c>
      <c r="C3033" s="141" t="s">
        <v>159</v>
      </c>
      <c r="D3033" s="140" t="s">
        <v>160</v>
      </c>
      <c r="E3033" s="140">
        <v>9</v>
      </c>
      <c r="F3033" s="142">
        <v>45960.583333333328</v>
      </c>
      <c r="G3033" s="140" t="s">
        <v>845</v>
      </c>
      <c r="H3033" s="140" t="s">
        <v>870</v>
      </c>
    </row>
    <row r="3034" spans="1:8" ht="15.75" customHeight="1">
      <c r="A3034" s="140" t="s">
        <v>77</v>
      </c>
      <c r="B3034" s="140" t="s">
        <v>22</v>
      </c>
      <c r="C3034" s="141" t="s">
        <v>159</v>
      </c>
      <c r="D3034" s="140" t="s">
        <v>160</v>
      </c>
      <c r="E3034" s="140">
        <v>10</v>
      </c>
      <c r="F3034" s="142">
        <v>45966.583333333328</v>
      </c>
      <c r="G3034" s="140" t="s">
        <v>845</v>
      </c>
      <c r="H3034" s="140" t="s">
        <v>870</v>
      </c>
    </row>
    <row r="3035" spans="1:8" ht="15.75" customHeight="1">
      <c r="A3035" s="140" t="s">
        <v>77</v>
      </c>
      <c r="B3035" s="140" t="s">
        <v>22</v>
      </c>
      <c r="C3035" s="141" t="s">
        <v>159</v>
      </c>
      <c r="D3035" s="140" t="s">
        <v>160</v>
      </c>
      <c r="E3035" s="140">
        <v>11</v>
      </c>
      <c r="F3035" s="142">
        <v>45982.583333333328</v>
      </c>
      <c r="G3035" s="140" t="s">
        <v>845</v>
      </c>
      <c r="H3035" s="140" t="s">
        <v>870</v>
      </c>
    </row>
    <row r="3036" spans="1:8" ht="15.75" customHeight="1">
      <c r="A3036" s="140" t="s">
        <v>77</v>
      </c>
      <c r="B3036" s="140" t="s">
        <v>22</v>
      </c>
      <c r="C3036" s="141" t="s">
        <v>159</v>
      </c>
      <c r="D3036" s="140" t="s">
        <v>160</v>
      </c>
      <c r="E3036" s="140">
        <v>12</v>
      </c>
      <c r="F3036" s="142">
        <v>45988.583333333328</v>
      </c>
      <c r="G3036" s="140" t="s">
        <v>845</v>
      </c>
      <c r="H3036" s="140" t="s">
        <v>870</v>
      </c>
    </row>
    <row r="3037" spans="1:8" ht="15.75" customHeight="1">
      <c r="A3037" s="140" t="s">
        <v>77</v>
      </c>
      <c r="B3037" s="140" t="s">
        <v>22</v>
      </c>
      <c r="C3037" s="141" t="s">
        <v>159</v>
      </c>
      <c r="D3037" s="140" t="s">
        <v>160</v>
      </c>
      <c r="E3037" s="140">
        <v>13</v>
      </c>
      <c r="F3037" s="142">
        <v>45995.583333333328</v>
      </c>
      <c r="G3037" s="140" t="s">
        <v>845</v>
      </c>
      <c r="H3037" s="140" t="s">
        <v>870</v>
      </c>
    </row>
    <row r="3038" spans="1:8" ht="15.75" customHeight="1">
      <c r="A3038" s="140" t="s">
        <v>77</v>
      </c>
      <c r="B3038" s="140" t="s">
        <v>22</v>
      </c>
      <c r="C3038" s="141" t="s">
        <v>159</v>
      </c>
      <c r="D3038" s="140" t="s">
        <v>160</v>
      </c>
      <c r="E3038" s="140">
        <v>14</v>
      </c>
      <c r="F3038" s="142">
        <v>45999.458333333328</v>
      </c>
      <c r="G3038" s="140" t="s">
        <v>843</v>
      </c>
      <c r="H3038" s="140" t="s">
        <v>870</v>
      </c>
    </row>
    <row r="3039" spans="1:8" ht="15.75" customHeight="1">
      <c r="A3039" s="140" t="s">
        <v>77</v>
      </c>
      <c r="B3039" s="140" t="s">
        <v>22</v>
      </c>
      <c r="C3039" s="141" t="s">
        <v>159</v>
      </c>
      <c r="D3039" s="140" t="s">
        <v>160</v>
      </c>
      <c r="E3039" s="140">
        <v>15</v>
      </c>
      <c r="F3039" s="142">
        <v>46014.625</v>
      </c>
      <c r="G3039" s="140" t="s">
        <v>845</v>
      </c>
      <c r="H3039" s="140" t="s">
        <v>870</v>
      </c>
    </row>
    <row r="3040" spans="1:8" ht="15.75" customHeight="1">
      <c r="A3040" s="140" t="s">
        <v>77</v>
      </c>
      <c r="B3040" s="140" t="s">
        <v>22</v>
      </c>
      <c r="C3040" s="141" t="s">
        <v>159</v>
      </c>
      <c r="D3040" s="140" t="s">
        <v>160</v>
      </c>
      <c r="E3040" s="140">
        <v>16</v>
      </c>
      <c r="F3040" s="142">
        <v>46044.541666666672</v>
      </c>
      <c r="G3040" s="140" t="s">
        <v>845</v>
      </c>
      <c r="H3040" s="140" t="s">
        <v>870</v>
      </c>
    </row>
    <row r="3041" spans="1:8" ht="15.75" customHeight="1">
      <c r="A3041" s="140" t="s">
        <v>77</v>
      </c>
      <c r="B3041" s="140" t="s">
        <v>23</v>
      </c>
      <c r="C3041" s="141" t="s">
        <v>159</v>
      </c>
      <c r="D3041" s="140" t="s">
        <v>160</v>
      </c>
      <c r="E3041" s="140">
        <v>2</v>
      </c>
      <c r="F3041" s="142">
        <v>46107.583333333328</v>
      </c>
      <c r="G3041" s="140" t="s">
        <v>845</v>
      </c>
      <c r="H3041" s="140" t="s">
        <v>870</v>
      </c>
    </row>
    <row r="3042" spans="1:8" ht="15.75" customHeight="1">
      <c r="A3042" s="140" t="s">
        <v>77</v>
      </c>
      <c r="B3042" s="140" t="s">
        <v>23</v>
      </c>
      <c r="C3042" s="141" t="s">
        <v>159</v>
      </c>
      <c r="D3042" s="140" t="s">
        <v>160</v>
      </c>
      <c r="E3042" s="140">
        <v>3</v>
      </c>
      <c r="F3042" s="142">
        <v>46114.583333333328</v>
      </c>
      <c r="G3042" s="140" t="s">
        <v>845</v>
      </c>
      <c r="H3042" s="140" t="s">
        <v>870</v>
      </c>
    </row>
    <row r="3043" spans="1:8" ht="15.75" customHeight="1">
      <c r="A3043" s="140" t="s">
        <v>77</v>
      </c>
      <c r="B3043" s="140" t="s">
        <v>23</v>
      </c>
      <c r="C3043" s="141" t="s">
        <v>159</v>
      </c>
      <c r="D3043" s="140" t="s">
        <v>160</v>
      </c>
      <c r="E3043" s="140">
        <v>4</v>
      </c>
      <c r="F3043" s="142">
        <v>46121.583333333328</v>
      </c>
      <c r="G3043" s="140" t="s">
        <v>843</v>
      </c>
      <c r="H3043" s="140" t="s">
        <v>870</v>
      </c>
    </row>
    <row r="3044" spans="1:8" ht="15.75" customHeight="1">
      <c r="A3044" s="140" t="s">
        <v>77</v>
      </c>
      <c r="B3044" s="140" t="s">
        <v>23</v>
      </c>
      <c r="C3044" s="141" t="s">
        <v>159</v>
      </c>
      <c r="D3044" s="140" t="s">
        <v>160</v>
      </c>
      <c r="E3044" s="140">
        <v>5</v>
      </c>
      <c r="F3044" s="142">
        <v>46128.583333333328</v>
      </c>
      <c r="G3044" s="140" t="s">
        <v>843</v>
      </c>
      <c r="H3044" s="140" t="s">
        <v>870</v>
      </c>
    </row>
    <row r="3045" spans="1:8" ht="15.75" customHeight="1">
      <c r="A3045" s="140" t="s">
        <v>77</v>
      </c>
      <c r="B3045" s="140" t="s">
        <v>23</v>
      </c>
      <c r="C3045" s="141" t="s">
        <v>159</v>
      </c>
      <c r="D3045" s="140" t="s">
        <v>160</v>
      </c>
      <c r="E3045" s="140">
        <v>6</v>
      </c>
      <c r="F3045" s="142">
        <v>46135.583333333328</v>
      </c>
      <c r="G3045" s="140" t="s">
        <v>843</v>
      </c>
      <c r="H3045" s="140" t="s">
        <v>870</v>
      </c>
    </row>
    <row r="3046" spans="1:8" ht="15.75" customHeight="1">
      <c r="A3046" s="140" t="s">
        <v>77</v>
      </c>
      <c r="B3046" s="140" t="s">
        <v>21</v>
      </c>
      <c r="C3046" s="141" t="s">
        <v>247</v>
      </c>
      <c r="D3046" s="140" t="s">
        <v>248</v>
      </c>
      <c r="E3046" s="140">
        <v>1</v>
      </c>
      <c r="F3046" s="142">
        <v>45715.583333333328</v>
      </c>
      <c r="G3046" s="140" t="s">
        <v>845</v>
      </c>
      <c r="H3046" s="140" t="s">
        <v>870</v>
      </c>
    </row>
    <row r="3047" spans="1:8" ht="15.75" customHeight="1">
      <c r="A3047" s="140" t="s">
        <v>77</v>
      </c>
      <c r="B3047" s="140" t="s">
        <v>21</v>
      </c>
      <c r="C3047" s="141" t="s">
        <v>247</v>
      </c>
      <c r="D3047" s="140" t="s">
        <v>248</v>
      </c>
      <c r="E3047" s="140">
        <v>2</v>
      </c>
      <c r="F3047" s="142">
        <v>45756.583333333328</v>
      </c>
      <c r="G3047" s="140" t="s">
        <v>845</v>
      </c>
      <c r="H3047" s="140" t="s">
        <v>870</v>
      </c>
    </row>
    <row r="3048" spans="1:8" ht="15.75" customHeight="1">
      <c r="A3048" s="140" t="s">
        <v>77</v>
      </c>
      <c r="B3048" s="140" t="s">
        <v>21</v>
      </c>
      <c r="C3048" s="141" t="s">
        <v>247</v>
      </c>
      <c r="D3048" s="140" t="s">
        <v>248</v>
      </c>
      <c r="E3048" s="140">
        <v>3</v>
      </c>
      <c r="F3048" s="142">
        <v>45771.541666666672</v>
      </c>
      <c r="G3048" s="140" t="s">
        <v>845</v>
      </c>
      <c r="H3048" s="140" t="s">
        <v>870</v>
      </c>
    </row>
    <row r="3049" spans="1:8" ht="15.75" customHeight="1">
      <c r="A3049" s="140" t="s">
        <v>77</v>
      </c>
      <c r="B3049" s="140" t="s">
        <v>21</v>
      </c>
      <c r="C3049" s="141" t="s">
        <v>247</v>
      </c>
      <c r="D3049" s="140" t="s">
        <v>248</v>
      </c>
      <c r="E3049" s="140">
        <v>4</v>
      </c>
      <c r="F3049" s="142">
        <v>45786.541666666672</v>
      </c>
      <c r="G3049" s="140" t="s">
        <v>845</v>
      </c>
      <c r="H3049" s="140" t="s">
        <v>870</v>
      </c>
    </row>
    <row r="3050" spans="1:8" ht="15.75" customHeight="1">
      <c r="A3050" s="140" t="s">
        <v>77</v>
      </c>
      <c r="B3050" s="140" t="s">
        <v>21</v>
      </c>
      <c r="C3050" s="141" t="s">
        <v>247</v>
      </c>
      <c r="D3050" s="140" t="s">
        <v>248</v>
      </c>
      <c r="E3050" s="140">
        <v>5</v>
      </c>
      <c r="F3050" s="142">
        <v>45790.541666666672</v>
      </c>
      <c r="G3050" s="140" t="s">
        <v>845</v>
      </c>
      <c r="H3050" s="140" t="s">
        <v>870</v>
      </c>
    </row>
    <row r="3051" spans="1:8" ht="15.75" customHeight="1">
      <c r="A3051" s="140" t="s">
        <v>77</v>
      </c>
      <c r="B3051" s="140" t="s">
        <v>21</v>
      </c>
      <c r="C3051" s="141" t="s">
        <v>247</v>
      </c>
      <c r="D3051" s="140" t="s">
        <v>248</v>
      </c>
      <c r="E3051" s="140">
        <v>6</v>
      </c>
      <c r="F3051" s="142">
        <v>45799.541666666672</v>
      </c>
      <c r="G3051" s="140" t="s">
        <v>845</v>
      </c>
      <c r="H3051" s="140" t="s">
        <v>870</v>
      </c>
    </row>
    <row r="3052" spans="1:8" ht="15.75" customHeight="1">
      <c r="A3052" s="140" t="s">
        <v>77</v>
      </c>
      <c r="B3052" s="140" t="s">
        <v>21</v>
      </c>
      <c r="C3052" s="141" t="s">
        <v>247</v>
      </c>
      <c r="D3052" s="140" t="s">
        <v>248</v>
      </c>
      <c r="E3052" s="140">
        <v>7</v>
      </c>
      <c r="F3052" s="142">
        <v>45805.541666666672</v>
      </c>
      <c r="G3052" s="140" t="s">
        <v>845</v>
      </c>
      <c r="H3052" s="140" t="s">
        <v>870</v>
      </c>
    </row>
    <row r="3053" spans="1:8" ht="15.75" customHeight="1">
      <c r="A3053" s="140" t="s">
        <v>77</v>
      </c>
      <c r="B3053" s="140" t="s">
        <v>21</v>
      </c>
      <c r="C3053" s="141" t="s">
        <v>247</v>
      </c>
      <c r="D3053" s="140" t="s">
        <v>248</v>
      </c>
      <c r="E3053" s="140">
        <v>8</v>
      </c>
      <c r="F3053" s="142">
        <v>45813.583333333328</v>
      </c>
      <c r="G3053" s="140" t="s">
        <v>845</v>
      </c>
      <c r="H3053" s="140" t="s">
        <v>870</v>
      </c>
    </row>
    <row r="3054" spans="1:8" ht="15.75" customHeight="1">
      <c r="A3054" s="140" t="s">
        <v>77</v>
      </c>
      <c r="B3054" s="140" t="s">
        <v>21</v>
      </c>
      <c r="C3054" s="141" t="s">
        <v>247</v>
      </c>
      <c r="D3054" s="140" t="s">
        <v>248</v>
      </c>
      <c r="E3054" s="140">
        <v>9</v>
      </c>
      <c r="F3054" s="142">
        <v>45820.583333333328</v>
      </c>
      <c r="G3054" s="140" t="s">
        <v>845</v>
      </c>
      <c r="H3054" s="140" t="s">
        <v>870</v>
      </c>
    </row>
    <row r="3055" spans="1:8" ht="15.75" customHeight="1">
      <c r="A3055" s="140" t="s">
        <v>77</v>
      </c>
      <c r="B3055" s="140" t="s">
        <v>21</v>
      </c>
      <c r="C3055" s="141" t="s">
        <v>247</v>
      </c>
      <c r="D3055" s="140" t="s">
        <v>248</v>
      </c>
      <c r="E3055" s="140">
        <v>10</v>
      </c>
      <c r="F3055" s="142">
        <v>45849.541666666672</v>
      </c>
      <c r="G3055" s="140" t="s">
        <v>845</v>
      </c>
      <c r="H3055" s="140" t="s">
        <v>870</v>
      </c>
    </row>
    <row r="3056" spans="1:8" ht="15.75" customHeight="1">
      <c r="A3056" s="140" t="s">
        <v>77</v>
      </c>
      <c r="B3056" s="140" t="s">
        <v>21</v>
      </c>
      <c r="C3056" s="141" t="s">
        <v>255</v>
      </c>
      <c r="D3056" s="140" t="s">
        <v>256</v>
      </c>
      <c r="E3056" s="140">
        <v>1</v>
      </c>
      <c r="F3056" s="142">
        <v>45715.583333333328</v>
      </c>
      <c r="G3056" s="140" t="s">
        <v>845</v>
      </c>
      <c r="H3056" s="140" t="s">
        <v>870</v>
      </c>
    </row>
    <row r="3057" spans="1:8" ht="15.75" customHeight="1">
      <c r="A3057" s="140" t="s">
        <v>77</v>
      </c>
      <c r="B3057" s="140" t="s">
        <v>21</v>
      </c>
      <c r="C3057" s="141" t="s">
        <v>255</v>
      </c>
      <c r="D3057" s="140" t="s">
        <v>256</v>
      </c>
      <c r="E3057" s="140">
        <v>2</v>
      </c>
      <c r="F3057" s="142">
        <v>45756.583333333328</v>
      </c>
      <c r="G3057" s="140" t="s">
        <v>845</v>
      </c>
      <c r="H3057" s="140" t="s">
        <v>870</v>
      </c>
    </row>
    <row r="3058" spans="1:8" ht="15.75" customHeight="1">
      <c r="A3058" s="140" t="s">
        <v>77</v>
      </c>
      <c r="B3058" s="140" t="s">
        <v>21</v>
      </c>
      <c r="C3058" s="141" t="s">
        <v>255</v>
      </c>
      <c r="D3058" s="140" t="s">
        <v>256</v>
      </c>
      <c r="E3058" s="140">
        <v>3</v>
      </c>
      <c r="F3058" s="142">
        <v>45771.541666666672</v>
      </c>
      <c r="G3058" s="140" t="s">
        <v>845</v>
      </c>
      <c r="H3058" s="140" t="s">
        <v>870</v>
      </c>
    </row>
    <row r="3059" spans="1:8" ht="15.75" customHeight="1">
      <c r="A3059" s="140" t="s">
        <v>77</v>
      </c>
      <c r="B3059" s="140" t="s">
        <v>21</v>
      </c>
      <c r="C3059" s="141" t="s">
        <v>255</v>
      </c>
      <c r="D3059" s="140" t="s">
        <v>256</v>
      </c>
      <c r="E3059" s="140">
        <v>4</v>
      </c>
      <c r="F3059" s="142">
        <v>45786.541666666672</v>
      </c>
      <c r="G3059" s="140" t="s">
        <v>845</v>
      </c>
      <c r="H3059" s="140" t="s">
        <v>870</v>
      </c>
    </row>
    <row r="3060" spans="1:8" ht="15.75" customHeight="1">
      <c r="A3060" s="140" t="s">
        <v>77</v>
      </c>
      <c r="B3060" s="140" t="s">
        <v>21</v>
      </c>
      <c r="C3060" s="141" t="s">
        <v>255</v>
      </c>
      <c r="D3060" s="140" t="s">
        <v>256</v>
      </c>
      <c r="E3060" s="140">
        <v>5</v>
      </c>
      <c r="F3060" s="142">
        <v>45790.541666666672</v>
      </c>
      <c r="G3060" s="140" t="s">
        <v>845</v>
      </c>
      <c r="H3060" s="140" t="s">
        <v>870</v>
      </c>
    </row>
    <row r="3061" spans="1:8" ht="15.75" customHeight="1">
      <c r="A3061" s="140" t="s">
        <v>77</v>
      </c>
      <c r="B3061" s="140" t="s">
        <v>21</v>
      </c>
      <c r="C3061" s="141" t="s">
        <v>255</v>
      </c>
      <c r="D3061" s="140" t="s">
        <v>256</v>
      </c>
      <c r="E3061" s="140">
        <v>6</v>
      </c>
      <c r="F3061" s="142">
        <v>45799.541666666672</v>
      </c>
      <c r="G3061" s="140" t="s">
        <v>845</v>
      </c>
      <c r="H3061" s="140" t="s">
        <v>870</v>
      </c>
    </row>
    <row r="3062" spans="1:8" ht="15.75" customHeight="1">
      <c r="A3062" s="140" t="s">
        <v>77</v>
      </c>
      <c r="B3062" s="140" t="s">
        <v>21</v>
      </c>
      <c r="C3062" s="141" t="s">
        <v>255</v>
      </c>
      <c r="D3062" s="140" t="s">
        <v>256</v>
      </c>
      <c r="E3062" s="140">
        <v>7</v>
      </c>
      <c r="F3062" s="142">
        <v>45805.541666666672</v>
      </c>
      <c r="G3062" s="140" t="s">
        <v>845</v>
      </c>
      <c r="H3062" s="140" t="s">
        <v>870</v>
      </c>
    </row>
    <row r="3063" spans="1:8" ht="15.75" customHeight="1">
      <c r="A3063" s="140" t="s">
        <v>77</v>
      </c>
      <c r="B3063" s="140" t="s">
        <v>21</v>
      </c>
      <c r="C3063" s="141" t="s">
        <v>255</v>
      </c>
      <c r="D3063" s="140" t="s">
        <v>256</v>
      </c>
      <c r="E3063" s="140">
        <v>8</v>
      </c>
      <c r="F3063" s="142">
        <v>45813.583333333328</v>
      </c>
      <c r="G3063" s="140" t="s">
        <v>845</v>
      </c>
      <c r="H3063" s="140" t="s">
        <v>870</v>
      </c>
    </row>
    <row r="3064" spans="1:8" ht="15.75" customHeight="1">
      <c r="A3064" s="140" t="s">
        <v>77</v>
      </c>
      <c r="B3064" s="140" t="s">
        <v>21</v>
      </c>
      <c r="C3064" s="141" t="s">
        <v>255</v>
      </c>
      <c r="D3064" s="140" t="s">
        <v>256</v>
      </c>
      <c r="E3064" s="140">
        <v>9</v>
      </c>
      <c r="F3064" s="142">
        <v>45820.583333333328</v>
      </c>
      <c r="G3064" s="140" t="s">
        <v>845</v>
      </c>
      <c r="H3064" s="140" t="s">
        <v>870</v>
      </c>
    </row>
    <row r="3065" spans="1:8" ht="15.75" customHeight="1">
      <c r="A3065" s="140" t="s">
        <v>77</v>
      </c>
      <c r="B3065" s="140" t="s">
        <v>21</v>
      </c>
      <c r="C3065" s="141" t="s">
        <v>255</v>
      </c>
      <c r="D3065" s="140" t="s">
        <v>256</v>
      </c>
      <c r="E3065" s="140">
        <v>10</v>
      </c>
      <c r="F3065" s="142">
        <v>45849.541666666672</v>
      </c>
      <c r="G3065" s="140" t="s">
        <v>845</v>
      </c>
      <c r="H3065" s="140" t="s">
        <v>870</v>
      </c>
    </row>
    <row r="3066" spans="1:8" ht="15.75" customHeight="1">
      <c r="A3066" s="140" t="s">
        <v>77</v>
      </c>
      <c r="B3066" s="140" t="s">
        <v>22</v>
      </c>
      <c r="C3066" s="141" t="s">
        <v>255</v>
      </c>
      <c r="D3066" s="140" t="s">
        <v>256</v>
      </c>
      <c r="E3066" s="140">
        <v>1</v>
      </c>
      <c r="F3066" s="142">
        <v>45890.541666666672</v>
      </c>
      <c r="G3066" s="140" t="s">
        <v>845</v>
      </c>
      <c r="H3066" s="140" t="s">
        <v>870</v>
      </c>
    </row>
    <row r="3067" spans="1:8" ht="15.75" customHeight="1">
      <c r="A3067" s="140" t="s">
        <v>77</v>
      </c>
      <c r="B3067" s="140" t="s">
        <v>22</v>
      </c>
      <c r="C3067" s="141" t="s">
        <v>255</v>
      </c>
      <c r="D3067" s="140" t="s">
        <v>256</v>
      </c>
      <c r="E3067" s="140">
        <v>2</v>
      </c>
      <c r="F3067" s="142">
        <v>45897.583333333328</v>
      </c>
      <c r="G3067" s="140" t="s">
        <v>845</v>
      </c>
      <c r="H3067" s="140" t="s">
        <v>870</v>
      </c>
    </row>
    <row r="3068" spans="1:8" ht="15.75" customHeight="1">
      <c r="A3068" s="140" t="s">
        <v>77</v>
      </c>
      <c r="B3068" s="140" t="s">
        <v>22</v>
      </c>
      <c r="C3068" s="141" t="s">
        <v>255</v>
      </c>
      <c r="D3068" s="140" t="s">
        <v>256</v>
      </c>
      <c r="E3068" s="140">
        <v>3</v>
      </c>
      <c r="F3068" s="142">
        <v>45911.583333333328</v>
      </c>
      <c r="G3068" s="140" t="s">
        <v>845</v>
      </c>
      <c r="H3068" s="140" t="s">
        <v>870</v>
      </c>
    </row>
    <row r="3069" spans="1:8" ht="15.75" customHeight="1">
      <c r="A3069" s="140" t="s">
        <v>77</v>
      </c>
      <c r="B3069" s="140" t="s">
        <v>22</v>
      </c>
      <c r="C3069" s="141" t="s">
        <v>255</v>
      </c>
      <c r="D3069" s="140" t="s">
        <v>256</v>
      </c>
      <c r="E3069" s="140">
        <v>4</v>
      </c>
      <c r="F3069" s="142">
        <v>45918.583333333328</v>
      </c>
      <c r="G3069" s="140" t="s">
        <v>845</v>
      </c>
      <c r="H3069" s="140" t="s">
        <v>870</v>
      </c>
    </row>
    <row r="3070" spans="1:8" ht="15.75" customHeight="1">
      <c r="A3070" s="140" t="s">
        <v>77</v>
      </c>
      <c r="B3070" s="140" t="s">
        <v>22</v>
      </c>
      <c r="C3070" s="141" t="s">
        <v>255</v>
      </c>
      <c r="D3070" s="140" t="s">
        <v>256</v>
      </c>
      <c r="E3070" s="140">
        <v>5</v>
      </c>
      <c r="F3070" s="142">
        <v>45925.583333333328</v>
      </c>
      <c r="G3070" s="140" t="s">
        <v>845</v>
      </c>
      <c r="H3070" s="140" t="s">
        <v>870</v>
      </c>
    </row>
    <row r="3071" spans="1:8" ht="15.75" customHeight="1">
      <c r="A3071" s="140" t="s">
        <v>77</v>
      </c>
      <c r="B3071" s="140" t="s">
        <v>22</v>
      </c>
      <c r="C3071" s="141" t="s">
        <v>255</v>
      </c>
      <c r="D3071" s="140" t="s">
        <v>256</v>
      </c>
      <c r="E3071" s="140">
        <v>6</v>
      </c>
      <c r="F3071" s="142">
        <v>45932.583333333328</v>
      </c>
      <c r="G3071" s="140" t="s">
        <v>845</v>
      </c>
      <c r="H3071" s="140" t="s">
        <v>870</v>
      </c>
    </row>
    <row r="3072" spans="1:8" ht="15.75" customHeight="1">
      <c r="A3072" s="140" t="s">
        <v>77</v>
      </c>
      <c r="B3072" s="140" t="s">
        <v>22</v>
      </c>
      <c r="C3072" s="141" t="s">
        <v>255</v>
      </c>
      <c r="D3072" s="140" t="s">
        <v>256</v>
      </c>
      <c r="E3072" s="140">
        <v>7</v>
      </c>
      <c r="F3072" s="142">
        <v>45946.583333333328</v>
      </c>
      <c r="G3072" s="140" t="s">
        <v>845</v>
      </c>
      <c r="H3072" s="140" t="s">
        <v>870</v>
      </c>
    </row>
    <row r="3073" spans="1:8" ht="15.75" customHeight="1">
      <c r="A3073" s="140" t="s">
        <v>77</v>
      </c>
      <c r="B3073" s="140" t="s">
        <v>22</v>
      </c>
      <c r="C3073" s="141" t="s">
        <v>255</v>
      </c>
      <c r="D3073" s="140" t="s">
        <v>256</v>
      </c>
      <c r="E3073" s="140">
        <v>8</v>
      </c>
      <c r="F3073" s="142">
        <v>45953.583333333328</v>
      </c>
      <c r="G3073" s="140" t="s">
        <v>845</v>
      </c>
      <c r="H3073" s="140" t="s">
        <v>870</v>
      </c>
    </row>
    <row r="3074" spans="1:8" ht="15.75" customHeight="1">
      <c r="A3074" s="140" t="s">
        <v>77</v>
      </c>
      <c r="B3074" s="140" t="s">
        <v>22</v>
      </c>
      <c r="C3074" s="141" t="s">
        <v>255</v>
      </c>
      <c r="D3074" s="140" t="s">
        <v>256</v>
      </c>
      <c r="E3074" s="140">
        <v>9</v>
      </c>
      <c r="F3074" s="142">
        <v>45960.583333333328</v>
      </c>
      <c r="G3074" s="140" t="s">
        <v>845</v>
      </c>
      <c r="H3074" s="140" t="s">
        <v>870</v>
      </c>
    </row>
    <row r="3075" spans="1:8" ht="15.75" customHeight="1">
      <c r="A3075" s="140" t="s">
        <v>77</v>
      </c>
      <c r="B3075" s="140" t="s">
        <v>22</v>
      </c>
      <c r="C3075" s="141" t="s">
        <v>255</v>
      </c>
      <c r="D3075" s="140" t="s">
        <v>256</v>
      </c>
      <c r="E3075" s="140">
        <v>10</v>
      </c>
      <c r="F3075" s="142">
        <v>45966.583333333328</v>
      </c>
      <c r="G3075" s="140" t="s">
        <v>845</v>
      </c>
      <c r="H3075" s="140" t="s">
        <v>870</v>
      </c>
    </row>
    <row r="3076" spans="1:8" ht="15.75" customHeight="1">
      <c r="A3076" s="140" t="s">
        <v>77</v>
      </c>
      <c r="B3076" s="140" t="s">
        <v>22</v>
      </c>
      <c r="C3076" s="141" t="s">
        <v>255</v>
      </c>
      <c r="D3076" s="140" t="s">
        <v>256</v>
      </c>
      <c r="E3076" s="140">
        <v>11</v>
      </c>
      <c r="F3076" s="142">
        <v>45982.583333333328</v>
      </c>
      <c r="G3076" s="140" t="s">
        <v>845</v>
      </c>
      <c r="H3076" s="140" t="s">
        <v>870</v>
      </c>
    </row>
    <row r="3077" spans="1:8" ht="15.75" customHeight="1">
      <c r="A3077" s="140" t="s">
        <v>77</v>
      </c>
      <c r="B3077" s="140" t="s">
        <v>22</v>
      </c>
      <c r="C3077" s="141" t="s">
        <v>255</v>
      </c>
      <c r="D3077" s="140" t="s">
        <v>256</v>
      </c>
      <c r="E3077" s="140">
        <v>12</v>
      </c>
      <c r="F3077" s="142">
        <v>45988.583333333328</v>
      </c>
      <c r="G3077" s="140" t="s">
        <v>845</v>
      </c>
      <c r="H3077" s="140" t="s">
        <v>870</v>
      </c>
    </row>
    <row r="3078" spans="1:8" ht="15.75" customHeight="1">
      <c r="A3078" s="140" t="s">
        <v>77</v>
      </c>
      <c r="B3078" s="140" t="s">
        <v>22</v>
      </c>
      <c r="C3078" s="141" t="s">
        <v>255</v>
      </c>
      <c r="D3078" s="140" t="s">
        <v>256</v>
      </c>
      <c r="E3078" s="140">
        <v>13</v>
      </c>
      <c r="F3078" s="142">
        <v>45995.583333333328</v>
      </c>
      <c r="G3078" s="140" t="s">
        <v>845</v>
      </c>
      <c r="H3078" s="140" t="s">
        <v>870</v>
      </c>
    </row>
    <row r="3079" spans="1:8" ht="15.75" customHeight="1">
      <c r="A3079" s="140" t="s">
        <v>77</v>
      </c>
      <c r="B3079" s="140" t="s">
        <v>22</v>
      </c>
      <c r="C3079" s="141" t="s">
        <v>255</v>
      </c>
      <c r="D3079" s="140" t="s">
        <v>256</v>
      </c>
      <c r="E3079" s="140">
        <v>14</v>
      </c>
      <c r="F3079" s="142">
        <v>45999.458333333328</v>
      </c>
      <c r="G3079" s="140" t="s">
        <v>843</v>
      </c>
      <c r="H3079" s="140" t="s">
        <v>870</v>
      </c>
    </row>
    <row r="3080" spans="1:8" ht="15.75" customHeight="1">
      <c r="A3080" s="140" t="s">
        <v>77</v>
      </c>
      <c r="B3080" s="140" t="s">
        <v>22</v>
      </c>
      <c r="C3080" s="141" t="s">
        <v>255</v>
      </c>
      <c r="D3080" s="140" t="s">
        <v>256</v>
      </c>
      <c r="E3080" s="140">
        <v>15</v>
      </c>
      <c r="F3080" s="142">
        <v>46014.625</v>
      </c>
      <c r="G3080" s="140" t="s">
        <v>845</v>
      </c>
      <c r="H3080" s="140" t="s">
        <v>870</v>
      </c>
    </row>
    <row r="3081" spans="1:8" ht="15.75" customHeight="1">
      <c r="A3081" s="140" t="s">
        <v>77</v>
      </c>
      <c r="B3081" s="140" t="s">
        <v>22</v>
      </c>
      <c r="C3081" s="141" t="s">
        <v>255</v>
      </c>
      <c r="D3081" s="140" t="s">
        <v>256</v>
      </c>
      <c r="E3081" s="140">
        <v>16</v>
      </c>
      <c r="F3081" s="142">
        <v>46044.541666666672</v>
      </c>
      <c r="G3081" s="140" t="s">
        <v>845</v>
      </c>
      <c r="H3081" s="140" t="s">
        <v>870</v>
      </c>
    </row>
    <row r="3082" spans="1:8" ht="15.75" customHeight="1">
      <c r="A3082" s="140" t="s">
        <v>77</v>
      </c>
      <c r="B3082" s="140" t="s">
        <v>23</v>
      </c>
      <c r="C3082" s="141" t="s">
        <v>255</v>
      </c>
      <c r="D3082" s="140" t="s">
        <v>256</v>
      </c>
      <c r="E3082" s="140">
        <v>2</v>
      </c>
      <c r="F3082" s="142">
        <v>46107.583333333328</v>
      </c>
      <c r="G3082" s="140" t="s">
        <v>845</v>
      </c>
      <c r="H3082" s="140" t="s">
        <v>870</v>
      </c>
    </row>
    <row r="3083" spans="1:8" ht="15.75" customHeight="1">
      <c r="A3083" s="140" t="s">
        <v>77</v>
      </c>
      <c r="B3083" s="140" t="s">
        <v>23</v>
      </c>
      <c r="C3083" s="141" t="s">
        <v>255</v>
      </c>
      <c r="D3083" s="140" t="s">
        <v>256</v>
      </c>
      <c r="E3083" s="140">
        <v>3</v>
      </c>
      <c r="F3083" s="142">
        <v>46114.583333333328</v>
      </c>
      <c r="G3083" s="140" t="s">
        <v>845</v>
      </c>
      <c r="H3083" s="140" t="s">
        <v>870</v>
      </c>
    </row>
    <row r="3084" spans="1:8" ht="15.75" customHeight="1">
      <c r="A3084" s="140" t="s">
        <v>77</v>
      </c>
      <c r="B3084" s="140" t="s">
        <v>23</v>
      </c>
      <c r="C3084" s="141" t="s">
        <v>255</v>
      </c>
      <c r="D3084" s="140" t="s">
        <v>256</v>
      </c>
      <c r="E3084" s="140">
        <v>4</v>
      </c>
      <c r="F3084" s="142">
        <v>46121.583333333328</v>
      </c>
      <c r="G3084" s="140" t="s">
        <v>845</v>
      </c>
      <c r="H3084" s="140" t="s">
        <v>870</v>
      </c>
    </row>
    <row r="3085" spans="1:8" ht="15.75" customHeight="1">
      <c r="A3085" s="140" t="s">
        <v>77</v>
      </c>
      <c r="B3085" s="140" t="s">
        <v>23</v>
      </c>
      <c r="C3085" s="141" t="s">
        <v>255</v>
      </c>
      <c r="D3085" s="140" t="s">
        <v>256</v>
      </c>
      <c r="E3085" s="140">
        <v>5</v>
      </c>
      <c r="F3085" s="142">
        <v>46128.583333333328</v>
      </c>
      <c r="G3085" s="140" t="s">
        <v>845</v>
      </c>
      <c r="H3085" s="140" t="s">
        <v>870</v>
      </c>
    </row>
    <row r="3086" spans="1:8" ht="15.75" customHeight="1">
      <c r="A3086" s="140" t="s">
        <v>77</v>
      </c>
      <c r="B3086" s="140" t="s">
        <v>23</v>
      </c>
      <c r="C3086" s="141" t="s">
        <v>255</v>
      </c>
      <c r="D3086" s="140" t="s">
        <v>256</v>
      </c>
      <c r="E3086" s="140">
        <v>6</v>
      </c>
      <c r="F3086" s="142">
        <v>46135.583333333328</v>
      </c>
      <c r="G3086" s="140" t="s">
        <v>845</v>
      </c>
      <c r="H3086" s="140" t="s">
        <v>870</v>
      </c>
    </row>
    <row r="3087" spans="1:8" ht="15.75" customHeight="1">
      <c r="A3087" s="140" t="s">
        <v>77</v>
      </c>
      <c r="B3087" s="140" t="s">
        <v>21</v>
      </c>
      <c r="C3087" s="141" t="s">
        <v>273</v>
      </c>
      <c r="D3087" s="140" t="s">
        <v>274</v>
      </c>
      <c r="E3087" s="140">
        <v>1</v>
      </c>
      <c r="F3087" s="142">
        <v>45715.583333333328</v>
      </c>
      <c r="G3087" s="140" t="s">
        <v>843</v>
      </c>
      <c r="H3087" s="140" t="s">
        <v>870</v>
      </c>
    </row>
    <row r="3088" spans="1:8" ht="15.75" customHeight="1">
      <c r="A3088" s="140" t="s">
        <v>77</v>
      </c>
      <c r="B3088" s="140" t="s">
        <v>21</v>
      </c>
      <c r="C3088" s="141" t="s">
        <v>273</v>
      </c>
      <c r="D3088" s="140" t="s">
        <v>274</v>
      </c>
      <c r="E3088" s="140">
        <v>2</v>
      </c>
      <c r="F3088" s="142">
        <v>45756.583333333328</v>
      </c>
      <c r="G3088" s="140" t="s">
        <v>845</v>
      </c>
      <c r="H3088" s="140" t="s">
        <v>870</v>
      </c>
    </row>
    <row r="3089" spans="1:8" ht="15.75" customHeight="1">
      <c r="A3089" s="140" t="s">
        <v>77</v>
      </c>
      <c r="B3089" s="140" t="s">
        <v>21</v>
      </c>
      <c r="C3089" s="141" t="s">
        <v>273</v>
      </c>
      <c r="D3089" s="140" t="s">
        <v>274</v>
      </c>
      <c r="E3089" s="140">
        <v>3</v>
      </c>
      <c r="F3089" s="142">
        <v>45771.541666666672</v>
      </c>
      <c r="G3089" s="140" t="s">
        <v>843</v>
      </c>
      <c r="H3089" s="140" t="s">
        <v>870</v>
      </c>
    </row>
    <row r="3090" spans="1:8" ht="15.75" customHeight="1">
      <c r="A3090" s="140" t="s">
        <v>77</v>
      </c>
      <c r="B3090" s="140" t="s">
        <v>21</v>
      </c>
      <c r="C3090" s="141" t="s">
        <v>273</v>
      </c>
      <c r="D3090" s="140" t="s">
        <v>274</v>
      </c>
      <c r="E3090" s="140">
        <v>4</v>
      </c>
      <c r="F3090" s="142">
        <v>45786.541666666672</v>
      </c>
      <c r="G3090" s="140" t="s">
        <v>843</v>
      </c>
      <c r="H3090" s="140" t="s">
        <v>870</v>
      </c>
    </row>
    <row r="3091" spans="1:8" ht="15.75" customHeight="1">
      <c r="A3091" s="140" t="s">
        <v>77</v>
      </c>
      <c r="B3091" s="140" t="s">
        <v>21</v>
      </c>
      <c r="C3091" s="141" t="s">
        <v>273</v>
      </c>
      <c r="D3091" s="140" t="s">
        <v>274</v>
      </c>
      <c r="E3091" s="140">
        <v>5</v>
      </c>
      <c r="F3091" s="142">
        <v>45790.541666666672</v>
      </c>
      <c r="G3091" s="140" t="s">
        <v>843</v>
      </c>
      <c r="H3091" s="140" t="s">
        <v>870</v>
      </c>
    </row>
    <row r="3092" spans="1:8" ht="15.75" customHeight="1">
      <c r="A3092" s="140" t="s">
        <v>77</v>
      </c>
      <c r="B3092" s="140" t="s">
        <v>21</v>
      </c>
      <c r="C3092" s="141" t="s">
        <v>273</v>
      </c>
      <c r="D3092" s="140" t="s">
        <v>274</v>
      </c>
      <c r="E3092" s="140">
        <v>6</v>
      </c>
      <c r="F3092" s="142">
        <v>45799.541666666672</v>
      </c>
      <c r="G3092" s="140" t="s">
        <v>843</v>
      </c>
      <c r="H3092" s="140" t="s">
        <v>870</v>
      </c>
    </row>
    <row r="3093" spans="1:8" ht="15.75" customHeight="1">
      <c r="A3093" s="140" t="s">
        <v>77</v>
      </c>
      <c r="B3093" s="140" t="s">
        <v>21</v>
      </c>
      <c r="C3093" s="141" t="s">
        <v>273</v>
      </c>
      <c r="D3093" s="140" t="s">
        <v>274</v>
      </c>
      <c r="E3093" s="140">
        <v>7</v>
      </c>
      <c r="F3093" s="142">
        <v>45805.541666666672</v>
      </c>
      <c r="G3093" s="140" t="s">
        <v>845</v>
      </c>
      <c r="H3093" s="140" t="s">
        <v>870</v>
      </c>
    </row>
    <row r="3094" spans="1:8" ht="15.75" customHeight="1">
      <c r="A3094" s="140" t="s">
        <v>77</v>
      </c>
      <c r="B3094" s="140" t="s">
        <v>21</v>
      </c>
      <c r="C3094" s="141" t="s">
        <v>273</v>
      </c>
      <c r="D3094" s="140" t="s">
        <v>274</v>
      </c>
      <c r="E3094" s="140">
        <v>8</v>
      </c>
      <c r="F3094" s="142">
        <v>45813.583333333328</v>
      </c>
      <c r="G3094" s="140" t="s">
        <v>845</v>
      </c>
      <c r="H3094" s="140" t="s">
        <v>870</v>
      </c>
    </row>
    <row r="3095" spans="1:8" ht="15.75" customHeight="1">
      <c r="A3095" s="140" t="s">
        <v>77</v>
      </c>
      <c r="B3095" s="140" t="s">
        <v>21</v>
      </c>
      <c r="C3095" s="141" t="s">
        <v>273</v>
      </c>
      <c r="D3095" s="140" t="s">
        <v>274</v>
      </c>
      <c r="E3095" s="140">
        <v>9</v>
      </c>
      <c r="F3095" s="142">
        <v>45820.583333333328</v>
      </c>
      <c r="G3095" s="140" t="s">
        <v>845</v>
      </c>
      <c r="H3095" s="140" t="s">
        <v>870</v>
      </c>
    </row>
    <row r="3096" spans="1:8" ht="15.75" customHeight="1">
      <c r="A3096" s="140" t="s">
        <v>77</v>
      </c>
      <c r="B3096" s="140" t="s">
        <v>21</v>
      </c>
      <c r="C3096" s="141" t="s">
        <v>273</v>
      </c>
      <c r="D3096" s="140" t="s">
        <v>274</v>
      </c>
      <c r="E3096" s="140">
        <v>10</v>
      </c>
      <c r="F3096" s="142">
        <v>45849.541666666672</v>
      </c>
      <c r="G3096" s="140" t="s">
        <v>845</v>
      </c>
      <c r="H3096" s="140" t="s">
        <v>870</v>
      </c>
    </row>
    <row r="3097" spans="1:8" ht="15.75" customHeight="1">
      <c r="A3097" s="140" t="s">
        <v>77</v>
      </c>
      <c r="B3097" s="140" t="s">
        <v>21</v>
      </c>
      <c r="C3097" s="141" t="s">
        <v>302</v>
      </c>
      <c r="D3097" s="140" t="s">
        <v>303</v>
      </c>
      <c r="E3097" s="140">
        <v>1</v>
      </c>
      <c r="F3097" s="142">
        <v>45715.583333333328</v>
      </c>
      <c r="G3097" s="140" t="s">
        <v>845</v>
      </c>
      <c r="H3097" s="140" t="s">
        <v>870</v>
      </c>
    </row>
    <row r="3098" spans="1:8" ht="15.75" customHeight="1">
      <c r="A3098" s="140" t="s">
        <v>77</v>
      </c>
      <c r="B3098" s="140" t="s">
        <v>21</v>
      </c>
      <c r="C3098" s="141" t="s">
        <v>302</v>
      </c>
      <c r="D3098" s="140" t="s">
        <v>303</v>
      </c>
      <c r="E3098" s="140">
        <v>2</v>
      </c>
      <c r="F3098" s="142">
        <v>45756.583333333328</v>
      </c>
      <c r="G3098" s="140" t="s">
        <v>845</v>
      </c>
      <c r="H3098" s="140" t="s">
        <v>870</v>
      </c>
    </row>
    <row r="3099" spans="1:8" ht="15.75" customHeight="1">
      <c r="A3099" s="140" t="s">
        <v>77</v>
      </c>
      <c r="B3099" s="140" t="s">
        <v>21</v>
      </c>
      <c r="C3099" s="141" t="s">
        <v>302</v>
      </c>
      <c r="D3099" s="140" t="s">
        <v>303</v>
      </c>
      <c r="E3099" s="140">
        <v>3</v>
      </c>
      <c r="F3099" s="142">
        <v>45771.541666666672</v>
      </c>
      <c r="G3099" s="140" t="s">
        <v>845</v>
      </c>
      <c r="H3099" s="140" t="s">
        <v>870</v>
      </c>
    </row>
    <row r="3100" spans="1:8" ht="15.75" customHeight="1">
      <c r="A3100" s="140" t="s">
        <v>77</v>
      </c>
      <c r="B3100" s="140" t="s">
        <v>21</v>
      </c>
      <c r="C3100" s="141" t="s">
        <v>302</v>
      </c>
      <c r="D3100" s="140" t="s">
        <v>303</v>
      </c>
      <c r="E3100" s="140">
        <v>4</v>
      </c>
      <c r="F3100" s="142">
        <v>45786.541666666672</v>
      </c>
      <c r="G3100" s="140" t="s">
        <v>843</v>
      </c>
      <c r="H3100" s="140" t="s">
        <v>870</v>
      </c>
    </row>
    <row r="3101" spans="1:8" ht="15.75" customHeight="1">
      <c r="A3101" s="140" t="s">
        <v>77</v>
      </c>
      <c r="B3101" s="140" t="s">
        <v>21</v>
      </c>
      <c r="C3101" s="141" t="s">
        <v>302</v>
      </c>
      <c r="D3101" s="140" t="s">
        <v>303</v>
      </c>
      <c r="E3101" s="140">
        <v>5</v>
      </c>
      <c r="F3101" s="142">
        <v>45790.541666666672</v>
      </c>
      <c r="G3101" s="140" t="s">
        <v>845</v>
      </c>
      <c r="H3101" s="140" t="s">
        <v>870</v>
      </c>
    </row>
    <row r="3102" spans="1:8" ht="15.75" customHeight="1">
      <c r="A3102" s="140" t="s">
        <v>77</v>
      </c>
      <c r="B3102" s="140" t="s">
        <v>21</v>
      </c>
      <c r="C3102" s="141" t="s">
        <v>302</v>
      </c>
      <c r="D3102" s="140" t="s">
        <v>303</v>
      </c>
      <c r="E3102" s="140">
        <v>6</v>
      </c>
      <c r="F3102" s="142">
        <v>45799.541666666672</v>
      </c>
      <c r="G3102" s="140" t="s">
        <v>843</v>
      </c>
      <c r="H3102" s="140" t="s">
        <v>870</v>
      </c>
    </row>
    <row r="3103" spans="1:8" ht="15.75" customHeight="1">
      <c r="A3103" s="140" t="s">
        <v>77</v>
      </c>
      <c r="B3103" s="140" t="s">
        <v>21</v>
      </c>
      <c r="C3103" s="141" t="s">
        <v>302</v>
      </c>
      <c r="D3103" s="140" t="s">
        <v>303</v>
      </c>
      <c r="E3103" s="140">
        <v>7</v>
      </c>
      <c r="F3103" s="142">
        <v>45805.541666666672</v>
      </c>
      <c r="G3103" s="140" t="s">
        <v>845</v>
      </c>
      <c r="H3103" s="140" t="s">
        <v>870</v>
      </c>
    </row>
    <row r="3104" spans="1:8" ht="15.75" customHeight="1">
      <c r="A3104" s="140" t="s">
        <v>77</v>
      </c>
      <c r="B3104" s="140" t="s">
        <v>21</v>
      </c>
      <c r="C3104" s="141" t="s">
        <v>302</v>
      </c>
      <c r="D3104" s="140" t="s">
        <v>303</v>
      </c>
      <c r="E3104" s="140">
        <v>8</v>
      </c>
      <c r="F3104" s="142">
        <v>45813.583333333328</v>
      </c>
      <c r="G3104" s="140" t="s">
        <v>845</v>
      </c>
      <c r="H3104" s="140" t="s">
        <v>870</v>
      </c>
    </row>
    <row r="3105" spans="1:8" ht="15.75" customHeight="1">
      <c r="A3105" s="140" t="s">
        <v>77</v>
      </c>
      <c r="B3105" s="140" t="s">
        <v>21</v>
      </c>
      <c r="C3105" s="141" t="s">
        <v>302</v>
      </c>
      <c r="D3105" s="140" t="s">
        <v>303</v>
      </c>
      <c r="E3105" s="140">
        <v>9</v>
      </c>
      <c r="F3105" s="142">
        <v>45820.583333333328</v>
      </c>
      <c r="G3105" s="140" t="s">
        <v>845</v>
      </c>
      <c r="H3105" s="140" t="s">
        <v>870</v>
      </c>
    </row>
    <row r="3106" spans="1:8" ht="15.75" customHeight="1">
      <c r="A3106" s="140" t="s">
        <v>77</v>
      </c>
      <c r="B3106" s="140" t="s">
        <v>21</v>
      </c>
      <c r="C3106" s="141" t="s">
        <v>302</v>
      </c>
      <c r="D3106" s="140" t="s">
        <v>303</v>
      </c>
      <c r="E3106" s="140">
        <v>10</v>
      </c>
      <c r="F3106" s="142">
        <v>45849.541666666672</v>
      </c>
      <c r="G3106" s="140" t="s">
        <v>845</v>
      </c>
      <c r="H3106" s="140" t="s">
        <v>870</v>
      </c>
    </row>
    <row r="3107" spans="1:8" ht="15.75" customHeight="1">
      <c r="A3107" s="140" t="s">
        <v>77</v>
      </c>
      <c r="B3107" s="140" t="s">
        <v>21</v>
      </c>
      <c r="C3107" s="141" t="s">
        <v>421</v>
      </c>
      <c r="D3107" s="140" t="s">
        <v>422</v>
      </c>
      <c r="E3107" s="140">
        <v>1</v>
      </c>
      <c r="F3107" s="142">
        <v>45715.583333333328</v>
      </c>
      <c r="G3107" s="140" t="s">
        <v>845</v>
      </c>
      <c r="H3107" s="140" t="s">
        <v>870</v>
      </c>
    </row>
    <row r="3108" spans="1:8" ht="15.75" customHeight="1">
      <c r="A3108" s="140" t="s">
        <v>77</v>
      </c>
      <c r="B3108" s="140" t="s">
        <v>21</v>
      </c>
      <c r="C3108" s="141" t="s">
        <v>421</v>
      </c>
      <c r="D3108" s="140" t="s">
        <v>422</v>
      </c>
      <c r="E3108" s="140">
        <v>2</v>
      </c>
      <c r="F3108" s="142">
        <v>45756.583333333328</v>
      </c>
      <c r="G3108" s="140" t="s">
        <v>845</v>
      </c>
      <c r="H3108" s="140" t="s">
        <v>870</v>
      </c>
    </row>
    <row r="3109" spans="1:8" ht="15.75" customHeight="1">
      <c r="A3109" s="140" t="s">
        <v>77</v>
      </c>
      <c r="B3109" s="140" t="s">
        <v>21</v>
      </c>
      <c r="C3109" s="141" t="s">
        <v>421</v>
      </c>
      <c r="D3109" s="140" t="s">
        <v>422</v>
      </c>
      <c r="E3109" s="140">
        <v>3</v>
      </c>
      <c r="F3109" s="142">
        <v>45771.541666666672</v>
      </c>
      <c r="G3109" s="140" t="s">
        <v>845</v>
      </c>
      <c r="H3109" s="140" t="s">
        <v>870</v>
      </c>
    </row>
    <row r="3110" spans="1:8" ht="15.75" customHeight="1">
      <c r="A3110" s="140" t="s">
        <v>77</v>
      </c>
      <c r="B3110" s="140" t="s">
        <v>21</v>
      </c>
      <c r="C3110" s="141" t="s">
        <v>421</v>
      </c>
      <c r="D3110" s="140" t="s">
        <v>422</v>
      </c>
      <c r="E3110" s="140">
        <v>4</v>
      </c>
      <c r="F3110" s="142">
        <v>45786.541666666672</v>
      </c>
      <c r="G3110" s="140" t="s">
        <v>845</v>
      </c>
      <c r="H3110" s="140" t="s">
        <v>870</v>
      </c>
    </row>
    <row r="3111" spans="1:8" ht="15.75" customHeight="1">
      <c r="A3111" s="140" t="s">
        <v>77</v>
      </c>
      <c r="B3111" s="140" t="s">
        <v>21</v>
      </c>
      <c r="C3111" s="141" t="s">
        <v>421</v>
      </c>
      <c r="D3111" s="140" t="s">
        <v>422</v>
      </c>
      <c r="E3111" s="140">
        <v>5</v>
      </c>
      <c r="F3111" s="142">
        <v>45790.541666666672</v>
      </c>
      <c r="G3111" s="140" t="s">
        <v>845</v>
      </c>
      <c r="H3111" s="140" t="s">
        <v>870</v>
      </c>
    </row>
    <row r="3112" spans="1:8" ht="15.75" customHeight="1">
      <c r="A3112" s="140" t="s">
        <v>77</v>
      </c>
      <c r="B3112" s="140" t="s">
        <v>21</v>
      </c>
      <c r="C3112" s="141" t="s">
        <v>421</v>
      </c>
      <c r="D3112" s="140" t="s">
        <v>422</v>
      </c>
      <c r="E3112" s="140">
        <v>6</v>
      </c>
      <c r="F3112" s="142">
        <v>45799.541666666672</v>
      </c>
      <c r="G3112" s="140" t="s">
        <v>845</v>
      </c>
      <c r="H3112" s="140" t="s">
        <v>870</v>
      </c>
    </row>
    <row r="3113" spans="1:8" ht="15.75" customHeight="1">
      <c r="A3113" s="140" t="s">
        <v>77</v>
      </c>
      <c r="B3113" s="140" t="s">
        <v>21</v>
      </c>
      <c r="C3113" s="141" t="s">
        <v>421</v>
      </c>
      <c r="D3113" s="140" t="s">
        <v>422</v>
      </c>
      <c r="E3113" s="140">
        <v>7</v>
      </c>
      <c r="F3113" s="142">
        <v>45805.541666666672</v>
      </c>
      <c r="G3113" s="140" t="s">
        <v>845</v>
      </c>
      <c r="H3113" s="140" t="s">
        <v>870</v>
      </c>
    </row>
    <row r="3114" spans="1:8" ht="15.75" customHeight="1">
      <c r="A3114" s="140" t="s">
        <v>77</v>
      </c>
      <c r="B3114" s="140" t="s">
        <v>21</v>
      </c>
      <c r="C3114" s="141" t="s">
        <v>421</v>
      </c>
      <c r="D3114" s="140" t="s">
        <v>422</v>
      </c>
      <c r="E3114" s="140">
        <v>8</v>
      </c>
      <c r="F3114" s="142">
        <v>45813.583333333328</v>
      </c>
      <c r="G3114" s="140" t="s">
        <v>845</v>
      </c>
      <c r="H3114" s="140" t="s">
        <v>870</v>
      </c>
    </row>
    <row r="3115" spans="1:8" ht="15.75" customHeight="1">
      <c r="A3115" s="140" t="s">
        <v>77</v>
      </c>
      <c r="B3115" s="140" t="s">
        <v>21</v>
      </c>
      <c r="C3115" s="141" t="s">
        <v>421</v>
      </c>
      <c r="D3115" s="140" t="s">
        <v>422</v>
      </c>
      <c r="E3115" s="140">
        <v>9</v>
      </c>
      <c r="F3115" s="142">
        <v>45820.583333333328</v>
      </c>
      <c r="G3115" s="140" t="s">
        <v>845</v>
      </c>
      <c r="H3115" s="140" t="s">
        <v>870</v>
      </c>
    </row>
    <row r="3116" spans="1:8" ht="15.75" customHeight="1">
      <c r="A3116" s="140" t="s">
        <v>77</v>
      </c>
      <c r="B3116" s="140" t="s">
        <v>21</v>
      </c>
      <c r="C3116" s="141" t="s">
        <v>421</v>
      </c>
      <c r="D3116" s="140" t="s">
        <v>422</v>
      </c>
      <c r="E3116" s="140">
        <v>10</v>
      </c>
      <c r="F3116" s="142">
        <v>45849.541666666672</v>
      </c>
      <c r="G3116" s="140" t="s">
        <v>845</v>
      </c>
      <c r="H3116" s="140" t="s">
        <v>870</v>
      </c>
    </row>
    <row r="3117" spans="1:8" ht="15.75" customHeight="1">
      <c r="A3117" s="140" t="s">
        <v>77</v>
      </c>
      <c r="B3117" s="140" t="s">
        <v>22</v>
      </c>
      <c r="C3117" s="141" t="s">
        <v>421</v>
      </c>
      <c r="D3117" s="140" t="s">
        <v>422</v>
      </c>
      <c r="E3117" s="140">
        <v>1</v>
      </c>
      <c r="F3117" s="142">
        <v>45890.541666666672</v>
      </c>
      <c r="G3117" s="140" t="s">
        <v>845</v>
      </c>
      <c r="H3117" s="140" t="s">
        <v>870</v>
      </c>
    </row>
    <row r="3118" spans="1:8" ht="15.75" customHeight="1">
      <c r="A3118" s="140" t="s">
        <v>77</v>
      </c>
      <c r="B3118" s="140" t="s">
        <v>22</v>
      </c>
      <c r="C3118" s="141" t="s">
        <v>421</v>
      </c>
      <c r="D3118" s="140" t="s">
        <v>422</v>
      </c>
      <c r="E3118" s="140">
        <v>2</v>
      </c>
      <c r="F3118" s="142">
        <v>45897.583333333328</v>
      </c>
      <c r="G3118" s="140" t="s">
        <v>845</v>
      </c>
      <c r="H3118" s="140" t="s">
        <v>870</v>
      </c>
    </row>
    <row r="3119" spans="1:8" ht="15.75" customHeight="1">
      <c r="A3119" s="140" t="s">
        <v>77</v>
      </c>
      <c r="B3119" s="140" t="s">
        <v>22</v>
      </c>
      <c r="C3119" s="141" t="s">
        <v>421</v>
      </c>
      <c r="D3119" s="140" t="s">
        <v>422</v>
      </c>
      <c r="E3119" s="140">
        <v>3</v>
      </c>
      <c r="F3119" s="142">
        <v>45911.583333333328</v>
      </c>
      <c r="G3119" s="140" t="s">
        <v>843</v>
      </c>
      <c r="H3119" s="140" t="s">
        <v>870</v>
      </c>
    </row>
    <row r="3120" spans="1:8" ht="15.75" customHeight="1">
      <c r="A3120" s="140" t="s">
        <v>77</v>
      </c>
      <c r="B3120" s="140" t="s">
        <v>22</v>
      </c>
      <c r="C3120" s="141" t="s">
        <v>421</v>
      </c>
      <c r="D3120" s="140" t="s">
        <v>422</v>
      </c>
      <c r="E3120" s="140">
        <v>4</v>
      </c>
      <c r="F3120" s="142">
        <v>45918.583333333328</v>
      </c>
      <c r="G3120" s="140" t="s">
        <v>845</v>
      </c>
      <c r="H3120" s="140" t="s">
        <v>870</v>
      </c>
    </row>
    <row r="3121" spans="1:8" ht="15.75" customHeight="1">
      <c r="A3121" s="140" t="s">
        <v>77</v>
      </c>
      <c r="B3121" s="140" t="s">
        <v>22</v>
      </c>
      <c r="C3121" s="141" t="s">
        <v>421</v>
      </c>
      <c r="D3121" s="140" t="s">
        <v>422</v>
      </c>
      <c r="E3121" s="140">
        <v>5</v>
      </c>
      <c r="F3121" s="142">
        <v>45925.583333333328</v>
      </c>
      <c r="G3121" s="140" t="s">
        <v>845</v>
      </c>
      <c r="H3121" s="140" t="s">
        <v>870</v>
      </c>
    </row>
    <row r="3122" spans="1:8" ht="15.75" customHeight="1">
      <c r="A3122" s="140" t="s">
        <v>77</v>
      </c>
      <c r="B3122" s="140" t="s">
        <v>22</v>
      </c>
      <c r="C3122" s="141" t="s">
        <v>421</v>
      </c>
      <c r="D3122" s="140" t="s">
        <v>422</v>
      </c>
      <c r="E3122" s="140">
        <v>6</v>
      </c>
      <c r="F3122" s="142">
        <v>45932.583333333328</v>
      </c>
      <c r="G3122" s="140" t="s">
        <v>845</v>
      </c>
      <c r="H3122" s="140" t="s">
        <v>870</v>
      </c>
    </row>
    <row r="3123" spans="1:8" ht="15.75" customHeight="1">
      <c r="A3123" s="140" t="s">
        <v>77</v>
      </c>
      <c r="B3123" s="140" t="s">
        <v>22</v>
      </c>
      <c r="C3123" s="141" t="s">
        <v>421</v>
      </c>
      <c r="D3123" s="140" t="s">
        <v>422</v>
      </c>
      <c r="E3123" s="140">
        <v>7</v>
      </c>
      <c r="F3123" s="142">
        <v>45946.583333333328</v>
      </c>
      <c r="G3123" s="140" t="s">
        <v>845</v>
      </c>
      <c r="H3123" s="140" t="s">
        <v>870</v>
      </c>
    </row>
    <row r="3124" spans="1:8" ht="15.75" customHeight="1">
      <c r="A3124" s="140" t="s">
        <v>77</v>
      </c>
      <c r="B3124" s="140" t="s">
        <v>22</v>
      </c>
      <c r="C3124" s="141" t="s">
        <v>421</v>
      </c>
      <c r="D3124" s="140" t="s">
        <v>422</v>
      </c>
      <c r="E3124" s="140">
        <v>8</v>
      </c>
      <c r="F3124" s="142">
        <v>45953.583333333328</v>
      </c>
      <c r="G3124" s="140" t="s">
        <v>845</v>
      </c>
      <c r="H3124" s="140" t="s">
        <v>870</v>
      </c>
    </row>
    <row r="3125" spans="1:8" ht="15.75" customHeight="1">
      <c r="A3125" s="140" t="s">
        <v>77</v>
      </c>
      <c r="B3125" s="140" t="s">
        <v>22</v>
      </c>
      <c r="C3125" s="141" t="s">
        <v>421</v>
      </c>
      <c r="D3125" s="140" t="s">
        <v>422</v>
      </c>
      <c r="E3125" s="140">
        <v>9</v>
      </c>
      <c r="F3125" s="142">
        <v>45960.583333333328</v>
      </c>
      <c r="G3125" s="140" t="s">
        <v>845</v>
      </c>
      <c r="H3125" s="140" t="s">
        <v>870</v>
      </c>
    </row>
    <row r="3126" spans="1:8" ht="15.75" customHeight="1">
      <c r="A3126" s="140" t="s">
        <v>77</v>
      </c>
      <c r="B3126" s="140" t="s">
        <v>22</v>
      </c>
      <c r="C3126" s="141" t="s">
        <v>421</v>
      </c>
      <c r="D3126" s="140" t="s">
        <v>422</v>
      </c>
      <c r="E3126" s="140">
        <v>10</v>
      </c>
      <c r="F3126" s="142">
        <v>45966.583333333328</v>
      </c>
      <c r="G3126" s="140" t="s">
        <v>845</v>
      </c>
      <c r="H3126" s="140" t="s">
        <v>870</v>
      </c>
    </row>
    <row r="3127" spans="1:8" ht="15.75" customHeight="1">
      <c r="A3127" s="140" t="s">
        <v>77</v>
      </c>
      <c r="B3127" s="140" t="s">
        <v>22</v>
      </c>
      <c r="C3127" s="141" t="s">
        <v>421</v>
      </c>
      <c r="D3127" s="140" t="s">
        <v>422</v>
      </c>
      <c r="E3127" s="140">
        <v>11</v>
      </c>
      <c r="F3127" s="142">
        <v>45982.583333333328</v>
      </c>
      <c r="G3127" s="140" t="s">
        <v>845</v>
      </c>
      <c r="H3127" s="140" t="s">
        <v>870</v>
      </c>
    </row>
    <row r="3128" spans="1:8" ht="15.75" customHeight="1">
      <c r="A3128" s="140" t="s">
        <v>77</v>
      </c>
      <c r="B3128" s="140" t="s">
        <v>22</v>
      </c>
      <c r="C3128" s="141" t="s">
        <v>421</v>
      </c>
      <c r="D3128" s="140" t="s">
        <v>422</v>
      </c>
      <c r="E3128" s="140">
        <v>12</v>
      </c>
      <c r="F3128" s="142">
        <v>45988.583333333328</v>
      </c>
      <c r="G3128" s="140" t="s">
        <v>845</v>
      </c>
      <c r="H3128" s="140" t="s">
        <v>870</v>
      </c>
    </row>
    <row r="3129" spans="1:8" ht="15.75" customHeight="1">
      <c r="A3129" s="140" t="s">
        <v>77</v>
      </c>
      <c r="B3129" s="140" t="s">
        <v>22</v>
      </c>
      <c r="C3129" s="141" t="s">
        <v>421</v>
      </c>
      <c r="D3129" s="140" t="s">
        <v>422</v>
      </c>
      <c r="E3129" s="140">
        <v>13</v>
      </c>
      <c r="F3129" s="142">
        <v>45995.583333333328</v>
      </c>
      <c r="G3129" s="140" t="s">
        <v>845</v>
      </c>
      <c r="H3129" s="140" t="s">
        <v>870</v>
      </c>
    </row>
    <row r="3130" spans="1:8" ht="15.75" customHeight="1">
      <c r="A3130" s="140" t="s">
        <v>77</v>
      </c>
      <c r="B3130" s="140" t="s">
        <v>22</v>
      </c>
      <c r="C3130" s="141" t="s">
        <v>421</v>
      </c>
      <c r="D3130" s="140" t="s">
        <v>422</v>
      </c>
      <c r="E3130" s="140">
        <v>14</v>
      </c>
      <c r="F3130" s="142">
        <v>45999.458333333328</v>
      </c>
      <c r="G3130" s="140" t="s">
        <v>845</v>
      </c>
      <c r="H3130" s="140" t="s">
        <v>870</v>
      </c>
    </row>
    <row r="3131" spans="1:8" ht="15.75" customHeight="1">
      <c r="A3131" s="140" t="s">
        <v>77</v>
      </c>
      <c r="B3131" s="140" t="s">
        <v>22</v>
      </c>
      <c r="C3131" s="141" t="s">
        <v>421</v>
      </c>
      <c r="D3131" s="140" t="s">
        <v>422</v>
      </c>
      <c r="E3131" s="140">
        <v>15</v>
      </c>
      <c r="F3131" s="142">
        <v>46014.625</v>
      </c>
      <c r="G3131" s="140" t="s">
        <v>845</v>
      </c>
      <c r="H3131" s="140" t="s">
        <v>870</v>
      </c>
    </row>
    <row r="3132" spans="1:8" ht="15.75" customHeight="1">
      <c r="A3132" s="140" t="s">
        <v>77</v>
      </c>
      <c r="B3132" s="140" t="s">
        <v>22</v>
      </c>
      <c r="C3132" s="141" t="s">
        <v>421</v>
      </c>
      <c r="D3132" s="140" t="s">
        <v>422</v>
      </c>
      <c r="E3132" s="140">
        <v>16</v>
      </c>
      <c r="F3132" s="142">
        <v>46044.541666666672</v>
      </c>
      <c r="G3132" s="140" t="s">
        <v>845</v>
      </c>
      <c r="H3132" s="140" t="s">
        <v>870</v>
      </c>
    </row>
    <row r="3133" spans="1:8" ht="15.75" customHeight="1">
      <c r="A3133" s="140" t="s">
        <v>77</v>
      </c>
      <c r="B3133" s="140" t="s">
        <v>23</v>
      </c>
      <c r="C3133" s="141" t="s">
        <v>421</v>
      </c>
      <c r="D3133" s="140" t="s">
        <v>422</v>
      </c>
      <c r="E3133" s="140">
        <v>2</v>
      </c>
      <c r="F3133" s="142">
        <v>46107.583333333328</v>
      </c>
      <c r="G3133" s="140" t="s">
        <v>845</v>
      </c>
      <c r="H3133" s="140" t="s">
        <v>870</v>
      </c>
    </row>
    <row r="3134" spans="1:8" ht="15.75" customHeight="1">
      <c r="A3134" s="140" t="s">
        <v>77</v>
      </c>
      <c r="B3134" s="140" t="s">
        <v>23</v>
      </c>
      <c r="C3134" s="141" t="s">
        <v>421</v>
      </c>
      <c r="D3134" s="140" t="s">
        <v>422</v>
      </c>
      <c r="E3134" s="140">
        <v>3</v>
      </c>
      <c r="F3134" s="142">
        <v>46114.583333333328</v>
      </c>
      <c r="G3134" s="140" t="s">
        <v>845</v>
      </c>
      <c r="H3134" s="140" t="s">
        <v>870</v>
      </c>
    </row>
    <row r="3135" spans="1:8" ht="15.75" customHeight="1">
      <c r="A3135" s="140" t="s">
        <v>77</v>
      </c>
      <c r="B3135" s="140" t="s">
        <v>23</v>
      </c>
      <c r="C3135" s="141" t="s">
        <v>421</v>
      </c>
      <c r="D3135" s="140" t="s">
        <v>422</v>
      </c>
      <c r="E3135" s="140">
        <v>4</v>
      </c>
      <c r="F3135" s="142">
        <v>46121.583333333328</v>
      </c>
      <c r="G3135" s="140" t="s">
        <v>845</v>
      </c>
      <c r="H3135" s="140" t="s">
        <v>870</v>
      </c>
    </row>
    <row r="3136" spans="1:8" ht="15.75" customHeight="1">
      <c r="A3136" s="140" t="s">
        <v>77</v>
      </c>
      <c r="B3136" s="140" t="s">
        <v>23</v>
      </c>
      <c r="C3136" s="141" t="s">
        <v>421</v>
      </c>
      <c r="D3136" s="140" t="s">
        <v>422</v>
      </c>
      <c r="E3136" s="140">
        <v>5</v>
      </c>
      <c r="F3136" s="142">
        <v>46128.583333333328</v>
      </c>
      <c r="G3136" s="140" t="s">
        <v>845</v>
      </c>
      <c r="H3136" s="140" t="s">
        <v>870</v>
      </c>
    </row>
    <row r="3137" spans="1:8" ht="15.75" customHeight="1">
      <c r="A3137" s="140" t="s">
        <v>77</v>
      </c>
      <c r="B3137" s="140" t="s">
        <v>23</v>
      </c>
      <c r="C3137" s="141" t="s">
        <v>421</v>
      </c>
      <c r="D3137" s="140" t="s">
        <v>422</v>
      </c>
      <c r="E3137" s="140">
        <v>6</v>
      </c>
      <c r="F3137" s="142">
        <v>46135.583333333328</v>
      </c>
      <c r="G3137" s="140" t="s">
        <v>843</v>
      </c>
      <c r="H3137" s="140" t="s">
        <v>870</v>
      </c>
    </row>
    <row r="3138" spans="1:8" ht="15.75" customHeight="1">
      <c r="A3138" s="140" t="s">
        <v>77</v>
      </c>
      <c r="B3138" s="140" t="s">
        <v>22</v>
      </c>
      <c r="C3138" s="141" t="s">
        <v>433</v>
      </c>
      <c r="D3138" s="140" t="s">
        <v>432</v>
      </c>
      <c r="E3138" s="140">
        <v>1</v>
      </c>
      <c r="F3138" s="142">
        <v>45890.541666666672</v>
      </c>
      <c r="G3138" s="140" t="s">
        <v>845</v>
      </c>
      <c r="H3138" s="140" t="s">
        <v>870</v>
      </c>
    </row>
    <row r="3139" spans="1:8" ht="15.75" customHeight="1">
      <c r="A3139" s="140" t="s">
        <v>77</v>
      </c>
      <c r="B3139" s="140" t="s">
        <v>22</v>
      </c>
      <c r="C3139" s="141" t="s">
        <v>433</v>
      </c>
      <c r="D3139" s="140" t="s">
        <v>432</v>
      </c>
      <c r="E3139" s="140">
        <v>2</v>
      </c>
      <c r="F3139" s="142">
        <v>45897.583333333328</v>
      </c>
      <c r="G3139" s="140" t="s">
        <v>845</v>
      </c>
      <c r="H3139" s="140" t="s">
        <v>870</v>
      </c>
    </row>
    <row r="3140" spans="1:8" ht="15.75" customHeight="1">
      <c r="A3140" s="140" t="s">
        <v>77</v>
      </c>
      <c r="B3140" s="140" t="s">
        <v>22</v>
      </c>
      <c r="C3140" s="141" t="s">
        <v>433</v>
      </c>
      <c r="D3140" s="140" t="s">
        <v>432</v>
      </c>
      <c r="E3140" s="140">
        <v>3</v>
      </c>
      <c r="F3140" s="142">
        <v>45911.583333333328</v>
      </c>
      <c r="G3140" s="140" t="s">
        <v>845</v>
      </c>
      <c r="H3140" s="140" t="s">
        <v>870</v>
      </c>
    </row>
    <row r="3141" spans="1:8" ht="15.75" customHeight="1">
      <c r="A3141" s="140" t="s">
        <v>77</v>
      </c>
      <c r="B3141" s="140" t="s">
        <v>22</v>
      </c>
      <c r="C3141" s="141" t="s">
        <v>433</v>
      </c>
      <c r="D3141" s="140" t="s">
        <v>432</v>
      </c>
      <c r="E3141" s="140">
        <v>4</v>
      </c>
      <c r="F3141" s="142">
        <v>45918.583333333328</v>
      </c>
      <c r="G3141" s="140" t="s">
        <v>845</v>
      </c>
      <c r="H3141" s="140" t="s">
        <v>870</v>
      </c>
    </row>
    <row r="3142" spans="1:8" ht="15.75" customHeight="1">
      <c r="A3142" s="140" t="s">
        <v>77</v>
      </c>
      <c r="B3142" s="140" t="s">
        <v>22</v>
      </c>
      <c r="C3142" s="141" t="s">
        <v>433</v>
      </c>
      <c r="D3142" s="140" t="s">
        <v>432</v>
      </c>
      <c r="E3142" s="140">
        <v>5</v>
      </c>
      <c r="F3142" s="142">
        <v>45925.583333333328</v>
      </c>
      <c r="G3142" s="140" t="s">
        <v>845</v>
      </c>
      <c r="H3142" s="140" t="s">
        <v>870</v>
      </c>
    </row>
    <row r="3143" spans="1:8" ht="15.75" customHeight="1">
      <c r="A3143" s="140" t="s">
        <v>77</v>
      </c>
      <c r="B3143" s="140" t="s">
        <v>22</v>
      </c>
      <c r="C3143" s="141" t="s">
        <v>433</v>
      </c>
      <c r="D3143" s="140" t="s">
        <v>432</v>
      </c>
      <c r="E3143" s="140">
        <v>6</v>
      </c>
      <c r="F3143" s="142">
        <v>45932.583333333328</v>
      </c>
      <c r="G3143" s="140" t="s">
        <v>845</v>
      </c>
      <c r="H3143" s="140" t="s">
        <v>870</v>
      </c>
    </row>
    <row r="3144" spans="1:8" ht="15.75" customHeight="1">
      <c r="A3144" s="140" t="s">
        <v>77</v>
      </c>
      <c r="B3144" s="140" t="s">
        <v>22</v>
      </c>
      <c r="C3144" s="141" t="s">
        <v>433</v>
      </c>
      <c r="D3144" s="140" t="s">
        <v>432</v>
      </c>
      <c r="E3144" s="140">
        <v>7</v>
      </c>
      <c r="F3144" s="142">
        <v>45946.583333333328</v>
      </c>
      <c r="G3144" s="140" t="s">
        <v>845</v>
      </c>
      <c r="H3144" s="140" t="s">
        <v>870</v>
      </c>
    </row>
    <row r="3145" spans="1:8" ht="15.75" customHeight="1">
      <c r="A3145" s="140" t="s">
        <v>77</v>
      </c>
      <c r="B3145" s="140" t="s">
        <v>22</v>
      </c>
      <c r="C3145" s="141" t="s">
        <v>433</v>
      </c>
      <c r="D3145" s="140" t="s">
        <v>432</v>
      </c>
      <c r="E3145" s="140">
        <v>8</v>
      </c>
      <c r="F3145" s="142">
        <v>45953.583333333328</v>
      </c>
      <c r="G3145" s="140" t="s">
        <v>843</v>
      </c>
      <c r="H3145" s="140" t="s">
        <v>870</v>
      </c>
    </row>
    <row r="3146" spans="1:8" ht="15.75" customHeight="1">
      <c r="A3146" s="140" t="s">
        <v>77</v>
      </c>
      <c r="B3146" s="140" t="s">
        <v>22</v>
      </c>
      <c r="C3146" s="141" t="s">
        <v>433</v>
      </c>
      <c r="D3146" s="140" t="s">
        <v>432</v>
      </c>
      <c r="E3146" s="140">
        <v>9</v>
      </c>
      <c r="F3146" s="142">
        <v>45960.583333333328</v>
      </c>
      <c r="G3146" s="140" t="s">
        <v>843</v>
      </c>
      <c r="H3146" s="140" t="s">
        <v>870</v>
      </c>
    </row>
    <row r="3147" spans="1:8" ht="15.75" customHeight="1">
      <c r="A3147" s="140" t="s">
        <v>77</v>
      </c>
      <c r="B3147" s="140" t="s">
        <v>22</v>
      </c>
      <c r="C3147" s="141" t="s">
        <v>433</v>
      </c>
      <c r="D3147" s="140" t="s">
        <v>432</v>
      </c>
      <c r="E3147" s="140">
        <v>10</v>
      </c>
      <c r="F3147" s="142">
        <v>45966.583333333328</v>
      </c>
      <c r="G3147" s="140" t="s">
        <v>845</v>
      </c>
      <c r="H3147" s="140" t="s">
        <v>870</v>
      </c>
    </row>
    <row r="3148" spans="1:8" ht="15.75" customHeight="1">
      <c r="A3148" s="140" t="s">
        <v>77</v>
      </c>
      <c r="B3148" s="140" t="s">
        <v>22</v>
      </c>
      <c r="C3148" s="141" t="s">
        <v>433</v>
      </c>
      <c r="D3148" s="140" t="s">
        <v>432</v>
      </c>
      <c r="E3148" s="140">
        <v>11</v>
      </c>
      <c r="F3148" s="142">
        <v>45982.583333333328</v>
      </c>
      <c r="G3148" s="140" t="s">
        <v>845</v>
      </c>
      <c r="H3148" s="140" t="s">
        <v>870</v>
      </c>
    </row>
    <row r="3149" spans="1:8" ht="15.75" customHeight="1">
      <c r="A3149" s="140" t="s">
        <v>77</v>
      </c>
      <c r="B3149" s="140" t="s">
        <v>22</v>
      </c>
      <c r="C3149" s="141" t="s">
        <v>433</v>
      </c>
      <c r="D3149" s="140" t="s">
        <v>432</v>
      </c>
      <c r="E3149" s="140">
        <v>12</v>
      </c>
      <c r="F3149" s="142">
        <v>45988.583333333328</v>
      </c>
      <c r="G3149" s="140" t="s">
        <v>843</v>
      </c>
      <c r="H3149" s="140" t="s">
        <v>870</v>
      </c>
    </row>
    <row r="3150" spans="1:8" ht="15.75" customHeight="1">
      <c r="A3150" s="140" t="s">
        <v>77</v>
      </c>
      <c r="B3150" s="140" t="s">
        <v>22</v>
      </c>
      <c r="C3150" s="141" t="s">
        <v>433</v>
      </c>
      <c r="D3150" s="140" t="s">
        <v>432</v>
      </c>
      <c r="E3150" s="140">
        <v>13</v>
      </c>
      <c r="F3150" s="142">
        <v>45995.583333333328</v>
      </c>
      <c r="G3150" s="140" t="s">
        <v>845</v>
      </c>
      <c r="H3150" s="140" t="s">
        <v>870</v>
      </c>
    </row>
    <row r="3151" spans="1:8" ht="15.75" customHeight="1">
      <c r="A3151" s="140" t="s">
        <v>77</v>
      </c>
      <c r="B3151" s="140" t="s">
        <v>22</v>
      </c>
      <c r="C3151" s="141" t="s">
        <v>433</v>
      </c>
      <c r="D3151" s="140" t="s">
        <v>432</v>
      </c>
      <c r="E3151" s="140">
        <v>14</v>
      </c>
      <c r="F3151" s="142">
        <v>45999.458333333328</v>
      </c>
      <c r="G3151" s="140" t="s">
        <v>845</v>
      </c>
      <c r="H3151" s="140" t="s">
        <v>870</v>
      </c>
    </row>
    <row r="3152" spans="1:8" ht="15.75" customHeight="1">
      <c r="A3152" s="140" t="s">
        <v>77</v>
      </c>
      <c r="B3152" s="140" t="s">
        <v>22</v>
      </c>
      <c r="C3152" s="141" t="s">
        <v>433</v>
      </c>
      <c r="D3152" s="140" t="s">
        <v>432</v>
      </c>
      <c r="E3152" s="140">
        <v>15</v>
      </c>
      <c r="F3152" s="142">
        <v>46014.625</v>
      </c>
      <c r="G3152" s="140" t="s">
        <v>845</v>
      </c>
      <c r="H3152" s="140" t="s">
        <v>870</v>
      </c>
    </row>
    <row r="3153" spans="1:8" ht="15.75" customHeight="1">
      <c r="A3153" s="140" t="s">
        <v>77</v>
      </c>
      <c r="B3153" s="140" t="s">
        <v>22</v>
      </c>
      <c r="C3153" s="141" t="s">
        <v>433</v>
      </c>
      <c r="D3153" s="140" t="s">
        <v>432</v>
      </c>
      <c r="E3153" s="140">
        <v>16</v>
      </c>
      <c r="F3153" s="142">
        <v>46044.541666666672</v>
      </c>
      <c r="G3153" s="140" t="s">
        <v>845</v>
      </c>
      <c r="H3153" s="140" t="s">
        <v>870</v>
      </c>
    </row>
    <row r="3154" spans="1:8" ht="15.75" customHeight="1">
      <c r="A3154" s="140" t="s">
        <v>77</v>
      </c>
      <c r="B3154" s="140" t="s">
        <v>23</v>
      </c>
      <c r="C3154" s="141" t="s">
        <v>433</v>
      </c>
      <c r="D3154" s="140" t="s">
        <v>432</v>
      </c>
      <c r="E3154" s="140">
        <v>2</v>
      </c>
      <c r="F3154" s="142">
        <v>46107.583333333328</v>
      </c>
      <c r="G3154" s="140" t="s">
        <v>845</v>
      </c>
      <c r="H3154" s="140" t="s">
        <v>870</v>
      </c>
    </row>
    <row r="3155" spans="1:8" ht="15.75" customHeight="1">
      <c r="A3155" s="140" t="s">
        <v>77</v>
      </c>
      <c r="B3155" s="140" t="s">
        <v>23</v>
      </c>
      <c r="C3155" s="141" t="s">
        <v>433</v>
      </c>
      <c r="D3155" s="140" t="s">
        <v>432</v>
      </c>
      <c r="E3155" s="140">
        <v>3</v>
      </c>
      <c r="F3155" s="142">
        <v>46114.583333333328</v>
      </c>
      <c r="G3155" s="140" t="s">
        <v>845</v>
      </c>
      <c r="H3155" s="140" t="s">
        <v>870</v>
      </c>
    </row>
    <row r="3156" spans="1:8" ht="15.75" customHeight="1">
      <c r="A3156" s="140" t="s">
        <v>77</v>
      </c>
      <c r="B3156" s="140" t="s">
        <v>23</v>
      </c>
      <c r="C3156" s="141" t="s">
        <v>433</v>
      </c>
      <c r="D3156" s="140" t="s">
        <v>432</v>
      </c>
      <c r="E3156" s="140">
        <v>4</v>
      </c>
      <c r="F3156" s="142">
        <v>46121.583333333328</v>
      </c>
      <c r="G3156" s="140" t="s">
        <v>845</v>
      </c>
      <c r="H3156" s="140" t="s">
        <v>870</v>
      </c>
    </row>
    <row r="3157" spans="1:8" ht="15.75" customHeight="1">
      <c r="A3157" s="140" t="s">
        <v>77</v>
      </c>
      <c r="B3157" s="140" t="s">
        <v>23</v>
      </c>
      <c r="C3157" s="141" t="s">
        <v>433</v>
      </c>
      <c r="D3157" s="140" t="s">
        <v>432</v>
      </c>
      <c r="E3157" s="140">
        <v>5</v>
      </c>
      <c r="F3157" s="142">
        <v>46128.583333333328</v>
      </c>
      <c r="G3157" s="140" t="s">
        <v>845</v>
      </c>
      <c r="H3157" s="140" t="s">
        <v>870</v>
      </c>
    </row>
    <row r="3158" spans="1:8" ht="15.75" customHeight="1">
      <c r="A3158" s="140" t="s">
        <v>77</v>
      </c>
      <c r="B3158" s="140" t="s">
        <v>23</v>
      </c>
      <c r="C3158" s="141" t="s">
        <v>433</v>
      </c>
      <c r="D3158" s="140" t="s">
        <v>432</v>
      </c>
      <c r="E3158" s="140">
        <v>6</v>
      </c>
      <c r="F3158" s="142">
        <v>46135.583333333328</v>
      </c>
      <c r="G3158" s="140" t="s">
        <v>845</v>
      </c>
      <c r="H3158" s="140" t="s">
        <v>870</v>
      </c>
    </row>
    <row r="3159" spans="1:8" ht="15.75" customHeight="1">
      <c r="A3159" s="140" t="s">
        <v>77</v>
      </c>
      <c r="B3159" s="140" t="s">
        <v>21</v>
      </c>
      <c r="C3159" s="141" t="s">
        <v>494</v>
      </c>
      <c r="D3159" s="140" t="s">
        <v>495</v>
      </c>
      <c r="E3159" s="140">
        <v>1</v>
      </c>
      <c r="F3159" s="142">
        <v>45715.583333333328</v>
      </c>
      <c r="G3159" s="140" t="s">
        <v>845</v>
      </c>
      <c r="H3159" s="140" t="s">
        <v>870</v>
      </c>
    </row>
    <row r="3160" spans="1:8" ht="15.75" customHeight="1">
      <c r="A3160" s="140" t="s">
        <v>77</v>
      </c>
      <c r="B3160" s="140" t="s">
        <v>21</v>
      </c>
      <c r="C3160" s="141" t="s">
        <v>494</v>
      </c>
      <c r="D3160" s="140" t="s">
        <v>495</v>
      </c>
      <c r="E3160" s="140">
        <v>2</v>
      </c>
      <c r="F3160" s="142">
        <v>45756.583333333328</v>
      </c>
      <c r="G3160" s="140" t="s">
        <v>845</v>
      </c>
      <c r="H3160" s="140" t="s">
        <v>870</v>
      </c>
    </row>
    <row r="3161" spans="1:8" ht="15.75" customHeight="1">
      <c r="A3161" s="140" t="s">
        <v>77</v>
      </c>
      <c r="B3161" s="140" t="s">
        <v>21</v>
      </c>
      <c r="C3161" s="141" t="s">
        <v>494</v>
      </c>
      <c r="D3161" s="140" t="s">
        <v>495</v>
      </c>
      <c r="E3161" s="140">
        <v>3</v>
      </c>
      <c r="F3161" s="142">
        <v>45771.541666666672</v>
      </c>
      <c r="G3161" s="140" t="s">
        <v>845</v>
      </c>
      <c r="H3161" s="140" t="s">
        <v>870</v>
      </c>
    </row>
    <row r="3162" spans="1:8" ht="15.75" customHeight="1">
      <c r="A3162" s="140" t="s">
        <v>77</v>
      </c>
      <c r="B3162" s="140" t="s">
        <v>21</v>
      </c>
      <c r="C3162" s="141" t="s">
        <v>494</v>
      </c>
      <c r="D3162" s="140" t="s">
        <v>495</v>
      </c>
      <c r="E3162" s="140">
        <v>4</v>
      </c>
      <c r="F3162" s="142">
        <v>45786.541666666672</v>
      </c>
      <c r="G3162" s="140" t="s">
        <v>845</v>
      </c>
      <c r="H3162" s="140" t="s">
        <v>870</v>
      </c>
    </row>
    <row r="3163" spans="1:8" ht="15.75" customHeight="1">
      <c r="A3163" s="140" t="s">
        <v>77</v>
      </c>
      <c r="B3163" s="140" t="s">
        <v>21</v>
      </c>
      <c r="C3163" s="141" t="s">
        <v>494</v>
      </c>
      <c r="D3163" s="140" t="s">
        <v>495</v>
      </c>
      <c r="E3163" s="140">
        <v>5</v>
      </c>
      <c r="F3163" s="142">
        <v>45790.541666666672</v>
      </c>
      <c r="G3163" s="140" t="s">
        <v>845</v>
      </c>
      <c r="H3163" s="140" t="s">
        <v>870</v>
      </c>
    </row>
    <row r="3164" spans="1:8" ht="15.75" customHeight="1">
      <c r="A3164" s="140" t="s">
        <v>77</v>
      </c>
      <c r="B3164" s="140" t="s">
        <v>21</v>
      </c>
      <c r="C3164" s="141" t="s">
        <v>494</v>
      </c>
      <c r="D3164" s="140" t="s">
        <v>495</v>
      </c>
      <c r="E3164" s="140">
        <v>6</v>
      </c>
      <c r="F3164" s="142">
        <v>45799.541666666672</v>
      </c>
      <c r="G3164" s="140" t="s">
        <v>845</v>
      </c>
      <c r="H3164" s="140" t="s">
        <v>870</v>
      </c>
    </row>
    <row r="3165" spans="1:8" ht="15.75" customHeight="1">
      <c r="A3165" s="140" t="s">
        <v>77</v>
      </c>
      <c r="B3165" s="140" t="s">
        <v>21</v>
      </c>
      <c r="C3165" s="141" t="s">
        <v>494</v>
      </c>
      <c r="D3165" s="140" t="s">
        <v>495</v>
      </c>
      <c r="E3165" s="140">
        <v>7</v>
      </c>
      <c r="F3165" s="142">
        <v>45805.541666666672</v>
      </c>
      <c r="G3165" s="140" t="s">
        <v>845</v>
      </c>
      <c r="H3165" s="140" t="s">
        <v>870</v>
      </c>
    </row>
    <row r="3166" spans="1:8" ht="15.75" customHeight="1">
      <c r="A3166" s="140" t="s">
        <v>77</v>
      </c>
      <c r="B3166" s="140" t="s">
        <v>21</v>
      </c>
      <c r="C3166" s="141" t="s">
        <v>494</v>
      </c>
      <c r="D3166" s="140" t="s">
        <v>495</v>
      </c>
      <c r="E3166" s="140">
        <v>8</v>
      </c>
      <c r="F3166" s="142">
        <v>45813.583333333328</v>
      </c>
      <c r="G3166" s="140" t="s">
        <v>843</v>
      </c>
      <c r="H3166" s="140" t="s">
        <v>870</v>
      </c>
    </row>
    <row r="3167" spans="1:8" ht="15.75" customHeight="1">
      <c r="A3167" s="140" t="s">
        <v>77</v>
      </c>
      <c r="B3167" s="140" t="s">
        <v>21</v>
      </c>
      <c r="C3167" s="141" t="s">
        <v>494</v>
      </c>
      <c r="D3167" s="140" t="s">
        <v>495</v>
      </c>
      <c r="E3167" s="140">
        <v>9</v>
      </c>
      <c r="F3167" s="142">
        <v>45820.583333333328</v>
      </c>
      <c r="G3167" s="140" t="s">
        <v>845</v>
      </c>
      <c r="H3167" s="140" t="s">
        <v>870</v>
      </c>
    </row>
    <row r="3168" spans="1:8" ht="15.75" customHeight="1">
      <c r="A3168" s="140" t="s">
        <v>77</v>
      </c>
      <c r="B3168" s="140" t="s">
        <v>21</v>
      </c>
      <c r="C3168" s="141" t="s">
        <v>494</v>
      </c>
      <c r="D3168" s="140" t="s">
        <v>495</v>
      </c>
      <c r="E3168" s="140">
        <v>10</v>
      </c>
      <c r="F3168" s="142">
        <v>45849.541666666672</v>
      </c>
      <c r="G3168" s="140" t="s">
        <v>845</v>
      </c>
      <c r="H3168" s="140" t="s">
        <v>870</v>
      </c>
    </row>
    <row r="3169" spans="1:8" ht="15.75" customHeight="1">
      <c r="A3169" s="140" t="s">
        <v>77</v>
      </c>
      <c r="B3169" s="140" t="s">
        <v>22</v>
      </c>
      <c r="C3169" s="141" t="s">
        <v>494</v>
      </c>
      <c r="D3169" s="140" t="s">
        <v>495</v>
      </c>
      <c r="E3169" s="140">
        <v>1</v>
      </c>
      <c r="F3169" s="142">
        <v>45890.541666666672</v>
      </c>
      <c r="G3169" s="140" t="s">
        <v>845</v>
      </c>
      <c r="H3169" s="140" t="s">
        <v>870</v>
      </c>
    </row>
    <row r="3170" spans="1:8" ht="15.75" customHeight="1">
      <c r="A3170" s="140" t="s">
        <v>77</v>
      </c>
      <c r="B3170" s="140" t="s">
        <v>22</v>
      </c>
      <c r="C3170" s="141" t="s">
        <v>494</v>
      </c>
      <c r="D3170" s="140" t="s">
        <v>495</v>
      </c>
      <c r="E3170" s="140">
        <v>2</v>
      </c>
      <c r="F3170" s="142">
        <v>45897.583333333328</v>
      </c>
      <c r="G3170" s="140" t="s">
        <v>845</v>
      </c>
      <c r="H3170" s="140" t="s">
        <v>870</v>
      </c>
    </row>
    <row r="3171" spans="1:8" ht="15.75" customHeight="1">
      <c r="A3171" s="140" t="s">
        <v>77</v>
      </c>
      <c r="B3171" s="140" t="s">
        <v>22</v>
      </c>
      <c r="C3171" s="141" t="s">
        <v>494</v>
      </c>
      <c r="D3171" s="140" t="s">
        <v>495</v>
      </c>
      <c r="E3171" s="140">
        <v>3</v>
      </c>
      <c r="F3171" s="142">
        <v>45911.583333333328</v>
      </c>
      <c r="G3171" s="140" t="s">
        <v>843</v>
      </c>
      <c r="H3171" s="140" t="s">
        <v>870</v>
      </c>
    </row>
    <row r="3172" spans="1:8" ht="15.75" customHeight="1">
      <c r="A3172" s="140" t="s">
        <v>77</v>
      </c>
      <c r="B3172" s="140" t="s">
        <v>22</v>
      </c>
      <c r="C3172" s="141" t="s">
        <v>494</v>
      </c>
      <c r="D3172" s="140" t="s">
        <v>495</v>
      </c>
      <c r="E3172" s="140">
        <v>4</v>
      </c>
      <c r="F3172" s="142">
        <v>45918.583333333328</v>
      </c>
      <c r="G3172" s="140" t="s">
        <v>845</v>
      </c>
      <c r="H3172" s="140" t="s">
        <v>870</v>
      </c>
    </row>
    <row r="3173" spans="1:8" ht="15.75" customHeight="1">
      <c r="A3173" s="140" t="s">
        <v>77</v>
      </c>
      <c r="B3173" s="140" t="s">
        <v>22</v>
      </c>
      <c r="C3173" s="141" t="s">
        <v>494</v>
      </c>
      <c r="D3173" s="140" t="s">
        <v>495</v>
      </c>
      <c r="E3173" s="140">
        <v>5</v>
      </c>
      <c r="F3173" s="142">
        <v>45925.583333333328</v>
      </c>
      <c r="G3173" s="140" t="s">
        <v>845</v>
      </c>
      <c r="H3173" s="140" t="s">
        <v>870</v>
      </c>
    </row>
    <row r="3174" spans="1:8" ht="15.75" customHeight="1">
      <c r="A3174" s="140" t="s">
        <v>77</v>
      </c>
      <c r="B3174" s="140" t="s">
        <v>22</v>
      </c>
      <c r="C3174" s="141" t="s">
        <v>494</v>
      </c>
      <c r="D3174" s="140" t="s">
        <v>495</v>
      </c>
      <c r="E3174" s="140">
        <v>6</v>
      </c>
      <c r="F3174" s="142">
        <v>45932.583333333328</v>
      </c>
      <c r="G3174" s="140" t="s">
        <v>845</v>
      </c>
      <c r="H3174" s="140" t="s">
        <v>870</v>
      </c>
    </row>
    <row r="3175" spans="1:8" ht="15.75" customHeight="1">
      <c r="A3175" s="140" t="s">
        <v>77</v>
      </c>
      <c r="B3175" s="140" t="s">
        <v>22</v>
      </c>
      <c r="C3175" s="141" t="s">
        <v>494</v>
      </c>
      <c r="D3175" s="140" t="s">
        <v>495</v>
      </c>
      <c r="E3175" s="140">
        <v>7</v>
      </c>
      <c r="F3175" s="142">
        <v>45946.583333333328</v>
      </c>
      <c r="G3175" s="140" t="s">
        <v>845</v>
      </c>
      <c r="H3175" s="140" t="s">
        <v>870</v>
      </c>
    </row>
    <row r="3176" spans="1:8" ht="15.75" customHeight="1">
      <c r="A3176" s="140" t="s">
        <v>77</v>
      </c>
      <c r="B3176" s="140" t="s">
        <v>22</v>
      </c>
      <c r="C3176" s="141" t="s">
        <v>494</v>
      </c>
      <c r="D3176" s="140" t="s">
        <v>495</v>
      </c>
      <c r="E3176" s="140">
        <v>8</v>
      </c>
      <c r="F3176" s="142">
        <v>45953.583333333328</v>
      </c>
      <c r="G3176" s="140" t="s">
        <v>845</v>
      </c>
      <c r="H3176" s="140" t="s">
        <v>870</v>
      </c>
    </row>
    <row r="3177" spans="1:8" ht="15.75" customHeight="1">
      <c r="A3177" s="140" t="s">
        <v>77</v>
      </c>
      <c r="B3177" s="140" t="s">
        <v>22</v>
      </c>
      <c r="C3177" s="141" t="s">
        <v>494</v>
      </c>
      <c r="D3177" s="140" t="s">
        <v>495</v>
      </c>
      <c r="E3177" s="140">
        <v>9</v>
      </c>
      <c r="F3177" s="142">
        <v>45960.583333333328</v>
      </c>
      <c r="G3177" s="140" t="s">
        <v>845</v>
      </c>
      <c r="H3177" s="140" t="s">
        <v>870</v>
      </c>
    </row>
    <row r="3178" spans="1:8" ht="15.75" customHeight="1">
      <c r="A3178" s="140" t="s">
        <v>77</v>
      </c>
      <c r="B3178" s="140" t="s">
        <v>22</v>
      </c>
      <c r="C3178" s="141" t="s">
        <v>494</v>
      </c>
      <c r="D3178" s="140" t="s">
        <v>495</v>
      </c>
      <c r="E3178" s="140">
        <v>10</v>
      </c>
      <c r="F3178" s="142">
        <v>45966.583333333328</v>
      </c>
      <c r="G3178" s="140" t="s">
        <v>845</v>
      </c>
      <c r="H3178" s="140" t="s">
        <v>870</v>
      </c>
    </row>
    <row r="3179" spans="1:8" ht="15.75" customHeight="1">
      <c r="A3179" s="140" t="s">
        <v>77</v>
      </c>
      <c r="B3179" s="140" t="s">
        <v>22</v>
      </c>
      <c r="C3179" s="141" t="s">
        <v>494</v>
      </c>
      <c r="D3179" s="140" t="s">
        <v>495</v>
      </c>
      <c r="E3179" s="140">
        <v>11</v>
      </c>
      <c r="F3179" s="142">
        <v>45982.583333333328</v>
      </c>
      <c r="G3179" s="140" t="s">
        <v>845</v>
      </c>
      <c r="H3179" s="140" t="s">
        <v>870</v>
      </c>
    </row>
    <row r="3180" spans="1:8" ht="15.75" customHeight="1">
      <c r="A3180" s="140" t="s">
        <v>77</v>
      </c>
      <c r="B3180" s="140" t="s">
        <v>22</v>
      </c>
      <c r="C3180" s="141" t="s">
        <v>494</v>
      </c>
      <c r="D3180" s="140" t="s">
        <v>495</v>
      </c>
      <c r="E3180" s="140">
        <v>12</v>
      </c>
      <c r="F3180" s="142">
        <v>45988.583333333328</v>
      </c>
      <c r="G3180" s="140" t="s">
        <v>843</v>
      </c>
      <c r="H3180" s="140" t="s">
        <v>870</v>
      </c>
    </row>
    <row r="3181" spans="1:8" ht="15.75" customHeight="1">
      <c r="A3181" s="140" t="s">
        <v>77</v>
      </c>
      <c r="B3181" s="140" t="s">
        <v>22</v>
      </c>
      <c r="C3181" s="141" t="s">
        <v>494</v>
      </c>
      <c r="D3181" s="140" t="s">
        <v>495</v>
      </c>
      <c r="E3181" s="140">
        <v>13</v>
      </c>
      <c r="F3181" s="142">
        <v>45995.583333333328</v>
      </c>
      <c r="G3181" s="140" t="s">
        <v>845</v>
      </c>
      <c r="H3181" s="140" t="s">
        <v>870</v>
      </c>
    </row>
    <row r="3182" spans="1:8" ht="15.75" customHeight="1">
      <c r="A3182" s="140" t="s">
        <v>77</v>
      </c>
      <c r="B3182" s="140" t="s">
        <v>22</v>
      </c>
      <c r="C3182" s="141" t="s">
        <v>494</v>
      </c>
      <c r="D3182" s="140" t="s">
        <v>495</v>
      </c>
      <c r="E3182" s="140">
        <v>14</v>
      </c>
      <c r="F3182" s="142">
        <v>45999.458333333328</v>
      </c>
      <c r="G3182" s="140" t="s">
        <v>845</v>
      </c>
      <c r="H3182" s="140" t="s">
        <v>870</v>
      </c>
    </row>
    <row r="3183" spans="1:8" ht="15.75" customHeight="1">
      <c r="A3183" s="140" t="s">
        <v>77</v>
      </c>
      <c r="B3183" s="140" t="s">
        <v>22</v>
      </c>
      <c r="C3183" s="141" t="s">
        <v>494</v>
      </c>
      <c r="D3183" s="140" t="s">
        <v>495</v>
      </c>
      <c r="E3183" s="140">
        <v>15</v>
      </c>
      <c r="F3183" s="142">
        <v>46014.625</v>
      </c>
      <c r="G3183" s="140" t="s">
        <v>845</v>
      </c>
      <c r="H3183" s="140" t="s">
        <v>870</v>
      </c>
    </row>
    <row r="3184" spans="1:8" ht="15.75" customHeight="1">
      <c r="A3184" s="140" t="s">
        <v>77</v>
      </c>
      <c r="B3184" s="140" t="s">
        <v>22</v>
      </c>
      <c r="C3184" s="141" t="s">
        <v>494</v>
      </c>
      <c r="D3184" s="140" t="s">
        <v>495</v>
      </c>
      <c r="E3184" s="140">
        <v>16</v>
      </c>
      <c r="F3184" s="142">
        <v>46044.541666666672</v>
      </c>
      <c r="G3184" s="140" t="s">
        <v>845</v>
      </c>
      <c r="H3184" s="140" t="s">
        <v>870</v>
      </c>
    </row>
    <row r="3185" spans="1:8" ht="15.75" customHeight="1">
      <c r="A3185" s="140" t="s">
        <v>77</v>
      </c>
      <c r="B3185" s="140" t="s">
        <v>23</v>
      </c>
      <c r="C3185" s="141" t="s">
        <v>494</v>
      </c>
      <c r="D3185" s="140" t="s">
        <v>495</v>
      </c>
      <c r="E3185" s="140">
        <v>2</v>
      </c>
      <c r="F3185" s="142">
        <v>46107.583333333328</v>
      </c>
      <c r="G3185" s="140" t="s">
        <v>845</v>
      </c>
      <c r="H3185" s="140" t="s">
        <v>870</v>
      </c>
    </row>
    <row r="3186" spans="1:8" ht="15.75" customHeight="1">
      <c r="A3186" s="140" t="s">
        <v>77</v>
      </c>
      <c r="B3186" s="140" t="s">
        <v>23</v>
      </c>
      <c r="C3186" s="141" t="s">
        <v>494</v>
      </c>
      <c r="D3186" s="140" t="s">
        <v>495</v>
      </c>
      <c r="E3186" s="140">
        <v>3</v>
      </c>
      <c r="F3186" s="142">
        <v>46114.583333333328</v>
      </c>
      <c r="G3186" s="140" t="s">
        <v>843</v>
      </c>
      <c r="H3186" s="140" t="s">
        <v>870</v>
      </c>
    </row>
    <row r="3187" spans="1:8" ht="15.75" customHeight="1">
      <c r="A3187" s="140" t="s">
        <v>77</v>
      </c>
      <c r="B3187" s="140" t="s">
        <v>23</v>
      </c>
      <c r="C3187" s="141" t="s">
        <v>494</v>
      </c>
      <c r="D3187" s="140" t="s">
        <v>495</v>
      </c>
      <c r="E3187" s="140">
        <v>4</v>
      </c>
      <c r="F3187" s="142">
        <v>46121.583333333328</v>
      </c>
      <c r="G3187" s="140" t="s">
        <v>845</v>
      </c>
      <c r="H3187" s="140" t="s">
        <v>870</v>
      </c>
    </row>
    <row r="3188" spans="1:8" ht="15.75" customHeight="1">
      <c r="A3188" s="140" t="s">
        <v>77</v>
      </c>
      <c r="B3188" s="140" t="s">
        <v>23</v>
      </c>
      <c r="C3188" s="141" t="s">
        <v>494</v>
      </c>
      <c r="D3188" s="140" t="s">
        <v>495</v>
      </c>
      <c r="E3188" s="140">
        <v>5</v>
      </c>
      <c r="F3188" s="142">
        <v>46128.583333333328</v>
      </c>
      <c r="G3188" s="140" t="s">
        <v>845</v>
      </c>
      <c r="H3188" s="140" t="s">
        <v>870</v>
      </c>
    </row>
    <row r="3189" spans="1:8" ht="15.75" customHeight="1">
      <c r="A3189" s="140" t="s">
        <v>77</v>
      </c>
      <c r="B3189" s="140" t="s">
        <v>23</v>
      </c>
      <c r="C3189" s="141" t="s">
        <v>494</v>
      </c>
      <c r="D3189" s="140" t="s">
        <v>495</v>
      </c>
      <c r="E3189" s="140">
        <v>6</v>
      </c>
      <c r="F3189" s="142">
        <v>46135.583333333328</v>
      </c>
      <c r="G3189" s="140" t="s">
        <v>845</v>
      </c>
      <c r="H3189" s="140" t="s">
        <v>870</v>
      </c>
    </row>
    <row r="3190" spans="1:8" ht="15.75" customHeight="1">
      <c r="A3190" s="140" t="s">
        <v>77</v>
      </c>
      <c r="B3190" s="140" t="s">
        <v>21</v>
      </c>
      <c r="C3190" s="141" t="s">
        <v>498</v>
      </c>
      <c r="D3190" s="140" t="s">
        <v>499</v>
      </c>
      <c r="E3190" s="140">
        <v>1</v>
      </c>
      <c r="F3190" s="142">
        <v>45715.583333333328</v>
      </c>
      <c r="G3190" s="140" t="s">
        <v>845</v>
      </c>
      <c r="H3190" s="140" t="s">
        <v>870</v>
      </c>
    </row>
    <row r="3191" spans="1:8" ht="15.75" customHeight="1">
      <c r="A3191" s="140" t="s">
        <v>77</v>
      </c>
      <c r="B3191" s="140" t="s">
        <v>21</v>
      </c>
      <c r="C3191" s="141" t="s">
        <v>498</v>
      </c>
      <c r="D3191" s="140" t="s">
        <v>499</v>
      </c>
      <c r="E3191" s="140">
        <v>2</v>
      </c>
      <c r="F3191" s="142">
        <v>45756.583333333328</v>
      </c>
      <c r="G3191" s="140" t="s">
        <v>843</v>
      </c>
      <c r="H3191" s="140" t="s">
        <v>870</v>
      </c>
    </row>
    <row r="3192" spans="1:8" ht="15.75" customHeight="1">
      <c r="A3192" s="140" t="s">
        <v>77</v>
      </c>
      <c r="B3192" s="140" t="s">
        <v>21</v>
      </c>
      <c r="C3192" s="141" t="s">
        <v>498</v>
      </c>
      <c r="D3192" s="140" t="s">
        <v>499</v>
      </c>
      <c r="E3192" s="140">
        <v>3</v>
      </c>
      <c r="F3192" s="142">
        <v>45771.541666666672</v>
      </c>
      <c r="G3192" s="140" t="s">
        <v>845</v>
      </c>
      <c r="H3192" s="140" t="s">
        <v>870</v>
      </c>
    </row>
    <row r="3193" spans="1:8" ht="15.75" customHeight="1">
      <c r="A3193" s="140" t="s">
        <v>77</v>
      </c>
      <c r="B3193" s="140" t="s">
        <v>21</v>
      </c>
      <c r="C3193" s="141" t="s">
        <v>498</v>
      </c>
      <c r="D3193" s="140" t="s">
        <v>499</v>
      </c>
      <c r="E3193" s="140">
        <v>4</v>
      </c>
      <c r="F3193" s="142">
        <v>45786.541666666672</v>
      </c>
      <c r="G3193" s="140" t="s">
        <v>845</v>
      </c>
      <c r="H3193" s="140" t="s">
        <v>870</v>
      </c>
    </row>
    <row r="3194" spans="1:8" ht="15.75" customHeight="1">
      <c r="A3194" s="140" t="s">
        <v>77</v>
      </c>
      <c r="B3194" s="140" t="s">
        <v>21</v>
      </c>
      <c r="C3194" s="141" t="s">
        <v>498</v>
      </c>
      <c r="D3194" s="140" t="s">
        <v>499</v>
      </c>
      <c r="E3194" s="140">
        <v>5</v>
      </c>
      <c r="F3194" s="142">
        <v>45790.541666666672</v>
      </c>
      <c r="G3194" s="140" t="s">
        <v>845</v>
      </c>
      <c r="H3194" s="140" t="s">
        <v>870</v>
      </c>
    </row>
    <row r="3195" spans="1:8" ht="15.75" customHeight="1">
      <c r="A3195" s="140" t="s">
        <v>77</v>
      </c>
      <c r="B3195" s="140" t="s">
        <v>21</v>
      </c>
      <c r="C3195" s="141" t="s">
        <v>498</v>
      </c>
      <c r="D3195" s="140" t="s">
        <v>499</v>
      </c>
      <c r="E3195" s="140">
        <v>6</v>
      </c>
      <c r="F3195" s="142">
        <v>45799.541666666672</v>
      </c>
      <c r="G3195" s="140" t="s">
        <v>843</v>
      </c>
      <c r="H3195" s="140" t="s">
        <v>870</v>
      </c>
    </row>
    <row r="3196" spans="1:8" ht="15.75" customHeight="1">
      <c r="A3196" s="140" t="s">
        <v>77</v>
      </c>
      <c r="B3196" s="140" t="s">
        <v>21</v>
      </c>
      <c r="C3196" s="141" t="s">
        <v>498</v>
      </c>
      <c r="D3196" s="140" t="s">
        <v>499</v>
      </c>
      <c r="E3196" s="140">
        <v>7</v>
      </c>
      <c r="F3196" s="142">
        <v>45805.541666666672</v>
      </c>
      <c r="G3196" s="140" t="s">
        <v>845</v>
      </c>
      <c r="H3196" s="140" t="s">
        <v>870</v>
      </c>
    </row>
    <row r="3197" spans="1:8" ht="15.75" customHeight="1">
      <c r="A3197" s="140" t="s">
        <v>77</v>
      </c>
      <c r="B3197" s="140" t="s">
        <v>21</v>
      </c>
      <c r="C3197" s="141" t="s">
        <v>498</v>
      </c>
      <c r="D3197" s="140" t="s">
        <v>499</v>
      </c>
      <c r="E3197" s="140">
        <v>8</v>
      </c>
      <c r="F3197" s="142">
        <v>45813.583333333328</v>
      </c>
      <c r="G3197" s="140" t="s">
        <v>845</v>
      </c>
      <c r="H3197" s="140" t="s">
        <v>870</v>
      </c>
    </row>
    <row r="3198" spans="1:8" ht="15.75" customHeight="1">
      <c r="A3198" s="140" t="s">
        <v>77</v>
      </c>
      <c r="B3198" s="140" t="s">
        <v>21</v>
      </c>
      <c r="C3198" s="141" t="s">
        <v>498</v>
      </c>
      <c r="D3198" s="140" t="s">
        <v>499</v>
      </c>
      <c r="E3198" s="140">
        <v>9</v>
      </c>
      <c r="F3198" s="142">
        <v>45820.583333333328</v>
      </c>
      <c r="G3198" s="140" t="s">
        <v>845</v>
      </c>
      <c r="H3198" s="140" t="s">
        <v>870</v>
      </c>
    </row>
    <row r="3199" spans="1:8" ht="15.75" customHeight="1">
      <c r="A3199" s="140" t="s">
        <v>77</v>
      </c>
      <c r="B3199" s="140" t="s">
        <v>21</v>
      </c>
      <c r="C3199" s="141" t="s">
        <v>498</v>
      </c>
      <c r="D3199" s="140" t="s">
        <v>499</v>
      </c>
      <c r="E3199" s="140">
        <v>10</v>
      </c>
      <c r="F3199" s="142">
        <v>45849.541666666672</v>
      </c>
      <c r="G3199" s="140" t="s">
        <v>845</v>
      </c>
      <c r="H3199" s="140" t="s">
        <v>870</v>
      </c>
    </row>
    <row r="3200" spans="1:8" ht="15.75" customHeight="1">
      <c r="A3200" s="140" t="s">
        <v>77</v>
      </c>
      <c r="B3200" s="140" t="s">
        <v>22</v>
      </c>
      <c r="C3200" s="141" t="s">
        <v>498</v>
      </c>
      <c r="D3200" s="140" t="s">
        <v>499</v>
      </c>
      <c r="E3200" s="140">
        <v>1</v>
      </c>
      <c r="F3200" s="142">
        <v>45890.541666666672</v>
      </c>
      <c r="G3200" s="140" t="s">
        <v>845</v>
      </c>
      <c r="H3200" s="140" t="s">
        <v>870</v>
      </c>
    </row>
    <row r="3201" spans="1:8" ht="15.75" customHeight="1">
      <c r="A3201" s="140" t="s">
        <v>77</v>
      </c>
      <c r="B3201" s="140" t="s">
        <v>22</v>
      </c>
      <c r="C3201" s="141" t="s">
        <v>498</v>
      </c>
      <c r="D3201" s="140" t="s">
        <v>499</v>
      </c>
      <c r="E3201" s="140">
        <v>2</v>
      </c>
      <c r="F3201" s="142">
        <v>45897.583333333328</v>
      </c>
      <c r="G3201" s="140" t="s">
        <v>845</v>
      </c>
      <c r="H3201" s="140" t="s">
        <v>870</v>
      </c>
    </row>
    <row r="3202" spans="1:8" ht="15.75" customHeight="1">
      <c r="A3202" s="140" t="s">
        <v>77</v>
      </c>
      <c r="B3202" s="140" t="s">
        <v>22</v>
      </c>
      <c r="C3202" s="141" t="s">
        <v>498</v>
      </c>
      <c r="D3202" s="140" t="s">
        <v>499</v>
      </c>
      <c r="E3202" s="140">
        <v>3</v>
      </c>
      <c r="F3202" s="142">
        <v>45911.583333333328</v>
      </c>
      <c r="G3202" s="140" t="s">
        <v>845</v>
      </c>
      <c r="H3202" s="140" t="s">
        <v>870</v>
      </c>
    </row>
    <row r="3203" spans="1:8" ht="15.75" customHeight="1">
      <c r="A3203" s="140" t="s">
        <v>77</v>
      </c>
      <c r="B3203" s="140" t="s">
        <v>22</v>
      </c>
      <c r="C3203" s="141" t="s">
        <v>498</v>
      </c>
      <c r="D3203" s="140" t="s">
        <v>499</v>
      </c>
      <c r="E3203" s="140">
        <v>4</v>
      </c>
      <c r="F3203" s="142">
        <v>45918.583333333328</v>
      </c>
      <c r="G3203" s="140" t="s">
        <v>845</v>
      </c>
      <c r="H3203" s="140" t="s">
        <v>870</v>
      </c>
    </row>
    <row r="3204" spans="1:8" ht="15.75" customHeight="1">
      <c r="A3204" s="140" t="s">
        <v>77</v>
      </c>
      <c r="B3204" s="140" t="s">
        <v>22</v>
      </c>
      <c r="C3204" s="141" t="s">
        <v>498</v>
      </c>
      <c r="D3204" s="140" t="s">
        <v>499</v>
      </c>
      <c r="E3204" s="140">
        <v>5</v>
      </c>
      <c r="F3204" s="142">
        <v>45925.583333333328</v>
      </c>
      <c r="G3204" s="140" t="s">
        <v>845</v>
      </c>
      <c r="H3204" s="140" t="s">
        <v>870</v>
      </c>
    </row>
    <row r="3205" spans="1:8" ht="15.75" customHeight="1">
      <c r="A3205" s="140" t="s">
        <v>77</v>
      </c>
      <c r="B3205" s="140" t="s">
        <v>22</v>
      </c>
      <c r="C3205" s="141" t="s">
        <v>498</v>
      </c>
      <c r="D3205" s="140" t="s">
        <v>499</v>
      </c>
      <c r="E3205" s="140">
        <v>6</v>
      </c>
      <c r="F3205" s="142">
        <v>45932.583333333328</v>
      </c>
      <c r="G3205" s="140" t="s">
        <v>843</v>
      </c>
      <c r="H3205" s="140" t="s">
        <v>870</v>
      </c>
    </row>
    <row r="3206" spans="1:8" ht="15.75" customHeight="1">
      <c r="A3206" s="140" t="s">
        <v>77</v>
      </c>
      <c r="B3206" s="140" t="s">
        <v>22</v>
      </c>
      <c r="C3206" s="141" t="s">
        <v>498</v>
      </c>
      <c r="D3206" s="140" t="s">
        <v>499</v>
      </c>
      <c r="E3206" s="140">
        <v>7</v>
      </c>
      <c r="F3206" s="142">
        <v>45946.583333333328</v>
      </c>
      <c r="G3206" s="140" t="s">
        <v>845</v>
      </c>
      <c r="H3206" s="140" t="s">
        <v>870</v>
      </c>
    </row>
    <row r="3207" spans="1:8" ht="15.75" customHeight="1">
      <c r="A3207" s="140" t="s">
        <v>77</v>
      </c>
      <c r="B3207" s="140" t="s">
        <v>22</v>
      </c>
      <c r="C3207" s="141" t="s">
        <v>498</v>
      </c>
      <c r="D3207" s="140" t="s">
        <v>499</v>
      </c>
      <c r="E3207" s="140">
        <v>8</v>
      </c>
      <c r="F3207" s="142">
        <v>45953.583333333328</v>
      </c>
      <c r="G3207" s="140" t="s">
        <v>843</v>
      </c>
      <c r="H3207" s="140" t="s">
        <v>870</v>
      </c>
    </row>
    <row r="3208" spans="1:8" ht="15.75" customHeight="1">
      <c r="A3208" s="140" t="s">
        <v>77</v>
      </c>
      <c r="B3208" s="140" t="s">
        <v>22</v>
      </c>
      <c r="C3208" s="141" t="s">
        <v>498</v>
      </c>
      <c r="D3208" s="140" t="s">
        <v>499</v>
      </c>
      <c r="E3208" s="140">
        <v>9</v>
      </c>
      <c r="F3208" s="142">
        <v>45960.583333333328</v>
      </c>
      <c r="G3208" s="140" t="s">
        <v>845</v>
      </c>
      <c r="H3208" s="140" t="s">
        <v>870</v>
      </c>
    </row>
    <row r="3209" spans="1:8" ht="15.75" customHeight="1">
      <c r="A3209" s="140" t="s">
        <v>77</v>
      </c>
      <c r="B3209" s="140" t="s">
        <v>22</v>
      </c>
      <c r="C3209" s="141" t="s">
        <v>498</v>
      </c>
      <c r="D3209" s="140" t="s">
        <v>499</v>
      </c>
      <c r="E3209" s="140">
        <v>10</v>
      </c>
      <c r="F3209" s="142">
        <v>45966.583333333328</v>
      </c>
      <c r="G3209" s="140" t="s">
        <v>845</v>
      </c>
      <c r="H3209" s="140" t="s">
        <v>870</v>
      </c>
    </row>
    <row r="3210" spans="1:8" ht="15.75" customHeight="1">
      <c r="A3210" s="140" t="s">
        <v>77</v>
      </c>
      <c r="B3210" s="140" t="s">
        <v>22</v>
      </c>
      <c r="C3210" s="141" t="s">
        <v>498</v>
      </c>
      <c r="D3210" s="140" t="s">
        <v>499</v>
      </c>
      <c r="E3210" s="140">
        <v>11</v>
      </c>
      <c r="F3210" s="142">
        <v>45982.583333333328</v>
      </c>
      <c r="G3210" s="140" t="s">
        <v>845</v>
      </c>
      <c r="H3210" s="140" t="s">
        <v>870</v>
      </c>
    </row>
    <row r="3211" spans="1:8" ht="15.75" customHeight="1">
      <c r="A3211" s="140" t="s">
        <v>77</v>
      </c>
      <c r="B3211" s="140" t="s">
        <v>22</v>
      </c>
      <c r="C3211" s="141" t="s">
        <v>498</v>
      </c>
      <c r="D3211" s="140" t="s">
        <v>499</v>
      </c>
      <c r="E3211" s="140">
        <v>12</v>
      </c>
      <c r="F3211" s="142">
        <v>45988.583333333328</v>
      </c>
      <c r="G3211" s="140" t="s">
        <v>845</v>
      </c>
      <c r="H3211" s="140" t="s">
        <v>870</v>
      </c>
    </row>
    <row r="3212" spans="1:8" ht="15.75" customHeight="1">
      <c r="A3212" s="140" t="s">
        <v>77</v>
      </c>
      <c r="B3212" s="140" t="s">
        <v>22</v>
      </c>
      <c r="C3212" s="141" t="s">
        <v>498</v>
      </c>
      <c r="D3212" s="140" t="s">
        <v>499</v>
      </c>
      <c r="E3212" s="140">
        <v>13</v>
      </c>
      <c r="F3212" s="142">
        <v>45995.583333333328</v>
      </c>
      <c r="G3212" s="140" t="s">
        <v>845</v>
      </c>
      <c r="H3212" s="140" t="s">
        <v>870</v>
      </c>
    </row>
    <row r="3213" spans="1:8" ht="15.75" customHeight="1">
      <c r="A3213" s="140" t="s">
        <v>77</v>
      </c>
      <c r="B3213" s="140" t="s">
        <v>22</v>
      </c>
      <c r="C3213" s="141" t="s">
        <v>498</v>
      </c>
      <c r="D3213" s="140" t="s">
        <v>499</v>
      </c>
      <c r="E3213" s="140">
        <v>14</v>
      </c>
      <c r="F3213" s="142">
        <v>45999.458333333328</v>
      </c>
      <c r="G3213" s="140" t="s">
        <v>845</v>
      </c>
      <c r="H3213" s="140" t="s">
        <v>870</v>
      </c>
    </row>
    <row r="3214" spans="1:8" ht="15.75" customHeight="1">
      <c r="A3214" s="140" t="s">
        <v>77</v>
      </c>
      <c r="B3214" s="140" t="s">
        <v>22</v>
      </c>
      <c r="C3214" s="141" t="s">
        <v>498</v>
      </c>
      <c r="D3214" s="140" t="s">
        <v>499</v>
      </c>
      <c r="E3214" s="140">
        <v>15</v>
      </c>
      <c r="F3214" s="142">
        <v>46014.625</v>
      </c>
      <c r="G3214" s="140" t="s">
        <v>845</v>
      </c>
      <c r="H3214" s="140" t="s">
        <v>870</v>
      </c>
    </row>
    <row r="3215" spans="1:8" ht="15.75" customHeight="1">
      <c r="A3215" s="140" t="s">
        <v>77</v>
      </c>
      <c r="B3215" s="140" t="s">
        <v>22</v>
      </c>
      <c r="C3215" s="141" t="s">
        <v>498</v>
      </c>
      <c r="D3215" s="140" t="s">
        <v>499</v>
      </c>
      <c r="E3215" s="140">
        <v>16</v>
      </c>
      <c r="F3215" s="142">
        <v>46044.541666666672</v>
      </c>
      <c r="G3215" s="140" t="s">
        <v>845</v>
      </c>
      <c r="H3215" s="140" t="s">
        <v>870</v>
      </c>
    </row>
    <row r="3216" spans="1:8" ht="15.75" customHeight="1">
      <c r="A3216" s="140" t="s">
        <v>77</v>
      </c>
      <c r="B3216" s="140" t="s">
        <v>23</v>
      </c>
      <c r="C3216" s="141" t="s">
        <v>498</v>
      </c>
      <c r="D3216" s="140" t="s">
        <v>499</v>
      </c>
      <c r="E3216" s="140">
        <v>2</v>
      </c>
      <c r="F3216" s="142">
        <v>46107.583333333328</v>
      </c>
      <c r="G3216" s="140" t="s">
        <v>845</v>
      </c>
      <c r="H3216" s="140" t="s">
        <v>870</v>
      </c>
    </row>
    <row r="3217" spans="1:8" ht="15.75" customHeight="1">
      <c r="A3217" s="140" t="s">
        <v>77</v>
      </c>
      <c r="B3217" s="140" t="s">
        <v>23</v>
      </c>
      <c r="C3217" s="141" t="s">
        <v>498</v>
      </c>
      <c r="D3217" s="140" t="s">
        <v>499</v>
      </c>
      <c r="E3217" s="140">
        <v>3</v>
      </c>
      <c r="F3217" s="142">
        <v>46114.583333333328</v>
      </c>
      <c r="G3217" s="140" t="s">
        <v>845</v>
      </c>
      <c r="H3217" s="140" t="s">
        <v>870</v>
      </c>
    </row>
    <row r="3218" spans="1:8" ht="15.75" customHeight="1">
      <c r="A3218" s="140" t="s">
        <v>77</v>
      </c>
      <c r="B3218" s="140" t="s">
        <v>23</v>
      </c>
      <c r="C3218" s="141" t="s">
        <v>498</v>
      </c>
      <c r="D3218" s="140" t="s">
        <v>499</v>
      </c>
      <c r="E3218" s="140">
        <v>4</v>
      </c>
      <c r="F3218" s="142">
        <v>46121.583333333328</v>
      </c>
      <c r="G3218" s="140" t="s">
        <v>843</v>
      </c>
      <c r="H3218" s="140" t="s">
        <v>870</v>
      </c>
    </row>
    <row r="3219" spans="1:8" ht="15.75" customHeight="1">
      <c r="A3219" s="140" t="s">
        <v>77</v>
      </c>
      <c r="B3219" s="140" t="s">
        <v>23</v>
      </c>
      <c r="C3219" s="141" t="s">
        <v>498</v>
      </c>
      <c r="D3219" s="140" t="s">
        <v>499</v>
      </c>
      <c r="E3219" s="140">
        <v>5</v>
      </c>
      <c r="F3219" s="142">
        <v>46128.583333333328</v>
      </c>
      <c r="G3219" s="140" t="s">
        <v>845</v>
      </c>
      <c r="H3219" s="140" t="s">
        <v>870</v>
      </c>
    </row>
    <row r="3220" spans="1:8" ht="15.75" customHeight="1">
      <c r="A3220" s="140" t="s">
        <v>77</v>
      </c>
      <c r="B3220" s="140" t="s">
        <v>23</v>
      </c>
      <c r="C3220" s="141" t="s">
        <v>498</v>
      </c>
      <c r="D3220" s="140" t="s">
        <v>499</v>
      </c>
      <c r="E3220" s="140">
        <v>6</v>
      </c>
      <c r="F3220" s="142">
        <v>46135.583333333328</v>
      </c>
      <c r="G3220" s="140" t="s">
        <v>845</v>
      </c>
      <c r="H3220" s="140" t="s">
        <v>870</v>
      </c>
    </row>
    <row r="3221" spans="1:8" ht="15.75" customHeight="1">
      <c r="A3221" s="140" t="s">
        <v>77</v>
      </c>
      <c r="B3221" s="140" t="s">
        <v>21</v>
      </c>
      <c r="C3221" s="141" t="s">
        <v>566</v>
      </c>
      <c r="D3221" s="140" t="s">
        <v>567</v>
      </c>
      <c r="E3221" s="140">
        <v>1</v>
      </c>
      <c r="F3221" s="142">
        <v>45715.583333333328</v>
      </c>
      <c r="G3221" s="140" t="s">
        <v>845</v>
      </c>
      <c r="H3221" s="140" t="s">
        <v>870</v>
      </c>
    </row>
    <row r="3222" spans="1:8" ht="15.75" customHeight="1">
      <c r="A3222" s="140" t="s">
        <v>77</v>
      </c>
      <c r="B3222" s="140" t="s">
        <v>21</v>
      </c>
      <c r="C3222" s="141" t="s">
        <v>566</v>
      </c>
      <c r="D3222" s="140" t="s">
        <v>567</v>
      </c>
      <c r="E3222" s="140">
        <v>2</v>
      </c>
      <c r="F3222" s="142">
        <v>45756.583333333328</v>
      </c>
      <c r="G3222" s="140" t="s">
        <v>845</v>
      </c>
      <c r="H3222" s="140" t="s">
        <v>870</v>
      </c>
    </row>
    <row r="3223" spans="1:8" ht="15.75" customHeight="1">
      <c r="A3223" s="140" t="s">
        <v>77</v>
      </c>
      <c r="B3223" s="140" t="s">
        <v>21</v>
      </c>
      <c r="C3223" s="141" t="s">
        <v>566</v>
      </c>
      <c r="D3223" s="140" t="s">
        <v>567</v>
      </c>
      <c r="E3223" s="140">
        <v>3</v>
      </c>
      <c r="F3223" s="142">
        <v>45771.541666666672</v>
      </c>
      <c r="G3223" s="140" t="s">
        <v>845</v>
      </c>
      <c r="H3223" s="140" t="s">
        <v>870</v>
      </c>
    </row>
    <row r="3224" spans="1:8" ht="15.75" customHeight="1">
      <c r="A3224" s="140" t="s">
        <v>77</v>
      </c>
      <c r="B3224" s="140" t="s">
        <v>21</v>
      </c>
      <c r="C3224" s="141" t="s">
        <v>566</v>
      </c>
      <c r="D3224" s="140" t="s">
        <v>567</v>
      </c>
      <c r="E3224" s="140">
        <v>4</v>
      </c>
      <c r="F3224" s="142">
        <v>45786.541666666672</v>
      </c>
      <c r="G3224" s="140" t="s">
        <v>845</v>
      </c>
      <c r="H3224" s="140" t="s">
        <v>870</v>
      </c>
    </row>
    <row r="3225" spans="1:8" ht="15.75" customHeight="1">
      <c r="A3225" s="140" t="s">
        <v>77</v>
      </c>
      <c r="B3225" s="140" t="s">
        <v>21</v>
      </c>
      <c r="C3225" s="141" t="s">
        <v>566</v>
      </c>
      <c r="D3225" s="140" t="s">
        <v>567</v>
      </c>
      <c r="E3225" s="140">
        <v>5</v>
      </c>
      <c r="F3225" s="142">
        <v>45790.541666666672</v>
      </c>
      <c r="G3225" s="140" t="s">
        <v>845</v>
      </c>
      <c r="H3225" s="140" t="s">
        <v>870</v>
      </c>
    </row>
    <row r="3226" spans="1:8" ht="15.75" customHeight="1">
      <c r="A3226" s="140" t="s">
        <v>77</v>
      </c>
      <c r="B3226" s="140" t="s">
        <v>21</v>
      </c>
      <c r="C3226" s="141" t="s">
        <v>566</v>
      </c>
      <c r="D3226" s="140" t="s">
        <v>567</v>
      </c>
      <c r="E3226" s="140">
        <v>6</v>
      </c>
      <c r="F3226" s="142">
        <v>45799.541666666672</v>
      </c>
      <c r="G3226" s="140" t="s">
        <v>845</v>
      </c>
      <c r="H3226" s="140" t="s">
        <v>870</v>
      </c>
    </row>
    <row r="3227" spans="1:8" ht="15.75" customHeight="1">
      <c r="A3227" s="140" t="s">
        <v>77</v>
      </c>
      <c r="B3227" s="140" t="s">
        <v>21</v>
      </c>
      <c r="C3227" s="141" t="s">
        <v>566</v>
      </c>
      <c r="D3227" s="140" t="s">
        <v>567</v>
      </c>
      <c r="E3227" s="140">
        <v>7</v>
      </c>
      <c r="F3227" s="142">
        <v>45805.541666666672</v>
      </c>
      <c r="G3227" s="140" t="s">
        <v>845</v>
      </c>
      <c r="H3227" s="140" t="s">
        <v>870</v>
      </c>
    </row>
    <row r="3228" spans="1:8" ht="15.75" customHeight="1">
      <c r="A3228" s="140" t="s">
        <v>77</v>
      </c>
      <c r="B3228" s="140" t="s">
        <v>21</v>
      </c>
      <c r="C3228" s="141" t="s">
        <v>566</v>
      </c>
      <c r="D3228" s="140" t="s">
        <v>567</v>
      </c>
      <c r="E3228" s="140">
        <v>8</v>
      </c>
      <c r="F3228" s="142">
        <v>45813.583333333328</v>
      </c>
      <c r="G3228" s="140" t="s">
        <v>845</v>
      </c>
      <c r="H3228" s="140" t="s">
        <v>870</v>
      </c>
    </row>
    <row r="3229" spans="1:8" ht="15.75" customHeight="1">
      <c r="A3229" s="140" t="s">
        <v>77</v>
      </c>
      <c r="B3229" s="140" t="s">
        <v>21</v>
      </c>
      <c r="C3229" s="141" t="s">
        <v>566</v>
      </c>
      <c r="D3229" s="140" t="s">
        <v>567</v>
      </c>
      <c r="E3229" s="140">
        <v>9</v>
      </c>
      <c r="F3229" s="142">
        <v>45820.583333333328</v>
      </c>
      <c r="G3229" s="140" t="s">
        <v>845</v>
      </c>
      <c r="H3229" s="140" t="s">
        <v>870</v>
      </c>
    </row>
    <row r="3230" spans="1:8" ht="15.75" customHeight="1">
      <c r="A3230" s="140" t="s">
        <v>77</v>
      </c>
      <c r="B3230" s="140" t="s">
        <v>21</v>
      </c>
      <c r="C3230" s="141" t="s">
        <v>566</v>
      </c>
      <c r="D3230" s="140" t="s">
        <v>567</v>
      </c>
      <c r="E3230" s="140">
        <v>10</v>
      </c>
      <c r="F3230" s="142">
        <v>45849.541666666672</v>
      </c>
      <c r="G3230" s="140" t="s">
        <v>845</v>
      </c>
      <c r="H3230" s="140" t="s">
        <v>870</v>
      </c>
    </row>
    <row r="3231" spans="1:8" ht="15.75" customHeight="1">
      <c r="A3231" s="140" t="s">
        <v>77</v>
      </c>
      <c r="B3231" s="140" t="s">
        <v>22</v>
      </c>
      <c r="C3231" s="141" t="s">
        <v>566</v>
      </c>
      <c r="D3231" s="140" t="s">
        <v>567</v>
      </c>
      <c r="E3231" s="140">
        <v>1</v>
      </c>
      <c r="F3231" s="142">
        <v>45890.541666666672</v>
      </c>
      <c r="G3231" s="140" t="s">
        <v>843</v>
      </c>
      <c r="H3231" s="140" t="s">
        <v>870</v>
      </c>
    </row>
    <row r="3232" spans="1:8" ht="15.75" customHeight="1">
      <c r="A3232" s="140" t="s">
        <v>77</v>
      </c>
      <c r="B3232" s="140" t="s">
        <v>22</v>
      </c>
      <c r="C3232" s="141" t="s">
        <v>566</v>
      </c>
      <c r="D3232" s="140" t="s">
        <v>567</v>
      </c>
      <c r="E3232" s="140">
        <v>2</v>
      </c>
      <c r="F3232" s="142">
        <v>45897.583333333328</v>
      </c>
      <c r="G3232" s="140" t="s">
        <v>845</v>
      </c>
      <c r="H3232" s="140" t="s">
        <v>870</v>
      </c>
    </row>
    <row r="3233" spans="1:8" ht="15.75" customHeight="1">
      <c r="A3233" s="140" t="s">
        <v>77</v>
      </c>
      <c r="B3233" s="140" t="s">
        <v>22</v>
      </c>
      <c r="C3233" s="141" t="s">
        <v>566</v>
      </c>
      <c r="D3233" s="140" t="s">
        <v>567</v>
      </c>
      <c r="E3233" s="140">
        <v>3</v>
      </c>
      <c r="F3233" s="142">
        <v>45911.583333333328</v>
      </c>
      <c r="G3233" s="140" t="s">
        <v>843</v>
      </c>
      <c r="H3233" s="140" t="s">
        <v>870</v>
      </c>
    </row>
    <row r="3234" spans="1:8" ht="15.75" customHeight="1">
      <c r="A3234" s="140" t="s">
        <v>77</v>
      </c>
      <c r="B3234" s="140" t="s">
        <v>22</v>
      </c>
      <c r="C3234" s="141" t="s">
        <v>566</v>
      </c>
      <c r="D3234" s="140" t="s">
        <v>567</v>
      </c>
      <c r="E3234" s="140">
        <v>5</v>
      </c>
      <c r="F3234" s="142">
        <v>45925.583333333328</v>
      </c>
      <c r="G3234" s="140" t="s">
        <v>843</v>
      </c>
      <c r="H3234" s="140" t="s">
        <v>870</v>
      </c>
    </row>
    <row r="3235" spans="1:8" ht="15.75" customHeight="1">
      <c r="A3235" s="140" t="s">
        <v>77</v>
      </c>
      <c r="B3235" s="140" t="s">
        <v>22</v>
      </c>
      <c r="C3235" s="141" t="s">
        <v>566</v>
      </c>
      <c r="D3235" s="140" t="s">
        <v>567</v>
      </c>
      <c r="E3235" s="140">
        <v>6</v>
      </c>
      <c r="F3235" s="142">
        <v>45932.583333333328</v>
      </c>
      <c r="G3235" s="140" t="s">
        <v>843</v>
      </c>
      <c r="H3235" s="140" t="s">
        <v>870</v>
      </c>
    </row>
    <row r="3236" spans="1:8" ht="15.75" customHeight="1">
      <c r="A3236" s="140" t="s">
        <v>77</v>
      </c>
      <c r="B3236" s="140" t="s">
        <v>22</v>
      </c>
      <c r="C3236" s="141" t="s">
        <v>566</v>
      </c>
      <c r="D3236" s="140" t="s">
        <v>567</v>
      </c>
      <c r="E3236" s="140">
        <v>7</v>
      </c>
      <c r="F3236" s="142">
        <v>45946.583333333328</v>
      </c>
      <c r="G3236" s="140" t="s">
        <v>843</v>
      </c>
      <c r="H3236" s="140" t="s">
        <v>870</v>
      </c>
    </row>
    <row r="3237" spans="1:8" ht="15.75" customHeight="1">
      <c r="A3237" s="140" t="s">
        <v>77</v>
      </c>
      <c r="B3237" s="140" t="s">
        <v>22</v>
      </c>
      <c r="C3237" s="141" t="s">
        <v>566</v>
      </c>
      <c r="D3237" s="140" t="s">
        <v>567</v>
      </c>
      <c r="E3237" s="140">
        <v>8</v>
      </c>
      <c r="F3237" s="142">
        <v>45953.583333333328</v>
      </c>
      <c r="G3237" s="140" t="s">
        <v>843</v>
      </c>
      <c r="H3237" s="140" t="s">
        <v>870</v>
      </c>
    </row>
    <row r="3238" spans="1:8" ht="15.75" customHeight="1">
      <c r="A3238" s="140" t="s">
        <v>77</v>
      </c>
      <c r="B3238" s="140" t="s">
        <v>22</v>
      </c>
      <c r="C3238" s="141" t="s">
        <v>566</v>
      </c>
      <c r="D3238" s="140" t="s">
        <v>567</v>
      </c>
      <c r="E3238" s="140">
        <v>9</v>
      </c>
      <c r="F3238" s="142">
        <v>45960.583333333328</v>
      </c>
      <c r="G3238" s="140" t="s">
        <v>843</v>
      </c>
      <c r="H3238" s="140" t="s">
        <v>870</v>
      </c>
    </row>
    <row r="3239" spans="1:8" ht="15.75" customHeight="1">
      <c r="A3239" s="140" t="s">
        <v>77</v>
      </c>
      <c r="B3239" s="140" t="s">
        <v>22</v>
      </c>
      <c r="C3239" s="141" t="s">
        <v>566</v>
      </c>
      <c r="D3239" s="140" t="s">
        <v>567</v>
      </c>
      <c r="E3239" s="140">
        <v>10</v>
      </c>
      <c r="F3239" s="142">
        <v>45966.583333333328</v>
      </c>
      <c r="G3239" s="140" t="s">
        <v>843</v>
      </c>
      <c r="H3239" s="140" t="s">
        <v>870</v>
      </c>
    </row>
    <row r="3240" spans="1:8" ht="15.75" customHeight="1">
      <c r="A3240" s="140" t="s">
        <v>77</v>
      </c>
      <c r="B3240" s="140" t="s">
        <v>22</v>
      </c>
      <c r="C3240" s="141" t="s">
        <v>566</v>
      </c>
      <c r="D3240" s="140" t="s">
        <v>567</v>
      </c>
      <c r="E3240" s="140">
        <v>11</v>
      </c>
      <c r="F3240" s="142">
        <v>45982.583333333328</v>
      </c>
      <c r="G3240" s="140" t="s">
        <v>843</v>
      </c>
      <c r="H3240" s="140" t="s">
        <v>870</v>
      </c>
    </row>
    <row r="3241" spans="1:8" ht="15.75" customHeight="1">
      <c r="A3241" s="140" t="s">
        <v>77</v>
      </c>
      <c r="B3241" s="140" t="s">
        <v>22</v>
      </c>
      <c r="C3241" s="141" t="s">
        <v>566</v>
      </c>
      <c r="D3241" s="140" t="s">
        <v>567</v>
      </c>
      <c r="E3241" s="140">
        <v>12</v>
      </c>
      <c r="F3241" s="142">
        <v>45988.583333333328</v>
      </c>
      <c r="G3241" s="140" t="s">
        <v>843</v>
      </c>
      <c r="H3241" s="140" t="s">
        <v>870</v>
      </c>
    </row>
    <row r="3242" spans="1:8" ht="15.75" customHeight="1">
      <c r="A3242" s="140" t="s">
        <v>77</v>
      </c>
      <c r="B3242" s="140" t="s">
        <v>22</v>
      </c>
      <c r="C3242" s="141" t="s">
        <v>566</v>
      </c>
      <c r="D3242" s="140" t="s">
        <v>567</v>
      </c>
      <c r="E3242" s="140">
        <v>13</v>
      </c>
      <c r="F3242" s="142">
        <v>45995.583333333328</v>
      </c>
      <c r="G3242" s="140" t="s">
        <v>843</v>
      </c>
      <c r="H3242" s="140" t="s">
        <v>870</v>
      </c>
    </row>
    <row r="3243" spans="1:8" ht="15.75" customHeight="1">
      <c r="A3243" s="140" t="s">
        <v>77</v>
      </c>
      <c r="B3243" s="140" t="s">
        <v>22</v>
      </c>
      <c r="C3243" s="141" t="s">
        <v>566</v>
      </c>
      <c r="D3243" s="140" t="s">
        <v>567</v>
      </c>
      <c r="E3243" s="140">
        <v>14</v>
      </c>
      <c r="F3243" s="142">
        <v>45999.458333333328</v>
      </c>
      <c r="G3243" s="140" t="s">
        <v>843</v>
      </c>
      <c r="H3243" s="140" t="s">
        <v>870</v>
      </c>
    </row>
    <row r="3244" spans="1:8" ht="15.75" customHeight="1">
      <c r="A3244" s="140" t="s">
        <v>77</v>
      </c>
      <c r="B3244" s="140" t="s">
        <v>22</v>
      </c>
      <c r="C3244" s="141" t="s">
        <v>566</v>
      </c>
      <c r="D3244" s="140" t="s">
        <v>567</v>
      </c>
      <c r="E3244" s="140">
        <v>15</v>
      </c>
      <c r="F3244" s="142">
        <v>46014.625</v>
      </c>
      <c r="G3244" s="140" t="s">
        <v>843</v>
      </c>
      <c r="H3244" s="140" t="s">
        <v>870</v>
      </c>
    </row>
    <row r="3245" spans="1:8" ht="15.75" customHeight="1">
      <c r="A3245" s="140" t="s">
        <v>77</v>
      </c>
      <c r="B3245" s="140" t="s">
        <v>22</v>
      </c>
      <c r="C3245" s="141" t="s">
        <v>566</v>
      </c>
      <c r="D3245" s="140" t="s">
        <v>567</v>
      </c>
      <c r="E3245" s="140">
        <v>16</v>
      </c>
      <c r="F3245" s="142">
        <v>46044.541666666672</v>
      </c>
      <c r="G3245" s="140" t="s">
        <v>843</v>
      </c>
      <c r="H3245" s="140" t="s">
        <v>870</v>
      </c>
    </row>
    <row r="3246" spans="1:8" ht="15.75" customHeight="1">
      <c r="A3246" s="140" t="s">
        <v>77</v>
      </c>
      <c r="B3246" s="140" t="s">
        <v>23</v>
      </c>
      <c r="C3246" s="141" t="s">
        <v>566</v>
      </c>
      <c r="D3246" s="140" t="s">
        <v>567</v>
      </c>
      <c r="E3246" s="140">
        <v>2</v>
      </c>
      <c r="F3246" s="142">
        <v>46107.583333333328</v>
      </c>
      <c r="G3246" s="140" t="s">
        <v>843</v>
      </c>
      <c r="H3246" s="140" t="s">
        <v>870</v>
      </c>
    </row>
    <row r="3247" spans="1:8" ht="15.75" customHeight="1">
      <c r="A3247" s="140" t="s">
        <v>77</v>
      </c>
      <c r="B3247" s="140" t="s">
        <v>23</v>
      </c>
      <c r="C3247" s="141" t="s">
        <v>566</v>
      </c>
      <c r="D3247" s="140" t="s">
        <v>567</v>
      </c>
      <c r="E3247" s="140">
        <v>3</v>
      </c>
      <c r="F3247" s="142">
        <v>46114.583333333328</v>
      </c>
      <c r="G3247" s="140" t="s">
        <v>843</v>
      </c>
      <c r="H3247" s="140" t="s">
        <v>870</v>
      </c>
    </row>
    <row r="3248" spans="1:8" ht="15.75" customHeight="1">
      <c r="A3248" s="140" t="s">
        <v>77</v>
      </c>
      <c r="B3248" s="140" t="s">
        <v>23</v>
      </c>
      <c r="C3248" s="141" t="s">
        <v>566</v>
      </c>
      <c r="D3248" s="140" t="s">
        <v>567</v>
      </c>
      <c r="E3248" s="140">
        <v>4</v>
      </c>
      <c r="F3248" s="142">
        <v>46121.583333333328</v>
      </c>
      <c r="G3248" s="140" t="s">
        <v>843</v>
      </c>
      <c r="H3248" s="140" t="s">
        <v>870</v>
      </c>
    </row>
    <row r="3249" spans="1:8" ht="15.75" customHeight="1">
      <c r="A3249" s="140" t="s">
        <v>77</v>
      </c>
      <c r="B3249" s="140" t="s">
        <v>23</v>
      </c>
      <c r="C3249" s="141" t="s">
        <v>566</v>
      </c>
      <c r="D3249" s="140" t="s">
        <v>567</v>
      </c>
      <c r="E3249" s="140">
        <v>5</v>
      </c>
      <c r="F3249" s="142">
        <v>46128.583333333328</v>
      </c>
      <c r="G3249" s="140" t="s">
        <v>843</v>
      </c>
      <c r="H3249" s="140" t="s">
        <v>870</v>
      </c>
    </row>
    <row r="3250" spans="1:8" ht="15.75" customHeight="1">
      <c r="A3250" s="140" t="s">
        <v>77</v>
      </c>
      <c r="B3250" s="140" t="s">
        <v>23</v>
      </c>
      <c r="C3250" s="141" t="s">
        <v>566</v>
      </c>
      <c r="D3250" s="140" t="s">
        <v>567</v>
      </c>
      <c r="E3250" s="140">
        <v>6</v>
      </c>
      <c r="F3250" s="142">
        <v>46135.583333333328</v>
      </c>
      <c r="G3250" s="140" t="s">
        <v>843</v>
      </c>
      <c r="H3250" s="140" t="s">
        <v>870</v>
      </c>
    </row>
    <row r="3251" spans="1:8" ht="15.75" customHeight="1">
      <c r="A3251" s="140" t="s">
        <v>78</v>
      </c>
      <c r="B3251" s="140" t="s">
        <v>21</v>
      </c>
      <c r="C3251" s="141" t="s">
        <v>182</v>
      </c>
      <c r="D3251" s="140" t="s">
        <v>183</v>
      </c>
      <c r="E3251" s="140">
        <v>1</v>
      </c>
      <c r="F3251" s="142">
        <v>45638.458333333328</v>
      </c>
      <c r="G3251" s="140" t="s">
        <v>845</v>
      </c>
      <c r="H3251" s="140" t="s">
        <v>871</v>
      </c>
    </row>
    <row r="3252" spans="1:8" ht="15.75" customHeight="1">
      <c r="A3252" s="140" t="s">
        <v>78</v>
      </c>
      <c r="B3252" s="140" t="s">
        <v>21</v>
      </c>
      <c r="C3252" s="141" t="s">
        <v>182</v>
      </c>
      <c r="D3252" s="140" t="s">
        <v>183</v>
      </c>
      <c r="E3252" s="140">
        <v>2</v>
      </c>
      <c r="F3252" s="142">
        <v>45659.458333333328</v>
      </c>
      <c r="G3252" s="140" t="s">
        <v>845</v>
      </c>
      <c r="H3252" s="140" t="s">
        <v>871</v>
      </c>
    </row>
    <row r="3253" spans="1:8" ht="15.75" customHeight="1">
      <c r="A3253" s="140" t="s">
        <v>78</v>
      </c>
      <c r="B3253" s="140" t="s">
        <v>21</v>
      </c>
      <c r="C3253" s="141" t="s">
        <v>182</v>
      </c>
      <c r="D3253" s="140" t="s">
        <v>183</v>
      </c>
      <c r="E3253" s="140">
        <v>3</v>
      </c>
      <c r="F3253" s="142">
        <v>45677.458333333328</v>
      </c>
      <c r="G3253" s="140" t="s">
        <v>845</v>
      </c>
      <c r="H3253" s="140" t="s">
        <v>871</v>
      </c>
    </row>
    <row r="3254" spans="1:8" ht="15.75" customHeight="1">
      <c r="A3254" s="140" t="s">
        <v>78</v>
      </c>
      <c r="B3254" s="140" t="s">
        <v>21</v>
      </c>
      <c r="C3254" s="141" t="s">
        <v>182</v>
      </c>
      <c r="D3254" s="140" t="s">
        <v>183</v>
      </c>
      <c r="E3254" s="140">
        <v>4</v>
      </c>
      <c r="F3254" s="142">
        <v>45692.458333333328</v>
      </c>
      <c r="G3254" s="140" t="s">
        <v>845</v>
      </c>
      <c r="H3254" s="140" t="s">
        <v>871</v>
      </c>
    </row>
    <row r="3255" spans="1:8" ht="15.75" customHeight="1">
      <c r="A3255" s="140" t="s">
        <v>78</v>
      </c>
      <c r="B3255" s="140" t="s">
        <v>21</v>
      </c>
      <c r="C3255" s="141" t="s">
        <v>182</v>
      </c>
      <c r="D3255" s="140" t="s">
        <v>183</v>
      </c>
      <c r="E3255" s="140">
        <v>5</v>
      </c>
      <c r="F3255" s="142">
        <v>45768.541666666672</v>
      </c>
      <c r="G3255" s="140" t="s">
        <v>845</v>
      </c>
      <c r="H3255" s="140" t="s">
        <v>871</v>
      </c>
    </row>
    <row r="3256" spans="1:8" ht="15.75" customHeight="1">
      <c r="A3256" s="140" t="s">
        <v>78</v>
      </c>
      <c r="B3256" s="140" t="s">
        <v>21</v>
      </c>
      <c r="C3256" s="141" t="s">
        <v>182</v>
      </c>
      <c r="D3256" s="140" t="s">
        <v>183</v>
      </c>
      <c r="E3256" s="140">
        <v>6</v>
      </c>
      <c r="F3256" s="142">
        <v>45817.541666666672</v>
      </c>
      <c r="G3256" s="140" t="s">
        <v>845</v>
      </c>
      <c r="H3256" s="140" t="s">
        <v>871</v>
      </c>
    </row>
    <row r="3257" spans="1:8" ht="15.75" customHeight="1">
      <c r="A3257" s="140" t="s">
        <v>78</v>
      </c>
      <c r="B3257" s="140" t="s">
        <v>21</v>
      </c>
      <c r="C3257" s="141" t="s">
        <v>182</v>
      </c>
      <c r="D3257" s="140" t="s">
        <v>183</v>
      </c>
      <c r="E3257" s="140">
        <v>7</v>
      </c>
      <c r="F3257" s="142">
        <v>45831.583333333328</v>
      </c>
      <c r="G3257" s="140" t="s">
        <v>845</v>
      </c>
      <c r="H3257" s="140" t="s">
        <v>871</v>
      </c>
    </row>
    <row r="3258" spans="1:8" ht="15.75" customHeight="1">
      <c r="A3258" s="140" t="s">
        <v>78</v>
      </c>
      <c r="B3258" s="140" t="s">
        <v>21</v>
      </c>
      <c r="C3258" s="141" t="s">
        <v>182</v>
      </c>
      <c r="D3258" s="140" t="s">
        <v>183</v>
      </c>
      <c r="E3258" s="140">
        <v>8</v>
      </c>
      <c r="F3258" s="142">
        <v>45861.416666666672</v>
      </c>
      <c r="G3258" s="140" t="s">
        <v>845</v>
      </c>
      <c r="H3258" s="140" t="s">
        <v>871</v>
      </c>
    </row>
    <row r="3259" spans="1:8" ht="15.75" customHeight="1">
      <c r="A3259" s="140" t="s">
        <v>78</v>
      </c>
      <c r="B3259" s="140" t="s">
        <v>21</v>
      </c>
      <c r="C3259" s="141" t="s">
        <v>182</v>
      </c>
      <c r="D3259" s="140" t="s">
        <v>183</v>
      </c>
      <c r="E3259" s="140">
        <v>9</v>
      </c>
      <c r="F3259" s="142">
        <v>45861.458333333328</v>
      </c>
      <c r="G3259" s="140" t="s">
        <v>845</v>
      </c>
      <c r="H3259" s="140" t="s">
        <v>871</v>
      </c>
    </row>
    <row r="3260" spans="1:8" ht="15.75" customHeight="1">
      <c r="A3260" s="140" t="s">
        <v>78</v>
      </c>
      <c r="B3260" s="140" t="s">
        <v>21</v>
      </c>
      <c r="C3260" s="141" t="s">
        <v>182</v>
      </c>
      <c r="D3260" s="140" t="s">
        <v>183</v>
      </c>
      <c r="E3260" s="140">
        <v>10</v>
      </c>
      <c r="F3260" s="142">
        <v>45887.541666666672</v>
      </c>
      <c r="G3260" s="140" t="s">
        <v>845</v>
      </c>
      <c r="H3260" s="140" t="s">
        <v>871</v>
      </c>
    </row>
    <row r="3261" spans="1:8" ht="15.75" customHeight="1">
      <c r="A3261" s="140" t="s">
        <v>78</v>
      </c>
      <c r="B3261" s="140" t="s">
        <v>21</v>
      </c>
      <c r="C3261" s="141" t="s">
        <v>259</v>
      </c>
      <c r="D3261" s="140" t="s">
        <v>260</v>
      </c>
      <c r="E3261" s="140">
        <v>1</v>
      </c>
      <c r="F3261" s="142">
        <v>45638.458333333328</v>
      </c>
      <c r="G3261" s="140" t="s">
        <v>845</v>
      </c>
      <c r="H3261" s="140" t="s">
        <v>871</v>
      </c>
    </row>
    <row r="3262" spans="1:8" ht="15.75" customHeight="1">
      <c r="A3262" s="140" t="s">
        <v>78</v>
      </c>
      <c r="B3262" s="140" t="s">
        <v>21</v>
      </c>
      <c r="C3262" s="141" t="s">
        <v>259</v>
      </c>
      <c r="D3262" s="140" t="s">
        <v>260</v>
      </c>
      <c r="E3262" s="140">
        <v>2</v>
      </c>
      <c r="F3262" s="142">
        <v>45659.458333333328</v>
      </c>
      <c r="G3262" s="140" t="s">
        <v>845</v>
      </c>
      <c r="H3262" s="140" t="s">
        <v>871</v>
      </c>
    </row>
    <row r="3263" spans="1:8" ht="15.75" customHeight="1">
      <c r="A3263" s="140" t="s">
        <v>78</v>
      </c>
      <c r="B3263" s="140" t="s">
        <v>21</v>
      </c>
      <c r="C3263" s="141" t="s">
        <v>259</v>
      </c>
      <c r="D3263" s="140" t="s">
        <v>260</v>
      </c>
      <c r="E3263" s="140">
        <v>3</v>
      </c>
      <c r="F3263" s="142">
        <v>45677.458333333328</v>
      </c>
      <c r="G3263" s="140" t="s">
        <v>845</v>
      </c>
      <c r="H3263" s="140" t="s">
        <v>871</v>
      </c>
    </row>
    <row r="3264" spans="1:8" ht="15.75" customHeight="1">
      <c r="A3264" s="140" t="s">
        <v>78</v>
      </c>
      <c r="B3264" s="140" t="s">
        <v>21</v>
      </c>
      <c r="C3264" s="141" t="s">
        <v>259</v>
      </c>
      <c r="D3264" s="140" t="s">
        <v>260</v>
      </c>
      <c r="E3264" s="140">
        <v>4</v>
      </c>
      <c r="F3264" s="142">
        <v>45692.458333333328</v>
      </c>
      <c r="G3264" s="140" t="s">
        <v>845</v>
      </c>
      <c r="H3264" s="140" t="s">
        <v>871</v>
      </c>
    </row>
    <row r="3265" spans="1:8" ht="15.75" customHeight="1">
      <c r="A3265" s="140" t="s">
        <v>78</v>
      </c>
      <c r="B3265" s="140" t="s">
        <v>21</v>
      </c>
      <c r="C3265" s="141" t="s">
        <v>259</v>
      </c>
      <c r="D3265" s="140" t="s">
        <v>260</v>
      </c>
      <c r="E3265" s="140">
        <v>5</v>
      </c>
      <c r="F3265" s="142">
        <v>45768.541666666672</v>
      </c>
      <c r="G3265" s="140" t="s">
        <v>845</v>
      </c>
      <c r="H3265" s="140" t="s">
        <v>871</v>
      </c>
    </row>
    <row r="3266" spans="1:8" ht="15.75" customHeight="1">
      <c r="A3266" s="140" t="s">
        <v>78</v>
      </c>
      <c r="B3266" s="140" t="s">
        <v>21</v>
      </c>
      <c r="C3266" s="141" t="s">
        <v>259</v>
      </c>
      <c r="D3266" s="140" t="s">
        <v>260</v>
      </c>
      <c r="E3266" s="140">
        <v>6</v>
      </c>
      <c r="F3266" s="142">
        <v>45817.541666666672</v>
      </c>
      <c r="G3266" s="140" t="s">
        <v>845</v>
      </c>
      <c r="H3266" s="140" t="s">
        <v>871</v>
      </c>
    </row>
    <row r="3267" spans="1:8" ht="15.75" customHeight="1">
      <c r="A3267" s="140" t="s">
        <v>78</v>
      </c>
      <c r="B3267" s="140" t="s">
        <v>21</v>
      </c>
      <c r="C3267" s="141" t="s">
        <v>259</v>
      </c>
      <c r="D3267" s="140" t="s">
        <v>260</v>
      </c>
      <c r="E3267" s="140">
        <v>7</v>
      </c>
      <c r="F3267" s="142">
        <v>45831.583333333328</v>
      </c>
      <c r="G3267" s="140" t="s">
        <v>843</v>
      </c>
      <c r="H3267" s="140" t="s">
        <v>871</v>
      </c>
    </row>
    <row r="3268" spans="1:8" ht="15.75" customHeight="1">
      <c r="A3268" s="140" t="s">
        <v>78</v>
      </c>
      <c r="B3268" s="140" t="s">
        <v>21</v>
      </c>
      <c r="C3268" s="141" t="s">
        <v>259</v>
      </c>
      <c r="D3268" s="140" t="s">
        <v>260</v>
      </c>
      <c r="E3268" s="140">
        <v>8</v>
      </c>
      <c r="F3268" s="142">
        <v>45861.416666666672</v>
      </c>
      <c r="G3268" s="140" t="s">
        <v>843</v>
      </c>
      <c r="H3268" s="140" t="s">
        <v>871</v>
      </c>
    </row>
    <row r="3269" spans="1:8" ht="15.75" customHeight="1">
      <c r="A3269" s="140" t="s">
        <v>78</v>
      </c>
      <c r="B3269" s="140" t="s">
        <v>21</v>
      </c>
      <c r="C3269" s="141" t="s">
        <v>259</v>
      </c>
      <c r="D3269" s="140" t="s">
        <v>260</v>
      </c>
      <c r="E3269" s="140">
        <v>9</v>
      </c>
      <c r="F3269" s="142">
        <v>45861.458333333328</v>
      </c>
      <c r="G3269" s="140" t="s">
        <v>843</v>
      </c>
      <c r="H3269" s="140" t="s">
        <v>871</v>
      </c>
    </row>
    <row r="3270" spans="1:8" ht="15.75" customHeight="1">
      <c r="A3270" s="140" t="s">
        <v>78</v>
      </c>
      <c r="B3270" s="140" t="s">
        <v>21</v>
      </c>
      <c r="C3270" s="141" t="s">
        <v>259</v>
      </c>
      <c r="D3270" s="140" t="s">
        <v>260</v>
      </c>
      <c r="E3270" s="140">
        <v>10</v>
      </c>
      <c r="F3270" s="142">
        <v>45887.541666666672</v>
      </c>
      <c r="G3270" s="140" t="s">
        <v>845</v>
      </c>
      <c r="H3270" s="140" t="s">
        <v>871</v>
      </c>
    </row>
    <row r="3271" spans="1:8" ht="15.75" customHeight="1">
      <c r="A3271" s="140" t="s">
        <v>78</v>
      </c>
      <c r="B3271" s="140" t="s">
        <v>21</v>
      </c>
      <c r="C3271" s="141" t="s">
        <v>261</v>
      </c>
      <c r="D3271" s="140" t="s">
        <v>262</v>
      </c>
      <c r="E3271" s="140">
        <v>1</v>
      </c>
      <c r="F3271" s="142">
        <v>45638.458333333328</v>
      </c>
      <c r="G3271" s="140" t="s">
        <v>845</v>
      </c>
      <c r="H3271" s="140" t="s">
        <v>871</v>
      </c>
    </row>
    <row r="3272" spans="1:8" ht="15.75" customHeight="1">
      <c r="A3272" s="140" t="s">
        <v>78</v>
      </c>
      <c r="B3272" s="140" t="s">
        <v>21</v>
      </c>
      <c r="C3272" s="141" t="s">
        <v>261</v>
      </c>
      <c r="D3272" s="140" t="s">
        <v>262</v>
      </c>
      <c r="E3272" s="140">
        <v>2</v>
      </c>
      <c r="F3272" s="142">
        <v>45659.458333333328</v>
      </c>
      <c r="G3272" s="140" t="s">
        <v>845</v>
      </c>
      <c r="H3272" s="140" t="s">
        <v>871</v>
      </c>
    </row>
    <row r="3273" spans="1:8" ht="15.75" customHeight="1">
      <c r="A3273" s="140" t="s">
        <v>78</v>
      </c>
      <c r="B3273" s="140" t="s">
        <v>21</v>
      </c>
      <c r="C3273" s="141" t="s">
        <v>261</v>
      </c>
      <c r="D3273" s="140" t="s">
        <v>262</v>
      </c>
      <c r="E3273" s="140">
        <v>3</v>
      </c>
      <c r="F3273" s="142">
        <v>45677.458333333328</v>
      </c>
      <c r="G3273" s="140" t="s">
        <v>845</v>
      </c>
      <c r="H3273" s="140" t="s">
        <v>871</v>
      </c>
    </row>
    <row r="3274" spans="1:8" ht="15.75" customHeight="1">
      <c r="A3274" s="140" t="s">
        <v>78</v>
      </c>
      <c r="B3274" s="140" t="s">
        <v>21</v>
      </c>
      <c r="C3274" s="141" t="s">
        <v>261</v>
      </c>
      <c r="D3274" s="140" t="s">
        <v>262</v>
      </c>
      <c r="E3274" s="140">
        <v>4</v>
      </c>
      <c r="F3274" s="142">
        <v>45692.458333333328</v>
      </c>
      <c r="G3274" s="140" t="s">
        <v>845</v>
      </c>
      <c r="H3274" s="140" t="s">
        <v>871</v>
      </c>
    </row>
    <row r="3275" spans="1:8" ht="15.75" customHeight="1">
      <c r="A3275" s="140" t="s">
        <v>78</v>
      </c>
      <c r="B3275" s="140" t="s">
        <v>21</v>
      </c>
      <c r="C3275" s="141" t="s">
        <v>261</v>
      </c>
      <c r="D3275" s="140" t="s">
        <v>262</v>
      </c>
      <c r="E3275" s="140">
        <v>5</v>
      </c>
      <c r="F3275" s="142">
        <v>45768.541666666672</v>
      </c>
      <c r="G3275" s="140" t="s">
        <v>843</v>
      </c>
      <c r="H3275" s="140" t="s">
        <v>871</v>
      </c>
    </row>
    <row r="3276" spans="1:8" ht="15.75" customHeight="1">
      <c r="A3276" s="140" t="s">
        <v>78</v>
      </c>
      <c r="B3276" s="140" t="s">
        <v>21</v>
      </c>
      <c r="C3276" s="141" t="s">
        <v>261</v>
      </c>
      <c r="D3276" s="140" t="s">
        <v>262</v>
      </c>
      <c r="E3276" s="140">
        <v>6</v>
      </c>
      <c r="F3276" s="142">
        <v>45817.541666666672</v>
      </c>
      <c r="G3276" s="140" t="s">
        <v>845</v>
      </c>
      <c r="H3276" s="140" t="s">
        <v>871</v>
      </c>
    </row>
    <row r="3277" spans="1:8" ht="15.75" customHeight="1">
      <c r="A3277" s="140" t="s">
        <v>78</v>
      </c>
      <c r="B3277" s="140" t="s">
        <v>21</v>
      </c>
      <c r="C3277" s="141" t="s">
        <v>261</v>
      </c>
      <c r="D3277" s="140" t="s">
        <v>262</v>
      </c>
      <c r="E3277" s="140">
        <v>7</v>
      </c>
      <c r="F3277" s="142">
        <v>45831.583333333328</v>
      </c>
      <c r="G3277" s="140" t="s">
        <v>843</v>
      </c>
      <c r="H3277" s="140" t="s">
        <v>871</v>
      </c>
    </row>
    <row r="3278" spans="1:8" ht="15.75" customHeight="1">
      <c r="A3278" s="140" t="s">
        <v>78</v>
      </c>
      <c r="B3278" s="140" t="s">
        <v>21</v>
      </c>
      <c r="C3278" s="141" t="s">
        <v>261</v>
      </c>
      <c r="D3278" s="140" t="s">
        <v>262</v>
      </c>
      <c r="E3278" s="140">
        <v>8</v>
      </c>
      <c r="F3278" s="142">
        <v>45861.416666666672</v>
      </c>
      <c r="G3278" s="140" t="s">
        <v>843</v>
      </c>
      <c r="H3278" s="140" t="s">
        <v>871</v>
      </c>
    </row>
    <row r="3279" spans="1:8" ht="15.75" customHeight="1">
      <c r="A3279" s="140" t="s">
        <v>78</v>
      </c>
      <c r="B3279" s="140" t="s">
        <v>21</v>
      </c>
      <c r="C3279" s="141" t="s">
        <v>261</v>
      </c>
      <c r="D3279" s="140" t="s">
        <v>262</v>
      </c>
      <c r="E3279" s="140">
        <v>9</v>
      </c>
      <c r="F3279" s="142">
        <v>45861.458333333328</v>
      </c>
      <c r="G3279" s="140" t="s">
        <v>843</v>
      </c>
      <c r="H3279" s="140" t="s">
        <v>871</v>
      </c>
    </row>
    <row r="3280" spans="1:8" ht="15.75" customHeight="1">
      <c r="A3280" s="140" t="s">
        <v>78</v>
      </c>
      <c r="B3280" s="140" t="s">
        <v>21</v>
      </c>
      <c r="C3280" s="141" t="s">
        <v>261</v>
      </c>
      <c r="D3280" s="140" t="s">
        <v>262</v>
      </c>
      <c r="E3280" s="140">
        <v>10</v>
      </c>
      <c r="F3280" s="142">
        <v>45887.541666666672</v>
      </c>
      <c r="G3280" s="140" t="s">
        <v>843</v>
      </c>
      <c r="H3280" s="140" t="s">
        <v>871</v>
      </c>
    </row>
    <row r="3281" spans="1:8" ht="15.75" customHeight="1">
      <c r="A3281" s="140" t="s">
        <v>78</v>
      </c>
      <c r="B3281" s="140" t="s">
        <v>21</v>
      </c>
      <c r="C3281" s="141" t="s">
        <v>423</v>
      </c>
      <c r="D3281" s="140" t="s">
        <v>424</v>
      </c>
      <c r="E3281" s="140">
        <v>1</v>
      </c>
      <c r="F3281" s="142">
        <v>45638.458333333328</v>
      </c>
      <c r="G3281" s="140" t="s">
        <v>845</v>
      </c>
      <c r="H3281" s="140" t="s">
        <v>871</v>
      </c>
    </row>
    <row r="3282" spans="1:8" ht="15.75" customHeight="1">
      <c r="A3282" s="140" t="s">
        <v>78</v>
      </c>
      <c r="B3282" s="140" t="s">
        <v>21</v>
      </c>
      <c r="C3282" s="141" t="s">
        <v>423</v>
      </c>
      <c r="D3282" s="140" t="s">
        <v>424</v>
      </c>
      <c r="E3282" s="140">
        <v>2</v>
      </c>
      <c r="F3282" s="142">
        <v>45659.458333333328</v>
      </c>
      <c r="G3282" s="140" t="s">
        <v>845</v>
      </c>
      <c r="H3282" s="140" t="s">
        <v>871</v>
      </c>
    </row>
    <row r="3283" spans="1:8" ht="15.75" customHeight="1">
      <c r="A3283" s="140" t="s">
        <v>78</v>
      </c>
      <c r="B3283" s="140" t="s">
        <v>21</v>
      </c>
      <c r="C3283" s="141" t="s">
        <v>423</v>
      </c>
      <c r="D3283" s="140" t="s">
        <v>424</v>
      </c>
      <c r="E3283" s="140">
        <v>3</v>
      </c>
      <c r="F3283" s="142">
        <v>45677.458333333328</v>
      </c>
      <c r="G3283" s="140" t="s">
        <v>845</v>
      </c>
      <c r="H3283" s="140" t="s">
        <v>871</v>
      </c>
    </row>
    <row r="3284" spans="1:8" ht="15.75" customHeight="1">
      <c r="A3284" s="140" t="s">
        <v>78</v>
      </c>
      <c r="B3284" s="140" t="s">
        <v>21</v>
      </c>
      <c r="C3284" s="141" t="s">
        <v>423</v>
      </c>
      <c r="D3284" s="140" t="s">
        <v>424</v>
      </c>
      <c r="E3284" s="140">
        <v>4</v>
      </c>
      <c r="F3284" s="142">
        <v>45692.458333333328</v>
      </c>
      <c r="G3284" s="140" t="s">
        <v>845</v>
      </c>
      <c r="H3284" s="140" t="s">
        <v>871</v>
      </c>
    </row>
    <row r="3285" spans="1:8" ht="15.75" customHeight="1">
      <c r="A3285" s="140" t="s">
        <v>78</v>
      </c>
      <c r="B3285" s="140" t="s">
        <v>21</v>
      </c>
      <c r="C3285" s="141" t="s">
        <v>423</v>
      </c>
      <c r="D3285" s="140" t="s">
        <v>424</v>
      </c>
      <c r="E3285" s="140">
        <v>5</v>
      </c>
      <c r="F3285" s="142">
        <v>45768.541666666672</v>
      </c>
      <c r="G3285" s="140" t="s">
        <v>845</v>
      </c>
      <c r="H3285" s="140" t="s">
        <v>871</v>
      </c>
    </row>
    <row r="3286" spans="1:8" ht="15.75" customHeight="1">
      <c r="A3286" s="140" t="s">
        <v>78</v>
      </c>
      <c r="B3286" s="140" t="s">
        <v>21</v>
      </c>
      <c r="C3286" s="141" t="s">
        <v>423</v>
      </c>
      <c r="D3286" s="140" t="s">
        <v>424</v>
      </c>
      <c r="E3286" s="140">
        <v>6</v>
      </c>
      <c r="F3286" s="142">
        <v>45817.541666666672</v>
      </c>
      <c r="G3286" s="140" t="s">
        <v>845</v>
      </c>
      <c r="H3286" s="140" t="s">
        <v>871</v>
      </c>
    </row>
    <row r="3287" spans="1:8" ht="15.75" customHeight="1">
      <c r="A3287" s="140" t="s">
        <v>78</v>
      </c>
      <c r="B3287" s="140" t="s">
        <v>21</v>
      </c>
      <c r="C3287" s="141" t="s">
        <v>423</v>
      </c>
      <c r="D3287" s="140" t="s">
        <v>424</v>
      </c>
      <c r="E3287" s="140">
        <v>7</v>
      </c>
      <c r="F3287" s="142">
        <v>45831.583333333328</v>
      </c>
      <c r="G3287" s="140" t="s">
        <v>845</v>
      </c>
      <c r="H3287" s="140" t="s">
        <v>871</v>
      </c>
    </row>
    <row r="3288" spans="1:8" ht="15.75" customHeight="1">
      <c r="A3288" s="140" t="s">
        <v>78</v>
      </c>
      <c r="B3288" s="140" t="s">
        <v>21</v>
      </c>
      <c r="C3288" s="141" t="s">
        <v>423</v>
      </c>
      <c r="D3288" s="140" t="s">
        <v>424</v>
      </c>
      <c r="E3288" s="140">
        <v>8</v>
      </c>
      <c r="F3288" s="142">
        <v>45861.416666666672</v>
      </c>
      <c r="G3288" s="140" t="s">
        <v>845</v>
      </c>
      <c r="H3288" s="140" t="s">
        <v>871</v>
      </c>
    </row>
    <row r="3289" spans="1:8" ht="15.75" customHeight="1">
      <c r="A3289" s="140" t="s">
        <v>78</v>
      </c>
      <c r="B3289" s="140" t="s">
        <v>21</v>
      </c>
      <c r="C3289" s="141" t="s">
        <v>423</v>
      </c>
      <c r="D3289" s="140" t="s">
        <v>424</v>
      </c>
      <c r="E3289" s="140">
        <v>9</v>
      </c>
      <c r="F3289" s="142">
        <v>45861.458333333328</v>
      </c>
      <c r="G3289" s="140" t="s">
        <v>845</v>
      </c>
      <c r="H3289" s="140" t="s">
        <v>871</v>
      </c>
    </row>
    <row r="3290" spans="1:8" ht="15.75" customHeight="1">
      <c r="A3290" s="140" t="s">
        <v>78</v>
      </c>
      <c r="B3290" s="140" t="s">
        <v>21</v>
      </c>
      <c r="C3290" s="141" t="s">
        <v>423</v>
      </c>
      <c r="D3290" s="140" t="s">
        <v>424</v>
      </c>
      <c r="E3290" s="140">
        <v>10</v>
      </c>
      <c r="F3290" s="142">
        <v>45887.541666666672</v>
      </c>
      <c r="G3290" s="140" t="s">
        <v>845</v>
      </c>
      <c r="H3290" s="140" t="s">
        <v>871</v>
      </c>
    </row>
    <row r="3291" spans="1:8" ht="15.75" customHeight="1">
      <c r="A3291" s="140" t="s">
        <v>78</v>
      </c>
      <c r="B3291" s="140" t="s">
        <v>21</v>
      </c>
      <c r="C3291" s="141" t="s">
        <v>711</v>
      </c>
      <c r="D3291" s="140" t="s">
        <v>712</v>
      </c>
      <c r="E3291" s="140">
        <v>1</v>
      </c>
      <c r="F3291" s="142">
        <v>45638.458333333328</v>
      </c>
      <c r="G3291" s="140" t="s">
        <v>845</v>
      </c>
      <c r="H3291" s="140" t="s">
        <v>871</v>
      </c>
    </row>
    <row r="3292" spans="1:8" ht="15.75" customHeight="1">
      <c r="A3292" s="140" t="s">
        <v>78</v>
      </c>
      <c r="B3292" s="140" t="s">
        <v>21</v>
      </c>
      <c r="C3292" s="141" t="s">
        <v>711</v>
      </c>
      <c r="D3292" s="140" t="s">
        <v>712</v>
      </c>
      <c r="E3292" s="140">
        <v>2</v>
      </c>
      <c r="F3292" s="142">
        <v>45659.458333333328</v>
      </c>
      <c r="G3292" s="140" t="s">
        <v>845</v>
      </c>
      <c r="H3292" s="140" t="s">
        <v>871</v>
      </c>
    </row>
    <row r="3293" spans="1:8" ht="15.75" customHeight="1">
      <c r="A3293" s="140" t="s">
        <v>78</v>
      </c>
      <c r="B3293" s="140" t="s">
        <v>21</v>
      </c>
      <c r="C3293" s="141" t="s">
        <v>711</v>
      </c>
      <c r="D3293" s="140" t="s">
        <v>712</v>
      </c>
      <c r="E3293" s="140">
        <v>3</v>
      </c>
      <c r="F3293" s="142">
        <v>45677.458333333328</v>
      </c>
      <c r="G3293" s="140" t="s">
        <v>845</v>
      </c>
      <c r="H3293" s="140" t="s">
        <v>871</v>
      </c>
    </row>
    <row r="3294" spans="1:8" ht="15.75" customHeight="1">
      <c r="A3294" s="140" t="s">
        <v>78</v>
      </c>
      <c r="B3294" s="140" t="s">
        <v>21</v>
      </c>
      <c r="C3294" s="141" t="s">
        <v>711</v>
      </c>
      <c r="D3294" s="140" t="s">
        <v>712</v>
      </c>
      <c r="E3294" s="140">
        <v>4</v>
      </c>
      <c r="F3294" s="142">
        <v>45692.458333333328</v>
      </c>
      <c r="G3294" s="140" t="s">
        <v>845</v>
      </c>
      <c r="H3294" s="140" t="s">
        <v>871</v>
      </c>
    </row>
    <row r="3295" spans="1:8" ht="15.75" customHeight="1">
      <c r="A3295" s="140" t="s">
        <v>78</v>
      </c>
      <c r="B3295" s="140" t="s">
        <v>21</v>
      </c>
      <c r="C3295" s="141" t="s">
        <v>711</v>
      </c>
      <c r="D3295" s="140" t="s">
        <v>712</v>
      </c>
      <c r="E3295" s="140">
        <v>5</v>
      </c>
      <c r="F3295" s="142">
        <v>45768.541666666672</v>
      </c>
      <c r="G3295" s="140" t="s">
        <v>845</v>
      </c>
      <c r="H3295" s="140" t="s">
        <v>871</v>
      </c>
    </row>
    <row r="3296" spans="1:8" ht="15.75" customHeight="1">
      <c r="A3296" s="140" t="s">
        <v>78</v>
      </c>
      <c r="B3296" s="140" t="s">
        <v>21</v>
      </c>
      <c r="C3296" s="141" t="s">
        <v>711</v>
      </c>
      <c r="D3296" s="140" t="s">
        <v>712</v>
      </c>
      <c r="E3296" s="140">
        <v>6</v>
      </c>
      <c r="F3296" s="142">
        <v>45817.541666666672</v>
      </c>
      <c r="G3296" s="140" t="s">
        <v>845</v>
      </c>
      <c r="H3296" s="140" t="s">
        <v>871</v>
      </c>
    </row>
    <row r="3297" spans="1:8" ht="15.75" customHeight="1">
      <c r="A3297" s="140" t="s">
        <v>78</v>
      </c>
      <c r="B3297" s="140" t="s">
        <v>21</v>
      </c>
      <c r="C3297" s="141" t="s">
        <v>711</v>
      </c>
      <c r="D3297" s="140" t="s">
        <v>712</v>
      </c>
      <c r="E3297" s="140">
        <v>7</v>
      </c>
      <c r="F3297" s="142">
        <v>45831.583333333328</v>
      </c>
      <c r="G3297" s="140" t="s">
        <v>845</v>
      </c>
      <c r="H3297" s="140" t="s">
        <v>871</v>
      </c>
    </row>
    <row r="3298" spans="1:8" ht="15.75" customHeight="1">
      <c r="A3298" s="140" t="s">
        <v>78</v>
      </c>
      <c r="B3298" s="140" t="s">
        <v>21</v>
      </c>
      <c r="C3298" s="141" t="s">
        <v>711</v>
      </c>
      <c r="D3298" s="140" t="s">
        <v>712</v>
      </c>
      <c r="E3298" s="140">
        <v>8</v>
      </c>
      <c r="F3298" s="142">
        <v>45861.416666666672</v>
      </c>
      <c r="G3298" s="140" t="s">
        <v>845</v>
      </c>
      <c r="H3298" s="140" t="s">
        <v>871</v>
      </c>
    </row>
    <row r="3299" spans="1:8" ht="15.75" customHeight="1">
      <c r="A3299" s="140" t="s">
        <v>78</v>
      </c>
      <c r="B3299" s="140" t="s">
        <v>21</v>
      </c>
      <c r="C3299" s="141" t="s">
        <v>711</v>
      </c>
      <c r="D3299" s="140" t="s">
        <v>712</v>
      </c>
      <c r="E3299" s="140">
        <v>9</v>
      </c>
      <c r="F3299" s="142">
        <v>45861.458333333328</v>
      </c>
      <c r="G3299" s="140" t="s">
        <v>845</v>
      </c>
      <c r="H3299" s="140" t="s">
        <v>871</v>
      </c>
    </row>
    <row r="3300" spans="1:8" ht="15.75" customHeight="1">
      <c r="A3300" s="140" t="s">
        <v>78</v>
      </c>
      <c r="B3300" s="140" t="s">
        <v>21</v>
      </c>
      <c r="C3300" s="141" t="s">
        <v>711</v>
      </c>
      <c r="D3300" s="140" t="s">
        <v>712</v>
      </c>
      <c r="E3300" s="140">
        <v>10</v>
      </c>
      <c r="F3300" s="142">
        <v>45887.541666666672</v>
      </c>
      <c r="G3300" s="140" t="s">
        <v>845</v>
      </c>
      <c r="H3300" s="140" t="s">
        <v>871</v>
      </c>
    </row>
    <row r="3301" spans="1:8" ht="15.75" customHeight="1">
      <c r="A3301" s="140" t="s">
        <v>78</v>
      </c>
      <c r="B3301" s="140" t="s">
        <v>21</v>
      </c>
      <c r="C3301" s="141" t="s">
        <v>713</v>
      </c>
      <c r="D3301" s="140" t="s">
        <v>714</v>
      </c>
      <c r="E3301" s="140">
        <v>1</v>
      </c>
      <c r="F3301" s="142">
        <v>45638.458333333328</v>
      </c>
      <c r="G3301" s="140" t="s">
        <v>845</v>
      </c>
      <c r="H3301" s="140" t="s">
        <v>871</v>
      </c>
    </row>
    <row r="3302" spans="1:8" ht="15.75" customHeight="1">
      <c r="A3302" s="140" t="s">
        <v>78</v>
      </c>
      <c r="B3302" s="140" t="s">
        <v>21</v>
      </c>
      <c r="C3302" s="141" t="s">
        <v>713</v>
      </c>
      <c r="D3302" s="140" t="s">
        <v>714</v>
      </c>
      <c r="E3302" s="140">
        <v>2</v>
      </c>
      <c r="F3302" s="142">
        <v>45659.458333333328</v>
      </c>
      <c r="G3302" s="140" t="s">
        <v>845</v>
      </c>
      <c r="H3302" s="140" t="s">
        <v>871</v>
      </c>
    </row>
    <row r="3303" spans="1:8" ht="15.75" customHeight="1">
      <c r="A3303" s="140" t="s">
        <v>78</v>
      </c>
      <c r="B3303" s="140" t="s">
        <v>21</v>
      </c>
      <c r="C3303" s="141" t="s">
        <v>713</v>
      </c>
      <c r="D3303" s="140" t="s">
        <v>714</v>
      </c>
      <c r="E3303" s="140">
        <v>3</v>
      </c>
      <c r="F3303" s="142">
        <v>45677.458333333328</v>
      </c>
      <c r="G3303" s="140" t="s">
        <v>843</v>
      </c>
      <c r="H3303" s="140" t="s">
        <v>871</v>
      </c>
    </row>
    <row r="3304" spans="1:8" ht="15.75" customHeight="1">
      <c r="A3304" s="140" t="s">
        <v>78</v>
      </c>
      <c r="B3304" s="140" t="s">
        <v>21</v>
      </c>
      <c r="C3304" s="141" t="s">
        <v>713</v>
      </c>
      <c r="D3304" s="140" t="s">
        <v>714</v>
      </c>
      <c r="E3304" s="140">
        <v>4</v>
      </c>
      <c r="F3304" s="142">
        <v>45692.458333333328</v>
      </c>
      <c r="G3304" s="140" t="s">
        <v>845</v>
      </c>
      <c r="H3304" s="140" t="s">
        <v>871</v>
      </c>
    </row>
    <row r="3305" spans="1:8" ht="15.75" customHeight="1">
      <c r="A3305" s="140" t="s">
        <v>78</v>
      </c>
      <c r="B3305" s="140" t="s">
        <v>21</v>
      </c>
      <c r="C3305" s="141" t="s">
        <v>713</v>
      </c>
      <c r="D3305" s="140" t="s">
        <v>714</v>
      </c>
      <c r="E3305" s="140">
        <v>5</v>
      </c>
      <c r="F3305" s="142">
        <v>45768.541666666672</v>
      </c>
      <c r="G3305" s="140" t="s">
        <v>843</v>
      </c>
      <c r="H3305" s="140" t="s">
        <v>871</v>
      </c>
    </row>
    <row r="3306" spans="1:8" ht="15.75" customHeight="1">
      <c r="A3306" s="140" t="s">
        <v>78</v>
      </c>
      <c r="B3306" s="140" t="s">
        <v>21</v>
      </c>
      <c r="C3306" s="141" t="s">
        <v>713</v>
      </c>
      <c r="D3306" s="140" t="s">
        <v>714</v>
      </c>
      <c r="E3306" s="140">
        <v>6</v>
      </c>
      <c r="F3306" s="142">
        <v>45817.541666666672</v>
      </c>
      <c r="G3306" s="140" t="s">
        <v>845</v>
      </c>
      <c r="H3306" s="140" t="s">
        <v>871</v>
      </c>
    </row>
    <row r="3307" spans="1:8" ht="15.75" customHeight="1">
      <c r="A3307" s="140" t="s">
        <v>78</v>
      </c>
      <c r="B3307" s="140" t="s">
        <v>21</v>
      </c>
      <c r="C3307" s="141" t="s">
        <v>713</v>
      </c>
      <c r="D3307" s="140" t="s">
        <v>714</v>
      </c>
      <c r="E3307" s="140">
        <v>7</v>
      </c>
      <c r="F3307" s="142">
        <v>45831.583333333328</v>
      </c>
      <c r="G3307" s="140" t="s">
        <v>843</v>
      </c>
      <c r="H3307" s="140" t="s">
        <v>871</v>
      </c>
    </row>
    <row r="3308" spans="1:8" ht="15.75" customHeight="1">
      <c r="A3308" s="140" t="s">
        <v>78</v>
      </c>
      <c r="B3308" s="140" t="s">
        <v>21</v>
      </c>
      <c r="C3308" s="141" t="s">
        <v>713</v>
      </c>
      <c r="D3308" s="140" t="s">
        <v>714</v>
      </c>
      <c r="E3308" s="140">
        <v>8</v>
      </c>
      <c r="F3308" s="142">
        <v>45861.416666666672</v>
      </c>
      <c r="G3308" s="140" t="s">
        <v>843</v>
      </c>
      <c r="H3308" s="140" t="s">
        <v>871</v>
      </c>
    </row>
    <row r="3309" spans="1:8" ht="15.75" customHeight="1">
      <c r="A3309" s="140" t="s">
        <v>78</v>
      </c>
      <c r="B3309" s="140" t="s">
        <v>21</v>
      </c>
      <c r="C3309" s="141" t="s">
        <v>713</v>
      </c>
      <c r="D3309" s="140" t="s">
        <v>714</v>
      </c>
      <c r="E3309" s="140">
        <v>9</v>
      </c>
      <c r="F3309" s="142">
        <v>45861.458333333328</v>
      </c>
      <c r="G3309" s="140" t="s">
        <v>843</v>
      </c>
      <c r="H3309" s="140" t="s">
        <v>871</v>
      </c>
    </row>
    <row r="3310" spans="1:8" ht="15.75" customHeight="1">
      <c r="A3310" s="140" t="s">
        <v>78</v>
      </c>
      <c r="B3310" s="140" t="s">
        <v>21</v>
      </c>
      <c r="C3310" s="141" t="s">
        <v>713</v>
      </c>
      <c r="D3310" s="140" t="s">
        <v>714</v>
      </c>
      <c r="E3310" s="140">
        <v>10</v>
      </c>
      <c r="F3310" s="142">
        <v>45887.541666666672</v>
      </c>
      <c r="G3310" s="140" t="s">
        <v>843</v>
      </c>
      <c r="H3310" s="140" t="s">
        <v>871</v>
      </c>
    </row>
    <row r="3311" spans="1:8" ht="15.75" customHeight="1">
      <c r="A3311" s="140" t="s">
        <v>79</v>
      </c>
      <c r="B3311" s="140" t="s">
        <v>21</v>
      </c>
      <c r="C3311" s="141" t="s">
        <v>200</v>
      </c>
      <c r="D3311" s="140" t="s">
        <v>201</v>
      </c>
      <c r="E3311" s="140">
        <v>1</v>
      </c>
      <c r="F3311" s="142">
        <v>45645.458333333328</v>
      </c>
      <c r="G3311" s="140" t="s">
        <v>845</v>
      </c>
      <c r="H3311" s="140" t="s">
        <v>872</v>
      </c>
    </row>
    <row r="3312" spans="1:8" ht="15.75" customHeight="1">
      <c r="A3312" s="140" t="s">
        <v>79</v>
      </c>
      <c r="B3312" s="140" t="s">
        <v>21</v>
      </c>
      <c r="C3312" s="141" t="s">
        <v>200</v>
      </c>
      <c r="D3312" s="140" t="s">
        <v>201</v>
      </c>
      <c r="E3312" s="140">
        <v>2</v>
      </c>
      <c r="F3312" s="142">
        <v>45652.458333333328</v>
      </c>
      <c r="G3312" s="140" t="s">
        <v>845</v>
      </c>
      <c r="H3312" s="140" t="s">
        <v>872</v>
      </c>
    </row>
    <row r="3313" spans="1:8" ht="15.75" customHeight="1">
      <c r="A3313" s="140" t="s">
        <v>79</v>
      </c>
      <c r="B3313" s="140" t="s">
        <v>21</v>
      </c>
      <c r="C3313" s="141" t="s">
        <v>200</v>
      </c>
      <c r="D3313" s="140" t="s">
        <v>201</v>
      </c>
      <c r="E3313" s="140">
        <v>3</v>
      </c>
      <c r="F3313" s="142">
        <v>45670.458333333328</v>
      </c>
      <c r="G3313" s="140" t="s">
        <v>845</v>
      </c>
      <c r="H3313" s="140" t="s">
        <v>872</v>
      </c>
    </row>
    <row r="3314" spans="1:8" ht="15.75" customHeight="1">
      <c r="A3314" s="140" t="s">
        <v>79</v>
      </c>
      <c r="B3314" s="140" t="s">
        <v>21</v>
      </c>
      <c r="C3314" s="141" t="s">
        <v>200</v>
      </c>
      <c r="D3314" s="140" t="s">
        <v>201</v>
      </c>
      <c r="E3314" s="140">
        <v>4</v>
      </c>
      <c r="F3314" s="142">
        <v>45698.416666666672</v>
      </c>
      <c r="G3314" s="140" t="s">
        <v>845</v>
      </c>
      <c r="H3314" s="140" t="s">
        <v>872</v>
      </c>
    </row>
    <row r="3315" spans="1:8" ht="15.75" customHeight="1">
      <c r="A3315" s="140" t="s">
        <v>79</v>
      </c>
      <c r="B3315" s="140" t="s">
        <v>21</v>
      </c>
      <c r="C3315" s="141" t="s">
        <v>200</v>
      </c>
      <c r="D3315" s="140" t="s">
        <v>201</v>
      </c>
      <c r="E3315" s="140">
        <v>5</v>
      </c>
      <c r="F3315" s="142">
        <v>45761.541666666672</v>
      </c>
      <c r="G3315" s="140" t="s">
        <v>845</v>
      </c>
      <c r="H3315" s="140" t="s">
        <v>872</v>
      </c>
    </row>
    <row r="3316" spans="1:8" ht="15.75" customHeight="1">
      <c r="A3316" s="140" t="s">
        <v>79</v>
      </c>
      <c r="B3316" s="140" t="s">
        <v>21</v>
      </c>
      <c r="C3316" s="141" t="s">
        <v>200</v>
      </c>
      <c r="D3316" s="140" t="s">
        <v>201</v>
      </c>
      <c r="E3316" s="140">
        <v>6</v>
      </c>
      <c r="F3316" s="142">
        <v>45789.541666666672</v>
      </c>
      <c r="G3316" s="140" t="s">
        <v>845</v>
      </c>
      <c r="H3316" s="140" t="s">
        <v>872</v>
      </c>
    </row>
    <row r="3317" spans="1:8" ht="15.75" customHeight="1">
      <c r="A3317" s="140" t="s">
        <v>79</v>
      </c>
      <c r="B3317" s="140" t="s">
        <v>21</v>
      </c>
      <c r="C3317" s="141" t="s">
        <v>200</v>
      </c>
      <c r="D3317" s="140" t="s">
        <v>201</v>
      </c>
      <c r="E3317" s="140">
        <v>7</v>
      </c>
      <c r="F3317" s="142">
        <v>45803.416666666672</v>
      </c>
      <c r="G3317" s="140" t="s">
        <v>845</v>
      </c>
      <c r="H3317" s="140" t="s">
        <v>872</v>
      </c>
    </row>
    <row r="3318" spans="1:8" ht="15.75" customHeight="1">
      <c r="A3318" s="140" t="s">
        <v>79</v>
      </c>
      <c r="B3318" s="140" t="s">
        <v>21</v>
      </c>
      <c r="C3318" s="141" t="s">
        <v>200</v>
      </c>
      <c r="D3318" s="140" t="s">
        <v>201</v>
      </c>
      <c r="E3318" s="140">
        <v>8</v>
      </c>
      <c r="F3318" s="142">
        <v>45817.416666666672</v>
      </c>
      <c r="G3318" s="140" t="s">
        <v>845</v>
      </c>
      <c r="H3318" s="140" t="s">
        <v>872</v>
      </c>
    </row>
    <row r="3319" spans="1:8" ht="15.75" customHeight="1">
      <c r="A3319" s="140" t="s">
        <v>79</v>
      </c>
      <c r="B3319" s="140" t="s">
        <v>21</v>
      </c>
      <c r="C3319" s="141" t="s">
        <v>200</v>
      </c>
      <c r="D3319" s="140" t="s">
        <v>201</v>
      </c>
      <c r="E3319" s="140">
        <v>9</v>
      </c>
      <c r="F3319" s="142">
        <v>45831.416666666672</v>
      </c>
      <c r="G3319" s="140" t="s">
        <v>845</v>
      </c>
      <c r="H3319" s="140" t="s">
        <v>872</v>
      </c>
    </row>
    <row r="3320" spans="1:8" ht="15.75" customHeight="1">
      <c r="A3320" s="140" t="s">
        <v>79</v>
      </c>
      <c r="B3320" s="140" t="s">
        <v>21</v>
      </c>
      <c r="C3320" s="141" t="s">
        <v>200</v>
      </c>
      <c r="D3320" s="140" t="s">
        <v>201</v>
      </c>
      <c r="E3320" s="140">
        <v>10</v>
      </c>
      <c r="F3320" s="142">
        <v>45859.541666666672</v>
      </c>
      <c r="G3320" s="140" t="s">
        <v>845</v>
      </c>
      <c r="H3320" s="140" t="s">
        <v>872</v>
      </c>
    </row>
    <row r="3321" spans="1:8" ht="15.75" customHeight="1">
      <c r="A3321" s="140" t="s">
        <v>79</v>
      </c>
      <c r="B3321" s="140" t="s">
        <v>21</v>
      </c>
      <c r="C3321" s="141" t="s">
        <v>214</v>
      </c>
      <c r="D3321" s="140" t="s">
        <v>215</v>
      </c>
      <c r="E3321" s="140">
        <v>1</v>
      </c>
      <c r="F3321" s="142">
        <v>45645.458333333328</v>
      </c>
      <c r="G3321" s="140" t="s">
        <v>845</v>
      </c>
      <c r="H3321" s="140" t="s">
        <v>872</v>
      </c>
    </row>
    <row r="3322" spans="1:8" ht="15.75" customHeight="1">
      <c r="A3322" s="140" t="s">
        <v>79</v>
      </c>
      <c r="B3322" s="140" t="s">
        <v>21</v>
      </c>
      <c r="C3322" s="141" t="s">
        <v>214</v>
      </c>
      <c r="D3322" s="140" t="s">
        <v>215</v>
      </c>
      <c r="E3322" s="140">
        <v>2</v>
      </c>
      <c r="F3322" s="142">
        <v>45652.458333333328</v>
      </c>
      <c r="G3322" s="140" t="s">
        <v>845</v>
      </c>
      <c r="H3322" s="140" t="s">
        <v>872</v>
      </c>
    </row>
    <row r="3323" spans="1:8" ht="15.75" customHeight="1">
      <c r="A3323" s="140" t="s">
        <v>79</v>
      </c>
      <c r="B3323" s="140" t="s">
        <v>21</v>
      </c>
      <c r="C3323" s="141" t="s">
        <v>214</v>
      </c>
      <c r="D3323" s="140" t="s">
        <v>215</v>
      </c>
      <c r="E3323" s="140">
        <v>3</v>
      </c>
      <c r="F3323" s="142">
        <v>45670.458333333328</v>
      </c>
      <c r="G3323" s="140" t="s">
        <v>845</v>
      </c>
      <c r="H3323" s="140" t="s">
        <v>872</v>
      </c>
    </row>
    <row r="3324" spans="1:8" ht="15.75" customHeight="1">
      <c r="A3324" s="140" t="s">
        <v>79</v>
      </c>
      <c r="B3324" s="140" t="s">
        <v>21</v>
      </c>
      <c r="C3324" s="141" t="s">
        <v>214</v>
      </c>
      <c r="D3324" s="140" t="s">
        <v>215</v>
      </c>
      <c r="E3324" s="140">
        <v>4</v>
      </c>
      <c r="F3324" s="142">
        <v>45698.416666666672</v>
      </c>
      <c r="G3324" s="140" t="s">
        <v>843</v>
      </c>
      <c r="H3324" s="140" t="s">
        <v>872</v>
      </c>
    </row>
    <row r="3325" spans="1:8" ht="15.75" customHeight="1">
      <c r="A3325" s="140" t="s">
        <v>79</v>
      </c>
      <c r="B3325" s="140" t="s">
        <v>21</v>
      </c>
      <c r="C3325" s="141" t="s">
        <v>214</v>
      </c>
      <c r="D3325" s="140" t="s">
        <v>215</v>
      </c>
      <c r="E3325" s="140">
        <v>5</v>
      </c>
      <c r="F3325" s="142">
        <v>45761.541666666672</v>
      </c>
      <c r="G3325" s="140" t="s">
        <v>845</v>
      </c>
      <c r="H3325" s="140" t="s">
        <v>872</v>
      </c>
    </row>
    <row r="3326" spans="1:8" ht="15.75" customHeight="1">
      <c r="A3326" s="140" t="s">
        <v>79</v>
      </c>
      <c r="B3326" s="140" t="s">
        <v>21</v>
      </c>
      <c r="C3326" s="141" t="s">
        <v>214</v>
      </c>
      <c r="D3326" s="140" t="s">
        <v>215</v>
      </c>
      <c r="E3326" s="140">
        <v>6</v>
      </c>
      <c r="F3326" s="142">
        <v>45789.541666666672</v>
      </c>
      <c r="G3326" s="140" t="s">
        <v>845</v>
      </c>
      <c r="H3326" s="140" t="s">
        <v>872</v>
      </c>
    </row>
    <row r="3327" spans="1:8" ht="15.75" customHeight="1">
      <c r="A3327" s="140" t="s">
        <v>79</v>
      </c>
      <c r="B3327" s="140" t="s">
        <v>21</v>
      </c>
      <c r="C3327" s="141" t="s">
        <v>214</v>
      </c>
      <c r="D3327" s="140" t="s">
        <v>215</v>
      </c>
      <c r="E3327" s="140">
        <v>7</v>
      </c>
      <c r="F3327" s="142">
        <v>45803.416666666672</v>
      </c>
      <c r="G3327" s="140" t="s">
        <v>845</v>
      </c>
      <c r="H3327" s="140" t="s">
        <v>872</v>
      </c>
    </row>
    <row r="3328" spans="1:8" ht="15.75" customHeight="1">
      <c r="A3328" s="140" t="s">
        <v>79</v>
      </c>
      <c r="B3328" s="140" t="s">
        <v>21</v>
      </c>
      <c r="C3328" s="141" t="s">
        <v>214</v>
      </c>
      <c r="D3328" s="140" t="s">
        <v>215</v>
      </c>
      <c r="E3328" s="140">
        <v>8</v>
      </c>
      <c r="F3328" s="142">
        <v>45817.416666666672</v>
      </c>
      <c r="G3328" s="140" t="s">
        <v>845</v>
      </c>
      <c r="H3328" s="140" t="s">
        <v>872</v>
      </c>
    </row>
    <row r="3329" spans="1:8" ht="15.75" customHeight="1">
      <c r="A3329" s="140" t="s">
        <v>79</v>
      </c>
      <c r="B3329" s="140" t="s">
        <v>21</v>
      </c>
      <c r="C3329" s="141" t="s">
        <v>214</v>
      </c>
      <c r="D3329" s="140" t="s">
        <v>215</v>
      </c>
      <c r="E3329" s="140">
        <v>9</v>
      </c>
      <c r="F3329" s="142">
        <v>45831.416666666672</v>
      </c>
      <c r="G3329" s="140" t="s">
        <v>845</v>
      </c>
      <c r="H3329" s="140" t="s">
        <v>872</v>
      </c>
    </row>
    <row r="3330" spans="1:8" ht="15.75" customHeight="1">
      <c r="A3330" s="140" t="s">
        <v>79</v>
      </c>
      <c r="B3330" s="140" t="s">
        <v>21</v>
      </c>
      <c r="C3330" s="141" t="s">
        <v>214</v>
      </c>
      <c r="D3330" s="140" t="s">
        <v>215</v>
      </c>
      <c r="E3330" s="140">
        <v>10</v>
      </c>
      <c r="F3330" s="142">
        <v>45859.541666666672</v>
      </c>
      <c r="G3330" s="140" t="s">
        <v>845</v>
      </c>
      <c r="H3330" s="140" t="s">
        <v>872</v>
      </c>
    </row>
    <row r="3331" spans="1:8" ht="15.75" customHeight="1">
      <c r="A3331" s="140" t="s">
        <v>79</v>
      </c>
      <c r="B3331" s="140" t="s">
        <v>21</v>
      </c>
      <c r="C3331" s="141" t="s">
        <v>436</v>
      </c>
      <c r="D3331" s="140" t="s">
        <v>437</v>
      </c>
      <c r="E3331" s="140">
        <v>1</v>
      </c>
      <c r="F3331" s="142">
        <v>45645.458333333328</v>
      </c>
      <c r="G3331" s="140" t="s">
        <v>845</v>
      </c>
      <c r="H3331" s="140" t="s">
        <v>872</v>
      </c>
    </row>
    <row r="3332" spans="1:8" ht="15.75" customHeight="1">
      <c r="A3332" s="140" t="s">
        <v>79</v>
      </c>
      <c r="B3332" s="140" t="s">
        <v>21</v>
      </c>
      <c r="C3332" s="141" t="s">
        <v>436</v>
      </c>
      <c r="D3332" s="140" t="s">
        <v>437</v>
      </c>
      <c r="E3332" s="140">
        <v>2</v>
      </c>
      <c r="F3332" s="142">
        <v>45652.458333333328</v>
      </c>
      <c r="G3332" s="140" t="s">
        <v>845</v>
      </c>
      <c r="H3332" s="140" t="s">
        <v>872</v>
      </c>
    </row>
    <row r="3333" spans="1:8" ht="15.75" customHeight="1">
      <c r="A3333" s="140" t="s">
        <v>79</v>
      </c>
      <c r="B3333" s="140" t="s">
        <v>21</v>
      </c>
      <c r="C3333" s="141" t="s">
        <v>436</v>
      </c>
      <c r="D3333" s="140" t="s">
        <v>437</v>
      </c>
      <c r="E3333" s="140">
        <v>3</v>
      </c>
      <c r="F3333" s="142">
        <v>45670.458333333328</v>
      </c>
      <c r="G3333" s="140" t="s">
        <v>845</v>
      </c>
      <c r="H3333" s="140" t="s">
        <v>872</v>
      </c>
    </row>
    <row r="3334" spans="1:8" ht="15.75" customHeight="1">
      <c r="A3334" s="140" t="s">
        <v>79</v>
      </c>
      <c r="B3334" s="140" t="s">
        <v>21</v>
      </c>
      <c r="C3334" s="141" t="s">
        <v>436</v>
      </c>
      <c r="D3334" s="140" t="s">
        <v>437</v>
      </c>
      <c r="E3334" s="140">
        <v>4</v>
      </c>
      <c r="F3334" s="142">
        <v>45698.416666666672</v>
      </c>
      <c r="G3334" s="140" t="s">
        <v>845</v>
      </c>
      <c r="H3334" s="140" t="s">
        <v>872</v>
      </c>
    </row>
    <row r="3335" spans="1:8" ht="15.75" customHeight="1">
      <c r="A3335" s="140" t="s">
        <v>79</v>
      </c>
      <c r="B3335" s="140" t="s">
        <v>21</v>
      </c>
      <c r="C3335" s="141" t="s">
        <v>436</v>
      </c>
      <c r="D3335" s="140" t="s">
        <v>437</v>
      </c>
      <c r="E3335" s="140">
        <v>5</v>
      </c>
      <c r="F3335" s="142">
        <v>45761.541666666672</v>
      </c>
      <c r="G3335" s="140" t="s">
        <v>845</v>
      </c>
      <c r="H3335" s="140" t="s">
        <v>872</v>
      </c>
    </row>
    <row r="3336" spans="1:8" ht="15.75" customHeight="1">
      <c r="A3336" s="140" t="s">
        <v>79</v>
      </c>
      <c r="B3336" s="140" t="s">
        <v>21</v>
      </c>
      <c r="C3336" s="141" t="s">
        <v>436</v>
      </c>
      <c r="D3336" s="140" t="s">
        <v>437</v>
      </c>
      <c r="E3336" s="140">
        <v>6</v>
      </c>
      <c r="F3336" s="142">
        <v>45789.541666666672</v>
      </c>
      <c r="G3336" s="140" t="s">
        <v>845</v>
      </c>
      <c r="H3336" s="140" t="s">
        <v>872</v>
      </c>
    </row>
    <row r="3337" spans="1:8" ht="15.75" customHeight="1">
      <c r="A3337" s="140" t="s">
        <v>79</v>
      </c>
      <c r="B3337" s="140" t="s">
        <v>21</v>
      </c>
      <c r="C3337" s="141" t="s">
        <v>436</v>
      </c>
      <c r="D3337" s="140" t="s">
        <v>437</v>
      </c>
      <c r="E3337" s="140">
        <v>7</v>
      </c>
      <c r="F3337" s="142">
        <v>45803.416666666672</v>
      </c>
      <c r="G3337" s="140" t="s">
        <v>845</v>
      </c>
      <c r="H3337" s="140" t="s">
        <v>872</v>
      </c>
    </row>
    <row r="3338" spans="1:8" ht="15.75" customHeight="1">
      <c r="A3338" s="140" t="s">
        <v>79</v>
      </c>
      <c r="B3338" s="140" t="s">
        <v>21</v>
      </c>
      <c r="C3338" s="141" t="s">
        <v>436</v>
      </c>
      <c r="D3338" s="140" t="s">
        <v>437</v>
      </c>
      <c r="E3338" s="140">
        <v>8</v>
      </c>
      <c r="F3338" s="142">
        <v>45817.416666666672</v>
      </c>
      <c r="G3338" s="140" t="s">
        <v>845</v>
      </c>
      <c r="H3338" s="140" t="s">
        <v>872</v>
      </c>
    </row>
    <row r="3339" spans="1:8" ht="15.75" customHeight="1">
      <c r="A3339" s="140" t="s">
        <v>79</v>
      </c>
      <c r="B3339" s="140" t="s">
        <v>21</v>
      </c>
      <c r="C3339" s="141" t="s">
        <v>436</v>
      </c>
      <c r="D3339" s="140" t="s">
        <v>437</v>
      </c>
      <c r="E3339" s="140">
        <v>9</v>
      </c>
      <c r="F3339" s="142">
        <v>45831.416666666672</v>
      </c>
      <c r="G3339" s="140" t="s">
        <v>845</v>
      </c>
      <c r="H3339" s="140" t="s">
        <v>872</v>
      </c>
    </row>
    <row r="3340" spans="1:8" ht="15.75" customHeight="1">
      <c r="A3340" s="140" t="s">
        <v>79</v>
      </c>
      <c r="B3340" s="140" t="s">
        <v>21</v>
      </c>
      <c r="C3340" s="141" t="s">
        <v>436</v>
      </c>
      <c r="D3340" s="140" t="s">
        <v>437</v>
      </c>
      <c r="E3340" s="140">
        <v>10</v>
      </c>
      <c r="F3340" s="142">
        <v>45859.541666666672</v>
      </c>
      <c r="G3340" s="140" t="s">
        <v>845</v>
      </c>
      <c r="H3340" s="140" t="s">
        <v>872</v>
      </c>
    </row>
    <row r="3341" spans="1:8" ht="15.75" customHeight="1">
      <c r="A3341" s="140" t="s">
        <v>79</v>
      </c>
      <c r="B3341" s="140" t="s">
        <v>21</v>
      </c>
      <c r="C3341" s="141" t="s">
        <v>476</v>
      </c>
      <c r="D3341" s="140" t="s">
        <v>477</v>
      </c>
      <c r="E3341" s="140">
        <v>1</v>
      </c>
      <c r="F3341" s="142">
        <v>45645.458333333328</v>
      </c>
      <c r="G3341" s="140" t="s">
        <v>845</v>
      </c>
      <c r="H3341" s="140" t="s">
        <v>872</v>
      </c>
    </row>
    <row r="3342" spans="1:8" ht="15.75" customHeight="1">
      <c r="A3342" s="140" t="s">
        <v>79</v>
      </c>
      <c r="B3342" s="140" t="s">
        <v>21</v>
      </c>
      <c r="C3342" s="141" t="s">
        <v>476</v>
      </c>
      <c r="D3342" s="140" t="s">
        <v>477</v>
      </c>
      <c r="E3342" s="140">
        <v>2</v>
      </c>
      <c r="F3342" s="142">
        <v>45652.458333333328</v>
      </c>
      <c r="G3342" s="140" t="s">
        <v>845</v>
      </c>
      <c r="H3342" s="140" t="s">
        <v>872</v>
      </c>
    </row>
    <row r="3343" spans="1:8" ht="15.75" customHeight="1">
      <c r="A3343" s="140" t="s">
        <v>79</v>
      </c>
      <c r="B3343" s="140" t="s">
        <v>21</v>
      </c>
      <c r="C3343" s="141" t="s">
        <v>476</v>
      </c>
      <c r="D3343" s="140" t="s">
        <v>477</v>
      </c>
      <c r="E3343" s="140">
        <v>3</v>
      </c>
      <c r="F3343" s="142">
        <v>45670.458333333328</v>
      </c>
      <c r="G3343" s="140" t="s">
        <v>843</v>
      </c>
      <c r="H3343" s="140" t="s">
        <v>872</v>
      </c>
    </row>
    <row r="3344" spans="1:8" ht="15.75" customHeight="1">
      <c r="A3344" s="140" t="s">
        <v>79</v>
      </c>
      <c r="B3344" s="140" t="s">
        <v>21</v>
      </c>
      <c r="C3344" s="141" t="s">
        <v>476</v>
      </c>
      <c r="D3344" s="140" t="s">
        <v>477</v>
      </c>
      <c r="E3344" s="140">
        <v>4</v>
      </c>
      <c r="F3344" s="142">
        <v>45698.416666666672</v>
      </c>
      <c r="G3344" s="140" t="s">
        <v>845</v>
      </c>
      <c r="H3344" s="140" t="s">
        <v>872</v>
      </c>
    </row>
    <row r="3345" spans="1:8" ht="15.75" customHeight="1">
      <c r="A3345" s="140" t="s">
        <v>79</v>
      </c>
      <c r="B3345" s="140" t="s">
        <v>21</v>
      </c>
      <c r="C3345" s="141" t="s">
        <v>476</v>
      </c>
      <c r="D3345" s="140" t="s">
        <v>477</v>
      </c>
      <c r="E3345" s="140">
        <v>5</v>
      </c>
      <c r="F3345" s="142">
        <v>45761.541666666672</v>
      </c>
      <c r="G3345" s="140" t="s">
        <v>843</v>
      </c>
      <c r="H3345" s="140" t="s">
        <v>872</v>
      </c>
    </row>
    <row r="3346" spans="1:8" ht="15.75" customHeight="1">
      <c r="A3346" s="140" t="s">
        <v>79</v>
      </c>
      <c r="B3346" s="140" t="s">
        <v>21</v>
      </c>
      <c r="C3346" s="141" t="s">
        <v>476</v>
      </c>
      <c r="D3346" s="140" t="s">
        <v>477</v>
      </c>
      <c r="E3346" s="140">
        <v>6</v>
      </c>
      <c r="F3346" s="142">
        <v>45789.541666666672</v>
      </c>
      <c r="G3346" s="140" t="s">
        <v>843</v>
      </c>
      <c r="H3346" s="140" t="s">
        <v>872</v>
      </c>
    </row>
    <row r="3347" spans="1:8" ht="15.75" customHeight="1">
      <c r="A3347" s="140" t="s">
        <v>79</v>
      </c>
      <c r="B3347" s="140" t="s">
        <v>21</v>
      </c>
      <c r="C3347" s="141" t="s">
        <v>476</v>
      </c>
      <c r="D3347" s="140" t="s">
        <v>477</v>
      </c>
      <c r="E3347" s="140">
        <v>7</v>
      </c>
      <c r="F3347" s="142">
        <v>45803.416666666672</v>
      </c>
      <c r="G3347" s="140" t="s">
        <v>845</v>
      </c>
      <c r="H3347" s="140" t="s">
        <v>872</v>
      </c>
    </row>
    <row r="3348" spans="1:8" ht="15.75" customHeight="1">
      <c r="A3348" s="140" t="s">
        <v>79</v>
      </c>
      <c r="B3348" s="140" t="s">
        <v>21</v>
      </c>
      <c r="C3348" s="141" t="s">
        <v>476</v>
      </c>
      <c r="D3348" s="140" t="s">
        <v>477</v>
      </c>
      <c r="E3348" s="140">
        <v>8</v>
      </c>
      <c r="F3348" s="142">
        <v>45817.416666666672</v>
      </c>
      <c r="G3348" s="140" t="s">
        <v>845</v>
      </c>
      <c r="H3348" s="140" t="s">
        <v>872</v>
      </c>
    </row>
    <row r="3349" spans="1:8" ht="15.75" customHeight="1">
      <c r="A3349" s="140" t="s">
        <v>79</v>
      </c>
      <c r="B3349" s="140" t="s">
        <v>21</v>
      </c>
      <c r="C3349" s="141" t="s">
        <v>476</v>
      </c>
      <c r="D3349" s="140" t="s">
        <v>477</v>
      </c>
      <c r="E3349" s="140">
        <v>9</v>
      </c>
      <c r="F3349" s="142">
        <v>45831.416666666672</v>
      </c>
      <c r="G3349" s="140" t="s">
        <v>845</v>
      </c>
      <c r="H3349" s="140" t="s">
        <v>872</v>
      </c>
    </row>
    <row r="3350" spans="1:8" ht="15.75" customHeight="1">
      <c r="A3350" s="140" t="s">
        <v>79</v>
      </c>
      <c r="B3350" s="140" t="s">
        <v>21</v>
      </c>
      <c r="C3350" s="141" t="s">
        <v>476</v>
      </c>
      <c r="D3350" s="140" t="s">
        <v>477</v>
      </c>
      <c r="E3350" s="140">
        <v>10</v>
      </c>
      <c r="F3350" s="142">
        <v>45859.541666666672</v>
      </c>
      <c r="G3350" s="140" t="s">
        <v>845</v>
      </c>
      <c r="H3350" s="140" t="s">
        <v>872</v>
      </c>
    </row>
    <row r="3351" spans="1:8" ht="15.75" customHeight="1">
      <c r="A3351" s="140" t="s">
        <v>79</v>
      </c>
      <c r="B3351" s="140" t="s">
        <v>21</v>
      </c>
      <c r="C3351" s="141" t="s">
        <v>488</v>
      </c>
      <c r="D3351" s="140" t="s">
        <v>489</v>
      </c>
      <c r="E3351" s="140">
        <v>1</v>
      </c>
      <c r="F3351" s="142">
        <v>45645.458333333328</v>
      </c>
      <c r="G3351" s="140" t="s">
        <v>845</v>
      </c>
      <c r="H3351" s="140" t="s">
        <v>872</v>
      </c>
    </row>
    <row r="3352" spans="1:8" ht="15.75" customHeight="1">
      <c r="A3352" s="140" t="s">
        <v>79</v>
      </c>
      <c r="B3352" s="140" t="s">
        <v>21</v>
      </c>
      <c r="C3352" s="141" t="s">
        <v>488</v>
      </c>
      <c r="D3352" s="140" t="s">
        <v>489</v>
      </c>
      <c r="E3352" s="140">
        <v>2</v>
      </c>
      <c r="F3352" s="142">
        <v>45652.458333333328</v>
      </c>
      <c r="G3352" s="140" t="s">
        <v>845</v>
      </c>
      <c r="H3352" s="140" t="s">
        <v>872</v>
      </c>
    </row>
    <row r="3353" spans="1:8" ht="15.75" customHeight="1">
      <c r="A3353" s="140" t="s">
        <v>79</v>
      </c>
      <c r="B3353" s="140" t="s">
        <v>21</v>
      </c>
      <c r="C3353" s="141" t="s">
        <v>488</v>
      </c>
      <c r="D3353" s="140" t="s">
        <v>489</v>
      </c>
      <c r="E3353" s="140">
        <v>3</v>
      </c>
      <c r="F3353" s="142">
        <v>45670.458333333328</v>
      </c>
      <c r="G3353" s="140" t="s">
        <v>845</v>
      </c>
      <c r="H3353" s="140" t="s">
        <v>872</v>
      </c>
    </row>
    <row r="3354" spans="1:8" ht="15.75" customHeight="1">
      <c r="A3354" s="140" t="s">
        <v>79</v>
      </c>
      <c r="B3354" s="140" t="s">
        <v>21</v>
      </c>
      <c r="C3354" s="141" t="s">
        <v>488</v>
      </c>
      <c r="D3354" s="140" t="s">
        <v>489</v>
      </c>
      <c r="E3354" s="140">
        <v>4</v>
      </c>
      <c r="F3354" s="142">
        <v>45698.416666666672</v>
      </c>
      <c r="G3354" s="140" t="s">
        <v>845</v>
      </c>
      <c r="H3354" s="140" t="s">
        <v>872</v>
      </c>
    </row>
    <row r="3355" spans="1:8" ht="15.75" customHeight="1">
      <c r="A3355" s="140" t="s">
        <v>79</v>
      </c>
      <c r="B3355" s="140" t="s">
        <v>21</v>
      </c>
      <c r="C3355" s="141" t="s">
        <v>488</v>
      </c>
      <c r="D3355" s="140" t="s">
        <v>489</v>
      </c>
      <c r="E3355" s="140">
        <v>5</v>
      </c>
      <c r="F3355" s="142">
        <v>45761.541666666672</v>
      </c>
      <c r="G3355" s="140" t="s">
        <v>843</v>
      </c>
      <c r="H3355" s="140" t="s">
        <v>872</v>
      </c>
    </row>
    <row r="3356" spans="1:8" ht="15.75" customHeight="1">
      <c r="A3356" s="140" t="s">
        <v>79</v>
      </c>
      <c r="B3356" s="140" t="s">
        <v>21</v>
      </c>
      <c r="C3356" s="141" t="s">
        <v>488</v>
      </c>
      <c r="D3356" s="140" t="s">
        <v>489</v>
      </c>
      <c r="E3356" s="140">
        <v>6</v>
      </c>
      <c r="F3356" s="142">
        <v>45789.541666666672</v>
      </c>
      <c r="G3356" s="140" t="s">
        <v>845</v>
      </c>
      <c r="H3356" s="140" t="s">
        <v>872</v>
      </c>
    </row>
    <row r="3357" spans="1:8" ht="15.75" customHeight="1">
      <c r="A3357" s="140" t="s">
        <v>79</v>
      </c>
      <c r="B3357" s="140" t="s">
        <v>21</v>
      </c>
      <c r="C3357" s="141" t="s">
        <v>488</v>
      </c>
      <c r="D3357" s="140" t="s">
        <v>489</v>
      </c>
      <c r="E3357" s="140">
        <v>7</v>
      </c>
      <c r="F3357" s="142">
        <v>45803.416666666672</v>
      </c>
      <c r="G3357" s="140" t="s">
        <v>843</v>
      </c>
      <c r="H3357" s="140" t="s">
        <v>872</v>
      </c>
    </row>
    <row r="3358" spans="1:8" ht="15.75" customHeight="1">
      <c r="A3358" s="140" t="s">
        <v>79</v>
      </c>
      <c r="B3358" s="140" t="s">
        <v>21</v>
      </c>
      <c r="C3358" s="141" t="s">
        <v>488</v>
      </c>
      <c r="D3358" s="140" t="s">
        <v>489</v>
      </c>
      <c r="E3358" s="140">
        <v>8</v>
      </c>
      <c r="F3358" s="142">
        <v>45817.583333333328</v>
      </c>
      <c r="G3358" s="140" t="s">
        <v>845</v>
      </c>
      <c r="H3358" s="140" t="s">
        <v>872</v>
      </c>
    </row>
    <row r="3359" spans="1:8" ht="15.75" customHeight="1">
      <c r="A3359" s="140" t="s">
        <v>79</v>
      </c>
      <c r="B3359" s="140" t="s">
        <v>21</v>
      </c>
      <c r="C3359" s="141" t="s">
        <v>488</v>
      </c>
      <c r="D3359" s="140" t="s">
        <v>489</v>
      </c>
      <c r="E3359" s="140">
        <v>9</v>
      </c>
      <c r="F3359" s="142">
        <v>45831.458333333328</v>
      </c>
      <c r="G3359" s="140" t="s">
        <v>845</v>
      </c>
      <c r="H3359" s="140" t="s">
        <v>872</v>
      </c>
    </row>
    <row r="3360" spans="1:8" ht="15.75" customHeight="1">
      <c r="A3360" s="140" t="s">
        <v>79</v>
      </c>
      <c r="B3360" s="140" t="s">
        <v>21</v>
      </c>
      <c r="C3360" s="141" t="s">
        <v>488</v>
      </c>
      <c r="D3360" s="140" t="s">
        <v>489</v>
      </c>
      <c r="E3360" s="140">
        <v>10</v>
      </c>
      <c r="F3360" s="142">
        <v>45859.541666666672</v>
      </c>
      <c r="G3360" s="140" t="s">
        <v>845</v>
      </c>
      <c r="H3360" s="140" t="s">
        <v>872</v>
      </c>
    </row>
    <row r="3361" spans="1:8" ht="15.75" customHeight="1">
      <c r="A3361" s="140" t="s">
        <v>79</v>
      </c>
      <c r="B3361" s="140" t="s">
        <v>21</v>
      </c>
      <c r="C3361" s="141" t="s">
        <v>549</v>
      </c>
      <c r="D3361" s="140" t="s">
        <v>550</v>
      </c>
      <c r="E3361" s="140">
        <v>1</v>
      </c>
      <c r="F3361" s="142">
        <v>45645.458333333328</v>
      </c>
      <c r="G3361" s="140" t="s">
        <v>845</v>
      </c>
      <c r="H3361" s="140" t="s">
        <v>872</v>
      </c>
    </row>
    <row r="3362" spans="1:8" ht="15.75" customHeight="1">
      <c r="A3362" s="140" t="s">
        <v>79</v>
      </c>
      <c r="B3362" s="140" t="s">
        <v>21</v>
      </c>
      <c r="C3362" s="141" t="s">
        <v>549</v>
      </c>
      <c r="D3362" s="140" t="s">
        <v>550</v>
      </c>
      <c r="E3362" s="140">
        <v>2</v>
      </c>
      <c r="F3362" s="142">
        <v>45652.458333333328</v>
      </c>
      <c r="G3362" s="140" t="s">
        <v>845</v>
      </c>
      <c r="H3362" s="140" t="s">
        <v>872</v>
      </c>
    </row>
    <row r="3363" spans="1:8" ht="15.75" customHeight="1">
      <c r="A3363" s="140" t="s">
        <v>79</v>
      </c>
      <c r="B3363" s="140" t="s">
        <v>21</v>
      </c>
      <c r="C3363" s="141" t="s">
        <v>549</v>
      </c>
      <c r="D3363" s="140" t="s">
        <v>550</v>
      </c>
      <c r="E3363" s="140">
        <v>3</v>
      </c>
      <c r="F3363" s="142">
        <v>45670.458333333328</v>
      </c>
      <c r="G3363" s="140" t="s">
        <v>845</v>
      </c>
      <c r="H3363" s="140" t="s">
        <v>872</v>
      </c>
    </row>
    <row r="3364" spans="1:8" ht="15.75" customHeight="1">
      <c r="A3364" s="140" t="s">
        <v>79</v>
      </c>
      <c r="B3364" s="140" t="s">
        <v>21</v>
      </c>
      <c r="C3364" s="141" t="s">
        <v>549</v>
      </c>
      <c r="D3364" s="140" t="s">
        <v>550</v>
      </c>
      <c r="E3364" s="140">
        <v>4</v>
      </c>
      <c r="F3364" s="142">
        <v>45698.416666666672</v>
      </c>
      <c r="G3364" s="140" t="s">
        <v>845</v>
      </c>
      <c r="H3364" s="140" t="s">
        <v>872</v>
      </c>
    </row>
    <row r="3365" spans="1:8" ht="15.75" customHeight="1">
      <c r="A3365" s="140" t="s">
        <v>79</v>
      </c>
      <c r="B3365" s="140" t="s">
        <v>21</v>
      </c>
      <c r="C3365" s="141" t="s">
        <v>549</v>
      </c>
      <c r="D3365" s="140" t="s">
        <v>550</v>
      </c>
      <c r="E3365" s="140">
        <v>5</v>
      </c>
      <c r="F3365" s="142">
        <v>45761.541666666672</v>
      </c>
      <c r="G3365" s="140" t="s">
        <v>845</v>
      </c>
      <c r="H3365" s="140" t="s">
        <v>872</v>
      </c>
    </row>
    <row r="3366" spans="1:8" ht="15.75" customHeight="1">
      <c r="A3366" s="140" t="s">
        <v>79</v>
      </c>
      <c r="B3366" s="140" t="s">
        <v>21</v>
      </c>
      <c r="C3366" s="141" t="s">
        <v>549</v>
      </c>
      <c r="D3366" s="140" t="s">
        <v>550</v>
      </c>
      <c r="E3366" s="140">
        <v>6</v>
      </c>
      <c r="F3366" s="142">
        <v>45789.541666666672</v>
      </c>
      <c r="G3366" s="140" t="s">
        <v>845</v>
      </c>
      <c r="H3366" s="140" t="s">
        <v>872</v>
      </c>
    </row>
    <row r="3367" spans="1:8" ht="15.75" customHeight="1">
      <c r="A3367" s="140" t="s">
        <v>79</v>
      </c>
      <c r="B3367" s="140" t="s">
        <v>21</v>
      </c>
      <c r="C3367" s="141" t="s">
        <v>549</v>
      </c>
      <c r="D3367" s="140" t="s">
        <v>550</v>
      </c>
      <c r="E3367" s="140">
        <v>7</v>
      </c>
      <c r="F3367" s="142">
        <v>45803.416666666672</v>
      </c>
      <c r="G3367" s="140" t="s">
        <v>845</v>
      </c>
      <c r="H3367" s="140" t="s">
        <v>872</v>
      </c>
    </row>
    <row r="3368" spans="1:8" ht="15.75" customHeight="1">
      <c r="A3368" s="140" t="s">
        <v>79</v>
      </c>
      <c r="B3368" s="140" t="s">
        <v>21</v>
      </c>
      <c r="C3368" s="141" t="s">
        <v>549</v>
      </c>
      <c r="D3368" s="140" t="s">
        <v>550</v>
      </c>
      <c r="E3368" s="140">
        <v>8</v>
      </c>
      <c r="F3368" s="142">
        <v>45817.416666666672</v>
      </c>
      <c r="G3368" s="140" t="s">
        <v>845</v>
      </c>
      <c r="H3368" s="140" t="s">
        <v>872</v>
      </c>
    </row>
    <row r="3369" spans="1:8" ht="15.75" customHeight="1">
      <c r="A3369" s="140" t="s">
        <v>79</v>
      </c>
      <c r="B3369" s="140" t="s">
        <v>21</v>
      </c>
      <c r="C3369" s="141" t="s">
        <v>549</v>
      </c>
      <c r="D3369" s="140" t="s">
        <v>550</v>
      </c>
      <c r="E3369" s="140">
        <v>9</v>
      </c>
      <c r="F3369" s="142">
        <v>45831.416666666672</v>
      </c>
      <c r="G3369" s="140" t="s">
        <v>845</v>
      </c>
      <c r="H3369" s="140" t="s">
        <v>872</v>
      </c>
    </row>
    <row r="3370" spans="1:8" ht="15.75" customHeight="1">
      <c r="A3370" s="140" t="s">
        <v>79</v>
      </c>
      <c r="B3370" s="140" t="s">
        <v>21</v>
      </c>
      <c r="C3370" s="141" t="s">
        <v>549</v>
      </c>
      <c r="D3370" s="140" t="s">
        <v>550</v>
      </c>
      <c r="E3370" s="140">
        <v>10</v>
      </c>
      <c r="F3370" s="142">
        <v>45859.541666666672</v>
      </c>
      <c r="G3370" s="140" t="s">
        <v>845</v>
      </c>
      <c r="H3370" s="140" t="s">
        <v>872</v>
      </c>
    </row>
    <row r="3371" spans="1:8" ht="15.75" customHeight="1">
      <c r="A3371" s="140" t="s">
        <v>80</v>
      </c>
      <c r="B3371" s="140" t="s">
        <v>21</v>
      </c>
      <c r="C3371" s="141" t="s">
        <v>157</v>
      </c>
      <c r="D3371" s="140" t="s">
        <v>158</v>
      </c>
      <c r="E3371" s="140">
        <v>1</v>
      </c>
      <c r="F3371" s="142">
        <v>45646.416666666672</v>
      </c>
      <c r="G3371" s="140" t="s">
        <v>843</v>
      </c>
      <c r="H3371" s="140" t="s">
        <v>873</v>
      </c>
    </row>
    <row r="3372" spans="1:8" ht="15.75" customHeight="1">
      <c r="A3372" s="140" t="s">
        <v>80</v>
      </c>
      <c r="B3372" s="140" t="s">
        <v>21</v>
      </c>
      <c r="C3372" s="141" t="s">
        <v>157</v>
      </c>
      <c r="D3372" s="140" t="s">
        <v>158</v>
      </c>
      <c r="E3372" s="140">
        <v>2</v>
      </c>
      <c r="F3372" s="142">
        <v>45666.458333333328</v>
      </c>
      <c r="G3372" s="140" t="s">
        <v>845</v>
      </c>
      <c r="H3372" s="140" t="s">
        <v>873</v>
      </c>
    </row>
    <row r="3373" spans="1:8" ht="15.75" customHeight="1">
      <c r="A3373" s="140" t="s">
        <v>80</v>
      </c>
      <c r="B3373" s="140" t="s">
        <v>21</v>
      </c>
      <c r="C3373" s="141" t="s">
        <v>157</v>
      </c>
      <c r="D3373" s="140" t="s">
        <v>158</v>
      </c>
      <c r="E3373" s="140">
        <v>3</v>
      </c>
      <c r="F3373" s="142">
        <v>45680.458333333328</v>
      </c>
      <c r="G3373" s="140" t="s">
        <v>845</v>
      </c>
      <c r="H3373" s="140" t="s">
        <v>873</v>
      </c>
    </row>
    <row r="3374" spans="1:8" ht="15.75" customHeight="1">
      <c r="A3374" s="140" t="s">
        <v>80</v>
      </c>
      <c r="B3374" s="140" t="s">
        <v>21</v>
      </c>
      <c r="C3374" s="141" t="s">
        <v>157</v>
      </c>
      <c r="D3374" s="140" t="s">
        <v>158</v>
      </c>
      <c r="E3374" s="140">
        <v>4</v>
      </c>
      <c r="F3374" s="142">
        <v>45701.458333333328</v>
      </c>
      <c r="G3374" s="140" t="s">
        <v>845</v>
      </c>
      <c r="H3374" s="140" t="s">
        <v>873</v>
      </c>
    </row>
    <row r="3375" spans="1:8" ht="15.75" customHeight="1">
      <c r="A3375" s="140" t="s">
        <v>80</v>
      </c>
      <c r="B3375" s="140" t="s">
        <v>21</v>
      </c>
      <c r="C3375" s="141" t="s">
        <v>157</v>
      </c>
      <c r="D3375" s="140" t="s">
        <v>158</v>
      </c>
      <c r="E3375" s="140">
        <v>5</v>
      </c>
      <c r="F3375" s="142">
        <v>45762.416666666672</v>
      </c>
      <c r="G3375" s="140" t="s">
        <v>845</v>
      </c>
      <c r="H3375" s="140" t="s">
        <v>873</v>
      </c>
    </row>
    <row r="3376" spans="1:8" ht="15.75" customHeight="1">
      <c r="A3376" s="140" t="s">
        <v>80</v>
      </c>
      <c r="B3376" s="140" t="s">
        <v>21</v>
      </c>
      <c r="C3376" s="141" t="s">
        <v>157</v>
      </c>
      <c r="D3376" s="140" t="s">
        <v>158</v>
      </c>
      <c r="E3376" s="140">
        <v>6</v>
      </c>
      <c r="F3376" s="142">
        <v>45790.458333333328</v>
      </c>
      <c r="G3376" s="140" t="s">
        <v>845</v>
      </c>
      <c r="H3376" s="140" t="s">
        <v>873</v>
      </c>
    </row>
    <row r="3377" spans="1:8" ht="15.75" customHeight="1">
      <c r="A3377" s="140" t="s">
        <v>80</v>
      </c>
      <c r="B3377" s="140" t="s">
        <v>21</v>
      </c>
      <c r="C3377" s="141" t="s">
        <v>157</v>
      </c>
      <c r="D3377" s="140" t="s">
        <v>158</v>
      </c>
      <c r="E3377" s="140">
        <v>7</v>
      </c>
      <c r="F3377" s="142">
        <v>45817.583333333328</v>
      </c>
      <c r="G3377" s="140" t="s">
        <v>845</v>
      </c>
      <c r="H3377" s="140" t="s">
        <v>873</v>
      </c>
    </row>
    <row r="3378" spans="1:8" ht="15.75" customHeight="1">
      <c r="A3378" s="140" t="s">
        <v>80</v>
      </c>
      <c r="B3378" s="140" t="s">
        <v>21</v>
      </c>
      <c r="C3378" s="141" t="s">
        <v>157</v>
      </c>
      <c r="D3378" s="140" t="s">
        <v>158</v>
      </c>
      <c r="E3378" s="140">
        <v>8</v>
      </c>
      <c r="F3378" s="142">
        <v>45831.458333333328</v>
      </c>
      <c r="G3378" s="140" t="s">
        <v>845</v>
      </c>
      <c r="H3378" s="140" t="s">
        <v>873</v>
      </c>
    </row>
    <row r="3379" spans="1:8" ht="15.75" customHeight="1">
      <c r="A3379" s="140" t="s">
        <v>80</v>
      </c>
      <c r="B3379" s="140" t="s">
        <v>21</v>
      </c>
      <c r="C3379" s="141" t="s">
        <v>157</v>
      </c>
      <c r="D3379" s="140" t="s">
        <v>158</v>
      </c>
      <c r="E3379" s="140">
        <v>9</v>
      </c>
      <c r="F3379" s="142">
        <v>45846.458333333328</v>
      </c>
      <c r="G3379" s="140" t="s">
        <v>845</v>
      </c>
      <c r="H3379" s="140" t="s">
        <v>873</v>
      </c>
    </row>
    <row r="3380" spans="1:8" ht="15.75" customHeight="1">
      <c r="A3380" s="140" t="s">
        <v>80</v>
      </c>
      <c r="B3380" s="140" t="s">
        <v>21</v>
      </c>
      <c r="C3380" s="141" t="s">
        <v>194</v>
      </c>
      <c r="D3380" s="140" t="s">
        <v>195</v>
      </c>
      <c r="E3380" s="140">
        <v>1</v>
      </c>
      <c r="F3380" s="142">
        <v>45646.416666666672</v>
      </c>
      <c r="G3380" s="140" t="s">
        <v>845</v>
      </c>
      <c r="H3380" s="140" t="s">
        <v>873</v>
      </c>
    </row>
    <row r="3381" spans="1:8" ht="15.75" customHeight="1">
      <c r="A3381" s="140" t="s">
        <v>80</v>
      </c>
      <c r="B3381" s="140" t="s">
        <v>21</v>
      </c>
      <c r="C3381" s="141" t="s">
        <v>194</v>
      </c>
      <c r="D3381" s="140" t="s">
        <v>195</v>
      </c>
      <c r="E3381" s="140">
        <v>2</v>
      </c>
      <c r="F3381" s="142">
        <v>45663.458333333328</v>
      </c>
      <c r="G3381" s="140" t="s">
        <v>845</v>
      </c>
      <c r="H3381" s="140" t="s">
        <v>873</v>
      </c>
    </row>
    <row r="3382" spans="1:8" ht="15.75" customHeight="1">
      <c r="A3382" s="140" t="s">
        <v>80</v>
      </c>
      <c r="B3382" s="140" t="s">
        <v>21</v>
      </c>
      <c r="C3382" s="141" t="s">
        <v>194</v>
      </c>
      <c r="D3382" s="140" t="s">
        <v>195</v>
      </c>
      <c r="E3382" s="140">
        <v>3</v>
      </c>
      <c r="F3382" s="142">
        <v>45680.458333333328</v>
      </c>
      <c r="G3382" s="140" t="s">
        <v>845</v>
      </c>
      <c r="H3382" s="140" t="s">
        <v>873</v>
      </c>
    </row>
    <row r="3383" spans="1:8" ht="15.75" customHeight="1">
      <c r="A3383" s="140" t="s">
        <v>80</v>
      </c>
      <c r="B3383" s="140" t="s">
        <v>21</v>
      </c>
      <c r="C3383" s="141" t="s">
        <v>194</v>
      </c>
      <c r="D3383" s="140" t="s">
        <v>195</v>
      </c>
      <c r="E3383" s="140">
        <v>4</v>
      </c>
      <c r="F3383" s="142">
        <v>45701.458333333328</v>
      </c>
      <c r="G3383" s="140" t="s">
        <v>845</v>
      </c>
      <c r="H3383" s="140" t="s">
        <v>873</v>
      </c>
    </row>
    <row r="3384" spans="1:8" ht="15.75" customHeight="1">
      <c r="A3384" s="140" t="s">
        <v>80</v>
      </c>
      <c r="B3384" s="140" t="s">
        <v>21</v>
      </c>
      <c r="C3384" s="141" t="s">
        <v>194</v>
      </c>
      <c r="D3384" s="140" t="s">
        <v>195</v>
      </c>
      <c r="E3384" s="140">
        <v>5</v>
      </c>
      <c r="F3384" s="142">
        <v>45762.416666666672</v>
      </c>
      <c r="G3384" s="140" t="s">
        <v>845</v>
      </c>
      <c r="H3384" s="140" t="s">
        <v>873</v>
      </c>
    </row>
    <row r="3385" spans="1:8" ht="15.75" customHeight="1">
      <c r="A3385" s="140" t="s">
        <v>80</v>
      </c>
      <c r="B3385" s="140" t="s">
        <v>21</v>
      </c>
      <c r="C3385" s="141" t="s">
        <v>194</v>
      </c>
      <c r="D3385" s="140" t="s">
        <v>195</v>
      </c>
      <c r="E3385" s="140">
        <v>6</v>
      </c>
      <c r="F3385" s="142">
        <v>45790.458333333328</v>
      </c>
      <c r="G3385" s="140" t="s">
        <v>845</v>
      </c>
      <c r="H3385" s="140" t="s">
        <v>873</v>
      </c>
    </row>
    <row r="3386" spans="1:8" ht="15.75" customHeight="1">
      <c r="A3386" s="140" t="s">
        <v>80</v>
      </c>
      <c r="B3386" s="140" t="s">
        <v>21</v>
      </c>
      <c r="C3386" s="141" t="s">
        <v>194</v>
      </c>
      <c r="D3386" s="140" t="s">
        <v>195</v>
      </c>
      <c r="E3386" s="140">
        <v>7</v>
      </c>
      <c r="F3386" s="142">
        <v>45817.583333333328</v>
      </c>
      <c r="G3386" s="140" t="s">
        <v>845</v>
      </c>
      <c r="H3386" s="140" t="s">
        <v>873</v>
      </c>
    </row>
    <row r="3387" spans="1:8" ht="15.75" customHeight="1">
      <c r="A3387" s="140" t="s">
        <v>80</v>
      </c>
      <c r="B3387" s="140" t="s">
        <v>21</v>
      </c>
      <c r="C3387" s="141" t="s">
        <v>194</v>
      </c>
      <c r="D3387" s="140" t="s">
        <v>195</v>
      </c>
      <c r="E3387" s="140">
        <v>8</v>
      </c>
      <c r="F3387" s="142">
        <v>45831.458333333328</v>
      </c>
      <c r="G3387" s="140" t="s">
        <v>845</v>
      </c>
      <c r="H3387" s="140" t="s">
        <v>873</v>
      </c>
    </row>
    <row r="3388" spans="1:8" ht="15.75" customHeight="1">
      <c r="A3388" s="140" t="s">
        <v>80</v>
      </c>
      <c r="B3388" s="140" t="s">
        <v>21</v>
      </c>
      <c r="C3388" s="141" t="s">
        <v>194</v>
      </c>
      <c r="D3388" s="140" t="s">
        <v>195</v>
      </c>
      <c r="E3388" s="140">
        <v>9</v>
      </c>
      <c r="F3388" s="142">
        <v>45846.458333333328</v>
      </c>
      <c r="G3388" s="140" t="s">
        <v>845</v>
      </c>
      <c r="H3388" s="140" t="s">
        <v>873</v>
      </c>
    </row>
    <row r="3389" spans="1:8" ht="15.75" customHeight="1">
      <c r="A3389" s="140" t="s">
        <v>80</v>
      </c>
      <c r="B3389" s="140" t="s">
        <v>21</v>
      </c>
      <c r="C3389" s="141" t="s">
        <v>457</v>
      </c>
      <c r="D3389" s="140" t="s">
        <v>458</v>
      </c>
      <c r="E3389" s="140">
        <v>1</v>
      </c>
      <c r="F3389" s="142">
        <v>45646.416666666672</v>
      </c>
      <c r="G3389" s="140" t="s">
        <v>845</v>
      </c>
      <c r="H3389" s="140" t="s">
        <v>873</v>
      </c>
    </row>
    <row r="3390" spans="1:8" ht="15.75" customHeight="1">
      <c r="A3390" s="140" t="s">
        <v>80</v>
      </c>
      <c r="B3390" s="140" t="s">
        <v>21</v>
      </c>
      <c r="C3390" s="141" t="s">
        <v>457</v>
      </c>
      <c r="D3390" s="140" t="s">
        <v>458</v>
      </c>
      <c r="E3390" s="140">
        <v>2</v>
      </c>
      <c r="F3390" s="142">
        <v>45663.458333333328</v>
      </c>
      <c r="G3390" s="140" t="s">
        <v>845</v>
      </c>
      <c r="H3390" s="140" t="s">
        <v>873</v>
      </c>
    </row>
    <row r="3391" spans="1:8" ht="15.75" customHeight="1">
      <c r="A3391" s="140" t="s">
        <v>80</v>
      </c>
      <c r="B3391" s="140" t="s">
        <v>21</v>
      </c>
      <c r="C3391" s="141" t="s">
        <v>457</v>
      </c>
      <c r="D3391" s="140" t="s">
        <v>458</v>
      </c>
      <c r="E3391" s="140">
        <v>3</v>
      </c>
      <c r="F3391" s="142">
        <v>45680.458333333328</v>
      </c>
      <c r="G3391" s="140" t="s">
        <v>843</v>
      </c>
      <c r="H3391" s="140" t="s">
        <v>873</v>
      </c>
    </row>
    <row r="3392" spans="1:8" ht="15.75" customHeight="1">
      <c r="A3392" s="140" t="s">
        <v>80</v>
      </c>
      <c r="B3392" s="140" t="s">
        <v>21</v>
      </c>
      <c r="C3392" s="141" t="s">
        <v>457</v>
      </c>
      <c r="D3392" s="140" t="s">
        <v>458</v>
      </c>
      <c r="E3392" s="140">
        <v>4</v>
      </c>
      <c r="F3392" s="142">
        <v>45701.458333333328</v>
      </c>
      <c r="G3392" s="140" t="s">
        <v>843</v>
      </c>
      <c r="H3392" s="140" t="s">
        <v>873</v>
      </c>
    </row>
    <row r="3393" spans="1:8" ht="15.75" customHeight="1">
      <c r="A3393" s="140" t="s">
        <v>80</v>
      </c>
      <c r="B3393" s="140" t="s">
        <v>21</v>
      </c>
      <c r="C3393" s="141" t="s">
        <v>457</v>
      </c>
      <c r="D3393" s="140" t="s">
        <v>458</v>
      </c>
      <c r="E3393" s="140">
        <v>5</v>
      </c>
      <c r="F3393" s="142">
        <v>45761.541666666672</v>
      </c>
      <c r="G3393" s="140" t="s">
        <v>845</v>
      </c>
      <c r="H3393" s="140" t="s">
        <v>873</v>
      </c>
    </row>
    <row r="3394" spans="1:8" ht="15.75" customHeight="1">
      <c r="A3394" s="140" t="s">
        <v>80</v>
      </c>
      <c r="B3394" s="140" t="s">
        <v>21</v>
      </c>
      <c r="C3394" s="141" t="s">
        <v>457</v>
      </c>
      <c r="D3394" s="140" t="s">
        <v>458</v>
      </c>
      <c r="E3394" s="140">
        <v>6</v>
      </c>
      <c r="F3394" s="142">
        <v>45790.458333333328</v>
      </c>
      <c r="G3394" s="140" t="s">
        <v>843</v>
      </c>
      <c r="H3394" s="140" t="s">
        <v>873</v>
      </c>
    </row>
    <row r="3395" spans="1:8" ht="15.75" customHeight="1">
      <c r="A3395" s="140" t="s">
        <v>80</v>
      </c>
      <c r="B3395" s="140" t="s">
        <v>21</v>
      </c>
      <c r="C3395" s="141" t="s">
        <v>457</v>
      </c>
      <c r="D3395" s="140" t="s">
        <v>458</v>
      </c>
      <c r="E3395" s="140">
        <v>7</v>
      </c>
      <c r="F3395" s="142">
        <v>45817.583333333328</v>
      </c>
      <c r="G3395" s="140" t="s">
        <v>843</v>
      </c>
      <c r="H3395" s="140" t="s">
        <v>873</v>
      </c>
    </row>
    <row r="3396" spans="1:8" ht="15.75" customHeight="1">
      <c r="A3396" s="140" t="s">
        <v>80</v>
      </c>
      <c r="B3396" s="140" t="s">
        <v>21</v>
      </c>
      <c r="C3396" s="141" t="s">
        <v>457</v>
      </c>
      <c r="D3396" s="140" t="s">
        <v>458</v>
      </c>
      <c r="E3396" s="140">
        <v>8</v>
      </c>
      <c r="F3396" s="142">
        <v>45817.416666666672</v>
      </c>
      <c r="G3396" s="140" t="s">
        <v>845</v>
      </c>
      <c r="H3396" s="140" t="s">
        <v>873</v>
      </c>
    </row>
    <row r="3397" spans="1:8" ht="15.75" customHeight="1">
      <c r="A3397" s="140" t="s">
        <v>80</v>
      </c>
      <c r="B3397" s="140" t="s">
        <v>21</v>
      </c>
      <c r="C3397" s="141" t="s">
        <v>457</v>
      </c>
      <c r="D3397" s="140" t="s">
        <v>458</v>
      </c>
      <c r="E3397" s="140">
        <v>9</v>
      </c>
      <c r="F3397" s="142">
        <v>45846.458333333328</v>
      </c>
      <c r="G3397" s="140" t="s">
        <v>843</v>
      </c>
      <c r="H3397" s="140" t="s">
        <v>873</v>
      </c>
    </row>
    <row r="3398" spans="1:8" ht="15.75" customHeight="1">
      <c r="A3398" s="140" t="s">
        <v>80</v>
      </c>
      <c r="B3398" s="140" t="s">
        <v>21</v>
      </c>
      <c r="C3398" s="141" t="s">
        <v>541</v>
      </c>
      <c r="D3398" s="140" t="s">
        <v>542</v>
      </c>
      <c r="E3398" s="140">
        <v>1</v>
      </c>
      <c r="F3398" s="142">
        <v>45646.416666666672</v>
      </c>
      <c r="G3398" s="140" t="s">
        <v>845</v>
      </c>
      <c r="H3398" s="140" t="s">
        <v>873</v>
      </c>
    </row>
    <row r="3399" spans="1:8" ht="15.75" customHeight="1">
      <c r="A3399" s="140" t="s">
        <v>80</v>
      </c>
      <c r="B3399" s="140" t="s">
        <v>21</v>
      </c>
      <c r="C3399" s="141" t="s">
        <v>541</v>
      </c>
      <c r="D3399" s="140" t="s">
        <v>542</v>
      </c>
      <c r="E3399" s="140">
        <v>2</v>
      </c>
      <c r="F3399" s="142">
        <v>45663.458333333328</v>
      </c>
      <c r="G3399" s="140" t="s">
        <v>845</v>
      </c>
      <c r="H3399" s="140" t="s">
        <v>873</v>
      </c>
    </row>
    <row r="3400" spans="1:8" ht="15.75" customHeight="1">
      <c r="A3400" s="140" t="s">
        <v>80</v>
      </c>
      <c r="B3400" s="140" t="s">
        <v>21</v>
      </c>
      <c r="C3400" s="141" t="s">
        <v>541</v>
      </c>
      <c r="D3400" s="140" t="s">
        <v>542</v>
      </c>
      <c r="E3400" s="140">
        <v>3</v>
      </c>
      <c r="F3400" s="142">
        <v>45680.458333333328</v>
      </c>
      <c r="G3400" s="140" t="s">
        <v>845</v>
      </c>
      <c r="H3400" s="140" t="s">
        <v>873</v>
      </c>
    </row>
    <row r="3401" spans="1:8" ht="15.75" customHeight="1">
      <c r="A3401" s="140" t="s">
        <v>80</v>
      </c>
      <c r="B3401" s="140" t="s">
        <v>21</v>
      </c>
      <c r="C3401" s="141" t="s">
        <v>541</v>
      </c>
      <c r="D3401" s="140" t="s">
        <v>542</v>
      </c>
      <c r="E3401" s="140">
        <v>4</v>
      </c>
      <c r="F3401" s="142">
        <v>45701.458333333328</v>
      </c>
      <c r="G3401" s="140" t="s">
        <v>845</v>
      </c>
      <c r="H3401" s="140" t="s">
        <v>873</v>
      </c>
    </row>
    <row r="3402" spans="1:8" ht="15.75" customHeight="1">
      <c r="A3402" s="140" t="s">
        <v>80</v>
      </c>
      <c r="B3402" s="140" t="s">
        <v>21</v>
      </c>
      <c r="C3402" s="141" t="s">
        <v>541</v>
      </c>
      <c r="D3402" s="140" t="s">
        <v>542</v>
      </c>
      <c r="E3402" s="140">
        <v>5</v>
      </c>
      <c r="F3402" s="142">
        <v>45762.416666666672</v>
      </c>
      <c r="G3402" s="140" t="s">
        <v>845</v>
      </c>
      <c r="H3402" s="140" t="s">
        <v>873</v>
      </c>
    </row>
    <row r="3403" spans="1:8" ht="15.75" customHeight="1">
      <c r="A3403" s="140" t="s">
        <v>80</v>
      </c>
      <c r="B3403" s="140" t="s">
        <v>21</v>
      </c>
      <c r="C3403" s="141" t="s">
        <v>541</v>
      </c>
      <c r="D3403" s="140" t="s">
        <v>542</v>
      </c>
      <c r="E3403" s="140">
        <v>6</v>
      </c>
      <c r="F3403" s="142">
        <v>45790.458333333328</v>
      </c>
      <c r="G3403" s="140" t="s">
        <v>845</v>
      </c>
      <c r="H3403" s="140" t="s">
        <v>873</v>
      </c>
    </row>
    <row r="3404" spans="1:8" ht="15.75" customHeight="1">
      <c r="A3404" s="140" t="s">
        <v>80</v>
      </c>
      <c r="B3404" s="140" t="s">
        <v>21</v>
      </c>
      <c r="C3404" s="141" t="s">
        <v>541</v>
      </c>
      <c r="D3404" s="140" t="s">
        <v>542</v>
      </c>
      <c r="E3404" s="140">
        <v>7</v>
      </c>
      <c r="F3404" s="142">
        <v>45817.583333333328</v>
      </c>
      <c r="G3404" s="140" t="s">
        <v>845</v>
      </c>
      <c r="H3404" s="140" t="s">
        <v>873</v>
      </c>
    </row>
    <row r="3405" spans="1:8" ht="15.75" customHeight="1">
      <c r="A3405" s="140" t="s">
        <v>80</v>
      </c>
      <c r="B3405" s="140" t="s">
        <v>21</v>
      </c>
      <c r="C3405" s="141" t="s">
        <v>541</v>
      </c>
      <c r="D3405" s="140" t="s">
        <v>542</v>
      </c>
      <c r="E3405" s="140">
        <v>8</v>
      </c>
      <c r="F3405" s="142">
        <v>45831.458333333328</v>
      </c>
      <c r="G3405" s="140" t="s">
        <v>843</v>
      </c>
      <c r="H3405" s="140" t="s">
        <v>873</v>
      </c>
    </row>
    <row r="3406" spans="1:8" ht="15.75" customHeight="1">
      <c r="A3406" s="140" t="s">
        <v>80</v>
      </c>
      <c r="B3406" s="140" t="s">
        <v>21</v>
      </c>
      <c r="C3406" s="141" t="s">
        <v>541</v>
      </c>
      <c r="D3406" s="140" t="s">
        <v>542</v>
      </c>
      <c r="E3406" s="140">
        <v>9</v>
      </c>
      <c r="F3406" s="142">
        <v>45846.458333333328</v>
      </c>
      <c r="G3406" s="140" t="s">
        <v>845</v>
      </c>
      <c r="H3406" s="140" t="s">
        <v>873</v>
      </c>
    </row>
    <row r="3407" spans="1:8" ht="15.75" customHeight="1">
      <c r="A3407" s="140" t="s">
        <v>80</v>
      </c>
      <c r="B3407" s="140" t="s">
        <v>21</v>
      </c>
      <c r="C3407" s="141" t="s">
        <v>661</v>
      </c>
      <c r="D3407" s="140" t="s">
        <v>662</v>
      </c>
      <c r="E3407" s="140">
        <v>1</v>
      </c>
      <c r="F3407" s="142">
        <v>45646.416666666672</v>
      </c>
      <c r="G3407" s="140" t="s">
        <v>845</v>
      </c>
      <c r="H3407" s="140" t="s">
        <v>873</v>
      </c>
    </row>
    <row r="3408" spans="1:8" ht="15.75" customHeight="1">
      <c r="A3408" s="140" t="s">
        <v>80</v>
      </c>
      <c r="B3408" s="140" t="s">
        <v>21</v>
      </c>
      <c r="C3408" s="141" t="s">
        <v>661</v>
      </c>
      <c r="D3408" s="140" t="s">
        <v>662</v>
      </c>
      <c r="E3408" s="140">
        <v>2</v>
      </c>
      <c r="F3408" s="142">
        <v>45663.458333333328</v>
      </c>
      <c r="G3408" s="140" t="s">
        <v>845</v>
      </c>
      <c r="H3408" s="140" t="s">
        <v>873</v>
      </c>
    </row>
    <row r="3409" spans="1:8" ht="15.75" customHeight="1">
      <c r="A3409" s="140" t="s">
        <v>80</v>
      </c>
      <c r="B3409" s="140" t="s">
        <v>21</v>
      </c>
      <c r="C3409" s="141" t="s">
        <v>661</v>
      </c>
      <c r="D3409" s="140" t="s">
        <v>662</v>
      </c>
      <c r="E3409" s="140">
        <v>3</v>
      </c>
      <c r="F3409" s="142">
        <v>45680.458333333328</v>
      </c>
      <c r="G3409" s="140" t="s">
        <v>845</v>
      </c>
      <c r="H3409" s="140" t="s">
        <v>873</v>
      </c>
    </row>
    <row r="3410" spans="1:8" ht="15.75" customHeight="1">
      <c r="A3410" s="140" t="s">
        <v>80</v>
      </c>
      <c r="B3410" s="140" t="s">
        <v>21</v>
      </c>
      <c r="C3410" s="141" t="s">
        <v>661</v>
      </c>
      <c r="D3410" s="140" t="s">
        <v>662</v>
      </c>
      <c r="E3410" s="140">
        <v>4</v>
      </c>
      <c r="F3410" s="142">
        <v>45701.458333333328</v>
      </c>
      <c r="G3410" s="140" t="s">
        <v>845</v>
      </c>
      <c r="H3410" s="140" t="s">
        <v>873</v>
      </c>
    </row>
    <row r="3411" spans="1:8" ht="15.75" customHeight="1">
      <c r="A3411" s="140" t="s">
        <v>80</v>
      </c>
      <c r="B3411" s="140" t="s">
        <v>21</v>
      </c>
      <c r="C3411" s="141" t="s">
        <v>661</v>
      </c>
      <c r="D3411" s="140" t="s">
        <v>662</v>
      </c>
      <c r="E3411" s="140">
        <v>5</v>
      </c>
      <c r="F3411" s="142">
        <v>45762.416666666672</v>
      </c>
      <c r="G3411" s="140" t="s">
        <v>845</v>
      </c>
      <c r="H3411" s="140" t="s">
        <v>873</v>
      </c>
    </row>
    <row r="3412" spans="1:8" ht="15.75" customHeight="1">
      <c r="A3412" s="140" t="s">
        <v>80</v>
      </c>
      <c r="B3412" s="140" t="s">
        <v>21</v>
      </c>
      <c r="C3412" s="141" t="s">
        <v>661</v>
      </c>
      <c r="D3412" s="140" t="s">
        <v>662</v>
      </c>
      <c r="E3412" s="140">
        <v>6</v>
      </c>
      <c r="F3412" s="142">
        <v>45790.458333333328</v>
      </c>
      <c r="G3412" s="140" t="s">
        <v>845</v>
      </c>
      <c r="H3412" s="140" t="s">
        <v>873</v>
      </c>
    </row>
    <row r="3413" spans="1:8" ht="15.75" customHeight="1">
      <c r="A3413" s="140" t="s">
        <v>80</v>
      </c>
      <c r="B3413" s="140" t="s">
        <v>21</v>
      </c>
      <c r="C3413" s="141" t="s">
        <v>661</v>
      </c>
      <c r="D3413" s="140" t="s">
        <v>662</v>
      </c>
      <c r="E3413" s="140">
        <v>7</v>
      </c>
      <c r="F3413" s="142">
        <v>45817.583333333328</v>
      </c>
      <c r="G3413" s="140" t="s">
        <v>845</v>
      </c>
      <c r="H3413" s="140" t="s">
        <v>873</v>
      </c>
    </row>
    <row r="3414" spans="1:8" ht="15.75" customHeight="1">
      <c r="A3414" s="140" t="s">
        <v>80</v>
      </c>
      <c r="B3414" s="140" t="s">
        <v>21</v>
      </c>
      <c r="C3414" s="141" t="s">
        <v>661</v>
      </c>
      <c r="D3414" s="140" t="s">
        <v>662</v>
      </c>
      <c r="E3414" s="140">
        <v>8</v>
      </c>
      <c r="F3414" s="142">
        <v>45831.458333333328</v>
      </c>
      <c r="G3414" s="140" t="s">
        <v>845</v>
      </c>
      <c r="H3414" s="140" t="s">
        <v>873</v>
      </c>
    </row>
    <row r="3415" spans="1:8" ht="15.75" customHeight="1">
      <c r="A3415" s="140" t="s">
        <v>80</v>
      </c>
      <c r="B3415" s="140" t="s">
        <v>21</v>
      </c>
      <c r="C3415" s="141" t="s">
        <v>661</v>
      </c>
      <c r="D3415" s="140" t="s">
        <v>662</v>
      </c>
      <c r="E3415" s="140">
        <v>9</v>
      </c>
      <c r="F3415" s="142">
        <v>45846.458333333328</v>
      </c>
      <c r="G3415" s="140" t="s">
        <v>845</v>
      </c>
      <c r="H3415" s="140" t="s">
        <v>873</v>
      </c>
    </row>
    <row r="3416" spans="1:8" ht="15.75" customHeight="1">
      <c r="A3416" s="140" t="s">
        <v>80</v>
      </c>
      <c r="B3416" s="140" t="s">
        <v>21</v>
      </c>
      <c r="C3416" s="141" t="s">
        <v>703</v>
      </c>
      <c r="D3416" s="140" t="s">
        <v>704</v>
      </c>
      <c r="E3416" s="140">
        <v>1</v>
      </c>
      <c r="F3416" s="142">
        <v>45646.416666666672</v>
      </c>
      <c r="G3416" s="140" t="s">
        <v>845</v>
      </c>
      <c r="H3416" s="140" t="s">
        <v>873</v>
      </c>
    </row>
    <row r="3417" spans="1:8" ht="15.75" customHeight="1">
      <c r="A3417" s="140" t="s">
        <v>80</v>
      </c>
      <c r="B3417" s="140" t="s">
        <v>21</v>
      </c>
      <c r="C3417" s="141" t="s">
        <v>703</v>
      </c>
      <c r="D3417" s="140" t="s">
        <v>704</v>
      </c>
      <c r="E3417" s="140">
        <v>2</v>
      </c>
      <c r="F3417" s="142">
        <v>45666.458333333328</v>
      </c>
      <c r="G3417" s="140" t="s">
        <v>845</v>
      </c>
      <c r="H3417" s="140" t="s">
        <v>873</v>
      </c>
    </row>
    <row r="3418" spans="1:8" ht="15.75" customHeight="1">
      <c r="A3418" s="140" t="s">
        <v>80</v>
      </c>
      <c r="B3418" s="140" t="s">
        <v>21</v>
      </c>
      <c r="C3418" s="141" t="s">
        <v>703</v>
      </c>
      <c r="D3418" s="140" t="s">
        <v>704</v>
      </c>
      <c r="E3418" s="140">
        <v>3</v>
      </c>
      <c r="F3418" s="142">
        <v>45680.458333333328</v>
      </c>
      <c r="G3418" s="140" t="s">
        <v>845</v>
      </c>
      <c r="H3418" s="140" t="s">
        <v>873</v>
      </c>
    </row>
    <row r="3419" spans="1:8" ht="15.75" customHeight="1">
      <c r="A3419" s="140" t="s">
        <v>80</v>
      </c>
      <c r="B3419" s="140" t="s">
        <v>21</v>
      </c>
      <c r="C3419" s="141" t="s">
        <v>703</v>
      </c>
      <c r="D3419" s="140" t="s">
        <v>704</v>
      </c>
      <c r="E3419" s="140">
        <v>4</v>
      </c>
      <c r="F3419" s="142">
        <v>45701.458333333328</v>
      </c>
      <c r="G3419" s="140" t="s">
        <v>845</v>
      </c>
      <c r="H3419" s="140" t="s">
        <v>873</v>
      </c>
    </row>
    <row r="3420" spans="1:8" ht="15.75" customHeight="1">
      <c r="A3420" s="140" t="s">
        <v>80</v>
      </c>
      <c r="B3420" s="140" t="s">
        <v>21</v>
      </c>
      <c r="C3420" s="141" t="s">
        <v>703</v>
      </c>
      <c r="D3420" s="140" t="s">
        <v>704</v>
      </c>
      <c r="E3420" s="140">
        <v>5</v>
      </c>
      <c r="F3420" s="142">
        <v>45762.416666666672</v>
      </c>
      <c r="G3420" s="140" t="s">
        <v>845</v>
      </c>
      <c r="H3420" s="140" t="s">
        <v>873</v>
      </c>
    </row>
    <row r="3421" spans="1:8" ht="15.75" customHeight="1">
      <c r="A3421" s="140" t="s">
        <v>80</v>
      </c>
      <c r="B3421" s="140" t="s">
        <v>21</v>
      </c>
      <c r="C3421" s="141" t="s">
        <v>703</v>
      </c>
      <c r="D3421" s="140" t="s">
        <v>704</v>
      </c>
      <c r="E3421" s="140">
        <v>6</v>
      </c>
      <c r="F3421" s="142">
        <v>45790.458333333328</v>
      </c>
      <c r="G3421" s="140" t="s">
        <v>845</v>
      </c>
      <c r="H3421" s="140" t="s">
        <v>873</v>
      </c>
    </row>
    <row r="3422" spans="1:8" ht="15.75" customHeight="1">
      <c r="A3422" s="140" t="s">
        <v>80</v>
      </c>
      <c r="B3422" s="140" t="s">
        <v>21</v>
      </c>
      <c r="C3422" s="141" t="s">
        <v>703</v>
      </c>
      <c r="D3422" s="140" t="s">
        <v>704</v>
      </c>
      <c r="E3422" s="140">
        <v>7</v>
      </c>
      <c r="F3422" s="142">
        <v>45817.583333333328</v>
      </c>
      <c r="G3422" s="140" t="s">
        <v>845</v>
      </c>
      <c r="H3422" s="140" t="s">
        <v>873</v>
      </c>
    </row>
    <row r="3423" spans="1:8" ht="15.75" customHeight="1">
      <c r="A3423" s="140" t="s">
        <v>80</v>
      </c>
      <c r="B3423" s="140" t="s">
        <v>21</v>
      </c>
      <c r="C3423" s="141" t="s">
        <v>703</v>
      </c>
      <c r="D3423" s="140" t="s">
        <v>704</v>
      </c>
      <c r="E3423" s="140">
        <v>8</v>
      </c>
      <c r="F3423" s="142">
        <v>45831.458333333328</v>
      </c>
      <c r="G3423" s="140" t="s">
        <v>845</v>
      </c>
      <c r="H3423" s="140" t="s">
        <v>873</v>
      </c>
    </row>
    <row r="3424" spans="1:8" ht="15.75" customHeight="1">
      <c r="A3424" s="140" t="s">
        <v>80</v>
      </c>
      <c r="B3424" s="140" t="s">
        <v>21</v>
      </c>
      <c r="C3424" s="141" t="s">
        <v>703</v>
      </c>
      <c r="D3424" s="140" t="s">
        <v>704</v>
      </c>
      <c r="E3424" s="140">
        <v>9</v>
      </c>
      <c r="F3424" s="142">
        <v>45846.458333333328</v>
      </c>
      <c r="G3424" s="140" t="s">
        <v>843</v>
      </c>
      <c r="H3424" s="140" t="s">
        <v>873</v>
      </c>
    </row>
    <row r="3425" spans="1:8" ht="15.75" customHeight="1">
      <c r="A3425" s="140" t="s">
        <v>80</v>
      </c>
      <c r="B3425" s="140" t="s">
        <v>21</v>
      </c>
      <c r="C3425" s="141" t="s">
        <v>707</v>
      </c>
      <c r="D3425" s="140" t="s">
        <v>708</v>
      </c>
      <c r="E3425" s="140">
        <v>1</v>
      </c>
      <c r="F3425" s="142">
        <v>45646.416666666672</v>
      </c>
      <c r="G3425" s="140" t="s">
        <v>845</v>
      </c>
      <c r="H3425" s="140" t="s">
        <v>873</v>
      </c>
    </row>
    <row r="3426" spans="1:8" ht="15.75" customHeight="1">
      <c r="A3426" s="140" t="s">
        <v>80</v>
      </c>
      <c r="B3426" s="140" t="s">
        <v>21</v>
      </c>
      <c r="C3426" s="141" t="s">
        <v>707</v>
      </c>
      <c r="D3426" s="140" t="s">
        <v>708</v>
      </c>
      <c r="E3426" s="140">
        <v>2</v>
      </c>
      <c r="F3426" s="142">
        <v>45663.458333333328</v>
      </c>
      <c r="G3426" s="140" t="s">
        <v>845</v>
      </c>
      <c r="H3426" s="140" t="s">
        <v>873</v>
      </c>
    </row>
    <row r="3427" spans="1:8" ht="15.75" customHeight="1">
      <c r="A3427" s="140" t="s">
        <v>80</v>
      </c>
      <c r="B3427" s="140" t="s">
        <v>21</v>
      </c>
      <c r="C3427" s="141" t="s">
        <v>707</v>
      </c>
      <c r="D3427" s="140" t="s">
        <v>708</v>
      </c>
      <c r="E3427" s="140">
        <v>3</v>
      </c>
      <c r="F3427" s="142">
        <v>45680.458333333328</v>
      </c>
      <c r="G3427" s="140" t="s">
        <v>843</v>
      </c>
      <c r="H3427" s="140" t="s">
        <v>873</v>
      </c>
    </row>
    <row r="3428" spans="1:8" ht="15.75" customHeight="1">
      <c r="A3428" s="140" t="s">
        <v>80</v>
      </c>
      <c r="B3428" s="140" t="s">
        <v>21</v>
      </c>
      <c r="C3428" s="141" t="s">
        <v>707</v>
      </c>
      <c r="D3428" s="140" t="s">
        <v>708</v>
      </c>
      <c r="E3428" s="140">
        <v>4</v>
      </c>
      <c r="F3428" s="142">
        <v>45701.458333333328</v>
      </c>
      <c r="G3428" s="140" t="s">
        <v>845</v>
      </c>
      <c r="H3428" s="140" t="s">
        <v>873</v>
      </c>
    </row>
    <row r="3429" spans="1:8" ht="15.75" customHeight="1">
      <c r="A3429" s="140" t="s">
        <v>80</v>
      </c>
      <c r="B3429" s="140" t="s">
        <v>21</v>
      </c>
      <c r="C3429" s="141" t="s">
        <v>707</v>
      </c>
      <c r="D3429" s="140" t="s">
        <v>708</v>
      </c>
      <c r="E3429" s="140">
        <v>5</v>
      </c>
      <c r="F3429" s="142">
        <v>45762.416666666672</v>
      </c>
      <c r="G3429" s="140" t="s">
        <v>845</v>
      </c>
      <c r="H3429" s="140" t="s">
        <v>873</v>
      </c>
    </row>
    <row r="3430" spans="1:8" ht="15.75" customHeight="1">
      <c r="A3430" s="140" t="s">
        <v>80</v>
      </c>
      <c r="B3430" s="140" t="s">
        <v>21</v>
      </c>
      <c r="C3430" s="141" t="s">
        <v>707</v>
      </c>
      <c r="D3430" s="140" t="s">
        <v>708</v>
      </c>
      <c r="E3430" s="140">
        <v>6</v>
      </c>
      <c r="F3430" s="142">
        <v>45790.458333333328</v>
      </c>
      <c r="G3430" s="140" t="s">
        <v>845</v>
      </c>
      <c r="H3430" s="140" t="s">
        <v>873</v>
      </c>
    </row>
    <row r="3431" spans="1:8" ht="15.75" customHeight="1">
      <c r="A3431" s="140" t="s">
        <v>80</v>
      </c>
      <c r="B3431" s="140" t="s">
        <v>21</v>
      </c>
      <c r="C3431" s="141" t="s">
        <v>707</v>
      </c>
      <c r="D3431" s="140" t="s">
        <v>708</v>
      </c>
      <c r="E3431" s="140">
        <v>7</v>
      </c>
      <c r="F3431" s="142">
        <v>45817.583333333328</v>
      </c>
      <c r="G3431" s="140" t="s">
        <v>845</v>
      </c>
      <c r="H3431" s="140" t="s">
        <v>873</v>
      </c>
    </row>
    <row r="3432" spans="1:8" ht="15.75" customHeight="1">
      <c r="A3432" s="140" t="s">
        <v>80</v>
      </c>
      <c r="B3432" s="140" t="s">
        <v>21</v>
      </c>
      <c r="C3432" s="141" t="s">
        <v>707</v>
      </c>
      <c r="D3432" s="140" t="s">
        <v>708</v>
      </c>
      <c r="E3432" s="140">
        <v>8</v>
      </c>
      <c r="F3432" s="142">
        <v>45831.458333333328</v>
      </c>
      <c r="G3432" s="140" t="s">
        <v>845</v>
      </c>
      <c r="H3432" s="140" t="s">
        <v>873</v>
      </c>
    </row>
    <row r="3433" spans="1:8" ht="15.75" customHeight="1">
      <c r="A3433" s="140" t="s">
        <v>80</v>
      </c>
      <c r="B3433" s="140" t="s">
        <v>21</v>
      </c>
      <c r="C3433" s="141" t="s">
        <v>707</v>
      </c>
      <c r="D3433" s="140" t="s">
        <v>708</v>
      </c>
      <c r="E3433" s="140">
        <v>9</v>
      </c>
      <c r="F3433" s="142">
        <v>45846.458333333328</v>
      </c>
      <c r="G3433" s="140" t="s">
        <v>845</v>
      </c>
      <c r="H3433" s="140" t="s">
        <v>873</v>
      </c>
    </row>
    <row r="3434" spans="1:8" ht="15.75" customHeight="1">
      <c r="A3434" s="140" t="s">
        <v>81</v>
      </c>
      <c r="B3434" s="140" t="s">
        <v>21</v>
      </c>
      <c r="C3434" s="141" t="s">
        <v>512</v>
      </c>
      <c r="D3434" s="140" t="s">
        <v>513</v>
      </c>
      <c r="E3434" s="140">
        <v>1</v>
      </c>
      <c r="F3434" s="142">
        <v>45765.416666666672</v>
      </c>
      <c r="G3434" s="140" t="s">
        <v>845</v>
      </c>
      <c r="H3434" s="140" t="s">
        <v>874</v>
      </c>
    </row>
    <row r="3435" spans="1:8" ht="15.75" customHeight="1">
      <c r="A3435" s="140" t="s">
        <v>81</v>
      </c>
      <c r="B3435" s="140" t="s">
        <v>21</v>
      </c>
      <c r="C3435" s="141" t="s">
        <v>512</v>
      </c>
      <c r="D3435" s="140" t="s">
        <v>513</v>
      </c>
      <c r="E3435" s="140">
        <v>2</v>
      </c>
      <c r="F3435" s="142">
        <v>45768.375</v>
      </c>
      <c r="G3435" s="140" t="s">
        <v>845</v>
      </c>
      <c r="H3435" s="140" t="s">
        <v>874</v>
      </c>
    </row>
    <row r="3436" spans="1:8" ht="15.75" customHeight="1">
      <c r="A3436" s="140" t="s">
        <v>81</v>
      </c>
      <c r="B3436" s="140" t="s">
        <v>21</v>
      </c>
      <c r="C3436" s="141" t="s">
        <v>512</v>
      </c>
      <c r="D3436" s="140" t="s">
        <v>513</v>
      </c>
      <c r="E3436" s="140">
        <v>3</v>
      </c>
      <c r="F3436" s="142">
        <v>45811.458333333328</v>
      </c>
      <c r="G3436" s="140" t="s">
        <v>845</v>
      </c>
      <c r="H3436" s="140" t="s">
        <v>874</v>
      </c>
    </row>
    <row r="3437" spans="1:8" ht="15.75" customHeight="1">
      <c r="A3437" s="140" t="s">
        <v>81</v>
      </c>
      <c r="B3437" s="140" t="s">
        <v>21</v>
      </c>
      <c r="C3437" s="141" t="s">
        <v>512</v>
      </c>
      <c r="D3437" s="140" t="s">
        <v>513</v>
      </c>
      <c r="E3437" s="140">
        <v>4</v>
      </c>
      <c r="F3437" s="142">
        <v>45818.458333333328</v>
      </c>
      <c r="G3437" s="140" t="s">
        <v>845</v>
      </c>
      <c r="H3437" s="140" t="s">
        <v>874</v>
      </c>
    </row>
    <row r="3438" spans="1:8" ht="15.75" customHeight="1">
      <c r="A3438" s="140" t="s">
        <v>81</v>
      </c>
      <c r="B3438" s="140" t="s">
        <v>21</v>
      </c>
      <c r="C3438" s="141" t="s">
        <v>512</v>
      </c>
      <c r="D3438" s="140" t="s">
        <v>513</v>
      </c>
      <c r="E3438" s="140">
        <v>5</v>
      </c>
      <c r="F3438" s="142">
        <v>45833.458333333328</v>
      </c>
      <c r="G3438" s="140" t="s">
        <v>845</v>
      </c>
      <c r="H3438" s="140" t="s">
        <v>874</v>
      </c>
    </row>
    <row r="3439" spans="1:8" ht="15.75" customHeight="1">
      <c r="A3439" s="140" t="s">
        <v>81</v>
      </c>
      <c r="B3439" s="140" t="s">
        <v>21</v>
      </c>
      <c r="C3439" s="141" t="s">
        <v>512</v>
      </c>
      <c r="D3439" s="140" t="s">
        <v>513</v>
      </c>
      <c r="E3439" s="140">
        <v>6</v>
      </c>
      <c r="F3439" s="142">
        <v>45839.458333333328</v>
      </c>
      <c r="G3439" s="140" t="s">
        <v>845</v>
      </c>
      <c r="H3439" s="140" t="s">
        <v>874</v>
      </c>
    </row>
    <row r="3440" spans="1:8" ht="15.75" customHeight="1">
      <c r="A3440" s="140" t="s">
        <v>81</v>
      </c>
      <c r="B3440" s="140" t="s">
        <v>21</v>
      </c>
      <c r="C3440" s="141" t="s">
        <v>512</v>
      </c>
      <c r="D3440" s="140" t="s">
        <v>513</v>
      </c>
      <c r="E3440" s="140">
        <v>7</v>
      </c>
      <c r="F3440" s="142">
        <v>45846.541666666672</v>
      </c>
      <c r="G3440" s="140" t="s">
        <v>845</v>
      </c>
      <c r="H3440" s="140" t="s">
        <v>874</v>
      </c>
    </row>
    <row r="3441" spans="1:8" ht="15.75" customHeight="1">
      <c r="A3441" s="140" t="s">
        <v>81</v>
      </c>
      <c r="B3441" s="140" t="s">
        <v>21</v>
      </c>
      <c r="C3441" s="141" t="s">
        <v>512</v>
      </c>
      <c r="D3441" s="140" t="s">
        <v>513</v>
      </c>
      <c r="E3441" s="140">
        <v>8</v>
      </c>
      <c r="F3441" s="142">
        <v>45853.458333333328</v>
      </c>
      <c r="G3441" s="140" t="s">
        <v>845</v>
      </c>
      <c r="H3441" s="140" t="s">
        <v>874</v>
      </c>
    </row>
    <row r="3442" spans="1:8" ht="15.75" customHeight="1">
      <c r="A3442" s="140" t="s">
        <v>81</v>
      </c>
      <c r="B3442" s="140" t="s">
        <v>21</v>
      </c>
      <c r="C3442" s="141" t="s">
        <v>512</v>
      </c>
      <c r="D3442" s="140" t="s">
        <v>513</v>
      </c>
      <c r="E3442" s="140">
        <v>9</v>
      </c>
      <c r="F3442" s="142">
        <v>45862.458333333328</v>
      </c>
      <c r="G3442" s="140" t="s">
        <v>845</v>
      </c>
      <c r="H3442" s="140" t="s">
        <v>874</v>
      </c>
    </row>
    <row r="3443" spans="1:8" ht="15.75" customHeight="1">
      <c r="A3443" s="140" t="s">
        <v>81</v>
      </c>
      <c r="B3443" s="140" t="s">
        <v>21</v>
      </c>
      <c r="C3443" s="141" t="s">
        <v>512</v>
      </c>
      <c r="D3443" s="140" t="s">
        <v>513</v>
      </c>
      <c r="E3443" s="140">
        <v>10</v>
      </c>
      <c r="F3443" s="142">
        <v>45883.416666666672</v>
      </c>
      <c r="G3443" s="140" t="s">
        <v>845</v>
      </c>
      <c r="H3443" s="140" t="s">
        <v>874</v>
      </c>
    </row>
    <row r="3444" spans="1:8" ht="15.75" customHeight="1">
      <c r="A3444" s="140" t="s">
        <v>81</v>
      </c>
      <c r="B3444" s="140" t="s">
        <v>21</v>
      </c>
      <c r="C3444" s="141" t="s">
        <v>524</v>
      </c>
      <c r="D3444" s="140" t="s">
        <v>525</v>
      </c>
      <c r="E3444" s="140">
        <v>1</v>
      </c>
      <c r="F3444" s="142">
        <v>45765.416666666672</v>
      </c>
      <c r="G3444" s="140" t="s">
        <v>845</v>
      </c>
      <c r="H3444" s="140" t="s">
        <v>874</v>
      </c>
    </row>
    <row r="3445" spans="1:8" ht="15.75" customHeight="1">
      <c r="A3445" s="140" t="s">
        <v>81</v>
      </c>
      <c r="B3445" s="140" t="s">
        <v>21</v>
      </c>
      <c r="C3445" s="141" t="s">
        <v>524</v>
      </c>
      <c r="D3445" s="140" t="s">
        <v>525</v>
      </c>
      <c r="E3445" s="140">
        <v>2</v>
      </c>
      <c r="F3445" s="142">
        <v>45768.375</v>
      </c>
      <c r="G3445" s="140" t="s">
        <v>845</v>
      </c>
      <c r="H3445" s="140" t="s">
        <v>874</v>
      </c>
    </row>
    <row r="3446" spans="1:8" ht="15.75" customHeight="1">
      <c r="A3446" s="140" t="s">
        <v>81</v>
      </c>
      <c r="B3446" s="140" t="s">
        <v>21</v>
      </c>
      <c r="C3446" s="141" t="s">
        <v>524</v>
      </c>
      <c r="D3446" s="140" t="s">
        <v>525</v>
      </c>
      <c r="E3446" s="140">
        <v>3</v>
      </c>
      <c r="F3446" s="142">
        <v>45811.458333333328</v>
      </c>
      <c r="G3446" s="140" t="s">
        <v>845</v>
      </c>
      <c r="H3446" s="140" t="s">
        <v>874</v>
      </c>
    </row>
    <row r="3447" spans="1:8" ht="15.75" customHeight="1">
      <c r="A3447" s="140" t="s">
        <v>81</v>
      </c>
      <c r="B3447" s="140" t="s">
        <v>21</v>
      </c>
      <c r="C3447" s="141" t="s">
        <v>524</v>
      </c>
      <c r="D3447" s="140" t="s">
        <v>525</v>
      </c>
      <c r="E3447" s="140">
        <v>4</v>
      </c>
      <c r="F3447" s="142">
        <v>45818.458333333328</v>
      </c>
      <c r="G3447" s="140" t="s">
        <v>845</v>
      </c>
      <c r="H3447" s="140" t="s">
        <v>874</v>
      </c>
    </row>
    <row r="3448" spans="1:8" ht="15.75" customHeight="1">
      <c r="A3448" s="140" t="s">
        <v>81</v>
      </c>
      <c r="B3448" s="140" t="s">
        <v>21</v>
      </c>
      <c r="C3448" s="141" t="s">
        <v>524</v>
      </c>
      <c r="D3448" s="140" t="s">
        <v>525</v>
      </c>
      <c r="E3448" s="140">
        <v>5</v>
      </c>
      <c r="F3448" s="142">
        <v>45833.458333333328</v>
      </c>
      <c r="G3448" s="140" t="s">
        <v>845</v>
      </c>
      <c r="H3448" s="140" t="s">
        <v>874</v>
      </c>
    </row>
    <row r="3449" spans="1:8" ht="15.75" customHeight="1">
      <c r="A3449" s="140" t="s">
        <v>81</v>
      </c>
      <c r="B3449" s="140" t="s">
        <v>21</v>
      </c>
      <c r="C3449" s="141" t="s">
        <v>524</v>
      </c>
      <c r="D3449" s="140" t="s">
        <v>525</v>
      </c>
      <c r="E3449" s="140">
        <v>6</v>
      </c>
      <c r="F3449" s="142">
        <v>45839.458333333328</v>
      </c>
      <c r="G3449" s="140" t="s">
        <v>845</v>
      </c>
      <c r="H3449" s="140" t="s">
        <v>874</v>
      </c>
    </row>
    <row r="3450" spans="1:8" ht="15.75" customHeight="1">
      <c r="A3450" s="140" t="s">
        <v>81</v>
      </c>
      <c r="B3450" s="140" t="s">
        <v>21</v>
      </c>
      <c r="C3450" s="141" t="s">
        <v>524</v>
      </c>
      <c r="D3450" s="140" t="s">
        <v>525</v>
      </c>
      <c r="E3450" s="140">
        <v>7</v>
      </c>
      <c r="F3450" s="142">
        <v>45846.541666666672</v>
      </c>
      <c r="G3450" s="140" t="s">
        <v>845</v>
      </c>
      <c r="H3450" s="140" t="s">
        <v>874</v>
      </c>
    </row>
    <row r="3451" spans="1:8" ht="15.75" customHeight="1">
      <c r="A3451" s="140" t="s">
        <v>81</v>
      </c>
      <c r="B3451" s="140" t="s">
        <v>21</v>
      </c>
      <c r="C3451" s="141" t="s">
        <v>524</v>
      </c>
      <c r="D3451" s="140" t="s">
        <v>525</v>
      </c>
      <c r="E3451" s="140">
        <v>8</v>
      </c>
      <c r="F3451" s="142">
        <v>45853.458333333328</v>
      </c>
      <c r="G3451" s="140" t="s">
        <v>845</v>
      </c>
      <c r="H3451" s="140" t="s">
        <v>874</v>
      </c>
    </row>
    <row r="3452" spans="1:8" ht="15.75" customHeight="1">
      <c r="A3452" s="140" t="s">
        <v>81</v>
      </c>
      <c r="B3452" s="140" t="s">
        <v>21</v>
      </c>
      <c r="C3452" s="141" t="s">
        <v>524</v>
      </c>
      <c r="D3452" s="140" t="s">
        <v>525</v>
      </c>
      <c r="E3452" s="140">
        <v>9</v>
      </c>
      <c r="F3452" s="142">
        <v>45862.458333333328</v>
      </c>
      <c r="G3452" s="140" t="s">
        <v>845</v>
      </c>
      <c r="H3452" s="140" t="s">
        <v>874</v>
      </c>
    </row>
    <row r="3453" spans="1:8" ht="15.75" customHeight="1">
      <c r="A3453" s="140" t="s">
        <v>81</v>
      </c>
      <c r="B3453" s="140" t="s">
        <v>21</v>
      </c>
      <c r="C3453" s="141" t="s">
        <v>524</v>
      </c>
      <c r="D3453" s="140" t="s">
        <v>525</v>
      </c>
      <c r="E3453" s="140">
        <v>10</v>
      </c>
      <c r="F3453" s="142">
        <v>45883.416666666672</v>
      </c>
      <c r="G3453" s="140" t="s">
        <v>845</v>
      </c>
      <c r="H3453" s="140" t="s">
        <v>874</v>
      </c>
    </row>
    <row r="3454" spans="1:8" ht="15.75" customHeight="1">
      <c r="A3454" s="140" t="s">
        <v>81</v>
      </c>
      <c r="B3454" s="140" t="s">
        <v>21</v>
      </c>
      <c r="C3454" s="141" t="s">
        <v>530</v>
      </c>
      <c r="D3454" s="140" t="s">
        <v>531</v>
      </c>
      <c r="E3454" s="140">
        <v>1</v>
      </c>
      <c r="F3454" s="142">
        <v>45765.416666666672</v>
      </c>
      <c r="G3454" s="140" t="s">
        <v>845</v>
      </c>
      <c r="H3454" s="140" t="s">
        <v>874</v>
      </c>
    </row>
    <row r="3455" spans="1:8" ht="15.75" customHeight="1">
      <c r="A3455" s="140" t="s">
        <v>81</v>
      </c>
      <c r="B3455" s="140" t="s">
        <v>21</v>
      </c>
      <c r="C3455" s="141" t="s">
        <v>530</v>
      </c>
      <c r="D3455" s="140" t="s">
        <v>531</v>
      </c>
      <c r="E3455" s="140">
        <v>2</v>
      </c>
      <c r="F3455" s="142">
        <v>45768.375</v>
      </c>
      <c r="G3455" s="140" t="s">
        <v>845</v>
      </c>
      <c r="H3455" s="140" t="s">
        <v>874</v>
      </c>
    </row>
    <row r="3456" spans="1:8" ht="15.75" customHeight="1">
      <c r="A3456" s="140" t="s">
        <v>81</v>
      </c>
      <c r="B3456" s="140" t="s">
        <v>21</v>
      </c>
      <c r="C3456" s="141" t="s">
        <v>530</v>
      </c>
      <c r="D3456" s="140" t="s">
        <v>531</v>
      </c>
      <c r="E3456" s="140">
        <v>3</v>
      </c>
      <c r="F3456" s="142">
        <v>45811.458333333328</v>
      </c>
      <c r="G3456" s="140" t="s">
        <v>845</v>
      </c>
      <c r="H3456" s="140" t="s">
        <v>874</v>
      </c>
    </row>
    <row r="3457" spans="1:8" ht="15.75" customHeight="1">
      <c r="A3457" s="140" t="s">
        <v>81</v>
      </c>
      <c r="B3457" s="140" t="s">
        <v>21</v>
      </c>
      <c r="C3457" s="141" t="s">
        <v>530</v>
      </c>
      <c r="D3457" s="140" t="s">
        <v>531</v>
      </c>
      <c r="E3457" s="140">
        <v>4</v>
      </c>
      <c r="F3457" s="142">
        <v>45818.458333333328</v>
      </c>
      <c r="G3457" s="140" t="s">
        <v>845</v>
      </c>
      <c r="H3457" s="140" t="s">
        <v>874</v>
      </c>
    </row>
    <row r="3458" spans="1:8" ht="15.75" customHeight="1">
      <c r="A3458" s="140" t="s">
        <v>81</v>
      </c>
      <c r="B3458" s="140" t="s">
        <v>21</v>
      </c>
      <c r="C3458" s="141" t="s">
        <v>530</v>
      </c>
      <c r="D3458" s="140" t="s">
        <v>531</v>
      </c>
      <c r="E3458" s="140">
        <v>5</v>
      </c>
      <c r="F3458" s="142">
        <v>45833.458333333328</v>
      </c>
      <c r="G3458" s="140" t="s">
        <v>845</v>
      </c>
      <c r="H3458" s="140" t="s">
        <v>874</v>
      </c>
    </row>
    <row r="3459" spans="1:8" ht="15.75" customHeight="1">
      <c r="A3459" s="140" t="s">
        <v>81</v>
      </c>
      <c r="B3459" s="140" t="s">
        <v>21</v>
      </c>
      <c r="C3459" s="141" t="s">
        <v>530</v>
      </c>
      <c r="D3459" s="140" t="s">
        <v>531</v>
      </c>
      <c r="E3459" s="140">
        <v>6</v>
      </c>
      <c r="F3459" s="142">
        <v>45839.458333333328</v>
      </c>
      <c r="G3459" s="140" t="s">
        <v>845</v>
      </c>
      <c r="H3459" s="140" t="s">
        <v>874</v>
      </c>
    </row>
    <row r="3460" spans="1:8" ht="15.75" customHeight="1">
      <c r="A3460" s="140" t="s">
        <v>81</v>
      </c>
      <c r="B3460" s="140" t="s">
        <v>21</v>
      </c>
      <c r="C3460" s="141" t="s">
        <v>530</v>
      </c>
      <c r="D3460" s="140" t="s">
        <v>531</v>
      </c>
      <c r="E3460" s="140">
        <v>7</v>
      </c>
      <c r="F3460" s="142">
        <v>45846.541666666672</v>
      </c>
      <c r="G3460" s="140" t="s">
        <v>845</v>
      </c>
      <c r="H3460" s="140" t="s">
        <v>874</v>
      </c>
    </row>
    <row r="3461" spans="1:8" ht="15.75" customHeight="1">
      <c r="A3461" s="140" t="s">
        <v>81</v>
      </c>
      <c r="B3461" s="140" t="s">
        <v>21</v>
      </c>
      <c r="C3461" s="141" t="s">
        <v>530</v>
      </c>
      <c r="D3461" s="140" t="s">
        <v>531</v>
      </c>
      <c r="E3461" s="140">
        <v>8</v>
      </c>
      <c r="F3461" s="142">
        <v>45853.458333333328</v>
      </c>
      <c r="G3461" s="140" t="s">
        <v>845</v>
      </c>
      <c r="H3461" s="140" t="s">
        <v>874</v>
      </c>
    </row>
    <row r="3462" spans="1:8" ht="15.75" customHeight="1">
      <c r="A3462" s="140" t="s">
        <v>81</v>
      </c>
      <c r="B3462" s="140" t="s">
        <v>21</v>
      </c>
      <c r="C3462" s="141" t="s">
        <v>530</v>
      </c>
      <c r="D3462" s="140" t="s">
        <v>531</v>
      </c>
      <c r="E3462" s="140">
        <v>9</v>
      </c>
      <c r="F3462" s="142">
        <v>45862.458333333328</v>
      </c>
      <c r="G3462" s="140" t="s">
        <v>845</v>
      </c>
      <c r="H3462" s="140" t="s">
        <v>874</v>
      </c>
    </row>
    <row r="3463" spans="1:8" ht="15.75" customHeight="1">
      <c r="A3463" s="140" t="s">
        <v>81</v>
      </c>
      <c r="B3463" s="140" t="s">
        <v>21</v>
      </c>
      <c r="C3463" s="141" t="s">
        <v>530</v>
      </c>
      <c r="D3463" s="140" t="s">
        <v>531</v>
      </c>
      <c r="E3463" s="140">
        <v>10</v>
      </c>
      <c r="F3463" s="142">
        <v>45883.416666666672</v>
      </c>
      <c r="G3463" s="140" t="s">
        <v>845</v>
      </c>
      <c r="H3463" s="140" t="s">
        <v>874</v>
      </c>
    </row>
    <row r="3464" spans="1:8" ht="15.75" customHeight="1">
      <c r="A3464" s="140" t="s">
        <v>81</v>
      </c>
      <c r="B3464" s="140" t="s">
        <v>21</v>
      </c>
      <c r="C3464" s="141" t="s">
        <v>621</v>
      </c>
      <c r="D3464" s="140" t="s">
        <v>622</v>
      </c>
      <c r="E3464" s="140">
        <v>1</v>
      </c>
      <c r="F3464" s="142">
        <v>45765.416666666672</v>
      </c>
      <c r="G3464" s="140" t="s">
        <v>845</v>
      </c>
      <c r="H3464" s="140" t="s">
        <v>874</v>
      </c>
    </row>
    <row r="3465" spans="1:8" ht="15.75" customHeight="1">
      <c r="A3465" s="140" t="s">
        <v>81</v>
      </c>
      <c r="B3465" s="140" t="s">
        <v>21</v>
      </c>
      <c r="C3465" s="141" t="s">
        <v>621</v>
      </c>
      <c r="D3465" s="140" t="s">
        <v>622</v>
      </c>
      <c r="E3465" s="140">
        <v>2</v>
      </c>
      <c r="F3465" s="142">
        <v>45768.375</v>
      </c>
      <c r="G3465" s="140" t="s">
        <v>845</v>
      </c>
      <c r="H3465" s="140" t="s">
        <v>874</v>
      </c>
    </row>
    <row r="3466" spans="1:8" ht="15.75" customHeight="1">
      <c r="A3466" s="140" t="s">
        <v>81</v>
      </c>
      <c r="B3466" s="140" t="s">
        <v>21</v>
      </c>
      <c r="C3466" s="141" t="s">
        <v>621</v>
      </c>
      <c r="D3466" s="140" t="s">
        <v>622</v>
      </c>
      <c r="E3466" s="140">
        <v>3</v>
      </c>
      <c r="F3466" s="142">
        <v>45811.458333333328</v>
      </c>
      <c r="G3466" s="140" t="s">
        <v>845</v>
      </c>
      <c r="H3466" s="140" t="s">
        <v>874</v>
      </c>
    </row>
    <row r="3467" spans="1:8" ht="15.75" customHeight="1">
      <c r="A3467" s="140" t="s">
        <v>81</v>
      </c>
      <c r="B3467" s="140" t="s">
        <v>21</v>
      </c>
      <c r="C3467" s="141" t="s">
        <v>621</v>
      </c>
      <c r="D3467" s="140" t="s">
        <v>622</v>
      </c>
      <c r="E3467" s="140">
        <v>4</v>
      </c>
      <c r="F3467" s="142">
        <v>45818.458333333328</v>
      </c>
      <c r="G3467" s="140" t="s">
        <v>845</v>
      </c>
      <c r="H3467" s="140" t="s">
        <v>874</v>
      </c>
    </row>
    <row r="3468" spans="1:8" ht="15.75" customHeight="1">
      <c r="A3468" s="140" t="s">
        <v>81</v>
      </c>
      <c r="B3468" s="140" t="s">
        <v>21</v>
      </c>
      <c r="C3468" s="141" t="s">
        <v>621</v>
      </c>
      <c r="D3468" s="140" t="s">
        <v>622</v>
      </c>
      <c r="E3468" s="140">
        <v>5</v>
      </c>
      <c r="F3468" s="142">
        <v>45833.458333333328</v>
      </c>
      <c r="G3468" s="140" t="s">
        <v>845</v>
      </c>
      <c r="H3468" s="140" t="s">
        <v>874</v>
      </c>
    </row>
    <row r="3469" spans="1:8" ht="15.75" customHeight="1">
      <c r="A3469" s="140" t="s">
        <v>81</v>
      </c>
      <c r="B3469" s="140" t="s">
        <v>21</v>
      </c>
      <c r="C3469" s="141" t="s">
        <v>621</v>
      </c>
      <c r="D3469" s="140" t="s">
        <v>622</v>
      </c>
      <c r="E3469" s="140">
        <v>6</v>
      </c>
      <c r="F3469" s="142">
        <v>45839.458333333328</v>
      </c>
      <c r="G3469" s="140" t="s">
        <v>845</v>
      </c>
      <c r="H3469" s="140" t="s">
        <v>874</v>
      </c>
    </row>
    <row r="3470" spans="1:8" ht="15.75" customHeight="1">
      <c r="A3470" s="140" t="s">
        <v>81</v>
      </c>
      <c r="B3470" s="140" t="s">
        <v>21</v>
      </c>
      <c r="C3470" s="141" t="s">
        <v>621</v>
      </c>
      <c r="D3470" s="140" t="s">
        <v>622</v>
      </c>
      <c r="E3470" s="140">
        <v>7</v>
      </c>
      <c r="F3470" s="142">
        <v>45846.541666666672</v>
      </c>
      <c r="G3470" s="140" t="s">
        <v>845</v>
      </c>
      <c r="H3470" s="140" t="s">
        <v>874</v>
      </c>
    </row>
    <row r="3471" spans="1:8" ht="15.75" customHeight="1">
      <c r="A3471" s="140" t="s">
        <v>81</v>
      </c>
      <c r="B3471" s="140" t="s">
        <v>21</v>
      </c>
      <c r="C3471" s="141" t="s">
        <v>621</v>
      </c>
      <c r="D3471" s="140" t="s">
        <v>622</v>
      </c>
      <c r="E3471" s="140">
        <v>8</v>
      </c>
      <c r="F3471" s="142">
        <v>45853.458333333328</v>
      </c>
      <c r="G3471" s="140" t="s">
        <v>845</v>
      </c>
      <c r="H3471" s="140" t="s">
        <v>874</v>
      </c>
    </row>
    <row r="3472" spans="1:8" ht="15.75" customHeight="1">
      <c r="A3472" s="140" t="s">
        <v>81</v>
      </c>
      <c r="B3472" s="140" t="s">
        <v>21</v>
      </c>
      <c r="C3472" s="141" t="s">
        <v>621</v>
      </c>
      <c r="D3472" s="140" t="s">
        <v>622</v>
      </c>
      <c r="E3472" s="140">
        <v>9</v>
      </c>
      <c r="F3472" s="142">
        <v>45862.458333333328</v>
      </c>
      <c r="G3472" s="140" t="s">
        <v>845</v>
      </c>
      <c r="H3472" s="140" t="s">
        <v>874</v>
      </c>
    </row>
    <row r="3473" spans="1:8" ht="15.75" customHeight="1">
      <c r="A3473" s="140" t="s">
        <v>81</v>
      </c>
      <c r="B3473" s="140" t="s">
        <v>21</v>
      </c>
      <c r="C3473" s="141" t="s">
        <v>621</v>
      </c>
      <c r="D3473" s="140" t="s">
        <v>622</v>
      </c>
      <c r="E3473" s="140">
        <v>10</v>
      </c>
      <c r="F3473" s="142">
        <v>45883.416666666672</v>
      </c>
      <c r="G3473" s="140" t="s">
        <v>845</v>
      </c>
      <c r="H3473" s="140" t="s">
        <v>874</v>
      </c>
    </row>
    <row r="3474" spans="1:8" ht="15.75" customHeight="1">
      <c r="A3474" s="140" t="s">
        <v>82</v>
      </c>
      <c r="B3474" s="140" t="s">
        <v>21</v>
      </c>
      <c r="C3474" s="141" t="s">
        <v>271</v>
      </c>
      <c r="D3474" s="140" t="s">
        <v>272</v>
      </c>
      <c r="E3474" s="140">
        <v>1</v>
      </c>
      <c r="F3474" s="142">
        <v>45765.583333333328</v>
      </c>
      <c r="G3474" s="140" t="s">
        <v>845</v>
      </c>
      <c r="H3474" s="140" t="s">
        <v>875</v>
      </c>
    </row>
    <row r="3475" spans="1:8" ht="15.75" customHeight="1">
      <c r="A3475" s="140" t="s">
        <v>82</v>
      </c>
      <c r="B3475" s="140" t="s">
        <v>21</v>
      </c>
      <c r="C3475" s="141" t="s">
        <v>271</v>
      </c>
      <c r="D3475" s="140" t="s">
        <v>272</v>
      </c>
      <c r="E3475" s="140">
        <v>2</v>
      </c>
      <c r="F3475" s="142">
        <v>45770.583333333328</v>
      </c>
      <c r="G3475" s="140" t="s">
        <v>845</v>
      </c>
      <c r="H3475" s="140" t="s">
        <v>875</v>
      </c>
    </row>
    <row r="3476" spans="1:8" ht="15.75" customHeight="1">
      <c r="A3476" s="140" t="s">
        <v>82</v>
      </c>
      <c r="B3476" s="140" t="s">
        <v>21</v>
      </c>
      <c r="C3476" s="141" t="s">
        <v>271</v>
      </c>
      <c r="D3476" s="140" t="s">
        <v>272</v>
      </c>
      <c r="E3476" s="140">
        <v>3</v>
      </c>
      <c r="F3476" s="142">
        <v>45783.541666666672</v>
      </c>
      <c r="G3476" s="140" t="s">
        <v>845</v>
      </c>
      <c r="H3476" s="140" t="s">
        <v>875</v>
      </c>
    </row>
    <row r="3477" spans="1:8" ht="15.75" customHeight="1">
      <c r="A3477" s="140" t="s">
        <v>82</v>
      </c>
      <c r="B3477" s="140" t="s">
        <v>21</v>
      </c>
      <c r="C3477" s="141" t="s">
        <v>271</v>
      </c>
      <c r="D3477" s="140" t="s">
        <v>272</v>
      </c>
      <c r="E3477" s="140">
        <v>4</v>
      </c>
      <c r="F3477" s="142">
        <v>45791.583333333328</v>
      </c>
      <c r="G3477" s="140" t="s">
        <v>845</v>
      </c>
      <c r="H3477" s="140" t="s">
        <v>875</v>
      </c>
    </row>
    <row r="3478" spans="1:8" ht="15.75" customHeight="1">
      <c r="A3478" s="140" t="s">
        <v>82</v>
      </c>
      <c r="B3478" s="140" t="s">
        <v>21</v>
      </c>
      <c r="C3478" s="141" t="s">
        <v>271</v>
      </c>
      <c r="D3478" s="140" t="s">
        <v>272</v>
      </c>
      <c r="E3478" s="140">
        <v>5</v>
      </c>
      <c r="F3478" s="142">
        <v>45792.541666666672</v>
      </c>
      <c r="G3478" s="140" t="s">
        <v>845</v>
      </c>
      <c r="H3478" s="140" t="s">
        <v>875</v>
      </c>
    </row>
    <row r="3479" spans="1:8" ht="15.75" customHeight="1">
      <c r="A3479" s="140" t="s">
        <v>82</v>
      </c>
      <c r="B3479" s="140" t="s">
        <v>21</v>
      </c>
      <c r="C3479" s="141" t="s">
        <v>271</v>
      </c>
      <c r="D3479" s="140" t="s">
        <v>272</v>
      </c>
      <c r="E3479" s="140">
        <v>6</v>
      </c>
      <c r="F3479" s="142">
        <v>45805.583333333328</v>
      </c>
      <c r="G3479" s="140" t="s">
        <v>845</v>
      </c>
      <c r="H3479" s="140" t="s">
        <v>875</v>
      </c>
    </row>
    <row r="3480" spans="1:8" ht="15.75" customHeight="1">
      <c r="A3480" s="140" t="s">
        <v>82</v>
      </c>
      <c r="B3480" s="140" t="s">
        <v>21</v>
      </c>
      <c r="C3480" s="141" t="s">
        <v>271</v>
      </c>
      <c r="D3480" s="140" t="s">
        <v>272</v>
      </c>
      <c r="E3480" s="140">
        <v>7</v>
      </c>
      <c r="F3480" s="142">
        <v>45811.541666666672</v>
      </c>
      <c r="G3480" s="140" t="s">
        <v>843</v>
      </c>
      <c r="H3480" s="140" t="s">
        <v>875</v>
      </c>
    </row>
    <row r="3481" spans="1:8" ht="15.75" customHeight="1">
      <c r="A3481" s="140" t="s">
        <v>82</v>
      </c>
      <c r="B3481" s="140" t="s">
        <v>21</v>
      </c>
      <c r="C3481" s="141" t="s">
        <v>271</v>
      </c>
      <c r="D3481" s="140" t="s">
        <v>272</v>
      </c>
      <c r="E3481" s="140">
        <v>8</v>
      </c>
      <c r="F3481" s="142">
        <v>45819.541666666672</v>
      </c>
      <c r="G3481" s="140" t="s">
        <v>845</v>
      </c>
      <c r="H3481" s="140" t="s">
        <v>875</v>
      </c>
    </row>
    <row r="3482" spans="1:8" ht="15.75" customHeight="1">
      <c r="A3482" s="140" t="s">
        <v>82</v>
      </c>
      <c r="B3482" s="140" t="s">
        <v>21</v>
      </c>
      <c r="C3482" s="141" t="s">
        <v>271</v>
      </c>
      <c r="D3482" s="140" t="s">
        <v>272</v>
      </c>
      <c r="E3482" s="140">
        <v>9</v>
      </c>
      <c r="F3482" s="142">
        <v>45825.541666666672</v>
      </c>
      <c r="G3482" s="140" t="s">
        <v>845</v>
      </c>
      <c r="H3482" s="140" t="s">
        <v>875</v>
      </c>
    </row>
    <row r="3483" spans="1:8" ht="15.75" customHeight="1">
      <c r="A3483" s="140" t="s">
        <v>82</v>
      </c>
      <c r="B3483" s="140" t="s">
        <v>21</v>
      </c>
      <c r="C3483" s="141" t="s">
        <v>271</v>
      </c>
      <c r="D3483" s="140" t="s">
        <v>272</v>
      </c>
      <c r="E3483" s="140">
        <v>10</v>
      </c>
      <c r="F3483" s="142">
        <v>45853.541666666672</v>
      </c>
      <c r="G3483" s="140" t="s">
        <v>845</v>
      </c>
      <c r="H3483" s="140" t="s">
        <v>875</v>
      </c>
    </row>
    <row r="3484" spans="1:8" ht="15.75" customHeight="1">
      <c r="A3484" s="140" t="s">
        <v>82</v>
      </c>
      <c r="B3484" s="140" t="s">
        <v>22</v>
      </c>
      <c r="C3484" s="141" t="s">
        <v>271</v>
      </c>
      <c r="D3484" s="140" t="s">
        <v>272</v>
      </c>
      <c r="E3484" s="140">
        <v>1</v>
      </c>
      <c r="F3484" s="142">
        <v>45881.541666666672</v>
      </c>
      <c r="G3484" s="140" t="s">
        <v>845</v>
      </c>
      <c r="H3484" s="140" t="s">
        <v>875</v>
      </c>
    </row>
    <row r="3485" spans="1:8" ht="15.75" customHeight="1">
      <c r="A3485" s="140" t="s">
        <v>82</v>
      </c>
      <c r="B3485" s="140" t="s">
        <v>22</v>
      </c>
      <c r="C3485" s="141" t="s">
        <v>271</v>
      </c>
      <c r="D3485" s="140" t="s">
        <v>272</v>
      </c>
      <c r="E3485" s="140">
        <v>2</v>
      </c>
      <c r="F3485" s="142">
        <v>45896.541666666672</v>
      </c>
      <c r="G3485" s="140" t="s">
        <v>845</v>
      </c>
      <c r="H3485" s="140" t="s">
        <v>875</v>
      </c>
    </row>
    <row r="3486" spans="1:8" ht="15.75" customHeight="1">
      <c r="A3486" s="140" t="s">
        <v>82</v>
      </c>
      <c r="B3486" s="140" t="s">
        <v>22</v>
      </c>
      <c r="C3486" s="141" t="s">
        <v>271</v>
      </c>
      <c r="D3486" s="140" t="s">
        <v>272</v>
      </c>
      <c r="E3486" s="140">
        <v>3</v>
      </c>
      <c r="F3486" s="142">
        <v>45909.583333333328</v>
      </c>
      <c r="G3486" s="140" t="s">
        <v>845</v>
      </c>
      <c r="H3486" s="140" t="s">
        <v>875</v>
      </c>
    </row>
    <row r="3487" spans="1:8" ht="15.75" customHeight="1">
      <c r="A3487" s="140" t="s">
        <v>82</v>
      </c>
      <c r="B3487" s="140" t="s">
        <v>22</v>
      </c>
      <c r="C3487" s="141" t="s">
        <v>271</v>
      </c>
      <c r="D3487" s="140" t="s">
        <v>272</v>
      </c>
      <c r="E3487" s="140">
        <v>4</v>
      </c>
      <c r="F3487" s="142">
        <v>45923.583333333328</v>
      </c>
      <c r="G3487" s="140" t="s">
        <v>845</v>
      </c>
      <c r="H3487" s="140" t="s">
        <v>875</v>
      </c>
    </row>
    <row r="3488" spans="1:8" ht="15.75" customHeight="1">
      <c r="A3488" s="140" t="s">
        <v>82</v>
      </c>
      <c r="B3488" s="140" t="s">
        <v>22</v>
      </c>
      <c r="C3488" s="141" t="s">
        <v>271</v>
      </c>
      <c r="D3488" s="140" t="s">
        <v>272</v>
      </c>
      <c r="E3488" s="140">
        <v>5</v>
      </c>
      <c r="F3488" s="142">
        <v>45930.583333333328</v>
      </c>
      <c r="G3488" s="140" t="s">
        <v>845</v>
      </c>
      <c r="H3488" s="140" t="s">
        <v>875</v>
      </c>
    </row>
    <row r="3489" spans="1:8" ht="15.75" customHeight="1">
      <c r="A3489" s="140" t="s">
        <v>82</v>
      </c>
      <c r="B3489" s="140" t="s">
        <v>22</v>
      </c>
      <c r="C3489" s="141" t="s">
        <v>271</v>
      </c>
      <c r="D3489" s="140" t="s">
        <v>272</v>
      </c>
      <c r="E3489" s="140">
        <v>6</v>
      </c>
      <c r="F3489" s="142">
        <v>45937.583333333328</v>
      </c>
      <c r="G3489" s="140" t="s">
        <v>843</v>
      </c>
      <c r="H3489" s="140" t="s">
        <v>875</v>
      </c>
    </row>
    <row r="3490" spans="1:8" ht="15.75" customHeight="1">
      <c r="A3490" s="140" t="s">
        <v>82</v>
      </c>
      <c r="B3490" s="140" t="s">
        <v>22</v>
      </c>
      <c r="C3490" s="141" t="s">
        <v>271</v>
      </c>
      <c r="D3490" s="140" t="s">
        <v>272</v>
      </c>
      <c r="E3490" s="140">
        <v>8</v>
      </c>
      <c r="F3490" s="142">
        <v>45951.583333333328</v>
      </c>
      <c r="G3490" s="140" t="s">
        <v>843</v>
      </c>
      <c r="H3490" s="140" t="s">
        <v>875</v>
      </c>
    </row>
    <row r="3491" spans="1:8" ht="15.75" customHeight="1">
      <c r="A3491" s="140" t="s">
        <v>82</v>
      </c>
      <c r="B3491" s="140" t="s">
        <v>22</v>
      </c>
      <c r="C3491" s="141" t="s">
        <v>271</v>
      </c>
      <c r="D3491" s="140" t="s">
        <v>272</v>
      </c>
      <c r="E3491" s="140">
        <v>9</v>
      </c>
      <c r="F3491" s="142">
        <v>45958.583333333328</v>
      </c>
      <c r="G3491" s="140" t="s">
        <v>843</v>
      </c>
      <c r="H3491" s="140" t="s">
        <v>875</v>
      </c>
    </row>
    <row r="3492" spans="1:8" ht="15.75" customHeight="1">
      <c r="A3492" s="140" t="s">
        <v>82</v>
      </c>
      <c r="B3492" s="140" t="s">
        <v>22</v>
      </c>
      <c r="C3492" s="141" t="s">
        <v>271</v>
      </c>
      <c r="D3492" s="140" t="s">
        <v>272</v>
      </c>
      <c r="E3492" s="140">
        <v>10</v>
      </c>
      <c r="F3492" s="142">
        <v>45966.458333333328</v>
      </c>
      <c r="G3492" s="140" t="s">
        <v>843</v>
      </c>
      <c r="H3492" s="140" t="s">
        <v>875</v>
      </c>
    </row>
    <row r="3493" spans="1:8" ht="15.75" customHeight="1">
      <c r="A3493" s="140" t="s">
        <v>82</v>
      </c>
      <c r="B3493" s="140" t="s">
        <v>22</v>
      </c>
      <c r="C3493" s="141" t="s">
        <v>271</v>
      </c>
      <c r="D3493" s="140" t="s">
        <v>272</v>
      </c>
      <c r="E3493" s="140">
        <v>11</v>
      </c>
      <c r="F3493" s="142">
        <v>45980.458333333328</v>
      </c>
      <c r="G3493" s="140" t="s">
        <v>843</v>
      </c>
      <c r="H3493" s="140" t="s">
        <v>875</v>
      </c>
    </row>
    <row r="3494" spans="1:8" ht="15.75" customHeight="1">
      <c r="A3494" s="140" t="s">
        <v>82</v>
      </c>
      <c r="B3494" s="140" t="s">
        <v>22</v>
      </c>
      <c r="C3494" s="141" t="s">
        <v>271</v>
      </c>
      <c r="D3494" s="140" t="s">
        <v>272</v>
      </c>
      <c r="E3494" s="140">
        <v>12</v>
      </c>
      <c r="F3494" s="142">
        <v>45987.583333333328</v>
      </c>
      <c r="G3494" s="140" t="s">
        <v>843</v>
      </c>
      <c r="H3494" s="140" t="s">
        <v>875</v>
      </c>
    </row>
    <row r="3495" spans="1:8" ht="15.75" customHeight="1">
      <c r="A3495" s="140" t="s">
        <v>82</v>
      </c>
      <c r="B3495" s="140" t="s">
        <v>22</v>
      </c>
      <c r="C3495" s="141" t="s">
        <v>271</v>
      </c>
      <c r="D3495" s="140" t="s">
        <v>272</v>
      </c>
      <c r="E3495" s="140">
        <v>13</v>
      </c>
      <c r="F3495" s="142">
        <v>45994.416666666672</v>
      </c>
      <c r="G3495" s="140" t="s">
        <v>845</v>
      </c>
      <c r="H3495" s="140" t="s">
        <v>875</v>
      </c>
    </row>
    <row r="3496" spans="1:8" ht="15.75" customHeight="1">
      <c r="A3496" s="140" t="s">
        <v>82</v>
      </c>
      <c r="B3496" s="140" t="s">
        <v>22</v>
      </c>
      <c r="C3496" s="141" t="s">
        <v>271</v>
      </c>
      <c r="D3496" s="140" t="s">
        <v>272</v>
      </c>
      <c r="E3496" s="140">
        <v>14</v>
      </c>
      <c r="F3496" s="142">
        <v>46006.625</v>
      </c>
      <c r="G3496" s="140" t="s">
        <v>843</v>
      </c>
      <c r="H3496" s="140" t="s">
        <v>875</v>
      </c>
    </row>
    <row r="3497" spans="1:8" ht="15.75" customHeight="1">
      <c r="A3497" s="140" t="s">
        <v>82</v>
      </c>
      <c r="B3497" s="140" t="s">
        <v>22</v>
      </c>
      <c r="C3497" s="141" t="s">
        <v>271</v>
      </c>
      <c r="D3497" s="140" t="s">
        <v>272</v>
      </c>
      <c r="E3497" s="140">
        <v>15</v>
      </c>
      <c r="F3497" s="142">
        <v>46013.625</v>
      </c>
      <c r="G3497" s="140" t="s">
        <v>843</v>
      </c>
      <c r="H3497" s="140" t="s">
        <v>875</v>
      </c>
    </row>
    <row r="3498" spans="1:8" ht="15.75" customHeight="1">
      <c r="A3498" s="140" t="s">
        <v>82</v>
      </c>
      <c r="B3498" s="140" t="s">
        <v>22</v>
      </c>
      <c r="C3498" s="141" t="s">
        <v>271</v>
      </c>
      <c r="D3498" s="140" t="s">
        <v>272</v>
      </c>
      <c r="E3498" s="140">
        <v>16</v>
      </c>
      <c r="F3498" s="142">
        <v>46035.416666666672</v>
      </c>
      <c r="G3498" s="140" t="s">
        <v>843</v>
      </c>
      <c r="H3498" s="140" t="s">
        <v>875</v>
      </c>
    </row>
    <row r="3499" spans="1:8" ht="15.75" customHeight="1">
      <c r="A3499" s="140" t="s">
        <v>82</v>
      </c>
      <c r="B3499" s="140" t="s">
        <v>21</v>
      </c>
      <c r="C3499" s="141" t="s">
        <v>279</v>
      </c>
      <c r="D3499" s="140" t="s">
        <v>280</v>
      </c>
      <c r="E3499" s="140">
        <v>1</v>
      </c>
      <c r="F3499" s="142">
        <v>45765.583333333328</v>
      </c>
      <c r="G3499" s="140" t="s">
        <v>845</v>
      </c>
      <c r="H3499" s="140" t="s">
        <v>875</v>
      </c>
    </row>
    <row r="3500" spans="1:8" ht="15.75" customHeight="1">
      <c r="A3500" s="140" t="s">
        <v>82</v>
      </c>
      <c r="B3500" s="140" t="s">
        <v>21</v>
      </c>
      <c r="C3500" s="141" t="s">
        <v>279</v>
      </c>
      <c r="D3500" s="140" t="s">
        <v>280</v>
      </c>
      <c r="E3500" s="140">
        <v>2</v>
      </c>
      <c r="F3500" s="142">
        <v>45770.583333333328</v>
      </c>
      <c r="G3500" s="140" t="s">
        <v>845</v>
      </c>
      <c r="H3500" s="140" t="s">
        <v>875</v>
      </c>
    </row>
    <row r="3501" spans="1:8" ht="15.75" customHeight="1">
      <c r="A3501" s="140" t="s">
        <v>82</v>
      </c>
      <c r="B3501" s="140" t="s">
        <v>21</v>
      </c>
      <c r="C3501" s="141" t="s">
        <v>279</v>
      </c>
      <c r="D3501" s="140" t="s">
        <v>280</v>
      </c>
      <c r="E3501" s="140">
        <v>3</v>
      </c>
      <c r="F3501" s="142">
        <v>45783.541666666672</v>
      </c>
      <c r="G3501" s="140" t="s">
        <v>845</v>
      </c>
      <c r="H3501" s="140" t="s">
        <v>875</v>
      </c>
    </row>
    <row r="3502" spans="1:8" ht="15.75" customHeight="1">
      <c r="A3502" s="140" t="s">
        <v>82</v>
      </c>
      <c r="B3502" s="140" t="s">
        <v>21</v>
      </c>
      <c r="C3502" s="141" t="s">
        <v>279</v>
      </c>
      <c r="D3502" s="140" t="s">
        <v>280</v>
      </c>
      <c r="E3502" s="140">
        <v>4</v>
      </c>
      <c r="F3502" s="142">
        <v>45791.583333333328</v>
      </c>
      <c r="G3502" s="140" t="s">
        <v>845</v>
      </c>
      <c r="H3502" s="140" t="s">
        <v>875</v>
      </c>
    </row>
    <row r="3503" spans="1:8" ht="15.75" customHeight="1">
      <c r="A3503" s="140" t="s">
        <v>82</v>
      </c>
      <c r="B3503" s="140" t="s">
        <v>21</v>
      </c>
      <c r="C3503" s="141" t="s">
        <v>279</v>
      </c>
      <c r="D3503" s="140" t="s">
        <v>280</v>
      </c>
      <c r="E3503" s="140">
        <v>5</v>
      </c>
      <c r="F3503" s="142">
        <v>45792.541666666672</v>
      </c>
      <c r="G3503" s="140" t="s">
        <v>845</v>
      </c>
      <c r="H3503" s="140" t="s">
        <v>875</v>
      </c>
    </row>
    <row r="3504" spans="1:8" ht="15.75" customHeight="1">
      <c r="A3504" s="140" t="s">
        <v>82</v>
      </c>
      <c r="B3504" s="140" t="s">
        <v>21</v>
      </c>
      <c r="C3504" s="141" t="s">
        <v>279</v>
      </c>
      <c r="D3504" s="140" t="s">
        <v>280</v>
      </c>
      <c r="E3504" s="140">
        <v>6</v>
      </c>
      <c r="F3504" s="142">
        <v>45805.583333333328</v>
      </c>
      <c r="G3504" s="140" t="s">
        <v>845</v>
      </c>
      <c r="H3504" s="140" t="s">
        <v>875</v>
      </c>
    </row>
    <row r="3505" spans="1:8" ht="15.75" customHeight="1">
      <c r="A3505" s="140" t="s">
        <v>82</v>
      </c>
      <c r="B3505" s="140" t="s">
        <v>21</v>
      </c>
      <c r="C3505" s="141" t="s">
        <v>279</v>
      </c>
      <c r="D3505" s="140" t="s">
        <v>280</v>
      </c>
      <c r="E3505" s="140">
        <v>7</v>
      </c>
      <c r="F3505" s="142">
        <v>45811.541666666672</v>
      </c>
      <c r="G3505" s="140" t="s">
        <v>845</v>
      </c>
      <c r="H3505" s="140" t="s">
        <v>875</v>
      </c>
    </row>
    <row r="3506" spans="1:8" ht="15.75" customHeight="1">
      <c r="A3506" s="140" t="s">
        <v>82</v>
      </c>
      <c r="B3506" s="140" t="s">
        <v>21</v>
      </c>
      <c r="C3506" s="141" t="s">
        <v>279</v>
      </c>
      <c r="D3506" s="140" t="s">
        <v>280</v>
      </c>
      <c r="E3506" s="140">
        <v>8</v>
      </c>
      <c r="F3506" s="142">
        <v>45819.541666666672</v>
      </c>
      <c r="G3506" s="140" t="s">
        <v>845</v>
      </c>
      <c r="H3506" s="140" t="s">
        <v>875</v>
      </c>
    </row>
    <row r="3507" spans="1:8" ht="15.75" customHeight="1">
      <c r="A3507" s="140" t="s">
        <v>82</v>
      </c>
      <c r="B3507" s="140" t="s">
        <v>21</v>
      </c>
      <c r="C3507" s="141" t="s">
        <v>279</v>
      </c>
      <c r="D3507" s="140" t="s">
        <v>280</v>
      </c>
      <c r="E3507" s="140">
        <v>9</v>
      </c>
      <c r="F3507" s="142">
        <v>45825.541666666672</v>
      </c>
      <c r="G3507" s="140" t="s">
        <v>845</v>
      </c>
      <c r="H3507" s="140" t="s">
        <v>875</v>
      </c>
    </row>
    <row r="3508" spans="1:8" ht="15.75" customHeight="1">
      <c r="A3508" s="140" t="s">
        <v>82</v>
      </c>
      <c r="B3508" s="140" t="s">
        <v>21</v>
      </c>
      <c r="C3508" s="141" t="s">
        <v>279</v>
      </c>
      <c r="D3508" s="140" t="s">
        <v>280</v>
      </c>
      <c r="E3508" s="140">
        <v>10</v>
      </c>
      <c r="F3508" s="142">
        <v>45853.541666666672</v>
      </c>
      <c r="G3508" s="140" t="s">
        <v>845</v>
      </c>
      <c r="H3508" s="140" t="s">
        <v>875</v>
      </c>
    </row>
    <row r="3509" spans="1:8" ht="15.75" customHeight="1">
      <c r="A3509" s="140" t="s">
        <v>82</v>
      </c>
      <c r="B3509" s="140" t="s">
        <v>22</v>
      </c>
      <c r="C3509" s="141" t="s">
        <v>279</v>
      </c>
      <c r="D3509" s="140" t="s">
        <v>280</v>
      </c>
      <c r="E3509" s="140">
        <v>1</v>
      </c>
      <c r="F3509" s="142">
        <v>45881.541666666672</v>
      </c>
      <c r="G3509" s="140" t="s">
        <v>845</v>
      </c>
      <c r="H3509" s="140" t="s">
        <v>875</v>
      </c>
    </row>
    <row r="3510" spans="1:8" ht="15.75" customHeight="1">
      <c r="A3510" s="140" t="s">
        <v>82</v>
      </c>
      <c r="B3510" s="140" t="s">
        <v>22</v>
      </c>
      <c r="C3510" s="141" t="s">
        <v>279</v>
      </c>
      <c r="D3510" s="140" t="s">
        <v>280</v>
      </c>
      <c r="E3510" s="140">
        <v>2</v>
      </c>
      <c r="F3510" s="142">
        <v>45896.541666666672</v>
      </c>
      <c r="G3510" s="140" t="s">
        <v>845</v>
      </c>
      <c r="H3510" s="140" t="s">
        <v>875</v>
      </c>
    </row>
    <row r="3511" spans="1:8" ht="15.75" customHeight="1">
      <c r="A3511" s="140" t="s">
        <v>82</v>
      </c>
      <c r="B3511" s="140" t="s">
        <v>22</v>
      </c>
      <c r="C3511" s="141" t="s">
        <v>279</v>
      </c>
      <c r="D3511" s="140" t="s">
        <v>280</v>
      </c>
      <c r="E3511" s="140">
        <v>3</v>
      </c>
      <c r="F3511" s="142">
        <v>45909.583333333328</v>
      </c>
      <c r="G3511" s="140" t="s">
        <v>845</v>
      </c>
      <c r="H3511" s="140" t="s">
        <v>875</v>
      </c>
    </row>
    <row r="3512" spans="1:8" ht="15.75" customHeight="1">
      <c r="A3512" s="140" t="s">
        <v>82</v>
      </c>
      <c r="B3512" s="140" t="s">
        <v>22</v>
      </c>
      <c r="C3512" s="141" t="s">
        <v>279</v>
      </c>
      <c r="D3512" s="140" t="s">
        <v>280</v>
      </c>
      <c r="E3512" s="140">
        <v>4</v>
      </c>
      <c r="F3512" s="142">
        <v>45923.583333333328</v>
      </c>
      <c r="G3512" s="140" t="s">
        <v>845</v>
      </c>
      <c r="H3512" s="140" t="s">
        <v>875</v>
      </c>
    </row>
    <row r="3513" spans="1:8" ht="15.75" customHeight="1">
      <c r="A3513" s="140" t="s">
        <v>82</v>
      </c>
      <c r="B3513" s="140" t="s">
        <v>22</v>
      </c>
      <c r="C3513" s="141" t="s">
        <v>279</v>
      </c>
      <c r="D3513" s="140" t="s">
        <v>280</v>
      </c>
      <c r="E3513" s="140">
        <v>5</v>
      </c>
      <c r="F3513" s="142">
        <v>45930.583333333328</v>
      </c>
      <c r="G3513" s="140" t="s">
        <v>845</v>
      </c>
      <c r="H3513" s="140" t="s">
        <v>875</v>
      </c>
    </row>
    <row r="3514" spans="1:8" ht="15.75" customHeight="1">
      <c r="A3514" s="140" t="s">
        <v>82</v>
      </c>
      <c r="B3514" s="140" t="s">
        <v>22</v>
      </c>
      <c r="C3514" s="141" t="s">
        <v>279</v>
      </c>
      <c r="D3514" s="140" t="s">
        <v>280</v>
      </c>
      <c r="E3514" s="140">
        <v>6</v>
      </c>
      <c r="F3514" s="142">
        <v>45937.583333333328</v>
      </c>
      <c r="G3514" s="140" t="s">
        <v>845</v>
      </c>
      <c r="H3514" s="140" t="s">
        <v>875</v>
      </c>
    </row>
    <row r="3515" spans="1:8" ht="15.75" customHeight="1">
      <c r="A3515" s="140" t="s">
        <v>82</v>
      </c>
      <c r="B3515" s="140" t="s">
        <v>22</v>
      </c>
      <c r="C3515" s="141" t="s">
        <v>279</v>
      </c>
      <c r="D3515" s="140" t="s">
        <v>280</v>
      </c>
      <c r="E3515" s="140">
        <v>8</v>
      </c>
      <c r="F3515" s="142">
        <v>45951.583333333328</v>
      </c>
      <c r="G3515" s="140" t="s">
        <v>843</v>
      </c>
      <c r="H3515" s="140" t="s">
        <v>875</v>
      </c>
    </row>
    <row r="3516" spans="1:8" ht="15.75" customHeight="1">
      <c r="A3516" s="140" t="s">
        <v>82</v>
      </c>
      <c r="B3516" s="140" t="s">
        <v>22</v>
      </c>
      <c r="C3516" s="141" t="s">
        <v>279</v>
      </c>
      <c r="D3516" s="140" t="s">
        <v>280</v>
      </c>
      <c r="E3516" s="140">
        <v>9</v>
      </c>
      <c r="F3516" s="142">
        <v>45958.583333333328</v>
      </c>
      <c r="G3516" s="140" t="s">
        <v>845</v>
      </c>
      <c r="H3516" s="140" t="s">
        <v>875</v>
      </c>
    </row>
    <row r="3517" spans="1:8" ht="15.75" customHeight="1">
      <c r="A3517" s="140" t="s">
        <v>82</v>
      </c>
      <c r="B3517" s="140" t="s">
        <v>22</v>
      </c>
      <c r="C3517" s="141" t="s">
        <v>279</v>
      </c>
      <c r="D3517" s="140" t="s">
        <v>280</v>
      </c>
      <c r="E3517" s="140">
        <v>10</v>
      </c>
      <c r="F3517" s="142">
        <v>45966.458333333328</v>
      </c>
      <c r="G3517" s="140" t="s">
        <v>845</v>
      </c>
      <c r="H3517" s="140" t="s">
        <v>875</v>
      </c>
    </row>
    <row r="3518" spans="1:8" ht="15.75" customHeight="1">
      <c r="A3518" s="140" t="s">
        <v>82</v>
      </c>
      <c r="B3518" s="140" t="s">
        <v>21</v>
      </c>
      <c r="C3518" s="141" t="s">
        <v>300</v>
      </c>
      <c r="D3518" s="140" t="s">
        <v>301</v>
      </c>
      <c r="E3518" s="140">
        <v>1</v>
      </c>
      <c r="F3518" s="142">
        <v>45765.583333333328</v>
      </c>
      <c r="G3518" s="140" t="s">
        <v>845</v>
      </c>
      <c r="H3518" s="140" t="s">
        <v>875</v>
      </c>
    </row>
    <row r="3519" spans="1:8" ht="15.75" customHeight="1">
      <c r="A3519" s="140" t="s">
        <v>82</v>
      </c>
      <c r="B3519" s="140" t="s">
        <v>21</v>
      </c>
      <c r="C3519" s="141" t="s">
        <v>300</v>
      </c>
      <c r="D3519" s="140" t="s">
        <v>301</v>
      </c>
      <c r="E3519" s="140">
        <v>2</v>
      </c>
      <c r="F3519" s="142">
        <v>45770.583333333328</v>
      </c>
      <c r="G3519" s="140" t="s">
        <v>845</v>
      </c>
      <c r="H3519" s="140" t="s">
        <v>875</v>
      </c>
    </row>
    <row r="3520" spans="1:8" ht="15.75" customHeight="1">
      <c r="A3520" s="140" t="s">
        <v>82</v>
      </c>
      <c r="B3520" s="140" t="s">
        <v>21</v>
      </c>
      <c r="C3520" s="141" t="s">
        <v>300</v>
      </c>
      <c r="D3520" s="140" t="s">
        <v>301</v>
      </c>
      <c r="E3520" s="140">
        <v>3</v>
      </c>
      <c r="F3520" s="142">
        <v>45783.541666666672</v>
      </c>
      <c r="G3520" s="140" t="s">
        <v>845</v>
      </c>
      <c r="H3520" s="140" t="s">
        <v>875</v>
      </c>
    </row>
    <row r="3521" spans="1:8" ht="15.75" customHeight="1">
      <c r="A3521" s="140" t="s">
        <v>82</v>
      </c>
      <c r="B3521" s="140" t="s">
        <v>21</v>
      </c>
      <c r="C3521" s="141" t="s">
        <v>300</v>
      </c>
      <c r="D3521" s="140" t="s">
        <v>301</v>
      </c>
      <c r="E3521" s="140">
        <v>4</v>
      </c>
      <c r="F3521" s="142">
        <v>45791.583333333328</v>
      </c>
      <c r="G3521" s="140" t="s">
        <v>845</v>
      </c>
      <c r="H3521" s="140" t="s">
        <v>875</v>
      </c>
    </row>
    <row r="3522" spans="1:8" ht="15.75" customHeight="1">
      <c r="A3522" s="140" t="s">
        <v>82</v>
      </c>
      <c r="B3522" s="140" t="s">
        <v>21</v>
      </c>
      <c r="C3522" s="141" t="s">
        <v>300</v>
      </c>
      <c r="D3522" s="140" t="s">
        <v>301</v>
      </c>
      <c r="E3522" s="140">
        <v>5</v>
      </c>
      <c r="F3522" s="142">
        <v>45792.541666666672</v>
      </c>
      <c r="G3522" s="140" t="s">
        <v>845</v>
      </c>
      <c r="H3522" s="140" t="s">
        <v>875</v>
      </c>
    </row>
    <row r="3523" spans="1:8" ht="15.75" customHeight="1">
      <c r="A3523" s="140" t="s">
        <v>82</v>
      </c>
      <c r="B3523" s="140" t="s">
        <v>21</v>
      </c>
      <c r="C3523" s="141" t="s">
        <v>300</v>
      </c>
      <c r="D3523" s="140" t="s">
        <v>301</v>
      </c>
      <c r="E3523" s="140">
        <v>6</v>
      </c>
      <c r="F3523" s="142">
        <v>45805.583333333328</v>
      </c>
      <c r="G3523" s="140" t="s">
        <v>845</v>
      </c>
      <c r="H3523" s="140" t="s">
        <v>875</v>
      </c>
    </row>
    <row r="3524" spans="1:8" ht="15.75" customHeight="1">
      <c r="A3524" s="140" t="s">
        <v>82</v>
      </c>
      <c r="B3524" s="140" t="s">
        <v>21</v>
      </c>
      <c r="C3524" s="141" t="s">
        <v>300</v>
      </c>
      <c r="D3524" s="140" t="s">
        <v>301</v>
      </c>
      <c r="E3524" s="140">
        <v>7</v>
      </c>
      <c r="F3524" s="142">
        <v>45811.541666666672</v>
      </c>
      <c r="G3524" s="140" t="s">
        <v>845</v>
      </c>
      <c r="H3524" s="140" t="s">
        <v>875</v>
      </c>
    </row>
    <row r="3525" spans="1:8" ht="15.75" customHeight="1">
      <c r="A3525" s="140" t="s">
        <v>82</v>
      </c>
      <c r="B3525" s="140" t="s">
        <v>21</v>
      </c>
      <c r="C3525" s="141" t="s">
        <v>300</v>
      </c>
      <c r="D3525" s="140" t="s">
        <v>301</v>
      </c>
      <c r="E3525" s="140">
        <v>8</v>
      </c>
      <c r="F3525" s="142">
        <v>45819.541666666672</v>
      </c>
      <c r="G3525" s="140" t="s">
        <v>845</v>
      </c>
      <c r="H3525" s="140" t="s">
        <v>875</v>
      </c>
    </row>
    <row r="3526" spans="1:8" ht="15.75" customHeight="1">
      <c r="A3526" s="140" t="s">
        <v>82</v>
      </c>
      <c r="B3526" s="140" t="s">
        <v>21</v>
      </c>
      <c r="C3526" s="141" t="s">
        <v>300</v>
      </c>
      <c r="D3526" s="140" t="s">
        <v>301</v>
      </c>
      <c r="E3526" s="140">
        <v>9</v>
      </c>
      <c r="F3526" s="142">
        <v>45825.541666666672</v>
      </c>
      <c r="G3526" s="140" t="s">
        <v>845</v>
      </c>
      <c r="H3526" s="140" t="s">
        <v>875</v>
      </c>
    </row>
    <row r="3527" spans="1:8" ht="15.75" customHeight="1">
      <c r="A3527" s="140" t="s">
        <v>82</v>
      </c>
      <c r="B3527" s="140" t="s">
        <v>21</v>
      </c>
      <c r="C3527" s="141" t="s">
        <v>300</v>
      </c>
      <c r="D3527" s="140" t="s">
        <v>301</v>
      </c>
      <c r="E3527" s="140">
        <v>10</v>
      </c>
      <c r="F3527" s="142">
        <v>45853.541666666672</v>
      </c>
      <c r="G3527" s="140" t="s">
        <v>845</v>
      </c>
      <c r="H3527" s="140" t="s">
        <v>875</v>
      </c>
    </row>
    <row r="3528" spans="1:8" ht="15.75" customHeight="1">
      <c r="A3528" s="140" t="s">
        <v>82</v>
      </c>
      <c r="B3528" s="140" t="s">
        <v>22</v>
      </c>
      <c r="C3528" s="141" t="s">
        <v>300</v>
      </c>
      <c r="D3528" s="140" t="s">
        <v>301</v>
      </c>
      <c r="E3528" s="140">
        <v>1</v>
      </c>
      <c r="F3528" s="142">
        <v>45881.541666666672</v>
      </c>
      <c r="G3528" s="140" t="s">
        <v>845</v>
      </c>
      <c r="H3528" s="140" t="s">
        <v>875</v>
      </c>
    </row>
    <row r="3529" spans="1:8" ht="15.75" customHeight="1">
      <c r="A3529" s="140" t="s">
        <v>82</v>
      </c>
      <c r="B3529" s="140" t="s">
        <v>22</v>
      </c>
      <c r="C3529" s="141" t="s">
        <v>300</v>
      </c>
      <c r="D3529" s="140" t="s">
        <v>301</v>
      </c>
      <c r="E3529" s="140">
        <v>2</v>
      </c>
      <c r="F3529" s="142">
        <v>45896.541666666672</v>
      </c>
      <c r="G3529" s="140" t="s">
        <v>845</v>
      </c>
      <c r="H3529" s="140" t="s">
        <v>875</v>
      </c>
    </row>
    <row r="3530" spans="1:8" ht="15.75" customHeight="1">
      <c r="A3530" s="140" t="s">
        <v>82</v>
      </c>
      <c r="B3530" s="140" t="s">
        <v>22</v>
      </c>
      <c r="C3530" s="141" t="s">
        <v>300</v>
      </c>
      <c r="D3530" s="140" t="s">
        <v>301</v>
      </c>
      <c r="E3530" s="140">
        <v>3</v>
      </c>
      <c r="F3530" s="142">
        <v>45909.583333333328</v>
      </c>
      <c r="G3530" s="140" t="s">
        <v>845</v>
      </c>
      <c r="H3530" s="140" t="s">
        <v>875</v>
      </c>
    </row>
    <row r="3531" spans="1:8" ht="15.75" customHeight="1">
      <c r="A3531" s="140" t="s">
        <v>82</v>
      </c>
      <c r="B3531" s="140" t="s">
        <v>22</v>
      </c>
      <c r="C3531" s="141" t="s">
        <v>300</v>
      </c>
      <c r="D3531" s="140" t="s">
        <v>301</v>
      </c>
      <c r="E3531" s="140">
        <v>4</v>
      </c>
      <c r="F3531" s="142">
        <v>45923.583333333328</v>
      </c>
      <c r="G3531" s="140" t="s">
        <v>845</v>
      </c>
      <c r="H3531" s="140" t="s">
        <v>875</v>
      </c>
    </row>
    <row r="3532" spans="1:8" ht="15.75" customHeight="1">
      <c r="A3532" s="140" t="s">
        <v>82</v>
      </c>
      <c r="B3532" s="140" t="s">
        <v>22</v>
      </c>
      <c r="C3532" s="141" t="s">
        <v>300</v>
      </c>
      <c r="D3532" s="140" t="s">
        <v>301</v>
      </c>
      <c r="E3532" s="140">
        <v>5</v>
      </c>
      <c r="F3532" s="142">
        <v>45930.583333333328</v>
      </c>
      <c r="G3532" s="140" t="s">
        <v>845</v>
      </c>
      <c r="H3532" s="140" t="s">
        <v>875</v>
      </c>
    </row>
    <row r="3533" spans="1:8" ht="15.75" customHeight="1">
      <c r="A3533" s="140" t="s">
        <v>82</v>
      </c>
      <c r="B3533" s="140" t="s">
        <v>22</v>
      </c>
      <c r="C3533" s="141" t="s">
        <v>300</v>
      </c>
      <c r="D3533" s="140" t="s">
        <v>301</v>
      </c>
      <c r="E3533" s="140">
        <v>6</v>
      </c>
      <c r="F3533" s="142">
        <v>45937.583333333328</v>
      </c>
      <c r="G3533" s="140" t="s">
        <v>845</v>
      </c>
      <c r="H3533" s="140" t="s">
        <v>875</v>
      </c>
    </row>
    <row r="3534" spans="1:8" ht="15.75" customHeight="1">
      <c r="A3534" s="140" t="s">
        <v>82</v>
      </c>
      <c r="B3534" s="140" t="s">
        <v>22</v>
      </c>
      <c r="C3534" s="141" t="s">
        <v>300</v>
      </c>
      <c r="D3534" s="140" t="s">
        <v>301</v>
      </c>
      <c r="E3534" s="140">
        <v>8</v>
      </c>
      <c r="F3534" s="142">
        <v>45951.583333333328</v>
      </c>
      <c r="G3534" s="140" t="s">
        <v>845</v>
      </c>
      <c r="H3534" s="140" t="s">
        <v>875</v>
      </c>
    </row>
    <row r="3535" spans="1:8" ht="15.75" customHeight="1">
      <c r="A3535" s="140" t="s">
        <v>82</v>
      </c>
      <c r="B3535" s="140" t="s">
        <v>22</v>
      </c>
      <c r="C3535" s="141" t="s">
        <v>300</v>
      </c>
      <c r="D3535" s="140" t="s">
        <v>301</v>
      </c>
      <c r="E3535" s="140">
        <v>9</v>
      </c>
      <c r="F3535" s="142">
        <v>45958.583333333328</v>
      </c>
      <c r="G3535" s="140" t="s">
        <v>845</v>
      </c>
      <c r="H3535" s="140" t="s">
        <v>875</v>
      </c>
    </row>
    <row r="3536" spans="1:8" ht="15.75" customHeight="1">
      <c r="A3536" s="140" t="s">
        <v>82</v>
      </c>
      <c r="B3536" s="140" t="s">
        <v>22</v>
      </c>
      <c r="C3536" s="141" t="s">
        <v>300</v>
      </c>
      <c r="D3536" s="140" t="s">
        <v>301</v>
      </c>
      <c r="E3536" s="140">
        <v>10</v>
      </c>
      <c r="F3536" s="142">
        <v>45966.458333333328</v>
      </c>
      <c r="G3536" s="140" t="s">
        <v>845</v>
      </c>
      <c r="H3536" s="140" t="s">
        <v>875</v>
      </c>
    </row>
    <row r="3537" spans="1:8" ht="15.75" customHeight="1">
      <c r="A3537" s="140" t="s">
        <v>82</v>
      </c>
      <c r="B3537" s="140" t="s">
        <v>22</v>
      </c>
      <c r="C3537" s="141" t="s">
        <v>300</v>
      </c>
      <c r="D3537" s="140" t="s">
        <v>301</v>
      </c>
      <c r="E3537" s="140">
        <v>11</v>
      </c>
      <c r="F3537" s="142">
        <v>45980.458333333328</v>
      </c>
      <c r="G3537" s="140" t="s">
        <v>843</v>
      </c>
      <c r="H3537" s="140" t="s">
        <v>875</v>
      </c>
    </row>
    <row r="3538" spans="1:8" ht="15.75" customHeight="1">
      <c r="A3538" s="140" t="s">
        <v>82</v>
      </c>
      <c r="B3538" s="140" t="s">
        <v>22</v>
      </c>
      <c r="C3538" s="141" t="s">
        <v>300</v>
      </c>
      <c r="D3538" s="140" t="s">
        <v>301</v>
      </c>
      <c r="E3538" s="140">
        <v>12</v>
      </c>
      <c r="F3538" s="142">
        <v>45987.583333333328</v>
      </c>
      <c r="G3538" s="140" t="s">
        <v>845</v>
      </c>
      <c r="H3538" s="140" t="s">
        <v>875</v>
      </c>
    </row>
    <row r="3539" spans="1:8" ht="15.75" customHeight="1">
      <c r="A3539" s="140" t="s">
        <v>82</v>
      </c>
      <c r="B3539" s="140" t="s">
        <v>22</v>
      </c>
      <c r="C3539" s="141" t="s">
        <v>300</v>
      </c>
      <c r="D3539" s="140" t="s">
        <v>301</v>
      </c>
      <c r="E3539" s="140">
        <v>13</v>
      </c>
      <c r="F3539" s="142">
        <v>45994.416666666672</v>
      </c>
      <c r="G3539" s="140" t="s">
        <v>845</v>
      </c>
      <c r="H3539" s="140" t="s">
        <v>875</v>
      </c>
    </row>
    <row r="3540" spans="1:8" ht="15.75" customHeight="1">
      <c r="A3540" s="140" t="s">
        <v>82</v>
      </c>
      <c r="B3540" s="140" t="s">
        <v>22</v>
      </c>
      <c r="C3540" s="141" t="s">
        <v>300</v>
      </c>
      <c r="D3540" s="140" t="s">
        <v>301</v>
      </c>
      <c r="E3540" s="140">
        <v>14</v>
      </c>
      <c r="F3540" s="142">
        <v>46006.625</v>
      </c>
      <c r="G3540" s="140" t="s">
        <v>843</v>
      </c>
      <c r="H3540" s="140" t="s">
        <v>875</v>
      </c>
    </row>
    <row r="3541" spans="1:8" ht="15.75" customHeight="1">
      <c r="A3541" s="140" t="s">
        <v>82</v>
      </c>
      <c r="B3541" s="140" t="s">
        <v>22</v>
      </c>
      <c r="C3541" s="141" t="s">
        <v>300</v>
      </c>
      <c r="D3541" s="140" t="s">
        <v>301</v>
      </c>
      <c r="E3541" s="140">
        <v>15</v>
      </c>
      <c r="F3541" s="142">
        <v>46013.625</v>
      </c>
      <c r="G3541" s="140" t="s">
        <v>845</v>
      </c>
      <c r="H3541" s="140" t="s">
        <v>875</v>
      </c>
    </row>
    <row r="3542" spans="1:8" ht="15.75" customHeight="1">
      <c r="A3542" s="140" t="s">
        <v>82</v>
      </c>
      <c r="B3542" s="140" t="s">
        <v>22</v>
      </c>
      <c r="C3542" s="141" t="s">
        <v>300</v>
      </c>
      <c r="D3542" s="140" t="s">
        <v>301</v>
      </c>
      <c r="E3542" s="140">
        <v>16</v>
      </c>
      <c r="F3542" s="142">
        <v>46035.416666666672</v>
      </c>
      <c r="G3542" s="140" t="s">
        <v>845</v>
      </c>
      <c r="H3542" s="140" t="s">
        <v>875</v>
      </c>
    </row>
    <row r="3543" spans="1:8" ht="15.75" customHeight="1">
      <c r="A3543" s="140" t="s">
        <v>82</v>
      </c>
      <c r="B3543" s="140" t="s">
        <v>22</v>
      </c>
      <c r="C3543" s="141" t="s">
        <v>309</v>
      </c>
      <c r="D3543" s="140" t="s">
        <v>310</v>
      </c>
      <c r="E3543" s="140">
        <v>1</v>
      </c>
      <c r="F3543" s="142">
        <v>45881.541666666672</v>
      </c>
      <c r="G3543" s="140" t="s">
        <v>845</v>
      </c>
      <c r="H3543" s="140" t="s">
        <v>875</v>
      </c>
    </row>
    <row r="3544" spans="1:8" ht="15.75" customHeight="1">
      <c r="A3544" s="140" t="s">
        <v>82</v>
      </c>
      <c r="B3544" s="140" t="s">
        <v>22</v>
      </c>
      <c r="C3544" s="141" t="s">
        <v>309</v>
      </c>
      <c r="D3544" s="140" t="s">
        <v>310</v>
      </c>
      <c r="E3544" s="140">
        <v>2</v>
      </c>
      <c r="F3544" s="142">
        <v>45896.541666666672</v>
      </c>
      <c r="G3544" s="140" t="s">
        <v>845</v>
      </c>
      <c r="H3544" s="140" t="s">
        <v>875</v>
      </c>
    </row>
    <row r="3545" spans="1:8" ht="15.75" customHeight="1">
      <c r="A3545" s="140" t="s">
        <v>82</v>
      </c>
      <c r="B3545" s="140" t="s">
        <v>22</v>
      </c>
      <c r="C3545" s="141" t="s">
        <v>309</v>
      </c>
      <c r="D3545" s="140" t="s">
        <v>310</v>
      </c>
      <c r="E3545" s="140">
        <v>3</v>
      </c>
      <c r="F3545" s="142">
        <v>45909.583333333328</v>
      </c>
      <c r="G3545" s="140" t="s">
        <v>845</v>
      </c>
      <c r="H3545" s="140" t="s">
        <v>875</v>
      </c>
    </row>
    <row r="3546" spans="1:8" ht="15.75" customHeight="1">
      <c r="A3546" s="140" t="s">
        <v>82</v>
      </c>
      <c r="B3546" s="140" t="s">
        <v>22</v>
      </c>
      <c r="C3546" s="141" t="s">
        <v>309</v>
      </c>
      <c r="D3546" s="140" t="s">
        <v>310</v>
      </c>
      <c r="E3546" s="140">
        <v>4</v>
      </c>
      <c r="F3546" s="142">
        <v>45923.583333333328</v>
      </c>
      <c r="G3546" s="140" t="s">
        <v>845</v>
      </c>
      <c r="H3546" s="140" t="s">
        <v>875</v>
      </c>
    </row>
    <row r="3547" spans="1:8" ht="15.75" customHeight="1">
      <c r="A3547" s="140" t="s">
        <v>82</v>
      </c>
      <c r="B3547" s="140" t="s">
        <v>22</v>
      </c>
      <c r="C3547" s="141" t="s">
        <v>309</v>
      </c>
      <c r="D3547" s="140" t="s">
        <v>310</v>
      </c>
      <c r="E3547" s="140">
        <v>5</v>
      </c>
      <c r="F3547" s="142">
        <v>45930.583333333328</v>
      </c>
      <c r="G3547" s="140" t="s">
        <v>845</v>
      </c>
      <c r="H3547" s="140" t="s">
        <v>875</v>
      </c>
    </row>
    <row r="3548" spans="1:8" ht="15.75" customHeight="1">
      <c r="A3548" s="140" t="s">
        <v>82</v>
      </c>
      <c r="B3548" s="140" t="s">
        <v>22</v>
      </c>
      <c r="C3548" s="141" t="s">
        <v>309</v>
      </c>
      <c r="D3548" s="140" t="s">
        <v>310</v>
      </c>
      <c r="E3548" s="140">
        <v>6</v>
      </c>
      <c r="F3548" s="142">
        <v>45937.583333333328</v>
      </c>
      <c r="G3548" s="140" t="s">
        <v>845</v>
      </c>
      <c r="H3548" s="140" t="s">
        <v>875</v>
      </c>
    </row>
    <row r="3549" spans="1:8" ht="15.75" customHeight="1">
      <c r="A3549" s="140" t="s">
        <v>82</v>
      </c>
      <c r="B3549" s="140" t="s">
        <v>22</v>
      </c>
      <c r="C3549" s="141" t="s">
        <v>309</v>
      </c>
      <c r="D3549" s="140" t="s">
        <v>310</v>
      </c>
      <c r="E3549" s="140">
        <v>8</v>
      </c>
      <c r="F3549" s="142">
        <v>45951.583333333328</v>
      </c>
      <c r="G3549" s="140" t="s">
        <v>845</v>
      </c>
      <c r="H3549" s="140" t="s">
        <v>875</v>
      </c>
    </row>
    <row r="3550" spans="1:8" ht="15.75" customHeight="1">
      <c r="A3550" s="140" t="s">
        <v>82</v>
      </c>
      <c r="B3550" s="140" t="s">
        <v>22</v>
      </c>
      <c r="C3550" s="141" t="s">
        <v>309</v>
      </c>
      <c r="D3550" s="140" t="s">
        <v>310</v>
      </c>
      <c r="E3550" s="140">
        <v>9</v>
      </c>
      <c r="F3550" s="142">
        <v>45958.583333333328</v>
      </c>
      <c r="G3550" s="140" t="s">
        <v>845</v>
      </c>
      <c r="H3550" s="140" t="s">
        <v>875</v>
      </c>
    </row>
    <row r="3551" spans="1:8" ht="15.75" customHeight="1">
      <c r="A3551" s="140" t="s">
        <v>82</v>
      </c>
      <c r="B3551" s="140" t="s">
        <v>22</v>
      </c>
      <c r="C3551" s="141" t="s">
        <v>309</v>
      </c>
      <c r="D3551" s="140" t="s">
        <v>310</v>
      </c>
      <c r="E3551" s="140">
        <v>10</v>
      </c>
      <c r="F3551" s="142">
        <v>45966.458333333328</v>
      </c>
      <c r="G3551" s="140" t="s">
        <v>845</v>
      </c>
      <c r="H3551" s="140" t="s">
        <v>875</v>
      </c>
    </row>
    <row r="3552" spans="1:8" ht="15.75" customHeight="1">
      <c r="A3552" s="140" t="s">
        <v>82</v>
      </c>
      <c r="B3552" s="140" t="s">
        <v>22</v>
      </c>
      <c r="C3552" s="141" t="s">
        <v>309</v>
      </c>
      <c r="D3552" s="140" t="s">
        <v>310</v>
      </c>
      <c r="E3552" s="140">
        <v>11</v>
      </c>
      <c r="F3552" s="142">
        <v>45980.458333333328</v>
      </c>
      <c r="G3552" s="140" t="s">
        <v>845</v>
      </c>
      <c r="H3552" s="140" t="s">
        <v>875</v>
      </c>
    </row>
    <row r="3553" spans="1:8" ht="15.75" customHeight="1">
      <c r="A3553" s="140" t="s">
        <v>82</v>
      </c>
      <c r="B3553" s="140" t="s">
        <v>22</v>
      </c>
      <c r="C3553" s="141" t="s">
        <v>309</v>
      </c>
      <c r="D3553" s="140" t="s">
        <v>310</v>
      </c>
      <c r="E3553" s="140">
        <v>12</v>
      </c>
      <c r="F3553" s="142">
        <v>45987.583333333328</v>
      </c>
      <c r="G3553" s="140" t="s">
        <v>843</v>
      </c>
      <c r="H3553" s="140" t="s">
        <v>875</v>
      </c>
    </row>
    <row r="3554" spans="1:8" ht="15.75" customHeight="1">
      <c r="A3554" s="140" t="s">
        <v>82</v>
      </c>
      <c r="B3554" s="140" t="s">
        <v>22</v>
      </c>
      <c r="C3554" s="141" t="s">
        <v>309</v>
      </c>
      <c r="D3554" s="140" t="s">
        <v>310</v>
      </c>
      <c r="E3554" s="140">
        <v>13</v>
      </c>
      <c r="F3554" s="142">
        <v>45994.416666666672</v>
      </c>
      <c r="G3554" s="140" t="s">
        <v>845</v>
      </c>
      <c r="H3554" s="140" t="s">
        <v>875</v>
      </c>
    </row>
    <row r="3555" spans="1:8" ht="15.75" customHeight="1">
      <c r="A3555" s="140" t="s">
        <v>82</v>
      </c>
      <c r="B3555" s="140" t="s">
        <v>22</v>
      </c>
      <c r="C3555" s="141" t="s">
        <v>309</v>
      </c>
      <c r="D3555" s="140" t="s">
        <v>310</v>
      </c>
      <c r="E3555" s="140">
        <v>14</v>
      </c>
      <c r="F3555" s="142">
        <v>46006.625</v>
      </c>
      <c r="G3555" s="140" t="s">
        <v>845</v>
      </c>
      <c r="H3555" s="140" t="s">
        <v>875</v>
      </c>
    </row>
    <row r="3556" spans="1:8" ht="15.75" customHeight="1">
      <c r="A3556" s="140" t="s">
        <v>82</v>
      </c>
      <c r="B3556" s="140" t="s">
        <v>22</v>
      </c>
      <c r="C3556" s="141" t="s">
        <v>309</v>
      </c>
      <c r="D3556" s="140" t="s">
        <v>310</v>
      </c>
      <c r="E3556" s="140">
        <v>15</v>
      </c>
      <c r="F3556" s="142">
        <v>46013.625</v>
      </c>
      <c r="G3556" s="140" t="s">
        <v>845</v>
      </c>
      <c r="H3556" s="140" t="s">
        <v>875</v>
      </c>
    </row>
    <row r="3557" spans="1:8" ht="15.75" customHeight="1">
      <c r="A3557" s="140" t="s">
        <v>82</v>
      </c>
      <c r="B3557" s="140" t="s">
        <v>22</v>
      </c>
      <c r="C3557" s="141" t="s">
        <v>309</v>
      </c>
      <c r="D3557" s="140" t="s">
        <v>310</v>
      </c>
      <c r="E3557" s="140">
        <v>16</v>
      </c>
      <c r="F3557" s="142">
        <v>46035.416666666672</v>
      </c>
      <c r="G3557" s="140" t="s">
        <v>845</v>
      </c>
      <c r="H3557" s="140" t="s">
        <v>875</v>
      </c>
    </row>
    <row r="3558" spans="1:8" ht="15.75" customHeight="1">
      <c r="A3558" s="140" t="s">
        <v>82</v>
      </c>
      <c r="B3558" s="140" t="s">
        <v>22</v>
      </c>
      <c r="C3558" s="141" t="s">
        <v>332</v>
      </c>
      <c r="D3558" s="140" t="s">
        <v>333</v>
      </c>
      <c r="E3558" s="140">
        <v>1</v>
      </c>
      <c r="F3558" s="142">
        <v>45881.541666666672</v>
      </c>
      <c r="G3558" s="140" t="s">
        <v>845</v>
      </c>
      <c r="H3558" s="140" t="s">
        <v>875</v>
      </c>
    </row>
    <row r="3559" spans="1:8" ht="15.75" customHeight="1">
      <c r="A3559" s="140" t="s">
        <v>82</v>
      </c>
      <c r="B3559" s="140" t="s">
        <v>22</v>
      </c>
      <c r="C3559" s="141" t="s">
        <v>332</v>
      </c>
      <c r="D3559" s="140" t="s">
        <v>333</v>
      </c>
      <c r="E3559" s="140">
        <v>2</v>
      </c>
      <c r="F3559" s="142">
        <v>45896.541666666672</v>
      </c>
      <c r="G3559" s="140" t="s">
        <v>845</v>
      </c>
      <c r="H3559" s="140" t="s">
        <v>875</v>
      </c>
    </row>
    <row r="3560" spans="1:8" ht="15.75" customHeight="1">
      <c r="A3560" s="140" t="s">
        <v>82</v>
      </c>
      <c r="B3560" s="140" t="s">
        <v>22</v>
      </c>
      <c r="C3560" s="141" t="s">
        <v>332</v>
      </c>
      <c r="D3560" s="140" t="s">
        <v>333</v>
      </c>
      <c r="E3560" s="140">
        <v>3</v>
      </c>
      <c r="F3560" s="142">
        <v>45909.583333333328</v>
      </c>
      <c r="G3560" s="140" t="s">
        <v>845</v>
      </c>
      <c r="H3560" s="140" t="s">
        <v>875</v>
      </c>
    </row>
    <row r="3561" spans="1:8" ht="15.75" customHeight="1">
      <c r="A3561" s="140" t="s">
        <v>82</v>
      </c>
      <c r="B3561" s="140" t="s">
        <v>22</v>
      </c>
      <c r="C3561" s="141" t="s">
        <v>332</v>
      </c>
      <c r="D3561" s="140" t="s">
        <v>333</v>
      </c>
      <c r="E3561" s="140">
        <v>4</v>
      </c>
      <c r="F3561" s="142">
        <v>45923.583333333328</v>
      </c>
      <c r="G3561" s="140" t="s">
        <v>845</v>
      </c>
      <c r="H3561" s="140" t="s">
        <v>875</v>
      </c>
    </row>
    <row r="3562" spans="1:8" ht="15.75" customHeight="1">
      <c r="A3562" s="140" t="s">
        <v>82</v>
      </c>
      <c r="B3562" s="140" t="s">
        <v>22</v>
      </c>
      <c r="C3562" s="141" t="s">
        <v>332</v>
      </c>
      <c r="D3562" s="140" t="s">
        <v>333</v>
      </c>
      <c r="E3562" s="140">
        <v>5</v>
      </c>
      <c r="F3562" s="142">
        <v>45930.583333333328</v>
      </c>
      <c r="G3562" s="140" t="s">
        <v>845</v>
      </c>
      <c r="H3562" s="140" t="s">
        <v>875</v>
      </c>
    </row>
    <row r="3563" spans="1:8" ht="15.75" customHeight="1">
      <c r="A3563" s="140" t="s">
        <v>82</v>
      </c>
      <c r="B3563" s="140" t="s">
        <v>22</v>
      </c>
      <c r="C3563" s="141" t="s">
        <v>332</v>
      </c>
      <c r="D3563" s="140" t="s">
        <v>333</v>
      </c>
      <c r="E3563" s="140">
        <v>6</v>
      </c>
      <c r="F3563" s="142">
        <v>45937.583333333328</v>
      </c>
      <c r="G3563" s="140" t="s">
        <v>845</v>
      </c>
      <c r="H3563" s="140" t="s">
        <v>875</v>
      </c>
    </row>
    <row r="3564" spans="1:8" ht="15.75" customHeight="1">
      <c r="A3564" s="140" t="s">
        <v>82</v>
      </c>
      <c r="B3564" s="140" t="s">
        <v>22</v>
      </c>
      <c r="C3564" s="141" t="s">
        <v>332</v>
      </c>
      <c r="D3564" s="140" t="s">
        <v>333</v>
      </c>
      <c r="E3564" s="140">
        <v>8</v>
      </c>
      <c r="F3564" s="142">
        <v>45951.583333333328</v>
      </c>
      <c r="G3564" s="140" t="s">
        <v>845</v>
      </c>
      <c r="H3564" s="140" t="s">
        <v>875</v>
      </c>
    </row>
    <row r="3565" spans="1:8" ht="15.75" customHeight="1">
      <c r="A3565" s="140" t="s">
        <v>82</v>
      </c>
      <c r="B3565" s="140" t="s">
        <v>22</v>
      </c>
      <c r="C3565" s="141" t="s">
        <v>332</v>
      </c>
      <c r="D3565" s="140" t="s">
        <v>333</v>
      </c>
      <c r="E3565" s="140">
        <v>9</v>
      </c>
      <c r="F3565" s="142">
        <v>45958.583333333328</v>
      </c>
      <c r="G3565" s="140" t="s">
        <v>845</v>
      </c>
      <c r="H3565" s="140" t="s">
        <v>875</v>
      </c>
    </row>
    <row r="3566" spans="1:8" ht="15.75" customHeight="1">
      <c r="A3566" s="140" t="s">
        <v>82</v>
      </c>
      <c r="B3566" s="140" t="s">
        <v>22</v>
      </c>
      <c r="C3566" s="141" t="s">
        <v>332</v>
      </c>
      <c r="D3566" s="140" t="s">
        <v>333</v>
      </c>
      <c r="E3566" s="140">
        <v>10</v>
      </c>
      <c r="F3566" s="142">
        <v>45966.458333333328</v>
      </c>
      <c r="G3566" s="140" t="s">
        <v>845</v>
      </c>
      <c r="H3566" s="140" t="s">
        <v>875</v>
      </c>
    </row>
    <row r="3567" spans="1:8" ht="15.75" customHeight="1">
      <c r="A3567" s="140" t="s">
        <v>82</v>
      </c>
      <c r="B3567" s="140" t="s">
        <v>22</v>
      </c>
      <c r="C3567" s="141" t="s">
        <v>332</v>
      </c>
      <c r="D3567" s="140" t="s">
        <v>333</v>
      </c>
      <c r="E3567" s="140">
        <v>11</v>
      </c>
      <c r="F3567" s="142">
        <v>45980.458333333328</v>
      </c>
      <c r="G3567" s="140" t="s">
        <v>845</v>
      </c>
      <c r="H3567" s="140" t="s">
        <v>875</v>
      </c>
    </row>
    <row r="3568" spans="1:8" ht="15.75" customHeight="1">
      <c r="A3568" s="140" t="s">
        <v>82</v>
      </c>
      <c r="B3568" s="140" t="s">
        <v>22</v>
      </c>
      <c r="C3568" s="141" t="s">
        <v>332</v>
      </c>
      <c r="D3568" s="140" t="s">
        <v>333</v>
      </c>
      <c r="E3568" s="140">
        <v>12</v>
      </c>
      <c r="F3568" s="142">
        <v>45987.583333333328</v>
      </c>
      <c r="G3568" s="140" t="s">
        <v>845</v>
      </c>
      <c r="H3568" s="140" t="s">
        <v>875</v>
      </c>
    </row>
    <row r="3569" spans="1:8" ht="15.75" customHeight="1">
      <c r="A3569" s="140" t="s">
        <v>82</v>
      </c>
      <c r="B3569" s="140" t="s">
        <v>22</v>
      </c>
      <c r="C3569" s="141" t="s">
        <v>332</v>
      </c>
      <c r="D3569" s="140" t="s">
        <v>333</v>
      </c>
      <c r="E3569" s="140">
        <v>13</v>
      </c>
      <c r="F3569" s="142">
        <v>45994.416666666672</v>
      </c>
      <c r="G3569" s="140" t="s">
        <v>845</v>
      </c>
      <c r="H3569" s="140" t="s">
        <v>875</v>
      </c>
    </row>
    <row r="3570" spans="1:8" ht="15.75" customHeight="1">
      <c r="A3570" s="140" t="s">
        <v>82</v>
      </c>
      <c r="B3570" s="140" t="s">
        <v>22</v>
      </c>
      <c r="C3570" s="141" t="s">
        <v>332</v>
      </c>
      <c r="D3570" s="140" t="s">
        <v>333</v>
      </c>
      <c r="E3570" s="140">
        <v>14</v>
      </c>
      <c r="F3570" s="142">
        <v>46006.625</v>
      </c>
      <c r="G3570" s="140" t="s">
        <v>845</v>
      </c>
      <c r="H3570" s="140" t="s">
        <v>875</v>
      </c>
    </row>
    <row r="3571" spans="1:8" ht="15.75" customHeight="1">
      <c r="A3571" s="140" t="s">
        <v>82</v>
      </c>
      <c r="B3571" s="140" t="s">
        <v>22</v>
      </c>
      <c r="C3571" s="141" t="s">
        <v>332</v>
      </c>
      <c r="D3571" s="140" t="s">
        <v>333</v>
      </c>
      <c r="E3571" s="140">
        <v>15</v>
      </c>
      <c r="F3571" s="142">
        <v>46013.625</v>
      </c>
      <c r="G3571" s="140" t="s">
        <v>845</v>
      </c>
      <c r="H3571" s="140" t="s">
        <v>875</v>
      </c>
    </row>
    <row r="3572" spans="1:8" ht="15.75" customHeight="1">
      <c r="A3572" s="140" t="s">
        <v>82</v>
      </c>
      <c r="B3572" s="140" t="s">
        <v>22</v>
      </c>
      <c r="C3572" s="141" t="s">
        <v>332</v>
      </c>
      <c r="D3572" s="140" t="s">
        <v>333</v>
      </c>
      <c r="E3572" s="140">
        <v>16</v>
      </c>
      <c r="F3572" s="142">
        <v>46035.416666666672</v>
      </c>
      <c r="G3572" s="140" t="s">
        <v>845</v>
      </c>
      <c r="H3572" s="140" t="s">
        <v>875</v>
      </c>
    </row>
    <row r="3573" spans="1:8" ht="15.75" customHeight="1">
      <c r="A3573" s="140" t="s">
        <v>82</v>
      </c>
      <c r="B3573" s="140" t="s">
        <v>21</v>
      </c>
      <c r="C3573" s="141" t="s">
        <v>350</v>
      </c>
      <c r="D3573" s="140" t="s">
        <v>351</v>
      </c>
      <c r="E3573" s="140">
        <v>1</v>
      </c>
      <c r="F3573" s="142">
        <v>45765.583333333328</v>
      </c>
      <c r="G3573" s="140" t="s">
        <v>845</v>
      </c>
      <c r="H3573" s="140" t="s">
        <v>875</v>
      </c>
    </row>
    <row r="3574" spans="1:8" ht="15.75" customHeight="1">
      <c r="A3574" s="140" t="s">
        <v>82</v>
      </c>
      <c r="B3574" s="140" t="s">
        <v>21</v>
      </c>
      <c r="C3574" s="141" t="s">
        <v>350</v>
      </c>
      <c r="D3574" s="140" t="s">
        <v>351</v>
      </c>
      <c r="E3574" s="140">
        <v>2</v>
      </c>
      <c r="F3574" s="142">
        <v>45770.583333333328</v>
      </c>
      <c r="G3574" s="140" t="s">
        <v>845</v>
      </c>
      <c r="H3574" s="140" t="s">
        <v>875</v>
      </c>
    </row>
    <row r="3575" spans="1:8" ht="15.75" customHeight="1">
      <c r="A3575" s="140" t="s">
        <v>82</v>
      </c>
      <c r="B3575" s="140" t="s">
        <v>21</v>
      </c>
      <c r="C3575" s="141" t="s">
        <v>350</v>
      </c>
      <c r="D3575" s="140" t="s">
        <v>351</v>
      </c>
      <c r="E3575" s="140">
        <v>3</v>
      </c>
      <c r="F3575" s="142">
        <v>45783.541666666672</v>
      </c>
      <c r="G3575" s="140" t="s">
        <v>843</v>
      </c>
      <c r="H3575" s="140" t="s">
        <v>875</v>
      </c>
    </row>
    <row r="3576" spans="1:8" ht="15.75" customHeight="1">
      <c r="A3576" s="140" t="s">
        <v>82</v>
      </c>
      <c r="B3576" s="140" t="s">
        <v>21</v>
      </c>
      <c r="C3576" s="141" t="s">
        <v>350</v>
      </c>
      <c r="D3576" s="140" t="s">
        <v>351</v>
      </c>
      <c r="E3576" s="140">
        <v>4</v>
      </c>
      <c r="F3576" s="142">
        <v>45791.583333333328</v>
      </c>
      <c r="G3576" s="140" t="s">
        <v>845</v>
      </c>
      <c r="H3576" s="140" t="s">
        <v>875</v>
      </c>
    </row>
    <row r="3577" spans="1:8" ht="15.75" customHeight="1">
      <c r="A3577" s="140" t="s">
        <v>82</v>
      </c>
      <c r="B3577" s="140" t="s">
        <v>21</v>
      </c>
      <c r="C3577" s="141" t="s">
        <v>350</v>
      </c>
      <c r="D3577" s="140" t="s">
        <v>351</v>
      </c>
      <c r="E3577" s="140">
        <v>5</v>
      </c>
      <c r="F3577" s="142">
        <v>45792.541666666672</v>
      </c>
      <c r="G3577" s="140" t="s">
        <v>845</v>
      </c>
      <c r="H3577" s="140" t="s">
        <v>875</v>
      </c>
    </row>
    <row r="3578" spans="1:8" ht="15.75" customHeight="1">
      <c r="A3578" s="140" t="s">
        <v>82</v>
      </c>
      <c r="B3578" s="140" t="s">
        <v>21</v>
      </c>
      <c r="C3578" s="141" t="s">
        <v>350</v>
      </c>
      <c r="D3578" s="140" t="s">
        <v>351</v>
      </c>
      <c r="E3578" s="140">
        <v>6</v>
      </c>
      <c r="F3578" s="142">
        <v>45805.583333333328</v>
      </c>
      <c r="G3578" s="140" t="s">
        <v>845</v>
      </c>
      <c r="H3578" s="140" t="s">
        <v>875</v>
      </c>
    </row>
    <row r="3579" spans="1:8" ht="15.75" customHeight="1">
      <c r="A3579" s="140" t="s">
        <v>82</v>
      </c>
      <c r="B3579" s="140" t="s">
        <v>21</v>
      </c>
      <c r="C3579" s="141" t="s">
        <v>350</v>
      </c>
      <c r="D3579" s="140" t="s">
        <v>351</v>
      </c>
      <c r="E3579" s="140">
        <v>7</v>
      </c>
      <c r="F3579" s="142">
        <v>45811.541666666672</v>
      </c>
      <c r="G3579" s="140" t="s">
        <v>843</v>
      </c>
      <c r="H3579" s="140" t="s">
        <v>875</v>
      </c>
    </row>
    <row r="3580" spans="1:8" ht="15.75" customHeight="1">
      <c r="A3580" s="140" t="s">
        <v>82</v>
      </c>
      <c r="B3580" s="140" t="s">
        <v>21</v>
      </c>
      <c r="C3580" s="141" t="s">
        <v>350</v>
      </c>
      <c r="D3580" s="140" t="s">
        <v>351</v>
      </c>
      <c r="E3580" s="140">
        <v>8</v>
      </c>
      <c r="F3580" s="142">
        <v>45819.541666666672</v>
      </c>
      <c r="G3580" s="140" t="s">
        <v>845</v>
      </c>
      <c r="H3580" s="140" t="s">
        <v>875</v>
      </c>
    </row>
    <row r="3581" spans="1:8" ht="15.75" customHeight="1">
      <c r="A3581" s="140" t="s">
        <v>82</v>
      </c>
      <c r="B3581" s="140" t="s">
        <v>21</v>
      </c>
      <c r="C3581" s="141" t="s">
        <v>350</v>
      </c>
      <c r="D3581" s="140" t="s">
        <v>351</v>
      </c>
      <c r="E3581" s="140">
        <v>9</v>
      </c>
      <c r="F3581" s="142">
        <v>45825.541666666672</v>
      </c>
      <c r="G3581" s="140" t="s">
        <v>845</v>
      </c>
      <c r="H3581" s="140" t="s">
        <v>875</v>
      </c>
    </row>
    <row r="3582" spans="1:8" ht="15.75" customHeight="1">
      <c r="A3582" s="140" t="s">
        <v>82</v>
      </c>
      <c r="B3582" s="140" t="s">
        <v>21</v>
      </c>
      <c r="C3582" s="141" t="s">
        <v>350</v>
      </c>
      <c r="D3582" s="140" t="s">
        <v>351</v>
      </c>
      <c r="E3582" s="140">
        <v>10</v>
      </c>
      <c r="F3582" s="142">
        <v>45853.541666666672</v>
      </c>
      <c r="G3582" s="140" t="s">
        <v>845</v>
      </c>
      <c r="H3582" s="140" t="s">
        <v>875</v>
      </c>
    </row>
    <row r="3583" spans="1:8" ht="15.75" customHeight="1">
      <c r="A3583" s="140" t="s">
        <v>82</v>
      </c>
      <c r="B3583" s="140" t="s">
        <v>21</v>
      </c>
      <c r="C3583" s="141" t="s">
        <v>526</v>
      </c>
      <c r="D3583" s="140" t="s">
        <v>527</v>
      </c>
      <c r="E3583" s="140">
        <v>1</v>
      </c>
      <c r="F3583" s="142">
        <v>45765.583333333328</v>
      </c>
      <c r="G3583" s="140" t="s">
        <v>845</v>
      </c>
      <c r="H3583" s="140" t="s">
        <v>875</v>
      </c>
    </row>
    <row r="3584" spans="1:8" ht="15.75" customHeight="1">
      <c r="A3584" s="140" t="s">
        <v>82</v>
      </c>
      <c r="B3584" s="140" t="s">
        <v>21</v>
      </c>
      <c r="C3584" s="141" t="s">
        <v>526</v>
      </c>
      <c r="D3584" s="140" t="s">
        <v>527</v>
      </c>
      <c r="E3584" s="140">
        <v>2</v>
      </c>
      <c r="F3584" s="142">
        <v>45770.583333333328</v>
      </c>
      <c r="G3584" s="140" t="s">
        <v>845</v>
      </c>
      <c r="H3584" s="140" t="s">
        <v>875</v>
      </c>
    </row>
    <row r="3585" spans="1:8" ht="15.75" customHeight="1">
      <c r="A3585" s="140" t="s">
        <v>82</v>
      </c>
      <c r="B3585" s="140" t="s">
        <v>21</v>
      </c>
      <c r="C3585" s="141" t="s">
        <v>526</v>
      </c>
      <c r="D3585" s="140" t="s">
        <v>527</v>
      </c>
      <c r="E3585" s="140">
        <v>3</v>
      </c>
      <c r="F3585" s="142">
        <v>45783.541666666672</v>
      </c>
      <c r="G3585" s="140" t="s">
        <v>845</v>
      </c>
      <c r="H3585" s="140" t="s">
        <v>875</v>
      </c>
    </row>
    <row r="3586" spans="1:8" ht="15.75" customHeight="1">
      <c r="A3586" s="140" t="s">
        <v>82</v>
      </c>
      <c r="B3586" s="140" t="s">
        <v>21</v>
      </c>
      <c r="C3586" s="141" t="s">
        <v>526</v>
      </c>
      <c r="D3586" s="140" t="s">
        <v>527</v>
      </c>
      <c r="E3586" s="140">
        <v>4</v>
      </c>
      <c r="F3586" s="142">
        <v>45791.583333333328</v>
      </c>
      <c r="G3586" s="140" t="s">
        <v>845</v>
      </c>
      <c r="H3586" s="140" t="s">
        <v>875</v>
      </c>
    </row>
    <row r="3587" spans="1:8" ht="15.75" customHeight="1">
      <c r="A3587" s="140" t="s">
        <v>82</v>
      </c>
      <c r="B3587" s="140" t="s">
        <v>21</v>
      </c>
      <c r="C3587" s="141" t="s">
        <v>526</v>
      </c>
      <c r="D3587" s="140" t="s">
        <v>527</v>
      </c>
      <c r="E3587" s="140">
        <v>5</v>
      </c>
      <c r="F3587" s="142">
        <v>45792.541666666672</v>
      </c>
      <c r="G3587" s="140" t="s">
        <v>845</v>
      </c>
      <c r="H3587" s="140" t="s">
        <v>875</v>
      </c>
    </row>
    <row r="3588" spans="1:8" ht="15.75" customHeight="1">
      <c r="A3588" s="140" t="s">
        <v>82</v>
      </c>
      <c r="B3588" s="140" t="s">
        <v>21</v>
      </c>
      <c r="C3588" s="141" t="s">
        <v>526</v>
      </c>
      <c r="D3588" s="140" t="s">
        <v>527</v>
      </c>
      <c r="E3588" s="140">
        <v>6</v>
      </c>
      <c r="F3588" s="142">
        <v>45805.583333333328</v>
      </c>
      <c r="G3588" s="140" t="s">
        <v>845</v>
      </c>
      <c r="H3588" s="140" t="s">
        <v>875</v>
      </c>
    </row>
    <row r="3589" spans="1:8" ht="15.75" customHeight="1">
      <c r="A3589" s="140" t="s">
        <v>82</v>
      </c>
      <c r="B3589" s="140" t="s">
        <v>21</v>
      </c>
      <c r="C3589" s="141" t="s">
        <v>526</v>
      </c>
      <c r="D3589" s="140" t="s">
        <v>527</v>
      </c>
      <c r="E3589" s="140">
        <v>7</v>
      </c>
      <c r="F3589" s="142">
        <v>45811.541666666672</v>
      </c>
      <c r="G3589" s="140" t="s">
        <v>845</v>
      </c>
      <c r="H3589" s="140" t="s">
        <v>875</v>
      </c>
    </row>
    <row r="3590" spans="1:8" ht="15.75" customHeight="1">
      <c r="A3590" s="140" t="s">
        <v>82</v>
      </c>
      <c r="B3590" s="140" t="s">
        <v>21</v>
      </c>
      <c r="C3590" s="141" t="s">
        <v>526</v>
      </c>
      <c r="D3590" s="140" t="s">
        <v>527</v>
      </c>
      <c r="E3590" s="140">
        <v>8</v>
      </c>
      <c r="F3590" s="142">
        <v>45819.541666666672</v>
      </c>
      <c r="G3590" s="140" t="s">
        <v>845</v>
      </c>
      <c r="H3590" s="140" t="s">
        <v>875</v>
      </c>
    </row>
    <row r="3591" spans="1:8" ht="15.75" customHeight="1">
      <c r="A3591" s="140" t="s">
        <v>82</v>
      </c>
      <c r="B3591" s="140" t="s">
        <v>21</v>
      </c>
      <c r="C3591" s="141" t="s">
        <v>526</v>
      </c>
      <c r="D3591" s="140" t="s">
        <v>527</v>
      </c>
      <c r="E3591" s="140">
        <v>9</v>
      </c>
      <c r="F3591" s="142">
        <v>45825.541666666672</v>
      </c>
      <c r="G3591" s="140" t="s">
        <v>845</v>
      </c>
      <c r="H3591" s="140" t="s">
        <v>875</v>
      </c>
    </row>
    <row r="3592" spans="1:8" ht="15.75" customHeight="1">
      <c r="A3592" s="140" t="s">
        <v>82</v>
      </c>
      <c r="B3592" s="140" t="s">
        <v>21</v>
      </c>
      <c r="C3592" s="141" t="s">
        <v>526</v>
      </c>
      <c r="D3592" s="140" t="s">
        <v>527</v>
      </c>
      <c r="E3592" s="140">
        <v>10</v>
      </c>
      <c r="F3592" s="142">
        <v>45853.541666666672</v>
      </c>
      <c r="G3592" s="140" t="s">
        <v>845</v>
      </c>
      <c r="H3592" s="140" t="s">
        <v>875</v>
      </c>
    </row>
    <row r="3593" spans="1:8" ht="15.75" customHeight="1">
      <c r="A3593" s="140" t="s">
        <v>82</v>
      </c>
      <c r="B3593" s="140" t="s">
        <v>22</v>
      </c>
      <c r="C3593" s="141" t="s">
        <v>526</v>
      </c>
      <c r="D3593" s="140" t="s">
        <v>527</v>
      </c>
      <c r="E3593" s="140">
        <v>1</v>
      </c>
      <c r="F3593" s="142">
        <v>45881.541666666672</v>
      </c>
      <c r="G3593" s="140" t="s">
        <v>845</v>
      </c>
      <c r="H3593" s="140" t="s">
        <v>875</v>
      </c>
    </row>
    <row r="3594" spans="1:8" ht="15.75" customHeight="1">
      <c r="A3594" s="140" t="s">
        <v>82</v>
      </c>
      <c r="B3594" s="140" t="s">
        <v>22</v>
      </c>
      <c r="C3594" s="141" t="s">
        <v>526</v>
      </c>
      <c r="D3594" s="140" t="s">
        <v>527</v>
      </c>
      <c r="E3594" s="140">
        <v>2</v>
      </c>
      <c r="F3594" s="142">
        <v>45896.541666666672</v>
      </c>
      <c r="G3594" s="140" t="s">
        <v>845</v>
      </c>
      <c r="H3594" s="140" t="s">
        <v>875</v>
      </c>
    </row>
    <row r="3595" spans="1:8" ht="15.75" customHeight="1">
      <c r="A3595" s="140" t="s">
        <v>82</v>
      </c>
      <c r="B3595" s="140" t="s">
        <v>22</v>
      </c>
      <c r="C3595" s="141" t="s">
        <v>526</v>
      </c>
      <c r="D3595" s="140" t="s">
        <v>527</v>
      </c>
      <c r="E3595" s="140">
        <v>3</v>
      </c>
      <c r="F3595" s="142">
        <v>45909.583333333328</v>
      </c>
      <c r="G3595" s="140" t="s">
        <v>845</v>
      </c>
      <c r="H3595" s="140" t="s">
        <v>875</v>
      </c>
    </row>
    <row r="3596" spans="1:8" ht="15.75" customHeight="1">
      <c r="A3596" s="140" t="s">
        <v>82</v>
      </c>
      <c r="B3596" s="140" t="s">
        <v>22</v>
      </c>
      <c r="C3596" s="141" t="s">
        <v>526</v>
      </c>
      <c r="D3596" s="140" t="s">
        <v>527</v>
      </c>
      <c r="E3596" s="140">
        <v>4</v>
      </c>
      <c r="F3596" s="142">
        <v>45923.583333333328</v>
      </c>
      <c r="G3596" s="140" t="s">
        <v>845</v>
      </c>
      <c r="H3596" s="140" t="s">
        <v>875</v>
      </c>
    </row>
    <row r="3597" spans="1:8" ht="15.75" customHeight="1">
      <c r="A3597" s="140" t="s">
        <v>82</v>
      </c>
      <c r="B3597" s="140" t="s">
        <v>22</v>
      </c>
      <c r="C3597" s="141" t="s">
        <v>526</v>
      </c>
      <c r="D3597" s="140" t="s">
        <v>527</v>
      </c>
      <c r="E3597" s="140">
        <v>5</v>
      </c>
      <c r="F3597" s="142">
        <v>45930.583333333328</v>
      </c>
      <c r="G3597" s="140" t="s">
        <v>845</v>
      </c>
      <c r="H3597" s="140" t="s">
        <v>875</v>
      </c>
    </row>
    <row r="3598" spans="1:8" ht="15.75" customHeight="1">
      <c r="A3598" s="140" t="s">
        <v>82</v>
      </c>
      <c r="B3598" s="140" t="s">
        <v>22</v>
      </c>
      <c r="C3598" s="141" t="s">
        <v>526</v>
      </c>
      <c r="D3598" s="140" t="s">
        <v>527</v>
      </c>
      <c r="E3598" s="140">
        <v>6</v>
      </c>
      <c r="F3598" s="142">
        <v>45937.583333333328</v>
      </c>
      <c r="G3598" s="140" t="s">
        <v>845</v>
      </c>
      <c r="H3598" s="140" t="s">
        <v>875</v>
      </c>
    </row>
    <row r="3599" spans="1:8" ht="15.75" customHeight="1">
      <c r="A3599" s="140" t="s">
        <v>82</v>
      </c>
      <c r="B3599" s="140" t="s">
        <v>22</v>
      </c>
      <c r="C3599" s="141" t="s">
        <v>526</v>
      </c>
      <c r="D3599" s="140" t="s">
        <v>527</v>
      </c>
      <c r="E3599" s="140">
        <v>8</v>
      </c>
      <c r="F3599" s="142">
        <v>45951.583333333328</v>
      </c>
      <c r="G3599" s="140" t="s">
        <v>845</v>
      </c>
      <c r="H3599" s="140" t="s">
        <v>875</v>
      </c>
    </row>
    <row r="3600" spans="1:8" ht="15.75" customHeight="1">
      <c r="A3600" s="140" t="s">
        <v>82</v>
      </c>
      <c r="B3600" s="140" t="s">
        <v>22</v>
      </c>
      <c r="C3600" s="141" t="s">
        <v>526</v>
      </c>
      <c r="D3600" s="140" t="s">
        <v>527</v>
      </c>
      <c r="E3600" s="140">
        <v>9</v>
      </c>
      <c r="F3600" s="142">
        <v>45958.583333333328</v>
      </c>
      <c r="G3600" s="140" t="s">
        <v>845</v>
      </c>
      <c r="H3600" s="140" t="s">
        <v>875</v>
      </c>
    </row>
    <row r="3601" spans="1:8" ht="15.75" customHeight="1">
      <c r="A3601" s="140" t="s">
        <v>82</v>
      </c>
      <c r="B3601" s="140" t="s">
        <v>22</v>
      </c>
      <c r="C3601" s="141" t="s">
        <v>526</v>
      </c>
      <c r="D3601" s="140" t="s">
        <v>527</v>
      </c>
      <c r="E3601" s="140">
        <v>10</v>
      </c>
      <c r="F3601" s="142">
        <v>45966.458333333328</v>
      </c>
      <c r="G3601" s="140" t="s">
        <v>843</v>
      </c>
      <c r="H3601" s="140" t="s">
        <v>875</v>
      </c>
    </row>
    <row r="3602" spans="1:8" ht="15.75" customHeight="1">
      <c r="A3602" s="140" t="s">
        <v>82</v>
      </c>
      <c r="B3602" s="140" t="s">
        <v>22</v>
      </c>
      <c r="C3602" s="141" t="s">
        <v>526</v>
      </c>
      <c r="D3602" s="140" t="s">
        <v>527</v>
      </c>
      <c r="E3602" s="140">
        <v>11</v>
      </c>
      <c r="F3602" s="142">
        <v>45980.458333333328</v>
      </c>
      <c r="G3602" s="140" t="s">
        <v>845</v>
      </c>
      <c r="H3602" s="140" t="s">
        <v>875</v>
      </c>
    </row>
    <row r="3603" spans="1:8" ht="15.75" customHeight="1">
      <c r="A3603" s="140" t="s">
        <v>82</v>
      </c>
      <c r="B3603" s="140" t="s">
        <v>22</v>
      </c>
      <c r="C3603" s="141" t="s">
        <v>526</v>
      </c>
      <c r="D3603" s="140" t="s">
        <v>527</v>
      </c>
      <c r="E3603" s="140">
        <v>12</v>
      </c>
      <c r="F3603" s="142">
        <v>45987.583333333328</v>
      </c>
      <c r="G3603" s="140" t="s">
        <v>845</v>
      </c>
      <c r="H3603" s="140" t="s">
        <v>875</v>
      </c>
    </row>
    <row r="3604" spans="1:8" ht="15.75" customHeight="1">
      <c r="A3604" s="140" t="s">
        <v>82</v>
      </c>
      <c r="B3604" s="140" t="s">
        <v>22</v>
      </c>
      <c r="C3604" s="141" t="s">
        <v>526</v>
      </c>
      <c r="D3604" s="140" t="s">
        <v>527</v>
      </c>
      <c r="E3604" s="140">
        <v>13</v>
      </c>
      <c r="F3604" s="142">
        <v>45994.416666666672</v>
      </c>
      <c r="G3604" s="140" t="s">
        <v>845</v>
      </c>
      <c r="H3604" s="140" t="s">
        <v>875</v>
      </c>
    </row>
    <row r="3605" spans="1:8" ht="15.75" customHeight="1">
      <c r="A3605" s="140" t="s">
        <v>82</v>
      </c>
      <c r="B3605" s="140" t="s">
        <v>22</v>
      </c>
      <c r="C3605" s="141" t="s">
        <v>526</v>
      </c>
      <c r="D3605" s="140" t="s">
        <v>527</v>
      </c>
      <c r="E3605" s="140">
        <v>14</v>
      </c>
      <c r="F3605" s="142">
        <v>46006.625</v>
      </c>
      <c r="G3605" s="140" t="s">
        <v>845</v>
      </c>
      <c r="H3605" s="140" t="s">
        <v>875</v>
      </c>
    </row>
    <row r="3606" spans="1:8" ht="15.75" customHeight="1">
      <c r="A3606" s="140" t="s">
        <v>82</v>
      </c>
      <c r="B3606" s="140" t="s">
        <v>22</v>
      </c>
      <c r="C3606" s="141" t="s">
        <v>526</v>
      </c>
      <c r="D3606" s="140" t="s">
        <v>527</v>
      </c>
      <c r="E3606" s="140">
        <v>15</v>
      </c>
      <c r="F3606" s="142">
        <v>46013.625</v>
      </c>
      <c r="G3606" s="140" t="s">
        <v>845</v>
      </c>
      <c r="H3606" s="140" t="s">
        <v>875</v>
      </c>
    </row>
    <row r="3607" spans="1:8" ht="15.75" customHeight="1">
      <c r="A3607" s="140" t="s">
        <v>82</v>
      </c>
      <c r="B3607" s="140" t="s">
        <v>22</v>
      </c>
      <c r="C3607" s="141" t="s">
        <v>526</v>
      </c>
      <c r="D3607" s="140" t="s">
        <v>527</v>
      </c>
      <c r="E3607" s="140">
        <v>16</v>
      </c>
      <c r="F3607" s="142">
        <v>46035.416666666672</v>
      </c>
      <c r="G3607" s="140" t="s">
        <v>845</v>
      </c>
      <c r="H3607" s="140" t="s">
        <v>875</v>
      </c>
    </row>
    <row r="3608" spans="1:8" ht="15.75" customHeight="1">
      <c r="A3608" s="140" t="s">
        <v>82</v>
      </c>
      <c r="B3608" s="140" t="s">
        <v>22</v>
      </c>
      <c r="C3608" s="141" t="s">
        <v>562</v>
      </c>
      <c r="D3608" s="140" t="s">
        <v>563</v>
      </c>
      <c r="E3608" s="140">
        <v>1</v>
      </c>
      <c r="F3608" s="142">
        <v>45881.541666666672</v>
      </c>
      <c r="G3608" s="140" t="s">
        <v>845</v>
      </c>
      <c r="H3608" s="140" t="s">
        <v>875</v>
      </c>
    </row>
    <row r="3609" spans="1:8" ht="15.75" customHeight="1">
      <c r="A3609" s="140" t="s">
        <v>82</v>
      </c>
      <c r="B3609" s="140" t="s">
        <v>22</v>
      </c>
      <c r="C3609" s="141" t="s">
        <v>562</v>
      </c>
      <c r="D3609" s="140" t="s">
        <v>563</v>
      </c>
      <c r="E3609" s="140">
        <v>2</v>
      </c>
      <c r="F3609" s="142">
        <v>45896.541666666672</v>
      </c>
      <c r="G3609" s="140" t="s">
        <v>845</v>
      </c>
      <c r="H3609" s="140" t="s">
        <v>875</v>
      </c>
    </row>
    <row r="3610" spans="1:8" ht="15.75" customHeight="1">
      <c r="A3610" s="140" t="s">
        <v>82</v>
      </c>
      <c r="B3610" s="140" t="s">
        <v>22</v>
      </c>
      <c r="C3610" s="141" t="s">
        <v>562</v>
      </c>
      <c r="D3610" s="140" t="s">
        <v>563</v>
      </c>
      <c r="E3610" s="140">
        <v>3</v>
      </c>
      <c r="F3610" s="142">
        <v>45909.583333333328</v>
      </c>
      <c r="G3610" s="140" t="s">
        <v>845</v>
      </c>
      <c r="H3610" s="140" t="s">
        <v>875</v>
      </c>
    </row>
    <row r="3611" spans="1:8" ht="15.75" customHeight="1">
      <c r="A3611" s="140" t="s">
        <v>82</v>
      </c>
      <c r="B3611" s="140" t="s">
        <v>22</v>
      </c>
      <c r="C3611" s="141" t="s">
        <v>562</v>
      </c>
      <c r="D3611" s="140" t="s">
        <v>563</v>
      </c>
      <c r="E3611" s="140">
        <v>4</v>
      </c>
      <c r="F3611" s="142">
        <v>45923.583333333328</v>
      </c>
      <c r="G3611" s="140" t="s">
        <v>845</v>
      </c>
      <c r="H3611" s="140" t="s">
        <v>875</v>
      </c>
    </row>
    <row r="3612" spans="1:8" ht="15.75" customHeight="1">
      <c r="A3612" s="140" t="s">
        <v>82</v>
      </c>
      <c r="B3612" s="140" t="s">
        <v>22</v>
      </c>
      <c r="C3612" s="141" t="s">
        <v>562</v>
      </c>
      <c r="D3612" s="140" t="s">
        <v>563</v>
      </c>
      <c r="E3612" s="140">
        <v>5</v>
      </c>
      <c r="F3612" s="142">
        <v>45930.583333333328</v>
      </c>
      <c r="G3612" s="140" t="s">
        <v>845</v>
      </c>
      <c r="H3612" s="140" t="s">
        <v>875</v>
      </c>
    </row>
    <row r="3613" spans="1:8" ht="15.75" customHeight="1">
      <c r="A3613" s="140" t="s">
        <v>82</v>
      </c>
      <c r="B3613" s="140" t="s">
        <v>22</v>
      </c>
      <c r="C3613" s="141" t="s">
        <v>562</v>
      </c>
      <c r="D3613" s="140" t="s">
        <v>563</v>
      </c>
      <c r="E3613" s="140">
        <v>6</v>
      </c>
      <c r="F3613" s="142">
        <v>45937.583333333328</v>
      </c>
      <c r="G3613" s="140" t="s">
        <v>845</v>
      </c>
      <c r="H3613" s="140" t="s">
        <v>875</v>
      </c>
    </row>
    <row r="3614" spans="1:8" ht="15.75" customHeight="1">
      <c r="A3614" s="140" t="s">
        <v>82</v>
      </c>
      <c r="B3614" s="140" t="s">
        <v>22</v>
      </c>
      <c r="C3614" s="141" t="s">
        <v>562</v>
      </c>
      <c r="D3614" s="140" t="s">
        <v>563</v>
      </c>
      <c r="E3614" s="140">
        <v>8</v>
      </c>
      <c r="F3614" s="142">
        <v>45951.583333333328</v>
      </c>
      <c r="G3614" s="140" t="s">
        <v>843</v>
      </c>
      <c r="H3614" s="140" t="s">
        <v>875</v>
      </c>
    </row>
    <row r="3615" spans="1:8" ht="15.75" customHeight="1">
      <c r="A3615" s="140" t="s">
        <v>82</v>
      </c>
      <c r="B3615" s="140" t="s">
        <v>22</v>
      </c>
      <c r="C3615" s="141" t="s">
        <v>562</v>
      </c>
      <c r="D3615" s="140" t="s">
        <v>563</v>
      </c>
      <c r="E3615" s="140">
        <v>9</v>
      </c>
      <c r="F3615" s="142">
        <v>45958.583333333328</v>
      </c>
      <c r="G3615" s="140" t="s">
        <v>845</v>
      </c>
      <c r="H3615" s="140" t="s">
        <v>875</v>
      </c>
    </row>
    <row r="3616" spans="1:8" ht="15.75" customHeight="1">
      <c r="A3616" s="140" t="s">
        <v>82</v>
      </c>
      <c r="B3616" s="140" t="s">
        <v>22</v>
      </c>
      <c r="C3616" s="141" t="s">
        <v>562</v>
      </c>
      <c r="D3616" s="140" t="s">
        <v>563</v>
      </c>
      <c r="E3616" s="140">
        <v>10</v>
      </c>
      <c r="F3616" s="142">
        <v>45966.458333333328</v>
      </c>
      <c r="G3616" s="140" t="s">
        <v>845</v>
      </c>
      <c r="H3616" s="140" t="s">
        <v>875</v>
      </c>
    </row>
    <row r="3617" spans="1:8" ht="15.75" customHeight="1">
      <c r="A3617" s="140" t="s">
        <v>82</v>
      </c>
      <c r="B3617" s="140" t="s">
        <v>22</v>
      </c>
      <c r="C3617" s="141" t="s">
        <v>562</v>
      </c>
      <c r="D3617" s="140" t="s">
        <v>563</v>
      </c>
      <c r="E3617" s="140">
        <v>11</v>
      </c>
      <c r="F3617" s="142">
        <v>45980.458333333328</v>
      </c>
      <c r="G3617" s="140" t="s">
        <v>843</v>
      </c>
      <c r="H3617" s="140" t="s">
        <v>875</v>
      </c>
    </row>
    <row r="3618" spans="1:8" ht="15.75" customHeight="1">
      <c r="A3618" s="140" t="s">
        <v>82</v>
      </c>
      <c r="B3618" s="140" t="s">
        <v>22</v>
      </c>
      <c r="C3618" s="141" t="s">
        <v>562</v>
      </c>
      <c r="D3618" s="140" t="s">
        <v>563</v>
      </c>
      <c r="E3618" s="140">
        <v>12</v>
      </c>
      <c r="F3618" s="142">
        <v>45987.583333333328</v>
      </c>
      <c r="G3618" s="140" t="s">
        <v>845</v>
      </c>
      <c r="H3618" s="140" t="s">
        <v>875</v>
      </c>
    </row>
    <row r="3619" spans="1:8" ht="15.75" customHeight="1">
      <c r="A3619" s="140" t="s">
        <v>82</v>
      </c>
      <c r="B3619" s="140" t="s">
        <v>22</v>
      </c>
      <c r="C3619" s="141" t="s">
        <v>562</v>
      </c>
      <c r="D3619" s="140" t="s">
        <v>563</v>
      </c>
      <c r="E3619" s="140">
        <v>13</v>
      </c>
      <c r="F3619" s="142">
        <v>45994.416666666672</v>
      </c>
      <c r="G3619" s="140" t="s">
        <v>845</v>
      </c>
      <c r="H3619" s="140" t="s">
        <v>875</v>
      </c>
    </row>
    <row r="3620" spans="1:8" ht="15.75" customHeight="1">
      <c r="A3620" s="140" t="s">
        <v>82</v>
      </c>
      <c r="B3620" s="140" t="s">
        <v>22</v>
      </c>
      <c r="C3620" s="141" t="s">
        <v>562</v>
      </c>
      <c r="D3620" s="140" t="s">
        <v>563</v>
      </c>
      <c r="E3620" s="140">
        <v>14</v>
      </c>
      <c r="F3620" s="142">
        <v>46006.625</v>
      </c>
      <c r="G3620" s="140" t="s">
        <v>845</v>
      </c>
      <c r="H3620" s="140" t="s">
        <v>875</v>
      </c>
    </row>
    <row r="3621" spans="1:8" ht="15.75" customHeight="1">
      <c r="A3621" s="140" t="s">
        <v>82</v>
      </c>
      <c r="B3621" s="140" t="s">
        <v>22</v>
      </c>
      <c r="C3621" s="141" t="s">
        <v>562</v>
      </c>
      <c r="D3621" s="140" t="s">
        <v>563</v>
      </c>
      <c r="E3621" s="140">
        <v>15</v>
      </c>
      <c r="F3621" s="142">
        <v>46013.625</v>
      </c>
      <c r="G3621" s="140" t="s">
        <v>845</v>
      </c>
      <c r="H3621" s="140" t="s">
        <v>875</v>
      </c>
    </row>
    <row r="3622" spans="1:8" ht="15.75" customHeight="1">
      <c r="A3622" s="140" t="s">
        <v>82</v>
      </c>
      <c r="B3622" s="140" t="s">
        <v>22</v>
      </c>
      <c r="C3622" s="141" t="s">
        <v>562</v>
      </c>
      <c r="D3622" s="140" t="s">
        <v>563</v>
      </c>
      <c r="E3622" s="140">
        <v>16</v>
      </c>
      <c r="F3622" s="142">
        <v>46035.416666666672</v>
      </c>
      <c r="G3622" s="140" t="s">
        <v>845</v>
      </c>
      <c r="H3622" s="140" t="s">
        <v>875</v>
      </c>
    </row>
    <row r="3623" spans="1:8" ht="15.75" customHeight="1">
      <c r="A3623" s="140" t="s">
        <v>82</v>
      </c>
      <c r="B3623" s="140" t="s">
        <v>22</v>
      </c>
      <c r="C3623" s="141" t="s">
        <v>693</v>
      </c>
      <c r="D3623" s="140" t="s">
        <v>694</v>
      </c>
      <c r="E3623" s="140">
        <v>1</v>
      </c>
      <c r="F3623" s="142">
        <v>45881.541666666672</v>
      </c>
      <c r="G3623" s="140" t="s">
        <v>845</v>
      </c>
      <c r="H3623" s="140" t="s">
        <v>875</v>
      </c>
    </row>
    <row r="3624" spans="1:8" ht="15.75" customHeight="1">
      <c r="A3624" s="140" t="s">
        <v>82</v>
      </c>
      <c r="B3624" s="140" t="s">
        <v>22</v>
      </c>
      <c r="C3624" s="141" t="s">
        <v>693</v>
      </c>
      <c r="D3624" s="140" t="s">
        <v>694</v>
      </c>
      <c r="E3624" s="140">
        <v>2</v>
      </c>
      <c r="F3624" s="142">
        <v>45896.541666666672</v>
      </c>
      <c r="G3624" s="140" t="s">
        <v>845</v>
      </c>
      <c r="H3624" s="140" t="s">
        <v>875</v>
      </c>
    </row>
    <row r="3625" spans="1:8" ht="15.75" customHeight="1">
      <c r="A3625" s="140" t="s">
        <v>82</v>
      </c>
      <c r="B3625" s="140" t="s">
        <v>22</v>
      </c>
      <c r="C3625" s="141" t="s">
        <v>693</v>
      </c>
      <c r="D3625" s="140" t="s">
        <v>694</v>
      </c>
      <c r="E3625" s="140">
        <v>3</v>
      </c>
      <c r="F3625" s="142">
        <v>45909.583333333328</v>
      </c>
      <c r="G3625" s="140" t="s">
        <v>843</v>
      </c>
      <c r="H3625" s="140" t="s">
        <v>875</v>
      </c>
    </row>
    <row r="3626" spans="1:8" ht="15.75" customHeight="1">
      <c r="A3626" s="140" t="s">
        <v>82</v>
      </c>
      <c r="B3626" s="140" t="s">
        <v>22</v>
      </c>
      <c r="C3626" s="141" t="s">
        <v>693</v>
      </c>
      <c r="D3626" s="140" t="s">
        <v>694</v>
      </c>
      <c r="E3626" s="140">
        <v>4</v>
      </c>
      <c r="F3626" s="142">
        <v>45923.583333333328</v>
      </c>
      <c r="G3626" s="140" t="s">
        <v>845</v>
      </c>
      <c r="H3626" s="140" t="s">
        <v>875</v>
      </c>
    </row>
    <row r="3627" spans="1:8" ht="15.75" customHeight="1">
      <c r="A3627" s="140" t="s">
        <v>82</v>
      </c>
      <c r="B3627" s="140" t="s">
        <v>22</v>
      </c>
      <c r="C3627" s="141" t="s">
        <v>693</v>
      </c>
      <c r="D3627" s="140" t="s">
        <v>694</v>
      </c>
      <c r="E3627" s="140">
        <v>5</v>
      </c>
      <c r="F3627" s="142">
        <v>45930.583333333328</v>
      </c>
      <c r="G3627" s="140" t="s">
        <v>845</v>
      </c>
      <c r="H3627" s="140" t="s">
        <v>875</v>
      </c>
    </row>
    <row r="3628" spans="1:8" ht="15.75" customHeight="1">
      <c r="A3628" s="140" t="s">
        <v>82</v>
      </c>
      <c r="B3628" s="140" t="s">
        <v>22</v>
      </c>
      <c r="C3628" s="141" t="s">
        <v>693</v>
      </c>
      <c r="D3628" s="140" t="s">
        <v>694</v>
      </c>
      <c r="E3628" s="140">
        <v>6</v>
      </c>
      <c r="F3628" s="142">
        <v>45937.583333333328</v>
      </c>
      <c r="G3628" s="140" t="s">
        <v>845</v>
      </c>
      <c r="H3628" s="140" t="s">
        <v>875</v>
      </c>
    </row>
    <row r="3629" spans="1:8" ht="15.75" customHeight="1">
      <c r="A3629" s="140" t="s">
        <v>82</v>
      </c>
      <c r="B3629" s="140" t="s">
        <v>22</v>
      </c>
      <c r="C3629" s="141" t="s">
        <v>693</v>
      </c>
      <c r="D3629" s="140" t="s">
        <v>694</v>
      </c>
      <c r="E3629" s="140">
        <v>8</v>
      </c>
      <c r="F3629" s="142">
        <v>45951.583333333328</v>
      </c>
      <c r="G3629" s="140" t="s">
        <v>843</v>
      </c>
      <c r="H3629" s="140" t="s">
        <v>875</v>
      </c>
    </row>
    <row r="3630" spans="1:8" ht="15.75" customHeight="1">
      <c r="A3630" s="140" t="s">
        <v>82</v>
      </c>
      <c r="B3630" s="140" t="s">
        <v>22</v>
      </c>
      <c r="C3630" s="141" t="s">
        <v>693</v>
      </c>
      <c r="D3630" s="140" t="s">
        <v>694</v>
      </c>
      <c r="E3630" s="140">
        <v>9</v>
      </c>
      <c r="F3630" s="142">
        <v>45958.583333333328</v>
      </c>
      <c r="G3630" s="140" t="s">
        <v>843</v>
      </c>
      <c r="H3630" s="140" t="s">
        <v>875</v>
      </c>
    </row>
    <row r="3631" spans="1:8" ht="15.75" customHeight="1">
      <c r="A3631" s="140" t="s">
        <v>82</v>
      </c>
      <c r="B3631" s="140" t="s">
        <v>22</v>
      </c>
      <c r="C3631" s="141" t="s">
        <v>693</v>
      </c>
      <c r="D3631" s="140" t="s">
        <v>694</v>
      </c>
      <c r="E3631" s="140">
        <v>10</v>
      </c>
      <c r="F3631" s="142">
        <v>45966.458333333328</v>
      </c>
      <c r="G3631" s="140" t="s">
        <v>845</v>
      </c>
      <c r="H3631" s="140" t="s">
        <v>875</v>
      </c>
    </row>
    <row r="3632" spans="1:8" ht="15.75" customHeight="1">
      <c r="A3632" s="140" t="s">
        <v>82</v>
      </c>
      <c r="B3632" s="140" t="s">
        <v>22</v>
      </c>
      <c r="C3632" s="141" t="s">
        <v>693</v>
      </c>
      <c r="D3632" s="140" t="s">
        <v>694</v>
      </c>
      <c r="E3632" s="140">
        <v>11</v>
      </c>
      <c r="F3632" s="142">
        <v>45980.458333333328</v>
      </c>
      <c r="G3632" s="140" t="s">
        <v>845</v>
      </c>
      <c r="H3632" s="140" t="s">
        <v>875</v>
      </c>
    </row>
    <row r="3633" spans="1:8" ht="15.75" customHeight="1">
      <c r="A3633" s="140" t="s">
        <v>82</v>
      </c>
      <c r="B3633" s="140" t="s">
        <v>22</v>
      </c>
      <c r="C3633" s="141" t="s">
        <v>693</v>
      </c>
      <c r="D3633" s="140" t="s">
        <v>694</v>
      </c>
      <c r="E3633" s="140">
        <v>12</v>
      </c>
      <c r="F3633" s="142">
        <v>45987.583333333328</v>
      </c>
      <c r="G3633" s="140" t="s">
        <v>845</v>
      </c>
      <c r="H3633" s="140" t="s">
        <v>875</v>
      </c>
    </row>
    <row r="3634" spans="1:8" ht="15.75" customHeight="1">
      <c r="A3634" s="140" t="s">
        <v>82</v>
      </c>
      <c r="B3634" s="140" t="s">
        <v>22</v>
      </c>
      <c r="C3634" s="141" t="s">
        <v>693</v>
      </c>
      <c r="D3634" s="140" t="s">
        <v>694</v>
      </c>
      <c r="E3634" s="140">
        <v>13</v>
      </c>
      <c r="F3634" s="142">
        <v>45994.416666666672</v>
      </c>
      <c r="G3634" s="140" t="s">
        <v>845</v>
      </c>
      <c r="H3634" s="140" t="s">
        <v>875</v>
      </c>
    </row>
    <row r="3635" spans="1:8" ht="15.75" customHeight="1">
      <c r="A3635" s="140" t="s">
        <v>82</v>
      </c>
      <c r="B3635" s="140" t="s">
        <v>22</v>
      </c>
      <c r="C3635" s="141" t="s">
        <v>693</v>
      </c>
      <c r="D3635" s="140" t="s">
        <v>694</v>
      </c>
      <c r="E3635" s="140">
        <v>14</v>
      </c>
      <c r="F3635" s="142">
        <v>46006.625</v>
      </c>
      <c r="G3635" s="140" t="s">
        <v>845</v>
      </c>
      <c r="H3635" s="140" t="s">
        <v>875</v>
      </c>
    </row>
    <row r="3636" spans="1:8" ht="15.75" customHeight="1">
      <c r="A3636" s="140" t="s">
        <v>82</v>
      </c>
      <c r="B3636" s="140" t="s">
        <v>22</v>
      </c>
      <c r="C3636" s="141" t="s">
        <v>693</v>
      </c>
      <c r="D3636" s="140" t="s">
        <v>694</v>
      </c>
      <c r="E3636" s="140">
        <v>15</v>
      </c>
      <c r="F3636" s="142">
        <v>46013.625</v>
      </c>
      <c r="G3636" s="140" t="s">
        <v>843</v>
      </c>
      <c r="H3636" s="140" t="s">
        <v>875</v>
      </c>
    </row>
    <row r="3637" spans="1:8" ht="15.75" customHeight="1">
      <c r="A3637" s="140" t="s">
        <v>82</v>
      </c>
      <c r="B3637" s="140" t="s">
        <v>22</v>
      </c>
      <c r="C3637" s="141" t="s">
        <v>693</v>
      </c>
      <c r="D3637" s="140" t="s">
        <v>694</v>
      </c>
      <c r="E3637" s="140">
        <v>16</v>
      </c>
      <c r="F3637" s="142">
        <v>46035.416666666672</v>
      </c>
      <c r="G3637" s="140" t="s">
        <v>845</v>
      </c>
      <c r="H3637" s="140" t="s">
        <v>875</v>
      </c>
    </row>
    <row r="3638" spans="1:8" ht="15.75" customHeight="1">
      <c r="A3638" s="140" t="s">
        <v>83</v>
      </c>
      <c r="B3638" s="140" t="s">
        <v>21</v>
      </c>
      <c r="C3638" s="141" t="s">
        <v>208</v>
      </c>
      <c r="D3638" s="140" t="s">
        <v>209</v>
      </c>
      <c r="E3638" s="140">
        <v>1</v>
      </c>
      <c r="F3638" s="142">
        <v>45764.416666666672</v>
      </c>
      <c r="G3638" s="140" t="s">
        <v>845</v>
      </c>
      <c r="H3638" s="140" t="s">
        <v>876</v>
      </c>
    </row>
    <row r="3639" spans="1:8" ht="15.75" customHeight="1">
      <c r="A3639" s="140" t="s">
        <v>83</v>
      </c>
      <c r="B3639" s="140" t="s">
        <v>21</v>
      </c>
      <c r="C3639" s="141" t="s">
        <v>208</v>
      </c>
      <c r="D3639" s="140" t="s">
        <v>209</v>
      </c>
      <c r="E3639" s="140">
        <v>2</v>
      </c>
      <c r="F3639" s="142">
        <v>45784.583333333328</v>
      </c>
      <c r="G3639" s="140" t="s">
        <v>845</v>
      </c>
      <c r="H3639" s="140" t="s">
        <v>876</v>
      </c>
    </row>
    <row r="3640" spans="1:8" ht="15.75" customHeight="1">
      <c r="A3640" s="140" t="s">
        <v>83</v>
      </c>
      <c r="B3640" s="140" t="s">
        <v>21</v>
      </c>
      <c r="C3640" s="141" t="s">
        <v>208</v>
      </c>
      <c r="D3640" s="140" t="s">
        <v>209</v>
      </c>
      <c r="E3640" s="140">
        <v>3</v>
      </c>
      <c r="F3640" s="142">
        <v>45804.375</v>
      </c>
      <c r="G3640" s="140" t="s">
        <v>845</v>
      </c>
      <c r="H3640" s="140" t="s">
        <v>876</v>
      </c>
    </row>
    <row r="3641" spans="1:8" ht="15.75" customHeight="1">
      <c r="A3641" s="140" t="s">
        <v>83</v>
      </c>
      <c r="B3641" s="140" t="s">
        <v>21</v>
      </c>
      <c r="C3641" s="141" t="s">
        <v>208</v>
      </c>
      <c r="D3641" s="140" t="s">
        <v>209</v>
      </c>
      <c r="E3641" s="140">
        <v>4</v>
      </c>
      <c r="F3641" s="142">
        <v>45805.416666666672</v>
      </c>
      <c r="G3641" s="140" t="s">
        <v>845</v>
      </c>
      <c r="H3641" s="140" t="s">
        <v>876</v>
      </c>
    </row>
    <row r="3642" spans="1:8" ht="15.75" customHeight="1">
      <c r="A3642" s="140" t="s">
        <v>83</v>
      </c>
      <c r="B3642" s="140" t="s">
        <v>21</v>
      </c>
      <c r="C3642" s="141" t="s">
        <v>208</v>
      </c>
      <c r="D3642" s="140" t="s">
        <v>209</v>
      </c>
      <c r="E3642" s="140">
        <v>5</v>
      </c>
      <c r="F3642" s="142">
        <v>45812.458333333328</v>
      </c>
      <c r="G3642" s="140" t="s">
        <v>845</v>
      </c>
      <c r="H3642" s="140" t="s">
        <v>876</v>
      </c>
    </row>
    <row r="3643" spans="1:8" ht="15.75" customHeight="1">
      <c r="A3643" s="140" t="s">
        <v>83</v>
      </c>
      <c r="B3643" s="140" t="s">
        <v>21</v>
      </c>
      <c r="C3643" s="141" t="s">
        <v>208</v>
      </c>
      <c r="D3643" s="140" t="s">
        <v>209</v>
      </c>
      <c r="E3643" s="140">
        <v>6</v>
      </c>
      <c r="F3643" s="142">
        <v>45819.458333333328</v>
      </c>
      <c r="G3643" s="140" t="s">
        <v>845</v>
      </c>
      <c r="H3643" s="140" t="s">
        <v>876</v>
      </c>
    </row>
    <row r="3644" spans="1:8" ht="15.75" customHeight="1">
      <c r="A3644" s="140" t="s">
        <v>83</v>
      </c>
      <c r="B3644" s="140" t="s">
        <v>21</v>
      </c>
      <c r="C3644" s="141" t="s">
        <v>208</v>
      </c>
      <c r="D3644" s="140" t="s">
        <v>209</v>
      </c>
      <c r="E3644" s="140">
        <v>7</v>
      </c>
      <c r="F3644" s="142">
        <v>45827.416666666672</v>
      </c>
      <c r="G3644" s="140" t="s">
        <v>845</v>
      </c>
      <c r="H3644" s="140" t="s">
        <v>876</v>
      </c>
    </row>
    <row r="3645" spans="1:8" ht="15.75" customHeight="1">
      <c r="A3645" s="140" t="s">
        <v>83</v>
      </c>
      <c r="B3645" s="140" t="s">
        <v>21</v>
      </c>
      <c r="C3645" s="141" t="s">
        <v>208</v>
      </c>
      <c r="D3645" s="140" t="s">
        <v>209</v>
      </c>
      <c r="E3645" s="140">
        <v>8</v>
      </c>
      <c r="F3645" s="142">
        <v>45833.375</v>
      </c>
      <c r="G3645" s="140" t="s">
        <v>845</v>
      </c>
      <c r="H3645" s="140" t="s">
        <v>876</v>
      </c>
    </row>
    <row r="3646" spans="1:8" ht="15.75" customHeight="1">
      <c r="A3646" s="140" t="s">
        <v>83</v>
      </c>
      <c r="B3646" s="140" t="s">
        <v>21</v>
      </c>
      <c r="C3646" s="141" t="s">
        <v>208</v>
      </c>
      <c r="D3646" s="140" t="s">
        <v>209</v>
      </c>
      <c r="E3646" s="140">
        <v>9</v>
      </c>
      <c r="F3646" s="142">
        <v>45840.416666666672</v>
      </c>
      <c r="G3646" s="140" t="s">
        <v>845</v>
      </c>
      <c r="H3646" s="140" t="s">
        <v>876</v>
      </c>
    </row>
    <row r="3647" spans="1:8" ht="15.75" customHeight="1">
      <c r="A3647" s="140" t="s">
        <v>83</v>
      </c>
      <c r="B3647" s="140" t="s">
        <v>21</v>
      </c>
      <c r="C3647" s="141" t="s">
        <v>208</v>
      </c>
      <c r="D3647" s="140" t="s">
        <v>209</v>
      </c>
      <c r="E3647" s="140">
        <v>10</v>
      </c>
      <c r="F3647" s="142">
        <v>45861.541666666672</v>
      </c>
      <c r="G3647" s="140" t="s">
        <v>845</v>
      </c>
      <c r="H3647" s="140" t="s">
        <v>876</v>
      </c>
    </row>
    <row r="3648" spans="1:8" ht="15.75" customHeight="1">
      <c r="A3648" s="140" t="s">
        <v>83</v>
      </c>
      <c r="B3648" s="140" t="s">
        <v>22</v>
      </c>
      <c r="C3648" s="141" t="s">
        <v>208</v>
      </c>
      <c r="D3648" s="140" t="s">
        <v>209</v>
      </c>
      <c r="E3648" s="140">
        <v>1</v>
      </c>
      <c r="F3648" s="142">
        <v>45882.416666666672</v>
      </c>
      <c r="G3648" s="140" t="s">
        <v>845</v>
      </c>
      <c r="H3648" s="140" t="s">
        <v>876</v>
      </c>
    </row>
    <row r="3649" spans="1:8" ht="15.75" customHeight="1">
      <c r="A3649" s="140" t="s">
        <v>83</v>
      </c>
      <c r="B3649" s="140" t="s">
        <v>22</v>
      </c>
      <c r="C3649" s="141" t="s">
        <v>208</v>
      </c>
      <c r="D3649" s="140" t="s">
        <v>209</v>
      </c>
      <c r="E3649" s="140">
        <v>2</v>
      </c>
      <c r="F3649" s="142">
        <v>45889.416666666672</v>
      </c>
      <c r="G3649" s="140" t="s">
        <v>845</v>
      </c>
      <c r="H3649" s="140" t="s">
        <v>876</v>
      </c>
    </row>
    <row r="3650" spans="1:8" ht="15.75" customHeight="1">
      <c r="A3650" s="140" t="s">
        <v>83</v>
      </c>
      <c r="B3650" s="140" t="s">
        <v>22</v>
      </c>
      <c r="C3650" s="141" t="s">
        <v>208</v>
      </c>
      <c r="D3650" s="140" t="s">
        <v>209</v>
      </c>
      <c r="E3650" s="140">
        <v>3</v>
      </c>
      <c r="F3650" s="142">
        <v>45896.416666666672</v>
      </c>
      <c r="G3650" s="140" t="s">
        <v>845</v>
      </c>
      <c r="H3650" s="140" t="s">
        <v>876</v>
      </c>
    </row>
    <row r="3651" spans="1:8" ht="15.75" customHeight="1">
      <c r="A3651" s="140" t="s">
        <v>83</v>
      </c>
      <c r="B3651" s="140" t="s">
        <v>22</v>
      </c>
      <c r="C3651" s="141" t="s">
        <v>208</v>
      </c>
      <c r="D3651" s="140" t="s">
        <v>209</v>
      </c>
      <c r="E3651" s="140">
        <v>4</v>
      </c>
      <c r="F3651" s="142">
        <v>45903.416666666672</v>
      </c>
      <c r="G3651" s="140" t="s">
        <v>845</v>
      </c>
      <c r="H3651" s="140" t="s">
        <v>876</v>
      </c>
    </row>
    <row r="3652" spans="1:8" ht="15.75" customHeight="1">
      <c r="A3652" s="140" t="s">
        <v>83</v>
      </c>
      <c r="B3652" s="140" t="s">
        <v>22</v>
      </c>
      <c r="C3652" s="141" t="s">
        <v>208</v>
      </c>
      <c r="D3652" s="140" t="s">
        <v>209</v>
      </c>
      <c r="E3652" s="140">
        <v>5</v>
      </c>
      <c r="F3652" s="142">
        <v>45910.416666666672</v>
      </c>
      <c r="G3652" s="140" t="s">
        <v>845</v>
      </c>
      <c r="H3652" s="140" t="s">
        <v>876</v>
      </c>
    </row>
    <row r="3653" spans="1:8" ht="15.75" customHeight="1">
      <c r="A3653" s="140" t="s">
        <v>83</v>
      </c>
      <c r="B3653" s="140" t="s">
        <v>22</v>
      </c>
      <c r="C3653" s="141" t="s">
        <v>208</v>
      </c>
      <c r="D3653" s="140" t="s">
        <v>209</v>
      </c>
      <c r="E3653" s="140">
        <v>6</v>
      </c>
      <c r="F3653" s="142">
        <v>45924.458333333328</v>
      </c>
      <c r="G3653" s="140" t="s">
        <v>845</v>
      </c>
      <c r="H3653" s="140" t="s">
        <v>876</v>
      </c>
    </row>
    <row r="3654" spans="1:8" ht="15.75" customHeight="1">
      <c r="A3654" s="140" t="s">
        <v>83</v>
      </c>
      <c r="B3654" s="140" t="s">
        <v>22</v>
      </c>
      <c r="C3654" s="141" t="s">
        <v>208</v>
      </c>
      <c r="D3654" s="140" t="s">
        <v>209</v>
      </c>
      <c r="E3654" s="140">
        <v>7</v>
      </c>
      <c r="F3654" s="142">
        <v>45931.416666666672</v>
      </c>
      <c r="G3654" s="140" t="s">
        <v>845</v>
      </c>
      <c r="H3654" s="140" t="s">
        <v>876</v>
      </c>
    </row>
    <row r="3655" spans="1:8" ht="15.75" customHeight="1">
      <c r="A3655" s="140" t="s">
        <v>83</v>
      </c>
      <c r="B3655" s="140" t="s">
        <v>22</v>
      </c>
      <c r="C3655" s="141" t="s">
        <v>208</v>
      </c>
      <c r="D3655" s="140" t="s">
        <v>209</v>
      </c>
      <c r="E3655" s="140">
        <v>8</v>
      </c>
      <c r="F3655" s="142">
        <v>45938.458333333328</v>
      </c>
      <c r="G3655" s="140" t="s">
        <v>845</v>
      </c>
      <c r="H3655" s="140" t="s">
        <v>876</v>
      </c>
    </row>
    <row r="3656" spans="1:8" ht="15.75" customHeight="1">
      <c r="A3656" s="140" t="s">
        <v>83</v>
      </c>
      <c r="B3656" s="140" t="s">
        <v>22</v>
      </c>
      <c r="C3656" s="141" t="s">
        <v>208</v>
      </c>
      <c r="D3656" s="140" t="s">
        <v>209</v>
      </c>
      <c r="E3656" s="140">
        <v>9</v>
      </c>
      <c r="F3656" s="142">
        <v>45980.416666666672</v>
      </c>
      <c r="G3656" s="140" t="s">
        <v>845</v>
      </c>
      <c r="H3656" s="140" t="s">
        <v>876</v>
      </c>
    </row>
    <row r="3657" spans="1:8" ht="15.75" customHeight="1">
      <c r="A3657" s="140" t="s">
        <v>83</v>
      </c>
      <c r="B3657" s="140" t="s">
        <v>22</v>
      </c>
      <c r="C3657" s="141" t="s">
        <v>208</v>
      </c>
      <c r="D3657" s="140" t="s">
        <v>209</v>
      </c>
      <c r="E3657" s="140">
        <v>10</v>
      </c>
      <c r="F3657" s="142">
        <v>45987.416666666672</v>
      </c>
      <c r="G3657" s="140" t="s">
        <v>845</v>
      </c>
      <c r="H3657" s="140" t="s">
        <v>876</v>
      </c>
    </row>
    <row r="3658" spans="1:8" ht="15.75" customHeight="1">
      <c r="A3658" s="140" t="s">
        <v>83</v>
      </c>
      <c r="B3658" s="140" t="s">
        <v>22</v>
      </c>
      <c r="C3658" s="141" t="s">
        <v>208</v>
      </c>
      <c r="D3658" s="140" t="s">
        <v>209</v>
      </c>
      <c r="E3658" s="140">
        <v>11</v>
      </c>
      <c r="F3658" s="142">
        <v>45994.583333333328</v>
      </c>
      <c r="G3658" s="140" t="s">
        <v>845</v>
      </c>
      <c r="H3658" s="140" t="s">
        <v>876</v>
      </c>
    </row>
    <row r="3659" spans="1:8" ht="15.75" customHeight="1">
      <c r="A3659" s="140" t="s">
        <v>83</v>
      </c>
      <c r="B3659" s="140" t="s">
        <v>22</v>
      </c>
      <c r="C3659" s="141" t="s">
        <v>208</v>
      </c>
      <c r="D3659" s="140" t="s">
        <v>209</v>
      </c>
      <c r="E3659" s="140">
        <v>12</v>
      </c>
      <c r="F3659" s="142">
        <v>46008.416666666672</v>
      </c>
      <c r="G3659" s="140" t="s">
        <v>845</v>
      </c>
      <c r="H3659" s="140" t="s">
        <v>876</v>
      </c>
    </row>
    <row r="3660" spans="1:8" ht="15.75" customHeight="1">
      <c r="A3660" s="140" t="s">
        <v>83</v>
      </c>
      <c r="B3660" s="140" t="s">
        <v>22</v>
      </c>
      <c r="C3660" s="141" t="s">
        <v>208</v>
      </c>
      <c r="D3660" s="140" t="s">
        <v>209</v>
      </c>
      <c r="E3660" s="140">
        <v>13</v>
      </c>
      <c r="F3660" s="142">
        <v>46036.416666666672</v>
      </c>
      <c r="G3660" s="140" t="s">
        <v>845</v>
      </c>
      <c r="H3660" s="140" t="s">
        <v>876</v>
      </c>
    </row>
    <row r="3661" spans="1:8" ht="15.75" customHeight="1">
      <c r="A3661" s="140" t="s">
        <v>83</v>
      </c>
      <c r="B3661" s="140" t="s">
        <v>22</v>
      </c>
      <c r="C3661" s="141" t="s">
        <v>208</v>
      </c>
      <c r="D3661" s="140" t="s">
        <v>209</v>
      </c>
      <c r="E3661" s="140">
        <v>14</v>
      </c>
      <c r="F3661" s="142">
        <v>46043.458333333328</v>
      </c>
      <c r="G3661" s="140" t="s">
        <v>845</v>
      </c>
      <c r="H3661" s="140" t="s">
        <v>876</v>
      </c>
    </row>
    <row r="3662" spans="1:8" ht="15.75" customHeight="1">
      <c r="A3662" s="140" t="s">
        <v>83</v>
      </c>
      <c r="B3662" s="140" t="s">
        <v>22</v>
      </c>
      <c r="C3662" s="141" t="s">
        <v>208</v>
      </c>
      <c r="D3662" s="140" t="s">
        <v>209</v>
      </c>
      <c r="E3662" s="140">
        <v>15</v>
      </c>
      <c r="F3662" s="142">
        <v>46050.416666666672</v>
      </c>
      <c r="G3662" s="140" t="s">
        <v>845</v>
      </c>
      <c r="H3662" s="140" t="s">
        <v>876</v>
      </c>
    </row>
    <row r="3663" spans="1:8" ht="15.75" customHeight="1">
      <c r="A3663" s="140" t="s">
        <v>83</v>
      </c>
      <c r="B3663" s="140" t="s">
        <v>22</v>
      </c>
      <c r="C3663" s="141" t="s">
        <v>208</v>
      </c>
      <c r="D3663" s="140" t="s">
        <v>209</v>
      </c>
      <c r="E3663" s="140">
        <v>16</v>
      </c>
      <c r="F3663" s="142">
        <v>46106.541666666672</v>
      </c>
      <c r="G3663" s="140" t="s">
        <v>845</v>
      </c>
      <c r="H3663" s="140" t="s">
        <v>876</v>
      </c>
    </row>
    <row r="3664" spans="1:8" ht="15.75" customHeight="1">
      <c r="A3664" s="140" t="s">
        <v>83</v>
      </c>
      <c r="B3664" s="140" t="s">
        <v>22</v>
      </c>
      <c r="C3664" s="141" t="s">
        <v>241</v>
      </c>
      <c r="D3664" s="140" t="s">
        <v>242</v>
      </c>
      <c r="E3664" s="140">
        <v>1</v>
      </c>
      <c r="F3664" s="142">
        <v>45882.583333333328</v>
      </c>
      <c r="G3664" s="140" t="s">
        <v>845</v>
      </c>
      <c r="H3664" s="140" t="s">
        <v>876</v>
      </c>
    </row>
    <row r="3665" spans="1:8" ht="15.75" customHeight="1">
      <c r="A3665" s="140" t="s">
        <v>83</v>
      </c>
      <c r="B3665" s="140" t="s">
        <v>22</v>
      </c>
      <c r="C3665" s="141" t="s">
        <v>241</v>
      </c>
      <c r="D3665" s="140" t="s">
        <v>242</v>
      </c>
      <c r="E3665" s="140">
        <v>2</v>
      </c>
      <c r="F3665" s="142">
        <v>45889.541666666672</v>
      </c>
      <c r="G3665" s="140" t="s">
        <v>845</v>
      </c>
      <c r="H3665" s="140" t="s">
        <v>876</v>
      </c>
    </row>
    <row r="3666" spans="1:8" ht="15.75" customHeight="1">
      <c r="A3666" s="140" t="s">
        <v>83</v>
      </c>
      <c r="B3666" s="140" t="s">
        <v>22</v>
      </c>
      <c r="C3666" s="141" t="s">
        <v>241</v>
      </c>
      <c r="D3666" s="140" t="s">
        <v>242</v>
      </c>
      <c r="E3666" s="140">
        <v>3</v>
      </c>
      <c r="F3666" s="142">
        <v>45895.541666666672</v>
      </c>
      <c r="G3666" s="140" t="s">
        <v>845</v>
      </c>
      <c r="H3666" s="140" t="s">
        <v>876</v>
      </c>
    </row>
    <row r="3667" spans="1:8" ht="15.75" customHeight="1">
      <c r="A3667" s="140" t="s">
        <v>83</v>
      </c>
      <c r="B3667" s="140" t="s">
        <v>22</v>
      </c>
      <c r="C3667" s="141" t="s">
        <v>241</v>
      </c>
      <c r="D3667" s="140" t="s">
        <v>242</v>
      </c>
      <c r="E3667" s="140">
        <v>4</v>
      </c>
      <c r="F3667" s="142">
        <v>45903.541666666672</v>
      </c>
      <c r="G3667" s="140" t="s">
        <v>845</v>
      </c>
      <c r="H3667" s="140" t="s">
        <v>876</v>
      </c>
    </row>
    <row r="3668" spans="1:8" ht="15.75" customHeight="1">
      <c r="A3668" s="140" t="s">
        <v>83</v>
      </c>
      <c r="B3668" s="140" t="s">
        <v>22</v>
      </c>
      <c r="C3668" s="141" t="s">
        <v>241</v>
      </c>
      <c r="D3668" s="140" t="s">
        <v>242</v>
      </c>
      <c r="E3668" s="140">
        <v>5</v>
      </c>
      <c r="F3668" s="142">
        <v>45910.583333333328</v>
      </c>
      <c r="G3668" s="140" t="s">
        <v>845</v>
      </c>
      <c r="H3668" s="140" t="s">
        <v>876</v>
      </c>
    </row>
    <row r="3669" spans="1:8" ht="15.75" customHeight="1">
      <c r="A3669" s="140" t="s">
        <v>83</v>
      </c>
      <c r="B3669" s="140" t="s">
        <v>22</v>
      </c>
      <c r="C3669" s="141" t="s">
        <v>241</v>
      </c>
      <c r="D3669" s="140" t="s">
        <v>242</v>
      </c>
      <c r="E3669" s="140">
        <v>6</v>
      </c>
      <c r="F3669" s="142">
        <v>45924.458333333328</v>
      </c>
      <c r="G3669" s="140" t="s">
        <v>843</v>
      </c>
      <c r="H3669" s="140" t="s">
        <v>876</v>
      </c>
    </row>
    <row r="3670" spans="1:8" ht="15.75" customHeight="1">
      <c r="A3670" s="140" t="s">
        <v>83</v>
      </c>
      <c r="B3670" s="140" t="s">
        <v>22</v>
      </c>
      <c r="C3670" s="141" t="s">
        <v>241</v>
      </c>
      <c r="D3670" s="140" t="s">
        <v>242</v>
      </c>
      <c r="E3670" s="140">
        <v>7</v>
      </c>
      <c r="F3670" s="142">
        <v>45931.416666666672</v>
      </c>
      <c r="G3670" s="140" t="s">
        <v>845</v>
      </c>
      <c r="H3670" s="140" t="s">
        <v>876</v>
      </c>
    </row>
    <row r="3671" spans="1:8" ht="15.75" customHeight="1">
      <c r="A3671" s="140" t="s">
        <v>83</v>
      </c>
      <c r="B3671" s="140" t="s">
        <v>22</v>
      </c>
      <c r="C3671" s="141" t="s">
        <v>241</v>
      </c>
      <c r="D3671" s="140" t="s">
        <v>242</v>
      </c>
      <c r="E3671" s="140">
        <v>8</v>
      </c>
      <c r="F3671" s="142">
        <v>45938.458333333328</v>
      </c>
      <c r="G3671" s="140" t="s">
        <v>845</v>
      </c>
      <c r="H3671" s="140" t="s">
        <v>876</v>
      </c>
    </row>
    <row r="3672" spans="1:8" ht="15.75" customHeight="1">
      <c r="A3672" s="140" t="s">
        <v>83</v>
      </c>
      <c r="B3672" s="140" t="s">
        <v>22</v>
      </c>
      <c r="C3672" s="141" t="s">
        <v>241</v>
      </c>
      <c r="D3672" s="140" t="s">
        <v>242</v>
      </c>
      <c r="E3672" s="140">
        <v>9</v>
      </c>
      <c r="F3672" s="142">
        <v>45980.416666666672</v>
      </c>
      <c r="G3672" s="140" t="s">
        <v>845</v>
      </c>
      <c r="H3672" s="140" t="s">
        <v>876</v>
      </c>
    </row>
    <row r="3673" spans="1:8" ht="15.75" customHeight="1">
      <c r="A3673" s="140" t="s">
        <v>83</v>
      </c>
      <c r="B3673" s="140" t="s">
        <v>22</v>
      </c>
      <c r="C3673" s="141" t="s">
        <v>241</v>
      </c>
      <c r="D3673" s="140" t="s">
        <v>242</v>
      </c>
      <c r="E3673" s="140">
        <v>10</v>
      </c>
      <c r="F3673" s="142">
        <v>45987.416666666672</v>
      </c>
      <c r="G3673" s="140" t="s">
        <v>845</v>
      </c>
      <c r="H3673" s="140" t="s">
        <v>876</v>
      </c>
    </row>
    <row r="3674" spans="1:8" ht="15.75" customHeight="1">
      <c r="A3674" s="140" t="s">
        <v>83</v>
      </c>
      <c r="B3674" s="140" t="s">
        <v>22</v>
      </c>
      <c r="C3674" s="141" t="s">
        <v>241</v>
      </c>
      <c r="D3674" s="140" t="s">
        <v>242</v>
      </c>
      <c r="E3674" s="140">
        <v>11</v>
      </c>
      <c r="F3674" s="142">
        <v>45994.583333333328</v>
      </c>
      <c r="G3674" s="140" t="s">
        <v>845</v>
      </c>
      <c r="H3674" s="140" t="s">
        <v>876</v>
      </c>
    </row>
    <row r="3675" spans="1:8" ht="15.75" customHeight="1">
      <c r="A3675" s="140" t="s">
        <v>83</v>
      </c>
      <c r="B3675" s="140" t="s">
        <v>22</v>
      </c>
      <c r="C3675" s="141" t="s">
        <v>241</v>
      </c>
      <c r="D3675" s="140" t="s">
        <v>242</v>
      </c>
      <c r="E3675" s="140">
        <v>12</v>
      </c>
      <c r="F3675" s="142">
        <v>46008.416666666672</v>
      </c>
      <c r="G3675" s="140" t="s">
        <v>845</v>
      </c>
      <c r="H3675" s="140" t="s">
        <v>876</v>
      </c>
    </row>
    <row r="3676" spans="1:8" ht="15.75" customHeight="1">
      <c r="A3676" s="140" t="s">
        <v>83</v>
      </c>
      <c r="B3676" s="140" t="s">
        <v>22</v>
      </c>
      <c r="C3676" s="141" t="s">
        <v>241</v>
      </c>
      <c r="D3676" s="140" t="s">
        <v>242</v>
      </c>
      <c r="E3676" s="140">
        <v>13</v>
      </c>
      <c r="F3676" s="142">
        <v>46036.416666666672</v>
      </c>
      <c r="G3676" s="140" t="s">
        <v>845</v>
      </c>
      <c r="H3676" s="140" t="s">
        <v>876</v>
      </c>
    </row>
    <row r="3677" spans="1:8" ht="15.75" customHeight="1">
      <c r="A3677" s="140" t="s">
        <v>83</v>
      </c>
      <c r="B3677" s="140" t="s">
        <v>22</v>
      </c>
      <c r="C3677" s="141" t="s">
        <v>241</v>
      </c>
      <c r="D3677" s="140" t="s">
        <v>242</v>
      </c>
      <c r="E3677" s="140">
        <v>14</v>
      </c>
      <c r="F3677" s="142">
        <v>46043.458333333328</v>
      </c>
      <c r="G3677" s="140" t="s">
        <v>845</v>
      </c>
      <c r="H3677" s="140" t="s">
        <v>876</v>
      </c>
    </row>
    <row r="3678" spans="1:8" ht="15.75" customHeight="1">
      <c r="A3678" s="140" t="s">
        <v>83</v>
      </c>
      <c r="B3678" s="140" t="s">
        <v>22</v>
      </c>
      <c r="C3678" s="141" t="s">
        <v>241</v>
      </c>
      <c r="D3678" s="140" t="s">
        <v>242</v>
      </c>
      <c r="E3678" s="140">
        <v>15</v>
      </c>
      <c r="F3678" s="142">
        <v>46050.416666666672</v>
      </c>
      <c r="G3678" s="140" t="s">
        <v>845</v>
      </c>
      <c r="H3678" s="140" t="s">
        <v>876</v>
      </c>
    </row>
    <row r="3679" spans="1:8" ht="15.75" customHeight="1">
      <c r="A3679" s="140" t="s">
        <v>83</v>
      </c>
      <c r="B3679" s="140" t="s">
        <v>22</v>
      </c>
      <c r="C3679" s="141" t="s">
        <v>241</v>
      </c>
      <c r="D3679" s="140" t="s">
        <v>242</v>
      </c>
      <c r="E3679" s="140">
        <v>16</v>
      </c>
      <c r="F3679" s="142">
        <v>46106.541666666672</v>
      </c>
      <c r="G3679" s="140" t="s">
        <v>845</v>
      </c>
      <c r="H3679" s="140" t="s">
        <v>876</v>
      </c>
    </row>
    <row r="3680" spans="1:8" ht="15.75" customHeight="1">
      <c r="A3680" s="140" t="s">
        <v>83</v>
      </c>
      <c r="B3680" s="140" t="s">
        <v>21</v>
      </c>
      <c r="C3680" s="141" t="s">
        <v>243</v>
      </c>
      <c r="D3680" s="140" t="s">
        <v>244</v>
      </c>
      <c r="E3680" s="140">
        <v>1</v>
      </c>
      <c r="F3680" s="142">
        <v>45764.416666666672</v>
      </c>
      <c r="G3680" s="140" t="s">
        <v>845</v>
      </c>
      <c r="H3680" s="140" t="s">
        <v>876</v>
      </c>
    </row>
    <row r="3681" spans="1:8" ht="15.75" customHeight="1">
      <c r="A3681" s="140" t="s">
        <v>83</v>
      </c>
      <c r="B3681" s="140" t="s">
        <v>21</v>
      </c>
      <c r="C3681" s="141" t="s">
        <v>243</v>
      </c>
      <c r="D3681" s="140" t="s">
        <v>244</v>
      </c>
      <c r="E3681" s="140">
        <v>2</v>
      </c>
      <c r="F3681" s="142">
        <v>45784.583333333328</v>
      </c>
      <c r="G3681" s="140" t="s">
        <v>845</v>
      </c>
      <c r="H3681" s="140" t="s">
        <v>876</v>
      </c>
    </row>
    <row r="3682" spans="1:8" ht="15.75" customHeight="1">
      <c r="A3682" s="140" t="s">
        <v>83</v>
      </c>
      <c r="B3682" s="140" t="s">
        <v>21</v>
      </c>
      <c r="C3682" s="141" t="s">
        <v>243</v>
      </c>
      <c r="D3682" s="140" t="s">
        <v>244</v>
      </c>
      <c r="E3682" s="140">
        <v>3</v>
      </c>
      <c r="F3682" s="142">
        <v>45804.375</v>
      </c>
      <c r="G3682" s="140" t="s">
        <v>845</v>
      </c>
      <c r="H3682" s="140" t="s">
        <v>876</v>
      </c>
    </row>
    <row r="3683" spans="1:8" ht="15.75" customHeight="1">
      <c r="A3683" s="140" t="s">
        <v>83</v>
      </c>
      <c r="B3683" s="140" t="s">
        <v>21</v>
      </c>
      <c r="C3683" s="141" t="s">
        <v>243</v>
      </c>
      <c r="D3683" s="140" t="s">
        <v>244</v>
      </c>
      <c r="E3683" s="140">
        <v>4</v>
      </c>
      <c r="F3683" s="142">
        <v>45805.416666666672</v>
      </c>
      <c r="G3683" s="140" t="s">
        <v>845</v>
      </c>
      <c r="H3683" s="140" t="s">
        <v>876</v>
      </c>
    </row>
    <row r="3684" spans="1:8" ht="15.75" customHeight="1">
      <c r="A3684" s="140" t="s">
        <v>83</v>
      </c>
      <c r="B3684" s="140" t="s">
        <v>21</v>
      </c>
      <c r="C3684" s="141" t="s">
        <v>243</v>
      </c>
      <c r="D3684" s="140" t="s">
        <v>244</v>
      </c>
      <c r="E3684" s="140">
        <v>5</v>
      </c>
      <c r="F3684" s="142">
        <v>45812.458333333328</v>
      </c>
      <c r="G3684" s="140" t="s">
        <v>845</v>
      </c>
      <c r="H3684" s="140" t="s">
        <v>876</v>
      </c>
    </row>
    <row r="3685" spans="1:8" ht="15.75" customHeight="1">
      <c r="A3685" s="140" t="s">
        <v>83</v>
      </c>
      <c r="B3685" s="140" t="s">
        <v>21</v>
      </c>
      <c r="C3685" s="141" t="s">
        <v>243</v>
      </c>
      <c r="D3685" s="140" t="s">
        <v>244</v>
      </c>
      <c r="E3685" s="140">
        <v>6</v>
      </c>
      <c r="F3685" s="142">
        <v>45819.458333333328</v>
      </c>
      <c r="G3685" s="140" t="s">
        <v>845</v>
      </c>
      <c r="H3685" s="140" t="s">
        <v>876</v>
      </c>
    </row>
    <row r="3686" spans="1:8" ht="15.75" customHeight="1">
      <c r="A3686" s="140" t="s">
        <v>83</v>
      </c>
      <c r="B3686" s="140" t="s">
        <v>21</v>
      </c>
      <c r="C3686" s="141" t="s">
        <v>243</v>
      </c>
      <c r="D3686" s="140" t="s">
        <v>244</v>
      </c>
      <c r="E3686" s="140">
        <v>7</v>
      </c>
      <c r="F3686" s="142">
        <v>45827.416666666672</v>
      </c>
      <c r="G3686" s="140" t="s">
        <v>845</v>
      </c>
      <c r="H3686" s="140" t="s">
        <v>876</v>
      </c>
    </row>
    <row r="3687" spans="1:8" ht="15.75" customHeight="1">
      <c r="A3687" s="140" t="s">
        <v>83</v>
      </c>
      <c r="B3687" s="140" t="s">
        <v>21</v>
      </c>
      <c r="C3687" s="141" t="s">
        <v>243</v>
      </c>
      <c r="D3687" s="140" t="s">
        <v>244</v>
      </c>
      <c r="E3687" s="140">
        <v>8</v>
      </c>
      <c r="F3687" s="142">
        <v>45833.375</v>
      </c>
      <c r="G3687" s="140" t="s">
        <v>845</v>
      </c>
      <c r="H3687" s="140" t="s">
        <v>876</v>
      </c>
    </row>
    <row r="3688" spans="1:8" ht="15.75" customHeight="1">
      <c r="A3688" s="140" t="s">
        <v>83</v>
      </c>
      <c r="B3688" s="140" t="s">
        <v>21</v>
      </c>
      <c r="C3688" s="141" t="s">
        <v>243</v>
      </c>
      <c r="D3688" s="140" t="s">
        <v>244</v>
      </c>
      <c r="E3688" s="140">
        <v>9</v>
      </c>
      <c r="F3688" s="142">
        <v>45840.416666666672</v>
      </c>
      <c r="G3688" s="140" t="s">
        <v>845</v>
      </c>
      <c r="H3688" s="140" t="s">
        <v>876</v>
      </c>
    </row>
    <row r="3689" spans="1:8" ht="15.75" customHeight="1">
      <c r="A3689" s="140" t="s">
        <v>83</v>
      </c>
      <c r="B3689" s="140" t="s">
        <v>21</v>
      </c>
      <c r="C3689" s="141" t="s">
        <v>243</v>
      </c>
      <c r="D3689" s="140" t="s">
        <v>244</v>
      </c>
      <c r="E3689" s="140">
        <v>10</v>
      </c>
      <c r="F3689" s="142">
        <v>45861.541666666672</v>
      </c>
      <c r="G3689" s="140" t="s">
        <v>845</v>
      </c>
      <c r="H3689" s="140" t="s">
        <v>876</v>
      </c>
    </row>
    <row r="3690" spans="1:8" ht="15.75" customHeight="1">
      <c r="A3690" s="140" t="s">
        <v>83</v>
      </c>
      <c r="B3690" s="140" t="s">
        <v>22</v>
      </c>
      <c r="C3690" s="141" t="s">
        <v>243</v>
      </c>
      <c r="D3690" s="140" t="s">
        <v>244</v>
      </c>
      <c r="E3690" s="140">
        <v>1</v>
      </c>
      <c r="F3690" s="142">
        <v>45882.416666666672</v>
      </c>
      <c r="G3690" s="140" t="s">
        <v>843</v>
      </c>
      <c r="H3690" s="140" t="s">
        <v>876</v>
      </c>
    </row>
    <row r="3691" spans="1:8" ht="15.75" customHeight="1">
      <c r="A3691" s="140" t="s">
        <v>83</v>
      </c>
      <c r="B3691" s="140" t="s">
        <v>22</v>
      </c>
      <c r="C3691" s="141" t="s">
        <v>243</v>
      </c>
      <c r="D3691" s="140" t="s">
        <v>244</v>
      </c>
      <c r="E3691" s="140">
        <v>2</v>
      </c>
      <c r="F3691" s="142">
        <v>45889.416666666672</v>
      </c>
      <c r="G3691" s="140" t="s">
        <v>845</v>
      </c>
      <c r="H3691" s="140" t="s">
        <v>876</v>
      </c>
    </row>
    <row r="3692" spans="1:8" ht="15.75" customHeight="1">
      <c r="A3692" s="140" t="s">
        <v>83</v>
      </c>
      <c r="B3692" s="140" t="s">
        <v>22</v>
      </c>
      <c r="C3692" s="141" t="s">
        <v>243</v>
      </c>
      <c r="D3692" s="140" t="s">
        <v>244</v>
      </c>
      <c r="E3692" s="140">
        <v>3</v>
      </c>
      <c r="F3692" s="142">
        <v>45896.416666666672</v>
      </c>
      <c r="G3692" s="140" t="s">
        <v>845</v>
      </c>
      <c r="H3692" s="140" t="s">
        <v>876</v>
      </c>
    </row>
    <row r="3693" spans="1:8" ht="15.75" customHeight="1">
      <c r="A3693" s="140" t="s">
        <v>83</v>
      </c>
      <c r="B3693" s="140" t="s">
        <v>22</v>
      </c>
      <c r="C3693" s="141" t="s">
        <v>243</v>
      </c>
      <c r="D3693" s="140" t="s">
        <v>244</v>
      </c>
      <c r="E3693" s="140">
        <v>4</v>
      </c>
      <c r="F3693" s="142">
        <v>45903.416666666672</v>
      </c>
      <c r="G3693" s="140" t="s">
        <v>845</v>
      </c>
      <c r="H3693" s="140" t="s">
        <v>876</v>
      </c>
    </row>
    <row r="3694" spans="1:8" ht="15.75" customHeight="1">
      <c r="A3694" s="140" t="s">
        <v>83</v>
      </c>
      <c r="B3694" s="140" t="s">
        <v>22</v>
      </c>
      <c r="C3694" s="141" t="s">
        <v>243</v>
      </c>
      <c r="D3694" s="140" t="s">
        <v>244</v>
      </c>
      <c r="E3694" s="140">
        <v>5</v>
      </c>
      <c r="F3694" s="142">
        <v>45910.416666666672</v>
      </c>
      <c r="G3694" s="140" t="s">
        <v>845</v>
      </c>
      <c r="H3694" s="140" t="s">
        <v>876</v>
      </c>
    </row>
    <row r="3695" spans="1:8" ht="15.75" customHeight="1">
      <c r="A3695" s="140" t="s">
        <v>83</v>
      </c>
      <c r="B3695" s="140" t="s">
        <v>22</v>
      </c>
      <c r="C3695" s="141" t="s">
        <v>243</v>
      </c>
      <c r="D3695" s="140" t="s">
        <v>244</v>
      </c>
      <c r="E3695" s="140">
        <v>6</v>
      </c>
      <c r="F3695" s="142">
        <v>45924.458333333328</v>
      </c>
      <c r="G3695" s="140" t="s">
        <v>845</v>
      </c>
      <c r="H3695" s="140" t="s">
        <v>876</v>
      </c>
    </row>
    <row r="3696" spans="1:8" ht="15.75" customHeight="1">
      <c r="A3696" s="140" t="s">
        <v>83</v>
      </c>
      <c r="B3696" s="140" t="s">
        <v>22</v>
      </c>
      <c r="C3696" s="141" t="s">
        <v>243</v>
      </c>
      <c r="D3696" s="140" t="s">
        <v>244</v>
      </c>
      <c r="E3696" s="140">
        <v>7</v>
      </c>
      <c r="F3696" s="142">
        <v>45931.416666666672</v>
      </c>
      <c r="G3696" s="140" t="s">
        <v>843</v>
      </c>
      <c r="H3696" s="140" t="s">
        <v>876</v>
      </c>
    </row>
    <row r="3697" spans="1:8" ht="15.75" customHeight="1">
      <c r="A3697" s="140" t="s">
        <v>83</v>
      </c>
      <c r="B3697" s="140" t="s">
        <v>22</v>
      </c>
      <c r="C3697" s="141" t="s">
        <v>243</v>
      </c>
      <c r="D3697" s="140" t="s">
        <v>244</v>
      </c>
      <c r="E3697" s="140">
        <v>8</v>
      </c>
      <c r="F3697" s="142">
        <v>45938.458333333328</v>
      </c>
      <c r="G3697" s="140" t="s">
        <v>845</v>
      </c>
      <c r="H3697" s="140" t="s">
        <v>876</v>
      </c>
    </row>
    <row r="3698" spans="1:8" ht="15.75" customHeight="1">
      <c r="A3698" s="140" t="s">
        <v>83</v>
      </c>
      <c r="B3698" s="140" t="s">
        <v>22</v>
      </c>
      <c r="C3698" s="141" t="s">
        <v>243</v>
      </c>
      <c r="D3698" s="140" t="s">
        <v>244</v>
      </c>
      <c r="E3698" s="140">
        <v>9</v>
      </c>
      <c r="F3698" s="142">
        <v>45980.416666666672</v>
      </c>
      <c r="G3698" s="140" t="s">
        <v>845</v>
      </c>
      <c r="H3698" s="140" t="s">
        <v>876</v>
      </c>
    </row>
    <row r="3699" spans="1:8" ht="15.75" customHeight="1">
      <c r="A3699" s="140" t="s">
        <v>83</v>
      </c>
      <c r="B3699" s="140" t="s">
        <v>22</v>
      </c>
      <c r="C3699" s="141" t="s">
        <v>243</v>
      </c>
      <c r="D3699" s="140" t="s">
        <v>244</v>
      </c>
      <c r="E3699" s="140">
        <v>10</v>
      </c>
      <c r="F3699" s="142">
        <v>45987.416666666672</v>
      </c>
      <c r="G3699" s="140" t="s">
        <v>845</v>
      </c>
      <c r="H3699" s="140" t="s">
        <v>876</v>
      </c>
    </row>
    <row r="3700" spans="1:8" ht="15.75" customHeight="1">
      <c r="A3700" s="140" t="s">
        <v>83</v>
      </c>
      <c r="B3700" s="140" t="s">
        <v>22</v>
      </c>
      <c r="C3700" s="141" t="s">
        <v>243</v>
      </c>
      <c r="D3700" s="140" t="s">
        <v>244</v>
      </c>
      <c r="E3700" s="140">
        <v>11</v>
      </c>
      <c r="F3700" s="142">
        <v>45994.583333333328</v>
      </c>
      <c r="G3700" s="140" t="s">
        <v>845</v>
      </c>
      <c r="H3700" s="140" t="s">
        <v>876</v>
      </c>
    </row>
    <row r="3701" spans="1:8" ht="15.75" customHeight="1">
      <c r="A3701" s="140" t="s">
        <v>83</v>
      </c>
      <c r="B3701" s="140" t="s">
        <v>22</v>
      </c>
      <c r="C3701" s="141" t="s">
        <v>243</v>
      </c>
      <c r="D3701" s="140" t="s">
        <v>244</v>
      </c>
      <c r="E3701" s="140">
        <v>12</v>
      </c>
      <c r="F3701" s="142">
        <v>46008.416666666672</v>
      </c>
      <c r="G3701" s="140" t="s">
        <v>845</v>
      </c>
      <c r="H3701" s="140" t="s">
        <v>876</v>
      </c>
    </row>
    <row r="3702" spans="1:8" ht="15.75" customHeight="1">
      <c r="A3702" s="140" t="s">
        <v>83</v>
      </c>
      <c r="B3702" s="140" t="s">
        <v>22</v>
      </c>
      <c r="C3702" s="141" t="s">
        <v>243</v>
      </c>
      <c r="D3702" s="140" t="s">
        <v>244</v>
      </c>
      <c r="E3702" s="140">
        <v>13</v>
      </c>
      <c r="F3702" s="142">
        <v>46036.416666666672</v>
      </c>
      <c r="G3702" s="140" t="s">
        <v>843</v>
      </c>
      <c r="H3702" s="140" t="s">
        <v>876</v>
      </c>
    </row>
    <row r="3703" spans="1:8" ht="15.75" customHeight="1">
      <c r="A3703" s="140" t="s">
        <v>83</v>
      </c>
      <c r="B3703" s="140" t="s">
        <v>22</v>
      </c>
      <c r="C3703" s="141" t="s">
        <v>243</v>
      </c>
      <c r="D3703" s="140" t="s">
        <v>244</v>
      </c>
      <c r="E3703" s="140">
        <v>14</v>
      </c>
      <c r="F3703" s="142">
        <v>46043.458333333328</v>
      </c>
      <c r="G3703" s="140" t="s">
        <v>843</v>
      </c>
      <c r="H3703" s="140" t="s">
        <v>876</v>
      </c>
    </row>
    <row r="3704" spans="1:8" ht="15.75" customHeight="1">
      <c r="A3704" s="140" t="s">
        <v>83</v>
      </c>
      <c r="B3704" s="140" t="s">
        <v>22</v>
      </c>
      <c r="C3704" s="141" t="s">
        <v>243</v>
      </c>
      <c r="D3704" s="140" t="s">
        <v>244</v>
      </c>
      <c r="E3704" s="140">
        <v>15</v>
      </c>
      <c r="F3704" s="142">
        <v>46050.416666666672</v>
      </c>
      <c r="G3704" s="140" t="s">
        <v>845</v>
      </c>
      <c r="H3704" s="140" t="s">
        <v>876</v>
      </c>
    </row>
    <row r="3705" spans="1:8" ht="15.75" customHeight="1">
      <c r="A3705" s="140" t="s">
        <v>83</v>
      </c>
      <c r="B3705" s="140" t="s">
        <v>22</v>
      </c>
      <c r="C3705" s="141" t="s">
        <v>243</v>
      </c>
      <c r="D3705" s="140" t="s">
        <v>244</v>
      </c>
      <c r="E3705" s="140">
        <v>16</v>
      </c>
      <c r="F3705" s="142">
        <v>46106.541666666672</v>
      </c>
      <c r="G3705" s="140" t="s">
        <v>845</v>
      </c>
      <c r="H3705" s="140" t="s">
        <v>876</v>
      </c>
    </row>
    <row r="3706" spans="1:8" ht="15.75" customHeight="1">
      <c r="A3706" s="140" t="s">
        <v>83</v>
      </c>
      <c r="B3706" s="140" t="s">
        <v>21</v>
      </c>
      <c r="C3706" s="141" t="s">
        <v>305</v>
      </c>
      <c r="D3706" s="140" t="s">
        <v>306</v>
      </c>
      <c r="E3706" s="140">
        <v>1</v>
      </c>
      <c r="F3706" s="142">
        <v>45764.416666666672</v>
      </c>
      <c r="G3706" s="140" t="s">
        <v>845</v>
      </c>
      <c r="H3706" s="140" t="s">
        <v>876</v>
      </c>
    </row>
    <row r="3707" spans="1:8" ht="15.75" customHeight="1">
      <c r="A3707" s="140" t="s">
        <v>83</v>
      </c>
      <c r="B3707" s="140" t="s">
        <v>21</v>
      </c>
      <c r="C3707" s="141" t="s">
        <v>305</v>
      </c>
      <c r="D3707" s="140" t="s">
        <v>306</v>
      </c>
      <c r="E3707" s="140">
        <v>2</v>
      </c>
      <c r="F3707" s="142">
        <v>45784.583333333328</v>
      </c>
      <c r="G3707" s="140" t="s">
        <v>845</v>
      </c>
      <c r="H3707" s="140" t="s">
        <v>876</v>
      </c>
    </row>
    <row r="3708" spans="1:8" ht="15.75" customHeight="1">
      <c r="A3708" s="140" t="s">
        <v>83</v>
      </c>
      <c r="B3708" s="140" t="s">
        <v>21</v>
      </c>
      <c r="C3708" s="141" t="s">
        <v>305</v>
      </c>
      <c r="D3708" s="140" t="s">
        <v>306</v>
      </c>
      <c r="E3708" s="140">
        <v>3</v>
      </c>
      <c r="F3708" s="142">
        <v>45804.375</v>
      </c>
      <c r="G3708" s="140" t="s">
        <v>845</v>
      </c>
      <c r="H3708" s="140" t="s">
        <v>876</v>
      </c>
    </row>
    <row r="3709" spans="1:8" ht="15.75" customHeight="1">
      <c r="A3709" s="140" t="s">
        <v>83</v>
      </c>
      <c r="B3709" s="140" t="s">
        <v>21</v>
      </c>
      <c r="C3709" s="141" t="s">
        <v>305</v>
      </c>
      <c r="D3709" s="140" t="s">
        <v>306</v>
      </c>
      <c r="E3709" s="140">
        <v>4</v>
      </c>
      <c r="F3709" s="142">
        <v>45805.416666666672</v>
      </c>
      <c r="G3709" s="140" t="s">
        <v>845</v>
      </c>
      <c r="H3709" s="140" t="s">
        <v>876</v>
      </c>
    </row>
    <row r="3710" spans="1:8" ht="15.75" customHeight="1">
      <c r="A3710" s="140" t="s">
        <v>83</v>
      </c>
      <c r="B3710" s="140" t="s">
        <v>21</v>
      </c>
      <c r="C3710" s="141" t="s">
        <v>305</v>
      </c>
      <c r="D3710" s="140" t="s">
        <v>306</v>
      </c>
      <c r="E3710" s="140">
        <v>5</v>
      </c>
      <c r="F3710" s="142">
        <v>45812.458333333328</v>
      </c>
      <c r="G3710" s="140" t="s">
        <v>845</v>
      </c>
      <c r="H3710" s="140" t="s">
        <v>876</v>
      </c>
    </row>
    <row r="3711" spans="1:8" ht="15.75" customHeight="1">
      <c r="A3711" s="140" t="s">
        <v>83</v>
      </c>
      <c r="B3711" s="140" t="s">
        <v>21</v>
      </c>
      <c r="C3711" s="141" t="s">
        <v>305</v>
      </c>
      <c r="D3711" s="140" t="s">
        <v>306</v>
      </c>
      <c r="E3711" s="140">
        <v>6</v>
      </c>
      <c r="F3711" s="142">
        <v>45819.458333333328</v>
      </c>
      <c r="G3711" s="140" t="s">
        <v>845</v>
      </c>
      <c r="H3711" s="140" t="s">
        <v>876</v>
      </c>
    </row>
    <row r="3712" spans="1:8" ht="15.75" customHeight="1">
      <c r="A3712" s="140" t="s">
        <v>83</v>
      </c>
      <c r="B3712" s="140" t="s">
        <v>21</v>
      </c>
      <c r="C3712" s="141" t="s">
        <v>305</v>
      </c>
      <c r="D3712" s="140" t="s">
        <v>306</v>
      </c>
      <c r="E3712" s="140">
        <v>7</v>
      </c>
      <c r="F3712" s="142">
        <v>45827.416666666672</v>
      </c>
      <c r="G3712" s="140" t="s">
        <v>845</v>
      </c>
      <c r="H3712" s="140" t="s">
        <v>876</v>
      </c>
    </row>
    <row r="3713" spans="1:8" ht="15.75" customHeight="1">
      <c r="A3713" s="140" t="s">
        <v>83</v>
      </c>
      <c r="B3713" s="140" t="s">
        <v>21</v>
      </c>
      <c r="C3713" s="141" t="s">
        <v>305</v>
      </c>
      <c r="D3713" s="140" t="s">
        <v>306</v>
      </c>
      <c r="E3713" s="140">
        <v>8</v>
      </c>
      <c r="F3713" s="142">
        <v>45833.375</v>
      </c>
      <c r="G3713" s="140" t="s">
        <v>845</v>
      </c>
      <c r="H3713" s="140" t="s">
        <v>876</v>
      </c>
    </row>
    <row r="3714" spans="1:8" ht="15.75" customHeight="1">
      <c r="A3714" s="140" t="s">
        <v>83</v>
      </c>
      <c r="B3714" s="140" t="s">
        <v>21</v>
      </c>
      <c r="C3714" s="141" t="s">
        <v>305</v>
      </c>
      <c r="D3714" s="140" t="s">
        <v>306</v>
      </c>
      <c r="E3714" s="140">
        <v>9</v>
      </c>
      <c r="F3714" s="142">
        <v>45840.416666666672</v>
      </c>
      <c r="G3714" s="140" t="s">
        <v>845</v>
      </c>
      <c r="H3714" s="140" t="s">
        <v>876</v>
      </c>
    </row>
    <row r="3715" spans="1:8" ht="15.75" customHeight="1">
      <c r="A3715" s="140" t="s">
        <v>83</v>
      </c>
      <c r="B3715" s="140" t="s">
        <v>21</v>
      </c>
      <c r="C3715" s="141" t="s">
        <v>305</v>
      </c>
      <c r="D3715" s="140" t="s">
        <v>306</v>
      </c>
      <c r="E3715" s="140">
        <v>10</v>
      </c>
      <c r="F3715" s="142">
        <v>45861.541666666672</v>
      </c>
      <c r="G3715" s="140" t="s">
        <v>845</v>
      </c>
      <c r="H3715" s="140" t="s">
        <v>876</v>
      </c>
    </row>
    <row r="3716" spans="1:8" ht="15.75" customHeight="1">
      <c r="A3716" s="140" t="s">
        <v>83</v>
      </c>
      <c r="B3716" s="140" t="s">
        <v>22</v>
      </c>
      <c r="C3716" s="141" t="s">
        <v>305</v>
      </c>
      <c r="D3716" s="140" t="s">
        <v>306</v>
      </c>
      <c r="E3716" s="140">
        <v>1</v>
      </c>
      <c r="F3716" s="142">
        <v>45882.416666666672</v>
      </c>
      <c r="G3716" s="140" t="s">
        <v>845</v>
      </c>
      <c r="H3716" s="140" t="s">
        <v>876</v>
      </c>
    </row>
    <row r="3717" spans="1:8" ht="15.75" customHeight="1">
      <c r="A3717" s="140" t="s">
        <v>83</v>
      </c>
      <c r="B3717" s="140" t="s">
        <v>22</v>
      </c>
      <c r="C3717" s="141" t="s">
        <v>305</v>
      </c>
      <c r="D3717" s="140" t="s">
        <v>306</v>
      </c>
      <c r="E3717" s="140">
        <v>2</v>
      </c>
      <c r="F3717" s="142">
        <v>45889.416666666672</v>
      </c>
      <c r="G3717" s="140" t="s">
        <v>845</v>
      </c>
      <c r="H3717" s="140" t="s">
        <v>876</v>
      </c>
    </row>
    <row r="3718" spans="1:8" ht="15.75" customHeight="1">
      <c r="A3718" s="140" t="s">
        <v>83</v>
      </c>
      <c r="B3718" s="140" t="s">
        <v>22</v>
      </c>
      <c r="C3718" s="141" t="s">
        <v>305</v>
      </c>
      <c r="D3718" s="140" t="s">
        <v>306</v>
      </c>
      <c r="E3718" s="140">
        <v>3</v>
      </c>
      <c r="F3718" s="142">
        <v>45896.416666666672</v>
      </c>
      <c r="G3718" s="140" t="s">
        <v>845</v>
      </c>
      <c r="H3718" s="140" t="s">
        <v>876</v>
      </c>
    </row>
    <row r="3719" spans="1:8" ht="15.75" customHeight="1">
      <c r="A3719" s="140" t="s">
        <v>83</v>
      </c>
      <c r="B3719" s="140" t="s">
        <v>22</v>
      </c>
      <c r="C3719" s="141" t="s">
        <v>305</v>
      </c>
      <c r="D3719" s="140" t="s">
        <v>306</v>
      </c>
      <c r="E3719" s="140">
        <v>4</v>
      </c>
      <c r="F3719" s="142">
        <v>45903.416666666672</v>
      </c>
      <c r="G3719" s="140" t="s">
        <v>845</v>
      </c>
      <c r="H3719" s="140" t="s">
        <v>876</v>
      </c>
    </row>
    <row r="3720" spans="1:8" ht="15.75" customHeight="1">
      <c r="A3720" s="140" t="s">
        <v>83</v>
      </c>
      <c r="B3720" s="140" t="s">
        <v>22</v>
      </c>
      <c r="C3720" s="141" t="s">
        <v>305</v>
      </c>
      <c r="D3720" s="140" t="s">
        <v>306</v>
      </c>
      <c r="E3720" s="140">
        <v>5</v>
      </c>
      <c r="F3720" s="142">
        <v>45910.416666666672</v>
      </c>
      <c r="G3720" s="140" t="s">
        <v>845</v>
      </c>
      <c r="H3720" s="140" t="s">
        <v>876</v>
      </c>
    </row>
    <row r="3721" spans="1:8" ht="15.75" customHeight="1">
      <c r="A3721" s="140" t="s">
        <v>83</v>
      </c>
      <c r="B3721" s="140" t="s">
        <v>22</v>
      </c>
      <c r="C3721" s="141" t="s">
        <v>305</v>
      </c>
      <c r="D3721" s="140" t="s">
        <v>306</v>
      </c>
      <c r="E3721" s="140">
        <v>6</v>
      </c>
      <c r="F3721" s="142">
        <v>45924.458333333328</v>
      </c>
      <c r="G3721" s="140" t="s">
        <v>845</v>
      </c>
      <c r="H3721" s="140" t="s">
        <v>876</v>
      </c>
    </row>
    <row r="3722" spans="1:8" ht="15.75" customHeight="1">
      <c r="A3722" s="140" t="s">
        <v>83</v>
      </c>
      <c r="B3722" s="140" t="s">
        <v>22</v>
      </c>
      <c r="C3722" s="141" t="s">
        <v>305</v>
      </c>
      <c r="D3722" s="140" t="s">
        <v>306</v>
      </c>
      <c r="E3722" s="140">
        <v>7</v>
      </c>
      <c r="F3722" s="142">
        <v>45931.416666666672</v>
      </c>
      <c r="G3722" s="140" t="s">
        <v>845</v>
      </c>
      <c r="H3722" s="140" t="s">
        <v>876</v>
      </c>
    </row>
    <row r="3723" spans="1:8" ht="15.75" customHeight="1">
      <c r="A3723" s="140" t="s">
        <v>83</v>
      </c>
      <c r="B3723" s="140" t="s">
        <v>22</v>
      </c>
      <c r="C3723" s="141" t="s">
        <v>305</v>
      </c>
      <c r="D3723" s="140" t="s">
        <v>306</v>
      </c>
      <c r="E3723" s="140">
        <v>8</v>
      </c>
      <c r="F3723" s="142">
        <v>45938.458333333328</v>
      </c>
      <c r="G3723" s="140" t="s">
        <v>845</v>
      </c>
      <c r="H3723" s="140" t="s">
        <v>876</v>
      </c>
    </row>
    <row r="3724" spans="1:8" ht="15.75" customHeight="1">
      <c r="A3724" s="140" t="s">
        <v>83</v>
      </c>
      <c r="B3724" s="140" t="s">
        <v>22</v>
      </c>
      <c r="C3724" s="141" t="s">
        <v>305</v>
      </c>
      <c r="D3724" s="140" t="s">
        <v>306</v>
      </c>
      <c r="E3724" s="140">
        <v>9</v>
      </c>
      <c r="F3724" s="142">
        <v>45980.416666666672</v>
      </c>
      <c r="G3724" s="140" t="s">
        <v>845</v>
      </c>
      <c r="H3724" s="140" t="s">
        <v>876</v>
      </c>
    </row>
    <row r="3725" spans="1:8" ht="15.75" customHeight="1">
      <c r="A3725" s="140" t="s">
        <v>83</v>
      </c>
      <c r="B3725" s="140" t="s">
        <v>22</v>
      </c>
      <c r="C3725" s="141" t="s">
        <v>305</v>
      </c>
      <c r="D3725" s="140" t="s">
        <v>306</v>
      </c>
      <c r="E3725" s="140">
        <v>10</v>
      </c>
      <c r="F3725" s="142">
        <v>45987.416666666672</v>
      </c>
      <c r="G3725" s="140" t="s">
        <v>843</v>
      </c>
      <c r="H3725" s="140" t="s">
        <v>876</v>
      </c>
    </row>
    <row r="3726" spans="1:8" ht="15.75" customHeight="1">
      <c r="A3726" s="140" t="s">
        <v>83</v>
      </c>
      <c r="B3726" s="140" t="s">
        <v>22</v>
      </c>
      <c r="C3726" s="141" t="s">
        <v>305</v>
      </c>
      <c r="D3726" s="140" t="s">
        <v>306</v>
      </c>
      <c r="E3726" s="140">
        <v>11</v>
      </c>
      <c r="F3726" s="142">
        <v>45994.583333333328</v>
      </c>
      <c r="G3726" s="140" t="s">
        <v>845</v>
      </c>
      <c r="H3726" s="140" t="s">
        <v>876</v>
      </c>
    </row>
    <row r="3727" spans="1:8" ht="15.75" customHeight="1">
      <c r="A3727" s="140" t="s">
        <v>83</v>
      </c>
      <c r="B3727" s="140" t="s">
        <v>22</v>
      </c>
      <c r="C3727" s="141" t="s">
        <v>305</v>
      </c>
      <c r="D3727" s="140" t="s">
        <v>306</v>
      </c>
      <c r="E3727" s="140">
        <v>12</v>
      </c>
      <c r="F3727" s="142">
        <v>46008.416666666672</v>
      </c>
      <c r="G3727" s="140" t="s">
        <v>845</v>
      </c>
      <c r="H3727" s="140" t="s">
        <v>876</v>
      </c>
    </row>
    <row r="3728" spans="1:8" ht="15.75" customHeight="1">
      <c r="A3728" s="140" t="s">
        <v>83</v>
      </c>
      <c r="B3728" s="140" t="s">
        <v>22</v>
      </c>
      <c r="C3728" s="141" t="s">
        <v>305</v>
      </c>
      <c r="D3728" s="140" t="s">
        <v>306</v>
      </c>
      <c r="E3728" s="140">
        <v>13</v>
      </c>
      <c r="F3728" s="142">
        <v>46036.416666666672</v>
      </c>
      <c r="G3728" s="140" t="s">
        <v>845</v>
      </c>
      <c r="H3728" s="140" t="s">
        <v>876</v>
      </c>
    </row>
    <row r="3729" spans="1:8" ht="15.75" customHeight="1">
      <c r="A3729" s="140" t="s">
        <v>83</v>
      </c>
      <c r="B3729" s="140" t="s">
        <v>22</v>
      </c>
      <c r="C3729" s="141" t="s">
        <v>305</v>
      </c>
      <c r="D3729" s="140" t="s">
        <v>306</v>
      </c>
      <c r="E3729" s="140">
        <v>14</v>
      </c>
      <c r="F3729" s="142">
        <v>46043.458333333328</v>
      </c>
      <c r="G3729" s="140" t="s">
        <v>845</v>
      </c>
      <c r="H3729" s="140" t="s">
        <v>876</v>
      </c>
    </row>
    <row r="3730" spans="1:8" ht="15.75" customHeight="1">
      <c r="A3730" s="140" t="s">
        <v>83</v>
      </c>
      <c r="B3730" s="140" t="s">
        <v>22</v>
      </c>
      <c r="C3730" s="141" t="s">
        <v>305</v>
      </c>
      <c r="D3730" s="140" t="s">
        <v>306</v>
      </c>
      <c r="E3730" s="140">
        <v>15</v>
      </c>
      <c r="F3730" s="142">
        <v>46050.416666666672</v>
      </c>
      <c r="G3730" s="140" t="s">
        <v>845</v>
      </c>
      <c r="H3730" s="140" t="s">
        <v>876</v>
      </c>
    </row>
    <row r="3731" spans="1:8" ht="15.75" customHeight="1">
      <c r="A3731" s="140" t="s">
        <v>83</v>
      </c>
      <c r="B3731" s="140" t="s">
        <v>22</v>
      </c>
      <c r="C3731" s="141" t="s">
        <v>305</v>
      </c>
      <c r="D3731" s="140" t="s">
        <v>306</v>
      </c>
      <c r="E3731" s="140">
        <v>16</v>
      </c>
      <c r="F3731" s="142">
        <v>46106.541666666672</v>
      </c>
      <c r="G3731" s="140" t="s">
        <v>845</v>
      </c>
      <c r="H3731" s="140" t="s">
        <v>876</v>
      </c>
    </row>
    <row r="3732" spans="1:8" ht="15.75" customHeight="1">
      <c r="A3732" s="140" t="s">
        <v>83</v>
      </c>
      <c r="B3732" s="140" t="s">
        <v>21</v>
      </c>
      <c r="C3732" s="141" t="s">
        <v>442</v>
      </c>
      <c r="D3732" s="140" t="s">
        <v>443</v>
      </c>
      <c r="E3732" s="140">
        <v>1</v>
      </c>
      <c r="F3732" s="142">
        <v>45764.416666666672</v>
      </c>
      <c r="G3732" s="140" t="s">
        <v>845</v>
      </c>
      <c r="H3732" s="140" t="s">
        <v>876</v>
      </c>
    </row>
    <row r="3733" spans="1:8" ht="15.75" customHeight="1">
      <c r="A3733" s="140" t="s">
        <v>83</v>
      </c>
      <c r="B3733" s="140" t="s">
        <v>21</v>
      </c>
      <c r="C3733" s="141" t="s">
        <v>442</v>
      </c>
      <c r="D3733" s="140" t="s">
        <v>443</v>
      </c>
      <c r="E3733" s="140">
        <v>2</v>
      </c>
      <c r="F3733" s="142">
        <v>45784.583333333328</v>
      </c>
      <c r="G3733" s="140" t="s">
        <v>845</v>
      </c>
      <c r="H3733" s="140" t="s">
        <v>876</v>
      </c>
    </row>
    <row r="3734" spans="1:8" ht="15.75" customHeight="1">
      <c r="A3734" s="140" t="s">
        <v>83</v>
      </c>
      <c r="B3734" s="140" t="s">
        <v>21</v>
      </c>
      <c r="C3734" s="141" t="s">
        <v>442</v>
      </c>
      <c r="D3734" s="140" t="s">
        <v>443</v>
      </c>
      <c r="E3734" s="140">
        <v>3</v>
      </c>
      <c r="F3734" s="142">
        <v>45804.375</v>
      </c>
      <c r="G3734" s="140" t="s">
        <v>845</v>
      </c>
      <c r="H3734" s="140" t="s">
        <v>876</v>
      </c>
    </row>
    <row r="3735" spans="1:8" ht="15.75" customHeight="1">
      <c r="A3735" s="140" t="s">
        <v>83</v>
      </c>
      <c r="B3735" s="140" t="s">
        <v>21</v>
      </c>
      <c r="C3735" s="141" t="s">
        <v>442</v>
      </c>
      <c r="D3735" s="140" t="s">
        <v>443</v>
      </c>
      <c r="E3735" s="140">
        <v>4</v>
      </c>
      <c r="F3735" s="142">
        <v>45805.416666666672</v>
      </c>
      <c r="G3735" s="140" t="s">
        <v>845</v>
      </c>
      <c r="H3735" s="140" t="s">
        <v>876</v>
      </c>
    </row>
    <row r="3736" spans="1:8" ht="15.75" customHeight="1">
      <c r="A3736" s="140" t="s">
        <v>83</v>
      </c>
      <c r="B3736" s="140" t="s">
        <v>21</v>
      </c>
      <c r="C3736" s="141" t="s">
        <v>442</v>
      </c>
      <c r="D3736" s="140" t="s">
        <v>443</v>
      </c>
      <c r="E3736" s="140">
        <v>5</v>
      </c>
      <c r="F3736" s="142">
        <v>45812.458333333328</v>
      </c>
      <c r="G3736" s="140" t="s">
        <v>843</v>
      </c>
      <c r="H3736" s="140" t="s">
        <v>876</v>
      </c>
    </row>
    <row r="3737" spans="1:8" ht="15.75" customHeight="1">
      <c r="A3737" s="140" t="s">
        <v>83</v>
      </c>
      <c r="B3737" s="140" t="s">
        <v>21</v>
      </c>
      <c r="C3737" s="141" t="s">
        <v>442</v>
      </c>
      <c r="D3737" s="140" t="s">
        <v>443</v>
      </c>
      <c r="E3737" s="140">
        <v>6</v>
      </c>
      <c r="F3737" s="142">
        <v>45819.458333333328</v>
      </c>
      <c r="G3737" s="140" t="s">
        <v>845</v>
      </c>
      <c r="H3737" s="140" t="s">
        <v>876</v>
      </c>
    </row>
    <row r="3738" spans="1:8" ht="15.75" customHeight="1">
      <c r="A3738" s="140" t="s">
        <v>83</v>
      </c>
      <c r="B3738" s="140" t="s">
        <v>21</v>
      </c>
      <c r="C3738" s="141" t="s">
        <v>442</v>
      </c>
      <c r="D3738" s="140" t="s">
        <v>443</v>
      </c>
      <c r="E3738" s="140">
        <v>7</v>
      </c>
      <c r="F3738" s="142">
        <v>45827.416666666672</v>
      </c>
      <c r="G3738" s="140" t="s">
        <v>845</v>
      </c>
      <c r="H3738" s="140" t="s">
        <v>876</v>
      </c>
    </row>
    <row r="3739" spans="1:8" ht="15.75" customHeight="1">
      <c r="A3739" s="140" t="s">
        <v>83</v>
      </c>
      <c r="B3739" s="140" t="s">
        <v>21</v>
      </c>
      <c r="C3739" s="141" t="s">
        <v>442</v>
      </c>
      <c r="D3739" s="140" t="s">
        <v>443</v>
      </c>
      <c r="E3739" s="140">
        <v>8</v>
      </c>
      <c r="F3739" s="142">
        <v>45833.375</v>
      </c>
      <c r="G3739" s="140" t="s">
        <v>845</v>
      </c>
      <c r="H3739" s="140" t="s">
        <v>876</v>
      </c>
    </row>
    <row r="3740" spans="1:8" ht="15.75" customHeight="1">
      <c r="A3740" s="140" t="s">
        <v>83</v>
      </c>
      <c r="B3740" s="140" t="s">
        <v>21</v>
      </c>
      <c r="C3740" s="141" t="s">
        <v>442</v>
      </c>
      <c r="D3740" s="140" t="s">
        <v>443</v>
      </c>
      <c r="E3740" s="140">
        <v>9</v>
      </c>
      <c r="F3740" s="142">
        <v>45840.416666666672</v>
      </c>
      <c r="G3740" s="140" t="s">
        <v>845</v>
      </c>
      <c r="H3740" s="140" t="s">
        <v>876</v>
      </c>
    </row>
    <row r="3741" spans="1:8" ht="15.75" customHeight="1">
      <c r="A3741" s="140" t="s">
        <v>83</v>
      </c>
      <c r="B3741" s="140" t="s">
        <v>21</v>
      </c>
      <c r="C3741" s="141" t="s">
        <v>442</v>
      </c>
      <c r="D3741" s="140" t="s">
        <v>443</v>
      </c>
      <c r="E3741" s="140">
        <v>10</v>
      </c>
      <c r="F3741" s="142">
        <v>45861.541666666672</v>
      </c>
      <c r="G3741" s="140" t="s">
        <v>845</v>
      </c>
      <c r="H3741" s="140" t="s">
        <v>876</v>
      </c>
    </row>
    <row r="3742" spans="1:8" ht="15.75" customHeight="1">
      <c r="A3742" s="140" t="s">
        <v>83</v>
      </c>
      <c r="B3742" s="140" t="s">
        <v>22</v>
      </c>
      <c r="C3742" s="141" t="s">
        <v>442</v>
      </c>
      <c r="D3742" s="140" t="s">
        <v>443</v>
      </c>
      <c r="E3742" s="140">
        <v>1</v>
      </c>
      <c r="F3742" s="142">
        <v>45882.416666666672</v>
      </c>
      <c r="G3742" s="140" t="s">
        <v>845</v>
      </c>
      <c r="H3742" s="140" t="s">
        <v>876</v>
      </c>
    </row>
    <row r="3743" spans="1:8" ht="15.75" customHeight="1">
      <c r="A3743" s="140" t="s">
        <v>83</v>
      </c>
      <c r="B3743" s="140" t="s">
        <v>22</v>
      </c>
      <c r="C3743" s="141" t="s">
        <v>442</v>
      </c>
      <c r="D3743" s="140" t="s">
        <v>443</v>
      </c>
      <c r="E3743" s="140">
        <v>2</v>
      </c>
      <c r="F3743" s="142">
        <v>45889.416666666672</v>
      </c>
      <c r="G3743" s="140" t="s">
        <v>845</v>
      </c>
      <c r="H3743" s="140" t="s">
        <v>876</v>
      </c>
    </row>
    <row r="3744" spans="1:8" ht="15.75" customHeight="1">
      <c r="A3744" s="140" t="s">
        <v>83</v>
      </c>
      <c r="B3744" s="140" t="s">
        <v>22</v>
      </c>
      <c r="C3744" s="141" t="s">
        <v>442</v>
      </c>
      <c r="D3744" s="140" t="s">
        <v>443</v>
      </c>
      <c r="E3744" s="140">
        <v>3</v>
      </c>
      <c r="F3744" s="142">
        <v>45896.416666666672</v>
      </c>
      <c r="G3744" s="140" t="s">
        <v>845</v>
      </c>
      <c r="H3744" s="140" t="s">
        <v>876</v>
      </c>
    </row>
    <row r="3745" spans="1:8" ht="15.75" customHeight="1">
      <c r="A3745" s="140" t="s">
        <v>83</v>
      </c>
      <c r="B3745" s="140" t="s">
        <v>22</v>
      </c>
      <c r="C3745" s="141" t="s">
        <v>442</v>
      </c>
      <c r="D3745" s="140" t="s">
        <v>443</v>
      </c>
      <c r="E3745" s="140">
        <v>4</v>
      </c>
      <c r="F3745" s="142">
        <v>45903.416666666672</v>
      </c>
      <c r="G3745" s="140" t="s">
        <v>845</v>
      </c>
      <c r="H3745" s="140" t="s">
        <v>876</v>
      </c>
    </row>
    <row r="3746" spans="1:8" ht="15.75" customHeight="1">
      <c r="A3746" s="140" t="s">
        <v>83</v>
      </c>
      <c r="B3746" s="140" t="s">
        <v>22</v>
      </c>
      <c r="C3746" s="141" t="s">
        <v>442</v>
      </c>
      <c r="D3746" s="140" t="s">
        <v>443</v>
      </c>
      <c r="E3746" s="140">
        <v>5</v>
      </c>
      <c r="F3746" s="142">
        <v>45910.416666666672</v>
      </c>
      <c r="G3746" s="140" t="s">
        <v>845</v>
      </c>
      <c r="H3746" s="140" t="s">
        <v>876</v>
      </c>
    </row>
    <row r="3747" spans="1:8" ht="15.75" customHeight="1">
      <c r="A3747" s="140" t="s">
        <v>83</v>
      </c>
      <c r="B3747" s="140" t="s">
        <v>22</v>
      </c>
      <c r="C3747" s="141" t="s">
        <v>442</v>
      </c>
      <c r="D3747" s="140" t="s">
        <v>443</v>
      </c>
      <c r="E3747" s="140">
        <v>6</v>
      </c>
      <c r="F3747" s="142">
        <v>45924.458333333328</v>
      </c>
      <c r="G3747" s="140" t="s">
        <v>845</v>
      </c>
      <c r="H3747" s="140" t="s">
        <v>876</v>
      </c>
    </row>
    <row r="3748" spans="1:8" ht="15.75" customHeight="1">
      <c r="A3748" s="140" t="s">
        <v>83</v>
      </c>
      <c r="B3748" s="140" t="s">
        <v>22</v>
      </c>
      <c r="C3748" s="141" t="s">
        <v>442</v>
      </c>
      <c r="D3748" s="140" t="s">
        <v>443</v>
      </c>
      <c r="E3748" s="140">
        <v>7</v>
      </c>
      <c r="F3748" s="142">
        <v>45931.416666666672</v>
      </c>
      <c r="G3748" s="140" t="s">
        <v>845</v>
      </c>
      <c r="H3748" s="140" t="s">
        <v>876</v>
      </c>
    </row>
    <row r="3749" spans="1:8" ht="15.75" customHeight="1">
      <c r="A3749" s="140" t="s">
        <v>83</v>
      </c>
      <c r="B3749" s="140" t="s">
        <v>22</v>
      </c>
      <c r="C3749" s="141" t="s">
        <v>442</v>
      </c>
      <c r="D3749" s="140" t="s">
        <v>443</v>
      </c>
      <c r="E3749" s="140">
        <v>8</v>
      </c>
      <c r="F3749" s="142">
        <v>45938.458333333328</v>
      </c>
      <c r="G3749" s="140" t="s">
        <v>845</v>
      </c>
      <c r="H3749" s="140" t="s">
        <v>876</v>
      </c>
    </row>
    <row r="3750" spans="1:8" ht="15.75" customHeight="1">
      <c r="A3750" s="140" t="s">
        <v>83</v>
      </c>
      <c r="B3750" s="140" t="s">
        <v>22</v>
      </c>
      <c r="C3750" s="141" t="s">
        <v>442</v>
      </c>
      <c r="D3750" s="140" t="s">
        <v>443</v>
      </c>
      <c r="E3750" s="140">
        <v>9</v>
      </c>
      <c r="F3750" s="142">
        <v>45980.416666666672</v>
      </c>
      <c r="G3750" s="140" t="s">
        <v>845</v>
      </c>
      <c r="H3750" s="140" t="s">
        <v>876</v>
      </c>
    </row>
    <row r="3751" spans="1:8" ht="15.75" customHeight="1">
      <c r="A3751" s="140" t="s">
        <v>83</v>
      </c>
      <c r="B3751" s="140" t="s">
        <v>22</v>
      </c>
      <c r="C3751" s="141" t="s">
        <v>442</v>
      </c>
      <c r="D3751" s="140" t="s">
        <v>443</v>
      </c>
      <c r="E3751" s="140">
        <v>10</v>
      </c>
      <c r="F3751" s="142">
        <v>45987.416666666672</v>
      </c>
      <c r="G3751" s="140" t="s">
        <v>845</v>
      </c>
      <c r="H3751" s="140" t="s">
        <v>876</v>
      </c>
    </row>
    <row r="3752" spans="1:8" ht="15.75" customHeight="1">
      <c r="A3752" s="140" t="s">
        <v>83</v>
      </c>
      <c r="B3752" s="140" t="s">
        <v>22</v>
      </c>
      <c r="C3752" s="141" t="s">
        <v>442</v>
      </c>
      <c r="D3752" s="140" t="s">
        <v>443</v>
      </c>
      <c r="E3752" s="140">
        <v>11</v>
      </c>
      <c r="F3752" s="142">
        <v>45994.583333333328</v>
      </c>
      <c r="G3752" s="140" t="s">
        <v>845</v>
      </c>
      <c r="H3752" s="140" t="s">
        <v>876</v>
      </c>
    </row>
    <row r="3753" spans="1:8" ht="15.75" customHeight="1">
      <c r="A3753" s="140" t="s">
        <v>83</v>
      </c>
      <c r="B3753" s="140" t="s">
        <v>22</v>
      </c>
      <c r="C3753" s="141" t="s">
        <v>442</v>
      </c>
      <c r="D3753" s="140" t="s">
        <v>443</v>
      </c>
      <c r="E3753" s="140">
        <v>12</v>
      </c>
      <c r="F3753" s="142">
        <v>46008.416666666672</v>
      </c>
      <c r="G3753" s="140" t="s">
        <v>845</v>
      </c>
      <c r="H3753" s="140" t="s">
        <v>876</v>
      </c>
    </row>
    <row r="3754" spans="1:8" ht="15.75" customHeight="1">
      <c r="A3754" s="140" t="s">
        <v>83</v>
      </c>
      <c r="B3754" s="140" t="s">
        <v>22</v>
      </c>
      <c r="C3754" s="141" t="s">
        <v>442</v>
      </c>
      <c r="D3754" s="140" t="s">
        <v>443</v>
      </c>
      <c r="E3754" s="140">
        <v>13</v>
      </c>
      <c r="F3754" s="142">
        <v>46036.416666666672</v>
      </c>
      <c r="G3754" s="140" t="s">
        <v>845</v>
      </c>
      <c r="H3754" s="140" t="s">
        <v>876</v>
      </c>
    </row>
    <row r="3755" spans="1:8" ht="15.75" customHeight="1">
      <c r="A3755" s="140" t="s">
        <v>83</v>
      </c>
      <c r="B3755" s="140" t="s">
        <v>22</v>
      </c>
      <c r="C3755" s="141" t="s">
        <v>442</v>
      </c>
      <c r="D3755" s="140" t="s">
        <v>443</v>
      </c>
      <c r="E3755" s="140">
        <v>14</v>
      </c>
      <c r="F3755" s="142">
        <v>46043.458333333328</v>
      </c>
      <c r="G3755" s="140" t="s">
        <v>845</v>
      </c>
      <c r="H3755" s="140" t="s">
        <v>876</v>
      </c>
    </row>
    <row r="3756" spans="1:8" ht="15.75" customHeight="1">
      <c r="A3756" s="140" t="s">
        <v>83</v>
      </c>
      <c r="B3756" s="140" t="s">
        <v>22</v>
      </c>
      <c r="C3756" s="141" t="s">
        <v>442</v>
      </c>
      <c r="D3756" s="140" t="s">
        <v>443</v>
      </c>
      <c r="E3756" s="140">
        <v>15</v>
      </c>
      <c r="F3756" s="142">
        <v>46050.416666666672</v>
      </c>
      <c r="G3756" s="140" t="s">
        <v>845</v>
      </c>
      <c r="H3756" s="140" t="s">
        <v>876</v>
      </c>
    </row>
    <row r="3757" spans="1:8" ht="15.75" customHeight="1">
      <c r="A3757" s="140" t="s">
        <v>83</v>
      </c>
      <c r="B3757" s="140" t="s">
        <v>22</v>
      </c>
      <c r="C3757" s="141" t="s">
        <v>442</v>
      </c>
      <c r="D3757" s="140" t="s">
        <v>443</v>
      </c>
      <c r="E3757" s="140">
        <v>16</v>
      </c>
      <c r="F3757" s="142">
        <v>46106.541666666672</v>
      </c>
      <c r="G3757" s="140" t="s">
        <v>845</v>
      </c>
      <c r="H3757" s="140" t="s">
        <v>876</v>
      </c>
    </row>
    <row r="3758" spans="1:8" ht="15.75" customHeight="1">
      <c r="A3758" s="140" t="s">
        <v>83</v>
      </c>
      <c r="B3758" s="140" t="s">
        <v>22</v>
      </c>
      <c r="C3758" s="141" t="s">
        <v>463</v>
      </c>
      <c r="D3758" s="140" t="s">
        <v>464</v>
      </c>
      <c r="E3758" s="140">
        <v>1</v>
      </c>
      <c r="F3758" s="142">
        <v>45882.583333333328</v>
      </c>
      <c r="G3758" s="140" t="s">
        <v>845</v>
      </c>
      <c r="H3758" s="140" t="s">
        <v>876</v>
      </c>
    </row>
    <row r="3759" spans="1:8" ht="15.75" customHeight="1">
      <c r="A3759" s="140" t="s">
        <v>83</v>
      </c>
      <c r="B3759" s="140" t="s">
        <v>22</v>
      </c>
      <c r="C3759" s="141" t="s">
        <v>463</v>
      </c>
      <c r="D3759" s="140" t="s">
        <v>464</v>
      </c>
      <c r="E3759" s="140">
        <v>2</v>
      </c>
      <c r="F3759" s="142">
        <v>45889.541666666672</v>
      </c>
      <c r="G3759" s="140" t="s">
        <v>845</v>
      </c>
      <c r="H3759" s="140" t="s">
        <v>876</v>
      </c>
    </row>
    <row r="3760" spans="1:8" ht="15.75" customHeight="1">
      <c r="A3760" s="140" t="s">
        <v>83</v>
      </c>
      <c r="B3760" s="140" t="s">
        <v>22</v>
      </c>
      <c r="C3760" s="141" t="s">
        <v>463</v>
      </c>
      <c r="D3760" s="140" t="s">
        <v>464</v>
      </c>
      <c r="E3760" s="140">
        <v>3</v>
      </c>
      <c r="F3760" s="142">
        <v>45895.541666666672</v>
      </c>
      <c r="G3760" s="140" t="s">
        <v>845</v>
      </c>
      <c r="H3760" s="140" t="s">
        <v>876</v>
      </c>
    </row>
    <row r="3761" spans="1:8" ht="15.75" customHeight="1">
      <c r="A3761" s="140" t="s">
        <v>83</v>
      </c>
      <c r="B3761" s="140" t="s">
        <v>22</v>
      </c>
      <c r="C3761" s="141" t="s">
        <v>463</v>
      </c>
      <c r="D3761" s="140" t="s">
        <v>464</v>
      </c>
      <c r="E3761" s="140">
        <v>4</v>
      </c>
      <c r="F3761" s="142">
        <v>45903.541666666672</v>
      </c>
      <c r="G3761" s="140" t="s">
        <v>845</v>
      </c>
      <c r="H3761" s="140" t="s">
        <v>876</v>
      </c>
    </row>
    <row r="3762" spans="1:8" ht="15.75" customHeight="1">
      <c r="A3762" s="140" t="s">
        <v>83</v>
      </c>
      <c r="B3762" s="140" t="s">
        <v>22</v>
      </c>
      <c r="C3762" s="141" t="s">
        <v>463</v>
      </c>
      <c r="D3762" s="140" t="s">
        <v>464</v>
      </c>
      <c r="E3762" s="140">
        <v>5</v>
      </c>
      <c r="F3762" s="142">
        <v>45910.583333333328</v>
      </c>
      <c r="G3762" s="140" t="s">
        <v>845</v>
      </c>
      <c r="H3762" s="140" t="s">
        <v>876</v>
      </c>
    </row>
    <row r="3763" spans="1:8" ht="15.75" customHeight="1">
      <c r="A3763" s="140" t="s">
        <v>83</v>
      </c>
      <c r="B3763" s="140" t="s">
        <v>22</v>
      </c>
      <c r="C3763" s="141" t="s">
        <v>463</v>
      </c>
      <c r="D3763" s="140" t="s">
        <v>464</v>
      </c>
      <c r="E3763" s="140">
        <v>6</v>
      </c>
      <c r="F3763" s="142">
        <v>45924.458333333328</v>
      </c>
      <c r="G3763" s="140" t="s">
        <v>843</v>
      </c>
      <c r="H3763" s="140" t="s">
        <v>876</v>
      </c>
    </row>
    <row r="3764" spans="1:8" ht="15.75" customHeight="1">
      <c r="A3764" s="140" t="s">
        <v>83</v>
      </c>
      <c r="B3764" s="140" t="s">
        <v>22</v>
      </c>
      <c r="C3764" s="141" t="s">
        <v>463</v>
      </c>
      <c r="D3764" s="140" t="s">
        <v>464</v>
      </c>
      <c r="E3764" s="140">
        <v>7</v>
      </c>
      <c r="F3764" s="142">
        <v>45931.416666666672</v>
      </c>
      <c r="G3764" s="140" t="s">
        <v>845</v>
      </c>
      <c r="H3764" s="140" t="s">
        <v>876</v>
      </c>
    </row>
    <row r="3765" spans="1:8" ht="15.75" customHeight="1">
      <c r="A3765" s="140" t="s">
        <v>83</v>
      </c>
      <c r="B3765" s="140" t="s">
        <v>22</v>
      </c>
      <c r="C3765" s="141" t="s">
        <v>463</v>
      </c>
      <c r="D3765" s="140" t="s">
        <v>464</v>
      </c>
      <c r="E3765" s="140">
        <v>8</v>
      </c>
      <c r="F3765" s="142">
        <v>45938.458333333328</v>
      </c>
      <c r="G3765" s="140" t="s">
        <v>845</v>
      </c>
      <c r="H3765" s="140" t="s">
        <v>876</v>
      </c>
    </row>
    <row r="3766" spans="1:8" ht="15.75" customHeight="1">
      <c r="A3766" s="140" t="s">
        <v>83</v>
      </c>
      <c r="B3766" s="140" t="s">
        <v>22</v>
      </c>
      <c r="C3766" s="141" t="s">
        <v>463</v>
      </c>
      <c r="D3766" s="140" t="s">
        <v>464</v>
      </c>
      <c r="E3766" s="140">
        <v>9</v>
      </c>
      <c r="F3766" s="142">
        <v>45980.416666666672</v>
      </c>
      <c r="G3766" s="140" t="s">
        <v>845</v>
      </c>
      <c r="H3766" s="140" t="s">
        <v>876</v>
      </c>
    </row>
    <row r="3767" spans="1:8" ht="15.75" customHeight="1">
      <c r="A3767" s="140" t="s">
        <v>83</v>
      </c>
      <c r="B3767" s="140" t="s">
        <v>22</v>
      </c>
      <c r="C3767" s="141" t="s">
        <v>463</v>
      </c>
      <c r="D3767" s="140" t="s">
        <v>464</v>
      </c>
      <c r="E3767" s="140">
        <v>10</v>
      </c>
      <c r="F3767" s="142">
        <v>45987.416666666672</v>
      </c>
      <c r="G3767" s="140" t="s">
        <v>845</v>
      </c>
      <c r="H3767" s="140" t="s">
        <v>876</v>
      </c>
    </row>
    <row r="3768" spans="1:8" ht="15.75" customHeight="1">
      <c r="A3768" s="140" t="s">
        <v>83</v>
      </c>
      <c r="B3768" s="140" t="s">
        <v>22</v>
      </c>
      <c r="C3768" s="141" t="s">
        <v>463</v>
      </c>
      <c r="D3768" s="140" t="s">
        <v>464</v>
      </c>
      <c r="E3768" s="140">
        <v>11</v>
      </c>
      <c r="F3768" s="142">
        <v>45994.583333333328</v>
      </c>
      <c r="G3768" s="140" t="s">
        <v>845</v>
      </c>
      <c r="H3768" s="140" t="s">
        <v>876</v>
      </c>
    </row>
    <row r="3769" spans="1:8" ht="15.75" customHeight="1">
      <c r="A3769" s="140" t="s">
        <v>83</v>
      </c>
      <c r="B3769" s="140" t="s">
        <v>22</v>
      </c>
      <c r="C3769" s="141" t="s">
        <v>463</v>
      </c>
      <c r="D3769" s="140" t="s">
        <v>464</v>
      </c>
      <c r="E3769" s="140">
        <v>12</v>
      </c>
      <c r="F3769" s="142">
        <v>46008.416666666672</v>
      </c>
      <c r="G3769" s="140" t="s">
        <v>845</v>
      </c>
      <c r="H3769" s="140" t="s">
        <v>876</v>
      </c>
    </row>
    <row r="3770" spans="1:8" ht="15.75" customHeight="1">
      <c r="A3770" s="140" t="s">
        <v>83</v>
      </c>
      <c r="B3770" s="140" t="s">
        <v>22</v>
      </c>
      <c r="C3770" s="141" t="s">
        <v>463</v>
      </c>
      <c r="D3770" s="140" t="s">
        <v>464</v>
      </c>
      <c r="E3770" s="140">
        <v>13</v>
      </c>
      <c r="F3770" s="142">
        <v>46036.416666666672</v>
      </c>
      <c r="G3770" s="140" t="s">
        <v>845</v>
      </c>
      <c r="H3770" s="140" t="s">
        <v>876</v>
      </c>
    </row>
    <row r="3771" spans="1:8" ht="15.75" customHeight="1">
      <c r="A3771" s="140" t="s">
        <v>83</v>
      </c>
      <c r="B3771" s="140" t="s">
        <v>22</v>
      </c>
      <c r="C3771" s="141" t="s">
        <v>463</v>
      </c>
      <c r="D3771" s="140" t="s">
        <v>464</v>
      </c>
      <c r="E3771" s="140">
        <v>14</v>
      </c>
      <c r="F3771" s="142">
        <v>46043.458333333328</v>
      </c>
      <c r="G3771" s="140" t="s">
        <v>845</v>
      </c>
      <c r="H3771" s="140" t="s">
        <v>876</v>
      </c>
    </row>
    <row r="3772" spans="1:8" ht="15.75" customHeight="1">
      <c r="A3772" s="140" t="s">
        <v>83</v>
      </c>
      <c r="B3772" s="140" t="s">
        <v>22</v>
      </c>
      <c r="C3772" s="141" t="s">
        <v>463</v>
      </c>
      <c r="D3772" s="140" t="s">
        <v>464</v>
      </c>
      <c r="E3772" s="140">
        <v>15</v>
      </c>
      <c r="F3772" s="142">
        <v>46050.416666666672</v>
      </c>
      <c r="G3772" s="140" t="s">
        <v>845</v>
      </c>
      <c r="H3772" s="140" t="s">
        <v>876</v>
      </c>
    </row>
    <row r="3773" spans="1:8" ht="15.75" customHeight="1">
      <c r="A3773" s="140" t="s">
        <v>83</v>
      </c>
      <c r="B3773" s="140" t="s">
        <v>22</v>
      </c>
      <c r="C3773" s="141" t="s">
        <v>463</v>
      </c>
      <c r="D3773" s="140" t="s">
        <v>464</v>
      </c>
      <c r="E3773" s="140">
        <v>16</v>
      </c>
      <c r="F3773" s="142">
        <v>46106.541666666672</v>
      </c>
      <c r="G3773" s="140" t="s">
        <v>843</v>
      </c>
      <c r="H3773" s="140" t="s">
        <v>876</v>
      </c>
    </row>
    <row r="3774" spans="1:8" ht="15.75" customHeight="1">
      <c r="A3774" s="140" t="s">
        <v>83</v>
      </c>
      <c r="B3774" s="140" t="s">
        <v>21</v>
      </c>
      <c r="C3774" s="141" t="s">
        <v>633</v>
      </c>
      <c r="D3774" s="140" t="s">
        <v>634</v>
      </c>
      <c r="E3774" s="140">
        <v>1</v>
      </c>
      <c r="F3774" s="142">
        <v>45764.416666666672</v>
      </c>
      <c r="G3774" s="140" t="s">
        <v>845</v>
      </c>
      <c r="H3774" s="140" t="s">
        <v>876</v>
      </c>
    </row>
    <row r="3775" spans="1:8" ht="15.75" customHeight="1">
      <c r="A3775" s="140" t="s">
        <v>83</v>
      </c>
      <c r="B3775" s="140" t="s">
        <v>21</v>
      </c>
      <c r="C3775" s="141" t="s">
        <v>633</v>
      </c>
      <c r="D3775" s="140" t="s">
        <v>634</v>
      </c>
      <c r="E3775" s="140">
        <v>2</v>
      </c>
      <c r="F3775" s="142">
        <v>45784.583333333328</v>
      </c>
      <c r="G3775" s="140" t="s">
        <v>843</v>
      </c>
      <c r="H3775" s="140" t="s">
        <v>876</v>
      </c>
    </row>
    <row r="3776" spans="1:8" ht="15.75" customHeight="1">
      <c r="A3776" s="140" t="s">
        <v>83</v>
      </c>
      <c r="B3776" s="140" t="s">
        <v>21</v>
      </c>
      <c r="C3776" s="141" t="s">
        <v>633</v>
      </c>
      <c r="D3776" s="140" t="s">
        <v>634</v>
      </c>
      <c r="E3776" s="140">
        <v>3</v>
      </c>
      <c r="F3776" s="142">
        <v>45804.375</v>
      </c>
      <c r="G3776" s="140" t="s">
        <v>845</v>
      </c>
      <c r="H3776" s="140" t="s">
        <v>876</v>
      </c>
    </row>
    <row r="3777" spans="1:8" ht="15.75" customHeight="1">
      <c r="A3777" s="140" t="s">
        <v>83</v>
      </c>
      <c r="B3777" s="140" t="s">
        <v>21</v>
      </c>
      <c r="C3777" s="141" t="s">
        <v>633</v>
      </c>
      <c r="D3777" s="140" t="s">
        <v>634</v>
      </c>
      <c r="E3777" s="140">
        <v>4</v>
      </c>
      <c r="F3777" s="142">
        <v>45805.416666666672</v>
      </c>
      <c r="G3777" s="140" t="s">
        <v>845</v>
      </c>
      <c r="H3777" s="140" t="s">
        <v>876</v>
      </c>
    </row>
    <row r="3778" spans="1:8" ht="15.75" customHeight="1">
      <c r="A3778" s="140" t="s">
        <v>83</v>
      </c>
      <c r="B3778" s="140" t="s">
        <v>21</v>
      </c>
      <c r="C3778" s="141" t="s">
        <v>633</v>
      </c>
      <c r="D3778" s="140" t="s">
        <v>634</v>
      </c>
      <c r="E3778" s="140">
        <v>5</v>
      </c>
      <c r="F3778" s="142">
        <v>45812.458333333328</v>
      </c>
      <c r="G3778" s="140" t="s">
        <v>845</v>
      </c>
      <c r="H3778" s="140" t="s">
        <v>876</v>
      </c>
    </row>
    <row r="3779" spans="1:8" ht="15.75" customHeight="1">
      <c r="A3779" s="140" t="s">
        <v>83</v>
      </c>
      <c r="B3779" s="140" t="s">
        <v>21</v>
      </c>
      <c r="C3779" s="141" t="s">
        <v>633</v>
      </c>
      <c r="D3779" s="140" t="s">
        <v>634</v>
      </c>
      <c r="E3779" s="140">
        <v>6</v>
      </c>
      <c r="F3779" s="142">
        <v>45819.458333333328</v>
      </c>
      <c r="G3779" s="140" t="s">
        <v>845</v>
      </c>
      <c r="H3779" s="140" t="s">
        <v>876</v>
      </c>
    </row>
    <row r="3780" spans="1:8" ht="15.75" customHeight="1">
      <c r="A3780" s="140" t="s">
        <v>83</v>
      </c>
      <c r="B3780" s="140" t="s">
        <v>21</v>
      </c>
      <c r="C3780" s="141" t="s">
        <v>633</v>
      </c>
      <c r="D3780" s="140" t="s">
        <v>634</v>
      </c>
      <c r="E3780" s="140">
        <v>7</v>
      </c>
      <c r="F3780" s="142">
        <v>45827.416666666672</v>
      </c>
      <c r="G3780" s="140" t="s">
        <v>845</v>
      </c>
      <c r="H3780" s="140" t="s">
        <v>876</v>
      </c>
    </row>
    <row r="3781" spans="1:8" ht="15.75" customHeight="1">
      <c r="A3781" s="140" t="s">
        <v>83</v>
      </c>
      <c r="B3781" s="140" t="s">
        <v>21</v>
      </c>
      <c r="C3781" s="141" t="s">
        <v>633</v>
      </c>
      <c r="D3781" s="140" t="s">
        <v>634</v>
      </c>
      <c r="E3781" s="140">
        <v>8</v>
      </c>
      <c r="F3781" s="142">
        <v>45833.375</v>
      </c>
      <c r="G3781" s="140" t="s">
        <v>845</v>
      </c>
      <c r="H3781" s="140" t="s">
        <v>876</v>
      </c>
    </row>
    <row r="3782" spans="1:8" ht="15.75" customHeight="1">
      <c r="A3782" s="140" t="s">
        <v>83</v>
      </c>
      <c r="B3782" s="140" t="s">
        <v>21</v>
      </c>
      <c r="C3782" s="141" t="s">
        <v>633</v>
      </c>
      <c r="D3782" s="140" t="s">
        <v>634</v>
      </c>
      <c r="E3782" s="140">
        <v>9</v>
      </c>
      <c r="F3782" s="142">
        <v>45840.416666666672</v>
      </c>
      <c r="G3782" s="140" t="s">
        <v>845</v>
      </c>
      <c r="H3782" s="140" t="s">
        <v>876</v>
      </c>
    </row>
    <row r="3783" spans="1:8" ht="15.75" customHeight="1">
      <c r="A3783" s="140" t="s">
        <v>83</v>
      </c>
      <c r="B3783" s="140" t="s">
        <v>21</v>
      </c>
      <c r="C3783" s="141" t="s">
        <v>633</v>
      </c>
      <c r="D3783" s="140" t="s">
        <v>634</v>
      </c>
      <c r="E3783" s="140">
        <v>10</v>
      </c>
      <c r="F3783" s="142">
        <v>45861.541666666672</v>
      </c>
      <c r="G3783" s="140" t="s">
        <v>845</v>
      </c>
      <c r="H3783" s="140" t="s">
        <v>876</v>
      </c>
    </row>
    <row r="3784" spans="1:8" ht="15.75" customHeight="1">
      <c r="A3784" s="140" t="s">
        <v>83</v>
      </c>
      <c r="B3784" s="140" t="s">
        <v>22</v>
      </c>
      <c r="C3784" s="141" t="s">
        <v>633</v>
      </c>
      <c r="D3784" s="140" t="s">
        <v>634</v>
      </c>
      <c r="E3784" s="140">
        <v>1</v>
      </c>
      <c r="F3784" s="142">
        <v>45882.416666666672</v>
      </c>
      <c r="G3784" s="140" t="s">
        <v>845</v>
      </c>
      <c r="H3784" s="140" t="s">
        <v>876</v>
      </c>
    </row>
    <row r="3785" spans="1:8" ht="15.75" customHeight="1">
      <c r="A3785" s="140" t="s">
        <v>83</v>
      </c>
      <c r="B3785" s="140" t="s">
        <v>22</v>
      </c>
      <c r="C3785" s="141" t="s">
        <v>633</v>
      </c>
      <c r="D3785" s="140" t="s">
        <v>634</v>
      </c>
      <c r="E3785" s="140">
        <v>2</v>
      </c>
      <c r="F3785" s="142">
        <v>45889.416666666672</v>
      </c>
      <c r="G3785" s="140" t="s">
        <v>845</v>
      </c>
      <c r="H3785" s="140" t="s">
        <v>876</v>
      </c>
    </row>
    <row r="3786" spans="1:8" ht="15.75" customHeight="1">
      <c r="A3786" s="140" t="s">
        <v>83</v>
      </c>
      <c r="B3786" s="140" t="s">
        <v>22</v>
      </c>
      <c r="C3786" s="141" t="s">
        <v>633</v>
      </c>
      <c r="D3786" s="140" t="s">
        <v>634</v>
      </c>
      <c r="E3786" s="140">
        <v>3</v>
      </c>
      <c r="F3786" s="142">
        <v>45896.416666666672</v>
      </c>
      <c r="G3786" s="140" t="s">
        <v>843</v>
      </c>
      <c r="H3786" s="140" t="s">
        <v>876</v>
      </c>
    </row>
    <row r="3787" spans="1:8" ht="15.75" customHeight="1">
      <c r="A3787" s="140" t="s">
        <v>83</v>
      </c>
      <c r="B3787" s="140" t="s">
        <v>22</v>
      </c>
      <c r="C3787" s="141" t="s">
        <v>633</v>
      </c>
      <c r="D3787" s="140" t="s">
        <v>634</v>
      </c>
      <c r="E3787" s="140">
        <v>4</v>
      </c>
      <c r="F3787" s="142">
        <v>45903.416666666672</v>
      </c>
      <c r="G3787" s="140" t="s">
        <v>843</v>
      </c>
      <c r="H3787" s="140" t="s">
        <v>876</v>
      </c>
    </row>
    <row r="3788" spans="1:8" ht="15.75" customHeight="1">
      <c r="A3788" s="140" t="s">
        <v>83</v>
      </c>
      <c r="B3788" s="140" t="s">
        <v>22</v>
      </c>
      <c r="C3788" s="141" t="s">
        <v>633</v>
      </c>
      <c r="D3788" s="140" t="s">
        <v>634</v>
      </c>
      <c r="E3788" s="140">
        <v>5</v>
      </c>
      <c r="F3788" s="142">
        <v>45910.416666666672</v>
      </c>
      <c r="G3788" s="140" t="s">
        <v>845</v>
      </c>
      <c r="H3788" s="140" t="s">
        <v>876</v>
      </c>
    </row>
    <row r="3789" spans="1:8" ht="15.75" customHeight="1">
      <c r="A3789" s="140" t="s">
        <v>83</v>
      </c>
      <c r="B3789" s="140" t="s">
        <v>22</v>
      </c>
      <c r="C3789" s="141" t="s">
        <v>633</v>
      </c>
      <c r="D3789" s="140" t="s">
        <v>634</v>
      </c>
      <c r="E3789" s="140">
        <v>6</v>
      </c>
      <c r="F3789" s="142">
        <v>45924.458333333328</v>
      </c>
      <c r="G3789" s="140" t="s">
        <v>845</v>
      </c>
      <c r="H3789" s="140" t="s">
        <v>876</v>
      </c>
    </row>
    <row r="3790" spans="1:8" ht="15.75" customHeight="1">
      <c r="A3790" s="140" t="s">
        <v>83</v>
      </c>
      <c r="B3790" s="140" t="s">
        <v>22</v>
      </c>
      <c r="C3790" s="141" t="s">
        <v>633</v>
      </c>
      <c r="D3790" s="140" t="s">
        <v>634</v>
      </c>
      <c r="E3790" s="140">
        <v>7</v>
      </c>
      <c r="F3790" s="142">
        <v>45931.416666666672</v>
      </c>
      <c r="G3790" s="140" t="s">
        <v>845</v>
      </c>
      <c r="H3790" s="140" t="s">
        <v>876</v>
      </c>
    </row>
    <row r="3791" spans="1:8" ht="15.75" customHeight="1">
      <c r="A3791" s="140" t="s">
        <v>83</v>
      </c>
      <c r="B3791" s="140" t="s">
        <v>22</v>
      </c>
      <c r="C3791" s="141" t="s">
        <v>633</v>
      </c>
      <c r="D3791" s="140" t="s">
        <v>634</v>
      </c>
      <c r="E3791" s="140">
        <v>8</v>
      </c>
      <c r="F3791" s="142">
        <v>45938.458333333328</v>
      </c>
      <c r="G3791" s="140" t="s">
        <v>845</v>
      </c>
      <c r="H3791" s="140" t="s">
        <v>876</v>
      </c>
    </row>
    <row r="3792" spans="1:8" ht="15.75" customHeight="1">
      <c r="A3792" s="140" t="s">
        <v>83</v>
      </c>
      <c r="B3792" s="140" t="s">
        <v>22</v>
      </c>
      <c r="C3792" s="141" t="s">
        <v>633</v>
      </c>
      <c r="D3792" s="140" t="s">
        <v>634</v>
      </c>
      <c r="E3792" s="140">
        <v>9</v>
      </c>
      <c r="F3792" s="142">
        <v>45980.416666666672</v>
      </c>
      <c r="G3792" s="140" t="s">
        <v>845</v>
      </c>
      <c r="H3792" s="140" t="s">
        <v>876</v>
      </c>
    </row>
    <row r="3793" spans="1:8" ht="15.75" customHeight="1">
      <c r="A3793" s="140" t="s">
        <v>83</v>
      </c>
      <c r="B3793" s="140" t="s">
        <v>22</v>
      </c>
      <c r="C3793" s="141" t="s">
        <v>633</v>
      </c>
      <c r="D3793" s="140" t="s">
        <v>634</v>
      </c>
      <c r="E3793" s="140">
        <v>10</v>
      </c>
      <c r="F3793" s="142">
        <v>45987.416666666672</v>
      </c>
      <c r="G3793" s="140" t="s">
        <v>845</v>
      </c>
      <c r="H3793" s="140" t="s">
        <v>876</v>
      </c>
    </row>
    <row r="3794" spans="1:8" ht="15.75" customHeight="1">
      <c r="A3794" s="140" t="s">
        <v>83</v>
      </c>
      <c r="B3794" s="140" t="s">
        <v>22</v>
      </c>
      <c r="C3794" s="141" t="s">
        <v>633</v>
      </c>
      <c r="D3794" s="140" t="s">
        <v>634</v>
      </c>
      <c r="E3794" s="140">
        <v>11</v>
      </c>
      <c r="F3794" s="142">
        <v>45994.583333333328</v>
      </c>
      <c r="G3794" s="140" t="s">
        <v>845</v>
      </c>
      <c r="H3794" s="140" t="s">
        <v>876</v>
      </c>
    </row>
    <row r="3795" spans="1:8" ht="15.75" customHeight="1">
      <c r="A3795" s="140" t="s">
        <v>83</v>
      </c>
      <c r="B3795" s="140" t="s">
        <v>22</v>
      </c>
      <c r="C3795" s="141" t="s">
        <v>633</v>
      </c>
      <c r="D3795" s="140" t="s">
        <v>634</v>
      </c>
      <c r="E3795" s="140">
        <v>12</v>
      </c>
      <c r="F3795" s="142">
        <v>46008.416666666672</v>
      </c>
      <c r="G3795" s="140" t="s">
        <v>845</v>
      </c>
      <c r="H3795" s="140" t="s">
        <v>876</v>
      </c>
    </row>
    <row r="3796" spans="1:8" ht="15.75" customHeight="1">
      <c r="A3796" s="140" t="s">
        <v>83</v>
      </c>
      <c r="B3796" s="140" t="s">
        <v>22</v>
      </c>
      <c r="C3796" s="141" t="s">
        <v>633</v>
      </c>
      <c r="D3796" s="140" t="s">
        <v>634</v>
      </c>
      <c r="E3796" s="140">
        <v>13</v>
      </c>
      <c r="F3796" s="142">
        <v>46036.416666666672</v>
      </c>
      <c r="G3796" s="140" t="s">
        <v>845</v>
      </c>
      <c r="H3796" s="140" t="s">
        <v>876</v>
      </c>
    </row>
    <row r="3797" spans="1:8" ht="15.75" customHeight="1">
      <c r="A3797" s="140" t="s">
        <v>83</v>
      </c>
      <c r="B3797" s="140" t="s">
        <v>22</v>
      </c>
      <c r="C3797" s="141" t="s">
        <v>633</v>
      </c>
      <c r="D3797" s="140" t="s">
        <v>634</v>
      </c>
      <c r="E3797" s="140">
        <v>14</v>
      </c>
      <c r="F3797" s="142">
        <v>46043.458333333328</v>
      </c>
      <c r="G3797" s="140" t="s">
        <v>843</v>
      </c>
      <c r="H3797" s="140" t="s">
        <v>876</v>
      </c>
    </row>
    <row r="3798" spans="1:8" ht="15.75" customHeight="1">
      <c r="A3798" s="140" t="s">
        <v>83</v>
      </c>
      <c r="B3798" s="140" t="s">
        <v>22</v>
      </c>
      <c r="C3798" s="141" t="s">
        <v>633</v>
      </c>
      <c r="D3798" s="140" t="s">
        <v>634</v>
      </c>
      <c r="E3798" s="140">
        <v>15</v>
      </c>
      <c r="F3798" s="142">
        <v>46050.416666666672</v>
      </c>
      <c r="G3798" s="140" t="s">
        <v>845</v>
      </c>
      <c r="H3798" s="140" t="s">
        <v>876</v>
      </c>
    </row>
    <row r="3799" spans="1:8" ht="15.75" customHeight="1">
      <c r="A3799" s="140" t="s">
        <v>83</v>
      </c>
      <c r="B3799" s="140" t="s">
        <v>22</v>
      </c>
      <c r="C3799" s="141" t="s">
        <v>633</v>
      </c>
      <c r="D3799" s="140" t="s">
        <v>634</v>
      </c>
      <c r="E3799" s="140">
        <v>16</v>
      </c>
      <c r="F3799" s="142">
        <v>46106.541666666672</v>
      </c>
      <c r="G3799" s="140" t="s">
        <v>845</v>
      </c>
      <c r="H3799" s="140" t="s">
        <v>876</v>
      </c>
    </row>
    <row r="3800" spans="1:8" ht="15.75" customHeight="1">
      <c r="A3800" s="140" t="s">
        <v>83</v>
      </c>
      <c r="B3800" s="140" t="s">
        <v>21</v>
      </c>
      <c r="C3800" s="141" t="s">
        <v>641</v>
      </c>
      <c r="D3800" s="140" t="s">
        <v>642</v>
      </c>
      <c r="E3800" s="140">
        <v>1</v>
      </c>
      <c r="F3800" s="142">
        <v>45764.416666666672</v>
      </c>
      <c r="G3800" s="140" t="s">
        <v>845</v>
      </c>
      <c r="H3800" s="140" t="s">
        <v>876</v>
      </c>
    </row>
    <row r="3801" spans="1:8" ht="15.75" customHeight="1">
      <c r="A3801" s="140" t="s">
        <v>83</v>
      </c>
      <c r="B3801" s="140" t="s">
        <v>21</v>
      </c>
      <c r="C3801" s="141" t="s">
        <v>641</v>
      </c>
      <c r="D3801" s="140" t="s">
        <v>642</v>
      </c>
      <c r="E3801" s="140">
        <v>2</v>
      </c>
      <c r="F3801" s="142">
        <v>45784.583333333328</v>
      </c>
      <c r="G3801" s="140" t="s">
        <v>845</v>
      </c>
      <c r="H3801" s="140" t="s">
        <v>876</v>
      </c>
    </row>
    <row r="3802" spans="1:8" ht="15.75" customHeight="1">
      <c r="A3802" s="140" t="s">
        <v>83</v>
      </c>
      <c r="B3802" s="140" t="s">
        <v>21</v>
      </c>
      <c r="C3802" s="141" t="s">
        <v>641</v>
      </c>
      <c r="D3802" s="140" t="s">
        <v>642</v>
      </c>
      <c r="E3802" s="140">
        <v>3</v>
      </c>
      <c r="F3802" s="142">
        <v>45804.375</v>
      </c>
      <c r="G3802" s="140" t="s">
        <v>845</v>
      </c>
      <c r="H3802" s="140" t="s">
        <v>876</v>
      </c>
    </row>
    <row r="3803" spans="1:8" ht="15.75" customHeight="1">
      <c r="A3803" s="140" t="s">
        <v>83</v>
      </c>
      <c r="B3803" s="140" t="s">
        <v>21</v>
      </c>
      <c r="C3803" s="141" t="s">
        <v>641</v>
      </c>
      <c r="D3803" s="140" t="s">
        <v>642</v>
      </c>
      <c r="E3803" s="140">
        <v>4</v>
      </c>
      <c r="F3803" s="142">
        <v>45805.416666666672</v>
      </c>
      <c r="G3803" s="140" t="s">
        <v>845</v>
      </c>
      <c r="H3803" s="140" t="s">
        <v>876</v>
      </c>
    </row>
    <row r="3804" spans="1:8" ht="15.75" customHeight="1">
      <c r="A3804" s="140" t="s">
        <v>83</v>
      </c>
      <c r="B3804" s="140" t="s">
        <v>21</v>
      </c>
      <c r="C3804" s="141" t="s">
        <v>641</v>
      </c>
      <c r="D3804" s="140" t="s">
        <v>642</v>
      </c>
      <c r="E3804" s="140">
        <v>5</v>
      </c>
      <c r="F3804" s="142">
        <v>45812.458333333328</v>
      </c>
      <c r="G3804" s="140" t="s">
        <v>843</v>
      </c>
      <c r="H3804" s="140" t="s">
        <v>876</v>
      </c>
    </row>
    <row r="3805" spans="1:8" ht="15.75" customHeight="1">
      <c r="A3805" s="140" t="s">
        <v>83</v>
      </c>
      <c r="B3805" s="140" t="s">
        <v>21</v>
      </c>
      <c r="C3805" s="141" t="s">
        <v>641</v>
      </c>
      <c r="D3805" s="140" t="s">
        <v>642</v>
      </c>
      <c r="E3805" s="140">
        <v>6</v>
      </c>
      <c r="F3805" s="142">
        <v>45819.458333333328</v>
      </c>
      <c r="G3805" s="140" t="s">
        <v>845</v>
      </c>
      <c r="H3805" s="140" t="s">
        <v>876</v>
      </c>
    </row>
    <row r="3806" spans="1:8" ht="15.75" customHeight="1">
      <c r="A3806" s="140" t="s">
        <v>83</v>
      </c>
      <c r="B3806" s="140" t="s">
        <v>21</v>
      </c>
      <c r="C3806" s="141" t="s">
        <v>641</v>
      </c>
      <c r="D3806" s="140" t="s">
        <v>642</v>
      </c>
      <c r="E3806" s="140">
        <v>7</v>
      </c>
      <c r="F3806" s="142">
        <v>45827.416666666672</v>
      </c>
      <c r="G3806" s="140" t="s">
        <v>845</v>
      </c>
      <c r="H3806" s="140" t="s">
        <v>876</v>
      </c>
    </row>
    <row r="3807" spans="1:8" ht="15.75" customHeight="1">
      <c r="A3807" s="140" t="s">
        <v>83</v>
      </c>
      <c r="B3807" s="140" t="s">
        <v>21</v>
      </c>
      <c r="C3807" s="141" t="s">
        <v>641</v>
      </c>
      <c r="D3807" s="140" t="s">
        <v>642</v>
      </c>
      <c r="E3807" s="140">
        <v>8</v>
      </c>
      <c r="F3807" s="142">
        <v>45833.375</v>
      </c>
      <c r="G3807" s="140" t="s">
        <v>845</v>
      </c>
      <c r="H3807" s="140" t="s">
        <v>876</v>
      </c>
    </row>
    <row r="3808" spans="1:8" ht="15.75" customHeight="1">
      <c r="A3808" s="140" t="s">
        <v>83</v>
      </c>
      <c r="B3808" s="140" t="s">
        <v>21</v>
      </c>
      <c r="C3808" s="141" t="s">
        <v>641</v>
      </c>
      <c r="D3808" s="140" t="s">
        <v>642</v>
      </c>
      <c r="E3808" s="140">
        <v>9</v>
      </c>
      <c r="F3808" s="142">
        <v>45840.416666666672</v>
      </c>
      <c r="G3808" s="140" t="s">
        <v>845</v>
      </c>
      <c r="H3808" s="140" t="s">
        <v>876</v>
      </c>
    </row>
    <row r="3809" spans="1:8" ht="15.75" customHeight="1">
      <c r="A3809" s="140" t="s">
        <v>83</v>
      </c>
      <c r="B3809" s="140" t="s">
        <v>21</v>
      </c>
      <c r="C3809" s="141" t="s">
        <v>641</v>
      </c>
      <c r="D3809" s="140" t="s">
        <v>642</v>
      </c>
      <c r="E3809" s="140">
        <v>10</v>
      </c>
      <c r="F3809" s="142">
        <v>45861.541666666672</v>
      </c>
      <c r="G3809" s="140" t="s">
        <v>845</v>
      </c>
      <c r="H3809" s="140" t="s">
        <v>876</v>
      </c>
    </row>
    <row r="3810" spans="1:8" ht="15.75" customHeight="1">
      <c r="A3810" s="140" t="s">
        <v>83</v>
      </c>
      <c r="B3810" s="140" t="s">
        <v>22</v>
      </c>
      <c r="C3810" s="141" t="s">
        <v>641</v>
      </c>
      <c r="D3810" s="140" t="s">
        <v>642</v>
      </c>
      <c r="E3810" s="140">
        <v>1</v>
      </c>
      <c r="F3810" s="142">
        <v>45882.416666666672</v>
      </c>
      <c r="G3810" s="140" t="s">
        <v>845</v>
      </c>
      <c r="H3810" s="140" t="s">
        <v>876</v>
      </c>
    </row>
    <row r="3811" spans="1:8" ht="15.75" customHeight="1">
      <c r="A3811" s="140" t="s">
        <v>83</v>
      </c>
      <c r="B3811" s="140" t="s">
        <v>22</v>
      </c>
      <c r="C3811" s="141" t="s">
        <v>641</v>
      </c>
      <c r="D3811" s="140" t="s">
        <v>642</v>
      </c>
      <c r="E3811" s="140">
        <v>2</v>
      </c>
      <c r="F3811" s="142">
        <v>45889.416666666672</v>
      </c>
      <c r="G3811" s="140" t="s">
        <v>845</v>
      </c>
      <c r="H3811" s="140" t="s">
        <v>876</v>
      </c>
    </row>
    <row r="3812" spans="1:8" ht="15.75" customHeight="1">
      <c r="A3812" s="140" t="s">
        <v>83</v>
      </c>
      <c r="B3812" s="140" t="s">
        <v>22</v>
      </c>
      <c r="C3812" s="141" t="s">
        <v>641</v>
      </c>
      <c r="D3812" s="140" t="s">
        <v>642</v>
      </c>
      <c r="E3812" s="140">
        <v>3</v>
      </c>
      <c r="F3812" s="142">
        <v>45896.416666666672</v>
      </c>
      <c r="G3812" s="140" t="s">
        <v>845</v>
      </c>
      <c r="H3812" s="140" t="s">
        <v>876</v>
      </c>
    </row>
    <row r="3813" spans="1:8" ht="15.75" customHeight="1">
      <c r="A3813" s="140" t="s">
        <v>83</v>
      </c>
      <c r="B3813" s="140" t="s">
        <v>22</v>
      </c>
      <c r="C3813" s="141" t="s">
        <v>641</v>
      </c>
      <c r="D3813" s="140" t="s">
        <v>642</v>
      </c>
      <c r="E3813" s="140">
        <v>4</v>
      </c>
      <c r="F3813" s="142">
        <v>45903.416666666672</v>
      </c>
      <c r="G3813" s="140" t="s">
        <v>845</v>
      </c>
      <c r="H3813" s="140" t="s">
        <v>876</v>
      </c>
    </row>
    <row r="3814" spans="1:8" ht="15.75" customHeight="1">
      <c r="A3814" s="140" t="s">
        <v>83</v>
      </c>
      <c r="B3814" s="140" t="s">
        <v>22</v>
      </c>
      <c r="C3814" s="141" t="s">
        <v>641</v>
      </c>
      <c r="D3814" s="140" t="s">
        <v>642</v>
      </c>
      <c r="E3814" s="140">
        <v>5</v>
      </c>
      <c r="F3814" s="142">
        <v>45910.416666666672</v>
      </c>
      <c r="G3814" s="140" t="s">
        <v>845</v>
      </c>
      <c r="H3814" s="140" t="s">
        <v>876</v>
      </c>
    </row>
    <row r="3815" spans="1:8" ht="15.75" customHeight="1">
      <c r="A3815" s="140" t="s">
        <v>83</v>
      </c>
      <c r="B3815" s="140" t="s">
        <v>22</v>
      </c>
      <c r="C3815" s="141" t="s">
        <v>641</v>
      </c>
      <c r="D3815" s="140" t="s">
        <v>642</v>
      </c>
      <c r="E3815" s="140">
        <v>6</v>
      </c>
      <c r="F3815" s="142">
        <v>45924.458333333328</v>
      </c>
      <c r="G3815" s="140" t="s">
        <v>845</v>
      </c>
      <c r="H3815" s="140" t="s">
        <v>876</v>
      </c>
    </row>
    <row r="3816" spans="1:8" ht="15.75" customHeight="1">
      <c r="A3816" s="140" t="s">
        <v>83</v>
      </c>
      <c r="B3816" s="140" t="s">
        <v>22</v>
      </c>
      <c r="C3816" s="141" t="s">
        <v>641</v>
      </c>
      <c r="D3816" s="140" t="s">
        <v>642</v>
      </c>
      <c r="E3816" s="140">
        <v>7</v>
      </c>
      <c r="F3816" s="142">
        <v>45931.416666666672</v>
      </c>
      <c r="G3816" s="140" t="s">
        <v>845</v>
      </c>
      <c r="H3816" s="140" t="s">
        <v>876</v>
      </c>
    </row>
    <row r="3817" spans="1:8" ht="15.75" customHeight="1">
      <c r="A3817" s="140" t="s">
        <v>83</v>
      </c>
      <c r="B3817" s="140" t="s">
        <v>22</v>
      </c>
      <c r="C3817" s="141" t="s">
        <v>641</v>
      </c>
      <c r="D3817" s="140" t="s">
        <v>642</v>
      </c>
      <c r="E3817" s="140">
        <v>8</v>
      </c>
      <c r="F3817" s="142">
        <v>45938.458333333328</v>
      </c>
      <c r="G3817" s="140" t="s">
        <v>845</v>
      </c>
      <c r="H3817" s="140" t="s">
        <v>876</v>
      </c>
    </row>
    <row r="3818" spans="1:8" ht="15.75" customHeight="1">
      <c r="A3818" s="140" t="s">
        <v>83</v>
      </c>
      <c r="B3818" s="140" t="s">
        <v>22</v>
      </c>
      <c r="C3818" s="141" t="s">
        <v>641</v>
      </c>
      <c r="D3818" s="140" t="s">
        <v>642</v>
      </c>
      <c r="E3818" s="140">
        <v>9</v>
      </c>
      <c r="F3818" s="142">
        <v>45980.416666666672</v>
      </c>
      <c r="G3818" s="140" t="s">
        <v>845</v>
      </c>
      <c r="H3818" s="140" t="s">
        <v>876</v>
      </c>
    </row>
    <row r="3819" spans="1:8" ht="15.75" customHeight="1">
      <c r="A3819" s="140" t="s">
        <v>83</v>
      </c>
      <c r="B3819" s="140" t="s">
        <v>22</v>
      </c>
      <c r="C3819" s="141" t="s">
        <v>641</v>
      </c>
      <c r="D3819" s="140" t="s">
        <v>642</v>
      </c>
      <c r="E3819" s="140">
        <v>10</v>
      </c>
      <c r="F3819" s="142">
        <v>45987.416666666672</v>
      </c>
      <c r="G3819" s="140" t="s">
        <v>845</v>
      </c>
      <c r="H3819" s="140" t="s">
        <v>876</v>
      </c>
    </row>
    <row r="3820" spans="1:8" ht="15.75" customHeight="1">
      <c r="A3820" s="140" t="s">
        <v>83</v>
      </c>
      <c r="B3820" s="140" t="s">
        <v>22</v>
      </c>
      <c r="C3820" s="141" t="s">
        <v>641</v>
      </c>
      <c r="D3820" s="140" t="s">
        <v>642</v>
      </c>
      <c r="E3820" s="140">
        <v>11</v>
      </c>
      <c r="F3820" s="142">
        <v>45994.583333333328</v>
      </c>
      <c r="G3820" s="140" t="s">
        <v>845</v>
      </c>
      <c r="H3820" s="140" t="s">
        <v>876</v>
      </c>
    </row>
    <row r="3821" spans="1:8" ht="15.75" customHeight="1">
      <c r="A3821" s="140" t="s">
        <v>83</v>
      </c>
      <c r="B3821" s="140" t="s">
        <v>22</v>
      </c>
      <c r="C3821" s="141" t="s">
        <v>641</v>
      </c>
      <c r="D3821" s="140" t="s">
        <v>642</v>
      </c>
      <c r="E3821" s="140">
        <v>12</v>
      </c>
      <c r="F3821" s="142">
        <v>46008.416666666672</v>
      </c>
      <c r="G3821" s="140" t="s">
        <v>845</v>
      </c>
      <c r="H3821" s="140" t="s">
        <v>876</v>
      </c>
    </row>
    <row r="3822" spans="1:8" ht="15.75" customHeight="1">
      <c r="A3822" s="140" t="s">
        <v>83</v>
      </c>
      <c r="B3822" s="140" t="s">
        <v>22</v>
      </c>
      <c r="C3822" s="141" t="s">
        <v>641</v>
      </c>
      <c r="D3822" s="140" t="s">
        <v>642</v>
      </c>
      <c r="E3822" s="140">
        <v>13</v>
      </c>
      <c r="F3822" s="142">
        <v>46036.416666666672</v>
      </c>
      <c r="G3822" s="140" t="s">
        <v>845</v>
      </c>
      <c r="H3822" s="140" t="s">
        <v>876</v>
      </c>
    </row>
    <row r="3823" spans="1:8" ht="15.75" customHeight="1">
      <c r="A3823" s="140" t="s">
        <v>83</v>
      </c>
      <c r="B3823" s="140" t="s">
        <v>22</v>
      </c>
      <c r="C3823" s="141" t="s">
        <v>641</v>
      </c>
      <c r="D3823" s="140" t="s">
        <v>642</v>
      </c>
      <c r="E3823" s="140">
        <v>14</v>
      </c>
      <c r="F3823" s="142">
        <v>46043.458333333328</v>
      </c>
      <c r="G3823" s="140" t="s">
        <v>845</v>
      </c>
      <c r="H3823" s="140" t="s">
        <v>876</v>
      </c>
    </row>
    <row r="3824" spans="1:8" ht="15.75" customHeight="1">
      <c r="A3824" s="140" t="s">
        <v>83</v>
      </c>
      <c r="B3824" s="140" t="s">
        <v>22</v>
      </c>
      <c r="C3824" s="141" t="s">
        <v>641</v>
      </c>
      <c r="D3824" s="140" t="s">
        <v>642</v>
      </c>
      <c r="E3824" s="140">
        <v>15</v>
      </c>
      <c r="F3824" s="142">
        <v>46050.416666666672</v>
      </c>
      <c r="G3824" s="140" t="s">
        <v>845</v>
      </c>
      <c r="H3824" s="140" t="s">
        <v>876</v>
      </c>
    </row>
    <row r="3825" spans="1:8" ht="15.75" customHeight="1">
      <c r="A3825" s="140" t="s">
        <v>83</v>
      </c>
      <c r="B3825" s="140" t="s">
        <v>22</v>
      </c>
      <c r="C3825" s="141" t="s">
        <v>641</v>
      </c>
      <c r="D3825" s="140" t="s">
        <v>642</v>
      </c>
      <c r="E3825" s="140">
        <v>16</v>
      </c>
      <c r="F3825" s="142">
        <v>46106.541666666672</v>
      </c>
      <c r="G3825" s="140" t="s">
        <v>845</v>
      </c>
      <c r="H3825" s="140" t="s">
        <v>876</v>
      </c>
    </row>
    <row r="3826" spans="1:8" ht="15.75" customHeight="1">
      <c r="A3826" s="140" t="s">
        <v>83</v>
      </c>
      <c r="B3826" s="140" t="s">
        <v>21</v>
      </c>
      <c r="C3826" s="141" t="s">
        <v>671</v>
      </c>
      <c r="D3826" s="140" t="s">
        <v>672</v>
      </c>
      <c r="E3826" s="140">
        <v>1</v>
      </c>
      <c r="F3826" s="142">
        <v>45764.416666666672</v>
      </c>
      <c r="G3826" s="140" t="s">
        <v>845</v>
      </c>
      <c r="H3826" s="140" t="s">
        <v>876</v>
      </c>
    </row>
    <row r="3827" spans="1:8" ht="15.75" customHeight="1">
      <c r="A3827" s="140" t="s">
        <v>83</v>
      </c>
      <c r="B3827" s="140" t="s">
        <v>21</v>
      </c>
      <c r="C3827" s="141" t="s">
        <v>671</v>
      </c>
      <c r="D3827" s="140" t="s">
        <v>672</v>
      </c>
      <c r="E3827" s="140">
        <v>2</v>
      </c>
      <c r="F3827" s="142">
        <v>45784.583333333328</v>
      </c>
      <c r="G3827" s="140" t="s">
        <v>843</v>
      </c>
      <c r="H3827" s="140" t="s">
        <v>876</v>
      </c>
    </row>
    <row r="3828" spans="1:8" ht="15.75" customHeight="1">
      <c r="A3828" s="140" t="s">
        <v>83</v>
      </c>
      <c r="B3828" s="140" t="s">
        <v>21</v>
      </c>
      <c r="C3828" s="141" t="s">
        <v>671</v>
      </c>
      <c r="D3828" s="140" t="s">
        <v>672</v>
      </c>
      <c r="E3828" s="140">
        <v>3</v>
      </c>
      <c r="F3828" s="142">
        <v>45804.375</v>
      </c>
      <c r="G3828" s="140" t="s">
        <v>845</v>
      </c>
      <c r="H3828" s="140" t="s">
        <v>876</v>
      </c>
    </row>
    <row r="3829" spans="1:8" ht="15.75" customHeight="1">
      <c r="A3829" s="140" t="s">
        <v>83</v>
      </c>
      <c r="B3829" s="140" t="s">
        <v>21</v>
      </c>
      <c r="C3829" s="141" t="s">
        <v>671</v>
      </c>
      <c r="D3829" s="140" t="s">
        <v>672</v>
      </c>
      <c r="E3829" s="140">
        <v>4</v>
      </c>
      <c r="F3829" s="142">
        <v>45805.416666666672</v>
      </c>
      <c r="G3829" s="140" t="s">
        <v>845</v>
      </c>
      <c r="H3829" s="140" t="s">
        <v>876</v>
      </c>
    </row>
    <row r="3830" spans="1:8" ht="15.75" customHeight="1">
      <c r="A3830" s="140" t="s">
        <v>83</v>
      </c>
      <c r="B3830" s="140" t="s">
        <v>21</v>
      </c>
      <c r="C3830" s="141" t="s">
        <v>671</v>
      </c>
      <c r="D3830" s="140" t="s">
        <v>672</v>
      </c>
      <c r="E3830" s="140">
        <v>5</v>
      </c>
      <c r="F3830" s="142">
        <v>45812.458333333328</v>
      </c>
      <c r="G3830" s="140" t="s">
        <v>845</v>
      </c>
      <c r="H3830" s="140" t="s">
        <v>876</v>
      </c>
    </row>
    <row r="3831" spans="1:8" ht="15.75" customHeight="1">
      <c r="A3831" s="140" t="s">
        <v>83</v>
      </c>
      <c r="B3831" s="140" t="s">
        <v>21</v>
      </c>
      <c r="C3831" s="141" t="s">
        <v>671</v>
      </c>
      <c r="D3831" s="140" t="s">
        <v>672</v>
      </c>
      <c r="E3831" s="140">
        <v>6</v>
      </c>
      <c r="F3831" s="142">
        <v>45819.458333333328</v>
      </c>
      <c r="G3831" s="140" t="s">
        <v>845</v>
      </c>
      <c r="H3831" s="140" t="s">
        <v>876</v>
      </c>
    </row>
    <row r="3832" spans="1:8" ht="15.75" customHeight="1">
      <c r="A3832" s="140" t="s">
        <v>83</v>
      </c>
      <c r="B3832" s="140" t="s">
        <v>21</v>
      </c>
      <c r="C3832" s="141" t="s">
        <v>671</v>
      </c>
      <c r="D3832" s="140" t="s">
        <v>672</v>
      </c>
      <c r="E3832" s="140">
        <v>7</v>
      </c>
      <c r="F3832" s="142">
        <v>45827.416666666672</v>
      </c>
      <c r="G3832" s="140" t="s">
        <v>845</v>
      </c>
      <c r="H3832" s="140" t="s">
        <v>876</v>
      </c>
    </row>
    <row r="3833" spans="1:8" ht="15.75" customHeight="1">
      <c r="A3833" s="140" t="s">
        <v>83</v>
      </c>
      <c r="B3833" s="140" t="s">
        <v>21</v>
      </c>
      <c r="C3833" s="141" t="s">
        <v>671</v>
      </c>
      <c r="D3833" s="140" t="s">
        <v>672</v>
      </c>
      <c r="E3833" s="140">
        <v>8</v>
      </c>
      <c r="F3833" s="142">
        <v>45833.375</v>
      </c>
      <c r="G3833" s="140" t="s">
        <v>845</v>
      </c>
      <c r="H3833" s="140" t="s">
        <v>876</v>
      </c>
    </row>
    <row r="3834" spans="1:8" ht="15.75" customHeight="1">
      <c r="A3834" s="140" t="s">
        <v>83</v>
      </c>
      <c r="B3834" s="140" t="s">
        <v>21</v>
      </c>
      <c r="C3834" s="141" t="s">
        <v>671</v>
      </c>
      <c r="D3834" s="140" t="s">
        <v>672</v>
      </c>
      <c r="E3834" s="140">
        <v>9</v>
      </c>
      <c r="F3834" s="142">
        <v>45840.416666666672</v>
      </c>
      <c r="G3834" s="140" t="s">
        <v>845</v>
      </c>
      <c r="H3834" s="140" t="s">
        <v>876</v>
      </c>
    </row>
    <row r="3835" spans="1:8" ht="15.75" customHeight="1">
      <c r="A3835" s="140" t="s">
        <v>83</v>
      </c>
      <c r="B3835" s="140" t="s">
        <v>21</v>
      </c>
      <c r="C3835" s="141" t="s">
        <v>671</v>
      </c>
      <c r="D3835" s="140" t="s">
        <v>672</v>
      </c>
      <c r="E3835" s="140">
        <v>10</v>
      </c>
      <c r="F3835" s="142">
        <v>45861.541666666672</v>
      </c>
      <c r="G3835" s="140" t="s">
        <v>845</v>
      </c>
      <c r="H3835" s="140" t="s">
        <v>876</v>
      </c>
    </row>
    <row r="3836" spans="1:8" ht="15.75" customHeight="1">
      <c r="A3836" s="140" t="s">
        <v>83</v>
      </c>
      <c r="B3836" s="140" t="s">
        <v>22</v>
      </c>
      <c r="C3836" s="141" t="s">
        <v>671</v>
      </c>
      <c r="D3836" s="140" t="s">
        <v>672</v>
      </c>
      <c r="E3836" s="140">
        <v>1</v>
      </c>
      <c r="F3836" s="142">
        <v>45882.416666666672</v>
      </c>
      <c r="G3836" s="140" t="s">
        <v>845</v>
      </c>
      <c r="H3836" s="140" t="s">
        <v>876</v>
      </c>
    </row>
    <row r="3837" spans="1:8" ht="15.75" customHeight="1">
      <c r="A3837" s="140" t="s">
        <v>83</v>
      </c>
      <c r="B3837" s="140" t="s">
        <v>22</v>
      </c>
      <c r="C3837" s="141" t="s">
        <v>671</v>
      </c>
      <c r="D3837" s="140" t="s">
        <v>672</v>
      </c>
      <c r="E3837" s="140">
        <v>2</v>
      </c>
      <c r="F3837" s="142">
        <v>45889.416666666672</v>
      </c>
      <c r="G3837" s="140" t="s">
        <v>845</v>
      </c>
      <c r="H3837" s="140" t="s">
        <v>876</v>
      </c>
    </row>
    <row r="3838" spans="1:8" ht="15.75" customHeight="1">
      <c r="A3838" s="140" t="s">
        <v>83</v>
      </c>
      <c r="B3838" s="140" t="s">
        <v>22</v>
      </c>
      <c r="C3838" s="141" t="s">
        <v>671</v>
      </c>
      <c r="D3838" s="140" t="s">
        <v>672</v>
      </c>
      <c r="E3838" s="140">
        <v>3</v>
      </c>
      <c r="F3838" s="142">
        <v>45896.416666666672</v>
      </c>
      <c r="G3838" s="140" t="s">
        <v>845</v>
      </c>
      <c r="H3838" s="140" t="s">
        <v>876</v>
      </c>
    </row>
    <row r="3839" spans="1:8" ht="15.75" customHeight="1">
      <c r="A3839" s="140" t="s">
        <v>83</v>
      </c>
      <c r="B3839" s="140" t="s">
        <v>22</v>
      </c>
      <c r="C3839" s="141" t="s">
        <v>671</v>
      </c>
      <c r="D3839" s="140" t="s">
        <v>672</v>
      </c>
      <c r="E3839" s="140">
        <v>4</v>
      </c>
      <c r="F3839" s="142">
        <v>45903.416666666672</v>
      </c>
      <c r="G3839" s="140" t="s">
        <v>845</v>
      </c>
      <c r="H3839" s="140" t="s">
        <v>876</v>
      </c>
    </row>
    <row r="3840" spans="1:8" ht="15.75" customHeight="1">
      <c r="A3840" s="140" t="s">
        <v>83</v>
      </c>
      <c r="B3840" s="140" t="s">
        <v>22</v>
      </c>
      <c r="C3840" s="141" t="s">
        <v>671</v>
      </c>
      <c r="D3840" s="140" t="s">
        <v>672</v>
      </c>
      <c r="E3840" s="140">
        <v>5</v>
      </c>
      <c r="F3840" s="142">
        <v>45910.416666666672</v>
      </c>
      <c r="G3840" s="140" t="s">
        <v>845</v>
      </c>
      <c r="H3840" s="140" t="s">
        <v>876</v>
      </c>
    </row>
    <row r="3841" spans="1:8" ht="15.75" customHeight="1">
      <c r="A3841" s="140" t="s">
        <v>83</v>
      </c>
      <c r="B3841" s="140" t="s">
        <v>22</v>
      </c>
      <c r="C3841" s="141" t="s">
        <v>671</v>
      </c>
      <c r="D3841" s="140" t="s">
        <v>672</v>
      </c>
      <c r="E3841" s="140">
        <v>6</v>
      </c>
      <c r="F3841" s="142">
        <v>45924.458333333328</v>
      </c>
      <c r="G3841" s="140" t="s">
        <v>845</v>
      </c>
      <c r="H3841" s="140" t="s">
        <v>876</v>
      </c>
    </row>
    <row r="3842" spans="1:8" ht="15.75" customHeight="1">
      <c r="A3842" s="140" t="s">
        <v>83</v>
      </c>
      <c r="B3842" s="140" t="s">
        <v>22</v>
      </c>
      <c r="C3842" s="141" t="s">
        <v>671</v>
      </c>
      <c r="D3842" s="140" t="s">
        <v>672</v>
      </c>
      <c r="E3842" s="140">
        <v>7</v>
      </c>
      <c r="F3842" s="142">
        <v>45931.416666666672</v>
      </c>
      <c r="G3842" s="140" t="s">
        <v>845</v>
      </c>
      <c r="H3842" s="140" t="s">
        <v>876</v>
      </c>
    </row>
    <row r="3843" spans="1:8" ht="15.75" customHeight="1">
      <c r="A3843" s="140" t="s">
        <v>83</v>
      </c>
      <c r="B3843" s="140" t="s">
        <v>22</v>
      </c>
      <c r="C3843" s="141" t="s">
        <v>671</v>
      </c>
      <c r="D3843" s="140" t="s">
        <v>672</v>
      </c>
      <c r="E3843" s="140">
        <v>8</v>
      </c>
      <c r="F3843" s="142">
        <v>45938.458333333328</v>
      </c>
      <c r="G3843" s="140" t="s">
        <v>845</v>
      </c>
      <c r="H3843" s="140" t="s">
        <v>876</v>
      </c>
    </row>
    <row r="3844" spans="1:8" ht="15.75" customHeight="1">
      <c r="A3844" s="140" t="s">
        <v>83</v>
      </c>
      <c r="B3844" s="140" t="s">
        <v>22</v>
      </c>
      <c r="C3844" s="141" t="s">
        <v>671</v>
      </c>
      <c r="D3844" s="140" t="s">
        <v>672</v>
      </c>
      <c r="E3844" s="140">
        <v>9</v>
      </c>
      <c r="F3844" s="142">
        <v>45980.416666666672</v>
      </c>
      <c r="G3844" s="140" t="s">
        <v>845</v>
      </c>
      <c r="H3844" s="140" t="s">
        <v>876</v>
      </c>
    </row>
    <row r="3845" spans="1:8" ht="15.75" customHeight="1">
      <c r="A3845" s="140" t="s">
        <v>83</v>
      </c>
      <c r="B3845" s="140" t="s">
        <v>22</v>
      </c>
      <c r="C3845" s="141" t="s">
        <v>671</v>
      </c>
      <c r="D3845" s="140" t="s">
        <v>672</v>
      </c>
      <c r="E3845" s="140">
        <v>10</v>
      </c>
      <c r="F3845" s="142">
        <v>45987.416666666672</v>
      </c>
      <c r="G3845" s="140" t="s">
        <v>843</v>
      </c>
      <c r="H3845" s="140" t="s">
        <v>876</v>
      </c>
    </row>
    <row r="3846" spans="1:8" ht="15.75" customHeight="1">
      <c r="A3846" s="140" t="s">
        <v>83</v>
      </c>
      <c r="B3846" s="140" t="s">
        <v>22</v>
      </c>
      <c r="C3846" s="141" t="s">
        <v>671</v>
      </c>
      <c r="D3846" s="140" t="s">
        <v>672</v>
      </c>
      <c r="E3846" s="140">
        <v>11</v>
      </c>
      <c r="F3846" s="142">
        <v>45994.583333333328</v>
      </c>
      <c r="G3846" s="140" t="s">
        <v>845</v>
      </c>
      <c r="H3846" s="140" t="s">
        <v>876</v>
      </c>
    </row>
    <row r="3847" spans="1:8" ht="15.75" customHeight="1">
      <c r="A3847" s="140" t="s">
        <v>83</v>
      </c>
      <c r="B3847" s="140" t="s">
        <v>22</v>
      </c>
      <c r="C3847" s="141" t="s">
        <v>671</v>
      </c>
      <c r="D3847" s="140" t="s">
        <v>672</v>
      </c>
      <c r="E3847" s="140">
        <v>12</v>
      </c>
      <c r="F3847" s="142">
        <v>46008.416666666672</v>
      </c>
      <c r="G3847" s="140" t="s">
        <v>845</v>
      </c>
      <c r="H3847" s="140" t="s">
        <v>876</v>
      </c>
    </row>
    <row r="3848" spans="1:8" ht="15.75" customHeight="1">
      <c r="A3848" s="140" t="s">
        <v>83</v>
      </c>
      <c r="B3848" s="140" t="s">
        <v>22</v>
      </c>
      <c r="C3848" s="141" t="s">
        <v>671</v>
      </c>
      <c r="D3848" s="140" t="s">
        <v>672</v>
      </c>
      <c r="E3848" s="140">
        <v>13</v>
      </c>
      <c r="F3848" s="142">
        <v>46036.416666666672</v>
      </c>
      <c r="G3848" s="140" t="s">
        <v>845</v>
      </c>
      <c r="H3848" s="140" t="s">
        <v>876</v>
      </c>
    </row>
    <row r="3849" spans="1:8" ht="15.75" customHeight="1">
      <c r="A3849" s="140" t="s">
        <v>83</v>
      </c>
      <c r="B3849" s="140" t="s">
        <v>22</v>
      </c>
      <c r="C3849" s="141" t="s">
        <v>671</v>
      </c>
      <c r="D3849" s="140" t="s">
        <v>672</v>
      </c>
      <c r="E3849" s="140">
        <v>14</v>
      </c>
      <c r="F3849" s="142">
        <v>46043.458333333328</v>
      </c>
      <c r="G3849" s="140" t="s">
        <v>845</v>
      </c>
      <c r="H3849" s="140" t="s">
        <v>876</v>
      </c>
    </row>
    <row r="3850" spans="1:8" ht="15.75" customHeight="1">
      <c r="A3850" s="140" t="s">
        <v>83</v>
      </c>
      <c r="B3850" s="140" t="s">
        <v>22</v>
      </c>
      <c r="C3850" s="141" t="s">
        <v>671</v>
      </c>
      <c r="D3850" s="140" t="s">
        <v>672</v>
      </c>
      <c r="E3850" s="140">
        <v>15</v>
      </c>
      <c r="F3850" s="142">
        <v>46050.416666666672</v>
      </c>
      <c r="G3850" s="140" t="s">
        <v>845</v>
      </c>
      <c r="H3850" s="140" t="s">
        <v>876</v>
      </c>
    </row>
    <row r="3851" spans="1:8" ht="15.75" customHeight="1">
      <c r="A3851" s="140" t="s">
        <v>83</v>
      </c>
      <c r="B3851" s="140" t="s">
        <v>22</v>
      </c>
      <c r="C3851" s="141" t="s">
        <v>671</v>
      </c>
      <c r="D3851" s="140" t="s">
        <v>672</v>
      </c>
      <c r="E3851" s="140">
        <v>16</v>
      </c>
      <c r="F3851" s="142">
        <v>46106.541666666672</v>
      </c>
      <c r="G3851" s="140" t="s">
        <v>845</v>
      </c>
      <c r="H3851" s="140" t="s">
        <v>876</v>
      </c>
    </row>
    <row r="3852" spans="1:8" ht="15.75" customHeight="1">
      <c r="A3852" s="140" t="s">
        <v>84</v>
      </c>
      <c r="B3852" s="140" t="s">
        <v>21</v>
      </c>
      <c r="C3852" s="141" t="s">
        <v>241</v>
      </c>
      <c r="D3852" s="140" t="s">
        <v>242</v>
      </c>
      <c r="E3852" s="140">
        <v>1</v>
      </c>
      <c r="F3852" s="142">
        <v>45764.583333333328</v>
      </c>
      <c r="G3852" s="140" t="s">
        <v>843</v>
      </c>
      <c r="H3852" s="140" t="s">
        <v>877</v>
      </c>
    </row>
    <row r="3853" spans="1:8" ht="15.75" customHeight="1">
      <c r="A3853" s="140" t="s">
        <v>84</v>
      </c>
      <c r="B3853" s="140" t="s">
        <v>21</v>
      </c>
      <c r="C3853" s="141" t="s">
        <v>241</v>
      </c>
      <c r="D3853" s="140" t="s">
        <v>242</v>
      </c>
      <c r="E3853" s="140">
        <v>2</v>
      </c>
      <c r="F3853" s="142">
        <v>45784.541666666672</v>
      </c>
      <c r="G3853" s="140" t="s">
        <v>845</v>
      </c>
      <c r="H3853" s="140" t="s">
        <v>877</v>
      </c>
    </row>
    <row r="3854" spans="1:8" ht="15.75" customHeight="1">
      <c r="A3854" s="140" t="s">
        <v>84</v>
      </c>
      <c r="B3854" s="140" t="s">
        <v>21</v>
      </c>
      <c r="C3854" s="141" t="s">
        <v>241</v>
      </c>
      <c r="D3854" s="140" t="s">
        <v>242</v>
      </c>
      <c r="E3854" s="140">
        <v>3</v>
      </c>
      <c r="F3854" s="142">
        <v>45791.541666666672</v>
      </c>
      <c r="G3854" s="140" t="s">
        <v>845</v>
      </c>
      <c r="H3854" s="140" t="s">
        <v>877</v>
      </c>
    </row>
    <row r="3855" spans="1:8" ht="15.75" customHeight="1">
      <c r="A3855" s="140" t="s">
        <v>84</v>
      </c>
      <c r="B3855" s="140" t="s">
        <v>21</v>
      </c>
      <c r="C3855" s="141" t="s">
        <v>241</v>
      </c>
      <c r="D3855" s="140" t="s">
        <v>242</v>
      </c>
      <c r="E3855" s="140">
        <v>4</v>
      </c>
      <c r="F3855" s="142">
        <v>45804.583333333328</v>
      </c>
      <c r="G3855" s="140" t="s">
        <v>845</v>
      </c>
      <c r="H3855" s="140" t="s">
        <v>877</v>
      </c>
    </row>
    <row r="3856" spans="1:8" ht="15.75" customHeight="1">
      <c r="A3856" s="140" t="s">
        <v>84</v>
      </c>
      <c r="B3856" s="140" t="s">
        <v>21</v>
      </c>
      <c r="C3856" s="141" t="s">
        <v>241</v>
      </c>
      <c r="D3856" s="140" t="s">
        <v>242</v>
      </c>
      <c r="E3856" s="140">
        <v>5</v>
      </c>
      <c r="F3856" s="142">
        <v>45812.583333333328</v>
      </c>
      <c r="G3856" s="140" t="s">
        <v>845</v>
      </c>
      <c r="H3856" s="140" t="s">
        <v>877</v>
      </c>
    </row>
    <row r="3857" spans="1:8" ht="15.75" customHeight="1">
      <c r="A3857" s="140" t="s">
        <v>84</v>
      </c>
      <c r="B3857" s="140" t="s">
        <v>21</v>
      </c>
      <c r="C3857" s="141" t="s">
        <v>241</v>
      </c>
      <c r="D3857" s="140" t="s">
        <v>242</v>
      </c>
      <c r="E3857" s="140">
        <v>6</v>
      </c>
      <c r="F3857" s="142">
        <v>45813.541666666672</v>
      </c>
      <c r="G3857" s="140" t="s">
        <v>845</v>
      </c>
      <c r="H3857" s="140" t="s">
        <v>877</v>
      </c>
    </row>
    <row r="3858" spans="1:8" ht="15.75" customHeight="1">
      <c r="A3858" s="140" t="s">
        <v>84</v>
      </c>
      <c r="B3858" s="140" t="s">
        <v>21</v>
      </c>
      <c r="C3858" s="141" t="s">
        <v>241</v>
      </c>
      <c r="D3858" s="140" t="s">
        <v>242</v>
      </c>
      <c r="E3858" s="140">
        <v>7</v>
      </c>
      <c r="F3858" s="142">
        <v>45818.541666666672</v>
      </c>
      <c r="G3858" s="140" t="s">
        <v>845</v>
      </c>
      <c r="H3858" s="140" t="s">
        <v>877</v>
      </c>
    </row>
    <row r="3859" spans="1:8" ht="15.75" customHeight="1">
      <c r="A3859" s="140" t="s">
        <v>84</v>
      </c>
      <c r="B3859" s="140" t="s">
        <v>21</v>
      </c>
      <c r="C3859" s="141" t="s">
        <v>241</v>
      </c>
      <c r="D3859" s="140" t="s">
        <v>242</v>
      </c>
      <c r="E3859" s="140">
        <v>8</v>
      </c>
      <c r="F3859" s="142">
        <v>45827.541666666672</v>
      </c>
      <c r="G3859" s="140" t="s">
        <v>845</v>
      </c>
      <c r="H3859" s="140" t="s">
        <v>877</v>
      </c>
    </row>
    <row r="3860" spans="1:8" ht="15.75" customHeight="1">
      <c r="A3860" s="140" t="s">
        <v>84</v>
      </c>
      <c r="B3860" s="140" t="s">
        <v>21</v>
      </c>
      <c r="C3860" s="141" t="s">
        <v>241</v>
      </c>
      <c r="D3860" s="140" t="s">
        <v>242</v>
      </c>
      <c r="E3860" s="140">
        <v>9</v>
      </c>
      <c r="F3860" s="142">
        <v>45833.541666666672</v>
      </c>
      <c r="G3860" s="140" t="s">
        <v>845</v>
      </c>
      <c r="H3860" s="140" t="s">
        <v>877</v>
      </c>
    </row>
    <row r="3861" spans="1:8" ht="15.75" customHeight="1">
      <c r="A3861" s="140" t="s">
        <v>84</v>
      </c>
      <c r="B3861" s="140" t="s">
        <v>21</v>
      </c>
      <c r="C3861" s="141" t="s">
        <v>241</v>
      </c>
      <c r="D3861" s="140" t="s">
        <v>242</v>
      </c>
      <c r="E3861" s="140">
        <v>10</v>
      </c>
      <c r="F3861" s="142">
        <v>45860.416666666672</v>
      </c>
      <c r="G3861" s="140" t="s">
        <v>845</v>
      </c>
      <c r="H3861" s="140" t="s">
        <v>877</v>
      </c>
    </row>
    <row r="3862" spans="1:8" ht="15.75" customHeight="1">
      <c r="A3862" s="140" t="s">
        <v>84</v>
      </c>
      <c r="B3862" s="140" t="s">
        <v>24</v>
      </c>
      <c r="C3862" s="141" t="s">
        <v>253</v>
      </c>
      <c r="D3862" s="140" t="s">
        <v>254</v>
      </c>
      <c r="E3862" s="140">
        <v>1</v>
      </c>
      <c r="F3862" s="142">
        <v>46091.541666666672</v>
      </c>
      <c r="G3862" s="140" t="s">
        <v>845</v>
      </c>
      <c r="H3862" s="140" t="s">
        <v>877</v>
      </c>
    </row>
    <row r="3863" spans="1:8" ht="15.75" customHeight="1">
      <c r="A3863" s="140" t="s">
        <v>84</v>
      </c>
      <c r="B3863" s="140" t="s">
        <v>24</v>
      </c>
      <c r="C3863" s="141" t="s">
        <v>253</v>
      </c>
      <c r="D3863" s="140" t="s">
        <v>254</v>
      </c>
      <c r="E3863" s="140">
        <v>2</v>
      </c>
      <c r="F3863" s="142">
        <v>46098.541666666672</v>
      </c>
      <c r="G3863" s="140" t="s">
        <v>845</v>
      </c>
      <c r="H3863" s="140" t="s">
        <v>877</v>
      </c>
    </row>
    <row r="3864" spans="1:8" ht="15.75" customHeight="1">
      <c r="A3864" s="140" t="s">
        <v>84</v>
      </c>
      <c r="B3864" s="140" t="s">
        <v>24</v>
      </c>
      <c r="C3864" s="141" t="s">
        <v>253</v>
      </c>
      <c r="D3864" s="140" t="s">
        <v>254</v>
      </c>
      <c r="E3864" s="140">
        <v>3</v>
      </c>
      <c r="F3864" s="142">
        <v>46105.541666666672</v>
      </c>
      <c r="G3864" s="140" t="s">
        <v>843</v>
      </c>
      <c r="H3864" s="140" t="s">
        <v>877</v>
      </c>
    </row>
    <row r="3865" spans="1:8" ht="15.75" customHeight="1">
      <c r="A3865" s="140" t="s">
        <v>84</v>
      </c>
      <c r="B3865" s="140" t="s">
        <v>24</v>
      </c>
      <c r="C3865" s="141" t="s">
        <v>253</v>
      </c>
      <c r="D3865" s="140" t="s">
        <v>254</v>
      </c>
      <c r="E3865" s="140">
        <v>4</v>
      </c>
      <c r="F3865" s="142">
        <v>46114.541666666672</v>
      </c>
      <c r="G3865" s="140" t="s">
        <v>845</v>
      </c>
      <c r="H3865" s="140" t="s">
        <v>877</v>
      </c>
    </row>
    <row r="3866" spans="1:8" ht="15.75" customHeight="1">
      <c r="A3866" s="140" t="s">
        <v>84</v>
      </c>
      <c r="B3866" s="140" t="s">
        <v>24</v>
      </c>
      <c r="C3866" s="141" t="s">
        <v>253</v>
      </c>
      <c r="D3866" s="140" t="s">
        <v>254</v>
      </c>
      <c r="E3866" s="140">
        <v>5</v>
      </c>
      <c r="F3866" s="142">
        <v>46119.541666666672</v>
      </c>
      <c r="G3866" s="140" t="s">
        <v>845</v>
      </c>
      <c r="H3866" s="140" t="s">
        <v>877</v>
      </c>
    </row>
    <row r="3867" spans="1:8" ht="15.75" customHeight="1">
      <c r="A3867" s="140" t="s">
        <v>84</v>
      </c>
      <c r="B3867" s="140" t="s">
        <v>24</v>
      </c>
      <c r="C3867" s="141" t="s">
        <v>253</v>
      </c>
      <c r="D3867" s="140" t="s">
        <v>254</v>
      </c>
      <c r="E3867" s="140">
        <v>6</v>
      </c>
      <c r="F3867" s="142">
        <v>46126.541666666672</v>
      </c>
      <c r="G3867" s="140" t="s">
        <v>845</v>
      </c>
      <c r="H3867" s="140" t="s">
        <v>877</v>
      </c>
    </row>
    <row r="3868" spans="1:8" ht="15.75" customHeight="1">
      <c r="A3868" s="140" t="s">
        <v>84</v>
      </c>
      <c r="B3868" s="140" t="s">
        <v>21</v>
      </c>
      <c r="C3868" s="141" t="s">
        <v>253</v>
      </c>
      <c r="D3868" s="140" t="s">
        <v>254</v>
      </c>
      <c r="E3868" s="140">
        <v>1</v>
      </c>
      <c r="F3868" s="142">
        <v>45764.583333333328</v>
      </c>
      <c r="G3868" s="140" t="s">
        <v>845</v>
      </c>
      <c r="H3868" s="140" t="s">
        <v>877</v>
      </c>
    </row>
    <row r="3869" spans="1:8" ht="15.75" customHeight="1">
      <c r="A3869" s="140" t="s">
        <v>84</v>
      </c>
      <c r="B3869" s="140" t="s">
        <v>21</v>
      </c>
      <c r="C3869" s="141" t="s">
        <v>253</v>
      </c>
      <c r="D3869" s="140" t="s">
        <v>254</v>
      </c>
      <c r="E3869" s="140">
        <v>2</v>
      </c>
      <c r="F3869" s="142">
        <v>45784.541666666672</v>
      </c>
      <c r="G3869" s="140" t="s">
        <v>845</v>
      </c>
      <c r="H3869" s="140" t="s">
        <v>877</v>
      </c>
    </row>
    <row r="3870" spans="1:8" ht="15.75" customHeight="1">
      <c r="A3870" s="140" t="s">
        <v>84</v>
      </c>
      <c r="B3870" s="140" t="s">
        <v>21</v>
      </c>
      <c r="C3870" s="141" t="s">
        <v>253</v>
      </c>
      <c r="D3870" s="140" t="s">
        <v>254</v>
      </c>
      <c r="E3870" s="140">
        <v>3</v>
      </c>
      <c r="F3870" s="142">
        <v>45791.541666666672</v>
      </c>
      <c r="G3870" s="140" t="s">
        <v>845</v>
      </c>
      <c r="H3870" s="140" t="s">
        <v>877</v>
      </c>
    </row>
    <row r="3871" spans="1:8" ht="15.75" customHeight="1">
      <c r="A3871" s="140" t="s">
        <v>84</v>
      </c>
      <c r="B3871" s="140" t="s">
        <v>21</v>
      </c>
      <c r="C3871" s="141" t="s">
        <v>253</v>
      </c>
      <c r="D3871" s="140" t="s">
        <v>254</v>
      </c>
      <c r="E3871" s="140">
        <v>4</v>
      </c>
      <c r="F3871" s="142">
        <v>45804.583333333328</v>
      </c>
      <c r="G3871" s="140" t="s">
        <v>845</v>
      </c>
      <c r="H3871" s="140" t="s">
        <v>877</v>
      </c>
    </row>
    <row r="3872" spans="1:8" ht="15.75" customHeight="1">
      <c r="A3872" s="140" t="s">
        <v>84</v>
      </c>
      <c r="B3872" s="140" t="s">
        <v>21</v>
      </c>
      <c r="C3872" s="141" t="s">
        <v>253</v>
      </c>
      <c r="D3872" s="140" t="s">
        <v>254</v>
      </c>
      <c r="E3872" s="140">
        <v>5</v>
      </c>
      <c r="F3872" s="142">
        <v>45812.583333333328</v>
      </c>
      <c r="G3872" s="140" t="s">
        <v>845</v>
      </c>
      <c r="H3872" s="140" t="s">
        <v>877</v>
      </c>
    </row>
    <row r="3873" spans="1:8" ht="15.75" customHeight="1">
      <c r="A3873" s="140" t="s">
        <v>84</v>
      </c>
      <c r="B3873" s="140" t="s">
        <v>21</v>
      </c>
      <c r="C3873" s="141" t="s">
        <v>253</v>
      </c>
      <c r="D3873" s="140" t="s">
        <v>254</v>
      </c>
      <c r="E3873" s="140">
        <v>6</v>
      </c>
      <c r="F3873" s="142">
        <v>45813.541666666672</v>
      </c>
      <c r="G3873" s="140" t="s">
        <v>845</v>
      </c>
      <c r="H3873" s="140" t="s">
        <v>877</v>
      </c>
    </row>
    <row r="3874" spans="1:8" ht="15.75" customHeight="1">
      <c r="A3874" s="140" t="s">
        <v>84</v>
      </c>
      <c r="B3874" s="140" t="s">
        <v>21</v>
      </c>
      <c r="C3874" s="141" t="s">
        <v>253</v>
      </c>
      <c r="D3874" s="140" t="s">
        <v>254</v>
      </c>
      <c r="E3874" s="140">
        <v>7</v>
      </c>
      <c r="F3874" s="142">
        <v>45818.541666666672</v>
      </c>
      <c r="G3874" s="140" t="s">
        <v>845</v>
      </c>
      <c r="H3874" s="140" t="s">
        <v>877</v>
      </c>
    </row>
    <row r="3875" spans="1:8" ht="15.75" customHeight="1">
      <c r="A3875" s="140" t="s">
        <v>84</v>
      </c>
      <c r="B3875" s="140" t="s">
        <v>21</v>
      </c>
      <c r="C3875" s="141" t="s">
        <v>253</v>
      </c>
      <c r="D3875" s="140" t="s">
        <v>254</v>
      </c>
      <c r="E3875" s="140">
        <v>8</v>
      </c>
      <c r="F3875" s="142">
        <v>45827.541666666672</v>
      </c>
      <c r="G3875" s="140" t="s">
        <v>845</v>
      </c>
      <c r="H3875" s="140" t="s">
        <v>877</v>
      </c>
    </row>
    <row r="3876" spans="1:8" ht="15.75" customHeight="1">
      <c r="A3876" s="140" t="s">
        <v>84</v>
      </c>
      <c r="B3876" s="140" t="s">
        <v>21</v>
      </c>
      <c r="C3876" s="141" t="s">
        <v>253</v>
      </c>
      <c r="D3876" s="140" t="s">
        <v>254</v>
      </c>
      <c r="E3876" s="140">
        <v>9</v>
      </c>
      <c r="F3876" s="142">
        <v>45833.541666666672</v>
      </c>
      <c r="G3876" s="140" t="s">
        <v>845</v>
      </c>
      <c r="H3876" s="140" t="s">
        <v>877</v>
      </c>
    </row>
    <row r="3877" spans="1:8" ht="15.75" customHeight="1">
      <c r="A3877" s="140" t="s">
        <v>84</v>
      </c>
      <c r="B3877" s="140" t="s">
        <v>21</v>
      </c>
      <c r="C3877" s="141" t="s">
        <v>253</v>
      </c>
      <c r="D3877" s="140" t="s">
        <v>254</v>
      </c>
      <c r="E3877" s="140">
        <v>10</v>
      </c>
      <c r="F3877" s="142">
        <v>45860.416666666672</v>
      </c>
      <c r="G3877" s="140" t="s">
        <v>845</v>
      </c>
      <c r="H3877" s="140" t="s">
        <v>877</v>
      </c>
    </row>
    <row r="3878" spans="1:8" ht="15.75" customHeight="1">
      <c r="A3878" s="140" t="s">
        <v>84</v>
      </c>
      <c r="B3878" s="140" t="s">
        <v>22</v>
      </c>
      <c r="C3878" s="141" t="s">
        <v>253</v>
      </c>
      <c r="D3878" s="140" t="s">
        <v>254</v>
      </c>
      <c r="E3878" s="140">
        <v>1</v>
      </c>
      <c r="F3878" s="142">
        <v>45882.583333333328</v>
      </c>
      <c r="G3878" s="140" t="s">
        <v>843</v>
      </c>
      <c r="H3878" s="140" t="s">
        <v>877</v>
      </c>
    </row>
    <row r="3879" spans="1:8" ht="15.75" customHeight="1">
      <c r="A3879" s="140" t="s">
        <v>84</v>
      </c>
      <c r="B3879" s="140" t="s">
        <v>22</v>
      </c>
      <c r="C3879" s="141" t="s">
        <v>253</v>
      </c>
      <c r="D3879" s="140" t="s">
        <v>254</v>
      </c>
      <c r="E3879" s="140">
        <v>2</v>
      </c>
      <c r="F3879" s="142">
        <v>45889.541666666672</v>
      </c>
      <c r="G3879" s="140" t="s">
        <v>845</v>
      </c>
      <c r="H3879" s="140" t="s">
        <v>877</v>
      </c>
    </row>
    <row r="3880" spans="1:8" ht="15.75" customHeight="1">
      <c r="A3880" s="140" t="s">
        <v>84</v>
      </c>
      <c r="B3880" s="140" t="s">
        <v>22</v>
      </c>
      <c r="C3880" s="141" t="s">
        <v>253</v>
      </c>
      <c r="D3880" s="140" t="s">
        <v>254</v>
      </c>
      <c r="E3880" s="140">
        <v>3</v>
      </c>
      <c r="F3880" s="142">
        <v>45895.541666666672</v>
      </c>
      <c r="G3880" s="140" t="s">
        <v>845</v>
      </c>
      <c r="H3880" s="140" t="s">
        <v>877</v>
      </c>
    </row>
    <row r="3881" spans="1:8" ht="15.75" customHeight="1">
      <c r="A3881" s="140" t="s">
        <v>84</v>
      </c>
      <c r="B3881" s="140" t="s">
        <v>22</v>
      </c>
      <c r="C3881" s="141" t="s">
        <v>253</v>
      </c>
      <c r="D3881" s="140" t="s">
        <v>254</v>
      </c>
      <c r="E3881" s="140">
        <v>4</v>
      </c>
      <c r="F3881" s="142">
        <v>45903.541666666672</v>
      </c>
      <c r="G3881" s="140" t="s">
        <v>845</v>
      </c>
      <c r="H3881" s="140" t="s">
        <v>877</v>
      </c>
    </row>
    <row r="3882" spans="1:8" ht="15.75" customHeight="1">
      <c r="A3882" s="140" t="s">
        <v>84</v>
      </c>
      <c r="B3882" s="140" t="s">
        <v>22</v>
      </c>
      <c r="C3882" s="141" t="s">
        <v>253</v>
      </c>
      <c r="D3882" s="140" t="s">
        <v>254</v>
      </c>
      <c r="E3882" s="140">
        <v>5</v>
      </c>
      <c r="F3882" s="142">
        <v>45910.583333333328</v>
      </c>
      <c r="G3882" s="140" t="s">
        <v>845</v>
      </c>
      <c r="H3882" s="140" t="s">
        <v>877</v>
      </c>
    </row>
    <row r="3883" spans="1:8" ht="15.75" customHeight="1">
      <c r="A3883" s="140" t="s">
        <v>84</v>
      </c>
      <c r="B3883" s="140" t="s">
        <v>22</v>
      </c>
      <c r="C3883" s="141" t="s">
        <v>253</v>
      </c>
      <c r="D3883" s="140" t="s">
        <v>254</v>
      </c>
      <c r="E3883" s="140">
        <v>6</v>
      </c>
      <c r="F3883" s="142">
        <v>45917.541666666672</v>
      </c>
      <c r="G3883" s="140" t="s">
        <v>845</v>
      </c>
      <c r="H3883" s="140" t="s">
        <v>877</v>
      </c>
    </row>
    <row r="3884" spans="1:8" ht="15.75" customHeight="1">
      <c r="A3884" s="140" t="s">
        <v>84</v>
      </c>
      <c r="B3884" s="140" t="s">
        <v>22</v>
      </c>
      <c r="C3884" s="141" t="s">
        <v>253</v>
      </c>
      <c r="D3884" s="140" t="s">
        <v>254</v>
      </c>
      <c r="E3884" s="140">
        <v>7</v>
      </c>
      <c r="F3884" s="142">
        <v>45924.583333333328</v>
      </c>
      <c r="G3884" s="140" t="s">
        <v>845</v>
      </c>
      <c r="H3884" s="140" t="s">
        <v>877</v>
      </c>
    </row>
    <row r="3885" spans="1:8" ht="15.75" customHeight="1">
      <c r="A3885" s="140" t="s">
        <v>84</v>
      </c>
      <c r="B3885" s="140" t="s">
        <v>22</v>
      </c>
      <c r="C3885" s="141" t="s">
        <v>253</v>
      </c>
      <c r="D3885" s="140" t="s">
        <v>254</v>
      </c>
      <c r="E3885" s="140">
        <v>8</v>
      </c>
      <c r="F3885" s="142">
        <v>45940.583333333328</v>
      </c>
      <c r="G3885" s="140" t="s">
        <v>845</v>
      </c>
      <c r="H3885" s="140" t="s">
        <v>877</v>
      </c>
    </row>
    <row r="3886" spans="1:8" ht="15.75" customHeight="1">
      <c r="A3886" s="140" t="s">
        <v>84</v>
      </c>
      <c r="B3886" s="140" t="s">
        <v>22</v>
      </c>
      <c r="C3886" s="141" t="s">
        <v>253</v>
      </c>
      <c r="D3886" s="140" t="s">
        <v>254</v>
      </c>
      <c r="E3886" s="140">
        <v>9</v>
      </c>
      <c r="F3886" s="142">
        <v>45943.583333333328</v>
      </c>
      <c r="G3886" s="140" t="s">
        <v>843</v>
      </c>
      <c r="H3886" s="140" t="s">
        <v>877</v>
      </c>
    </row>
    <row r="3887" spans="1:8" ht="15.75" customHeight="1">
      <c r="A3887" s="140" t="s">
        <v>84</v>
      </c>
      <c r="B3887" s="140" t="s">
        <v>22</v>
      </c>
      <c r="C3887" s="141" t="s">
        <v>253</v>
      </c>
      <c r="D3887" s="140" t="s">
        <v>254</v>
      </c>
      <c r="E3887" s="140">
        <v>10</v>
      </c>
      <c r="F3887" s="142">
        <v>45954.541666666672</v>
      </c>
      <c r="G3887" s="140" t="s">
        <v>845</v>
      </c>
      <c r="H3887" s="140" t="s">
        <v>877</v>
      </c>
    </row>
    <row r="3888" spans="1:8" ht="15.75" customHeight="1">
      <c r="A3888" s="140" t="s">
        <v>84</v>
      </c>
      <c r="B3888" s="140" t="s">
        <v>22</v>
      </c>
      <c r="C3888" s="141" t="s">
        <v>253</v>
      </c>
      <c r="D3888" s="140" t="s">
        <v>254</v>
      </c>
      <c r="E3888" s="140">
        <v>11</v>
      </c>
      <c r="F3888" s="142">
        <v>45961.541666666672</v>
      </c>
      <c r="G3888" s="140" t="s">
        <v>845</v>
      </c>
      <c r="H3888" s="140" t="s">
        <v>877</v>
      </c>
    </row>
    <row r="3889" spans="1:8" ht="15.75" customHeight="1">
      <c r="A3889" s="140" t="s">
        <v>84</v>
      </c>
      <c r="B3889" s="140" t="s">
        <v>22</v>
      </c>
      <c r="C3889" s="141" t="s">
        <v>253</v>
      </c>
      <c r="D3889" s="140" t="s">
        <v>254</v>
      </c>
      <c r="E3889" s="140">
        <v>12</v>
      </c>
      <c r="F3889" s="142">
        <v>45965.541666666672</v>
      </c>
      <c r="G3889" s="140" t="s">
        <v>845</v>
      </c>
      <c r="H3889" s="140" t="s">
        <v>877</v>
      </c>
    </row>
    <row r="3890" spans="1:8" ht="15.75" customHeight="1">
      <c r="A3890" s="140" t="s">
        <v>84</v>
      </c>
      <c r="B3890" s="140" t="s">
        <v>22</v>
      </c>
      <c r="C3890" s="141" t="s">
        <v>253</v>
      </c>
      <c r="D3890" s="140" t="s">
        <v>254</v>
      </c>
      <c r="E3890" s="140">
        <v>13</v>
      </c>
      <c r="F3890" s="142">
        <v>45974.541666666672</v>
      </c>
      <c r="G3890" s="140" t="s">
        <v>845</v>
      </c>
      <c r="H3890" s="140" t="s">
        <v>877</v>
      </c>
    </row>
    <row r="3891" spans="1:8" ht="15.75" customHeight="1">
      <c r="A3891" s="140" t="s">
        <v>84</v>
      </c>
      <c r="B3891" s="140" t="s">
        <v>22</v>
      </c>
      <c r="C3891" s="141" t="s">
        <v>253</v>
      </c>
      <c r="D3891" s="140" t="s">
        <v>254</v>
      </c>
      <c r="E3891" s="140">
        <v>14</v>
      </c>
      <c r="F3891" s="142">
        <v>45980.541666666672</v>
      </c>
      <c r="G3891" s="140" t="s">
        <v>845</v>
      </c>
      <c r="H3891" s="140" t="s">
        <v>877</v>
      </c>
    </row>
    <row r="3892" spans="1:8" ht="15.75" customHeight="1">
      <c r="A3892" s="140" t="s">
        <v>84</v>
      </c>
      <c r="B3892" s="140" t="s">
        <v>22</v>
      </c>
      <c r="C3892" s="141" t="s">
        <v>253</v>
      </c>
      <c r="D3892" s="140" t="s">
        <v>254</v>
      </c>
      <c r="E3892" s="140">
        <v>15</v>
      </c>
      <c r="F3892" s="142">
        <v>45987.541666666672</v>
      </c>
      <c r="G3892" s="140" t="s">
        <v>845</v>
      </c>
      <c r="H3892" s="140" t="s">
        <v>877</v>
      </c>
    </row>
    <row r="3893" spans="1:8" ht="15.75" customHeight="1">
      <c r="A3893" s="140" t="s">
        <v>84</v>
      </c>
      <c r="B3893" s="140" t="s">
        <v>22</v>
      </c>
      <c r="C3893" s="141" t="s">
        <v>253</v>
      </c>
      <c r="D3893" s="140" t="s">
        <v>254</v>
      </c>
      <c r="E3893" s="140">
        <v>16</v>
      </c>
      <c r="F3893" s="142">
        <v>46045.541666666672</v>
      </c>
      <c r="G3893" s="140" t="s">
        <v>845</v>
      </c>
      <c r="H3893" s="140" t="s">
        <v>877</v>
      </c>
    </row>
    <row r="3894" spans="1:8" ht="15.75" customHeight="1">
      <c r="A3894" s="140" t="s">
        <v>84</v>
      </c>
      <c r="B3894" s="140" t="s">
        <v>24</v>
      </c>
      <c r="C3894" s="141" t="s">
        <v>447</v>
      </c>
      <c r="D3894" s="140" t="s">
        <v>448</v>
      </c>
      <c r="E3894" s="140">
        <v>1</v>
      </c>
      <c r="F3894" s="142">
        <v>46091.541666666672</v>
      </c>
      <c r="G3894" s="140" t="s">
        <v>845</v>
      </c>
      <c r="H3894" s="140" t="s">
        <v>877</v>
      </c>
    </row>
    <row r="3895" spans="1:8" ht="15.75" customHeight="1">
      <c r="A3895" s="140" t="s">
        <v>84</v>
      </c>
      <c r="B3895" s="140" t="s">
        <v>24</v>
      </c>
      <c r="C3895" s="141" t="s">
        <v>447</v>
      </c>
      <c r="D3895" s="140" t="s">
        <v>448</v>
      </c>
      <c r="E3895" s="140">
        <v>2</v>
      </c>
      <c r="F3895" s="142">
        <v>46098.541666666672</v>
      </c>
      <c r="G3895" s="140" t="s">
        <v>845</v>
      </c>
      <c r="H3895" s="140" t="s">
        <v>877</v>
      </c>
    </row>
    <row r="3896" spans="1:8" ht="15.75" customHeight="1">
      <c r="A3896" s="140" t="s">
        <v>84</v>
      </c>
      <c r="B3896" s="140" t="s">
        <v>24</v>
      </c>
      <c r="C3896" s="141" t="s">
        <v>447</v>
      </c>
      <c r="D3896" s="140" t="s">
        <v>448</v>
      </c>
      <c r="E3896" s="140">
        <v>3</v>
      </c>
      <c r="F3896" s="142">
        <v>46105.541666666672</v>
      </c>
      <c r="G3896" s="140" t="s">
        <v>843</v>
      </c>
      <c r="H3896" s="140" t="s">
        <v>877</v>
      </c>
    </row>
    <row r="3897" spans="1:8" ht="15.75" customHeight="1">
      <c r="A3897" s="140" t="s">
        <v>84</v>
      </c>
      <c r="B3897" s="140" t="s">
        <v>24</v>
      </c>
      <c r="C3897" s="141" t="s">
        <v>447</v>
      </c>
      <c r="D3897" s="140" t="s">
        <v>448</v>
      </c>
      <c r="E3897" s="140">
        <v>4</v>
      </c>
      <c r="F3897" s="142">
        <v>46114.541666666672</v>
      </c>
      <c r="G3897" s="140" t="s">
        <v>845</v>
      </c>
      <c r="H3897" s="140" t="s">
        <v>877</v>
      </c>
    </row>
    <row r="3898" spans="1:8" ht="15.75" customHeight="1">
      <c r="A3898" s="140" t="s">
        <v>84</v>
      </c>
      <c r="B3898" s="140" t="s">
        <v>24</v>
      </c>
      <c r="C3898" s="141" t="s">
        <v>447</v>
      </c>
      <c r="D3898" s="140" t="s">
        <v>448</v>
      </c>
      <c r="E3898" s="140">
        <v>5</v>
      </c>
      <c r="F3898" s="142">
        <v>46119.541666666672</v>
      </c>
      <c r="G3898" s="140" t="s">
        <v>843</v>
      </c>
      <c r="H3898" s="140" t="s">
        <v>877</v>
      </c>
    </row>
    <row r="3899" spans="1:8" ht="15.75" customHeight="1">
      <c r="A3899" s="140" t="s">
        <v>84</v>
      </c>
      <c r="B3899" s="140" t="s">
        <v>24</v>
      </c>
      <c r="C3899" s="141" t="s">
        <v>447</v>
      </c>
      <c r="D3899" s="140" t="s">
        <v>448</v>
      </c>
      <c r="E3899" s="140">
        <v>6</v>
      </c>
      <c r="F3899" s="142">
        <v>46126.541666666672</v>
      </c>
      <c r="G3899" s="140" t="s">
        <v>845</v>
      </c>
      <c r="H3899" s="140" t="s">
        <v>877</v>
      </c>
    </row>
    <row r="3900" spans="1:8" ht="15.75" customHeight="1">
      <c r="A3900" s="140" t="s">
        <v>84</v>
      </c>
      <c r="B3900" s="140" t="s">
        <v>21</v>
      </c>
      <c r="C3900" s="141" t="s">
        <v>447</v>
      </c>
      <c r="D3900" s="140" t="s">
        <v>448</v>
      </c>
      <c r="E3900" s="140">
        <v>1</v>
      </c>
      <c r="F3900" s="142">
        <v>45764.583333333328</v>
      </c>
      <c r="G3900" s="140" t="s">
        <v>845</v>
      </c>
      <c r="H3900" s="140" t="s">
        <v>877</v>
      </c>
    </row>
    <row r="3901" spans="1:8" ht="15.75" customHeight="1">
      <c r="A3901" s="140" t="s">
        <v>84</v>
      </c>
      <c r="B3901" s="140" t="s">
        <v>21</v>
      </c>
      <c r="C3901" s="141" t="s">
        <v>447</v>
      </c>
      <c r="D3901" s="140" t="s">
        <v>448</v>
      </c>
      <c r="E3901" s="140">
        <v>2</v>
      </c>
      <c r="F3901" s="142">
        <v>45784.541666666672</v>
      </c>
      <c r="G3901" s="140" t="s">
        <v>843</v>
      </c>
      <c r="H3901" s="140" t="s">
        <v>877</v>
      </c>
    </row>
    <row r="3902" spans="1:8" ht="15.75" customHeight="1">
      <c r="A3902" s="140" t="s">
        <v>84</v>
      </c>
      <c r="B3902" s="140" t="s">
        <v>21</v>
      </c>
      <c r="C3902" s="141" t="s">
        <v>447</v>
      </c>
      <c r="D3902" s="140" t="s">
        <v>448</v>
      </c>
      <c r="E3902" s="140">
        <v>3</v>
      </c>
      <c r="F3902" s="142">
        <v>45791.541666666672</v>
      </c>
      <c r="G3902" s="140" t="s">
        <v>845</v>
      </c>
      <c r="H3902" s="140" t="s">
        <v>877</v>
      </c>
    </row>
    <row r="3903" spans="1:8" ht="15.75" customHeight="1">
      <c r="A3903" s="140" t="s">
        <v>84</v>
      </c>
      <c r="B3903" s="140" t="s">
        <v>21</v>
      </c>
      <c r="C3903" s="141" t="s">
        <v>447</v>
      </c>
      <c r="D3903" s="140" t="s">
        <v>448</v>
      </c>
      <c r="E3903" s="140">
        <v>4</v>
      </c>
      <c r="F3903" s="142">
        <v>45804.583333333328</v>
      </c>
      <c r="G3903" s="140" t="s">
        <v>845</v>
      </c>
      <c r="H3903" s="140" t="s">
        <v>877</v>
      </c>
    </row>
    <row r="3904" spans="1:8" ht="15.75" customHeight="1">
      <c r="A3904" s="140" t="s">
        <v>84</v>
      </c>
      <c r="B3904" s="140" t="s">
        <v>21</v>
      </c>
      <c r="C3904" s="141" t="s">
        <v>447</v>
      </c>
      <c r="D3904" s="140" t="s">
        <v>448</v>
      </c>
      <c r="E3904" s="140">
        <v>5</v>
      </c>
      <c r="F3904" s="142">
        <v>45812.583333333328</v>
      </c>
      <c r="G3904" s="140" t="s">
        <v>845</v>
      </c>
      <c r="H3904" s="140" t="s">
        <v>877</v>
      </c>
    </row>
    <row r="3905" spans="1:8" ht="15.75" customHeight="1">
      <c r="A3905" s="140" t="s">
        <v>84</v>
      </c>
      <c r="B3905" s="140" t="s">
        <v>21</v>
      </c>
      <c r="C3905" s="141" t="s">
        <v>447</v>
      </c>
      <c r="D3905" s="140" t="s">
        <v>448</v>
      </c>
      <c r="E3905" s="140">
        <v>6</v>
      </c>
      <c r="F3905" s="142">
        <v>45813.541666666672</v>
      </c>
      <c r="G3905" s="140" t="s">
        <v>845</v>
      </c>
      <c r="H3905" s="140" t="s">
        <v>877</v>
      </c>
    </row>
    <row r="3906" spans="1:8" ht="15.75" customHeight="1">
      <c r="A3906" s="140" t="s">
        <v>84</v>
      </c>
      <c r="B3906" s="140" t="s">
        <v>21</v>
      </c>
      <c r="C3906" s="141" t="s">
        <v>447</v>
      </c>
      <c r="D3906" s="140" t="s">
        <v>448</v>
      </c>
      <c r="E3906" s="140">
        <v>7</v>
      </c>
      <c r="F3906" s="142">
        <v>45818.541666666672</v>
      </c>
      <c r="G3906" s="140" t="s">
        <v>845</v>
      </c>
      <c r="H3906" s="140" t="s">
        <v>877</v>
      </c>
    </row>
    <row r="3907" spans="1:8" ht="15.75" customHeight="1">
      <c r="A3907" s="140" t="s">
        <v>84</v>
      </c>
      <c r="B3907" s="140" t="s">
        <v>21</v>
      </c>
      <c r="C3907" s="141" t="s">
        <v>447</v>
      </c>
      <c r="D3907" s="140" t="s">
        <v>448</v>
      </c>
      <c r="E3907" s="140">
        <v>8</v>
      </c>
      <c r="F3907" s="142">
        <v>45827.541666666672</v>
      </c>
      <c r="G3907" s="140" t="s">
        <v>845</v>
      </c>
      <c r="H3907" s="140" t="s">
        <v>877</v>
      </c>
    </row>
    <row r="3908" spans="1:8" ht="15.75" customHeight="1">
      <c r="A3908" s="140" t="s">
        <v>84</v>
      </c>
      <c r="B3908" s="140" t="s">
        <v>21</v>
      </c>
      <c r="C3908" s="141" t="s">
        <v>447</v>
      </c>
      <c r="D3908" s="140" t="s">
        <v>448</v>
      </c>
      <c r="E3908" s="140">
        <v>9</v>
      </c>
      <c r="F3908" s="142">
        <v>45833.541666666672</v>
      </c>
      <c r="G3908" s="140" t="s">
        <v>845</v>
      </c>
      <c r="H3908" s="140" t="s">
        <v>877</v>
      </c>
    </row>
    <row r="3909" spans="1:8" ht="15.75" customHeight="1">
      <c r="A3909" s="140" t="s">
        <v>84</v>
      </c>
      <c r="B3909" s="140" t="s">
        <v>21</v>
      </c>
      <c r="C3909" s="141" t="s">
        <v>447</v>
      </c>
      <c r="D3909" s="140" t="s">
        <v>448</v>
      </c>
      <c r="E3909" s="140">
        <v>10</v>
      </c>
      <c r="F3909" s="142">
        <v>45860.416666666672</v>
      </c>
      <c r="G3909" s="140" t="s">
        <v>845</v>
      </c>
      <c r="H3909" s="140" t="s">
        <v>877</v>
      </c>
    </row>
    <row r="3910" spans="1:8" ht="15.75" customHeight="1">
      <c r="A3910" s="140" t="s">
        <v>84</v>
      </c>
      <c r="B3910" s="140" t="s">
        <v>22</v>
      </c>
      <c r="C3910" s="141" t="s">
        <v>447</v>
      </c>
      <c r="D3910" s="140" t="s">
        <v>448</v>
      </c>
      <c r="E3910" s="140">
        <v>1</v>
      </c>
      <c r="F3910" s="142">
        <v>45882.583333333328</v>
      </c>
      <c r="G3910" s="140" t="s">
        <v>845</v>
      </c>
      <c r="H3910" s="140" t="s">
        <v>877</v>
      </c>
    </row>
    <row r="3911" spans="1:8" ht="15.75" customHeight="1">
      <c r="A3911" s="140" t="s">
        <v>84</v>
      </c>
      <c r="B3911" s="140" t="s">
        <v>22</v>
      </c>
      <c r="C3911" s="141" t="s">
        <v>447</v>
      </c>
      <c r="D3911" s="140" t="s">
        <v>448</v>
      </c>
      <c r="E3911" s="140">
        <v>2</v>
      </c>
      <c r="F3911" s="142">
        <v>45889.541666666672</v>
      </c>
      <c r="G3911" s="140" t="s">
        <v>845</v>
      </c>
      <c r="H3911" s="140" t="s">
        <v>877</v>
      </c>
    </row>
    <row r="3912" spans="1:8" ht="15.75" customHeight="1">
      <c r="A3912" s="140" t="s">
        <v>84</v>
      </c>
      <c r="B3912" s="140" t="s">
        <v>22</v>
      </c>
      <c r="C3912" s="141" t="s">
        <v>447</v>
      </c>
      <c r="D3912" s="140" t="s">
        <v>448</v>
      </c>
      <c r="E3912" s="140">
        <v>3</v>
      </c>
      <c r="F3912" s="142">
        <v>45895.541666666672</v>
      </c>
      <c r="G3912" s="140" t="s">
        <v>845</v>
      </c>
      <c r="H3912" s="140" t="s">
        <v>877</v>
      </c>
    </row>
    <row r="3913" spans="1:8" ht="15.75" customHeight="1">
      <c r="A3913" s="140" t="s">
        <v>84</v>
      </c>
      <c r="B3913" s="140" t="s">
        <v>22</v>
      </c>
      <c r="C3913" s="141" t="s">
        <v>447</v>
      </c>
      <c r="D3913" s="140" t="s">
        <v>448</v>
      </c>
      <c r="E3913" s="140">
        <v>4</v>
      </c>
      <c r="F3913" s="142">
        <v>45903.541666666672</v>
      </c>
      <c r="G3913" s="140" t="s">
        <v>845</v>
      </c>
      <c r="H3913" s="140" t="s">
        <v>877</v>
      </c>
    </row>
    <row r="3914" spans="1:8" ht="15.75" customHeight="1">
      <c r="A3914" s="140" t="s">
        <v>84</v>
      </c>
      <c r="B3914" s="140" t="s">
        <v>22</v>
      </c>
      <c r="C3914" s="141" t="s">
        <v>447</v>
      </c>
      <c r="D3914" s="140" t="s">
        <v>448</v>
      </c>
      <c r="E3914" s="140">
        <v>5</v>
      </c>
      <c r="F3914" s="142">
        <v>45910.583333333328</v>
      </c>
      <c r="G3914" s="140" t="s">
        <v>843</v>
      </c>
      <c r="H3914" s="140" t="s">
        <v>877</v>
      </c>
    </row>
    <row r="3915" spans="1:8" ht="15.75" customHeight="1">
      <c r="A3915" s="140" t="s">
        <v>84</v>
      </c>
      <c r="B3915" s="140" t="s">
        <v>22</v>
      </c>
      <c r="C3915" s="141" t="s">
        <v>447</v>
      </c>
      <c r="D3915" s="140" t="s">
        <v>448</v>
      </c>
      <c r="E3915" s="140">
        <v>6</v>
      </c>
      <c r="F3915" s="142">
        <v>45917.541666666672</v>
      </c>
      <c r="G3915" s="140" t="s">
        <v>845</v>
      </c>
      <c r="H3915" s="140" t="s">
        <v>877</v>
      </c>
    </row>
    <row r="3916" spans="1:8" ht="15.75" customHeight="1">
      <c r="A3916" s="140" t="s">
        <v>84</v>
      </c>
      <c r="B3916" s="140" t="s">
        <v>22</v>
      </c>
      <c r="C3916" s="141" t="s">
        <v>447</v>
      </c>
      <c r="D3916" s="140" t="s">
        <v>448</v>
      </c>
      <c r="E3916" s="140">
        <v>7</v>
      </c>
      <c r="F3916" s="142">
        <v>45924.583333333328</v>
      </c>
      <c r="G3916" s="140" t="s">
        <v>845</v>
      </c>
      <c r="H3916" s="140" t="s">
        <v>877</v>
      </c>
    </row>
    <row r="3917" spans="1:8" ht="15.75" customHeight="1">
      <c r="A3917" s="140" t="s">
        <v>84</v>
      </c>
      <c r="B3917" s="140" t="s">
        <v>22</v>
      </c>
      <c r="C3917" s="141" t="s">
        <v>447</v>
      </c>
      <c r="D3917" s="140" t="s">
        <v>448</v>
      </c>
      <c r="E3917" s="140">
        <v>8</v>
      </c>
      <c r="F3917" s="142">
        <v>45940.583333333328</v>
      </c>
      <c r="G3917" s="140" t="s">
        <v>845</v>
      </c>
      <c r="H3917" s="140" t="s">
        <v>877</v>
      </c>
    </row>
    <row r="3918" spans="1:8" ht="15.75" customHeight="1">
      <c r="A3918" s="140" t="s">
        <v>84</v>
      </c>
      <c r="B3918" s="140" t="s">
        <v>22</v>
      </c>
      <c r="C3918" s="141" t="s">
        <v>447</v>
      </c>
      <c r="D3918" s="140" t="s">
        <v>448</v>
      </c>
      <c r="E3918" s="140">
        <v>9</v>
      </c>
      <c r="F3918" s="142">
        <v>45943.583333333328</v>
      </c>
      <c r="G3918" s="140" t="s">
        <v>845</v>
      </c>
      <c r="H3918" s="140" t="s">
        <v>877</v>
      </c>
    </row>
    <row r="3919" spans="1:8" ht="15.75" customHeight="1">
      <c r="A3919" s="140" t="s">
        <v>84</v>
      </c>
      <c r="B3919" s="140" t="s">
        <v>22</v>
      </c>
      <c r="C3919" s="141" t="s">
        <v>447</v>
      </c>
      <c r="D3919" s="140" t="s">
        <v>448</v>
      </c>
      <c r="E3919" s="140">
        <v>10</v>
      </c>
      <c r="F3919" s="142">
        <v>45954.541666666672</v>
      </c>
      <c r="G3919" s="140" t="s">
        <v>845</v>
      </c>
      <c r="H3919" s="140" t="s">
        <v>877</v>
      </c>
    </row>
    <row r="3920" spans="1:8" ht="15.75" customHeight="1">
      <c r="A3920" s="140" t="s">
        <v>84</v>
      </c>
      <c r="B3920" s="140" t="s">
        <v>22</v>
      </c>
      <c r="C3920" s="141" t="s">
        <v>447</v>
      </c>
      <c r="D3920" s="140" t="s">
        <v>448</v>
      </c>
      <c r="E3920" s="140">
        <v>11</v>
      </c>
      <c r="F3920" s="142">
        <v>45961.541666666672</v>
      </c>
      <c r="G3920" s="140" t="s">
        <v>845</v>
      </c>
      <c r="H3920" s="140" t="s">
        <v>877</v>
      </c>
    </row>
    <row r="3921" spans="1:8" ht="15.75" customHeight="1">
      <c r="A3921" s="140" t="s">
        <v>84</v>
      </c>
      <c r="B3921" s="140" t="s">
        <v>22</v>
      </c>
      <c r="C3921" s="141" t="s">
        <v>447</v>
      </c>
      <c r="D3921" s="140" t="s">
        <v>448</v>
      </c>
      <c r="E3921" s="140">
        <v>12</v>
      </c>
      <c r="F3921" s="142">
        <v>45965.541666666672</v>
      </c>
      <c r="G3921" s="140" t="s">
        <v>845</v>
      </c>
      <c r="H3921" s="140" t="s">
        <v>877</v>
      </c>
    </row>
    <row r="3922" spans="1:8" ht="15.75" customHeight="1">
      <c r="A3922" s="140" t="s">
        <v>84</v>
      </c>
      <c r="B3922" s="140" t="s">
        <v>22</v>
      </c>
      <c r="C3922" s="141" t="s">
        <v>447</v>
      </c>
      <c r="D3922" s="140" t="s">
        <v>448</v>
      </c>
      <c r="E3922" s="140">
        <v>13</v>
      </c>
      <c r="F3922" s="142">
        <v>45974.541666666672</v>
      </c>
      <c r="G3922" s="140" t="s">
        <v>845</v>
      </c>
      <c r="H3922" s="140" t="s">
        <v>877</v>
      </c>
    </row>
    <row r="3923" spans="1:8" ht="15.75" customHeight="1">
      <c r="A3923" s="140" t="s">
        <v>84</v>
      </c>
      <c r="B3923" s="140" t="s">
        <v>22</v>
      </c>
      <c r="C3923" s="141" t="s">
        <v>447</v>
      </c>
      <c r="D3923" s="140" t="s">
        <v>448</v>
      </c>
      <c r="E3923" s="140">
        <v>14</v>
      </c>
      <c r="F3923" s="142">
        <v>45980.541666666672</v>
      </c>
      <c r="G3923" s="140" t="s">
        <v>843</v>
      </c>
      <c r="H3923" s="140" t="s">
        <v>877</v>
      </c>
    </row>
    <row r="3924" spans="1:8" ht="15.75" customHeight="1">
      <c r="A3924" s="140" t="s">
        <v>84</v>
      </c>
      <c r="B3924" s="140" t="s">
        <v>22</v>
      </c>
      <c r="C3924" s="141" t="s">
        <v>447</v>
      </c>
      <c r="D3924" s="140" t="s">
        <v>448</v>
      </c>
      <c r="E3924" s="140">
        <v>15</v>
      </c>
      <c r="F3924" s="142">
        <v>45987.541666666672</v>
      </c>
      <c r="G3924" s="140" t="s">
        <v>845</v>
      </c>
      <c r="H3924" s="140" t="s">
        <v>877</v>
      </c>
    </row>
    <row r="3925" spans="1:8" ht="15.75" customHeight="1">
      <c r="A3925" s="140" t="s">
        <v>84</v>
      </c>
      <c r="B3925" s="140" t="s">
        <v>22</v>
      </c>
      <c r="C3925" s="141" t="s">
        <v>447</v>
      </c>
      <c r="D3925" s="140" t="s">
        <v>448</v>
      </c>
      <c r="E3925" s="140">
        <v>16</v>
      </c>
      <c r="F3925" s="142">
        <v>46045.541666666672</v>
      </c>
      <c r="G3925" s="140" t="s">
        <v>845</v>
      </c>
      <c r="H3925" s="140" t="s">
        <v>877</v>
      </c>
    </row>
    <row r="3926" spans="1:8" ht="15.75" customHeight="1">
      <c r="A3926" s="140" t="s">
        <v>84</v>
      </c>
      <c r="B3926" s="140" t="s">
        <v>21</v>
      </c>
      <c r="C3926" s="141" t="s">
        <v>463</v>
      </c>
      <c r="D3926" s="140" t="s">
        <v>464</v>
      </c>
      <c r="E3926" s="140">
        <v>1</v>
      </c>
      <c r="F3926" s="142">
        <v>45764.583333333328</v>
      </c>
      <c r="G3926" s="140" t="s">
        <v>845</v>
      </c>
      <c r="H3926" s="140" t="s">
        <v>877</v>
      </c>
    </row>
    <row r="3927" spans="1:8" ht="15.75" customHeight="1">
      <c r="A3927" s="140" t="s">
        <v>84</v>
      </c>
      <c r="B3927" s="140" t="s">
        <v>21</v>
      </c>
      <c r="C3927" s="141" t="s">
        <v>463</v>
      </c>
      <c r="D3927" s="140" t="s">
        <v>464</v>
      </c>
      <c r="E3927" s="140">
        <v>2</v>
      </c>
      <c r="F3927" s="142">
        <v>45784.541666666672</v>
      </c>
      <c r="G3927" s="140" t="s">
        <v>845</v>
      </c>
      <c r="H3927" s="140" t="s">
        <v>877</v>
      </c>
    </row>
    <row r="3928" spans="1:8" ht="15.75" customHeight="1">
      <c r="A3928" s="140" t="s">
        <v>84</v>
      </c>
      <c r="B3928" s="140" t="s">
        <v>21</v>
      </c>
      <c r="C3928" s="141" t="s">
        <v>463</v>
      </c>
      <c r="D3928" s="140" t="s">
        <v>464</v>
      </c>
      <c r="E3928" s="140">
        <v>3</v>
      </c>
      <c r="F3928" s="142">
        <v>45791.541666666672</v>
      </c>
      <c r="G3928" s="140" t="s">
        <v>845</v>
      </c>
      <c r="H3928" s="140" t="s">
        <v>877</v>
      </c>
    </row>
    <row r="3929" spans="1:8" ht="15.75" customHeight="1">
      <c r="A3929" s="140" t="s">
        <v>84</v>
      </c>
      <c r="B3929" s="140" t="s">
        <v>21</v>
      </c>
      <c r="C3929" s="141" t="s">
        <v>463</v>
      </c>
      <c r="D3929" s="140" t="s">
        <v>464</v>
      </c>
      <c r="E3929" s="140">
        <v>4</v>
      </c>
      <c r="F3929" s="142">
        <v>45804.583333333328</v>
      </c>
      <c r="G3929" s="140" t="s">
        <v>845</v>
      </c>
      <c r="H3929" s="140" t="s">
        <v>877</v>
      </c>
    </row>
    <row r="3930" spans="1:8" ht="15.75" customHeight="1">
      <c r="A3930" s="140" t="s">
        <v>84</v>
      </c>
      <c r="B3930" s="140" t="s">
        <v>21</v>
      </c>
      <c r="C3930" s="141" t="s">
        <v>463</v>
      </c>
      <c r="D3930" s="140" t="s">
        <v>464</v>
      </c>
      <c r="E3930" s="140">
        <v>5</v>
      </c>
      <c r="F3930" s="142">
        <v>45812.583333333328</v>
      </c>
      <c r="G3930" s="140" t="s">
        <v>845</v>
      </c>
      <c r="H3930" s="140" t="s">
        <v>877</v>
      </c>
    </row>
    <row r="3931" spans="1:8" ht="15.75" customHeight="1">
      <c r="A3931" s="140" t="s">
        <v>84</v>
      </c>
      <c r="B3931" s="140" t="s">
        <v>21</v>
      </c>
      <c r="C3931" s="141" t="s">
        <v>463</v>
      </c>
      <c r="D3931" s="140" t="s">
        <v>464</v>
      </c>
      <c r="E3931" s="140">
        <v>6</v>
      </c>
      <c r="F3931" s="142">
        <v>45813.541666666672</v>
      </c>
      <c r="G3931" s="140" t="s">
        <v>845</v>
      </c>
      <c r="H3931" s="140" t="s">
        <v>877</v>
      </c>
    </row>
    <row r="3932" spans="1:8" ht="15.75" customHeight="1">
      <c r="A3932" s="140" t="s">
        <v>84</v>
      </c>
      <c r="B3932" s="140" t="s">
        <v>21</v>
      </c>
      <c r="C3932" s="141" t="s">
        <v>463</v>
      </c>
      <c r="D3932" s="140" t="s">
        <v>464</v>
      </c>
      <c r="E3932" s="140">
        <v>7</v>
      </c>
      <c r="F3932" s="142">
        <v>45818.541666666672</v>
      </c>
      <c r="G3932" s="140" t="s">
        <v>845</v>
      </c>
      <c r="H3932" s="140" t="s">
        <v>877</v>
      </c>
    </row>
    <row r="3933" spans="1:8" ht="15.75" customHeight="1">
      <c r="A3933" s="140" t="s">
        <v>84</v>
      </c>
      <c r="B3933" s="140" t="s">
        <v>21</v>
      </c>
      <c r="C3933" s="141" t="s">
        <v>463</v>
      </c>
      <c r="D3933" s="140" t="s">
        <v>464</v>
      </c>
      <c r="E3933" s="140">
        <v>8</v>
      </c>
      <c r="F3933" s="142">
        <v>45827.541666666672</v>
      </c>
      <c r="G3933" s="140" t="s">
        <v>845</v>
      </c>
      <c r="H3933" s="140" t="s">
        <v>877</v>
      </c>
    </row>
    <row r="3934" spans="1:8" ht="15.75" customHeight="1">
      <c r="A3934" s="140" t="s">
        <v>84</v>
      </c>
      <c r="B3934" s="140" t="s">
        <v>21</v>
      </c>
      <c r="C3934" s="141" t="s">
        <v>463</v>
      </c>
      <c r="D3934" s="140" t="s">
        <v>464</v>
      </c>
      <c r="E3934" s="140">
        <v>9</v>
      </c>
      <c r="F3934" s="142">
        <v>45833.541666666672</v>
      </c>
      <c r="G3934" s="140" t="s">
        <v>845</v>
      </c>
      <c r="H3934" s="140" t="s">
        <v>877</v>
      </c>
    </row>
    <row r="3935" spans="1:8" ht="15.75" customHeight="1">
      <c r="A3935" s="140" t="s">
        <v>84</v>
      </c>
      <c r="B3935" s="140" t="s">
        <v>21</v>
      </c>
      <c r="C3935" s="141" t="s">
        <v>463</v>
      </c>
      <c r="D3935" s="140" t="s">
        <v>464</v>
      </c>
      <c r="E3935" s="140">
        <v>10</v>
      </c>
      <c r="F3935" s="142">
        <v>45860.416666666672</v>
      </c>
      <c r="G3935" s="140" t="s">
        <v>845</v>
      </c>
      <c r="H3935" s="140" t="s">
        <v>877</v>
      </c>
    </row>
    <row r="3936" spans="1:8" ht="15.75" customHeight="1">
      <c r="A3936" s="140" t="s">
        <v>84</v>
      </c>
      <c r="B3936" s="140" t="s">
        <v>21</v>
      </c>
      <c r="C3936" s="141" t="s">
        <v>472</v>
      </c>
      <c r="D3936" s="140" t="s">
        <v>473</v>
      </c>
      <c r="E3936" s="140">
        <v>1</v>
      </c>
      <c r="F3936" s="142">
        <v>45764.583333333328</v>
      </c>
      <c r="G3936" s="140" t="s">
        <v>845</v>
      </c>
      <c r="H3936" s="140" t="s">
        <v>877</v>
      </c>
    </row>
    <row r="3937" spans="1:8" ht="15.75" customHeight="1">
      <c r="A3937" s="140" t="s">
        <v>84</v>
      </c>
      <c r="B3937" s="140" t="s">
        <v>21</v>
      </c>
      <c r="C3937" s="141" t="s">
        <v>472</v>
      </c>
      <c r="D3937" s="140" t="s">
        <v>473</v>
      </c>
      <c r="E3937" s="140">
        <v>2</v>
      </c>
      <c r="F3937" s="142">
        <v>45784.541666666672</v>
      </c>
      <c r="G3937" s="140" t="s">
        <v>845</v>
      </c>
      <c r="H3937" s="140" t="s">
        <v>877</v>
      </c>
    </row>
    <row r="3938" spans="1:8" ht="15.75" customHeight="1">
      <c r="A3938" s="140" t="s">
        <v>84</v>
      </c>
      <c r="B3938" s="140" t="s">
        <v>21</v>
      </c>
      <c r="C3938" s="141" t="s">
        <v>472</v>
      </c>
      <c r="D3938" s="140" t="s">
        <v>473</v>
      </c>
      <c r="E3938" s="140">
        <v>3</v>
      </c>
      <c r="F3938" s="142">
        <v>45791.541666666672</v>
      </c>
      <c r="G3938" s="140" t="s">
        <v>843</v>
      </c>
      <c r="H3938" s="140" t="s">
        <v>877</v>
      </c>
    </row>
    <row r="3939" spans="1:8" ht="15.75" customHeight="1">
      <c r="A3939" s="140" t="s">
        <v>84</v>
      </c>
      <c r="B3939" s="140" t="s">
        <v>21</v>
      </c>
      <c r="C3939" s="141" t="s">
        <v>472</v>
      </c>
      <c r="D3939" s="140" t="s">
        <v>473</v>
      </c>
      <c r="E3939" s="140">
        <v>4</v>
      </c>
      <c r="F3939" s="142">
        <v>45804.583333333328</v>
      </c>
      <c r="G3939" s="140" t="s">
        <v>845</v>
      </c>
      <c r="H3939" s="140" t="s">
        <v>877</v>
      </c>
    </row>
    <row r="3940" spans="1:8" ht="15.75" customHeight="1">
      <c r="A3940" s="140" t="s">
        <v>84</v>
      </c>
      <c r="B3940" s="140" t="s">
        <v>21</v>
      </c>
      <c r="C3940" s="141" t="s">
        <v>472</v>
      </c>
      <c r="D3940" s="140" t="s">
        <v>473</v>
      </c>
      <c r="E3940" s="140">
        <v>5</v>
      </c>
      <c r="F3940" s="142">
        <v>45812.583333333328</v>
      </c>
      <c r="G3940" s="140" t="s">
        <v>845</v>
      </c>
      <c r="H3940" s="140" t="s">
        <v>877</v>
      </c>
    </row>
    <row r="3941" spans="1:8" ht="15.75" customHeight="1">
      <c r="A3941" s="140" t="s">
        <v>84</v>
      </c>
      <c r="B3941" s="140" t="s">
        <v>21</v>
      </c>
      <c r="C3941" s="141" t="s">
        <v>472</v>
      </c>
      <c r="D3941" s="140" t="s">
        <v>473</v>
      </c>
      <c r="E3941" s="140">
        <v>6</v>
      </c>
      <c r="F3941" s="142">
        <v>45813.541666666672</v>
      </c>
      <c r="G3941" s="140" t="s">
        <v>845</v>
      </c>
      <c r="H3941" s="140" t="s">
        <v>877</v>
      </c>
    </row>
    <row r="3942" spans="1:8" ht="15.75" customHeight="1">
      <c r="A3942" s="140" t="s">
        <v>84</v>
      </c>
      <c r="B3942" s="140" t="s">
        <v>21</v>
      </c>
      <c r="C3942" s="141" t="s">
        <v>472</v>
      </c>
      <c r="D3942" s="140" t="s">
        <v>473</v>
      </c>
      <c r="E3942" s="140">
        <v>7</v>
      </c>
      <c r="F3942" s="142">
        <v>45818.541666666672</v>
      </c>
      <c r="G3942" s="140" t="s">
        <v>845</v>
      </c>
      <c r="H3942" s="140" t="s">
        <v>877</v>
      </c>
    </row>
    <row r="3943" spans="1:8" ht="15.75" customHeight="1">
      <c r="A3943" s="140" t="s">
        <v>84</v>
      </c>
      <c r="B3943" s="140" t="s">
        <v>21</v>
      </c>
      <c r="C3943" s="141" t="s">
        <v>472</v>
      </c>
      <c r="D3943" s="140" t="s">
        <v>473</v>
      </c>
      <c r="E3943" s="140">
        <v>8</v>
      </c>
      <c r="F3943" s="142">
        <v>45827.541666666672</v>
      </c>
      <c r="G3943" s="140" t="s">
        <v>845</v>
      </c>
      <c r="H3943" s="140" t="s">
        <v>877</v>
      </c>
    </row>
    <row r="3944" spans="1:8" ht="15.75" customHeight="1">
      <c r="A3944" s="140" t="s">
        <v>84</v>
      </c>
      <c r="B3944" s="140" t="s">
        <v>21</v>
      </c>
      <c r="C3944" s="141" t="s">
        <v>472</v>
      </c>
      <c r="D3944" s="140" t="s">
        <v>473</v>
      </c>
      <c r="E3944" s="140">
        <v>9</v>
      </c>
      <c r="F3944" s="142">
        <v>45833.541666666672</v>
      </c>
      <c r="G3944" s="140" t="s">
        <v>843</v>
      </c>
      <c r="H3944" s="140" t="s">
        <v>877</v>
      </c>
    </row>
    <row r="3945" spans="1:8" ht="15.75" customHeight="1">
      <c r="A3945" s="140" t="s">
        <v>84</v>
      </c>
      <c r="B3945" s="140" t="s">
        <v>21</v>
      </c>
      <c r="C3945" s="141" t="s">
        <v>472</v>
      </c>
      <c r="D3945" s="140" t="s">
        <v>473</v>
      </c>
      <c r="E3945" s="140">
        <v>10</v>
      </c>
      <c r="F3945" s="142">
        <v>45860.416666666672</v>
      </c>
      <c r="G3945" s="140" t="s">
        <v>843</v>
      </c>
      <c r="H3945" s="140" t="s">
        <v>877</v>
      </c>
    </row>
    <row r="3946" spans="1:8" ht="15.75" customHeight="1">
      <c r="A3946" s="140" t="s">
        <v>84</v>
      </c>
      <c r="B3946" s="140" t="s">
        <v>24</v>
      </c>
      <c r="C3946" s="141" t="s">
        <v>486</v>
      </c>
      <c r="D3946" s="140" t="s">
        <v>487</v>
      </c>
      <c r="E3946" s="140">
        <v>1</v>
      </c>
      <c r="F3946" s="142">
        <v>46091.541666666672</v>
      </c>
      <c r="G3946" s="140" t="s">
        <v>845</v>
      </c>
      <c r="H3946" s="140" t="s">
        <v>877</v>
      </c>
    </row>
    <row r="3947" spans="1:8" ht="15.75" customHeight="1">
      <c r="A3947" s="140" t="s">
        <v>84</v>
      </c>
      <c r="B3947" s="140" t="s">
        <v>24</v>
      </c>
      <c r="C3947" s="141" t="s">
        <v>486</v>
      </c>
      <c r="D3947" s="140" t="s">
        <v>487</v>
      </c>
      <c r="E3947" s="140">
        <v>2</v>
      </c>
      <c r="F3947" s="142">
        <v>46098.541666666672</v>
      </c>
      <c r="G3947" s="140" t="s">
        <v>845</v>
      </c>
      <c r="H3947" s="140" t="s">
        <v>877</v>
      </c>
    </row>
    <row r="3948" spans="1:8" ht="15.75" customHeight="1">
      <c r="A3948" s="140" t="s">
        <v>84</v>
      </c>
      <c r="B3948" s="140" t="s">
        <v>24</v>
      </c>
      <c r="C3948" s="141" t="s">
        <v>486</v>
      </c>
      <c r="D3948" s="140" t="s">
        <v>487</v>
      </c>
      <c r="E3948" s="140">
        <v>3</v>
      </c>
      <c r="F3948" s="142">
        <v>46105.541666666672</v>
      </c>
      <c r="G3948" s="140" t="s">
        <v>845</v>
      </c>
      <c r="H3948" s="140" t="s">
        <v>877</v>
      </c>
    </row>
    <row r="3949" spans="1:8" ht="15.75" customHeight="1">
      <c r="A3949" s="140" t="s">
        <v>84</v>
      </c>
      <c r="B3949" s="140" t="s">
        <v>24</v>
      </c>
      <c r="C3949" s="141" t="s">
        <v>486</v>
      </c>
      <c r="D3949" s="140" t="s">
        <v>487</v>
      </c>
      <c r="E3949" s="140">
        <v>4</v>
      </c>
      <c r="F3949" s="142">
        <v>46114.541666666672</v>
      </c>
      <c r="G3949" s="140" t="s">
        <v>843</v>
      </c>
      <c r="H3949" s="140" t="s">
        <v>877</v>
      </c>
    </row>
    <row r="3950" spans="1:8" ht="15.75" customHeight="1">
      <c r="A3950" s="140" t="s">
        <v>84</v>
      </c>
      <c r="B3950" s="140" t="s">
        <v>24</v>
      </c>
      <c r="C3950" s="141" t="s">
        <v>486</v>
      </c>
      <c r="D3950" s="140" t="s">
        <v>487</v>
      </c>
      <c r="E3950" s="140">
        <v>5</v>
      </c>
      <c r="F3950" s="142">
        <v>46119.541666666672</v>
      </c>
      <c r="G3950" s="140" t="s">
        <v>845</v>
      </c>
      <c r="H3950" s="140" t="s">
        <v>877</v>
      </c>
    </row>
    <row r="3951" spans="1:8" ht="15.75" customHeight="1">
      <c r="A3951" s="140" t="s">
        <v>84</v>
      </c>
      <c r="B3951" s="140" t="s">
        <v>24</v>
      </c>
      <c r="C3951" s="141" t="s">
        <v>486</v>
      </c>
      <c r="D3951" s="140" t="s">
        <v>487</v>
      </c>
      <c r="E3951" s="140">
        <v>6</v>
      </c>
      <c r="F3951" s="142">
        <v>46126.541666666672</v>
      </c>
      <c r="G3951" s="140" t="s">
        <v>845</v>
      </c>
      <c r="H3951" s="140" t="s">
        <v>877</v>
      </c>
    </row>
    <row r="3952" spans="1:8" ht="15.75" customHeight="1">
      <c r="A3952" s="140" t="s">
        <v>84</v>
      </c>
      <c r="B3952" s="140" t="s">
        <v>21</v>
      </c>
      <c r="C3952" s="141" t="s">
        <v>486</v>
      </c>
      <c r="D3952" s="140" t="s">
        <v>487</v>
      </c>
      <c r="E3952" s="140">
        <v>1</v>
      </c>
      <c r="F3952" s="142">
        <v>45764.583333333328</v>
      </c>
      <c r="G3952" s="140" t="s">
        <v>845</v>
      </c>
      <c r="H3952" s="140" t="s">
        <v>877</v>
      </c>
    </row>
    <row r="3953" spans="1:8" ht="15.75" customHeight="1">
      <c r="A3953" s="140" t="s">
        <v>84</v>
      </c>
      <c r="B3953" s="140" t="s">
        <v>21</v>
      </c>
      <c r="C3953" s="141" t="s">
        <v>486</v>
      </c>
      <c r="D3953" s="140" t="s">
        <v>487</v>
      </c>
      <c r="E3953" s="140">
        <v>2</v>
      </c>
      <c r="F3953" s="142">
        <v>45784.541666666672</v>
      </c>
      <c r="G3953" s="140" t="s">
        <v>845</v>
      </c>
      <c r="H3953" s="140" t="s">
        <v>877</v>
      </c>
    </row>
    <row r="3954" spans="1:8" ht="15.75" customHeight="1">
      <c r="A3954" s="140" t="s">
        <v>84</v>
      </c>
      <c r="B3954" s="140" t="s">
        <v>21</v>
      </c>
      <c r="C3954" s="141" t="s">
        <v>486</v>
      </c>
      <c r="D3954" s="140" t="s">
        <v>487</v>
      </c>
      <c r="E3954" s="140">
        <v>3</v>
      </c>
      <c r="F3954" s="142">
        <v>45791.541666666672</v>
      </c>
      <c r="G3954" s="140" t="s">
        <v>845</v>
      </c>
      <c r="H3954" s="140" t="s">
        <v>877</v>
      </c>
    </row>
    <row r="3955" spans="1:8" ht="15.75" customHeight="1">
      <c r="A3955" s="140" t="s">
        <v>84</v>
      </c>
      <c r="B3955" s="140" t="s">
        <v>21</v>
      </c>
      <c r="C3955" s="141" t="s">
        <v>486</v>
      </c>
      <c r="D3955" s="140" t="s">
        <v>487</v>
      </c>
      <c r="E3955" s="140">
        <v>4</v>
      </c>
      <c r="F3955" s="142">
        <v>45804.583333333328</v>
      </c>
      <c r="G3955" s="140" t="s">
        <v>845</v>
      </c>
      <c r="H3955" s="140" t="s">
        <v>877</v>
      </c>
    </row>
    <row r="3956" spans="1:8" ht="15.75" customHeight="1">
      <c r="A3956" s="140" t="s">
        <v>84</v>
      </c>
      <c r="B3956" s="140" t="s">
        <v>21</v>
      </c>
      <c r="C3956" s="141" t="s">
        <v>486</v>
      </c>
      <c r="D3956" s="140" t="s">
        <v>487</v>
      </c>
      <c r="E3956" s="140">
        <v>5</v>
      </c>
      <c r="F3956" s="142">
        <v>45812.583333333328</v>
      </c>
      <c r="G3956" s="140" t="s">
        <v>845</v>
      </c>
      <c r="H3956" s="140" t="s">
        <v>877</v>
      </c>
    </row>
    <row r="3957" spans="1:8" ht="15.75" customHeight="1">
      <c r="A3957" s="140" t="s">
        <v>84</v>
      </c>
      <c r="B3957" s="140" t="s">
        <v>21</v>
      </c>
      <c r="C3957" s="141" t="s">
        <v>486</v>
      </c>
      <c r="D3957" s="140" t="s">
        <v>487</v>
      </c>
      <c r="E3957" s="140">
        <v>6</v>
      </c>
      <c r="F3957" s="142">
        <v>45813.541666666672</v>
      </c>
      <c r="G3957" s="140" t="s">
        <v>845</v>
      </c>
      <c r="H3957" s="140" t="s">
        <v>877</v>
      </c>
    </row>
    <row r="3958" spans="1:8" ht="15.75" customHeight="1">
      <c r="A3958" s="140" t="s">
        <v>84</v>
      </c>
      <c r="B3958" s="140" t="s">
        <v>21</v>
      </c>
      <c r="C3958" s="141" t="s">
        <v>486</v>
      </c>
      <c r="D3958" s="140" t="s">
        <v>487</v>
      </c>
      <c r="E3958" s="140">
        <v>7</v>
      </c>
      <c r="F3958" s="142">
        <v>45818.541666666672</v>
      </c>
      <c r="G3958" s="140" t="s">
        <v>845</v>
      </c>
      <c r="H3958" s="140" t="s">
        <v>877</v>
      </c>
    </row>
    <row r="3959" spans="1:8" ht="15.75" customHeight="1">
      <c r="A3959" s="140" t="s">
        <v>84</v>
      </c>
      <c r="B3959" s="140" t="s">
        <v>21</v>
      </c>
      <c r="C3959" s="141" t="s">
        <v>486</v>
      </c>
      <c r="D3959" s="140" t="s">
        <v>487</v>
      </c>
      <c r="E3959" s="140">
        <v>8</v>
      </c>
      <c r="F3959" s="142">
        <v>45827.541666666672</v>
      </c>
      <c r="G3959" s="140" t="s">
        <v>845</v>
      </c>
      <c r="H3959" s="140" t="s">
        <v>877</v>
      </c>
    </row>
    <row r="3960" spans="1:8" ht="15.75" customHeight="1">
      <c r="A3960" s="140" t="s">
        <v>84</v>
      </c>
      <c r="B3960" s="140" t="s">
        <v>21</v>
      </c>
      <c r="C3960" s="141" t="s">
        <v>486</v>
      </c>
      <c r="D3960" s="140" t="s">
        <v>487</v>
      </c>
      <c r="E3960" s="140">
        <v>9</v>
      </c>
      <c r="F3960" s="142">
        <v>45833.541666666672</v>
      </c>
      <c r="G3960" s="140" t="s">
        <v>845</v>
      </c>
      <c r="H3960" s="140" t="s">
        <v>877</v>
      </c>
    </row>
    <row r="3961" spans="1:8" ht="15.75" customHeight="1">
      <c r="A3961" s="140" t="s">
        <v>84</v>
      </c>
      <c r="B3961" s="140" t="s">
        <v>21</v>
      </c>
      <c r="C3961" s="141" t="s">
        <v>486</v>
      </c>
      <c r="D3961" s="140" t="s">
        <v>487</v>
      </c>
      <c r="E3961" s="140">
        <v>10</v>
      </c>
      <c r="F3961" s="142">
        <v>45860.416666666672</v>
      </c>
      <c r="G3961" s="140" t="s">
        <v>845</v>
      </c>
      <c r="H3961" s="140" t="s">
        <v>877</v>
      </c>
    </row>
    <row r="3962" spans="1:8" ht="15.75" customHeight="1">
      <c r="A3962" s="140" t="s">
        <v>84</v>
      </c>
      <c r="B3962" s="140" t="s">
        <v>22</v>
      </c>
      <c r="C3962" s="141" t="s">
        <v>486</v>
      </c>
      <c r="D3962" s="140" t="s">
        <v>487</v>
      </c>
      <c r="E3962" s="140">
        <v>1</v>
      </c>
      <c r="F3962" s="142">
        <v>45882.583333333328</v>
      </c>
      <c r="G3962" s="140" t="s">
        <v>845</v>
      </c>
      <c r="H3962" s="140" t="s">
        <v>877</v>
      </c>
    </row>
    <row r="3963" spans="1:8" ht="15.75" customHeight="1">
      <c r="A3963" s="140" t="s">
        <v>84</v>
      </c>
      <c r="B3963" s="140" t="s">
        <v>22</v>
      </c>
      <c r="C3963" s="141" t="s">
        <v>486</v>
      </c>
      <c r="D3963" s="140" t="s">
        <v>487</v>
      </c>
      <c r="E3963" s="140">
        <v>2</v>
      </c>
      <c r="F3963" s="142">
        <v>45889.541666666672</v>
      </c>
      <c r="G3963" s="140" t="s">
        <v>845</v>
      </c>
      <c r="H3963" s="140" t="s">
        <v>877</v>
      </c>
    </row>
    <row r="3964" spans="1:8" ht="15.75" customHeight="1">
      <c r="A3964" s="140" t="s">
        <v>84</v>
      </c>
      <c r="B3964" s="140" t="s">
        <v>22</v>
      </c>
      <c r="C3964" s="141" t="s">
        <v>486</v>
      </c>
      <c r="D3964" s="140" t="s">
        <v>487</v>
      </c>
      <c r="E3964" s="140">
        <v>3</v>
      </c>
      <c r="F3964" s="142">
        <v>45895.541666666672</v>
      </c>
      <c r="G3964" s="140" t="s">
        <v>845</v>
      </c>
      <c r="H3964" s="140" t="s">
        <v>877</v>
      </c>
    </row>
    <row r="3965" spans="1:8" ht="15.75" customHeight="1">
      <c r="A3965" s="140" t="s">
        <v>84</v>
      </c>
      <c r="B3965" s="140" t="s">
        <v>22</v>
      </c>
      <c r="C3965" s="141" t="s">
        <v>486</v>
      </c>
      <c r="D3965" s="140" t="s">
        <v>487</v>
      </c>
      <c r="E3965" s="140">
        <v>4</v>
      </c>
      <c r="F3965" s="142">
        <v>45903.541666666672</v>
      </c>
      <c r="G3965" s="140" t="s">
        <v>845</v>
      </c>
      <c r="H3965" s="140" t="s">
        <v>877</v>
      </c>
    </row>
    <row r="3966" spans="1:8" ht="15.75" customHeight="1">
      <c r="A3966" s="140" t="s">
        <v>84</v>
      </c>
      <c r="B3966" s="140" t="s">
        <v>22</v>
      </c>
      <c r="C3966" s="141" t="s">
        <v>486</v>
      </c>
      <c r="D3966" s="140" t="s">
        <v>487</v>
      </c>
      <c r="E3966" s="140">
        <v>5</v>
      </c>
      <c r="F3966" s="142">
        <v>45910.583333333328</v>
      </c>
      <c r="G3966" s="140" t="s">
        <v>845</v>
      </c>
      <c r="H3966" s="140" t="s">
        <v>877</v>
      </c>
    </row>
    <row r="3967" spans="1:8" ht="15.75" customHeight="1">
      <c r="A3967" s="140" t="s">
        <v>84</v>
      </c>
      <c r="B3967" s="140" t="s">
        <v>22</v>
      </c>
      <c r="C3967" s="141" t="s">
        <v>486</v>
      </c>
      <c r="D3967" s="140" t="s">
        <v>487</v>
      </c>
      <c r="E3967" s="140">
        <v>6</v>
      </c>
      <c r="F3967" s="142">
        <v>45917.541666666672</v>
      </c>
      <c r="G3967" s="140" t="s">
        <v>843</v>
      </c>
      <c r="H3967" s="140" t="s">
        <v>877</v>
      </c>
    </row>
    <row r="3968" spans="1:8" ht="15.75" customHeight="1">
      <c r="A3968" s="140" t="s">
        <v>84</v>
      </c>
      <c r="B3968" s="140" t="s">
        <v>22</v>
      </c>
      <c r="C3968" s="141" t="s">
        <v>486</v>
      </c>
      <c r="D3968" s="140" t="s">
        <v>487</v>
      </c>
      <c r="E3968" s="140">
        <v>7</v>
      </c>
      <c r="F3968" s="142">
        <v>45924.583333333328</v>
      </c>
      <c r="G3968" s="140" t="s">
        <v>845</v>
      </c>
      <c r="H3968" s="140" t="s">
        <v>877</v>
      </c>
    </row>
    <row r="3969" spans="1:8" ht="15.75" customHeight="1">
      <c r="A3969" s="140" t="s">
        <v>84</v>
      </c>
      <c r="B3969" s="140" t="s">
        <v>22</v>
      </c>
      <c r="C3969" s="141" t="s">
        <v>486</v>
      </c>
      <c r="D3969" s="140" t="s">
        <v>487</v>
      </c>
      <c r="E3969" s="140">
        <v>8</v>
      </c>
      <c r="F3969" s="142">
        <v>45940.583333333328</v>
      </c>
      <c r="G3969" s="140" t="s">
        <v>845</v>
      </c>
      <c r="H3969" s="140" t="s">
        <v>877</v>
      </c>
    </row>
    <row r="3970" spans="1:8" ht="15.75" customHeight="1">
      <c r="A3970" s="140" t="s">
        <v>84</v>
      </c>
      <c r="B3970" s="140" t="s">
        <v>22</v>
      </c>
      <c r="C3970" s="141" t="s">
        <v>486</v>
      </c>
      <c r="D3970" s="140" t="s">
        <v>487</v>
      </c>
      <c r="E3970" s="140">
        <v>9</v>
      </c>
      <c r="F3970" s="142">
        <v>45943.583333333328</v>
      </c>
      <c r="G3970" s="140" t="s">
        <v>843</v>
      </c>
      <c r="H3970" s="140" t="s">
        <v>877</v>
      </c>
    </row>
    <row r="3971" spans="1:8" ht="15.75" customHeight="1">
      <c r="A3971" s="140" t="s">
        <v>84</v>
      </c>
      <c r="B3971" s="140" t="s">
        <v>22</v>
      </c>
      <c r="C3971" s="141" t="s">
        <v>486</v>
      </c>
      <c r="D3971" s="140" t="s">
        <v>487</v>
      </c>
      <c r="E3971" s="140">
        <v>10</v>
      </c>
      <c r="F3971" s="142">
        <v>45954.541666666672</v>
      </c>
      <c r="G3971" s="140" t="s">
        <v>845</v>
      </c>
      <c r="H3971" s="140" t="s">
        <v>877</v>
      </c>
    </row>
    <row r="3972" spans="1:8" ht="15.75" customHeight="1">
      <c r="A3972" s="140" t="s">
        <v>84</v>
      </c>
      <c r="B3972" s="140" t="s">
        <v>22</v>
      </c>
      <c r="C3972" s="141" t="s">
        <v>486</v>
      </c>
      <c r="D3972" s="140" t="s">
        <v>487</v>
      </c>
      <c r="E3972" s="140">
        <v>11</v>
      </c>
      <c r="F3972" s="142">
        <v>45961.541666666672</v>
      </c>
      <c r="G3972" s="140" t="s">
        <v>845</v>
      </c>
      <c r="H3972" s="140" t="s">
        <v>877</v>
      </c>
    </row>
    <row r="3973" spans="1:8" ht="15.75" customHeight="1">
      <c r="A3973" s="140" t="s">
        <v>84</v>
      </c>
      <c r="B3973" s="140" t="s">
        <v>22</v>
      </c>
      <c r="C3973" s="141" t="s">
        <v>486</v>
      </c>
      <c r="D3973" s="140" t="s">
        <v>487</v>
      </c>
      <c r="E3973" s="140">
        <v>12</v>
      </c>
      <c r="F3973" s="142">
        <v>45965.541666666672</v>
      </c>
      <c r="G3973" s="140" t="s">
        <v>845</v>
      </c>
      <c r="H3973" s="140" t="s">
        <v>877</v>
      </c>
    </row>
    <row r="3974" spans="1:8" ht="15.75" customHeight="1">
      <c r="A3974" s="140" t="s">
        <v>84</v>
      </c>
      <c r="B3974" s="140" t="s">
        <v>22</v>
      </c>
      <c r="C3974" s="141" t="s">
        <v>486</v>
      </c>
      <c r="D3974" s="140" t="s">
        <v>487</v>
      </c>
      <c r="E3974" s="140">
        <v>13</v>
      </c>
      <c r="F3974" s="142">
        <v>45974.541666666672</v>
      </c>
      <c r="G3974" s="140" t="s">
        <v>845</v>
      </c>
      <c r="H3974" s="140" t="s">
        <v>877</v>
      </c>
    </row>
    <row r="3975" spans="1:8" ht="15.75" customHeight="1">
      <c r="A3975" s="140" t="s">
        <v>84</v>
      </c>
      <c r="B3975" s="140" t="s">
        <v>22</v>
      </c>
      <c r="C3975" s="141" t="s">
        <v>486</v>
      </c>
      <c r="D3975" s="140" t="s">
        <v>487</v>
      </c>
      <c r="E3975" s="140">
        <v>14</v>
      </c>
      <c r="F3975" s="142">
        <v>45980.541666666672</v>
      </c>
      <c r="G3975" s="140" t="s">
        <v>845</v>
      </c>
      <c r="H3975" s="140" t="s">
        <v>877</v>
      </c>
    </row>
    <row r="3976" spans="1:8" ht="15.75" customHeight="1">
      <c r="A3976" s="140" t="s">
        <v>84</v>
      </c>
      <c r="B3976" s="140" t="s">
        <v>22</v>
      </c>
      <c r="C3976" s="141" t="s">
        <v>486</v>
      </c>
      <c r="D3976" s="140" t="s">
        <v>487</v>
      </c>
      <c r="E3976" s="140">
        <v>15</v>
      </c>
      <c r="F3976" s="142">
        <v>45987.541666666672</v>
      </c>
      <c r="G3976" s="140" t="s">
        <v>845</v>
      </c>
      <c r="H3976" s="140" t="s">
        <v>877</v>
      </c>
    </row>
    <row r="3977" spans="1:8" ht="15.75" customHeight="1">
      <c r="A3977" s="140" t="s">
        <v>84</v>
      </c>
      <c r="B3977" s="140" t="s">
        <v>22</v>
      </c>
      <c r="C3977" s="141" t="s">
        <v>486</v>
      </c>
      <c r="D3977" s="140" t="s">
        <v>487</v>
      </c>
      <c r="E3977" s="140">
        <v>16</v>
      </c>
      <c r="F3977" s="142">
        <v>46045.541666666672</v>
      </c>
      <c r="G3977" s="140" t="s">
        <v>845</v>
      </c>
      <c r="H3977" s="140" t="s">
        <v>877</v>
      </c>
    </row>
    <row r="3978" spans="1:8" ht="15.75" customHeight="1">
      <c r="A3978" s="140" t="s">
        <v>84</v>
      </c>
      <c r="B3978" s="140" t="s">
        <v>24</v>
      </c>
      <c r="C3978" s="141" t="s">
        <v>508</v>
      </c>
      <c r="D3978" s="140" t="s">
        <v>509</v>
      </c>
      <c r="E3978" s="140">
        <v>1</v>
      </c>
      <c r="F3978" s="142">
        <v>46091.541666666672</v>
      </c>
      <c r="G3978" s="140" t="s">
        <v>845</v>
      </c>
      <c r="H3978" s="140" t="s">
        <v>877</v>
      </c>
    </row>
    <row r="3979" spans="1:8" ht="15.75" customHeight="1">
      <c r="A3979" s="140" t="s">
        <v>84</v>
      </c>
      <c r="B3979" s="140" t="s">
        <v>24</v>
      </c>
      <c r="C3979" s="141" t="s">
        <v>508</v>
      </c>
      <c r="D3979" s="140" t="s">
        <v>509</v>
      </c>
      <c r="E3979" s="140">
        <v>2</v>
      </c>
      <c r="F3979" s="142">
        <v>46098.541666666672</v>
      </c>
      <c r="G3979" s="140" t="s">
        <v>845</v>
      </c>
      <c r="H3979" s="140" t="s">
        <v>877</v>
      </c>
    </row>
    <row r="3980" spans="1:8" ht="15.75" customHeight="1">
      <c r="A3980" s="140" t="s">
        <v>84</v>
      </c>
      <c r="B3980" s="140" t="s">
        <v>24</v>
      </c>
      <c r="C3980" s="141" t="s">
        <v>508</v>
      </c>
      <c r="D3980" s="140" t="s">
        <v>509</v>
      </c>
      <c r="E3980" s="140">
        <v>3</v>
      </c>
      <c r="F3980" s="142">
        <v>46105.541666666672</v>
      </c>
      <c r="G3980" s="140" t="s">
        <v>845</v>
      </c>
      <c r="H3980" s="140" t="s">
        <v>877</v>
      </c>
    </row>
    <row r="3981" spans="1:8" ht="15.75" customHeight="1">
      <c r="A3981" s="140" t="s">
        <v>84</v>
      </c>
      <c r="B3981" s="140" t="s">
        <v>24</v>
      </c>
      <c r="C3981" s="141" t="s">
        <v>508</v>
      </c>
      <c r="D3981" s="140" t="s">
        <v>509</v>
      </c>
      <c r="E3981" s="140">
        <v>4</v>
      </c>
      <c r="F3981" s="142">
        <v>46114.541666666672</v>
      </c>
      <c r="G3981" s="140" t="s">
        <v>843</v>
      </c>
      <c r="H3981" s="140" t="s">
        <v>877</v>
      </c>
    </row>
    <row r="3982" spans="1:8" ht="15.75" customHeight="1">
      <c r="A3982" s="140" t="s">
        <v>84</v>
      </c>
      <c r="B3982" s="140" t="s">
        <v>24</v>
      </c>
      <c r="C3982" s="141" t="s">
        <v>508</v>
      </c>
      <c r="D3982" s="140" t="s">
        <v>509</v>
      </c>
      <c r="E3982" s="140">
        <v>5</v>
      </c>
      <c r="F3982" s="142">
        <v>46119.541666666672</v>
      </c>
      <c r="G3982" s="140" t="s">
        <v>845</v>
      </c>
      <c r="H3982" s="140" t="s">
        <v>877</v>
      </c>
    </row>
    <row r="3983" spans="1:8" ht="15.75" customHeight="1">
      <c r="A3983" s="140" t="s">
        <v>84</v>
      </c>
      <c r="B3983" s="140" t="s">
        <v>24</v>
      </c>
      <c r="C3983" s="141" t="s">
        <v>508</v>
      </c>
      <c r="D3983" s="140" t="s">
        <v>509</v>
      </c>
      <c r="E3983" s="140">
        <v>6</v>
      </c>
      <c r="F3983" s="142">
        <v>46126.541666666672</v>
      </c>
      <c r="G3983" s="140" t="s">
        <v>843</v>
      </c>
      <c r="H3983" s="140" t="s">
        <v>877</v>
      </c>
    </row>
    <row r="3984" spans="1:8" ht="15.75" customHeight="1">
      <c r="A3984" s="140" t="s">
        <v>84</v>
      </c>
      <c r="B3984" s="140" t="s">
        <v>21</v>
      </c>
      <c r="C3984" s="141" t="s">
        <v>508</v>
      </c>
      <c r="D3984" s="140" t="s">
        <v>509</v>
      </c>
      <c r="E3984" s="140">
        <v>1</v>
      </c>
      <c r="F3984" s="142">
        <v>45764.583333333328</v>
      </c>
      <c r="G3984" s="140" t="s">
        <v>845</v>
      </c>
      <c r="H3984" s="140" t="s">
        <v>877</v>
      </c>
    </row>
    <row r="3985" spans="1:8" ht="15.75" customHeight="1">
      <c r="A3985" s="140" t="s">
        <v>84</v>
      </c>
      <c r="B3985" s="140" t="s">
        <v>21</v>
      </c>
      <c r="C3985" s="141" t="s">
        <v>508</v>
      </c>
      <c r="D3985" s="140" t="s">
        <v>509</v>
      </c>
      <c r="E3985" s="140">
        <v>2</v>
      </c>
      <c r="F3985" s="142">
        <v>45784.541666666672</v>
      </c>
      <c r="G3985" s="140" t="s">
        <v>845</v>
      </c>
      <c r="H3985" s="140" t="s">
        <v>877</v>
      </c>
    </row>
    <row r="3986" spans="1:8" ht="15.75" customHeight="1">
      <c r="A3986" s="140" t="s">
        <v>84</v>
      </c>
      <c r="B3986" s="140" t="s">
        <v>21</v>
      </c>
      <c r="C3986" s="141" t="s">
        <v>508</v>
      </c>
      <c r="D3986" s="140" t="s">
        <v>509</v>
      </c>
      <c r="E3986" s="140">
        <v>3</v>
      </c>
      <c r="F3986" s="142">
        <v>45791.541666666672</v>
      </c>
      <c r="G3986" s="140" t="s">
        <v>845</v>
      </c>
      <c r="H3986" s="140" t="s">
        <v>877</v>
      </c>
    </row>
    <row r="3987" spans="1:8" ht="15.75" customHeight="1">
      <c r="A3987" s="140" t="s">
        <v>84</v>
      </c>
      <c r="B3987" s="140" t="s">
        <v>21</v>
      </c>
      <c r="C3987" s="141" t="s">
        <v>508</v>
      </c>
      <c r="D3987" s="140" t="s">
        <v>509</v>
      </c>
      <c r="E3987" s="140">
        <v>4</v>
      </c>
      <c r="F3987" s="142">
        <v>45804.583333333328</v>
      </c>
      <c r="G3987" s="140" t="s">
        <v>845</v>
      </c>
      <c r="H3987" s="140" t="s">
        <v>877</v>
      </c>
    </row>
    <row r="3988" spans="1:8" ht="15.75" customHeight="1">
      <c r="A3988" s="140" t="s">
        <v>84</v>
      </c>
      <c r="B3988" s="140" t="s">
        <v>21</v>
      </c>
      <c r="C3988" s="141" t="s">
        <v>508</v>
      </c>
      <c r="D3988" s="140" t="s">
        <v>509</v>
      </c>
      <c r="E3988" s="140">
        <v>6</v>
      </c>
      <c r="F3988" s="142">
        <v>45813.541666666672</v>
      </c>
      <c r="G3988" s="140" t="s">
        <v>843</v>
      </c>
      <c r="H3988" s="140" t="s">
        <v>877</v>
      </c>
    </row>
    <row r="3989" spans="1:8" ht="15.75" customHeight="1">
      <c r="A3989" s="140" t="s">
        <v>84</v>
      </c>
      <c r="B3989" s="140" t="s">
        <v>21</v>
      </c>
      <c r="C3989" s="141" t="s">
        <v>508</v>
      </c>
      <c r="D3989" s="140" t="s">
        <v>509</v>
      </c>
      <c r="E3989" s="140">
        <v>7</v>
      </c>
      <c r="F3989" s="142">
        <v>45818.541666666672</v>
      </c>
      <c r="G3989" s="140" t="s">
        <v>845</v>
      </c>
      <c r="H3989" s="140" t="s">
        <v>877</v>
      </c>
    </row>
    <row r="3990" spans="1:8" ht="15.75" customHeight="1">
      <c r="A3990" s="140" t="s">
        <v>84</v>
      </c>
      <c r="B3990" s="140" t="s">
        <v>21</v>
      </c>
      <c r="C3990" s="141" t="s">
        <v>508</v>
      </c>
      <c r="D3990" s="140" t="s">
        <v>509</v>
      </c>
      <c r="E3990" s="140">
        <v>8</v>
      </c>
      <c r="F3990" s="142">
        <v>45827.541666666672</v>
      </c>
      <c r="G3990" s="140" t="s">
        <v>845</v>
      </c>
      <c r="H3990" s="140" t="s">
        <v>877</v>
      </c>
    </row>
    <row r="3991" spans="1:8" ht="15.75" customHeight="1">
      <c r="A3991" s="140" t="s">
        <v>84</v>
      </c>
      <c r="B3991" s="140" t="s">
        <v>21</v>
      </c>
      <c r="C3991" s="141" t="s">
        <v>508</v>
      </c>
      <c r="D3991" s="140" t="s">
        <v>509</v>
      </c>
      <c r="E3991" s="140">
        <v>9</v>
      </c>
      <c r="F3991" s="142">
        <v>45833.541666666672</v>
      </c>
      <c r="G3991" s="140" t="s">
        <v>845</v>
      </c>
      <c r="H3991" s="140" t="s">
        <v>877</v>
      </c>
    </row>
    <row r="3992" spans="1:8" ht="15.75" customHeight="1">
      <c r="A3992" s="140" t="s">
        <v>84</v>
      </c>
      <c r="B3992" s="140" t="s">
        <v>21</v>
      </c>
      <c r="C3992" s="141" t="s">
        <v>508</v>
      </c>
      <c r="D3992" s="140" t="s">
        <v>509</v>
      </c>
      <c r="E3992" s="140">
        <v>10</v>
      </c>
      <c r="F3992" s="142">
        <v>45860.416666666672</v>
      </c>
      <c r="G3992" s="140" t="s">
        <v>845</v>
      </c>
      <c r="H3992" s="140" t="s">
        <v>877</v>
      </c>
    </row>
    <row r="3993" spans="1:8" ht="15.75" customHeight="1">
      <c r="A3993" s="140" t="s">
        <v>84</v>
      </c>
      <c r="B3993" s="140" t="s">
        <v>22</v>
      </c>
      <c r="C3993" s="141" t="s">
        <v>508</v>
      </c>
      <c r="D3993" s="140" t="s">
        <v>509</v>
      </c>
      <c r="E3993" s="140">
        <v>1</v>
      </c>
      <c r="F3993" s="142">
        <v>45882.583333333328</v>
      </c>
      <c r="G3993" s="140" t="s">
        <v>845</v>
      </c>
      <c r="H3993" s="140" t="s">
        <v>877</v>
      </c>
    </row>
    <row r="3994" spans="1:8" ht="15.75" customHeight="1">
      <c r="A3994" s="140" t="s">
        <v>84</v>
      </c>
      <c r="B3994" s="140" t="s">
        <v>22</v>
      </c>
      <c r="C3994" s="141" t="s">
        <v>508</v>
      </c>
      <c r="D3994" s="140" t="s">
        <v>509</v>
      </c>
      <c r="E3994" s="140">
        <v>2</v>
      </c>
      <c r="F3994" s="142">
        <v>45889.541666666672</v>
      </c>
      <c r="G3994" s="140" t="s">
        <v>845</v>
      </c>
      <c r="H3994" s="140" t="s">
        <v>877</v>
      </c>
    </row>
    <row r="3995" spans="1:8" ht="15.75" customHeight="1">
      <c r="A3995" s="140" t="s">
        <v>84</v>
      </c>
      <c r="B3995" s="140" t="s">
        <v>22</v>
      </c>
      <c r="C3995" s="141" t="s">
        <v>508</v>
      </c>
      <c r="D3995" s="140" t="s">
        <v>509</v>
      </c>
      <c r="E3995" s="140">
        <v>3</v>
      </c>
      <c r="F3995" s="142">
        <v>45895.541666666672</v>
      </c>
      <c r="G3995" s="140" t="s">
        <v>845</v>
      </c>
      <c r="H3995" s="140" t="s">
        <v>877</v>
      </c>
    </row>
    <row r="3996" spans="1:8" ht="15.75" customHeight="1">
      <c r="A3996" s="140" t="s">
        <v>84</v>
      </c>
      <c r="B3996" s="140" t="s">
        <v>22</v>
      </c>
      <c r="C3996" s="141" t="s">
        <v>508</v>
      </c>
      <c r="D3996" s="140" t="s">
        <v>509</v>
      </c>
      <c r="E3996" s="140">
        <v>4</v>
      </c>
      <c r="F3996" s="142">
        <v>45903.541666666672</v>
      </c>
      <c r="G3996" s="140" t="s">
        <v>843</v>
      </c>
      <c r="H3996" s="140" t="s">
        <v>877</v>
      </c>
    </row>
    <row r="3997" spans="1:8" ht="15.75" customHeight="1">
      <c r="A3997" s="140" t="s">
        <v>84</v>
      </c>
      <c r="B3997" s="140" t="s">
        <v>22</v>
      </c>
      <c r="C3997" s="141" t="s">
        <v>508</v>
      </c>
      <c r="D3997" s="140" t="s">
        <v>509</v>
      </c>
      <c r="E3997" s="140">
        <v>5</v>
      </c>
      <c r="F3997" s="142">
        <v>45910.583333333328</v>
      </c>
      <c r="G3997" s="140" t="s">
        <v>845</v>
      </c>
      <c r="H3997" s="140" t="s">
        <v>877</v>
      </c>
    </row>
    <row r="3998" spans="1:8" ht="15.75" customHeight="1">
      <c r="A3998" s="140" t="s">
        <v>84</v>
      </c>
      <c r="B3998" s="140" t="s">
        <v>22</v>
      </c>
      <c r="C3998" s="141" t="s">
        <v>508</v>
      </c>
      <c r="D3998" s="140" t="s">
        <v>509</v>
      </c>
      <c r="E3998" s="140">
        <v>6</v>
      </c>
      <c r="F3998" s="142">
        <v>45917.541666666672</v>
      </c>
      <c r="G3998" s="140" t="s">
        <v>845</v>
      </c>
      <c r="H3998" s="140" t="s">
        <v>877</v>
      </c>
    </row>
    <row r="3999" spans="1:8" ht="15.75" customHeight="1">
      <c r="A3999" s="140" t="s">
        <v>84</v>
      </c>
      <c r="B3999" s="140" t="s">
        <v>22</v>
      </c>
      <c r="C3999" s="141" t="s">
        <v>508</v>
      </c>
      <c r="D3999" s="140" t="s">
        <v>509</v>
      </c>
      <c r="E3999" s="140">
        <v>7</v>
      </c>
      <c r="F3999" s="142">
        <v>45924.583333333328</v>
      </c>
      <c r="G3999" s="140" t="s">
        <v>845</v>
      </c>
      <c r="H3999" s="140" t="s">
        <v>877</v>
      </c>
    </row>
    <row r="4000" spans="1:8" ht="15.75" customHeight="1">
      <c r="A4000" s="140" t="s">
        <v>84</v>
      </c>
      <c r="B4000" s="140" t="s">
        <v>22</v>
      </c>
      <c r="C4000" s="141" t="s">
        <v>508</v>
      </c>
      <c r="D4000" s="140" t="s">
        <v>509</v>
      </c>
      <c r="E4000" s="140">
        <v>8</v>
      </c>
      <c r="F4000" s="142">
        <v>45940.583333333328</v>
      </c>
      <c r="G4000" s="140" t="s">
        <v>845</v>
      </c>
      <c r="H4000" s="140" t="s">
        <v>877</v>
      </c>
    </row>
    <row r="4001" spans="1:8" ht="15.75" customHeight="1">
      <c r="A4001" s="140" t="s">
        <v>84</v>
      </c>
      <c r="B4001" s="140" t="s">
        <v>22</v>
      </c>
      <c r="C4001" s="141" t="s">
        <v>508</v>
      </c>
      <c r="D4001" s="140" t="s">
        <v>509</v>
      </c>
      <c r="E4001" s="140">
        <v>9</v>
      </c>
      <c r="F4001" s="142">
        <v>45943.583333333328</v>
      </c>
      <c r="G4001" s="140" t="s">
        <v>845</v>
      </c>
      <c r="H4001" s="140" t="s">
        <v>877</v>
      </c>
    </row>
    <row r="4002" spans="1:8" ht="15.75" customHeight="1">
      <c r="A4002" s="140" t="s">
        <v>84</v>
      </c>
      <c r="B4002" s="140" t="s">
        <v>22</v>
      </c>
      <c r="C4002" s="141" t="s">
        <v>508</v>
      </c>
      <c r="D4002" s="140" t="s">
        <v>509</v>
      </c>
      <c r="E4002" s="140">
        <v>10</v>
      </c>
      <c r="F4002" s="142">
        <v>45954.541666666672</v>
      </c>
      <c r="G4002" s="140" t="s">
        <v>845</v>
      </c>
      <c r="H4002" s="140" t="s">
        <v>877</v>
      </c>
    </row>
    <row r="4003" spans="1:8" ht="15.75" customHeight="1">
      <c r="A4003" s="140" t="s">
        <v>84</v>
      </c>
      <c r="B4003" s="140" t="s">
        <v>22</v>
      </c>
      <c r="C4003" s="141" t="s">
        <v>508</v>
      </c>
      <c r="D4003" s="140" t="s">
        <v>509</v>
      </c>
      <c r="E4003" s="140">
        <v>11</v>
      </c>
      <c r="F4003" s="142">
        <v>45961.541666666672</v>
      </c>
      <c r="G4003" s="140" t="s">
        <v>845</v>
      </c>
      <c r="H4003" s="140" t="s">
        <v>877</v>
      </c>
    </row>
    <row r="4004" spans="1:8" ht="15.75" customHeight="1">
      <c r="A4004" s="140" t="s">
        <v>84</v>
      </c>
      <c r="B4004" s="140" t="s">
        <v>22</v>
      </c>
      <c r="C4004" s="141" t="s">
        <v>508</v>
      </c>
      <c r="D4004" s="140" t="s">
        <v>509</v>
      </c>
      <c r="E4004" s="140">
        <v>12</v>
      </c>
      <c r="F4004" s="142">
        <v>45965.541666666672</v>
      </c>
      <c r="G4004" s="140" t="s">
        <v>845</v>
      </c>
      <c r="H4004" s="140" t="s">
        <v>877</v>
      </c>
    </row>
    <row r="4005" spans="1:8" ht="15.75" customHeight="1">
      <c r="A4005" s="140" t="s">
        <v>84</v>
      </c>
      <c r="B4005" s="140" t="s">
        <v>22</v>
      </c>
      <c r="C4005" s="141" t="s">
        <v>508</v>
      </c>
      <c r="D4005" s="140" t="s">
        <v>509</v>
      </c>
      <c r="E4005" s="140">
        <v>13</v>
      </c>
      <c r="F4005" s="142">
        <v>45974.541666666672</v>
      </c>
      <c r="G4005" s="140" t="s">
        <v>845</v>
      </c>
      <c r="H4005" s="140" t="s">
        <v>877</v>
      </c>
    </row>
    <row r="4006" spans="1:8" ht="15.75" customHeight="1">
      <c r="A4006" s="140" t="s">
        <v>84</v>
      </c>
      <c r="B4006" s="140" t="s">
        <v>22</v>
      </c>
      <c r="C4006" s="141" t="s">
        <v>508</v>
      </c>
      <c r="D4006" s="140" t="s">
        <v>509</v>
      </c>
      <c r="E4006" s="140">
        <v>14</v>
      </c>
      <c r="F4006" s="142">
        <v>45980.541666666672</v>
      </c>
      <c r="G4006" s="140" t="s">
        <v>845</v>
      </c>
      <c r="H4006" s="140" t="s">
        <v>877</v>
      </c>
    </row>
    <row r="4007" spans="1:8" ht="15.75" customHeight="1">
      <c r="A4007" s="140" t="s">
        <v>84</v>
      </c>
      <c r="B4007" s="140" t="s">
        <v>22</v>
      </c>
      <c r="C4007" s="141" t="s">
        <v>508</v>
      </c>
      <c r="D4007" s="140" t="s">
        <v>509</v>
      </c>
      <c r="E4007" s="140">
        <v>15</v>
      </c>
      <c r="F4007" s="142">
        <v>45987.541666666672</v>
      </c>
      <c r="G4007" s="140" t="s">
        <v>845</v>
      </c>
      <c r="H4007" s="140" t="s">
        <v>877</v>
      </c>
    </row>
    <row r="4008" spans="1:8" ht="15.75" customHeight="1">
      <c r="A4008" s="140" t="s">
        <v>84</v>
      </c>
      <c r="B4008" s="140" t="s">
        <v>22</v>
      </c>
      <c r="C4008" s="141" t="s">
        <v>508</v>
      </c>
      <c r="D4008" s="140" t="s">
        <v>509</v>
      </c>
      <c r="E4008" s="140">
        <v>16</v>
      </c>
      <c r="F4008" s="142">
        <v>46045.541666666672</v>
      </c>
      <c r="G4008" s="140" t="s">
        <v>845</v>
      </c>
      <c r="H4008" s="140" t="s">
        <v>877</v>
      </c>
    </row>
    <row r="4009" spans="1:8" ht="15.75" customHeight="1">
      <c r="A4009" s="140" t="s">
        <v>84</v>
      </c>
      <c r="B4009" s="140" t="s">
        <v>24</v>
      </c>
      <c r="C4009" s="141" t="s">
        <v>597</v>
      </c>
      <c r="D4009" s="140" t="s">
        <v>598</v>
      </c>
      <c r="E4009" s="140">
        <v>1</v>
      </c>
      <c r="F4009" s="142">
        <v>46091.541666666672</v>
      </c>
      <c r="G4009" s="140" t="s">
        <v>845</v>
      </c>
      <c r="H4009" s="140" t="s">
        <v>877</v>
      </c>
    </row>
    <row r="4010" spans="1:8" ht="15.75" customHeight="1">
      <c r="A4010" s="140" t="s">
        <v>84</v>
      </c>
      <c r="B4010" s="140" t="s">
        <v>24</v>
      </c>
      <c r="C4010" s="141" t="s">
        <v>597</v>
      </c>
      <c r="D4010" s="140" t="s">
        <v>598</v>
      </c>
      <c r="E4010" s="140">
        <v>2</v>
      </c>
      <c r="F4010" s="142">
        <v>46098.541666666672</v>
      </c>
      <c r="G4010" s="140" t="s">
        <v>845</v>
      </c>
      <c r="H4010" s="140" t="s">
        <v>877</v>
      </c>
    </row>
    <row r="4011" spans="1:8" ht="15.75" customHeight="1">
      <c r="A4011" s="140" t="s">
        <v>84</v>
      </c>
      <c r="B4011" s="140" t="s">
        <v>24</v>
      </c>
      <c r="C4011" s="141" t="s">
        <v>597</v>
      </c>
      <c r="D4011" s="140" t="s">
        <v>598</v>
      </c>
      <c r="E4011" s="140">
        <v>3</v>
      </c>
      <c r="F4011" s="142">
        <v>46105.541666666672</v>
      </c>
      <c r="G4011" s="140" t="s">
        <v>845</v>
      </c>
      <c r="H4011" s="140" t="s">
        <v>877</v>
      </c>
    </row>
    <row r="4012" spans="1:8" ht="15.75" customHeight="1">
      <c r="A4012" s="140" t="s">
        <v>84</v>
      </c>
      <c r="B4012" s="140" t="s">
        <v>24</v>
      </c>
      <c r="C4012" s="141" t="s">
        <v>597</v>
      </c>
      <c r="D4012" s="140" t="s">
        <v>598</v>
      </c>
      <c r="E4012" s="140">
        <v>4</v>
      </c>
      <c r="F4012" s="142">
        <v>46114.541666666672</v>
      </c>
      <c r="G4012" s="140" t="s">
        <v>845</v>
      </c>
      <c r="H4012" s="140" t="s">
        <v>877</v>
      </c>
    </row>
    <row r="4013" spans="1:8" ht="15.75" customHeight="1">
      <c r="A4013" s="140" t="s">
        <v>84</v>
      </c>
      <c r="B4013" s="140" t="s">
        <v>24</v>
      </c>
      <c r="C4013" s="141" t="s">
        <v>597</v>
      </c>
      <c r="D4013" s="140" t="s">
        <v>598</v>
      </c>
      <c r="E4013" s="140">
        <v>5</v>
      </c>
      <c r="F4013" s="142">
        <v>46119.541666666672</v>
      </c>
      <c r="G4013" s="140" t="s">
        <v>845</v>
      </c>
      <c r="H4013" s="140" t="s">
        <v>877</v>
      </c>
    </row>
    <row r="4014" spans="1:8" ht="15.75" customHeight="1">
      <c r="A4014" s="140" t="s">
        <v>84</v>
      </c>
      <c r="B4014" s="140" t="s">
        <v>24</v>
      </c>
      <c r="C4014" s="141" t="s">
        <v>597</v>
      </c>
      <c r="D4014" s="140" t="s">
        <v>598</v>
      </c>
      <c r="E4014" s="140">
        <v>6</v>
      </c>
      <c r="F4014" s="142">
        <v>46126.541666666672</v>
      </c>
      <c r="G4014" s="140" t="s">
        <v>845</v>
      </c>
      <c r="H4014" s="140" t="s">
        <v>877</v>
      </c>
    </row>
    <row r="4015" spans="1:8" ht="15.75" customHeight="1">
      <c r="A4015" s="140" t="s">
        <v>84</v>
      </c>
      <c r="B4015" s="140" t="s">
        <v>21</v>
      </c>
      <c r="C4015" s="141" t="s">
        <v>597</v>
      </c>
      <c r="D4015" s="140" t="s">
        <v>598</v>
      </c>
      <c r="E4015" s="140">
        <v>1</v>
      </c>
      <c r="F4015" s="142">
        <v>45764.583333333328</v>
      </c>
      <c r="G4015" s="140" t="s">
        <v>845</v>
      </c>
      <c r="H4015" s="140" t="s">
        <v>877</v>
      </c>
    </row>
    <row r="4016" spans="1:8" ht="15.75" customHeight="1">
      <c r="A4016" s="140" t="s">
        <v>84</v>
      </c>
      <c r="B4016" s="140" t="s">
        <v>21</v>
      </c>
      <c r="C4016" s="141" t="s">
        <v>597</v>
      </c>
      <c r="D4016" s="140" t="s">
        <v>598</v>
      </c>
      <c r="E4016" s="140">
        <v>2</v>
      </c>
      <c r="F4016" s="142">
        <v>45784.541666666672</v>
      </c>
      <c r="G4016" s="140" t="s">
        <v>845</v>
      </c>
      <c r="H4016" s="140" t="s">
        <v>877</v>
      </c>
    </row>
    <row r="4017" spans="1:8" ht="15.75" customHeight="1">
      <c r="A4017" s="140" t="s">
        <v>84</v>
      </c>
      <c r="B4017" s="140" t="s">
        <v>21</v>
      </c>
      <c r="C4017" s="141" t="s">
        <v>597</v>
      </c>
      <c r="D4017" s="140" t="s">
        <v>598</v>
      </c>
      <c r="E4017" s="140">
        <v>3</v>
      </c>
      <c r="F4017" s="142">
        <v>45791.541666666672</v>
      </c>
      <c r="G4017" s="140" t="s">
        <v>845</v>
      </c>
      <c r="H4017" s="140" t="s">
        <v>877</v>
      </c>
    </row>
    <row r="4018" spans="1:8" ht="15.75" customHeight="1">
      <c r="A4018" s="140" t="s">
        <v>84</v>
      </c>
      <c r="B4018" s="140" t="s">
        <v>21</v>
      </c>
      <c r="C4018" s="141" t="s">
        <v>597</v>
      </c>
      <c r="D4018" s="140" t="s">
        <v>598</v>
      </c>
      <c r="E4018" s="140">
        <v>4</v>
      </c>
      <c r="F4018" s="142">
        <v>45804.583333333328</v>
      </c>
      <c r="G4018" s="140" t="s">
        <v>845</v>
      </c>
      <c r="H4018" s="140" t="s">
        <v>877</v>
      </c>
    </row>
    <row r="4019" spans="1:8" ht="15.75" customHeight="1">
      <c r="A4019" s="140" t="s">
        <v>84</v>
      </c>
      <c r="B4019" s="140" t="s">
        <v>21</v>
      </c>
      <c r="C4019" s="141" t="s">
        <v>597</v>
      </c>
      <c r="D4019" s="140" t="s">
        <v>598</v>
      </c>
      <c r="E4019" s="140">
        <v>5</v>
      </c>
      <c r="F4019" s="142">
        <v>45812.583333333328</v>
      </c>
      <c r="G4019" s="140" t="s">
        <v>845</v>
      </c>
      <c r="H4019" s="140" t="s">
        <v>877</v>
      </c>
    </row>
    <row r="4020" spans="1:8" ht="15.75" customHeight="1">
      <c r="A4020" s="140" t="s">
        <v>84</v>
      </c>
      <c r="B4020" s="140" t="s">
        <v>21</v>
      </c>
      <c r="C4020" s="141" t="s">
        <v>597</v>
      </c>
      <c r="D4020" s="140" t="s">
        <v>598</v>
      </c>
      <c r="E4020" s="140">
        <v>6</v>
      </c>
      <c r="F4020" s="142">
        <v>45813.541666666672</v>
      </c>
      <c r="G4020" s="140" t="s">
        <v>845</v>
      </c>
      <c r="H4020" s="140" t="s">
        <v>877</v>
      </c>
    </row>
    <row r="4021" spans="1:8" ht="15.75" customHeight="1">
      <c r="A4021" s="140" t="s">
        <v>84</v>
      </c>
      <c r="B4021" s="140" t="s">
        <v>21</v>
      </c>
      <c r="C4021" s="141" t="s">
        <v>597</v>
      </c>
      <c r="D4021" s="140" t="s">
        <v>598</v>
      </c>
      <c r="E4021" s="140">
        <v>7</v>
      </c>
      <c r="F4021" s="142">
        <v>45818.541666666672</v>
      </c>
      <c r="G4021" s="140" t="s">
        <v>845</v>
      </c>
      <c r="H4021" s="140" t="s">
        <v>877</v>
      </c>
    </row>
    <row r="4022" spans="1:8" ht="15.75" customHeight="1">
      <c r="A4022" s="140" t="s">
        <v>84</v>
      </c>
      <c r="B4022" s="140" t="s">
        <v>21</v>
      </c>
      <c r="C4022" s="141" t="s">
        <v>597</v>
      </c>
      <c r="D4022" s="140" t="s">
        <v>598</v>
      </c>
      <c r="E4022" s="140">
        <v>8</v>
      </c>
      <c r="F4022" s="142">
        <v>45827.541666666672</v>
      </c>
      <c r="G4022" s="140" t="s">
        <v>845</v>
      </c>
      <c r="H4022" s="140" t="s">
        <v>877</v>
      </c>
    </row>
    <row r="4023" spans="1:8" ht="15.75" customHeight="1">
      <c r="A4023" s="140" t="s">
        <v>84</v>
      </c>
      <c r="B4023" s="140" t="s">
        <v>21</v>
      </c>
      <c r="C4023" s="141" t="s">
        <v>597</v>
      </c>
      <c r="D4023" s="140" t="s">
        <v>598</v>
      </c>
      <c r="E4023" s="140">
        <v>9</v>
      </c>
      <c r="F4023" s="142">
        <v>45833.541666666672</v>
      </c>
      <c r="G4023" s="140" t="s">
        <v>845</v>
      </c>
      <c r="H4023" s="140" t="s">
        <v>877</v>
      </c>
    </row>
    <row r="4024" spans="1:8" ht="15.75" customHeight="1">
      <c r="A4024" s="140" t="s">
        <v>84</v>
      </c>
      <c r="B4024" s="140" t="s">
        <v>21</v>
      </c>
      <c r="C4024" s="141" t="s">
        <v>597</v>
      </c>
      <c r="D4024" s="140" t="s">
        <v>598</v>
      </c>
      <c r="E4024" s="140">
        <v>10</v>
      </c>
      <c r="F4024" s="142">
        <v>45860.416666666672</v>
      </c>
      <c r="G4024" s="140" t="s">
        <v>845</v>
      </c>
      <c r="H4024" s="140" t="s">
        <v>877</v>
      </c>
    </row>
    <row r="4025" spans="1:8" ht="15.75" customHeight="1">
      <c r="A4025" s="140" t="s">
        <v>84</v>
      </c>
      <c r="B4025" s="140" t="s">
        <v>22</v>
      </c>
      <c r="C4025" s="141" t="s">
        <v>597</v>
      </c>
      <c r="D4025" s="140" t="s">
        <v>598</v>
      </c>
      <c r="E4025" s="140">
        <v>1</v>
      </c>
      <c r="F4025" s="142">
        <v>45882.583333333328</v>
      </c>
      <c r="G4025" s="140" t="s">
        <v>845</v>
      </c>
      <c r="H4025" s="140" t="s">
        <v>877</v>
      </c>
    </row>
    <row r="4026" spans="1:8" ht="15.75" customHeight="1">
      <c r="A4026" s="140" t="s">
        <v>84</v>
      </c>
      <c r="B4026" s="140" t="s">
        <v>22</v>
      </c>
      <c r="C4026" s="141" t="s">
        <v>597</v>
      </c>
      <c r="D4026" s="140" t="s">
        <v>598</v>
      </c>
      <c r="E4026" s="140">
        <v>2</v>
      </c>
      <c r="F4026" s="142">
        <v>45889.541666666672</v>
      </c>
      <c r="G4026" s="140" t="s">
        <v>845</v>
      </c>
      <c r="H4026" s="140" t="s">
        <v>877</v>
      </c>
    </row>
    <row r="4027" spans="1:8" ht="15.75" customHeight="1">
      <c r="A4027" s="140" t="s">
        <v>84</v>
      </c>
      <c r="B4027" s="140" t="s">
        <v>22</v>
      </c>
      <c r="C4027" s="141" t="s">
        <v>597</v>
      </c>
      <c r="D4027" s="140" t="s">
        <v>598</v>
      </c>
      <c r="E4027" s="140">
        <v>3</v>
      </c>
      <c r="F4027" s="142">
        <v>45895.541666666672</v>
      </c>
      <c r="G4027" s="140" t="s">
        <v>845</v>
      </c>
      <c r="H4027" s="140" t="s">
        <v>877</v>
      </c>
    </row>
    <row r="4028" spans="1:8" ht="15.75" customHeight="1">
      <c r="A4028" s="140" t="s">
        <v>84</v>
      </c>
      <c r="B4028" s="140" t="s">
        <v>22</v>
      </c>
      <c r="C4028" s="141" t="s">
        <v>597</v>
      </c>
      <c r="D4028" s="140" t="s">
        <v>598</v>
      </c>
      <c r="E4028" s="140">
        <v>4</v>
      </c>
      <c r="F4028" s="142">
        <v>45903.541666666672</v>
      </c>
      <c r="G4028" s="140" t="s">
        <v>845</v>
      </c>
      <c r="H4028" s="140" t="s">
        <v>877</v>
      </c>
    </row>
    <row r="4029" spans="1:8" ht="15.75" customHeight="1">
      <c r="A4029" s="140" t="s">
        <v>84</v>
      </c>
      <c r="B4029" s="140" t="s">
        <v>22</v>
      </c>
      <c r="C4029" s="141" t="s">
        <v>597</v>
      </c>
      <c r="D4029" s="140" t="s">
        <v>598</v>
      </c>
      <c r="E4029" s="140">
        <v>5</v>
      </c>
      <c r="F4029" s="142">
        <v>45910.583333333328</v>
      </c>
      <c r="G4029" s="140" t="s">
        <v>845</v>
      </c>
      <c r="H4029" s="140" t="s">
        <v>877</v>
      </c>
    </row>
    <row r="4030" spans="1:8" ht="15.75" customHeight="1">
      <c r="A4030" s="140" t="s">
        <v>84</v>
      </c>
      <c r="B4030" s="140" t="s">
        <v>22</v>
      </c>
      <c r="C4030" s="141" t="s">
        <v>597</v>
      </c>
      <c r="D4030" s="140" t="s">
        <v>598</v>
      </c>
      <c r="E4030" s="140">
        <v>6</v>
      </c>
      <c r="F4030" s="142">
        <v>45917.541666666672</v>
      </c>
      <c r="G4030" s="140" t="s">
        <v>845</v>
      </c>
      <c r="H4030" s="140" t="s">
        <v>877</v>
      </c>
    </row>
    <row r="4031" spans="1:8" ht="15.75" customHeight="1">
      <c r="A4031" s="140" t="s">
        <v>84</v>
      </c>
      <c r="B4031" s="140" t="s">
        <v>22</v>
      </c>
      <c r="C4031" s="141" t="s">
        <v>597</v>
      </c>
      <c r="D4031" s="140" t="s">
        <v>598</v>
      </c>
      <c r="E4031" s="140">
        <v>7</v>
      </c>
      <c r="F4031" s="142">
        <v>45924.583333333328</v>
      </c>
      <c r="G4031" s="140" t="s">
        <v>845</v>
      </c>
      <c r="H4031" s="140" t="s">
        <v>877</v>
      </c>
    </row>
    <row r="4032" spans="1:8" ht="15.75" customHeight="1">
      <c r="A4032" s="140" t="s">
        <v>84</v>
      </c>
      <c r="B4032" s="140" t="s">
        <v>22</v>
      </c>
      <c r="C4032" s="141" t="s">
        <v>597</v>
      </c>
      <c r="D4032" s="140" t="s">
        <v>598</v>
      </c>
      <c r="E4032" s="140">
        <v>8</v>
      </c>
      <c r="F4032" s="142">
        <v>45940.583333333328</v>
      </c>
      <c r="G4032" s="140" t="s">
        <v>845</v>
      </c>
      <c r="H4032" s="140" t="s">
        <v>877</v>
      </c>
    </row>
    <row r="4033" spans="1:8" ht="15.75" customHeight="1">
      <c r="A4033" s="140" t="s">
        <v>84</v>
      </c>
      <c r="B4033" s="140" t="s">
        <v>22</v>
      </c>
      <c r="C4033" s="141" t="s">
        <v>597</v>
      </c>
      <c r="D4033" s="140" t="s">
        <v>598</v>
      </c>
      <c r="E4033" s="140">
        <v>9</v>
      </c>
      <c r="F4033" s="142">
        <v>45943.583333333328</v>
      </c>
      <c r="G4033" s="140" t="s">
        <v>845</v>
      </c>
      <c r="H4033" s="140" t="s">
        <v>877</v>
      </c>
    </row>
    <row r="4034" spans="1:8" ht="15.75" customHeight="1">
      <c r="A4034" s="140" t="s">
        <v>84</v>
      </c>
      <c r="B4034" s="140" t="s">
        <v>22</v>
      </c>
      <c r="C4034" s="141" t="s">
        <v>597</v>
      </c>
      <c r="D4034" s="140" t="s">
        <v>598</v>
      </c>
      <c r="E4034" s="140">
        <v>10</v>
      </c>
      <c r="F4034" s="142">
        <v>45954.541666666672</v>
      </c>
      <c r="G4034" s="140" t="s">
        <v>845</v>
      </c>
      <c r="H4034" s="140" t="s">
        <v>877</v>
      </c>
    </row>
    <row r="4035" spans="1:8" ht="15.75" customHeight="1">
      <c r="A4035" s="140" t="s">
        <v>84</v>
      </c>
      <c r="B4035" s="140" t="s">
        <v>22</v>
      </c>
      <c r="C4035" s="141" t="s">
        <v>597</v>
      </c>
      <c r="D4035" s="140" t="s">
        <v>598</v>
      </c>
      <c r="E4035" s="140">
        <v>11</v>
      </c>
      <c r="F4035" s="142">
        <v>45961.541666666672</v>
      </c>
      <c r="G4035" s="140" t="s">
        <v>845</v>
      </c>
      <c r="H4035" s="140" t="s">
        <v>877</v>
      </c>
    </row>
    <row r="4036" spans="1:8" ht="15.75" customHeight="1">
      <c r="A4036" s="140" t="s">
        <v>84</v>
      </c>
      <c r="B4036" s="140" t="s">
        <v>22</v>
      </c>
      <c r="C4036" s="141" t="s">
        <v>597</v>
      </c>
      <c r="D4036" s="140" t="s">
        <v>598</v>
      </c>
      <c r="E4036" s="140">
        <v>12</v>
      </c>
      <c r="F4036" s="142">
        <v>45965.541666666672</v>
      </c>
      <c r="G4036" s="140" t="s">
        <v>845</v>
      </c>
      <c r="H4036" s="140" t="s">
        <v>877</v>
      </c>
    </row>
    <row r="4037" spans="1:8" ht="15.75" customHeight="1">
      <c r="A4037" s="140" t="s">
        <v>84</v>
      </c>
      <c r="B4037" s="140" t="s">
        <v>22</v>
      </c>
      <c r="C4037" s="141" t="s">
        <v>597</v>
      </c>
      <c r="D4037" s="140" t="s">
        <v>598</v>
      </c>
      <c r="E4037" s="140">
        <v>13</v>
      </c>
      <c r="F4037" s="142">
        <v>45974.541666666672</v>
      </c>
      <c r="G4037" s="140" t="s">
        <v>845</v>
      </c>
      <c r="H4037" s="140" t="s">
        <v>877</v>
      </c>
    </row>
    <row r="4038" spans="1:8" ht="15.75" customHeight="1">
      <c r="A4038" s="140" t="s">
        <v>84</v>
      </c>
      <c r="B4038" s="140" t="s">
        <v>22</v>
      </c>
      <c r="C4038" s="141" t="s">
        <v>597</v>
      </c>
      <c r="D4038" s="140" t="s">
        <v>598</v>
      </c>
      <c r="E4038" s="140">
        <v>14</v>
      </c>
      <c r="F4038" s="142">
        <v>45980.541666666672</v>
      </c>
      <c r="G4038" s="140" t="s">
        <v>845</v>
      </c>
      <c r="H4038" s="140" t="s">
        <v>877</v>
      </c>
    </row>
    <row r="4039" spans="1:8" ht="15.75" customHeight="1">
      <c r="A4039" s="140" t="s">
        <v>84</v>
      </c>
      <c r="B4039" s="140" t="s">
        <v>22</v>
      </c>
      <c r="C4039" s="141" t="s">
        <v>597</v>
      </c>
      <c r="D4039" s="140" t="s">
        <v>598</v>
      </c>
      <c r="E4039" s="140">
        <v>15</v>
      </c>
      <c r="F4039" s="142">
        <v>45987.541666666672</v>
      </c>
      <c r="G4039" s="140" t="s">
        <v>845</v>
      </c>
      <c r="H4039" s="140" t="s">
        <v>877</v>
      </c>
    </row>
    <row r="4040" spans="1:8" ht="15.75" customHeight="1">
      <c r="A4040" s="140" t="s">
        <v>84</v>
      </c>
      <c r="B4040" s="140" t="s">
        <v>22</v>
      </c>
      <c r="C4040" s="141" t="s">
        <v>597</v>
      </c>
      <c r="D4040" s="140" t="s">
        <v>598</v>
      </c>
      <c r="E4040" s="140">
        <v>16</v>
      </c>
      <c r="F4040" s="142">
        <v>46045.541666666672</v>
      </c>
      <c r="G4040" s="140" t="s">
        <v>845</v>
      </c>
      <c r="H4040" s="140" t="s">
        <v>877</v>
      </c>
    </row>
    <row r="4041" spans="1:8" ht="15.75" customHeight="1">
      <c r="A4041" s="140" t="s">
        <v>84</v>
      </c>
      <c r="B4041" s="140" t="s">
        <v>24</v>
      </c>
      <c r="C4041" s="141" t="s">
        <v>623</v>
      </c>
      <c r="D4041" s="140" t="s">
        <v>624</v>
      </c>
      <c r="E4041" s="140">
        <v>1</v>
      </c>
      <c r="F4041" s="142">
        <v>46091.541666666672</v>
      </c>
      <c r="G4041" s="140" t="s">
        <v>845</v>
      </c>
      <c r="H4041" s="140" t="s">
        <v>877</v>
      </c>
    </row>
    <row r="4042" spans="1:8" ht="15.75" customHeight="1">
      <c r="A4042" s="140" t="s">
        <v>84</v>
      </c>
      <c r="B4042" s="140" t="s">
        <v>24</v>
      </c>
      <c r="C4042" s="141" t="s">
        <v>623</v>
      </c>
      <c r="D4042" s="140" t="s">
        <v>624</v>
      </c>
      <c r="E4042" s="140">
        <v>2</v>
      </c>
      <c r="F4042" s="142">
        <v>46098.541666666672</v>
      </c>
      <c r="G4042" s="140" t="s">
        <v>845</v>
      </c>
      <c r="H4042" s="140" t="s">
        <v>877</v>
      </c>
    </row>
    <row r="4043" spans="1:8" ht="15.75" customHeight="1">
      <c r="A4043" s="140" t="s">
        <v>84</v>
      </c>
      <c r="B4043" s="140" t="s">
        <v>24</v>
      </c>
      <c r="C4043" s="141" t="s">
        <v>623</v>
      </c>
      <c r="D4043" s="140" t="s">
        <v>624</v>
      </c>
      <c r="E4043" s="140">
        <v>3</v>
      </c>
      <c r="F4043" s="142">
        <v>46105.541666666672</v>
      </c>
      <c r="G4043" s="140" t="s">
        <v>843</v>
      </c>
      <c r="H4043" s="140" t="s">
        <v>877</v>
      </c>
    </row>
    <row r="4044" spans="1:8" ht="15.75" customHeight="1">
      <c r="A4044" s="140" t="s">
        <v>84</v>
      </c>
      <c r="B4044" s="140" t="s">
        <v>24</v>
      </c>
      <c r="C4044" s="141" t="s">
        <v>623</v>
      </c>
      <c r="D4044" s="140" t="s">
        <v>624</v>
      </c>
      <c r="E4044" s="140">
        <v>4</v>
      </c>
      <c r="F4044" s="142">
        <v>46114.541666666672</v>
      </c>
      <c r="G4044" s="140" t="s">
        <v>843</v>
      </c>
      <c r="H4044" s="140" t="s">
        <v>877</v>
      </c>
    </row>
    <row r="4045" spans="1:8" ht="15.75" customHeight="1">
      <c r="A4045" s="140" t="s">
        <v>84</v>
      </c>
      <c r="B4045" s="140" t="s">
        <v>24</v>
      </c>
      <c r="C4045" s="141" t="s">
        <v>623</v>
      </c>
      <c r="D4045" s="140" t="s">
        <v>624</v>
      </c>
      <c r="E4045" s="140">
        <v>5</v>
      </c>
      <c r="F4045" s="142">
        <v>46119.541666666672</v>
      </c>
      <c r="G4045" s="140" t="s">
        <v>843</v>
      </c>
      <c r="H4045" s="140" t="s">
        <v>877</v>
      </c>
    </row>
    <row r="4046" spans="1:8" ht="15.75" customHeight="1">
      <c r="A4046" s="140" t="s">
        <v>84</v>
      </c>
      <c r="B4046" s="140" t="s">
        <v>24</v>
      </c>
      <c r="C4046" s="141" t="s">
        <v>623</v>
      </c>
      <c r="D4046" s="140" t="s">
        <v>624</v>
      </c>
      <c r="E4046" s="140">
        <v>6</v>
      </c>
      <c r="F4046" s="142">
        <v>46126.541666666672</v>
      </c>
      <c r="G4046" s="140" t="s">
        <v>843</v>
      </c>
      <c r="H4046" s="140" t="s">
        <v>877</v>
      </c>
    </row>
    <row r="4047" spans="1:8" ht="15.75" customHeight="1">
      <c r="A4047" s="140" t="s">
        <v>84</v>
      </c>
      <c r="B4047" s="140" t="s">
        <v>21</v>
      </c>
      <c r="C4047" s="141" t="s">
        <v>623</v>
      </c>
      <c r="D4047" s="140" t="s">
        <v>624</v>
      </c>
      <c r="E4047" s="140">
        <v>1</v>
      </c>
      <c r="F4047" s="142">
        <v>45764.583333333328</v>
      </c>
      <c r="G4047" s="140" t="s">
        <v>845</v>
      </c>
      <c r="H4047" s="140" t="s">
        <v>877</v>
      </c>
    </row>
    <row r="4048" spans="1:8" ht="15.75" customHeight="1">
      <c r="A4048" s="140" t="s">
        <v>84</v>
      </c>
      <c r="B4048" s="140" t="s">
        <v>21</v>
      </c>
      <c r="C4048" s="141" t="s">
        <v>623</v>
      </c>
      <c r="D4048" s="140" t="s">
        <v>624</v>
      </c>
      <c r="E4048" s="140">
        <v>2</v>
      </c>
      <c r="F4048" s="142">
        <v>45784.541666666672</v>
      </c>
      <c r="G4048" s="140" t="s">
        <v>845</v>
      </c>
      <c r="H4048" s="140" t="s">
        <v>877</v>
      </c>
    </row>
    <row r="4049" spans="1:8" ht="15.75" customHeight="1">
      <c r="A4049" s="140" t="s">
        <v>84</v>
      </c>
      <c r="B4049" s="140" t="s">
        <v>21</v>
      </c>
      <c r="C4049" s="141" t="s">
        <v>623</v>
      </c>
      <c r="D4049" s="140" t="s">
        <v>624</v>
      </c>
      <c r="E4049" s="140">
        <v>3</v>
      </c>
      <c r="F4049" s="142">
        <v>45791.541666666672</v>
      </c>
      <c r="G4049" s="140" t="s">
        <v>845</v>
      </c>
      <c r="H4049" s="140" t="s">
        <v>877</v>
      </c>
    </row>
    <row r="4050" spans="1:8" ht="15.75" customHeight="1">
      <c r="A4050" s="140" t="s">
        <v>84</v>
      </c>
      <c r="B4050" s="140" t="s">
        <v>21</v>
      </c>
      <c r="C4050" s="141" t="s">
        <v>623</v>
      </c>
      <c r="D4050" s="140" t="s">
        <v>624</v>
      </c>
      <c r="E4050" s="140">
        <v>4</v>
      </c>
      <c r="F4050" s="142">
        <v>45804.583333333328</v>
      </c>
      <c r="G4050" s="140" t="s">
        <v>845</v>
      </c>
      <c r="H4050" s="140" t="s">
        <v>877</v>
      </c>
    </row>
    <row r="4051" spans="1:8" ht="15.75" customHeight="1">
      <c r="A4051" s="140" t="s">
        <v>84</v>
      </c>
      <c r="B4051" s="140" t="s">
        <v>21</v>
      </c>
      <c r="C4051" s="141" t="s">
        <v>623</v>
      </c>
      <c r="D4051" s="140" t="s">
        <v>624</v>
      </c>
      <c r="E4051" s="140">
        <v>5</v>
      </c>
      <c r="F4051" s="142">
        <v>45812.583333333328</v>
      </c>
      <c r="G4051" s="140" t="s">
        <v>845</v>
      </c>
      <c r="H4051" s="140" t="s">
        <v>877</v>
      </c>
    </row>
    <row r="4052" spans="1:8" ht="15.75" customHeight="1">
      <c r="A4052" s="140" t="s">
        <v>84</v>
      </c>
      <c r="B4052" s="140" t="s">
        <v>21</v>
      </c>
      <c r="C4052" s="141" t="s">
        <v>623</v>
      </c>
      <c r="D4052" s="140" t="s">
        <v>624</v>
      </c>
      <c r="E4052" s="140">
        <v>6</v>
      </c>
      <c r="F4052" s="142">
        <v>45813.541666666672</v>
      </c>
      <c r="G4052" s="140" t="s">
        <v>845</v>
      </c>
      <c r="H4052" s="140" t="s">
        <v>877</v>
      </c>
    </row>
    <row r="4053" spans="1:8" ht="15.75" customHeight="1">
      <c r="A4053" s="140" t="s">
        <v>84</v>
      </c>
      <c r="B4053" s="140" t="s">
        <v>21</v>
      </c>
      <c r="C4053" s="141" t="s">
        <v>623</v>
      </c>
      <c r="D4053" s="140" t="s">
        <v>624</v>
      </c>
      <c r="E4053" s="140">
        <v>7</v>
      </c>
      <c r="F4053" s="142">
        <v>45818.541666666672</v>
      </c>
      <c r="G4053" s="140" t="s">
        <v>845</v>
      </c>
      <c r="H4053" s="140" t="s">
        <v>877</v>
      </c>
    </row>
    <row r="4054" spans="1:8" ht="15.75" customHeight="1">
      <c r="A4054" s="140" t="s">
        <v>84</v>
      </c>
      <c r="B4054" s="140" t="s">
        <v>21</v>
      </c>
      <c r="C4054" s="141" t="s">
        <v>623</v>
      </c>
      <c r="D4054" s="140" t="s">
        <v>624</v>
      </c>
      <c r="E4054" s="140">
        <v>8</v>
      </c>
      <c r="F4054" s="142">
        <v>45827.541666666672</v>
      </c>
      <c r="G4054" s="140" t="s">
        <v>845</v>
      </c>
      <c r="H4054" s="140" t="s">
        <v>877</v>
      </c>
    </row>
    <row r="4055" spans="1:8" ht="15.75" customHeight="1">
      <c r="A4055" s="140" t="s">
        <v>84</v>
      </c>
      <c r="B4055" s="140" t="s">
        <v>21</v>
      </c>
      <c r="C4055" s="141" t="s">
        <v>623</v>
      </c>
      <c r="D4055" s="140" t="s">
        <v>624</v>
      </c>
      <c r="E4055" s="140">
        <v>9</v>
      </c>
      <c r="F4055" s="142">
        <v>45833.541666666672</v>
      </c>
      <c r="G4055" s="140" t="s">
        <v>845</v>
      </c>
      <c r="H4055" s="140" t="s">
        <v>877</v>
      </c>
    </row>
    <row r="4056" spans="1:8" ht="15.75" customHeight="1">
      <c r="A4056" s="140" t="s">
        <v>84</v>
      </c>
      <c r="B4056" s="140" t="s">
        <v>21</v>
      </c>
      <c r="C4056" s="141" t="s">
        <v>623</v>
      </c>
      <c r="D4056" s="140" t="s">
        <v>624</v>
      </c>
      <c r="E4056" s="140">
        <v>10</v>
      </c>
      <c r="F4056" s="142">
        <v>45860.416666666672</v>
      </c>
      <c r="G4056" s="140" t="s">
        <v>845</v>
      </c>
      <c r="H4056" s="140" t="s">
        <v>877</v>
      </c>
    </row>
    <row r="4057" spans="1:8" ht="15.75" customHeight="1">
      <c r="A4057" s="140" t="s">
        <v>84</v>
      </c>
      <c r="B4057" s="140" t="s">
        <v>22</v>
      </c>
      <c r="C4057" s="141" t="s">
        <v>623</v>
      </c>
      <c r="D4057" s="140" t="s">
        <v>624</v>
      </c>
      <c r="E4057" s="140">
        <v>1</v>
      </c>
      <c r="F4057" s="142">
        <v>45882.583333333328</v>
      </c>
      <c r="G4057" s="140" t="s">
        <v>843</v>
      </c>
      <c r="H4057" s="140" t="s">
        <v>877</v>
      </c>
    </row>
    <row r="4058" spans="1:8" ht="15.75" customHeight="1">
      <c r="A4058" s="140" t="s">
        <v>84</v>
      </c>
      <c r="B4058" s="140" t="s">
        <v>22</v>
      </c>
      <c r="C4058" s="141" t="s">
        <v>623</v>
      </c>
      <c r="D4058" s="140" t="s">
        <v>624</v>
      </c>
      <c r="E4058" s="140">
        <v>2</v>
      </c>
      <c r="F4058" s="142">
        <v>45889.541666666672</v>
      </c>
      <c r="G4058" s="140" t="s">
        <v>843</v>
      </c>
      <c r="H4058" s="140" t="s">
        <v>877</v>
      </c>
    </row>
    <row r="4059" spans="1:8" ht="15.75" customHeight="1">
      <c r="A4059" s="140" t="s">
        <v>84</v>
      </c>
      <c r="B4059" s="140" t="s">
        <v>22</v>
      </c>
      <c r="C4059" s="141" t="s">
        <v>623</v>
      </c>
      <c r="D4059" s="140" t="s">
        <v>624</v>
      </c>
      <c r="E4059" s="140">
        <v>3</v>
      </c>
      <c r="F4059" s="142">
        <v>45895.541666666672</v>
      </c>
      <c r="G4059" s="140" t="s">
        <v>843</v>
      </c>
      <c r="H4059" s="140" t="s">
        <v>877</v>
      </c>
    </row>
    <row r="4060" spans="1:8" ht="15.75" customHeight="1">
      <c r="A4060" s="140" t="s">
        <v>84</v>
      </c>
      <c r="B4060" s="140" t="s">
        <v>22</v>
      </c>
      <c r="C4060" s="141" t="s">
        <v>623</v>
      </c>
      <c r="D4060" s="140" t="s">
        <v>624</v>
      </c>
      <c r="E4060" s="140">
        <v>4</v>
      </c>
      <c r="F4060" s="142">
        <v>45903.541666666672</v>
      </c>
      <c r="G4060" s="140" t="s">
        <v>843</v>
      </c>
      <c r="H4060" s="140" t="s">
        <v>877</v>
      </c>
    </row>
    <row r="4061" spans="1:8" ht="15.75" customHeight="1">
      <c r="A4061" s="140" t="s">
        <v>84</v>
      </c>
      <c r="B4061" s="140" t="s">
        <v>22</v>
      </c>
      <c r="C4061" s="141" t="s">
        <v>623</v>
      </c>
      <c r="D4061" s="140" t="s">
        <v>624</v>
      </c>
      <c r="E4061" s="140">
        <v>5</v>
      </c>
      <c r="F4061" s="142">
        <v>45910.583333333328</v>
      </c>
      <c r="G4061" s="140" t="s">
        <v>843</v>
      </c>
      <c r="H4061" s="140" t="s">
        <v>877</v>
      </c>
    </row>
    <row r="4062" spans="1:8" ht="15.75" customHeight="1">
      <c r="A4062" s="140" t="s">
        <v>84</v>
      </c>
      <c r="B4062" s="140" t="s">
        <v>22</v>
      </c>
      <c r="C4062" s="141" t="s">
        <v>623</v>
      </c>
      <c r="D4062" s="140" t="s">
        <v>624</v>
      </c>
      <c r="E4062" s="140">
        <v>6</v>
      </c>
      <c r="F4062" s="142">
        <v>45917.541666666672</v>
      </c>
      <c r="G4062" s="140" t="s">
        <v>843</v>
      </c>
      <c r="H4062" s="140" t="s">
        <v>877</v>
      </c>
    </row>
    <row r="4063" spans="1:8" ht="15.75" customHeight="1">
      <c r="A4063" s="140" t="s">
        <v>84</v>
      </c>
      <c r="B4063" s="140" t="s">
        <v>22</v>
      </c>
      <c r="C4063" s="141" t="s">
        <v>623</v>
      </c>
      <c r="D4063" s="140" t="s">
        <v>624</v>
      </c>
      <c r="E4063" s="140">
        <v>7</v>
      </c>
      <c r="F4063" s="142">
        <v>45924.583333333328</v>
      </c>
      <c r="G4063" s="140" t="s">
        <v>843</v>
      </c>
      <c r="H4063" s="140" t="s">
        <v>877</v>
      </c>
    </row>
    <row r="4064" spans="1:8" ht="15.75" customHeight="1">
      <c r="A4064" s="140" t="s">
        <v>84</v>
      </c>
      <c r="B4064" s="140" t="s">
        <v>22</v>
      </c>
      <c r="C4064" s="141" t="s">
        <v>623</v>
      </c>
      <c r="D4064" s="140" t="s">
        <v>624</v>
      </c>
      <c r="E4064" s="140">
        <v>8</v>
      </c>
      <c r="F4064" s="142">
        <v>45940.583333333328</v>
      </c>
      <c r="G4064" s="140" t="s">
        <v>843</v>
      </c>
      <c r="H4064" s="140" t="s">
        <v>877</v>
      </c>
    </row>
    <row r="4065" spans="1:8" ht="15.75" customHeight="1">
      <c r="A4065" s="140" t="s">
        <v>84</v>
      </c>
      <c r="B4065" s="140" t="s">
        <v>22</v>
      </c>
      <c r="C4065" s="141" t="s">
        <v>623</v>
      </c>
      <c r="D4065" s="140" t="s">
        <v>624</v>
      </c>
      <c r="E4065" s="140">
        <v>9</v>
      </c>
      <c r="F4065" s="142">
        <v>45943.583333333328</v>
      </c>
      <c r="G4065" s="140" t="s">
        <v>843</v>
      </c>
      <c r="H4065" s="140" t="s">
        <v>877</v>
      </c>
    </row>
    <row r="4066" spans="1:8" ht="15.75" customHeight="1">
      <c r="A4066" s="140" t="s">
        <v>84</v>
      </c>
      <c r="B4066" s="140" t="s">
        <v>22</v>
      </c>
      <c r="C4066" s="141" t="s">
        <v>623</v>
      </c>
      <c r="D4066" s="140" t="s">
        <v>624</v>
      </c>
      <c r="E4066" s="140">
        <v>10</v>
      </c>
      <c r="F4066" s="142">
        <v>45954.541666666672</v>
      </c>
      <c r="G4066" s="140" t="s">
        <v>843</v>
      </c>
      <c r="H4066" s="140" t="s">
        <v>877</v>
      </c>
    </row>
    <row r="4067" spans="1:8" ht="15.75" customHeight="1">
      <c r="A4067" s="140" t="s">
        <v>84</v>
      </c>
      <c r="B4067" s="140" t="s">
        <v>22</v>
      </c>
      <c r="C4067" s="141" t="s">
        <v>623</v>
      </c>
      <c r="D4067" s="140" t="s">
        <v>624</v>
      </c>
      <c r="E4067" s="140">
        <v>11</v>
      </c>
      <c r="F4067" s="142">
        <v>45961.541666666672</v>
      </c>
      <c r="G4067" s="140" t="s">
        <v>843</v>
      </c>
      <c r="H4067" s="140" t="s">
        <v>877</v>
      </c>
    </row>
    <row r="4068" spans="1:8" ht="15.75" customHeight="1">
      <c r="A4068" s="140" t="s">
        <v>84</v>
      </c>
      <c r="B4068" s="140" t="s">
        <v>22</v>
      </c>
      <c r="C4068" s="141" t="s">
        <v>623</v>
      </c>
      <c r="D4068" s="140" t="s">
        <v>624</v>
      </c>
      <c r="E4068" s="140">
        <v>12</v>
      </c>
      <c r="F4068" s="142">
        <v>45965.541666666672</v>
      </c>
      <c r="G4068" s="140" t="s">
        <v>843</v>
      </c>
      <c r="H4068" s="140" t="s">
        <v>877</v>
      </c>
    </row>
    <row r="4069" spans="1:8" ht="15.75" customHeight="1">
      <c r="A4069" s="140" t="s">
        <v>84</v>
      </c>
      <c r="B4069" s="140" t="s">
        <v>22</v>
      </c>
      <c r="C4069" s="141" t="s">
        <v>623</v>
      </c>
      <c r="D4069" s="140" t="s">
        <v>624</v>
      </c>
      <c r="E4069" s="140">
        <v>13</v>
      </c>
      <c r="F4069" s="142">
        <v>45974.541666666672</v>
      </c>
      <c r="G4069" s="140" t="s">
        <v>843</v>
      </c>
      <c r="H4069" s="140" t="s">
        <v>877</v>
      </c>
    </row>
    <row r="4070" spans="1:8" ht="15.75" customHeight="1">
      <c r="A4070" s="140" t="s">
        <v>84</v>
      </c>
      <c r="B4070" s="140" t="s">
        <v>22</v>
      </c>
      <c r="C4070" s="141" t="s">
        <v>623</v>
      </c>
      <c r="D4070" s="140" t="s">
        <v>624</v>
      </c>
      <c r="E4070" s="140">
        <v>14</v>
      </c>
      <c r="F4070" s="142">
        <v>45980.541666666672</v>
      </c>
      <c r="G4070" s="140" t="s">
        <v>843</v>
      </c>
      <c r="H4070" s="140" t="s">
        <v>877</v>
      </c>
    </row>
    <row r="4071" spans="1:8" ht="15.75" customHeight="1">
      <c r="A4071" s="140" t="s">
        <v>84</v>
      </c>
      <c r="B4071" s="140" t="s">
        <v>22</v>
      </c>
      <c r="C4071" s="141" t="s">
        <v>623</v>
      </c>
      <c r="D4071" s="140" t="s">
        <v>624</v>
      </c>
      <c r="E4071" s="140">
        <v>15</v>
      </c>
      <c r="F4071" s="142">
        <v>45987.541666666672</v>
      </c>
      <c r="G4071" s="140" t="s">
        <v>843</v>
      </c>
      <c r="H4071" s="140" t="s">
        <v>877</v>
      </c>
    </row>
    <row r="4072" spans="1:8" ht="15.75" customHeight="1">
      <c r="A4072" s="140" t="s">
        <v>84</v>
      </c>
      <c r="B4072" s="140" t="s">
        <v>22</v>
      </c>
      <c r="C4072" s="141" t="s">
        <v>623</v>
      </c>
      <c r="D4072" s="140" t="s">
        <v>624</v>
      </c>
      <c r="E4072" s="140">
        <v>16</v>
      </c>
      <c r="F4072" s="142">
        <v>46045.541666666672</v>
      </c>
      <c r="G4072" s="140" t="s">
        <v>843</v>
      </c>
      <c r="H4072" s="140" t="s">
        <v>877</v>
      </c>
    </row>
    <row r="4073" spans="1:8" ht="15.75" customHeight="1">
      <c r="A4073" s="140" t="s">
        <v>84</v>
      </c>
      <c r="B4073" s="140" t="s">
        <v>24</v>
      </c>
      <c r="C4073" s="141" t="s">
        <v>649</v>
      </c>
      <c r="D4073" s="140" t="s">
        <v>650</v>
      </c>
      <c r="E4073" s="140">
        <v>2</v>
      </c>
      <c r="F4073" s="142">
        <v>46098.541666666672</v>
      </c>
      <c r="G4073" s="140" t="s">
        <v>845</v>
      </c>
      <c r="H4073" s="140" t="s">
        <v>877</v>
      </c>
    </row>
    <row r="4074" spans="1:8" ht="15.75" customHeight="1">
      <c r="A4074" s="140" t="s">
        <v>84</v>
      </c>
      <c r="B4074" s="140" t="s">
        <v>24</v>
      </c>
      <c r="C4074" s="141" t="s">
        <v>649</v>
      </c>
      <c r="D4074" s="140" t="s">
        <v>650</v>
      </c>
      <c r="E4074" s="140">
        <v>3</v>
      </c>
      <c r="F4074" s="142">
        <v>46105.541666666672</v>
      </c>
      <c r="G4074" s="140" t="s">
        <v>845</v>
      </c>
      <c r="H4074" s="140" t="s">
        <v>877</v>
      </c>
    </row>
    <row r="4075" spans="1:8" ht="15.75" customHeight="1">
      <c r="A4075" s="140" t="s">
        <v>84</v>
      </c>
      <c r="B4075" s="140" t="s">
        <v>24</v>
      </c>
      <c r="C4075" s="141" t="s">
        <v>649</v>
      </c>
      <c r="D4075" s="140" t="s">
        <v>650</v>
      </c>
      <c r="E4075" s="140">
        <v>4</v>
      </c>
      <c r="F4075" s="142">
        <v>46114.541666666672</v>
      </c>
      <c r="G4075" s="140" t="s">
        <v>845</v>
      </c>
      <c r="H4075" s="140" t="s">
        <v>877</v>
      </c>
    </row>
    <row r="4076" spans="1:8" ht="15.75" customHeight="1">
      <c r="A4076" s="140" t="s">
        <v>84</v>
      </c>
      <c r="B4076" s="140" t="s">
        <v>24</v>
      </c>
      <c r="C4076" s="141" t="s">
        <v>649</v>
      </c>
      <c r="D4076" s="140" t="s">
        <v>650</v>
      </c>
      <c r="E4076" s="140">
        <v>5</v>
      </c>
      <c r="F4076" s="142">
        <v>46119.541666666672</v>
      </c>
      <c r="G4076" s="140" t="s">
        <v>845</v>
      </c>
      <c r="H4076" s="140" t="s">
        <v>877</v>
      </c>
    </row>
    <row r="4077" spans="1:8" ht="15.75" customHeight="1">
      <c r="A4077" s="140" t="s">
        <v>84</v>
      </c>
      <c r="B4077" s="140" t="s">
        <v>24</v>
      </c>
      <c r="C4077" s="141" t="s">
        <v>649</v>
      </c>
      <c r="D4077" s="140" t="s">
        <v>650</v>
      </c>
      <c r="E4077" s="140">
        <v>6</v>
      </c>
      <c r="F4077" s="142">
        <v>46126.541666666672</v>
      </c>
      <c r="G4077" s="140" t="s">
        <v>843</v>
      </c>
      <c r="H4077" s="140" t="s">
        <v>877</v>
      </c>
    </row>
    <row r="4078" spans="1:8" ht="15.75" customHeight="1">
      <c r="A4078" s="140" t="s">
        <v>84</v>
      </c>
      <c r="B4078" s="140" t="s">
        <v>21</v>
      </c>
      <c r="C4078" s="141" t="s">
        <v>649</v>
      </c>
      <c r="D4078" s="140" t="s">
        <v>650</v>
      </c>
      <c r="E4078" s="140">
        <v>1</v>
      </c>
      <c r="F4078" s="142">
        <v>45764.583333333328</v>
      </c>
      <c r="G4078" s="140" t="s">
        <v>845</v>
      </c>
      <c r="H4078" s="140" t="s">
        <v>877</v>
      </c>
    </row>
    <row r="4079" spans="1:8" ht="15.75" customHeight="1">
      <c r="A4079" s="140" t="s">
        <v>84</v>
      </c>
      <c r="B4079" s="140" t="s">
        <v>21</v>
      </c>
      <c r="C4079" s="141" t="s">
        <v>649</v>
      </c>
      <c r="D4079" s="140" t="s">
        <v>650</v>
      </c>
      <c r="E4079" s="140">
        <v>2</v>
      </c>
      <c r="F4079" s="142">
        <v>45784.541666666672</v>
      </c>
      <c r="G4079" s="140" t="s">
        <v>845</v>
      </c>
      <c r="H4079" s="140" t="s">
        <v>877</v>
      </c>
    </row>
    <row r="4080" spans="1:8" ht="15.75" customHeight="1">
      <c r="A4080" s="140" t="s">
        <v>84</v>
      </c>
      <c r="B4080" s="140" t="s">
        <v>21</v>
      </c>
      <c r="C4080" s="141" t="s">
        <v>649</v>
      </c>
      <c r="D4080" s="140" t="s">
        <v>650</v>
      </c>
      <c r="E4080" s="140">
        <v>3</v>
      </c>
      <c r="F4080" s="142">
        <v>45791.541666666672</v>
      </c>
      <c r="G4080" s="140" t="s">
        <v>843</v>
      </c>
      <c r="H4080" s="140" t="s">
        <v>877</v>
      </c>
    </row>
    <row r="4081" spans="1:8" ht="15.75" customHeight="1">
      <c r="A4081" s="140" t="s">
        <v>84</v>
      </c>
      <c r="B4081" s="140" t="s">
        <v>21</v>
      </c>
      <c r="C4081" s="141" t="s">
        <v>649</v>
      </c>
      <c r="D4081" s="140" t="s">
        <v>650</v>
      </c>
      <c r="E4081" s="140">
        <v>4</v>
      </c>
      <c r="F4081" s="142">
        <v>45804.583333333328</v>
      </c>
      <c r="G4081" s="140" t="s">
        <v>845</v>
      </c>
      <c r="H4081" s="140" t="s">
        <v>877</v>
      </c>
    </row>
    <row r="4082" spans="1:8" ht="15.75" customHeight="1">
      <c r="A4082" s="140" t="s">
        <v>84</v>
      </c>
      <c r="B4082" s="140" t="s">
        <v>21</v>
      </c>
      <c r="C4082" s="141" t="s">
        <v>649</v>
      </c>
      <c r="D4082" s="140" t="s">
        <v>650</v>
      </c>
      <c r="E4082" s="140">
        <v>5</v>
      </c>
      <c r="F4082" s="142">
        <v>45812.583333333328</v>
      </c>
      <c r="G4082" s="140" t="s">
        <v>845</v>
      </c>
      <c r="H4082" s="140" t="s">
        <v>877</v>
      </c>
    </row>
    <row r="4083" spans="1:8" ht="15.75" customHeight="1">
      <c r="A4083" s="140" t="s">
        <v>84</v>
      </c>
      <c r="B4083" s="140" t="s">
        <v>21</v>
      </c>
      <c r="C4083" s="141" t="s">
        <v>649</v>
      </c>
      <c r="D4083" s="140" t="s">
        <v>650</v>
      </c>
      <c r="E4083" s="140">
        <v>6</v>
      </c>
      <c r="F4083" s="142">
        <v>45813.541666666672</v>
      </c>
      <c r="G4083" s="140" t="s">
        <v>845</v>
      </c>
      <c r="H4083" s="140" t="s">
        <v>877</v>
      </c>
    </row>
    <row r="4084" spans="1:8" ht="15.75" customHeight="1">
      <c r="A4084" s="140" t="s">
        <v>84</v>
      </c>
      <c r="B4084" s="140" t="s">
        <v>21</v>
      </c>
      <c r="C4084" s="141" t="s">
        <v>649</v>
      </c>
      <c r="D4084" s="140" t="s">
        <v>650</v>
      </c>
      <c r="E4084" s="140">
        <v>7</v>
      </c>
      <c r="F4084" s="142">
        <v>45818.541666666672</v>
      </c>
      <c r="G4084" s="140" t="s">
        <v>845</v>
      </c>
      <c r="H4084" s="140" t="s">
        <v>877</v>
      </c>
    </row>
    <row r="4085" spans="1:8" ht="15.75" customHeight="1">
      <c r="A4085" s="140" t="s">
        <v>84</v>
      </c>
      <c r="B4085" s="140" t="s">
        <v>21</v>
      </c>
      <c r="C4085" s="141" t="s">
        <v>649</v>
      </c>
      <c r="D4085" s="140" t="s">
        <v>650</v>
      </c>
      <c r="E4085" s="140">
        <v>8</v>
      </c>
      <c r="F4085" s="142">
        <v>45827.541666666672</v>
      </c>
      <c r="G4085" s="140" t="s">
        <v>845</v>
      </c>
      <c r="H4085" s="140" t="s">
        <v>877</v>
      </c>
    </row>
    <row r="4086" spans="1:8" ht="15.75" customHeight="1">
      <c r="A4086" s="140" t="s">
        <v>84</v>
      </c>
      <c r="B4086" s="140" t="s">
        <v>21</v>
      </c>
      <c r="C4086" s="141" t="s">
        <v>649</v>
      </c>
      <c r="D4086" s="140" t="s">
        <v>650</v>
      </c>
      <c r="E4086" s="140">
        <v>9</v>
      </c>
      <c r="F4086" s="142">
        <v>45833.541666666672</v>
      </c>
      <c r="G4086" s="140" t="s">
        <v>845</v>
      </c>
      <c r="H4086" s="140" t="s">
        <v>877</v>
      </c>
    </row>
    <row r="4087" spans="1:8" ht="15.75" customHeight="1">
      <c r="A4087" s="140" t="s">
        <v>84</v>
      </c>
      <c r="B4087" s="140" t="s">
        <v>21</v>
      </c>
      <c r="C4087" s="141" t="s">
        <v>649</v>
      </c>
      <c r="D4087" s="140" t="s">
        <v>650</v>
      </c>
      <c r="E4087" s="140">
        <v>10</v>
      </c>
      <c r="F4087" s="142">
        <v>45860.416666666672</v>
      </c>
      <c r="G4087" s="140" t="s">
        <v>845</v>
      </c>
      <c r="H4087" s="140" t="s">
        <v>877</v>
      </c>
    </row>
    <row r="4088" spans="1:8" ht="15.75" customHeight="1">
      <c r="A4088" s="140" t="s">
        <v>84</v>
      </c>
      <c r="B4088" s="140" t="s">
        <v>22</v>
      </c>
      <c r="C4088" s="141" t="s">
        <v>649</v>
      </c>
      <c r="D4088" s="140" t="s">
        <v>650</v>
      </c>
      <c r="E4088" s="140">
        <v>1</v>
      </c>
      <c r="F4088" s="142">
        <v>45882.583333333328</v>
      </c>
      <c r="G4088" s="140" t="s">
        <v>843</v>
      </c>
      <c r="H4088" s="140" t="s">
        <v>877</v>
      </c>
    </row>
    <row r="4089" spans="1:8" ht="15.75" customHeight="1">
      <c r="A4089" s="140" t="s">
        <v>84</v>
      </c>
      <c r="B4089" s="140" t="s">
        <v>22</v>
      </c>
      <c r="C4089" s="141" t="s">
        <v>649</v>
      </c>
      <c r="D4089" s="140" t="s">
        <v>650</v>
      </c>
      <c r="E4089" s="140">
        <v>2</v>
      </c>
      <c r="F4089" s="142">
        <v>45889.541666666672</v>
      </c>
      <c r="G4089" s="140" t="s">
        <v>845</v>
      </c>
      <c r="H4089" s="140" t="s">
        <v>877</v>
      </c>
    </row>
    <row r="4090" spans="1:8" ht="15.75" customHeight="1">
      <c r="A4090" s="140" t="s">
        <v>84</v>
      </c>
      <c r="B4090" s="140" t="s">
        <v>22</v>
      </c>
      <c r="C4090" s="141" t="s">
        <v>649</v>
      </c>
      <c r="D4090" s="140" t="s">
        <v>650</v>
      </c>
      <c r="E4090" s="140">
        <v>3</v>
      </c>
      <c r="F4090" s="142">
        <v>45895.541666666672</v>
      </c>
      <c r="G4090" s="140" t="s">
        <v>845</v>
      </c>
      <c r="H4090" s="140" t="s">
        <v>877</v>
      </c>
    </row>
    <row r="4091" spans="1:8" ht="15.75" customHeight="1">
      <c r="A4091" s="140" t="s">
        <v>84</v>
      </c>
      <c r="B4091" s="140" t="s">
        <v>22</v>
      </c>
      <c r="C4091" s="141" t="s">
        <v>649</v>
      </c>
      <c r="D4091" s="140" t="s">
        <v>650</v>
      </c>
      <c r="E4091" s="140">
        <v>4</v>
      </c>
      <c r="F4091" s="142">
        <v>45903.541666666672</v>
      </c>
      <c r="G4091" s="140" t="s">
        <v>845</v>
      </c>
      <c r="H4091" s="140" t="s">
        <v>877</v>
      </c>
    </row>
    <row r="4092" spans="1:8" ht="15.75" customHeight="1">
      <c r="A4092" s="140" t="s">
        <v>84</v>
      </c>
      <c r="B4092" s="140" t="s">
        <v>22</v>
      </c>
      <c r="C4092" s="141" t="s">
        <v>649</v>
      </c>
      <c r="D4092" s="140" t="s">
        <v>650</v>
      </c>
      <c r="E4092" s="140">
        <v>5</v>
      </c>
      <c r="F4092" s="142">
        <v>45910.583333333328</v>
      </c>
      <c r="G4092" s="140" t="s">
        <v>845</v>
      </c>
      <c r="H4092" s="140" t="s">
        <v>877</v>
      </c>
    </row>
    <row r="4093" spans="1:8" ht="15.75" customHeight="1">
      <c r="A4093" s="140" t="s">
        <v>84</v>
      </c>
      <c r="B4093" s="140" t="s">
        <v>22</v>
      </c>
      <c r="C4093" s="141" t="s">
        <v>649</v>
      </c>
      <c r="D4093" s="140" t="s">
        <v>650</v>
      </c>
      <c r="E4093" s="140">
        <v>6</v>
      </c>
      <c r="F4093" s="142">
        <v>45917.541666666672</v>
      </c>
      <c r="G4093" s="140" t="s">
        <v>845</v>
      </c>
      <c r="H4093" s="140" t="s">
        <v>877</v>
      </c>
    </row>
    <row r="4094" spans="1:8" ht="15.75" customHeight="1">
      <c r="A4094" s="140" t="s">
        <v>84</v>
      </c>
      <c r="B4094" s="140" t="s">
        <v>22</v>
      </c>
      <c r="C4094" s="141" t="s">
        <v>649</v>
      </c>
      <c r="D4094" s="140" t="s">
        <v>650</v>
      </c>
      <c r="E4094" s="140">
        <v>7</v>
      </c>
      <c r="F4094" s="142">
        <v>45924.583333333328</v>
      </c>
      <c r="G4094" s="140" t="s">
        <v>845</v>
      </c>
      <c r="H4094" s="140" t="s">
        <v>877</v>
      </c>
    </row>
    <row r="4095" spans="1:8" ht="15.75" customHeight="1">
      <c r="A4095" s="140" t="s">
        <v>84</v>
      </c>
      <c r="B4095" s="140" t="s">
        <v>22</v>
      </c>
      <c r="C4095" s="141" t="s">
        <v>649</v>
      </c>
      <c r="D4095" s="140" t="s">
        <v>650</v>
      </c>
      <c r="E4095" s="140">
        <v>8</v>
      </c>
      <c r="F4095" s="142">
        <v>45940.583333333328</v>
      </c>
      <c r="G4095" s="140" t="s">
        <v>845</v>
      </c>
      <c r="H4095" s="140" t="s">
        <v>877</v>
      </c>
    </row>
    <row r="4096" spans="1:8" ht="15.75" customHeight="1">
      <c r="A4096" s="140" t="s">
        <v>84</v>
      </c>
      <c r="B4096" s="140" t="s">
        <v>22</v>
      </c>
      <c r="C4096" s="141" t="s">
        <v>649</v>
      </c>
      <c r="D4096" s="140" t="s">
        <v>650</v>
      </c>
      <c r="E4096" s="140">
        <v>9</v>
      </c>
      <c r="F4096" s="142">
        <v>45943.583333333328</v>
      </c>
      <c r="G4096" s="140" t="s">
        <v>845</v>
      </c>
      <c r="H4096" s="140" t="s">
        <v>877</v>
      </c>
    </row>
    <row r="4097" spans="1:8" ht="15.75" customHeight="1">
      <c r="A4097" s="140" t="s">
        <v>84</v>
      </c>
      <c r="B4097" s="140" t="s">
        <v>22</v>
      </c>
      <c r="C4097" s="141" t="s">
        <v>649</v>
      </c>
      <c r="D4097" s="140" t="s">
        <v>650</v>
      </c>
      <c r="E4097" s="140">
        <v>10</v>
      </c>
      <c r="F4097" s="142">
        <v>45954.541666666672</v>
      </c>
      <c r="G4097" s="140" t="s">
        <v>845</v>
      </c>
      <c r="H4097" s="140" t="s">
        <v>877</v>
      </c>
    </row>
    <row r="4098" spans="1:8" ht="15.75" customHeight="1">
      <c r="A4098" s="140" t="s">
        <v>84</v>
      </c>
      <c r="B4098" s="140" t="s">
        <v>22</v>
      </c>
      <c r="C4098" s="141" t="s">
        <v>649</v>
      </c>
      <c r="D4098" s="140" t="s">
        <v>650</v>
      </c>
      <c r="E4098" s="140">
        <v>11</v>
      </c>
      <c r="F4098" s="142">
        <v>45961.541666666672</v>
      </c>
      <c r="G4098" s="140" t="s">
        <v>845</v>
      </c>
      <c r="H4098" s="140" t="s">
        <v>877</v>
      </c>
    </row>
    <row r="4099" spans="1:8" ht="15.75" customHeight="1">
      <c r="A4099" s="140" t="s">
        <v>84</v>
      </c>
      <c r="B4099" s="140" t="s">
        <v>22</v>
      </c>
      <c r="C4099" s="141" t="s">
        <v>649</v>
      </c>
      <c r="D4099" s="140" t="s">
        <v>650</v>
      </c>
      <c r="E4099" s="140">
        <v>12</v>
      </c>
      <c r="F4099" s="142">
        <v>45965.541666666672</v>
      </c>
      <c r="G4099" s="140" t="s">
        <v>845</v>
      </c>
      <c r="H4099" s="140" t="s">
        <v>877</v>
      </c>
    </row>
    <row r="4100" spans="1:8" ht="15.75" customHeight="1">
      <c r="A4100" s="140" t="s">
        <v>84</v>
      </c>
      <c r="B4100" s="140" t="s">
        <v>22</v>
      </c>
      <c r="C4100" s="141" t="s">
        <v>649</v>
      </c>
      <c r="D4100" s="140" t="s">
        <v>650</v>
      </c>
      <c r="E4100" s="140">
        <v>13</v>
      </c>
      <c r="F4100" s="142">
        <v>45974.541666666672</v>
      </c>
      <c r="G4100" s="140" t="s">
        <v>845</v>
      </c>
      <c r="H4100" s="140" t="s">
        <v>877</v>
      </c>
    </row>
    <row r="4101" spans="1:8" ht="15.75" customHeight="1">
      <c r="A4101" s="140" t="s">
        <v>84</v>
      </c>
      <c r="B4101" s="140" t="s">
        <v>22</v>
      </c>
      <c r="C4101" s="141" t="s">
        <v>649</v>
      </c>
      <c r="D4101" s="140" t="s">
        <v>650</v>
      </c>
      <c r="E4101" s="140">
        <v>14</v>
      </c>
      <c r="F4101" s="142">
        <v>45980.541666666672</v>
      </c>
      <c r="G4101" s="140" t="s">
        <v>845</v>
      </c>
      <c r="H4101" s="140" t="s">
        <v>877</v>
      </c>
    </row>
    <row r="4102" spans="1:8" ht="15.75" customHeight="1">
      <c r="A4102" s="140" t="s">
        <v>84</v>
      </c>
      <c r="B4102" s="140" t="s">
        <v>22</v>
      </c>
      <c r="C4102" s="141" t="s">
        <v>649</v>
      </c>
      <c r="D4102" s="140" t="s">
        <v>650</v>
      </c>
      <c r="E4102" s="140">
        <v>15</v>
      </c>
      <c r="F4102" s="142">
        <v>45987.541666666672</v>
      </c>
      <c r="G4102" s="140" t="s">
        <v>845</v>
      </c>
      <c r="H4102" s="140" t="s">
        <v>877</v>
      </c>
    </row>
    <row r="4103" spans="1:8" ht="15.75" customHeight="1">
      <c r="A4103" s="140" t="s">
        <v>84</v>
      </c>
      <c r="B4103" s="140" t="s">
        <v>22</v>
      </c>
      <c r="C4103" s="141" t="s">
        <v>649</v>
      </c>
      <c r="D4103" s="140" t="s">
        <v>650</v>
      </c>
      <c r="E4103" s="140">
        <v>16</v>
      </c>
      <c r="F4103" s="142">
        <v>46045.541666666672</v>
      </c>
      <c r="G4103" s="140" t="s">
        <v>845</v>
      </c>
      <c r="H4103" s="140" t="s">
        <v>877</v>
      </c>
    </row>
    <row r="4104" spans="1:8" ht="15.75" customHeight="1">
      <c r="A4104" s="140" t="s">
        <v>85</v>
      </c>
      <c r="B4104" s="140" t="s">
        <v>24</v>
      </c>
      <c r="C4104" s="141" t="s">
        <v>136</v>
      </c>
      <c r="D4104" s="140" t="s">
        <v>137</v>
      </c>
      <c r="E4104" s="140">
        <v>1</v>
      </c>
      <c r="F4104" s="142">
        <v>46086.458333333328</v>
      </c>
      <c r="G4104" s="140" t="s">
        <v>845</v>
      </c>
      <c r="H4104" s="140" t="s">
        <v>878</v>
      </c>
    </row>
    <row r="4105" spans="1:8" ht="15.75" customHeight="1">
      <c r="A4105" s="140" t="s">
        <v>85</v>
      </c>
      <c r="B4105" s="140" t="s">
        <v>24</v>
      </c>
      <c r="C4105" s="141" t="s">
        <v>136</v>
      </c>
      <c r="D4105" s="140" t="s">
        <v>137</v>
      </c>
      <c r="E4105" s="140">
        <v>2</v>
      </c>
      <c r="F4105" s="142">
        <v>46098.458333333328</v>
      </c>
      <c r="G4105" s="140" t="s">
        <v>843</v>
      </c>
      <c r="H4105" s="140" t="s">
        <v>878</v>
      </c>
    </row>
    <row r="4106" spans="1:8" ht="15.75" customHeight="1">
      <c r="A4106" s="140" t="s">
        <v>85</v>
      </c>
      <c r="B4106" s="140" t="s">
        <v>24</v>
      </c>
      <c r="C4106" s="141" t="s">
        <v>136</v>
      </c>
      <c r="D4106" s="140" t="s">
        <v>137</v>
      </c>
      <c r="E4106" s="140">
        <v>3</v>
      </c>
      <c r="F4106" s="142">
        <v>46105.458333333328</v>
      </c>
      <c r="G4106" s="140" t="s">
        <v>843</v>
      </c>
      <c r="H4106" s="140" t="s">
        <v>878</v>
      </c>
    </row>
    <row r="4107" spans="1:8" ht="15.75" customHeight="1">
      <c r="A4107" s="140" t="s">
        <v>85</v>
      </c>
      <c r="B4107" s="140" t="s">
        <v>24</v>
      </c>
      <c r="C4107" s="141" t="s">
        <v>136</v>
      </c>
      <c r="D4107" s="140" t="s">
        <v>137</v>
      </c>
      <c r="E4107" s="140">
        <v>4</v>
      </c>
      <c r="F4107" s="142">
        <v>46113.625</v>
      </c>
      <c r="G4107" s="140" t="s">
        <v>843</v>
      </c>
      <c r="H4107" s="140" t="s">
        <v>878</v>
      </c>
    </row>
    <row r="4108" spans="1:8" ht="15.75" customHeight="1">
      <c r="A4108" s="140" t="s">
        <v>85</v>
      </c>
      <c r="B4108" s="140" t="s">
        <v>24</v>
      </c>
      <c r="C4108" s="141" t="s">
        <v>136</v>
      </c>
      <c r="D4108" s="140" t="s">
        <v>137</v>
      </c>
      <c r="E4108" s="140">
        <v>5</v>
      </c>
      <c r="F4108" s="142">
        <v>46120.625</v>
      </c>
      <c r="G4108" s="140" t="s">
        <v>843</v>
      </c>
      <c r="H4108" s="140" t="s">
        <v>878</v>
      </c>
    </row>
    <row r="4109" spans="1:8" ht="15.75" customHeight="1">
      <c r="A4109" s="140" t="s">
        <v>85</v>
      </c>
      <c r="B4109" s="140" t="s">
        <v>24</v>
      </c>
      <c r="C4109" s="141" t="s">
        <v>136</v>
      </c>
      <c r="D4109" s="140" t="s">
        <v>137</v>
      </c>
      <c r="E4109" s="140">
        <v>6</v>
      </c>
      <c r="F4109" s="142">
        <v>46127.625</v>
      </c>
      <c r="G4109" s="140" t="s">
        <v>843</v>
      </c>
      <c r="H4109" s="140" t="s">
        <v>878</v>
      </c>
    </row>
    <row r="4110" spans="1:8" ht="15.75" customHeight="1">
      <c r="A4110" s="140" t="s">
        <v>85</v>
      </c>
      <c r="B4110" s="140" t="s">
        <v>21</v>
      </c>
      <c r="C4110" s="141" t="s">
        <v>136</v>
      </c>
      <c r="D4110" s="140" t="s">
        <v>137</v>
      </c>
      <c r="E4110" s="140">
        <v>1</v>
      </c>
      <c r="F4110" s="142">
        <v>45772.583333333328</v>
      </c>
      <c r="G4110" s="140" t="s">
        <v>845</v>
      </c>
      <c r="H4110" s="140" t="s">
        <v>878</v>
      </c>
    </row>
    <row r="4111" spans="1:8" ht="15.75" customHeight="1">
      <c r="A4111" s="140" t="s">
        <v>85</v>
      </c>
      <c r="B4111" s="140" t="s">
        <v>21</v>
      </c>
      <c r="C4111" s="141" t="s">
        <v>136</v>
      </c>
      <c r="D4111" s="140" t="s">
        <v>137</v>
      </c>
      <c r="E4111" s="140">
        <v>2</v>
      </c>
      <c r="F4111" s="142">
        <v>45783.583333333328</v>
      </c>
      <c r="G4111" s="140" t="s">
        <v>845</v>
      </c>
      <c r="H4111" s="140" t="s">
        <v>878</v>
      </c>
    </row>
    <row r="4112" spans="1:8" ht="15.75" customHeight="1">
      <c r="A4112" s="140" t="s">
        <v>85</v>
      </c>
      <c r="B4112" s="140" t="s">
        <v>21</v>
      </c>
      <c r="C4112" s="141" t="s">
        <v>136</v>
      </c>
      <c r="D4112" s="140" t="s">
        <v>137</v>
      </c>
      <c r="E4112" s="140">
        <v>3</v>
      </c>
      <c r="F4112" s="142">
        <v>45790.375</v>
      </c>
      <c r="G4112" s="140" t="s">
        <v>845</v>
      </c>
      <c r="H4112" s="140" t="s">
        <v>878</v>
      </c>
    </row>
    <row r="4113" spans="1:8" ht="15.75" customHeight="1">
      <c r="A4113" s="140" t="s">
        <v>85</v>
      </c>
      <c r="B4113" s="140" t="s">
        <v>21</v>
      </c>
      <c r="C4113" s="141" t="s">
        <v>136</v>
      </c>
      <c r="D4113" s="140" t="s">
        <v>137</v>
      </c>
      <c r="E4113" s="140">
        <v>4</v>
      </c>
      <c r="F4113" s="142">
        <v>45804.458333333328</v>
      </c>
      <c r="G4113" s="140" t="s">
        <v>845</v>
      </c>
      <c r="H4113" s="140" t="s">
        <v>878</v>
      </c>
    </row>
    <row r="4114" spans="1:8" ht="15.75" customHeight="1">
      <c r="A4114" s="140" t="s">
        <v>85</v>
      </c>
      <c r="B4114" s="140" t="s">
        <v>21</v>
      </c>
      <c r="C4114" s="141" t="s">
        <v>136</v>
      </c>
      <c r="D4114" s="140" t="s">
        <v>137</v>
      </c>
      <c r="E4114" s="140">
        <v>5</v>
      </c>
      <c r="F4114" s="142">
        <v>45812.541666666672</v>
      </c>
      <c r="G4114" s="140" t="s">
        <v>843</v>
      </c>
      <c r="H4114" s="140" t="s">
        <v>878</v>
      </c>
    </row>
    <row r="4115" spans="1:8" ht="15.75" customHeight="1">
      <c r="A4115" s="140" t="s">
        <v>85</v>
      </c>
      <c r="B4115" s="140" t="s">
        <v>21</v>
      </c>
      <c r="C4115" s="141" t="s">
        <v>136</v>
      </c>
      <c r="D4115" s="140" t="s">
        <v>137</v>
      </c>
      <c r="E4115" s="140">
        <v>6</v>
      </c>
      <c r="F4115" s="142">
        <v>45820.541666666672</v>
      </c>
      <c r="G4115" s="140" t="s">
        <v>845</v>
      </c>
      <c r="H4115" s="140" t="s">
        <v>878</v>
      </c>
    </row>
    <row r="4116" spans="1:8" ht="15.75" customHeight="1">
      <c r="A4116" s="140" t="s">
        <v>85</v>
      </c>
      <c r="B4116" s="140" t="s">
        <v>21</v>
      </c>
      <c r="C4116" s="141" t="s">
        <v>136</v>
      </c>
      <c r="D4116" s="140" t="s">
        <v>137</v>
      </c>
      <c r="E4116" s="140">
        <v>7</v>
      </c>
      <c r="F4116" s="142">
        <v>45826.458333333328</v>
      </c>
      <c r="G4116" s="140" t="s">
        <v>845</v>
      </c>
      <c r="H4116" s="140" t="s">
        <v>878</v>
      </c>
    </row>
    <row r="4117" spans="1:8" ht="15.75" customHeight="1">
      <c r="A4117" s="140" t="s">
        <v>85</v>
      </c>
      <c r="B4117" s="140" t="s">
        <v>21</v>
      </c>
      <c r="C4117" s="141" t="s">
        <v>136</v>
      </c>
      <c r="D4117" s="140" t="s">
        <v>137</v>
      </c>
      <c r="E4117" s="140">
        <v>8</v>
      </c>
      <c r="F4117" s="142">
        <v>45833.583333333328</v>
      </c>
      <c r="G4117" s="140" t="s">
        <v>845</v>
      </c>
      <c r="H4117" s="140" t="s">
        <v>878</v>
      </c>
    </row>
    <row r="4118" spans="1:8" ht="15.75" customHeight="1">
      <c r="A4118" s="140" t="s">
        <v>85</v>
      </c>
      <c r="B4118" s="140" t="s">
        <v>21</v>
      </c>
      <c r="C4118" s="141" t="s">
        <v>136</v>
      </c>
      <c r="D4118" s="140" t="s">
        <v>137</v>
      </c>
      <c r="E4118" s="140">
        <v>9</v>
      </c>
      <c r="F4118" s="142">
        <v>45839.541666666672</v>
      </c>
      <c r="G4118" s="140" t="s">
        <v>845</v>
      </c>
      <c r="H4118" s="140" t="s">
        <v>878</v>
      </c>
    </row>
    <row r="4119" spans="1:8" ht="15.75" customHeight="1">
      <c r="A4119" s="140" t="s">
        <v>85</v>
      </c>
      <c r="B4119" s="140" t="s">
        <v>21</v>
      </c>
      <c r="C4119" s="141" t="s">
        <v>136</v>
      </c>
      <c r="D4119" s="140" t="s">
        <v>137</v>
      </c>
      <c r="E4119" s="140">
        <v>10</v>
      </c>
      <c r="F4119" s="142">
        <v>45868.541666666672</v>
      </c>
      <c r="G4119" s="140" t="s">
        <v>845</v>
      </c>
      <c r="H4119" s="140" t="s">
        <v>878</v>
      </c>
    </row>
    <row r="4120" spans="1:8" ht="15.75" customHeight="1">
      <c r="A4120" s="140" t="s">
        <v>85</v>
      </c>
      <c r="B4120" s="140" t="s">
        <v>22</v>
      </c>
      <c r="C4120" s="141" t="s">
        <v>136</v>
      </c>
      <c r="D4120" s="140" t="s">
        <v>137</v>
      </c>
      <c r="E4120" s="140">
        <v>1</v>
      </c>
      <c r="F4120" s="142">
        <v>45910.541666666672</v>
      </c>
      <c r="G4120" s="140" t="s">
        <v>845</v>
      </c>
      <c r="H4120" s="140" t="s">
        <v>878</v>
      </c>
    </row>
    <row r="4121" spans="1:8" ht="15.75" customHeight="1">
      <c r="A4121" s="140" t="s">
        <v>85</v>
      </c>
      <c r="B4121" s="140" t="s">
        <v>22</v>
      </c>
      <c r="C4121" s="141" t="s">
        <v>136</v>
      </c>
      <c r="D4121" s="140" t="s">
        <v>137</v>
      </c>
      <c r="E4121" s="140">
        <v>2</v>
      </c>
      <c r="F4121" s="142">
        <v>45916.541666666672</v>
      </c>
      <c r="G4121" s="140" t="s">
        <v>845</v>
      </c>
      <c r="H4121" s="140" t="s">
        <v>878</v>
      </c>
    </row>
    <row r="4122" spans="1:8" ht="15.75" customHeight="1">
      <c r="A4122" s="140" t="s">
        <v>85</v>
      </c>
      <c r="B4122" s="140" t="s">
        <v>22</v>
      </c>
      <c r="C4122" s="141" t="s">
        <v>136</v>
      </c>
      <c r="D4122" s="140" t="s">
        <v>137</v>
      </c>
      <c r="E4122" s="140">
        <v>3</v>
      </c>
      <c r="F4122" s="142">
        <v>45924.541666666672</v>
      </c>
      <c r="G4122" s="140" t="s">
        <v>845</v>
      </c>
      <c r="H4122" s="140" t="s">
        <v>878</v>
      </c>
    </row>
    <row r="4123" spans="1:8" ht="15.75" customHeight="1">
      <c r="A4123" s="140" t="s">
        <v>85</v>
      </c>
      <c r="B4123" s="140" t="s">
        <v>22</v>
      </c>
      <c r="C4123" s="141" t="s">
        <v>136</v>
      </c>
      <c r="D4123" s="140" t="s">
        <v>137</v>
      </c>
      <c r="E4123" s="140">
        <v>4</v>
      </c>
      <c r="F4123" s="142">
        <v>45931.541666666672</v>
      </c>
      <c r="G4123" s="140" t="s">
        <v>845</v>
      </c>
      <c r="H4123" s="140" t="s">
        <v>878</v>
      </c>
    </row>
    <row r="4124" spans="1:8" ht="15.75" customHeight="1">
      <c r="A4124" s="140" t="s">
        <v>85</v>
      </c>
      <c r="B4124" s="140" t="s">
        <v>22</v>
      </c>
      <c r="C4124" s="141" t="s">
        <v>136</v>
      </c>
      <c r="D4124" s="140" t="s">
        <v>137</v>
      </c>
      <c r="E4124" s="140">
        <v>5</v>
      </c>
      <c r="F4124" s="142">
        <v>45938.416666666672</v>
      </c>
      <c r="G4124" s="140" t="s">
        <v>845</v>
      </c>
      <c r="H4124" s="140" t="s">
        <v>878</v>
      </c>
    </row>
    <row r="4125" spans="1:8" ht="15.75" customHeight="1">
      <c r="A4125" s="140" t="s">
        <v>85</v>
      </c>
      <c r="B4125" s="140" t="s">
        <v>22</v>
      </c>
      <c r="C4125" s="141" t="s">
        <v>136</v>
      </c>
      <c r="D4125" s="140" t="s">
        <v>137</v>
      </c>
      <c r="E4125" s="140">
        <v>6</v>
      </c>
      <c r="F4125" s="142">
        <v>45951.416666666672</v>
      </c>
      <c r="G4125" s="140" t="s">
        <v>843</v>
      </c>
      <c r="H4125" s="140" t="s">
        <v>878</v>
      </c>
    </row>
    <row r="4126" spans="1:8" ht="15.75" customHeight="1">
      <c r="A4126" s="140" t="s">
        <v>85</v>
      </c>
      <c r="B4126" s="140" t="s">
        <v>22</v>
      </c>
      <c r="C4126" s="141" t="s">
        <v>136</v>
      </c>
      <c r="D4126" s="140" t="s">
        <v>137</v>
      </c>
      <c r="E4126" s="140">
        <v>7</v>
      </c>
      <c r="F4126" s="142">
        <v>45952.416666666672</v>
      </c>
      <c r="G4126" s="140" t="s">
        <v>845</v>
      </c>
      <c r="H4126" s="140" t="s">
        <v>878</v>
      </c>
    </row>
    <row r="4127" spans="1:8" ht="15.75" customHeight="1">
      <c r="A4127" s="140" t="s">
        <v>85</v>
      </c>
      <c r="B4127" s="140" t="s">
        <v>22</v>
      </c>
      <c r="C4127" s="141" t="s">
        <v>136</v>
      </c>
      <c r="D4127" s="140" t="s">
        <v>137</v>
      </c>
      <c r="E4127" s="140">
        <v>8</v>
      </c>
      <c r="F4127" s="142">
        <v>45959.458333333328</v>
      </c>
      <c r="G4127" s="140" t="s">
        <v>845</v>
      </c>
      <c r="H4127" s="140" t="s">
        <v>878</v>
      </c>
    </row>
    <row r="4128" spans="1:8" ht="15.75" customHeight="1">
      <c r="A4128" s="140" t="s">
        <v>85</v>
      </c>
      <c r="B4128" s="140" t="s">
        <v>22</v>
      </c>
      <c r="C4128" s="141" t="s">
        <v>136</v>
      </c>
      <c r="D4128" s="140" t="s">
        <v>137</v>
      </c>
      <c r="E4128" s="140">
        <v>9</v>
      </c>
      <c r="F4128" s="142">
        <v>45967.458333333328</v>
      </c>
      <c r="G4128" s="140" t="s">
        <v>845</v>
      </c>
      <c r="H4128" s="140" t="s">
        <v>878</v>
      </c>
    </row>
    <row r="4129" spans="1:8" ht="15.75" customHeight="1">
      <c r="A4129" s="140" t="s">
        <v>85</v>
      </c>
      <c r="B4129" s="140" t="s">
        <v>22</v>
      </c>
      <c r="C4129" s="141" t="s">
        <v>136</v>
      </c>
      <c r="D4129" s="140" t="s">
        <v>137</v>
      </c>
      <c r="E4129" s="140">
        <v>10</v>
      </c>
      <c r="F4129" s="142">
        <v>45974.458333333328</v>
      </c>
      <c r="G4129" s="140" t="s">
        <v>843</v>
      </c>
      <c r="H4129" s="140" t="s">
        <v>878</v>
      </c>
    </row>
    <row r="4130" spans="1:8" ht="15.75" customHeight="1">
      <c r="A4130" s="140" t="s">
        <v>85</v>
      </c>
      <c r="B4130" s="140" t="s">
        <v>22</v>
      </c>
      <c r="C4130" s="141" t="s">
        <v>136</v>
      </c>
      <c r="D4130" s="140" t="s">
        <v>137</v>
      </c>
      <c r="E4130" s="140">
        <v>11</v>
      </c>
      <c r="F4130" s="142">
        <v>45981.458333333328</v>
      </c>
      <c r="G4130" s="140" t="s">
        <v>845</v>
      </c>
      <c r="H4130" s="140" t="s">
        <v>878</v>
      </c>
    </row>
    <row r="4131" spans="1:8" ht="15.75" customHeight="1">
      <c r="A4131" s="140" t="s">
        <v>85</v>
      </c>
      <c r="B4131" s="140" t="s">
        <v>22</v>
      </c>
      <c r="C4131" s="141" t="s">
        <v>136</v>
      </c>
      <c r="D4131" s="140" t="s">
        <v>137</v>
      </c>
      <c r="E4131" s="140">
        <v>12</v>
      </c>
      <c r="F4131" s="142">
        <v>45988.458333333328</v>
      </c>
      <c r="G4131" s="140" t="s">
        <v>845</v>
      </c>
      <c r="H4131" s="140" t="s">
        <v>878</v>
      </c>
    </row>
    <row r="4132" spans="1:8" ht="15.75" customHeight="1">
      <c r="A4132" s="140" t="s">
        <v>85</v>
      </c>
      <c r="B4132" s="140" t="s">
        <v>22</v>
      </c>
      <c r="C4132" s="141" t="s">
        <v>136</v>
      </c>
      <c r="D4132" s="140" t="s">
        <v>137</v>
      </c>
      <c r="E4132" s="140">
        <v>13</v>
      </c>
      <c r="F4132" s="142">
        <v>45995.458333333328</v>
      </c>
      <c r="G4132" s="140" t="s">
        <v>845</v>
      </c>
      <c r="H4132" s="140" t="s">
        <v>878</v>
      </c>
    </row>
    <row r="4133" spans="1:8" ht="15.75" customHeight="1">
      <c r="A4133" s="140" t="s">
        <v>85</v>
      </c>
      <c r="B4133" s="140" t="s">
        <v>22</v>
      </c>
      <c r="C4133" s="141" t="s">
        <v>136</v>
      </c>
      <c r="D4133" s="140" t="s">
        <v>137</v>
      </c>
      <c r="E4133" s="140">
        <v>14</v>
      </c>
      <c r="F4133" s="142">
        <v>46007.541666666672</v>
      </c>
      <c r="G4133" s="140" t="s">
        <v>845</v>
      </c>
      <c r="H4133" s="140" t="s">
        <v>878</v>
      </c>
    </row>
    <row r="4134" spans="1:8" ht="15.75" customHeight="1">
      <c r="A4134" s="140" t="s">
        <v>85</v>
      </c>
      <c r="B4134" s="140" t="s">
        <v>22</v>
      </c>
      <c r="C4134" s="141" t="s">
        <v>136</v>
      </c>
      <c r="D4134" s="140" t="s">
        <v>137</v>
      </c>
      <c r="E4134" s="140">
        <v>15</v>
      </c>
      <c r="F4134" s="142">
        <v>46021.458333333328</v>
      </c>
      <c r="G4134" s="140" t="s">
        <v>843</v>
      </c>
      <c r="H4134" s="140" t="s">
        <v>878</v>
      </c>
    </row>
    <row r="4135" spans="1:8" ht="15.75" customHeight="1">
      <c r="A4135" s="140" t="s">
        <v>85</v>
      </c>
      <c r="B4135" s="140" t="s">
        <v>22</v>
      </c>
      <c r="C4135" s="141" t="s">
        <v>136</v>
      </c>
      <c r="D4135" s="140" t="s">
        <v>137</v>
      </c>
      <c r="E4135" s="140">
        <v>16</v>
      </c>
      <c r="F4135" s="142">
        <v>46051.416666666672</v>
      </c>
      <c r="G4135" s="140" t="s">
        <v>845</v>
      </c>
      <c r="H4135" s="140" t="s">
        <v>878</v>
      </c>
    </row>
    <row r="4136" spans="1:8" ht="15.75" customHeight="1">
      <c r="A4136" s="140" t="s">
        <v>85</v>
      </c>
      <c r="B4136" s="140" t="s">
        <v>21</v>
      </c>
      <c r="C4136" s="141" t="s">
        <v>165</v>
      </c>
      <c r="D4136" s="140" t="s">
        <v>166</v>
      </c>
      <c r="E4136" s="140">
        <v>1</v>
      </c>
      <c r="F4136" s="142">
        <v>45764.458333333328</v>
      </c>
      <c r="G4136" s="140" t="s">
        <v>845</v>
      </c>
      <c r="H4136" s="140" t="s">
        <v>878</v>
      </c>
    </row>
    <row r="4137" spans="1:8" ht="15.75" customHeight="1">
      <c r="A4137" s="140" t="s">
        <v>85</v>
      </c>
      <c r="B4137" s="140" t="s">
        <v>21</v>
      </c>
      <c r="C4137" s="141" t="s">
        <v>165</v>
      </c>
      <c r="D4137" s="140" t="s">
        <v>166</v>
      </c>
      <c r="E4137" s="140">
        <v>2</v>
      </c>
      <c r="F4137" s="142">
        <v>45783.583333333328</v>
      </c>
      <c r="G4137" s="140" t="s">
        <v>845</v>
      </c>
      <c r="H4137" s="140" t="s">
        <v>878</v>
      </c>
    </row>
    <row r="4138" spans="1:8" ht="15.75" customHeight="1">
      <c r="A4138" s="140" t="s">
        <v>85</v>
      </c>
      <c r="B4138" s="140" t="s">
        <v>21</v>
      </c>
      <c r="C4138" s="141" t="s">
        <v>165</v>
      </c>
      <c r="D4138" s="140" t="s">
        <v>166</v>
      </c>
      <c r="E4138" s="140">
        <v>3</v>
      </c>
      <c r="F4138" s="142">
        <v>45790.375</v>
      </c>
      <c r="G4138" s="140" t="s">
        <v>845</v>
      </c>
      <c r="H4138" s="140" t="s">
        <v>878</v>
      </c>
    </row>
    <row r="4139" spans="1:8" ht="15.75" customHeight="1">
      <c r="A4139" s="140" t="s">
        <v>85</v>
      </c>
      <c r="B4139" s="140" t="s">
        <v>21</v>
      </c>
      <c r="C4139" s="141" t="s">
        <v>165</v>
      </c>
      <c r="D4139" s="140" t="s">
        <v>166</v>
      </c>
      <c r="E4139" s="140">
        <v>4</v>
      </c>
      <c r="F4139" s="142">
        <v>45804.458333333328</v>
      </c>
      <c r="G4139" s="140" t="s">
        <v>845</v>
      </c>
      <c r="H4139" s="140" t="s">
        <v>878</v>
      </c>
    </row>
    <row r="4140" spans="1:8" ht="15.75" customHeight="1">
      <c r="A4140" s="140" t="s">
        <v>85</v>
      </c>
      <c r="B4140" s="140" t="s">
        <v>21</v>
      </c>
      <c r="C4140" s="141" t="s">
        <v>165</v>
      </c>
      <c r="D4140" s="140" t="s">
        <v>166</v>
      </c>
      <c r="E4140" s="140">
        <v>5</v>
      </c>
      <c r="F4140" s="142">
        <v>45812.541666666672</v>
      </c>
      <c r="G4140" s="140" t="s">
        <v>845</v>
      </c>
      <c r="H4140" s="140" t="s">
        <v>878</v>
      </c>
    </row>
    <row r="4141" spans="1:8" ht="15.75" customHeight="1">
      <c r="A4141" s="140" t="s">
        <v>85</v>
      </c>
      <c r="B4141" s="140" t="s">
        <v>21</v>
      </c>
      <c r="C4141" s="141" t="s">
        <v>165</v>
      </c>
      <c r="D4141" s="140" t="s">
        <v>166</v>
      </c>
      <c r="E4141" s="140">
        <v>6</v>
      </c>
      <c r="F4141" s="142">
        <v>45820.541666666672</v>
      </c>
      <c r="G4141" s="140" t="s">
        <v>845</v>
      </c>
      <c r="H4141" s="140" t="s">
        <v>878</v>
      </c>
    </row>
    <row r="4142" spans="1:8" ht="15.75" customHeight="1">
      <c r="A4142" s="140" t="s">
        <v>85</v>
      </c>
      <c r="B4142" s="140" t="s">
        <v>21</v>
      </c>
      <c r="C4142" s="141" t="s">
        <v>165</v>
      </c>
      <c r="D4142" s="140" t="s">
        <v>166</v>
      </c>
      <c r="E4142" s="140">
        <v>7</v>
      </c>
      <c r="F4142" s="142">
        <v>45826.458333333328</v>
      </c>
      <c r="G4142" s="140" t="s">
        <v>845</v>
      </c>
      <c r="H4142" s="140" t="s">
        <v>878</v>
      </c>
    </row>
    <row r="4143" spans="1:8" ht="15.75" customHeight="1">
      <c r="A4143" s="140" t="s">
        <v>85</v>
      </c>
      <c r="B4143" s="140" t="s">
        <v>21</v>
      </c>
      <c r="C4143" s="141" t="s">
        <v>165</v>
      </c>
      <c r="D4143" s="140" t="s">
        <v>166</v>
      </c>
      <c r="E4143" s="140">
        <v>8</v>
      </c>
      <c r="F4143" s="142">
        <v>45833.583333333328</v>
      </c>
      <c r="G4143" s="140" t="s">
        <v>845</v>
      </c>
      <c r="H4143" s="140" t="s">
        <v>878</v>
      </c>
    </row>
    <row r="4144" spans="1:8" ht="15.75" customHeight="1">
      <c r="A4144" s="140" t="s">
        <v>85</v>
      </c>
      <c r="B4144" s="140" t="s">
        <v>21</v>
      </c>
      <c r="C4144" s="141" t="s">
        <v>165</v>
      </c>
      <c r="D4144" s="140" t="s">
        <v>166</v>
      </c>
      <c r="E4144" s="140">
        <v>9</v>
      </c>
      <c r="F4144" s="142">
        <v>45839.541666666672</v>
      </c>
      <c r="G4144" s="140" t="s">
        <v>845</v>
      </c>
      <c r="H4144" s="140" t="s">
        <v>878</v>
      </c>
    </row>
    <row r="4145" spans="1:8" ht="15.75" customHeight="1">
      <c r="A4145" s="140" t="s">
        <v>85</v>
      </c>
      <c r="B4145" s="140" t="s">
        <v>21</v>
      </c>
      <c r="C4145" s="141" t="s">
        <v>165</v>
      </c>
      <c r="D4145" s="140" t="s">
        <v>166</v>
      </c>
      <c r="E4145" s="140">
        <v>10</v>
      </c>
      <c r="F4145" s="142">
        <v>45868.541666666672</v>
      </c>
      <c r="G4145" s="140" t="s">
        <v>845</v>
      </c>
      <c r="H4145" s="140" t="s">
        <v>878</v>
      </c>
    </row>
    <row r="4146" spans="1:8" ht="15.75" customHeight="1">
      <c r="A4146" s="140" t="s">
        <v>85</v>
      </c>
      <c r="B4146" s="140" t="s">
        <v>22</v>
      </c>
      <c r="C4146" s="141" t="s">
        <v>165</v>
      </c>
      <c r="D4146" s="140" t="s">
        <v>166</v>
      </c>
      <c r="E4146" s="140">
        <v>1</v>
      </c>
      <c r="F4146" s="142">
        <v>45910.541666666672</v>
      </c>
      <c r="G4146" s="140" t="s">
        <v>845</v>
      </c>
      <c r="H4146" s="140" t="s">
        <v>878</v>
      </c>
    </row>
    <row r="4147" spans="1:8" ht="15.75" customHeight="1">
      <c r="A4147" s="140" t="s">
        <v>85</v>
      </c>
      <c r="B4147" s="140" t="s">
        <v>22</v>
      </c>
      <c r="C4147" s="141" t="s">
        <v>165</v>
      </c>
      <c r="D4147" s="140" t="s">
        <v>166</v>
      </c>
      <c r="E4147" s="140">
        <v>2</v>
      </c>
      <c r="F4147" s="142">
        <v>45916.541666666672</v>
      </c>
      <c r="G4147" s="140" t="s">
        <v>845</v>
      </c>
      <c r="H4147" s="140" t="s">
        <v>878</v>
      </c>
    </row>
    <row r="4148" spans="1:8" ht="15.75" customHeight="1">
      <c r="A4148" s="140" t="s">
        <v>85</v>
      </c>
      <c r="B4148" s="140" t="s">
        <v>22</v>
      </c>
      <c r="C4148" s="141" t="s">
        <v>165</v>
      </c>
      <c r="D4148" s="140" t="s">
        <v>166</v>
      </c>
      <c r="E4148" s="140">
        <v>3</v>
      </c>
      <c r="F4148" s="142">
        <v>45924.541666666672</v>
      </c>
      <c r="G4148" s="140" t="s">
        <v>845</v>
      </c>
      <c r="H4148" s="140" t="s">
        <v>878</v>
      </c>
    </row>
    <row r="4149" spans="1:8" ht="15.75" customHeight="1">
      <c r="A4149" s="140" t="s">
        <v>85</v>
      </c>
      <c r="B4149" s="140" t="s">
        <v>22</v>
      </c>
      <c r="C4149" s="141" t="s">
        <v>165</v>
      </c>
      <c r="D4149" s="140" t="s">
        <v>166</v>
      </c>
      <c r="E4149" s="140">
        <v>4</v>
      </c>
      <c r="F4149" s="142">
        <v>45931.541666666672</v>
      </c>
      <c r="G4149" s="140" t="s">
        <v>845</v>
      </c>
      <c r="H4149" s="140" t="s">
        <v>878</v>
      </c>
    </row>
    <row r="4150" spans="1:8" ht="15.75" customHeight="1">
      <c r="A4150" s="140" t="s">
        <v>85</v>
      </c>
      <c r="B4150" s="140" t="s">
        <v>22</v>
      </c>
      <c r="C4150" s="141" t="s">
        <v>165</v>
      </c>
      <c r="D4150" s="140" t="s">
        <v>166</v>
      </c>
      <c r="E4150" s="140">
        <v>5</v>
      </c>
      <c r="F4150" s="142">
        <v>45938.416666666672</v>
      </c>
      <c r="G4150" s="140" t="s">
        <v>845</v>
      </c>
      <c r="H4150" s="140" t="s">
        <v>878</v>
      </c>
    </row>
    <row r="4151" spans="1:8" ht="15.75" customHeight="1">
      <c r="A4151" s="140" t="s">
        <v>85</v>
      </c>
      <c r="B4151" s="140" t="s">
        <v>22</v>
      </c>
      <c r="C4151" s="141" t="s">
        <v>165</v>
      </c>
      <c r="D4151" s="140" t="s">
        <v>166</v>
      </c>
      <c r="E4151" s="140">
        <v>6</v>
      </c>
      <c r="F4151" s="142">
        <v>45951.416666666672</v>
      </c>
      <c r="G4151" s="140" t="s">
        <v>845</v>
      </c>
      <c r="H4151" s="140" t="s">
        <v>878</v>
      </c>
    </row>
    <row r="4152" spans="1:8" ht="15.75" customHeight="1">
      <c r="A4152" s="140" t="s">
        <v>85</v>
      </c>
      <c r="B4152" s="140" t="s">
        <v>22</v>
      </c>
      <c r="C4152" s="141" t="s">
        <v>165</v>
      </c>
      <c r="D4152" s="140" t="s">
        <v>166</v>
      </c>
      <c r="E4152" s="140">
        <v>7</v>
      </c>
      <c r="F4152" s="142">
        <v>45952.416666666672</v>
      </c>
      <c r="G4152" s="140" t="s">
        <v>845</v>
      </c>
      <c r="H4152" s="140" t="s">
        <v>878</v>
      </c>
    </row>
    <row r="4153" spans="1:8" ht="15.75" customHeight="1">
      <c r="A4153" s="140" t="s">
        <v>85</v>
      </c>
      <c r="B4153" s="140" t="s">
        <v>22</v>
      </c>
      <c r="C4153" s="141" t="s">
        <v>165</v>
      </c>
      <c r="D4153" s="140" t="s">
        <v>166</v>
      </c>
      <c r="E4153" s="140">
        <v>8</v>
      </c>
      <c r="F4153" s="142">
        <v>45959.458333333328</v>
      </c>
      <c r="G4153" s="140" t="s">
        <v>845</v>
      </c>
      <c r="H4153" s="140" t="s">
        <v>878</v>
      </c>
    </row>
    <row r="4154" spans="1:8" ht="15.75" customHeight="1">
      <c r="A4154" s="140" t="s">
        <v>85</v>
      </c>
      <c r="B4154" s="140" t="s">
        <v>22</v>
      </c>
      <c r="C4154" s="141" t="s">
        <v>165</v>
      </c>
      <c r="D4154" s="140" t="s">
        <v>166</v>
      </c>
      <c r="E4154" s="140">
        <v>9</v>
      </c>
      <c r="F4154" s="142">
        <v>45967.458333333328</v>
      </c>
      <c r="G4154" s="140" t="s">
        <v>845</v>
      </c>
      <c r="H4154" s="140" t="s">
        <v>878</v>
      </c>
    </row>
    <row r="4155" spans="1:8" ht="15.75" customHeight="1">
      <c r="A4155" s="140" t="s">
        <v>85</v>
      </c>
      <c r="B4155" s="140" t="s">
        <v>22</v>
      </c>
      <c r="C4155" s="141" t="s">
        <v>165</v>
      </c>
      <c r="D4155" s="140" t="s">
        <v>166</v>
      </c>
      <c r="E4155" s="140">
        <v>10</v>
      </c>
      <c r="F4155" s="142">
        <v>45974.458333333328</v>
      </c>
      <c r="G4155" s="140" t="s">
        <v>843</v>
      </c>
      <c r="H4155" s="140" t="s">
        <v>878</v>
      </c>
    </row>
    <row r="4156" spans="1:8" ht="15.75" customHeight="1">
      <c r="A4156" s="140" t="s">
        <v>85</v>
      </c>
      <c r="B4156" s="140" t="s">
        <v>22</v>
      </c>
      <c r="C4156" s="141" t="s">
        <v>165</v>
      </c>
      <c r="D4156" s="140" t="s">
        <v>166</v>
      </c>
      <c r="E4156" s="140">
        <v>13</v>
      </c>
      <c r="F4156" s="142">
        <v>45995.458333333328</v>
      </c>
      <c r="G4156" s="140" t="s">
        <v>843</v>
      </c>
      <c r="H4156" s="140" t="s">
        <v>878</v>
      </c>
    </row>
    <row r="4157" spans="1:8" ht="15.75" customHeight="1">
      <c r="A4157" s="140" t="s">
        <v>85</v>
      </c>
      <c r="B4157" s="140" t="s">
        <v>22</v>
      </c>
      <c r="C4157" s="141" t="s">
        <v>165</v>
      </c>
      <c r="D4157" s="140" t="s">
        <v>166</v>
      </c>
      <c r="E4157" s="140">
        <v>14</v>
      </c>
      <c r="F4157" s="142">
        <v>46007.541666666672</v>
      </c>
      <c r="G4157" s="140" t="s">
        <v>843</v>
      </c>
      <c r="H4157" s="140" t="s">
        <v>878</v>
      </c>
    </row>
    <row r="4158" spans="1:8" ht="15.75" customHeight="1">
      <c r="A4158" s="140" t="s">
        <v>85</v>
      </c>
      <c r="B4158" s="140" t="s">
        <v>22</v>
      </c>
      <c r="C4158" s="141" t="s">
        <v>165</v>
      </c>
      <c r="D4158" s="140" t="s">
        <v>166</v>
      </c>
      <c r="E4158" s="140">
        <v>15</v>
      </c>
      <c r="F4158" s="142">
        <v>46021.458333333328</v>
      </c>
      <c r="G4158" s="140" t="s">
        <v>843</v>
      </c>
      <c r="H4158" s="140" t="s">
        <v>878</v>
      </c>
    </row>
    <row r="4159" spans="1:8" ht="15.75" customHeight="1">
      <c r="A4159" s="140" t="s">
        <v>85</v>
      </c>
      <c r="B4159" s="140" t="s">
        <v>22</v>
      </c>
      <c r="C4159" s="141" t="s">
        <v>165</v>
      </c>
      <c r="D4159" s="140" t="s">
        <v>166</v>
      </c>
      <c r="E4159" s="140">
        <v>16</v>
      </c>
      <c r="F4159" s="142">
        <v>46051.416666666672</v>
      </c>
      <c r="G4159" s="140" t="s">
        <v>843</v>
      </c>
      <c r="H4159" s="140" t="s">
        <v>878</v>
      </c>
    </row>
    <row r="4160" spans="1:8" ht="15.75" customHeight="1">
      <c r="A4160" s="140" t="s">
        <v>85</v>
      </c>
      <c r="B4160" s="140" t="s">
        <v>24</v>
      </c>
      <c r="C4160" s="141" t="s">
        <v>208</v>
      </c>
      <c r="D4160" s="140" t="s">
        <v>209</v>
      </c>
      <c r="E4160" s="140">
        <v>3</v>
      </c>
      <c r="F4160" s="142">
        <v>46105.458333333328</v>
      </c>
      <c r="G4160" s="140" t="s">
        <v>843</v>
      </c>
      <c r="H4160" s="140" t="s">
        <v>878</v>
      </c>
    </row>
    <row r="4161" spans="1:8" ht="15.75" customHeight="1">
      <c r="A4161" s="140" t="s">
        <v>85</v>
      </c>
      <c r="B4161" s="140" t="s">
        <v>24</v>
      </c>
      <c r="C4161" s="141" t="s">
        <v>208</v>
      </c>
      <c r="D4161" s="140" t="s">
        <v>209</v>
      </c>
      <c r="E4161" s="140">
        <v>4</v>
      </c>
      <c r="F4161" s="142">
        <v>46113.625</v>
      </c>
      <c r="G4161" s="140" t="s">
        <v>845</v>
      </c>
      <c r="H4161" s="140" t="s">
        <v>878</v>
      </c>
    </row>
    <row r="4162" spans="1:8" ht="15.75" customHeight="1">
      <c r="A4162" s="140" t="s">
        <v>85</v>
      </c>
      <c r="B4162" s="140" t="s">
        <v>24</v>
      </c>
      <c r="C4162" s="141" t="s">
        <v>208</v>
      </c>
      <c r="D4162" s="140" t="s">
        <v>209</v>
      </c>
      <c r="E4162" s="140">
        <v>5</v>
      </c>
      <c r="F4162" s="142">
        <v>46120.625</v>
      </c>
      <c r="G4162" s="140" t="s">
        <v>845</v>
      </c>
      <c r="H4162" s="140" t="s">
        <v>878</v>
      </c>
    </row>
    <row r="4163" spans="1:8" ht="15.75" customHeight="1">
      <c r="A4163" s="140" t="s">
        <v>85</v>
      </c>
      <c r="B4163" s="140" t="s">
        <v>24</v>
      </c>
      <c r="C4163" s="141" t="s">
        <v>208</v>
      </c>
      <c r="D4163" s="140" t="s">
        <v>209</v>
      </c>
      <c r="E4163" s="140">
        <v>6</v>
      </c>
      <c r="F4163" s="142">
        <v>46127.625</v>
      </c>
      <c r="G4163" s="140" t="s">
        <v>845</v>
      </c>
      <c r="H4163" s="140" t="s">
        <v>878</v>
      </c>
    </row>
    <row r="4164" spans="1:8" ht="15.75" customHeight="1">
      <c r="A4164" s="140" t="s">
        <v>85</v>
      </c>
      <c r="B4164" s="140" t="s">
        <v>21</v>
      </c>
      <c r="C4164" s="141" t="s">
        <v>275</v>
      </c>
      <c r="D4164" s="140" t="s">
        <v>276</v>
      </c>
      <c r="E4164" s="140">
        <v>1</v>
      </c>
      <c r="F4164" s="142">
        <v>45764.458333333328</v>
      </c>
      <c r="G4164" s="140" t="s">
        <v>845</v>
      </c>
      <c r="H4164" s="140" t="s">
        <v>878</v>
      </c>
    </row>
    <row r="4165" spans="1:8" ht="15.75" customHeight="1">
      <c r="A4165" s="140" t="s">
        <v>85</v>
      </c>
      <c r="B4165" s="140" t="s">
        <v>21</v>
      </c>
      <c r="C4165" s="141" t="s">
        <v>275</v>
      </c>
      <c r="D4165" s="140" t="s">
        <v>276</v>
      </c>
      <c r="E4165" s="140">
        <v>2</v>
      </c>
      <c r="F4165" s="142">
        <v>45783.583333333328</v>
      </c>
      <c r="G4165" s="140" t="s">
        <v>845</v>
      </c>
      <c r="H4165" s="140" t="s">
        <v>878</v>
      </c>
    </row>
    <row r="4166" spans="1:8" ht="15.75" customHeight="1">
      <c r="A4166" s="140" t="s">
        <v>85</v>
      </c>
      <c r="B4166" s="140" t="s">
        <v>21</v>
      </c>
      <c r="C4166" s="141" t="s">
        <v>275</v>
      </c>
      <c r="D4166" s="140" t="s">
        <v>276</v>
      </c>
      <c r="E4166" s="140">
        <v>3</v>
      </c>
      <c r="F4166" s="142">
        <v>45790.375</v>
      </c>
      <c r="G4166" s="140" t="s">
        <v>845</v>
      </c>
      <c r="H4166" s="140" t="s">
        <v>878</v>
      </c>
    </row>
    <row r="4167" spans="1:8" ht="15.75" customHeight="1">
      <c r="A4167" s="140" t="s">
        <v>85</v>
      </c>
      <c r="B4167" s="140" t="s">
        <v>21</v>
      </c>
      <c r="C4167" s="141" t="s">
        <v>275</v>
      </c>
      <c r="D4167" s="140" t="s">
        <v>276</v>
      </c>
      <c r="E4167" s="140">
        <v>4</v>
      </c>
      <c r="F4167" s="142">
        <v>45804.458333333328</v>
      </c>
      <c r="G4167" s="140" t="s">
        <v>845</v>
      </c>
      <c r="H4167" s="140" t="s">
        <v>878</v>
      </c>
    </row>
    <row r="4168" spans="1:8" ht="15.75" customHeight="1">
      <c r="A4168" s="140" t="s">
        <v>85</v>
      </c>
      <c r="B4168" s="140" t="s">
        <v>21</v>
      </c>
      <c r="C4168" s="141" t="s">
        <v>275</v>
      </c>
      <c r="D4168" s="140" t="s">
        <v>276</v>
      </c>
      <c r="E4168" s="140">
        <v>5</v>
      </c>
      <c r="F4168" s="142">
        <v>45812.541666666672</v>
      </c>
      <c r="G4168" s="140" t="s">
        <v>845</v>
      </c>
      <c r="H4168" s="140" t="s">
        <v>878</v>
      </c>
    </row>
    <row r="4169" spans="1:8" ht="15.75" customHeight="1">
      <c r="A4169" s="140" t="s">
        <v>85</v>
      </c>
      <c r="B4169" s="140" t="s">
        <v>21</v>
      </c>
      <c r="C4169" s="141" t="s">
        <v>275</v>
      </c>
      <c r="D4169" s="140" t="s">
        <v>276</v>
      </c>
      <c r="E4169" s="140">
        <v>6</v>
      </c>
      <c r="F4169" s="142">
        <v>45820.541666666672</v>
      </c>
      <c r="G4169" s="140" t="s">
        <v>845</v>
      </c>
      <c r="H4169" s="140" t="s">
        <v>878</v>
      </c>
    </row>
    <row r="4170" spans="1:8" ht="15.75" customHeight="1">
      <c r="A4170" s="140" t="s">
        <v>85</v>
      </c>
      <c r="B4170" s="140" t="s">
        <v>21</v>
      </c>
      <c r="C4170" s="141" t="s">
        <v>275</v>
      </c>
      <c r="D4170" s="140" t="s">
        <v>276</v>
      </c>
      <c r="E4170" s="140">
        <v>7</v>
      </c>
      <c r="F4170" s="142">
        <v>45826.458333333328</v>
      </c>
      <c r="G4170" s="140" t="s">
        <v>845</v>
      </c>
      <c r="H4170" s="140" t="s">
        <v>878</v>
      </c>
    </row>
    <row r="4171" spans="1:8" ht="15.75" customHeight="1">
      <c r="A4171" s="140" t="s">
        <v>85</v>
      </c>
      <c r="B4171" s="140" t="s">
        <v>21</v>
      </c>
      <c r="C4171" s="141" t="s">
        <v>275</v>
      </c>
      <c r="D4171" s="140" t="s">
        <v>276</v>
      </c>
      <c r="E4171" s="140">
        <v>8</v>
      </c>
      <c r="F4171" s="142">
        <v>45833.583333333328</v>
      </c>
      <c r="G4171" s="140" t="s">
        <v>845</v>
      </c>
      <c r="H4171" s="140" t="s">
        <v>878</v>
      </c>
    </row>
    <row r="4172" spans="1:8" ht="15.75" customHeight="1">
      <c r="A4172" s="140" t="s">
        <v>85</v>
      </c>
      <c r="B4172" s="140" t="s">
        <v>21</v>
      </c>
      <c r="C4172" s="141" t="s">
        <v>275</v>
      </c>
      <c r="D4172" s="140" t="s">
        <v>276</v>
      </c>
      <c r="E4172" s="140">
        <v>9</v>
      </c>
      <c r="F4172" s="142">
        <v>45839.541666666672</v>
      </c>
      <c r="G4172" s="140" t="s">
        <v>845</v>
      </c>
      <c r="H4172" s="140" t="s">
        <v>878</v>
      </c>
    </row>
    <row r="4173" spans="1:8" ht="15.75" customHeight="1">
      <c r="A4173" s="140" t="s">
        <v>85</v>
      </c>
      <c r="B4173" s="140" t="s">
        <v>21</v>
      </c>
      <c r="C4173" s="141" t="s">
        <v>275</v>
      </c>
      <c r="D4173" s="140" t="s">
        <v>276</v>
      </c>
      <c r="E4173" s="140">
        <v>10</v>
      </c>
      <c r="F4173" s="142">
        <v>45868.541666666672</v>
      </c>
      <c r="G4173" s="140" t="s">
        <v>845</v>
      </c>
      <c r="H4173" s="140" t="s">
        <v>878</v>
      </c>
    </row>
    <row r="4174" spans="1:8" ht="15.75" customHeight="1">
      <c r="A4174" s="140" t="s">
        <v>85</v>
      </c>
      <c r="B4174" s="140" t="s">
        <v>22</v>
      </c>
      <c r="C4174" s="141" t="s">
        <v>275</v>
      </c>
      <c r="D4174" s="140" t="s">
        <v>276</v>
      </c>
      <c r="E4174" s="140">
        <v>1</v>
      </c>
      <c r="F4174" s="142">
        <v>45910.541666666672</v>
      </c>
      <c r="G4174" s="140" t="s">
        <v>843</v>
      </c>
      <c r="H4174" s="140" t="s">
        <v>878</v>
      </c>
    </row>
    <row r="4175" spans="1:8" ht="15.75" customHeight="1">
      <c r="A4175" s="140" t="s">
        <v>85</v>
      </c>
      <c r="B4175" s="140" t="s">
        <v>22</v>
      </c>
      <c r="C4175" s="141" t="s">
        <v>275</v>
      </c>
      <c r="D4175" s="140" t="s">
        <v>276</v>
      </c>
      <c r="E4175" s="140">
        <v>2</v>
      </c>
      <c r="F4175" s="142">
        <v>45916.541666666672</v>
      </c>
      <c r="G4175" s="140" t="s">
        <v>843</v>
      </c>
      <c r="H4175" s="140" t="s">
        <v>878</v>
      </c>
    </row>
    <row r="4176" spans="1:8" ht="15.75" customHeight="1">
      <c r="A4176" s="140" t="s">
        <v>85</v>
      </c>
      <c r="B4176" s="140" t="s">
        <v>22</v>
      </c>
      <c r="C4176" s="141" t="s">
        <v>275</v>
      </c>
      <c r="D4176" s="140" t="s">
        <v>276</v>
      </c>
      <c r="E4176" s="140">
        <v>3</v>
      </c>
      <c r="F4176" s="142">
        <v>45924.541666666672</v>
      </c>
      <c r="G4176" s="140" t="s">
        <v>843</v>
      </c>
      <c r="H4176" s="140" t="s">
        <v>878</v>
      </c>
    </row>
    <row r="4177" spans="1:8" ht="15.75" customHeight="1">
      <c r="A4177" s="140" t="s">
        <v>85</v>
      </c>
      <c r="B4177" s="140" t="s">
        <v>22</v>
      </c>
      <c r="C4177" s="141" t="s">
        <v>275</v>
      </c>
      <c r="D4177" s="140" t="s">
        <v>276</v>
      </c>
      <c r="E4177" s="140">
        <v>4</v>
      </c>
      <c r="F4177" s="142">
        <v>45931.541666666672</v>
      </c>
      <c r="G4177" s="140" t="s">
        <v>843</v>
      </c>
      <c r="H4177" s="140" t="s">
        <v>878</v>
      </c>
    </row>
    <row r="4178" spans="1:8" ht="15.75" customHeight="1">
      <c r="A4178" s="140" t="s">
        <v>85</v>
      </c>
      <c r="B4178" s="140" t="s">
        <v>22</v>
      </c>
      <c r="C4178" s="141" t="s">
        <v>275</v>
      </c>
      <c r="D4178" s="140" t="s">
        <v>276</v>
      </c>
      <c r="E4178" s="140">
        <v>5</v>
      </c>
      <c r="F4178" s="142">
        <v>45938.416666666672</v>
      </c>
      <c r="G4178" s="140" t="s">
        <v>843</v>
      </c>
      <c r="H4178" s="140" t="s">
        <v>878</v>
      </c>
    </row>
    <row r="4179" spans="1:8" ht="15.75" customHeight="1">
      <c r="A4179" s="140" t="s">
        <v>85</v>
      </c>
      <c r="B4179" s="140" t="s">
        <v>22</v>
      </c>
      <c r="C4179" s="141" t="s">
        <v>275</v>
      </c>
      <c r="D4179" s="140" t="s">
        <v>276</v>
      </c>
      <c r="E4179" s="140">
        <v>6</v>
      </c>
      <c r="F4179" s="142">
        <v>45951.416666666672</v>
      </c>
      <c r="G4179" s="140" t="s">
        <v>843</v>
      </c>
      <c r="H4179" s="140" t="s">
        <v>878</v>
      </c>
    </row>
    <row r="4180" spans="1:8" ht="15.75" customHeight="1">
      <c r="A4180" s="140" t="s">
        <v>85</v>
      </c>
      <c r="B4180" s="140" t="s">
        <v>22</v>
      </c>
      <c r="C4180" s="141" t="s">
        <v>275</v>
      </c>
      <c r="D4180" s="140" t="s">
        <v>276</v>
      </c>
      <c r="E4180" s="140">
        <v>7</v>
      </c>
      <c r="F4180" s="142">
        <v>45952.416666666672</v>
      </c>
      <c r="G4180" s="140" t="s">
        <v>843</v>
      </c>
      <c r="H4180" s="140" t="s">
        <v>878</v>
      </c>
    </row>
    <row r="4181" spans="1:8" ht="15.75" customHeight="1">
      <c r="A4181" s="140" t="s">
        <v>85</v>
      </c>
      <c r="B4181" s="140" t="s">
        <v>22</v>
      </c>
      <c r="C4181" s="141" t="s">
        <v>275</v>
      </c>
      <c r="D4181" s="140" t="s">
        <v>276</v>
      </c>
      <c r="E4181" s="140">
        <v>8</v>
      </c>
      <c r="F4181" s="142">
        <v>45959.458333333328</v>
      </c>
      <c r="G4181" s="140" t="s">
        <v>843</v>
      </c>
      <c r="H4181" s="140" t="s">
        <v>878</v>
      </c>
    </row>
    <row r="4182" spans="1:8" ht="15.75" customHeight="1">
      <c r="A4182" s="140" t="s">
        <v>85</v>
      </c>
      <c r="B4182" s="140" t="s">
        <v>22</v>
      </c>
      <c r="C4182" s="141" t="s">
        <v>275</v>
      </c>
      <c r="D4182" s="140" t="s">
        <v>276</v>
      </c>
      <c r="E4182" s="140">
        <v>9</v>
      </c>
      <c r="F4182" s="142">
        <v>45967.458333333328</v>
      </c>
      <c r="G4182" s="140" t="s">
        <v>843</v>
      </c>
      <c r="H4182" s="140" t="s">
        <v>878</v>
      </c>
    </row>
    <row r="4183" spans="1:8" ht="15.75" customHeight="1">
      <c r="A4183" s="140" t="s">
        <v>85</v>
      </c>
      <c r="B4183" s="140" t="s">
        <v>22</v>
      </c>
      <c r="C4183" s="141" t="s">
        <v>275</v>
      </c>
      <c r="D4183" s="140" t="s">
        <v>276</v>
      </c>
      <c r="E4183" s="140">
        <v>10</v>
      </c>
      <c r="F4183" s="142">
        <v>45974.458333333328</v>
      </c>
      <c r="G4183" s="140" t="s">
        <v>843</v>
      </c>
      <c r="H4183" s="140" t="s">
        <v>878</v>
      </c>
    </row>
    <row r="4184" spans="1:8" ht="15.75" customHeight="1">
      <c r="A4184" s="140" t="s">
        <v>85</v>
      </c>
      <c r="B4184" s="140" t="s">
        <v>22</v>
      </c>
      <c r="C4184" s="141" t="s">
        <v>275</v>
      </c>
      <c r="D4184" s="140" t="s">
        <v>276</v>
      </c>
      <c r="E4184" s="140">
        <v>11</v>
      </c>
      <c r="F4184" s="142">
        <v>45981.458333333328</v>
      </c>
      <c r="G4184" s="140" t="s">
        <v>843</v>
      </c>
      <c r="H4184" s="140" t="s">
        <v>878</v>
      </c>
    </row>
    <row r="4185" spans="1:8" ht="15.75" customHeight="1">
      <c r="A4185" s="140" t="s">
        <v>85</v>
      </c>
      <c r="B4185" s="140" t="s">
        <v>22</v>
      </c>
      <c r="C4185" s="141" t="s">
        <v>275</v>
      </c>
      <c r="D4185" s="140" t="s">
        <v>276</v>
      </c>
      <c r="E4185" s="140">
        <v>12</v>
      </c>
      <c r="F4185" s="142">
        <v>45988.458333333328</v>
      </c>
      <c r="G4185" s="140" t="s">
        <v>843</v>
      </c>
      <c r="H4185" s="140" t="s">
        <v>878</v>
      </c>
    </row>
    <row r="4186" spans="1:8" ht="15.75" customHeight="1">
      <c r="A4186" s="140" t="s">
        <v>85</v>
      </c>
      <c r="B4186" s="140" t="s">
        <v>22</v>
      </c>
      <c r="C4186" s="141" t="s">
        <v>275</v>
      </c>
      <c r="D4186" s="140" t="s">
        <v>276</v>
      </c>
      <c r="E4186" s="140">
        <v>13</v>
      </c>
      <c r="F4186" s="142">
        <v>45995.458333333328</v>
      </c>
      <c r="G4186" s="140" t="s">
        <v>843</v>
      </c>
      <c r="H4186" s="140" t="s">
        <v>878</v>
      </c>
    </row>
    <row r="4187" spans="1:8" ht="15.75" customHeight="1">
      <c r="A4187" s="140" t="s">
        <v>85</v>
      </c>
      <c r="B4187" s="140" t="s">
        <v>22</v>
      </c>
      <c r="C4187" s="141" t="s">
        <v>275</v>
      </c>
      <c r="D4187" s="140" t="s">
        <v>276</v>
      </c>
      <c r="E4187" s="140">
        <v>14</v>
      </c>
      <c r="F4187" s="142">
        <v>46007.541666666672</v>
      </c>
      <c r="G4187" s="140" t="s">
        <v>843</v>
      </c>
      <c r="H4187" s="140" t="s">
        <v>878</v>
      </c>
    </row>
    <row r="4188" spans="1:8" ht="15.75" customHeight="1">
      <c r="A4188" s="140" t="s">
        <v>85</v>
      </c>
      <c r="B4188" s="140" t="s">
        <v>22</v>
      </c>
      <c r="C4188" s="141" t="s">
        <v>275</v>
      </c>
      <c r="D4188" s="140" t="s">
        <v>276</v>
      </c>
      <c r="E4188" s="140">
        <v>15</v>
      </c>
      <c r="F4188" s="142">
        <v>46021.458333333328</v>
      </c>
      <c r="G4188" s="140" t="s">
        <v>843</v>
      </c>
      <c r="H4188" s="140" t="s">
        <v>878</v>
      </c>
    </row>
    <row r="4189" spans="1:8" ht="15.75" customHeight="1">
      <c r="A4189" s="140" t="s">
        <v>85</v>
      </c>
      <c r="B4189" s="140" t="s">
        <v>22</v>
      </c>
      <c r="C4189" s="141" t="s">
        <v>275</v>
      </c>
      <c r="D4189" s="140" t="s">
        <v>276</v>
      </c>
      <c r="E4189" s="140">
        <v>16</v>
      </c>
      <c r="F4189" s="142">
        <v>46051.416666666672</v>
      </c>
      <c r="G4189" s="140" t="s">
        <v>843</v>
      </c>
      <c r="H4189" s="140" t="s">
        <v>878</v>
      </c>
    </row>
    <row r="4190" spans="1:8" ht="15.75" customHeight="1">
      <c r="A4190" s="140" t="s">
        <v>85</v>
      </c>
      <c r="B4190" s="140" t="s">
        <v>24</v>
      </c>
      <c r="C4190" s="141" t="s">
        <v>300</v>
      </c>
      <c r="D4190" s="140" t="s">
        <v>301</v>
      </c>
      <c r="E4190" s="140">
        <v>1</v>
      </c>
      <c r="F4190" s="142">
        <v>46086.458333333328</v>
      </c>
      <c r="G4190" s="140" t="s">
        <v>845</v>
      </c>
      <c r="H4190" s="140" t="s">
        <v>878</v>
      </c>
    </row>
    <row r="4191" spans="1:8" ht="15.75" customHeight="1">
      <c r="A4191" s="140" t="s">
        <v>85</v>
      </c>
      <c r="B4191" s="140" t="s">
        <v>24</v>
      </c>
      <c r="C4191" s="141" t="s">
        <v>300</v>
      </c>
      <c r="D4191" s="140" t="s">
        <v>301</v>
      </c>
      <c r="E4191" s="140">
        <v>2</v>
      </c>
      <c r="F4191" s="142">
        <v>46098.458333333328</v>
      </c>
      <c r="G4191" s="140" t="s">
        <v>845</v>
      </c>
      <c r="H4191" s="140" t="s">
        <v>878</v>
      </c>
    </row>
    <row r="4192" spans="1:8" ht="15.75" customHeight="1">
      <c r="A4192" s="140" t="s">
        <v>85</v>
      </c>
      <c r="B4192" s="140" t="s">
        <v>24</v>
      </c>
      <c r="C4192" s="141" t="s">
        <v>300</v>
      </c>
      <c r="D4192" s="140" t="s">
        <v>301</v>
      </c>
      <c r="E4192" s="140">
        <v>3</v>
      </c>
      <c r="F4192" s="142">
        <v>46105.458333333328</v>
      </c>
      <c r="G4192" s="140" t="s">
        <v>843</v>
      </c>
      <c r="H4192" s="140" t="s">
        <v>878</v>
      </c>
    </row>
    <row r="4193" spans="1:8" ht="15.75" customHeight="1">
      <c r="A4193" s="140" t="s">
        <v>85</v>
      </c>
      <c r="B4193" s="140" t="s">
        <v>24</v>
      </c>
      <c r="C4193" s="141" t="s">
        <v>300</v>
      </c>
      <c r="D4193" s="140" t="s">
        <v>301</v>
      </c>
      <c r="E4193" s="140">
        <v>4</v>
      </c>
      <c r="F4193" s="142">
        <v>46113.625</v>
      </c>
      <c r="G4193" s="140" t="s">
        <v>843</v>
      </c>
      <c r="H4193" s="140" t="s">
        <v>878</v>
      </c>
    </row>
    <row r="4194" spans="1:8" ht="15.75" customHeight="1">
      <c r="A4194" s="140" t="s">
        <v>85</v>
      </c>
      <c r="B4194" s="140" t="s">
        <v>24</v>
      </c>
      <c r="C4194" s="141" t="s">
        <v>300</v>
      </c>
      <c r="D4194" s="140" t="s">
        <v>301</v>
      </c>
      <c r="E4194" s="140">
        <v>5</v>
      </c>
      <c r="F4194" s="142">
        <v>46120.625</v>
      </c>
      <c r="G4194" s="140" t="s">
        <v>845</v>
      </c>
      <c r="H4194" s="140" t="s">
        <v>878</v>
      </c>
    </row>
    <row r="4195" spans="1:8" ht="15.75" customHeight="1">
      <c r="A4195" s="140" t="s">
        <v>85</v>
      </c>
      <c r="B4195" s="140" t="s">
        <v>24</v>
      </c>
      <c r="C4195" s="141" t="s">
        <v>300</v>
      </c>
      <c r="D4195" s="140" t="s">
        <v>301</v>
      </c>
      <c r="E4195" s="140">
        <v>6</v>
      </c>
      <c r="F4195" s="142">
        <v>46127.625</v>
      </c>
      <c r="G4195" s="140" t="s">
        <v>845</v>
      </c>
      <c r="H4195" s="140" t="s">
        <v>878</v>
      </c>
    </row>
    <row r="4196" spans="1:8" ht="15.75" customHeight="1">
      <c r="A4196" s="140" t="s">
        <v>85</v>
      </c>
      <c r="B4196" s="140" t="s">
        <v>24</v>
      </c>
      <c r="C4196" s="141" t="s">
        <v>309</v>
      </c>
      <c r="D4196" s="140" t="s">
        <v>310</v>
      </c>
      <c r="E4196" s="140">
        <v>1</v>
      </c>
      <c r="F4196" s="142">
        <v>46086.458333333328</v>
      </c>
      <c r="G4196" s="140" t="s">
        <v>845</v>
      </c>
      <c r="H4196" s="140" t="s">
        <v>878</v>
      </c>
    </row>
    <row r="4197" spans="1:8" ht="15.75" customHeight="1">
      <c r="A4197" s="140" t="s">
        <v>85</v>
      </c>
      <c r="B4197" s="140" t="s">
        <v>24</v>
      </c>
      <c r="C4197" s="141" t="s">
        <v>309</v>
      </c>
      <c r="D4197" s="140" t="s">
        <v>310</v>
      </c>
      <c r="E4197" s="140">
        <v>2</v>
      </c>
      <c r="F4197" s="142">
        <v>46098.458333333328</v>
      </c>
      <c r="G4197" s="140" t="s">
        <v>845</v>
      </c>
      <c r="H4197" s="140" t="s">
        <v>878</v>
      </c>
    </row>
    <row r="4198" spans="1:8" ht="15.75" customHeight="1">
      <c r="A4198" s="140" t="s">
        <v>85</v>
      </c>
      <c r="B4198" s="140" t="s">
        <v>24</v>
      </c>
      <c r="C4198" s="141" t="s">
        <v>309</v>
      </c>
      <c r="D4198" s="140" t="s">
        <v>310</v>
      </c>
      <c r="E4198" s="140">
        <v>3</v>
      </c>
      <c r="F4198" s="142">
        <v>46105.458333333328</v>
      </c>
      <c r="G4198" s="140" t="s">
        <v>845</v>
      </c>
      <c r="H4198" s="140" t="s">
        <v>878</v>
      </c>
    </row>
    <row r="4199" spans="1:8" ht="15.75" customHeight="1">
      <c r="A4199" s="140" t="s">
        <v>85</v>
      </c>
      <c r="B4199" s="140" t="s">
        <v>24</v>
      </c>
      <c r="C4199" s="141" t="s">
        <v>309</v>
      </c>
      <c r="D4199" s="140" t="s">
        <v>310</v>
      </c>
      <c r="E4199" s="140">
        <v>4</v>
      </c>
      <c r="F4199" s="142">
        <v>46113.625</v>
      </c>
      <c r="G4199" s="140" t="s">
        <v>845</v>
      </c>
      <c r="H4199" s="140" t="s">
        <v>878</v>
      </c>
    </row>
    <row r="4200" spans="1:8" ht="15.75" customHeight="1">
      <c r="A4200" s="140" t="s">
        <v>85</v>
      </c>
      <c r="B4200" s="140" t="s">
        <v>24</v>
      </c>
      <c r="C4200" s="141" t="s">
        <v>309</v>
      </c>
      <c r="D4200" s="140" t="s">
        <v>310</v>
      </c>
      <c r="E4200" s="140">
        <v>5</v>
      </c>
      <c r="F4200" s="142">
        <v>46120.625</v>
      </c>
      <c r="G4200" s="140" t="s">
        <v>845</v>
      </c>
      <c r="H4200" s="140" t="s">
        <v>878</v>
      </c>
    </row>
    <row r="4201" spans="1:8" ht="15.75" customHeight="1">
      <c r="A4201" s="140" t="s">
        <v>85</v>
      </c>
      <c r="B4201" s="140" t="s">
        <v>24</v>
      </c>
      <c r="C4201" s="141" t="s">
        <v>309</v>
      </c>
      <c r="D4201" s="140" t="s">
        <v>310</v>
      </c>
      <c r="E4201" s="140">
        <v>6</v>
      </c>
      <c r="F4201" s="142">
        <v>46127.625</v>
      </c>
      <c r="G4201" s="140" t="s">
        <v>845</v>
      </c>
      <c r="H4201" s="140" t="s">
        <v>878</v>
      </c>
    </row>
    <row r="4202" spans="1:8" ht="15.75" customHeight="1">
      <c r="A4202" s="140" t="s">
        <v>85</v>
      </c>
      <c r="B4202" s="140" t="s">
        <v>24</v>
      </c>
      <c r="C4202" s="141" t="s">
        <v>397</v>
      </c>
      <c r="D4202" s="140" t="s">
        <v>398</v>
      </c>
      <c r="E4202" s="140">
        <v>1</v>
      </c>
      <c r="F4202" s="142">
        <v>46086.458333333328</v>
      </c>
      <c r="G4202" s="140" t="s">
        <v>845</v>
      </c>
      <c r="H4202" s="140" t="s">
        <v>878</v>
      </c>
    </row>
    <row r="4203" spans="1:8" ht="15.75" customHeight="1">
      <c r="A4203" s="140" t="s">
        <v>85</v>
      </c>
      <c r="B4203" s="140" t="s">
        <v>24</v>
      </c>
      <c r="C4203" s="141" t="s">
        <v>397</v>
      </c>
      <c r="D4203" s="140" t="s">
        <v>398</v>
      </c>
      <c r="E4203" s="140">
        <v>2</v>
      </c>
      <c r="F4203" s="142">
        <v>46098.458333333328</v>
      </c>
      <c r="G4203" s="140" t="s">
        <v>845</v>
      </c>
      <c r="H4203" s="140" t="s">
        <v>878</v>
      </c>
    </row>
    <row r="4204" spans="1:8" ht="15.75" customHeight="1">
      <c r="A4204" s="140" t="s">
        <v>85</v>
      </c>
      <c r="B4204" s="140" t="s">
        <v>24</v>
      </c>
      <c r="C4204" s="141" t="s">
        <v>397</v>
      </c>
      <c r="D4204" s="140" t="s">
        <v>398</v>
      </c>
      <c r="E4204" s="140">
        <v>3</v>
      </c>
      <c r="F4204" s="142">
        <v>46105.458333333328</v>
      </c>
      <c r="G4204" s="140" t="s">
        <v>843</v>
      </c>
      <c r="H4204" s="140" t="s">
        <v>878</v>
      </c>
    </row>
    <row r="4205" spans="1:8" ht="15.75" customHeight="1">
      <c r="A4205" s="140" t="s">
        <v>85</v>
      </c>
      <c r="B4205" s="140" t="s">
        <v>24</v>
      </c>
      <c r="C4205" s="141" t="s">
        <v>397</v>
      </c>
      <c r="D4205" s="140" t="s">
        <v>398</v>
      </c>
      <c r="E4205" s="140">
        <v>4</v>
      </c>
      <c r="F4205" s="142">
        <v>46113.625</v>
      </c>
      <c r="G4205" s="140" t="s">
        <v>845</v>
      </c>
      <c r="H4205" s="140" t="s">
        <v>878</v>
      </c>
    </row>
    <row r="4206" spans="1:8" ht="15.75" customHeight="1">
      <c r="A4206" s="140" t="s">
        <v>85</v>
      </c>
      <c r="B4206" s="140" t="s">
        <v>24</v>
      </c>
      <c r="C4206" s="141" t="s">
        <v>397</v>
      </c>
      <c r="D4206" s="140" t="s">
        <v>398</v>
      </c>
      <c r="E4206" s="140">
        <v>5</v>
      </c>
      <c r="F4206" s="142">
        <v>46120.625</v>
      </c>
      <c r="G4206" s="140" t="s">
        <v>845</v>
      </c>
      <c r="H4206" s="140" t="s">
        <v>878</v>
      </c>
    </row>
    <row r="4207" spans="1:8" ht="15.75" customHeight="1">
      <c r="A4207" s="140" t="s">
        <v>85</v>
      </c>
      <c r="B4207" s="140" t="s">
        <v>24</v>
      </c>
      <c r="C4207" s="141" t="s">
        <v>397</v>
      </c>
      <c r="D4207" s="140" t="s">
        <v>398</v>
      </c>
      <c r="E4207" s="140">
        <v>6</v>
      </c>
      <c r="F4207" s="142">
        <v>46127.625</v>
      </c>
      <c r="G4207" s="140" t="s">
        <v>845</v>
      </c>
      <c r="H4207" s="140" t="s">
        <v>878</v>
      </c>
    </row>
    <row r="4208" spans="1:8" ht="15.75" customHeight="1">
      <c r="A4208" s="140" t="s">
        <v>85</v>
      </c>
      <c r="B4208" s="140" t="s">
        <v>21</v>
      </c>
      <c r="C4208" s="141" t="s">
        <v>397</v>
      </c>
      <c r="D4208" s="140" t="s">
        <v>398</v>
      </c>
      <c r="E4208" s="140">
        <v>1</v>
      </c>
      <c r="F4208" s="142">
        <v>45765.416666666672</v>
      </c>
      <c r="G4208" s="140" t="s">
        <v>845</v>
      </c>
      <c r="H4208" s="140" t="s">
        <v>878</v>
      </c>
    </row>
    <row r="4209" spans="1:8" ht="15.75" customHeight="1">
      <c r="A4209" s="140" t="s">
        <v>85</v>
      </c>
      <c r="B4209" s="140" t="s">
        <v>21</v>
      </c>
      <c r="C4209" s="141" t="s">
        <v>397</v>
      </c>
      <c r="D4209" s="140" t="s">
        <v>398</v>
      </c>
      <c r="E4209" s="140">
        <v>2</v>
      </c>
      <c r="F4209" s="142">
        <v>45783.583333333328</v>
      </c>
      <c r="G4209" s="140" t="s">
        <v>845</v>
      </c>
      <c r="H4209" s="140" t="s">
        <v>878</v>
      </c>
    </row>
    <row r="4210" spans="1:8" ht="15.75" customHeight="1">
      <c r="A4210" s="140" t="s">
        <v>85</v>
      </c>
      <c r="B4210" s="140" t="s">
        <v>21</v>
      </c>
      <c r="C4210" s="141" t="s">
        <v>397</v>
      </c>
      <c r="D4210" s="140" t="s">
        <v>398</v>
      </c>
      <c r="E4210" s="140">
        <v>3</v>
      </c>
      <c r="F4210" s="142">
        <v>45790.375</v>
      </c>
      <c r="G4210" s="140" t="s">
        <v>845</v>
      </c>
      <c r="H4210" s="140" t="s">
        <v>878</v>
      </c>
    </row>
    <row r="4211" spans="1:8" ht="15.75" customHeight="1">
      <c r="A4211" s="140" t="s">
        <v>85</v>
      </c>
      <c r="B4211" s="140" t="s">
        <v>21</v>
      </c>
      <c r="C4211" s="141" t="s">
        <v>397</v>
      </c>
      <c r="D4211" s="140" t="s">
        <v>398</v>
      </c>
      <c r="E4211" s="140">
        <v>4</v>
      </c>
      <c r="F4211" s="142">
        <v>45804.458333333328</v>
      </c>
      <c r="G4211" s="140" t="s">
        <v>845</v>
      </c>
      <c r="H4211" s="140" t="s">
        <v>878</v>
      </c>
    </row>
    <row r="4212" spans="1:8" ht="15.75" customHeight="1">
      <c r="A4212" s="140" t="s">
        <v>85</v>
      </c>
      <c r="B4212" s="140" t="s">
        <v>21</v>
      </c>
      <c r="C4212" s="141" t="s">
        <v>397</v>
      </c>
      <c r="D4212" s="140" t="s">
        <v>398</v>
      </c>
      <c r="E4212" s="140">
        <v>5</v>
      </c>
      <c r="F4212" s="142">
        <v>45812.541666666672</v>
      </c>
      <c r="G4212" s="140" t="s">
        <v>845</v>
      </c>
      <c r="H4212" s="140" t="s">
        <v>878</v>
      </c>
    </row>
    <row r="4213" spans="1:8" ht="15.75" customHeight="1">
      <c r="A4213" s="140" t="s">
        <v>85</v>
      </c>
      <c r="B4213" s="140" t="s">
        <v>21</v>
      </c>
      <c r="C4213" s="141" t="s">
        <v>397</v>
      </c>
      <c r="D4213" s="140" t="s">
        <v>398</v>
      </c>
      <c r="E4213" s="140">
        <v>6</v>
      </c>
      <c r="F4213" s="142">
        <v>45820.541666666672</v>
      </c>
      <c r="G4213" s="140" t="s">
        <v>843</v>
      </c>
      <c r="H4213" s="140" t="s">
        <v>878</v>
      </c>
    </row>
    <row r="4214" spans="1:8" ht="15.75" customHeight="1">
      <c r="A4214" s="140" t="s">
        <v>85</v>
      </c>
      <c r="B4214" s="140" t="s">
        <v>21</v>
      </c>
      <c r="C4214" s="141" t="s">
        <v>397</v>
      </c>
      <c r="D4214" s="140" t="s">
        <v>398</v>
      </c>
      <c r="E4214" s="140">
        <v>7</v>
      </c>
      <c r="F4214" s="142">
        <v>45826.458333333328</v>
      </c>
      <c r="G4214" s="140" t="s">
        <v>845</v>
      </c>
      <c r="H4214" s="140" t="s">
        <v>878</v>
      </c>
    </row>
    <row r="4215" spans="1:8" ht="15.75" customHeight="1">
      <c r="A4215" s="140" t="s">
        <v>85</v>
      </c>
      <c r="B4215" s="140" t="s">
        <v>21</v>
      </c>
      <c r="C4215" s="141" t="s">
        <v>397</v>
      </c>
      <c r="D4215" s="140" t="s">
        <v>398</v>
      </c>
      <c r="E4215" s="140">
        <v>8</v>
      </c>
      <c r="F4215" s="142">
        <v>45833.583333333328</v>
      </c>
      <c r="G4215" s="140" t="s">
        <v>845</v>
      </c>
      <c r="H4215" s="140" t="s">
        <v>878</v>
      </c>
    </row>
    <row r="4216" spans="1:8" ht="15.75" customHeight="1">
      <c r="A4216" s="140" t="s">
        <v>85</v>
      </c>
      <c r="B4216" s="140" t="s">
        <v>21</v>
      </c>
      <c r="C4216" s="141" t="s">
        <v>397</v>
      </c>
      <c r="D4216" s="140" t="s">
        <v>398</v>
      </c>
      <c r="E4216" s="140">
        <v>9</v>
      </c>
      <c r="F4216" s="142">
        <v>45839.541666666672</v>
      </c>
      <c r="G4216" s="140" t="s">
        <v>845</v>
      </c>
      <c r="H4216" s="140" t="s">
        <v>878</v>
      </c>
    </row>
    <row r="4217" spans="1:8" ht="15.75" customHeight="1">
      <c r="A4217" s="140" t="s">
        <v>85</v>
      </c>
      <c r="B4217" s="140" t="s">
        <v>21</v>
      </c>
      <c r="C4217" s="141" t="s">
        <v>397</v>
      </c>
      <c r="D4217" s="140" t="s">
        <v>398</v>
      </c>
      <c r="E4217" s="140">
        <v>10</v>
      </c>
      <c r="F4217" s="142">
        <v>45868.541666666672</v>
      </c>
      <c r="G4217" s="140" t="s">
        <v>845</v>
      </c>
      <c r="H4217" s="140" t="s">
        <v>878</v>
      </c>
    </row>
    <row r="4218" spans="1:8" ht="15.75" customHeight="1">
      <c r="A4218" s="140" t="s">
        <v>85</v>
      </c>
      <c r="B4218" s="140" t="s">
        <v>22</v>
      </c>
      <c r="C4218" s="141" t="s">
        <v>397</v>
      </c>
      <c r="D4218" s="140" t="s">
        <v>398</v>
      </c>
      <c r="E4218" s="140">
        <v>1</v>
      </c>
      <c r="F4218" s="142">
        <v>45910.541666666672</v>
      </c>
      <c r="G4218" s="140" t="s">
        <v>845</v>
      </c>
      <c r="H4218" s="140" t="s">
        <v>878</v>
      </c>
    </row>
    <row r="4219" spans="1:8" ht="15.75" customHeight="1">
      <c r="A4219" s="140" t="s">
        <v>85</v>
      </c>
      <c r="B4219" s="140" t="s">
        <v>22</v>
      </c>
      <c r="C4219" s="141" t="s">
        <v>397</v>
      </c>
      <c r="D4219" s="140" t="s">
        <v>398</v>
      </c>
      <c r="E4219" s="140">
        <v>2</v>
      </c>
      <c r="F4219" s="142">
        <v>45916.541666666672</v>
      </c>
      <c r="G4219" s="140" t="s">
        <v>845</v>
      </c>
      <c r="H4219" s="140" t="s">
        <v>878</v>
      </c>
    </row>
    <row r="4220" spans="1:8" ht="15.75" customHeight="1">
      <c r="A4220" s="140" t="s">
        <v>85</v>
      </c>
      <c r="B4220" s="140" t="s">
        <v>22</v>
      </c>
      <c r="C4220" s="141" t="s">
        <v>397</v>
      </c>
      <c r="D4220" s="140" t="s">
        <v>398</v>
      </c>
      <c r="E4220" s="140">
        <v>3</v>
      </c>
      <c r="F4220" s="142">
        <v>45924.541666666672</v>
      </c>
      <c r="G4220" s="140" t="s">
        <v>845</v>
      </c>
      <c r="H4220" s="140" t="s">
        <v>878</v>
      </c>
    </row>
    <row r="4221" spans="1:8" ht="15.75" customHeight="1">
      <c r="A4221" s="140" t="s">
        <v>85</v>
      </c>
      <c r="B4221" s="140" t="s">
        <v>22</v>
      </c>
      <c r="C4221" s="141" t="s">
        <v>397</v>
      </c>
      <c r="D4221" s="140" t="s">
        <v>398</v>
      </c>
      <c r="E4221" s="140">
        <v>4</v>
      </c>
      <c r="F4221" s="142">
        <v>45931.541666666672</v>
      </c>
      <c r="G4221" s="140" t="s">
        <v>845</v>
      </c>
      <c r="H4221" s="140" t="s">
        <v>878</v>
      </c>
    </row>
    <row r="4222" spans="1:8" ht="15.75" customHeight="1">
      <c r="A4222" s="140" t="s">
        <v>85</v>
      </c>
      <c r="B4222" s="140" t="s">
        <v>22</v>
      </c>
      <c r="C4222" s="141" t="s">
        <v>397</v>
      </c>
      <c r="D4222" s="140" t="s">
        <v>398</v>
      </c>
      <c r="E4222" s="140">
        <v>5</v>
      </c>
      <c r="F4222" s="142">
        <v>45938.416666666672</v>
      </c>
      <c r="G4222" s="140" t="s">
        <v>845</v>
      </c>
      <c r="H4222" s="140" t="s">
        <v>878</v>
      </c>
    </row>
    <row r="4223" spans="1:8" ht="15.75" customHeight="1">
      <c r="A4223" s="140" t="s">
        <v>85</v>
      </c>
      <c r="B4223" s="140" t="s">
        <v>22</v>
      </c>
      <c r="C4223" s="141" t="s">
        <v>397</v>
      </c>
      <c r="D4223" s="140" t="s">
        <v>398</v>
      </c>
      <c r="E4223" s="140">
        <v>6</v>
      </c>
      <c r="F4223" s="142">
        <v>45951.416666666672</v>
      </c>
      <c r="G4223" s="140" t="s">
        <v>845</v>
      </c>
      <c r="H4223" s="140" t="s">
        <v>878</v>
      </c>
    </row>
    <row r="4224" spans="1:8" ht="15.75" customHeight="1">
      <c r="A4224" s="140" t="s">
        <v>85</v>
      </c>
      <c r="B4224" s="140" t="s">
        <v>22</v>
      </c>
      <c r="C4224" s="141" t="s">
        <v>397</v>
      </c>
      <c r="D4224" s="140" t="s">
        <v>398</v>
      </c>
      <c r="E4224" s="140">
        <v>7</v>
      </c>
      <c r="F4224" s="142">
        <v>45952.416666666672</v>
      </c>
      <c r="G4224" s="140" t="s">
        <v>845</v>
      </c>
      <c r="H4224" s="140" t="s">
        <v>878</v>
      </c>
    </row>
    <row r="4225" spans="1:8" ht="15.75" customHeight="1">
      <c r="A4225" s="140" t="s">
        <v>85</v>
      </c>
      <c r="B4225" s="140" t="s">
        <v>22</v>
      </c>
      <c r="C4225" s="141" t="s">
        <v>397</v>
      </c>
      <c r="D4225" s="140" t="s">
        <v>398</v>
      </c>
      <c r="E4225" s="140">
        <v>8</v>
      </c>
      <c r="F4225" s="142">
        <v>45959.458333333328</v>
      </c>
      <c r="G4225" s="140" t="s">
        <v>845</v>
      </c>
      <c r="H4225" s="140" t="s">
        <v>878</v>
      </c>
    </row>
    <row r="4226" spans="1:8" ht="15.75" customHeight="1">
      <c r="A4226" s="140" t="s">
        <v>85</v>
      </c>
      <c r="B4226" s="140" t="s">
        <v>22</v>
      </c>
      <c r="C4226" s="141" t="s">
        <v>397</v>
      </c>
      <c r="D4226" s="140" t="s">
        <v>398</v>
      </c>
      <c r="E4226" s="140">
        <v>9</v>
      </c>
      <c r="F4226" s="142">
        <v>45967.458333333328</v>
      </c>
      <c r="G4226" s="140" t="s">
        <v>845</v>
      </c>
      <c r="H4226" s="140" t="s">
        <v>878</v>
      </c>
    </row>
    <row r="4227" spans="1:8" ht="15.75" customHeight="1">
      <c r="A4227" s="140" t="s">
        <v>85</v>
      </c>
      <c r="B4227" s="140" t="s">
        <v>22</v>
      </c>
      <c r="C4227" s="141" t="s">
        <v>397</v>
      </c>
      <c r="D4227" s="140" t="s">
        <v>398</v>
      </c>
      <c r="E4227" s="140">
        <v>10</v>
      </c>
      <c r="F4227" s="142">
        <v>45974.458333333328</v>
      </c>
      <c r="G4227" s="140" t="s">
        <v>845</v>
      </c>
      <c r="H4227" s="140" t="s">
        <v>878</v>
      </c>
    </row>
    <row r="4228" spans="1:8" ht="15.75" customHeight="1">
      <c r="A4228" s="140" t="s">
        <v>85</v>
      </c>
      <c r="B4228" s="140" t="s">
        <v>22</v>
      </c>
      <c r="C4228" s="141" t="s">
        <v>397</v>
      </c>
      <c r="D4228" s="140" t="s">
        <v>398</v>
      </c>
      <c r="E4228" s="140">
        <v>11</v>
      </c>
      <c r="F4228" s="142">
        <v>45981.458333333328</v>
      </c>
      <c r="G4228" s="140" t="s">
        <v>845</v>
      </c>
      <c r="H4228" s="140" t="s">
        <v>878</v>
      </c>
    </row>
    <row r="4229" spans="1:8" ht="15.75" customHeight="1">
      <c r="A4229" s="140" t="s">
        <v>85</v>
      </c>
      <c r="B4229" s="140" t="s">
        <v>22</v>
      </c>
      <c r="C4229" s="141" t="s">
        <v>397</v>
      </c>
      <c r="D4229" s="140" t="s">
        <v>398</v>
      </c>
      <c r="E4229" s="140">
        <v>12</v>
      </c>
      <c r="F4229" s="142">
        <v>45988.458333333328</v>
      </c>
      <c r="G4229" s="140" t="s">
        <v>845</v>
      </c>
      <c r="H4229" s="140" t="s">
        <v>878</v>
      </c>
    </row>
    <row r="4230" spans="1:8" ht="15.75" customHeight="1">
      <c r="A4230" s="140" t="s">
        <v>85</v>
      </c>
      <c r="B4230" s="140" t="s">
        <v>22</v>
      </c>
      <c r="C4230" s="141" t="s">
        <v>397</v>
      </c>
      <c r="D4230" s="140" t="s">
        <v>398</v>
      </c>
      <c r="E4230" s="140">
        <v>13</v>
      </c>
      <c r="F4230" s="142">
        <v>45995.458333333328</v>
      </c>
      <c r="G4230" s="140" t="s">
        <v>845</v>
      </c>
      <c r="H4230" s="140" t="s">
        <v>878</v>
      </c>
    </row>
    <row r="4231" spans="1:8" ht="15.75" customHeight="1">
      <c r="A4231" s="140" t="s">
        <v>85</v>
      </c>
      <c r="B4231" s="140" t="s">
        <v>22</v>
      </c>
      <c r="C4231" s="141" t="s">
        <v>397</v>
      </c>
      <c r="D4231" s="140" t="s">
        <v>398</v>
      </c>
      <c r="E4231" s="140">
        <v>14</v>
      </c>
      <c r="F4231" s="142">
        <v>46007.541666666672</v>
      </c>
      <c r="G4231" s="140" t="s">
        <v>845</v>
      </c>
      <c r="H4231" s="140" t="s">
        <v>878</v>
      </c>
    </row>
    <row r="4232" spans="1:8" ht="15.75" customHeight="1">
      <c r="A4232" s="140" t="s">
        <v>85</v>
      </c>
      <c r="B4232" s="140" t="s">
        <v>22</v>
      </c>
      <c r="C4232" s="141" t="s">
        <v>397</v>
      </c>
      <c r="D4232" s="140" t="s">
        <v>398</v>
      </c>
      <c r="E4232" s="140">
        <v>15</v>
      </c>
      <c r="F4232" s="142">
        <v>46021.458333333328</v>
      </c>
      <c r="G4232" s="140" t="s">
        <v>845</v>
      </c>
      <c r="H4232" s="140" t="s">
        <v>878</v>
      </c>
    </row>
    <row r="4233" spans="1:8" ht="15.75" customHeight="1">
      <c r="A4233" s="140" t="s">
        <v>85</v>
      </c>
      <c r="B4233" s="140" t="s">
        <v>22</v>
      </c>
      <c r="C4233" s="141" t="s">
        <v>397</v>
      </c>
      <c r="D4233" s="140" t="s">
        <v>398</v>
      </c>
      <c r="E4233" s="140">
        <v>16</v>
      </c>
      <c r="F4233" s="142">
        <v>46051.416666666672</v>
      </c>
      <c r="G4233" s="140" t="s">
        <v>845</v>
      </c>
      <c r="H4233" s="140" t="s">
        <v>878</v>
      </c>
    </row>
    <row r="4234" spans="1:8" ht="15.75" customHeight="1">
      <c r="A4234" s="140" t="s">
        <v>85</v>
      </c>
      <c r="B4234" s="140" t="s">
        <v>22</v>
      </c>
      <c r="C4234" s="141" t="s">
        <v>512</v>
      </c>
      <c r="D4234" s="140" t="s">
        <v>513</v>
      </c>
      <c r="E4234" s="140">
        <v>1</v>
      </c>
      <c r="F4234" s="142">
        <v>45910.541666666672</v>
      </c>
      <c r="G4234" s="140" t="s">
        <v>845</v>
      </c>
      <c r="H4234" s="140" t="s">
        <v>878</v>
      </c>
    </row>
    <row r="4235" spans="1:8" ht="15.75" customHeight="1">
      <c r="A4235" s="140" t="s">
        <v>85</v>
      </c>
      <c r="B4235" s="140" t="s">
        <v>22</v>
      </c>
      <c r="C4235" s="141" t="s">
        <v>512</v>
      </c>
      <c r="D4235" s="140" t="s">
        <v>513</v>
      </c>
      <c r="E4235" s="140">
        <v>2</v>
      </c>
      <c r="F4235" s="142">
        <v>45916.541666666672</v>
      </c>
      <c r="G4235" s="140" t="s">
        <v>845</v>
      </c>
      <c r="H4235" s="140" t="s">
        <v>878</v>
      </c>
    </row>
    <row r="4236" spans="1:8" ht="15.75" customHeight="1">
      <c r="A4236" s="140" t="s">
        <v>85</v>
      </c>
      <c r="B4236" s="140" t="s">
        <v>22</v>
      </c>
      <c r="C4236" s="141" t="s">
        <v>512</v>
      </c>
      <c r="D4236" s="140" t="s">
        <v>513</v>
      </c>
      <c r="E4236" s="140">
        <v>3</v>
      </c>
      <c r="F4236" s="142">
        <v>45924.541666666672</v>
      </c>
      <c r="G4236" s="140" t="s">
        <v>845</v>
      </c>
      <c r="H4236" s="140" t="s">
        <v>878</v>
      </c>
    </row>
    <row r="4237" spans="1:8" ht="15.75" customHeight="1">
      <c r="A4237" s="140" t="s">
        <v>85</v>
      </c>
      <c r="B4237" s="140" t="s">
        <v>22</v>
      </c>
      <c r="C4237" s="141" t="s">
        <v>512</v>
      </c>
      <c r="D4237" s="140" t="s">
        <v>513</v>
      </c>
      <c r="E4237" s="140">
        <v>4</v>
      </c>
      <c r="F4237" s="142">
        <v>45931.541666666672</v>
      </c>
      <c r="G4237" s="140" t="s">
        <v>845</v>
      </c>
      <c r="H4237" s="140" t="s">
        <v>878</v>
      </c>
    </row>
    <row r="4238" spans="1:8" ht="15.75" customHeight="1">
      <c r="A4238" s="140" t="s">
        <v>85</v>
      </c>
      <c r="B4238" s="140" t="s">
        <v>22</v>
      </c>
      <c r="C4238" s="141" t="s">
        <v>512</v>
      </c>
      <c r="D4238" s="140" t="s">
        <v>513</v>
      </c>
      <c r="E4238" s="140">
        <v>5</v>
      </c>
      <c r="F4238" s="142">
        <v>45938.416666666672</v>
      </c>
      <c r="G4238" s="140" t="s">
        <v>845</v>
      </c>
      <c r="H4238" s="140" t="s">
        <v>878</v>
      </c>
    </row>
    <row r="4239" spans="1:8" ht="15.75" customHeight="1">
      <c r="A4239" s="140" t="s">
        <v>85</v>
      </c>
      <c r="B4239" s="140" t="s">
        <v>22</v>
      </c>
      <c r="C4239" s="141" t="s">
        <v>512</v>
      </c>
      <c r="D4239" s="140" t="s">
        <v>513</v>
      </c>
      <c r="E4239" s="140">
        <v>6</v>
      </c>
      <c r="F4239" s="142">
        <v>45951.416666666672</v>
      </c>
      <c r="G4239" s="140" t="s">
        <v>843</v>
      </c>
      <c r="H4239" s="140" t="s">
        <v>878</v>
      </c>
    </row>
    <row r="4240" spans="1:8" ht="15.75" customHeight="1">
      <c r="A4240" s="140" t="s">
        <v>85</v>
      </c>
      <c r="B4240" s="140" t="s">
        <v>22</v>
      </c>
      <c r="C4240" s="141" t="s">
        <v>512</v>
      </c>
      <c r="D4240" s="140" t="s">
        <v>513</v>
      </c>
      <c r="E4240" s="140">
        <v>7</v>
      </c>
      <c r="F4240" s="142">
        <v>45952.416666666672</v>
      </c>
      <c r="G4240" s="140" t="s">
        <v>843</v>
      </c>
      <c r="H4240" s="140" t="s">
        <v>878</v>
      </c>
    </row>
    <row r="4241" spans="1:8" ht="15.75" customHeight="1">
      <c r="A4241" s="140" t="s">
        <v>85</v>
      </c>
      <c r="B4241" s="140" t="s">
        <v>22</v>
      </c>
      <c r="C4241" s="141" t="s">
        <v>512</v>
      </c>
      <c r="D4241" s="140" t="s">
        <v>513</v>
      </c>
      <c r="E4241" s="140">
        <v>8</v>
      </c>
      <c r="F4241" s="142">
        <v>45959.458333333328</v>
      </c>
      <c r="G4241" s="140" t="s">
        <v>845</v>
      </c>
      <c r="H4241" s="140" t="s">
        <v>878</v>
      </c>
    </row>
    <row r="4242" spans="1:8" ht="15.75" customHeight="1">
      <c r="A4242" s="140" t="s">
        <v>85</v>
      </c>
      <c r="B4242" s="140" t="s">
        <v>22</v>
      </c>
      <c r="C4242" s="141" t="s">
        <v>512</v>
      </c>
      <c r="D4242" s="140" t="s">
        <v>513</v>
      </c>
      <c r="E4242" s="140">
        <v>9</v>
      </c>
      <c r="F4242" s="142">
        <v>45967.458333333328</v>
      </c>
      <c r="G4242" s="140" t="s">
        <v>845</v>
      </c>
      <c r="H4242" s="140" t="s">
        <v>878</v>
      </c>
    </row>
    <row r="4243" spans="1:8" ht="15.75" customHeight="1">
      <c r="A4243" s="140" t="s">
        <v>85</v>
      </c>
      <c r="B4243" s="140" t="s">
        <v>22</v>
      </c>
      <c r="C4243" s="141" t="s">
        <v>512</v>
      </c>
      <c r="D4243" s="140" t="s">
        <v>513</v>
      </c>
      <c r="E4243" s="140">
        <v>10</v>
      </c>
      <c r="F4243" s="142">
        <v>45974.458333333328</v>
      </c>
      <c r="G4243" s="140" t="s">
        <v>845</v>
      </c>
      <c r="H4243" s="140" t="s">
        <v>878</v>
      </c>
    </row>
    <row r="4244" spans="1:8" ht="15.75" customHeight="1">
      <c r="A4244" s="140" t="s">
        <v>85</v>
      </c>
      <c r="B4244" s="140" t="s">
        <v>22</v>
      </c>
      <c r="C4244" s="141" t="s">
        <v>524</v>
      </c>
      <c r="D4244" s="140" t="s">
        <v>525</v>
      </c>
      <c r="E4244" s="140">
        <v>1</v>
      </c>
      <c r="F4244" s="142">
        <v>45910.541666666672</v>
      </c>
      <c r="G4244" s="140" t="s">
        <v>845</v>
      </c>
      <c r="H4244" s="140" t="s">
        <v>878</v>
      </c>
    </row>
    <row r="4245" spans="1:8" ht="15.75" customHeight="1">
      <c r="A4245" s="140" t="s">
        <v>85</v>
      </c>
      <c r="B4245" s="140" t="s">
        <v>22</v>
      </c>
      <c r="C4245" s="141" t="s">
        <v>524</v>
      </c>
      <c r="D4245" s="140" t="s">
        <v>525</v>
      </c>
      <c r="E4245" s="140">
        <v>2</v>
      </c>
      <c r="F4245" s="142">
        <v>45916.541666666672</v>
      </c>
      <c r="G4245" s="140" t="s">
        <v>845</v>
      </c>
      <c r="H4245" s="140" t="s">
        <v>878</v>
      </c>
    </row>
    <row r="4246" spans="1:8" ht="15.75" customHeight="1">
      <c r="A4246" s="140" t="s">
        <v>85</v>
      </c>
      <c r="B4246" s="140" t="s">
        <v>22</v>
      </c>
      <c r="C4246" s="141" t="s">
        <v>524</v>
      </c>
      <c r="D4246" s="140" t="s">
        <v>525</v>
      </c>
      <c r="E4246" s="140">
        <v>3</v>
      </c>
      <c r="F4246" s="142">
        <v>45924.541666666672</v>
      </c>
      <c r="G4246" s="140" t="s">
        <v>845</v>
      </c>
      <c r="H4246" s="140" t="s">
        <v>878</v>
      </c>
    </row>
    <row r="4247" spans="1:8" ht="15.75" customHeight="1">
      <c r="A4247" s="140" t="s">
        <v>85</v>
      </c>
      <c r="B4247" s="140" t="s">
        <v>22</v>
      </c>
      <c r="C4247" s="141" t="s">
        <v>524</v>
      </c>
      <c r="D4247" s="140" t="s">
        <v>525</v>
      </c>
      <c r="E4247" s="140">
        <v>4</v>
      </c>
      <c r="F4247" s="142">
        <v>45931.541666666672</v>
      </c>
      <c r="G4247" s="140" t="s">
        <v>845</v>
      </c>
      <c r="H4247" s="140" t="s">
        <v>878</v>
      </c>
    </row>
    <row r="4248" spans="1:8" ht="15.75" customHeight="1">
      <c r="A4248" s="140" t="s">
        <v>85</v>
      </c>
      <c r="B4248" s="140" t="s">
        <v>22</v>
      </c>
      <c r="C4248" s="141" t="s">
        <v>524</v>
      </c>
      <c r="D4248" s="140" t="s">
        <v>525</v>
      </c>
      <c r="E4248" s="140">
        <v>5</v>
      </c>
      <c r="F4248" s="142">
        <v>45938.416666666672</v>
      </c>
      <c r="G4248" s="140" t="s">
        <v>845</v>
      </c>
      <c r="H4248" s="140" t="s">
        <v>878</v>
      </c>
    </row>
    <row r="4249" spans="1:8" ht="15.75" customHeight="1">
      <c r="A4249" s="140" t="s">
        <v>85</v>
      </c>
      <c r="B4249" s="140" t="s">
        <v>22</v>
      </c>
      <c r="C4249" s="141" t="s">
        <v>524</v>
      </c>
      <c r="D4249" s="140" t="s">
        <v>525</v>
      </c>
      <c r="E4249" s="140">
        <v>6</v>
      </c>
      <c r="F4249" s="142">
        <v>45951.416666666672</v>
      </c>
      <c r="G4249" s="140" t="s">
        <v>843</v>
      </c>
      <c r="H4249" s="140" t="s">
        <v>878</v>
      </c>
    </row>
    <row r="4250" spans="1:8" ht="15.75" customHeight="1">
      <c r="A4250" s="140" t="s">
        <v>85</v>
      </c>
      <c r="B4250" s="140" t="s">
        <v>22</v>
      </c>
      <c r="C4250" s="141" t="s">
        <v>524</v>
      </c>
      <c r="D4250" s="140" t="s">
        <v>525</v>
      </c>
      <c r="E4250" s="140">
        <v>7</v>
      </c>
      <c r="F4250" s="142">
        <v>45952.416666666672</v>
      </c>
      <c r="G4250" s="140" t="s">
        <v>843</v>
      </c>
      <c r="H4250" s="140" t="s">
        <v>878</v>
      </c>
    </row>
    <row r="4251" spans="1:8" ht="15.75" customHeight="1">
      <c r="A4251" s="140" t="s">
        <v>85</v>
      </c>
      <c r="B4251" s="140" t="s">
        <v>22</v>
      </c>
      <c r="C4251" s="141" t="s">
        <v>524</v>
      </c>
      <c r="D4251" s="140" t="s">
        <v>525</v>
      </c>
      <c r="E4251" s="140">
        <v>8</v>
      </c>
      <c r="F4251" s="142">
        <v>45959.458333333328</v>
      </c>
      <c r="G4251" s="140" t="s">
        <v>845</v>
      </c>
      <c r="H4251" s="140" t="s">
        <v>878</v>
      </c>
    </row>
    <row r="4252" spans="1:8" ht="15.75" customHeight="1">
      <c r="A4252" s="140" t="s">
        <v>85</v>
      </c>
      <c r="B4252" s="140" t="s">
        <v>22</v>
      </c>
      <c r="C4252" s="141" t="s">
        <v>524</v>
      </c>
      <c r="D4252" s="140" t="s">
        <v>525</v>
      </c>
      <c r="E4252" s="140">
        <v>9</v>
      </c>
      <c r="F4252" s="142">
        <v>45967.458333333328</v>
      </c>
      <c r="G4252" s="140" t="s">
        <v>845</v>
      </c>
      <c r="H4252" s="140" t="s">
        <v>878</v>
      </c>
    </row>
    <row r="4253" spans="1:8" ht="15.75" customHeight="1">
      <c r="A4253" s="140" t="s">
        <v>85</v>
      </c>
      <c r="B4253" s="140" t="s">
        <v>22</v>
      </c>
      <c r="C4253" s="141" t="s">
        <v>524</v>
      </c>
      <c r="D4253" s="140" t="s">
        <v>525</v>
      </c>
      <c r="E4253" s="140">
        <v>10</v>
      </c>
      <c r="F4253" s="142">
        <v>45974.458333333328</v>
      </c>
      <c r="G4253" s="140" t="s">
        <v>845</v>
      </c>
      <c r="H4253" s="140" t="s">
        <v>878</v>
      </c>
    </row>
    <row r="4254" spans="1:8" ht="15.75" customHeight="1">
      <c r="A4254" s="140" t="s">
        <v>85</v>
      </c>
      <c r="B4254" s="140" t="s">
        <v>22</v>
      </c>
      <c r="C4254" s="141" t="s">
        <v>524</v>
      </c>
      <c r="D4254" s="140" t="s">
        <v>525</v>
      </c>
      <c r="E4254" s="140">
        <v>11</v>
      </c>
      <c r="F4254" s="142">
        <v>45981.458333333328</v>
      </c>
      <c r="G4254" s="140" t="s">
        <v>845</v>
      </c>
      <c r="H4254" s="140" t="s">
        <v>878</v>
      </c>
    </row>
    <row r="4255" spans="1:8" ht="15.75" customHeight="1">
      <c r="A4255" s="140" t="s">
        <v>85</v>
      </c>
      <c r="B4255" s="140" t="s">
        <v>22</v>
      </c>
      <c r="C4255" s="141" t="s">
        <v>524</v>
      </c>
      <c r="D4255" s="140" t="s">
        <v>525</v>
      </c>
      <c r="E4255" s="140">
        <v>12</v>
      </c>
      <c r="F4255" s="142">
        <v>45988.458333333328</v>
      </c>
      <c r="G4255" s="140" t="s">
        <v>845</v>
      </c>
      <c r="H4255" s="140" t="s">
        <v>878</v>
      </c>
    </row>
    <row r="4256" spans="1:8" ht="15.75" customHeight="1">
      <c r="A4256" s="140" t="s">
        <v>85</v>
      </c>
      <c r="B4256" s="140" t="s">
        <v>22</v>
      </c>
      <c r="C4256" s="141" t="s">
        <v>524</v>
      </c>
      <c r="D4256" s="140" t="s">
        <v>525</v>
      </c>
      <c r="E4256" s="140">
        <v>13</v>
      </c>
      <c r="F4256" s="142">
        <v>45995.458333333328</v>
      </c>
      <c r="G4256" s="140" t="s">
        <v>845</v>
      </c>
      <c r="H4256" s="140" t="s">
        <v>878</v>
      </c>
    </row>
    <row r="4257" spans="1:8" ht="15.75" customHeight="1">
      <c r="A4257" s="140" t="s">
        <v>85</v>
      </c>
      <c r="B4257" s="140" t="s">
        <v>22</v>
      </c>
      <c r="C4257" s="141" t="s">
        <v>524</v>
      </c>
      <c r="D4257" s="140" t="s">
        <v>525</v>
      </c>
      <c r="E4257" s="140">
        <v>14</v>
      </c>
      <c r="F4257" s="142">
        <v>46007.541666666672</v>
      </c>
      <c r="G4257" s="140" t="s">
        <v>845</v>
      </c>
      <c r="H4257" s="140" t="s">
        <v>878</v>
      </c>
    </row>
    <row r="4258" spans="1:8" ht="15.75" customHeight="1">
      <c r="A4258" s="140" t="s">
        <v>85</v>
      </c>
      <c r="B4258" s="140" t="s">
        <v>22</v>
      </c>
      <c r="C4258" s="141" t="s">
        <v>524</v>
      </c>
      <c r="D4258" s="140" t="s">
        <v>525</v>
      </c>
      <c r="E4258" s="140">
        <v>15</v>
      </c>
      <c r="F4258" s="142">
        <v>46021.458333333328</v>
      </c>
      <c r="G4258" s="140" t="s">
        <v>845</v>
      </c>
      <c r="H4258" s="140" t="s">
        <v>878</v>
      </c>
    </row>
    <row r="4259" spans="1:8" ht="15.75" customHeight="1">
      <c r="A4259" s="140" t="s">
        <v>85</v>
      </c>
      <c r="B4259" s="140" t="s">
        <v>22</v>
      </c>
      <c r="C4259" s="141" t="s">
        <v>524</v>
      </c>
      <c r="D4259" s="140" t="s">
        <v>525</v>
      </c>
      <c r="E4259" s="140">
        <v>16</v>
      </c>
      <c r="F4259" s="142">
        <v>46051.416666666672</v>
      </c>
      <c r="G4259" s="140" t="s">
        <v>845</v>
      </c>
      <c r="H4259" s="140" t="s">
        <v>878</v>
      </c>
    </row>
    <row r="4260" spans="1:8" ht="15.75" customHeight="1">
      <c r="A4260" s="140" t="s">
        <v>85</v>
      </c>
      <c r="B4260" s="140" t="s">
        <v>24</v>
      </c>
      <c r="C4260" s="141" t="s">
        <v>530</v>
      </c>
      <c r="D4260" s="140" t="s">
        <v>531</v>
      </c>
      <c r="E4260" s="140">
        <v>1</v>
      </c>
      <c r="F4260" s="142">
        <v>46086.458333333328</v>
      </c>
      <c r="G4260" s="140" t="s">
        <v>845</v>
      </c>
      <c r="H4260" s="140" t="s">
        <v>878</v>
      </c>
    </row>
    <row r="4261" spans="1:8" ht="15.75" customHeight="1">
      <c r="A4261" s="140" t="s">
        <v>85</v>
      </c>
      <c r="B4261" s="140" t="s">
        <v>24</v>
      </c>
      <c r="C4261" s="141" t="s">
        <v>530</v>
      </c>
      <c r="D4261" s="140" t="s">
        <v>531</v>
      </c>
      <c r="E4261" s="140">
        <v>2</v>
      </c>
      <c r="F4261" s="142">
        <v>46098.458333333328</v>
      </c>
      <c r="G4261" s="140" t="s">
        <v>845</v>
      </c>
      <c r="H4261" s="140" t="s">
        <v>878</v>
      </c>
    </row>
    <row r="4262" spans="1:8" ht="15.75" customHeight="1">
      <c r="A4262" s="140" t="s">
        <v>85</v>
      </c>
      <c r="B4262" s="140" t="s">
        <v>24</v>
      </c>
      <c r="C4262" s="141" t="s">
        <v>530</v>
      </c>
      <c r="D4262" s="140" t="s">
        <v>531</v>
      </c>
      <c r="E4262" s="140">
        <v>3</v>
      </c>
      <c r="F4262" s="142">
        <v>46105.458333333328</v>
      </c>
      <c r="G4262" s="140" t="s">
        <v>845</v>
      </c>
      <c r="H4262" s="140" t="s">
        <v>878</v>
      </c>
    </row>
    <row r="4263" spans="1:8" ht="15.75" customHeight="1">
      <c r="A4263" s="140" t="s">
        <v>85</v>
      </c>
      <c r="B4263" s="140" t="s">
        <v>24</v>
      </c>
      <c r="C4263" s="141" t="s">
        <v>530</v>
      </c>
      <c r="D4263" s="140" t="s">
        <v>531</v>
      </c>
      <c r="E4263" s="140">
        <v>4</v>
      </c>
      <c r="F4263" s="142">
        <v>46113.625</v>
      </c>
      <c r="G4263" s="140" t="s">
        <v>845</v>
      </c>
      <c r="H4263" s="140" t="s">
        <v>878</v>
      </c>
    </row>
    <row r="4264" spans="1:8" ht="15.75" customHeight="1">
      <c r="A4264" s="140" t="s">
        <v>85</v>
      </c>
      <c r="B4264" s="140" t="s">
        <v>24</v>
      </c>
      <c r="C4264" s="141" t="s">
        <v>530</v>
      </c>
      <c r="D4264" s="140" t="s">
        <v>531</v>
      </c>
      <c r="E4264" s="140">
        <v>5</v>
      </c>
      <c r="F4264" s="142">
        <v>46120.625</v>
      </c>
      <c r="G4264" s="140" t="s">
        <v>845</v>
      </c>
      <c r="H4264" s="140" t="s">
        <v>878</v>
      </c>
    </row>
    <row r="4265" spans="1:8" ht="15.75" customHeight="1">
      <c r="A4265" s="140" t="s">
        <v>85</v>
      </c>
      <c r="B4265" s="140" t="s">
        <v>24</v>
      </c>
      <c r="C4265" s="141" t="s">
        <v>530</v>
      </c>
      <c r="D4265" s="140" t="s">
        <v>531</v>
      </c>
      <c r="E4265" s="140">
        <v>6</v>
      </c>
      <c r="F4265" s="142">
        <v>46127.625</v>
      </c>
      <c r="G4265" s="140" t="s">
        <v>845</v>
      </c>
      <c r="H4265" s="140" t="s">
        <v>878</v>
      </c>
    </row>
    <row r="4266" spans="1:8" ht="15.75" customHeight="1">
      <c r="A4266" s="140" t="s">
        <v>85</v>
      </c>
      <c r="B4266" s="140" t="s">
        <v>22</v>
      </c>
      <c r="C4266" s="141" t="s">
        <v>530</v>
      </c>
      <c r="D4266" s="140" t="s">
        <v>531</v>
      </c>
      <c r="E4266" s="140">
        <v>1</v>
      </c>
      <c r="F4266" s="142">
        <v>45910.541666666672</v>
      </c>
      <c r="G4266" s="140" t="s">
        <v>845</v>
      </c>
      <c r="H4266" s="140" t="s">
        <v>878</v>
      </c>
    </row>
    <row r="4267" spans="1:8" ht="15.75" customHeight="1">
      <c r="A4267" s="140" t="s">
        <v>85</v>
      </c>
      <c r="B4267" s="140" t="s">
        <v>22</v>
      </c>
      <c r="C4267" s="141" t="s">
        <v>530</v>
      </c>
      <c r="D4267" s="140" t="s">
        <v>531</v>
      </c>
      <c r="E4267" s="140">
        <v>2</v>
      </c>
      <c r="F4267" s="142">
        <v>45916.541666666672</v>
      </c>
      <c r="G4267" s="140" t="s">
        <v>845</v>
      </c>
      <c r="H4267" s="140" t="s">
        <v>878</v>
      </c>
    </row>
    <row r="4268" spans="1:8" ht="15.75" customHeight="1">
      <c r="A4268" s="140" t="s">
        <v>85</v>
      </c>
      <c r="B4268" s="140" t="s">
        <v>22</v>
      </c>
      <c r="C4268" s="141" t="s">
        <v>530</v>
      </c>
      <c r="D4268" s="140" t="s">
        <v>531</v>
      </c>
      <c r="E4268" s="140">
        <v>3</v>
      </c>
      <c r="F4268" s="142">
        <v>45924.541666666672</v>
      </c>
      <c r="G4268" s="140" t="s">
        <v>845</v>
      </c>
      <c r="H4268" s="140" t="s">
        <v>878</v>
      </c>
    </row>
    <row r="4269" spans="1:8" ht="15.75" customHeight="1">
      <c r="A4269" s="140" t="s">
        <v>85</v>
      </c>
      <c r="B4269" s="140" t="s">
        <v>22</v>
      </c>
      <c r="C4269" s="141" t="s">
        <v>530</v>
      </c>
      <c r="D4269" s="140" t="s">
        <v>531</v>
      </c>
      <c r="E4269" s="140">
        <v>4</v>
      </c>
      <c r="F4269" s="142">
        <v>45931.541666666672</v>
      </c>
      <c r="G4269" s="140" t="s">
        <v>845</v>
      </c>
      <c r="H4269" s="140" t="s">
        <v>878</v>
      </c>
    </row>
    <row r="4270" spans="1:8" ht="15.75" customHeight="1">
      <c r="A4270" s="140" t="s">
        <v>85</v>
      </c>
      <c r="B4270" s="140" t="s">
        <v>22</v>
      </c>
      <c r="C4270" s="141" t="s">
        <v>530</v>
      </c>
      <c r="D4270" s="140" t="s">
        <v>531</v>
      </c>
      <c r="E4270" s="140">
        <v>5</v>
      </c>
      <c r="F4270" s="142">
        <v>45938.416666666672</v>
      </c>
      <c r="G4270" s="140" t="s">
        <v>845</v>
      </c>
      <c r="H4270" s="140" t="s">
        <v>878</v>
      </c>
    </row>
    <row r="4271" spans="1:8" ht="15.75" customHeight="1">
      <c r="A4271" s="140" t="s">
        <v>85</v>
      </c>
      <c r="B4271" s="140" t="s">
        <v>22</v>
      </c>
      <c r="C4271" s="141" t="s">
        <v>530</v>
      </c>
      <c r="D4271" s="140" t="s">
        <v>531</v>
      </c>
      <c r="E4271" s="140">
        <v>6</v>
      </c>
      <c r="F4271" s="142">
        <v>45951.416666666672</v>
      </c>
      <c r="G4271" s="140" t="s">
        <v>845</v>
      </c>
      <c r="H4271" s="140" t="s">
        <v>878</v>
      </c>
    </row>
    <row r="4272" spans="1:8" ht="15.75" customHeight="1">
      <c r="A4272" s="140" t="s">
        <v>85</v>
      </c>
      <c r="B4272" s="140" t="s">
        <v>22</v>
      </c>
      <c r="C4272" s="141" t="s">
        <v>530</v>
      </c>
      <c r="D4272" s="140" t="s">
        <v>531</v>
      </c>
      <c r="E4272" s="140">
        <v>7</v>
      </c>
      <c r="F4272" s="142">
        <v>45952.416666666672</v>
      </c>
      <c r="G4272" s="140" t="s">
        <v>845</v>
      </c>
      <c r="H4272" s="140" t="s">
        <v>878</v>
      </c>
    </row>
    <row r="4273" spans="1:8" ht="15.75" customHeight="1">
      <c r="A4273" s="140" t="s">
        <v>85</v>
      </c>
      <c r="B4273" s="140" t="s">
        <v>22</v>
      </c>
      <c r="C4273" s="141" t="s">
        <v>530</v>
      </c>
      <c r="D4273" s="140" t="s">
        <v>531</v>
      </c>
      <c r="E4273" s="140">
        <v>8</v>
      </c>
      <c r="F4273" s="142">
        <v>45959.458333333328</v>
      </c>
      <c r="G4273" s="140" t="s">
        <v>845</v>
      </c>
      <c r="H4273" s="140" t="s">
        <v>878</v>
      </c>
    </row>
    <row r="4274" spans="1:8" ht="15.75" customHeight="1">
      <c r="A4274" s="140" t="s">
        <v>85</v>
      </c>
      <c r="B4274" s="140" t="s">
        <v>22</v>
      </c>
      <c r="C4274" s="141" t="s">
        <v>530</v>
      </c>
      <c r="D4274" s="140" t="s">
        <v>531</v>
      </c>
      <c r="E4274" s="140">
        <v>9</v>
      </c>
      <c r="F4274" s="142">
        <v>45967.458333333328</v>
      </c>
      <c r="G4274" s="140" t="s">
        <v>845</v>
      </c>
      <c r="H4274" s="140" t="s">
        <v>878</v>
      </c>
    </row>
    <row r="4275" spans="1:8" ht="15.75" customHeight="1">
      <c r="A4275" s="140" t="s">
        <v>85</v>
      </c>
      <c r="B4275" s="140" t="s">
        <v>22</v>
      </c>
      <c r="C4275" s="141" t="s">
        <v>530</v>
      </c>
      <c r="D4275" s="140" t="s">
        <v>531</v>
      </c>
      <c r="E4275" s="140">
        <v>10</v>
      </c>
      <c r="F4275" s="142">
        <v>45974.458333333328</v>
      </c>
      <c r="G4275" s="140" t="s">
        <v>845</v>
      </c>
      <c r="H4275" s="140" t="s">
        <v>878</v>
      </c>
    </row>
    <row r="4276" spans="1:8" ht="15.75" customHeight="1">
      <c r="A4276" s="140" t="s">
        <v>85</v>
      </c>
      <c r="B4276" s="140" t="s">
        <v>22</v>
      </c>
      <c r="C4276" s="141" t="s">
        <v>530</v>
      </c>
      <c r="D4276" s="140" t="s">
        <v>531</v>
      </c>
      <c r="E4276" s="140">
        <v>11</v>
      </c>
      <c r="F4276" s="142">
        <v>45981.458333333328</v>
      </c>
      <c r="G4276" s="140" t="s">
        <v>845</v>
      </c>
      <c r="H4276" s="140" t="s">
        <v>878</v>
      </c>
    </row>
    <row r="4277" spans="1:8" ht="15.75" customHeight="1">
      <c r="A4277" s="140" t="s">
        <v>85</v>
      </c>
      <c r="B4277" s="140" t="s">
        <v>22</v>
      </c>
      <c r="C4277" s="141" t="s">
        <v>530</v>
      </c>
      <c r="D4277" s="140" t="s">
        <v>531</v>
      </c>
      <c r="E4277" s="140">
        <v>12</v>
      </c>
      <c r="F4277" s="142">
        <v>45988.458333333328</v>
      </c>
      <c r="G4277" s="140" t="s">
        <v>845</v>
      </c>
      <c r="H4277" s="140" t="s">
        <v>878</v>
      </c>
    </row>
    <row r="4278" spans="1:8" ht="15.75" customHeight="1">
      <c r="A4278" s="140" t="s">
        <v>85</v>
      </c>
      <c r="B4278" s="140" t="s">
        <v>22</v>
      </c>
      <c r="C4278" s="141" t="s">
        <v>530</v>
      </c>
      <c r="D4278" s="140" t="s">
        <v>531</v>
      </c>
      <c r="E4278" s="140">
        <v>13</v>
      </c>
      <c r="F4278" s="142">
        <v>45995.458333333328</v>
      </c>
      <c r="G4278" s="140" t="s">
        <v>845</v>
      </c>
      <c r="H4278" s="140" t="s">
        <v>878</v>
      </c>
    </row>
    <row r="4279" spans="1:8" ht="15.75" customHeight="1">
      <c r="A4279" s="140" t="s">
        <v>85</v>
      </c>
      <c r="B4279" s="140" t="s">
        <v>22</v>
      </c>
      <c r="C4279" s="141" t="s">
        <v>530</v>
      </c>
      <c r="D4279" s="140" t="s">
        <v>531</v>
      </c>
      <c r="E4279" s="140">
        <v>14</v>
      </c>
      <c r="F4279" s="142">
        <v>46007.541666666672</v>
      </c>
      <c r="G4279" s="140" t="s">
        <v>845</v>
      </c>
      <c r="H4279" s="140" t="s">
        <v>878</v>
      </c>
    </row>
    <row r="4280" spans="1:8" ht="15.75" customHeight="1">
      <c r="A4280" s="140" t="s">
        <v>85</v>
      </c>
      <c r="B4280" s="140" t="s">
        <v>22</v>
      </c>
      <c r="C4280" s="141" t="s">
        <v>530</v>
      </c>
      <c r="D4280" s="140" t="s">
        <v>531</v>
      </c>
      <c r="E4280" s="140">
        <v>15</v>
      </c>
      <c r="F4280" s="142">
        <v>46021.458333333328</v>
      </c>
      <c r="G4280" s="140" t="s">
        <v>845</v>
      </c>
      <c r="H4280" s="140" t="s">
        <v>878</v>
      </c>
    </row>
    <row r="4281" spans="1:8" ht="15.75" customHeight="1">
      <c r="A4281" s="140" t="s">
        <v>85</v>
      </c>
      <c r="B4281" s="140" t="s">
        <v>22</v>
      </c>
      <c r="C4281" s="141" t="s">
        <v>530</v>
      </c>
      <c r="D4281" s="140" t="s">
        <v>531</v>
      </c>
      <c r="E4281" s="140">
        <v>16</v>
      </c>
      <c r="F4281" s="142">
        <v>46051.416666666672</v>
      </c>
      <c r="G4281" s="140" t="s">
        <v>845</v>
      </c>
      <c r="H4281" s="140" t="s">
        <v>878</v>
      </c>
    </row>
    <row r="4282" spans="1:8" ht="15.75" customHeight="1">
      <c r="A4282" s="140" t="s">
        <v>85</v>
      </c>
      <c r="B4282" s="140" t="s">
        <v>24</v>
      </c>
      <c r="C4282" s="141" t="s">
        <v>621</v>
      </c>
      <c r="D4282" s="140" t="s">
        <v>622</v>
      </c>
      <c r="E4282" s="140">
        <v>1</v>
      </c>
      <c r="F4282" s="142">
        <v>46086.458333333328</v>
      </c>
      <c r="G4282" s="140" t="s">
        <v>845</v>
      </c>
      <c r="H4282" s="140" t="s">
        <v>878</v>
      </c>
    </row>
    <row r="4283" spans="1:8" ht="15.75" customHeight="1">
      <c r="A4283" s="140" t="s">
        <v>85</v>
      </c>
      <c r="B4283" s="140" t="s">
        <v>24</v>
      </c>
      <c r="C4283" s="141" t="s">
        <v>621</v>
      </c>
      <c r="D4283" s="140" t="s">
        <v>622</v>
      </c>
      <c r="E4283" s="140">
        <v>2</v>
      </c>
      <c r="F4283" s="142">
        <v>46098.458333333328</v>
      </c>
      <c r="G4283" s="140" t="s">
        <v>845</v>
      </c>
      <c r="H4283" s="140" t="s">
        <v>878</v>
      </c>
    </row>
    <row r="4284" spans="1:8" ht="15.75" customHeight="1">
      <c r="A4284" s="140" t="s">
        <v>85</v>
      </c>
      <c r="B4284" s="140" t="s">
        <v>24</v>
      </c>
      <c r="C4284" s="141" t="s">
        <v>621</v>
      </c>
      <c r="D4284" s="140" t="s">
        <v>622</v>
      </c>
      <c r="E4284" s="140">
        <v>3</v>
      </c>
      <c r="F4284" s="142">
        <v>46105.458333333328</v>
      </c>
      <c r="G4284" s="140" t="s">
        <v>845</v>
      </c>
      <c r="H4284" s="140" t="s">
        <v>878</v>
      </c>
    </row>
    <row r="4285" spans="1:8" ht="15.75" customHeight="1">
      <c r="A4285" s="140" t="s">
        <v>85</v>
      </c>
      <c r="B4285" s="140" t="s">
        <v>24</v>
      </c>
      <c r="C4285" s="141" t="s">
        <v>621</v>
      </c>
      <c r="D4285" s="140" t="s">
        <v>622</v>
      </c>
      <c r="E4285" s="140">
        <v>4</v>
      </c>
      <c r="F4285" s="142">
        <v>46113.625</v>
      </c>
      <c r="G4285" s="140" t="s">
        <v>845</v>
      </c>
      <c r="H4285" s="140" t="s">
        <v>878</v>
      </c>
    </row>
    <row r="4286" spans="1:8" ht="15.75" customHeight="1">
      <c r="A4286" s="140" t="s">
        <v>85</v>
      </c>
      <c r="B4286" s="140" t="s">
        <v>24</v>
      </c>
      <c r="C4286" s="141" t="s">
        <v>621</v>
      </c>
      <c r="D4286" s="140" t="s">
        <v>622</v>
      </c>
      <c r="E4286" s="140">
        <v>5</v>
      </c>
      <c r="F4286" s="142">
        <v>46120.625</v>
      </c>
      <c r="G4286" s="140" t="s">
        <v>845</v>
      </c>
      <c r="H4286" s="140" t="s">
        <v>878</v>
      </c>
    </row>
    <row r="4287" spans="1:8" ht="15.75" customHeight="1">
      <c r="A4287" s="140" t="s">
        <v>85</v>
      </c>
      <c r="B4287" s="140" t="s">
        <v>24</v>
      </c>
      <c r="C4287" s="141" t="s">
        <v>621</v>
      </c>
      <c r="D4287" s="140" t="s">
        <v>622</v>
      </c>
      <c r="E4287" s="140">
        <v>6</v>
      </c>
      <c r="F4287" s="142">
        <v>46127.625</v>
      </c>
      <c r="G4287" s="140" t="s">
        <v>845</v>
      </c>
      <c r="H4287" s="140" t="s">
        <v>878</v>
      </c>
    </row>
    <row r="4288" spans="1:8" ht="15.75" customHeight="1">
      <c r="A4288" s="140" t="s">
        <v>85</v>
      </c>
      <c r="B4288" s="140" t="s">
        <v>22</v>
      </c>
      <c r="C4288" s="141" t="s">
        <v>621</v>
      </c>
      <c r="D4288" s="140" t="s">
        <v>622</v>
      </c>
      <c r="E4288" s="140">
        <v>1</v>
      </c>
      <c r="F4288" s="142">
        <v>45910.541666666672</v>
      </c>
      <c r="G4288" s="140" t="s">
        <v>845</v>
      </c>
      <c r="H4288" s="140" t="s">
        <v>878</v>
      </c>
    </row>
    <row r="4289" spans="1:8" ht="15.75" customHeight="1">
      <c r="A4289" s="140" t="s">
        <v>85</v>
      </c>
      <c r="B4289" s="140" t="s">
        <v>22</v>
      </c>
      <c r="C4289" s="141" t="s">
        <v>621</v>
      </c>
      <c r="D4289" s="140" t="s">
        <v>622</v>
      </c>
      <c r="E4289" s="140">
        <v>2</v>
      </c>
      <c r="F4289" s="142">
        <v>45916.541666666672</v>
      </c>
      <c r="G4289" s="140" t="s">
        <v>845</v>
      </c>
      <c r="H4289" s="140" t="s">
        <v>878</v>
      </c>
    </row>
    <row r="4290" spans="1:8" ht="15.75" customHeight="1">
      <c r="A4290" s="140" t="s">
        <v>85</v>
      </c>
      <c r="B4290" s="140" t="s">
        <v>22</v>
      </c>
      <c r="C4290" s="141" t="s">
        <v>621</v>
      </c>
      <c r="D4290" s="140" t="s">
        <v>622</v>
      </c>
      <c r="E4290" s="140">
        <v>3</v>
      </c>
      <c r="F4290" s="142">
        <v>45924.541666666672</v>
      </c>
      <c r="G4290" s="140" t="s">
        <v>845</v>
      </c>
      <c r="H4290" s="140" t="s">
        <v>878</v>
      </c>
    </row>
    <row r="4291" spans="1:8" ht="15.75" customHeight="1">
      <c r="A4291" s="140" t="s">
        <v>85</v>
      </c>
      <c r="B4291" s="140" t="s">
        <v>22</v>
      </c>
      <c r="C4291" s="141" t="s">
        <v>621</v>
      </c>
      <c r="D4291" s="140" t="s">
        <v>622</v>
      </c>
      <c r="E4291" s="140">
        <v>4</v>
      </c>
      <c r="F4291" s="142">
        <v>45931.541666666672</v>
      </c>
      <c r="G4291" s="140" t="s">
        <v>845</v>
      </c>
      <c r="H4291" s="140" t="s">
        <v>878</v>
      </c>
    </row>
    <row r="4292" spans="1:8" ht="15.75" customHeight="1">
      <c r="A4292" s="140" t="s">
        <v>85</v>
      </c>
      <c r="B4292" s="140" t="s">
        <v>22</v>
      </c>
      <c r="C4292" s="141" t="s">
        <v>621</v>
      </c>
      <c r="D4292" s="140" t="s">
        <v>622</v>
      </c>
      <c r="E4292" s="140">
        <v>5</v>
      </c>
      <c r="F4292" s="142">
        <v>45938.416666666672</v>
      </c>
      <c r="G4292" s="140" t="s">
        <v>845</v>
      </c>
      <c r="H4292" s="140" t="s">
        <v>878</v>
      </c>
    </row>
    <row r="4293" spans="1:8" ht="15.75" customHeight="1">
      <c r="A4293" s="140" t="s">
        <v>85</v>
      </c>
      <c r="B4293" s="140" t="s">
        <v>22</v>
      </c>
      <c r="C4293" s="141" t="s">
        <v>621</v>
      </c>
      <c r="D4293" s="140" t="s">
        <v>622</v>
      </c>
      <c r="E4293" s="140">
        <v>6</v>
      </c>
      <c r="F4293" s="142">
        <v>45951.416666666672</v>
      </c>
      <c r="G4293" s="140" t="s">
        <v>845</v>
      </c>
      <c r="H4293" s="140" t="s">
        <v>878</v>
      </c>
    </row>
    <row r="4294" spans="1:8" ht="15.75" customHeight="1">
      <c r="A4294" s="140" t="s">
        <v>85</v>
      </c>
      <c r="B4294" s="140" t="s">
        <v>22</v>
      </c>
      <c r="C4294" s="141" t="s">
        <v>621</v>
      </c>
      <c r="D4294" s="140" t="s">
        <v>622</v>
      </c>
      <c r="E4294" s="140">
        <v>7</v>
      </c>
      <c r="F4294" s="142">
        <v>45952.416666666672</v>
      </c>
      <c r="G4294" s="140" t="s">
        <v>845</v>
      </c>
      <c r="H4294" s="140" t="s">
        <v>878</v>
      </c>
    </row>
    <row r="4295" spans="1:8" ht="15.75" customHeight="1">
      <c r="A4295" s="140" t="s">
        <v>85</v>
      </c>
      <c r="B4295" s="140" t="s">
        <v>22</v>
      </c>
      <c r="C4295" s="141" t="s">
        <v>621</v>
      </c>
      <c r="D4295" s="140" t="s">
        <v>622</v>
      </c>
      <c r="E4295" s="140">
        <v>8</v>
      </c>
      <c r="F4295" s="142">
        <v>45959.458333333328</v>
      </c>
      <c r="G4295" s="140" t="s">
        <v>845</v>
      </c>
      <c r="H4295" s="140" t="s">
        <v>878</v>
      </c>
    </row>
    <row r="4296" spans="1:8" ht="15.75" customHeight="1">
      <c r="A4296" s="140" t="s">
        <v>85</v>
      </c>
      <c r="B4296" s="140" t="s">
        <v>22</v>
      </c>
      <c r="C4296" s="141" t="s">
        <v>621</v>
      </c>
      <c r="D4296" s="140" t="s">
        <v>622</v>
      </c>
      <c r="E4296" s="140">
        <v>9</v>
      </c>
      <c r="F4296" s="142">
        <v>45967.458333333328</v>
      </c>
      <c r="G4296" s="140" t="s">
        <v>845</v>
      </c>
      <c r="H4296" s="140" t="s">
        <v>878</v>
      </c>
    </row>
    <row r="4297" spans="1:8" ht="15.75" customHeight="1">
      <c r="A4297" s="140" t="s">
        <v>85</v>
      </c>
      <c r="B4297" s="140" t="s">
        <v>22</v>
      </c>
      <c r="C4297" s="141" t="s">
        <v>621</v>
      </c>
      <c r="D4297" s="140" t="s">
        <v>622</v>
      </c>
      <c r="E4297" s="140">
        <v>10</v>
      </c>
      <c r="F4297" s="142">
        <v>45974.458333333328</v>
      </c>
      <c r="G4297" s="140" t="s">
        <v>843</v>
      </c>
      <c r="H4297" s="140" t="s">
        <v>878</v>
      </c>
    </row>
    <row r="4298" spans="1:8" ht="15.75" customHeight="1">
      <c r="A4298" s="140" t="s">
        <v>85</v>
      </c>
      <c r="B4298" s="140" t="s">
        <v>22</v>
      </c>
      <c r="C4298" s="141" t="s">
        <v>621</v>
      </c>
      <c r="D4298" s="140" t="s">
        <v>622</v>
      </c>
      <c r="E4298" s="140">
        <v>11</v>
      </c>
      <c r="F4298" s="142">
        <v>45981.458333333328</v>
      </c>
      <c r="G4298" s="140" t="s">
        <v>845</v>
      </c>
      <c r="H4298" s="140" t="s">
        <v>878</v>
      </c>
    </row>
    <row r="4299" spans="1:8" ht="15.75" customHeight="1">
      <c r="A4299" s="140" t="s">
        <v>85</v>
      </c>
      <c r="B4299" s="140" t="s">
        <v>22</v>
      </c>
      <c r="C4299" s="141" t="s">
        <v>621</v>
      </c>
      <c r="D4299" s="140" t="s">
        <v>622</v>
      </c>
      <c r="E4299" s="140">
        <v>12</v>
      </c>
      <c r="F4299" s="142">
        <v>45988.458333333328</v>
      </c>
      <c r="G4299" s="140" t="s">
        <v>845</v>
      </c>
      <c r="H4299" s="140" t="s">
        <v>878</v>
      </c>
    </row>
    <row r="4300" spans="1:8" ht="15.75" customHeight="1">
      <c r="A4300" s="140" t="s">
        <v>85</v>
      </c>
      <c r="B4300" s="140" t="s">
        <v>22</v>
      </c>
      <c r="C4300" s="141" t="s">
        <v>621</v>
      </c>
      <c r="D4300" s="140" t="s">
        <v>622</v>
      </c>
      <c r="E4300" s="140">
        <v>13</v>
      </c>
      <c r="F4300" s="142">
        <v>45995.458333333328</v>
      </c>
      <c r="G4300" s="140" t="s">
        <v>845</v>
      </c>
      <c r="H4300" s="140" t="s">
        <v>878</v>
      </c>
    </row>
    <row r="4301" spans="1:8" ht="15.75" customHeight="1">
      <c r="A4301" s="140" t="s">
        <v>85</v>
      </c>
      <c r="B4301" s="140" t="s">
        <v>22</v>
      </c>
      <c r="C4301" s="141" t="s">
        <v>621</v>
      </c>
      <c r="D4301" s="140" t="s">
        <v>622</v>
      </c>
      <c r="E4301" s="140">
        <v>14</v>
      </c>
      <c r="F4301" s="142">
        <v>46007.541666666672</v>
      </c>
      <c r="G4301" s="140" t="s">
        <v>845</v>
      </c>
      <c r="H4301" s="140" t="s">
        <v>878</v>
      </c>
    </row>
    <row r="4302" spans="1:8" ht="15.75" customHeight="1">
      <c r="A4302" s="140" t="s">
        <v>85</v>
      </c>
      <c r="B4302" s="140" t="s">
        <v>22</v>
      </c>
      <c r="C4302" s="141" t="s">
        <v>621</v>
      </c>
      <c r="D4302" s="140" t="s">
        <v>622</v>
      </c>
      <c r="E4302" s="140">
        <v>15</v>
      </c>
      <c r="F4302" s="142">
        <v>46021.458333333328</v>
      </c>
      <c r="G4302" s="140" t="s">
        <v>845</v>
      </c>
      <c r="H4302" s="140" t="s">
        <v>878</v>
      </c>
    </row>
    <row r="4303" spans="1:8" ht="15.75" customHeight="1">
      <c r="A4303" s="140" t="s">
        <v>85</v>
      </c>
      <c r="B4303" s="140" t="s">
        <v>22</v>
      </c>
      <c r="C4303" s="141" t="s">
        <v>621</v>
      </c>
      <c r="D4303" s="140" t="s">
        <v>622</v>
      </c>
      <c r="E4303" s="140">
        <v>16</v>
      </c>
      <c r="F4303" s="142">
        <v>46051.416666666672</v>
      </c>
      <c r="G4303" s="140" t="s">
        <v>845</v>
      </c>
      <c r="H4303" s="140" t="s">
        <v>878</v>
      </c>
    </row>
    <row r="4304" spans="1:8" ht="15.75" customHeight="1">
      <c r="A4304" s="140" t="s">
        <v>85</v>
      </c>
      <c r="B4304" s="140" t="s">
        <v>21</v>
      </c>
      <c r="C4304" s="141" t="s">
        <v>681</v>
      </c>
      <c r="D4304" s="140" t="s">
        <v>682</v>
      </c>
      <c r="E4304" s="140">
        <v>1</v>
      </c>
      <c r="F4304" s="142">
        <v>45764.458333333328</v>
      </c>
      <c r="G4304" s="140" t="s">
        <v>845</v>
      </c>
      <c r="H4304" s="140" t="s">
        <v>878</v>
      </c>
    </row>
    <row r="4305" spans="1:8" ht="15.75" customHeight="1">
      <c r="A4305" s="140" t="s">
        <v>85</v>
      </c>
      <c r="B4305" s="140" t="s">
        <v>21</v>
      </c>
      <c r="C4305" s="141" t="s">
        <v>681</v>
      </c>
      <c r="D4305" s="140" t="s">
        <v>682</v>
      </c>
      <c r="E4305" s="140">
        <v>2</v>
      </c>
      <c r="F4305" s="142">
        <v>45783.583333333328</v>
      </c>
      <c r="G4305" s="140" t="s">
        <v>845</v>
      </c>
      <c r="H4305" s="140" t="s">
        <v>878</v>
      </c>
    </row>
    <row r="4306" spans="1:8" ht="15.75" customHeight="1">
      <c r="A4306" s="140" t="s">
        <v>85</v>
      </c>
      <c r="B4306" s="140" t="s">
        <v>21</v>
      </c>
      <c r="C4306" s="141" t="s">
        <v>681</v>
      </c>
      <c r="D4306" s="140" t="s">
        <v>682</v>
      </c>
      <c r="E4306" s="140">
        <v>3</v>
      </c>
      <c r="F4306" s="142">
        <v>45790.375</v>
      </c>
      <c r="G4306" s="140" t="s">
        <v>845</v>
      </c>
      <c r="H4306" s="140" t="s">
        <v>878</v>
      </c>
    </row>
    <row r="4307" spans="1:8" ht="15.75" customHeight="1">
      <c r="A4307" s="140" t="s">
        <v>85</v>
      </c>
      <c r="B4307" s="140" t="s">
        <v>21</v>
      </c>
      <c r="C4307" s="141" t="s">
        <v>681</v>
      </c>
      <c r="D4307" s="140" t="s">
        <v>682</v>
      </c>
      <c r="E4307" s="140">
        <v>4</v>
      </c>
      <c r="F4307" s="142">
        <v>45804.458333333328</v>
      </c>
      <c r="G4307" s="140" t="s">
        <v>845</v>
      </c>
      <c r="H4307" s="140" t="s">
        <v>878</v>
      </c>
    </row>
    <row r="4308" spans="1:8" ht="15.75" customHeight="1">
      <c r="A4308" s="140" t="s">
        <v>85</v>
      </c>
      <c r="B4308" s="140" t="s">
        <v>21</v>
      </c>
      <c r="C4308" s="141" t="s">
        <v>681</v>
      </c>
      <c r="D4308" s="140" t="s">
        <v>682</v>
      </c>
      <c r="E4308" s="140">
        <v>5</v>
      </c>
      <c r="F4308" s="142">
        <v>45812.541666666672</v>
      </c>
      <c r="G4308" s="140" t="s">
        <v>845</v>
      </c>
      <c r="H4308" s="140" t="s">
        <v>878</v>
      </c>
    </row>
    <row r="4309" spans="1:8" ht="15.75" customHeight="1">
      <c r="A4309" s="140" t="s">
        <v>85</v>
      </c>
      <c r="B4309" s="140" t="s">
        <v>21</v>
      </c>
      <c r="C4309" s="141" t="s">
        <v>681</v>
      </c>
      <c r="D4309" s="140" t="s">
        <v>682</v>
      </c>
      <c r="E4309" s="140">
        <v>6</v>
      </c>
      <c r="F4309" s="142">
        <v>45820.541666666672</v>
      </c>
      <c r="G4309" s="140" t="s">
        <v>845</v>
      </c>
      <c r="H4309" s="140" t="s">
        <v>878</v>
      </c>
    </row>
    <row r="4310" spans="1:8" ht="15.75" customHeight="1">
      <c r="A4310" s="140" t="s">
        <v>85</v>
      </c>
      <c r="B4310" s="140" t="s">
        <v>21</v>
      </c>
      <c r="C4310" s="141" t="s">
        <v>681</v>
      </c>
      <c r="D4310" s="140" t="s">
        <v>682</v>
      </c>
      <c r="E4310" s="140">
        <v>7</v>
      </c>
      <c r="F4310" s="142">
        <v>45826.458333333328</v>
      </c>
      <c r="G4310" s="140" t="s">
        <v>845</v>
      </c>
      <c r="H4310" s="140" t="s">
        <v>878</v>
      </c>
    </row>
    <row r="4311" spans="1:8" ht="15.75" customHeight="1">
      <c r="A4311" s="140" t="s">
        <v>85</v>
      </c>
      <c r="B4311" s="140" t="s">
        <v>21</v>
      </c>
      <c r="C4311" s="141" t="s">
        <v>681</v>
      </c>
      <c r="D4311" s="140" t="s">
        <v>682</v>
      </c>
      <c r="E4311" s="140">
        <v>8</v>
      </c>
      <c r="F4311" s="142">
        <v>45833.583333333328</v>
      </c>
      <c r="G4311" s="140" t="s">
        <v>845</v>
      </c>
      <c r="H4311" s="140" t="s">
        <v>878</v>
      </c>
    </row>
    <row r="4312" spans="1:8" ht="15.75" customHeight="1">
      <c r="A4312" s="140" t="s">
        <v>85</v>
      </c>
      <c r="B4312" s="140" t="s">
        <v>21</v>
      </c>
      <c r="C4312" s="141" t="s">
        <v>681</v>
      </c>
      <c r="D4312" s="140" t="s">
        <v>682</v>
      </c>
      <c r="E4312" s="140">
        <v>9</v>
      </c>
      <c r="F4312" s="142">
        <v>45839.541666666672</v>
      </c>
      <c r="G4312" s="140" t="s">
        <v>845</v>
      </c>
      <c r="H4312" s="140" t="s">
        <v>878</v>
      </c>
    </row>
    <row r="4313" spans="1:8" ht="15.75" customHeight="1">
      <c r="A4313" s="140" t="s">
        <v>85</v>
      </c>
      <c r="B4313" s="140" t="s">
        <v>21</v>
      </c>
      <c r="C4313" s="141" t="s">
        <v>681</v>
      </c>
      <c r="D4313" s="140" t="s">
        <v>682</v>
      </c>
      <c r="E4313" s="140">
        <v>10</v>
      </c>
      <c r="F4313" s="142">
        <v>45868.541666666672</v>
      </c>
      <c r="G4313" s="140" t="s">
        <v>845</v>
      </c>
      <c r="H4313" s="140" t="s">
        <v>878</v>
      </c>
    </row>
    <row r="4314" spans="1:8" ht="15.75" customHeight="1">
      <c r="A4314" s="140" t="s">
        <v>85</v>
      </c>
      <c r="B4314" s="140" t="s">
        <v>21</v>
      </c>
      <c r="C4314" s="141" t="s">
        <v>719</v>
      </c>
      <c r="D4314" s="140" t="s">
        <v>720</v>
      </c>
      <c r="E4314" s="140">
        <v>1</v>
      </c>
      <c r="F4314" s="142">
        <v>45772.583333333328</v>
      </c>
      <c r="G4314" s="140" t="s">
        <v>843</v>
      </c>
      <c r="H4314" s="140" t="s">
        <v>878</v>
      </c>
    </row>
    <row r="4315" spans="1:8" ht="15.75" customHeight="1">
      <c r="A4315" s="140" t="s">
        <v>85</v>
      </c>
      <c r="B4315" s="140" t="s">
        <v>21</v>
      </c>
      <c r="C4315" s="141" t="s">
        <v>719</v>
      </c>
      <c r="D4315" s="140" t="s">
        <v>720</v>
      </c>
      <c r="E4315" s="140">
        <v>2</v>
      </c>
      <c r="F4315" s="142">
        <v>45783.583333333328</v>
      </c>
      <c r="G4315" s="140" t="s">
        <v>845</v>
      </c>
      <c r="H4315" s="140" t="s">
        <v>878</v>
      </c>
    </row>
    <row r="4316" spans="1:8" ht="15.75" customHeight="1">
      <c r="A4316" s="140" t="s">
        <v>85</v>
      </c>
      <c r="B4316" s="140" t="s">
        <v>21</v>
      </c>
      <c r="C4316" s="141" t="s">
        <v>719</v>
      </c>
      <c r="D4316" s="140" t="s">
        <v>720</v>
      </c>
      <c r="E4316" s="140">
        <v>3</v>
      </c>
      <c r="F4316" s="142">
        <v>45790.375</v>
      </c>
      <c r="G4316" s="140" t="s">
        <v>845</v>
      </c>
      <c r="H4316" s="140" t="s">
        <v>878</v>
      </c>
    </row>
    <row r="4317" spans="1:8" ht="15.75" customHeight="1">
      <c r="A4317" s="140" t="s">
        <v>85</v>
      </c>
      <c r="B4317" s="140" t="s">
        <v>21</v>
      </c>
      <c r="C4317" s="141" t="s">
        <v>719</v>
      </c>
      <c r="D4317" s="140" t="s">
        <v>720</v>
      </c>
      <c r="E4317" s="140">
        <v>4</v>
      </c>
      <c r="F4317" s="142">
        <v>45804.458333333328</v>
      </c>
      <c r="G4317" s="140" t="s">
        <v>845</v>
      </c>
      <c r="H4317" s="140" t="s">
        <v>878</v>
      </c>
    </row>
    <row r="4318" spans="1:8" ht="15.75" customHeight="1">
      <c r="A4318" s="140" t="s">
        <v>85</v>
      </c>
      <c r="B4318" s="140" t="s">
        <v>21</v>
      </c>
      <c r="C4318" s="141" t="s">
        <v>719</v>
      </c>
      <c r="D4318" s="140" t="s">
        <v>720</v>
      </c>
      <c r="E4318" s="140">
        <v>5</v>
      </c>
      <c r="F4318" s="142">
        <v>45812.541666666672</v>
      </c>
      <c r="G4318" s="140" t="s">
        <v>845</v>
      </c>
      <c r="H4318" s="140" t="s">
        <v>878</v>
      </c>
    </row>
    <row r="4319" spans="1:8" ht="15.75" customHeight="1">
      <c r="A4319" s="140" t="s">
        <v>85</v>
      </c>
      <c r="B4319" s="140" t="s">
        <v>21</v>
      </c>
      <c r="C4319" s="141" t="s">
        <v>719</v>
      </c>
      <c r="D4319" s="140" t="s">
        <v>720</v>
      </c>
      <c r="E4319" s="140">
        <v>6</v>
      </c>
      <c r="F4319" s="142">
        <v>45820.541666666672</v>
      </c>
      <c r="G4319" s="140" t="s">
        <v>845</v>
      </c>
      <c r="H4319" s="140" t="s">
        <v>878</v>
      </c>
    </row>
    <row r="4320" spans="1:8" ht="15.75" customHeight="1">
      <c r="A4320" s="140" t="s">
        <v>85</v>
      </c>
      <c r="B4320" s="140" t="s">
        <v>21</v>
      </c>
      <c r="C4320" s="141" t="s">
        <v>719</v>
      </c>
      <c r="D4320" s="140" t="s">
        <v>720</v>
      </c>
      <c r="E4320" s="140">
        <v>7</v>
      </c>
      <c r="F4320" s="142">
        <v>45826.458333333328</v>
      </c>
      <c r="G4320" s="140" t="s">
        <v>845</v>
      </c>
      <c r="H4320" s="140" t="s">
        <v>878</v>
      </c>
    </row>
    <row r="4321" spans="1:8" ht="15.75" customHeight="1">
      <c r="A4321" s="140" t="s">
        <v>85</v>
      </c>
      <c r="B4321" s="140" t="s">
        <v>21</v>
      </c>
      <c r="C4321" s="141" t="s">
        <v>719</v>
      </c>
      <c r="D4321" s="140" t="s">
        <v>720</v>
      </c>
      <c r="E4321" s="140">
        <v>8</v>
      </c>
      <c r="F4321" s="142">
        <v>45833.583333333328</v>
      </c>
      <c r="G4321" s="140" t="s">
        <v>845</v>
      </c>
      <c r="H4321" s="140" t="s">
        <v>878</v>
      </c>
    </row>
    <row r="4322" spans="1:8" ht="15.75" customHeight="1">
      <c r="A4322" s="140" t="s">
        <v>85</v>
      </c>
      <c r="B4322" s="140" t="s">
        <v>21</v>
      </c>
      <c r="C4322" s="141" t="s">
        <v>719</v>
      </c>
      <c r="D4322" s="140" t="s">
        <v>720</v>
      </c>
      <c r="E4322" s="140">
        <v>9</v>
      </c>
      <c r="F4322" s="142">
        <v>45839.541666666672</v>
      </c>
      <c r="G4322" s="140" t="s">
        <v>845</v>
      </c>
      <c r="H4322" s="140" t="s">
        <v>878</v>
      </c>
    </row>
    <row r="4323" spans="1:8" ht="15.75" customHeight="1">
      <c r="A4323" s="140" t="s">
        <v>85</v>
      </c>
      <c r="B4323" s="140" t="s">
        <v>21</v>
      </c>
      <c r="C4323" s="141" t="s">
        <v>719</v>
      </c>
      <c r="D4323" s="140" t="s">
        <v>720</v>
      </c>
      <c r="E4323" s="140">
        <v>10</v>
      </c>
      <c r="F4323" s="142">
        <v>45868.541666666672</v>
      </c>
      <c r="G4323" s="140" t="s">
        <v>845</v>
      </c>
      <c r="H4323" s="140" t="s">
        <v>878</v>
      </c>
    </row>
    <row r="4324" spans="1:8" ht="15.75" customHeight="1">
      <c r="A4324" s="140" t="s">
        <v>85</v>
      </c>
      <c r="B4324" s="140" t="s">
        <v>22</v>
      </c>
      <c r="C4324" s="141" t="s">
        <v>719</v>
      </c>
      <c r="D4324" s="140" t="s">
        <v>720</v>
      </c>
      <c r="E4324" s="140">
        <v>1</v>
      </c>
      <c r="F4324" s="142">
        <v>45910.541666666672</v>
      </c>
      <c r="G4324" s="140" t="s">
        <v>845</v>
      </c>
      <c r="H4324" s="140" t="s">
        <v>878</v>
      </c>
    </row>
    <row r="4325" spans="1:8" ht="15.75" customHeight="1">
      <c r="A4325" s="140" t="s">
        <v>85</v>
      </c>
      <c r="B4325" s="140" t="s">
        <v>22</v>
      </c>
      <c r="C4325" s="141" t="s">
        <v>719</v>
      </c>
      <c r="D4325" s="140" t="s">
        <v>720</v>
      </c>
      <c r="E4325" s="140">
        <v>3</v>
      </c>
      <c r="F4325" s="142">
        <v>45924.541666666672</v>
      </c>
      <c r="G4325" s="140" t="s">
        <v>845</v>
      </c>
      <c r="H4325" s="140" t="s">
        <v>878</v>
      </c>
    </row>
    <row r="4326" spans="1:8" ht="15.75" customHeight="1">
      <c r="A4326" s="140" t="s">
        <v>85</v>
      </c>
      <c r="B4326" s="140" t="s">
        <v>22</v>
      </c>
      <c r="C4326" s="141" t="s">
        <v>719</v>
      </c>
      <c r="D4326" s="140" t="s">
        <v>720</v>
      </c>
      <c r="E4326" s="140">
        <v>4</v>
      </c>
      <c r="F4326" s="142">
        <v>45931.541666666672</v>
      </c>
      <c r="G4326" s="140" t="s">
        <v>845</v>
      </c>
      <c r="H4326" s="140" t="s">
        <v>878</v>
      </c>
    </row>
    <row r="4327" spans="1:8" ht="15.75" customHeight="1">
      <c r="A4327" s="140" t="s">
        <v>85</v>
      </c>
      <c r="B4327" s="140" t="s">
        <v>22</v>
      </c>
      <c r="C4327" s="141" t="s">
        <v>719</v>
      </c>
      <c r="D4327" s="140" t="s">
        <v>720</v>
      </c>
      <c r="E4327" s="140">
        <v>5</v>
      </c>
      <c r="F4327" s="142">
        <v>45938.416666666672</v>
      </c>
      <c r="G4327" s="140" t="s">
        <v>845</v>
      </c>
      <c r="H4327" s="140" t="s">
        <v>878</v>
      </c>
    </row>
    <row r="4328" spans="1:8" ht="15.75" customHeight="1">
      <c r="A4328" s="140" t="s">
        <v>85</v>
      </c>
      <c r="B4328" s="140" t="s">
        <v>22</v>
      </c>
      <c r="C4328" s="141" t="s">
        <v>719</v>
      </c>
      <c r="D4328" s="140" t="s">
        <v>720</v>
      </c>
      <c r="E4328" s="140">
        <v>6</v>
      </c>
      <c r="F4328" s="142">
        <v>45951.416666666672</v>
      </c>
      <c r="G4328" s="140" t="s">
        <v>845</v>
      </c>
      <c r="H4328" s="140" t="s">
        <v>878</v>
      </c>
    </row>
    <row r="4329" spans="1:8" ht="15.75" customHeight="1">
      <c r="A4329" s="140" t="s">
        <v>85</v>
      </c>
      <c r="B4329" s="140" t="s">
        <v>22</v>
      </c>
      <c r="C4329" s="141" t="s">
        <v>719</v>
      </c>
      <c r="D4329" s="140" t="s">
        <v>720</v>
      </c>
      <c r="E4329" s="140">
        <v>7</v>
      </c>
      <c r="F4329" s="142">
        <v>45952.416666666672</v>
      </c>
      <c r="G4329" s="140" t="s">
        <v>845</v>
      </c>
      <c r="H4329" s="140" t="s">
        <v>878</v>
      </c>
    </row>
    <row r="4330" spans="1:8" ht="15.75" customHeight="1">
      <c r="A4330" s="140" t="s">
        <v>85</v>
      </c>
      <c r="B4330" s="140" t="s">
        <v>22</v>
      </c>
      <c r="C4330" s="141" t="s">
        <v>719</v>
      </c>
      <c r="D4330" s="140" t="s">
        <v>720</v>
      </c>
      <c r="E4330" s="140">
        <v>8</v>
      </c>
      <c r="F4330" s="142">
        <v>45959.458333333328</v>
      </c>
      <c r="G4330" s="140" t="s">
        <v>845</v>
      </c>
      <c r="H4330" s="140" t="s">
        <v>878</v>
      </c>
    </row>
    <row r="4331" spans="1:8" ht="15.75" customHeight="1">
      <c r="A4331" s="140" t="s">
        <v>85</v>
      </c>
      <c r="B4331" s="140" t="s">
        <v>22</v>
      </c>
      <c r="C4331" s="141" t="s">
        <v>719</v>
      </c>
      <c r="D4331" s="140" t="s">
        <v>720</v>
      </c>
      <c r="E4331" s="140">
        <v>9</v>
      </c>
      <c r="F4331" s="142">
        <v>45967.458333333328</v>
      </c>
      <c r="G4331" s="140" t="s">
        <v>845</v>
      </c>
      <c r="H4331" s="140" t="s">
        <v>878</v>
      </c>
    </row>
    <row r="4332" spans="1:8" ht="15.75" customHeight="1">
      <c r="A4332" s="140" t="s">
        <v>85</v>
      </c>
      <c r="B4332" s="140" t="s">
        <v>22</v>
      </c>
      <c r="C4332" s="141" t="s">
        <v>719</v>
      </c>
      <c r="D4332" s="140" t="s">
        <v>720</v>
      </c>
      <c r="E4332" s="140">
        <v>10</v>
      </c>
      <c r="F4332" s="142">
        <v>45974.458333333328</v>
      </c>
      <c r="G4332" s="140" t="s">
        <v>845</v>
      </c>
      <c r="H4332" s="140" t="s">
        <v>878</v>
      </c>
    </row>
    <row r="4333" spans="1:8" ht="15.75" customHeight="1">
      <c r="A4333" s="140" t="s">
        <v>85</v>
      </c>
      <c r="B4333" s="140" t="s">
        <v>22</v>
      </c>
      <c r="C4333" s="141" t="s">
        <v>719</v>
      </c>
      <c r="D4333" s="140" t="s">
        <v>720</v>
      </c>
      <c r="E4333" s="140">
        <v>11</v>
      </c>
      <c r="F4333" s="142">
        <v>45981.458333333328</v>
      </c>
      <c r="G4333" s="140" t="s">
        <v>845</v>
      </c>
      <c r="H4333" s="140" t="s">
        <v>878</v>
      </c>
    </row>
    <row r="4334" spans="1:8" ht="15.75" customHeight="1">
      <c r="A4334" s="140" t="s">
        <v>85</v>
      </c>
      <c r="B4334" s="140" t="s">
        <v>22</v>
      </c>
      <c r="C4334" s="141" t="s">
        <v>719</v>
      </c>
      <c r="D4334" s="140" t="s">
        <v>720</v>
      </c>
      <c r="E4334" s="140">
        <v>12</v>
      </c>
      <c r="F4334" s="142">
        <v>45988.458333333328</v>
      </c>
      <c r="G4334" s="140" t="s">
        <v>845</v>
      </c>
      <c r="H4334" s="140" t="s">
        <v>878</v>
      </c>
    </row>
    <row r="4335" spans="1:8" ht="15.75" customHeight="1">
      <c r="A4335" s="140" t="s">
        <v>85</v>
      </c>
      <c r="B4335" s="140" t="s">
        <v>22</v>
      </c>
      <c r="C4335" s="141" t="s">
        <v>719</v>
      </c>
      <c r="D4335" s="140" t="s">
        <v>720</v>
      </c>
      <c r="E4335" s="140">
        <v>13</v>
      </c>
      <c r="F4335" s="142">
        <v>45995.458333333328</v>
      </c>
      <c r="G4335" s="140" t="s">
        <v>845</v>
      </c>
      <c r="H4335" s="140" t="s">
        <v>878</v>
      </c>
    </row>
    <row r="4336" spans="1:8" ht="15.75" customHeight="1">
      <c r="A4336" s="140" t="s">
        <v>85</v>
      </c>
      <c r="B4336" s="140" t="s">
        <v>22</v>
      </c>
      <c r="C4336" s="141" t="s">
        <v>719</v>
      </c>
      <c r="D4336" s="140" t="s">
        <v>720</v>
      </c>
      <c r="E4336" s="140">
        <v>14</v>
      </c>
      <c r="F4336" s="142">
        <v>46007.541666666672</v>
      </c>
      <c r="G4336" s="140" t="s">
        <v>845</v>
      </c>
      <c r="H4336" s="140" t="s">
        <v>878</v>
      </c>
    </row>
    <row r="4337" spans="1:8" ht="15.75" customHeight="1">
      <c r="A4337" s="140" t="s">
        <v>85</v>
      </c>
      <c r="B4337" s="140" t="s">
        <v>22</v>
      </c>
      <c r="C4337" s="141" t="s">
        <v>719</v>
      </c>
      <c r="D4337" s="140" t="s">
        <v>720</v>
      </c>
      <c r="E4337" s="140">
        <v>15</v>
      </c>
      <c r="F4337" s="142">
        <v>46021.458333333328</v>
      </c>
      <c r="G4337" s="140" t="s">
        <v>845</v>
      </c>
      <c r="H4337" s="140" t="s">
        <v>878</v>
      </c>
    </row>
    <row r="4338" spans="1:8" ht="15.75" customHeight="1">
      <c r="A4338" s="140" t="s">
        <v>85</v>
      </c>
      <c r="B4338" s="140" t="s">
        <v>22</v>
      </c>
      <c r="C4338" s="141" t="s">
        <v>719</v>
      </c>
      <c r="D4338" s="140" t="s">
        <v>720</v>
      </c>
      <c r="E4338" s="140">
        <v>16</v>
      </c>
      <c r="F4338" s="142">
        <v>46051.416666666672</v>
      </c>
      <c r="G4338" s="140" t="s">
        <v>845</v>
      </c>
      <c r="H4338" s="140" t="s">
        <v>878</v>
      </c>
    </row>
    <row r="4339" spans="1:8" ht="15.75" customHeight="1">
      <c r="A4339" s="140" t="s">
        <v>86</v>
      </c>
      <c r="B4339" s="140" t="s">
        <v>25</v>
      </c>
      <c r="C4339" s="141" t="s">
        <v>153</v>
      </c>
      <c r="D4339" s="140" t="s">
        <v>154</v>
      </c>
      <c r="E4339" s="140">
        <v>1</v>
      </c>
      <c r="F4339" s="142">
        <v>45805.375</v>
      </c>
      <c r="G4339" s="140" t="s">
        <v>845</v>
      </c>
      <c r="H4339" s="140" t="s">
        <v>879</v>
      </c>
    </row>
    <row r="4340" spans="1:8" ht="15.75" customHeight="1">
      <c r="A4340" s="140" t="s">
        <v>86</v>
      </c>
      <c r="B4340" s="140" t="s">
        <v>25</v>
      </c>
      <c r="C4340" s="141" t="s">
        <v>153</v>
      </c>
      <c r="D4340" s="140" t="s">
        <v>154</v>
      </c>
      <c r="E4340" s="140">
        <v>2</v>
      </c>
      <c r="F4340" s="142">
        <v>45811.416666666672</v>
      </c>
      <c r="G4340" s="140" t="s">
        <v>845</v>
      </c>
      <c r="H4340" s="140" t="s">
        <v>879</v>
      </c>
    </row>
    <row r="4341" spans="1:8" ht="15.75" customHeight="1">
      <c r="A4341" s="140" t="s">
        <v>86</v>
      </c>
      <c r="B4341" s="140" t="s">
        <v>25</v>
      </c>
      <c r="C4341" s="141" t="s">
        <v>153</v>
      </c>
      <c r="D4341" s="140" t="s">
        <v>154</v>
      </c>
      <c r="E4341" s="140">
        <v>3</v>
      </c>
      <c r="F4341" s="142">
        <v>45818.416666666672</v>
      </c>
      <c r="G4341" s="140" t="s">
        <v>845</v>
      </c>
      <c r="H4341" s="140" t="s">
        <v>879</v>
      </c>
    </row>
    <row r="4342" spans="1:8" ht="15.75" customHeight="1">
      <c r="A4342" s="140" t="s">
        <v>86</v>
      </c>
      <c r="B4342" s="140" t="s">
        <v>25</v>
      </c>
      <c r="C4342" s="141" t="s">
        <v>153</v>
      </c>
      <c r="D4342" s="140" t="s">
        <v>154</v>
      </c>
      <c r="E4342" s="140">
        <v>4</v>
      </c>
      <c r="F4342" s="142">
        <v>45825.416666666672</v>
      </c>
      <c r="G4342" s="140" t="s">
        <v>845</v>
      </c>
      <c r="H4342" s="140" t="s">
        <v>879</v>
      </c>
    </row>
    <row r="4343" spans="1:8" ht="15.75" customHeight="1">
      <c r="A4343" s="140" t="s">
        <v>86</v>
      </c>
      <c r="B4343" s="140" t="s">
        <v>25</v>
      </c>
      <c r="C4343" s="141" t="s">
        <v>153</v>
      </c>
      <c r="D4343" s="140" t="s">
        <v>154</v>
      </c>
      <c r="E4343" s="140">
        <v>5</v>
      </c>
      <c r="F4343" s="142">
        <v>45839.416666666672</v>
      </c>
      <c r="G4343" s="140" t="s">
        <v>845</v>
      </c>
      <c r="H4343" s="140" t="s">
        <v>879</v>
      </c>
    </row>
    <row r="4344" spans="1:8" ht="15.75" customHeight="1">
      <c r="A4344" s="140" t="s">
        <v>86</v>
      </c>
      <c r="B4344" s="140" t="s">
        <v>25</v>
      </c>
      <c r="C4344" s="141" t="s">
        <v>153</v>
      </c>
      <c r="D4344" s="140" t="s">
        <v>154</v>
      </c>
      <c r="E4344" s="140">
        <v>6</v>
      </c>
      <c r="F4344" s="142">
        <v>45846.416666666672</v>
      </c>
      <c r="G4344" s="140" t="s">
        <v>845</v>
      </c>
      <c r="H4344" s="140" t="s">
        <v>879</v>
      </c>
    </row>
    <row r="4345" spans="1:8" ht="15.75" customHeight="1">
      <c r="A4345" s="140" t="s">
        <v>86</v>
      </c>
      <c r="B4345" s="140" t="s">
        <v>25</v>
      </c>
      <c r="C4345" s="141" t="s">
        <v>153</v>
      </c>
      <c r="D4345" s="140" t="s">
        <v>154</v>
      </c>
      <c r="E4345" s="140">
        <v>7</v>
      </c>
      <c r="F4345" s="142">
        <v>45855.416666666672</v>
      </c>
      <c r="G4345" s="140" t="s">
        <v>845</v>
      </c>
      <c r="H4345" s="140" t="s">
        <v>879</v>
      </c>
    </row>
    <row r="4346" spans="1:8" ht="15.75" customHeight="1">
      <c r="A4346" s="140" t="s">
        <v>86</v>
      </c>
      <c r="B4346" s="140" t="s">
        <v>25</v>
      </c>
      <c r="C4346" s="141" t="s">
        <v>153</v>
      </c>
      <c r="D4346" s="140" t="s">
        <v>154</v>
      </c>
      <c r="E4346" s="140">
        <v>8</v>
      </c>
      <c r="F4346" s="142">
        <v>45860.625</v>
      </c>
      <c r="G4346" s="140" t="s">
        <v>845</v>
      </c>
      <c r="H4346" s="140" t="s">
        <v>879</v>
      </c>
    </row>
    <row r="4347" spans="1:8" ht="15.75" customHeight="1">
      <c r="A4347" s="140" t="s">
        <v>86</v>
      </c>
      <c r="B4347" s="140" t="s">
        <v>25</v>
      </c>
      <c r="C4347" s="141" t="s">
        <v>153</v>
      </c>
      <c r="D4347" s="140" t="s">
        <v>154</v>
      </c>
      <c r="E4347" s="140">
        <v>9</v>
      </c>
      <c r="F4347" s="142">
        <v>45869.458333333328</v>
      </c>
      <c r="G4347" s="140" t="s">
        <v>845</v>
      </c>
      <c r="H4347" s="140" t="s">
        <v>879</v>
      </c>
    </row>
    <row r="4348" spans="1:8" ht="15.75" customHeight="1">
      <c r="A4348" s="140" t="s">
        <v>86</v>
      </c>
      <c r="B4348" s="140" t="s">
        <v>25</v>
      </c>
      <c r="C4348" s="141" t="s">
        <v>153</v>
      </c>
      <c r="D4348" s="140" t="s">
        <v>154</v>
      </c>
      <c r="E4348" s="140">
        <v>10</v>
      </c>
      <c r="F4348" s="142">
        <v>45881.5</v>
      </c>
      <c r="G4348" s="140" t="s">
        <v>845</v>
      </c>
      <c r="H4348" s="140" t="s">
        <v>879</v>
      </c>
    </row>
    <row r="4349" spans="1:8" ht="15.75" customHeight="1">
      <c r="A4349" s="140" t="s">
        <v>86</v>
      </c>
      <c r="B4349" s="140" t="s">
        <v>25</v>
      </c>
      <c r="C4349" s="141" t="s">
        <v>153</v>
      </c>
      <c r="D4349" s="140" t="s">
        <v>154</v>
      </c>
      <c r="E4349" s="140">
        <v>11</v>
      </c>
      <c r="F4349" s="142">
        <v>45888.541666666672</v>
      </c>
      <c r="G4349" s="140" t="s">
        <v>845</v>
      </c>
      <c r="H4349" s="140" t="s">
        <v>879</v>
      </c>
    </row>
    <row r="4350" spans="1:8" ht="15.75" customHeight="1">
      <c r="A4350" s="140" t="s">
        <v>86</v>
      </c>
      <c r="B4350" s="140" t="s">
        <v>25</v>
      </c>
      <c r="C4350" s="141" t="s">
        <v>153</v>
      </c>
      <c r="D4350" s="140" t="s">
        <v>154</v>
      </c>
      <c r="E4350" s="140">
        <v>12</v>
      </c>
      <c r="F4350" s="142">
        <v>45897.458333333328</v>
      </c>
      <c r="G4350" s="140" t="s">
        <v>845</v>
      </c>
      <c r="H4350" s="140" t="s">
        <v>879</v>
      </c>
    </row>
    <row r="4351" spans="1:8" ht="15.75" customHeight="1">
      <c r="A4351" s="140" t="s">
        <v>86</v>
      </c>
      <c r="B4351" s="140" t="s">
        <v>25</v>
      </c>
      <c r="C4351" s="141" t="s">
        <v>153</v>
      </c>
      <c r="D4351" s="140" t="s">
        <v>154</v>
      </c>
      <c r="E4351" s="140">
        <v>13</v>
      </c>
      <c r="F4351" s="142">
        <v>45909.416666666672</v>
      </c>
      <c r="G4351" s="140" t="s">
        <v>845</v>
      </c>
      <c r="H4351" s="140" t="s">
        <v>879</v>
      </c>
    </row>
    <row r="4352" spans="1:8" ht="15.75" customHeight="1">
      <c r="A4352" s="140" t="s">
        <v>86</v>
      </c>
      <c r="B4352" s="140" t="s">
        <v>25</v>
      </c>
      <c r="C4352" s="141" t="s">
        <v>153</v>
      </c>
      <c r="D4352" s="140" t="s">
        <v>154</v>
      </c>
      <c r="E4352" s="140">
        <v>14</v>
      </c>
      <c r="F4352" s="142">
        <v>45923.416666666672</v>
      </c>
      <c r="G4352" s="140" t="s">
        <v>845</v>
      </c>
      <c r="H4352" s="140" t="s">
        <v>879</v>
      </c>
    </row>
    <row r="4353" spans="1:8" ht="15.75" customHeight="1">
      <c r="A4353" s="140" t="s">
        <v>86</v>
      </c>
      <c r="B4353" s="140" t="s">
        <v>25</v>
      </c>
      <c r="C4353" s="141" t="s">
        <v>153</v>
      </c>
      <c r="D4353" s="140" t="s">
        <v>154</v>
      </c>
      <c r="E4353" s="140">
        <v>15</v>
      </c>
      <c r="F4353" s="142">
        <v>45925.625</v>
      </c>
      <c r="G4353" s="140" t="s">
        <v>845</v>
      </c>
      <c r="H4353" s="140" t="s">
        <v>879</v>
      </c>
    </row>
    <row r="4354" spans="1:8" ht="15.75" customHeight="1">
      <c r="A4354" s="140" t="s">
        <v>86</v>
      </c>
      <c r="B4354" s="140" t="s">
        <v>21</v>
      </c>
      <c r="C4354" s="141" t="s">
        <v>277</v>
      </c>
      <c r="D4354" s="140" t="s">
        <v>278</v>
      </c>
      <c r="E4354" s="140">
        <v>2</v>
      </c>
      <c r="F4354" s="142">
        <v>45930.416666666672</v>
      </c>
      <c r="G4354" s="140" t="s">
        <v>845</v>
      </c>
      <c r="H4354" s="140" t="s">
        <v>879</v>
      </c>
    </row>
    <row r="4355" spans="1:8" ht="15.75" customHeight="1">
      <c r="A4355" s="140" t="s">
        <v>86</v>
      </c>
      <c r="B4355" s="140" t="s">
        <v>21</v>
      </c>
      <c r="C4355" s="141" t="s">
        <v>277</v>
      </c>
      <c r="D4355" s="140" t="s">
        <v>278</v>
      </c>
      <c r="E4355" s="140">
        <v>3</v>
      </c>
      <c r="F4355" s="142">
        <v>45932.583333333328</v>
      </c>
      <c r="G4355" s="140" t="s">
        <v>845</v>
      </c>
      <c r="H4355" s="140" t="s">
        <v>879</v>
      </c>
    </row>
    <row r="4356" spans="1:8" ht="15.75" customHeight="1">
      <c r="A4356" s="140" t="s">
        <v>86</v>
      </c>
      <c r="B4356" s="140" t="s">
        <v>21</v>
      </c>
      <c r="C4356" s="141" t="s">
        <v>277</v>
      </c>
      <c r="D4356" s="140" t="s">
        <v>278</v>
      </c>
      <c r="E4356" s="140">
        <v>4</v>
      </c>
      <c r="F4356" s="142">
        <v>45937.416666666672</v>
      </c>
      <c r="G4356" s="140" t="s">
        <v>845</v>
      </c>
      <c r="H4356" s="140" t="s">
        <v>879</v>
      </c>
    </row>
    <row r="4357" spans="1:8" ht="15.75" customHeight="1">
      <c r="A4357" s="140" t="s">
        <v>86</v>
      </c>
      <c r="B4357" s="140" t="s">
        <v>21</v>
      </c>
      <c r="C4357" s="141" t="s">
        <v>277</v>
      </c>
      <c r="D4357" s="140" t="s">
        <v>278</v>
      </c>
      <c r="E4357" s="140">
        <v>5</v>
      </c>
      <c r="F4357" s="142">
        <v>45939.625</v>
      </c>
      <c r="G4357" s="140" t="s">
        <v>845</v>
      </c>
      <c r="H4357" s="140" t="s">
        <v>879</v>
      </c>
    </row>
    <row r="4358" spans="1:8" ht="15.75" customHeight="1">
      <c r="A4358" s="140" t="s">
        <v>86</v>
      </c>
      <c r="B4358" s="140" t="s">
        <v>21</v>
      </c>
      <c r="C4358" s="141" t="s">
        <v>277</v>
      </c>
      <c r="D4358" s="140" t="s">
        <v>278</v>
      </c>
      <c r="E4358" s="140">
        <v>6</v>
      </c>
      <c r="F4358" s="142">
        <v>45951.416666666672</v>
      </c>
      <c r="G4358" s="140" t="s">
        <v>845</v>
      </c>
      <c r="H4358" s="140" t="s">
        <v>879</v>
      </c>
    </row>
    <row r="4359" spans="1:8" ht="15.75" customHeight="1">
      <c r="A4359" s="140" t="s">
        <v>86</v>
      </c>
      <c r="B4359" s="140" t="s">
        <v>21</v>
      </c>
      <c r="C4359" s="141" t="s">
        <v>277</v>
      </c>
      <c r="D4359" s="140" t="s">
        <v>278</v>
      </c>
      <c r="E4359" s="140">
        <v>7</v>
      </c>
      <c r="F4359" s="142">
        <v>45953.625</v>
      </c>
      <c r="G4359" s="140" t="s">
        <v>845</v>
      </c>
      <c r="H4359" s="140" t="s">
        <v>879</v>
      </c>
    </row>
    <row r="4360" spans="1:8" ht="15.75" customHeight="1">
      <c r="A4360" s="140" t="s">
        <v>86</v>
      </c>
      <c r="B4360" s="140" t="s">
        <v>21</v>
      </c>
      <c r="C4360" s="141" t="s">
        <v>277</v>
      </c>
      <c r="D4360" s="140" t="s">
        <v>278</v>
      </c>
      <c r="E4360" s="140">
        <v>8</v>
      </c>
      <c r="F4360" s="142">
        <v>45958.416666666672</v>
      </c>
      <c r="G4360" s="140" t="s">
        <v>845</v>
      </c>
      <c r="H4360" s="140" t="s">
        <v>879</v>
      </c>
    </row>
    <row r="4361" spans="1:8" ht="15.75" customHeight="1">
      <c r="A4361" s="140" t="s">
        <v>86</v>
      </c>
      <c r="B4361" s="140" t="s">
        <v>21</v>
      </c>
      <c r="C4361" s="141" t="s">
        <v>277</v>
      </c>
      <c r="D4361" s="140" t="s">
        <v>278</v>
      </c>
      <c r="E4361" s="140">
        <v>9</v>
      </c>
      <c r="F4361" s="142">
        <v>45958.458333333328</v>
      </c>
      <c r="G4361" s="140" t="s">
        <v>845</v>
      </c>
      <c r="H4361" s="140" t="s">
        <v>879</v>
      </c>
    </row>
    <row r="4362" spans="1:8" ht="15.75" customHeight="1">
      <c r="A4362" s="140" t="s">
        <v>86</v>
      </c>
      <c r="B4362" s="140" t="s">
        <v>21</v>
      </c>
      <c r="C4362" s="141" t="s">
        <v>277</v>
      </c>
      <c r="D4362" s="140" t="s">
        <v>278</v>
      </c>
      <c r="E4362" s="140">
        <v>10</v>
      </c>
      <c r="F4362" s="142">
        <v>45965.625</v>
      </c>
      <c r="G4362" s="140" t="s">
        <v>845</v>
      </c>
      <c r="H4362" s="140" t="s">
        <v>879</v>
      </c>
    </row>
    <row r="4363" spans="1:8" ht="15.75" customHeight="1">
      <c r="A4363" s="140" t="s">
        <v>86</v>
      </c>
      <c r="B4363" s="140" t="s">
        <v>21</v>
      </c>
      <c r="C4363" s="141" t="s">
        <v>277</v>
      </c>
      <c r="D4363" s="140" t="s">
        <v>278</v>
      </c>
      <c r="E4363" s="140">
        <v>11</v>
      </c>
      <c r="F4363" s="142">
        <v>45972.625</v>
      </c>
      <c r="G4363" s="140" t="s">
        <v>843</v>
      </c>
      <c r="H4363" s="140" t="s">
        <v>879</v>
      </c>
    </row>
    <row r="4364" spans="1:8" ht="15.75" customHeight="1">
      <c r="A4364" s="140" t="s">
        <v>86</v>
      </c>
      <c r="B4364" s="140" t="s">
        <v>21</v>
      </c>
      <c r="C4364" s="141" t="s">
        <v>277</v>
      </c>
      <c r="D4364" s="140" t="s">
        <v>278</v>
      </c>
      <c r="E4364" s="140">
        <v>12</v>
      </c>
      <c r="F4364" s="142">
        <v>45979.416666666672</v>
      </c>
      <c r="G4364" s="140" t="s">
        <v>843</v>
      </c>
      <c r="H4364" s="140" t="s">
        <v>879</v>
      </c>
    </row>
    <row r="4365" spans="1:8" ht="15.75" customHeight="1">
      <c r="A4365" s="140" t="s">
        <v>86</v>
      </c>
      <c r="B4365" s="140" t="s">
        <v>21</v>
      </c>
      <c r="C4365" s="141" t="s">
        <v>277</v>
      </c>
      <c r="D4365" s="140" t="s">
        <v>278</v>
      </c>
      <c r="E4365" s="140">
        <v>13</v>
      </c>
      <c r="F4365" s="142">
        <v>45979.416666666672</v>
      </c>
      <c r="G4365" s="140" t="s">
        <v>845</v>
      </c>
      <c r="H4365" s="140" t="s">
        <v>879</v>
      </c>
    </row>
    <row r="4366" spans="1:8" ht="15.75" customHeight="1">
      <c r="A4366" s="140" t="s">
        <v>86</v>
      </c>
      <c r="B4366" s="140" t="s">
        <v>21</v>
      </c>
      <c r="C4366" s="141" t="s">
        <v>277</v>
      </c>
      <c r="D4366" s="140" t="s">
        <v>278</v>
      </c>
      <c r="E4366" s="140">
        <v>14</v>
      </c>
      <c r="F4366" s="142">
        <v>45987.625</v>
      </c>
      <c r="G4366" s="140" t="s">
        <v>845</v>
      </c>
      <c r="H4366" s="140" t="s">
        <v>879</v>
      </c>
    </row>
    <row r="4367" spans="1:8" ht="15.75" customHeight="1">
      <c r="A4367" s="140" t="s">
        <v>86</v>
      </c>
      <c r="B4367" s="140" t="s">
        <v>21</v>
      </c>
      <c r="C4367" s="141" t="s">
        <v>277</v>
      </c>
      <c r="D4367" s="140" t="s">
        <v>278</v>
      </c>
      <c r="E4367" s="140">
        <v>15</v>
      </c>
      <c r="F4367" s="142">
        <v>45993.416666666672</v>
      </c>
      <c r="G4367" s="140" t="s">
        <v>845</v>
      </c>
      <c r="H4367" s="140" t="s">
        <v>879</v>
      </c>
    </row>
    <row r="4368" spans="1:8" ht="15.75" customHeight="1">
      <c r="A4368" s="140" t="s">
        <v>86</v>
      </c>
      <c r="B4368" s="140" t="s">
        <v>21</v>
      </c>
      <c r="C4368" s="141" t="s">
        <v>277</v>
      </c>
      <c r="D4368" s="140" t="s">
        <v>278</v>
      </c>
      <c r="E4368" s="140">
        <v>16</v>
      </c>
      <c r="F4368" s="142">
        <v>46000.625</v>
      </c>
      <c r="G4368" s="140" t="s">
        <v>845</v>
      </c>
      <c r="H4368" s="140" t="s">
        <v>879</v>
      </c>
    </row>
    <row r="4369" spans="1:8" ht="15.75" customHeight="1">
      <c r="A4369" s="140" t="s">
        <v>86</v>
      </c>
      <c r="B4369" s="140" t="s">
        <v>25</v>
      </c>
      <c r="C4369" s="141" t="s">
        <v>277</v>
      </c>
      <c r="D4369" s="140" t="s">
        <v>278</v>
      </c>
      <c r="E4369" s="140">
        <v>1</v>
      </c>
      <c r="F4369" s="142">
        <v>45805.375</v>
      </c>
      <c r="G4369" s="140" t="s">
        <v>845</v>
      </c>
      <c r="H4369" s="140" t="s">
        <v>879</v>
      </c>
    </row>
    <row r="4370" spans="1:8" ht="15.75" customHeight="1">
      <c r="A4370" s="140" t="s">
        <v>86</v>
      </c>
      <c r="B4370" s="140" t="s">
        <v>25</v>
      </c>
      <c r="C4370" s="141" t="s">
        <v>277</v>
      </c>
      <c r="D4370" s="140" t="s">
        <v>278</v>
      </c>
      <c r="E4370" s="140">
        <v>2</v>
      </c>
      <c r="F4370" s="142">
        <v>45811.416666666672</v>
      </c>
      <c r="G4370" s="140" t="s">
        <v>845</v>
      </c>
      <c r="H4370" s="140" t="s">
        <v>879</v>
      </c>
    </row>
    <row r="4371" spans="1:8" ht="15.75" customHeight="1">
      <c r="A4371" s="140" t="s">
        <v>86</v>
      </c>
      <c r="B4371" s="140" t="s">
        <v>25</v>
      </c>
      <c r="C4371" s="141" t="s">
        <v>277</v>
      </c>
      <c r="D4371" s="140" t="s">
        <v>278</v>
      </c>
      <c r="E4371" s="140">
        <v>3</v>
      </c>
      <c r="F4371" s="142">
        <v>45818.416666666672</v>
      </c>
      <c r="G4371" s="140" t="s">
        <v>845</v>
      </c>
      <c r="H4371" s="140" t="s">
        <v>879</v>
      </c>
    </row>
    <row r="4372" spans="1:8" ht="15.75" customHeight="1">
      <c r="A4372" s="140" t="s">
        <v>86</v>
      </c>
      <c r="B4372" s="140" t="s">
        <v>25</v>
      </c>
      <c r="C4372" s="141" t="s">
        <v>277</v>
      </c>
      <c r="D4372" s="140" t="s">
        <v>278</v>
      </c>
      <c r="E4372" s="140">
        <v>4</v>
      </c>
      <c r="F4372" s="142">
        <v>45825.416666666672</v>
      </c>
      <c r="G4372" s="140" t="s">
        <v>845</v>
      </c>
      <c r="H4372" s="140" t="s">
        <v>879</v>
      </c>
    </row>
    <row r="4373" spans="1:8" ht="15.75" customHeight="1">
      <c r="A4373" s="140" t="s">
        <v>86</v>
      </c>
      <c r="B4373" s="140" t="s">
        <v>25</v>
      </c>
      <c r="C4373" s="141" t="s">
        <v>277</v>
      </c>
      <c r="D4373" s="140" t="s">
        <v>278</v>
      </c>
      <c r="E4373" s="140">
        <v>5</v>
      </c>
      <c r="F4373" s="142">
        <v>45839.416666666672</v>
      </c>
      <c r="G4373" s="140" t="s">
        <v>845</v>
      </c>
      <c r="H4373" s="140" t="s">
        <v>879</v>
      </c>
    </row>
    <row r="4374" spans="1:8" ht="15.75" customHeight="1">
      <c r="A4374" s="140" t="s">
        <v>86</v>
      </c>
      <c r="B4374" s="140" t="s">
        <v>25</v>
      </c>
      <c r="C4374" s="141" t="s">
        <v>277</v>
      </c>
      <c r="D4374" s="140" t="s">
        <v>278</v>
      </c>
      <c r="E4374" s="140">
        <v>6</v>
      </c>
      <c r="F4374" s="142">
        <v>45846.416666666672</v>
      </c>
      <c r="G4374" s="140" t="s">
        <v>845</v>
      </c>
      <c r="H4374" s="140" t="s">
        <v>879</v>
      </c>
    </row>
    <row r="4375" spans="1:8" ht="15.75" customHeight="1">
      <c r="A4375" s="140" t="s">
        <v>86</v>
      </c>
      <c r="B4375" s="140" t="s">
        <v>25</v>
      </c>
      <c r="C4375" s="141" t="s">
        <v>277</v>
      </c>
      <c r="D4375" s="140" t="s">
        <v>278</v>
      </c>
      <c r="E4375" s="140">
        <v>7</v>
      </c>
      <c r="F4375" s="142">
        <v>45855.416666666672</v>
      </c>
      <c r="G4375" s="140" t="s">
        <v>845</v>
      </c>
      <c r="H4375" s="140" t="s">
        <v>879</v>
      </c>
    </row>
    <row r="4376" spans="1:8" ht="15.75" customHeight="1">
      <c r="A4376" s="140" t="s">
        <v>86</v>
      </c>
      <c r="B4376" s="140" t="s">
        <v>25</v>
      </c>
      <c r="C4376" s="141" t="s">
        <v>277</v>
      </c>
      <c r="D4376" s="140" t="s">
        <v>278</v>
      </c>
      <c r="E4376" s="140">
        <v>8</v>
      </c>
      <c r="F4376" s="142">
        <v>45860.625</v>
      </c>
      <c r="G4376" s="140" t="s">
        <v>845</v>
      </c>
      <c r="H4376" s="140" t="s">
        <v>879</v>
      </c>
    </row>
    <row r="4377" spans="1:8" ht="15.75" customHeight="1">
      <c r="A4377" s="140" t="s">
        <v>86</v>
      </c>
      <c r="B4377" s="140" t="s">
        <v>25</v>
      </c>
      <c r="C4377" s="141" t="s">
        <v>277</v>
      </c>
      <c r="D4377" s="140" t="s">
        <v>278</v>
      </c>
      <c r="E4377" s="140">
        <v>9</v>
      </c>
      <c r="F4377" s="142">
        <v>45869.458333333328</v>
      </c>
      <c r="G4377" s="140" t="s">
        <v>843</v>
      </c>
      <c r="H4377" s="140" t="s">
        <v>879</v>
      </c>
    </row>
    <row r="4378" spans="1:8" ht="15.75" customHeight="1">
      <c r="A4378" s="140" t="s">
        <v>86</v>
      </c>
      <c r="B4378" s="140" t="s">
        <v>25</v>
      </c>
      <c r="C4378" s="141" t="s">
        <v>277</v>
      </c>
      <c r="D4378" s="140" t="s">
        <v>278</v>
      </c>
      <c r="E4378" s="140">
        <v>10</v>
      </c>
      <c r="F4378" s="142">
        <v>45881.5</v>
      </c>
      <c r="G4378" s="140" t="s">
        <v>845</v>
      </c>
      <c r="H4378" s="140" t="s">
        <v>879</v>
      </c>
    </row>
    <row r="4379" spans="1:8" ht="15.75" customHeight="1">
      <c r="A4379" s="140" t="s">
        <v>86</v>
      </c>
      <c r="B4379" s="140" t="s">
        <v>25</v>
      </c>
      <c r="C4379" s="141" t="s">
        <v>277</v>
      </c>
      <c r="D4379" s="140" t="s">
        <v>278</v>
      </c>
      <c r="E4379" s="140">
        <v>11</v>
      </c>
      <c r="F4379" s="142">
        <v>45888.541666666672</v>
      </c>
      <c r="G4379" s="140" t="s">
        <v>845</v>
      </c>
      <c r="H4379" s="140" t="s">
        <v>879</v>
      </c>
    </row>
    <row r="4380" spans="1:8" ht="15.75" customHeight="1">
      <c r="A4380" s="140" t="s">
        <v>86</v>
      </c>
      <c r="B4380" s="140" t="s">
        <v>25</v>
      </c>
      <c r="C4380" s="141" t="s">
        <v>277</v>
      </c>
      <c r="D4380" s="140" t="s">
        <v>278</v>
      </c>
      <c r="E4380" s="140">
        <v>12</v>
      </c>
      <c r="F4380" s="142">
        <v>45897.458333333328</v>
      </c>
      <c r="G4380" s="140" t="s">
        <v>845</v>
      </c>
      <c r="H4380" s="140" t="s">
        <v>879</v>
      </c>
    </row>
    <row r="4381" spans="1:8" ht="15.75" customHeight="1">
      <c r="A4381" s="140" t="s">
        <v>86</v>
      </c>
      <c r="B4381" s="140" t="s">
        <v>25</v>
      </c>
      <c r="C4381" s="141" t="s">
        <v>277</v>
      </c>
      <c r="D4381" s="140" t="s">
        <v>278</v>
      </c>
      <c r="E4381" s="140">
        <v>13</v>
      </c>
      <c r="F4381" s="142">
        <v>45909.416666666672</v>
      </c>
      <c r="G4381" s="140" t="s">
        <v>845</v>
      </c>
      <c r="H4381" s="140" t="s">
        <v>879</v>
      </c>
    </row>
    <row r="4382" spans="1:8" ht="15.75" customHeight="1">
      <c r="A4382" s="140" t="s">
        <v>86</v>
      </c>
      <c r="B4382" s="140" t="s">
        <v>25</v>
      </c>
      <c r="C4382" s="141" t="s">
        <v>277</v>
      </c>
      <c r="D4382" s="140" t="s">
        <v>278</v>
      </c>
      <c r="E4382" s="140">
        <v>14</v>
      </c>
      <c r="F4382" s="142">
        <v>45923.416666666672</v>
      </c>
      <c r="G4382" s="140" t="s">
        <v>845</v>
      </c>
      <c r="H4382" s="140" t="s">
        <v>879</v>
      </c>
    </row>
    <row r="4383" spans="1:8" ht="15.75" customHeight="1">
      <c r="A4383" s="140" t="s">
        <v>86</v>
      </c>
      <c r="B4383" s="140" t="s">
        <v>25</v>
      </c>
      <c r="C4383" s="141" t="s">
        <v>277</v>
      </c>
      <c r="D4383" s="140" t="s">
        <v>278</v>
      </c>
      <c r="E4383" s="140">
        <v>15</v>
      </c>
      <c r="F4383" s="142">
        <v>45925.625</v>
      </c>
      <c r="G4383" s="140" t="s">
        <v>845</v>
      </c>
      <c r="H4383" s="140" t="s">
        <v>879</v>
      </c>
    </row>
    <row r="4384" spans="1:8" ht="15.75" customHeight="1">
      <c r="A4384" s="140" t="s">
        <v>86</v>
      </c>
      <c r="B4384" s="140" t="s">
        <v>21</v>
      </c>
      <c r="C4384" s="141" t="s">
        <v>355</v>
      </c>
      <c r="D4384" s="140" t="s">
        <v>356</v>
      </c>
      <c r="E4384" s="140">
        <v>2</v>
      </c>
      <c r="F4384" s="142">
        <v>45930.416666666672</v>
      </c>
      <c r="G4384" s="140" t="s">
        <v>845</v>
      </c>
      <c r="H4384" s="140" t="s">
        <v>879</v>
      </c>
    </row>
    <row r="4385" spans="1:8" ht="15.75" customHeight="1">
      <c r="A4385" s="140" t="s">
        <v>86</v>
      </c>
      <c r="B4385" s="140" t="s">
        <v>21</v>
      </c>
      <c r="C4385" s="141" t="s">
        <v>355</v>
      </c>
      <c r="D4385" s="140" t="s">
        <v>356</v>
      </c>
      <c r="E4385" s="140">
        <v>3</v>
      </c>
      <c r="F4385" s="142">
        <v>45932.583333333328</v>
      </c>
      <c r="G4385" s="140" t="s">
        <v>845</v>
      </c>
      <c r="H4385" s="140" t="s">
        <v>879</v>
      </c>
    </row>
    <row r="4386" spans="1:8" ht="15.75" customHeight="1">
      <c r="A4386" s="140" t="s">
        <v>86</v>
      </c>
      <c r="B4386" s="140" t="s">
        <v>21</v>
      </c>
      <c r="C4386" s="141" t="s">
        <v>355</v>
      </c>
      <c r="D4386" s="140" t="s">
        <v>356</v>
      </c>
      <c r="E4386" s="140">
        <v>4</v>
      </c>
      <c r="F4386" s="142">
        <v>45937.416666666672</v>
      </c>
      <c r="G4386" s="140" t="s">
        <v>845</v>
      </c>
      <c r="H4386" s="140" t="s">
        <v>879</v>
      </c>
    </row>
    <row r="4387" spans="1:8" ht="15.75" customHeight="1">
      <c r="A4387" s="140" t="s">
        <v>86</v>
      </c>
      <c r="B4387" s="140" t="s">
        <v>21</v>
      </c>
      <c r="C4387" s="141" t="s">
        <v>355</v>
      </c>
      <c r="D4387" s="140" t="s">
        <v>356</v>
      </c>
      <c r="E4387" s="140">
        <v>5</v>
      </c>
      <c r="F4387" s="142">
        <v>45939.625</v>
      </c>
      <c r="G4387" s="140" t="s">
        <v>843</v>
      </c>
      <c r="H4387" s="140" t="s">
        <v>879</v>
      </c>
    </row>
    <row r="4388" spans="1:8" ht="15.75" customHeight="1">
      <c r="A4388" s="140" t="s">
        <v>86</v>
      </c>
      <c r="B4388" s="140" t="s">
        <v>21</v>
      </c>
      <c r="C4388" s="141" t="s">
        <v>355</v>
      </c>
      <c r="D4388" s="140" t="s">
        <v>356</v>
      </c>
      <c r="E4388" s="140">
        <v>6</v>
      </c>
      <c r="F4388" s="142">
        <v>45951.416666666672</v>
      </c>
      <c r="G4388" s="140" t="s">
        <v>845</v>
      </c>
      <c r="H4388" s="140" t="s">
        <v>879</v>
      </c>
    </row>
    <row r="4389" spans="1:8" ht="15.75" customHeight="1">
      <c r="A4389" s="140" t="s">
        <v>86</v>
      </c>
      <c r="B4389" s="140" t="s">
        <v>21</v>
      </c>
      <c r="C4389" s="141" t="s">
        <v>355</v>
      </c>
      <c r="D4389" s="140" t="s">
        <v>356</v>
      </c>
      <c r="E4389" s="140">
        <v>7</v>
      </c>
      <c r="F4389" s="142">
        <v>45953.625</v>
      </c>
      <c r="G4389" s="140" t="s">
        <v>845</v>
      </c>
      <c r="H4389" s="140" t="s">
        <v>879</v>
      </c>
    </row>
    <row r="4390" spans="1:8" ht="15.75" customHeight="1">
      <c r="A4390" s="140" t="s">
        <v>86</v>
      </c>
      <c r="B4390" s="140" t="s">
        <v>21</v>
      </c>
      <c r="C4390" s="141" t="s">
        <v>355</v>
      </c>
      <c r="D4390" s="140" t="s">
        <v>356</v>
      </c>
      <c r="E4390" s="140">
        <v>8</v>
      </c>
      <c r="F4390" s="142">
        <v>45958.416666666672</v>
      </c>
      <c r="G4390" s="140" t="s">
        <v>843</v>
      </c>
      <c r="H4390" s="140" t="s">
        <v>879</v>
      </c>
    </row>
    <row r="4391" spans="1:8" ht="15.75" customHeight="1">
      <c r="A4391" s="140" t="s">
        <v>86</v>
      </c>
      <c r="B4391" s="140" t="s">
        <v>21</v>
      </c>
      <c r="C4391" s="141" t="s">
        <v>355</v>
      </c>
      <c r="D4391" s="140" t="s">
        <v>356</v>
      </c>
      <c r="E4391" s="140">
        <v>9</v>
      </c>
      <c r="F4391" s="142">
        <v>45958.458333333328</v>
      </c>
      <c r="G4391" s="140" t="s">
        <v>843</v>
      </c>
      <c r="H4391" s="140" t="s">
        <v>879</v>
      </c>
    </row>
    <row r="4392" spans="1:8" ht="15.75" customHeight="1">
      <c r="A4392" s="140" t="s">
        <v>86</v>
      </c>
      <c r="B4392" s="140" t="s">
        <v>21</v>
      </c>
      <c r="C4392" s="141" t="s">
        <v>355</v>
      </c>
      <c r="D4392" s="140" t="s">
        <v>356</v>
      </c>
      <c r="E4392" s="140">
        <v>10</v>
      </c>
      <c r="F4392" s="142">
        <v>45965.625</v>
      </c>
      <c r="G4392" s="140" t="s">
        <v>845</v>
      </c>
      <c r="H4392" s="140" t="s">
        <v>879</v>
      </c>
    </row>
    <row r="4393" spans="1:8" ht="15.75" customHeight="1">
      <c r="A4393" s="140" t="s">
        <v>86</v>
      </c>
      <c r="B4393" s="140" t="s">
        <v>21</v>
      </c>
      <c r="C4393" s="141" t="s">
        <v>355</v>
      </c>
      <c r="D4393" s="140" t="s">
        <v>356</v>
      </c>
      <c r="E4393" s="140">
        <v>11</v>
      </c>
      <c r="F4393" s="142">
        <v>45972.625</v>
      </c>
      <c r="G4393" s="140" t="s">
        <v>843</v>
      </c>
      <c r="H4393" s="140" t="s">
        <v>879</v>
      </c>
    </row>
    <row r="4394" spans="1:8" ht="15.75" customHeight="1">
      <c r="A4394" s="140" t="s">
        <v>86</v>
      </c>
      <c r="B4394" s="140" t="s">
        <v>21</v>
      </c>
      <c r="C4394" s="141" t="s">
        <v>355</v>
      </c>
      <c r="D4394" s="140" t="s">
        <v>356</v>
      </c>
      <c r="E4394" s="140">
        <v>12</v>
      </c>
      <c r="F4394" s="142">
        <v>45979.416666666672</v>
      </c>
      <c r="G4394" s="140" t="s">
        <v>843</v>
      </c>
      <c r="H4394" s="140" t="s">
        <v>879</v>
      </c>
    </row>
    <row r="4395" spans="1:8" ht="15.75" customHeight="1">
      <c r="A4395" s="140" t="s">
        <v>86</v>
      </c>
      <c r="B4395" s="140" t="s">
        <v>21</v>
      </c>
      <c r="C4395" s="141" t="s">
        <v>355</v>
      </c>
      <c r="D4395" s="140" t="s">
        <v>356</v>
      </c>
      <c r="E4395" s="140">
        <v>13</v>
      </c>
      <c r="F4395" s="142">
        <v>45979.416666666672</v>
      </c>
      <c r="G4395" s="140" t="s">
        <v>843</v>
      </c>
      <c r="H4395" s="140" t="s">
        <v>879</v>
      </c>
    </row>
    <row r="4396" spans="1:8" ht="15.75" customHeight="1">
      <c r="A4396" s="140" t="s">
        <v>86</v>
      </c>
      <c r="B4396" s="140" t="s">
        <v>21</v>
      </c>
      <c r="C4396" s="141" t="s">
        <v>355</v>
      </c>
      <c r="D4396" s="140" t="s">
        <v>356</v>
      </c>
      <c r="E4396" s="140">
        <v>14</v>
      </c>
      <c r="F4396" s="142">
        <v>45987.625</v>
      </c>
      <c r="G4396" s="140" t="s">
        <v>843</v>
      </c>
      <c r="H4396" s="140" t="s">
        <v>879</v>
      </c>
    </row>
    <row r="4397" spans="1:8" ht="15.75" customHeight="1">
      <c r="A4397" s="140" t="s">
        <v>86</v>
      </c>
      <c r="B4397" s="140" t="s">
        <v>21</v>
      </c>
      <c r="C4397" s="141" t="s">
        <v>355</v>
      </c>
      <c r="D4397" s="140" t="s">
        <v>356</v>
      </c>
      <c r="E4397" s="140">
        <v>15</v>
      </c>
      <c r="F4397" s="142">
        <v>45993.416666666672</v>
      </c>
      <c r="G4397" s="140" t="s">
        <v>843</v>
      </c>
      <c r="H4397" s="140" t="s">
        <v>879</v>
      </c>
    </row>
    <row r="4398" spans="1:8" ht="15.75" customHeight="1">
      <c r="A4398" s="140" t="s">
        <v>86</v>
      </c>
      <c r="B4398" s="140" t="s">
        <v>21</v>
      </c>
      <c r="C4398" s="141" t="s">
        <v>355</v>
      </c>
      <c r="D4398" s="140" t="s">
        <v>356</v>
      </c>
      <c r="E4398" s="140">
        <v>16</v>
      </c>
      <c r="F4398" s="142">
        <v>46000.625</v>
      </c>
      <c r="G4398" s="140" t="s">
        <v>843</v>
      </c>
      <c r="H4398" s="140" t="s">
        <v>879</v>
      </c>
    </row>
    <row r="4399" spans="1:8" ht="15.75" customHeight="1">
      <c r="A4399" s="140" t="s">
        <v>86</v>
      </c>
      <c r="B4399" s="140" t="s">
        <v>25</v>
      </c>
      <c r="C4399" s="141" t="s">
        <v>355</v>
      </c>
      <c r="D4399" s="140" t="s">
        <v>356</v>
      </c>
      <c r="E4399" s="140">
        <v>1</v>
      </c>
      <c r="F4399" s="142">
        <v>45805.375</v>
      </c>
      <c r="G4399" s="140" t="s">
        <v>845</v>
      </c>
      <c r="H4399" s="140" t="s">
        <v>879</v>
      </c>
    </row>
    <row r="4400" spans="1:8" ht="15.75" customHeight="1">
      <c r="A4400" s="140" t="s">
        <v>86</v>
      </c>
      <c r="B4400" s="140" t="s">
        <v>25</v>
      </c>
      <c r="C4400" s="141" t="s">
        <v>355</v>
      </c>
      <c r="D4400" s="140" t="s">
        <v>356</v>
      </c>
      <c r="E4400" s="140">
        <v>2</v>
      </c>
      <c r="F4400" s="142">
        <v>45811.416666666672</v>
      </c>
      <c r="G4400" s="140" t="s">
        <v>845</v>
      </c>
      <c r="H4400" s="140" t="s">
        <v>879</v>
      </c>
    </row>
    <row r="4401" spans="1:8" ht="15.75" customHeight="1">
      <c r="A4401" s="140" t="s">
        <v>86</v>
      </c>
      <c r="B4401" s="140" t="s">
        <v>25</v>
      </c>
      <c r="C4401" s="141" t="s">
        <v>355</v>
      </c>
      <c r="D4401" s="140" t="s">
        <v>356</v>
      </c>
      <c r="E4401" s="140">
        <v>3</v>
      </c>
      <c r="F4401" s="142">
        <v>45818.416666666672</v>
      </c>
      <c r="G4401" s="140" t="s">
        <v>845</v>
      </c>
      <c r="H4401" s="140" t="s">
        <v>879</v>
      </c>
    </row>
    <row r="4402" spans="1:8" ht="15.75" customHeight="1">
      <c r="A4402" s="140" t="s">
        <v>86</v>
      </c>
      <c r="B4402" s="140" t="s">
        <v>25</v>
      </c>
      <c r="C4402" s="141" t="s">
        <v>355</v>
      </c>
      <c r="D4402" s="140" t="s">
        <v>356</v>
      </c>
      <c r="E4402" s="140">
        <v>4</v>
      </c>
      <c r="F4402" s="142">
        <v>45825.416666666672</v>
      </c>
      <c r="G4402" s="140" t="s">
        <v>845</v>
      </c>
      <c r="H4402" s="140" t="s">
        <v>879</v>
      </c>
    </row>
    <row r="4403" spans="1:8" ht="15.75" customHeight="1">
      <c r="A4403" s="140" t="s">
        <v>86</v>
      </c>
      <c r="B4403" s="140" t="s">
        <v>25</v>
      </c>
      <c r="C4403" s="141" t="s">
        <v>355</v>
      </c>
      <c r="D4403" s="140" t="s">
        <v>356</v>
      </c>
      <c r="E4403" s="140">
        <v>5</v>
      </c>
      <c r="F4403" s="142">
        <v>45839.416666666672</v>
      </c>
      <c r="G4403" s="140" t="s">
        <v>845</v>
      </c>
      <c r="H4403" s="140" t="s">
        <v>879</v>
      </c>
    </row>
    <row r="4404" spans="1:8" ht="15.75" customHeight="1">
      <c r="A4404" s="140" t="s">
        <v>86</v>
      </c>
      <c r="B4404" s="140" t="s">
        <v>25</v>
      </c>
      <c r="C4404" s="141" t="s">
        <v>355</v>
      </c>
      <c r="D4404" s="140" t="s">
        <v>356</v>
      </c>
      <c r="E4404" s="140">
        <v>6</v>
      </c>
      <c r="F4404" s="142">
        <v>45846.416666666672</v>
      </c>
      <c r="G4404" s="140" t="s">
        <v>845</v>
      </c>
      <c r="H4404" s="140" t="s">
        <v>879</v>
      </c>
    </row>
    <row r="4405" spans="1:8" ht="15.75" customHeight="1">
      <c r="A4405" s="140" t="s">
        <v>86</v>
      </c>
      <c r="B4405" s="140" t="s">
        <v>25</v>
      </c>
      <c r="C4405" s="141" t="s">
        <v>355</v>
      </c>
      <c r="D4405" s="140" t="s">
        <v>356</v>
      </c>
      <c r="E4405" s="140">
        <v>7</v>
      </c>
      <c r="F4405" s="142">
        <v>45855.416666666672</v>
      </c>
      <c r="G4405" s="140" t="s">
        <v>845</v>
      </c>
      <c r="H4405" s="140" t="s">
        <v>879</v>
      </c>
    </row>
    <row r="4406" spans="1:8" ht="15.75" customHeight="1">
      <c r="A4406" s="140" t="s">
        <v>86</v>
      </c>
      <c r="B4406" s="140" t="s">
        <v>25</v>
      </c>
      <c r="C4406" s="141" t="s">
        <v>355</v>
      </c>
      <c r="D4406" s="140" t="s">
        <v>356</v>
      </c>
      <c r="E4406" s="140">
        <v>8</v>
      </c>
      <c r="F4406" s="142">
        <v>45860.625</v>
      </c>
      <c r="G4406" s="140" t="s">
        <v>845</v>
      </c>
      <c r="H4406" s="140" t="s">
        <v>879</v>
      </c>
    </row>
    <row r="4407" spans="1:8" ht="15.75" customHeight="1">
      <c r="A4407" s="140" t="s">
        <v>86</v>
      </c>
      <c r="B4407" s="140" t="s">
        <v>25</v>
      </c>
      <c r="C4407" s="141" t="s">
        <v>355</v>
      </c>
      <c r="D4407" s="140" t="s">
        <v>356</v>
      </c>
      <c r="E4407" s="140">
        <v>9</v>
      </c>
      <c r="F4407" s="142">
        <v>45869.458333333328</v>
      </c>
      <c r="G4407" s="140" t="s">
        <v>845</v>
      </c>
      <c r="H4407" s="140" t="s">
        <v>879</v>
      </c>
    </row>
    <row r="4408" spans="1:8" ht="15.75" customHeight="1">
      <c r="A4408" s="140" t="s">
        <v>86</v>
      </c>
      <c r="B4408" s="140" t="s">
        <v>25</v>
      </c>
      <c r="C4408" s="141" t="s">
        <v>355</v>
      </c>
      <c r="D4408" s="140" t="s">
        <v>356</v>
      </c>
      <c r="E4408" s="140">
        <v>10</v>
      </c>
      <c r="F4408" s="142">
        <v>45881.5</v>
      </c>
      <c r="G4408" s="140" t="s">
        <v>845</v>
      </c>
      <c r="H4408" s="140" t="s">
        <v>879</v>
      </c>
    </row>
    <row r="4409" spans="1:8" ht="15.75" customHeight="1">
      <c r="A4409" s="140" t="s">
        <v>86</v>
      </c>
      <c r="B4409" s="140" t="s">
        <v>25</v>
      </c>
      <c r="C4409" s="141" t="s">
        <v>355</v>
      </c>
      <c r="D4409" s="140" t="s">
        <v>356</v>
      </c>
      <c r="E4409" s="140">
        <v>11</v>
      </c>
      <c r="F4409" s="142">
        <v>45888.541666666672</v>
      </c>
      <c r="G4409" s="140" t="s">
        <v>845</v>
      </c>
      <c r="H4409" s="140" t="s">
        <v>879</v>
      </c>
    </row>
    <row r="4410" spans="1:8" ht="15.75" customHeight="1">
      <c r="A4410" s="140" t="s">
        <v>86</v>
      </c>
      <c r="B4410" s="140" t="s">
        <v>25</v>
      </c>
      <c r="C4410" s="141" t="s">
        <v>355</v>
      </c>
      <c r="D4410" s="140" t="s">
        <v>356</v>
      </c>
      <c r="E4410" s="140">
        <v>12</v>
      </c>
      <c r="F4410" s="142">
        <v>45897.458333333328</v>
      </c>
      <c r="G4410" s="140" t="s">
        <v>845</v>
      </c>
      <c r="H4410" s="140" t="s">
        <v>879</v>
      </c>
    </row>
    <row r="4411" spans="1:8" ht="15.75" customHeight="1">
      <c r="A4411" s="140" t="s">
        <v>86</v>
      </c>
      <c r="B4411" s="140" t="s">
        <v>25</v>
      </c>
      <c r="C4411" s="141" t="s">
        <v>355</v>
      </c>
      <c r="D4411" s="140" t="s">
        <v>356</v>
      </c>
      <c r="E4411" s="140">
        <v>13</v>
      </c>
      <c r="F4411" s="142">
        <v>45909.416666666672</v>
      </c>
      <c r="G4411" s="140" t="s">
        <v>843</v>
      </c>
      <c r="H4411" s="140" t="s">
        <v>879</v>
      </c>
    </row>
    <row r="4412" spans="1:8" ht="15.75" customHeight="1">
      <c r="A4412" s="140" t="s">
        <v>86</v>
      </c>
      <c r="B4412" s="140" t="s">
        <v>25</v>
      </c>
      <c r="C4412" s="141" t="s">
        <v>355</v>
      </c>
      <c r="D4412" s="140" t="s">
        <v>356</v>
      </c>
      <c r="E4412" s="140">
        <v>14</v>
      </c>
      <c r="F4412" s="142">
        <v>45923.416666666672</v>
      </c>
      <c r="G4412" s="140" t="s">
        <v>845</v>
      </c>
      <c r="H4412" s="140" t="s">
        <v>879</v>
      </c>
    </row>
    <row r="4413" spans="1:8" ht="15.75" customHeight="1">
      <c r="A4413" s="140" t="s">
        <v>86</v>
      </c>
      <c r="B4413" s="140" t="s">
        <v>25</v>
      </c>
      <c r="C4413" s="141" t="s">
        <v>355</v>
      </c>
      <c r="D4413" s="140" t="s">
        <v>356</v>
      </c>
      <c r="E4413" s="140">
        <v>15</v>
      </c>
      <c r="F4413" s="142">
        <v>45925.625</v>
      </c>
      <c r="G4413" s="140" t="s">
        <v>845</v>
      </c>
      <c r="H4413" s="140" t="s">
        <v>879</v>
      </c>
    </row>
    <row r="4414" spans="1:8" ht="15.75" customHeight="1">
      <c r="A4414" s="140" t="s">
        <v>86</v>
      </c>
      <c r="B4414" s="140" t="s">
        <v>21</v>
      </c>
      <c r="C4414" s="141" t="s">
        <v>407</v>
      </c>
      <c r="D4414" s="140" t="s">
        <v>408</v>
      </c>
      <c r="E4414" s="140">
        <v>2</v>
      </c>
      <c r="F4414" s="142">
        <v>45930.416666666672</v>
      </c>
      <c r="G4414" s="140" t="s">
        <v>845</v>
      </c>
      <c r="H4414" s="140" t="s">
        <v>879</v>
      </c>
    </row>
    <row r="4415" spans="1:8" ht="15.75" customHeight="1">
      <c r="A4415" s="140" t="s">
        <v>86</v>
      </c>
      <c r="B4415" s="140" t="s">
        <v>21</v>
      </c>
      <c r="C4415" s="141" t="s">
        <v>407</v>
      </c>
      <c r="D4415" s="140" t="s">
        <v>408</v>
      </c>
      <c r="E4415" s="140">
        <v>3</v>
      </c>
      <c r="F4415" s="142">
        <v>45932.583333333328</v>
      </c>
      <c r="G4415" s="140" t="s">
        <v>845</v>
      </c>
      <c r="H4415" s="140" t="s">
        <v>879</v>
      </c>
    </row>
    <row r="4416" spans="1:8" ht="15.75" customHeight="1">
      <c r="A4416" s="140" t="s">
        <v>86</v>
      </c>
      <c r="B4416" s="140" t="s">
        <v>21</v>
      </c>
      <c r="C4416" s="141" t="s">
        <v>407</v>
      </c>
      <c r="D4416" s="140" t="s">
        <v>408</v>
      </c>
      <c r="E4416" s="140">
        <v>4</v>
      </c>
      <c r="F4416" s="142">
        <v>45937.416666666672</v>
      </c>
      <c r="G4416" s="140" t="s">
        <v>845</v>
      </c>
      <c r="H4416" s="140" t="s">
        <v>879</v>
      </c>
    </row>
    <row r="4417" spans="1:8" ht="15.75" customHeight="1">
      <c r="A4417" s="140" t="s">
        <v>86</v>
      </c>
      <c r="B4417" s="140" t="s">
        <v>21</v>
      </c>
      <c r="C4417" s="141" t="s">
        <v>407</v>
      </c>
      <c r="D4417" s="140" t="s">
        <v>408</v>
      </c>
      <c r="E4417" s="140">
        <v>5</v>
      </c>
      <c r="F4417" s="142">
        <v>45939.541666666672</v>
      </c>
      <c r="G4417" s="140" t="s">
        <v>845</v>
      </c>
      <c r="H4417" s="140" t="s">
        <v>879</v>
      </c>
    </row>
    <row r="4418" spans="1:8" ht="15.75" customHeight="1">
      <c r="A4418" s="140" t="s">
        <v>86</v>
      </c>
      <c r="B4418" s="140" t="s">
        <v>21</v>
      </c>
      <c r="C4418" s="141" t="s">
        <v>407</v>
      </c>
      <c r="D4418" s="140" t="s">
        <v>408</v>
      </c>
      <c r="E4418" s="140">
        <v>6</v>
      </c>
      <c r="F4418" s="142">
        <v>45951.416666666672</v>
      </c>
      <c r="G4418" s="140" t="s">
        <v>845</v>
      </c>
      <c r="H4418" s="140" t="s">
        <v>879</v>
      </c>
    </row>
    <row r="4419" spans="1:8" ht="15.75" customHeight="1">
      <c r="A4419" s="140" t="s">
        <v>86</v>
      </c>
      <c r="B4419" s="140" t="s">
        <v>21</v>
      </c>
      <c r="C4419" s="141" t="s">
        <v>407</v>
      </c>
      <c r="D4419" s="140" t="s">
        <v>408</v>
      </c>
      <c r="E4419" s="140">
        <v>7</v>
      </c>
      <c r="F4419" s="142">
        <v>45953.625</v>
      </c>
      <c r="G4419" s="140" t="s">
        <v>845</v>
      </c>
      <c r="H4419" s="140" t="s">
        <v>879</v>
      </c>
    </row>
    <row r="4420" spans="1:8" ht="15.75" customHeight="1">
      <c r="A4420" s="140" t="s">
        <v>86</v>
      </c>
      <c r="B4420" s="140" t="s">
        <v>21</v>
      </c>
      <c r="C4420" s="141" t="s">
        <v>407</v>
      </c>
      <c r="D4420" s="140" t="s">
        <v>408</v>
      </c>
      <c r="E4420" s="140">
        <v>8</v>
      </c>
      <c r="F4420" s="142">
        <v>45958.416666666672</v>
      </c>
      <c r="G4420" s="140" t="s">
        <v>845</v>
      </c>
      <c r="H4420" s="140" t="s">
        <v>879</v>
      </c>
    </row>
    <row r="4421" spans="1:8" ht="15.75" customHeight="1">
      <c r="A4421" s="140" t="s">
        <v>86</v>
      </c>
      <c r="B4421" s="140" t="s">
        <v>21</v>
      </c>
      <c r="C4421" s="141" t="s">
        <v>407</v>
      </c>
      <c r="D4421" s="140" t="s">
        <v>408</v>
      </c>
      <c r="E4421" s="140">
        <v>9</v>
      </c>
      <c r="F4421" s="142">
        <v>45958.458333333328</v>
      </c>
      <c r="G4421" s="140" t="s">
        <v>845</v>
      </c>
      <c r="H4421" s="140" t="s">
        <v>879</v>
      </c>
    </row>
    <row r="4422" spans="1:8" ht="15.75" customHeight="1">
      <c r="A4422" s="140" t="s">
        <v>86</v>
      </c>
      <c r="B4422" s="140" t="s">
        <v>21</v>
      </c>
      <c r="C4422" s="141" t="s">
        <v>407</v>
      </c>
      <c r="D4422" s="140" t="s">
        <v>408</v>
      </c>
      <c r="E4422" s="140">
        <v>10</v>
      </c>
      <c r="F4422" s="142">
        <v>45965.625</v>
      </c>
      <c r="G4422" s="140" t="s">
        <v>843</v>
      </c>
      <c r="H4422" s="140" t="s">
        <v>879</v>
      </c>
    </row>
    <row r="4423" spans="1:8" ht="15.75" customHeight="1">
      <c r="A4423" s="140" t="s">
        <v>86</v>
      </c>
      <c r="B4423" s="140" t="s">
        <v>21</v>
      </c>
      <c r="C4423" s="141" t="s">
        <v>407</v>
      </c>
      <c r="D4423" s="140" t="s">
        <v>408</v>
      </c>
      <c r="E4423" s="140">
        <v>11</v>
      </c>
      <c r="F4423" s="142">
        <v>45972.625</v>
      </c>
      <c r="G4423" s="140" t="s">
        <v>845</v>
      </c>
      <c r="H4423" s="140" t="s">
        <v>879</v>
      </c>
    </row>
    <row r="4424" spans="1:8" ht="15.75" customHeight="1">
      <c r="A4424" s="140" t="s">
        <v>86</v>
      </c>
      <c r="B4424" s="140" t="s">
        <v>21</v>
      </c>
      <c r="C4424" s="141" t="s">
        <v>407</v>
      </c>
      <c r="D4424" s="140" t="s">
        <v>408</v>
      </c>
      <c r="E4424" s="140">
        <v>12</v>
      </c>
      <c r="F4424" s="142">
        <v>45979.416666666672</v>
      </c>
      <c r="G4424" s="140" t="s">
        <v>845</v>
      </c>
      <c r="H4424" s="140" t="s">
        <v>879</v>
      </c>
    </row>
    <row r="4425" spans="1:8" ht="15.75" customHeight="1">
      <c r="A4425" s="140" t="s">
        <v>86</v>
      </c>
      <c r="B4425" s="140" t="s">
        <v>21</v>
      </c>
      <c r="C4425" s="141" t="s">
        <v>407</v>
      </c>
      <c r="D4425" s="140" t="s">
        <v>408</v>
      </c>
      <c r="E4425" s="140">
        <v>13</v>
      </c>
      <c r="F4425" s="142">
        <v>45979.416666666672</v>
      </c>
      <c r="G4425" s="140" t="s">
        <v>845</v>
      </c>
      <c r="H4425" s="140" t="s">
        <v>879</v>
      </c>
    </row>
    <row r="4426" spans="1:8" ht="15.75" customHeight="1">
      <c r="A4426" s="140" t="s">
        <v>86</v>
      </c>
      <c r="B4426" s="140" t="s">
        <v>21</v>
      </c>
      <c r="C4426" s="141" t="s">
        <v>407</v>
      </c>
      <c r="D4426" s="140" t="s">
        <v>408</v>
      </c>
      <c r="E4426" s="140">
        <v>14</v>
      </c>
      <c r="F4426" s="142">
        <v>45987.625</v>
      </c>
      <c r="G4426" s="140" t="s">
        <v>845</v>
      </c>
      <c r="H4426" s="140" t="s">
        <v>879</v>
      </c>
    </row>
    <row r="4427" spans="1:8" ht="15.75" customHeight="1">
      <c r="A4427" s="140" t="s">
        <v>86</v>
      </c>
      <c r="B4427" s="140" t="s">
        <v>21</v>
      </c>
      <c r="C4427" s="141" t="s">
        <v>407</v>
      </c>
      <c r="D4427" s="140" t="s">
        <v>408</v>
      </c>
      <c r="E4427" s="140">
        <v>15</v>
      </c>
      <c r="F4427" s="142">
        <v>45993.416666666672</v>
      </c>
      <c r="G4427" s="140" t="s">
        <v>845</v>
      </c>
      <c r="H4427" s="140" t="s">
        <v>879</v>
      </c>
    </row>
    <row r="4428" spans="1:8" ht="15.75" customHeight="1">
      <c r="A4428" s="140" t="s">
        <v>86</v>
      </c>
      <c r="B4428" s="140" t="s">
        <v>21</v>
      </c>
      <c r="C4428" s="141" t="s">
        <v>407</v>
      </c>
      <c r="D4428" s="140" t="s">
        <v>408</v>
      </c>
      <c r="E4428" s="140">
        <v>16</v>
      </c>
      <c r="F4428" s="142">
        <v>46000.625</v>
      </c>
      <c r="G4428" s="140" t="s">
        <v>845</v>
      </c>
      <c r="H4428" s="140" t="s">
        <v>879</v>
      </c>
    </row>
    <row r="4429" spans="1:8" ht="15.75" customHeight="1">
      <c r="A4429" s="140" t="s">
        <v>86</v>
      </c>
      <c r="B4429" s="140" t="s">
        <v>22</v>
      </c>
      <c r="C4429" s="141" t="s">
        <v>407</v>
      </c>
      <c r="D4429" s="140" t="s">
        <v>408</v>
      </c>
      <c r="E4429" s="140">
        <v>1</v>
      </c>
      <c r="F4429" s="142">
        <v>46098.625</v>
      </c>
      <c r="G4429" s="140" t="s">
        <v>845</v>
      </c>
      <c r="H4429" s="140" t="s">
        <v>879</v>
      </c>
    </row>
    <row r="4430" spans="1:8" ht="15.75" customHeight="1">
      <c r="A4430" s="140" t="s">
        <v>86</v>
      </c>
      <c r="B4430" s="140" t="s">
        <v>22</v>
      </c>
      <c r="C4430" s="141" t="s">
        <v>407</v>
      </c>
      <c r="D4430" s="140" t="s">
        <v>408</v>
      </c>
      <c r="E4430" s="140">
        <v>2</v>
      </c>
      <c r="F4430" s="142">
        <v>46105.625</v>
      </c>
      <c r="G4430" s="140" t="s">
        <v>845</v>
      </c>
      <c r="H4430" s="140" t="s">
        <v>879</v>
      </c>
    </row>
    <row r="4431" spans="1:8" ht="15.75" customHeight="1">
      <c r="A4431" s="140" t="s">
        <v>86</v>
      </c>
      <c r="B4431" s="140" t="s">
        <v>22</v>
      </c>
      <c r="C4431" s="141" t="s">
        <v>407</v>
      </c>
      <c r="D4431" s="140" t="s">
        <v>408</v>
      </c>
      <c r="E4431" s="140">
        <v>3</v>
      </c>
      <c r="F4431" s="142">
        <v>46112.625</v>
      </c>
      <c r="G4431" s="140" t="s">
        <v>845</v>
      </c>
      <c r="H4431" s="140" t="s">
        <v>879</v>
      </c>
    </row>
    <row r="4432" spans="1:8" ht="15.75" customHeight="1">
      <c r="A4432" s="140" t="s">
        <v>86</v>
      </c>
      <c r="B4432" s="140" t="s">
        <v>22</v>
      </c>
      <c r="C4432" s="141" t="s">
        <v>407</v>
      </c>
      <c r="D4432" s="140" t="s">
        <v>408</v>
      </c>
      <c r="E4432" s="140">
        <v>4</v>
      </c>
      <c r="F4432" s="142">
        <v>46119.625</v>
      </c>
      <c r="G4432" s="140" t="s">
        <v>845</v>
      </c>
      <c r="H4432" s="140" t="s">
        <v>879</v>
      </c>
    </row>
    <row r="4433" spans="1:8" ht="15.75" customHeight="1">
      <c r="A4433" s="140" t="s">
        <v>86</v>
      </c>
      <c r="B4433" s="140" t="s">
        <v>25</v>
      </c>
      <c r="C4433" s="141" t="s">
        <v>407</v>
      </c>
      <c r="D4433" s="140" t="s">
        <v>408</v>
      </c>
      <c r="E4433" s="140">
        <v>1</v>
      </c>
      <c r="F4433" s="142">
        <v>45805.375</v>
      </c>
      <c r="G4433" s="140" t="s">
        <v>843</v>
      </c>
      <c r="H4433" s="140" t="s">
        <v>879</v>
      </c>
    </row>
    <row r="4434" spans="1:8" ht="15.75" customHeight="1">
      <c r="A4434" s="140" t="s">
        <v>86</v>
      </c>
      <c r="B4434" s="140" t="s">
        <v>25</v>
      </c>
      <c r="C4434" s="141" t="s">
        <v>407</v>
      </c>
      <c r="D4434" s="140" t="s">
        <v>408</v>
      </c>
      <c r="E4434" s="140">
        <v>2</v>
      </c>
      <c r="F4434" s="142">
        <v>45811.416666666672</v>
      </c>
      <c r="G4434" s="140" t="s">
        <v>845</v>
      </c>
      <c r="H4434" s="140" t="s">
        <v>879</v>
      </c>
    </row>
    <row r="4435" spans="1:8" ht="15.75" customHeight="1">
      <c r="A4435" s="140" t="s">
        <v>86</v>
      </c>
      <c r="B4435" s="140" t="s">
        <v>25</v>
      </c>
      <c r="C4435" s="141" t="s">
        <v>407</v>
      </c>
      <c r="D4435" s="140" t="s">
        <v>408</v>
      </c>
      <c r="E4435" s="140">
        <v>3</v>
      </c>
      <c r="F4435" s="142">
        <v>45818.416666666672</v>
      </c>
      <c r="G4435" s="140" t="s">
        <v>845</v>
      </c>
      <c r="H4435" s="140" t="s">
        <v>879</v>
      </c>
    </row>
    <row r="4436" spans="1:8" ht="15.75" customHeight="1">
      <c r="A4436" s="140" t="s">
        <v>86</v>
      </c>
      <c r="B4436" s="140" t="s">
        <v>25</v>
      </c>
      <c r="C4436" s="141" t="s">
        <v>407</v>
      </c>
      <c r="D4436" s="140" t="s">
        <v>408</v>
      </c>
      <c r="E4436" s="140">
        <v>4</v>
      </c>
      <c r="F4436" s="142">
        <v>45825.416666666672</v>
      </c>
      <c r="G4436" s="140" t="s">
        <v>845</v>
      </c>
      <c r="H4436" s="140" t="s">
        <v>879</v>
      </c>
    </row>
    <row r="4437" spans="1:8" ht="15.75" customHeight="1">
      <c r="A4437" s="140" t="s">
        <v>86</v>
      </c>
      <c r="B4437" s="140" t="s">
        <v>25</v>
      </c>
      <c r="C4437" s="141" t="s">
        <v>407</v>
      </c>
      <c r="D4437" s="140" t="s">
        <v>408</v>
      </c>
      <c r="E4437" s="140">
        <v>5</v>
      </c>
      <c r="F4437" s="142">
        <v>45839.416666666672</v>
      </c>
      <c r="G4437" s="140" t="s">
        <v>845</v>
      </c>
      <c r="H4437" s="140" t="s">
        <v>879</v>
      </c>
    </row>
    <row r="4438" spans="1:8" ht="15.75" customHeight="1">
      <c r="A4438" s="140" t="s">
        <v>86</v>
      </c>
      <c r="B4438" s="140" t="s">
        <v>25</v>
      </c>
      <c r="C4438" s="141" t="s">
        <v>407</v>
      </c>
      <c r="D4438" s="140" t="s">
        <v>408</v>
      </c>
      <c r="E4438" s="140">
        <v>6</v>
      </c>
      <c r="F4438" s="142">
        <v>45846.416666666672</v>
      </c>
      <c r="G4438" s="140" t="s">
        <v>845</v>
      </c>
      <c r="H4438" s="140" t="s">
        <v>879</v>
      </c>
    </row>
    <row r="4439" spans="1:8" ht="15.75" customHeight="1">
      <c r="A4439" s="140" t="s">
        <v>86</v>
      </c>
      <c r="B4439" s="140" t="s">
        <v>25</v>
      </c>
      <c r="C4439" s="141" t="s">
        <v>407</v>
      </c>
      <c r="D4439" s="140" t="s">
        <v>408</v>
      </c>
      <c r="E4439" s="140">
        <v>7</v>
      </c>
      <c r="F4439" s="142">
        <v>45855.416666666672</v>
      </c>
      <c r="G4439" s="140" t="s">
        <v>845</v>
      </c>
      <c r="H4439" s="140" t="s">
        <v>879</v>
      </c>
    </row>
    <row r="4440" spans="1:8" ht="15.75" customHeight="1">
      <c r="A4440" s="140" t="s">
        <v>86</v>
      </c>
      <c r="B4440" s="140" t="s">
        <v>25</v>
      </c>
      <c r="C4440" s="141" t="s">
        <v>407</v>
      </c>
      <c r="D4440" s="140" t="s">
        <v>408</v>
      </c>
      <c r="E4440" s="140">
        <v>8</v>
      </c>
      <c r="F4440" s="142">
        <v>45860.625</v>
      </c>
      <c r="G4440" s="140" t="s">
        <v>845</v>
      </c>
      <c r="H4440" s="140" t="s">
        <v>879</v>
      </c>
    </row>
    <row r="4441" spans="1:8" ht="15.75" customHeight="1">
      <c r="A4441" s="140" t="s">
        <v>86</v>
      </c>
      <c r="B4441" s="140" t="s">
        <v>25</v>
      </c>
      <c r="C4441" s="141" t="s">
        <v>407</v>
      </c>
      <c r="D4441" s="140" t="s">
        <v>408</v>
      </c>
      <c r="E4441" s="140">
        <v>9</v>
      </c>
      <c r="F4441" s="142">
        <v>45869.458333333328</v>
      </c>
      <c r="G4441" s="140" t="s">
        <v>845</v>
      </c>
      <c r="H4441" s="140" t="s">
        <v>879</v>
      </c>
    </row>
    <row r="4442" spans="1:8" ht="15.75" customHeight="1">
      <c r="A4442" s="140" t="s">
        <v>86</v>
      </c>
      <c r="B4442" s="140" t="s">
        <v>25</v>
      </c>
      <c r="C4442" s="141" t="s">
        <v>407</v>
      </c>
      <c r="D4442" s="140" t="s">
        <v>408</v>
      </c>
      <c r="E4442" s="140">
        <v>10</v>
      </c>
      <c r="F4442" s="142">
        <v>45881.5</v>
      </c>
      <c r="G4442" s="140" t="s">
        <v>845</v>
      </c>
      <c r="H4442" s="140" t="s">
        <v>879</v>
      </c>
    </row>
    <row r="4443" spans="1:8" ht="15.75" customHeight="1">
      <c r="A4443" s="140" t="s">
        <v>86</v>
      </c>
      <c r="B4443" s="140" t="s">
        <v>25</v>
      </c>
      <c r="C4443" s="141" t="s">
        <v>407</v>
      </c>
      <c r="D4443" s="140" t="s">
        <v>408</v>
      </c>
      <c r="E4443" s="140">
        <v>11</v>
      </c>
      <c r="F4443" s="142">
        <v>45888.541666666672</v>
      </c>
      <c r="G4443" s="140" t="s">
        <v>845</v>
      </c>
      <c r="H4443" s="140" t="s">
        <v>879</v>
      </c>
    </row>
    <row r="4444" spans="1:8" ht="15.75" customHeight="1">
      <c r="A4444" s="140" t="s">
        <v>86</v>
      </c>
      <c r="B4444" s="140" t="s">
        <v>25</v>
      </c>
      <c r="C4444" s="141" t="s">
        <v>407</v>
      </c>
      <c r="D4444" s="140" t="s">
        <v>408</v>
      </c>
      <c r="E4444" s="140">
        <v>12</v>
      </c>
      <c r="F4444" s="142">
        <v>45897.458333333328</v>
      </c>
      <c r="G4444" s="140" t="s">
        <v>845</v>
      </c>
      <c r="H4444" s="140" t="s">
        <v>879</v>
      </c>
    </row>
    <row r="4445" spans="1:8" ht="15.75" customHeight="1">
      <c r="A4445" s="140" t="s">
        <v>86</v>
      </c>
      <c r="B4445" s="140" t="s">
        <v>25</v>
      </c>
      <c r="C4445" s="141" t="s">
        <v>407</v>
      </c>
      <c r="D4445" s="140" t="s">
        <v>408</v>
      </c>
      <c r="E4445" s="140">
        <v>13</v>
      </c>
      <c r="F4445" s="142">
        <v>45909.416666666672</v>
      </c>
      <c r="G4445" s="140" t="s">
        <v>845</v>
      </c>
      <c r="H4445" s="140" t="s">
        <v>879</v>
      </c>
    </row>
    <row r="4446" spans="1:8" ht="15.75" customHeight="1">
      <c r="A4446" s="140" t="s">
        <v>86</v>
      </c>
      <c r="B4446" s="140" t="s">
        <v>25</v>
      </c>
      <c r="C4446" s="141" t="s">
        <v>407</v>
      </c>
      <c r="D4446" s="140" t="s">
        <v>408</v>
      </c>
      <c r="E4446" s="140">
        <v>14</v>
      </c>
      <c r="F4446" s="142">
        <v>45923.416666666672</v>
      </c>
      <c r="G4446" s="140" t="s">
        <v>845</v>
      </c>
      <c r="H4446" s="140" t="s">
        <v>879</v>
      </c>
    </row>
    <row r="4447" spans="1:8" ht="15.75" customHeight="1">
      <c r="A4447" s="140" t="s">
        <v>86</v>
      </c>
      <c r="B4447" s="140" t="s">
        <v>25</v>
      </c>
      <c r="C4447" s="141" t="s">
        <v>407</v>
      </c>
      <c r="D4447" s="140" t="s">
        <v>408</v>
      </c>
      <c r="E4447" s="140">
        <v>15</v>
      </c>
      <c r="F4447" s="142">
        <v>45925.625</v>
      </c>
      <c r="G4447" s="140" t="s">
        <v>845</v>
      </c>
      <c r="H4447" s="140" t="s">
        <v>879</v>
      </c>
    </row>
    <row r="4448" spans="1:8" ht="15.75" customHeight="1">
      <c r="A4448" s="140" t="s">
        <v>86</v>
      </c>
      <c r="B4448" s="140" t="s">
        <v>21</v>
      </c>
      <c r="C4448" s="141" t="s">
        <v>429</v>
      </c>
      <c r="D4448" s="140" t="s">
        <v>430</v>
      </c>
      <c r="E4448" s="140">
        <v>2</v>
      </c>
      <c r="F4448" s="142">
        <v>45930.416666666672</v>
      </c>
      <c r="G4448" s="140" t="s">
        <v>845</v>
      </c>
      <c r="H4448" s="140" t="s">
        <v>879</v>
      </c>
    </row>
    <row r="4449" spans="1:8" ht="15.75" customHeight="1">
      <c r="A4449" s="140" t="s">
        <v>86</v>
      </c>
      <c r="B4449" s="140" t="s">
        <v>21</v>
      </c>
      <c r="C4449" s="141" t="s">
        <v>429</v>
      </c>
      <c r="D4449" s="140" t="s">
        <v>430</v>
      </c>
      <c r="E4449" s="140">
        <v>3</v>
      </c>
      <c r="F4449" s="142">
        <v>45932.583333333328</v>
      </c>
      <c r="G4449" s="140" t="s">
        <v>845</v>
      </c>
      <c r="H4449" s="140" t="s">
        <v>879</v>
      </c>
    </row>
    <row r="4450" spans="1:8" ht="15.75" customHeight="1">
      <c r="A4450" s="140" t="s">
        <v>86</v>
      </c>
      <c r="B4450" s="140" t="s">
        <v>21</v>
      </c>
      <c r="C4450" s="141" t="s">
        <v>429</v>
      </c>
      <c r="D4450" s="140" t="s">
        <v>430</v>
      </c>
      <c r="E4450" s="140">
        <v>4</v>
      </c>
      <c r="F4450" s="142">
        <v>45937.416666666672</v>
      </c>
      <c r="G4450" s="140" t="s">
        <v>845</v>
      </c>
      <c r="H4450" s="140" t="s">
        <v>879</v>
      </c>
    </row>
    <row r="4451" spans="1:8" ht="15.75" customHeight="1">
      <c r="A4451" s="140" t="s">
        <v>86</v>
      </c>
      <c r="B4451" s="140" t="s">
        <v>21</v>
      </c>
      <c r="C4451" s="141" t="s">
        <v>429</v>
      </c>
      <c r="D4451" s="140" t="s">
        <v>430</v>
      </c>
      <c r="E4451" s="140">
        <v>5</v>
      </c>
      <c r="F4451" s="142">
        <v>45939.625</v>
      </c>
      <c r="G4451" s="140" t="s">
        <v>845</v>
      </c>
      <c r="H4451" s="140" t="s">
        <v>879</v>
      </c>
    </row>
    <row r="4452" spans="1:8" ht="15.75" customHeight="1">
      <c r="A4452" s="140" t="s">
        <v>86</v>
      </c>
      <c r="B4452" s="140" t="s">
        <v>21</v>
      </c>
      <c r="C4452" s="141" t="s">
        <v>429</v>
      </c>
      <c r="D4452" s="140" t="s">
        <v>430</v>
      </c>
      <c r="E4452" s="140">
        <v>6</v>
      </c>
      <c r="F4452" s="142">
        <v>45951.416666666672</v>
      </c>
      <c r="G4452" s="140" t="s">
        <v>845</v>
      </c>
      <c r="H4452" s="140" t="s">
        <v>879</v>
      </c>
    </row>
    <row r="4453" spans="1:8" ht="15.75" customHeight="1">
      <c r="A4453" s="140" t="s">
        <v>86</v>
      </c>
      <c r="B4453" s="140" t="s">
        <v>21</v>
      </c>
      <c r="C4453" s="141" t="s">
        <v>429</v>
      </c>
      <c r="D4453" s="140" t="s">
        <v>430</v>
      </c>
      <c r="E4453" s="140">
        <v>7</v>
      </c>
      <c r="F4453" s="142">
        <v>45953.625</v>
      </c>
      <c r="G4453" s="140" t="s">
        <v>845</v>
      </c>
      <c r="H4453" s="140" t="s">
        <v>879</v>
      </c>
    </row>
    <row r="4454" spans="1:8" ht="15.75" customHeight="1">
      <c r="A4454" s="140" t="s">
        <v>86</v>
      </c>
      <c r="B4454" s="140" t="s">
        <v>21</v>
      </c>
      <c r="C4454" s="141" t="s">
        <v>429</v>
      </c>
      <c r="D4454" s="140" t="s">
        <v>430</v>
      </c>
      <c r="E4454" s="140">
        <v>8</v>
      </c>
      <c r="F4454" s="142">
        <v>45958.416666666672</v>
      </c>
      <c r="G4454" s="140" t="s">
        <v>845</v>
      </c>
      <c r="H4454" s="140" t="s">
        <v>879</v>
      </c>
    </row>
    <row r="4455" spans="1:8" ht="15.75" customHeight="1">
      <c r="A4455" s="140" t="s">
        <v>86</v>
      </c>
      <c r="B4455" s="140" t="s">
        <v>21</v>
      </c>
      <c r="C4455" s="141" t="s">
        <v>429</v>
      </c>
      <c r="D4455" s="140" t="s">
        <v>430</v>
      </c>
      <c r="E4455" s="140">
        <v>9</v>
      </c>
      <c r="F4455" s="142">
        <v>45958.458333333328</v>
      </c>
      <c r="G4455" s="140" t="s">
        <v>845</v>
      </c>
      <c r="H4455" s="140" t="s">
        <v>879</v>
      </c>
    </row>
    <row r="4456" spans="1:8" ht="15.75" customHeight="1">
      <c r="A4456" s="140" t="s">
        <v>86</v>
      </c>
      <c r="B4456" s="140" t="s">
        <v>21</v>
      </c>
      <c r="C4456" s="141" t="s">
        <v>429</v>
      </c>
      <c r="D4456" s="140" t="s">
        <v>430</v>
      </c>
      <c r="E4456" s="140">
        <v>10</v>
      </c>
      <c r="F4456" s="142">
        <v>45965.625</v>
      </c>
      <c r="G4456" s="140" t="s">
        <v>845</v>
      </c>
      <c r="H4456" s="140" t="s">
        <v>879</v>
      </c>
    </row>
    <row r="4457" spans="1:8" ht="15.75" customHeight="1">
      <c r="A4457" s="140" t="s">
        <v>86</v>
      </c>
      <c r="B4457" s="140" t="s">
        <v>21</v>
      </c>
      <c r="C4457" s="141" t="s">
        <v>429</v>
      </c>
      <c r="D4457" s="140" t="s">
        <v>430</v>
      </c>
      <c r="E4457" s="140">
        <v>11</v>
      </c>
      <c r="F4457" s="142">
        <v>45972.625</v>
      </c>
      <c r="G4457" s="140" t="s">
        <v>843</v>
      </c>
      <c r="H4457" s="140" t="s">
        <v>879</v>
      </c>
    </row>
    <row r="4458" spans="1:8" ht="15.75" customHeight="1">
      <c r="A4458" s="140" t="s">
        <v>86</v>
      </c>
      <c r="B4458" s="140" t="s">
        <v>21</v>
      </c>
      <c r="C4458" s="141" t="s">
        <v>429</v>
      </c>
      <c r="D4458" s="140" t="s">
        <v>430</v>
      </c>
      <c r="E4458" s="140">
        <v>12</v>
      </c>
      <c r="F4458" s="142">
        <v>45979.416666666672</v>
      </c>
      <c r="G4458" s="140" t="s">
        <v>845</v>
      </c>
      <c r="H4458" s="140" t="s">
        <v>879</v>
      </c>
    </row>
    <row r="4459" spans="1:8" ht="15.75" customHeight="1">
      <c r="A4459" s="140" t="s">
        <v>86</v>
      </c>
      <c r="B4459" s="140" t="s">
        <v>21</v>
      </c>
      <c r="C4459" s="141" t="s">
        <v>429</v>
      </c>
      <c r="D4459" s="140" t="s">
        <v>430</v>
      </c>
      <c r="E4459" s="140">
        <v>13</v>
      </c>
      <c r="F4459" s="142">
        <v>45979.416666666672</v>
      </c>
      <c r="G4459" s="140" t="s">
        <v>845</v>
      </c>
      <c r="H4459" s="140" t="s">
        <v>879</v>
      </c>
    </row>
    <row r="4460" spans="1:8" ht="15.75" customHeight="1">
      <c r="A4460" s="140" t="s">
        <v>86</v>
      </c>
      <c r="B4460" s="140" t="s">
        <v>21</v>
      </c>
      <c r="C4460" s="141" t="s">
        <v>429</v>
      </c>
      <c r="D4460" s="140" t="s">
        <v>430</v>
      </c>
      <c r="E4460" s="140">
        <v>14</v>
      </c>
      <c r="F4460" s="142">
        <v>45987.625</v>
      </c>
      <c r="G4460" s="140" t="s">
        <v>845</v>
      </c>
      <c r="H4460" s="140" t="s">
        <v>879</v>
      </c>
    </row>
    <row r="4461" spans="1:8" ht="15.75" customHeight="1">
      <c r="A4461" s="140" t="s">
        <v>86</v>
      </c>
      <c r="B4461" s="140" t="s">
        <v>21</v>
      </c>
      <c r="C4461" s="141" t="s">
        <v>429</v>
      </c>
      <c r="D4461" s="140" t="s">
        <v>430</v>
      </c>
      <c r="E4461" s="140">
        <v>15</v>
      </c>
      <c r="F4461" s="142">
        <v>45993.416666666672</v>
      </c>
      <c r="G4461" s="140" t="s">
        <v>843</v>
      </c>
      <c r="H4461" s="140" t="s">
        <v>879</v>
      </c>
    </row>
    <row r="4462" spans="1:8" ht="15.75" customHeight="1">
      <c r="A4462" s="140" t="s">
        <v>86</v>
      </c>
      <c r="B4462" s="140" t="s">
        <v>21</v>
      </c>
      <c r="C4462" s="141" t="s">
        <v>429</v>
      </c>
      <c r="D4462" s="140" t="s">
        <v>430</v>
      </c>
      <c r="E4462" s="140">
        <v>16</v>
      </c>
      <c r="F4462" s="142">
        <v>46000.625</v>
      </c>
      <c r="G4462" s="140" t="s">
        <v>845</v>
      </c>
      <c r="H4462" s="140" t="s">
        <v>879</v>
      </c>
    </row>
    <row r="4463" spans="1:8" ht="15.75" customHeight="1">
      <c r="A4463" s="140" t="s">
        <v>86</v>
      </c>
      <c r="B4463" s="140" t="s">
        <v>22</v>
      </c>
      <c r="C4463" s="141" t="s">
        <v>429</v>
      </c>
      <c r="D4463" s="140" t="s">
        <v>430</v>
      </c>
      <c r="E4463" s="140">
        <v>1</v>
      </c>
      <c r="F4463" s="142">
        <v>46098.625</v>
      </c>
      <c r="G4463" s="140" t="s">
        <v>845</v>
      </c>
      <c r="H4463" s="140" t="s">
        <v>879</v>
      </c>
    </row>
    <row r="4464" spans="1:8" ht="15.75" customHeight="1">
      <c r="A4464" s="140" t="s">
        <v>86</v>
      </c>
      <c r="B4464" s="140" t="s">
        <v>22</v>
      </c>
      <c r="C4464" s="141" t="s">
        <v>429</v>
      </c>
      <c r="D4464" s="140" t="s">
        <v>430</v>
      </c>
      <c r="E4464" s="140">
        <v>2</v>
      </c>
      <c r="F4464" s="142">
        <v>46105.625</v>
      </c>
      <c r="G4464" s="140" t="s">
        <v>845</v>
      </c>
      <c r="H4464" s="140" t="s">
        <v>879</v>
      </c>
    </row>
    <row r="4465" spans="1:8" ht="15.75" customHeight="1">
      <c r="A4465" s="140" t="s">
        <v>86</v>
      </c>
      <c r="B4465" s="140" t="s">
        <v>22</v>
      </c>
      <c r="C4465" s="141" t="s">
        <v>429</v>
      </c>
      <c r="D4465" s="140" t="s">
        <v>430</v>
      </c>
      <c r="E4465" s="140">
        <v>3</v>
      </c>
      <c r="F4465" s="142">
        <v>46112.625</v>
      </c>
      <c r="G4465" s="140" t="s">
        <v>845</v>
      </c>
      <c r="H4465" s="140" t="s">
        <v>879</v>
      </c>
    </row>
    <row r="4466" spans="1:8" ht="15.75" customHeight="1">
      <c r="A4466" s="140" t="s">
        <v>86</v>
      </c>
      <c r="B4466" s="140" t="s">
        <v>22</v>
      </c>
      <c r="C4466" s="141" t="s">
        <v>429</v>
      </c>
      <c r="D4466" s="140" t="s">
        <v>430</v>
      </c>
      <c r="E4466" s="140">
        <v>4</v>
      </c>
      <c r="F4466" s="142">
        <v>46119.625</v>
      </c>
      <c r="G4466" s="140" t="s">
        <v>845</v>
      </c>
      <c r="H4466" s="140" t="s">
        <v>879</v>
      </c>
    </row>
    <row r="4467" spans="1:8" ht="15.75" customHeight="1">
      <c r="A4467" s="140" t="s">
        <v>86</v>
      </c>
      <c r="B4467" s="140" t="s">
        <v>25</v>
      </c>
      <c r="C4467" s="141" t="s">
        <v>429</v>
      </c>
      <c r="D4467" s="140" t="s">
        <v>430</v>
      </c>
      <c r="E4467" s="140">
        <v>1</v>
      </c>
      <c r="F4467" s="142">
        <v>45805.375</v>
      </c>
      <c r="G4467" s="140" t="s">
        <v>845</v>
      </c>
      <c r="H4467" s="140" t="s">
        <v>879</v>
      </c>
    </row>
    <row r="4468" spans="1:8" ht="15.75" customHeight="1">
      <c r="A4468" s="140" t="s">
        <v>86</v>
      </c>
      <c r="B4468" s="140" t="s">
        <v>25</v>
      </c>
      <c r="C4468" s="141" t="s">
        <v>429</v>
      </c>
      <c r="D4468" s="140" t="s">
        <v>430</v>
      </c>
      <c r="E4468" s="140">
        <v>2</v>
      </c>
      <c r="F4468" s="142">
        <v>45811.416666666672</v>
      </c>
      <c r="G4468" s="140" t="s">
        <v>845</v>
      </c>
      <c r="H4468" s="140" t="s">
        <v>879</v>
      </c>
    </row>
    <row r="4469" spans="1:8" ht="15.75" customHeight="1">
      <c r="A4469" s="140" t="s">
        <v>86</v>
      </c>
      <c r="B4469" s="140" t="s">
        <v>25</v>
      </c>
      <c r="C4469" s="141" t="s">
        <v>429</v>
      </c>
      <c r="D4469" s="140" t="s">
        <v>430</v>
      </c>
      <c r="E4469" s="140">
        <v>3</v>
      </c>
      <c r="F4469" s="142">
        <v>45818.416666666672</v>
      </c>
      <c r="G4469" s="140" t="s">
        <v>845</v>
      </c>
      <c r="H4469" s="140" t="s">
        <v>879</v>
      </c>
    </row>
    <row r="4470" spans="1:8" ht="15.75" customHeight="1">
      <c r="A4470" s="140" t="s">
        <v>86</v>
      </c>
      <c r="B4470" s="140" t="s">
        <v>25</v>
      </c>
      <c r="C4470" s="141" t="s">
        <v>429</v>
      </c>
      <c r="D4470" s="140" t="s">
        <v>430</v>
      </c>
      <c r="E4470" s="140">
        <v>4</v>
      </c>
      <c r="F4470" s="142">
        <v>45825.416666666672</v>
      </c>
      <c r="G4470" s="140" t="s">
        <v>845</v>
      </c>
      <c r="H4470" s="140" t="s">
        <v>879</v>
      </c>
    </row>
    <row r="4471" spans="1:8" ht="15.75" customHeight="1">
      <c r="A4471" s="140" t="s">
        <v>86</v>
      </c>
      <c r="B4471" s="140" t="s">
        <v>25</v>
      </c>
      <c r="C4471" s="141" t="s">
        <v>429</v>
      </c>
      <c r="D4471" s="140" t="s">
        <v>430</v>
      </c>
      <c r="E4471" s="140">
        <v>5</v>
      </c>
      <c r="F4471" s="142">
        <v>45839.416666666672</v>
      </c>
      <c r="G4471" s="140" t="s">
        <v>845</v>
      </c>
      <c r="H4471" s="140" t="s">
        <v>879</v>
      </c>
    </row>
    <row r="4472" spans="1:8" ht="15.75" customHeight="1">
      <c r="A4472" s="140" t="s">
        <v>86</v>
      </c>
      <c r="B4472" s="140" t="s">
        <v>25</v>
      </c>
      <c r="C4472" s="141" t="s">
        <v>429</v>
      </c>
      <c r="D4472" s="140" t="s">
        <v>430</v>
      </c>
      <c r="E4472" s="140">
        <v>6</v>
      </c>
      <c r="F4472" s="142">
        <v>45846.416666666672</v>
      </c>
      <c r="G4472" s="140" t="s">
        <v>845</v>
      </c>
      <c r="H4472" s="140" t="s">
        <v>879</v>
      </c>
    </row>
    <row r="4473" spans="1:8" ht="15.75" customHeight="1">
      <c r="A4473" s="140" t="s">
        <v>86</v>
      </c>
      <c r="B4473" s="140" t="s">
        <v>25</v>
      </c>
      <c r="C4473" s="141" t="s">
        <v>429</v>
      </c>
      <c r="D4473" s="140" t="s">
        <v>430</v>
      </c>
      <c r="E4473" s="140">
        <v>7</v>
      </c>
      <c r="F4473" s="142">
        <v>45855.416666666672</v>
      </c>
      <c r="G4473" s="140" t="s">
        <v>845</v>
      </c>
      <c r="H4473" s="140" t="s">
        <v>879</v>
      </c>
    </row>
    <row r="4474" spans="1:8" ht="15.75" customHeight="1">
      <c r="A4474" s="140" t="s">
        <v>86</v>
      </c>
      <c r="B4474" s="140" t="s">
        <v>25</v>
      </c>
      <c r="C4474" s="141" t="s">
        <v>429</v>
      </c>
      <c r="D4474" s="140" t="s">
        <v>430</v>
      </c>
      <c r="E4474" s="140">
        <v>8</v>
      </c>
      <c r="F4474" s="142">
        <v>45860.625</v>
      </c>
      <c r="G4474" s="140" t="s">
        <v>843</v>
      </c>
      <c r="H4474" s="140" t="s">
        <v>879</v>
      </c>
    </row>
    <row r="4475" spans="1:8" ht="15.75" customHeight="1">
      <c r="A4475" s="140" t="s">
        <v>86</v>
      </c>
      <c r="B4475" s="140" t="s">
        <v>25</v>
      </c>
      <c r="C4475" s="141" t="s">
        <v>429</v>
      </c>
      <c r="D4475" s="140" t="s">
        <v>430</v>
      </c>
      <c r="E4475" s="140">
        <v>9</v>
      </c>
      <c r="F4475" s="142">
        <v>45869.458333333328</v>
      </c>
      <c r="G4475" s="140" t="s">
        <v>845</v>
      </c>
      <c r="H4475" s="140" t="s">
        <v>879</v>
      </c>
    </row>
    <row r="4476" spans="1:8" ht="15.75" customHeight="1">
      <c r="A4476" s="140" t="s">
        <v>86</v>
      </c>
      <c r="B4476" s="140" t="s">
        <v>25</v>
      </c>
      <c r="C4476" s="141" t="s">
        <v>429</v>
      </c>
      <c r="D4476" s="140" t="s">
        <v>430</v>
      </c>
      <c r="E4476" s="140">
        <v>10</v>
      </c>
      <c r="F4476" s="142">
        <v>45881.5</v>
      </c>
      <c r="G4476" s="140" t="s">
        <v>845</v>
      </c>
      <c r="H4476" s="140" t="s">
        <v>879</v>
      </c>
    </row>
    <row r="4477" spans="1:8" ht="15.75" customHeight="1">
      <c r="A4477" s="140" t="s">
        <v>86</v>
      </c>
      <c r="B4477" s="140" t="s">
        <v>25</v>
      </c>
      <c r="C4477" s="141" t="s">
        <v>429</v>
      </c>
      <c r="D4477" s="140" t="s">
        <v>430</v>
      </c>
      <c r="E4477" s="140">
        <v>11</v>
      </c>
      <c r="F4477" s="142">
        <v>45888.541666666672</v>
      </c>
      <c r="G4477" s="140" t="s">
        <v>845</v>
      </c>
      <c r="H4477" s="140" t="s">
        <v>879</v>
      </c>
    </row>
    <row r="4478" spans="1:8" ht="15.75" customHeight="1">
      <c r="A4478" s="140" t="s">
        <v>86</v>
      </c>
      <c r="B4478" s="140" t="s">
        <v>25</v>
      </c>
      <c r="C4478" s="141" t="s">
        <v>429</v>
      </c>
      <c r="D4478" s="140" t="s">
        <v>430</v>
      </c>
      <c r="E4478" s="140">
        <v>12</v>
      </c>
      <c r="F4478" s="142">
        <v>45897.458333333328</v>
      </c>
      <c r="G4478" s="140" t="s">
        <v>843</v>
      </c>
      <c r="H4478" s="140" t="s">
        <v>879</v>
      </c>
    </row>
    <row r="4479" spans="1:8" ht="15.75" customHeight="1">
      <c r="A4479" s="140" t="s">
        <v>86</v>
      </c>
      <c r="B4479" s="140" t="s">
        <v>25</v>
      </c>
      <c r="C4479" s="141" t="s">
        <v>429</v>
      </c>
      <c r="D4479" s="140" t="s">
        <v>430</v>
      </c>
      <c r="E4479" s="140">
        <v>13</v>
      </c>
      <c r="F4479" s="142">
        <v>45909.416666666672</v>
      </c>
      <c r="G4479" s="140" t="s">
        <v>845</v>
      </c>
      <c r="H4479" s="140" t="s">
        <v>879</v>
      </c>
    </row>
    <row r="4480" spans="1:8" ht="15.75" customHeight="1">
      <c r="A4480" s="140" t="s">
        <v>86</v>
      </c>
      <c r="B4480" s="140" t="s">
        <v>25</v>
      </c>
      <c r="C4480" s="141" t="s">
        <v>429</v>
      </c>
      <c r="D4480" s="140" t="s">
        <v>430</v>
      </c>
      <c r="E4480" s="140">
        <v>14</v>
      </c>
      <c r="F4480" s="142">
        <v>45923.416666666672</v>
      </c>
      <c r="G4480" s="140" t="s">
        <v>843</v>
      </c>
      <c r="H4480" s="140" t="s">
        <v>879</v>
      </c>
    </row>
    <row r="4481" spans="1:8" ht="15.75" customHeight="1">
      <c r="A4481" s="140" t="s">
        <v>86</v>
      </c>
      <c r="B4481" s="140" t="s">
        <v>25</v>
      </c>
      <c r="C4481" s="141" t="s">
        <v>429</v>
      </c>
      <c r="D4481" s="140" t="s">
        <v>430</v>
      </c>
      <c r="E4481" s="140">
        <v>15</v>
      </c>
      <c r="F4481" s="142">
        <v>45925.625</v>
      </c>
      <c r="G4481" s="140" t="s">
        <v>845</v>
      </c>
      <c r="H4481" s="140" t="s">
        <v>879</v>
      </c>
    </row>
    <row r="4482" spans="1:8" ht="15.75" customHeight="1">
      <c r="A4482" s="140" t="s">
        <v>86</v>
      </c>
      <c r="B4482" s="140" t="s">
        <v>21</v>
      </c>
      <c r="C4482" s="141" t="s">
        <v>538</v>
      </c>
      <c r="D4482" s="140" t="s">
        <v>539</v>
      </c>
      <c r="E4482" s="140">
        <v>2</v>
      </c>
      <c r="F4482" s="142">
        <v>45930.416666666672</v>
      </c>
      <c r="G4482" s="140" t="s">
        <v>845</v>
      </c>
      <c r="H4482" s="140" t="s">
        <v>879</v>
      </c>
    </row>
    <row r="4483" spans="1:8" ht="15.75" customHeight="1">
      <c r="A4483" s="140" t="s">
        <v>86</v>
      </c>
      <c r="B4483" s="140" t="s">
        <v>21</v>
      </c>
      <c r="C4483" s="141" t="s">
        <v>538</v>
      </c>
      <c r="D4483" s="140" t="s">
        <v>539</v>
      </c>
      <c r="E4483" s="140">
        <v>3</v>
      </c>
      <c r="F4483" s="142">
        <v>45932.583333333328</v>
      </c>
      <c r="G4483" s="140" t="s">
        <v>845</v>
      </c>
      <c r="H4483" s="140" t="s">
        <v>879</v>
      </c>
    </row>
    <row r="4484" spans="1:8" ht="15.75" customHeight="1">
      <c r="A4484" s="140" t="s">
        <v>86</v>
      </c>
      <c r="B4484" s="140" t="s">
        <v>21</v>
      </c>
      <c r="C4484" s="141" t="s">
        <v>538</v>
      </c>
      <c r="D4484" s="140" t="s">
        <v>539</v>
      </c>
      <c r="E4484" s="140">
        <v>4</v>
      </c>
      <c r="F4484" s="142">
        <v>45937.416666666672</v>
      </c>
      <c r="G4484" s="140" t="s">
        <v>845</v>
      </c>
      <c r="H4484" s="140" t="s">
        <v>879</v>
      </c>
    </row>
    <row r="4485" spans="1:8" ht="15.75" customHeight="1">
      <c r="A4485" s="140" t="s">
        <v>86</v>
      </c>
      <c r="B4485" s="140" t="s">
        <v>21</v>
      </c>
      <c r="C4485" s="141" t="s">
        <v>538</v>
      </c>
      <c r="D4485" s="140" t="s">
        <v>539</v>
      </c>
      <c r="E4485" s="140">
        <v>5</v>
      </c>
      <c r="F4485" s="142">
        <v>45939.625</v>
      </c>
      <c r="G4485" s="140" t="s">
        <v>845</v>
      </c>
      <c r="H4485" s="140" t="s">
        <v>879</v>
      </c>
    </row>
    <row r="4486" spans="1:8" ht="15.75" customHeight="1">
      <c r="A4486" s="140" t="s">
        <v>86</v>
      </c>
      <c r="B4486" s="140" t="s">
        <v>21</v>
      </c>
      <c r="C4486" s="141" t="s">
        <v>538</v>
      </c>
      <c r="D4486" s="140" t="s">
        <v>539</v>
      </c>
      <c r="E4486" s="140">
        <v>6</v>
      </c>
      <c r="F4486" s="142">
        <v>45951.416666666672</v>
      </c>
      <c r="G4486" s="140" t="s">
        <v>843</v>
      </c>
      <c r="H4486" s="140" t="s">
        <v>879</v>
      </c>
    </row>
    <row r="4487" spans="1:8" ht="15.75" customHeight="1">
      <c r="A4487" s="140" t="s">
        <v>86</v>
      </c>
      <c r="B4487" s="140" t="s">
        <v>21</v>
      </c>
      <c r="C4487" s="141" t="s">
        <v>538</v>
      </c>
      <c r="D4487" s="140" t="s">
        <v>539</v>
      </c>
      <c r="E4487" s="140">
        <v>7</v>
      </c>
      <c r="F4487" s="142">
        <v>45953.625</v>
      </c>
      <c r="G4487" s="140" t="s">
        <v>845</v>
      </c>
      <c r="H4487" s="140" t="s">
        <v>879</v>
      </c>
    </row>
    <row r="4488" spans="1:8" ht="15.75" customHeight="1">
      <c r="A4488" s="140" t="s">
        <v>86</v>
      </c>
      <c r="B4488" s="140" t="s">
        <v>21</v>
      </c>
      <c r="C4488" s="141" t="s">
        <v>538</v>
      </c>
      <c r="D4488" s="140" t="s">
        <v>539</v>
      </c>
      <c r="E4488" s="140">
        <v>8</v>
      </c>
      <c r="F4488" s="142">
        <v>45958.416666666672</v>
      </c>
      <c r="G4488" s="140" t="s">
        <v>845</v>
      </c>
      <c r="H4488" s="140" t="s">
        <v>879</v>
      </c>
    </row>
    <row r="4489" spans="1:8" ht="15.75" customHeight="1">
      <c r="A4489" s="140" t="s">
        <v>86</v>
      </c>
      <c r="B4489" s="140" t="s">
        <v>21</v>
      </c>
      <c r="C4489" s="141" t="s">
        <v>538</v>
      </c>
      <c r="D4489" s="140" t="s">
        <v>539</v>
      </c>
      <c r="E4489" s="140">
        <v>9</v>
      </c>
      <c r="F4489" s="142">
        <v>45958.458333333328</v>
      </c>
      <c r="G4489" s="140" t="s">
        <v>845</v>
      </c>
      <c r="H4489" s="140" t="s">
        <v>879</v>
      </c>
    </row>
    <row r="4490" spans="1:8" ht="15.75" customHeight="1">
      <c r="A4490" s="140" t="s">
        <v>86</v>
      </c>
      <c r="B4490" s="140" t="s">
        <v>21</v>
      </c>
      <c r="C4490" s="141" t="s">
        <v>538</v>
      </c>
      <c r="D4490" s="140" t="s">
        <v>539</v>
      </c>
      <c r="E4490" s="140">
        <v>10</v>
      </c>
      <c r="F4490" s="142">
        <v>45965.625</v>
      </c>
      <c r="G4490" s="140" t="s">
        <v>845</v>
      </c>
      <c r="H4490" s="140" t="s">
        <v>879</v>
      </c>
    </row>
    <row r="4491" spans="1:8" ht="15.75" customHeight="1">
      <c r="A4491" s="140" t="s">
        <v>86</v>
      </c>
      <c r="B4491" s="140" t="s">
        <v>21</v>
      </c>
      <c r="C4491" s="141" t="s">
        <v>538</v>
      </c>
      <c r="D4491" s="140" t="s">
        <v>539</v>
      </c>
      <c r="E4491" s="140">
        <v>11</v>
      </c>
      <c r="F4491" s="142">
        <v>45972.625</v>
      </c>
      <c r="G4491" s="140" t="s">
        <v>845</v>
      </c>
      <c r="H4491" s="140" t="s">
        <v>879</v>
      </c>
    </row>
    <row r="4492" spans="1:8" ht="15.75" customHeight="1">
      <c r="A4492" s="140" t="s">
        <v>86</v>
      </c>
      <c r="B4492" s="140" t="s">
        <v>21</v>
      </c>
      <c r="C4492" s="141" t="s">
        <v>538</v>
      </c>
      <c r="D4492" s="140" t="s">
        <v>539</v>
      </c>
      <c r="E4492" s="140">
        <v>12</v>
      </c>
      <c r="F4492" s="142">
        <v>45979.416666666672</v>
      </c>
      <c r="G4492" s="140" t="s">
        <v>845</v>
      </c>
      <c r="H4492" s="140" t="s">
        <v>879</v>
      </c>
    </row>
    <row r="4493" spans="1:8" ht="15.75" customHeight="1">
      <c r="A4493" s="140" t="s">
        <v>86</v>
      </c>
      <c r="B4493" s="140" t="s">
        <v>21</v>
      </c>
      <c r="C4493" s="141" t="s">
        <v>538</v>
      </c>
      <c r="D4493" s="140" t="s">
        <v>539</v>
      </c>
      <c r="E4493" s="140">
        <v>13</v>
      </c>
      <c r="F4493" s="142">
        <v>45979.416666666672</v>
      </c>
      <c r="G4493" s="140" t="s">
        <v>845</v>
      </c>
      <c r="H4493" s="140" t="s">
        <v>879</v>
      </c>
    </row>
    <row r="4494" spans="1:8" ht="15.75" customHeight="1">
      <c r="A4494" s="140" t="s">
        <v>86</v>
      </c>
      <c r="B4494" s="140" t="s">
        <v>21</v>
      </c>
      <c r="C4494" s="141" t="s">
        <v>538</v>
      </c>
      <c r="D4494" s="140" t="s">
        <v>539</v>
      </c>
      <c r="E4494" s="140">
        <v>14</v>
      </c>
      <c r="F4494" s="142">
        <v>45987.625</v>
      </c>
      <c r="G4494" s="140" t="s">
        <v>845</v>
      </c>
      <c r="H4494" s="140" t="s">
        <v>879</v>
      </c>
    </row>
    <row r="4495" spans="1:8" ht="15.75" customHeight="1">
      <c r="A4495" s="140" t="s">
        <v>86</v>
      </c>
      <c r="B4495" s="140" t="s">
        <v>21</v>
      </c>
      <c r="C4495" s="141" t="s">
        <v>538</v>
      </c>
      <c r="D4495" s="140" t="s">
        <v>539</v>
      </c>
      <c r="E4495" s="140">
        <v>15</v>
      </c>
      <c r="F4495" s="142">
        <v>45993.416666666672</v>
      </c>
      <c r="G4495" s="140" t="s">
        <v>845</v>
      </c>
      <c r="H4495" s="140" t="s">
        <v>879</v>
      </c>
    </row>
    <row r="4496" spans="1:8" ht="15.75" customHeight="1">
      <c r="A4496" s="140" t="s">
        <v>86</v>
      </c>
      <c r="B4496" s="140" t="s">
        <v>21</v>
      </c>
      <c r="C4496" s="141" t="s">
        <v>538</v>
      </c>
      <c r="D4496" s="140" t="s">
        <v>539</v>
      </c>
      <c r="E4496" s="140">
        <v>16</v>
      </c>
      <c r="F4496" s="142">
        <v>46000.625</v>
      </c>
      <c r="G4496" s="140" t="s">
        <v>845</v>
      </c>
      <c r="H4496" s="140" t="s">
        <v>879</v>
      </c>
    </row>
    <row r="4497" spans="1:8" ht="15.75" customHeight="1">
      <c r="A4497" s="140" t="s">
        <v>86</v>
      </c>
      <c r="B4497" s="140" t="s">
        <v>22</v>
      </c>
      <c r="C4497" s="141" t="s">
        <v>538</v>
      </c>
      <c r="D4497" s="140" t="s">
        <v>539</v>
      </c>
      <c r="E4497" s="140">
        <v>1</v>
      </c>
      <c r="F4497" s="142">
        <v>46098.625</v>
      </c>
      <c r="G4497" s="140" t="s">
        <v>845</v>
      </c>
      <c r="H4497" s="140" t="s">
        <v>879</v>
      </c>
    </row>
    <row r="4498" spans="1:8" ht="15.75" customHeight="1">
      <c r="A4498" s="140" t="s">
        <v>86</v>
      </c>
      <c r="B4498" s="140" t="s">
        <v>22</v>
      </c>
      <c r="C4498" s="141" t="s">
        <v>538</v>
      </c>
      <c r="D4498" s="140" t="s">
        <v>539</v>
      </c>
      <c r="E4498" s="140">
        <v>2</v>
      </c>
      <c r="F4498" s="142">
        <v>46105.625</v>
      </c>
      <c r="G4498" s="140" t="s">
        <v>845</v>
      </c>
      <c r="H4498" s="140" t="s">
        <v>879</v>
      </c>
    </row>
    <row r="4499" spans="1:8" ht="15.75" customHeight="1">
      <c r="A4499" s="140" t="s">
        <v>86</v>
      </c>
      <c r="B4499" s="140" t="s">
        <v>22</v>
      </c>
      <c r="C4499" s="141" t="s">
        <v>538</v>
      </c>
      <c r="D4499" s="140" t="s">
        <v>539</v>
      </c>
      <c r="E4499" s="140">
        <v>3</v>
      </c>
      <c r="F4499" s="142">
        <v>46112.625</v>
      </c>
      <c r="G4499" s="140" t="s">
        <v>845</v>
      </c>
      <c r="H4499" s="140" t="s">
        <v>879</v>
      </c>
    </row>
    <row r="4500" spans="1:8" ht="15.75" customHeight="1">
      <c r="A4500" s="140" t="s">
        <v>86</v>
      </c>
      <c r="B4500" s="140" t="s">
        <v>22</v>
      </c>
      <c r="C4500" s="141" t="s">
        <v>538</v>
      </c>
      <c r="D4500" s="140" t="s">
        <v>539</v>
      </c>
      <c r="E4500" s="140">
        <v>4</v>
      </c>
      <c r="F4500" s="142">
        <v>46119.625</v>
      </c>
      <c r="G4500" s="140" t="s">
        <v>845</v>
      </c>
      <c r="H4500" s="140" t="s">
        <v>879</v>
      </c>
    </row>
    <row r="4501" spans="1:8" ht="15.75" customHeight="1">
      <c r="A4501" s="140" t="s">
        <v>86</v>
      </c>
      <c r="B4501" s="140" t="s">
        <v>25</v>
      </c>
      <c r="C4501" s="141" t="s">
        <v>538</v>
      </c>
      <c r="D4501" s="140" t="s">
        <v>539</v>
      </c>
      <c r="E4501" s="140">
        <v>1</v>
      </c>
      <c r="F4501" s="142">
        <v>45805.375</v>
      </c>
      <c r="G4501" s="140" t="s">
        <v>845</v>
      </c>
      <c r="H4501" s="140" t="s">
        <v>879</v>
      </c>
    </row>
    <row r="4502" spans="1:8" ht="15.75" customHeight="1">
      <c r="A4502" s="140" t="s">
        <v>86</v>
      </c>
      <c r="B4502" s="140" t="s">
        <v>25</v>
      </c>
      <c r="C4502" s="141" t="s">
        <v>538</v>
      </c>
      <c r="D4502" s="140" t="s">
        <v>539</v>
      </c>
      <c r="E4502" s="140">
        <v>2</v>
      </c>
      <c r="F4502" s="142">
        <v>45811.416666666672</v>
      </c>
      <c r="G4502" s="140" t="s">
        <v>845</v>
      </c>
      <c r="H4502" s="140" t="s">
        <v>879</v>
      </c>
    </row>
    <row r="4503" spans="1:8" ht="15.75" customHeight="1">
      <c r="A4503" s="140" t="s">
        <v>86</v>
      </c>
      <c r="B4503" s="140" t="s">
        <v>25</v>
      </c>
      <c r="C4503" s="141" t="s">
        <v>538</v>
      </c>
      <c r="D4503" s="140" t="s">
        <v>539</v>
      </c>
      <c r="E4503" s="140">
        <v>3</v>
      </c>
      <c r="F4503" s="142">
        <v>45818.416666666672</v>
      </c>
      <c r="G4503" s="140" t="s">
        <v>845</v>
      </c>
      <c r="H4503" s="140" t="s">
        <v>879</v>
      </c>
    </row>
    <row r="4504" spans="1:8" ht="15.75" customHeight="1">
      <c r="A4504" s="140" t="s">
        <v>86</v>
      </c>
      <c r="B4504" s="140" t="s">
        <v>25</v>
      </c>
      <c r="C4504" s="141" t="s">
        <v>538</v>
      </c>
      <c r="D4504" s="140" t="s">
        <v>539</v>
      </c>
      <c r="E4504" s="140">
        <v>4</v>
      </c>
      <c r="F4504" s="142">
        <v>45825.416666666672</v>
      </c>
      <c r="G4504" s="140" t="s">
        <v>845</v>
      </c>
      <c r="H4504" s="140" t="s">
        <v>879</v>
      </c>
    </row>
    <row r="4505" spans="1:8" ht="15.75" customHeight="1">
      <c r="A4505" s="140" t="s">
        <v>86</v>
      </c>
      <c r="B4505" s="140" t="s">
        <v>25</v>
      </c>
      <c r="C4505" s="141" t="s">
        <v>538</v>
      </c>
      <c r="D4505" s="140" t="s">
        <v>539</v>
      </c>
      <c r="E4505" s="140">
        <v>5</v>
      </c>
      <c r="F4505" s="142">
        <v>45839.416666666672</v>
      </c>
      <c r="G4505" s="140" t="s">
        <v>845</v>
      </c>
      <c r="H4505" s="140" t="s">
        <v>879</v>
      </c>
    </row>
    <row r="4506" spans="1:8" ht="15.75" customHeight="1">
      <c r="A4506" s="140" t="s">
        <v>86</v>
      </c>
      <c r="B4506" s="140" t="s">
        <v>25</v>
      </c>
      <c r="C4506" s="141" t="s">
        <v>538</v>
      </c>
      <c r="D4506" s="140" t="s">
        <v>539</v>
      </c>
      <c r="E4506" s="140">
        <v>6</v>
      </c>
      <c r="F4506" s="142">
        <v>45846.416666666672</v>
      </c>
      <c r="G4506" s="140" t="s">
        <v>845</v>
      </c>
      <c r="H4506" s="140" t="s">
        <v>879</v>
      </c>
    </row>
    <row r="4507" spans="1:8" ht="15.75" customHeight="1">
      <c r="A4507" s="140" t="s">
        <v>86</v>
      </c>
      <c r="B4507" s="140" t="s">
        <v>25</v>
      </c>
      <c r="C4507" s="141" t="s">
        <v>538</v>
      </c>
      <c r="D4507" s="140" t="s">
        <v>539</v>
      </c>
      <c r="E4507" s="140">
        <v>7</v>
      </c>
      <c r="F4507" s="142">
        <v>45855.416666666672</v>
      </c>
      <c r="G4507" s="140" t="s">
        <v>845</v>
      </c>
      <c r="H4507" s="140" t="s">
        <v>879</v>
      </c>
    </row>
    <row r="4508" spans="1:8" ht="15.75" customHeight="1">
      <c r="A4508" s="140" t="s">
        <v>86</v>
      </c>
      <c r="B4508" s="140" t="s">
        <v>25</v>
      </c>
      <c r="C4508" s="141" t="s">
        <v>538</v>
      </c>
      <c r="D4508" s="140" t="s">
        <v>539</v>
      </c>
      <c r="E4508" s="140">
        <v>8</v>
      </c>
      <c r="F4508" s="142">
        <v>45860.625</v>
      </c>
      <c r="G4508" s="140" t="s">
        <v>845</v>
      </c>
      <c r="H4508" s="140" t="s">
        <v>879</v>
      </c>
    </row>
    <row r="4509" spans="1:8" ht="15.75" customHeight="1">
      <c r="A4509" s="140" t="s">
        <v>86</v>
      </c>
      <c r="B4509" s="140" t="s">
        <v>25</v>
      </c>
      <c r="C4509" s="141" t="s">
        <v>538</v>
      </c>
      <c r="D4509" s="140" t="s">
        <v>539</v>
      </c>
      <c r="E4509" s="140">
        <v>9</v>
      </c>
      <c r="F4509" s="142">
        <v>45869.458333333328</v>
      </c>
      <c r="G4509" s="140" t="s">
        <v>845</v>
      </c>
      <c r="H4509" s="140" t="s">
        <v>879</v>
      </c>
    </row>
    <row r="4510" spans="1:8" ht="15.75" customHeight="1">
      <c r="A4510" s="140" t="s">
        <v>86</v>
      </c>
      <c r="B4510" s="140" t="s">
        <v>25</v>
      </c>
      <c r="C4510" s="141" t="s">
        <v>538</v>
      </c>
      <c r="D4510" s="140" t="s">
        <v>539</v>
      </c>
      <c r="E4510" s="140">
        <v>10</v>
      </c>
      <c r="F4510" s="142">
        <v>45881.5</v>
      </c>
      <c r="G4510" s="140" t="s">
        <v>845</v>
      </c>
      <c r="H4510" s="140" t="s">
        <v>879</v>
      </c>
    </row>
    <row r="4511" spans="1:8" ht="15.75" customHeight="1">
      <c r="A4511" s="140" t="s">
        <v>86</v>
      </c>
      <c r="B4511" s="140" t="s">
        <v>25</v>
      </c>
      <c r="C4511" s="141" t="s">
        <v>538</v>
      </c>
      <c r="D4511" s="140" t="s">
        <v>539</v>
      </c>
      <c r="E4511" s="140">
        <v>11</v>
      </c>
      <c r="F4511" s="142">
        <v>45888.541666666672</v>
      </c>
      <c r="G4511" s="140" t="s">
        <v>845</v>
      </c>
      <c r="H4511" s="140" t="s">
        <v>879</v>
      </c>
    </row>
    <row r="4512" spans="1:8" ht="15.75" customHeight="1">
      <c r="A4512" s="140" t="s">
        <v>86</v>
      </c>
      <c r="B4512" s="140" t="s">
        <v>25</v>
      </c>
      <c r="C4512" s="141" t="s">
        <v>538</v>
      </c>
      <c r="D4512" s="140" t="s">
        <v>539</v>
      </c>
      <c r="E4512" s="140">
        <v>12</v>
      </c>
      <c r="F4512" s="142">
        <v>45897.458333333328</v>
      </c>
      <c r="G4512" s="140" t="s">
        <v>843</v>
      </c>
      <c r="H4512" s="140" t="s">
        <v>879</v>
      </c>
    </row>
    <row r="4513" spans="1:8" ht="15.75" customHeight="1">
      <c r="A4513" s="140" t="s">
        <v>86</v>
      </c>
      <c r="B4513" s="140" t="s">
        <v>25</v>
      </c>
      <c r="C4513" s="141" t="s">
        <v>538</v>
      </c>
      <c r="D4513" s="140" t="s">
        <v>539</v>
      </c>
      <c r="E4513" s="140">
        <v>13</v>
      </c>
      <c r="F4513" s="142">
        <v>45909.416666666672</v>
      </c>
      <c r="G4513" s="140" t="s">
        <v>845</v>
      </c>
      <c r="H4513" s="140" t="s">
        <v>879</v>
      </c>
    </row>
    <row r="4514" spans="1:8" ht="15.75" customHeight="1">
      <c r="A4514" s="140" t="s">
        <v>86</v>
      </c>
      <c r="B4514" s="140" t="s">
        <v>25</v>
      </c>
      <c r="C4514" s="141" t="s">
        <v>538</v>
      </c>
      <c r="D4514" s="140" t="s">
        <v>539</v>
      </c>
      <c r="E4514" s="140">
        <v>14</v>
      </c>
      <c r="F4514" s="142">
        <v>45923.416666666672</v>
      </c>
      <c r="G4514" s="140" t="s">
        <v>845</v>
      </c>
      <c r="H4514" s="140" t="s">
        <v>879</v>
      </c>
    </row>
    <row r="4515" spans="1:8" ht="15.75" customHeight="1">
      <c r="A4515" s="140" t="s">
        <v>86</v>
      </c>
      <c r="B4515" s="140" t="s">
        <v>25</v>
      </c>
      <c r="C4515" s="141" t="s">
        <v>538</v>
      </c>
      <c r="D4515" s="140" t="s">
        <v>539</v>
      </c>
      <c r="E4515" s="140">
        <v>15</v>
      </c>
      <c r="F4515" s="142">
        <v>45925.625</v>
      </c>
      <c r="G4515" s="140" t="s">
        <v>845</v>
      </c>
      <c r="H4515" s="140" t="s">
        <v>879</v>
      </c>
    </row>
    <row r="4516" spans="1:8" ht="15.75" customHeight="1">
      <c r="A4516" s="140" t="s">
        <v>86</v>
      </c>
      <c r="B4516" s="140" t="s">
        <v>21</v>
      </c>
      <c r="C4516" s="141" t="s">
        <v>629</v>
      </c>
      <c r="D4516" s="140" t="s">
        <v>630</v>
      </c>
      <c r="E4516" s="140">
        <v>2</v>
      </c>
      <c r="F4516" s="142">
        <v>45930.416666666672</v>
      </c>
      <c r="G4516" s="140" t="s">
        <v>845</v>
      </c>
      <c r="H4516" s="140" t="s">
        <v>879</v>
      </c>
    </row>
    <row r="4517" spans="1:8" ht="15.75" customHeight="1">
      <c r="A4517" s="140" t="s">
        <v>86</v>
      </c>
      <c r="B4517" s="140" t="s">
        <v>21</v>
      </c>
      <c r="C4517" s="141" t="s">
        <v>629</v>
      </c>
      <c r="D4517" s="140" t="s">
        <v>630</v>
      </c>
      <c r="E4517" s="140">
        <v>3</v>
      </c>
      <c r="F4517" s="142">
        <v>45932.583333333328</v>
      </c>
      <c r="G4517" s="140" t="s">
        <v>845</v>
      </c>
      <c r="H4517" s="140" t="s">
        <v>879</v>
      </c>
    </row>
    <row r="4518" spans="1:8" ht="15.75" customHeight="1">
      <c r="A4518" s="140" t="s">
        <v>86</v>
      </c>
      <c r="B4518" s="140" t="s">
        <v>21</v>
      </c>
      <c r="C4518" s="141" t="s">
        <v>629</v>
      </c>
      <c r="D4518" s="140" t="s">
        <v>630</v>
      </c>
      <c r="E4518" s="140">
        <v>4</v>
      </c>
      <c r="F4518" s="142">
        <v>45937.416666666672</v>
      </c>
      <c r="G4518" s="140" t="s">
        <v>845</v>
      </c>
      <c r="H4518" s="140" t="s">
        <v>879</v>
      </c>
    </row>
    <row r="4519" spans="1:8" ht="15.75" customHeight="1">
      <c r="A4519" s="140" t="s">
        <v>86</v>
      </c>
      <c r="B4519" s="140" t="s">
        <v>21</v>
      </c>
      <c r="C4519" s="141" t="s">
        <v>629</v>
      </c>
      <c r="D4519" s="140" t="s">
        <v>630</v>
      </c>
      <c r="E4519" s="140">
        <v>5</v>
      </c>
      <c r="F4519" s="142">
        <v>45939.625</v>
      </c>
      <c r="G4519" s="140" t="s">
        <v>845</v>
      </c>
      <c r="H4519" s="140" t="s">
        <v>879</v>
      </c>
    </row>
    <row r="4520" spans="1:8" ht="15.75" customHeight="1">
      <c r="A4520" s="140" t="s">
        <v>86</v>
      </c>
      <c r="B4520" s="140" t="s">
        <v>21</v>
      </c>
      <c r="C4520" s="141" t="s">
        <v>629</v>
      </c>
      <c r="D4520" s="140" t="s">
        <v>630</v>
      </c>
      <c r="E4520" s="140">
        <v>6</v>
      </c>
      <c r="F4520" s="142">
        <v>45951.416666666672</v>
      </c>
      <c r="G4520" s="140" t="s">
        <v>845</v>
      </c>
      <c r="H4520" s="140" t="s">
        <v>879</v>
      </c>
    </row>
    <row r="4521" spans="1:8" ht="15.75" customHeight="1">
      <c r="A4521" s="140" t="s">
        <v>86</v>
      </c>
      <c r="B4521" s="140" t="s">
        <v>21</v>
      </c>
      <c r="C4521" s="141" t="s">
        <v>629</v>
      </c>
      <c r="D4521" s="140" t="s">
        <v>630</v>
      </c>
      <c r="E4521" s="140">
        <v>7</v>
      </c>
      <c r="F4521" s="142">
        <v>45953.625</v>
      </c>
      <c r="G4521" s="140" t="s">
        <v>845</v>
      </c>
      <c r="H4521" s="140" t="s">
        <v>879</v>
      </c>
    </row>
    <row r="4522" spans="1:8" ht="15.75" customHeight="1">
      <c r="A4522" s="140" t="s">
        <v>86</v>
      </c>
      <c r="B4522" s="140" t="s">
        <v>21</v>
      </c>
      <c r="C4522" s="141" t="s">
        <v>629</v>
      </c>
      <c r="D4522" s="140" t="s">
        <v>630</v>
      </c>
      <c r="E4522" s="140">
        <v>8</v>
      </c>
      <c r="F4522" s="142">
        <v>45958.416666666672</v>
      </c>
      <c r="G4522" s="140" t="s">
        <v>845</v>
      </c>
      <c r="H4522" s="140" t="s">
        <v>879</v>
      </c>
    </row>
    <row r="4523" spans="1:8" ht="15.75" customHeight="1">
      <c r="A4523" s="140" t="s">
        <v>86</v>
      </c>
      <c r="B4523" s="140" t="s">
        <v>21</v>
      </c>
      <c r="C4523" s="141" t="s">
        <v>629</v>
      </c>
      <c r="D4523" s="140" t="s">
        <v>630</v>
      </c>
      <c r="E4523" s="140">
        <v>9</v>
      </c>
      <c r="F4523" s="142">
        <v>45958.458333333328</v>
      </c>
      <c r="G4523" s="140" t="s">
        <v>845</v>
      </c>
      <c r="H4523" s="140" t="s">
        <v>879</v>
      </c>
    </row>
    <row r="4524" spans="1:8" ht="15.75" customHeight="1">
      <c r="A4524" s="140" t="s">
        <v>86</v>
      </c>
      <c r="B4524" s="140" t="s">
        <v>21</v>
      </c>
      <c r="C4524" s="141" t="s">
        <v>629</v>
      </c>
      <c r="D4524" s="140" t="s">
        <v>630</v>
      </c>
      <c r="E4524" s="140">
        <v>10</v>
      </c>
      <c r="F4524" s="142">
        <v>45965.625</v>
      </c>
      <c r="G4524" s="140" t="s">
        <v>845</v>
      </c>
      <c r="H4524" s="140" t="s">
        <v>879</v>
      </c>
    </row>
    <row r="4525" spans="1:8" ht="15.75" customHeight="1">
      <c r="A4525" s="140" t="s">
        <v>86</v>
      </c>
      <c r="B4525" s="140" t="s">
        <v>21</v>
      </c>
      <c r="C4525" s="141" t="s">
        <v>629</v>
      </c>
      <c r="D4525" s="140" t="s">
        <v>630</v>
      </c>
      <c r="E4525" s="140">
        <v>11</v>
      </c>
      <c r="F4525" s="142">
        <v>45972.625</v>
      </c>
      <c r="G4525" s="140" t="s">
        <v>845</v>
      </c>
      <c r="H4525" s="140" t="s">
        <v>879</v>
      </c>
    </row>
    <row r="4526" spans="1:8" ht="15.75" customHeight="1">
      <c r="A4526" s="140" t="s">
        <v>86</v>
      </c>
      <c r="B4526" s="140" t="s">
        <v>21</v>
      </c>
      <c r="C4526" s="141" t="s">
        <v>629</v>
      </c>
      <c r="D4526" s="140" t="s">
        <v>630</v>
      </c>
      <c r="E4526" s="140">
        <v>12</v>
      </c>
      <c r="F4526" s="142">
        <v>45979.416666666672</v>
      </c>
      <c r="G4526" s="140" t="s">
        <v>843</v>
      </c>
      <c r="H4526" s="140" t="s">
        <v>879</v>
      </c>
    </row>
    <row r="4527" spans="1:8" ht="15.75" customHeight="1">
      <c r="A4527" s="140" t="s">
        <v>86</v>
      </c>
      <c r="B4527" s="140" t="s">
        <v>21</v>
      </c>
      <c r="C4527" s="141" t="s">
        <v>629</v>
      </c>
      <c r="D4527" s="140" t="s">
        <v>630</v>
      </c>
      <c r="E4527" s="140">
        <v>13</v>
      </c>
      <c r="F4527" s="142">
        <v>45979.416666666672</v>
      </c>
      <c r="G4527" s="140" t="s">
        <v>843</v>
      </c>
      <c r="H4527" s="140" t="s">
        <v>879</v>
      </c>
    </row>
    <row r="4528" spans="1:8" ht="15.75" customHeight="1">
      <c r="A4528" s="140" t="s">
        <v>86</v>
      </c>
      <c r="B4528" s="140" t="s">
        <v>21</v>
      </c>
      <c r="C4528" s="141" t="s">
        <v>629</v>
      </c>
      <c r="D4528" s="140" t="s">
        <v>630</v>
      </c>
      <c r="E4528" s="140">
        <v>14</v>
      </c>
      <c r="F4528" s="142">
        <v>45987.625</v>
      </c>
      <c r="G4528" s="140" t="s">
        <v>843</v>
      </c>
      <c r="H4528" s="140" t="s">
        <v>879</v>
      </c>
    </row>
    <row r="4529" spans="1:8" ht="15.75" customHeight="1">
      <c r="A4529" s="140" t="s">
        <v>86</v>
      </c>
      <c r="B4529" s="140" t="s">
        <v>21</v>
      </c>
      <c r="C4529" s="141" t="s">
        <v>629</v>
      </c>
      <c r="D4529" s="140" t="s">
        <v>630</v>
      </c>
      <c r="E4529" s="140">
        <v>15</v>
      </c>
      <c r="F4529" s="142">
        <v>45993.416666666672</v>
      </c>
      <c r="G4529" s="140" t="s">
        <v>843</v>
      </c>
      <c r="H4529" s="140" t="s">
        <v>879</v>
      </c>
    </row>
    <row r="4530" spans="1:8" ht="15.75" customHeight="1">
      <c r="A4530" s="140" t="s">
        <v>86</v>
      </c>
      <c r="B4530" s="140" t="s">
        <v>21</v>
      </c>
      <c r="C4530" s="141" t="s">
        <v>629</v>
      </c>
      <c r="D4530" s="140" t="s">
        <v>630</v>
      </c>
      <c r="E4530" s="140">
        <v>16</v>
      </c>
      <c r="F4530" s="142">
        <v>46000.625</v>
      </c>
      <c r="G4530" s="140" t="s">
        <v>843</v>
      </c>
      <c r="H4530" s="140" t="s">
        <v>879</v>
      </c>
    </row>
    <row r="4531" spans="1:8" ht="15.75" customHeight="1">
      <c r="A4531" s="140" t="s">
        <v>86</v>
      </c>
      <c r="B4531" s="140" t="s">
        <v>25</v>
      </c>
      <c r="C4531" s="141" t="s">
        <v>629</v>
      </c>
      <c r="D4531" s="140" t="s">
        <v>630</v>
      </c>
      <c r="E4531" s="140">
        <v>1</v>
      </c>
      <c r="F4531" s="142">
        <v>45805.375</v>
      </c>
      <c r="G4531" s="140" t="s">
        <v>845</v>
      </c>
      <c r="H4531" s="140" t="s">
        <v>879</v>
      </c>
    </row>
    <row r="4532" spans="1:8" ht="15.75" customHeight="1">
      <c r="A4532" s="140" t="s">
        <v>86</v>
      </c>
      <c r="B4532" s="140" t="s">
        <v>25</v>
      </c>
      <c r="C4532" s="141" t="s">
        <v>629</v>
      </c>
      <c r="D4532" s="140" t="s">
        <v>630</v>
      </c>
      <c r="E4532" s="140">
        <v>2</v>
      </c>
      <c r="F4532" s="142">
        <v>45811.416666666672</v>
      </c>
      <c r="G4532" s="140" t="s">
        <v>845</v>
      </c>
      <c r="H4532" s="140" t="s">
        <v>879</v>
      </c>
    </row>
    <row r="4533" spans="1:8" ht="15.75" customHeight="1">
      <c r="A4533" s="140" t="s">
        <v>86</v>
      </c>
      <c r="B4533" s="140" t="s">
        <v>25</v>
      </c>
      <c r="C4533" s="141" t="s">
        <v>629</v>
      </c>
      <c r="D4533" s="140" t="s">
        <v>630</v>
      </c>
      <c r="E4533" s="140">
        <v>3</v>
      </c>
      <c r="F4533" s="142">
        <v>45818.416666666672</v>
      </c>
      <c r="G4533" s="140" t="s">
        <v>845</v>
      </c>
      <c r="H4533" s="140" t="s">
        <v>879</v>
      </c>
    </row>
    <row r="4534" spans="1:8" ht="15.75" customHeight="1">
      <c r="A4534" s="140" t="s">
        <v>86</v>
      </c>
      <c r="B4534" s="140" t="s">
        <v>25</v>
      </c>
      <c r="C4534" s="141" t="s">
        <v>629</v>
      </c>
      <c r="D4534" s="140" t="s">
        <v>630</v>
      </c>
      <c r="E4534" s="140">
        <v>4</v>
      </c>
      <c r="F4534" s="142">
        <v>45825.416666666672</v>
      </c>
      <c r="G4534" s="140" t="s">
        <v>845</v>
      </c>
      <c r="H4534" s="140" t="s">
        <v>879</v>
      </c>
    </row>
    <row r="4535" spans="1:8" ht="15.75" customHeight="1">
      <c r="A4535" s="140" t="s">
        <v>86</v>
      </c>
      <c r="B4535" s="140" t="s">
        <v>25</v>
      </c>
      <c r="C4535" s="141" t="s">
        <v>629</v>
      </c>
      <c r="D4535" s="140" t="s">
        <v>630</v>
      </c>
      <c r="E4535" s="140">
        <v>5</v>
      </c>
      <c r="F4535" s="142">
        <v>45839.416666666672</v>
      </c>
      <c r="G4535" s="140" t="s">
        <v>845</v>
      </c>
      <c r="H4535" s="140" t="s">
        <v>879</v>
      </c>
    </row>
    <row r="4536" spans="1:8" ht="15.75" customHeight="1">
      <c r="A4536" s="140" t="s">
        <v>86</v>
      </c>
      <c r="B4536" s="140" t="s">
        <v>25</v>
      </c>
      <c r="C4536" s="141" t="s">
        <v>629</v>
      </c>
      <c r="D4536" s="140" t="s">
        <v>630</v>
      </c>
      <c r="E4536" s="140">
        <v>6</v>
      </c>
      <c r="F4536" s="142">
        <v>45846.416666666672</v>
      </c>
      <c r="G4536" s="140" t="s">
        <v>845</v>
      </c>
      <c r="H4536" s="140" t="s">
        <v>879</v>
      </c>
    </row>
    <row r="4537" spans="1:8" ht="15.75" customHeight="1">
      <c r="A4537" s="140" t="s">
        <v>86</v>
      </c>
      <c r="B4537" s="140" t="s">
        <v>25</v>
      </c>
      <c r="C4537" s="141" t="s">
        <v>629</v>
      </c>
      <c r="D4537" s="140" t="s">
        <v>630</v>
      </c>
      <c r="E4537" s="140">
        <v>7</v>
      </c>
      <c r="F4537" s="142">
        <v>45855.416666666672</v>
      </c>
      <c r="G4537" s="140" t="s">
        <v>845</v>
      </c>
      <c r="H4537" s="140" t="s">
        <v>879</v>
      </c>
    </row>
    <row r="4538" spans="1:8" ht="15.75" customHeight="1">
      <c r="A4538" s="140" t="s">
        <v>86</v>
      </c>
      <c r="B4538" s="140" t="s">
        <v>25</v>
      </c>
      <c r="C4538" s="141" t="s">
        <v>629</v>
      </c>
      <c r="D4538" s="140" t="s">
        <v>630</v>
      </c>
      <c r="E4538" s="140">
        <v>8</v>
      </c>
      <c r="F4538" s="142">
        <v>45860.625</v>
      </c>
      <c r="G4538" s="140" t="s">
        <v>845</v>
      </c>
      <c r="H4538" s="140" t="s">
        <v>879</v>
      </c>
    </row>
    <row r="4539" spans="1:8" ht="15.75" customHeight="1">
      <c r="A4539" s="140" t="s">
        <v>86</v>
      </c>
      <c r="B4539" s="140" t="s">
        <v>25</v>
      </c>
      <c r="C4539" s="141" t="s">
        <v>629</v>
      </c>
      <c r="D4539" s="140" t="s">
        <v>630</v>
      </c>
      <c r="E4539" s="140">
        <v>9</v>
      </c>
      <c r="F4539" s="142">
        <v>45869.458333333328</v>
      </c>
      <c r="G4539" s="140" t="s">
        <v>845</v>
      </c>
      <c r="H4539" s="140" t="s">
        <v>879</v>
      </c>
    </row>
    <row r="4540" spans="1:8" ht="15.75" customHeight="1">
      <c r="A4540" s="140" t="s">
        <v>86</v>
      </c>
      <c r="B4540" s="140" t="s">
        <v>25</v>
      </c>
      <c r="C4540" s="141" t="s">
        <v>629</v>
      </c>
      <c r="D4540" s="140" t="s">
        <v>630</v>
      </c>
      <c r="E4540" s="140">
        <v>10</v>
      </c>
      <c r="F4540" s="142">
        <v>45881.5</v>
      </c>
      <c r="G4540" s="140" t="s">
        <v>845</v>
      </c>
      <c r="H4540" s="140" t="s">
        <v>879</v>
      </c>
    </row>
    <row r="4541" spans="1:8" ht="15.75" customHeight="1">
      <c r="A4541" s="140" t="s">
        <v>86</v>
      </c>
      <c r="B4541" s="140" t="s">
        <v>25</v>
      </c>
      <c r="C4541" s="141" t="s">
        <v>629</v>
      </c>
      <c r="D4541" s="140" t="s">
        <v>630</v>
      </c>
      <c r="E4541" s="140">
        <v>11</v>
      </c>
      <c r="F4541" s="142">
        <v>45888.541666666672</v>
      </c>
      <c r="G4541" s="140" t="s">
        <v>845</v>
      </c>
      <c r="H4541" s="140" t="s">
        <v>879</v>
      </c>
    </row>
    <row r="4542" spans="1:8" ht="15.75" customHeight="1">
      <c r="A4542" s="140" t="s">
        <v>86</v>
      </c>
      <c r="B4542" s="140" t="s">
        <v>25</v>
      </c>
      <c r="C4542" s="141" t="s">
        <v>629</v>
      </c>
      <c r="D4542" s="140" t="s">
        <v>630</v>
      </c>
      <c r="E4542" s="140">
        <v>12</v>
      </c>
      <c r="F4542" s="142">
        <v>45897.458333333328</v>
      </c>
      <c r="G4542" s="140" t="s">
        <v>845</v>
      </c>
      <c r="H4542" s="140" t="s">
        <v>879</v>
      </c>
    </row>
    <row r="4543" spans="1:8" ht="15.75" customHeight="1">
      <c r="A4543" s="140" t="s">
        <v>86</v>
      </c>
      <c r="B4543" s="140" t="s">
        <v>25</v>
      </c>
      <c r="C4543" s="141" t="s">
        <v>629</v>
      </c>
      <c r="D4543" s="140" t="s">
        <v>630</v>
      </c>
      <c r="E4543" s="140">
        <v>13</v>
      </c>
      <c r="F4543" s="142">
        <v>45909.416666666672</v>
      </c>
      <c r="G4543" s="140" t="s">
        <v>845</v>
      </c>
      <c r="H4543" s="140" t="s">
        <v>879</v>
      </c>
    </row>
    <row r="4544" spans="1:8" ht="15.75" customHeight="1">
      <c r="A4544" s="140" t="s">
        <v>86</v>
      </c>
      <c r="B4544" s="140" t="s">
        <v>25</v>
      </c>
      <c r="C4544" s="141" t="s">
        <v>629</v>
      </c>
      <c r="D4544" s="140" t="s">
        <v>630</v>
      </c>
      <c r="E4544" s="140">
        <v>14</v>
      </c>
      <c r="F4544" s="142">
        <v>45923.416666666672</v>
      </c>
      <c r="G4544" s="140" t="s">
        <v>845</v>
      </c>
      <c r="H4544" s="140" t="s">
        <v>879</v>
      </c>
    </row>
    <row r="4545" spans="1:8" ht="15.75" customHeight="1">
      <c r="A4545" s="140" t="s">
        <v>86</v>
      </c>
      <c r="B4545" s="140" t="s">
        <v>25</v>
      </c>
      <c r="C4545" s="141" t="s">
        <v>629</v>
      </c>
      <c r="D4545" s="140" t="s">
        <v>630</v>
      </c>
      <c r="E4545" s="140">
        <v>15</v>
      </c>
      <c r="F4545" s="142">
        <v>45925.625</v>
      </c>
      <c r="G4545" s="140" t="s">
        <v>845</v>
      </c>
      <c r="H4545" s="140" t="s">
        <v>879</v>
      </c>
    </row>
    <row r="4546" spans="1:8" ht="15.75" customHeight="1">
      <c r="A4546" s="140" t="s">
        <v>86</v>
      </c>
      <c r="B4546" s="140" t="s">
        <v>21</v>
      </c>
      <c r="C4546" s="141" t="s">
        <v>679</v>
      </c>
      <c r="D4546" s="140" t="s">
        <v>680</v>
      </c>
      <c r="E4546" s="140">
        <v>2</v>
      </c>
      <c r="F4546" s="142">
        <v>45930.416666666672</v>
      </c>
      <c r="G4546" s="140" t="s">
        <v>845</v>
      </c>
      <c r="H4546" s="140" t="s">
        <v>879</v>
      </c>
    </row>
    <row r="4547" spans="1:8" ht="15.75" customHeight="1">
      <c r="A4547" s="140" t="s">
        <v>86</v>
      </c>
      <c r="B4547" s="140" t="s">
        <v>21</v>
      </c>
      <c r="C4547" s="141" t="s">
        <v>679</v>
      </c>
      <c r="D4547" s="140" t="s">
        <v>680</v>
      </c>
      <c r="E4547" s="140">
        <v>3</v>
      </c>
      <c r="F4547" s="142">
        <v>45932.583333333328</v>
      </c>
      <c r="G4547" s="140" t="s">
        <v>845</v>
      </c>
      <c r="H4547" s="140" t="s">
        <v>879</v>
      </c>
    </row>
    <row r="4548" spans="1:8" ht="15.75" customHeight="1">
      <c r="A4548" s="140" t="s">
        <v>86</v>
      </c>
      <c r="B4548" s="140" t="s">
        <v>21</v>
      </c>
      <c r="C4548" s="141" t="s">
        <v>679</v>
      </c>
      <c r="D4548" s="140" t="s">
        <v>680</v>
      </c>
      <c r="E4548" s="140">
        <v>4</v>
      </c>
      <c r="F4548" s="142">
        <v>45937.416666666672</v>
      </c>
      <c r="G4548" s="140" t="s">
        <v>843</v>
      </c>
      <c r="H4548" s="140" t="s">
        <v>879</v>
      </c>
    </row>
    <row r="4549" spans="1:8" ht="15.75" customHeight="1">
      <c r="A4549" s="140" t="s">
        <v>86</v>
      </c>
      <c r="B4549" s="140" t="s">
        <v>21</v>
      </c>
      <c r="C4549" s="141" t="s">
        <v>679</v>
      </c>
      <c r="D4549" s="140" t="s">
        <v>680</v>
      </c>
      <c r="E4549" s="140">
        <v>5</v>
      </c>
      <c r="F4549" s="142">
        <v>45939.625</v>
      </c>
      <c r="G4549" s="140" t="s">
        <v>845</v>
      </c>
      <c r="H4549" s="140" t="s">
        <v>879</v>
      </c>
    </row>
    <row r="4550" spans="1:8" ht="15.75" customHeight="1">
      <c r="A4550" s="140" t="s">
        <v>86</v>
      </c>
      <c r="B4550" s="140" t="s">
        <v>21</v>
      </c>
      <c r="C4550" s="141" t="s">
        <v>679</v>
      </c>
      <c r="D4550" s="140" t="s">
        <v>680</v>
      </c>
      <c r="E4550" s="140">
        <v>6</v>
      </c>
      <c r="F4550" s="142">
        <v>45951.416666666672</v>
      </c>
      <c r="G4550" s="140" t="s">
        <v>843</v>
      </c>
      <c r="H4550" s="140" t="s">
        <v>879</v>
      </c>
    </row>
    <row r="4551" spans="1:8" ht="15.75" customHeight="1">
      <c r="A4551" s="140" t="s">
        <v>86</v>
      </c>
      <c r="B4551" s="140" t="s">
        <v>21</v>
      </c>
      <c r="C4551" s="141" t="s">
        <v>679</v>
      </c>
      <c r="D4551" s="140" t="s">
        <v>680</v>
      </c>
      <c r="E4551" s="140">
        <v>7</v>
      </c>
      <c r="F4551" s="142">
        <v>45953.625</v>
      </c>
      <c r="G4551" s="140" t="s">
        <v>845</v>
      </c>
      <c r="H4551" s="140" t="s">
        <v>879</v>
      </c>
    </row>
    <row r="4552" spans="1:8" ht="15.75" customHeight="1">
      <c r="A4552" s="140" t="s">
        <v>86</v>
      </c>
      <c r="B4552" s="140" t="s">
        <v>21</v>
      </c>
      <c r="C4552" s="141" t="s">
        <v>679</v>
      </c>
      <c r="D4552" s="140" t="s">
        <v>680</v>
      </c>
      <c r="E4552" s="140">
        <v>8</v>
      </c>
      <c r="F4552" s="142">
        <v>45958.416666666672</v>
      </c>
      <c r="G4552" s="140" t="s">
        <v>843</v>
      </c>
      <c r="H4552" s="140" t="s">
        <v>879</v>
      </c>
    </row>
    <row r="4553" spans="1:8" ht="15.75" customHeight="1">
      <c r="A4553" s="140" t="s">
        <v>86</v>
      </c>
      <c r="B4553" s="140" t="s">
        <v>21</v>
      </c>
      <c r="C4553" s="141" t="s">
        <v>679</v>
      </c>
      <c r="D4553" s="140" t="s">
        <v>680</v>
      </c>
      <c r="E4553" s="140">
        <v>9</v>
      </c>
      <c r="F4553" s="142">
        <v>45958.458333333328</v>
      </c>
      <c r="G4553" s="140" t="s">
        <v>845</v>
      </c>
      <c r="H4553" s="140" t="s">
        <v>879</v>
      </c>
    </row>
    <row r="4554" spans="1:8" ht="15.75" customHeight="1">
      <c r="A4554" s="140" t="s">
        <v>86</v>
      </c>
      <c r="B4554" s="140" t="s">
        <v>21</v>
      </c>
      <c r="C4554" s="141" t="s">
        <v>679</v>
      </c>
      <c r="D4554" s="140" t="s">
        <v>680</v>
      </c>
      <c r="E4554" s="140">
        <v>10</v>
      </c>
      <c r="F4554" s="142">
        <v>45965.625</v>
      </c>
      <c r="G4554" s="140" t="s">
        <v>845</v>
      </c>
      <c r="H4554" s="140" t="s">
        <v>879</v>
      </c>
    </row>
    <row r="4555" spans="1:8" ht="15.75" customHeight="1">
      <c r="A4555" s="140" t="s">
        <v>86</v>
      </c>
      <c r="B4555" s="140" t="s">
        <v>21</v>
      </c>
      <c r="C4555" s="141" t="s">
        <v>679</v>
      </c>
      <c r="D4555" s="140" t="s">
        <v>680</v>
      </c>
      <c r="E4555" s="140">
        <v>11</v>
      </c>
      <c r="F4555" s="142">
        <v>45972.625</v>
      </c>
      <c r="G4555" s="140" t="s">
        <v>843</v>
      </c>
      <c r="H4555" s="140" t="s">
        <v>879</v>
      </c>
    </row>
    <row r="4556" spans="1:8" ht="15.75" customHeight="1">
      <c r="A4556" s="140" t="s">
        <v>86</v>
      </c>
      <c r="B4556" s="140" t="s">
        <v>21</v>
      </c>
      <c r="C4556" s="141" t="s">
        <v>679</v>
      </c>
      <c r="D4556" s="140" t="s">
        <v>680</v>
      </c>
      <c r="E4556" s="140">
        <v>12</v>
      </c>
      <c r="F4556" s="142">
        <v>45979.416666666672</v>
      </c>
      <c r="G4556" s="140" t="s">
        <v>845</v>
      </c>
      <c r="H4556" s="140" t="s">
        <v>879</v>
      </c>
    </row>
    <row r="4557" spans="1:8" ht="15.75" customHeight="1">
      <c r="A4557" s="140" t="s">
        <v>86</v>
      </c>
      <c r="B4557" s="140" t="s">
        <v>21</v>
      </c>
      <c r="C4557" s="141" t="s">
        <v>679</v>
      </c>
      <c r="D4557" s="140" t="s">
        <v>680</v>
      </c>
      <c r="E4557" s="140">
        <v>13</v>
      </c>
      <c r="F4557" s="142">
        <v>45979.416666666672</v>
      </c>
      <c r="G4557" s="140" t="s">
        <v>845</v>
      </c>
      <c r="H4557" s="140" t="s">
        <v>879</v>
      </c>
    </row>
    <row r="4558" spans="1:8" ht="15.75" customHeight="1">
      <c r="A4558" s="140" t="s">
        <v>86</v>
      </c>
      <c r="B4558" s="140" t="s">
        <v>21</v>
      </c>
      <c r="C4558" s="141" t="s">
        <v>679</v>
      </c>
      <c r="D4558" s="140" t="s">
        <v>680</v>
      </c>
      <c r="E4558" s="140">
        <v>14</v>
      </c>
      <c r="F4558" s="142">
        <v>45987.625</v>
      </c>
      <c r="G4558" s="140" t="s">
        <v>845</v>
      </c>
      <c r="H4558" s="140" t="s">
        <v>879</v>
      </c>
    </row>
    <row r="4559" spans="1:8" ht="15.75" customHeight="1">
      <c r="A4559" s="140" t="s">
        <v>86</v>
      </c>
      <c r="B4559" s="140" t="s">
        <v>21</v>
      </c>
      <c r="C4559" s="141" t="s">
        <v>679</v>
      </c>
      <c r="D4559" s="140" t="s">
        <v>680</v>
      </c>
      <c r="E4559" s="140">
        <v>15</v>
      </c>
      <c r="F4559" s="142">
        <v>45993.416666666672</v>
      </c>
      <c r="G4559" s="140" t="s">
        <v>845</v>
      </c>
      <c r="H4559" s="140" t="s">
        <v>879</v>
      </c>
    </row>
    <row r="4560" spans="1:8" ht="15.75" customHeight="1">
      <c r="A4560" s="140" t="s">
        <v>86</v>
      </c>
      <c r="B4560" s="140" t="s">
        <v>21</v>
      </c>
      <c r="C4560" s="141" t="s">
        <v>679</v>
      </c>
      <c r="D4560" s="140" t="s">
        <v>680</v>
      </c>
      <c r="E4560" s="140">
        <v>16</v>
      </c>
      <c r="F4560" s="142">
        <v>46000.625</v>
      </c>
      <c r="G4560" s="140" t="s">
        <v>845</v>
      </c>
      <c r="H4560" s="140" t="s">
        <v>879</v>
      </c>
    </row>
    <row r="4561" spans="1:8" ht="15.75" customHeight="1">
      <c r="A4561" s="140" t="s">
        <v>86</v>
      </c>
      <c r="B4561" s="140" t="s">
        <v>25</v>
      </c>
      <c r="C4561" s="141" t="s">
        <v>679</v>
      </c>
      <c r="D4561" s="140" t="s">
        <v>680</v>
      </c>
      <c r="E4561" s="140">
        <v>1</v>
      </c>
      <c r="F4561" s="142">
        <v>45805.375</v>
      </c>
      <c r="G4561" s="140" t="s">
        <v>845</v>
      </c>
      <c r="H4561" s="140" t="s">
        <v>879</v>
      </c>
    </row>
    <row r="4562" spans="1:8" ht="15.75" customHeight="1">
      <c r="A4562" s="140" t="s">
        <v>86</v>
      </c>
      <c r="B4562" s="140" t="s">
        <v>25</v>
      </c>
      <c r="C4562" s="141" t="s">
        <v>679</v>
      </c>
      <c r="D4562" s="140" t="s">
        <v>680</v>
      </c>
      <c r="E4562" s="140">
        <v>2</v>
      </c>
      <c r="F4562" s="142">
        <v>45811.416666666672</v>
      </c>
      <c r="G4562" s="140" t="s">
        <v>845</v>
      </c>
      <c r="H4562" s="140" t="s">
        <v>879</v>
      </c>
    </row>
    <row r="4563" spans="1:8" ht="15.75" customHeight="1">
      <c r="A4563" s="140" t="s">
        <v>86</v>
      </c>
      <c r="B4563" s="140" t="s">
        <v>25</v>
      </c>
      <c r="C4563" s="141" t="s">
        <v>679</v>
      </c>
      <c r="D4563" s="140" t="s">
        <v>680</v>
      </c>
      <c r="E4563" s="140">
        <v>3</v>
      </c>
      <c r="F4563" s="142">
        <v>45818.416666666672</v>
      </c>
      <c r="G4563" s="140" t="s">
        <v>845</v>
      </c>
      <c r="H4563" s="140" t="s">
        <v>879</v>
      </c>
    </row>
    <row r="4564" spans="1:8" ht="15.75" customHeight="1">
      <c r="A4564" s="140" t="s">
        <v>86</v>
      </c>
      <c r="B4564" s="140" t="s">
        <v>25</v>
      </c>
      <c r="C4564" s="141" t="s">
        <v>679</v>
      </c>
      <c r="D4564" s="140" t="s">
        <v>680</v>
      </c>
      <c r="E4564" s="140">
        <v>4</v>
      </c>
      <c r="F4564" s="142">
        <v>45825.416666666672</v>
      </c>
      <c r="G4564" s="140" t="s">
        <v>845</v>
      </c>
      <c r="H4564" s="140" t="s">
        <v>879</v>
      </c>
    </row>
    <row r="4565" spans="1:8" ht="15.75" customHeight="1">
      <c r="A4565" s="140" t="s">
        <v>86</v>
      </c>
      <c r="B4565" s="140" t="s">
        <v>25</v>
      </c>
      <c r="C4565" s="141" t="s">
        <v>679</v>
      </c>
      <c r="D4565" s="140" t="s">
        <v>680</v>
      </c>
      <c r="E4565" s="140">
        <v>5</v>
      </c>
      <c r="F4565" s="142">
        <v>45839.416666666672</v>
      </c>
      <c r="G4565" s="140" t="s">
        <v>845</v>
      </c>
      <c r="H4565" s="140" t="s">
        <v>879</v>
      </c>
    </row>
    <row r="4566" spans="1:8" ht="15.75" customHeight="1">
      <c r="A4566" s="140" t="s">
        <v>86</v>
      </c>
      <c r="B4566" s="140" t="s">
        <v>25</v>
      </c>
      <c r="C4566" s="141" t="s">
        <v>679</v>
      </c>
      <c r="D4566" s="140" t="s">
        <v>680</v>
      </c>
      <c r="E4566" s="140">
        <v>6</v>
      </c>
      <c r="F4566" s="142">
        <v>45846.416666666672</v>
      </c>
      <c r="G4566" s="140" t="s">
        <v>845</v>
      </c>
      <c r="H4566" s="140" t="s">
        <v>879</v>
      </c>
    </row>
    <row r="4567" spans="1:8" ht="15.75" customHeight="1">
      <c r="A4567" s="140" t="s">
        <v>86</v>
      </c>
      <c r="B4567" s="140" t="s">
        <v>25</v>
      </c>
      <c r="C4567" s="141" t="s">
        <v>679</v>
      </c>
      <c r="D4567" s="140" t="s">
        <v>680</v>
      </c>
      <c r="E4567" s="140">
        <v>7</v>
      </c>
      <c r="F4567" s="142">
        <v>45855.416666666672</v>
      </c>
      <c r="G4567" s="140" t="s">
        <v>845</v>
      </c>
      <c r="H4567" s="140" t="s">
        <v>879</v>
      </c>
    </row>
    <row r="4568" spans="1:8" ht="15.75" customHeight="1">
      <c r="A4568" s="140" t="s">
        <v>86</v>
      </c>
      <c r="B4568" s="140" t="s">
        <v>25</v>
      </c>
      <c r="C4568" s="141" t="s">
        <v>679</v>
      </c>
      <c r="D4568" s="140" t="s">
        <v>680</v>
      </c>
      <c r="E4568" s="140">
        <v>8</v>
      </c>
      <c r="F4568" s="142">
        <v>45860.625</v>
      </c>
      <c r="G4568" s="140" t="s">
        <v>843</v>
      </c>
      <c r="H4568" s="140" t="s">
        <v>879</v>
      </c>
    </row>
    <row r="4569" spans="1:8" ht="15.75" customHeight="1">
      <c r="A4569" s="140" t="s">
        <v>86</v>
      </c>
      <c r="B4569" s="140" t="s">
        <v>25</v>
      </c>
      <c r="C4569" s="141" t="s">
        <v>679</v>
      </c>
      <c r="D4569" s="140" t="s">
        <v>680</v>
      </c>
      <c r="E4569" s="140">
        <v>9</v>
      </c>
      <c r="F4569" s="142">
        <v>45869.458333333328</v>
      </c>
      <c r="G4569" s="140" t="s">
        <v>845</v>
      </c>
      <c r="H4569" s="140" t="s">
        <v>879</v>
      </c>
    </row>
    <row r="4570" spans="1:8" ht="15.75" customHeight="1">
      <c r="A4570" s="140" t="s">
        <v>86</v>
      </c>
      <c r="B4570" s="140" t="s">
        <v>25</v>
      </c>
      <c r="C4570" s="141" t="s">
        <v>679</v>
      </c>
      <c r="D4570" s="140" t="s">
        <v>680</v>
      </c>
      <c r="E4570" s="140">
        <v>10</v>
      </c>
      <c r="F4570" s="142">
        <v>45881.5</v>
      </c>
      <c r="G4570" s="140" t="s">
        <v>845</v>
      </c>
      <c r="H4570" s="140" t="s">
        <v>879</v>
      </c>
    </row>
    <row r="4571" spans="1:8" ht="15.75" customHeight="1">
      <c r="A4571" s="140" t="s">
        <v>86</v>
      </c>
      <c r="B4571" s="140" t="s">
        <v>25</v>
      </c>
      <c r="C4571" s="141" t="s">
        <v>679</v>
      </c>
      <c r="D4571" s="140" t="s">
        <v>680</v>
      </c>
      <c r="E4571" s="140">
        <v>11</v>
      </c>
      <c r="F4571" s="142">
        <v>45888.541666666672</v>
      </c>
      <c r="G4571" s="140" t="s">
        <v>845</v>
      </c>
      <c r="H4571" s="140" t="s">
        <v>879</v>
      </c>
    </row>
    <row r="4572" spans="1:8" ht="15.75" customHeight="1">
      <c r="A4572" s="140" t="s">
        <v>86</v>
      </c>
      <c r="B4572" s="140" t="s">
        <v>25</v>
      </c>
      <c r="C4572" s="141" t="s">
        <v>679</v>
      </c>
      <c r="D4572" s="140" t="s">
        <v>680</v>
      </c>
      <c r="E4572" s="140">
        <v>12</v>
      </c>
      <c r="F4572" s="142">
        <v>45897.458333333328</v>
      </c>
      <c r="G4572" s="140" t="s">
        <v>845</v>
      </c>
      <c r="H4572" s="140" t="s">
        <v>879</v>
      </c>
    </row>
    <row r="4573" spans="1:8" ht="15.75" customHeight="1">
      <c r="A4573" s="140" t="s">
        <v>86</v>
      </c>
      <c r="B4573" s="140" t="s">
        <v>25</v>
      </c>
      <c r="C4573" s="141" t="s">
        <v>679</v>
      </c>
      <c r="D4573" s="140" t="s">
        <v>680</v>
      </c>
      <c r="E4573" s="140">
        <v>13</v>
      </c>
      <c r="F4573" s="142">
        <v>45909.416666666672</v>
      </c>
      <c r="G4573" s="140" t="s">
        <v>845</v>
      </c>
      <c r="H4573" s="140" t="s">
        <v>879</v>
      </c>
    </row>
    <row r="4574" spans="1:8" ht="15.75" customHeight="1">
      <c r="A4574" s="140" t="s">
        <v>86</v>
      </c>
      <c r="B4574" s="140" t="s">
        <v>25</v>
      </c>
      <c r="C4574" s="141" t="s">
        <v>679</v>
      </c>
      <c r="D4574" s="140" t="s">
        <v>680</v>
      </c>
      <c r="E4574" s="140">
        <v>14</v>
      </c>
      <c r="F4574" s="142">
        <v>45923.416666666672</v>
      </c>
      <c r="G4574" s="140" t="s">
        <v>845</v>
      </c>
      <c r="H4574" s="140" t="s">
        <v>879</v>
      </c>
    </row>
    <row r="4575" spans="1:8" ht="15.75" customHeight="1">
      <c r="A4575" s="140" t="s">
        <v>86</v>
      </c>
      <c r="B4575" s="140" t="s">
        <v>25</v>
      </c>
      <c r="C4575" s="141" t="s">
        <v>679</v>
      </c>
      <c r="D4575" s="140" t="s">
        <v>680</v>
      </c>
      <c r="E4575" s="140">
        <v>15</v>
      </c>
      <c r="F4575" s="142">
        <v>45925.625</v>
      </c>
      <c r="G4575" s="140" t="s">
        <v>843</v>
      </c>
      <c r="H4575" s="140" t="s">
        <v>879</v>
      </c>
    </row>
    <row r="4576" spans="1:8" ht="15.75" customHeight="1">
      <c r="A4576" s="140" t="s">
        <v>86</v>
      </c>
      <c r="B4576" s="140" t="s">
        <v>21</v>
      </c>
      <c r="C4576" s="141" t="s">
        <v>691</v>
      </c>
      <c r="D4576" s="140" t="s">
        <v>692</v>
      </c>
      <c r="E4576" s="140">
        <v>2</v>
      </c>
      <c r="F4576" s="142">
        <v>45930.416666666672</v>
      </c>
      <c r="G4576" s="140" t="s">
        <v>845</v>
      </c>
      <c r="H4576" s="140" t="s">
        <v>879</v>
      </c>
    </row>
    <row r="4577" spans="1:8" ht="15.75" customHeight="1">
      <c r="A4577" s="140" t="s">
        <v>86</v>
      </c>
      <c r="B4577" s="140" t="s">
        <v>21</v>
      </c>
      <c r="C4577" s="141" t="s">
        <v>691</v>
      </c>
      <c r="D4577" s="140" t="s">
        <v>692</v>
      </c>
      <c r="E4577" s="140">
        <v>3</v>
      </c>
      <c r="F4577" s="142">
        <v>45932.583333333328</v>
      </c>
      <c r="G4577" s="140" t="s">
        <v>845</v>
      </c>
      <c r="H4577" s="140" t="s">
        <v>879</v>
      </c>
    </row>
    <row r="4578" spans="1:8" ht="15.75" customHeight="1">
      <c r="A4578" s="140" t="s">
        <v>86</v>
      </c>
      <c r="B4578" s="140" t="s">
        <v>21</v>
      </c>
      <c r="C4578" s="141" t="s">
        <v>691</v>
      </c>
      <c r="D4578" s="140" t="s">
        <v>692</v>
      </c>
      <c r="E4578" s="140">
        <v>4</v>
      </c>
      <c r="F4578" s="142">
        <v>45937.416666666672</v>
      </c>
      <c r="G4578" s="140" t="s">
        <v>845</v>
      </c>
      <c r="H4578" s="140" t="s">
        <v>879</v>
      </c>
    </row>
    <row r="4579" spans="1:8" ht="15.75" customHeight="1">
      <c r="A4579" s="140" t="s">
        <v>86</v>
      </c>
      <c r="B4579" s="140" t="s">
        <v>21</v>
      </c>
      <c r="C4579" s="141" t="s">
        <v>691</v>
      </c>
      <c r="D4579" s="140" t="s">
        <v>692</v>
      </c>
      <c r="E4579" s="140">
        <v>5</v>
      </c>
      <c r="F4579" s="142">
        <v>45939.625</v>
      </c>
      <c r="G4579" s="140" t="s">
        <v>845</v>
      </c>
      <c r="H4579" s="140" t="s">
        <v>879</v>
      </c>
    </row>
    <row r="4580" spans="1:8" ht="15.75" customHeight="1">
      <c r="A4580" s="140" t="s">
        <v>86</v>
      </c>
      <c r="B4580" s="140" t="s">
        <v>21</v>
      </c>
      <c r="C4580" s="141" t="s">
        <v>691</v>
      </c>
      <c r="D4580" s="140" t="s">
        <v>692</v>
      </c>
      <c r="E4580" s="140">
        <v>6</v>
      </c>
      <c r="F4580" s="142">
        <v>45951.416666666672</v>
      </c>
      <c r="G4580" s="140" t="s">
        <v>845</v>
      </c>
      <c r="H4580" s="140" t="s">
        <v>879</v>
      </c>
    </row>
    <row r="4581" spans="1:8" ht="15.75" customHeight="1">
      <c r="A4581" s="140" t="s">
        <v>86</v>
      </c>
      <c r="B4581" s="140" t="s">
        <v>21</v>
      </c>
      <c r="C4581" s="141" t="s">
        <v>691</v>
      </c>
      <c r="D4581" s="140" t="s">
        <v>692</v>
      </c>
      <c r="E4581" s="140">
        <v>7</v>
      </c>
      <c r="F4581" s="142">
        <v>45953.625</v>
      </c>
      <c r="G4581" s="140" t="s">
        <v>845</v>
      </c>
      <c r="H4581" s="140" t="s">
        <v>879</v>
      </c>
    </row>
    <row r="4582" spans="1:8" ht="15.75" customHeight="1">
      <c r="A4582" s="140" t="s">
        <v>86</v>
      </c>
      <c r="B4582" s="140" t="s">
        <v>21</v>
      </c>
      <c r="C4582" s="141" t="s">
        <v>691</v>
      </c>
      <c r="D4582" s="140" t="s">
        <v>692</v>
      </c>
      <c r="E4582" s="140">
        <v>8</v>
      </c>
      <c r="F4582" s="142">
        <v>45958.416666666672</v>
      </c>
      <c r="G4582" s="140" t="s">
        <v>843</v>
      </c>
      <c r="H4582" s="140" t="s">
        <v>879</v>
      </c>
    </row>
    <row r="4583" spans="1:8" ht="15.75" customHeight="1">
      <c r="A4583" s="140" t="s">
        <v>86</v>
      </c>
      <c r="B4583" s="140" t="s">
        <v>21</v>
      </c>
      <c r="C4583" s="141" t="s">
        <v>691</v>
      </c>
      <c r="D4583" s="140" t="s">
        <v>692</v>
      </c>
      <c r="E4583" s="140">
        <v>9</v>
      </c>
      <c r="F4583" s="142">
        <v>45958.458333333328</v>
      </c>
      <c r="G4583" s="140" t="s">
        <v>843</v>
      </c>
      <c r="H4583" s="140" t="s">
        <v>879</v>
      </c>
    </row>
    <row r="4584" spans="1:8" ht="15.75" customHeight="1">
      <c r="A4584" s="140" t="s">
        <v>86</v>
      </c>
      <c r="B4584" s="140" t="s">
        <v>21</v>
      </c>
      <c r="C4584" s="141" t="s">
        <v>691</v>
      </c>
      <c r="D4584" s="140" t="s">
        <v>692</v>
      </c>
      <c r="E4584" s="140">
        <v>10</v>
      </c>
      <c r="F4584" s="142">
        <v>45965.625</v>
      </c>
      <c r="G4584" s="140" t="s">
        <v>845</v>
      </c>
      <c r="H4584" s="140" t="s">
        <v>879</v>
      </c>
    </row>
    <row r="4585" spans="1:8" ht="15.75" customHeight="1">
      <c r="A4585" s="140" t="s">
        <v>86</v>
      </c>
      <c r="B4585" s="140" t="s">
        <v>21</v>
      </c>
      <c r="C4585" s="141" t="s">
        <v>691</v>
      </c>
      <c r="D4585" s="140" t="s">
        <v>692</v>
      </c>
      <c r="E4585" s="140">
        <v>11</v>
      </c>
      <c r="F4585" s="142">
        <v>45972.625</v>
      </c>
      <c r="G4585" s="140" t="s">
        <v>845</v>
      </c>
      <c r="H4585" s="140" t="s">
        <v>879</v>
      </c>
    </row>
    <row r="4586" spans="1:8" ht="15.75" customHeight="1">
      <c r="A4586" s="140" t="s">
        <v>86</v>
      </c>
      <c r="B4586" s="140" t="s">
        <v>21</v>
      </c>
      <c r="C4586" s="141" t="s">
        <v>691</v>
      </c>
      <c r="D4586" s="140" t="s">
        <v>692</v>
      </c>
      <c r="E4586" s="140">
        <v>12</v>
      </c>
      <c r="F4586" s="142">
        <v>45979.416666666672</v>
      </c>
      <c r="G4586" s="140" t="s">
        <v>843</v>
      </c>
      <c r="H4586" s="140" t="s">
        <v>879</v>
      </c>
    </row>
    <row r="4587" spans="1:8" ht="15.75" customHeight="1">
      <c r="A4587" s="140" t="s">
        <v>86</v>
      </c>
      <c r="B4587" s="140" t="s">
        <v>21</v>
      </c>
      <c r="C4587" s="141" t="s">
        <v>691</v>
      </c>
      <c r="D4587" s="140" t="s">
        <v>692</v>
      </c>
      <c r="E4587" s="140">
        <v>13</v>
      </c>
      <c r="F4587" s="142">
        <v>45979.416666666672</v>
      </c>
      <c r="G4587" s="140" t="s">
        <v>845</v>
      </c>
      <c r="H4587" s="140" t="s">
        <v>879</v>
      </c>
    </row>
    <row r="4588" spans="1:8" ht="15.75" customHeight="1">
      <c r="A4588" s="140" t="s">
        <v>86</v>
      </c>
      <c r="B4588" s="140" t="s">
        <v>21</v>
      </c>
      <c r="C4588" s="141" t="s">
        <v>691</v>
      </c>
      <c r="D4588" s="140" t="s">
        <v>692</v>
      </c>
      <c r="E4588" s="140">
        <v>14</v>
      </c>
      <c r="F4588" s="142">
        <v>45987.625</v>
      </c>
      <c r="G4588" s="140" t="s">
        <v>845</v>
      </c>
      <c r="H4588" s="140" t="s">
        <v>879</v>
      </c>
    </row>
    <row r="4589" spans="1:8" ht="15.75" customHeight="1">
      <c r="A4589" s="140" t="s">
        <v>86</v>
      </c>
      <c r="B4589" s="140" t="s">
        <v>21</v>
      </c>
      <c r="C4589" s="141" t="s">
        <v>691</v>
      </c>
      <c r="D4589" s="140" t="s">
        <v>692</v>
      </c>
      <c r="E4589" s="140">
        <v>15</v>
      </c>
      <c r="F4589" s="142">
        <v>45993.416666666672</v>
      </c>
      <c r="G4589" s="140" t="s">
        <v>845</v>
      </c>
      <c r="H4589" s="140" t="s">
        <v>879</v>
      </c>
    </row>
    <row r="4590" spans="1:8" ht="15.75" customHeight="1">
      <c r="A4590" s="140" t="s">
        <v>86</v>
      </c>
      <c r="B4590" s="140" t="s">
        <v>21</v>
      </c>
      <c r="C4590" s="141" t="s">
        <v>691</v>
      </c>
      <c r="D4590" s="140" t="s">
        <v>692</v>
      </c>
      <c r="E4590" s="140">
        <v>16</v>
      </c>
      <c r="F4590" s="142">
        <v>46000.625</v>
      </c>
      <c r="G4590" s="140" t="s">
        <v>845</v>
      </c>
      <c r="H4590" s="140" t="s">
        <v>879</v>
      </c>
    </row>
    <row r="4591" spans="1:8" ht="15.75" customHeight="1">
      <c r="A4591" s="140" t="s">
        <v>86</v>
      </c>
      <c r="B4591" s="140" t="s">
        <v>22</v>
      </c>
      <c r="C4591" s="141" t="s">
        <v>691</v>
      </c>
      <c r="D4591" s="140" t="s">
        <v>692</v>
      </c>
      <c r="E4591" s="140">
        <v>1</v>
      </c>
      <c r="F4591" s="142">
        <v>46098.625</v>
      </c>
      <c r="G4591" s="140" t="s">
        <v>845</v>
      </c>
      <c r="H4591" s="140" t="s">
        <v>879</v>
      </c>
    </row>
    <row r="4592" spans="1:8" ht="15.75" customHeight="1">
      <c r="A4592" s="140" t="s">
        <v>86</v>
      </c>
      <c r="B4592" s="140" t="s">
        <v>22</v>
      </c>
      <c r="C4592" s="141" t="s">
        <v>691</v>
      </c>
      <c r="D4592" s="140" t="s">
        <v>692</v>
      </c>
      <c r="E4592" s="140">
        <v>2</v>
      </c>
      <c r="F4592" s="142">
        <v>46105.625</v>
      </c>
      <c r="G4592" s="140" t="s">
        <v>845</v>
      </c>
      <c r="H4592" s="140" t="s">
        <v>879</v>
      </c>
    </row>
    <row r="4593" spans="1:8" ht="15.75" customHeight="1">
      <c r="A4593" s="140" t="s">
        <v>86</v>
      </c>
      <c r="B4593" s="140" t="s">
        <v>22</v>
      </c>
      <c r="C4593" s="141" t="s">
        <v>691</v>
      </c>
      <c r="D4593" s="140" t="s">
        <v>692</v>
      </c>
      <c r="E4593" s="140">
        <v>3</v>
      </c>
      <c r="F4593" s="142">
        <v>46112.625</v>
      </c>
      <c r="G4593" s="140" t="s">
        <v>845</v>
      </c>
      <c r="H4593" s="140" t="s">
        <v>879</v>
      </c>
    </row>
    <row r="4594" spans="1:8" ht="15.75" customHeight="1">
      <c r="A4594" s="140" t="s">
        <v>86</v>
      </c>
      <c r="B4594" s="140" t="s">
        <v>22</v>
      </c>
      <c r="C4594" s="141" t="s">
        <v>691</v>
      </c>
      <c r="D4594" s="140" t="s">
        <v>692</v>
      </c>
      <c r="E4594" s="140">
        <v>4</v>
      </c>
      <c r="F4594" s="142">
        <v>46119.625</v>
      </c>
      <c r="G4594" s="140" t="s">
        <v>845</v>
      </c>
      <c r="H4594" s="140" t="s">
        <v>879</v>
      </c>
    </row>
    <row r="4595" spans="1:8" ht="15.75" customHeight="1">
      <c r="A4595" s="140" t="s">
        <v>86</v>
      </c>
      <c r="B4595" s="140" t="s">
        <v>25</v>
      </c>
      <c r="C4595" s="141" t="s">
        <v>691</v>
      </c>
      <c r="D4595" s="140" t="s">
        <v>692</v>
      </c>
      <c r="E4595" s="140">
        <v>1</v>
      </c>
      <c r="F4595" s="142">
        <v>45805.375</v>
      </c>
      <c r="G4595" s="140" t="s">
        <v>845</v>
      </c>
      <c r="H4595" s="140" t="s">
        <v>879</v>
      </c>
    </row>
    <row r="4596" spans="1:8" ht="15.75" customHeight="1">
      <c r="A4596" s="140" t="s">
        <v>86</v>
      </c>
      <c r="B4596" s="140" t="s">
        <v>25</v>
      </c>
      <c r="C4596" s="141" t="s">
        <v>691</v>
      </c>
      <c r="D4596" s="140" t="s">
        <v>692</v>
      </c>
      <c r="E4596" s="140">
        <v>2</v>
      </c>
      <c r="F4596" s="142">
        <v>45811.416666666672</v>
      </c>
      <c r="G4596" s="140" t="s">
        <v>845</v>
      </c>
      <c r="H4596" s="140" t="s">
        <v>879</v>
      </c>
    </row>
    <row r="4597" spans="1:8" ht="15.75" customHeight="1">
      <c r="A4597" s="140" t="s">
        <v>86</v>
      </c>
      <c r="B4597" s="140" t="s">
        <v>25</v>
      </c>
      <c r="C4597" s="141" t="s">
        <v>691</v>
      </c>
      <c r="D4597" s="140" t="s">
        <v>692</v>
      </c>
      <c r="E4597" s="140">
        <v>3</v>
      </c>
      <c r="F4597" s="142">
        <v>45818.416666666672</v>
      </c>
      <c r="G4597" s="140" t="s">
        <v>845</v>
      </c>
      <c r="H4597" s="140" t="s">
        <v>879</v>
      </c>
    </row>
    <row r="4598" spans="1:8" ht="15.75" customHeight="1">
      <c r="A4598" s="140" t="s">
        <v>86</v>
      </c>
      <c r="B4598" s="140" t="s">
        <v>25</v>
      </c>
      <c r="C4598" s="141" t="s">
        <v>691</v>
      </c>
      <c r="D4598" s="140" t="s">
        <v>692</v>
      </c>
      <c r="E4598" s="140">
        <v>4</v>
      </c>
      <c r="F4598" s="142">
        <v>45825.416666666672</v>
      </c>
      <c r="G4598" s="140" t="s">
        <v>845</v>
      </c>
      <c r="H4598" s="140" t="s">
        <v>879</v>
      </c>
    </row>
    <row r="4599" spans="1:8" ht="15.75" customHeight="1">
      <c r="A4599" s="140" t="s">
        <v>86</v>
      </c>
      <c r="B4599" s="140" t="s">
        <v>25</v>
      </c>
      <c r="C4599" s="141" t="s">
        <v>691</v>
      </c>
      <c r="D4599" s="140" t="s">
        <v>692</v>
      </c>
      <c r="E4599" s="140">
        <v>5</v>
      </c>
      <c r="F4599" s="142">
        <v>45839.416666666672</v>
      </c>
      <c r="G4599" s="140" t="s">
        <v>845</v>
      </c>
      <c r="H4599" s="140" t="s">
        <v>879</v>
      </c>
    </row>
    <row r="4600" spans="1:8" ht="15.75" customHeight="1">
      <c r="A4600" s="140" t="s">
        <v>86</v>
      </c>
      <c r="B4600" s="140" t="s">
        <v>25</v>
      </c>
      <c r="C4600" s="141" t="s">
        <v>691</v>
      </c>
      <c r="D4600" s="140" t="s">
        <v>692</v>
      </c>
      <c r="E4600" s="140">
        <v>6</v>
      </c>
      <c r="F4600" s="142">
        <v>45846.416666666672</v>
      </c>
      <c r="G4600" s="140" t="s">
        <v>845</v>
      </c>
      <c r="H4600" s="140" t="s">
        <v>879</v>
      </c>
    </row>
    <row r="4601" spans="1:8" ht="15.75" customHeight="1">
      <c r="A4601" s="140" t="s">
        <v>86</v>
      </c>
      <c r="B4601" s="140" t="s">
        <v>25</v>
      </c>
      <c r="C4601" s="141" t="s">
        <v>691</v>
      </c>
      <c r="D4601" s="140" t="s">
        <v>692</v>
      </c>
      <c r="E4601" s="140">
        <v>7</v>
      </c>
      <c r="F4601" s="142">
        <v>45855.416666666672</v>
      </c>
      <c r="G4601" s="140" t="s">
        <v>845</v>
      </c>
      <c r="H4601" s="140" t="s">
        <v>879</v>
      </c>
    </row>
    <row r="4602" spans="1:8" ht="15.75" customHeight="1">
      <c r="A4602" s="140" t="s">
        <v>86</v>
      </c>
      <c r="B4602" s="140" t="s">
        <v>25</v>
      </c>
      <c r="C4602" s="141" t="s">
        <v>691</v>
      </c>
      <c r="D4602" s="140" t="s">
        <v>692</v>
      </c>
      <c r="E4602" s="140">
        <v>8</v>
      </c>
      <c r="F4602" s="142">
        <v>45860.625</v>
      </c>
      <c r="G4602" s="140" t="s">
        <v>845</v>
      </c>
      <c r="H4602" s="140" t="s">
        <v>879</v>
      </c>
    </row>
    <row r="4603" spans="1:8" ht="15.75" customHeight="1">
      <c r="A4603" s="140" t="s">
        <v>86</v>
      </c>
      <c r="B4603" s="140" t="s">
        <v>25</v>
      </c>
      <c r="C4603" s="141" t="s">
        <v>691</v>
      </c>
      <c r="D4603" s="140" t="s">
        <v>692</v>
      </c>
      <c r="E4603" s="140">
        <v>9</v>
      </c>
      <c r="F4603" s="142">
        <v>45869.458333333328</v>
      </c>
      <c r="G4603" s="140" t="s">
        <v>845</v>
      </c>
      <c r="H4603" s="140" t="s">
        <v>879</v>
      </c>
    </row>
    <row r="4604" spans="1:8" ht="15.75" customHeight="1">
      <c r="A4604" s="140" t="s">
        <v>86</v>
      </c>
      <c r="B4604" s="140" t="s">
        <v>25</v>
      </c>
      <c r="C4604" s="141" t="s">
        <v>691</v>
      </c>
      <c r="D4604" s="140" t="s">
        <v>692</v>
      </c>
      <c r="E4604" s="140">
        <v>10</v>
      </c>
      <c r="F4604" s="142">
        <v>45881.5</v>
      </c>
      <c r="G4604" s="140" t="s">
        <v>843</v>
      </c>
      <c r="H4604" s="140" t="s">
        <v>879</v>
      </c>
    </row>
    <row r="4605" spans="1:8" ht="15.75" customHeight="1">
      <c r="A4605" s="140" t="s">
        <v>86</v>
      </c>
      <c r="B4605" s="140" t="s">
        <v>25</v>
      </c>
      <c r="C4605" s="141" t="s">
        <v>691</v>
      </c>
      <c r="D4605" s="140" t="s">
        <v>692</v>
      </c>
      <c r="E4605" s="140">
        <v>11</v>
      </c>
      <c r="F4605" s="142">
        <v>45888.541666666672</v>
      </c>
      <c r="G4605" s="140" t="s">
        <v>845</v>
      </c>
      <c r="H4605" s="140" t="s">
        <v>879</v>
      </c>
    </row>
    <row r="4606" spans="1:8" ht="15.75" customHeight="1">
      <c r="A4606" s="140" t="s">
        <v>86</v>
      </c>
      <c r="B4606" s="140" t="s">
        <v>25</v>
      </c>
      <c r="C4606" s="141" t="s">
        <v>691</v>
      </c>
      <c r="D4606" s="140" t="s">
        <v>692</v>
      </c>
      <c r="E4606" s="140">
        <v>12</v>
      </c>
      <c r="F4606" s="142">
        <v>45897.458333333328</v>
      </c>
      <c r="G4606" s="140" t="s">
        <v>845</v>
      </c>
      <c r="H4606" s="140" t="s">
        <v>879</v>
      </c>
    </row>
    <row r="4607" spans="1:8" ht="15.75" customHeight="1">
      <c r="A4607" s="140" t="s">
        <v>86</v>
      </c>
      <c r="B4607" s="140" t="s">
        <v>25</v>
      </c>
      <c r="C4607" s="141" t="s">
        <v>691</v>
      </c>
      <c r="D4607" s="140" t="s">
        <v>692</v>
      </c>
      <c r="E4607" s="140">
        <v>13</v>
      </c>
      <c r="F4607" s="142">
        <v>45909.416666666672</v>
      </c>
      <c r="G4607" s="140" t="s">
        <v>845</v>
      </c>
      <c r="H4607" s="140" t="s">
        <v>879</v>
      </c>
    </row>
    <row r="4608" spans="1:8" ht="15.75" customHeight="1">
      <c r="A4608" s="140" t="s">
        <v>86</v>
      </c>
      <c r="B4608" s="140" t="s">
        <v>25</v>
      </c>
      <c r="C4608" s="141" t="s">
        <v>691</v>
      </c>
      <c r="D4608" s="140" t="s">
        <v>692</v>
      </c>
      <c r="E4608" s="140">
        <v>14</v>
      </c>
      <c r="F4608" s="142">
        <v>45923.416666666672</v>
      </c>
      <c r="G4608" s="140" t="s">
        <v>845</v>
      </c>
      <c r="H4608" s="140" t="s">
        <v>879</v>
      </c>
    </row>
    <row r="4609" spans="1:8" ht="15.75" customHeight="1">
      <c r="A4609" s="140" t="s">
        <v>86</v>
      </c>
      <c r="B4609" s="140" t="s">
        <v>25</v>
      </c>
      <c r="C4609" s="141" t="s">
        <v>691</v>
      </c>
      <c r="D4609" s="140" t="s">
        <v>692</v>
      </c>
      <c r="E4609" s="140">
        <v>15</v>
      </c>
      <c r="F4609" s="142">
        <v>45925.625</v>
      </c>
      <c r="G4609" s="140" t="s">
        <v>843</v>
      </c>
      <c r="H4609" s="140" t="s">
        <v>879</v>
      </c>
    </row>
    <row r="4610" spans="1:8" ht="15.75" customHeight="1">
      <c r="A4610" s="140" t="s">
        <v>87</v>
      </c>
      <c r="B4610" s="140" t="s">
        <v>21</v>
      </c>
      <c r="C4610" s="141" t="s">
        <v>383</v>
      </c>
      <c r="D4610" s="140" t="s">
        <v>384</v>
      </c>
      <c r="E4610" s="140">
        <v>1</v>
      </c>
      <c r="F4610" s="142">
        <v>45813.458333333328</v>
      </c>
      <c r="G4610" s="140" t="s">
        <v>845</v>
      </c>
      <c r="H4610" s="140" t="s">
        <v>880</v>
      </c>
    </row>
    <row r="4611" spans="1:8" ht="15.75" customHeight="1">
      <c r="A4611" s="140" t="s">
        <v>87</v>
      </c>
      <c r="B4611" s="140" t="s">
        <v>21</v>
      </c>
      <c r="C4611" s="141" t="s">
        <v>383</v>
      </c>
      <c r="D4611" s="140" t="s">
        <v>384</v>
      </c>
      <c r="E4611" s="140">
        <v>2</v>
      </c>
      <c r="F4611" s="142">
        <v>45820.458333333328</v>
      </c>
      <c r="G4611" s="140" t="s">
        <v>845</v>
      </c>
      <c r="H4611" s="140" t="s">
        <v>880</v>
      </c>
    </row>
    <row r="4612" spans="1:8" ht="15.75" customHeight="1">
      <c r="A4612" s="140" t="s">
        <v>87</v>
      </c>
      <c r="B4612" s="140" t="s">
        <v>21</v>
      </c>
      <c r="C4612" s="141" t="s">
        <v>383</v>
      </c>
      <c r="D4612" s="140" t="s">
        <v>384</v>
      </c>
      <c r="E4612" s="140">
        <v>3</v>
      </c>
      <c r="F4612" s="142">
        <v>45841.625</v>
      </c>
      <c r="G4612" s="140" t="s">
        <v>845</v>
      </c>
      <c r="H4612" s="140" t="s">
        <v>880</v>
      </c>
    </row>
    <row r="4613" spans="1:8" ht="15.75" customHeight="1">
      <c r="A4613" s="140" t="s">
        <v>87</v>
      </c>
      <c r="B4613" s="140" t="s">
        <v>21</v>
      </c>
      <c r="C4613" s="141" t="s">
        <v>383</v>
      </c>
      <c r="D4613" s="140" t="s">
        <v>384</v>
      </c>
      <c r="E4613" s="140">
        <v>4</v>
      </c>
      <c r="F4613" s="142">
        <v>45849.416666666672</v>
      </c>
      <c r="G4613" s="140" t="s">
        <v>845</v>
      </c>
      <c r="H4613" s="140" t="s">
        <v>880</v>
      </c>
    </row>
    <row r="4614" spans="1:8" ht="15.75" customHeight="1">
      <c r="A4614" s="140" t="s">
        <v>87</v>
      </c>
      <c r="B4614" s="140" t="s">
        <v>21</v>
      </c>
      <c r="C4614" s="141" t="s">
        <v>383</v>
      </c>
      <c r="D4614" s="140" t="s">
        <v>384</v>
      </c>
      <c r="E4614" s="140">
        <v>5</v>
      </c>
      <c r="F4614" s="142">
        <v>45855.625</v>
      </c>
      <c r="G4614" s="140" t="s">
        <v>845</v>
      </c>
      <c r="H4614" s="140" t="s">
        <v>880</v>
      </c>
    </row>
    <row r="4615" spans="1:8" ht="15.75" customHeight="1">
      <c r="A4615" s="140" t="s">
        <v>87</v>
      </c>
      <c r="B4615" s="140" t="s">
        <v>21</v>
      </c>
      <c r="C4615" s="141" t="s">
        <v>383</v>
      </c>
      <c r="D4615" s="140" t="s">
        <v>384</v>
      </c>
      <c r="E4615" s="140">
        <v>6</v>
      </c>
      <c r="F4615" s="142">
        <v>45890.458333333328</v>
      </c>
      <c r="G4615" s="140" t="s">
        <v>845</v>
      </c>
      <c r="H4615" s="140" t="s">
        <v>880</v>
      </c>
    </row>
    <row r="4616" spans="1:8" ht="15.75" customHeight="1">
      <c r="A4616" s="140" t="s">
        <v>87</v>
      </c>
      <c r="B4616" s="140" t="s">
        <v>21</v>
      </c>
      <c r="C4616" s="141" t="s">
        <v>383</v>
      </c>
      <c r="D4616" s="140" t="s">
        <v>384</v>
      </c>
      <c r="E4616" s="140">
        <v>7</v>
      </c>
      <c r="F4616" s="142">
        <v>45911.625</v>
      </c>
      <c r="G4616" s="140" t="s">
        <v>845</v>
      </c>
      <c r="H4616" s="140" t="s">
        <v>880</v>
      </c>
    </row>
    <row r="4617" spans="1:8" ht="15.75" customHeight="1">
      <c r="A4617" s="140" t="s">
        <v>87</v>
      </c>
      <c r="B4617" s="140" t="s">
        <v>21</v>
      </c>
      <c r="C4617" s="141" t="s">
        <v>383</v>
      </c>
      <c r="D4617" s="140" t="s">
        <v>384</v>
      </c>
      <c r="E4617" s="140">
        <v>8</v>
      </c>
      <c r="F4617" s="142">
        <v>45912.541666666672</v>
      </c>
      <c r="G4617" s="140" t="s">
        <v>845</v>
      </c>
      <c r="H4617" s="140" t="s">
        <v>880</v>
      </c>
    </row>
    <row r="4618" spans="1:8" ht="15.75" customHeight="1">
      <c r="A4618" s="140" t="s">
        <v>87</v>
      </c>
      <c r="B4618" s="140" t="s">
        <v>21</v>
      </c>
      <c r="C4618" s="141" t="s">
        <v>383</v>
      </c>
      <c r="D4618" s="140" t="s">
        <v>384</v>
      </c>
      <c r="E4618" s="140">
        <v>9</v>
      </c>
      <c r="F4618" s="142">
        <v>45918.625</v>
      </c>
      <c r="G4618" s="140" t="s">
        <v>845</v>
      </c>
      <c r="H4618" s="140" t="s">
        <v>880</v>
      </c>
    </row>
    <row r="4619" spans="1:8" ht="15.75" customHeight="1">
      <c r="A4619" s="140" t="s">
        <v>87</v>
      </c>
      <c r="B4619" s="140" t="s">
        <v>21</v>
      </c>
      <c r="C4619" s="141" t="s">
        <v>383</v>
      </c>
      <c r="D4619" s="140" t="s">
        <v>384</v>
      </c>
      <c r="E4619" s="140">
        <v>10</v>
      </c>
      <c r="F4619" s="142">
        <v>45996.458333333328</v>
      </c>
      <c r="G4619" s="140" t="s">
        <v>845</v>
      </c>
      <c r="H4619" s="140" t="s">
        <v>880</v>
      </c>
    </row>
    <row r="4620" spans="1:8" ht="15.75" customHeight="1">
      <c r="A4620" s="140" t="s">
        <v>87</v>
      </c>
      <c r="B4620" s="140" t="s">
        <v>22</v>
      </c>
      <c r="C4620" s="141" t="s">
        <v>383</v>
      </c>
      <c r="D4620" s="140" t="s">
        <v>384</v>
      </c>
      <c r="E4620" s="140">
        <v>1</v>
      </c>
      <c r="F4620" s="142">
        <v>46038.416666666672</v>
      </c>
      <c r="G4620" s="140" t="s">
        <v>845</v>
      </c>
      <c r="H4620" s="140" t="s">
        <v>880</v>
      </c>
    </row>
    <row r="4621" spans="1:8" ht="15.75" customHeight="1">
      <c r="A4621" s="140" t="s">
        <v>87</v>
      </c>
      <c r="B4621" s="140" t="s">
        <v>22</v>
      </c>
      <c r="C4621" s="141" t="s">
        <v>383</v>
      </c>
      <c r="D4621" s="140" t="s">
        <v>384</v>
      </c>
      <c r="E4621" s="140">
        <v>2</v>
      </c>
      <c r="F4621" s="142">
        <v>46044.458333333328</v>
      </c>
      <c r="G4621" s="140" t="s">
        <v>845</v>
      </c>
      <c r="H4621" s="140" t="s">
        <v>880</v>
      </c>
    </row>
    <row r="4622" spans="1:8" ht="15.75" customHeight="1">
      <c r="A4622" s="140" t="s">
        <v>87</v>
      </c>
      <c r="B4622" s="140" t="s">
        <v>22</v>
      </c>
      <c r="C4622" s="141" t="s">
        <v>383</v>
      </c>
      <c r="D4622" s="140" t="s">
        <v>384</v>
      </c>
      <c r="E4622" s="140">
        <v>3</v>
      </c>
      <c r="F4622" s="142">
        <v>46051.583333333328</v>
      </c>
      <c r="G4622" s="140" t="s">
        <v>845</v>
      </c>
      <c r="H4622" s="140" t="s">
        <v>880</v>
      </c>
    </row>
    <row r="4623" spans="1:8" ht="15.75" customHeight="1">
      <c r="A4623" s="140" t="s">
        <v>87</v>
      </c>
      <c r="B4623" s="140" t="s">
        <v>22</v>
      </c>
      <c r="C4623" s="141" t="s">
        <v>383</v>
      </c>
      <c r="D4623" s="140" t="s">
        <v>384</v>
      </c>
      <c r="E4623" s="140">
        <v>4</v>
      </c>
      <c r="F4623" s="142">
        <v>46052.458333333328</v>
      </c>
      <c r="G4623" s="140" t="s">
        <v>845</v>
      </c>
      <c r="H4623" s="140" t="s">
        <v>880</v>
      </c>
    </row>
    <row r="4624" spans="1:8" ht="15.75" customHeight="1">
      <c r="A4624" s="140" t="s">
        <v>87</v>
      </c>
      <c r="B4624" s="140" t="s">
        <v>22</v>
      </c>
      <c r="C4624" s="141" t="s">
        <v>383</v>
      </c>
      <c r="D4624" s="140" t="s">
        <v>384</v>
      </c>
      <c r="E4624" s="140">
        <v>5</v>
      </c>
      <c r="F4624" s="142">
        <v>46086.541666666672</v>
      </c>
      <c r="G4624" s="140" t="s">
        <v>845</v>
      </c>
      <c r="H4624" s="140" t="s">
        <v>880</v>
      </c>
    </row>
    <row r="4625" spans="1:8" ht="15.75" customHeight="1">
      <c r="A4625" s="140" t="s">
        <v>87</v>
      </c>
      <c r="B4625" s="140" t="s">
        <v>21</v>
      </c>
      <c r="C4625" s="141" t="s">
        <v>389</v>
      </c>
      <c r="D4625" s="140" t="s">
        <v>390</v>
      </c>
      <c r="E4625" s="140">
        <v>1</v>
      </c>
      <c r="F4625" s="142">
        <v>45813.458333333328</v>
      </c>
      <c r="G4625" s="140" t="s">
        <v>845</v>
      </c>
      <c r="H4625" s="140" t="s">
        <v>880</v>
      </c>
    </row>
    <row r="4626" spans="1:8" ht="15.75" customHeight="1">
      <c r="A4626" s="140" t="s">
        <v>87</v>
      </c>
      <c r="B4626" s="140" t="s">
        <v>21</v>
      </c>
      <c r="C4626" s="141" t="s">
        <v>389</v>
      </c>
      <c r="D4626" s="140" t="s">
        <v>390</v>
      </c>
      <c r="E4626" s="140">
        <v>2</v>
      </c>
      <c r="F4626" s="142">
        <v>45820.458333333328</v>
      </c>
      <c r="G4626" s="140" t="s">
        <v>845</v>
      </c>
      <c r="H4626" s="140" t="s">
        <v>880</v>
      </c>
    </row>
    <row r="4627" spans="1:8" ht="15.75" customHeight="1">
      <c r="A4627" s="140" t="s">
        <v>87</v>
      </c>
      <c r="B4627" s="140" t="s">
        <v>21</v>
      </c>
      <c r="C4627" s="141" t="s">
        <v>389</v>
      </c>
      <c r="D4627" s="140" t="s">
        <v>390</v>
      </c>
      <c r="E4627" s="140">
        <v>3</v>
      </c>
      <c r="F4627" s="142">
        <v>45841.625</v>
      </c>
      <c r="G4627" s="140" t="s">
        <v>845</v>
      </c>
      <c r="H4627" s="140" t="s">
        <v>880</v>
      </c>
    </row>
    <row r="4628" spans="1:8" ht="15.75" customHeight="1">
      <c r="A4628" s="140" t="s">
        <v>87</v>
      </c>
      <c r="B4628" s="140" t="s">
        <v>21</v>
      </c>
      <c r="C4628" s="141" t="s">
        <v>389</v>
      </c>
      <c r="D4628" s="140" t="s">
        <v>390</v>
      </c>
      <c r="E4628" s="140">
        <v>4</v>
      </c>
      <c r="F4628" s="142">
        <v>45849.416666666672</v>
      </c>
      <c r="G4628" s="140" t="s">
        <v>845</v>
      </c>
      <c r="H4628" s="140" t="s">
        <v>880</v>
      </c>
    </row>
    <row r="4629" spans="1:8" ht="15.75" customHeight="1">
      <c r="A4629" s="140" t="s">
        <v>87</v>
      </c>
      <c r="B4629" s="140" t="s">
        <v>21</v>
      </c>
      <c r="C4629" s="141" t="s">
        <v>389</v>
      </c>
      <c r="D4629" s="140" t="s">
        <v>390</v>
      </c>
      <c r="E4629" s="140">
        <v>5</v>
      </c>
      <c r="F4629" s="142">
        <v>45855.625</v>
      </c>
      <c r="G4629" s="140" t="s">
        <v>845</v>
      </c>
      <c r="H4629" s="140" t="s">
        <v>880</v>
      </c>
    </row>
    <row r="4630" spans="1:8" ht="15.75" customHeight="1">
      <c r="A4630" s="140" t="s">
        <v>87</v>
      </c>
      <c r="B4630" s="140" t="s">
        <v>21</v>
      </c>
      <c r="C4630" s="141" t="s">
        <v>389</v>
      </c>
      <c r="D4630" s="140" t="s">
        <v>390</v>
      </c>
      <c r="E4630" s="140">
        <v>6</v>
      </c>
      <c r="F4630" s="142">
        <v>45890.458333333328</v>
      </c>
      <c r="G4630" s="140" t="s">
        <v>845</v>
      </c>
      <c r="H4630" s="140" t="s">
        <v>880</v>
      </c>
    </row>
    <row r="4631" spans="1:8" ht="15.75" customHeight="1">
      <c r="A4631" s="140" t="s">
        <v>87</v>
      </c>
      <c r="B4631" s="140" t="s">
        <v>21</v>
      </c>
      <c r="C4631" s="141" t="s">
        <v>389</v>
      </c>
      <c r="D4631" s="140" t="s">
        <v>390</v>
      </c>
      <c r="E4631" s="140">
        <v>7</v>
      </c>
      <c r="F4631" s="142">
        <v>45911.625</v>
      </c>
      <c r="G4631" s="140" t="s">
        <v>845</v>
      </c>
      <c r="H4631" s="140" t="s">
        <v>880</v>
      </c>
    </row>
    <row r="4632" spans="1:8" ht="15.75" customHeight="1">
      <c r="A4632" s="140" t="s">
        <v>87</v>
      </c>
      <c r="B4632" s="140" t="s">
        <v>21</v>
      </c>
      <c r="C4632" s="141" t="s">
        <v>389</v>
      </c>
      <c r="D4632" s="140" t="s">
        <v>390</v>
      </c>
      <c r="E4632" s="140">
        <v>8</v>
      </c>
      <c r="F4632" s="142">
        <v>45912.541666666672</v>
      </c>
      <c r="G4632" s="140" t="s">
        <v>845</v>
      </c>
      <c r="H4632" s="140" t="s">
        <v>880</v>
      </c>
    </row>
    <row r="4633" spans="1:8" ht="15.75" customHeight="1">
      <c r="A4633" s="140" t="s">
        <v>87</v>
      </c>
      <c r="B4633" s="140" t="s">
        <v>21</v>
      </c>
      <c r="C4633" s="141" t="s">
        <v>389</v>
      </c>
      <c r="D4633" s="140" t="s">
        <v>390</v>
      </c>
      <c r="E4633" s="140">
        <v>9</v>
      </c>
      <c r="F4633" s="142">
        <v>45918.625</v>
      </c>
      <c r="G4633" s="140" t="s">
        <v>845</v>
      </c>
      <c r="H4633" s="140" t="s">
        <v>880</v>
      </c>
    </row>
    <row r="4634" spans="1:8" ht="15.75" customHeight="1">
      <c r="A4634" s="140" t="s">
        <v>87</v>
      </c>
      <c r="B4634" s="140" t="s">
        <v>21</v>
      </c>
      <c r="C4634" s="141" t="s">
        <v>389</v>
      </c>
      <c r="D4634" s="140" t="s">
        <v>390</v>
      </c>
      <c r="E4634" s="140">
        <v>10</v>
      </c>
      <c r="F4634" s="142">
        <v>45996.458333333328</v>
      </c>
      <c r="G4634" s="140" t="s">
        <v>845</v>
      </c>
      <c r="H4634" s="140" t="s">
        <v>880</v>
      </c>
    </row>
    <row r="4635" spans="1:8" ht="15.75" customHeight="1">
      <c r="A4635" s="140" t="s">
        <v>87</v>
      </c>
      <c r="B4635" s="140" t="s">
        <v>22</v>
      </c>
      <c r="C4635" s="141" t="s">
        <v>389</v>
      </c>
      <c r="D4635" s="140" t="s">
        <v>390</v>
      </c>
      <c r="E4635" s="140">
        <v>1</v>
      </c>
      <c r="F4635" s="142">
        <v>46038.416666666672</v>
      </c>
      <c r="G4635" s="140" t="s">
        <v>845</v>
      </c>
      <c r="H4635" s="140" t="s">
        <v>880</v>
      </c>
    </row>
    <row r="4636" spans="1:8" ht="15.75" customHeight="1">
      <c r="A4636" s="140" t="s">
        <v>87</v>
      </c>
      <c r="B4636" s="140" t="s">
        <v>22</v>
      </c>
      <c r="C4636" s="141" t="s">
        <v>389</v>
      </c>
      <c r="D4636" s="140" t="s">
        <v>390</v>
      </c>
      <c r="E4636" s="140">
        <v>2</v>
      </c>
      <c r="F4636" s="142">
        <v>46044.458333333328</v>
      </c>
      <c r="G4636" s="140" t="s">
        <v>845</v>
      </c>
      <c r="H4636" s="140" t="s">
        <v>880</v>
      </c>
    </row>
    <row r="4637" spans="1:8" ht="15.75" customHeight="1">
      <c r="A4637" s="140" t="s">
        <v>87</v>
      </c>
      <c r="B4637" s="140" t="s">
        <v>22</v>
      </c>
      <c r="C4637" s="141" t="s">
        <v>389</v>
      </c>
      <c r="D4637" s="140" t="s">
        <v>390</v>
      </c>
      <c r="E4637" s="140">
        <v>3</v>
      </c>
      <c r="F4637" s="142">
        <v>46051.583333333328</v>
      </c>
      <c r="G4637" s="140" t="s">
        <v>845</v>
      </c>
      <c r="H4637" s="140" t="s">
        <v>880</v>
      </c>
    </row>
    <row r="4638" spans="1:8" ht="15.75" customHeight="1">
      <c r="A4638" s="140" t="s">
        <v>87</v>
      </c>
      <c r="B4638" s="140" t="s">
        <v>22</v>
      </c>
      <c r="C4638" s="141" t="s">
        <v>389</v>
      </c>
      <c r="D4638" s="140" t="s">
        <v>390</v>
      </c>
      <c r="E4638" s="140">
        <v>4</v>
      </c>
      <c r="F4638" s="142">
        <v>46052.458333333328</v>
      </c>
      <c r="G4638" s="140" t="s">
        <v>845</v>
      </c>
      <c r="H4638" s="140" t="s">
        <v>880</v>
      </c>
    </row>
    <row r="4639" spans="1:8" ht="15.75" customHeight="1">
      <c r="A4639" s="140" t="s">
        <v>87</v>
      </c>
      <c r="B4639" s="140" t="s">
        <v>22</v>
      </c>
      <c r="C4639" s="141" t="s">
        <v>389</v>
      </c>
      <c r="D4639" s="140" t="s">
        <v>390</v>
      </c>
      <c r="E4639" s="140">
        <v>5</v>
      </c>
      <c r="F4639" s="142">
        <v>46086.541666666672</v>
      </c>
      <c r="G4639" s="140" t="s">
        <v>845</v>
      </c>
      <c r="H4639" s="140" t="s">
        <v>880</v>
      </c>
    </row>
    <row r="4640" spans="1:8" ht="15.75" customHeight="1">
      <c r="A4640" s="140" t="s">
        <v>87</v>
      </c>
      <c r="B4640" s="140" t="s">
        <v>21</v>
      </c>
      <c r="C4640" s="141" t="s">
        <v>637</v>
      </c>
      <c r="D4640" s="140" t="s">
        <v>638</v>
      </c>
      <c r="E4640" s="140">
        <v>1</v>
      </c>
      <c r="F4640" s="142">
        <v>45813.458333333328</v>
      </c>
      <c r="G4640" s="140" t="s">
        <v>845</v>
      </c>
      <c r="H4640" s="140" t="s">
        <v>880</v>
      </c>
    </row>
    <row r="4641" spans="1:8" ht="15.75" customHeight="1">
      <c r="A4641" s="140" t="s">
        <v>87</v>
      </c>
      <c r="B4641" s="140" t="s">
        <v>21</v>
      </c>
      <c r="C4641" s="141" t="s">
        <v>637</v>
      </c>
      <c r="D4641" s="140" t="s">
        <v>638</v>
      </c>
      <c r="E4641" s="140">
        <v>2</v>
      </c>
      <c r="F4641" s="142">
        <v>45820.458333333328</v>
      </c>
      <c r="G4641" s="140" t="s">
        <v>845</v>
      </c>
      <c r="H4641" s="140" t="s">
        <v>880</v>
      </c>
    </row>
    <row r="4642" spans="1:8" ht="15.75" customHeight="1">
      <c r="A4642" s="140" t="s">
        <v>87</v>
      </c>
      <c r="B4642" s="140" t="s">
        <v>21</v>
      </c>
      <c r="C4642" s="141" t="s">
        <v>637</v>
      </c>
      <c r="D4642" s="140" t="s">
        <v>638</v>
      </c>
      <c r="E4642" s="140">
        <v>3</v>
      </c>
      <c r="F4642" s="142">
        <v>45841.625</v>
      </c>
      <c r="G4642" s="140" t="s">
        <v>843</v>
      </c>
      <c r="H4642" s="140" t="s">
        <v>880</v>
      </c>
    </row>
    <row r="4643" spans="1:8" ht="15.75" customHeight="1">
      <c r="A4643" s="140" t="s">
        <v>87</v>
      </c>
      <c r="B4643" s="140" t="s">
        <v>21</v>
      </c>
      <c r="C4643" s="141" t="s">
        <v>637</v>
      </c>
      <c r="D4643" s="140" t="s">
        <v>638</v>
      </c>
      <c r="E4643" s="140">
        <v>4</v>
      </c>
      <c r="F4643" s="142">
        <v>45849.416666666672</v>
      </c>
      <c r="G4643" s="140" t="s">
        <v>845</v>
      </c>
      <c r="H4643" s="140" t="s">
        <v>880</v>
      </c>
    </row>
    <row r="4644" spans="1:8" ht="15.75" customHeight="1">
      <c r="A4644" s="140" t="s">
        <v>87</v>
      </c>
      <c r="B4644" s="140" t="s">
        <v>21</v>
      </c>
      <c r="C4644" s="141" t="s">
        <v>637</v>
      </c>
      <c r="D4644" s="140" t="s">
        <v>638</v>
      </c>
      <c r="E4644" s="140">
        <v>5</v>
      </c>
      <c r="F4644" s="142">
        <v>45855.625</v>
      </c>
      <c r="G4644" s="140" t="s">
        <v>843</v>
      </c>
      <c r="H4644" s="140" t="s">
        <v>880</v>
      </c>
    </row>
    <row r="4645" spans="1:8" ht="15.75" customHeight="1">
      <c r="A4645" s="140" t="s">
        <v>87</v>
      </c>
      <c r="B4645" s="140" t="s">
        <v>21</v>
      </c>
      <c r="C4645" s="141" t="s">
        <v>637</v>
      </c>
      <c r="D4645" s="140" t="s">
        <v>638</v>
      </c>
      <c r="E4645" s="140">
        <v>6</v>
      </c>
      <c r="F4645" s="142">
        <v>45890.458333333328</v>
      </c>
      <c r="G4645" s="140" t="s">
        <v>845</v>
      </c>
      <c r="H4645" s="140" t="s">
        <v>880</v>
      </c>
    </row>
    <row r="4646" spans="1:8" ht="15.75" customHeight="1">
      <c r="A4646" s="140" t="s">
        <v>87</v>
      </c>
      <c r="B4646" s="140" t="s">
        <v>21</v>
      </c>
      <c r="C4646" s="141" t="s">
        <v>637</v>
      </c>
      <c r="D4646" s="140" t="s">
        <v>638</v>
      </c>
      <c r="E4646" s="140">
        <v>7</v>
      </c>
      <c r="F4646" s="142">
        <v>45911.625</v>
      </c>
      <c r="G4646" s="140" t="s">
        <v>845</v>
      </c>
      <c r="H4646" s="140" t="s">
        <v>880</v>
      </c>
    </row>
    <row r="4647" spans="1:8" ht="15.75" customHeight="1">
      <c r="A4647" s="140" t="s">
        <v>87</v>
      </c>
      <c r="B4647" s="140" t="s">
        <v>21</v>
      </c>
      <c r="C4647" s="141" t="s">
        <v>637</v>
      </c>
      <c r="D4647" s="140" t="s">
        <v>638</v>
      </c>
      <c r="E4647" s="140">
        <v>8</v>
      </c>
      <c r="F4647" s="142">
        <v>45912.541666666672</v>
      </c>
      <c r="G4647" s="140" t="s">
        <v>845</v>
      </c>
      <c r="H4647" s="140" t="s">
        <v>880</v>
      </c>
    </row>
    <row r="4648" spans="1:8" ht="15.75" customHeight="1">
      <c r="A4648" s="140" t="s">
        <v>87</v>
      </c>
      <c r="B4648" s="140" t="s">
        <v>21</v>
      </c>
      <c r="C4648" s="141" t="s">
        <v>637</v>
      </c>
      <c r="D4648" s="140" t="s">
        <v>638</v>
      </c>
      <c r="E4648" s="140">
        <v>9</v>
      </c>
      <c r="F4648" s="142">
        <v>45918.625</v>
      </c>
      <c r="G4648" s="140" t="s">
        <v>845</v>
      </c>
      <c r="H4648" s="140" t="s">
        <v>880</v>
      </c>
    </row>
    <row r="4649" spans="1:8" ht="15.75" customHeight="1">
      <c r="A4649" s="140" t="s">
        <v>87</v>
      </c>
      <c r="B4649" s="140" t="s">
        <v>21</v>
      </c>
      <c r="C4649" s="141" t="s">
        <v>637</v>
      </c>
      <c r="D4649" s="140" t="s">
        <v>638</v>
      </c>
      <c r="E4649" s="140">
        <v>10</v>
      </c>
      <c r="F4649" s="142">
        <v>45996.458333333328</v>
      </c>
      <c r="G4649" s="140" t="s">
        <v>845</v>
      </c>
      <c r="H4649" s="140" t="s">
        <v>880</v>
      </c>
    </row>
    <row r="4650" spans="1:8" ht="15.75" customHeight="1">
      <c r="A4650" s="140" t="s">
        <v>87</v>
      </c>
      <c r="B4650" s="140" t="s">
        <v>22</v>
      </c>
      <c r="C4650" s="141" t="s">
        <v>637</v>
      </c>
      <c r="D4650" s="140" t="s">
        <v>638</v>
      </c>
      <c r="E4650" s="140">
        <v>1</v>
      </c>
      <c r="F4650" s="142">
        <v>46038.416666666672</v>
      </c>
      <c r="G4650" s="140" t="s">
        <v>845</v>
      </c>
      <c r="H4650" s="140" t="s">
        <v>880</v>
      </c>
    </row>
    <row r="4651" spans="1:8" ht="15.75" customHeight="1">
      <c r="A4651" s="140" t="s">
        <v>87</v>
      </c>
      <c r="B4651" s="140" t="s">
        <v>22</v>
      </c>
      <c r="C4651" s="141" t="s">
        <v>637</v>
      </c>
      <c r="D4651" s="140" t="s">
        <v>638</v>
      </c>
      <c r="E4651" s="140">
        <v>2</v>
      </c>
      <c r="F4651" s="142">
        <v>46044.458333333328</v>
      </c>
      <c r="G4651" s="140" t="s">
        <v>845</v>
      </c>
      <c r="H4651" s="140" t="s">
        <v>880</v>
      </c>
    </row>
    <row r="4652" spans="1:8" ht="15.75" customHeight="1">
      <c r="A4652" s="140" t="s">
        <v>87</v>
      </c>
      <c r="B4652" s="140" t="s">
        <v>22</v>
      </c>
      <c r="C4652" s="141" t="s">
        <v>637</v>
      </c>
      <c r="D4652" s="140" t="s">
        <v>638</v>
      </c>
      <c r="E4652" s="140">
        <v>3</v>
      </c>
      <c r="F4652" s="142">
        <v>46051.583333333328</v>
      </c>
      <c r="G4652" s="140" t="s">
        <v>845</v>
      </c>
      <c r="H4652" s="140" t="s">
        <v>880</v>
      </c>
    </row>
    <row r="4653" spans="1:8" ht="15.75" customHeight="1">
      <c r="A4653" s="140" t="s">
        <v>87</v>
      </c>
      <c r="B4653" s="140" t="s">
        <v>22</v>
      </c>
      <c r="C4653" s="141" t="s">
        <v>637</v>
      </c>
      <c r="D4653" s="140" t="s">
        <v>638</v>
      </c>
      <c r="E4653" s="140">
        <v>4</v>
      </c>
      <c r="F4653" s="142">
        <v>46052.458333333328</v>
      </c>
      <c r="G4653" s="140" t="s">
        <v>845</v>
      </c>
      <c r="H4653" s="140" t="s">
        <v>880</v>
      </c>
    </row>
    <row r="4654" spans="1:8" ht="15.75" customHeight="1">
      <c r="A4654" s="140" t="s">
        <v>87</v>
      </c>
      <c r="B4654" s="140" t="s">
        <v>22</v>
      </c>
      <c r="C4654" s="141" t="s">
        <v>637</v>
      </c>
      <c r="D4654" s="140" t="s">
        <v>638</v>
      </c>
      <c r="E4654" s="140">
        <v>5</v>
      </c>
      <c r="F4654" s="142">
        <v>46086.541666666672</v>
      </c>
      <c r="G4654" s="140" t="s">
        <v>843</v>
      </c>
      <c r="H4654" s="140" t="s">
        <v>880</v>
      </c>
    </row>
    <row r="4655" spans="1:8" ht="15.75" customHeight="1">
      <c r="A4655" s="140" t="s">
        <v>87</v>
      </c>
      <c r="B4655" s="140" t="s">
        <v>21</v>
      </c>
      <c r="C4655" s="141" t="s">
        <v>663</v>
      </c>
      <c r="D4655" s="140" t="s">
        <v>664</v>
      </c>
      <c r="E4655" s="140">
        <v>1</v>
      </c>
      <c r="F4655" s="142">
        <v>45813.458333333328</v>
      </c>
      <c r="G4655" s="140" t="s">
        <v>845</v>
      </c>
      <c r="H4655" s="140" t="s">
        <v>880</v>
      </c>
    </row>
    <row r="4656" spans="1:8" ht="15.75" customHeight="1">
      <c r="A4656" s="140" t="s">
        <v>87</v>
      </c>
      <c r="B4656" s="140" t="s">
        <v>21</v>
      </c>
      <c r="C4656" s="141" t="s">
        <v>663</v>
      </c>
      <c r="D4656" s="140" t="s">
        <v>664</v>
      </c>
      <c r="E4656" s="140">
        <v>2</v>
      </c>
      <c r="F4656" s="142">
        <v>45820.458333333328</v>
      </c>
      <c r="G4656" s="140" t="s">
        <v>845</v>
      </c>
      <c r="H4656" s="140" t="s">
        <v>880</v>
      </c>
    </row>
    <row r="4657" spans="1:8" ht="15.75" customHeight="1">
      <c r="A4657" s="140" t="s">
        <v>87</v>
      </c>
      <c r="B4657" s="140" t="s">
        <v>21</v>
      </c>
      <c r="C4657" s="141" t="s">
        <v>663</v>
      </c>
      <c r="D4657" s="140" t="s">
        <v>664</v>
      </c>
      <c r="E4657" s="140">
        <v>3</v>
      </c>
      <c r="F4657" s="142">
        <v>45841.625</v>
      </c>
      <c r="G4657" s="140" t="s">
        <v>845</v>
      </c>
      <c r="H4657" s="140" t="s">
        <v>880</v>
      </c>
    </row>
    <row r="4658" spans="1:8" ht="15.75" customHeight="1">
      <c r="A4658" s="140" t="s">
        <v>87</v>
      </c>
      <c r="B4658" s="140" t="s">
        <v>21</v>
      </c>
      <c r="C4658" s="141" t="s">
        <v>663</v>
      </c>
      <c r="D4658" s="140" t="s">
        <v>664</v>
      </c>
      <c r="E4658" s="140">
        <v>4</v>
      </c>
      <c r="F4658" s="142">
        <v>45849.416666666672</v>
      </c>
      <c r="G4658" s="140" t="s">
        <v>845</v>
      </c>
      <c r="H4658" s="140" t="s">
        <v>880</v>
      </c>
    </row>
    <row r="4659" spans="1:8" ht="15.75" customHeight="1">
      <c r="A4659" s="140" t="s">
        <v>87</v>
      </c>
      <c r="B4659" s="140" t="s">
        <v>21</v>
      </c>
      <c r="C4659" s="141" t="s">
        <v>663</v>
      </c>
      <c r="D4659" s="140" t="s">
        <v>664</v>
      </c>
      <c r="E4659" s="140">
        <v>5</v>
      </c>
      <c r="F4659" s="142">
        <v>45855.625</v>
      </c>
      <c r="G4659" s="140" t="s">
        <v>845</v>
      </c>
      <c r="H4659" s="140" t="s">
        <v>880</v>
      </c>
    </row>
    <row r="4660" spans="1:8" ht="15.75" customHeight="1">
      <c r="A4660" s="140" t="s">
        <v>87</v>
      </c>
      <c r="B4660" s="140" t="s">
        <v>21</v>
      </c>
      <c r="C4660" s="141" t="s">
        <v>663</v>
      </c>
      <c r="D4660" s="140" t="s">
        <v>664</v>
      </c>
      <c r="E4660" s="140">
        <v>6</v>
      </c>
      <c r="F4660" s="142">
        <v>45890.458333333328</v>
      </c>
      <c r="G4660" s="140" t="s">
        <v>845</v>
      </c>
      <c r="H4660" s="140" t="s">
        <v>880</v>
      </c>
    </row>
    <row r="4661" spans="1:8" ht="15.75" customHeight="1">
      <c r="A4661" s="140" t="s">
        <v>87</v>
      </c>
      <c r="B4661" s="140" t="s">
        <v>21</v>
      </c>
      <c r="C4661" s="141" t="s">
        <v>663</v>
      </c>
      <c r="D4661" s="140" t="s">
        <v>664</v>
      </c>
      <c r="E4661" s="140">
        <v>7</v>
      </c>
      <c r="F4661" s="142">
        <v>45911.625</v>
      </c>
      <c r="G4661" s="140" t="s">
        <v>843</v>
      </c>
      <c r="H4661" s="140" t="s">
        <v>880</v>
      </c>
    </row>
    <row r="4662" spans="1:8" ht="15.75" customHeight="1">
      <c r="A4662" s="140" t="s">
        <v>87</v>
      </c>
      <c r="B4662" s="140" t="s">
        <v>21</v>
      </c>
      <c r="C4662" s="141" t="s">
        <v>663</v>
      </c>
      <c r="D4662" s="140" t="s">
        <v>664</v>
      </c>
      <c r="E4662" s="140">
        <v>8</v>
      </c>
      <c r="F4662" s="142">
        <v>45912.541666666672</v>
      </c>
      <c r="G4662" s="140" t="s">
        <v>845</v>
      </c>
      <c r="H4662" s="140" t="s">
        <v>880</v>
      </c>
    </row>
    <row r="4663" spans="1:8" ht="15.75" customHeight="1">
      <c r="A4663" s="140" t="s">
        <v>87</v>
      </c>
      <c r="B4663" s="140" t="s">
        <v>21</v>
      </c>
      <c r="C4663" s="141" t="s">
        <v>663</v>
      </c>
      <c r="D4663" s="140" t="s">
        <v>664</v>
      </c>
      <c r="E4663" s="140">
        <v>9</v>
      </c>
      <c r="F4663" s="142">
        <v>45918.625</v>
      </c>
      <c r="G4663" s="140" t="s">
        <v>845</v>
      </c>
      <c r="H4663" s="140" t="s">
        <v>880</v>
      </c>
    </row>
    <row r="4664" spans="1:8" ht="15.75" customHeight="1">
      <c r="A4664" s="140" t="s">
        <v>87</v>
      </c>
      <c r="B4664" s="140" t="s">
        <v>21</v>
      </c>
      <c r="C4664" s="141" t="s">
        <v>663</v>
      </c>
      <c r="D4664" s="140" t="s">
        <v>664</v>
      </c>
      <c r="E4664" s="140">
        <v>10</v>
      </c>
      <c r="F4664" s="142">
        <v>45996.458333333328</v>
      </c>
      <c r="G4664" s="140" t="s">
        <v>845</v>
      </c>
      <c r="H4664" s="140" t="s">
        <v>880</v>
      </c>
    </row>
    <row r="4665" spans="1:8" ht="15.75" customHeight="1">
      <c r="A4665" s="140" t="s">
        <v>87</v>
      </c>
      <c r="B4665" s="140" t="s">
        <v>22</v>
      </c>
      <c r="C4665" s="141" t="s">
        <v>663</v>
      </c>
      <c r="D4665" s="140" t="s">
        <v>664</v>
      </c>
      <c r="E4665" s="140">
        <v>1</v>
      </c>
      <c r="F4665" s="142">
        <v>46038.416666666672</v>
      </c>
      <c r="G4665" s="140" t="s">
        <v>845</v>
      </c>
      <c r="H4665" s="140" t="s">
        <v>880</v>
      </c>
    </row>
    <row r="4666" spans="1:8" ht="15.75" customHeight="1">
      <c r="A4666" s="140" t="s">
        <v>87</v>
      </c>
      <c r="B4666" s="140" t="s">
        <v>22</v>
      </c>
      <c r="C4666" s="141" t="s">
        <v>663</v>
      </c>
      <c r="D4666" s="140" t="s">
        <v>664</v>
      </c>
      <c r="E4666" s="140">
        <v>2</v>
      </c>
      <c r="F4666" s="142">
        <v>46044.458333333328</v>
      </c>
      <c r="G4666" s="140" t="s">
        <v>843</v>
      </c>
      <c r="H4666" s="140" t="s">
        <v>880</v>
      </c>
    </row>
    <row r="4667" spans="1:8" ht="15.75" customHeight="1">
      <c r="A4667" s="140" t="s">
        <v>87</v>
      </c>
      <c r="B4667" s="140" t="s">
        <v>22</v>
      </c>
      <c r="C4667" s="141" t="s">
        <v>663</v>
      </c>
      <c r="D4667" s="140" t="s">
        <v>664</v>
      </c>
      <c r="E4667" s="140">
        <v>3</v>
      </c>
      <c r="F4667" s="142">
        <v>46051.583333333328</v>
      </c>
      <c r="G4667" s="140" t="s">
        <v>845</v>
      </c>
      <c r="H4667" s="140" t="s">
        <v>880</v>
      </c>
    </row>
    <row r="4668" spans="1:8" ht="15.75" customHeight="1">
      <c r="A4668" s="140" t="s">
        <v>87</v>
      </c>
      <c r="B4668" s="140" t="s">
        <v>22</v>
      </c>
      <c r="C4668" s="141" t="s">
        <v>663</v>
      </c>
      <c r="D4668" s="140" t="s">
        <v>664</v>
      </c>
      <c r="E4668" s="140">
        <v>4</v>
      </c>
      <c r="F4668" s="142">
        <v>46052.458333333328</v>
      </c>
      <c r="G4668" s="140" t="s">
        <v>845</v>
      </c>
      <c r="H4668" s="140" t="s">
        <v>880</v>
      </c>
    </row>
    <row r="4669" spans="1:8" ht="15.75" customHeight="1">
      <c r="A4669" s="140" t="s">
        <v>87</v>
      </c>
      <c r="B4669" s="140" t="s">
        <v>22</v>
      </c>
      <c r="C4669" s="141" t="s">
        <v>663</v>
      </c>
      <c r="D4669" s="140" t="s">
        <v>664</v>
      </c>
      <c r="E4669" s="140">
        <v>5</v>
      </c>
      <c r="F4669" s="142">
        <v>46086.541666666672</v>
      </c>
      <c r="G4669" s="140" t="s">
        <v>845</v>
      </c>
      <c r="H4669" s="140" t="s">
        <v>880</v>
      </c>
    </row>
    <row r="4670" spans="1:8" ht="15.75" customHeight="1">
      <c r="A4670" s="140" t="s">
        <v>88</v>
      </c>
      <c r="B4670" s="140" t="s">
        <v>21</v>
      </c>
      <c r="C4670" s="141" t="s">
        <v>325</v>
      </c>
      <c r="D4670" s="140" t="s">
        <v>326</v>
      </c>
      <c r="E4670" s="140">
        <v>6</v>
      </c>
      <c r="F4670" s="142">
        <v>45889.583333333328</v>
      </c>
      <c r="G4670" s="140" t="s">
        <v>845</v>
      </c>
      <c r="H4670" s="140" t="s">
        <v>881</v>
      </c>
    </row>
    <row r="4671" spans="1:8" ht="15.75" customHeight="1">
      <c r="A4671" s="140" t="s">
        <v>88</v>
      </c>
      <c r="B4671" s="140" t="s">
        <v>21</v>
      </c>
      <c r="C4671" s="141" t="s">
        <v>325</v>
      </c>
      <c r="D4671" s="140" t="s">
        <v>326</v>
      </c>
      <c r="E4671" s="140">
        <v>7</v>
      </c>
      <c r="F4671" s="142">
        <v>45896.583333333328</v>
      </c>
      <c r="G4671" s="140" t="s">
        <v>843</v>
      </c>
      <c r="H4671" s="140" t="s">
        <v>881</v>
      </c>
    </row>
    <row r="4672" spans="1:8" ht="15.75" customHeight="1">
      <c r="A4672" s="140" t="s">
        <v>88</v>
      </c>
      <c r="B4672" s="140" t="s">
        <v>21</v>
      </c>
      <c r="C4672" s="141" t="s">
        <v>325</v>
      </c>
      <c r="D4672" s="140" t="s">
        <v>326</v>
      </c>
      <c r="E4672" s="140">
        <v>8</v>
      </c>
      <c r="F4672" s="142">
        <v>45910.625</v>
      </c>
      <c r="G4672" s="140" t="s">
        <v>845</v>
      </c>
      <c r="H4672" s="140" t="s">
        <v>881</v>
      </c>
    </row>
    <row r="4673" spans="1:8" ht="15.75" customHeight="1">
      <c r="A4673" s="140" t="s">
        <v>88</v>
      </c>
      <c r="B4673" s="140" t="s">
        <v>21</v>
      </c>
      <c r="C4673" s="141" t="s">
        <v>325</v>
      </c>
      <c r="D4673" s="140" t="s">
        <v>326</v>
      </c>
      <c r="E4673" s="140">
        <v>9</v>
      </c>
      <c r="F4673" s="142">
        <v>45916.375</v>
      </c>
      <c r="G4673" s="140" t="s">
        <v>845</v>
      </c>
      <c r="H4673" s="140" t="s">
        <v>881</v>
      </c>
    </row>
    <row r="4674" spans="1:8" ht="15.75" customHeight="1">
      <c r="A4674" s="140" t="s">
        <v>88</v>
      </c>
      <c r="B4674" s="140" t="s">
        <v>21</v>
      </c>
      <c r="C4674" s="141" t="s">
        <v>325</v>
      </c>
      <c r="D4674" s="140" t="s">
        <v>326</v>
      </c>
      <c r="E4674" s="140">
        <v>10</v>
      </c>
      <c r="F4674" s="142">
        <v>45959.416666666672</v>
      </c>
      <c r="G4674" s="140" t="s">
        <v>845</v>
      </c>
      <c r="H4674" s="140" t="s">
        <v>881</v>
      </c>
    </row>
    <row r="4675" spans="1:8" ht="15.75" customHeight="1">
      <c r="A4675" s="140" t="s">
        <v>88</v>
      </c>
      <c r="B4675" s="140" t="s">
        <v>21</v>
      </c>
      <c r="C4675" s="141" t="s">
        <v>419</v>
      </c>
      <c r="D4675" s="140" t="s">
        <v>420</v>
      </c>
      <c r="E4675" s="140">
        <v>5</v>
      </c>
      <c r="F4675" s="142">
        <v>45882.541666666672</v>
      </c>
      <c r="G4675" s="140" t="s">
        <v>845</v>
      </c>
      <c r="H4675" s="140" t="s">
        <v>881</v>
      </c>
    </row>
    <row r="4676" spans="1:8" ht="15.75" customHeight="1">
      <c r="A4676" s="140" t="s">
        <v>88</v>
      </c>
      <c r="B4676" s="140" t="s">
        <v>21</v>
      </c>
      <c r="C4676" s="141" t="s">
        <v>419</v>
      </c>
      <c r="D4676" s="140" t="s">
        <v>420</v>
      </c>
      <c r="E4676" s="140">
        <v>6</v>
      </c>
      <c r="F4676" s="142">
        <v>45889.583333333328</v>
      </c>
      <c r="G4676" s="140" t="s">
        <v>845</v>
      </c>
      <c r="H4676" s="140" t="s">
        <v>881</v>
      </c>
    </row>
    <row r="4677" spans="1:8" ht="15.75" customHeight="1">
      <c r="A4677" s="140" t="s">
        <v>88</v>
      </c>
      <c r="B4677" s="140" t="s">
        <v>21</v>
      </c>
      <c r="C4677" s="141" t="s">
        <v>419</v>
      </c>
      <c r="D4677" s="140" t="s">
        <v>420</v>
      </c>
      <c r="E4677" s="140">
        <v>7</v>
      </c>
      <c r="F4677" s="142">
        <v>45896.583333333328</v>
      </c>
      <c r="G4677" s="140" t="s">
        <v>845</v>
      </c>
      <c r="H4677" s="140" t="s">
        <v>881</v>
      </c>
    </row>
    <row r="4678" spans="1:8" ht="15.75" customHeight="1">
      <c r="A4678" s="140" t="s">
        <v>88</v>
      </c>
      <c r="B4678" s="140" t="s">
        <v>21</v>
      </c>
      <c r="C4678" s="141" t="s">
        <v>419</v>
      </c>
      <c r="D4678" s="140" t="s">
        <v>420</v>
      </c>
      <c r="E4678" s="140">
        <v>8</v>
      </c>
      <c r="F4678" s="142">
        <v>45910.625</v>
      </c>
      <c r="G4678" s="140" t="s">
        <v>843</v>
      </c>
      <c r="H4678" s="140" t="s">
        <v>881</v>
      </c>
    </row>
    <row r="4679" spans="1:8" ht="15.75" customHeight="1">
      <c r="A4679" s="140" t="s">
        <v>88</v>
      </c>
      <c r="B4679" s="140" t="s">
        <v>21</v>
      </c>
      <c r="C4679" s="141" t="s">
        <v>419</v>
      </c>
      <c r="D4679" s="140" t="s">
        <v>420</v>
      </c>
      <c r="E4679" s="140">
        <v>9</v>
      </c>
      <c r="F4679" s="142">
        <v>45916.375</v>
      </c>
      <c r="G4679" s="140" t="s">
        <v>843</v>
      </c>
      <c r="H4679" s="140" t="s">
        <v>881</v>
      </c>
    </row>
    <row r="4680" spans="1:8" ht="15.75" customHeight="1">
      <c r="A4680" s="140" t="s">
        <v>88</v>
      </c>
      <c r="B4680" s="140" t="s">
        <v>21</v>
      </c>
      <c r="C4680" s="141" t="s">
        <v>419</v>
      </c>
      <c r="D4680" s="140" t="s">
        <v>420</v>
      </c>
      <c r="E4680" s="140">
        <v>10</v>
      </c>
      <c r="F4680" s="142">
        <v>45959.416666666672</v>
      </c>
      <c r="G4680" s="140" t="s">
        <v>843</v>
      </c>
      <c r="H4680" s="140" t="s">
        <v>881</v>
      </c>
    </row>
    <row r="4681" spans="1:8" ht="15.75" customHeight="1">
      <c r="A4681" s="140" t="s">
        <v>88</v>
      </c>
      <c r="B4681" s="140" t="s">
        <v>21</v>
      </c>
      <c r="C4681" s="141" t="s">
        <v>440</v>
      </c>
      <c r="D4681" s="140" t="s">
        <v>441</v>
      </c>
      <c r="E4681" s="140">
        <v>5</v>
      </c>
      <c r="F4681" s="142">
        <v>45882.541666666672</v>
      </c>
      <c r="G4681" s="140" t="s">
        <v>845</v>
      </c>
      <c r="H4681" s="140" t="s">
        <v>881</v>
      </c>
    </row>
    <row r="4682" spans="1:8" ht="15.75" customHeight="1">
      <c r="A4682" s="140" t="s">
        <v>88</v>
      </c>
      <c r="B4682" s="140" t="s">
        <v>21</v>
      </c>
      <c r="C4682" s="141" t="s">
        <v>440</v>
      </c>
      <c r="D4682" s="140" t="s">
        <v>441</v>
      </c>
      <c r="E4682" s="140">
        <v>6</v>
      </c>
      <c r="F4682" s="142">
        <v>45889.583333333328</v>
      </c>
      <c r="G4682" s="140" t="s">
        <v>843</v>
      </c>
      <c r="H4682" s="140" t="s">
        <v>881</v>
      </c>
    </row>
    <row r="4683" spans="1:8" ht="15.75" customHeight="1">
      <c r="A4683" s="140" t="s">
        <v>88</v>
      </c>
      <c r="B4683" s="140" t="s">
        <v>21</v>
      </c>
      <c r="C4683" s="141" t="s">
        <v>440</v>
      </c>
      <c r="D4683" s="140" t="s">
        <v>441</v>
      </c>
      <c r="E4683" s="140">
        <v>7</v>
      </c>
      <c r="F4683" s="142">
        <v>45896.583333333328</v>
      </c>
      <c r="G4683" s="140" t="s">
        <v>845</v>
      </c>
      <c r="H4683" s="140" t="s">
        <v>881</v>
      </c>
    </row>
    <row r="4684" spans="1:8" ht="15.75" customHeight="1">
      <c r="A4684" s="140" t="s">
        <v>88</v>
      </c>
      <c r="B4684" s="140" t="s">
        <v>21</v>
      </c>
      <c r="C4684" s="141" t="s">
        <v>440</v>
      </c>
      <c r="D4684" s="140" t="s">
        <v>441</v>
      </c>
      <c r="E4684" s="140">
        <v>8</v>
      </c>
      <c r="F4684" s="142">
        <v>45910.625</v>
      </c>
      <c r="G4684" s="140" t="s">
        <v>845</v>
      </c>
      <c r="H4684" s="140" t="s">
        <v>881</v>
      </c>
    </row>
    <row r="4685" spans="1:8" ht="15.75" customHeight="1">
      <c r="A4685" s="140" t="s">
        <v>88</v>
      </c>
      <c r="B4685" s="140" t="s">
        <v>21</v>
      </c>
      <c r="C4685" s="141" t="s">
        <v>440</v>
      </c>
      <c r="D4685" s="140" t="s">
        <v>441</v>
      </c>
      <c r="E4685" s="140">
        <v>9</v>
      </c>
      <c r="F4685" s="142">
        <v>45916.375</v>
      </c>
      <c r="G4685" s="140" t="s">
        <v>845</v>
      </c>
      <c r="H4685" s="140" t="s">
        <v>881</v>
      </c>
    </row>
    <row r="4686" spans="1:8" ht="15.75" customHeight="1">
      <c r="A4686" s="140" t="s">
        <v>88</v>
      </c>
      <c r="B4686" s="140" t="s">
        <v>21</v>
      </c>
      <c r="C4686" s="141" t="s">
        <v>440</v>
      </c>
      <c r="D4686" s="140" t="s">
        <v>441</v>
      </c>
      <c r="E4686" s="140">
        <v>10</v>
      </c>
      <c r="F4686" s="142">
        <v>45959.416666666672</v>
      </c>
      <c r="G4686" s="140" t="s">
        <v>845</v>
      </c>
      <c r="H4686" s="140" t="s">
        <v>881</v>
      </c>
    </row>
    <row r="4687" spans="1:8" ht="15.75" customHeight="1">
      <c r="A4687" s="140" t="s">
        <v>88</v>
      </c>
      <c r="B4687" s="140" t="s">
        <v>21</v>
      </c>
      <c r="C4687" s="141" t="s">
        <v>461</v>
      </c>
      <c r="D4687" s="140" t="s">
        <v>462</v>
      </c>
      <c r="E4687" s="140">
        <v>6</v>
      </c>
      <c r="F4687" s="142">
        <v>45889.583333333328</v>
      </c>
      <c r="G4687" s="140" t="s">
        <v>843</v>
      </c>
      <c r="H4687" s="140" t="s">
        <v>881</v>
      </c>
    </row>
    <row r="4688" spans="1:8" ht="15.75" customHeight="1">
      <c r="A4688" s="140" t="s">
        <v>88</v>
      </c>
      <c r="B4688" s="140" t="s">
        <v>21</v>
      </c>
      <c r="C4688" s="141" t="s">
        <v>461</v>
      </c>
      <c r="D4688" s="140" t="s">
        <v>462</v>
      </c>
      <c r="E4688" s="140">
        <v>7</v>
      </c>
      <c r="F4688" s="142">
        <v>45896.583333333328</v>
      </c>
      <c r="G4688" s="140" t="s">
        <v>845</v>
      </c>
      <c r="H4688" s="140" t="s">
        <v>881</v>
      </c>
    </row>
    <row r="4689" spans="1:8" ht="15.75" customHeight="1">
      <c r="A4689" s="140" t="s">
        <v>88</v>
      </c>
      <c r="B4689" s="140" t="s">
        <v>21</v>
      </c>
      <c r="C4689" s="141" t="s">
        <v>461</v>
      </c>
      <c r="D4689" s="140" t="s">
        <v>462</v>
      </c>
      <c r="E4689" s="140">
        <v>8</v>
      </c>
      <c r="F4689" s="142">
        <v>45910.625</v>
      </c>
      <c r="G4689" s="140" t="s">
        <v>845</v>
      </c>
      <c r="H4689" s="140" t="s">
        <v>881</v>
      </c>
    </row>
    <row r="4690" spans="1:8" ht="15.75" customHeight="1">
      <c r="A4690" s="140" t="s">
        <v>88</v>
      </c>
      <c r="B4690" s="140" t="s">
        <v>21</v>
      </c>
      <c r="C4690" s="141" t="s">
        <v>461</v>
      </c>
      <c r="D4690" s="140" t="s">
        <v>462</v>
      </c>
      <c r="E4690" s="140">
        <v>9</v>
      </c>
      <c r="F4690" s="142">
        <v>45916.375</v>
      </c>
      <c r="G4690" s="140" t="s">
        <v>845</v>
      </c>
      <c r="H4690" s="140" t="s">
        <v>881</v>
      </c>
    </row>
    <row r="4691" spans="1:8" ht="15.75" customHeight="1">
      <c r="A4691" s="140" t="s">
        <v>88</v>
      </c>
      <c r="B4691" s="140" t="s">
        <v>21</v>
      </c>
      <c r="C4691" s="141" t="s">
        <v>461</v>
      </c>
      <c r="D4691" s="140" t="s">
        <v>462</v>
      </c>
      <c r="E4691" s="140">
        <v>10</v>
      </c>
      <c r="F4691" s="142">
        <v>45959.416666666672</v>
      </c>
      <c r="G4691" s="140" t="s">
        <v>845</v>
      </c>
      <c r="H4691" s="140" t="s">
        <v>881</v>
      </c>
    </row>
    <row r="4692" spans="1:8" ht="15.75" customHeight="1">
      <c r="A4692" s="140" t="s">
        <v>88</v>
      </c>
      <c r="B4692" s="140" t="s">
        <v>21</v>
      </c>
      <c r="C4692" s="141" t="s">
        <v>669</v>
      </c>
      <c r="D4692" s="140" t="s">
        <v>670</v>
      </c>
      <c r="E4692" s="140">
        <v>5</v>
      </c>
      <c r="F4692" s="142">
        <v>45882.541666666672</v>
      </c>
      <c r="G4692" s="140" t="s">
        <v>845</v>
      </c>
      <c r="H4692" s="140" t="s">
        <v>881</v>
      </c>
    </row>
    <row r="4693" spans="1:8" ht="15.75" customHeight="1">
      <c r="A4693" s="140" t="s">
        <v>88</v>
      </c>
      <c r="B4693" s="140" t="s">
        <v>21</v>
      </c>
      <c r="C4693" s="141" t="s">
        <v>669</v>
      </c>
      <c r="D4693" s="140" t="s">
        <v>670</v>
      </c>
      <c r="E4693" s="140">
        <v>6</v>
      </c>
      <c r="F4693" s="142">
        <v>45889.583333333328</v>
      </c>
      <c r="G4693" s="140" t="s">
        <v>845</v>
      </c>
      <c r="H4693" s="140" t="s">
        <v>881</v>
      </c>
    </row>
    <row r="4694" spans="1:8" ht="15.75" customHeight="1">
      <c r="A4694" s="140" t="s">
        <v>88</v>
      </c>
      <c r="B4694" s="140" t="s">
        <v>21</v>
      </c>
      <c r="C4694" s="141" t="s">
        <v>669</v>
      </c>
      <c r="D4694" s="140" t="s">
        <v>670</v>
      </c>
      <c r="E4694" s="140">
        <v>7</v>
      </c>
      <c r="F4694" s="142">
        <v>45896.583333333328</v>
      </c>
      <c r="G4694" s="140" t="s">
        <v>845</v>
      </c>
      <c r="H4694" s="140" t="s">
        <v>881</v>
      </c>
    </row>
    <row r="4695" spans="1:8" ht="15.75" customHeight="1">
      <c r="A4695" s="140" t="s">
        <v>88</v>
      </c>
      <c r="B4695" s="140" t="s">
        <v>21</v>
      </c>
      <c r="C4695" s="141" t="s">
        <v>669</v>
      </c>
      <c r="D4695" s="140" t="s">
        <v>670</v>
      </c>
      <c r="E4695" s="140">
        <v>8</v>
      </c>
      <c r="F4695" s="142">
        <v>45910.625</v>
      </c>
      <c r="G4695" s="140" t="s">
        <v>843</v>
      </c>
      <c r="H4695" s="140" t="s">
        <v>881</v>
      </c>
    </row>
    <row r="4696" spans="1:8" ht="15.75" customHeight="1">
      <c r="A4696" s="140" t="s">
        <v>88</v>
      </c>
      <c r="B4696" s="140" t="s">
        <v>21</v>
      </c>
      <c r="C4696" s="141" t="s">
        <v>669</v>
      </c>
      <c r="D4696" s="140" t="s">
        <v>670</v>
      </c>
      <c r="E4696" s="140">
        <v>9</v>
      </c>
      <c r="F4696" s="142">
        <v>45916.375</v>
      </c>
      <c r="G4696" s="140" t="s">
        <v>843</v>
      </c>
      <c r="H4696" s="140" t="s">
        <v>881</v>
      </c>
    </row>
    <row r="4697" spans="1:8" ht="15.75" customHeight="1">
      <c r="A4697" s="140" t="s">
        <v>88</v>
      </c>
      <c r="B4697" s="140" t="s">
        <v>21</v>
      </c>
      <c r="C4697" s="141" t="s">
        <v>669</v>
      </c>
      <c r="D4697" s="140" t="s">
        <v>670</v>
      </c>
      <c r="E4697" s="140">
        <v>10</v>
      </c>
      <c r="F4697" s="142">
        <v>45959.416666666672</v>
      </c>
      <c r="G4697" s="140" t="s">
        <v>843</v>
      </c>
      <c r="H4697" s="140" t="s">
        <v>881</v>
      </c>
    </row>
    <row r="4698" spans="1:8" ht="15.75" customHeight="1">
      <c r="A4698" s="140" t="s">
        <v>88</v>
      </c>
      <c r="B4698" s="140" t="s">
        <v>21</v>
      </c>
      <c r="C4698" s="141" t="s">
        <v>681</v>
      </c>
      <c r="D4698" s="140" t="s">
        <v>682</v>
      </c>
      <c r="E4698" s="140">
        <v>5</v>
      </c>
      <c r="F4698" s="142">
        <v>45882.541666666672</v>
      </c>
      <c r="G4698" s="140" t="s">
        <v>845</v>
      </c>
      <c r="H4698" s="140" t="s">
        <v>881</v>
      </c>
    </row>
    <row r="4699" spans="1:8" ht="15.75" customHeight="1">
      <c r="A4699" s="140" t="s">
        <v>88</v>
      </c>
      <c r="B4699" s="140" t="s">
        <v>21</v>
      </c>
      <c r="C4699" s="141" t="s">
        <v>681</v>
      </c>
      <c r="D4699" s="140" t="s">
        <v>682</v>
      </c>
      <c r="E4699" s="140">
        <v>6</v>
      </c>
      <c r="F4699" s="142">
        <v>45889.583333333328</v>
      </c>
      <c r="G4699" s="140" t="s">
        <v>845</v>
      </c>
      <c r="H4699" s="140" t="s">
        <v>881</v>
      </c>
    </row>
    <row r="4700" spans="1:8" ht="15.75" customHeight="1">
      <c r="A4700" s="140" t="s">
        <v>88</v>
      </c>
      <c r="B4700" s="140" t="s">
        <v>21</v>
      </c>
      <c r="C4700" s="141" t="s">
        <v>681</v>
      </c>
      <c r="D4700" s="140" t="s">
        <v>682</v>
      </c>
      <c r="E4700" s="140">
        <v>7</v>
      </c>
      <c r="F4700" s="142">
        <v>45896.583333333328</v>
      </c>
      <c r="G4700" s="140" t="s">
        <v>845</v>
      </c>
      <c r="H4700" s="140" t="s">
        <v>881</v>
      </c>
    </row>
    <row r="4701" spans="1:8" ht="15.75" customHeight="1">
      <c r="A4701" s="140" t="s">
        <v>88</v>
      </c>
      <c r="B4701" s="140" t="s">
        <v>21</v>
      </c>
      <c r="C4701" s="141" t="s">
        <v>681</v>
      </c>
      <c r="D4701" s="140" t="s">
        <v>682</v>
      </c>
      <c r="E4701" s="140">
        <v>8</v>
      </c>
      <c r="F4701" s="142">
        <v>45910.583333333328</v>
      </c>
      <c r="G4701" s="140" t="s">
        <v>845</v>
      </c>
      <c r="H4701" s="140" t="s">
        <v>881</v>
      </c>
    </row>
    <row r="4702" spans="1:8" ht="15.75" customHeight="1">
      <c r="A4702" s="140" t="s">
        <v>88</v>
      </c>
      <c r="B4702" s="140" t="s">
        <v>21</v>
      </c>
      <c r="C4702" s="141" t="s">
        <v>681</v>
      </c>
      <c r="D4702" s="140" t="s">
        <v>682</v>
      </c>
      <c r="E4702" s="140">
        <v>9</v>
      </c>
      <c r="F4702" s="142">
        <v>45916.375</v>
      </c>
      <c r="G4702" s="140" t="s">
        <v>845</v>
      </c>
      <c r="H4702" s="140" t="s">
        <v>881</v>
      </c>
    </row>
    <row r="4703" spans="1:8" ht="15.75" customHeight="1">
      <c r="A4703" s="140" t="s">
        <v>88</v>
      </c>
      <c r="B4703" s="140" t="s">
        <v>21</v>
      </c>
      <c r="C4703" s="141" t="s">
        <v>681</v>
      </c>
      <c r="D4703" s="140" t="s">
        <v>682</v>
      </c>
      <c r="E4703" s="140">
        <v>10</v>
      </c>
      <c r="F4703" s="142">
        <v>45959.416666666672</v>
      </c>
      <c r="G4703" s="140" t="s">
        <v>845</v>
      </c>
      <c r="H4703" s="140" t="s">
        <v>881</v>
      </c>
    </row>
    <row r="4704" spans="1:8" ht="15.75" customHeight="1">
      <c r="A4704" s="140" t="s">
        <v>88</v>
      </c>
      <c r="B4704" s="140" t="s">
        <v>21</v>
      </c>
      <c r="C4704" s="141" t="s">
        <v>685</v>
      </c>
      <c r="D4704" s="140" t="s">
        <v>686</v>
      </c>
      <c r="E4704" s="140">
        <v>5</v>
      </c>
      <c r="F4704" s="142">
        <v>45882.541666666672</v>
      </c>
      <c r="G4704" s="140" t="s">
        <v>845</v>
      </c>
      <c r="H4704" s="140" t="s">
        <v>881</v>
      </c>
    </row>
    <row r="4705" spans="1:8" ht="15.75" customHeight="1">
      <c r="A4705" s="140" t="s">
        <v>88</v>
      </c>
      <c r="B4705" s="140" t="s">
        <v>21</v>
      </c>
      <c r="C4705" s="141" t="s">
        <v>685</v>
      </c>
      <c r="D4705" s="140" t="s">
        <v>686</v>
      </c>
      <c r="E4705" s="140">
        <v>6</v>
      </c>
      <c r="F4705" s="142">
        <v>45889.583333333328</v>
      </c>
      <c r="G4705" s="140" t="s">
        <v>845</v>
      </c>
      <c r="H4705" s="140" t="s">
        <v>881</v>
      </c>
    </row>
    <row r="4706" spans="1:8" ht="15.75" customHeight="1">
      <c r="A4706" s="140" t="s">
        <v>88</v>
      </c>
      <c r="B4706" s="140" t="s">
        <v>21</v>
      </c>
      <c r="C4706" s="141" t="s">
        <v>685</v>
      </c>
      <c r="D4706" s="140" t="s">
        <v>686</v>
      </c>
      <c r="E4706" s="140">
        <v>7</v>
      </c>
      <c r="F4706" s="142">
        <v>45896.583333333328</v>
      </c>
      <c r="G4706" s="140" t="s">
        <v>845</v>
      </c>
      <c r="H4706" s="140" t="s">
        <v>881</v>
      </c>
    </row>
    <row r="4707" spans="1:8" ht="15.75" customHeight="1">
      <c r="A4707" s="140" t="s">
        <v>88</v>
      </c>
      <c r="B4707" s="140" t="s">
        <v>21</v>
      </c>
      <c r="C4707" s="141" t="s">
        <v>685</v>
      </c>
      <c r="D4707" s="140" t="s">
        <v>686</v>
      </c>
      <c r="E4707" s="140">
        <v>8</v>
      </c>
      <c r="F4707" s="142">
        <v>45910.625</v>
      </c>
      <c r="G4707" s="140" t="s">
        <v>845</v>
      </c>
      <c r="H4707" s="140" t="s">
        <v>881</v>
      </c>
    </row>
    <row r="4708" spans="1:8" ht="15.75" customHeight="1">
      <c r="A4708" s="140" t="s">
        <v>88</v>
      </c>
      <c r="B4708" s="140" t="s">
        <v>21</v>
      </c>
      <c r="C4708" s="141" t="s">
        <v>685</v>
      </c>
      <c r="D4708" s="140" t="s">
        <v>686</v>
      </c>
      <c r="E4708" s="140">
        <v>9</v>
      </c>
      <c r="F4708" s="142">
        <v>45916.375</v>
      </c>
      <c r="G4708" s="140" t="s">
        <v>845</v>
      </c>
      <c r="H4708" s="140" t="s">
        <v>881</v>
      </c>
    </row>
    <row r="4709" spans="1:8" ht="15.75" customHeight="1">
      <c r="A4709" s="140" t="s">
        <v>88</v>
      </c>
      <c r="B4709" s="140" t="s">
        <v>21</v>
      </c>
      <c r="C4709" s="141" t="s">
        <v>685</v>
      </c>
      <c r="D4709" s="140" t="s">
        <v>686</v>
      </c>
      <c r="E4709" s="140">
        <v>10</v>
      </c>
      <c r="F4709" s="142">
        <v>45959.416666666672</v>
      </c>
      <c r="G4709" s="140" t="s">
        <v>845</v>
      </c>
      <c r="H4709" s="140" t="s">
        <v>881</v>
      </c>
    </row>
    <row r="4710" spans="1:8" ht="15.75" customHeight="1">
      <c r="A4710" s="140" t="s">
        <v>88</v>
      </c>
      <c r="B4710" s="140" t="s">
        <v>21</v>
      </c>
      <c r="C4710" s="141" t="s">
        <v>709</v>
      </c>
      <c r="D4710" s="140" t="s">
        <v>710</v>
      </c>
      <c r="E4710" s="140">
        <v>5</v>
      </c>
      <c r="F4710" s="142">
        <v>45882.541666666672</v>
      </c>
      <c r="G4710" s="140" t="s">
        <v>845</v>
      </c>
      <c r="H4710" s="140" t="s">
        <v>881</v>
      </c>
    </row>
    <row r="4711" spans="1:8" ht="15.75" customHeight="1">
      <c r="A4711" s="140" t="s">
        <v>88</v>
      </c>
      <c r="B4711" s="140" t="s">
        <v>21</v>
      </c>
      <c r="C4711" s="141" t="s">
        <v>709</v>
      </c>
      <c r="D4711" s="140" t="s">
        <v>710</v>
      </c>
      <c r="E4711" s="140">
        <v>6</v>
      </c>
      <c r="F4711" s="142">
        <v>45889.583333333328</v>
      </c>
      <c r="G4711" s="140" t="s">
        <v>845</v>
      </c>
      <c r="H4711" s="140" t="s">
        <v>881</v>
      </c>
    </row>
    <row r="4712" spans="1:8" ht="15.75" customHeight="1">
      <c r="A4712" s="140" t="s">
        <v>88</v>
      </c>
      <c r="B4712" s="140" t="s">
        <v>21</v>
      </c>
      <c r="C4712" s="141" t="s">
        <v>709</v>
      </c>
      <c r="D4712" s="140" t="s">
        <v>710</v>
      </c>
      <c r="E4712" s="140">
        <v>7</v>
      </c>
      <c r="F4712" s="142">
        <v>45896.583333333328</v>
      </c>
      <c r="G4712" s="140" t="s">
        <v>845</v>
      </c>
      <c r="H4712" s="140" t="s">
        <v>881</v>
      </c>
    </row>
    <row r="4713" spans="1:8" ht="15.75" customHeight="1">
      <c r="A4713" s="140" t="s">
        <v>88</v>
      </c>
      <c r="B4713" s="140" t="s">
        <v>21</v>
      </c>
      <c r="C4713" s="141" t="s">
        <v>709</v>
      </c>
      <c r="D4713" s="140" t="s">
        <v>710</v>
      </c>
      <c r="E4713" s="140">
        <v>8</v>
      </c>
      <c r="F4713" s="142">
        <v>45910.625</v>
      </c>
      <c r="G4713" s="140" t="s">
        <v>845</v>
      </c>
      <c r="H4713" s="140" t="s">
        <v>881</v>
      </c>
    </row>
    <row r="4714" spans="1:8" ht="15.75" customHeight="1">
      <c r="A4714" s="140" t="s">
        <v>88</v>
      </c>
      <c r="B4714" s="140" t="s">
        <v>21</v>
      </c>
      <c r="C4714" s="141" t="s">
        <v>709</v>
      </c>
      <c r="D4714" s="140" t="s">
        <v>710</v>
      </c>
      <c r="E4714" s="140">
        <v>9</v>
      </c>
      <c r="F4714" s="142">
        <v>45916.375</v>
      </c>
      <c r="G4714" s="140" t="s">
        <v>845</v>
      </c>
      <c r="H4714" s="140" t="s">
        <v>881</v>
      </c>
    </row>
    <row r="4715" spans="1:8" ht="15.75" customHeight="1">
      <c r="A4715" s="140" t="s">
        <v>88</v>
      </c>
      <c r="B4715" s="140" t="s">
        <v>21</v>
      </c>
      <c r="C4715" s="141" t="s">
        <v>709</v>
      </c>
      <c r="D4715" s="140" t="s">
        <v>710</v>
      </c>
      <c r="E4715" s="140">
        <v>10</v>
      </c>
      <c r="F4715" s="142">
        <v>45959.416666666672</v>
      </c>
      <c r="G4715" s="140" t="s">
        <v>845</v>
      </c>
      <c r="H4715" s="140" t="s">
        <v>881</v>
      </c>
    </row>
    <row r="4716" spans="1:8" ht="15.75" customHeight="1">
      <c r="A4716" s="140" t="s">
        <v>89</v>
      </c>
      <c r="B4716" s="140" t="s">
        <v>25</v>
      </c>
      <c r="C4716" s="141" t="s">
        <v>161</v>
      </c>
      <c r="D4716" s="140" t="s">
        <v>162</v>
      </c>
      <c r="E4716" s="140">
        <v>1</v>
      </c>
      <c r="F4716" s="142">
        <v>45916.458333333328</v>
      </c>
      <c r="G4716" s="140" t="s">
        <v>843</v>
      </c>
      <c r="H4716" s="140" t="s">
        <v>882</v>
      </c>
    </row>
    <row r="4717" spans="1:8" ht="15.75" customHeight="1">
      <c r="A4717" s="140" t="s">
        <v>89</v>
      </c>
      <c r="B4717" s="140" t="s">
        <v>25</v>
      </c>
      <c r="C4717" s="141" t="s">
        <v>161</v>
      </c>
      <c r="D4717" s="140" t="s">
        <v>162</v>
      </c>
      <c r="E4717" s="140">
        <v>2</v>
      </c>
      <c r="F4717" s="142">
        <v>45925.541666666672</v>
      </c>
      <c r="G4717" s="140" t="s">
        <v>843</v>
      </c>
      <c r="H4717" s="140" t="s">
        <v>882</v>
      </c>
    </row>
    <row r="4718" spans="1:8" ht="15.75" customHeight="1">
      <c r="A4718" s="140" t="s">
        <v>89</v>
      </c>
      <c r="B4718" s="140" t="s">
        <v>25</v>
      </c>
      <c r="C4718" s="141" t="s">
        <v>161</v>
      </c>
      <c r="D4718" s="140" t="s">
        <v>162</v>
      </c>
      <c r="E4718" s="140">
        <v>3</v>
      </c>
      <c r="F4718" s="142">
        <v>45931.583333333328</v>
      </c>
      <c r="G4718" s="140" t="s">
        <v>843</v>
      </c>
      <c r="H4718" s="140" t="s">
        <v>882</v>
      </c>
    </row>
    <row r="4719" spans="1:8" ht="15.75" customHeight="1">
      <c r="A4719" s="140" t="s">
        <v>89</v>
      </c>
      <c r="B4719" s="140" t="s">
        <v>25</v>
      </c>
      <c r="C4719" s="141" t="s">
        <v>161</v>
      </c>
      <c r="D4719" s="140" t="s">
        <v>162</v>
      </c>
      <c r="E4719" s="140">
        <v>4</v>
      </c>
      <c r="F4719" s="142">
        <v>45938.541666666672</v>
      </c>
      <c r="G4719" s="140" t="s">
        <v>843</v>
      </c>
      <c r="H4719" s="140" t="s">
        <v>882</v>
      </c>
    </row>
    <row r="4720" spans="1:8" ht="15.75" customHeight="1">
      <c r="A4720" s="140" t="s">
        <v>89</v>
      </c>
      <c r="B4720" s="140" t="s">
        <v>25</v>
      </c>
      <c r="C4720" s="141" t="s">
        <v>161</v>
      </c>
      <c r="D4720" s="140" t="s">
        <v>162</v>
      </c>
      <c r="E4720" s="140">
        <v>5</v>
      </c>
      <c r="F4720" s="142">
        <v>45953.541666666672</v>
      </c>
      <c r="G4720" s="140" t="s">
        <v>845</v>
      </c>
      <c r="H4720" s="140" t="s">
        <v>882</v>
      </c>
    </row>
    <row r="4721" spans="1:8" ht="15.75" customHeight="1">
      <c r="A4721" s="140" t="s">
        <v>89</v>
      </c>
      <c r="B4721" s="140" t="s">
        <v>25</v>
      </c>
      <c r="C4721" s="141" t="s">
        <v>161</v>
      </c>
      <c r="D4721" s="140" t="s">
        <v>162</v>
      </c>
      <c r="E4721" s="140">
        <v>6</v>
      </c>
      <c r="F4721" s="142">
        <v>45960.541666666672</v>
      </c>
      <c r="G4721" s="140" t="s">
        <v>845</v>
      </c>
      <c r="H4721" s="140" t="s">
        <v>882</v>
      </c>
    </row>
    <row r="4722" spans="1:8" ht="15.75" customHeight="1">
      <c r="A4722" s="140" t="s">
        <v>89</v>
      </c>
      <c r="B4722" s="140" t="s">
        <v>25</v>
      </c>
      <c r="C4722" s="141" t="s">
        <v>161</v>
      </c>
      <c r="D4722" s="140" t="s">
        <v>162</v>
      </c>
      <c r="E4722" s="140">
        <v>7</v>
      </c>
      <c r="F4722" s="142">
        <v>45967.541666666672</v>
      </c>
      <c r="G4722" s="140" t="s">
        <v>845</v>
      </c>
      <c r="H4722" s="140" t="s">
        <v>882</v>
      </c>
    </row>
    <row r="4723" spans="1:8" ht="15.75" customHeight="1">
      <c r="A4723" s="140" t="s">
        <v>89</v>
      </c>
      <c r="B4723" s="140" t="s">
        <v>25</v>
      </c>
      <c r="C4723" s="141" t="s">
        <v>161</v>
      </c>
      <c r="D4723" s="140" t="s">
        <v>162</v>
      </c>
      <c r="E4723" s="140">
        <v>8</v>
      </c>
      <c r="F4723" s="142">
        <v>45982.541666666672</v>
      </c>
      <c r="G4723" s="140" t="s">
        <v>845</v>
      </c>
      <c r="H4723" s="140" t="s">
        <v>882</v>
      </c>
    </row>
    <row r="4724" spans="1:8" ht="15.75" customHeight="1">
      <c r="A4724" s="140" t="s">
        <v>89</v>
      </c>
      <c r="B4724" s="140" t="s">
        <v>25</v>
      </c>
      <c r="C4724" s="141" t="s">
        <v>161</v>
      </c>
      <c r="D4724" s="140" t="s">
        <v>162</v>
      </c>
      <c r="E4724" s="140">
        <v>9</v>
      </c>
      <c r="F4724" s="142">
        <v>45989.541666666672</v>
      </c>
      <c r="G4724" s="140" t="s">
        <v>845</v>
      </c>
      <c r="H4724" s="140" t="s">
        <v>882</v>
      </c>
    </row>
    <row r="4725" spans="1:8" ht="15.75" customHeight="1">
      <c r="A4725" s="140" t="s">
        <v>89</v>
      </c>
      <c r="B4725" s="140" t="s">
        <v>25</v>
      </c>
      <c r="C4725" s="141" t="s">
        <v>161</v>
      </c>
      <c r="D4725" s="140" t="s">
        <v>162</v>
      </c>
      <c r="E4725" s="140">
        <v>10</v>
      </c>
      <c r="F4725" s="142">
        <v>45996.541666666672</v>
      </c>
      <c r="G4725" s="140" t="s">
        <v>845</v>
      </c>
      <c r="H4725" s="140" t="s">
        <v>882</v>
      </c>
    </row>
    <row r="4726" spans="1:8" ht="15.75" customHeight="1">
      <c r="A4726" s="140" t="s">
        <v>89</v>
      </c>
      <c r="B4726" s="140" t="s">
        <v>25</v>
      </c>
      <c r="C4726" s="141" t="s">
        <v>161</v>
      </c>
      <c r="D4726" s="140" t="s">
        <v>162</v>
      </c>
      <c r="E4726" s="140">
        <v>11</v>
      </c>
      <c r="F4726" s="142">
        <v>46010.541666666672</v>
      </c>
      <c r="G4726" s="140" t="s">
        <v>845</v>
      </c>
      <c r="H4726" s="140" t="s">
        <v>882</v>
      </c>
    </row>
    <row r="4727" spans="1:8" ht="15.75" customHeight="1">
      <c r="A4727" s="140" t="s">
        <v>89</v>
      </c>
      <c r="B4727" s="140" t="s">
        <v>25</v>
      </c>
      <c r="C4727" s="141" t="s">
        <v>161</v>
      </c>
      <c r="D4727" s="140" t="s">
        <v>162</v>
      </c>
      <c r="E4727" s="140">
        <v>12</v>
      </c>
      <c r="F4727" s="142">
        <v>46038.541666666672</v>
      </c>
      <c r="G4727" s="140" t="s">
        <v>845</v>
      </c>
      <c r="H4727" s="140" t="s">
        <v>882</v>
      </c>
    </row>
    <row r="4728" spans="1:8" ht="15.75" customHeight="1">
      <c r="A4728" s="140" t="s">
        <v>89</v>
      </c>
      <c r="B4728" s="140" t="s">
        <v>25</v>
      </c>
      <c r="C4728" s="141" t="s">
        <v>161</v>
      </c>
      <c r="D4728" s="140" t="s">
        <v>162</v>
      </c>
      <c r="E4728" s="140">
        <v>13</v>
      </c>
      <c r="F4728" s="142">
        <v>46049.583333333328</v>
      </c>
      <c r="G4728" s="140" t="s">
        <v>845</v>
      </c>
      <c r="H4728" s="140" t="s">
        <v>882</v>
      </c>
    </row>
    <row r="4729" spans="1:8" ht="15.75" customHeight="1">
      <c r="A4729" s="140" t="s">
        <v>89</v>
      </c>
      <c r="B4729" s="140" t="s">
        <v>25</v>
      </c>
      <c r="C4729" s="141" t="s">
        <v>161</v>
      </c>
      <c r="D4729" s="140" t="s">
        <v>162</v>
      </c>
      <c r="E4729" s="140">
        <v>14</v>
      </c>
      <c r="F4729" s="142">
        <v>46049.583333333328</v>
      </c>
      <c r="G4729" s="140" t="s">
        <v>845</v>
      </c>
      <c r="H4729" s="140" t="s">
        <v>882</v>
      </c>
    </row>
    <row r="4730" spans="1:8" ht="15.75" customHeight="1">
      <c r="A4730" s="140" t="s">
        <v>89</v>
      </c>
      <c r="B4730" s="140" t="s">
        <v>25</v>
      </c>
      <c r="C4730" s="141" t="s">
        <v>161</v>
      </c>
      <c r="D4730" s="140" t="s">
        <v>162</v>
      </c>
      <c r="E4730" s="140">
        <v>15</v>
      </c>
      <c r="F4730" s="142">
        <v>46052.541666666672</v>
      </c>
      <c r="G4730" s="140" t="s">
        <v>845</v>
      </c>
      <c r="H4730" s="140" t="s">
        <v>882</v>
      </c>
    </row>
    <row r="4731" spans="1:8" ht="15.75" customHeight="1">
      <c r="A4731" s="140" t="s">
        <v>89</v>
      </c>
      <c r="B4731" s="140" t="s">
        <v>25</v>
      </c>
      <c r="C4731" s="141" t="s">
        <v>161</v>
      </c>
      <c r="D4731" s="140" t="s">
        <v>162</v>
      </c>
      <c r="E4731" s="140">
        <v>16</v>
      </c>
      <c r="F4731" s="142">
        <v>46108.541666666672</v>
      </c>
      <c r="G4731" s="140" t="s">
        <v>845</v>
      </c>
      <c r="H4731" s="140" t="s">
        <v>882</v>
      </c>
    </row>
    <row r="4732" spans="1:8" ht="15.75" customHeight="1">
      <c r="A4732" s="140" t="s">
        <v>89</v>
      </c>
      <c r="B4732" s="140" t="s">
        <v>25</v>
      </c>
      <c r="C4732" s="141" t="s">
        <v>290</v>
      </c>
      <c r="D4732" s="140" t="s">
        <v>291</v>
      </c>
      <c r="E4732" s="140">
        <v>1</v>
      </c>
      <c r="F4732" s="142">
        <v>45916.458333333328</v>
      </c>
      <c r="G4732" s="140" t="s">
        <v>845</v>
      </c>
      <c r="H4732" s="140" t="s">
        <v>882</v>
      </c>
    </row>
    <row r="4733" spans="1:8" ht="15.75" customHeight="1">
      <c r="A4733" s="140" t="s">
        <v>89</v>
      </c>
      <c r="B4733" s="140" t="s">
        <v>25</v>
      </c>
      <c r="C4733" s="141" t="s">
        <v>290</v>
      </c>
      <c r="D4733" s="140" t="s">
        <v>291</v>
      </c>
      <c r="E4733" s="140">
        <v>2</v>
      </c>
      <c r="F4733" s="142">
        <v>45925.541666666672</v>
      </c>
      <c r="G4733" s="140" t="s">
        <v>845</v>
      </c>
      <c r="H4733" s="140" t="s">
        <v>882</v>
      </c>
    </row>
    <row r="4734" spans="1:8" ht="15.75" customHeight="1">
      <c r="A4734" s="140" t="s">
        <v>89</v>
      </c>
      <c r="B4734" s="140" t="s">
        <v>25</v>
      </c>
      <c r="C4734" s="141" t="s">
        <v>290</v>
      </c>
      <c r="D4734" s="140" t="s">
        <v>291</v>
      </c>
      <c r="E4734" s="140">
        <v>3</v>
      </c>
      <c r="F4734" s="142">
        <v>45931.583333333328</v>
      </c>
      <c r="G4734" s="140" t="s">
        <v>845</v>
      </c>
      <c r="H4734" s="140" t="s">
        <v>882</v>
      </c>
    </row>
    <row r="4735" spans="1:8" ht="15.75" customHeight="1">
      <c r="A4735" s="140" t="s">
        <v>89</v>
      </c>
      <c r="B4735" s="140" t="s">
        <v>25</v>
      </c>
      <c r="C4735" s="141" t="s">
        <v>290</v>
      </c>
      <c r="D4735" s="140" t="s">
        <v>291</v>
      </c>
      <c r="E4735" s="140">
        <v>4</v>
      </c>
      <c r="F4735" s="142">
        <v>45938.541666666672</v>
      </c>
      <c r="G4735" s="140" t="s">
        <v>845</v>
      </c>
      <c r="H4735" s="140" t="s">
        <v>882</v>
      </c>
    </row>
    <row r="4736" spans="1:8" ht="15.75" customHeight="1">
      <c r="A4736" s="140" t="s">
        <v>89</v>
      </c>
      <c r="B4736" s="140" t="s">
        <v>25</v>
      </c>
      <c r="C4736" s="141" t="s">
        <v>290</v>
      </c>
      <c r="D4736" s="140" t="s">
        <v>291</v>
      </c>
      <c r="E4736" s="140">
        <v>5</v>
      </c>
      <c r="F4736" s="142">
        <v>45953.541666666672</v>
      </c>
      <c r="G4736" s="140" t="s">
        <v>845</v>
      </c>
      <c r="H4736" s="140" t="s">
        <v>882</v>
      </c>
    </row>
    <row r="4737" spans="1:8" ht="15.75" customHeight="1">
      <c r="A4737" s="140" t="s">
        <v>89</v>
      </c>
      <c r="B4737" s="140" t="s">
        <v>25</v>
      </c>
      <c r="C4737" s="141" t="s">
        <v>290</v>
      </c>
      <c r="D4737" s="140" t="s">
        <v>291</v>
      </c>
      <c r="E4737" s="140">
        <v>6</v>
      </c>
      <c r="F4737" s="142">
        <v>45960.541666666672</v>
      </c>
      <c r="G4737" s="140" t="s">
        <v>845</v>
      </c>
      <c r="H4737" s="140" t="s">
        <v>882</v>
      </c>
    </row>
    <row r="4738" spans="1:8" ht="15.75" customHeight="1">
      <c r="A4738" s="140" t="s">
        <v>89</v>
      </c>
      <c r="B4738" s="140" t="s">
        <v>25</v>
      </c>
      <c r="C4738" s="141" t="s">
        <v>290</v>
      </c>
      <c r="D4738" s="140" t="s">
        <v>291</v>
      </c>
      <c r="E4738" s="140">
        <v>7</v>
      </c>
      <c r="F4738" s="142">
        <v>45967.541666666672</v>
      </c>
      <c r="G4738" s="140" t="s">
        <v>845</v>
      </c>
      <c r="H4738" s="140" t="s">
        <v>882</v>
      </c>
    </row>
    <row r="4739" spans="1:8" ht="15.75" customHeight="1">
      <c r="A4739" s="140" t="s">
        <v>89</v>
      </c>
      <c r="B4739" s="140" t="s">
        <v>25</v>
      </c>
      <c r="C4739" s="141" t="s">
        <v>290</v>
      </c>
      <c r="D4739" s="140" t="s">
        <v>291</v>
      </c>
      <c r="E4739" s="140">
        <v>8</v>
      </c>
      <c r="F4739" s="142">
        <v>45982.541666666672</v>
      </c>
      <c r="G4739" s="140" t="s">
        <v>845</v>
      </c>
      <c r="H4739" s="140" t="s">
        <v>882</v>
      </c>
    </row>
    <row r="4740" spans="1:8" ht="15.75" customHeight="1">
      <c r="A4740" s="140" t="s">
        <v>89</v>
      </c>
      <c r="B4740" s="140" t="s">
        <v>25</v>
      </c>
      <c r="C4740" s="141" t="s">
        <v>290</v>
      </c>
      <c r="D4740" s="140" t="s">
        <v>291</v>
      </c>
      <c r="E4740" s="140">
        <v>9</v>
      </c>
      <c r="F4740" s="142">
        <v>45989.541666666672</v>
      </c>
      <c r="G4740" s="140" t="s">
        <v>845</v>
      </c>
      <c r="H4740" s="140" t="s">
        <v>882</v>
      </c>
    </row>
    <row r="4741" spans="1:8" ht="15.75" customHeight="1">
      <c r="A4741" s="140" t="s">
        <v>89</v>
      </c>
      <c r="B4741" s="140" t="s">
        <v>25</v>
      </c>
      <c r="C4741" s="141" t="s">
        <v>290</v>
      </c>
      <c r="D4741" s="140" t="s">
        <v>291</v>
      </c>
      <c r="E4741" s="140">
        <v>10</v>
      </c>
      <c r="F4741" s="142">
        <v>45996.541666666672</v>
      </c>
      <c r="G4741" s="140" t="s">
        <v>845</v>
      </c>
      <c r="H4741" s="140" t="s">
        <v>882</v>
      </c>
    </row>
    <row r="4742" spans="1:8" ht="15.75" customHeight="1">
      <c r="A4742" s="140" t="s">
        <v>89</v>
      </c>
      <c r="B4742" s="140" t="s">
        <v>25</v>
      </c>
      <c r="C4742" s="141" t="s">
        <v>290</v>
      </c>
      <c r="D4742" s="140" t="s">
        <v>291</v>
      </c>
      <c r="E4742" s="140">
        <v>11</v>
      </c>
      <c r="F4742" s="142">
        <v>46010.541666666672</v>
      </c>
      <c r="G4742" s="140" t="s">
        <v>845</v>
      </c>
      <c r="H4742" s="140" t="s">
        <v>882</v>
      </c>
    </row>
    <row r="4743" spans="1:8" ht="15.75" customHeight="1">
      <c r="A4743" s="140" t="s">
        <v>89</v>
      </c>
      <c r="B4743" s="140" t="s">
        <v>25</v>
      </c>
      <c r="C4743" s="141" t="s">
        <v>290</v>
      </c>
      <c r="D4743" s="140" t="s">
        <v>291</v>
      </c>
      <c r="E4743" s="140">
        <v>12</v>
      </c>
      <c r="F4743" s="142">
        <v>46038.541666666672</v>
      </c>
      <c r="G4743" s="140" t="s">
        <v>845</v>
      </c>
      <c r="H4743" s="140" t="s">
        <v>882</v>
      </c>
    </row>
    <row r="4744" spans="1:8" ht="15.75" customHeight="1">
      <c r="A4744" s="140" t="s">
        <v>89</v>
      </c>
      <c r="B4744" s="140" t="s">
        <v>25</v>
      </c>
      <c r="C4744" s="141" t="s">
        <v>290</v>
      </c>
      <c r="D4744" s="140" t="s">
        <v>291</v>
      </c>
      <c r="E4744" s="140">
        <v>13</v>
      </c>
      <c r="F4744" s="142">
        <v>46049.583333333328</v>
      </c>
      <c r="G4744" s="140" t="s">
        <v>845</v>
      </c>
      <c r="H4744" s="140" t="s">
        <v>882</v>
      </c>
    </row>
    <row r="4745" spans="1:8" ht="15.75" customHeight="1">
      <c r="A4745" s="140" t="s">
        <v>89</v>
      </c>
      <c r="B4745" s="140" t="s">
        <v>25</v>
      </c>
      <c r="C4745" s="141" t="s">
        <v>290</v>
      </c>
      <c r="D4745" s="140" t="s">
        <v>291</v>
      </c>
      <c r="E4745" s="140">
        <v>14</v>
      </c>
      <c r="F4745" s="142">
        <v>46049.583333333328</v>
      </c>
      <c r="G4745" s="140" t="s">
        <v>845</v>
      </c>
      <c r="H4745" s="140" t="s">
        <v>882</v>
      </c>
    </row>
    <row r="4746" spans="1:8" ht="15.75" customHeight="1">
      <c r="A4746" s="140" t="s">
        <v>89</v>
      </c>
      <c r="B4746" s="140" t="s">
        <v>25</v>
      </c>
      <c r="C4746" s="141" t="s">
        <v>290</v>
      </c>
      <c r="D4746" s="140" t="s">
        <v>291</v>
      </c>
      <c r="E4746" s="140">
        <v>15</v>
      </c>
      <c r="F4746" s="142">
        <v>46052.541666666672</v>
      </c>
      <c r="G4746" s="140" t="s">
        <v>845</v>
      </c>
      <c r="H4746" s="140" t="s">
        <v>882</v>
      </c>
    </row>
    <row r="4747" spans="1:8" ht="15.75" customHeight="1">
      <c r="A4747" s="140" t="s">
        <v>89</v>
      </c>
      <c r="B4747" s="140" t="s">
        <v>25</v>
      </c>
      <c r="C4747" s="141" t="s">
        <v>290</v>
      </c>
      <c r="D4747" s="140" t="s">
        <v>291</v>
      </c>
      <c r="E4747" s="140">
        <v>16</v>
      </c>
      <c r="F4747" s="142">
        <v>46108.541666666672</v>
      </c>
      <c r="G4747" s="140" t="s">
        <v>845</v>
      </c>
      <c r="H4747" s="140" t="s">
        <v>882</v>
      </c>
    </row>
    <row r="4748" spans="1:8" ht="15.75" customHeight="1">
      <c r="A4748" s="140" t="s">
        <v>89</v>
      </c>
      <c r="B4748" s="140" t="s">
        <v>25</v>
      </c>
      <c r="C4748" s="141" t="s">
        <v>391</v>
      </c>
      <c r="D4748" s="140" t="s">
        <v>392</v>
      </c>
      <c r="E4748" s="140">
        <v>1</v>
      </c>
      <c r="F4748" s="142">
        <v>45916.458333333328</v>
      </c>
      <c r="G4748" s="140" t="s">
        <v>845</v>
      </c>
      <c r="H4748" s="140" t="s">
        <v>882</v>
      </c>
    </row>
    <row r="4749" spans="1:8" ht="15.75" customHeight="1">
      <c r="A4749" s="140" t="s">
        <v>89</v>
      </c>
      <c r="B4749" s="140" t="s">
        <v>25</v>
      </c>
      <c r="C4749" s="141" t="s">
        <v>391</v>
      </c>
      <c r="D4749" s="140" t="s">
        <v>392</v>
      </c>
      <c r="E4749" s="140">
        <v>2</v>
      </c>
      <c r="F4749" s="142">
        <v>45925.541666666672</v>
      </c>
      <c r="G4749" s="140" t="s">
        <v>845</v>
      </c>
      <c r="H4749" s="140" t="s">
        <v>882</v>
      </c>
    </row>
    <row r="4750" spans="1:8" ht="15.75" customHeight="1">
      <c r="A4750" s="140" t="s">
        <v>89</v>
      </c>
      <c r="B4750" s="140" t="s">
        <v>25</v>
      </c>
      <c r="C4750" s="141" t="s">
        <v>391</v>
      </c>
      <c r="D4750" s="140" t="s">
        <v>392</v>
      </c>
      <c r="E4750" s="140">
        <v>3</v>
      </c>
      <c r="F4750" s="142">
        <v>45931.583333333328</v>
      </c>
      <c r="G4750" s="140" t="s">
        <v>845</v>
      </c>
      <c r="H4750" s="140" t="s">
        <v>882</v>
      </c>
    </row>
    <row r="4751" spans="1:8" ht="15.75" customHeight="1">
      <c r="A4751" s="140" t="s">
        <v>89</v>
      </c>
      <c r="B4751" s="140" t="s">
        <v>25</v>
      </c>
      <c r="C4751" s="141" t="s">
        <v>391</v>
      </c>
      <c r="D4751" s="140" t="s">
        <v>392</v>
      </c>
      <c r="E4751" s="140">
        <v>4</v>
      </c>
      <c r="F4751" s="142">
        <v>45938.541666666672</v>
      </c>
      <c r="G4751" s="140" t="s">
        <v>845</v>
      </c>
      <c r="H4751" s="140" t="s">
        <v>882</v>
      </c>
    </row>
    <row r="4752" spans="1:8" ht="15.75" customHeight="1">
      <c r="A4752" s="140" t="s">
        <v>89</v>
      </c>
      <c r="B4752" s="140" t="s">
        <v>25</v>
      </c>
      <c r="C4752" s="141" t="s">
        <v>391</v>
      </c>
      <c r="D4752" s="140" t="s">
        <v>392</v>
      </c>
      <c r="E4752" s="140">
        <v>5</v>
      </c>
      <c r="F4752" s="142">
        <v>45953.541666666672</v>
      </c>
      <c r="G4752" s="140" t="s">
        <v>845</v>
      </c>
      <c r="H4752" s="140" t="s">
        <v>882</v>
      </c>
    </row>
    <row r="4753" spans="1:8" ht="15.75" customHeight="1">
      <c r="A4753" s="140" t="s">
        <v>89</v>
      </c>
      <c r="B4753" s="140" t="s">
        <v>25</v>
      </c>
      <c r="C4753" s="141" t="s">
        <v>391</v>
      </c>
      <c r="D4753" s="140" t="s">
        <v>392</v>
      </c>
      <c r="E4753" s="140">
        <v>6</v>
      </c>
      <c r="F4753" s="142">
        <v>45960.541666666672</v>
      </c>
      <c r="G4753" s="140" t="s">
        <v>845</v>
      </c>
      <c r="H4753" s="140" t="s">
        <v>882</v>
      </c>
    </row>
    <row r="4754" spans="1:8" ht="15.75" customHeight="1">
      <c r="A4754" s="140" t="s">
        <v>89</v>
      </c>
      <c r="B4754" s="140" t="s">
        <v>25</v>
      </c>
      <c r="C4754" s="141" t="s">
        <v>391</v>
      </c>
      <c r="D4754" s="140" t="s">
        <v>392</v>
      </c>
      <c r="E4754" s="140">
        <v>7</v>
      </c>
      <c r="F4754" s="142">
        <v>45967.541666666672</v>
      </c>
      <c r="G4754" s="140" t="s">
        <v>845</v>
      </c>
      <c r="H4754" s="140" t="s">
        <v>882</v>
      </c>
    </row>
    <row r="4755" spans="1:8" ht="15.75" customHeight="1">
      <c r="A4755" s="140" t="s">
        <v>89</v>
      </c>
      <c r="B4755" s="140" t="s">
        <v>25</v>
      </c>
      <c r="C4755" s="141" t="s">
        <v>391</v>
      </c>
      <c r="D4755" s="140" t="s">
        <v>392</v>
      </c>
      <c r="E4755" s="140">
        <v>8</v>
      </c>
      <c r="F4755" s="142">
        <v>45982.541666666672</v>
      </c>
      <c r="G4755" s="140" t="s">
        <v>845</v>
      </c>
      <c r="H4755" s="140" t="s">
        <v>882</v>
      </c>
    </row>
    <row r="4756" spans="1:8" ht="15.75" customHeight="1">
      <c r="A4756" s="140" t="s">
        <v>89</v>
      </c>
      <c r="B4756" s="140" t="s">
        <v>25</v>
      </c>
      <c r="C4756" s="141" t="s">
        <v>391</v>
      </c>
      <c r="D4756" s="140" t="s">
        <v>392</v>
      </c>
      <c r="E4756" s="140">
        <v>9</v>
      </c>
      <c r="F4756" s="142">
        <v>45989.541666666672</v>
      </c>
      <c r="G4756" s="140" t="s">
        <v>845</v>
      </c>
      <c r="H4756" s="140" t="s">
        <v>882</v>
      </c>
    </row>
    <row r="4757" spans="1:8" ht="15.75" customHeight="1">
      <c r="A4757" s="140" t="s">
        <v>89</v>
      </c>
      <c r="B4757" s="140" t="s">
        <v>25</v>
      </c>
      <c r="C4757" s="141" t="s">
        <v>391</v>
      </c>
      <c r="D4757" s="140" t="s">
        <v>392</v>
      </c>
      <c r="E4757" s="140">
        <v>10</v>
      </c>
      <c r="F4757" s="142">
        <v>45996.541666666672</v>
      </c>
      <c r="G4757" s="140" t="s">
        <v>845</v>
      </c>
      <c r="H4757" s="140" t="s">
        <v>882</v>
      </c>
    </row>
    <row r="4758" spans="1:8" ht="15.75" customHeight="1">
      <c r="A4758" s="140" t="s">
        <v>89</v>
      </c>
      <c r="B4758" s="140" t="s">
        <v>25</v>
      </c>
      <c r="C4758" s="141" t="s">
        <v>391</v>
      </c>
      <c r="D4758" s="140" t="s">
        <v>392</v>
      </c>
      <c r="E4758" s="140">
        <v>11</v>
      </c>
      <c r="F4758" s="142">
        <v>46010.541666666672</v>
      </c>
      <c r="G4758" s="140" t="s">
        <v>845</v>
      </c>
      <c r="H4758" s="140" t="s">
        <v>882</v>
      </c>
    </row>
    <row r="4759" spans="1:8" ht="15.75" customHeight="1">
      <c r="A4759" s="140" t="s">
        <v>89</v>
      </c>
      <c r="B4759" s="140" t="s">
        <v>25</v>
      </c>
      <c r="C4759" s="141" t="s">
        <v>391</v>
      </c>
      <c r="D4759" s="140" t="s">
        <v>392</v>
      </c>
      <c r="E4759" s="140">
        <v>12</v>
      </c>
      <c r="F4759" s="142">
        <v>46038.541666666672</v>
      </c>
      <c r="G4759" s="140" t="s">
        <v>843</v>
      </c>
      <c r="H4759" s="140" t="s">
        <v>882</v>
      </c>
    </row>
    <row r="4760" spans="1:8" ht="15.75" customHeight="1">
      <c r="A4760" s="140" t="s">
        <v>89</v>
      </c>
      <c r="B4760" s="140" t="s">
        <v>25</v>
      </c>
      <c r="C4760" s="141" t="s">
        <v>391</v>
      </c>
      <c r="D4760" s="140" t="s">
        <v>392</v>
      </c>
      <c r="E4760" s="140">
        <v>13</v>
      </c>
      <c r="F4760" s="142">
        <v>46049.583333333328</v>
      </c>
      <c r="G4760" s="140" t="s">
        <v>843</v>
      </c>
      <c r="H4760" s="140" t="s">
        <v>882</v>
      </c>
    </row>
    <row r="4761" spans="1:8" ht="15.75" customHeight="1">
      <c r="A4761" s="140" t="s">
        <v>89</v>
      </c>
      <c r="B4761" s="140" t="s">
        <v>25</v>
      </c>
      <c r="C4761" s="141" t="s">
        <v>391</v>
      </c>
      <c r="D4761" s="140" t="s">
        <v>392</v>
      </c>
      <c r="E4761" s="140">
        <v>14</v>
      </c>
      <c r="F4761" s="142">
        <v>46049.583333333328</v>
      </c>
      <c r="G4761" s="140" t="s">
        <v>843</v>
      </c>
      <c r="H4761" s="140" t="s">
        <v>882</v>
      </c>
    </row>
    <row r="4762" spans="1:8" ht="15.75" customHeight="1">
      <c r="A4762" s="140" t="s">
        <v>89</v>
      </c>
      <c r="B4762" s="140" t="s">
        <v>25</v>
      </c>
      <c r="C4762" s="141" t="s">
        <v>391</v>
      </c>
      <c r="D4762" s="140" t="s">
        <v>392</v>
      </c>
      <c r="E4762" s="140">
        <v>15</v>
      </c>
      <c r="F4762" s="142">
        <v>46052.541666666672</v>
      </c>
      <c r="G4762" s="140" t="s">
        <v>843</v>
      </c>
      <c r="H4762" s="140" t="s">
        <v>882</v>
      </c>
    </row>
    <row r="4763" spans="1:8" ht="15.75" customHeight="1">
      <c r="A4763" s="140" t="s">
        <v>89</v>
      </c>
      <c r="B4763" s="140" t="s">
        <v>25</v>
      </c>
      <c r="C4763" s="141" t="s">
        <v>391</v>
      </c>
      <c r="D4763" s="140" t="s">
        <v>392</v>
      </c>
      <c r="E4763" s="140">
        <v>16</v>
      </c>
      <c r="F4763" s="142">
        <v>46108.541666666672</v>
      </c>
      <c r="G4763" s="140" t="s">
        <v>843</v>
      </c>
      <c r="H4763" s="140" t="s">
        <v>882</v>
      </c>
    </row>
    <row r="4764" spans="1:8" ht="15.75" customHeight="1">
      <c r="A4764" s="140" t="s">
        <v>89</v>
      </c>
      <c r="B4764" s="140" t="s">
        <v>25</v>
      </c>
      <c r="C4764" s="141" t="s">
        <v>468</v>
      </c>
      <c r="D4764" s="140" t="s">
        <v>469</v>
      </c>
      <c r="E4764" s="140">
        <v>1</v>
      </c>
      <c r="F4764" s="142">
        <v>45916.458333333328</v>
      </c>
      <c r="G4764" s="140" t="s">
        <v>845</v>
      </c>
      <c r="H4764" s="140" t="s">
        <v>882</v>
      </c>
    </row>
    <row r="4765" spans="1:8" ht="15.75" customHeight="1">
      <c r="A4765" s="140" t="s">
        <v>89</v>
      </c>
      <c r="B4765" s="140" t="s">
        <v>25</v>
      </c>
      <c r="C4765" s="141" t="s">
        <v>468</v>
      </c>
      <c r="D4765" s="140" t="s">
        <v>469</v>
      </c>
      <c r="E4765" s="140">
        <v>2</v>
      </c>
      <c r="F4765" s="142">
        <v>45925.541666666672</v>
      </c>
      <c r="G4765" s="140" t="s">
        <v>845</v>
      </c>
      <c r="H4765" s="140" t="s">
        <v>882</v>
      </c>
    </row>
    <row r="4766" spans="1:8" ht="15.75" customHeight="1">
      <c r="A4766" s="140" t="s">
        <v>89</v>
      </c>
      <c r="B4766" s="140" t="s">
        <v>25</v>
      </c>
      <c r="C4766" s="141" t="s">
        <v>468</v>
      </c>
      <c r="D4766" s="140" t="s">
        <v>469</v>
      </c>
      <c r="E4766" s="140">
        <v>3</v>
      </c>
      <c r="F4766" s="142">
        <v>45931.583333333328</v>
      </c>
      <c r="G4766" s="140" t="s">
        <v>845</v>
      </c>
      <c r="H4766" s="140" t="s">
        <v>882</v>
      </c>
    </row>
    <row r="4767" spans="1:8" ht="15.75" customHeight="1">
      <c r="A4767" s="140" t="s">
        <v>89</v>
      </c>
      <c r="B4767" s="140" t="s">
        <v>25</v>
      </c>
      <c r="C4767" s="141" t="s">
        <v>468</v>
      </c>
      <c r="D4767" s="140" t="s">
        <v>469</v>
      </c>
      <c r="E4767" s="140">
        <v>4</v>
      </c>
      <c r="F4767" s="142">
        <v>45938.541666666672</v>
      </c>
      <c r="G4767" s="140" t="s">
        <v>843</v>
      </c>
      <c r="H4767" s="140" t="s">
        <v>882</v>
      </c>
    </row>
    <row r="4768" spans="1:8" ht="15.75" customHeight="1">
      <c r="A4768" s="140" t="s">
        <v>89</v>
      </c>
      <c r="B4768" s="140" t="s">
        <v>25</v>
      </c>
      <c r="C4768" s="141" t="s">
        <v>468</v>
      </c>
      <c r="D4768" s="140" t="s">
        <v>469</v>
      </c>
      <c r="E4768" s="140">
        <v>5</v>
      </c>
      <c r="F4768" s="142">
        <v>45953.541666666672</v>
      </c>
      <c r="G4768" s="140" t="s">
        <v>845</v>
      </c>
      <c r="H4768" s="140" t="s">
        <v>882</v>
      </c>
    </row>
    <row r="4769" spans="1:8" ht="15.75" customHeight="1">
      <c r="A4769" s="140" t="s">
        <v>89</v>
      </c>
      <c r="B4769" s="140" t="s">
        <v>25</v>
      </c>
      <c r="C4769" s="141" t="s">
        <v>468</v>
      </c>
      <c r="D4769" s="140" t="s">
        <v>469</v>
      </c>
      <c r="E4769" s="140">
        <v>6</v>
      </c>
      <c r="F4769" s="142">
        <v>45960.541666666672</v>
      </c>
      <c r="G4769" s="140" t="s">
        <v>845</v>
      </c>
      <c r="H4769" s="140" t="s">
        <v>882</v>
      </c>
    </row>
    <row r="4770" spans="1:8" ht="15.75" customHeight="1">
      <c r="A4770" s="140" t="s">
        <v>89</v>
      </c>
      <c r="B4770" s="140" t="s">
        <v>25</v>
      </c>
      <c r="C4770" s="141" t="s">
        <v>468</v>
      </c>
      <c r="D4770" s="140" t="s">
        <v>469</v>
      </c>
      <c r="E4770" s="140">
        <v>7</v>
      </c>
      <c r="F4770" s="142">
        <v>45967.541666666672</v>
      </c>
      <c r="G4770" s="140" t="s">
        <v>845</v>
      </c>
      <c r="H4770" s="140" t="s">
        <v>882</v>
      </c>
    </row>
    <row r="4771" spans="1:8" ht="15.75" customHeight="1">
      <c r="A4771" s="140" t="s">
        <v>89</v>
      </c>
      <c r="B4771" s="140" t="s">
        <v>25</v>
      </c>
      <c r="C4771" s="141" t="s">
        <v>468</v>
      </c>
      <c r="D4771" s="140" t="s">
        <v>469</v>
      </c>
      <c r="E4771" s="140">
        <v>8</v>
      </c>
      <c r="F4771" s="142">
        <v>45982.541666666672</v>
      </c>
      <c r="G4771" s="140" t="s">
        <v>845</v>
      </c>
      <c r="H4771" s="140" t="s">
        <v>882</v>
      </c>
    </row>
    <row r="4772" spans="1:8" ht="15.75" customHeight="1">
      <c r="A4772" s="140" t="s">
        <v>89</v>
      </c>
      <c r="B4772" s="140" t="s">
        <v>25</v>
      </c>
      <c r="C4772" s="141" t="s">
        <v>468</v>
      </c>
      <c r="D4772" s="140" t="s">
        <v>469</v>
      </c>
      <c r="E4772" s="140">
        <v>9</v>
      </c>
      <c r="F4772" s="142">
        <v>45989.541666666672</v>
      </c>
      <c r="G4772" s="140" t="s">
        <v>845</v>
      </c>
      <c r="H4772" s="140" t="s">
        <v>882</v>
      </c>
    </row>
    <row r="4773" spans="1:8" ht="15.75" customHeight="1">
      <c r="A4773" s="140" t="s">
        <v>89</v>
      </c>
      <c r="B4773" s="140" t="s">
        <v>25</v>
      </c>
      <c r="C4773" s="141" t="s">
        <v>468</v>
      </c>
      <c r="D4773" s="140" t="s">
        <v>469</v>
      </c>
      <c r="E4773" s="140">
        <v>10</v>
      </c>
      <c r="F4773" s="142">
        <v>45996.541666666672</v>
      </c>
      <c r="G4773" s="140" t="s">
        <v>845</v>
      </c>
      <c r="H4773" s="140" t="s">
        <v>882</v>
      </c>
    </row>
    <row r="4774" spans="1:8" ht="15.75" customHeight="1">
      <c r="A4774" s="140" t="s">
        <v>89</v>
      </c>
      <c r="B4774" s="140" t="s">
        <v>25</v>
      </c>
      <c r="C4774" s="141" t="s">
        <v>468</v>
      </c>
      <c r="D4774" s="140" t="s">
        <v>469</v>
      </c>
      <c r="E4774" s="140">
        <v>11</v>
      </c>
      <c r="F4774" s="142">
        <v>46010.541666666672</v>
      </c>
      <c r="G4774" s="140" t="s">
        <v>845</v>
      </c>
      <c r="H4774" s="140" t="s">
        <v>882</v>
      </c>
    </row>
    <row r="4775" spans="1:8" ht="15.75" customHeight="1">
      <c r="A4775" s="140" t="s">
        <v>89</v>
      </c>
      <c r="B4775" s="140" t="s">
        <v>25</v>
      </c>
      <c r="C4775" s="141" t="s">
        <v>468</v>
      </c>
      <c r="D4775" s="140" t="s">
        <v>469</v>
      </c>
      <c r="E4775" s="140">
        <v>12</v>
      </c>
      <c r="F4775" s="142">
        <v>46038.541666666672</v>
      </c>
      <c r="G4775" s="140" t="s">
        <v>845</v>
      </c>
      <c r="H4775" s="140" t="s">
        <v>882</v>
      </c>
    </row>
    <row r="4776" spans="1:8" ht="15.75" customHeight="1">
      <c r="A4776" s="140" t="s">
        <v>89</v>
      </c>
      <c r="B4776" s="140" t="s">
        <v>25</v>
      </c>
      <c r="C4776" s="141" t="s">
        <v>468</v>
      </c>
      <c r="D4776" s="140" t="s">
        <v>469</v>
      </c>
      <c r="E4776" s="140">
        <v>13</v>
      </c>
      <c r="F4776" s="142">
        <v>46049.583333333328</v>
      </c>
      <c r="G4776" s="140" t="s">
        <v>845</v>
      </c>
      <c r="H4776" s="140" t="s">
        <v>882</v>
      </c>
    </row>
    <row r="4777" spans="1:8" ht="15.75" customHeight="1">
      <c r="A4777" s="140" t="s">
        <v>89</v>
      </c>
      <c r="B4777" s="140" t="s">
        <v>25</v>
      </c>
      <c r="C4777" s="141" t="s">
        <v>468</v>
      </c>
      <c r="D4777" s="140" t="s">
        <v>469</v>
      </c>
      <c r="E4777" s="140">
        <v>14</v>
      </c>
      <c r="F4777" s="142">
        <v>46049.583333333328</v>
      </c>
      <c r="G4777" s="140" t="s">
        <v>845</v>
      </c>
      <c r="H4777" s="140" t="s">
        <v>882</v>
      </c>
    </row>
    <row r="4778" spans="1:8" ht="15.75" customHeight="1">
      <c r="A4778" s="140" t="s">
        <v>89</v>
      </c>
      <c r="B4778" s="140" t="s">
        <v>25</v>
      </c>
      <c r="C4778" s="141" t="s">
        <v>468</v>
      </c>
      <c r="D4778" s="140" t="s">
        <v>469</v>
      </c>
      <c r="E4778" s="140">
        <v>15</v>
      </c>
      <c r="F4778" s="142">
        <v>46052.541666666672</v>
      </c>
      <c r="G4778" s="140" t="s">
        <v>845</v>
      </c>
      <c r="H4778" s="140" t="s">
        <v>882</v>
      </c>
    </row>
    <row r="4779" spans="1:8" ht="15.75" customHeight="1">
      <c r="A4779" s="140" t="s">
        <v>89</v>
      </c>
      <c r="B4779" s="140" t="s">
        <v>25</v>
      </c>
      <c r="C4779" s="141" t="s">
        <v>468</v>
      </c>
      <c r="D4779" s="140" t="s">
        <v>469</v>
      </c>
      <c r="E4779" s="140">
        <v>16</v>
      </c>
      <c r="F4779" s="142">
        <v>46108.541666666672</v>
      </c>
      <c r="G4779" s="140" t="s">
        <v>845</v>
      </c>
      <c r="H4779" s="140" t="s">
        <v>882</v>
      </c>
    </row>
    <row r="4780" spans="1:8" ht="15.75" customHeight="1">
      <c r="A4780" s="140" t="s">
        <v>89</v>
      </c>
      <c r="B4780" s="140" t="s">
        <v>25</v>
      </c>
      <c r="C4780" s="141" t="s">
        <v>516</v>
      </c>
      <c r="D4780" s="140" t="s">
        <v>517</v>
      </c>
      <c r="E4780" s="140">
        <v>1</v>
      </c>
      <c r="F4780" s="142">
        <v>45916.458333333328</v>
      </c>
      <c r="G4780" s="140" t="s">
        <v>845</v>
      </c>
      <c r="H4780" s="140" t="s">
        <v>882</v>
      </c>
    </row>
    <row r="4781" spans="1:8" ht="15.75" customHeight="1">
      <c r="A4781" s="140" t="s">
        <v>89</v>
      </c>
      <c r="B4781" s="140" t="s">
        <v>25</v>
      </c>
      <c r="C4781" s="141" t="s">
        <v>516</v>
      </c>
      <c r="D4781" s="140" t="s">
        <v>517</v>
      </c>
      <c r="E4781" s="140">
        <v>2</v>
      </c>
      <c r="F4781" s="142">
        <v>45925.541666666672</v>
      </c>
      <c r="G4781" s="140" t="s">
        <v>843</v>
      </c>
      <c r="H4781" s="140" t="s">
        <v>882</v>
      </c>
    </row>
    <row r="4782" spans="1:8" ht="15.75" customHeight="1">
      <c r="A4782" s="140" t="s">
        <v>89</v>
      </c>
      <c r="B4782" s="140" t="s">
        <v>25</v>
      </c>
      <c r="C4782" s="141" t="s">
        <v>516</v>
      </c>
      <c r="D4782" s="140" t="s">
        <v>517</v>
      </c>
      <c r="E4782" s="140">
        <v>3</v>
      </c>
      <c r="F4782" s="142">
        <v>45931.583333333328</v>
      </c>
      <c r="G4782" s="140" t="s">
        <v>845</v>
      </c>
      <c r="H4782" s="140" t="s">
        <v>882</v>
      </c>
    </row>
    <row r="4783" spans="1:8" ht="15.75" customHeight="1">
      <c r="A4783" s="140" t="s">
        <v>89</v>
      </c>
      <c r="B4783" s="140" t="s">
        <v>25</v>
      </c>
      <c r="C4783" s="141" t="s">
        <v>516</v>
      </c>
      <c r="D4783" s="140" t="s">
        <v>517</v>
      </c>
      <c r="E4783" s="140">
        <v>4</v>
      </c>
      <c r="F4783" s="142">
        <v>45938.541666666672</v>
      </c>
      <c r="G4783" s="140" t="s">
        <v>845</v>
      </c>
      <c r="H4783" s="140" t="s">
        <v>882</v>
      </c>
    </row>
    <row r="4784" spans="1:8" ht="15.75" customHeight="1">
      <c r="A4784" s="140" t="s">
        <v>89</v>
      </c>
      <c r="B4784" s="140" t="s">
        <v>25</v>
      </c>
      <c r="C4784" s="141" t="s">
        <v>516</v>
      </c>
      <c r="D4784" s="140" t="s">
        <v>517</v>
      </c>
      <c r="E4784" s="140">
        <v>5</v>
      </c>
      <c r="F4784" s="142">
        <v>45953.541666666672</v>
      </c>
      <c r="G4784" s="140" t="s">
        <v>845</v>
      </c>
      <c r="H4784" s="140" t="s">
        <v>882</v>
      </c>
    </row>
    <row r="4785" spans="1:8" ht="15.75" customHeight="1">
      <c r="A4785" s="140" t="s">
        <v>89</v>
      </c>
      <c r="B4785" s="140" t="s">
        <v>25</v>
      </c>
      <c r="C4785" s="141" t="s">
        <v>516</v>
      </c>
      <c r="D4785" s="140" t="s">
        <v>517</v>
      </c>
      <c r="E4785" s="140">
        <v>6</v>
      </c>
      <c r="F4785" s="142">
        <v>45960.541666666672</v>
      </c>
      <c r="G4785" s="140" t="s">
        <v>843</v>
      </c>
      <c r="H4785" s="140" t="s">
        <v>882</v>
      </c>
    </row>
    <row r="4786" spans="1:8" ht="15.75" customHeight="1">
      <c r="A4786" s="140" t="s">
        <v>89</v>
      </c>
      <c r="B4786" s="140" t="s">
        <v>25</v>
      </c>
      <c r="C4786" s="141" t="s">
        <v>516</v>
      </c>
      <c r="D4786" s="140" t="s">
        <v>517</v>
      </c>
      <c r="E4786" s="140">
        <v>7</v>
      </c>
      <c r="F4786" s="142">
        <v>45967.541666666672</v>
      </c>
      <c r="G4786" s="140" t="s">
        <v>845</v>
      </c>
      <c r="H4786" s="140" t="s">
        <v>882</v>
      </c>
    </row>
    <row r="4787" spans="1:8" ht="15.75" customHeight="1">
      <c r="A4787" s="140" t="s">
        <v>89</v>
      </c>
      <c r="B4787" s="140" t="s">
        <v>25</v>
      </c>
      <c r="C4787" s="141" t="s">
        <v>516</v>
      </c>
      <c r="D4787" s="140" t="s">
        <v>517</v>
      </c>
      <c r="E4787" s="140">
        <v>8</v>
      </c>
      <c r="F4787" s="142">
        <v>45982.541666666672</v>
      </c>
      <c r="G4787" s="140" t="s">
        <v>845</v>
      </c>
      <c r="H4787" s="140" t="s">
        <v>882</v>
      </c>
    </row>
    <row r="4788" spans="1:8" ht="15.75" customHeight="1">
      <c r="A4788" s="140" t="s">
        <v>89</v>
      </c>
      <c r="B4788" s="140" t="s">
        <v>25</v>
      </c>
      <c r="C4788" s="141" t="s">
        <v>516</v>
      </c>
      <c r="D4788" s="140" t="s">
        <v>517</v>
      </c>
      <c r="E4788" s="140">
        <v>9</v>
      </c>
      <c r="F4788" s="142">
        <v>45989.541666666672</v>
      </c>
      <c r="G4788" s="140" t="s">
        <v>845</v>
      </c>
      <c r="H4788" s="140" t="s">
        <v>882</v>
      </c>
    </row>
    <row r="4789" spans="1:8" ht="15.75" customHeight="1">
      <c r="A4789" s="140" t="s">
        <v>89</v>
      </c>
      <c r="B4789" s="140" t="s">
        <v>25</v>
      </c>
      <c r="C4789" s="141" t="s">
        <v>516</v>
      </c>
      <c r="D4789" s="140" t="s">
        <v>517</v>
      </c>
      <c r="E4789" s="140">
        <v>10</v>
      </c>
      <c r="F4789" s="142">
        <v>45996.541666666672</v>
      </c>
      <c r="G4789" s="140" t="s">
        <v>845</v>
      </c>
      <c r="H4789" s="140" t="s">
        <v>882</v>
      </c>
    </row>
    <row r="4790" spans="1:8" ht="15.75" customHeight="1">
      <c r="A4790" s="140" t="s">
        <v>89</v>
      </c>
      <c r="B4790" s="140" t="s">
        <v>25</v>
      </c>
      <c r="C4790" s="141" t="s">
        <v>516</v>
      </c>
      <c r="D4790" s="140" t="s">
        <v>517</v>
      </c>
      <c r="E4790" s="140">
        <v>11</v>
      </c>
      <c r="F4790" s="142">
        <v>46010.541666666672</v>
      </c>
      <c r="G4790" s="140" t="s">
        <v>845</v>
      </c>
      <c r="H4790" s="140" t="s">
        <v>882</v>
      </c>
    </row>
    <row r="4791" spans="1:8" ht="15.75" customHeight="1">
      <c r="A4791" s="140" t="s">
        <v>89</v>
      </c>
      <c r="B4791" s="140" t="s">
        <v>25</v>
      </c>
      <c r="C4791" s="141" t="s">
        <v>516</v>
      </c>
      <c r="D4791" s="140" t="s">
        <v>517</v>
      </c>
      <c r="E4791" s="140">
        <v>12</v>
      </c>
      <c r="F4791" s="142">
        <v>46038.541666666672</v>
      </c>
      <c r="G4791" s="140" t="s">
        <v>845</v>
      </c>
      <c r="H4791" s="140" t="s">
        <v>882</v>
      </c>
    </row>
    <row r="4792" spans="1:8" ht="15.75" customHeight="1">
      <c r="A4792" s="140" t="s">
        <v>89</v>
      </c>
      <c r="B4792" s="140" t="s">
        <v>25</v>
      </c>
      <c r="C4792" s="141" t="s">
        <v>516</v>
      </c>
      <c r="D4792" s="140" t="s">
        <v>517</v>
      </c>
      <c r="E4792" s="140">
        <v>13</v>
      </c>
      <c r="F4792" s="142">
        <v>46049.583333333328</v>
      </c>
      <c r="G4792" s="140" t="s">
        <v>843</v>
      </c>
      <c r="H4792" s="140" t="s">
        <v>882</v>
      </c>
    </row>
    <row r="4793" spans="1:8" ht="15.75" customHeight="1">
      <c r="A4793" s="140" t="s">
        <v>89</v>
      </c>
      <c r="B4793" s="140" t="s">
        <v>25</v>
      </c>
      <c r="C4793" s="141" t="s">
        <v>516</v>
      </c>
      <c r="D4793" s="140" t="s">
        <v>517</v>
      </c>
      <c r="E4793" s="140">
        <v>14</v>
      </c>
      <c r="F4793" s="142">
        <v>46049.583333333328</v>
      </c>
      <c r="G4793" s="140" t="s">
        <v>843</v>
      </c>
      <c r="H4793" s="140" t="s">
        <v>882</v>
      </c>
    </row>
    <row r="4794" spans="1:8" ht="15.75" customHeight="1">
      <c r="A4794" s="140" t="s">
        <v>89</v>
      </c>
      <c r="B4794" s="140" t="s">
        <v>25</v>
      </c>
      <c r="C4794" s="141" t="s">
        <v>516</v>
      </c>
      <c r="D4794" s="140" t="s">
        <v>517</v>
      </c>
      <c r="E4794" s="140">
        <v>15</v>
      </c>
      <c r="F4794" s="142">
        <v>46052.541666666672</v>
      </c>
      <c r="G4794" s="140" t="s">
        <v>845</v>
      </c>
      <c r="H4794" s="140" t="s">
        <v>882</v>
      </c>
    </row>
    <row r="4795" spans="1:8" ht="15.75" customHeight="1">
      <c r="A4795" s="140" t="s">
        <v>89</v>
      </c>
      <c r="B4795" s="140" t="s">
        <v>25</v>
      </c>
      <c r="C4795" s="141" t="s">
        <v>516</v>
      </c>
      <c r="D4795" s="140" t="s">
        <v>517</v>
      </c>
      <c r="E4795" s="140">
        <v>16</v>
      </c>
      <c r="F4795" s="142">
        <v>46108.541666666672</v>
      </c>
      <c r="G4795" s="140" t="s">
        <v>845</v>
      </c>
      <c r="H4795" s="140" t="s">
        <v>882</v>
      </c>
    </row>
    <row r="4796" spans="1:8" ht="15.75" customHeight="1">
      <c r="A4796" s="140" t="s">
        <v>89</v>
      </c>
      <c r="B4796" s="140" t="s">
        <v>26</v>
      </c>
      <c r="C4796" s="141" t="s">
        <v>545</v>
      </c>
      <c r="D4796" s="140" t="s">
        <v>546</v>
      </c>
      <c r="E4796" s="140">
        <v>1</v>
      </c>
      <c r="F4796" s="142">
        <v>46126.583333333328</v>
      </c>
      <c r="G4796" s="140" t="s">
        <v>845</v>
      </c>
      <c r="H4796" s="140" t="s">
        <v>882</v>
      </c>
    </row>
    <row r="4797" spans="1:8" ht="15.75" customHeight="1">
      <c r="A4797" s="140" t="s">
        <v>89</v>
      </c>
      <c r="B4797" s="140" t="s">
        <v>26</v>
      </c>
      <c r="C4797" s="141" t="s">
        <v>545</v>
      </c>
      <c r="D4797" s="140" t="s">
        <v>546</v>
      </c>
      <c r="E4797" s="140">
        <v>2</v>
      </c>
      <c r="F4797" s="142">
        <v>46129.583333333328</v>
      </c>
      <c r="G4797" s="140" t="s">
        <v>845</v>
      </c>
      <c r="H4797" s="140" t="s">
        <v>882</v>
      </c>
    </row>
    <row r="4798" spans="1:8" ht="15.75" customHeight="1">
      <c r="A4798" s="140" t="s">
        <v>89</v>
      </c>
      <c r="B4798" s="140" t="s">
        <v>25</v>
      </c>
      <c r="C4798" s="141" t="s">
        <v>545</v>
      </c>
      <c r="D4798" s="140" t="s">
        <v>546</v>
      </c>
      <c r="E4798" s="140">
        <v>1</v>
      </c>
      <c r="F4798" s="142">
        <v>45916.458333333328</v>
      </c>
      <c r="G4798" s="140" t="s">
        <v>845</v>
      </c>
      <c r="H4798" s="140" t="s">
        <v>882</v>
      </c>
    </row>
    <row r="4799" spans="1:8" ht="15.75" customHeight="1">
      <c r="A4799" s="140" t="s">
        <v>89</v>
      </c>
      <c r="B4799" s="140" t="s">
        <v>25</v>
      </c>
      <c r="C4799" s="141" t="s">
        <v>545</v>
      </c>
      <c r="D4799" s="140" t="s">
        <v>546</v>
      </c>
      <c r="E4799" s="140">
        <v>2</v>
      </c>
      <c r="F4799" s="142">
        <v>45925.541666666672</v>
      </c>
      <c r="G4799" s="140" t="s">
        <v>845</v>
      </c>
      <c r="H4799" s="140" t="s">
        <v>882</v>
      </c>
    </row>
    <row r="4800" spans="1:8" ht="15.75" customHeight="1">
      <c r="A4800" s="140" t="s">
        <v>89</v>
      </c>
      <c r="B4800" s="140" t="s">
        <v>25</v>
      </c>
      <c r="C4800" s="141" t="s">
        <v>545</v>
      </c>
      <c r="D4800" s="140" t="s">
        <v>546</v>
      </c>
      <c r="E4800" s="140">
        <v>3</v>
      </c>
      <c r="F4800" s="142">
        <v>45931.583333333328</v>
      </c>
      <c r="G4800" s="140" t="s">
        <v>843</v>
      </c>
      <c r="H4800" s="140" t="s">
        <v>882</v>
      </c>
    </row>
    <row r="4801" spans="1:8" ht="15.75" customHeight="1">
      <c r="A4801" s="140" t="s">
        <v>89</v>
      </c>
      <c r="B4801" s="140" t="s">
        <v>25</v>
      </c>
      <c r="C4801" s="141" t="s">
        <v>545</v>
      </c>
      <c r="D4801" s="140" t="s">
        <v>546</v>
      </c>
      <c r="E4801" s="140">
        <v>4</v>
      </c>
      <c r="F4801" s="142">
        <v>45938.541666666672</v>
      </c>
      <c r="G4801" s="140" t="s">
        <v>845</v>
      </c>
      <c r="H4801" s="140" t="s">
        <v>882</v>
      </c>
    </row>
    <row r="4802" spans="1:8" ht="15.75" customHeight="1">
      <c r="A4802" s="140" t="s">
        <v>89</v>
      </c>
      <c r="B4802" s="140" t="s">
        <v>25</v>
      </c>
      <c r="C4802" s="141" t="s">
        <v>545</v>
      </c>
      <c r="D4802" s="140" t="s">
        <v>546</v>
      </c>
      <c r="E4802" s="140">
        <v>5</v>
      </c>
      <c r="F4802" s="142">
        <v>45953.541666666672</v>
      </c>
      <c r="G4802" s="140" t="s">
        <v>845</v>
      </c>
      <c r="H4802" s="140" t="s">
        <v>882</v>
      </c>
    </row>
    <row r="4803" spans="1:8" ht="15.75" customHeight="1">
      <c r="A4803" s="140" t="s">
        <v>89</v>
      </c>
      <c r="B4803" s="140" t="s">
        <v>25</v>
      </c>
      <c r="C4803" s="141" t="s">
        <v>545</v>
      </c>
      <c r="D4803" s="140" t="s">
        <v>546</v>
      </c>
      <c r="E4803" s="140">
        <v>6</v>
      </c>
      <c r="F4803" s="142">
        <v>45960.541666666672</v>
      </c>
      <c r="G4803" s="140" t="s">
        <v>845</v>
      </c>
      <c r="H4803" s="140" t="s">
        <v>882</v>
      </c>
    </row>
    <row r="4804" spans="1:8" ht="15.75" customHeight="1">
      <c r="A4804" s="140" t="s">
        <v>89</v>
      </c>
      <c r="B4804" s="140" t="s">
        <v>25</v>
      </c>
      <c r="C4804" s="141" t="s">
        <v>545</v>
      </c>
      <c r="D4804" s="140" t="s">
        <v>546</v>
      </c>
      <c r="E4804" s="140">
        <v>7</v>
      </c>
      <c r="F4804" s="142">
        <v>45967.541666666672</v>
      </c>
      <c r="G4804" s="140" t="s">
        <v>845</v>
      </c>
      <c r="H4804" s="140" t="s">
        <v>882</v>
      </c>
    </row>
    <row r="4805" spans="1:8" ht="15.75" customHeight="1">
      <c r="A4805" s="140" t="s">
        <v>89</v>
      </c>
      <c r="B4805" s="140" t="s">
        <v>25</v>
      </c>
      <c r="C4805" s="141" t="s">
        <v>545</v>
      </c>
      <c r="D4805" s="140" t="s">
        <v>546</v>
      </c>
      <c r="E4805" s="140">
        <v>8</v>
      </c>
      <c r="F4805" s="142">
        <v>45982.541666666672</v>
      </c>
      <c r="G4805" s="140" t="s">
        <v>845</v>
      </c>
      <c r="H4805" s="140" t="s">
        <v>882</v>
      </c>
    </row>
    <row r="4806" spans="1:8" ht="15.75" customHeight="1">
      <c r="A4806" s="140" t="s">
        <v>89</v>
      </c>
      <c r="B4806" s="140" t="s">
        <v>25</v>
      </c>
      <c r="C4806" s="141" t="s">
        <v>545</v>
      </c>
      <c r="D4806" s="140" t="s">
        <v>546</v>
      </c>
      <c r="E4806" s="140">
        <v>9</v>
      </c>
      <c r="F4806" s="142">
        <v>45989.541666666672</v>
      </c>
      <c r="G4806" s="140" t="s">
        <v>845</v>
      </c>
      <c r="H4806" s="140" t="s">
        <v>882</v>
      </c>
    </row>
    <row r="4807" spans="1:8" ht="15.75" customHeight="1">
      <c r="A4807" s="140" t="s">
        <v>89</v>
      </c>
      <c r="B4807" s="140" t="s">
        <v>25</v>
      </c>
      <c r="C4807" s="141" t="s">
        <v>545</v>
      </c>
      <c r="D4807" s="140" t="s">
        <v>546</v>
      </c>
      <c r="E4807" s="140">
        <v>10</v>
      </c>
      <c r="F4807" s="142">
        <v>45996.541666666672</v>
      </c>
      <c r="G4807" s="140" t="s">
        <v>845</v>
      </c>
      <c r="H4807" s="140" t="s">
        <v>882</v>
      </c>
    </row>
    <row r="4808" spans="1:8" ht="15.75" customHeight="1">
      <c r="A4808" s="140" t="s">
        <v>89</v>
      </c>
      <c r="B4808" s="140" t="s">
        <v>25</v>
      </c>
      <c r="C4808" s="141" t="s">
        <v>545</v>
      </c>
      <c r="D4808" s="140" t="s">
        <v>546</v>
      </c>
      <c r="E4808" s="140">
        <v>11</v>
      </c>
      <c r="F4808" s="142">
        <v>46010.541666666672</v>
      </c>
      <c r="G4808" s="140" t="s">
        <v>845</v>
      </c>
      <c r="H4808" s="140" t="s">
        <v>882</v>
      </c>
    </row>
    <row r="4809" spans="1:8" ht="15.75" customHeight="1">
      <c r="A4809" s="140" t="s">
        <v>89</v>
      </c>
      <c r="B4809" s="140" t="s">
        <v>25</v>
      </c>
      <c r="C4809" s="141" t="s">
        <v>545</v>
      </c>
      <c r="D4809" s="140" t="s">
        <v>546</v>
      </c>
      <c r="E4809" s="140">
        <v>12</v>
      </c>
      <c r="F4809" s="142">
        <v>46038.541666666672</v>
      </c>
      <c r="G4809" s="140" t="s">
        <v>845</v>
      </c>
      <c r="H4809" s="140" t="s">
        <v>882</v>
      </c>
    </row>
    <row r="4810" spans="1:8" ht="15.75" customHeight="1">
      <c r="A4810" s="140" t="s">
        <v>89</v>
      </c>
      <c r="B4810" s="140" t="s">
        <v>25</v>
      </c>
      <c r="C4810" s="141" t="s">
        <v>545</v>
      </c>
      <c r="D4810" s="140" t="s">
        <v>546</v>
      </c>
      <c r="E4810" s="140">
        <v>13</v>
      </c>
      <c r="F4810" s="142">
        <v>46049.583333333328</v>
      </c>
      <c r="G4810" s="140" t="s">
        <v>845</v>
      </c>
      <c r="H4810" s="140" t="s">
        <v>882</v>
      </c>
    </row>
    <row r="4811" spans="1:8" ht="15.75" customHeight="1">
      <c r="A4811" s="140" t="s">
        <v>89</v>
      </c>
      <c r="B4811" s="140" t="s">
        <v>25</v>
      </c>
      <c r="C4811" s="141" t="s">
        <v>545</v>
      </c>
      <c r="D4811" s="140" t="s">
        <v>546</v>
      </c>
      <c r="E4811" s="140">
        <v>14</v>
      </c>
      <c r="F4811" s="142">
        <v>46049.583333333328</v>
      </c>
      <c r="G4811" s="140" t="s">
        <v>845</v>
      </c>
      <c r="H4811" s="140" t="s">
        <v>882</v>
      </c>
    </row>
    <row r="4812" spans="1:8" ht="15.75" customHeight="1">
      <c r="A4812" s="140" t="s">
        <v>89</v>
      </c>
      <c r="B4812" s="140" t="s">
        <v>25</v>
      </c>
      <c r="C4812" s="141" t="s">
        <v>545</v>
      </c>
      <c r="D4812" s="140" t="s">
        <v>546</v>
      </c>
      <c r="E4812" s="140">
        <v>15</v>
      </c>
      <c r="F4812" s="142">
        <v>46052.541666666672</v>
      </c>
      <c r="G4812" s="140" t="s">
        <v>845</v>
      </c>
      <c r="H4812" s="140" t="s">
        <v>882</v>
      </c>
    </row>
    <row r="4813" spans="1:8" ht="15.75" customHeight="1">
      <c r="A4813" s="140" t="s">
        <v>89</v>
      </c>
      <c r="B4813" s="140" t="s">
        <v>25</v>
      </c>
      <c r="C4813" s="141" t="s">
        <v>545</v>
      </c>
      <c r="D4813" s="140" t="s">
        <v>546</v>
      </c>
      <c r="E4813" s="140">
        <v>16</v>
      </c>
      <c r="F4813" s="142">
        <v>46108.541666666672</v>
      </c>
      <c r="G4813" s="140" t="s">
        <v>845</v>
      </c>
      <c r="H4813" s="140" t="s">
        <v>882</v>
      </c>
    </row>
    <row r="4814" spans="1:8" ht="15.75" customHeight="1">
      <c r="A4814" s="140" t="s">
        <v>89</v>
      </c>
      <c r="B4814" s="140" t="s">
        <v>26</v>
      </c>
      <c r="C4814" s="141" t="s">
        <v>558</v>
      </c>
      <c r="D4814" s="140" t="s">
        <v>559</v>
      </c>
      <c r="E4814" s="140">
        <v>1</v>
      </c>
      <c r="F4814" s="142">
        <v>46126.583333333328</v>
      </c>
      <c r="G4814" s="140" t="s">
        <v>845</v>
      </c>
      <c r="H4814" s="140" t="s">
        <v>882</v>
      </c>
    </row>
    <row r="4815" spans="1:8" ht="15.75" customHeight="1">
      <c r="A4815" s="140" t="s">
        <v>89</v>
      </c>
      <c r="B4815" s="140" t="s">
        <v>26</v>
      </c>
      <c r="C4815" s="141" t="s">
        <v>558</v>
      </c>
      <c r="D4815" s="140" t="s">
        <v>559</v>
      </c>
      <c r="E4815" s="140">
        <v>2</v>
      </c>
      <c r="F4815" s="142">
        <v>46129.583333333328</v>
      </c>
      <c r="G4815" s="140" t="s">
        <v>845</v>
      </c>
      <c r="H4815" s="140" t="s">
        <v>882</v>
      </c>
    </row>
    <row r="4816" spans="1:8" ht="15.75" customHeight="1">
      <c r="A4816" s="140" t="s">
        <v>89</v>
      </c>
      <c r="B4816" s="140" t="s">
        <v>25</v>
      </c>
      <c r="C4816" s="141" t="s">
        <v>558</v>
      </c>
      <c r="D4816" s="140" t="s">
        <v>559</v>
      </c>
      <c r="E4816" s="140">
        <v>1</v>
      </c>
      <c r="F4816" s="142">
        <v>45916.458333333328</v>
      </c>
      <c r="G4816" s="140" t="s">
        <v>845</v>
      </c>
      <c r="H4816" s="140" t="s">
        <v>882</v>
      </c>
    </row>
    <row r="4817" spans="1:8" ht="15.75" customHeight="1">
      <c r="A4817" s="140" t="s">
        <v>89</v>
      </c>
      <c r="B4817" s="140" t="s">
        <v>25</v>
      </c>
      <c r="C4817" s="141" t="s">
        <v>558</v>
      </c>
      <c r="D4817" s="140" t="s">
        <v>559</v>
      </c>
      <c r="E4817" s="140">
        <v>2</v>
      </c>
      <c r="F4817" s="142">
        <v>45925.541666666672</v>
      </c>
      <c r="G4817" s="140" t="s">
        <v>845</v>
      </c>
      <c r="H4817" s="140" t="s">
        <v>882</v>
      </c>
    </row>
    <row r="4818" spans="1:8" ht="15.75" customHeight="1">
      <c r="A4818" s="140" t="s">
        <v>89</v>
      </c>
      <c r="B4818" s="140" t="s">
        <v>25</v>
      </c>
      <c r="C4818" s="141" t="s">
        <v>558</v>
      </c>
      <c r="D4818" s="140" t="s">
        <v>559</v>
      </c>
      <c r="E4818" s="140">
        <v>3</v>
      </c>
      <c r="F4818" s="142">
        <v>45931.583333333328</v>
      </c>
      <c r="G4818" s="140" t="s">
        <v>845</v>
      </c>
      <c r="H4818" s="140" t="s">
        <v>882</v>
      </c>
    </row>
    <row r="4819" spans="1:8" ht="15.75" customHeight="1">
      <c r="A4819" s="140" t="s">
        <v>89</v>
      </c>
      <c r="B4819" s="140" t="s">
        <v>25</v>
      </c>
      <c r="C4819" s="141" t="s">
        <v>558</v>
      </c>
      <c r="D4819" s="140" t="s">
        <v>559</v>
      </c>
      <c r="E4819" s="140">
        <v>4</v>
      </c>
      <c r="F4819" s="142">
        <v>45938.541666666672</v>
      </c>
      <c r="G4819" s="140" t="s">
        <v>845</v>
      </c>
      <c r="H4819" s="140" t="s">
        <v>882</v>
      </c>
    </row>
    <row r="4820" spans="1:8" ht="15.75" customHeight="1">
      <c r="A4820" s="140" t="s">
        <v>89</v>
      </c>
      <c r="B4820" s="140" t="s">
        <v>25</v>
      </c>
      <c r="C4820" s="141" t="s">
        <v>558</v>
      </c>
      <c r="D4820" s="140" t="s">
        <v>559</v>
      </c>
      <c r="E4820" s="140">
        <v>5</v>
      </c>
      <c r="F4820" s="142">
        <v>45953.541666666672</v>
      </c>
      <c r="G4820" s="140" t="s">
        <v>845</v>
      </c>
      <c r="H4820" s="140" t="s">
        <v>882</v>
      </c>
    </row>
    <row r="4821" spans="1:8" ht="15.75" customHeight="1">
      <c r="A4821" s="140" t="s">
        <v>89</v>
      </c>
      <c r="B4821" s="140" t="s">
        <v>25</v>
      </c>
      <c r="C4821" s="141" t="s">
        <v>558</v>
      </c>
      <c r="D4821" s="140" t="s">
        <v>559</v>
      </c>
      <c r="E4821" s="140">
        <v>6</v>
      </c>
      <c r="F4821" s="142">
        <v>45960.541666666672</v>
      </c>
      <c r="G4821" s="140" t="s">
        <v>845</v>
      </c>
      <c r="H4821" s="140" t="s">
        <v>882</v>
      </c>
    </row>
    <row r="4822" spans="1:8" ht="15.75" customHeight="1">
      <c r="A4822" s="140" t="s">
        <v>89</v>
      </c>
      <c r="B4822" s="140" t="s">
        <v>25</v>
      </c>
      <c r="C4822" s="141" t="s">
        <v>558</v>
      </c>
      <c r="D4822" s="140" t="s">
        <v>559</v>
      </c>
      <c r="E4822" s="140">
        <v>7</v>
      </c>
      <c r="F4822" s="142">
        <v>45967.541666666672</v>
      </c>
      <c r="G4822" s="140" t="s">
        <v>845</v>
      </c>
      <c r="H4822" s="140" t="s">
        <v>882</v>
      </c>
    </row>
    <row r="4823" spans="1:8" ht="15.75" customHeight="1">
      <c r="A4823" s="140" t="s">
        <v>89</v>
      </c>
      <c r="B4823" s="140" t="s">
        <v>25</v>
      </c>
      <c r="C4823" s="141" t="s">
        <v>558</v>
      </c>
      <c r="D4823" s="140" t="s">
        <v>559</v>
      </c>
      <c r="E4823" s="140">
        <v>8</v>
      </c>
      <c r="F4823" s="142">
        <v>45982.541666666672</v>
      </c>
      <c r="G4823" s="140" t="s">
        <v>845</v>
      </c>
      <c r="H4823" s="140" t="s">
        <v>882</v>
      </c>
    </row>
    <row r="4824" spans="1:8" ht="15.75" customHeight="1">
      <c r="A4824" s="140" t="s">
        <v>89</v>
      </c>
      <c r="B4824" s="140" t="s">
        <v>25</v>
      </c>
      <c r="C4824" s="141" t="s">
        <v>558</v>
      </c>
      <c r="D4824" s="140" t="s">
        <v>559</v>
      </c>
      <c r="E4824" s="140">
        <v>9</v>
      </c>
      <c r="F4824" s="142">
        <v>45989.541666666672</v>
      </c>
      <c r="G4824" s="140" t="s">
        <v>845</v>
      </c>
      <c r="H4824" s="140" t="s">
        <v>882</v>
      </c>
    </row>
    <row r="4825" spans="1:8" ht="15.75" customHeight="1">
      <c r="A4825" s="140" t="s">
        <v>89</v>
      </c>
      <c r="B4825" s="140" t="s">
        <v>25</v>
      </c>
      <c r="C4825" s="141" t="s">
        <v>558</v>
      </c>
      <c r="D4825" s="140" t="s">
        <v>559</v>
      </c>
      <c r="E4825" s="140">
        <v>10</v>
      </c>
      <c r="F4825" s="142">
        <v>45996.541666666672</v>
      </c>
      <c r="G4825" s="140" t="s">
        <v>845</v>
      </c>
      <c r="H4825" s="140" t="s">
        <v>882</v>
      </c>
    </row>
    <row r="4826" spans="1:8" ht="15.75" customHeight="1">
      <c r="A4826" s="140" t="s">
        <v>89</v>
      </c>
      <c r="B4826" s="140" t="s">
        <v>25</v>
      </c>
      <c r="C4826" s="141" t="s">
        <v>558</v>
      </c>
      <c r="D4826" s="140" t="s">
        <v>559</v>
      </c>
      <c r="E4826" s="140">
        <v>11</v>
      </c>
      <c r="F4826" s="142">
        <v>46010.541666666672</v>
      </c>
      <c r="G4826" s="140" t="s">
        <v>845</v>
      </c>
      <c r="H4826" s="140" t="s">
        <v>882</v>
      </c>
    </row>
    <row r="4827" spans="1:8" ht="15.75" customHeight="1">
      <c r="A4827" s="140" t="s">
        <v>89</v>
      </c>
      <c r="B4827" s="140" t="s">
        <v>25</v>
      </c>
      <c r="C4827" s="141" t="s">
        <v>558</v>
      </c>
      <c r="D4827" s="140" t="s">
        <v>559</v>
      </c>
      <c r="E4827" s="140">
        <v>12</v>
      </c>
      <c r="F4827" s="142">
        <v>46038.541666666672</v>
      </c>
      <c r="G4827" s="140" t="s">
        <v>845</v>
      </c>
      <c r="H4827" s="140" t="s">
        <v>882</v>
      </c>
    </row>
    <row r="4828" spans="1:8" ht="15.75" customHeight="1">
      <c r="A4828" s="140" t="s">
        <v>89</v>
      </c>
      <c r="B4828" s="140" t="s">
        <v>25</v>
      </c>
      <c r="C4828" s="141" t="s">
        <v>558</v>
      </c>
      <c r="D4828" s="140" t="s">
        <v>559</v>
      </c>
      <c r="E4828" s="140">
        <v>13</v>
      </c>
      <c r="F4828" s="142">
        <v>46049.583333333328</v>
      </c>
      <c r="G4828" s="140" t="s">
        <v>845</v>
      </c>
      <c r="H4828" s="140" t="s">
        <v>882</v>
      </c>
    </row>
    <row r="4829" spans="1:8" ht="15.75" customHeight="1">
      <c r="A4829" s="140" t="s">
        <v>89</v>
      </c>
      <c r="B4829" s="140" t="s">
        <v>25</v>
      </c>
      <c r="C4829" s="141" t="s">
        <v>558</v>
      </c>
      <c r="D4829" s="140" t="s">
        <v>559</v>
      </c>
      <c r="E4829" s="140">
        <v>14</v>
      </c>
      <c r="F4829" s="142">
        <v>46049.583333333328</v>
      </c>
      <c r="G4829" s="140" t="s">
        <v>845</v>
      </c>
      <c r="H4829" s="140" t="s">
        <v>882</v>
      </c>
    </row>
    <row r="4830" spans="1:8" ht="15.75" customHeight="1">
      <c r="A4830" s="140" t="s">
        <v>89</v>
      </c>
      <c r="B4830" s="140" t="s">
        <v>25</v>
      </c>
      <c r="C4830" s="141" t="s">
        <v>558</v>
      </c>
      <c r="D4830" s="140" t="s">
        <v>559</v>
      </c>
      <c r="E4830" s="140">
        <v>15</v>
      </c>
      <c r="F4830" s="142">
        <v>46052.541666666672</v>
      </c>
      <c r="G4830" s="140" t="s">
        <v>843</v>
      </c>
      <c r="H4830" s="140" t="s">
        <v>882</v>
      </c>
    </row>
    <row r="4831" spans="1:8" ht="15.75" customHeight="1">
      <c r="A4831" s="140" t="s">
        <v>89</v>
      </c>
      <c r="B4831" s="140" t="s">
        <v>25</v>
      </c>
      <c r="C4831" s="141" t="s">
        <v>558</v>
      </c>
      <c r="D4831" s="140" t="s">
        <v>559</v>
      </c>
      <c r="E4831" s="140">
        <v>16</v>
      </c>
      <c r="F4831" s="142">
        <v>46108.541666666672</v>
      </c>
      <c r="G4831" s="140" t="s">
        <v>845</v>
      </c>
      <c r="H4831" s="140" t="s">
        <v>882</v>
      </c>
    </row>
    <row r="4832" spans="1:8" ht="15.75" customHeight="1">
      <c r="A4832" s="140" t="s">
        <v>89</v>
      </c>
      <c r="B4832" s="140" t="s">
        <v>26</v>
      </c>
      <c r="C4832" s="141" t="s">
        <v>574</v>
      </c>
      <c r="D4832" s="140" t="s">
        <v>575</v>
      </c>
      <c r="E4832" s="140">
        <v>1</v>
      </c>
      <c r="F4832" s="142">
        <v>46126.583333333328</v>
      </c>
      <c r="G4832" s="140" t="s">
        <v>845</v>
      </c>
      <c r="H4832" s="140" t="s">
        <v>882</v>
      </c>
    </row>
    <row r="4833" spans="1:8" ht="15.75" customHeight="1">
      <c r="A4833" s="140" t="s">
        <v>89</v>
      </c>
      <c r="B4833" s="140" t="s">
        <v>26</v>
      </c>
      <c r="C4833" s="141" t="s">
        <v>574</v>
      </c>
      <c r="D4833" s="140" t="s">
        <v>575</v>
      </c>
      <c r="E4833" s="140">
        <v>2</v>
      </c>
      <c r="F4833" s="142">
        <v>46129.583333333328</v>
      </c>
      <c r="G4833" s="140" t="s">
        <v>845</v>
      </c>
      <c r="H4833" s="140" t="s">
        <v>882</v>
      </c>
    </row>
    <row r="4834" spans="1:8" ht="15.75" customHeight="1">
      <c r="A4834" s="140" t="s">
        <v>89</v>
      </c>
      <c r="B4834" s="140" t="s">
        <v>25</v>
      </c>
      <c r="C4834" s="141" t="s">
        <v>574</v>
      </c>
      <c r="D4834" s="140" t="s">
        <v>575</v>
      </c>
      <c r="E4834" s="140">
        <v>1</v>
      </c>
      <c r="F4834" s="142">
        <v>45916.458333333328</v>
      </c>
      <c r="G4834" s="140" t="s">
        <v>845</v>
      </c>
      <c r="H4834" s="140" t="s">
        <v>882</v>
      </c>
    </row>
    <row r="4835" spans="1:8" ht="15.75" customHeight="1">
      <c r="A4835" s="140" t="s">
        <v>89</v>
      </c>
      <c r="B4835" s="140" t="s">
        <v>25</v>
      </c>
      <c r="C4835" s="141" t="s">
        <v>574</v>
      </c>
      <c r="D4835" s="140" t="s">
        <v>575</v>
      </c>
      <c r="E4835" s="140">
        <v>2</v>
      </c>
      <c r="F4835" s="142">
        <v>45925.541666666672</v>
      </c>
      <c r="G4835" s="140" t="s">
        <v>845</v>
      </c>
      <c r="H4835" s="140" t="s">
        <v>882</v>
      </c>
    </row>
    <row r="4836" spans="1:8" ht="15.75" customHeight="1">
      <c r="A4836" s="140" t="s">
        <v>89</v>
      </c>
      <c r="B4836" s="140" t="s">
        <v>25</v>
      </c>
      <c r="C4836" s="141" t="s">
        <v>574</v>
      </c>
      <c r="D4836" s="140" t="s">
        <v>575</v>
      </c>
      <c r="E4836" s="140">
        <v>3</v>
      </c>
      <c r="F4836" s="142">
        <v>45931.583333333328</v>
      </c>
      <c r="G4836" s="140" t="s">
        <v>843</v>
      </c>
      <c r="H4836" s="140" t="s">
        <v>882</v>
      </c>
    </row>
    <row r="4837" spans="1:8" ht="15.75" customHeight="1">
      <c r="A4837" s="140" t="s">
        <v>89</v>
      </c>
      <c r="B4837" s="140" t="s">
        <v>25</v>
      </c>
      <c r="C4837" s="141" t="s">
        <v>574</v>
      </c>
      <c r="D4837" s="140" t="s">
        <v>575</v>
      </c>
      <c r="E4837" s="140">
        <v>4</v>
      </c>
      <c r="F4837" s="142">
        <v>45938.541666666672</v>
      </c>
      <c r="G4837" s="140" t="s">
        <v>845</v>
      </c>
      <c r="H4837" s="140" t="s">
        <v>882</v>
      </c>
    </row>
    <row r="4838" spans="1:8" ht="15.75" customHeight="1">
      <c r="A4838" s="140" t="s">
        <v>89</v>
      </c>
      <c r="B4838" s="140" t="s">
        <v>25</v>
      </c>
      <c r="C4838" s="141" t="s">
        <v>574</v>
      </c>
      <c r="D4838" s="140" t="s">
        <v>575</v>
      </c>
      <c r="E4838" s="140">
        <v>5</v>
      </c>
      <c r="F4838" s="142">
        <v>45953.541666666672</v>
      </c>
      <c r="G4838" s="140" t="s">
        <v>845</v>
      </c>
      <c r="H4838" s="140" t="s">
        <v>882</v>
      </c>
    </row>
    <row r="4839" spans="1:8" ht="15.75" customHeight="1">
      <c r="A4839" s="140" t="s">
        <v>89</v>
      </c>
      <c r="B4839" s="140" t="s">
        <v>25</v>
      </c>
      <c r="C4839" s="141" t="s">
        <v>574</v>
      </c>
      <c r="D4839" s="140" t="s">
        <v>575</v>
      </c>
      <c r="E4839" s="140">
        <v>6</v>
      </c>
      <c r="F4839" s="142">
        <v>45960.541666666672</v>
      </c>
      <c r="G4839" s="140" t="s">
        <v>845</v>
      </c>
      <c r="H4839" s="140" t="s">
        <v>882</v>
      </c>
    </row>
    <row r="4840" spans="1:8" ht="15.75" customHeight="1">
      <c r="A4840" s="140" t="s">
        <v>89</v>
      </c>
      <c r="B4840" s="140" t="s">
        <v>25</v>
      </c>
      <c r="C4840" s="141" t="s">
        <v>574</v>
      </c>
      <c r="D4840" s="140" t="s">
        <v>575</v>
      </c>
      <c r="E4840" s="140">
        <v>7</v>
      </c>
      <c r="F4840" s="142">
        <v>45967.541666666672</v>
      </c>
      <c r="G4840" s="140" t="s">
        <v>845</v>
      </c>
      <c r="H4840" s="140" t="s">
        <v>882</v>
      </c>
    </row>
    <row r="4841" spans="1:8" ht="15.75" customHeight="1">
      <c r="A4841" s="140" t="s">
        <v>89</v>
      </c>
      <c r="B4841" s="140" t="s">
        <v>25</v>
      </c>
      <c r="C4841" s="141" t="s">
        <v>574</v>
      </c>
      <c r="D4841" s="140" t="s">
        <v>575</v>
      </c>
      <c r="E4841" s="140">
        <v>8</v>
      </c>
      <c r="F4841" s="142">
        <v>45982.541666666672</v>
      </c>
      <c r="G4841" s="140" t="s">
        <v>845</v>
      </c>
      <c r="H4841" s="140" t="s">
        <v>882</v>
      </c>
    </row>
    <row r="4842" spans="1:8" ht="15.75" customHeight="1">
      <c r="A4842" s="140" t="s">
        <v>89</v>
      </c>
      <c r="B4842" s="140" t="s">
        <v>25</v>
      </c>
      <c r="C4842" s="141" t="s">
        <v>574</v>
      </c>
      <c r="D4842" s="140" t="s">
        <v>575</v>
      </c>
      <c r="E4842" s="140">
        <v>9</v>
      </c>
      <c r="F4842" s="142">
        <v>45989.541666666672</v>
      </c>
      <c r="G4842" s="140" t="s">
        <v>845</v>
      </c>
      <c r="H4842" s="140" t="s">
        <v>882</v>
      </c>
    </row>
    <row r="4843" spans="1:8" ht="15.75" customHeight="1">
      <c r="A4843" s="140" t="s">
        <v>89</v>
      </c>
      <c r="B4843" s="140" t="s">
        <v>25</v>
      </c>
      <c r="C4843" s="141" t="s">
        <v>574</v>
      </c>
      <c r="D4843" s="140" t="s">
        <v>575</v>
      </c>
      <c r="E4843" s="140">
        <v>10</v>
      </c>
      <c r="F4843" s="142">
        <v>45996.541666666672</v>
      </c>
      <c r="G4843" s="140" t="s">
        <v>845</v>
      </c>
      <c r="H4843" s="140" t="s">
        <v>882</v>
      </c>
    </row>
    <row r="4844" spans="1:8" ht="15.75" customHeight="1">
      <c r="A4844" s="140" t="s">
        <v>89</v>
      </c>
      <c r="B4844" s="140" t="s">
        <v>25</v>
      </c>
      <c r="C4844" s="141" t="s">
        <v>574</v>
      </c>
      <c r="D4844" s="140" t="s">
        <v>575</v>
      </c>
      <c r="E4844" s="140">
        <v>11</v>
      </c>
      <c r="F4844" s="142">
        <v>46010.541666666672</v>
      </c>
      <c r="G4844" s="140" t="s">
        <v>845</v>
      </c>
      <c r="H4844" s="140" t="s">
        <v>882</v>
      </c>
    </row>
    <row r="4845" spans="1:8" ht="15.75" customHeight="1">
      <c r="A4845" s="140" t="s">
        <v>89</v>
      </c>
      <c r="B4845" s="140" t="s">
        <v>25</v>
      </c>
      <c r="C4845" s="141" t="s">
        <v>574</v>
      </c>
      <c r="D4845" s="140" t="s">
        <v>575</v>
      </c>
      <c r="E4845" s="140">
        <v>12</v>
      </c>
      <c r="F4845" s="142">
        <v>46038.541666666672</v>
      </c>
      <c r="G4845" s="140" t="s">
        <v>845</v>
      </c>
      <c r="H4845" s="140" t="s">
        <v>882</v>
      </c>
    </row>
    <row r="4846" spans="1:8" ht="15.75" customHeight="1">
      <c r="A4846" s="140" t="s">
        <v>89</v>
      </c>
      <c r="B4846" s="140" t="s">
        <v>25</v>
      </c>
      <c r="C4846" s="141" t="s">
        <v>574</v>
      </c>
      <c r="D4846" s="140" t="s">
        <v>575</v>
      </c>
      <c r="E4846" s="140">
        <v>13</v>
      </c>
      <c r="F4846" s="142">
        <v>46049.583333333328</v>
      </c>
      <c r="G4846" s="140" t="s">
        <v>845</v>
      </c>
      <c r="H4846" s="140" t="s">
        <v>882</v>
      </c>
    </row>
    <row r="4847" spans="1:8" ht="15.75" customHeight="1">
      <c r="A4847" s="140" t="s">
        <v>89</v>
      </c>
      <c r="B4847" s="140" t="s">
        <v>25</v>
      </c>
      <c r="C4847" s="141" t="s">
        <v>574</v>
      </c>
      <c r="D4847" s="140" t="s">
        <v>575</v>
      </c>
      <c r="E4847" s="140">
        <v>14</v>
      </c>
      <c r="F4847" s="142">
        <v>46049.583333333328</v>
      </c>
      <c r="G4847" s="140" t="s">
        <v>845</v>
      </c>
      <c r="H4847" s="140" t="s">
        <v>882</v>
      </c>
    </row>
    <row r="4848" spans="1:8" ht="15.75" customHeight="1">
      <c r="A4848" s="140" t="s">
        <v>89</v>
      </c>
      <c r="B4848" s="140" t="s">
        <v>25</v>
      </c>
      <c r="C4848" s="141" t="s">
        <v>574</v>
      </c>
      <c r="D4848" s="140" t="s">
        <v>575</v>
      </c>
      <c r="E4848" s="140">
        <v>15</v>
      </c>
      <c r="F4848" s="142">
        <v>46052.541666666672</v>
      </c>
      <c r="G4848" s="140" t="s">
        <v>845</v>
      </c>
      <c r="H4848" s="140" t="s">
        <v>882</v>
      </c>
    </row>
    <row r="4849" spans="1:8" ht="15.75" customHeight="1">
      <c r="A4849" s="140" t="s">
        <v>89</v>
      </c>
      <c r="B4849" s="140" t="s">
        <v>25</v>
      </c>
      <c r="C4849" s="141" t="s">
        <v>574</v>
      </c>
      <c r="D4849" s="140" t="s">
        <v>575</v>
      </c>
      <c r="E4849" s="140">
        <v>16</v>
      </c>
      <c r="F4849" s="142">
        <v>46108.541666666672</v>
      </c>
      <c r="G4849" s="140" t="s">
        <v>845</v>
      </c>
      <c r="H4849" s="140" t="s">
        <v>882</v>
      </c>
    </row>
    <row r="4850" spans="1:8" ht="15.75" customHeight="1">
      <c r="A4850" s="140" t="s">
        <v>90</v>
      </c>
      <c r="B4850" s="140" t="s">
        <v>21</v>
      </c>
      <c r="C4850" s="141" t="s">
        <v>251</v>
      </c>
      <c r="D4850" s="140" t="s">
        <v>252</v>
      </c>
      <c r="E4850" s="140">
        <v>1</v>
      </c>
      <c r="F4850" s="142">
        <v>45917.583333333328</v>
      </c>
      <c r="G4850" s="140" t="s">
        <v>845</v>
      </c>
      <c r="H4850" s="140" t="s">
        <v>883</v>
      </c>
    </row>
    <row r="4851" spans="1:8" ht="15.75" customHeight="1">
      <c r="A4851" s="140" t="s">
        <v>90</v>
      </c>
      <c r="B4851" s="140" t="s">
        <v>21</v>
      </c>
      <c r="C4851" s="141" t="s">
        <v>251</v>
      </c>
      <c r="D4851" s="140" t="s">
        <v>252</v>
      </c>
      <c r="E4851" s="140">
        <v>2</v>
      </c>
      <c r="F4851" s="142">
        <v>45923.541666666672</v>
      </c>
      <c r="G4851" s="140" t="s">
        <v>845</v>
      </c>
      <c r="H4851" s="140" t="s">
        <v>883</v>
      </c>
    </row>
    <row r="4852" spans="1:8" ht="15.75" customHeight="1">
      <c r="A4852" s="140" t="s">
        <v>90</v>
      </c>
      <c r="B4852" s="140" t="s">
        <v>21</v>
      </c>
      <c r="C4852" s="141" t="s">
        <v>251</v>
      </c>
      <c r="D4852" s="140" t="s">
        <v>252</v>
      </c>
      <c r="E4852" s="140">
        <v>3</v>
      </c>
      <c r="F4852" s="142">
        <v>45930.541666666672</v>
      </c>
      <c r="G4852" s="140" t="s">
        <v>845</v>
      </c>
      <c r="H4852" s="140" t="s">
        <v>883</v>
      </c>
    </row>
    <row r="4853" spans="1:8" ht="15.75" customHeight="1">
      <c r="A4853" s="140" t="s">
        <v>90</v>
      </c>
      <c r="B4853" s="140" t="s">
        <v>21</v>
      </c>
      <c r="C4853" s="141" t="s">
        <v>251</v>
      </c>
      <c r="D4853" s="140" t="s">
        <v>252</v>
      </c>
      <c r="E4853" s="140">
        <v>4</v>
      </c>
      <c r="F4853" s="142">
        <v>45937.541666666672</v>
      </c>
      <c r="G4853" s="140" t="s">
        <v>845</v>
      </c>
      <c r="H4853" s="140" t="s">
        <v>883</v>
      </c>
    </row>
    <row r="4854" spans="1:8" ht="15.75" customHeight="1">
      <c r="A4854" s="140" t="s">
        <v>90</v>
      </c>
      <c r="B4854" s="140" t="s">
        <v>21</v>
      </c>
      <c r="C4854" s="141" t="s">
        <v>251</v>
      </c>
      <c r="D4854" s="140" t="s">
        <v>252</v>
      </c>
      <c r="E4854" s="140">
        <v>5</v>
      </c>
      <c r="F4854" s="142">
        <v>45944.541666666672</v>
      </c>
      <c r="G4854" s="140" t="s">
        <v>843</v>
      </c>
      <c r="H4854" s="140" t="s">
        <v>883</v>
      </c>
    </row>
    <row r="4855" spans="1:8" ht="15.75" customHeight="1">
      <c r="A4855" s="140" t="s">
        <v>90</v>
      </c>
      <c r="B4855" s="140" t="s">
        <v>21</v>
      </c>
      <c r="C4855" s="141" t="s">
        <v>251</v>
      </c>
      <c r="D4855" s="140" t="s">
        <v>252</v>
      </c>
      <c r="E4855" s="140">
        <v>6</v>
      </c>
      <c r="F4855" s="142">
        <v>45958.541666666672</v>
      </c>
      <c r="G4855" s="140" t="s">
        <v>843</v>
      </c>
      <c r="H4855" s="140" t="s">
        <v>883</v>
      </c>
    </row>
    <row r="4856" spans="1:8" ht="15.75" customHeight="1">
      <c r="A4856" s="140" t="s">
        <v>90</v>
      </c>
      <c r="B4856" s="140" t="s">
        <v>21</v>
      </c>
      <c r="C4856" s="141" t="s">
        <v>251</v>
      </c>
      <c r="D4856" s="140" t="s">
        <v>252</v>
      </c>
      <c r="E4856" s="140">
        <v>7</v>
      </c>
      <c r="F4856" s="142">
        <v>45965.583333333328</v>
      </c>
      <c r="G4856" s="140" t="s">
        <v>843</v>
      </c>
      <c r="H4856" s="140" t="s">
        <v>883</v>
      </c>
    </row>
    <row r="4857" spans="1:8" ht="15.75" customHeight="1">
      <c r="A4857" s="140" t="s">
        <v>90</v>
      </c>
      <c r="B4857" s="140" t="s">
        <v>21</v>
      </c>
      <c r="C4857" s="141" t="s">
        <v>251</v>
      </c>
      <c r="D4857" s="140" t="s">
        <v>252</v>
      </c>
      <c r="E4857" s="140">
        <v>8</v>
      </c>
      <c r="F4857" s="142">
        <v>45979.583333333328</v>
      </c>
      <c r="G4857" s="140" t="s">
        <v>843</v>
      </c>
      <c r="H4857" s="140" t="s">
        <v>883</v>
      </c>
    </row>
    <row r="4858" spans="1:8" ht="15.75" customHeight="1">
      <c r="A4858" s="140" t="s">
        <v>90</v>
      </c>
      <c r="B4858" s="140" t="s">
        <v>21</v>
      </c>
      <c r="C4858" s="141" t="s">
        <v>338</v>
      </c>
      <c r="D4858" s="140" t="s">
        <v>339</v>
      </c>
      <c r="E4858" s="140">
        <v>1</v>
      </c>
      <c r="F4858" s="142">
        <v>45917.583333333328</v>
      </c>
      <c r="G4858" s="140" t="s">
        <v>845</v>
      </c>
      <c r="H4858" s="140" t="s">
        <v>883</v>
      </c>
    </row>
    <row r="4859" spans="1:8" ht="15.75" customHeight="1">
      <c r="A4859" s="140" t="s">
        <v>90</v>
      </c>
      <c r="B4859" s="140" t="s">
        <v>21</v>
      </c>
      <c r="C4859" s="141" t="s">
        <v>338</v>
      </c>
      <c r="D4859" s="140" t="s">
        <v>339</v>
      </c>
      <c r="E4859" s="140">
        <v>2</v>
      </c>
      <c r="F4859" s="142">
        <v>45923.541666666672</v>
      </c>
      <c r="G4859" s="140" t="s">
        <v>845</v>
      </c>
      <c r="H4859" s="140" t="s">
        <v>883</v>
      </c>
    </row>
    <row r="4860" spans="1:8" ht="15.75" customHeight="1">
      <c r="A4860" s="140" t="s">
        <v>90</v>
      </c>
      <c r="B4860" s="140" t="s">
        <v>21</v>
      </c>
      <c r="C4860" s="141" t="s">
        <v>338</v>
      </c>
      <c r="D4860" s="140" t="s">
        <v>339</v>
      </c>
      <c r="E4860" s="140">
        <v>3</v>
      </c>
      <c r="F4860" s="142">
        <v>45930.541666666672</v>
      </c>
      <c r="G4860" s="140" t="s">
        <v>845</v>
      </c>
      <c r="H4860" s="140" t="s">
        <v>883</v>
      </c>
    </row>
    <row r="4861" spans="1:8" ht="15.75" customHeight="1">
      <c r="A4861" s="140" t="s">
        <v>90</v>
      </c>
      <c r="B4861" s="140" t="s">
        <v>21</v>
      </c>
      <c r="C4861" s="141" t="s">
        <v>338</v>
      </c>
      <c r="D4861" s="140" t="s">
        <v>339</v>
      </c>
      <c r="E4861" s="140">
        <v>4</v>
      </c>
      <c r="F4861" s="142">
        <v>45937.541666666672</v>
      </c>
      <c r="G4861" s="140" t="s">
        <v>845</v>
      </c>
      <c r="H4861" s="140" t="s">
        <v>883</v>
      </c>
    </row>
    <row r="4862" spans="1:8" ht="15.75" customHeight="1">
      <c r="A4862" s="140" t="s">
        <v>90</v>
      </c>
      <c r="B4862" s="140" t="s">
        <v>21</v>
      </c>
      <c r="C4862" s="141" t="s">
        <v>338</v>
      </c>
      <c r="D4862" s="140" t="s">
        <v>339</v>
      </c>
      <c r="E4862" s="140">
        <v>5</v>
      </c>
      <c r="F4862" s="142">
        <v>45944.541666666672</v>
      </c>
      <c r="G4862" s="140" t="s">
        <v>843</v>
      </c>
      <c r="H4862" s="140" t="s">
        <v>883</v>
      </c>
    </row>
    <row r="4863" spans="1:8" ht="15.75" customHeight="1">
      <c r="A4863" s="140" t="s">
        <v>90</v>
      </c>
      <c r="B4863" s="140" t="s">
        <v>21</v>
      </c>
      <c r="C4863" s="141" t="s">
        <v>338</v>
      </c>
      <c r="D4863" s="140" t="s">
        <v>339</v>
      </c>
      <c r="E4863" s="140">
        <v>6</v>
      </c>
      <c r="F4863" s="142">
        <v>45958.541666666672</v>
      </c>
      <c r="G4863" s="140" t="s">
        <v>845</v>
      </c>
      <c r="H4863" s="140" t="s">
        <v>883</v>
      </c>
    </row>
    <row r="4864" spans="1:8" ht="15.75" customHeight="1">
      <c r="A4864" s="140" t="s">
        <v>90</v>
      </c>
      <c r="B4864" s="140" t="s">
        <v>21</v>
      </c>
      <c r="C4864" s="141" t="s">
        <v>338</v>
      </c>
      <c r="D4864" s="140" t="s">
        <v>339</v>
      </c>
      <c r="E4864" s="140">
        <v>7</v>
      </c>
      <c r="F4864" s="142">
        <v>45965.583333333328</v>
      </c>
      <c r="G4864" s="140" t="s">
        <v>845</v>
      </c>
      <c r="H4864" s="140" t="s">
        <v>883</v>
      </c>
    </row>
    <row r="4865" spans="1:8" ht="15.75" customHeight="1">
      <c r="A4865" s="140" t="s">
        <v>90</v>
      </c>
      <c r="B4865" s="140" t="s">
        <v>21</v>
      </c>
      <c r="C4865" s="141" t="s">
        <v>338</v>
      </c>
      <c r="D4865" s="140" t="s">
        <v>339</v>
      </c>
      <c r="E4865" s="140">
        <v>8</v>
      </c>
      <c r="F4865" s="142">
        <v>45979.583333333328</v>
      </c>
      <c r="G4865" s="140" t="s">
        <v>845</v>
      </c>
      <c r="H4865" s="140" t="s">
        <v>883</v>
      </c>
    </row>
    <row r="4866" spans="1:8" ht="15.75" customHeight="1">
      <c r="A4866" s="140" t="s">
        <v>90</v>
      </c>
      <c r="B4866" s="140" t="s">
        <v>21</v>
      </c>
      <c r="C4866" s="141" t="s">
        <v>363</v>
      </c>
      <c r="D4866" s="140" t="s">
        <v>364</v>
      </c>
      <c r="E4866" s="140">
        <v>1</v>
      </c>
      <c r="F4866" s="142">
        <v>45917.583333333328</v>
      </c>
      <c r="G4866" s="140" t="s">
        <v>843</v>
      </c>
      <c r="H4866" s="140" t="s">
        <v>883</v>
      </c>
    </row>
    <row r="4867" spans="1:8" ht="15.75" customHeight="1">
      <c r="A4867" s="140" t="s">
        <v>90</v>
      </c>
      <c r="B4867" s="140" t="s">
        <v>21</v>
      </c>
      <c r="C4867" s="141" t="s">
        <v>363</v>
      </c>
      <c r="D4867" s="140" t="s">
        <v>364</v>
      </c>
      <c r="E4867" s="140">
        <v>2</v>
      </c>
      <c r="F4867" s="142">
        <v>45923.541666666672</v>
      </c>
      <c r="G4867" s="140" t="s">
        <v>843</v>
      </c>
      <c r="H4867" s="140" t="s">
        <v>883</v>
      </c>
    </row>
    <row r="4868" spans="1:8" ht="15.75" customHeight="1">
      <c r="A4868" s="140" t="s">
        <v>90</v>
      </c>
      <c r="B4868" s="140" t="s">
        <v>21</v>
      </c>
      <c r="C4868" s="141" t="s">
        <v>363</v>
      </c>
      <c r="D4868" s="140" t="s">
        <v>364</v>
      </c>
      <c r="E4868" s="140">
        <v>3</v>
      </c>
      <c r="F4868" s="142">
        <v>45930.541666666672</v>
      </c>
      <c r="G4868" s="140" t="s">
        <v>845</v>
      </c>
      <c r="H4868" s="140" t="s">
        <v>883</v>
      </c>
    </row>
    <row r="4869" spans="1:8" ht="15.75" customHeight="1">
      <c r="A4869" s="140" t="s">
        <v>90</v>
      </c>
      <c r="B4869" s="140" t="s">
        <v>21</v>
      </c>
      <c r="C4869" s="141" t="s">
        <v>363</v>
      </c>
      <c r="D4869" s="140" t="s">
        <v>364</v>
      </c>
      <c r="E4869" s="140">
        <v>4</v>
      </c>
      <c r="F4869" s="142">
        <v>45937.541666666672</v>
      </c>
      <c r="G4869" s="140" t="s">
        <v>843</v>
      </c>
      <c r="H4869" s="140" t="s">
        <v>883</v>
      </c>
    </row>
    <row r="4870" spans="1:8" ht="15.75" customHeight="1">
      <c r="A4870" s="140" t="s">
        <v>90</v>
      </c>
      <c r="B4870" s="140" t="s">
        <v>21</v>
      </c>
      <c r="C4870" s="141" t="s">
        <v>363</v>
      </c>
      <c r="D4870" s="140" t="s">
        <v>364</v>
      </c>
      <c r="E4870" s="140">
        <v>5</v>
      </c>
      <c r="F4870" s="142">
        <v>45944.541666666672</v>
      </c>
      <c r="G4870" s="140" t="s">
        <v>843</v>
      </c>
      <c r="H4870" s="140" t="s">
        <v>883</v>
      </c>
    </row>
    <row r="4871" spans="1:8" ht="15.75" customHeight="1">
      <c r="A4871" s="140" t="s">
        <v>90</v>
      </c>
      <c r="B4871" s="140" t="s">
        <v>21</v>
      </c>
      <c r="C4871" s="141" t="s">
        <v>363</v>
      </c>
      <c r="D4871" s="140" t="s">
        <v>364</v>
      </c>
      <c r="E4871" s="140">
        <v>6</v>
      </c>
      <c r="F4871" s="142">
        <v>45958.541666666672</v>
      </c>
      <c r="G4871" s="140" t="s">
        <v>843</v>
      </c>
      <c r="H4871" s="140" t="s">
        <v>883</v>
      </c>
    </row>
    <row r="4872" spans="1:8" ht="15.75" customHeight="1">
      <c r="A4872" s="140" t="s">
        <v>90</v>
      </c>
      <c r="B4872" s="140" t="s">
        <v>21</v>
      </c>
      <c r="C4872" s="141" t="s">
        <v>363</v>
      </c>
      <c r="D4872" s="140" t="s">
        <v>364</v>
      </c>
      <c r="E4872" s="140">
        <v>7</v>
      </c>
      <c r="F4872" s="142">
        <v>45965.583333333328</v>
      </c>
      <c r="G4872" s="140" t="s">
        <v>843</v>
      </c>
      <c r="H4872" s="140" t="s">
        <v>883</v>
      </c>
    </row>
    <row r="4873" spans="1:8" ht="15.75" customHeight="1">
      <c r="A4873" s="140" t="s">
        <v>90</v>
      </c>
      <c r="B4873" s="140" t="s">
        <v>21</v>
      </c>
      <c r="C4873" s="141" t="s">
        <v>363</v>
      </c>
      <c r="D4873" s="140" t="s">
        <v>364</v>
      </c>
      <c r="E4873" s="140">
        <v>8</v>
      </c>
      <c r="F4873" s="142">
        <v>45979.583333333328</v>
      </c>
      <c r="G4873" s="140" t="s">
        <v>843</v>
      </c>
      <c r="H4873" s="140" t="s">
        <v>883</v>
      </c>
    </row>
    <row r="4874" spans="1:8" ht="15.75" customHeight="1">
      <c r="A4874" s="140" t="s">
        <v>90</v>
      </c>
      <c r="B4874" s="140" t="s">
        <v>21</v>
      </c>
      <c r="C4874" s="141" t="s">
        <v>379</v>
      </c>
      <c r="D4874" s="140" t="s">
        <v>380</v>
      </c>
      <c r="E4874" s="140">
        <v>1</v>
      </c>
      <c r="F4874" s="142">
        <v>45917.583333333328</v>
      </c>
      <c r="G4874" s="140" t="s">
        <v>845</v>
      </c>
      <c r="H4874" s="140" t="s">
        <v>883</v>
      </c>
    </row>
    <row r="4875" spans="1:8" ht="15.75" customHeight="1">
      <c r="A4875" s="140" t="s">
        <v>90</v>
      </c>
      <c r="B4875" s="140" t="s">
        <v>21</v>
      </c>
      <c r="C4875" s="141" t="s">
        <v>379</v>
      </c>
      <c r="D4875" s="140" t="s">
        <v>380</v>
      </c>
      <c r="E4875" s="140">
        <v>2</v>
      </c>
      <c r="F4875" s="142">
        <v>45923.541666666672</v>
      </c>
      <c r="G4875" s="140" t="s">
        <v>845</v>
      </c>
      <c r="H4875" s="140" t="s">
        <v>883</v>
      </c>
    </row>
    <row r="4876" spans="1:8" ht="15.75" customHeight="1">
      <c r="A4876" s="140" t="s">
        <v>90</v>
      </c>
      <c r="B4876" s="140" t="s">
        <v>21</v>
      </c>
      <c r="C4876" s="141" t="s">
        <v>379</v>
      </c>
      <c r="D4876" s="140" t="s">
        <v>380</v>
      </c>
      <c r="E4876" s="140">
        <v>3</v>
      </c>
      <c r="F4876" s="142">
        <v>45930.541666666672</v>
      </c>
      <c r="G4876" s="140" t="s">
        <v>845</v>
      </c>
      <c r="H4876" s="140" t="s">
        <v>883</v>
      </c>
    </row>
    <row r="4877" spans="1:8" ht="15.75" customHeight="1">
      <c r="A4877" s="140" t="s">
        <v>90</v>
      </c>
      <c r="B4877" s="140" t="s">
        <v>21</v>
      </c>
      <c r="C4877" s="141" t="s">
        <v>379</v>
      </c>
      <c r="D4877" s="140" t="s">
        <v>380</v>
      </c>
      <c r="E4877" s="140">
        <v>4</v>
      </c>
      <c r="F4877" s="142">
        <v>45937.541666666672</v>
      </c>
      <c r="G4877" s="140" t="s">
        <v>845</v>
      </c>
      <c r="H4877" s="140" t="s">
        <v>883</v>
      </c>
    </row>
    <row r="4878" spans="1:8" ht="15.75" customHeight="1">
      <c r="A4878" s="140" t="s">
        <v>90</v>
      </c>
      <c r="B4878" s="140" t="s">
        <v>21</v>
      </c>
      <c r="C4878" s="141" t="s">
        <v>379</v>
      </c>
      <c r="D4878" s="140" t="s">
        <v>380</v>
      </c>
      <c r="E4878" s="140">
        <v>5</v>
      </c>
      <c r="F4878" s="142">
        <v>45944.541666666672</v>
      </c>
      <c r="G4878" s="140" t="s">
        <v>845</v>
      </c>
      <c r="H4878" s="140" t="s">
        <v>883</v>
      </c>
    </row>
    <row r="4879" spans="1:8" ht="15.75" customHeight="1">
      <c r="A4879" s="140" t="s">
        <v>90</v>
      </c>
      <c r="B4879" s="140" t="s">
        <v>21</v>
      </c>
      <c r="C4879" s="141" t="s">
        <v>379</v>
      </c>
      <c r="D4879" s="140" t="s">
        <v>380</v>
      </c>
      <c r="E4879" s="140">
        <v>6</v>
      </c>
      <c r="F4879" s="142">
        <v>45958.541666666672</v>
      </c>
      <c r="G4879" s="140" t="s">
        <v>845</v>
      </c>
      <c r="H4879" s="140" t="s">
        <v>883</v>
      </c>
    </row>
    <row r="4880" spans="1:8" ht="15.75" customHeight="1">
      <c r="A4880" s="140" t="s">
        <v>90</v>
      </c>
      <c r="B4880" s="140" t="s">
        <v>21</v>
      </c>
      <c r="C4880" s="141" t="s">
        <v>379</v>
      </c>
      <c r="D4880" s="140" t="s">
        <v>380</v>
      </c>
      <c r="E4880" s="140">
        <v>7</v>
      </c>
      <c r="F4880" s="142">
        <v>45965.583333333328</v>
      </c>
      <c r="G4880" s="140" t="s">
        <v>845</v>
      </c>
      <c r="H4880" s="140" t="s">
        <v>883</v>
      </c>
    </row>
    <row r="4881" spans="1:8" ht="15.75" customHeight="1">
      <c r="A4881" s="140" t="s">
        <v>90</v>
      </c>
      <c r="B4881" s="140" t="s">
        <v>21</v>
      </c>
      <c r="C4881" s="141" t="s">
        <v>379</v>
      </c>
      <c r="D4881" s="140" t="s">
        <v>380</v>
      </c>
      <c r="E4881" s="140">
        <v>8</v>
      </c>
      <c r="F4881" s="142">
        <v>45979.583333333328</v>
      </c>
      <c r="G4881" s="140" t="s">
        <v>845</v>
      </c>
      <c r="H4881" s="140" t="s">
        <v>883</v>
      </c>
    </row>
    <row r="4882" spans="1:8" ht="15.75" customHeight="1">
      <c r="A4882" s="140" t="s">
        <v>90</v>
      </c>
      <c r="B4882" s="140" t="s">
        <v>21</v>
      </c>
      <c r="C4882" s="141" t="s">
        <v>449</v>
      </c>
      <c r="D4882" s="140" t="s">
        <v>450</v>
      </c>
      <c r="E4882" s="140">
        <v>1</v>
      </c>
      <c r="F4882" s="142">
        <v>45917.583333333328</v>
      </c>
      <c r="G4882" s="140" t="s">
        <v>843</v>
      </c>
      <c r="H4882" s="140" t="s">
        <v>883</v>
      </c>
    </row>
    <row r="4883" spans="1:8" ht="15.75" customHeight="1">
      <c r="A4883" s="140" t="s">
        <v>90</v>
      </c>
      <c r="B4883" s="140" t="s">
        <v>21</v>
      </c>
      <c r="C4883" s="141" t="s">
        <v>449</v>
      </c>
      <c r="D4883" s="140" t="s">
        <v>450</v>
      </c>
      <c r="E4883" s="140">
        <v>2</v>
      </c>
      <c r="F4883" s="142">
        <v>45923.541666666672</v>
      </c>
      <c r="G4883" s="140" t="s">
        <v>845</v>
      </c>
      <c r="H4883" s="140" t="s">
        <v>883</v>
      </c>
    </row>
    <row r="4884" spans="1:8" ht="15.75" customHeight="1">
      <c r="A4884" s="140" t="s">
        <v>90</v>
      </c>
      <c r="B4884" s="140" t="s">
        <v>21</v>
      </c>
      <c r="C4884" s="141" t="s">
        <v>449</v>
      </c>
      <c r="D4884" s="140" t="s">
        <v>450</v>
      </c>
      <c r="E4884" s="140">
        <v>3</v>
      </c>
      <c r="F4884" s="142">
        <v>45930.541666666672</v>
      </c>
      <c r="G4884" s="140" t="s">
        <v>845</v>
      </c>
      <c r="H4884" s="140" t="s">
        <v>883</v>
      </c>
    </row>
    <row r="4885" spans="1:8" ht="15.75" customHeight="1">
      <c r="A4885" s="140" t="s">
        <v>90</v>
      </c>
      <c r="B4885" s="140" t="s">
        <v>21</v>
      </c>
      <c r="C4885" s="141" t="s">
        <v>449</v>
      </c>
      <c r="D4885" s="140" t="s">
        <v>450</v>
      </c>
      <c r="E4885" s="140">
        <v>4</v>
      </c>
      <c r="F4885" s="142">
        <v>45937.541666666672</v>
      </c>
      <c r="G4885" s="140" t="s">
        <v>843</v>
      </c>
      <c r="H4885" s="140" t="s">
        <v>883</v>
      </c>
    </row>
    <row r="4886" spans="1:8" ht="15.75" customHeight="1">
      <c r="A4886" s="140" t="s">
        <v>90</v>
      </c>
      <c r="B4886" s="140" t="s">
        <v>21</v>
      </c>
      <c r="C4886" s="141" t="s">
        <v>449</v>
      </c>
      <c r="D4886" s="140" t="s">
        <v>450</v>
      </c>
      <c r="E4886" s="140">
        <v>5</v>
      </c>
      <c r="F4886" s="142">
        <v>45944.541666666672</v>
      </c>
      <c r="G4886" s="140" t="s">
        <v>845</v>
      </c>
      <c r="H4886" s="140" t="s">
        <v>883</v>
      </c>
    </row>
    <row r="4887" spans="1:8" ht="15.75" customHeight="1">
      <c r="A4887" s="140" t="s">
        <v>90</v>
      </c>
      <c r="B4887" s="140" t="s">
        <v>21</v>
      </c>
      <c r="C4887" s="141" t="s">
        <v>449</v>
      </c>
      <c r="D4887" s="140" t="s">
        <v>450</v>
      </c>
      <c r="E4887" s="140">
        <v>6</v>
      </c>
      <c r="F4887" s="142">
        <v>45958.541666666672</v>
      </c>
      <c r="G4887" s="140" t="s">
        <v>845</v>
      </c>
      <c r="H4887" s="140" t="s">
        <v>883</v>
      </c>
    </row>
    <row r="4888" spans="1:8" ht="15.75" customHeight="1">
      <c r="A4888" s="140" t="s">
        <v>90</v>
      </c>
      <c r="B4888" s="140" t="s">
        <v>21</v>
      </c>
      <c r="C4888" s="141" t="s">
        <v>449</v>
      </c>
      <c r="D4888" s="140" t="s">
        <v>450</v>
      </c>
      <c r="E4888" s="140">
        <v>7</v>
      </c>
      <c r="F4888" s="142">
        <v>45965.583333333328</v>
      </c>
      <c r="G4888" s="140" t="s">
        <v>843</v>
      </c>
      <c r="H4888" s="140" t="s">
        <v>883</v>
      </c>
    </row>
    <row r="4889" spans="1:8" ht="15.75" customHeight="1">
      <c r="A4889" s="140" t="s">
        <v>90</v>
      </c>
      <c r="B4889" s="140" t="s">
        <v>21</v>
      </c>
      <c r="C4889" s="141" t="s">
        <v>449</v>
      </c>
      <c r="D4889" s="140" t="s">
        <v>450</v>
      </c>
      <c r="E4889" s="140">
        <v>8</v>
      </c>
      <c r="F4889" s="142">
        <v>45979.583333333328</v>
      </c>
      <c r="G4889" s="140" t="s">
        <v>843</v>
      </c>
      <c r="H4889" s="140" t="s">
        <v>883</v>
      </c>
    </row>
    <row r="4890" spans="1:8" ht="15.75" customHeight="1">
      <c r="A4890" s="140" t="s">
        <v>90</v>
      </c>
      <c r="B4890" s="140" t="s">
        <v>21</v>
      </c>
      <c r="C4890" s="141" t="s">
        <v>455</v>
      </c>
      <c r="D4890" s="140" t="s">
        <v>456</v>
      </c>
      <c r="E4890" s="140">
        <v>1</v>
      </c>
      <c r="F4890" s="142">
        <v>45917.583333333328</v>
      </c>
      <c r="G4890" s="140" t="s">
        <v>843</v>
      </c>
      <c r="H4890" s="140" t="s">
        <v>883</v>
      </c>
    </row>
    <row r="4891" spans="1:8" ht="15.75" customHeight="1">
      <c r="A4891" s="140" t="s">
        <v>90</v>
      </c>
      <c r="B4891" s="140" t="s">
        <v>21</v>
      </c>
      <c r="C4891" s="141" t="s">
        <v>455</v>
      </c>
      <c r="D4891" s="140" t="s">
        <v>456</v>
      </c>
      <c r="E4891" s="140">
        <v>2</v>
      </c>
      <c r="F4891" s="142">
        <v>45923.541666666672</v>
      </c>
      <c r="G4891" s="140" t="s">
        <v>845</v>
      </c>
      <c r="H4891" s="140" t="s">
        <v>883</v>
      </c>
    </row>
    <row r="4892" spans="1:8" ht="15.75" customHeight="1">
      <c r="A4892" s="140" t="s">
        <v>90</v>
      </c>
      <c r="B4892" s="140" t="s">
        <v>21</v>
      </c>
      <c r="C4892" s="141" t="s">
        <v>455</v>
      </c>
      <c r="D4892" s="140" t="s">
        <v>456</v>
      </c>
      <c r="E4892" s="140">
        <v>3</v>
      </c>
      <c r="F4892" s="142">
        <v>45930.541666666672</v>
      </c>
      <c r="G4892" s="140" t="s">
        <v>843</v>
      </c>
      <c r="H4892" s="140" t="s">
        <v>883</v>
      </c>
    </row>
    <row r="4893" spans="1:8" ht="15.75" customHeight="1">
      <c r="A4893" s="140" t="s">
        <v>90</v>
      </c>
      <c r="B4893" s="140" t="s">
        <v>21</v>
      </c>
      <c r="C4893" s="141" t="s">
        <v>455</v>
      </c>
      <c r="D4893" s="140" t="s">
        <v>456</v>
      </c>
      <c r="E4893" s="140">
        <v>4</v>
      </c>
      <c r="F4893" s="142">
        <v>45937.541666666672</v>
      </c>
      <c r="G4893" s="140" t="s">
        <v>845</v>
      </c>
      <c r="H4893" s="140" t="s">
        <v>883</v>
      </c>
    </row>
    <row r="4894" spans="1:8" ht="15.75" customHeight="1">
      <c r="A4894" s="140" t="s">
        <v>90</v>
      </c>
      <c r="B4894" s="140" t="s">
        <v>21</v>
      </c>
      <c r="C4894" s="141" t="s">
        <v>455</v>
      </c>
      <c r="D4894" s="140" t="s">
        <v>456</v>
      </c>
      <c r="E4894" s="140">
        <v>5</v>
      </c>
      <c r="F4894" s="142">
        <v>45944.541666666672</v>
      </c>
      <c r="G4894" s="140" t="s">
        <v>845</v>
      </c>
      <c r="H4894" s="140" t="s">
        <v>883</v>
      </c>
    </row>
    <row r="4895" spans="1:8" ht="15.75" customHeight="1">
      <c r="A4895" s="140" t="s">
        <v>90</v>
      </c>
      <c r="B4895" s="140" t="s">
        <v>21</v>
      </c>
      <c r="C4895" s="141" t="s">
        <v>455</v>
      </c>
      <c r="D4895" s="140" t="s">
        <v>456</v>
      </c>
      <c r="E4895" s="140">
        <v>6</v>
      </c>
      <c r="F4895" s="142">
        <v>45958.541666666672</v>
      </c>
      <c r="G4895" s="140" t="s">
        <v>843</v>
      </c>
      <c r="H4895" s="140" t="s">
        <v>883</v>
      </c>
    </row>
    <row r="4896" spans="1:8" ht="15.75" customHeight="1">
      <c r="A4896" s="140" t="s">
        <v>90</v>
      </c>
      <c r="B4896" s="140" t="s">
        <v>21</v>
      </c>
      <c r="C4896" s="141" t="s">
        <v>455</v>
      </c>
      <c r="D4896" s="140" t="s">
        <v>456</v>
      </c>
      <c r="E4896" s="140">
        <v>7</v>
      </c>
      <c r="F4896" s="142">
        <v>45965.583333333328</v>
      </c>
      <c r="G4896" s="140" t="s">
        <v>843</v>
      </c>
      <c r="H4896" s="140" t="s">
        <v>883</v>
      </c>
    </row>
    <row r="4897" spans="1:8" ht="15.75" customHeight="1">
      <c r="A4897" s="140" t="s">
        <v>90</v>
      </c>
      <c r="B4897" s="140" t="s">
        <v>21</v>
      </c>
      <c r="C4897" s="141" t="s">
        <v>455</v>
      </c>
      <c r="D4897" s="140" t="s">
        <v>456</v>
      </c>
      <c r="E4897" s="140">
        <v>8</v>
      </c>
      <c r="F4897" s="142">
        <v>45979.583333333328</v>
      </c>
      <c r="G4897" s="140" t="s">
        <v>843</v>
      </c>
      <c r="H4897" s="140" t="s">
        <v>883</v>
      </c>
    </row>
    <row r="4898" spans="1:8" ht="15.75" customHeight="1">
      <c r="A4898" s="140" t="s">
        <v>90</v>
      </c>
      <c r="B4898" s="140" t="s">
        <v>21</v>
      </c>
      <c r="C4898" s="141" t="s">
        <v>490</v>
      </c>
      <c r="D4898" s="140" t="s">
        <v>491</v>
      </c>
      <c r="E4898" s="140">
        <v>1</v>
      </c>
      <c r="F4898" s="142">
        <v>45917.583333333328</v>
      </c>
      <c r="G4898" s="140" t="s">
        <v>845</v>
      </c>
      <c r="H4898" s="140" t="s">
        <v>883</v>
      </c>
    </row>
    <row r="4899" spans="1:8" ht="15.75" customHeight="1">
      <c r="A4899" s="140" t="s">
        <v>90</v>
      </c>
      <c r="B4899" s="140" t="s">
        <v>21</v>
      </c>
      <c r="C4899" s="141" t="s">
        <v>490</v>
      </c>
      <c r="D4899" s="140" t="s">
        <v>491</v>
      </c>
      <c r="E4899" s="140">
        <v>2</v>
      </c>
      <c r="F4899" s="142">
        <v>45923.541666666672</v>
      </c>
      <c r="G4899" s="140" t="s">
        <v>845</v>
      </c>
      <c r="H4899" s="140" t="s">
        <v>883</v>
      </c>
    </row>
    <row r="4900" spans="1:8" ht="15.75" customHeight="1">
      <c r="A4900" s="140" t="s">
        <v>90</v>
      </c>
      <c r="B4900" s="140" t="s">
        <v>21</v>
      </c>
      <c r="C4900" s="141" t="s">
        <v>490</v>
      </c>
      <c r="D4900" s="140" t="s">
        <v>491</v>
      </c>
      <c r="E4900" s="140">
        <v>3</v>
      </c>
      <c r="F4900" s="142">
        <v>45930.541666666672</v>
      </c>
      <c r="G4900" s="140" t="s">
        <v>845</v>
      </c>
      <c r="H4900" s="140" t="s">
        <v>883</v>
      </c>
    </row>
    <row r="4901" spans="1:8" ht="15.75" customHeight="1">
      <c r="A4901" s="140" t="s">
        <v>90</v>
      </c>
      <c r="B4901" s="140" t="s">
        <v>21</v>
      </c>
      <c r="C4901" s="141" t="s">
        <v>490</v>
      </c>
      <c r="D4901" s="140" t="s">
        <v>491</v>
      </c>
      <c r="E4901" s="140">
        <v>4</v>
      </c>
      <c r="F4901" s="142">
        <v>45937.541666666672</v>
      </c>
      <c r="G4901" s="140" t="s">
        <v>845</v>
      </c>
      <c r="H4901" s="140" t="s">
        <v>883</v>
      </c>
    </row>
    <row r="4902" spans="1:8" ht="15.75" customHeight="1">
      <c r="A4902" s="140" t="s">
        <v>90</v>
      </c>
      <c r="B4902" s="140" t="s">
        <v>21</v>
      </c>
      <c r="C4902" s="141" t="s">
        <v>490</v>
      </c>
      <c r="D4902" s="140" t="s">
        <v>491</v>
      </c>
      <c r="E4902" s="140">
        <v>5</v>
      </c>
      <c r="F4902" s="142">
        <v>45944.541666666672</v>
      </c>
      <c r="G4902" s="140" t="s">
        <v>845</v>
      </c>
      <c r="H4902" s="140" t="s">
        <v>883</v>
      </c>
    </row>
    <row r="4903" spans="1:8" ht="15.75" customHeight="1">
      <c r="A4903" s="140" t="s">
        <v>90</v>
      </c>
      <c r="B4903" s="140" t="s">
        <v>21</v>
      </c>
      <c r="C4903" s="141" t="s">
        <v>490</v>
      </c>
      <c r="D4903" s="140" t="s">
        <v>491</v>
      </c>
      <c r="E4903" s="140">
        <v>6</v>
      </c>
      <c r="F4903" s="142">
        <v>45958.541666666672</v>
      </c>
      <c r="G4903" s="140" t="s">
        <v>845</v>
      </c>
      <c r="H4903" s="140" t="s">
        <v>883</v>
      </c>
    </row>
    <row r="4904" spans="1:8" ht="15.75" customHeight="1">
      <c r="A4904" s="140" t="s">
        <v>90</v>
      </c>
      <c r="B4904" s="140" t="s">
        <v>21</v>
      </c>
      <c r="C4904" s="141" t="s">
        <v>490</v>
      </c>
      <c r="D4904" s="140" t="s">
        <v>491</v>
      </c>
      <c r="E4904" s="140">
        <v>7</v>
      </c>
      <c r="F4904" s="142">
        <v>45965.583333333328</v>
      </c>
      <c r="G4904" s="140" t="s">
        <v>845</v>
      </c>
      <c r="H4904" s="140" t="s">
        <v>883</v>
      </c>
    </row>
    <row r="4905" spans="1:8" ht="15.75" customHeight="1">
      <c r="A4905" s="140" t="s">
        <v>90</v>
      </c>
      <c r="B4905" s="140" t="s">
        <v>21</v>
      </c>
      <c r="C4905" s="141" t="s">
        <v>490</v>
      </c>
      <c r="D4905" s="140" t="s">
        <v>491</v>
      </c>
      <c r="E4905" s="140">
        <v>8</v>
      </c>
      <c r="F4905" s="142">
        <v>45979.583333333328</v>
      </c>
      <c r="G4905" s="140" t="s">
        <v>845</v>
      </c>
      <c r="H4905" s="140" t="s">
        <v>883</v>
      </c>
    </row>
    <row r="4906" spans="1:8" ht="15.75" customHeight="1">
      <c r="A4906" s="140" t="s">
        <v>90</v>
      </c>
      <c r="B4906" s="140" t="s">
        <v>21</v>
      </c>
      <c r="C4906" s="141" t="s">
        <v>500</v>
      </c>
      <c r="D4906" s="140" t="s">
        <v>501</v>
      </c>
      <c r="E4906" s="140">
        <v>1</v>
      </c>
      <c r="F4906" s="142">
        <v>45917.583333333328</v>
      </c>
      <c r="G4906" s="140" t="s">
        <v>843</v>
      </c>
      <c r="H4906" s="140" t="s">
        <v>883</v>
      </c>
    </row>
    <row r="4907" spans="1:8" ht="15.75" customHeight="1">
      <c r="A4907" s="140" t="s">
        <v>90</v>
      </c>
      <c r="B4907" s="140" t="s">
        <v>21</v>
      </c>
      <c r="C4907" s="141" t="s">
        <v>500</v>
      </c>
      <c r="D4907" s="140" t="s">
        <v>501</v>
      </c>
      <c r="E4907" s="140">
        <v>2</v>
      </c>
      <c r="F4907" s="142">
        <v>45923.541666666672</v>
      </c>
      <c r="G4907" s="140" t="s">
        <v>843</v>
      </c>
      <c r="H4907" s="140" t="s">
        <v>883</v>
      </c>
    </row>
    <row r="4908" spans="1:8" ht="15.75" customHeight="1">
      <c r="A4908" s="140" t="s">
        <v>90</v>
      </c>
      <c r="B4908" s="140" t="s">
        <v>21</v>
      </c>
      <c r="C4908" s="141" t="s">
        <v>500</v>
      </c>
      <c r="D4908" s="140" t="s">
        <v>501</v>
      </c>
      <c r="E4908" s="140">
        <v>3</v>
      </c>
      <c r="F4908" s="142">
        <v>45930.541666666672</v>
      </c>
      <c r="G4908" s="140" t="s">
        <v>843</v>
      </c>
      <c r="H4908" s="140" t="s">
        <v>883</v>
      </c>
    </row>
    <row r="4909" spans="1:8" ht="15.75" customHeight="1">
      <c r="A4909" s="140" t="s">
        <v>90</v>
      </c>
      <c r="B4909" s="140" t="s">
        <v>21</v>
      </c>
      <c r="C4909" s="141" t="s">
        <v>500</v>
      </c>
      <c r="D4909" s="140" t="s">
        <v>501</v>
      </c>
      <c r="E4909" s="140">
        <v>4</v>
      </c>
      <c r="F4909" s="142">
        <v>45937.541666666672</v>
      </c>
      <c r="G4909" s="140" t="s">
        <v>843</v>
      </c>
      <c r="H4909" s="140" t="s">
        <v>883</v>
      </c>
    </row>
    <row r="4910" spans="1:8" ht="15.75" customHeight="1">
      <c r="A4910" s="140" t="s">
        <v>90</v>
      </c>
      <c r="B4910" s="140" t="s">
        <v>21</v>
      </c>
      <c r="C4910" s="141" t="s">
        <v>500</v>
      </c>
      <c r="D4910" s="140" t="s">
        <v>501</v>
      </c>
      <c r="E4910" s="140">
        <v>5</v>
      </c>
      <c r="F4910" s="142">
        <v>45944.541666666672</v>
      </c>
      <c r="G4910" s="140" t="s">
        <v>843</v>
      </c>
      <c r="H4910" s="140" t="s">
        <v>883</v>
      </c>
    </row>
    <row r="4911" spans="1:8" ht="15.75" customHeight="1">
      <c r="A4911" s="140" t="s">
        <v>90</v>
      </c>
      <c r="B4911" s="140" t="s">
        <v>21</v>
      </c>
      <c r="C4911" s="141" t="s">
        <v>500</v>
      </c>
      <c r="D4911" s="140" t="s">
        <v>501</v>
      </c>
      <c r="E4911" s="140">
        <v>6</v>
      </c>
      <c r="F4911" s="142">
        <v>45958.541666666672</v>
      </c>
      <c r="G4911" s="140" t="s">
        <v>843</v>
      </c>
      <c r="H4911" s="140" t="s">
        <v>883</v>
      </c>
    </row>
    <row r="4912" spans="1:8" ht="15.75" customHeight="1">
      <c r="A4912" s="140" t="s">
        <v>90</v>
      </c>
      <c r="B4912" s="140" t="s">
        <v>21</v>
      </c>
      <c r="C4912" s="141" t="s">
        <v>500</v>
      </c>
      <c r="D4912" s="140" t="s">
        <v>501</v>
      </c>
      <c r="E4912" s="140">
        <v>7</v>
      </c>
      <c r="F4912" s="142">
        <v>45965.583333333328</v>
      </c>
      <c r="G4912" s="140" t="s">
        <v>843</v>
      </c>
      <c r="H4912" s="140" t="s">
        <v>883</v>
      </c>
    </row>
    <row r="4913" spans="1:8" ht="15.75" customHeight="1">
      <c r="A4913" s="140" t="s">
        <v>90</v>
      </c>
      <c r="B4913" s="140" t="s">
        <v>21</v>
      </c>
      <c r="C4913" s="141" t="s">
        <v>500</v>
      </c>
      <c r="D4913" s="140" t="s">
        <v>501</v>
      </c>
      <c r="E4913" s="140">
        <v>8</v>
      </c>
      <c r="F4913" s="142">
        <v>45979.583333333328</v>
      </c>
      <c r="G4913" s="140" t="s">
        <v>843</v>
      </c>
      <c r="H4913" s="140" t="s">
        <v>883</v>
      </c>
    </row>
    <row r="4914" spans="1:8" ht="15.75" customHeight="1">
      <c r="A4914" s="140" t="s">
        <v>90</v>
      </c>
      <c r="B4914" s="140" t="s">
        <v>21</v>
      </c>
      <c r="C4914" s="141" t="s">
        <v>551</v>
      </c>
      <c r="D4914" s="140" t="s">
        <v>552</v>
      </c>
      <c r="E4914" s="140">
        <v>1</v>
      </c>
      <c r="F4914" s="142">
        <v>45917.583333333328</v>
      </c>
      <c r="G4914" s="140" t="s">
        <v>845</v>
      </c>
      <c r="H4914" s="140" t="s">
        <v>883</v>
      </c>
    </row>
    <row r="4915" spans="1:8" ht="15.75" customHeight="1">
      <c r="A4915" s="140" t="s">
        <v>90</v>
      </c>
      <c r="B4915" s="140" t="s">
        <v>21</v>
      </c>
      <c r="C4915" s="141" t="s">
        <v>551</v>
      </c>
      <c r="D4915" s="140" t="s">
        <v>552</v>
      </c>
      <c r="E4915" s="140">
        <v>2</v>
      </c>
      <c r="F4915" s="142">
        <v>45923.541666666672</v>
      </c>
      <c r="G4915" s="140" t="s">
        <v>845</v>
      </c>
      <c r="H4915" s="140" t="s">
        <v>883</v>
      </c>
    </row>
    <row r="4916" spans="1:8" ht="15.75" customHeight="1">
      <c r="A4916" s="140" t="s">
        <v>90</v>
      </c>
      <c r="B4916" s="140" t="s">
        <v>21</v>
      </c>
      <c r="C4916" s="141" t="s">
        <v>551</v>
      </c>
      <c r="D4916" s="140" t="s">
        <v>552</v>
      </c>
      <c r="E4916" s="140">
        <v>3</v>
      </c>
      <c r="F4916" s="142">
        <v>45930.541666666672</v>
      </c>
      <c r="G4916" s="140" t="s">
        <v>845</v>
      </c>
      <c r="H4916" s="140" t="s">
        <v>883</v>
      </c>
    </row>
    <row r="4917" spans="1:8" ht="15.75" customHeight="1">
      <c r="A4917" s="140" t="s">
        <v>90</v>
      </c>
      <c r="B4917" s="140" t="s">
        <v>21</v>
      </c>
      <c r="C4917" s="141" t="s">
        <v>551</v>
      </c>
      <c r="D4917" s="140" t="s">
        <v>552</v>
      </c>
      <c r="E4917" s="140">
        <v>4</v>
      </c>
      <c r="F4917" s="142">
        <v>45937.541666666672</v>
      </c>
      <c r="G4917" s="140" t="s">
        <v>845</v>
      </c>
      <c r="H4917" s="140" t="s">
        <v>883</v>
      </c>
    </row>
    <row r="4918" spans="1:8" ht="15.75" customHeight="1">
      <c r="A4918" s="140" t="s">
        <v>90</v>
      </c>
      <c r="B4918" s="140" t="s">
        <v>21</v>
      </c>
      <c r="C4918" s="141" t="s">
        <v>551</v>
      </c>
      <c r="D4918" s="140" t="s">
        <v>552</v>
      </c>
      <c r="E4918" s="140">
        <v>5</v>
      </c>
      <c r="F4918" s="142">
        <v>45944.541666666672</v>
      </c>
      <c r="G4918" s="140" t="s">
        <v>843</v>
      </c>
      <c r="H4918" s="140" t="s">
        <v>883</v>
      </c>
    </row>
    <row r="4919" spans="1:8" ht="15.75" customHeight="1">
      <c r="A4919" s="140" t="s">
        <v>90</v>
      </c>
      <c r="B4919" s="140" t="s">
        <v>21</v>
      </c>
      <c r="C4919" s="141" t="s">
        <v>551</v>
      </c>
      <c r="D4919" s="140" t="s">
        <v>552</v>
      </c>
      <c r="E4919" s="140">
        <v>6</v>
      </c>
      <c r="F4919" s="142">
        <v>45958.541666666672</v>
      </c>
      <c r="G4919" s="140" t="s">
        <v>845</v>
      </c>
      <c r="H4919" s="140" t="s">
        <v>883</v>
      </c>
    </row>
    <row r="4920" spans="1:8" ht="15.75" customHeight="1">
      <c r="A4920" s="140" t="s">
        <v>90</v>
      </c>
      <c r="B4920" s="140" t="s">
        <v>21</v>
      </c>
      <c r="C4920" s="141" t="s">
        <v>551</v>
      </c>
      <c r="D4920" s="140" t="s">
        <v>552</v>
      </c>
      <c r="E4920" s="140">
        <v>7</v>
      </c>
      <c r="F4920" s="142">
        <v>45965.583333333328</v>
      </c>
      <c r="G4920" s="140" t="s">
        <v>845</v>
      </c>
      <c r="H4920" s="140" t="s">
        <v>883</v>
      </c>
    </row>
    <row r="4921" spans="1:8" ht="15.75" customHeight="1">
      <c r="A4921" s="140" t="s">
        <v>90</v>
      </c>
      <c r="B4921" s="140" t="s">
        <v>21</v>
      </c>
      <c r="C4921" s="141" t="s">
        <v>551</v>
      </c>
      <c r="D4921" s="140" t="s">
        <v>552</v>
      </c>
      <c r="E4921" s="140">
        <v>8</v>
      </c>
      <c r="F4921" s="142">
        <v>45979.583333333328</v>
      </c>
      <c r="G4921" s="140" t="s">
        <v>845</v>
      </c>
      <c r="H4921" s="140" t="s">
        <v>883</v>
      </c>
    </row>
    <row r="4922" spans="1:8" ht="15.75" customHeight="1">
      <c r="A4922" s="140" t="s">
        <v>91</v>
      </c>
      <c r="B4922" s="140" t="s">
        <v>21</v>
      </c>
      <c r="C4922" s="141" t="s">
        <v>206</v>
      </c>
      <c r="D4922" s="140" t="s">
        <v>207</v>
      </c>
      <c r="E4922" s="140">
        <v>1</v>
      </c>
      <c r="F4922" s="142">
        <v>45909.541666666672</v>
      </c>
      <c r="G4922" s="140" t="s">
        <v>845</v>
      </c>
      <c r="H4922" s="140" t="s">
        <v>884</v>
      </c>
    </row>
    <row r="4923" spans="1:8" ht="15.75" customHeight="1">
      <c r="A4923" s="140" t="s">
        <v>91</v>
      </c>
      <c r="B4923" s="140" t="s">
        <v>21</v>
      </c>
      <c r="C4923" s="141" t="s">
        <v>206</v>
      </c>
      <c r="D4923" s="140" t="s">
        <v>207</v>
      </c>
      <c r="E4923" s="140">
        <v>3</v>
      </c>
      <c r="F4923" s="142">
        <v>45912.625</v>
      </c>
      <c r="G4923" s="140" t="s">
        <v>845</v>
      </c>
      <c r="H4923" s="140" t="s">
        <v>884</v>
      </c>
    </row>
    <row r="4924" spans="1:8" ht="15.75" customHeight="1">
      <c r="A4924" s="140" t="s">
        <v>91</v>
      </c>
      <c r="B4924" s="140" t="s">
        <v>21</v>
      </c>
      <c r="C4924" s="141" t="s">
        <v>206</v>
      </c>
      <c r="D4924" s="140" t="s">
        <v>207</v>
      </c>
      <c r="E4924" s="140">
        <v>4</v>
      </c>
      <c r="F4924" s="142">
        <v>45916.583333333328</v>
      </c>
      <c r="G4924" s="140" t="s">
        <v>845</v>
      </c>
      <c r="H4924" s="140" t="s">
        <v>884</v>
      </c>
    </row>
    <row r="4925" spans="1:8" ht="15.75" customHeight="1">
      <c r="A4925" s="140" t="s">
        <v>91</v>
      </c>
      <c r="B4925" s="140" t="s">
        <v>21</v>
      </c>
      <c r="C4925" s="141" t="s">
        <v>206</v>
      </c>
      <c r="D4925" s="140" t="s">
        <v>207</v>
      </c>
      <c r="E4925" s="140">
        <v>5</v>
      </c>
      <c r="F4925" s="142">
        <v>45925.375</v>
      </c>
      <c r="G4925" s="140" t="s">
        <v>845</v>
      </c>
      <c r="H4925" s="140" t="s">
        <v>884</v>
      </c>
    </row>
    <row r="4926" spans="1:8" ht="15.75" customHeight="1">
      <c r="A4926" s="140" t="s">
        <v>91</v>
      </c>
      <c r="B4926" s="140" t="s">
        <v>21</v>
      </c>
      <c r="C4926" s="141" t="s">
        <v>206</v>
      </c>
      <c r="D4926" s="140" t="s">
        <v>207</v>
      </c>
      <c r="E4926" s="140">
        <v>6</v>
      </c>
      <c r="F4926" s="142">
        <v>45932.541666666672</v>
      </c>
      <c r="G4926" s="140" t="s">
        <v>845</v>
      </c>
      <c r="H4926" s="140" t="s">
        <v>884</v>
      </c>
    </row>
    <row r="4927" spans="1:8" ht="15.75" customHeight="1">
      <c r="A4927" s="140" t="s">
        <v>91</v>
      </c>
      <c r="B4927" s="140" t="s">
        <v>21</v>
      </c>
      <c r="C4927" s="141" t="s">
        <v>206</v>
      </c>
      <c r="D4927" s="140" t="s">
        <v>207</v>
      </c>
      <c r="E4927" s="140">
        <v>7</v>
      </c>
      <c r="F4927" s="142">
        <v>45939.541666666672</v>
      </c>
      <c r="G4927" s="140" t="s">
        <v>845</v>
      </c>
      <c r="H4927" s="140" t="s">
        <v>884</v>
      </c>
    </row>
    <row r="4928" spans="1:8" ht="15.75" customHeight="1">
      <c r="A4928" s="140" t="s">
        <v>91</v>
      </c>
      <c r="B4928" s="140" t="s">
        <v>21</v>
      </c>
      <c r="C4928" s="141" t="s">
        <v>206</v>
      </c>
      <c r="D4928" s="140" t="s">
        <v>207</v>
      </c>
      <c r="E4928" s="140">
        <v>8</v>
      </c>
      <c r="F4928" s="142">
        <v>45946.541666666672</v>
      </c>
      <c r="G4928" s="140" t="s">
        <v>845</v>
      </c>
      <c r="H4928" s="140" t="s">
        <v>884</v>
      </c>
    </row>
    <row r="4929" spans="1:8" ht="15.75" customHeight="1">
      <c r="A4929" s="140" t="s">
        <v>91</v>
      </c>
      <c r="B4929" s="140" t="s">
        <v>21</v>
      </c>
      <c r="C4929" s="141" t="s">
        <v>206</v>
      </c>
      <c r="D4929" s="140" t="s">
        <v>207</v>
      </c>
      <c r="E4929" s="140">
        <v>9</v>
      </c>
      <c r="F4929" s="142">
        <v>45952.541666666672</v>
      </c>
      <c r="G4929" s="140" t="s">
        <v>845</v>
      </c>
      <c r="H4929" s="140" t="s">
        <v>884</v>
      </c>
    </row>
    <row r="4930" spans="1:8" ht="15.75" customHeight="1">
      <c r="A4930" s="140" t="s">
        <v>91</v>
      </c>
      <c r="B4930" s="140" t="s">
        <v>21</v>
      </c>
      <c r="C4930" s="141" t="s">
        <v>206</v>
      </c>
      <c r="D4930" s="140" t="s">
        <v>207</v>
      </c>
      <c r="E4930" s="140">
        <v>10</v>
      </c>
      <c r="F4930" s="142">
        <v>45959.541666666672</v>
      </c>
      <c r="G4930" s="140" t="s">
        <v>845</v>
      </c>
      <c r="H4930" s="140" t="s">
        <v>884</v>
      </c>
    </row>
    <row r="4931" spans="1:8" ht="15.75" customHeight="1">
      <c r="A4931" s="140" t="s">
        <v>91</v>
      </c>
      <c r="B4931" s="140" t="s">
        <v>21</v>
      </c>
      <c r="C4931" s="141" t="s">
        <v>206</v>
      </c>
      <c r="D4931" s="140" t="s">
        <v>207</v>
      </c>
      <c r="E4931" s="140">
        <v>11</v>
      </c>
      <c r="F4931" s="142">
        <v>45964.541666666672</v>
      </c>
      <c r="G4931" s="140" t="s">
        <v>845</v>
      </c>
      <c r="H4931" s="140" t="s">
        <v>884</v>
      </c>
    </row>
    <row r="4932" spans="1:8" ht="15.75" customHeight="1">
      <c r="A4932" s="140" t="s">
        <v>91</v>
      </c>
      <c r="B4932" s="140" t="s">
        <v>21</v>
      </c>
      <c r="C4932" s="141" t="s">
        <v>206</v>
      </c>
      <c r="D4932" s="140" t="s">
        <v>207</v>
      </c>
      <c r="E4932" s="140">
        <v>12</v>
      </c>
      <c r="F4932" s="142">
        <v>45979.541666666672</v>
      </c>
      <c r="G4932" s="140" t="s">
        <v>845</v>
      </c>
      <c r="H4932" s="140" t="s">
        <v>884</v>
      </c>
    </row>
    <row r="4933" spans="1:8" ht="15.75" customHeight="1">
      <c r="A4933" s="140" t="s">
        <v>91</v>
      </c>
      <c r="B4933" s="140" t="s">
        <v>21</v>
      </c>
      <c r="C4933" s="141" t="s">
        <v>206</v>
      </c>
      <c r="D4933" s="140" t="s">
        <v>207</v>
      </c>
      <c r="E4933" s="140">
        <v>13</v>
      </c>
      <c r="F4933" s="142">
        <v>45988.541666666672</v>
      </c>
      <c r="G4933" s="140" t="s">
        <v>845</v>
      </c>
      <c r="H4933" s="140" t="s">
        <v>884</v>
      </c>
    </row>
    <row r="4934" spans="1:8" ht="15.75" customHeight="1">
      <c r="A4934" s="140" t="s">
        <v>91</v>
      </c>
      <c r="B4934" s="140" t="s">
        <v>21</v>
      </c>
      <c r="C4934" s="141" t="s">
        <v>206</v>
      </c>
      <c r="D4934" s="140" t="s">
        <v>207</v>
      </c>
      <c r="E4934" s="140">
        <v>14</v>
      </c>
      <c r="F4934" s="142">
        <v>45995.541666666672</v>
      </c>
      <c r="G4934" s="140" t="s">
        <v>843</v>
      </c>
      <c r="H4934" s="140" t="s">
        <v>884</v>
      </c>
    </row>
    <row r="4935" spans="1:8" ht="15.75" customHeight="1">
      <c r="A4935" s="140" t="s">
        <v>91</v>
      </c>
      <c r="B4935" s="140" t="s">
        <v>21</v>
      </c>
      <c r="C4935" s="141" t="s">
        <v>206</v>
      </c>
      <c r="D4935" s="140" t="s">
        <v>207</v>
      </c>
      <c r="E4935" s="140">
        <v>15</v>
      </c>
      <c r="F4935" s="142">
        <v>46000.541666666672</v>
      </c>
      <c r="G4935" s="140" t="s">
        <v>845</v>
      </c>
      <c r="H4935" s="140" t="s">
        <v>884</v>
      </c>
    </row>
    <row r="4936" spans="1:8" ht="15.75" customHeight="1">
      <c r="A4936" s="140" t="s">
        <v>91</v>
      </c>
      <c r="B4936" s="140" t="s">
        <v>21</v>
      </c>
      <c r="C4936" s="141" t="s">
        <v>206</v>
      </c>
      <c r="D4936" s="140" t="s">
        <v>207</v>
      </c>
      <c r="E4936" s="140">
        <v>16</v>
      </c>
      <c r="F4936" s="142">
        <v>46036.541666666672</v>
      </c>
      <c r="G4936" s="140" t="s">
        <v>845</v>
      </c>
      <c r="H4936" s="140" t="s">
        <v>884</v>
      </c>
    </row>
    <row r="4937" spans="1:8" ht="15.75" customHeight="1">
      <c r="A4937" s="140" t="s">
        <v>91</v>
      </c>
      <c r="B4937" s="140" t="s">
        <v>22</v>
      </c>
      <c r="C4937" s="141" t="s">
        <v>206</v>
      </c>
      <c r="D4937" s="140" t="s">
        <v>207</v>
      </c>
      <c r="E4937" s="140">
        <v>1</v>
      </c>
      <c r="F4937" s="142">
        <v>46093.541666666672</v>
      </c>
      <c r="G4937" s="140" t="s">
        <v>845</v>
      </c>
      <c r="H4937" s="140" t="s">
        <v>884</v>
      </c>
    </row>
    <row r="4938" spans="1:8" ht="15.75" customHeight="1">
      <c r="A4938" s="140" t="s">
        <v>91</v>
      </c>
      <c r="B4938" s="140" t="s">
        <v>22</v>
      </c>
      <c r="C4938" s="141" t="s">
        <v>206</v>
      </c>
      <c r="D4938" s="140" t="s">
        <v>207</v>
      </c>
      <c r="E4938" s="140">
        <v>2</v>
      </c>
      <c r="F4938" s="142">
        <v>46107.541666666672</v>
      </c>
      <c r="G4938" s="140" t="s">
        <v>845</v>
      </c>
      <c r="H4938" s="140" t="s">
        <v>884</v>
      </c>
    </row>
    <row r="4939" spans="1:8" ht="15.75" customHeight="1">
      <c r="A4939" s="140" t="s">
        <v>91</v>
      </c>
      <c r="B4939" s="140" t="s">
        <v>22</v>
      </c>
      <c r="C4939" s="141" t="s">
        <v>206</v>
      </c>
      <c r="D4939" s="140" t="s">
        <v>207</v>
      </c>
      <c r="E4939" s="140">
        <v>3</v>
      </c>
      <c r="F4939" s="142">
        <v>46128.541666666672</v>
      </c>
      <c r="G4939" s="140" t="s">
        <v>845</v>
      </c>
      <c r="H4939" s="140" t="s">
        <v>884</v>
      </c>
    </row>
    <row r="4940" spans="1:8" ht="15.75" customHeight="1">
      <c r="A4940" s="140" t="s">
        <v>91</v>
      </c>
      <c r="B4940" s="140" t="s">
        <v>22</v>
      </c>
      <c r="C4940" s="141" t="s">
        <v>206</v>
      </c>
      <c r="D4940" s="140" t="s">
        <v>207</v>
      </c>
      <c r="E4940" s="140">
        <v>4</v>
      </c>
      <c r="F4940" s="142">
        <v>46134.541666666672</v>
      </c>
      <c r="G4940" s="140" t="s">
        <v>845</v>
      </c>
      <c r="H4940" s="140" t="s">
        <v>884</v>
      </c>
    </row>
    <row r="4941" spans="1:8" ht="15.75" customHeight="1">
      <c r="A4941" s="140" t="s">
        <v>91</v>
      </c>
      <c r="B4941" s="140" t="s">
        <v>21</v>
      </c>
      <c r="C4941" s="141" t="s">
        <v>372</v>
      </c>
      <c r="D4941" s="140" t="s">
        <v>373</v>
      </c>
      <c r="E4941" s="140">
        <v>1</v>
      </c>
      <c r="F4941" s="142">
        <v>45909.541666666672</v>
      </c>
      <c r="G4941" s="140" t="s">
        <v>845</v>
      </c>
      <c r="H4941" s="140" t="s">
        <v>884</v>
      </c>
    </row>
    <row r="4942" spans="1:8" ht="15.75" customHeight="1">
      <c r="A4942" s="140" t="s">
        <v>91</v>
      </c>
      <c r="B4942" s="140" t="s">
        <v>21</v>
      </c>
      <c r="C4942" s="141" t="s">
        <v>372</v>
      </c>
      <c r="D4942" s="140" t="s">
        <v>373</v>
      </c>
      <c r="E4942" s="140">
        <v>3</v>
      </c>
      <c r="F4942" s="142">
        <v>45912.625</v>
      </c>
      <c r="G4942" s="140" t="s">
        <v>845</v>
      </c>
      <c r="H4942" s="140" t="s">
        <v>884</v>
      </c>
    </row>
    <row r="4943" spans="1:8" ht="15.75" customHeight="1">
      <c r="A4943" s="140" t="s">
        <v>91</v>
      </c>
      <c r="B4943" s="140" t="s">
        <v>21</v>
      </c>
      <c r="C4943" s="141" t="s">
        <v>372</v>
      </c>
      <c r="D4943" s="140" t="s">
        <v>373</v>
      </c>
      <c r="E4943" s="140">
        <v>4</v>
      </c>
      <c r="F4943" s="142">
        <v>45916.583333333328</v>
      </c>
      <c r="G4943" s="140" t="s">
        <v>845</v>
      </c>
      <c r="H4943" s="140" t="s">
        <v>884</v>
      </c>
    </row>
    <row r="4944" spans="1:8" ht="15.75" customHeight="1">
      <c r="A4944" s="140" t="s">
        <v>91</v>
      </c>
      <c r="B4944" s="140" t="s">
        <v>21</v>
      </c>
      <c r="C4944" s="141" t="s">
        <v>372</v>
      </c>
      <c r="D4944" s="140" t="s">
        <v>373</v>
      </c>
      <c r="E4944" s="140">
        <v>5</v>
      </c>
      <c r="F4944" s="142">
        <v>45925.375</v>
      </c>
      <c r="G4944" s="140" t="s">
        <v>845</v>
      </c>
      <c r="H4944" s="140" t="s">
        <v>884</v>
      </c>
    </row>
    <row r="4945" spans="1:8" ht="15.75" customHeight="1">
      <c r="A4945" s="140" t="s">
        <v>91</v>
      </c>
      <c r="B4945" s="140" t="s">
        <v>21</v>
      </c>
      <c r="C4945" s="141" t="s">
        <v>372</v>
      </c>
      <c r="D4945" s="140" t="s">
        <v>373</v>
      </c>
      <c r="E4945" s="140">
        <v>6</v>
      </c>
      <c r="F4945" s="142">
        <v>45932.541666666672</v>
      </c>
      <c r="G4945" s="140" t="s">
        <v>845</v>
      </c>
      <c r="H4945" s="140" t="s">
        <v>884</v>
      </c>
    </row>
    <row r="4946" spans="1:8" ht="15.75" customHeight="1">
      <c r="A4946" s="140" t="s">
        <v>91</v>
      </c>
      <c r="B4946" s="140" t="s">
        <v>21</v>
      </c>
      <c r="C4946" s="141" t="s">
        <v>372</v>
      </c>
      <c r="D4946" s="140" t="s">
        <v>373</v>
      </c>
      <c r="E4946" s="140">
        <v>7</v>
      </c>
      <c r="F4946" s="142">
        <v>45939.541666666672</v>
      </c>
      <c r="G4946" s="140" t="s">
        <v>845</v>
      </c>
      <c r="H4946" s="140" t="s">
        <v>884</v>
      </c>
    </row>
    <row r="4947" spans="1:8" ht="15.75" customHeight="1">
      <c r="A4947" s="140" t="s">
        <v>91</v>
      </c>
      <c r="B4947" s="140" t="s">
        <v>21</v>
      </c>
      <c r="C4947" s="141" t="s">
        <v>372</v>
      </c>
      <c r="D4947" s="140" t="s">
        <v>373</v>
      </c>
      <c r="E4947" s="140">
        <v>8</v>
      </c>
      <c r="F4947" s="142">
        <v>45946.541666666672</v>
      </c>
      <c r="G4947" s="140" t="s">
        <v>845</v>
      </c>
      <c r="H4947" s="140" t="s">
        <v>884</v>
      </c>
    </row>
    <row r="4948" spans="1:8" ht="15.75" customHeight="1">
      <c r="A4948" s="140" t="s">
        <v>91</v>
      </c>
      <c r="B4948" s="140" t="s">
        <v>21</v>
      </c>
      <c r="C4948" s="141" t="s">
        <v>372</v>
      </c>
      <c r="D4948" s="140" t="s">
        <v>373</v>
      </c>
      <c r="E4948" s="140">
        <v>9</v>
      </c>
      <c r="F4948" s="142">
        <v>45952.541666666672</v>
      </c>
      <c r="G4948" s="140" t="s">
        <v>845</v>
      </c>
      <c r="H4948" s="140" t="s">
        <v>884</v>
      </c>
    </row>
    <row r="4949" spans="1:8" ht="15.75" customHeight="1">
      <c r="A4949" s="140" t="s">
        <v>91</v>
      </c>
      <c r="B4949" s="140" t="s">
        <v>21</v>
      </c>
      <c r="C4949" s="141" t="s">
        <v>372</v>
      </c>
      <c r="D4949" s="140" t="s">
        <v>373</v>
      </c>
      <c r="E4949" s="140">
        <v>10</v>
      </c>
      <c r="F4949" s="142">
        <v>45959.541666666672</v>
      </c>
      <c r="G4949" s="140" t="s">
        <v>845</v>
      </c>
      <c r="H4949" s="140" t="s">
        <v>884</v>
      </c>
    </row>
    <row r="4950" spans="1:8" ht="15.75" customHeight="1">
      <c r="A4950" s="140" t="s">
        <v>91</v>
      </c>
      <c r="B4950" s="140" t="s">
        <v>21</v>
      </c>
      <c r="C4950" s="141" t="s">
        <v>372</v>
      </c>
      <c r="D4950" s="140" t="s">
        <v>373</v>
      </c>
      <c r="E4950" s="140">
        <v>11</v>
      </c>
      <c r="F4950" s="142">
        <v>45964.541666666672</v>
      </c>
      <c r="G4950" s="140" t="s">
        <v>845</v>
      </c>
      <c r="H4950" s="140" t="s">
        <v>884</v>
      </c>
    </row>
    <row r="4951" spans="1:8" ht="15.75" customHeight="1">
      <c r="A4951" s="140" t="s">
        <v>91</v>
      </c>
      <c r="B4951" s="140" t="s">
        <v>21</v>
      </c>
      <c r="C4951" s="141" t="s">
        <v>372</v>
      </c>
      <c r="D4951" s="140" t="s">
        <v>373</v>
      </c>
      <c r="E4951" s="140">
        <v>12</v>
      </c>
      <c r="F4951" s="142">
        <v>45979.541666666672</v>
      </c>
      <c r="G4951" s="140" t="s">
        <v>845</v>
      </c>
      <c r="H4951" s="140" t="s">
        <v>884</v>
      </c>
    </row>
    <row r="4952" spans="1:8" ht="15.75" customHeight="1">
      <c r="A4952" s="140" t="s">
        <v>91</v>
      </c>
      <c r="B4952" s="140" t="s">
        <v>21</v>
      </c>
      <c r="C4952" s="141" t="s">
        <v>372</v>
      </c>
      <c r="D4952" s="140" t="s">
        <v>373</v>
      </c>
      <c r="E4952" s="140">
        <v>13</v>
      </c>
      <c r="F4952" s="142">
        <v>45988.541666666672</v>
      </c>
      <c r="G4952" s="140" t="s">
        <v>843</v>
      </c>
      <c r="H4952" s="140" t="s">
        <v>884</v>
      </c>
    </row>
    <row r="4953" spans="1:8" ht="15.75" customHeight="1">
      <c r="A4953" s="140" t="s">
        <v>91</v>
      </c>
      <c r="B4953" s="140" t="s">
        <v>21</v>
      </c>
      <c r="C4953" s="141" t="s">
        <v>372</v>
      </c>
      <c r="D4953" s="140" t="s">
        <v>373</v>
      </c>
      <c r="E4953" s="140">
        <v>14</v>
      </c>
      <c r="F4953" s="142">
        <v>45995.541666666672</v>
      </c>
      <c r="G4953" s="140" t="s">
        <v>845</v>
      </c>
      <c r="H4953" s="140" t="s">
        <v>884</v>
      </c>
    </row>
    <row r="4954" spans="1:8" ht="15.75" customHeight="1">
      <c r="A4954" s="140" t="s">
        <v>91</v>
      </c>
      <c r="B4954" s="140" t="s">
        <v>21</v>
      </c>
      <c r="C4954" s="141" t="s">
        <v>372</v>
      </c>
      <c r="D4954" s="140" t="s">
        <v>373</v>
      </c>
      <c r="E4954" s="140">
        <v>15</v>
      </c>
      <c r="F4954" s="142">
        <v>46000.541666666672</v>
      </c>
      <c r="G4954" s="140" t="s">
        <v>845</v>
      </c>
      <c r="H4954" s="140" t="s">
        <v>884</v>
      </c>
    </row>
    <row r="4955" spans="1:8" ht="15.75" customHeight="1">
      <c r="A4955" s="140" t="s">
        <v>91</v>
      </c>
      <c r="B4955" s="140" t="s">
        <v>21</v>
      </c>
      <c r="C4955" s="141" t="s">
        <v>372</v>
      </c>
      <c r="D4955" s="140" t="s">
        <v>373</v>
      </c>
      <c r="E4955" s="140">
        <v>16</v>
      </c>
      <c r="F4955" s="142">
        <v>46036.541666666672</v>
      </c>
      <c r="G4955" s="140" t="s">
        <v>845</v>
      </c>
      <c r="H4955" s="140" t="s">
        <v>884</v>
      </c>
    </row>
    <row r="4956" spans="1:8" ht="15.75" customHeight="1">
      <c r="A4956" s="140" t="s">
        <v>91</v>
      </c>
      <c r="B4956" s="140" t="s">
        <v>22</v>
      </c>
      <c r="C4956" s="141" t="s">
        <v>372</v>
      </c>
      <c r="D4956" s="140" t="s">
        <v>373</v>
      </c>
      <c r="E4956" s="140">
        <v>1</v>
      </c>
      <c r="F4956" s="142">
        <v>46093.541666666672</v>
      </c>
      <c r="G4956" s="140" t="s">
        <v>845</v>
      </c>
      <c r="H4956" s="140" t="s">
        <v>884</v>
      </c>
    </row>
    <row r="4957" spans="1:8" ht="15.75" customHeight="1">
      <c r="A4957" s="140" t="s">
        <v>91</v>
      </c>
      <c r="B4957" s="140" t="s">
        <v>22</v>
      </c>
      <c r="C4957" s="141" t="s">
        <v>372</v>
      </c>
      <c r="D4957" s="140" t="s">
        <v>373</v>
      </c>
      <c r="E4957" s="140">
        <v>2</v>
      </c>
      <c r="F4957" s="142">
        <v>46107.541666666672</v>
      </c>
      <c r="G4957" s="140" t="s">
        <v>845</v>
      </c>
      <c r="H4957" s="140" t="s">
        <v>884</v>
      </c>
    </row>
    <row r="4958" spans="1:8" ht="15.75" customHeight="1">
      <c r="A4958" s="140" t="s">
        <v>91</v>
      </c>
      <c r="B4958" s="140" t="s">
        <v>22</v>
      </c>
      <c r="C4958" s="141" t="s">
        <v>372</v>
      </c>
      <c r="D4958" s="140" t="s">
        <v>373</v>
      </c>
      <c r="E4958" s="140">
        <v>3</v>
      </c>
      <c r="F4958" s="142">
        <v>46128.541666666672</v>
      </c>
      <c r="G4958" s="140" t="s">
        <v>845</v>
      </c>
      <c r="H4958" s="140" t="s">
        <v>884</v>
      </c>
    </row>
    <row r="4959" spans="1:8" ht="15.75" customHeight="1">
      <c r="A4959" s="140" t="s">
        <v>91</v>
      </c>
      <c r="B4959" s="140" t="s">
        <v>22</v>
      </c>
      <c r="C4959" s="141" t="s">
        <v>372</v>
      </c>
      <c r="D4959" s="140" t="s">
        <v>373</v>
      </c>
      <c r="E4959" s="140">
        <v>4</v>
      </c>
      <c r="F4959" s="142">
        <v>46134.541666666672</v>
      </c>
      <c r="G4959" s="140" t="s">
        <v>845</v>
      </c>
      <c r="H4959" s="140" t="s">
        <v>884</v>
      </c>
    </row>
    <row r="4960" spans="1:8" ht="15.75" customHeight="1">
      <c r="A4960" s="140" t="s">
        <v>91</v>
      </c>
      <c r="B4960" s="140" t="s">
        <v>21</v>
      </c>
      <c r="C4960" s="141" t="s">
        <v>419</v>
      </c>
      <c r="D4960" s="140" t="s">
        <v>420</v>
      </c>
      <c r="E4960" s="140">
        <v>1</v>
      </c>
      <c r="F4960" s="142">
        <v>45909.541666666672</v>
      </c>
      <c r="G4960" s="140" t="s">
        <v>845</v>
      </c>
      <c r="H4960" s="140" t="s">
        <v>884</v>
      </c>
    </row>
    <row r="4961" spans="1:8" ht="15.75" customHeight="1">
      <c r="A4961" s="140" t="s">
        <v>91</v>
      </c>
      <c r="B4961" s="140" t="s">
        <v>21</v>
      </c>
      <c r="C4961" s="141" t="s">
        <v>419</v>
      </c>
      <c r="D4961" s="140" t="s">
        <v>420</v>
      </c>
      <c r="E4961" s="140">
        <v>3</v>
      </c>
      <c r="F4961" s="142">
        <v>45912.625</v>
      </c>
      <c r="G4961" s="140" t="s">
        <v>843</v>
      </c>
      <c r="H4961" s="140" t="s">
        <v>884</v>
      </c>
    </row>
    <row r="4962" spans="1:8" ht="15.75" customHeight="1">
      <c r="A4962" s="140" t="s">
        <v>91</v>
      </c>
      <c r="B4962" s="140" t="s">
        <v>21</v>
      </c>
      <c r="C4962" s="141" t="s">
        <v>419</v>
      </c>
      <c r="D4962" s="140" t="s">
        <v>420</v>
      </c>
      <c r="E4962" s="140">
        <v>4</v>
      </c>
      <c r="F4962" s="142">
        <v>45916.583333333328</v>
      </c>
      <c r="G4962" s="140" t="s">
        <v>843</v>
      </c>
      <c r="H4962" s="140" t="s">
        <v>884</v>
      </c>
    </row>
    <row r="4963" spans="1:8" ht="15.75" customHeight="1">
      <c r="A4963" s="140" t="s">
        <v>91</v>
      </c>
      <c r="B4963" s="140" t="s">
        <v>21</v>
      </c>
      <c r="C4963" s="141" t="s">
        <v>419</v>
      </c>
      <c r="D4963" s="140" t="s">
        <v>420</v>
      </c>
      <c r="E4963" s="140">
        <v>5</v>
      </c>
      <c r="F4963" s="142">
        <v>45925.375</v>
      </c>
      <c r="G4963" s="140" t="s">
        <v>845</v>
      </c>
      <c r="H4963" s="140" t="s">
        <v>884</v>
      </c>
    </row>
    <row r="4964" spans="1:8" ht="15.75" customHeight="1">
      <c r="A4964" s="140" t="s">
        <v>91</v>
      </c>
      <c r="B4964" s="140" t="s">
        <v>21</v>
      </c>
      <c r="C4964" s="141" t="s">
        <v>419</v>
      </c>
      <c r="D4964" s="140" t="s">
        <v>420</v>
      </c>
      <c r="E4964" s="140">
        <v>6</v>
      </c>
      <c r="F4964" s="142">
        <v>45932.541666666672</v>
      </c>
      <c r="G4964" s="140" t="s">
        <v>843</v>
      </c>
      <c r="H4964" s="140" t="s">
        <v>884</v>
      </c>
    </row>
    <row r="4965" spans="1:8" ht="15.75" customHeight="1">
      <c r="A4965" s="140" t="s">
        <v>91</v>
      </c>
      <c r="B4965" s="140" t="s">
        <v>21</v>
      </c>
      <c r="C4965" s="141" t="s">
        <v>419</v>
      </c>
      <c r="D4965" s="140" t="s">
        <v>420</v>
      </c>
      <c r="E4965" s="140">
        <v>7</v>
      </c>
      <c r="F4965" s="142">
        <v>45939.541666666672</v>
      </c>
      <c r="G4965" s="140" t="s">
        <v>843</v>
      </c>
      <c r="H4965" s="140" t="s">
        <v>884</v>
      </c>
    </row>
    <row r="4966" spans="1:8" ht="15.75" customHeight="1">
      <c r="A4966" s="140" t="s">
        <v>91</v>
      </c>
      <c r="B4966" s="140" t="s">
        <v>21</v>
      </c>
      <c r="C4966" s="141" t="s">
        <v>419</v>
      </c>
      <c r="D4966" s="140" t="s">
        <v>420</v>
      </c>
      <c r="E4966" s="140">
        <v>8</v>
      </c>
      <c r="F4966" s="142">
        <v>45946.541666666672</v>
      </c>
      <c r="G4966" s="140" t="s">
        <v>845</v>
      </c>
      <c r="H4966" s="140" t="s">
        <v>884</v>
      </c>
    </row>
    <row r="4967" spans="1:8" ht="15.75" customHeight="1">
      <c r="A4967" s="140" t="s">
        <v>91</v>
      </c>
      <c r="B4967" s="140" t="s">
        <v>21</v>
      </c>
      <c r="C4967" s="141" t="s">
        <v>419</v>
      </c>
      <c r="D4967" s="140" t="s">
        <v>420</v>
      </c>
      <c r="E4967" s="140">
        <v>9</v>
      </c>
      <c r="F4967" s="142">
        <v>45952.541666666672</v>
      </c>
      <c r="G4967" s="140" t="s">
        <v>845</v>
      </c>
      <c r="H4967" s="140" t="s">
        <v>884</v>
      </c>
    </row>
    <row r="4968" spans="1:8" ht="15.75" customHeight="1">
      <c r="A4968" s="140" t="s">
        <v>91</v>
      </c>
      <c r="B4968" s="140" t="s">
        <v>21</v>
      </c>
      <c r="C4968" s="141" t="s">
        <v>419</v>
      </c>
      <c r="D4968" s="140" t="s">
        <v>420</v>
      </c>
      <c r="E4968" s="140">
        <v>10</v>
      </c>
      <c r="F4968" s="142">
        <v>45959.541666666672</v>
      </c>
      <c r="G4968" s="140" t="s">
        <v>845</v>
      </c>
      <c r="H4968" s="140" t="s">
        <v>884</v>
      </c>
    </row>
    <row r="4969" spans="1:8" ht="15.75" customHeight="1">
      <c r="A4969" s="140" t="s">
        <v>91</v>
      </c>
      <c r="B4969" s="140" t="s">
        <v>21</v>
      </c>
      <c r="C4969" s="141" t="s">
        <v>419</v>
      </c>
      <c r="D4969" s="140" t="s">
        <v>420</v>
      </c>
      <c r="E4969" s="140">
        <v>11</v>
      </c>
      <c r="F4969" s="142">
        <v>45964.541666666672</v>
      </c>
      <c r="G4969" s="140" t="s">
        <v>845</v>
      </c>
      <c r="H4969" s="140" t="s">
        <v>884</v>
      </c>
    </row>
    <row r="4970" spans="1:8" ht="15.75" customHeight="1">
      <c r="A4970" s="140" t="s">
        <v>91</v>
      </c>
      <c r="B4970" s="140" t="s">
        <v>21</v>
      </c>
      <c r="C4970" s="141" t="s">
        <v>419</v>
      </c>
      <c r="D4970" s="140" t="s">
        <v>420</v>
      </c>
      <c r="E4970" s="140">
        <v>12</v>
      </c>
      <c r="F4970" s="142">
        <v>45979.541666666672</v>
      </c>
      <c r="G4970" s="140" t="s">
        <v>845</v>
      </c>
      <c r="H4970" s="140" t="s">
        <v>884</v>
      </c>
    </row>
    <row r="4971" spans="1:8" ht="15.75" customHeight="1">
      <c r="A4971" s="140" t="s">
        <v>91</v>
      </c>
      <c r="B4971" s="140" t="s">
        <v>21</v>
      </c>
      <c r="C4971" s="141" t="s">
        <v>419</v>
      </c>
      <c r="D4971" s="140" t="s">
        <v>420</v>
      </c>
      <c r="E4971" s="140">
        <v>13</v>
      </c>
      <c r="F4971" s="142">
        <v>45988.541666666672</v>
      </c>
      <c r="G4971" s="140" t="s">
        <v>843</v>
      </c>
      <c r="H4971" s="140" t="s">
        <v>884</v>
      </c>
    </row>
    <row r="4972" spans="1:8" ht="15.75" customHeight="1">
      <c r="A4972" s="140" t="s">
        <v>91</v>
      </c>
      <c r="B4972" s="140" t="s">
        <v>21</v>
      </c>
      <c r="C4972" s="141" t="s">
        <v>419</v>
      </c>
      <c r="D4972" s="140" t="s">
        <v>420</v>
      </c>
      <c r="E4972" s="140">
        <v>14</v>
      </c>
      <c r="F4972" s="142">
        <v>45995.541666666672</v>
      </c>
      <c r="G4972" s="140" t="s">
        <v>845</v>
      </c>
      <c r="H4972" s="140" t="s">
        <v>884</v>
      </c>
    </row>
    <row r="4973" spans="1:8" ht="15.75" customHeight="1">
      <c r="A4973" s="140" t="s">
        <v>91</v>
      </c>
      <c r="B4973" s="140" t="s">
        <v>21</v>
      </c>
      <c r="C4973" s="141" t="s">
        <v>419</v>
      </c>
      <c r="D4973" s="140" t="s">
        <v>420</v>
      </c>
      <c r="E4973" s="140">
        <v>15</v>
      </c>
      <c r="F4973" s="142">
        <v>46000.541666666672</v>
      </c>
      <c r="G4973" s="140" t="s">
        <v>845</v>
      </c>
      <c r="H4973" s="140" t="s">
        <v>884</v>
      </c>
    </row>
    <row r="4974" spans="1:8" ht="15.75" customHeight="1">
      <c r="A4974" s="140" t="s">
        <v>91</v>
      </c>
      <c r="B4974" s="140" t="s">
        <v>21</v>
      </c>
      <c r="C4974" s="141" t="s">
        <v>419</v>
      </c>
      <c r="D4974" s="140" t="s">
        <v>420</v>
      </c>
      <c r="E4974" s="140">
        <v>16</v>
      </c>
      <c r="F4974" s="142">
        <v>46036.541666666672</v>
      </c>
      <c r="G4974" s="140" t="s">
        <v>845</v>
      </c>
      <c r="H4974" s="140" t="s">
        <v>884</v>
      </c>
    </row>
    <row r="4975" spans="1:8" ht="15.75" customHeight="1">
      <c r="A4975" s="140" t="s">
        <v>91</v>
      </c>
      <c r="B4975" s="140" t="s">
        <v>22</v>
      </c>
      <c r="C4975" s="141" t="s">
        <v>419</v>
      </c>
      <c r="D4975" s="140" t="s">
        <v>420</v>
      </c>
      <c r="E4975" s="140">
        <v>1</v>
      </c>
      <c r="F4975" s="142">
        <v>46093.541666666672</v>
      </c>
      <c r="G4975" s="140" t="s">
        <v>845</v>
      </c>
      <c r="H4975" s="140" t="s">
        <v>884</v>
      </c>
    </row>
    <row r="4976" spans="1:8" ht="15.75" customHeight="1">
      <c r="A4976" s="140" t="s">
        <v>91</v>
      </c>
      <c r="B4976" s="140" t="s">
        <v>22</v>
      </c>
      <c r="C4976" s="141" t="s">
        <v>419</v>
      </c>
      <c r="D4976" s="140" t="s">
        <v>420</v>
      </c>
      <c r="E4976" s="140">
        <v>2</v>
      </c>
      <c r="F4976" s="142">
        <v>46107.541666666672</v>
      </c>
      <c r="G4976" s="140" t="s">
        <v>845</v>
      </c>
      <c r="H4976" s="140" t="s">
        <v>884</v>
      </c>
    </row>
    <row r="4977" spans="1:8" ht="15.75" customHeight="1">
      <c r="A4977" s="140" t="s">
        <v>91</v>
      </c>
      <c r="B4977" s="140" t="s">
        <v>22</v>
      </c>
      <c r="C4977" s="141" t="s">
        <v>419</v>
      </c>
      <c r="D4977" s="140" t="s">
        <v>420</v>
      </c>
      <c r="E4977" s="140">
        <v>3</v>
      </c>
      <c r="F4977" s="142">
        <v>46128.541666666672</v>
      </c>
      <c r="G4977" s="140" t="s">
        <v>843</v>
      </c>
      <c r="H4977" s="140" t="s">
        <v>884</v>
      </c>
    </row>
    <row r="4978" spans="1:8" ht="15.75" customHeight="1">
      <c r="A4978" s="140" t="s">
        <v>91</v>
      </c>
      <c r="B4978" s="140" t="s">
        <v>22</v>
      </c>
      <c r="C4978" s="141" t="s">
        <v>419</v>
      </c>
      <c r="D4978" s="140" t="s">
        <v>420</v>
      </c>
      <c r="E4978" s="140">
        <v>4</v>
      </c>
      <c r="F4978" s="142">
        <v>46134.541666666672</v>
      </c>
      <c r="G4978" s="140" t="s">
        <v>843</v>
      </c>
      <c r="H4978" s="140" t="s">
        <v>884</v>
      </c>
    </row>
    <row r="4979" spans="1:8" ht="15.75" customHeight="1">
      <c r="A4979" s="140" t="s">
        <v>91</v>
      </c>
      <c r="B4979" s="140" t="s">
        <v>21</v>
      </c>
      <c r="C4979" s="141" t="s">
        <v>459</v>
      </c>
      <c r="D4979" s="140" t="s">
        <v>460</v>
      </c>
      <c r="E4979" s="140">
        <v>1</v>
      </c>
      <c r="F4979" s="142">
        <v>45909.541666666672</v>
      </c>
      <c r="G4979" s="140" t="s">
        <v>845</v>
      </c>
      <c r="H4979" s="140" t="s">
        <v>884</v>
      </c>
    </row>
    <row r="4980" spans="1:8" ht="15.75" customHeight="1">
      <c r="A4980" s="140" t="s">
        <v>91</v>
      </c>
      <c r="B4980" s="140" t="s">
        <v>21</v>
      </c>
      <c r="C4980" s="141" t="s">
        <v>459</v>
      </c>
      <c r="D4980" s="140" t="s">
        <v>460</v>
      </c>
      <c r="E4980" s="140">
        <v>3</v>
      </c>
      <c r="F4980" s="142">
        <v>45912.625</v>
      </c>
      <c r="G4980" s="140" t="s">
        <v>845</v>
      </c>
      <c r="H4980" s="140" t="s">
        <v>884</v>
      </c>
    </row>
    <row r="4981" spans="1:8" ht="15.75" customHeight="1">
      <c r="A4981" s="140" t="s">
        <v>91</v>
      </c>
      <c r="B4981" s="140" t="s">
        <v>21</v>
      </c>
      <c r="C4981" s="141" t="s">
        <v>459</v>
      </c>
      <c r="D4981" s="140" t="s">
        <v>460</v>
      </c>
      <c r="E4981" s="140">
        <v>4</v>
      </c>
      <c r="F4981" s="142">
        <v>45916.583333333328</v>
      </c>
      <c r="G4981" s="140" t="s">
        <v>845</v>
      </c>
      <c r="H4981" s="140" t="s">
        <v>884</v>
      </c>
    </row>
    <row r="4982" spans="1:8" ht="15.75" customHeight="1">
      <c r="A4982" s="140" t="s">
        <v>91</v>
      </c>
      <c r="B4982" s="140" t="s">
        <v>21</v>
      </c>
      <c r="C4982" s="141" t="s">
        <v>459</v>
      </c>
      <c r="D4982" s="140" t="s">
        <v>460</v>
      </c>
      <c r="E4982" s="140">
        <v>5</v>
      </c>
      <c r="F4982" s="142">
        <v>45925.375</v>
      </c>
      <c r="G4982" s="140" t="s">
        <v>845</v>
      </c>
      <c r="H4982" s="140" t="s">
        <v>884</v>
      </c>
    </row>
    <row r="4983" spans="1:8" ht="15.75" customHeight="1">
      <c r="A4983" s="140" t="s">
        <v>91</v>
      </c>
      <c r="B4983" s="140" t="s">
        <v>21</v>
      </c>
      <c r="C4983" s="141" t="s">
        <v>459</v>
      </c>
      <c r="D4983" s="140" t="s">
        <v>460</v>
      </c>
      <c r="E4983" s="140">
        <v>6</v>
      </c>
      <c r="F4983" s="142">
        <v>45932.541666666672</v>
      </c>
      <c r="G4983" s="140" t="s">
        <v>845</v>
      </c>
      <c r="H4983" s="140" t="s">
        <v>884</v>
      </c>
    </row>
    <row r="4984" spans="1:8" ht="15.75" customHeight="1">
      <c r="A4984" s="140" t="s">
        <v>91</v>
      </c>
      <c r="B4984" s="140" t="s">
        <v>21</v>
      </c>
      <c r="C4984" s="141" t="s">
        <v>459</v>
      </c>
      <c r="D4984" s="140" t="s">
        <v>460</v>
      </c>
      <c r="E4984" s="140">
        <v>7</v>
      </c>
      <c r="F4984" s="142">
        <v>45939.541666666672</v>
      </c>
      <c r="G4984" s="140" t="s">
        <v>845</v>
      </c>
      <c r="H4984" s="140" t="s">
        <v>884</v>
      </c>
    </row>
    <row r="4985" spans="1:8" ht="15.75" customHeight="1">
      <c r="A4985" s="140" t="s">
        <v>91</v>
      </c>
      <c r="B4985" s="140" t="s">
        <v>21</v>
      </c>
      <c r="C4985" s="141" t="s">
        <v>459</v>
      </c>
      <c r="D4985" s="140" t="s">
        <v>460</v>
      </c>
      <c r="E4985" s="140">
        <v>8</v>
      </c>
      <c r="F4985" s="142">
        <v>45946.541666666672</v>
      </c>
      <c r="G4985" s="140" t="s">
        <v>845</v>
      </c>
      <c r="H4985" s="140" t="s">
        <v>884</v>
      </c>
    </row>
    <row r="4986" spans="1:8" ht="15.75" customHeight="1">
      <c r="A4986" s="140" t="s">
        <v>91</v>
      </c>
      <c r="B4986" s="140" t="s">
        <v>21</v>
      </c>
      <c r="C4986" s="141" t="s">
        <v>459</v>
      </c>
      <c r="D4986" s="140" t="s">
        <v>460</v>
      </c>
      <c r="E4986" s="140">
        <v>9</v>
      </c>
      <c r="F4986" s="142">
        <v>45952.541666666672</v>
      </c>
      <c r="G4986" s="140" t="s">
        <v>845</v>
      </c>
      <c r="H4986" s="140" t="s">
        <v>884</v>
      </c>
    </row>
    <row r="4987" spans="1:8" ht="15.75" customHeight="1">
      <c r="A4987" s="140" t="s">
        <v>91</v>
      </c>
      <c r="B4987" s="140" t="s">
        <v>21</v>
      </c>
      <c r="C4987" s="141" t="s">
        <v>459</v>
      </c>
      <c r="D4987" s="140" t="s">
        <v>460</v>
      </c>
      <c r="E4987" s="140">
        <v>10</v>
      </c>
      <c r="F4987" s="142">
        <v>45959.541666666672</v>
      </c>
      <c r="G4987" s="140" t="s">
        <v>845</v>
      </c>
      <c r="H4987" s="140" t="s">
        <v>884</v>
      </c>
    </row>
    <row r="4988" spans="1:8" ht="15.75" customHeight="1">
      <c r="A4988" s="140" t="s">
        <v>91</v>
      </c>
      <c r="B4988" s="140" t="s">
        <v>21</v>
      </c>
      <c r="C4988" s="141" t="s">
        <v>459</v>
      </c>
      <c r="D4988" s="140" t="s">
        <v>460</v>
      </c>
      <c r="E4988" s="140">
        <v>11</v>
      </c>
      <c r="F4988" s="142">
        <v>45964.541666666672</v>
      </c>
      <c r="G4988" s="140" t="s">
        <v>845</v>
      </c>
      <c r="H4988" s="140" t="s">
        <v>884</v>
      </c>
    </row>
    <row r="4989" spans="1:8" ht="15.75" customHeight="1">
      <c r="A4989" s="140" t="s">
        <v>91</v>
      </c>
      <c r="B4989" s="140" t="s">
        <v>21</v>
      </c>
      <c r="C4989" s="141" t="s">
        <v>459</v>
      </c>
      <c r="D4989" s="140" t="s">
        <v>460</v>
      </c>
      <c r="E4989" s="140">
        <v>12</v>
      </c>
      <c r="F4989" s="142">
        <v>45979.541666666672</v>
      </c>
      <c r="G4989" s="140" t="s">
        <v>845</v>
      </c>
      <c r="H4989" s="140" t="s">
        <v>884</v>
      </c>
    </row>
    <row r="4990" spans="1:8" ht="15.75" customHeight="1">
      <c r="A4990" s="140" t="s">
        <v>91</v>
      </c>
      <c r="B4990" s="140" t="s">
        <v>21</v>
      </c>
      <c r="C4990" s="141" t="s">
        <v>459</v>
      </c>
      <c r="D4990" s="140" t="s">
        <v>460</v>
      </c>
      <c r="E4990" s="140">
        <v>13</v>
      </c>
      <c r="F4990" s="142">
        <v>45988.541666666672</v>
      </c>
      <c r="G4990" s="140" t="s">
        <v>845</v>
      </c>
      <c r="H4990" s="140" t="s">
        <v>884</v>
      </c>
    </row>
    <row r="4991" spans="1:8" ht="15.75" customHeight="1">
      <c r="A4991" s="140" t="s">
        <v>91</v>
      </c>
      <c r="B4991" s="140" t="s">
        <v>21</v>
      </c>
      <c r="C4991" s="141" t="s">
        <v>459</v>
      </c>
      <c r="D4991" s="140" t="s">
        <v>460</v>
      </c>
      <c r="E4991" s="140">
        <v>14</v>
      </c>
      <c r="F4991" s="142">
        <v>45995.541666666672</v>
      </c>
      <c r="G4991" s="140" t="s">
        <v>843</v>
      </c>
      <c r="H4991" s="140" t="s">
        <v>884</v>
      </c>
    </row>
    <row r="4992" spans="1:8" ht="15.75" customHeight="1">
      <c r="A4992" s="140" t="s">
        <v>91</v>
      </c>
      <c r="B4992" s="140" t="s">
        <v>21</v>
      </c>
      <c r="C4992" s="141" t="s">
        <v>459</v>
      </c>
      <c r="D4992" s="140" t="s">
        <v>460</v>
      </c>
      <c r="E4992" s="140">
        <v>15</v>
      </c>
      <c r="F4992" s="142">
        <v>46000.541666666672</v>
      </c>
      <c r="G4992" s="140" t="s">
        <v>845</v>
      </c>
      <c r="H4992" s="140" t="s">
        <v>884</v>
      </c>
    </row>
    <row r="4993" spans="1:8" ht="15.75" customHeight="1">
      <c r="A4993" s="140" t="s">
        <v>91</v>
      </c>
      <c r="B4993" s="140" t="s">
        <v>21</v>
      </c>
      <c r="C4993" s="141" t="s">
        <v>459</v>
      </c>
      <c r="D4993" s="140" t="s">
        <v>460</v>
      </c>
      <c r="E4993" s="140">
        <v>16</v>
      </c>
      <c r="F4993" s="142">
        <v>46036.541666666672</v>
      </c>
      <c r="G4993" s="140" t="s">
        <v>845</v>
      </c>
      <c r="H4993" s="140" t="s">
        <v>884</v>
      </c>
    </row>
    <row r="4994" spans="1:8" ht="15.75" customHeight="1">
      <c r="A4994" s="140" t="s">
        <v>91</v>
      </c>
      <c r="B4994" s="140" t="s">
        <v>22</v>
      </c>
      <c r="C4994" s="141" t="s">
        <v>459</v>
      </c>
      <c r="D4994" s="140" t="s">
        <v>460</v>
      </c>
      <c r="E4994" s="140">
        <v>1</v>
      </c>
      <c r="F4994" s="142">
        <v>46093.541666666672</v>
      </c>
      <c r="G4994" s="140" t="s">
        <v>845</v>
      </c>
      <c r="H4994" s="140" t="s">
        <v>884</v>
      </c>
    </row>
    <row r="4995" spans="1:8" ht="15.75" customHeight="1">
      <c r="A4995" s="140" t="s">
        <v>91</v>
      </c>
      <c r="B4995" s="140" t="s">
        <v>22</v>
      </c>
      <c r="C4995" s="141" t="s">
        <v>459</v>
      </c>
      <c r="D4995" s="140" t="s">
        <v>460</v>
      </c>
      <c r="E4995" s="140">
        <v>2</v>
      </c>
      <c r="F4995" s="142">
        <v>46107.541666666672</v>
      </c>
      <c r="G4995" s="140" t="s">
        <v>845</v>
      </c>
      <c r="H4995" s="140" t="s">
        <v>884</v>
      </c>
    </row>
    <row r="4996" spans="1:8" ht="15.75" customHeight="1">
      <c r="A4996" s="140" t="s">
        <v>91</v>
      </c>
      <c r="B4996" s="140" t="s">
        <v>22</v>
      </c>
      <c r="C4996" s="141" t="s">
        <v>459</v>
      </c>
      <c r="D4996" s="140" t="s">
        <v>460</v>
      </c>
      <c r="E4996" s="140">
        <v>3</v>
      </c>
      <c r="F4996" s="142">
        <v>46128.541666666672</v>
      </c>
      <c r="G4996" s="140" t="s">
        <v>845</v>
      </c>
      <c r="H4996" s="140" t="s">
        <v>884</v>
      </c>
    </row>
    <row r="4997" spans="1:8" ht="15.75" customHeight="1">
      <c r="A4997" s="140" t="s">
        <v>91</v>
      </c>
      <c r="B4997" s="140" t="s">
        <v>22</v>
      </c>
      <c r="C4997" s="141" t="s">
        <v>459</v>
      </c>
      <c r="D4997" s="140" t="s">
        <v>460</v>
      </c>
      <c r="E4997" s="140">
        <v>4</v>
      </c>
      <c r="F4997" s="142">
        <v>46134.541666666672</v>
      </c>
      <c r="G4997" s="140" t="s">
        <v>845</v>
      </c>
      <c r="H4997" s="140" t="s">
        <v>884</v>
      </c>
    </row>
    <row r="4998" spans="1:8" ht="15.75" customHeight="1">
      <c r="A4998" s="140" t="s">
        <v>91</v>
      </c>
      <c r="B4998" s="140" t="s">
        <v>21</v>
      </c>
      <c r="C4998" s="141" t="s">
        <v>536</v>
      </c>
      <c r="D4998" s="140" t="s">
        <v>537</v>
      </c>
      <c r="E4998" s="140">
        <v>1</v>
      </c>
      <c r="F4998" s="142">
        <v>45909.541666666672</v>
      </c>
      <c r="G4998" s="140" t="s">
        <v>845</v>
      </c>
      <c r="H4998" s="140" t="s">
        <v>884</v>
      </c>
    </row>
    <row r="4999" spans="1:8" ht="15.75" customHeight="1">
      <c r="A4999" s="140" t="s">
        <v>91</v>
      </c>
      <c r="B4999" s="140" t="s">
        <v>21</v>
      </c>
      <c r="C4999" s="141" t="s">
        <v>536</v>
      </c>
      <c r="D4999" s="140" t="s">
        <v>537</v>
      </c>
      <c r="E4999" s="140">
        <v>3</v>
      </c>
      <c r="F4999" s="142">
        <v>45912.625</v>
      </c>
      <c r="G4999" s="140" t="s">
        <v>845</v>
      </c>
      <c r="H4999" s="140" t="s">
        <v>884</v>
      </c>
    </row>
    <row r="5000" spans="1:8" ht="15.75" customHeight="1">
      <c r="A5000" s="140" t="s">
        <v>91</v>
      </c>
      <c r="B5000" s="140" t="s">
        <v>21</v>
      </c>
      <c r="C5000" s="141" t="s">
        <v>536</v>
      </c>
      <c r="D5000" s="140" t="s">
        <v>537</v>
      </c>
      <c r="E5000" s="140">
        <v>4</v>
      </c>
      <c r="F5000" s="142">
        <v>45916.583333333328</v>
      </c>
      <c r="G5000" s="140" t="s">
        <v>845</v>
      </c>
      <c r="H5000" s="140" t="s">
        <v>884</v>
      </c>
    </row>
    <row r="5001" spans="1:8" ht="15.75" customHeight="1">
      <c r="A5001" s="140" t="s">
        <v>91</v>
      </c>
      <c r="B5001" s="140" t="s">
        <v>21</v>
      </c>
      <c r="C5001" s="141" t="s">
        <v>536</v>
      </c>
      <c r="D5001" s="140" t="s">
        <v>537</v>
      </c>
      <c r="E5001" s="140">
        <v>5</v>
      </c>
      <c r="F5001" s="142">
        <v>45925.375</v>
      </c>
      <c r="G5001" s="140" t="s">
        <v>845</v>
      </c>
      <c r="H5001" s="140" t="s">
        <v>884</v>
      </c>
    </row>
    <row r="5002" spans="1:8" ht="15.75" customHeight="1">
      <c r="A5002" s="140" t="s">
        <v>91</v>
      </c>
      <c r="B5002" s="140" t="s">
        <v>21</v>
      </c>
      <c r="C5002" s="141" t="s">
        <v>536</v>
      </c>
      <c r="D5002" s="140" t="s">
        <v>537</v>
      </c>
      <c r="E5002" s="140">
        <v>6</v>
      </c>
      <c r="F5002" s="142">
        <v>45932.541666666672</v>
      </c>
      <c r="G5002" s="140" t="s">
        <v>845</v>
      </c>
      <c r="H5002" s="140" t="s">
        <v>884</v>
      </c>
    </row>
    <row r="5003" spans="1:8" ht="15.75" customHeight="1">
      <c r="A5003" s="140" t="s">
        <v>91</v>
      </c>
      <c r="B5003" s="140" t="s">
        <v>21</v>
      </c>
      <c r="C5003" s="141" t="s">
        <v>536</v>
      </c>
      <c r="D5003" s="140" t="s">
        <v>537</v>
      </c>
      <c r="E5003" s="140">
        <v>7</v>
      </c>
      <c r="F5003" s="142">
        <v>45939.541666666672</v>
      </c>
      <c r="G5003" s="140" t="s">
        <v>845</v>
      </c>
      <c r="H5003" s="140" t="s">
        <v>884</v>
      </c>
    </row>
    <row r="5004" spans="1:8" ht="15.75" customHeight="1">
      <c r="A5004" s="140" t="s">
        <v>91</v>
      </c>
      <c r="B5004" s="140" t="s">
        <v>21</v>
      </c>
      <c r="C5004" s="141" t="s">
        <v>536</v>
      </c>
      <c r="D5004" s="140" t="s">
        <v>537</v>
      </c>
      <c r="E5004" s="140">
        <v>8</v>
      </c>
      <c r="F5004" s="142">
        <v>45946.541666666672</v>
      </c>
      <c r="G5004" s="140" t="s">
        <v>845</v>
      </c>
      <c r="H5004" s="140" t="s">
        <v>884</v>
      </c>
    </row>
    <row r="5005" spans="1:8" ht="15.75" customHeight="1">
      <c r="A5005" s="140" t="s">
        <v>91</v>
      </c>
      <c r="B5005" s="140" t="s">
        <v>21</v>
      </c>
      <c r="C5005" s="141" t="s">
        <v>536</v>
      </c>
      <c r="D5005" s="140" t="s">
        <v>537</v>
      </c>
      <c r="E5005" s="140">
        <v>9</v>
      </c>
      <c r="F5005" s="142">
        <v>45952.541666666672</v>
      </c>
      <c r="G5005" s="140" t="s">
        <v>845</v>
      </c>
      <c r="H5005" s="140" t="s">
        <v>884</v>
      </c>
    </row>
    <row r="5006" spans="1:8" ht="15.75" customHeight="1">
      <c r="A5006" s="140" t="s">
        <v>91</v>
      </c>
      <c r="B5006" s="140" t="s">
        <v>21</v>
      </c>
      <c r="C5006" s="141" t="s">
        <v>536</v>
      </c>
      <c r="D5006" s="140" t="s">
        <v>537</v>
      </c>
      <c r="E5006" s="140">
        <v>10</v>
      </c>
      <c r="F5006" s="142">
        <v>45959.541666666672</v>
      </c>
      <c r="G5006" s="140" t="s">
        <v>845</v>
      </c>
      <c r="H5006" s="140" t="s">
        <v>884</v>
      </c>
    </row>
    <row r="5007" spans="1:8" ht="15.75" customHeight="1">
      <c r="A5007" s="140" t="s">
        <v>91</v>
      </c>
      <c r="B5007" s="140" t="s">
        <v>21</v>
      </c>
      <c r="C5007" s="141" t="s">
        <v>536</v>
      </c>
      <c r="D5007" s="140" t="s">
        <v>537</v>
      </c>
      <c r="E5007" s="140">
        <v>11</v>
      </c>
      <c r="F5007" s="142">
        <v>45964.541666666672</v>
      </c>
      <c r="G5007" s="140" t="s">
        <v>845</v>
      </c>
      <c r="H5007" s="140" t="s">
        <v>884</v>
      </c>
    </row>
    <row r="5008" spans="1:8" ht="15.75" customHeight="1">
      <c r="A5008" s="140" t="s">
        <v>91</v>
      </c>
      <c r="B5008" s="140" t="s">
        <v>21</v>
      </c>
      <c r="C5008" s="141" t="s">
        <v>536</v>
      </c>
      <c r="D5008" s="140" t="s">
        <v>537</v>
      </c>
      <c r="E5008" s="140">
        <v>12</v>
      </c>
      <c r="F5008" s="142">
        <v>45979.541666666672</v>
      </c>
      <c r="G5008" s="140" t="s">
        <v>845</v>
      </c>
      <c r="H5008" s="140" t="s">
        <v>884</v>
      </c>
    </row>
    <row r="5009" spans="1:8" ht="15.75" customHeight="1">
      <c r="A5009" s="140" t="s">
        <v>91</v>
      </c>
      <c r="B5009" s="140" t="s">
        <v>21</v>
      </c>
      <c r="C5009" s="141" t="s">
        <v>536</v>
      </c>
      <c r="D5009" s="140" t="s">
        <v>537</v>
      </c>
      <c r="E5009" s="140">
        <v>13</v>
      </c>
      <c r="F5009" s="142">
        <v>45988.541666666672</v>
      </c>
      <c r="G5009" s="140" t="s">
        <v>845</v>
      </c>
      <c r="H5009" s="140" t="s">
        <v>884</v>
      </c>
    </row>
    <row r="5010" spans="1:8" ht="15.75" customHeight="1">
      <c r="A5010" s="140" t="s">
        <v>91</v>
      </c>
      <c r="B5010" s="140" t="s">
        <v>21</v>
      </c>
      <c r="C5010" s="141" t="s">
        <v>536</v>
      </c>
      <c r="D5010" s="140" t="s">
        <v>537</v>
      </c>
      <c r="E5010" s="140">
        <v>14</v>
      </c>
      <c r="F5010" s="142">
        <v>45995.541666666672</v>
      </c>
      <c r="G5010" s="140" t="s">
        <v>845</v>
      </c>
      <c r="H5010" s="140" t="s">
        <v>884</v>
      </c>
    </row>
    <row r="5011" spans="1:8" ht="15.75" customHeight="1">
      <c r="A5011" s="140" t="s">
        <v>91</v>
      </c>
      <c r="B5011" s="140" t="s">
        <v>21</v>
      </c>
      <c r="C5011" s="141" t="s">
        <v>536</v>
      </c>
      <c r="D5011" s="140" t="s">
        <v>537</v>
      </c>
      <c r="E5011" s="140">
        <v>15</v>
      </c>
      <c r="F5011" s="142">
        <v>46000.541666666672</v>
      </c>
      <c r="G5011" s="140" t="s">
        <v>845</v>
      </c>
      <c r="H5011" s="140" t="s">
        <v>884</v>
      </c>
    </row>
    <row r="5012" spans="1:8" ht="15.75" customHeight="1">
      <c r="A5012" s="140" t="s">
        <v>91</v>
      </c>
      <c r="B5012" s="140" t="s">
        <v>21</v>
      </c>
      <c r="C5012" s="141" t="s">
        <v>536</v>
      </c>
      <c r="D5012" s="140" t="s">
        <v>537</v>
      </c>
      <c r="E5012" s="140">
        <v>16</v>
      </c>
      <c r="F5012" s="142">
        <v>46036.541666666672</v>
      </c>
      <c r="G5012" s="140" t="s">
        <v>845</v>
      </c>
      <c r="H5012" s="140" t="s">
        <v>884</v>
      </c>
    </row>
    <row r="5013" spans="1:8" ht="15.75" customHeight="1">
      <c r="A5013" s="140" t="s">
        <v>91</v>
      </c>
      <c r="B5013" s="140" t="s">
        <v>22</v>
      </c>
      <c r="C5013" s="141" t="s">
        <v>536</v>
      </c>
      <c r="D5013" s="140" t="s">
        <v>537</v>
      </c>
      <c r="E5013" s="140">
        <v>1</v>
      </c>
      <c r="F5013" s="142">
        <v>46093.541666666672</v>
      </c>
      <c r="G5013" s="140" t="s">
        <v>843</v>
      </c>
      <c r="H5013" s="140" t="s">
        <v>884</v>
      </c>
    </row>
    <row r="5014" spans="1:8" ht="15.75" customHeight="1">
      <c r="A5014" s="140" t="s">
        <v>91</v>
      </c>
      <c r="B5014" s="140" t="s">
        <v>22</v>
      </c>
      <c r="C5014" s="141" t="s">
        <v>536</v>
      </c>
      <c r="D5014" s="140" t="s">
        <v>537</v>
      </c>
      <c r="E5014" s="140">
        <v>2</v>
      </c>
      <c r="F5014" s="142">
        <v>46107.541666666672</v>
      </c>
      <c r="G5014" s="140" t="s">
        <v>845</v>
      </c>
      <c r="H5014" s="140" t="s">
        <v>884</v>
      </c>
    </row>
    <row r="5015" spans="1:8" ht="15.75" customHeight="1">
      <c r="A5015" s="140" t="s">
        <v>91</v>
      </c>
      <c r="B5015" s="140" t="s">
        <v>22</v>
      </c>
      <c r="C5015" s="141" t="s">
        <v>536</v>
      </c>
      <c r="D5015" s="140" t="s">
        <v>537</v>
      </c>
      <c r="E5015" s="140">
        <v>3</v>
      </c>
      <c r="F5015" s="142">
        <v>46128.541666666672</v>
      </c>
      <c r="G5015" s="140" t="s">
        <v>845</v>
      </c>
      <c r="H5015" s="140" t="s">
        <v>884</v>
      </c>
    </row>
    <row r="5016" spans="1:8" ht="15.75" customHeight="1">
      <c r="A5016" s="140" t="s">
        <v>91</v>
      </c>
      <c r="B5016" s="140" t="s">
        <v>22</v>
      </c>
      <c r="C5016" s="141" t="s">
        <v>536</v>
      </c>
      <c r="D5016" s="140" t="s">
        <v>537</v>
      </c>
      <c r="E5016" s="140">
        <v>4</v>
      </c>
      <c r="F5016" s="142">
        <v>46134.541666666672</v>
      </c>
      <c r="G5016" s="140" t="s">
        <v>843</v>
      </c>
      <c r="H5016" s="140" t="s">
        <v>884</v>
      </c>
    </row>
    <row r="5017" spans="1:8" ht="15.75" customHeight="1">
      <c r="A5017" s="140" t="s">
        <v>91</v>
      </c>
      <c r="B5017" s="140" t="s">
        <v>21</v>
      </c>
      <c r="C5017" s="141" t="s">
        <v>609</v>
      </c>
      <c r="D5017" s="140" t="s">
        <v>610</v>
      </c>
      <c r="E5017" s="140">
        <v>1</v>
      </c>
      <c r="F5017" s="142">
        <v>45909.541666666672</v>
      </c>
      <c r="G5017" s="140" t="s">
        <v>845</v>
      </c>
      <c r="H5017" s="140" t="s">
        <v>884</v>
      </c>
    </row>
    <row r="5018" spans="1:8" ht="15.75" customHeight="1">
      <c r="A5018" s="140" t="s">
        <v>91</v>
      </c>
      <c r="B5018" s="140" t="s">
        <v>21</v>
      </c>
      <c r="C5018" s="141" t="s">
        <v>609</v>
      </c>
      <c r="D5018" s="140" t="s">
        <v>610</v>
      </c>
      <c r="E5018" s="140">
        <v>3</v>
      </c>
      <c r="F5018" s="142">
        <v>45912.625</v>
      </c>
      <c r="G5018" s="140" t="s">
        <v>845</v>
      </c>
      <c r="H5018" s="140" t="s">
        <v>884</v>
      </c>
    </row>
    <row r="5019" spans="1:8" ht="15.75" customHeight="1">
      <c r="A5019" s="140" t="s">
        <v>91</v>
      </c>
      <c r="B5019" s="140" t="s">
        <v>21</v>
      </c>
      <c r="C5019" s="141" t="s">
        <v>609</v>
      </c>
      <c r="D5019" s="140" t="s">
        <v>610</v>
      </c>
      <c r="E5019" s="140">
        <v>4</v>
      </c>
      <c r="F5019" s="142">
        <v>45916.583333333328</v>
      </c>
      <c r="G5019" s="140" t="s">
        <v>845</v>
      </c>
      <c r="H5019" s="140" t="s">
        <v>884</v>
      </c>
    </row>
    <row r="5020" spans="1:8" ht="15.75" customHeight="1">
      <c r="A5020" s="140" t="s">
        <v>91</v>
      </c>
      <c r="B5020" s="140" t="s">
        <v>21</v>
      </c>
      <c r="C5020" s="141" t="s">
        <v>609</v>
      </c>
      <c r="D5020" s="140" t="s">
        <v>610</v>
      </c>
      <c r="E5020" s="140">
        <v>5</v>
      </c>
      <c r="F5020" s="142">
        <v>45925.375</v>
      </c>
      <c r="G5020" s="140" t="s">
        <v>845</v>
      </c>
      <c r="H5020" s="140" t="s">
        <v>884</v>
      </c>
    </row>
    <row r="5021" spans="1:8" ht="15.75" customHeight="1">
      <c r="A5021" s="140" t="s">
        <v>91</v>
      </c>
      <c r="B5021" s="140" t="s">
        <v>21</v>
      </c>
      <c r="C5021" s="141" t="s">
        <v>609</v>
      </c>
      <c r="D5021" s="140" t="s">
        <v>610</v>
      </c>
      <c r="E5021" s="140">
        <v>6</v>
      </c>
      <c r="F5021" s="142">
        <v>45932.541666666672</v>
      </c>
      <c r="G5021" s="140" t="s">
        <v>845</v>
      </c>
      <c r="H5021" s="140" t="s">
        <v>884</v>
      </c>
    </row>
    <row r="5022" spans="1:8" ht="15.75" customHeight="1">
      <c r="A5022" s="140" t="s">
        <v>91</v>
      </c>
      <c r="B5022" s="140" t="s">
        <v>21</v>
      </c>
      <c r="C5022" s="141" t="s">
        <v>609</v>
      </c>
      <c r="D5022" s="140" t="s">
        <v>610</v>
      </c>
      <c r="E5022" s="140">
        <v>7</v>
      </c>
      <c r="F5022" s="142">
        <v>45939.541666666672</v>
      </c>
      <c r="G5022" s="140" t="s">
        <v>845</v>
      </c>
      <c r="H5022" s="140" t="s">
        <v>884</v>
      </c>
    </row>
    <row r="5023" spans="1:8" ht="15.75" customHeight="1">
      <c r="A5023" s="140" t="s">
        <v>91</v>
      </c>
      <c r="B5023" s="140" t="s">
        <v>21</v>
      </c>
      <c r="C5023" s="141" t="s">
        <v>609</v>
      </c>
      <c r="D5023" s="140" t="s">
        <v>610</v>
      </c>
      <c r="E5023" s="140">
        <v>8</v>
      </c>
      <c r="F5023" s="142">
        <v>45946.541666666672</v>
      </c>
      <c r="G5023" s="140" t="s">
        <v>845</v>
      </c>
      <c r="H5023" s="140" t="s">
        <v>884</v>
      </c>
    </row>
    <row r="5024" spans="1:8" ht="15.75" customHeight="1">
      <c r="A5024" s="140" t="s">
        <v>91</v>
      </c>
      <c r="B5024" s="140" t="s">
        <v>21</v>
      </c>
      <c r="C5024" s="141" t="s">
        <v>609</v>
      </c>
      <c r="D5024" s="140" t="s">
        <v>610</v>
      </c>
      <c r="E5024" s="140">
        <v>9</v>
      </c>
      <c r="F5024" s="142">
        <v>45952.541666666672</v>
      </c>
      <c r="G5024" s="140" t="s">
        <v>845</v>
      </c>
      <c r="H5024" s="140" t="s">
        <v>884</v>
      </c>
    </row>
    <row r="5025" spans="1:8" ht="15.75" customHeight="1">
      <c r="A5025" s="140" t="s">
        <v>91</v>
      </c>
      <c r="B5025" s="140" t="s">
        <v>21</v>
      </c>
      <c r="C5025" s="141" t="s">
        <v>609</v>
      </c>
      <c r="D5025" s="140" t="s">
        <v>610</v>
      </c>
      <c r="E5025" s="140">
        <v>10</v>
      </c>
      <c r="F5025" s="142">
        <v>45959.541666666672</v>
      </c>
      <c r="G5025" s="140" t="s">
        <v>845</v>
      </c>
      <c r="H5025" s="140" t="s">
        <v>884</v>
      </c>
    </row>
    <row r="5026" spans="1:8" ht="15.75" customHeight="1">
      <c r="A5026" s="140" t="s">
        <v>91</v>
      </c>
      <c r="B5026" s="140" t="s">
        <v>21</v>
      </c>
      <c r="C5026" s="141" t="s">
        <v>609</v>
      </c>
      <c r="D5026" s="140" t="s">
        <v>610</v>
      </c>
      <c r="E5026" s="140">
        <v>11</v>
      </c>
      <c r="F5026" s="142">
        <v>45964.541666666672</v>
      </c>
      <c r="G5026" s="140" t="s">
        <v>845</v>
      </c>
      <c r="H5026" s="140" t="s">
        <v>884</v>
      </c>
    </row>
    <row r="5027" spans="1:8" ht="15.75" customHeight="1">
      <c r="A5027" s="140" t="s">
        <v>91</v>
      </c>
      <c r="B5027" s="140" t="s">
        <v>21</v>
      </c>
      <c r="C5027" s="141" t="s">
        <v>609</v>
      </c>
      <c r="D5027" s="140" t="s">
        <v>610</v>
      </c>
      <c r="E5027" s="140">
        <v>12</v>
      </c>
      <c r="F5027" s="142">
        <v>45979.541666666672</v>
      </c>
      <c r="G5027" s="140" t="s">
        <v>845</v>
      </c>
      <c r="H5027" s="140" t="s">
        <v>884</v>
      </c>
    </row>
    <row r="5028" spans="1:8" ht="15.75" customHeight="1">
      <c r="A5028" s="140" t="s">
        <v>91</v>
      </c>
      <c r="B5028" s="140" t="s">
        <v>21</v>
      </c>
      <c r="C5028" s="141" t="s">
        <v>609</v>
      </c>
      <c r="D5028" s="140" t="s">
        <v>610</v>
      </c>
      <c r="E5028" s="140">
        <v>13</v>
      </c>
      <c r="F5028" s="142">
        <v>45988.541666666672</v>
      </c>
      <c r="G5028" s="140" t="s">
        <v>845</v>
      </c>
      <c r="H5028" s="140" t="s">
        <v>884</v>
      </c>
    </row>
    <row r="5029" spans="1:8" ht="15.75" customHeight="1">
      <c r="A5029" s="140" t="s">
        <v>91</v>
      </c>
      <c r="B5029" s="140" t="s">
        <v>21</v>
      </c>
      <c r="C5029" s="141" t="s">
        <v>609</v>
      </c>
      <c r="D5029" s="140" t="s">
        <v>610</v>
      </c>
      <c r="E5029" s="140">
        <v>14</v>
      </c>
      <c r="F5029" s="142">
        <v>45995.541666666672</v>
      </c>
      <c r="G5029" s="140" t="s">
        <v>845</v>
      </c>
      <c r="H5029" s="140" t="s">
        <v>884</v>
      </c>
    </row>
    <row r="5030" spans="1:8" ht="15.75" customHeight="1">
      <c r="A5030" s="140" t="s">
        <v>91</v>
      </c>
      <c r="B5030" s="140" t="s">
        <v>21</v>
      </c>
      <c r="C5030" s="141" t="s">
        <v>609</v>
      </c>
      <c r="D5030" s="140" t="s">
        <v>610</v>
      </c>
      <c r="E5030" s="140">
        <v>15</v>
      </c>
      <c r="F5030" s="142">
        <v>46000.541666666672</v>
      </c>
      <c r="G5030" s="140" t="s">
        <v>845</v>
      </c>
      <c r="H5030" s="140" t="s">
        <v>884</v>
      </c>
    </row>
    <row r="5031" spans="1:8" ht="15.75" customHeight="1">
      <c r="A5031" s="140" t="s">
        <v>91</v>
      </c>
      <c r="B5031" s="140" t="s">
        <v>21</v>
      </c>
      <c r="C5031" s="141" t="s">
        <v>609</v>
      </c>
      <c r="D5031" s="140" t="s">
        <v>610</v>
      </c>
      <c r="E5031" s="140">
        <v>16</v>
      </c>
      <c r="F5031" s="142">
        <v>46036.541666666672</v>
      </c>
      <c r="G5031" s="140" t="s">
        <v>845</v>
      </c>
      <c r="H5031" s="140" t="s">
        <v>884</v>
      </c>
    </row>
    <row r="5032" spans="1:8" ht="15.75" customHeight="1">
      <c r="A5032" s="140" t="s">
        <v>91</v>
      </c>
      <c r="B5032" s="140" t="s">
        <v>22</v>
      </c>
      <c r="C5032" s="141" t="s">
        <v>609</v>
      </c>
      <c r="D5032" s="140" t="s">
        <v>610</v>
      </c>
      <c r="E5032" s="140">
        <v>1</v>
      </c>
      <c r="F5032" s="142">
        <v>46093.541666666672</v>
      </c>
      <c r="G5032" s="140" t="s">
        <v>845</v>
      </c>
      <c r="H5032" s="140" t="s">
        <v>884</v>
      </c>
    </row>
    <row r="5033" spans="1:8" ht="15.75" customHeight="1">
      <c r="A5033" s="140" t="s">
        <v>91</v>
      </c>
      <c r="B5033" s="140" t="s">
        <v>22</v>
      </c>
      <c r="C5033" s="141" t="s">
        <v>609</v>
      </c>
      <c r="D5033" s="140" t="s">
        <v>610</v>
      </c>
      <c r="E5033" s="140">
        <v>2</v>
      </c>
      <c r="F5033" s="142">
        <v>46107.541666666672</v>
      </c>
      <c r="G5033" s="140" t="s">
        <v>845</v>
      </c>
      <c r="H5033" s="140" t="s">
        <v>884</v>
      </c>
    </row>
    <row r="5034" spans="1:8" ht="15.75" customHeight="1">
      <c r="A5034" s="140" t="s">
        <v>91</v>
      </c>
      <c r="B5034" s="140" t="s">
        <v>22</v>
      </c>
      <c r="C5034" s="141" t="s">
        <v>609</v>
      </c>
      <c r="D5034" s="140" t="s">
        <v>610</v>
      </c>
      <c r="E5034" s="140">
        <v>3</v>
      </c>
      <c r="F5034" s="142">
        <v>46128.541666666672</v>
      </c>
      <c r="G5034" s="140" t="s">
        <v>845</v>
      </c>
      <c r="H5034" s="140" t="s">
        <v>884</v>
      </c>
    </row>
    <row r="5035" spans="1:8" ht="15.75" customHeight="1">
      <c r="A5035" s="140" t="s">
        <v>91</v>
      </c>
      <c r="B5035" s="140" t="s">
        <v>22</v>
      </c>
      <c r="C5035" s="141" t="s">
        <v>609</v>
      </c>
      <c r="D5035" s="140" t="s">
        <v>610</v>
      </c>
      <c r="E5035" s="140">
        <v>4</v>
      </c>
      <c r="F5035" s="142">
        <v>46134.541666666672</v>
      </c>
      <c r="G5035" s="140" t="s">
        <v>845</v>
      </c>
      <c r="H5035" s="140" t="s">
        <v>884</v>
      </c>
    </row>
    <row r="5036" spans="1:8" ht="15.75" customHeight="1">
      <c r="A5036" s="140" t="s">
        <v>92</v>
      </c>
      <c r="B5036" s="140" t="s">
        <v>25</v>
      </c>
      <c r="C5036" s="141" t="s">
        <v>153</v>
      </c>
      <c r="D5036" s="140" t="s">
        <v>154</v>
      </c>
      <c r="E5036" s="140">
        <v>4</v>
      </c>
      <c r="F5036" s="142">
        <v>45938.583333333328</v>
      </c>
      <c r="G5036" s="140" t="s">
        <v>845</v>
      </c>
      <c r="H5036" s="140" t="s">
        <v>885</v>
      </c>
    </row>
    <row r="5037" spans="1:8" ht="15.75" customHeight="1">
      <c r="A5037" s="140" t="s">
        <v>92</v>
      </c>
      <c r="B5037" s="140" t="s">
        <v>25</v>
      </c>
      <c r="C5037" s="141" t="s">
        <v>153</v>
      </c>
      <c r="D5037" s="140" t="s">
        <v>154</v>
      </c>
      <c r="E5037" s="140">
        <v>5</v>
      </c>
      <c r="F5037" s="142">
        <v>45947.541666666672</v>
      </c>
      <c r="G5037" s="140" t="s">
        <v>843</v>
      </c>
      <c r="H5037" s="140" t="s">
        <v>885</v>
      </c>
    </row>
    <row r="5038" spans="1:8" ht="15.75" customHeight="1">
      <c r="A5038" s="140" t="s">
        <v>92</v>
      </c>
      <c r="B5038" s="140" t="s">
        <v>25</v>
      </c>
      <c r="C5038" s="141" t="s">
        <v>153</v>
      </c>
      <c r="D5038" s="140" t="s">
        <v>154</v>
      </c>
      <c r="E5038" s="140">
        <v>6</v>
      </c>
      <c r="F5038" s="142">
        <v>45952.625</v>
      </c>
      <c r="G5038" s="140" t="s">
        <v>845</v>
      </c>
      <c r="H5038" s="140" t="s">
        <v>885</v>
      </c>
    </row>
    <row r="5039" spans="1:8" ht="15.75" customHeight="1">
      <c r="A5039" s="140" t="s">
        <v>92</v>
      </c>
      <c r="B5039" s="140" t="s">
        <v>25</v>
      </c>
      <c r="C5039" s="141" t="s">
        <v>153</v>
      </c>
      <c r="D5039" s="140" t="s">
        <v>154</v>
      </c>
      <c r="E5039" s="140">
        <v>7</v>
      </c>
      <c r="F5039" s="142">
        <v>45961.583333333328</v>
      </c>
      <c r="G5039" s="140" t="s">
        <v>845</v>
      </c>
      <c r="H5039" s="140" t="s">
        <v>885</v>
      </c>
    </row>
    <row r="5040" spans="1:8" ht="15.75" customHeight="1">
      <c r="A5040" s="140" t="s">
        <v>92</v>
      </c>
      <c r="B5040" s="140" t="s">
        <v>25</v>
      </c>
      <c r="C5040" s="141" t="s">
        <v>153</v>
      </c>
      <c r="D5040" s="140" t="s">
        <v>154</v>
      </c>
      <c r="E5040" s="140">
        <v>8</v>
      </c>
      <c r="F5040" s="142">
        <v>45966.625</v>
      </c>
      <c r="G5040" s="140" t="s">
        <v>845</v>
      </c>
      <c r="H5040" s="140" t="s">
        <v>885</v>
      </c>
    </row>
    <row r="5041" spans="1:8" ht="15.75" customHeight="1">
      <c r="A5041" s="140" t="s">
        <v>92</v>
      </c>
      <c r="B5041" s="140" t="s">
        <v>25</v>
      </c>
      <c r="C5041" s="141" t="s">
        <v>153</v>
      </c>
      <c r="D5041" s="140" t="s">
        <v>154</v>
      </c>
      <c r="E5041" s="140">
        <v>9</v>
      </c>
      <c r="F5041" s="142">
        <v>45974.583333333328</v>
      </c>
      <c r="G5041" s="140" t="s">
        <v>845</v>
      </c>
      <c r="H5041" s="140" t="s">
        <v>885</v>
      </c>
    </row>
    <row r="5042" spans="1:8" ht="15.75" customHeight="1">
      <c r="A5042" s="140" t="s">
        <v>92</v>
      </c>
      <c r="B5042" s="140" t="s">
        <v>25</v>
      </c>
      <c r="C5042" s="141" t="s">
        <v>153</v>
      </c>
      <c r="D5042" s="140" t="s">
        <v>154</v>
      </c>
      <c r="E5042" s="140">
        <v>10</v>
      </c>
      <c r="F5042" s="142">
        <v>45982.625</v>
      </c>
      <c r="G5042" s="140" t="s">
        <v>843</v>
      </c>
      <c r="H5042" s="140" t="s">
        <v>885</v>
      </c>
    </row>
    <row r="5043" spans="1:8" ht="15.75" customHeight="1">
      <c r="A5043" s="140" t="s">
        <v>92</v>
      </c>
      <c r="B5043" s="140" t="s">
        <v>25</v>
      </c>
      <c r="C5043" s="141" t="s">
        <v>153</v>
      </c>
      <c r="D5043" s="140" t="s">
        <v>154</v>
      </c>
      <c r="E5043" s="140">
        <v>11</v>
      </c>
      <c r="F5043" s="142">
        <v>45989.583333333328</v>
      </c>
      <c r="G5043" s="140" t="s">
        <v>845</v>
      </c>
      <c r="H5043" s="140" t="s">
        <v>885</v>
      </c>
    </row>
    <row r="5044" spans="1:8" ht="15.75" customHeight="1">
      <c r="A5044" s="140" t="s">
        <v>92</v>
      </c>
      <c r="B5044" s="140" t="s">
        <v>25</v>
      </c>
      <c r="C5044" s="141" t="s">
        <v>153</v>
      </c>
      <c r="D5044" s="140" t="s">
        <v>154</v>
      </c>
      <c r="E5044" s="140">
        <v>12</v>
      </c>
      <c r="F5044" s="142">
        <v>45994.541666666672</v>
      </c>
      <c r="G5044" s="140" t="s">
        <v>845</v>
      </c>
      <c r="H5044" s="140" t="s">
        <v>885</v>
      </c>
    </row>
    <row r="5045" spans="1:8" ht="15.75" customHeight="1">
      <c r="A5045" s="140" t="s">
        <v>92</v>
      </c>
      <c r="B5045" s="140" t="s">
        <v>25</v>
      </c>
      <c r="C5045" s="141" t="s">
        <v>153</v>
      </c>
      <c r="D5045" s="140" t="s">
        <v>154</v>
      </c>
      <c r="E5045" s="140">
        <v>13</v>
      </c>
      <c r="F5045" s="142">
        <v>46010.583333333328</v>
      </c>
      <c r="G5045" s="140" t="s">
        <v>843</v>
      </c>
      <c r="H5045" s="140" t="s">
        <v>885</v>
      </c>
    </row>
    <row r="5046" spans="1:8" ht="15.75" customHeight="1">
      <c r="A5046" s="140" t="s">
        <v>92</v>
      </c>
      <c r="B5046" s="140" t="s">
        <v>25</v>
      </c>
      <c r="C5046" s="141" t="s">
        <v>153</v>
      </c>
      <c r="D5046" s="140" t="s">
        <v>154</v>
      </c>
      <c r="E5046" s="140">
        <v>14</v>
      </c>
      <c r="F5046" s="142">
        <v>46049.541666666672</v>
      </c>
      <c r="G5046" s="140" t="s">
        <v>845</v>
      </c>
      <c r="H5046" s="140" t="s">
        <v>885</v>
      </c>
    </row>
    <row r="5047" spans="1:8" ht="15.75" customHeight="1">
      <c r="A5047" s="140" t="s">
        <v>92</v>
      </c>
      <c r="B5047" s="140" t="s">
        <v>25</v>
      </c>
      <c r="C5047" s="141" t="s">
        <v>153</v>
      </c>
      <c r="D5047" s="140" t="s">
        <v>154</v>
      </c>
      <c r="E5047" s="140">
        <v>15</v>
      </c>
      <c r="F5047" s="142">
        <v>46052.583333333328</v>
      </c>
      <c r="G5047" s="140" t="s">
        <v>843</v>
      </c>
      <c r="H5047" s="140" t="s">
        <v>885</v>
      </c>
    </row>
    <row r="5048" spans="1:8" ht="15.75" customHeight="1">
      <c r="A5048" s="140" t="s">
        <v>92</v>
      </c>
      <c r="B5048" s="140" t="s">
        <v>25</v>
      </c>
      <c r="C5048" s="141" t="s">
        <v>153</v>
      </c>
      <c r="D5048" s="140" t="s">
        <v>154</v>
      </c>
      <c r="E5048" s="140">
        <v>16</v>
      </c>
      <c r="F5048" s="142">
        <v>46083.583333333328</v>
      </c>
      <c r="G5048" s="140" t="s">
        <v>845</v>
      </c>
      <c r="H5048" s="140" t="s">
        <v>885</v>
      </c>
    </row>
    <row r="5049" spans="1:8" ht="15.75" customHeight="1">
      <c r="A5049" s="140" t="s">
        <v>92</v>
      </c>
      <c r="B5049" s="140" t="s">
        <v>25</v>
      </c>
      <c r="C5049" s="141" t="s">
        <v>269</v>
      </c>
      <c r="D5049" s="140" t="s">
        <v>270</v>
      </c>
      <c r="E5049" s="140">
        <v>4</v>
      </c>
      <c r="F5049" s="142">
        <v>45938.583333333328</v>
      </c>
      <c r="G5049" s="140" t="s">
        <v>843</v>
      </c>
      <c r="H5049" s="140" t="s">
        <v>885</v>
      </c>
    </row>
    <row r="5050" spans="1:8" ht="15.75" customHeight="1">
      <c r="A5050" s="140" t="s">
        <v>92</v>
      </c>
      <c r="B5050" s="140" t="s">
        <v>25</v>
      </c>
      <c r="C5050" s="141" t="s">
        <v>269</v>
      </c>
      <c r="D5050" s="140" t="s">
        <v>270</v>
      </c>
      <c r="E5050" s="140">
        <v>5</v>
      </c>
      <c r="F5050" s="142">
        <v>45947.541666666672</v>
      </c>
      <c r="G5050" s="140" t="s">
        <v>845</v>
      </c>
      <c r="H5050" s="140" t="s">
        <v>885</v>
      </c>
    </row>
    <row r="5051" spans="1:8" ht="15.75" customHeight="1">
      <c r="A5051" s="140" t="s">
        <v>92</v>
      </c>
      <c r="B5051" s="140" t="s">
        <v>25</v>
      </c>
      <c r="C5051" s="141" t="s">
        <v>269</v>
      </c>
      <c r="D5051" s="140" t="s">
        <v>270</v>
      </c>
      <c r="E5051" s="140">
        <v>6</v>
      </c>
      <c r="F5051" s="142">
        <v>45952.625</v>
      </c>
      <c r="G5051" s="140" t="s">
        <v>845</v>
      </c>
      <c r="H5051" s="140" t="s">
        <v>885</v>
      </c>
    </row>
    <row r="5052" spans="1:8" ht="15.75" customHeight="1">
      <c r="A5052" s="140" t="s">
        <v>92</v>
      </c>
      <c r="B5052" s="140" t="s">
        <v>25</v>
      </c>
      <c r="C5052" s="141" t="s">
        <v>269</v>
      </c>
      <c r="D5052" s="140" t="s">
        <v>270</v>
      </c>
      <c r="E5052" s="140">
        <v>7</v>
      </c>
      <c r="F5052" s="142">
        <v>45961.583333333328</v>
      </c>
      <c r="G5052" s="140" t="s">
        <v>845</v>
      </c>
      <c r="H5052" s="140" t="s">
        <v>885</v>
      </c>
    </row>
    <row r="5053" spans="1:8" ht="15.75" customHeight="1">
      <c r="A5053" s="140" t="s">
        <v>92</v>
      </c>
      <c r="B5053" s="140" t="s">
        <v>25</v>
      </c>
      <c r="C5053" s="141" t="s">
        <v>269</v>
      </c>
      <c r="D5053" s="140" t="s">
        <v>270</v>
      </c>
      <c r="E5053" s="140">
        <v>8</v>
      </c>
      <c r="F5053" s="142">
        <v>45966.625</v>
      </c>
      <c r="G5053" s="140" t="s">
        <v>843</v>
      </c>
      <c r="H5053" s="140" t="s">
        <v>885</v>
      </c>
    </row>
    <row r="5054" spans="1:8" ht="15.75" customHeight="1">
      <c r="A5054" s="140" t="s">
        <v>92</v>
      </c>
      <c r="B5054" s="140" t="s">
        <v>25</v>
      </c>
      <c r="C5054" s="141" t="s">
        <v>269</v>
      </c>
      <c r="D5054" s="140" t="s">
        <v>270</v>
      </c>
      <c r="E5054" s="140">
        <v>9</v>
      </c>
      <c r="F5054" s="142">
        <v>45974.583333333328</v>
      </c>
      <c r="G5054" s="140" t="s">
        <v>845</v>
      </c>
      <c r="H5054" s="140" t="s">
        <v>885</v>
      </c>
    </row>
    <row r="5055" spans="1:8" ht="15.75" customHeight="1">
      <c r="A5055" s="140" t="s">
        <v>92</v>
      </c>
      <c r="B5055" s="140" t="s">
        <v>25</v>
      </c>
      <c r="C5055" s="141" t="s">
        <v>269</v>
      </c>
      <c r="D5055" s="140" t="s">
        <v>270</v>
      </c>
      <c r="E5055" s="140">
        <v>10</v>
      </c>
      <c r="F5055" s="142">
        <v>45982.625</v>
      </c>
      <c r="G5055" s="140" t="s">
        <v>845</v>
      </c>
      <c r="H5055" s="140" t="s">
        <v>885</v>
      </c>
    </row>
    <row r="5056" spans="1:8" ht="15.75" customHeight="1">
      <c r="A5056" s="140" t="s">
        <v>92</v>
      </c>
      <c r="B5056" s="140" t="s">
        <v>25</v>
      </c>
      <c r="C5056" s="141" t="s">
        <v>269</v>
      </c>
      <c r="D5056" s="140" t="s">
        <v>270</v>
      </c>
      <c r="E5056" s="140">
        <v>11</v>
      </c>
      <c r="F5056" s="142">
        <v>45989.583333333328</v>
      </c>
      <c r="G5056" s="140" t="s">
        <v>845</v>
      </c>
      <c r="H5056" s="140" t="s">
        <v>885</v>
      </c>
    </row>
    <row r="5057" spans="1:8" ht="15.75" customHeight="1">
      <c r="A5057" s="140" t="s">
        <v>92</v>
      </c>
      <c r="B5057" s="140" t="s">
        <v>25</v>
      </c>
      <c r="C5057" s="141" t="s">
        <v>269</v>
      </c>
      <c r="D5057" s="140" t="s">
        <v>270</v>
      </c>
      <c r="E5057" s="140">
        <v>12</v>
      </c>
      <c r="F5057" s="142">
        <v>45994.541666666672</v>
      </c>
      <c r="G5057" s="140" t="s">
        <v>845</v>
      </c>
      <c r="H5057" s="140" t="s">
        <v>885</v>
      </c>
    </row>
    <row r="5058" spans="1:8" ht="15.75" customHeight="1">
      <c r="A5058" s="140" t="s">
        <v>92</v>
      </c>
      <c r="B5058" s="140" t="s">
        <v>25</v>
      </c>
      <c r="C5058" s="141" t="s">
        <v>269</v>
      </c>
      <c r="D5058" s="140" t="s">
        <v>270</v>
      </c>
      <c r="E5058" s="140">
        <v>13</v>
      </c>
      <c r="F5058" s="142">
        <v>46010.583333333328</v>
      </c>
      <c r="G5058" s="140" t="s">
        <v>845</v>
      </c>
      <c r="H5058" s="140" t="s">
        <v>885</v>
      </c>
    </row>
    <row r="5059" spans="1:8" ht="15.75" customHeight="1">
      <c r="A5059" s="140" t="s">
        <v>92</v>
      </c>
      <c r="B5059" s="140" t="s">
        <v>25</v>
      </c>
      <c r="C5059" s="141" t="s">
        <v>269</v>
      </c>
      <c r="D5059" s="140" t="s">
        <v>270</v>
      </c>
      <c r="E5059" s="140">
        <v>14</v>
      </c>
      <c r="F5059" s="142">
        <v>46049.541666666672</v>
      </c>
      <c r="G5059" s="140" t="s">
        <v>845</v>
      </c>
      <c r="H5059" s="140" t="s">
        <v>885</v>
      </c>
    </row>
    <row r="5060" spans="1:8" ht="15.75" customHeight="1">
      <c r="A5060" s="140" t="s">
        <v>92</v>
      </c>
      <c r="B5060" s="140" t="s">
        <v>25</v>
      </c>
      <c r="C5060" s="141" t="s">
        <v>269</v>
      </c>
      <c r="D5060" s="140" t="s">
        <v>270</v>
      </c>
      <c r="E5060" s="140">
        <v>15</v>
      </c>
      <c r="F5060" s="142">
        <v>46052.583333333328</v>
      </c>
      <c r="G5060" s="140" t="s">
        <v>845</v>
      </c>
      <c r="H5060" s="140" t="s">
        <v>885</v>
      </c>
    </row>
    <row r="5061" spans="1:8" ht="15.75" customHeight="1">
      <c r="A5061" s="140" t="s">
        <v>92</v>
      </c>
      <c r="B5061" s="140" t="s">
        <v>25</v>
      </c>
      <c r="C5061" s="141" t="s">
        <v>269</v>
      </c>
      <c r="D5061" s="140" t="s">
        <v>270</v>
      </c>
      <c r="E5061" s="140">
        <v>16</v>
      </c>
      <c r="F5061" s="142">
        <v>46083.583333333328</v>
      </c>
      <c r="G5061" s="140" t="s">
        <v>845</v>
      </c>
      <c r="H5061" s="140" t="s">
        <v>885</v>
      </c>
    </row>
    <row r="5062" spans="1:8" ht="15.75" customHeight="1">
      <c r="A5062" s="140" t="s">
        <v>92</v>
      </c>
      <c r="B5062" s="140" t="s">
        <v>25</v>
      </c>
      <c r="C5062" s="141" t="s">
        <v>273</v>
      </c>
      <c r="D5062" s="140" t="s">
        <v>274</v>
      </c>
      <c r="E5062" s="140">
        <v>4</v>
      </c>
      <c r="F5062" s="142">
        <v>45938.583333333328</v>
      </c>
      <c r="G5062" s="140" t="s">
        <v>845</v>
      </c>
      <c r="H5062" s="140" t="s">
        <v>885</v>
      </c>
    </row>
    <row r="5063" spans="1:8" ht="15.75" customHeight="1">
      <c r="A5063" s="140" t="s">
        <v>92</v>
      </c>
      <c r="B5063" s="140" t="s">
        <v>25</v>
      </c>
      <c r="C5063" s="141" t="s">
        <v>273</v>
      </c>
      <c r="D5063" s="140" t="s">
        <v>274</v>
      </c>
      <c r="E5063" s="140">
        <v>5</v>
      </c>
      <c r="F5063" s="142">
        <v>45947.541666666672</v>
      </c>
      <c r="G5063" s="140" t="s">
        <v>845</v>
      </c>
      <c r="H5063" s="140" t="s">
        <v>885</v>
      </c>
    </row>
    <row r="5064" spans="1:8" ht="15.75" customHeight="1">
      <c r="A5064" s="140" t="s">
        <v>92</v>
      </c>
      <c r="B5064" s="140" t="s">
        <v>25</v>
      </c>
      <c r="C5064" s="141" t="s">
        <v>273</v>
      </c>
      <c r="D5064" s="140" t="s">
        <v>274</v>
      </c>
      <c r="E5064" s="140">
        <v>6</v>
      </c>
      <c r="F5064" s="142">
        <v>45952.625</v>
      </c>
      <c r="G5064" s="140" t="s">
        <v>845</v>
      </c>
      <c r="H5064" s="140" t="s">
        <v>885</v>
      </c>
    </row>
    <row r="5065" spans="1:8" ht="15.75" customHeight="1">
      <c r="A5065" s="140" t="s">
        <v>92</v>
      </c>
      <c r="B5065" s="140" t="s">
        <v>25</v>
      </c>
      <c r="C5065" s="141" t="s">
        <v>273</v>
      </c>
      <c r="D5065" s="140" t="s">
        <v>274</v>
      </c>
      <c r="E5065" s="140">
        <v>7</v>
      </c>
      <c r="F5065" s="142">
        <v>45961.583333333328</v>
      </c>
      <c r="G5065" s="140" t="s">
        <v>845</v>
      </c>
      <c r="H5065" s="140" t="s">
        <v>885</v>
      </c>
    </row>
    <row r="5066" spans="1:8" ht="15.75" customHeight="1">
      <c r="A5066" s="140" t="s">
        <v>92</v>
      </c>
      <c r="B5066" s="140" t="s">
        <v>25</v>
      </c>
      <c r="C5066" s="141" t="s">
        <v>273</v>
      </c>
      <c r="D5066" s="140" t="s">
        <v>274</v>
      </c>
      <c r="E5066" s="140">
        <v>8</v>
      </c>
      <c r="F5066" s="142">
        <v>45966.625</v>
      </c>
      <c r="G5066" s="140" t="s">
        <v>843</v>
      </c>
      <c r="H5066" s="140" t="s">
        <v>885</v>
      </c>
    </row>
    <row r="5067" spans="1:8" ht="15.75" customHeight="1">
      <c r="A5067" s="140" t="s">
        <v>92</v>
      </c>
      <c r="B5067" s="140" t="s">
        <v>25</v>
      </c>
      <c r="C5067" s="141" t="s">
        <v>273</v>
      </c>
      <c r="D5067" s="140" t="s">
        <v>274</v>
      </c>
      <c r="E5067" s="140">
        <v>9</v>
      </c>
      <c r="F5067" s="142">
        <v>45974.583333333328</v>
      </c>
      <c r="G5067" s="140" t="s">
        <v>845</v>
      </c>
      <c r="H5067" s="140" t="s">
        <v>885</v>
      </c>
    </row>
    <row r="5068" spans="1:8" ht="15.75" customHeight="1">
      <c r="A5068" s="140" t="s">
        <v>92</v>
      </c>
      <c r="B5068" s="140" t="s">
        <v>25</v>
      </c>
      <c r="C5068" s="141" t="s">
        <v>273</v>
      </c>
      <c r="D5068" s="140" t="s">
        <v>274</v>
      </c>
      <c r="E5068" s="140">
        <v>10</v>
      </c>
      <c r="F5068" s="142">
        <v>45982.625</v>
      </c>
      <c r="G5068" s="140" t="s">
        <v>843</v>
      </c>
      <c r="H5068" s="140" t="s">
        <v>885</v>
      </c>
    </row>
    <row r="5069" spans="1:8" ht="15.75" customHeight="1">
      <c r="A5069" s="140" t="s">
        <v>92</v>
      </c>
      <c r="B5069" s="140" t="s">
        <v>25</v>
      </c>
      <c r="C5069" s="141" t="s">
        <v>273</v>
      </c>
      <c r="D5069" s="140" t="s">
        <v>274</v>
      </c>
      <c r="E5069" s="140">
        <v>11</v>
      </c>
      <c r="F5069" s="142">
        <v>45989.583333333328</v>
      </c>
      <c r="G5069" s="140" t="s">
        <v>845</v>
      </c>
      <c r="H5069" s="140" t="s">
        <v>885</v>
      </c>
    </row>
    <row r="5070" spans="1:8" ht="15.75" customHeight="1">
      <c r="A5070" s="140" t="s">
        <v>92</v>
      </c>
      <c r="B5070" s="140" t="s">
        <v>25</v>
      </c>
      <c r="C5070" s="141" t="s">
        <v>273</v>
      </c>
      <c r="D5070" s="140" t="s">
        <v>274</v>
      </c>
      <c r="E5070" s="140">
        <v>12</v>
      </c>
      <c r="F5070" s="142">
        <v>45994.541666666672</v>
      </c>
      <c r="G5070" s="140" t="s">
        <v>845</v>
      </c>
      <c r="H5070" s="140" t="s">
        <v>885</v>
      </c>
    </row>
    <row r="5071" spans="1:8" ht="15.75" customHeight="1">
      <c r="A5071" s="140" t="s">
        <v>92</v>
      </c>
      <c r="B5071" s="140" t="s">
        <v>25</v>
      </c>
      <c r="C5071" s="141" t="s">
        <v>273</v>
      </c>
      <c r="D5071" s="140" t="s">
        <v>274</v>
      </c>
      <c r="E5071" s="140">
        <v>13</v>
      </c>
      <c r="F5071" s="142">
        <v>46010.583333333328</v>
      </c>
      <c r="G5071" s="140" t="s">
        <v>845</v>
      </c>
      <c r="H5071" s="140" t="s">
        <v>885</v>
      </c>
    </row>
    <row r="5072" spans="1:8" ht="15.75" customHeight="1">
      <c r="A5072" s="140" t="s">
        <v>92</v>
      </c>
      <c r="B5072" s="140" t="s">
        <v>25</v>
      </c>
      <c r="C5072" s="141" t="s">
        <v>273</v>
      </c>
      <c r="D5072" s="140" t="s">
        <v>274</v>
      </c>
      <c r="E5072" s="140">
        <v>14</v>
      </c>
      <c r="F5072" s="142">
        <v>46049.541666666672</v>
      </c>
      <c r="G5072" s="140" t="s">
        <v>845</v>
      </c>
      <c r="H5072" s="140" t="s">
        <v>885</v>
      </c>
    </row>
    <row r="5073" spans="1:8" ht="15.75" customHeight="1">
      <c r="A5073" s="140" t="s">
        <v>92</v>
      </c>
      <c r="B5073" s="140" t="s">
        <v>25</v>
      </c>
      <c r="C5073" s="141" t="s">
        <v>273</v>
      </c>
      <c r="D5073" s="140" t="s">
        <v>274</v>
      </c>
      <c r="E5073" s="140">
        <v>15</v>
      </c>
      <c r="F5073" s="142">
        <v>46052.583333333328</v>
      </c>
      <c r="G5073" s="140" t="s">
        <v>845</v>
      </c>
      <c r="H5073" s="140" t="s">
        <v>885</v>
      </c>
    </row>
    <row r="5074" spans="1:8" ht="15.75" customHeight="1">
      <c r="A5074" s="140" t="s">
        <v>92</v>
      </c>
      <c r="B5074" s="140" t="s">
        <v>25</v>
      </c>
      <c r="C5074" s="141" t="s">
        <v>273</v>
      </c>
      <c r="D5074" s="140" t="s">
        <v>274</v>
      </c>
      <c r="E5074" s="140">
        <v>16</v>
      </c>
      <c r="F5074" s="142">
        <v>46083.583333333328</v>
      </c>
      <c r="G5074" s="140" t="s">
        <v>843</v>
      </c>
      <c r="H5074" s="140" t="s">
        <v>885</v>
      </c>
    </row>
    <row r="5075" spans="1:8" ht="15.75" customHeight="1">
      <c r="A5075" s="140" t="s">
        <v>92</v>
      </c>
      <c r="B5075" s="140" t="s">
        <v>25</v>
      </c>
      <c r="C5075" s="141" t="s">
        <v>302</v>
      </c>
      <c r="D5075" s="140" t="s">
        <v>303</v>
      </c>
      <c r="E5075" s="140">
        <v>4</v>
      </c>
      <c r="F5075" s="142">
        <v>45938.583333333328</v>
      </c>
      <c r="G5075" s="140" t="s">
        <v>843</v>
      </c>
      <c r="H5075" s="140" t="s">
        <v>885</v>
      </c>
    </row>
    <row r="5076" spans="1:8" ht="15.75" customHeight="1">
      <c r="A5076" s="140" t="s">
        <v>92</v>
      </c>
      <c r="B5076" s="140" t="s">
        <v>25</v>
      </c>
      <c r="C5076" s="141" t="s">
        <v>302</v>
      </c>
      <c r="D5076" s="140" t="s">
        <v>303</v>
      </c>
      <c r="E5076" s="140">
        <v>5</v>
      </c>
      <c r="F5076" s="142">
        <v>45947.541666666672</v>
      </c>
      <c r="G5076" s="140" t="s">
        <v>843</v>
      </c>
      <c r="H5076" s="140" t="s">
        <v>885</v>
      </c>
    </row>
    <row r="5077" spans="1:8" ht="15.75" customHeight="1">
      <c r="A5077" s="140" t="s">
        <v>92</v>
      </c>
      <c r="B5077" s="140" t="s">
        <v>25</v>
      </c>
      <c r="C5077" s="141" t="s">
        <v>302</v>
      </c>
      <c r="D5077" s="140" t="s">
        <v>303</v>
      </c>
      <c r="E5077" s="140">
        <v>6</v>
      </c>
      <c r="F5077" s="142">
        <v>45952.625</v>
      </c>
      <c r="G5077" s="140" t="s">
        <v>845</v>
      </c>
      <c r="H5077" s="140" t="s">
        <v>885</v>
      </c>
    </row>
    <row r="5078" spans="1:8" ht="15.75" customHeight="1">
      <c r="A5078" s="140" t="s">
        <v>92</v>
      </c>
      <c r="B5078" s="140" t="s">
        <v>25</v>
      </c>
      <c r="C5078" s="141" t="s">
        <v>302</v>
      </c>
      <c r="D5078" s="140" t="s">
        <v>303</v>
      </c>
      <c r="E5078" s="140">
        <v>7</v>
      </c>
      <c r="F5078" s="142">
        <v>45961.583333333328</v>
      </c>
      <c r="G5078" s="140" t="s">
        <v>845</v>
      </c>
      <c r="H5078" s="140" t="s">
        <v>885</v>
      </c>
    </row>
    <row r="5079" spans="1:8" ht="15.75" customHeight="1">
      <c r="A5079" s="140" t="s">
        <v>92</v>
      </c>
      <c r="B5079" s="140" t="s">
        <v>25</v>
      </c>
      <c r="C5079" s="141" t="s">
        <v>302</v>
      </c>
      <c r="D5079" s="140" t="s">
        <v>303</v>
      </c>
      <c r="E5079" s="140">
        <v>8</v>
      </c>
      <c r="F5079" s="142">
        <v>45966.625</v>
      </c>
      <c r="G5079" s="140" t="s">
        <v>843</v>
      </c>
      <c r="H5079" s="140" t="s">
        <v>885</v>
      </c>
    </row>
    <row r="5080" spans="1:8" ht="15.75" customHeight="1">
      <c r="A5080" s="140" t="s">
        <v>92</v>
      </c>
      <c r="B5080" s="140" t="s">
        <v>25</v>
      </c>
      <c r="C5080" s="141" t="s">
        <v>302</v>
      </c>
      <c r="D5080" s="140" t="s">
        <v>303</v>
      </c>
      <c r="E5080" s="140">
        <v>9</v>
      </c>
      <c r="F5080" s="142">
        <v>45974.583333333328</v>
      </c>
      <c r="G5080" s="140" t="s">
        <v>843</v>
      </c>
      <c r="H5080" s="140" t="s">
        <v>885</v>
      </c>
    </row>
    <row r="5081" spans="1:8" ht="15.75" customHeight="1">
      <c r="A5081" s="140" t="s">
        <v>92</v>
      </c>
      <c r="B5081" s="140" t="s">
        <v>25</v>
      </c>
      <c r="C5081" s="141" t="s">
        <v>302</v>
      </c>
      <c r="D5081" s="140" t="s">
        <v>303</v>
      </c>
      <c r="E5081" s="140">
        <v>10</v>
      </c>
      <c r="F5081" s="142">
        <v>45982.625</v>
      </c>
      <c r="G5081" s="140" t="s">
        <v>845</v>
      </c>
      <c r="H5081" s="140" t="s">
        <v>885</v>
      </c>
    </row>
    <row r="5082" spans="1:8" ht="15.75" customHeight="1">
      <c r="A5082" s="140" t="s">
        <v>92</v>
      </c>
      <c r="B5082" s="140" t="s">
        <v>25</v>
      </c>
      <c r="C5082" s="141" t="s">
        <v>302</v>
      </c>
      <c r="D5082" s="140" t="s">
        <v>303</v>
      </c>
      <c r="E5082" s="140">
        <v>11</v>
      </c>
      <c r="F5082" s="142">
        <v>45989.583333333328</v>
      </c>
      <c r="G5082" s="140" t="s">
        <v>845</v>
      </c>
      <c r="H5082" s="140" t="s">
        <v>885</v>
      </c>
    </row>
    <row r="5083" spans="1:8" ht="15.75" customHeight="1">
      <c r="A5083" s="140" t="s">
        <v>92</v>
      </c>
      <c r="B5083" s="140" t="s">
        <v>25</v>
      </c>
      <c r="C5083" s="141" t="s">
        <v>302</v>
      </c>
      <c r="D5083" s="140" t="s">
        <v>303</v>
      </c>
      <c r="E5083" s="140">
        <v>12</v>
      </c>
      <c r="F5083" s="142">
        <v>45994.541666666672</v>
      </c>
      <c r="G5083" s="140" t="s">
        <v>843</v>
      </c>
      <c r="H5083" s="140" t="s">
        <v>885</v>
      </c>
    </row>
    <row r="5084" spans="1:8" ht="15.75" customHeight="1">
      <c r="A5084" s="140" t="s">
        <v>92</v>
      </c>
      <c r="B5084" s="140" t="s">
        <v>25</v>
      </c>
      <c r="C5084" s="141" t="s">
        <v>302</v>
      </c>
      <c r="D5084" s="140" t="s">
        <v>303</v>
      </c>
      <c r="E5084" s="140">
        <v>13</v>
      </c>
      <c r="F5084" s="142">
        <v>46010.583333333328</v>
      </c>
      <c r="G5084" s="140" t="s">
        <v>845</v>
      </c>
      <c r="H5084" s="140" t="s">
        <v>885</v>
      </c>
    </row>
    <row r="5085" spans="1:8" ht="15.75" customHeight="1">
      <c r="A5085" s="140" t="s">
        <v>92</v>
      </c>
      <c r="B5085" s="140" t="s">
        <v>25</v>
      </c>
      <c r="C5085" s="141" t="s">
        <v>302</v>
      </c>
      <c r="D5085" s="140" t="s">
        <v>303</v>
      </c>
      <c r="E5085" s="140">
        <v>14</v>
      </c>
      <c r="F5085" s="142">
        <v>46049.541666666672</v>
      </c>
      <c r="G5085" s="140" t="s">
        <v>845</v>
      </c>
      <c r="H5085" s="140" t="s">
        <v>885</v>
      </c>
    </row>
    <row r="5086" spans="1:8" ht="15.75" customHeight="1">
      <c r="A5086" s="140" t="s">
        <v>92</v>
      </c>
      <c r="B5086" s="140" t="s">
        <v>25</v>
      </c>
      <c r="C5086" s="141" t="s">
        <v>302</v>
      </c>
      <c r="D5086" s="140" t="s">
        <v>303</v>
      </c>
      <c r="E5086" s="140">
        <v>15</v>
      </c>
      <c r="F5086" s="142">
        <v>46052.583333333328</v>
      </c>
      <c r="G5086" s="140" t="s">
        <v>845</v>
      </c>
      <c r="H5086" s="140" t="s">
        <v>885</v>
      </c>
    </row>
    <row r="5087" spans="1:8" ht="15.75" customHeight="1">
      <c r="A5087" s="140" t="s">
        <v>92</v>
      </c>
      <c r="B5087" s="140" t="s">
        <v>25</v>
      </c>
      <c r="C5087" s="141" t="s">
        <v>302</v>
      </c>
      <c r="D5087" s="140" t="s">
        <v>303</v>
      </c>
      <c r="E5087" s="140">
        <v>16</v>
      </c>
      <c r="F5087" s="142">
        <v>46083.583333333328</v>
      </c>
      <c r="G5087" s="140" t="s">
        <v>845</v>
      </c>
      <c r="H5087" s="140" t="s">
        <v>885</v>
      </c>
    </row>
    <row r="5088" spans="1:8" ht="15.75" customHeight="1">
      <c r="A5088" s="140" t="s">
        <v>92</v>
      </c>
      <c r="B5088" s="140" t="s">
        <v>25</v>
      </c>
      <c r="C5088" s="141" t="s">
        <v>361</v>
      </c>
      <c r="D5088" s="140" t="s">
        <v>362</v>
      </c>
      <c r="E5088" s="140">
        <v>4</v>
      </c>
      <c r="F5088" s="142">
        <v>45938.583333333328</v>
      </c>
      <c r="G5088" s="140" t="s">
        <v>843</v>
      </c>
      <c r="H5088" s="140" t="s">
        <v>885</v>
      </c>
    </row>
    <row r="5089" spans="1:8" ht="15.75" customHeight="1">
      <c r="A5089" s="140" t="s">
        <v>92</v>
      </c>
      <c r="B5089" s="140" t="s">
        <v>25</v>
      </c>
      <c r="C5089" s="141" t="s">
        <v>361</v>
      </c>
      <c r="D5089" s="140" t="s">
        <v>362</v>
      </c>
      <c r="E5089" s="140">
        <v>5</v>
      </c>
      <c r="F5089" s="142">
        <v>45947.541666666672</v>
      </c>
      <c r="G5089" s="140" t="s">
        <v>843</v>
      </c>
      <c r="H5089" s="140" t="s">
        <v>885</v>
      </c>
    </row>
    <row r="5090" spans="1:8" ht="15.75" customHeight="1">
      <c r="A5090" s="140" t="s">
        <v>92</v>
      </c>
      <c r="B5090" s="140" t="s">
        <v>25</v>
      </c>
      <c r="C5090" s="141" t="s">
        <v>361</v>
      </c>
      <c r="D5090" s="140" t="s">
        <v>362</v>
      </c>
      <c r="E5090" s="140">
        <v>6</v>
      </c>
      <c r="F5090" s="142">
        <v>45952.625</v>
      </c>
      <c r="G5090" s="140" t="s">
        <v>843</v>
      </c>
      <c r="H5090" s="140" t="s">
        <v>885</v>
      </c>
    </row>
    <row r="5091" spans="1:8" ht="15.75" customHeight="1">
      <c r="A5091" s="140" t="s">
        <v>92</v>
      </c>
      <c r="B5091" s="140" t="s">
        <v>25</v>
      </c>
      <c r="C5091" s="141" t="s">
        <v>361</v>
      </c>
      <c r="D5091" s="140" t="s">
        <v>362</v>
      </c>
      <c r="E5091" s="140">
        <v>7</v>
      </c>
      <c r="F5091" s="142">
        <v>45961.583333333328</v>
      </c>
      <c r="G5091" s="140" t="s">
        <v>843</v>
      </c>
      <c r="H5091" s="140" t="s">
        <v>885</v>
      </c>
    </row>
    <row r="5092" spans="1:8" ht="15.75" customHeight="1">
      <c r="A5092" s="140" t="s">
        <v>92</v>
      </c>
      <c r="B5092" s="140" t="s">
        <v>25</v>
      </c>
      <c r="C5092" s="141" t="s">
        <v>361</v>
      </c>
      <c r="D5092" s="140" t="s">
        <v>362</v>
      </c>
      <c r="E5092" s="140">
        <v>8</v>
      </c>
      <c r="F5092" s="142">
        <v>45966.625</v>
      </c>
      <c r="G5092" s="140" t="s">
        <v>843</v>
      </c>
      <c r="H5092" s="140" t="s">
        <v>885</v>
      </c>
    </row>
    <row r="5093" spans="1:8" ht="15.75" customHeight="1">
      <c r="A5093" s="140" t="s">
        <v>92</v>
      </c>
      <c r="B5093" s="140" t="s">
        <v>25</v>
      </c>
      <c r="C5093" s="141" t="s">
        <v>361</v>
      </c>
      <c r="D5093" s="140" t="s">
        <v>362</v>
      </c>
      <c r="E5093" s="140">
        <v>9</v>
      </c>
      <c r="F5093" s="142">
        <v>45974.583333333328</v>
      </c>
      <c r="G5093" s="140" t="s">
        <v>843</v>
      </c>
      <c r="H5093" s="140" t="s">
        <v>885</v>
      </c>
    </row>
    <row r="5094" spans="1:8" ht="15.75" customHeight="1">
      <c r="A5094" s="140" t="s">
        <v>92</v>
      </c>
      <c r="B5094" s="140" t="s">
        <v>25</v>
      </c>
      <c r="C5094" s="141" t="s">
        <v>361</v>
      </c>
      <c r="D5094" s="140" t="s">
        <v>362</v>
      </c>
      <c r="E5094" s="140">
        <v>10</v>
      </c>
      <c r="F5094" s="142">
        <v>45982.625</v>
      </c>
      <c r="G5094" s="140" t="s">
        <v>843</v>
      </c>
      <c r="H5094" s="140" t="s">
        <v>885</v>
      </c>
    </row>
    <row r="5095" spans="1:8" ht="15.75" customHeight="1">
      <c r="A5095" s="140" t="s">
        <v>92</v>
      </c>
      <c r="B5095" s="140" t="s">
        <v>25</v>
      </c>
      <c r="C5095" s="141" t="s">
        <v>385</v>
      </c>
      <c r="D5095" s="140" t="s">
        <v>386</v>
      </c>
      <c r="E5095" s="140">
        <v>4</v>
      </c>
      <c r="F5095" s="142">
        <v>45938.583333333328</v>
      </c>
      <c r="G5095" s="140" t="s">
        <v>845</v>
      </c>
      <c r="H5095" s="140" t="s">
        <v>885</v>
      </c>
    </row>
    <row r="5096" spans="1:8" ht="15.75" customHeight="1">
      <c r="A5096" s="140" t="s">
        <v>92</v>
      </c>
      <c r="B5096" s="140" t="s">
        <v>25</v>
      </c>
      <c r="C5096" s="141" t="s">
        <v>385</v>
      </c>
      <c r="D5096" s="140" t="s">
        <v>386</v>
      </c>
      <c r="E5096" s="140">
        <v>5</v>
      </c>
      <c r="F5096" s="142">
        <v>45947.541666666672</v>
      </c>
      <c r="G5096" s="140" t="s">
        <v>845</v>
      </c>
      <c r="H5096" s="140" t="s">
        <v>885</v>
      </c>
    </row>
    <row r="5097" spans="1:8" ht="15.75" customHeight="1">
      <c r="A5097" s="140" t="s">
        <v>92</v>
      </c>
      <c r="B5097" s="140" t="s">
        <v>25</v>
      </c>
      <c r="C5097" s="141" t="s">
        <v>385</v>
      </c>
      <c r="D5097" s="140" t="s">
        <v>386</v>
      </c>
      <c r="E5097" s="140">
        <v>6</v>
      </c>
      <c r="F5097" s="142">
        <v>45952.625</v>
      </c>
      <c r="G5097" s="140" t="s">
        <v>845</v>
      </c>
      <c r="H5097" s="140" t="s">
        <v>885</v>
      </c>
    </row>
    <row r="5098" spans="1:8" ht="15.75" customHeight="1">
      <c r="A5098" s="140" t="s">
        <v>92</v>
      </c>
      <c r="B5098" s="140" t="s">
        <v>25</v>
      </c>
      <c r="C5098" s="141" t="s">
        <v>385</v>
      </c>
      <c r="D5098" s="140" t="s">
        <v>386</v>
      </c>
      <c r="E5098" s="140">
        <v>7</v>
      </c>
      <c r="F5098" s="142">
        <v>45961.583333333328</v>
      </c>
      <c r="G5098" s="140" t="s">
        <v>845</v>
      </c>
      <c r="H5098" s="140" t="s">
        <v>885</v>
      </c>
    </row>
    <row r="5099" spans="1:8" ht="15.75" customHeight="1">
      <c r="A5099" s="140" t="s">
        <v>92</v>
      </c>
      <c r="B5099" s="140" t="s">
        <v>25</v>
      </c>
      <c r="C5099" s="141" t="s">
        <v>385</v>
      </c>
      <c r="D5099" s="140" t="s">
        <v>386</v>
      </c>
      <c r="E5099" s="140">
        <v>8</v>
      </c>
      <c r="F5099" s="142">
        <v>45966.625</v>
      </c>
      <c r="G5099" s="140" t="s">
        <v>843</v>
      </c>
      <c r="H5099" s="140" t="s">
        <v>885</v>
      </c>
    </row>
    <row r="5100" spans="1:8" ht="15.75" customHeight="1">
      <c r="A5100" s="140" t="s">
        <v>92</v>
      </c>
      <c r="B5100" s="140" t="s">
        <v>25</v>
      </c>
      <c r="C5100" s="141" t="s">
        <v>385</v>
      </c>
      <c r="D5100" s="140" t="s">
        <v>386</v>
      </c>
      <c r="E5100" s="140">
        <v>9</v>
      </c>
      <c r="F5100" s="142">
        <v>45974.583333333328</v>
      </c>
      <c r="G5100" s="140" t="s">
        <v>845</v>
      </c>
      <c r="H5100" s="140" t="s">
        <v>885</v>
      </c>
    </row>
    <row r="5101" spans="1:8" ht="15.75" customHeight="1">
      <c r="A5101" s="140" t="s">
        <v>92</v>
      </c>
      <c r="B5101" s="140" t="s">
        <v>25</v>
      </c>
      <c r="C5101" s="141" t="s">
        <v>385</v>
      </c>
      <c r="D5101" s="140" t="s">
        <v>386</v>
      </c>
      <c r="E5101" s="140">
        <v>10</v>
      </c>
      <c r="F5101" s="142">
        <v>45982.625</v>
      </c>
      <c r="G5101" s="140" t="s">
        <v>843</v>
      </c>
      <c r="H5101" s="140" t="s">
        <v>885</v>
      </c>
    </row>
    <row r="5102" spans="1:8" ht="15.75" customHeight="1">
      <c r="A5102" s="140" t="s">
        <v>92</v>
      </c>
      <c r="B5102" s="140" t="s">
        <v>25</v>
      </c>
      <c r="C5102" s="141" t="s">
        <v>385</v>
      </c>
      <c r="D5102" s="140" t="s">
        <v>386</v>
      </c>
      <c r="E5102" s="140">
        <v>11</v>
      </c>
      <c r="F5102" s="142">
        <v>45989.583333333328</v>
      </c>
      <c r="G5102" s="140" t="s">
        <v>845</v>
      </c>
      <c r="H5102" s="140" t="s">
        <v>885</v>
      </c>
    </row>
    <row r="5103" spans="1:8" ht="15.75" customHeight="1">
      <c r="A5103" s="140" t="s">
        <v>92</v>
      </c>
      <c r="B5103" s="140" t="s">
        <v>25</v>
      </c>
      <c r="C5103" s="141" t="s">
        <v>385</v>
      </c>
      <c r="D5103" s="140" t="s">
        <v>386</v>
      </c>
      <c r="E5103" s="140">
        <v>12</v>
      </c>
      <c r="F5103" s="142">
        <v>45994.541666666672</v>
      </c>
      <c r="G5103" s="140" t="s">
        <v>843</v>
      </c>
      <c r="H5103" s="140" t="s">
        <v>885</v>
      </c>
    </row>
    <row r="5104" spans="1:8" ht="15.75" customHeight="1">
      <c r="A5104" s="140" t="s">
        <v>92</v>
      </c>
      <c r="B5104" s="140" t="s">
        <v>25</v>
      </c>
      <c r="C5104" s="141" t="s">
        <v>385</v>
      </c>
      <c r="D5104" s="140" t="s">
        <v>386</v>
      </c>
      <c r="E5104" s="140">
        <v>13</v>
      </c>
      <c r="F5104" s="142">
        <v>46010.583333333328</v>
      </c>
      <c r="G5104" s="140" t="s">
        <v>845</v>
      </c>
      <c r="H5104" s="140" t="s">
        <v>885</v>
      </c>
    </row>
    <row r="5105" spans="1:8" ht="15.75" customHeight="1">
      <c r="A5105" s="140" t="s">
        <v>92</v>
      </c>
      <c r="B5105" s="140" t="s">
        <v>25</v>
      </c>
      <c r="C5105" s="141" t="s">
        <v>385</v>
      </c>
      <c r="D5105" s="140" t="s">
        <v>386</v>
      </c>
      <c r="E5105" s="140">
        <v>14</v>
      </c>
      <c r="F5105" s="142">
        <v>46049.541666666672</v>
      </c>
      <c r="G5105" s="140" t="s">
        <v>843</v>
      </c>
      <c r="H5105" s="140" t="s">
        <v>885</v>
      </c>
    </row>
    <row r="5106" spans="1:8" ht="15.75" customHeight="1">
      <c r="A5106" s="140" t="s">
        <v>92</v>
      </c>
      <c r="B5106" s="140" t="s">
        <v>25</v>
      </c>
      <c r="C5106" s="141" t="s">
        <v>385</v>
      </c>
      <c r="D5106" s="140" t="s">
        <v>386</v>
      </c>
      <c r="E5106" s="140">
        <v>15</v>
      </c>
      <c r="F5106" s="142">
        <v>46052.583333333328</v>
      </c>
      <c r="G5106" s="140" t="s">
        <v>845</v>
      </c>
      <c r="H5106" s="140" t="s">
        <v>885</v>
      </c>
    </row>
    <row r="5107" spans="1:8" ht="15.75" customHeight="1">
      <c r="A5107" s="140" t="s">
        <v>92</v>
      </c>
      <c r="B5107" s="140" t="s">
        <v>25</v>
      </c>
      <c r="C5107" s="141" t="s">
        <v>385</v>
      </c>
      <c r="D5107" s="140" t="s">
        <v>386</v>
      </c>
      <c r="E5107" s="140">
        <v>16</v>
      </c>
      <c r="F5107" s="142">
        <v>46083.583333333328</v>
      </c>
      <c r="G5107" s="140" t="s">
        <v>845</v>
      </c>
      <c r="H5107" s="140" t="s">
        <v>885</v>
      </c>
    </row>
    <row r="5108" spans="1:8" ht="15.75" customHeight="1">
      <c r="A5108" s="140" t="s">
        <v>92</v>
      </c>
      <c r="B5108" s="140" t="s">
        <v>25</v>
      </c>
      <c r="C5108" s="141" t="s">
        <v>405</v>
      </c>
      <c r="D5108" s="140" t="s">
        <v>406</v>
      </c>
      <c r="E5108" s="140">
        <v>1</v>
      </c>
      <c r="F5108" s="142">
        <v>45917.583333333328</v>
      </c>
      <c r="G5108" s="140" t="s">
        <v>845</v>
      </c>
      <c r="H5108" s="140" t="s">
        <v>885</v>
      </c>
    </row>
    <row r="5109" spans="1:8" ht="15.75" customHeight="1">
      <c r="A5109" s="140" t="s">
        <v>92</v>
      </c>
      <c r="B5109" s="140" t="s">
        <v>25</v>
      </c>
      <c r="C5109" s="141" t="s">
        <v>405</v>
      </c>
      <c r="D5109" s="140" t="s">
        <v>406</v>
      </c>
      <c r="E5109" s="140">
        <v>2</v>
      </c>
      <c r="F5109" s="142">
        <v>45925.541666666672</v>
      </c>
      <c r="G5109" s="140" t="s">
        <v>845</v>
      </c>
      <c r="H5109" s="140" t="s">
        <v>885</v>
      </c>
    </row>
    <row r="5110" spans="1:8" ht="15.75" customHeight="1">
      <c r="A5110" s="140" t="s">
        <v>92</v>
      </c>
      <c r="B5110" s="140" t="s">
        <v>25</v>
      </c>
      <c r="C5110" s="141" t="s">
        <v>405</v>
      </c>
      <c r="D5110" s="140" t="s">
        <v>406</v>
      </c>
      <c r="E5110" s="140">
        <v>4</v>
      </c>
      <c r="F5110" s="142">
        <v>45938.583333333328</v>
      </c>
      <c r="G5110" s="140" t="s">
        <v>845</v>
      </c>
      <c r="H5110" s="140" t="s">
        <v>885</v>
      </c>
    </row>
    <row r="5111" spans="1:8" ht="15.75" customHeight="1">
      <c r="A5111" s="140" t="s">
        <v>92</v>
      </c>
      <c r="B5111" s="140" t="s">
        <v>25</v>
      </c>
      <c r="C5111" s="141" t="s">
        <v>405</v>
      </c>
      <c r="D5111" s="140" t="s">
        <v>406</v>
      </c>
      <c r="E5111" s="140">
        <v>5</v>
      </c>
      <c r="F5111" s="142">
        <v>45947.541666666672</v>
      </c>
      <c r="G5111" s="140" t="s">
        <v>843</v>
      </c>
      <c r="H5111" s="140" t="s">
        <v>885</v>
      </c>
    </row>
    <row r="5112" spans="1:8" ht="15.75" customHeight="1">
      <c r="A5112" s="140" t="s">
        <v>92</v>
      </c>
      <c r="B5112" s="140" t="s">
        <v>25</v>
      </c>
      <c r="C5112" s="141" t="s">
        <v>405</v>
      </c>
      <c r="D5112" s="140" t="s">
        <v>406</v>
      </c>
      <c r="E5112" s="140">
        <v>6</v>
      </c>
      <c r="F5112" s="142">
        <v>45952.625</v>
      </c>
      <c r="G5112" s="140" t="s">
        <v>845</v>
      </c>
      <c r="H5112" s="140" t="s">
        <v>885</v>
      </c>
    </row>
    <row r="5113" spans="1:8" ht="15.75" customHeight="1">
      <c r="A5113" s="140" t="s">
        <v>92</v>
      </c>
      <c r="B5113" s="140" t="s">
        <v>25</v>
      </c>
      <c r="C5113" s="141" t="s">
        <v>405</v>
      </c>
      <c r="D5113" s="140" t="s">
        <v>406</v>
      </c>
      <c r="E5113" s="140">
        <v>7</v>
      </c>
      <c r="F5113" s="142">
        <v>45961.583333333328</v>
      </c>
      <c r="G5113" s="140" t="s">
        <v>845</v>
      </c>
      <c r="H5113" s="140" t="s">
        <v>885</v>
      </c>
    </row>
    <row r="5114" spans="1:8" ht="15.75" customHeight="1">
      <c r="A5114" s="140" t="s">
        <v>92</v>
      </c>
      <c r="B5114" s="140" t="s">
        <v>25</v>
      </c>
      <c r="C5114" s="141" t="s">
        <v>405</v>
      </c>
      <c r="D5114" s="140" t="s">
        <v>406</v>
      </c>
      <c r="E5114" s="140">
        <v>8</v>
      </c>
      <c r="F5114" s="142">
        <v>45966.625</v>
      </c>
      <c r="G5114" s="140" t="s">
        <v>845</v>
      </c>
      <c r="H5114" s="140" t="s">
        <v>885</v>
      </c>
    </row>
    <row r="5115" spans="1:8" ht="15.75" customHeight="1">
      <c r="A5115" s="140" t="s">
        <v>92</v>
      </c>
      <c r="B5115" s="140" t="s">
        <v>25</v>
      </c>
      <c r="C5115" s="141" t="s">
        <v>405</v>
      </c>
      <c r="D5115" s="140" t="s">
        <v>406</v>
      </c>
      <c r="E5115" s="140">
        <v>9</v>
      </c>
      <c r="F5115" s="142">
        <v>45974.583333333328</v>
      </c>
      <c r="G5115" s="140" t="s">
        <v>845</v>
      </c>
      <c r="H5115" s="140" t="s">
        <v>885</v>
      </c>
    </row>
    <row r="5116" spans="1:8" ht="15.75" customHeight="1">
      <c r="A5116" s="140" t="s">
        <v>92</v>
      </c>
      <c r="B5116" s="140" t="s">
        <v>25</v>
      </c>
      <c r="C5116" s="141" t="s">
        <v>405</v>
      </c>
      <c r="D5116" s="140" t="s">
        <v>406</v>
      </c>
      <c r="E5116" s="140">
        <v>10</v>
      </c>
      <c r="F5116" s="142">
        <v>45982.625</v>
      </c>
      <c r="G5116" s="140" t="s">
        <v>843</v>
      </c>
      <c r="H5116" s="140" t="s">
        <v>885</v>
      </c>
    </row>
    <row r="5117" spans="1:8" ht="15.75" customHeight="1">
      <c r="A5117" s="140" t="s">
        <v>92</v>
      </c>
      <c r="B5117" s="140" t="s">
        <v>25</v>
      </c>
      <c r="C5117" s="141" t="s">
        <v>405</v>
      </c>
      <c r="D5117" s="140" t="s">
        <v>406</v>
      </c>
      <c r="E5117" s="140">
        <v>11</v>
      </c>
      <c r="F5117" s="142">
        <v>45989.583333333328</v>
      </c>
      <c r="G5117" s="140" t="s">
        <v>843</v>
      </c>
      <c r="H5117" s="140" t="s">
        <v>885</v>
      </c>
    </row>
    <row r="5118" spans="1:8" ht="15.75" customHeight="1">
      <c r="A5118" s="140" t="s">
        <v>92</v>
      </c>
      <c r="B5118" s="140" t="s">
        <v>25</v>
      </c>
      <c r="C5118" s="141" t="s">
        <v>405</v>
      </c>
      <c r="D5118" s="140" t="s">
        <v>406</v>
      </c>
      <c r="E5118" s="140">
        <v>13</v>
      </c>
      <c r="F5118" s="142">
        <v>46010.583333333328</v>
      </c>
      <c r="G5118" s="140" t="s">
        <v>845</v>
      </c>
      <c r="H5118" s="140" t="s">
        <v>885</v>
      </c>
    </row>
    <row r="5119" spans="1:8" ht="15.75" customHeight="1">
      <c r="A5119" s="140" t="s">
        <v>92</v>
      </c>
      <c r="B5119" s="140" t="s">
        <v>25</v>
      </c>
      <c r="C5119" s="141" t="s">
        <v>405</v>
      </c>
      <c r="D5119" s="140" t="s">
        <v>406</v>
      </c>
      <c r="E5119" s="140">
        <v>14</v>
      </c>
      <c r="F5119" s="142">
        <v>46049.541666666672</v>
      </c>
      <c r="G5119" s="140" t="s">
        <v>843</v>
      </c>
      <c r="H5119" s="140" t="s">
        <v>885</v>
      </c>
    </row>
    <row r="5120" spans="1:8" ht="15.75" customHeight="1">
      <c r="A5120" s="140" t="s">
        <v>92</v>
      </c>
      <c r="B5120" s="140" t="s">
        <v>25</v>
      </c>
      <c r="C5120" s="141" t="s">
        <v>405</v>
      </c>
      <c r="D5120" s="140" t="s">
        <v>406</v>
      </c>
      <c r="E5120" s="140">
        <v>15</v>
      </c>
      <c r="F5120" s="142">
        <v>46052.583333333328</v>
      </c>
      <c r="G5120" s="140" t="s">
        <v>845</v>
      </c>
      <c r="H5120" s="140" t="s">
        <v>885</v>
      </c>
    </row>
    <row r="5121" spans="1:8" ht="15.75" customHeight="1">
      <c r="A5121" s="140" t="s">
        <v>92</v>
      </c>
      <c r="B5121" s="140" t="s">
        <v>25</v>
      </c>
      <c r="C5121" s="141" t="s">
        <v>405</v>
      </c>
      <c r="D5121" s="140" t="s">
        <v>406</v>
      </c>
      <c r="E5121" s="140">
        <v>16</v>
      </c>
      <c r="F5121" s="142">
        <v>46083.583333333328</v>
      </c>
      <c r="G5121" s="140" t="s">
        <v>845</v>
      </c>
      <c r="H5121" s="140" t="s">
        <v>885</v>
      </c>
    </row>
    <row r="5122" spans="1:8" ht="15.75" customHeight="1">
      <c r="A5122" s="140" t="s">
        <v>92</v>
      </c>
      <c r="B5122" s="140" t="s">
        <v>25</v>
      </c>
      <c r="C5122" s="141" t="s">
        <v>470</v>
      </c>
      <c r="D5122" s="140" t="s">
        <v>471</v>
      </c>
      <c r="E5122" s="140">
        <v>1</v>
      </c>
      <c r="F5122" s="142">
        <v>45917.583333333328</v>
      </c>
      <c r="G5122" s="140" t="s">
        <v>845</v>
      </c>
      <c r="H5122" s="140" t="s">
        <v>885</v>
      </c>
    </row>
    <row r="5123" spans="1:8" ht="15.75" customHeight="1">
      <c r="A5123" s="140" t="s">
        <v>92</v>
      </c>
      <c r="B5123" s="140" t="s">
        <v>25</v>
      </c>
      <c r="C5123" s="141" t="s">
        <v>470</v>
      </c>
      <c r="D5123" s="140" t="s">
        <v>471</v>
      </c>
      <c r="E5123" s="140">
        <v>2</v>
      </c>
      <c r="F5123" s="142">
        <v>45925.541666666672</v>
      </c>
      <c r="G5123" s="140" t="s">
        <v>845</v>
      </c>
      <c r="H5123" s="140" t="s">
        <v>885</v>
      </c>
    </row>
    <row r="5124" spans="1:8" ht="15.75" customHeight="1">
      <c r="A5124" s="140" t="s">
        <v>92</v>
      </c>
      <c r="B5124" s="140" t="s">
        <v>25</v>
      </c>
      <c r="C5124" s="141" t="s">
        <v>470</v>
      </c>
      <c r="D5124" s="140" t="s">
        <v>471</v>
      </c>
      <c r="E5124" s="140">
        <v>4</v>
      </c>
      <c r="F5124" s="142">
        <v>45938.583333333328</v>
      </c>
      <c r="G5124" s="140" t="s">
        <v>845</v>
      </c>
      <c r="H5124" s="140" t="s">
        <v>885</v>
      </c>
    </row>
    <row r="5125" spans="1:8" ht="15.75" customHeight="1">
      <c r="A5125" s="140" t="s">
        <v>92</v>
      </c>
      <c r="B5125" s="140" t="s">
        <v>25</v>
      </c>
      <c r="C5125" s="141" t="s">
        <v>470</v>
      </c>
      <c r="D5125" s="140" t="s">
        <v>471</v>
      </c>
      <c r="E5125" s="140">
        <v>5</v>
      </c>
      <c r="F5125" s="142">
        <v>45947.541666666672</v>
      </c>
      <c r="G5125" s="140" t="s">
        <v>845</v>
      </c>
      <c r="H5125" s="140" t="s">
        <v>885</v>
      </c>
    </row>
    <row r="5126" spans="1:8" ht="15.75" customHeight="1">
      <c r="A5126" s="140" t="s">
        <v>92</v>
      </c>
      <c r="B5126" s="140" t="s">
        <v>25</v>
      </c>
      <c r="C5126" s="141" t="s">
        <v>470</v>
      </c>
      <c r="D5126" s="140" t="s">
        <v>471</v>
      </c>
      <c r="E5126" s="140">
        <v>6</v>
      </c>
      <c r="F5126" s="142">
        <v>45952.625</v>
      </c>
      <c r="G5126" s="140" t="s">
        <v>845</v>
      </c>
      <c r="H5126" s="140" t="s">
        <v>885</v>
      </c>
    </row>
    <row r="5127" spans="1:8" ht="15.75" customHeight="1">
      <c r="A5127" s="140" t="s">
        <v>92</v>
      </c>
      <c r="B5127" s="140" t="s">
        <v>25</v>
      </c>
      <c r="C5127" s="141" t="s">
        <v>470</v>
      </c>
      <c r="D5127" s="140" t="s">
        <v>471</v>
      </c>
      <c r="E5127" s="140">
        <v>7</v>
      </c>
      <c r="F5127" s="142">
        <v>45961.583333333328</v>
      </c>
      <c r="G5127" s="140" t="s">
        <v>843</v>
      </c>
      <c r="H5127" s="140" t="s">
        <v>885</v>
      </c>
    </row>
    <row r="5128" spans="1:8" ht="15.75" customHeight="1">
      <c r="A5128" s="140" t="s">
        <v>92</v>
      </c>
      <c r="B5128" s="140" t="s">
        <v>25</v>
      </c>
      <c r="C5128" s="141" t="s">
        <v>470</v>
      </c>
      <c r="D5128" s="140" t="s">
        <v>471</v>
      </c>
      <c r="E5128" s="140">
        <v>8</v>
      </c>
      <c r="F5128" s="142">
        <v>45966.625</v>
      </c>
      <c r="G5128" s="140" t="s">
        <v>845</v>
      </c>
      <c r="H5128" s="140" t="s">
        <v>885</v>
      </c>
    </row>
    <row r="5129" spans="1:8" ht="15.75" customHeight="1">
      <c r="A5129" s="140" t="s">
        <v>92</v>
      </c>
      <c r="B5129" s="140" t="s">
        <v>25</v>
      </c>
      <c r="C5129" s="141" t="s">
        <v>470</v>
      </c>
      <c r="D5129" s="140" t="s">
        <v>471</v>
      </c>
      <c r="E5129" s="140">
        <v>9</v>
      </c>
      <c r="F5129" s="142">
        <v>45974.583333333328</v>
      </c>
      <c r="G5129" s="140" t="s">
        <v>845</v>
      </c>
      <c r="H5129" s="140" t="s">
        <v>885</v>
      </c>
    </row>
    <row r="5130" spans="1:8" ht="15.75" customHeight="1">
      <c r="A5130" s="140" t="s">
        <v>92</v>
      </c>
      <c r="B5130" s="140" t="s">
        <v>25</v>
      </c>
      <c r="C5130" s="141" t="s">
        <v>470</v>
      </c>
      <c r="D5130" s="140" t="s">
        <v>471</v>
      </c>
      <c r="E5130" s="140">
        <v>10</v>
      </c>
      <c r="F5130" s="142">
        <v>45982.625</v>
      </c>
      <c r="G5130" s="140" t="s">
        <v>845</v>
      </c>
      <c r="H5130" s="140" t="s">
        <v>885</v>
      </c>
    </row>
    <row r="5131" spans="1:8" ht="15.75" customHeight="1">
      <c r="A5131" s="140" t="s">
        <v>92</v>
      </c>
      <c r="B5131" s="140" t="s">
        <v>25</v>
      </c>
      <c r="C5131" s="141" t="s">
        <v>470</v>
      </c>
      <c r="D5131" s="140" t="s">
        <v>471</v>
      </c>
      <c r="E5131" s="140">
        <v>11</v>
      </c>
      <c r="F5131" s="142">
        <v>45989.583333333328</v>
      </c>
      <c r="G5131" s="140" t="s">
        <v>845</v>
      </c>
      <c r="H5131" s="140" t="s">
        <v>885</v>
      </c>
    </row>
    <row r="5132" spans="1:8" ht="15.75" customHeight="1">
      <c r="A5132" s="140" t="s">
        <v>92</v>
      </c>
      <c r="B5132" s="140" t="s">
        <v>25</v>
      </c>
      <c r="C5132" s="141" t="s">
        <v>470</v>
      </c>
      <c r="D5132" s="140" t="s">
        <v>471</v>
      </c>
      <c r="E5132" s="140">
        <v>12</v>
      </c>
      <c r="F5132" s="142">
        <v>45994.541666666672</v>
      </c>
      <c r="G5132" s="140" t="s">
        <v>843</v>
      </c>
      <c r="H5132" s="140" t="s">
        <v>885</v>
      </c>
    </row>
    <row r="5133" spans="1:8" ht="15.75" customHeight="1">
      <c r="A5133" s="140" t="s">
        <v>92</v>
      </c>
      <c r="B5133" s="140" t="s">
        <v>25</v>
      </c>
      <c r="C5133" s="141" t="s">
        <v>470</v>
      </c>
      <c r="D5133" s="140" t="s">
        <v>471</v>
      </c>
      <c r="E5133" s="140">
        <v>13</v>
      </c>
      <c r="F5133" s="142">
        <v>46010.583333333328</v>
      </c>
      <c r="G5133" s="140" t="s">
        <v>845</v>
      </c>
      <c r="H5133" s="140" t="s">
        <v>885</v>
      </c>
    </row>
    <row r="5134" spans="1:8" ht="15.75" customHeight="1">
      <c r="A5134" s="140" t="s">
        <v>92</v>
      </c>
      <c r="B5134" s="140" t="s">
        <v>25</v>
      </c>
      <c r="C5134" s="141" t="s">
        <v>470</v>
      </c>
      <c r="D5134" s="140" t="s">
        <v>471</v>
      </c>
      <c r="E5134" s="140">
        <v>14</v>
      </c>
      <c r="F5134" s="142">
        <v>46049.541666666672</v>
      </c>
      <c r="G5134" s="140" t="s">
        <v>845</v>
      </c>
      <c r="H5134" s="140" t="s">
        <v>885</v>
      </c>
    </row>
    <row r="5135" spans="1:8" ht="15.75" customHeight="1">
      <c r="A5135" s="140" t="s">
        <v>92</v>
      </c>
      <c r="B5135" s="140" t="s">
        <v>25</v>
      </c>
      <c r="C5135" s="141" t="s">
        <v>470</v>
      </c>
      <c r="D5135" s="140" t="s">
        <v>471</v>
      </c>
      <c r="E5135" s="140">
        <v>15</v>
      </c>
      <c r="F5135" s="142">
        <v>46052.583333333328</v>
      </c>
      <c r="G5135" s="140" t="s">
        <v>845</v>
      </c>
      <c r="H5135" s="140" t="s">
        <v>885</v>
      </c>
    </row>
    <row r="5136" spans="1:8" ht="15.75" customHeight="1">
      <c r="A5136" s="140" t="s">
        <v>92</v>
      </c>
      <c r="B5136" s="140" t="s">
        <v>25</v>
      </c>
      <c r="C5136" s="141" t="s">
        <v>470</v>
      </c>
      <c r="D5136" s="140" t="s">
        <v>471</v>
      </c>
      <c r="E5136" s="140">
        <v>16</v>
      </c>
      <c r="F5136" s="142">
        <v>46083.583333333328</v>
      </c>
      <c r="G5136" s="140" t="s">
        <v>845</v>
      </c>
      <c r="H5136" s="140" t="s">
        <v>885</v>
      </c>
    </row>
    <row r="5137" spans="1:8" ht="15.75" customHeight="1">
      <c r="A5137" s="140" t="s">
        <v>92</v>
      </c>
      <c r="B5137" s="140" t="s">
        <v>25</v>
      </c>
      <c r="C5137" s="141" t="s">
        <v>532</v>
      </c>
      <c r="D5137" s="140" t="s">
        <v>533</v>
      </c>
      <c r="E5137" s="140">
        <v>1</v>
      </c>
      <c r="F5137" s="142">
        <v>45917.583333333328</v>
      </c>
      <c r="G5137" s="140" t="s">
        <v>845</v>
      </c>
      <c r="H5137" s="140" t="s">
        <v>885</v>
      </c>
    </row>
    <row r="5138" spans="1:8" ht="15.75" customHeight="1">
      <c r="A5138" s="140" t="s">
        <v>92</v>
      </c>
      <c r="B5138" s="140" t="s">
        <v>25</v>
      </c>
      <c r="C5138" s="141" t="s">
        <v>532</v>
      </c>
      <c r="D5138" s="140" t="s">
        <v>533</v>
      </c>
      <c r="E5138" s="140">
        <v>2</v>
      </c>
      <c r="F5138" s="142">
        <v>45925.541666666672</v>
      </c>
      <c r="G5138" s="140" t="s">
        <v>845</v>
      </c>
      <c r="H5138" s="140" t="s">
        <v>885</v>
      </c>
    </row>
    <row r="5139" spans="1:8" ht="15.75" customHeight="1">
      <c r="A5139" s="140" t="s">
        <v>92</v>
      </c>
      <c r="B5139" s="140" t="s">
        <v>25</v>
      </c>
      <c r="C5139" s="141" t="s">
        <v>532</v>
      </c>
      <c r="D5139" s="140" t="s">
        <v>533</v>
      </c>
      <c r="E5139" s="140">
        <v>4</v>
      </c>
      <c r="F5139" s="142">
        <v>45938.583333333328</v>
      </c>
      <c r="G5139" s="140" t="s">
        <v>845</v>
      </c>
      <c r="H5139" s="140" t="s">
        <v>885</v>
      </c>
    </row>
    <row r="5140" spans="1:8" ht="15.75" customHeight="1">
      <c r="A5140" s="140" t="s">
        <v>92</v>
      </c>
      <c r="B5140" s="140" t="s">
        <v>25</v>
      </c>
      <c r="C5140" s="141" t="s">
        <v>532</v>
      </c>
      <c r="D5140" s="140" t="s">
        <v>533</v>
      </c>
      <c r="E5140" s="140">
        <v>5</v>
      </c>
      <c r="F5140" s="142">
        <v>45947.541666666672</v>
      </c>
      <c r="G5140" s="140" t="s">
        <v>845</v>
      </c>
      <c r="H5140" s="140" t="s">
        <v>885</v>
      </c>
    </row>
    <row r="5141" spans="1:8" ht="15.75" customHeight="1">
      <c r="A5141" s="140" t="s">
        <v>92</v>
      </c>
      <c r="B5141" s="140" t="s">
        <v>25</v>
      </c>
      <c r="C5141" s="141" t="s">
        <v>532</v>
      </c>
      <c r="D5141" s="140" t="s">
        <v>533</v>
      </c>
      <c r="E5141" s="140">
        <v>6</v>
      </c>
      <c r="F5141" s="142">
        <v>45952.625</v>
      </c>
      <c r="G5141" s="140" t="s">
        <v>843</v>
      </c>
      <c r="H5141" s="140" t="s">
        <v>885</v>
      </c>
    </row>
    <row r="5142" spans="1:8" ht="15.75" customHeight="1">
      <c r="A5142" s="140" t="s">
        <v>92</v>
      </c>
      <c r="B5142" s="140" t="s">
        <v>25</v>
      </c>
      <c r="C5142" s="141" t="s">
        <v>532</v>
      </c>
      <c r="D5142" s="140" t="s">
        <v>533</v>
      </c>
      <c r="E5142" s="140">
        <v>7</v>
      </c>
      <c r="F5142" s="142">
        <v>45961.583333333328</v>
      </c>
      <c r="G5142" s="140" t="s">
        <v>845</v>
      </c>
      <c r="H5142" s="140" t="s">
        <v>885</v>
      </c>
    </row>
    <row r="5143" spans="1:8" ht="15.75" customHeight="1">
      <c r="A5143" s="140" t="s">
        <v>92</v>
      </c>
      <c r="B5143" s="140" t="s">
        <v>25</v>
      </c>
      <c r="C5143" s="141" t="s">
        <v>532</v>
      </c>
      <c r="D5143" s="140" t="s">
        <v>533</v>
      </c>
      <c r="E5143" s="140">
        <v>8</v>
      </c>
      <c r="F5143" s="142">
        <v>45966.625</v>
      </c>
      <c r="G5143" s="140" t="s">
        <v>845</v>
      </c>
      <c r="H5143" s="140" t="s">
        <v>885</v>
      </c>
    </row>
    <row r="5144" spans="1:8" ht="15.75" customHeight="1">
      <c r="A5144" s="140" t="s">
        <v>92</v>
      </c>
      <c r="B5144" s="140" t="s">
        <v>25</v>
      </c>
      <c r="C5144" s="141" t="s">
        <v>532</v>
      </c>
      <c r="D5144" s="140" t="s">
        <v>533</v>
      </c>
      <c r="E5144" s="140">
        <v>9</v>
      </c>
      <c r="F5144" s="142">
        <v>45974.583333333328</v>
      </c>
      <c r="G5144" s="140" t="s">
        <v>845</v>
      </c>
      <c r="H5144" s="140" t="s">
        <v>885</v>
      </c>
    </row>
    <row r="5145" spans="1:8" ht="15.75" customHeight="1">
      <c r="A5145" s="140" t="s">
        <v>92</v>
      </c>
      <c r="B5145" s="140" t="s">
        <v>25</v>
      </c>
      <c r="C5145" s="141" t="s">
        <v>532</v>
      </c>
      <c r="D5145" s="140" t="s">
        <v>533</v>
      </c>
      <c r="E5145" s="140">
        <v>10</v>
      </c>
      <c r="F5145" s="142">
        <v>45982.625</v>
      </c>
      <c r="G5145" s="140" t="s">
        <v>845</v>
      </c>
      <c r="H5145" s="140" t="s">
        <v>885</v>
      </c>
    </row>
    <row r="5146" spans="1:8" ht="15.75" customHeight="1">
      <c r="A5146" s="140" t="s">
        <v>92</v>
      </c>
      <c r="B5146" s="140" t="s">
        <v>25</v>
      </c>
      <c r="C5146" s="141" t="s">
        <v>532</v>
      </c>
      <c r="D5146" s="140" t="s">
        <v>533</v>
      </c>
      <c r="E5146" s="140">
        <v>11</v>
      </c>
      <c r="F5146" s="142">
        <v>45989.583333333328</v>
      </c>
      <c r="G5146" s="140" t="s">
        <v>843</v>
      </c>
      <c r="H5146" s="140" t="s">
        <v>885</v>
      </c>
    </row>
    <row r="5147" spans="1:8" ht="15.75" customHeight="1">
      <c r="A5147" s="140" t="s">
        <v>92</v>
      </c>
      <c r="B5147" s="140" t="s">
        <v>25</v>
      </c>
      <c r="C5147" s="141" t="s">
        <v>532</v>
      </c>
      <c r="D5147" s="140" t="s">
        <v>533</v>
      </c>
      <c r="E5147" s="140">
        <v>12</v>
      </c>
      <c r="F5147" s="142">
        <v>45994.541666666672</v>
      </c>
      <c r="G5147" s="140" t="s">
        <v>843</v>
      </c>
      <c r="H5147" s="140" t="s">
        <v>885</v>
      </c>
    </row>
    <row r="5148" spans="1:8" ht="15.75" customHeight="1">
      <c r="A5148" s="140" t="s">
        <v>92</v>
      </c>
      <c r="B5148" s="140" t="s">
        <v>25</v>
      </c>
      <c r="C5148" s="141" t="s">
        <v>532</v>
      </c>
      <c r="D5148" s="140" t="s">
        <v>533</v>
      </c>
      <c r="E5148" s="140">
        <v>13</v>
      </c>
      <c r="F5148" s="142">
        <v>46010.583333333328</v>
      </c>
      <c r="G5148" s="140" t="s">
        <v>845</v>
      </c>
      <c r="H5148" s="140" t="s">
        <v>885</v>
      </c>
    </row>
    <row r="5149" spans="1:8" ht="15.75" customHeight="1">
      <c r="A5149" s="140" t="s">
        <v>92</v>
      </c>
      <c r="B5149" s="140" t="s">
        <v>25</v>
      </c>
      <c r="C5149" s="141" t="s">
        <v>532</v>
      </c>
      <c r="D5149" s="140" t="s">
        <v>533</v>
      </c>
      <c r="E5149" s="140">
        <v>14</v>
      </c>
      <c r="F5149" s="142">
        <v>46049.541666666672</v>
      </c>
      <c r="G5149" s="140" t="s">
        <v>845</v>
      </c>
      <c r="H5149" s="140" t="s">
        <v>885</v>
      </c>
    </row>
    <row r="5150" spans="1:8" ht="15.75" customHeight="1">
      <c r="A5150" s="140" t="s">
        <v>92</v>
      </c>
      <c r="B5150" s="140" t="s">
        <v>25</v>
      </c>
      <c r="C5150" s="141" t="s">
        <v>532</v>
      </c>
      <c r="D5150" s="140" t="s">
        <v>533</v>
      </c>
      <c r="E5150" s="140">
        <v>15</v>
      </c>
      <c r="F5150" s="142">
        <v>46052.583333333328</v>
      </c>
      <c r="G5150" s="140" t="s">
        <v>845</v>
      </c>
      <c r="H5150" s="140" t="s">
        <v>885</v>
      </c>
    </row>
    <row r="5151" spans="1:8" ht="15.75" customHeight="1">
      <c r="A5151" s="140" t="s">
        <v>92</v>
      </c>
      <c r="B5151" s="140" t="s">
        <v>25</v>
      </c>
      <c r="C5151" s="141" t="s">
        <v>532</v>
      </c>
      <c r="D5151" s="140" t="s">
        <v>533</v>
      </c>
      <c r="E5151" s="140">
        <v>16</v>
      </c>
      <c r="F5151" s="142">
        <v>46083.583333333328</v>
      </c>
      <c r="G5151" s="140" t="s">
        <v>845</v>
      </c>
      <c r="H5151" s="140" t="s">
        <v>885</v>
      </c>
    </row>
    <row r="5152" spans="1:8" ht="15.75" customHeight="1">
      <c r="A5152" s="140" t="s">
        <v>93</v>
      </c>
      <c r="B5152" s="140" t="s">
        <v>21</v>
      </c>
      <c r="C5152" s="141" t="s">
        <v>273</v>
      </c>
      <c r="D5152" s="140" t="s">
        <v>274</v>
      </c>
      <c r="E5152" s="140">
        <v>1</v>
      </c>
      <c r="F5152" s="142">
        <v>45929.583333333328</v>
      </c>
      <c r="G5152" s="140" t="s">
        <v>845</v>
      </c>
      <c r="H5152" s="140" t="s">
        <v>886</v>
      </c>
    </row>
    <row r="5153" spans="1:8" ht="15.75" customHeight="1">
      <c r="A5153" s="140" t="s">
        <v>93</v>
      </c>
      <c r="B5153" s="140" t="s">
        <v>21</v>
      </c>
      <c r="C5153" s="141" t="s">
        <v>273</v>
      </c>
      <c r="D5153" s="140" t="s">
        <v>274</v>
      </c>
      <c r="E5153" s="140">
        <v>2</v>
      </c>
      <c r="F5153" s="142">
        <v>45938.583333333328</v>
      </c>
      <c r="G5153" s="140" t="s">
        <v>843</v>
      </c>
      <c r="H5153" s="140" t="s">
        <v>886</v>
      </c>
    </row>
    <row r="5154" spans="1:8" ht="15.75" customHeight="1">
      <c r="A5154" s="140" t="s">
        <v>93</v>
      </c>
      <c r="B5154" s="140" t="s">
        <v>21</v>
      </c>
      <c r="C5154" s="141" t="s">
        <v>273</v>
      </c>
      <c r="D5154" s="140" t="s">
        <v>274</v>
      </c>
      <c r="E5154" s="140">
        <v>3</v>
      </c>
      <c r="F5154" s="142">
        <v>45950.541666666672</v>
      </c>
      <c r="G5154" s="140" t="s">
        <v>843</v>
      </c>
      <c r="H5154" s="140" t="s">
        <v>886</v>
      </c>
    </row>
    <row r="5155" spans="1:8" ht="15.75" customHeight="1">
      <c r="A5155" s="140" t="s">
        <v>93</v>
      </c>
      <c r="B5155" s="140" t="s">
        <v>21</v>
      </c>
      <c r="C5155" s="141" t="s">
        <v>273</v>
      </c>
      <c r="D5155" s="140" t="s">
        <v>274</v>
      </c>
      <c r="E5155" s="140">
        <v>4</v>
      </c>
      <c r="F5155" s="142">
        <v>45952.583333333328</v>
      </c>
      <c r="G5155" s="140" t="s">
        <v>843</v>
      </c>
      <c r="H5155" s="140" t="s">
        <v>886</v>
      </c>
    </row>
    <row r="5156" spans="1:8" ht="15.75" customHeight="1">
      <c r="A5156" s="140" t="s">
        <v>93</v>
      </c>
      <c r="B5156" s="140" t="s">
        <v>21</v>
      </c>
      <c r="C5156" s="141" t="s">
        <v>273</v>
      </c>
      <c r="D5156" s="140" t="s">
        <v>274</v>
      </c>
      <c r="E5156" s="140">
        <v>5</v>
      </c>
      <c r="F5156" s="142">
        <v>45959.583333333328</v>
      </c>
      <c r="G5156" s="140" t="s">
        <v>843</v>
      </c>
      <c r="H5156" s="140" t="s">
        <v>886</v>
      </c>
    </row>
    <row r="5157" spans="1:8" ht="15.75" customHeight="1">
      <c r="A5157" s="140" t="s">
        <v>93</v>
      </c>
      <c r="B5157" s="140" t="s">
        <v>21</v>
      </c>
      <c r="C5157" s="141" t="s">
        <v>273</v>
      </c>
      <c r="D5157" s="140" t="s">
        <v>274</v>
      </c>
      <c r="E5157" s="140">
        <v>6</v>
      </c>
      <c r="F5157" s="142">
        <v>45966.541666666672</v>
      </c>
      <c r="G5157" s="140" t="s">
        <v>843</v>
      </c>
      <c r="H5157" s="140" t="s">
        <v>886</v>
      </c>
    </row>
    <row r="5158" spans="1:8" ht="15.75" customHeight="1">
      <c r="A5158" s="140" t="s">
        <v>93</v>
      </c>
      <c r="B5158" s="140" t="s">
        <v>21</v>
      </c>
      <c r="C5158" s="141" t="s">
        <v>273</v>
      </c>
      <c r="D5158" s="140" t="s">
        <v>274</v>
      </c>
      <c r="E5158" s="140">
        <v>7</v>
      </c>
      <c r="F5158" s="142">
        <v>45985.541666666672</v>
      </c>
      <c r="G5158" s="140" t="s">
        <v>843</v>
      </c>
      <c r="H5158" s="140" t="s">
        <v>886</v>
      </c>
    </row>
    <row r="5159" spans="1:8" ht="15.75" customHeight="1">
      <c r="A5159" s="140" t="s">
        <v>93</v>
      </c>
      <c r="B5159" s="140" t="s">
        <v>21</v>
      </c>
      <c r="C5159" s="141" t="s">
        <v>385</v>
      </c>
      <c r="D5159" s="140" t="s">
        <v>386</v>
      </c>
      <c r="E5159" s="140">
        <v>1</v>
      </c>
      <c r="F5159" s="142">
        <v>45929.583333333328</v>
      </c>
      <c r="G5159" s="140" t="s">
        <v>845</v>
      </c>
      <c r="H5159" s="140" t="s">
        <v>886</v>
      </c>
    </row>
    <row r="5160" spans="1:8" ht="15.75" customHeight="1">
      <c r="A5160" s="140" t="s">
        <v>93</v>
      </c>
      <c r="B5160" s="140" t="s">
        <v>21</v>
      </c>
      <c r="C5160" s="141" t="s">
        <v>385</v>
      </c>
      <c r="D5160" s="140" t="s">
        <v>386</v>
      </c>
      <c r="E5160" s="140">
        <v>2</v>
      </c>
      <c r="F5160" s="142">
        <v>45938.583333333328</v>
      </c>
      <c r="G5160" s="140" t="s">
        <v>843</v>
      </c>
      <c r="H5160" s="140" t="s">
        <v>886</v>
      </c>
    </row>
    <row r="5161" spans="1:8" ht="15.75" customHeight="1">
      <c r="A5161" s="140" t="s">
        <v>93</v>
      </c>
      <c r="B5161" s="140" t="s">
        <v>21</v>
      </c>
      <c r="C5161" s="141" t="s">
        <v>385</v>
      </c>
      <c r="D5161" s="140" t="s">
        <v>386</v>
      </c>
      <c r="E5161" s="140">
        <v>3</v>
      </c>
      <c r="F5161" s="142">
        <v>45950.541666666672</v>
      </c>
      <c r="G5161" s="140" t="s">
        <v>843</v>
      </c>
      <c r="H5161" s="140" t="s">
        <v>886</v>
      </c>
    </row>
    <row r="5162" spans="1:8" ht="15.75" customHeight="1">
      <c r="A5162" s="140" t="s">
        <v>93</v>
      </c>
      <c r="B5162" s="140" t="s">
        <v>21</v>
      </c>
      <c r="C5162" s="141" t="s">
        <v>385</v>
      </c>
      <c r="D5162" s="140" t="s">
        <v>386</v>
      </c>
      <c r="E5162" s="140">
        <v>4</v>
      </c>
      <c r="F5162" s="142">
        <v>45952.583333333328</v>
      </c>
      <c r="G5162" s="140" t="s">
        <v>843</v>
      </c>
      <c r="H5162" s="140" t="s">
        <v>886</v>
      </c>
    </row>
    <row r="5163" spans="1:8" ht="15.75" customHeight="1">
      <c r="A5163" s="140" t="s">
        <v>93</v>
      </c>
      <c r="B5163" s="140" t="s">
        <v>21</v>
      </c>
      <c r="C5163" s="141" t="s">
        <v>385</v>
      </c>
      <c r="D5163" s="140" t="s">
        <v>386</v>
      </c>
      <c r="E5163" s="140">
        <v>5</v>
      </c>
      <c r="F5163" s="142">
        <v>45959.583333333328</v>
      </c>
      <c r="G5163" s="140" t="s">
        <v>843</v>
      </c>
      <c r="H5163" s="140" t="s">
        <v>886</v>
      </c>
    </row>
    <row r="5164" spans="1:8" ht="15.75" customHeight="1">
      <c r="A5164" s="140" t="s">
        <v>93</v>
      </c>
      <c r="B5164" s="140" t="s">
        <v>21</v>
      </c>
      <c r="C5164" s="141" t="s">
        <v>385</v>
      </c>
      <c r="D5164" s="140" t="s">
        <v>386</v>
      </c>
      <c r="E5164" s="140">
        <v>6</v>
      </c>
      <c r="F5164" s="142">
        <v>45966.541666666672</v>
      </c>
      <c r="G5164" s="140" t="s">
        <v>843</v>
      </c>
      <c r="H5164" s="140" t="s">
        <v>886</v>
      </c>
    </row>
    <row r="5165" spans="1:8" ht="15.75" customHeight="1">
      <c r="A5165" s="140" t="s">
        <v>93</v>
      </c>
      <c r="B5165" s="140" t="s">
        <v>21</v>
      </c>
      <c r="C5165" s="141" t="s">
        <v>385</v>
      </c>
      <c r="D5165" s="140" t="s">
        <v>386</v>
      </c>
      <c r="E5165" s="140">
        <v>7</v>
      </c>
      <c r="F5165" s="142">
        <v>45985.541666666672</v>
      </c>
      <c r="G5165" s="140" t="s">
        <v>843</v>
      </c>
      <c r="H5165" s="140" t="s">
        <v>886</v>
      </c>
    </row>
    <row r="5166" spans="1:8" ht="15.75" customHeight="1">
      <c r="A5166" s="140" t="s">
        <v>93</v>
      </c>
      <c r="B5166" s="140" t="s">
        <v>21</v>
      </c>
      <c r="C5166" s="141" t="s">
        <v>427</v>
      </c>
      <c r="D5166" s="140" t="s">
        <v>428</v>
      </c>
      <c r="E5166" s="140">
        <v>1</v>
      </c>
      <c r="F5166" s="142">
        <v>45929.583333333328</v>
      </c>
      <c r="G5166" s="140" t="s">
        <v>845</v>
      </c>
      <c r="H5166" s="140" t="s">
        <v>886</v>
      </c>
    </row>
    <row r="5167" spans="1:8" ht="15.75" customHeight="1">
      <c r="A5167" s="140" t="s">
        <v>93</v>
      </c>
      <c r="B5167" s="140" t="s">
        <v>21</v>
      </c>
      <c r="C5167" s="141" t="s">
        <v>427</v>
      </c>
      <c r="D5167" s="140" t="s">
        <v>428</v>
      </c>
      <c r="E5167" s="140">
        <v>2</v>
      </c>
      <c r="F5167" s="142">
        <v>45938.583333333328</v>
      </c>
      <c r="G5167" s="140" t="s">
        <v>845</v>
      </c>
      <c r="H5167" s="140" t="s">
        <v>886</v>
      </c>
    </row>
    <row r="5168" spans="1:8" ht="15.75" customHeight="1">
      <c r="A5168" s="140" t="s">
        <v>93</v>
      </c>
      <c r="B5168" s="140" t="s">
        <v>21</v>
      </c>
      <c r="C5168" s="141" t="s">
        <v>427</v>
      </c>
      <c r="D5168" s="140" t="s">
        <v>428</v>
      </c>
      <c r="E5168" s="140">
        <v>3</v>
      </c>
      <c r="F5168" s="142">
        <v>45950.541666666672</v>
      </c>
      <c r="G5168" s="140" t="s">
        <v>845</v>
      </c>
      <c r="H5168" s="140" t="s">
        <v>886</v>
      </c>
    </row>
    <row r="5169" spans="1:8" ht="15.75" customHeight="1">
      <c r="A5169" s="140" t="s">
        <v>93</v>
      </c>
      <c r="B5169" s="140" t="s">
        <v>21</v>
      </c>
      <c r="C5169" s="141" t="s">
        <v>427</v>
      </c>
      <c r="D5169" s="140" t="s">
        <v>428</v>
      </c>
      <c r="E5169" s="140">
        <v>4</v>
      </c>
      <c r="F5169" s="142">
        <v>45952.583333333328</v>
      </c>
      <c r="G5169" s="140" t="s">
        <v>845</v>
      </c>
      <c r="H5169" s="140" t="s">
        <v>886</v>
      </c>
    </row>
    <row r="5170" spans="1:8" ht="15.75" customHeight="1">
      <c r="A5170" s="140" t="s">
        <v>93</v>
      </c>
      <c r="B5170" s="140" t="s">
        <v>21</v>
      </c>
      <c r="C5170" s="141" t="s">
        <v>427</v>
      </c>
      <c r="D5170" s="140" t="s">
        <v>428</v>
      </c>
      <c r="E5170" s="140">
        <v>5</v>
      </c>
      <c r="F5170" s="142">
        <v>45959.583333333328</v>
      </c>
      <c r="G5170" s="140" t="s">
        <v>845</v>
      </c>
      <c r="H5170" s="140" t="s">
        <v>886</v>
      </c>
    </row>
    <row r="5171" spans="1:8" ht="15.75" customHeight="1">
      <c r="A5171" s="140" t="s">
        <v>93</v>
      </c>
      <c r="B5171" s="140" t="s">
        <v>21</v>
      </c>
      <c r="C5171" s="141" t="s">
        <v>427</v>
      </c>
      <c r="D5171" s="140" t="s">
        <v>428</v>
      </c>
      <c r="E5171" s="140">
        <v>6</v>
      </c>
      <c r="F5171" s="142">
        <v>45966.541666666672</v>
      </c>
      <c r="G5171" s="140" t="s">
        <v>845</v>
      </c>
      <c r="H5171" s="140" t="s">
        <v>886</v>
      </c>
    </row>
    <row r="5172" spans="1:8" ht="15.75" customHeight="1">
      <c r="A5172" s="140" t="s">
        <v>93</v>
      </c>
      <c r="B5172" s="140" t="s">
        <v>21</v>
      </c>
      <c r="C5172" s="141" t="s">
        <v>427</v>
      </c>
      <c r="D5172" s="140" t="s">
        <v>428</v>
      </c>
      <c r="E5172" s="140">
        <v>7</v>
      </c>
      <c r="F5172" s="142">
        <v>45985.541666666672</v>
      </c>
      <c r="G5172" s="140" t="s">
        <v>845</v>
      </c>
      <c r="H5172" s="140" t="s">
        <v>886</v>
      </c>
    </row>
    <row r="5173" spans="1:8" ht="15.75" customHeight="1">
      <c r="A5173" s="140" t="s">
        <v>93</v>
      </c>
      <c r="B5173" s="140" t="s">
        <v>21</v>
      </c>
      <c r="C5173" s="141" t="s">
        <v>427</v>
      </c>
      <c r="D5173" s="140" t="s">
        <v>428</v>
      </c>
      <c r="E5173" s="140">
        <v>8</v>
      </c>
      <c r="F5173" s="142">
        <v>45999.541666666672</v>
      </c>
      <c r="G5173" s="140" t="s">
        <v>845</v>
      </c>
      <c r="H5173" s="140" t="s">
        <v>886</v>
      </c>
    </row>
    <row r="5174" spans="1:8" ht="15.75" customHeight="1">
      <c r="A5174" s="140" t="s">
        <v>93</v>
      </c>
      <c r="B5174" s="140" t="s">
        <v>21</v>
      </c>
      <c r="C5174" s="141" t="s">
        <v>427</v>
      </c>
      <c r="D5174" s="140" t="s">
        <v>428</v>
      </c>
      <c r="E5174" s="140">
        <v>9</v>
      </c>
      <c r="F5174" s="142">
        <v>46006.541666666672</v>
      </c>
      <c r="G5174" s="140" t="s">
        <v>845</v>
      </c>
      <c r="H5174" s="140" t="s">
        <v>886</v>
      </c>
    </row>
    <row r="5175" spans="1:8" ht="15.75" customHeight="1">
      <c r="A5175" s="140" t="s">
        <v>93</v>
      </c>
      <c r="B5175" s="140" t="s">
        <v>21</v>
      </c>
      <c r="C5175" s="141" t="s">
        <v>427</v>
      </c>
      <c r="D5175" s="140" t="s">
        <v>428</v>
      </c>
      <c r="E5175" s="140">
        <v>10</v>
      </c>
      <c r="F5175" s="142">
        <v>46008.541666666672</v>
      </c>
      <c r="G5175" s="140" t="s">
        <v>845</v>
      </c>
      <c r="H5175" s="140" t="s">
        <v>886</v>
      </c>
    </row>
    <row r="5176" spans="1:8" ht="15.75" customHeight="1">
      <c r="A5176" s="140" t="s">
        <v>93</v>
      </c>
      <c r="B5176" s="140" t="s">
        <v>21</v>
      </c>
      <c r="C5176" s="141" t="s">
        <v>427</v>
      </c>
      <c r="D5176" s="140" t="s">
        <v>428</v>
      </c>
      <c r="E5176" s="140">
        <v>11</v>
      </c>
      <c r="F5176" s="142">
        <v>46013.541666666672</v>
      </c>
      <c r="G5176" s="140" t="s">
        <v>845</v>
      </c>
      <c r="H5176" s="140" t="s">
        <v>886</v>
      </c>
    </row>
    <row r="5177" spans="1:8" ht="15.75" customHeight="1">
      <c r="A5177" s="140" t="s">
        <v>93</v>
      </c>
      <c r="B5177" s="140" t="s">
        <v>21</v>
      </c>
      <c r="C5177" s="141" t="s">
        <v>427</v>
      </c>
      <c r="D5177" s="140" t="s">
        <v>428</v>
      </c>
      <c r="E5177" s="140">
        <v>12</v>
      </c>
      <c r="F5177" s="142">
        <v>46041.583333333328</v>
      </c>
      <c r="G5177" s="140" t="s">
        <v>845</v>
      </c>
      <c r="H5177" s="140" t="s">
        <v>886</v>
      </c>
    </row>
    <row r="5178" spans="1:8" ht="15.75" customHeight="1">
      <c r="A5178" s="140" t="s">
        <v>93</v>
      </c>
      <c r="B5178" s="140" t="s">
        <v>21</v>
      </c>
      <c r="C5178" s="141" t="s">
        <v>427</v>
      </c>
      <c r="D5178" s="140" t="s">
        <v>428</v>
      </c>
      <c r="E5178" s="140">
        <v>13</v>
      </c>
      <c r="F5178" s="142">
        <v>46048.583333333328</v>
      </c>
      <c r="G5178" s="140" t="s">
        <v>845</v>
      </c>
      <c r="H5178" s="140" t="s">
        <v>886</v>
      </c>
    </row>
    <row r="5179" spans="1:8" ht="15.75" customHeight="1">
      <c r="A5179" s="140" t="s">
        <v>93</v>
      </c>
      <c r="B5179" s="140" t="s">
        <v>21</v>
      </c>
      <c r="C5179" s="141" t="s">
        <v>427</v>
      </c>
      <c r="D5179" s="140" t="s">
        <v>428</v>
      </c>
      <c r="E5179" s="140">
        <v>14</v>
      </c>
      <c r="F5179" s="142">
        <v>46087.541666666672</v>
      </c>
      <c r="G5179" s="140" t="s">
        <v>845</v>
      </c>
      <c r="H5179" s="140" t="s">
        <v>886</v>
      </c>
    </row>
    <row r="5180" spans="1:8" ht="15.75" customHeight="1">
      <c r="A5180" s="140" t="s">
        <v>93</v>
      </c>
      <c r="B5180" s="140" t="s">
        <v>21</v>
      </c>
      <c r="C5180" s="141" t="s">
        <v>427</v>
      </c>
      <c r="D5180" s="140" t="s">
        <v>428</v>
      </c>
      <c r="E5180" s="140">
        <v>15</v>
      </c>
      <c r="F5180" s="142">
        <v>46094.541666666672</v>
      </c>
      <c r="G5180" s="140" t="s">
        <v>845</v>
      </c>
      <c r="H5180" s="140" t="s">
        <v>886</v>
      </c>
    </row>
    <row r="5181" spans="1:8" ht="15.75" customHeight="1">
      <c r="A5181" s="140" t="s">
        <v>93</v>
      </c>
      <c r="B5181" s="140" t="s">
        <v>21</v>
      </c>
      <c r="C5181" s="141" t="s">
        <v>502</v>
      </c>
      <c r="D5181" s="140" t="s">
        <v>503</v>
      </c>
      <c r="E5181" s="140">
        <v>1</v>
      </c>
      <c r="F5181" s="142">
        <v>45929.583333333328</v>
      </c>
      <c r="G5181" s="140" t="s">
        <v>845</v>
      </c>
      <c r="H5181" s="140" t="s">
        <v>886</v>
      </c>
    </row>
    <row r="5182" spans="1:8" ht="15.75" customHeight="1">
      <c r="A5182" s="140" t="s">
        <v>93</v>
      </c>
      <c r="B5182" s="140" t="s">
        <v>21</v>
      </c>
      <c r="C5182" s="141" t="s">
        <v>502</v>
      </c>
      <c r="D5182" s="140" t="s">
        <v>503</v>
      </c>
      <c r="E5182" s="140">
        <v>2</v>
      </c>
      <c r="F5182" s="142">
        <v>45938.583333333328</v>
      </c>
      <c r="G5182" s="140" t="s">
        <v>845</v>
      </c>
      <c r="H5182" s="140" t="s">
        <v>886</v>
      </c>
    </row>
    <row r="5183" spans="1:8" ht="15.75" customHeight="1">
      <c r="A5183" s="140" t="s">
        <v>93</v>
      </c>
      <c r="B5183" s="140" t="s">
        <v>21</v>
      </c>
      <c r="C5183" s="141" t="s">
        <v>502</v>
      </c>
      <c r="D5183" s="140" t="s">
        <v>503</v>
      </c>
      <c r="E5183" s="140">
        <v>3</v>
      </c>
      <c r="F5183" s="142">
        <v>45950.541666666672</v>
      </c>
      <c r="G5183" s="140" t="s">
        <v>845</v>
      </c>
      <c r="H5183" s="140" t="s">
        <v>886</v>
      </c>
    </row>
    <row r="5184" spans="1:8" ht="15.75" customHeight="1">
      <c r="A5184" s="140" t="s">
        <v>93</v>
      </c>
      <c r="B5184" s="140" t="s">
        <v>21</v>
      </c>
      <c r="C5184" s="141" t="s">
        <v>502</v>
      </c>
      <c r="D5184" s="140" t="s">
        <v>503</v>
      </c>
      <c r="E5184" s="140">
        <v>4</v>
      </c>
      <c r="F5184" s="142">
        <v>45952.583333333328</v>
      </c>
      <c r="G5184" s="140" t="s">
        <v>845</v>
      </c>
      <c r="H5184" s="140" t="s">
        <v>886</v>
      </c>
    </row>
    <row r="5185" spans="1:8" ht="15.75" customHeight="1">
      <c r="A5185" s="140" t="s">
        <v>93</v>
      </c>
      <c r="B5185" s="140" t="s">
        <v>21</v>
      </c>
      <c r="C5185" s="141" t="s">
        <v>502</v>
      </c>
      <c r="D5185" s="140" t="s">
        <v>503</v>
      </c>
      <c r="E5185" s="140">
        <v>5</v>
      </c>
      <c r="F5185" s="142">
        <v>45959.583333333328</v>
      </c>
      <c r="G5185" s="140" t="s">
        <v>845</v>
      </c>
      <c r="H5185" s="140" t="s">
        <v>886</v>
      </c>
    </row>
    <row r="5186" spans="1:8" ht="15.75" customHeight="1">
      <c r="A5186" s="140" t="s">
        <v>93</v>
      </c>
      <c r="B5186" s="140" t="s">
        <v>21</v>
      </c>
      <c r="C5186" s="141" t="s">
        <v>502</v>
      </c>
      <c r="D5186" s="140" t="s">
        <v>503</v>
      </c>
      <c r="E5186" s="140">
        <v>6</v>
      </c>
      <c r="F5186" s="142">
        <v>45966.541666666672</v>
      </c>
      <c r="G5186" s="140" t="s">
        <v>845</v>
      </c>
      <c r="H5186" s="140" t="s">
        <v>886</v>
      </c>
    </row>
    <row r="5187" spans="1:8" ht="15.75" customHeight="1">
      <c r="A5187" s="140" t="s">
        <v>93</v>
      </c>
      <c r="B5187" s="140" t="s">
        <v>21</v>
      </c>
      <c r="C5187" s="141" t="s">
        <v>502</v>
      </c>
      <c r="D5187" s="140" t="s">
        <v>503</v>
      </c>
      <c r="E5187" s="140">
        <v>7</v>
      </c>
      <c r="F5187" s="142">
        <v>45985.541666666672</v>
      </c>
      <c r="G5187" s="140" t="s">
        <v>845</v>
      </c>
      <c r="H5187" s="140" t="s">
        <v>886</v>
      </c>
    </row>
    <row r="5188" spans="1:8" ht="15.75" customHeight="1">
      <c r="A5188" s="140" t="s">
        <v>93</v>
      </c>
      <c r="B5188" s="140" t="s">
        <v>21</v>
      </c>
      <c r="C5188" s="141" t="s">
        <v>502</v>
      </c>
      <c r="D5188" s="140" t="s">
        <v>503</v>
      </c>
      <c r="E5188" s="140">
        <v>8</v>
      </c>
      <c r="F5188" s="142">
        <v>45999.541666666672</v>
      </c>
      <c r="G5188" s="140" t="s">
        <v>845</v>
      </c>
      <c r="H5188" s="140" t="s">
        <v>886</v>
      </c>
    </row>
    <row r="5189" spans="1:8" ht="15.75" customHeight="1">
      <c r="A5189" s="140" t="s">
        <v>93</v>
      </c>
      <c r="B5189" s="140" t="s">
        <v>21</v>
      </c>
      <c r="C5189" s="141" t="s">
        <v>502</v>
      </c>
      <c r="D5189" s="140" t="s">
        <v>503</v>
      </c>
      <c r="E5189" s="140">
        <v>9</v>
      </c>
      <c r="F5189" s="142">
        <v>46006.541666666672</v>
      </c>
      <c r="G5189" s="140" t="s">
        <v>845</v>
      </c>
      <c r="H5189" s="140" t="s">
        <v>886</v>
      </c>
    </row>
    <row r="5190" spans="1:8" ht="15.75" customHeight="1">
      <c r="A5190" s="140" t="s">
        <v>93</v>
      </c>
      <c r="B5190" s="140" t="s">
        <v>21</v>
      </c>
      <c r="C5190" s="141" t="s">
        <v>502</v>
      </c>
      <c r="D5190" s="140" t="s">
        <v>503</v>
      </c>
      <c r="E5190" s="140">
        <v>10</v>
      </c>
      <c r="F5190" s="142">
        <v>46008.541666666672</v>
      </c>
      <c r="G5190" s="140" t="s">
        <v>845</v>
      </c>
      <c r="H5190" s="140" t="s">
        <v>886</v>
      </c>
    </row>
    <row r="5191" spans="1:8" ht="15.75" customHeight="1">
      <c r="A5191" s="140" t="s">
        <v>93</v>
      </c>
      <c r="B5191" s="140" t="s">
        <v>21</v>
      </c>
      <c r="C5191" s="141" t="s">
        <v>502</v>
      </c>
      <c r="D5191" s="140" t="s">
        <v>503</v>
      </c>
      <c r="E5191" s="140">
        <v>11</v>
      </c>
      <c r="F5191" s="142">
        <v>46013.541666666672</v>
      </c>
      <c r="G5191" s="140" t="s">
        <v>845</v>
      </c>
      <c r="H5191" s="140" t="s">
        <v>886</v>
      </c>
    </row>
    <row r="5192" spans="1:8" ht="15.75" customHeight="1">
      <c r="A5192" s="140" t="s">
        <v>93</v>
      </c>
      <c r="B5192" s="140" t="s">
        <v>21</v>
      </c>
      <c r="C5192" s="141" t="s">
        <v>502</v>
      </c>
      <c r="D5192" s="140" t="s">
        <v>503</v>
      </c>
      <c r="E5192" s="140">
        <v>12</v>
      </c>
      <c r="F5192" s="142">
        <v>46041.583333333328</v>
      </c>
      <c r="G5192" s="140" t="s">
        <v>845</v>
      </c>
      <c r="H5192" s="140" t="s">
        <v>886</v>
      </c>
    </row>
    <row r="5193" spans="1:8" ht="15.75" customHeight="1">
      <c r="A5193" s="140" t="s">
        <v>93</v>
      </c>
      <c r="B5193" s="140" t="s">
        <v>21</v>
      </c>
      <c r="C5193" s="141" t="s">
        <v>502</v>
      </c>
      <c r="D5193" s="140" t="s">
        <v>503</v>
      </c>
      <c r="E5193" s="140">
        <v>13</v>
      </c>
      <c r="F5193" s="142">
        <v>46048.583333333328</v>
      </c>
      <c r="G5193" s="140" t="s">
        <v>845</v>
      </c>
      <c r="H5193" s="140" t="s">
        <v>886</v>
      </c>
    </row>
    <row r="5194" spans="1:8" ht="15.75" customHeight="1">
      <c r="A5194" s="140" t="s">
        <v>93</v>
      </c>
      <c r="B5194" s="140" t="s">
        <v>21</v>
      </c>
      <c r="C5194" s="141" t="s">
        <v>502</v>
      </c>
      <c r="D5194" s="140" t="s">
        <v>503</v>
      </c>
      <c r="E5194" s="140">
        <v>14</v>
      </c>
      <c r="F5194" s="142">
        <v>46087.541666666672</v>
      </c>
      <c r="G5194" s="140" t="s">
        <v>845</v>
      </c>
      <c r="H5194" s="140" t="s">
        <v>886</v>
      </c>
    </row>
    <row r="5195" spans="1:8" ht="15.75" customHeight="1">
      <c r="A5195" s="140" t="s">
        <v>93</v>
      </c>
      <c r="B5195" s="140" t="s">
        <v>21</v>
      </c>
      <c r="C5195" s="141" t="s">
        <v>502</v>
      </c>
      <c r="D5195" s="140" t="s">
        <v>503</v>
      </c>
      <c r="E5195" s="140">
        <v>15</v>
      </c>
      <c r="F5195" s="142">
        <v>46094.541666666672</v>
      </c>
      <c r="G5195" s="140" t="s">
        <v>845</v>
      </c>
      <c r="H5195" s="140" t="s">
        <v>886</v>
      </c>
    </row>
    <row r="5196" spans="1:8" ht="15.75" customHeight="1">
      <c r="A5196" s="140" t="s">
        <v>93</v>
      </c>
      <c r="B5196" s="140" t="s">
        <v>21</v>
      </c>
      <c r="C5196" s="141" t="s">
        <v>655</v>
      </c>
      <c r="D5196" s="140" t="s">
        <v>656</v>
      </c>
      <c r="E5196" s="140">
        <v>1</v>
      </c>
      <c r="F5196" s="142">
        <v>45929.583333333328</v>
      </c>
      <c r="G5196" s="140" t="s">
        <v>845</v>
      </c>
      <c r="H5196" s="140" t="s">
        <v>886</v>
      </c>
    </row>
    <row r="5197" spans="1:8" ht="15.75" customHeight="1">
      <c r="A5197" s="140" t="s">
        <v>93</v>
      </c>
      <c r="B5197" s="140" t="s">
        <v>21</v>
      </c>
      <c r="C5197" s="141" t="s">
        <v>655</v>
      </c>
      <c r="D5197" s="140" t="s">
        <v>656</v>
      </c>
      <c r="E5197" s="140">
        <v>2</v>
      </c>
      <c r="F5197" s="142">
        <v>45938.583333333328</v>
      </c>
      <c r="G5197" s="140" t="s">
        <v>845</v>
      </c>
      <c r="H5197" s="140" t="s">
        <v>886</v>
      </c>
    </row>
    <row r="5198" spans="1:8" ht="15.75" customHeight="1">
      <c r="A5198" s="140" t="s">
        <v>93</v>
      </c>
      <c r="B5198" s="140" t="s">
        <v>21</v>
      </c>
      <c r="C5198" s="141" t="s">
        <v>655</v>
      </c>
      <c r="D5198" s="140" t="s">
        <v>656</v>
      </c>
      <c r="E5198" s="140">
        <v>3</v>
      </c>
      <c r="F5198" s="142">
        <v>45950.541666666672</v>
      </c>
      <c r="G5198" s="140" t="s">
        <v>845</v>
      </c>
      <c r="H5198" s="140" t="s">
        <v>886</v>
      </c>
    </row>
    <row r="5199" spans="1:8" ht="15.75" customHeight="1">
      <c r="A5199" s="140" t="s">
        <v>93</v>
      </c>
      <c r="B5199" s="140" t="s">
        <v>21</v>
      </c>
      <c r="C5199" s="141" t="s">
        <v>655</v>
      </c>
      <c r="D5199" s="140" t="s">
        <v>656</v>
      </c>
      <c r="E5199" s="140">
        <v>4</v>
      </c>
      <c r="F5199" s="142">
        <v>45952.583333333328</v>
      </c>
      <c r="G5199" s="140" t="s">
        <v>845</v>
      </c>
      <c r="H5199" s="140" t="s">
        <v>886</v>
      </c>
    </row>
    <row r="5200" spans="1:8" ht="15.75" customHeight="1">
      <c r="A5200" s="140" t="s">
        <v>93</v>
      </c>
      <c r="B5200" s="140" t="s">
        <v>21</v>
      </c>
      <c r="C5200" s="141" t="s">
        <v>655</v>
      </c>
      <c r="D5200" s="140" t="s">
        <v>656</v>
      </c>
      <c r="E5200" s="140">
        <v>5</v>
      </c>
      <c r="F5200" s="142">
        <v>45959.583333333328</v>
      </c>
      <c r="G5200" s="140" t="s">
        <v>843</v>
      </c>
      <c r="H5200" s="140" t="s">
        <v>886</v>
      </c>
    </row>
    <row r="5201" spans="1:8" ht="15.75" customHeight="1">
      <c r="A5201" s="140" t="s">
        <v>93</v>
      </c>
      <c r="B5201" s="140" t="s">
        <v>21</v>
      </c>
      <c r="C5201" s="141" t="s">
        <v>655</v>
      </c>
      <c r="D5201" s="140" t="s">
        <v>656</v>
      </c>
      <c r="E5201" s="140">
        <v>6</v>
      </c>
      <c r="F5201" s="142">
        <v>45966.541666666672</v>
      </c>
      <c r="G5201" s="140" t="s">
        <v>845</v>
      </c>
      <c r="H5201" s="140" t="s">
        <v>886</v>
      </c>
    </row>
    <row r="5202" spans="1:8" ht="15.75" customHeight="1">
      <c r="A5202" s="140" t="s">
        <v>93</v>
      </c>
      <c r="B5202" s="140" t="s">
        <v>21</v>
      </c>
      <c r="C5202" s="141" t="s">
        <v>655</v>
      </c>
      <c r="D5202" s="140" t="s">
        <v>656</v>
      </c>
      <c r="E5202" s="140">
        <v>7</v>
      </c>
      <c r="F5202" s="142">
        <v>45985.541666666672</v>
      </c>
      <c r="G5202" s="140" t="s">
        <v>845</v>
      </c>
      <c r="H5202" s="140" t="s">
        <v>886</v>
      </c>
    </row>
    <row r="5203" spans="1:8" ht="15.75" customHeight="1">
      <c r="A5203" s="140" t="s">
        <v>93</v>
      </c>
      <c r="B5203" s="140" t="s">
        <v>21</v>
      </c>
      <c r="C5203" s="141" t="s">
        <v>655</v>
      </c>
      <c r="D5203" s="140" t="s">
        <v>656</v>
      </c>
      <c r="E5203" s="140">
        <v>8</v>
      </c>
      <c r="F5203" s="142">
        <v>45999.541666666672</v>
      </c>
      <c r="G5203" s="140" t="s">
        <v>845</v>
      </c>
      <c r="H5203" s="140" t="s">
        <v>886</v>
      </c>
    </row>
    <row r="5204" spans="1:8" ht="15.75" customHeight="1">
      <c r="A5204" s="140" t="s">
        <v>93</v>
      </c>
      <c r="B5204" s="140" t="s">
        <v>21</v>
      </c>
      <c r="C5204" s="141" t="s">
        <v>655</v>
      </c>
      <c r="D5204" s="140" t="s">
        <v>656</v>
      </c>
      <c r="E5204" s="140">
        <v>9</v>
      </c>
      <c r="F5204" s="142">
        <v>46006.541666666672</v>
      </c>
      <c r="G5204" s="140" t="s">
        <v>845</v>
      </c>
      <c r="H5204" s="140" t="s">
        <v>886</v>
      </c>
    </row>
    <row r="5205" spans="1:8" ht="15.75" customHeight="1">
      <c r="A5205" s="140" t="s">
        <v>93</v>
      </c>
      <c r="B5205" s="140" t="s">
        <v>21</v>
      </c>
      <c r="C5205" s="141" t="s">
        <v>655</v>
      </c>
      <c r="D5205" s="140" t="s">
        <v>656</v>
      </c>
      <c r="E5205" s="140">
        <v>10</v>
      </c>
      <c r="F5205" s="142">
        <v>46008.541666666672</v>
      </c>
      <c r="G5205" s="140" t="s">
        <v>845</v>
      </c>
      <c r="H5205" s="140" t="s">
        <v>886</v>
      </c>
    </row>
    <row r="5206" spans="1:8" ht="15.75" customHeight="1">
      <c r="A5206" s="140" t="s">
        <v>93</v>
      </c>
      <c r="B5206" s="140" t="s">
        <v>21</v>
      </c>
      <c r="C5206" s="141" t="s">
        <v>655</v>
      </c>
      <c r="D5206" s="140" t="s">
        <v>656</v>
      </c>
      <c r="E5206" s="140">
        <v>11</v>
      </c>
      <c r="F5206" s="142">
        <v>46013.541666666672</v>
      </c>
      <c r="G5206" s="140" t="s">
        <v>845</v>
      </c>
      <c r="H5206" s="140" t="s">
        <v>886</v>
      </c>
    </row>
    <row r="5207" spans="1:8" ht="15.75" customHeight="1">
      <c r="A5207" s="140" t="s">
        <v>93</v>
      </c>
      <c r="B5207" s="140" t="s">
        <v>21</v>
      </c>
      <c r="C5207" s="141" t="s">
        <v>655</v>
      </c>
      <c r="D5207" s="140" t="s">
        <v>656</v>
      </c>
      <c r="E5207" s="140">
        <v>12</v>
      </c>
      <c r="F5207" s="142">
        <v>46041.583333333328</v>
      </c>
      <c r="G5207" s="140" t="s">
        <v>845</v>
      </c>
      <c r="H5207" s="140" t="s">
        <v>886</v>
      </c>
    </row>
    <row r="5208" spans="1:8" ht="15.75" customHeight="1">
      <c r="A5208" s="140" t="s">
        <v>93</v>
      </c>
      <c r="B5208" s="140" t="s">
        <v>21</v>
      </c>
      <c r="C5208" s="141" t="s">
        <v>655</v>
      </c>
      <c r="D5208" s="140" t="s">
        <v>656</v>
      </c>
      <c r="E5208" s="140">
        <v>13</v>
      </c>
      <c r="F5208" s="142">
        <v>46048.583333333328</v>
      </c>
      <c r="G5208" s="140" t="s">
        <v>845</v>
      </c>
      <c r="H5208" s="140" t="s">
        <v>886</v>
      </c>
    </row>
    <row r="5209" spans="1:8" ht="15.75" customHeight="1">
      <c r="A5209" s="140" t="s">
        <v>93</v>
      </c>
      <c r="B5209" s="140" t="s">
        <v>21</v>
      </c>
      <c r="C5209" s="141" t="s">
        <v>655</v>
      </c>
      <c r="D5209" s="140" t="s">
        <v>656</v>
      </c>
      <c r="E5209" s="140">
        <v>14</v>
      </c>
      <c r="F5209" s="142">
        <v>46087.541666666672</v>
      </c>
      <c r="G5209" s="140" t="s">
        <v>845</v>
      </c>
      <c r="H5209" s="140" t="s">
        <v>886</v>
      </c>
    </row>
    <row r="5210" spans="1:8" ht="15.75" customHeight="1">
      <c r="A5210" s="140" t="s">
        <v>93</v>
      </c>
      <c r="B5210" s="140" t="s">
        <v>21</v>
      </c>
      <c r="C5210" s="141" t="s">
        <v>655</v>
      </c>
      <c r="D5210" s="140" t="s">
        <v>656</v>
      </c>
      <c r="E5210" s="140">
        <v>15</v>
      </c>
      <c r="F5210" s="142">
        <v>46094.541666666672</v>
      </c>
      <c r="G5210" s="140" t="s">
        <v>845</v>
      </c>
      <c r="H5210" s="140" t="s">
        <v>886</v>
      </c>
    </row>
    <row r="5211" spans="1:8" ht="15.75" customHeight="1">
      <c r="A5211" s="140" t="s">
        <v>93</v>
      </c>
      <c r="B5211" s="140" t="s">
        <v>21</v>
      </c>
      <c r="C5211" s="141" t="s">
        <v>705</v>
      </c>
      <c r="D5211" s="140" t="s">
        <v>706</v>
      </c>
      <c r="E5211" s="140">
        <v>1</v>
      </c>
      <c r="F5211" s="142">
        <v>45929.583333333328</v>
      </c>
      <c r="G5211" s="140" t="s">
        <v>845</v>
      </c>
      <c r="H5211" s="140" t="s">
        <v>886</v>
      </c>
    </row>
    <row r="5212" spans="1:8" ht="15.75" customHeight="1">
      <c r="A5212" s="140" t="s">
        <v>93</v>
      </c>
      <c r="B5212" s="140" t="s">
        <v>21</v>
      </c>
      <c r="C5212" s="141" t="s">
        <v>705</v>
      </c>
      <c r="D5212" s="140" t="s">
        <v>706</v>
      </c>
      <c r="E5212" s="140">
        <v>2</v>
      </c>
      <c r="F5212" s="142">
        <v>45938.583333333328</v>
      </c>
      <c r="G5212" s="140" t="s">
        <v>845</v>
      </c>
      <c r="H5212" s="140" t="s">
        <v>886</v>
      </c>
    </row>
    <row r="5213" spans="1:8" ht="15.75" customHeight="1">
      <c r="A5213" s="140" t="s">
        <v>93</v>
      </c>
      <c r="B5213" s="140" t="s">
        <v>21</v>
      </c>
      <c r="C5213" s="141" t="s">
        <v>705</v>
      </c>
      <c r="D5213" s="140" t="s">
        <v>706</v>
      </c>
      <c r="E5213" s="140">
        <v>3</v>
      </c>
      <c r="F5213" s="142">
        <v>45950.541666666672</v>
      </c>
      <c r="G5213" s="140" t="s">
        <v>845</v>
      </c>
      <c r="H5213" s="140" t="s">
        <v>886</v>
      </c>
    </row>
    <row r="5214" spans="1:8" ht="15.75" customHeight="1">
      <c r="A5214" s="140" t="s">
        <v>93</v>
      </c>
      <c r="B5214" s="140" t="s">
        <v>21</v>
      </c>
      <c r="C5214" s="141" t="s">
        <v>705</v>
      </c>
      <c r="D5214" s="140" t="s">
        <v>706</v>
      </c>
      <c r="E5214" s="140">
        <v>4</v>
      </c>
      <c r="F5214" s="142">
        <v>45952.583333333328</v>
      </c>
      <c r="G5214" s="140" t="s">
        <v>845</v>
      </c>
      <c r="H5214" s="140" t="s">
        <v>886</v>
      </c>
    </row>
    <row r="5215" spans="1:8" ht="15.75" customHeight="1">
      <c r="A5215" s="140" t="s">
        <v>93</v>
      </c>
      <c r="B5215" s="140" t="s">
        <v>21</v>
      </c>
      <c r="C5215" s="141" t="s">
        <v>705</v>
      </c>
      <c r="D5215" s="140" t="s">
        <v>706</v>
      </c>
      <c r="E5215" s="140">
        <v>5</v>
      </c>
      <c r="F5215" s="142">
        <v>45959.583333333328</v>
      </c>
      <c r="G5215" s="140" t="s">
        <v>845</v>
      </c>
      <c r="H5215" s="140" t="s">
        <v>886</v>
      </c>
    </row>
    <row r="5216" spans="1:8" ht="15.75" customHeight="1">
      <c r="A5216" s="140" t="s">
        <v>93</v>
      </c>
      <c r="B5216" s="140" t="s">
        <v>21</v>
      </c>
      <c r="C5216" s="141" t="s">
        <v>705</v>
      </c>
      <c r="D5216" s="140" t="s">
        <v>706</v>
      </c>
      <c r="E5216" s="140">
        <v>6</v>
      </c>
      <c r="F5216" s="142">
        <v>45966.541666666672</v>
      </c>
      <c r="G5216" s="140" t="s">
        <v>845</v>
      </c>
      <c r="H5216" s="140" t="s">
        <v>886</v>
      </c>
    </row>
    <row r="5217" spans="1:8" ht="15.75" customHeight="1">
      <c r="A5217" s="140" t="s">
        <v>93</v>
      </c>
      <c r="B5217" s="140" t="s">
        <v>21</v>
      </c>
      <c r="C5217" s="141" t="s">
        <v>705</v>
      </c>
      <c r="D5217" s="140" t="s">
        <v>706</v>
      </c>
      <c r="E5217" s="140">
        <v>7</v>
      </c>
      <c r="F5217" s="142">
        <v>45985.541666666672</v>
      </c>
      <c r="G5217" s="140" t="s">
        <v>845</v>
      </c>
      <c r="H5217" s="140" t="s">
        <v>886</v>
      </c>
    </row>
    <row r="5218" spans="1:8" ht="15.75" customHeight="1">
      <c r="A5218" s="140" t="s">
        <v>93</v>
      </c>
      <c r="B5218" s="140" t="s">
        <v>21</v>
      </c>
      <c r="C5218" s="141" t="s">
        <v>705</v>
      </c>
      <c r="D5218" s="140" t="s">
        <v>706</v>
      </c>
      <c r="E5218" s="140">
        <v>8</v>
      </c>
      <c r="F5218" s="142">
        <v>45999.541666666672</v>
      </c>
      <c r="G5218" s="140" t="s">
        <v>845</v>
      </c>
      <c r="H5218" s="140" t="s">
        <v>886</v>
      </c>
    </row>
    <row r="5219" spans="1:8" ht="15.75" customHeight="1">
      <c r="A5219" s="140" t="s">
        <v>93</v>
      </c>
      <c r="B5219" s="140" t="s">
        <v>21</v>
      </c>
      <c r="C5219" s="141" t="s">
        <v>705</v>
      </c>
      <c r="D5219" s="140" t="s">
        <v>706</v>
      </c>
      <c r="E5219" s="140">
        <v>9</v>
      </c>
      <c r="F5219" s="142">
        <v>46006.541666666672</v>
      </c>
      <c r="G5219" s="140" t="s">
        <v>845</v>
      </c>
      <c r="H5219" s="140" t="s">
        <v>886</v>
      </c>
    </row>
    <row r="5220" spans="1:8" ht="15.75" customHeight="1">
      <c r="A5220" s="140" t="s">
        <v>93</v>
      </c>
      <c r="B5220" s="140" t="s">
        <v>21</v>
      </c>
      <c r="C5220" s="141" t="s">
        <v>705</v>
      </c>
      <c r="D5220" s="140" t="s">
        <v>706</v>
      </c>
      <c r="E5220" s="140">
        <v>10</v>
      </c>
      <c r="F5220" s="142">
        <v>46008.541666666672</v>
      </c>
      <c r="G5220" s="140" t="s">
        <v>843</v>
      </c>
      <c r="H5220" s="140" t="s">
        <v>886</v>
      </c>
    </row>
    <row r="5221" spans="1:8" ht="15.75" customHeight="1">
      <c r="A5221" s="140" t="s">
        <v>93</v>
      </c>
      <c r="B5221" s="140" t="s">
        <v>21</v>
      </c>
      <c r="C5221" s="141" t="s">
        <v>705</v>
      </c>
      <c r="D5221" s="140" t="s">
        <v>706</v>
      </c>
      <c r="E5221" s="140">
        <v>11</v>
      </c>
      <c r="F5221" s="142">
        <v>46013.541666666672</v>
      </c>
      <c r="G5221" s="140" t="s">
        <v>843</v>
      </c>
      <c r="H5221" s="140" t="s">
        <v>886</v>
      </c>
    </row>
    <row r="5222" spans="1:8" ht="15.75" customHeight="1">
      <c r="A5222" s="140" t="s">
        <v>93</v>
      </c>
      <c r="B5222" s="140" t="s">
        <v>21</v>
      </c>
      <c r="C5222" s="141" t="s">
        <v>705</v>
      </c>
      <c r="D5222" s="140" t="s">
        <v>706</v>
      </c>
      <c r="E5222" s="140">
        <v>12</v>
      </c>
      <c r="F5222" s="142">
        <v>46041.583333333328</v>
      </c>
      <c r="G5222" s="140" t="s">
        <v>843</v>
      </c>
      <c r="H5222" s="140" t="s">
        <v>886</v>
      </c>
    </row>
    <row r="5223" spans="1:8" ht="15.75" customHeight="1">
      <c r="A5223" s="140" t="s">
        <v>93</v>
      </c>
      <c r="B5223" s="140" t="s">
        <v>21</v>
      </c>
      <c r="C5223" s="141" t="s">
        <v>705</v>
      </c>
      <c r="D5223" s="140" t="s">
        <v>706</v>
      </c>
      <c r="E5223" s="140">
        <v>13</v>
      </c>
      <c r="F5223" s="142">
        <v>46048.583333333328</v>
      </c>
      <c r="G5223" s="140" t="s">
        <v>843</v>
      </c>
      <c r="H5223" s="140" t="s">
        <v>886</v>
      </c>
    </row>
    <row r="5224" spans="1:8" ht="15.75" customHeight="1">
      <c r="A5224" s="140" t="s">
        <v>93</v>
      </c>
      <c r="B5224" s="140" t="s">
        <v>21</v>
      </c>
      <c r="C5224" s="141" t="s">
        <v>705</v>
      </c>
      <c r="D5224" s="140" t="s">
        <v>706</v>
      </c>
      <c r="E5224" s="140">
        <v>14</v>
      </c>
      <c r="F5224" s="142">
        <v>46087.541666666672</v>
      </c>
      <c r="G5224" s="140" t="s">
        <v>843</v>
      </c>
      <c r="H5224" s="140" t="s">
        <v>886</v>
      </c>
    </row>
    <row r="5225" spans="1:8" ht="15.75" customHeight="1">
      <c r="A5225" s="140" t="s">
        <v>94</v>
      </c>
      <c r="B5225" s="140" t="s">
        <v>21</v>
      </c>
      <c r="C5225" s="141" t="s">
        <v>149</v>
      </c>
      <c r="D5225" s="140" t="s">
        <v>150</v>
      </c>
      <c r="E5225" s="140">
        <v>3</v>
      </c>
      <c r="F5225" s="142">
        <v>46098.416666666672</v>
      </c>
      <c r="G5225" s="140" t="s">
        <v>845</v>
      </c>
      <c r="H5225" s="140" t="s">
        <v>887</v>
      </c>
    </row>
    <row r="5226" spans="1:8" ht="15.75" customHeight="1">
      <c r="A5226" s="140" t="s">
        <v>94</v>
      </c>
      <c r="B5226" s="140" t="s">
        <v>21</v>
      </c>
      <c r="C5226" s="141" t="s">
        <v>149</v>
      </c>
      <c r="D5226" s="140" t="s">
        <v>150</v>
      </c>
      <c r="E5226" s="140">
        <v>4</v>
      </c>
      <c r="F5226" s="142">
        <v>46104.541666666672</v>
      </c>
      <c r="G5226" s="140" t="s">
        <v>845</v>
      </c>
      <c r="H5226" s="140" t="s">
        <v>887</v>
      </c>
    </row>
    <row r="5227" spans="1:8" ht="15.75" customHeight="1">
      <c r="A5227" s="140" t="s">
        <v>94</v>
      </c>
      <c r="B5227" s="140" t="s">
        <v>21</v>
      </c>
      <c r="C5227" s="141" t="s">
        <v>149</v>
      </c>
      <c r="D5227" s="140" t="s">
        <v>150</v>
      </c>
      <c r="E5227" s="140">
        <v>5</v>
      </c>
      <c r="F5227" s="142">
        <v>46112.458333333328</v>
      </c>
      <c r="G5227" s="140" t="s">
        <v>845</v>
      </c>
      <c r="H5227" s="140" t="s">
        <v>887</v>
      </c>
    </row>
    <row r="5228" spans="1:8" ht="15.75" customHeight="1">
      <c r="A5228" s="140" t="s">
        <v>94</v>
      </c>
      <c r="B5228" s="140" t="s">
        <v>21</v>
      </c>
      <c r="C5228" s="141" t="s">
        <v>149</v>
      </c>
      <c r="D5228" s="140" t="s">
        <v>150</v>
      </c>
      <c r="E5228" s="140">
        <v>6</v>
      </c>
      <c r="F5228" s="142">
        <v>46119.416666666672</v>
      </c>
      <c r="G5228" s="140" t="s">
        <v>845</v>
      </c>
      <c r="H5228" s="140" t="s">
        <v>887</v>
      </c>
    </row>
    <row r="5229" spans="1:8" ht="15.75" customHeight="1">
      <c r="A5229" s="140" t="s">
        <v>94</v>
      </c>
      <c r="B5229" s="140" t="s">
        <v>21</v>
      </c>
      <c r="C5229" s="141" t="s">
        <v>149</v>
      </c>
      <c r="D5229" s="140" t="s">
        <v>150</v>
      </c>
      <c r="E5229" s="140">
        <v>7</v>
      </c>
      <c r="F5229" s="142">
        <v>46126.458333333328</v>
      </c>
      <c r="G5229" s="140" t="s">
        <v>845</v>
      </c>
      <c r="H5229" s="140" t="s">
        <v>887</v>
      </c>
    </row>
    <row r="5230" spans="1:8" ht="15.75" customHeight="1">
      <c r="A5230" s="140" t="s">
        <v>94</v>
      </c>
      <c r="B5230" s="140" t="s">
        <v>21</v>
      </c>
      <c r="C5230" s="141" t="s">
        <v>344</v>
      </c>
      <c r="D5230" s="140" t="s">
        <v>345</v>
      </c>
      <c r="E5230" s="140">
        <v>1</v>
      </c>
      <c r="F5230" s="142">
        <v>46083.625</v>
      </c>
      <c r="G5230" s="140" t="s">
        <v>845</v>
      </c>
      <c r="H5230" s="140" t="s">
        <v>887</v>
      </c>
    </row>
    <row r="5231" spans="1:8" ht="15.75" customHeight="1">
      <c r="A5231" s="140" t="s">
        <v>94</v>
      </c>
      <c r="B5231" s="140" t="s">
        <v>21</v>
      </c>
      <c r="C5231" s="141" t="s">
        <v>344</v>
      </c>
      <c r="D5231" s="140" t="s">
        <v>345</v>
      </c>
      <c r="E5231" s="140">
        <v>2</v>
      </c>
      <c r="F5231" s="142">
        <v>46091.416666666672</v>
      </c>
      <c r="G5231" s="140" t="s">
        <v>845</v>
      </c>
      <c r="H5231" s="140" t="s">
        <v>887</v>
      </c>
    </row>
    <row r="5232" spans="1:8" ht="15.75" customHeight="1">
      <c r="A5232" s="140" t="s">
        <v>94</v>
      </c>
      <c r="B5232" s="140" t="s">
        <v>21</v>
      </c>
      <c r="C5232" s="141" t="s">
        <v>344</v>
      </c>
      <c r="D5232" s="140" t="s">
        <v>345</v>
      </c>
      <c r="E5232" s="140">
        <v>3</v>
      </c>
      <c r="F5232" s="142">
        <v>46098.416666666672</v>
      </c>
      <c r="G5232" s="140" t="s">
        <v>845</v>
      </c>
      <c r="H5232" s="140" t="s">
        <v>887</v>
      </c>
    </row>
    <row r="5233" spans="1:8" ht="15.75" customHeight="1">
      <c r="A5233" s="140" t="s">
        <v>94</v>
      </c>
      <c r="B5233" s="140" t="s">
        <v>21</v>
      </c>
      <c r="C5233" s="141" t="s">
        <v>344</v>
      </c>
      <c r="D5233" s="140" t="s">
        <v>345</v>
      </c>
      <c r="E5233" s="140">
        <v>4</v>
      </c>
      <c r="F5233" s="142">
        <v>46104.541666666672</v>
      </c>
      <c r="G5233" s="140" t="s">
        <v>845</v>
      </c>
      <c r="H5233" s="140" t="s">
        <v>887</v>
      </c>
    </row>
    <row r="5234" spans="1:8" ht="15.75" customHeight="1">
      <c r="A5234" s="140" t="s">
        <v>94</v>
      </c>
      <c r="B5234" s="140" t="s">
        <v>21</v>
      </c>
      <c r="C5234" s="141" t="s">
        <v>344</v>
      </c>
      <c r="D5234" s="140" t="s">
        <v>345</v>
      </c>
      <c r="E5234" s="140">
        <v>5</v>
      </c>
      <c r="F5234" s="142">
        <v>46112.458333333328</v>
      </c>
      <c r="G5234" s="140" t="s">
        <v>845</v>
      </c>
      <c r="H5234" s="140" t="s">
        <v>887</v>
      </c>
    </row>
    <row r="5235" spans="1:8" ht="15.75" customHeight="1">
      <c r="A5235" s="140" t="s">
        <v>94</v>
      </c>
      <c r="B5235" s="140" t="s">
        <v>21</v>
      </c>
      <c r="C5235" s="141" t="s">
        <v>344</v>
      </c>
      <c r="D5235" s="140" t="s">
        <v>345</v>
      </c>
      <c r="E5235" s="140">
        <v>6</v>
      </c>
      <c r="F5235" s="142">
        <v>46119.416666666672</v>
      </c>
      <c r="G5235" s="140" t="s">
        <v>845</v>
      </c>
      <c r="H5235" s="140" t="s">
        <v>887</v>
      </c>
    </row>
    <row r="5236" spans="1:8" ht="15.75" customHeight="1">
      <c r="A5236" s="140" t="s">
        <v>94</v>
      </c>
      <c r="B5236" s="140" t="s">
        <v>21</v>
      </c>
      <c r="C5236" s="141" t="s">
        <v>344</v>
      </c>
      <c r="D5236" s="140" t="s">
        <v>345</v>
      </c>
      <c r="E5236" s="140">
        <v>7</v>
      </c>
      <c r="F5236" s="142">
        <v>46126.458333333328</v>
      </c>
      <c r="G5236" s="140" t="s">
        <v>845</v>
      </c>
      <c r="H5236" s="140" t="s">
        <v>887</v>
      </c>
    </row>
    <row r="5237" spans="1:8" ht="15.75" customHeight="1">
      <c r="A5237" s="140" t="s">
        <v>94</v>
      </c>
      <c r="B5237" s="140" t="s">
        <v>21</v>
      </c>
      <c r="C5237" s="141" t="s">
        <v>368</v>
      </c>
      <c r="D5237" s="140" t="s">
        <v>369</v>
      </c>
      <c r="E5237" s="140">
        <v>1</v>
      </c>
      <c r="F5237" s="142">
        <v>46083.625</v>
      </c>
      <c r="G5237" s="140" t="s">
        <v>845</v>
      </c>
      <c r="H5237" s="140" t="s">
        <v>887</v>
      </c>
    </row>
    <row r="5238" spans="1:8" ht="15.75" customHeight="1">
      <c r="A5238" s="140" t="s">
        <v>94</v>
      </c>
      <c r="B5238" s="140" t="s">
        <v>21</v>
      </c>
      <c r="C5238" s="141" t="s">
        <v>368</v>
      </c>
      <c r="D5238" s="140" t="s">
        <v>369</v>
      </c>
      <c r="E5238" s="140">
        <v>2</v>
      </c>
      <c r="F5238" s="142">
        <v>46091.416666666672</v>
      </c>
      <c r="G5238" s="140" t="s">
        <v>845</v>
      </c>
      <c r="H5238" s="140" t="s">
        <v>887</v>
      </c>
    </row>
    <row r="5239" spans="1:8" ht="15.75" customHeight="1">
      <c r="A5239" s="140" t="s">
        <v>94</v>
      </c>
      <c r="B5239" s="140" t="s">
        <v>21</v>
      </c>
      <c r="C5239" s="141" t="s">
        <v>368</v>
      </c>
      <c r="D5239" s="140" t="s">
        <v>369</v>
      </c>
      <c r="E5239" s="140">
        <v>3</v>
      </c>
      <c r="F5239" s="142">
        <v>46098.416666666672</v>
      </c>
      <c r="G5239" s="140" t="s">
        <v>845</v>
      </c>
      <c r="H5239" s="140" t="s">
        <v>887</v>
      </c>
    </row>
    <row r="5240" spans="1:8" ht="15.75" customHeight="1">
      <c r="A5240" s="140" t="s">
        <v>94</v>
      </c>
      <c r="B5240" s="140" t="s">
        <v>21</v>
      </c>
      <c r="C5240" s="141" t="s">
        <v>368</v>
      </c>
      <c r="D5240" s="140" t="s">
        <v>369</v>
      </c>
      <c r="E5240" s="140">
        <v>4</v>
      </c>
      <c r="F5240" s="142">
        <v>46104.541666666672</v>
      </c>
      <c r="G5240" s="140" t="s">
        <v>845</v>
      </c>
      <c r="H5240" s="140" t="s">
        <v>887</v>
      </c>
    </row>
    <row r="5241" spans="1:8" ht="15.75" customHeight="1">
      <c r="A5241" s="140" t="s">
        <v>94</v>
      </c>
      <c r="B5241" s="140" t="s">
        <v>21</v>
      </c>
      <c r="C5241" s="141" t="s">
        <v>368</v>
      </c>
      <c r="D5241" s="140" t="s">
        <v>369</v>
      </c>
      <c r="E5241" s="140">
        <v>5</v>
      </c>
      <c r="F5241" s="142">
        <v>46112.458333333328</v>
      </c>
      <c r="G5241" s="140" t="s">
        <v>845</v>
      </c>
      <c r="H5241" s="140" t="s">
        <v>887</v>
      </c>
    </row>
    <row r="5242" spans="1:8" ht="15.75" customHeight="1">
      <c r="A5242" s="140" t="s">
        <v>94</v>
      </c>
      <c r="B5242" s="140" t="s">
        <v>21</v>
      </c>
      <c r="C5242" s="141" t="s">
        <v>368</v>
      </c>
      <c r="D5242" s="140" t="s">
        <v>369</v>
      </c>
      <c r="E5242" s="140">
        <v>6</v>
      </c>
      <c r="F5242" s="142">
        <v>46119.416666666672</v>
      </c>
      <c r="G5242" s="140" t="s">
        <v>845</v>
      </c>
      <c r="H5242" s="140" t="s">
        <v>887</v>
      </c>
    </row>
    <row r="5243" spans="1:8" ht="15.75" customHeight="1">
      <c r="A5243" s="140" t="s">
        <v>94</v>
      </c>
      <c r="B5243" s="140" t="s">
        <v>21</v>
      </c>
      <c r="C5243" s="141" t="s">
        <v>368</v>
      </c>
      <c r="D5243" s="140" t="s">
        <v>369</v>
      </c>
      <c r="E5243" s="140">
        <v>7</v>
      </c>
      <c r="F5243" s="142">
        <v>46126.458333333328</v>
      </c>
      <c r="G5243" s="140" t="s">
        <v>843</v>
      </c>
      <c r="H5243" s="140" t="s">
        <v>887</v>
      </c>
    </row>
    <row r="5244" spans="1:8" ht="15.75" customHeight="1">
      <c r="A5244" s="140" t="s">
        <v>94</v>
      </c>
      <c r="B5244" s="140" t="s">
        <v>21</v>
      </c>
      <c r="C5244" s="141" t="s">
        <v>543</v>
      </c>
      <c r="D5244" s="140" t="s">
        <v>544</v>
      </c>
      <c r="E5244" s="140">
        <v>1</v>
      </c>
      <c r="F5244" s="142">
        <v>46083.625</v>
      </c>
      <c r="G5244" s="140" t="s">
        <v>845</v>
      </c>
      <c r="H5244" s="140" t="s">
        <v>887</v>
      </c>
    </row>
    <row r="5245" spans="1:8" ht="15.75" customHeight="1">
      <c r="A5245" s="140" t="s">
        <v>94</v>
      </c>
      <c r="B5245" s="140" t="s">
        <v>21</v>
      </c>
      <c r="C5245" s="141" t="s">
        <v>543</v>
      </c>
      <c r="D5245" s="140" t="s">
        <v>544</v>
      </c>
      <c r="E5245" s="140">
        <v>2</v>
      </c>
      <c r="F5245" s="142">
        <v>46091.416666666672</v>
      </c>
      <c r="G5245" s="140" t="s">
        <v>843</v>
      </c>
      <c r="H5245" s="140" t="s">
        <v>887</v>
      </c>
    </row>
    <row r="5246" spans="1:8" ht="15.75" customHeight="1">
      <c r="A5246" s="140" t="s">
        <v>94</v>
      </c>
      <c r="B5246" s="140" t="s">
        <v>21</v>
      </c>
      <c r="C5246" s="141" t="s">
        <v>543</v>
      </c>
      <c r="D5246" s="140" t="s">
        <v>544</v>
      </c>
      <c r="E5246" s="140">
        <v>3</v>
      </c>
      <c r="F5246" s="142">
        <v>46098.416666666672</v>
      </c>
      <c r="G5246" s="140" t="s">
        <v>845</v>
      </c>
      <c r="H5246" s="140" t="s">
        <v>887</v>
      </c>
    </row>
    <row r="5247" spans="1:8" ht="15.75" customHeight="1">
      <c r="A5247" s="140" t="s">
        <v>94</v>
      </c>
      <c r="B5247" s="140" t="s">
        <v>21</v>
      </c>
      <c r="C5247" s="141" t="s">
        <v>543</v>
      </c>
      <c r="D5247" s="140" t="s">
        <v>544</v>
      </c>
      <c r="E5247" s="140">
        <v>4</v>
      </c>
      <c r="F5247" s="142">
        <v>46104.541666666672</v>
      </c>
      <c r="G5247" s="140" t="s">
        <v>845</v>
      </c>
      <c r="H5247" s="140" t="s">
        <v>887</v>
      </c>
    </row>
    <row r="5248" spans="1:8" ht="15.75" customHeight="1">
      <c r="A5248" s="140" t="s">
        <v>94</v>
      </c>
      <c r="B5248" s="140" t="s">
        <v>21</v>
      </c>
      <c r="C5248" s="141" t="s">
        <v>543</v>
      </c>
      <c r="D5248" s="140" t="s">
        <v>544</v>
      </c>
      <c r="E5248" s="140">
        <v>5</v>
      </c>
      <c r="F5248" s="142">
        <v>46112.458333333328</v>
      </c>
      <c r="G5248" s="140" t="s">
        <v>845</v>
      </c>
      <c r="H5248" s="140" t="s">
        <v>887</v>
      </c>
    </row>
    <row r="5249" spans="1:8" ht="15.75" customHeight="1">
      <c r="A5249" s="140" t="s">
        <v>94</v>
      </c>
      <c r="B5249" s="140" t="s">
        <v>21</v>
      </c>
      <c r="C5249" s="141" t="s">
        <v>543</v>
      </c>
      <c r="D5249" s="140" t="s">
        <v>544</v>
      </c>
      <c r="E5249" s="140">
        <v>6</v>
      </c>
      <c r="F5249" s="142">
        <v>46119.416666666672</v>
      </c>
      <c r="G5249" s="140" t="s">
        <v>845</v>
      </c>
      <c r="H5249" s="140" t="s">
        <v>887</v>
      </c>
    </row>
    <row r="5250" spans="1:8" ht="15.75" customHeight="1">
      <c r="A5250" s="140" t="s">
        <v>94</v>
      </c>
      <c r="B5250" s="140" t="s">
        <v>21</v>
      </c>
      <c r="C5250" s="141" t="s">
        <v>543</v>
      </c>
      <c r="D5250" s="140" t="s">
        <v>544</v>
      </c>
      <c r="E5250" s="140">
        <v>7</v>
      </c>
      <c r="F5250" s="142">
        <v>46126.458333333328</v>
      </c>
      <c r="G5250" s="140" t="s">
        <v>845</v>
      </c>
      <c r="H5250" s="140" t="s">
        <v>887</v>
      </c>
    </row>
    <row r="5251" spans="1:8" ht="15.75" customHeight="1">
      <c r="A5251" s="140" t="s">
        <v>94</v>
      </c>
      <c r="B5251" s="140" t="s">
        <v>21</v>
      </c>
      <c r="C5251" s="141" t="s">
        <v>579</v>
      </c>
      <c r="D5251" s="140" t="s">
        <v>580</v>
      </c>
      <c r="E5251" s="140">
        <v>1</v>
      </c>
      <c r="F5251" s="142">
        <v>46083.625</v>
      </c>
      <c r="G5251" s="140" t="s">
        <v>845</v>
      </c>
      <c r="H5251" s="140" t="s">
        <v>887</v>
      </c>
    </row>
    <row r="5252" spans="1:8" ht="15.75" customHeight="1">
      <c r="A5252" s="140" t="s">
        <v>94</v>
      </c>
      <c r="B5252" s="140" t="s">
        <v>21</v>
      </c>
      <c r="C5252" s="141" t="s">
        <v>579</v>
      </c>
      <c r="D5252" s="140" t="s">
        <v>580</v>
      </c>
      <c r="E5252" s="140">
        <v>2</v>
      </c>
      <c r="F5252" s="142">
        <v>46091.416666666672</v>
      </c>
      <c r="G5252" s="140" t="s">
        <v>845</v>
      </c>
      <c r="H5252" s="140" t="s">
        <v>887</v>
      </c>
    </row>
    <row r="5253" spans="1:8" ht="15.75" customHeight="1">
      <c r="A5253" s="140" t="s">
        <v>94</v>
      </c>
      <c r="B5253" s="140" t="s">
        <v>21</v>
      </c>
      <c r="C5253" s="141" t="s">
        <v>579</v>
      </c>
      <c r="D5253" s="140" t="s">
        <v>580</v>
      </c>
      <c r="E5253" s="140">
        <v>3</v>
      </c>
      <c r="F5253" s="142">
        <v>46098.416666666672</v>
      </c>
      <c r="G5253" s="140" t="s">
        <v>845</v>
      </c>
      <c r="H5253" s="140" t="s">
        <v>887</v>
      </c>
    </row>
    <row r="5254" spans="1:8" ht="15.75" customHeight="1">
      <c r="A5254" s="140" t="s">
        <v>94</v>
      </c>
      <c r="B5254" s="140" t="s">
        <v>21</v>
      </c>
      <c r="C5254" s="141" t="s">
        <v>579</v>
      </c>
      <c r="D5254" s="140" t="s">
        <v>580</v>
      </c>
      <c r="E5254" s="140">
        <v>4</v>
      </c>
      <c r="F5254" s="142">
        <v>46104.541666666672</v>
      </c>
      <c r="G5254" s="140" t="s">
        <v>843</v>
      </c>
      <c r="H5254" s="140" t="s">
        <v>887</v>
      </c>
    </row>
    <row r="5255" spans="1:8" ht="15.75" customHeight="1">
      <c r="A5255" s="140" t="s">
        <v>94</v>
      </c>
      <c r="B5255" s="140" t="s">
        <v>21</v>
      </c>
      <c r="C5255" s="141" t="s">
        <v>579</v>
      </c>
      <c r="D5255" s="140" t="s">
        <v>580</v>
      </c>
      <c r="E5255" s="140">
        <v>5</v>
      </c>
      <c r="F5255" s="142">
        <v>46112.458333333328</v>
      </c>
      <c r="G5255" s="140" t="s">
        <v>845</v>
      </c>
      <c r="H5255" s="140" t="s">
        <v>887</v>
      </c>
    </row>
    <row r="5256" spans="1:8" ht="15.75" customHeight="1">
      <c r="A5256" s="140" t="s">
        <v>94</v>
      </c>
      <c r="B5256" s="140" t="s">
        <v>21</v>
      </c>
      <c r="C5256" s="141" t="s">
        <v>579</v>
      </c>
      <c r="D5256" s="140" t="s">
        <v>580</v>
      </c>
      <c r="E5256" s="140">
        <v>6</v>
      </c>
      <c r="F5256" s="142">
        <v>46119.416666666672</v>
      </c>
      <c r="G5256" s="140" t="s">
        <v>843</v>
      </c>
      <c r="H5256" s="140" t="s">
        <v>887</v>
      </c>
    </row>
    <row r="5257" spans="1:8" ht="15.75" customHeight="1">
      <c r="A5257" s="140" t="s">
        <v>94</v>
      </c>
      <c r="B5257" s="140" t="s">
        <v>21</v>
      </c>
      <c r="C5257" s="141" t="s">
        <v>579</v>
      </c>
      <c r="D5257" s="140" t="s">
        <v>580</v>
      </c>
      <c r="E5257" s="140">
        <v>7</v>
      </c>
      <c r="F5257" s="142">
        <v>46126.458333333328</v>
      </c>
      <c r="G5257" s="140" t="s">
        <v>843</v>
      </c>
      <c r="H5257" s="140" t="s">
        <v>887</v>
      </c>
    </row>
    <row r="5258" spans="1:8" ht="15.75" customHeight="1">
      <c r="A5258" s="140" t="s">
        <v>94</v>
      </c>
      <c r="B5258" s="140" t="s">
        <v>21</v>
      </c>
      <c r="C5258" s="141" t="s">
        <v>581</v>
      </c>
      <c r="D5258" s="140" t="s">
        <v>582</v>
      </c>
      <c r="E5258" s="140">
        <v>1</v>
      </c>
      <c r="F5258" s="142">
        <v>46083.625</v>
      </c>
      <c r="G5258" s="140" t="s">
        <v>845</v>
      </c>
      <c r="H5258" s="140" t="s">
        <v>887</v>
      </c>
    </row>
    <row r="5259" spans="1:8" ht="15.75" customHeight="1">
      <c r="A5259" s="140" t="s">
        <v>94</v>
      </c>
      <c r="B5259" s="140" t="s">
        <v>21</v>
      </c>
      <c r="C5259" s="141" t="s">
        <v>581</v>
      </c>
      <c r="D5259" s="140" t="s">
        <v>582</v>
      </c>
      <c r="E5259" s="140">
        <v>2</v>
      </c>
      <c r="F5259" s="142">
        <v>46091.416666666672</v>
      </c>
      <c r="G5259" s="140" t="s">
        <v>845</v>
      </c>
      <c r="H5259" s="140" t="s">
        <v>887</v>
      </c>
    </row>
    <row r="5260" spans="1:8" ht="15.75" customHeight="1">
      <c r="A5260" s="140" t="s">
        <v>94</v>
      </c>
      <c r="B5260" s="140" t="s">
        <v>21</v>
      </c>
      <c r="C5260" s="141" t="s">
        <v>581</v>
      </c>
      <c r="D5260" s="140" t="s">
        <v>582</v>
      </c>
      <c r="E5260" s="140">
        <v>3</v>
      </c>
      <c r="F5260" s="142">
        <v>46098.416666666672</v>
      </c>
      <c r="G5260" s="140" t="s">
        <v>845</v>
      </c>
      <c r="H5260" s="140" t="s">
        <v>887</v>
      </c>
    </row>
    <row r="5261" spans="1:8" ht="15.75" customHeight="1">
      <c r="A5261" s="140" t="s">
        <v>94</v>
      </c>
      <c r="B5261" s="140" t="s">
        <v>21</v>
      </c>
      <c r="C5261" s="141" t="s">
        <v>581</v>
      </c>
      <c r="D5261" s="140" t="s">
        <v>582</v>
      </c>
      <c r="E5261" s="140">
        <v>4</v>
      </c>
      <c r="F5261" s="142">
        <v>46104.541666666672</v>
      </c>
      <c r="G5261" s="140" t="s">
        <v>845</v>
      </c>
      <c r="H5261" s="140" t="s">
        <v>887</v>
      </c>
    </row>
    <row r="5262" spans="1:8" ht="15.75" customHeight="1">
      <c r="A5262" s="140" t="s">
        <v>94</v>
      </c>
      <c r="B5262" s="140" t="s">
        <v>21</v>
      </c>
      <c r="C5262" s="141" t="s">
        <v>581</v>
      </c>
      <c r="D5262" s="140" t="s">
        <v>582</v>
      </c>
      <c r="E5262" s="140">
        <v>5</v>
      </c>
      <c r="F5262" s="142">
        <v>46112.458333333328</v>
      </c>
      <c r="G5262" s="140" t="s">
        <v>845</v>
      </c>
      <c r="H5262" s="140" t="s">
        <v>887</v>
      </c>
    </row>
    <row r="5263" spans="1:8" ht="15.75" customHeight="1">
      <c r="A5263" s="140" t="s">
        <v>94</v>
      </c>
      <c r="B5263" s="140" t="s">
        <v>21</v>
      </c>
      <c r="C5263" s="141" t="s">
        <v>581</v>
      </c>
      <c r="D5263" s="140" t="s">
        <v>582</v>
      </c>
      <c r="E5263" s="140">
        <v>6</v>
      </c>
      <c r="F5263" s="142">
        <v>46119.416666666672</v>
      </c>
      <c r="G5263" s="140" t="s">
        <v>845</v>
      </c>
      <c r="H5263" s="140" t="s">
        <v>887</v>
      </c>
    </row>
    <row r="5264" spans="1:8" ht="15.75" customHeight="1">
      <c r="A5264" s="140" t="s">
        <v>94</v>
      </c>
      <c r="B5264" s="140" t="s">
        <v>21</v>
      </c>
      <c r="C5264" s="141" t="s">
        <v>581</v>
      </c>
      <c r="D5264" s="140" t="s">
        <v>582</v>
      </c>
      <c r="E5264" s="140">
        <v>7</v>
      </c>
      <c r="F5264" s="142">
        <v>46126.458333333328</v>
      </c>
      <c r="G5264" s="140" t="s">
        <v>845</v>
      </c>
      <c r="H5264" s="140" t="s">
        <v>887</v>
      </c>
    </row>
    <row r="5265" spans="1:8" ht="15.75" customHeight="1">
      <c r="A5265" s="140" t="s">
        <v>94</v>
      </c>
      <c r="B5265" s="140" t="s">
        <v>21</v>
      </c>
      <c r="C5265" s="141" t="s">
        <v>613</v>
      </c>
      <c r="D5265" s="140" t="s">
        <v>614</v>
      </c>
      <c r="E5265" s="140">
        <v>1</v>
      </c>
      <c r="F5265" s="142">
        <v>46083.625</v>
      </c>
      <c r="G5265" s="140" t="s">
        <v>845</v>
      </c>
      <c r="H5265" s="140" t="s">
        <v>887</v>
      </c>
    </row>
    <row r="5266" spans="1:8" ht="15.75" customHeight="1">
      <c r="A5266" s="140" t="s">
        <v>94</v>
      </c>
      <c r="B5266" s="140" t="s">
        <v>21</v>
      </c>
      <c r="C5266" s="141" t="s">
        <v>613</v>
      </c>
      <c r="D5266" s="140" t="s">
        <v>614</v>
      </c>
      <c r="E5266" s="140">
        <v>2</v>
      </c>
      <c r="F5266" s="142">
        <v>46091.416666666672</v>
      </c>
      <c r="G5266" s="140" t="s">
        <v>845</v>
      </c>
      <c r="H5266" s="140" t="s">
        <v>887</v>
      </c>
    </row>
    <row r="5267" spans="1:8" ht="15.75" customHeight="1">
      <c r="A5267" s="140" t="s">
        <v>94</v>
      </c>
      <c r="B5267" s="140" t="s">
        <v>21</v>
      </c>
      <c r="C5267" s="141" t="s">
        <v>613</v>
      </c>
      <c r="D5267" s="140" t="s">
        <v>614</v>
      </c>
      <c r="E5267" s="140">
        <v>3</v>
      </c>
      <c r="F5267" s="142">
        <v>46098.416666666672</v>
      </c>
      <c r="G5267" s="140" t="s">
        <v>845</v>
      </c>
      <c r="H5267" s="140" t="s">
        <v>887</v>
      </c>
    </row>
    <row r="5268" spans="1:8" ht="15.75" customHeight="1">
      <c r="A5268" s="140" t="s">
        <v>94</v>
      </c>
      <c r="B5268" s="140" t="s">
        <v>21</v>
      </c>
      <c r="C5268" s="141" t="s">
        <v>613</v>
      </c>
      <c r="D5268" s="140" t="s">
        <v>614</v>
      </c>
      <c r="E5268" s="140">
        <v>4</v>
      </c>
      <c r="F5268" s="142">
        <v>46104.541666666672</v>
      </c>
      <c r="G5268" s="140" t="s">
        <v>843</v>
      </c>
      <c r="H5268" s="140" t="s">
        <v>887</v>
      </c>
    </row>
    <row r="5269" spans="1:8" ht="15.75" customHeight="1">
      <c r="A5269" s="140" t="s">
        <v>94</v>
      </c>
      <c r="B5269" s="140" t="s">
        <v>21</v>
      </c>
      <c r="C5269" s="141" t="s">
        <v>613</v>
      </c>
      <c r="D5269" s="140" t="s">
        <v>614</v>
      </c>
      <c r="E5269" s="140">
        <v>5</v>
      </c>
      <c r="F5269" s="142">
        <v>46112.458333333328</v>
      </c>
      <c r="G5269" s="140" t="s">
        <v>845</v>
      </c>
      <c r="H5269" s="140" t="s">
        <v>887</v>
      </c>
    </row>
    <row r="5270" spans="1:8" ht="15.75" customHeight="1">
      <c r="A5270" s="140" t="s">
        <v>94</v>
      </c>
      <c r="B5270" s="140" t="s">
        <v>21</v>
      </c>
      <c r="C5270" s="141" t="s">
        <v>613</v>
      </c>
      <c r="D5270" s="140" t="s">
        <v>614</v>
      </c>
      <c r="E5270" s="140">
        <v>6</v>
      </c>
      <c r="F5270" s="142">
        <v>46119.416666666672</v>
      </c>
      <c r="G5270" s="140" t="s">
        <v>845</v>
      </c>
      <c r="H5270" s="140" t="s">
        <v>887</v>
      </c>
    </row>
    <row r="5271" spans="1:8" ht="15.75" customHeight="1">
      <c r="A5271" s="140" t="s">
        <v>94</v>
      </c>
      <c r="B5271" s="140" t="s">
        <v>21</v>
      </c>
      <c r="C5271" s="141" t="s">
        <v>613</v>
      </c>
      <c r="D5271" s="140" t="s">
        <v>614</v>
      </c>
      <c r="E5271" s="140">
        <v>7</v>
      </c>
      <c r="F5271" s="142">
        <v>46126.458333333328</v>
      </c>
      <c r="G5271" s="140" t="s">
        <v>845</v>
      </c>
      <c r="H5271" s="140" t="s">
        <v>887</v>
      </c>
    </row>
    <row r="5272" spans="1:8" ht="15.75" customHeight="1">
      <c r="A5272" s="140" t="s">
        <v>95</v>
      </c>
      <c r="B5272" s="140" t="s">
        <v>25</v>
      </c>
      <c r="C5272" s="141" t="s">
        <v>151</v>
      </c>
      <c r="D5272" s="140" t="s">
        <v>152</v>
      </c>
      <c r="E5272" s="140">
        <v>1</v>
      </c>
      <c r="F5272" s="142">
        <v>46086.583333333328</v>
      </c>
      <c r="G5272" s="140" t="s">
        <v>845</v>
      </c>
      <c r="H5272" s="140" t="s">
        <v>888</v>
      </c>
    </row>
    <row r="5273" spans="1:8" ht="15.75" customHeight="1">
      <c r="A5273" s="140" t="s">
        <v>95</v>
      </c>
      <c r="B5273" s="140" t="s">
        <v>25</v>
      </c>
      <c r="C5273" s="141" t="s">
        <v>151</v>
      </c>
      <c r="D5273" s="140" t="s">
        <v>152</v>
      </c>
      <c r="E5273" s="140">
        <v>2</v>
      </c>
      <c r="F5273" s="142">
        <v>46107.625</v>
      </c>
      <c r="G5273" s="140" t="s">
        <v>845</v>
      </c>
      <c r="H5273" s="140" t="s">
        <v>888</v>
      </c>
    </row>
    <row r="5274" spans="1:8" ht="15.75" customHeight="1">
      <c r="A5274" s="140" t="s">
        <v>95</v>
      </c>
      <c r="B5274" s="140" t="s">
        <v>25</v>
      </c>
      <c r="C5274" s="141" t="s">
        <v>151</v>
      </c>
      <c r="D5274" s="140" t="s">
        <v>152</v>
      </c>
      <c r="E5274" s="140">
        <v>3</v>
      </c>
      <c r="F5274" s="142">
        <v>46115.458333333328</v>
      </c>
      <c r="G5274" s="140" t="s">
        <v>843</v>
      </c>
      <c r="H5274" s="140" t="s">
        <v>888</v>
      </c>
    </row>
    <row r="5275" spans="1:8" ht="15.75" customHeight="1">
      <c r="A5275" s="140" t="s">
        <v>95</v>
      </c>
      <c r="B5275" s="140" t="s">
        <v>25</v>
      </c>
      <c r="C5275" s="141" t="s">
        <v>151</v>
      </c>
      <c r="D5275" s="140" t="s">
        <v>152</v>
      </c>
      <c r="E5275" s="140">
        <v>4</v>
      </c>
      <c r="F5275" s="142">
        <v>46128.416666666672</v>
      </c>
      <c r="G5275" s="140" t="s">
        <v>845</v>
      </c>
      <c r="H5275" s="140" t="s">
        <v>888</v>
      </c>
    </row>
    <row r="5276" spans="1:8" ht="15.75" customHeight="1">
      <c r="A5276" s="140" t="s">
        <v>95</v>
      </c>
      <c r="B5276" s="140" t="s">
        <v>25</v>
      </c>
      <c r="C5276" s="141" t="s">
        <v>151</v>
      </c>
      <c r="D5276" s="140" t="s">
        <v>152</v>
      </c>
      <c r="E5276" s="140">
        <v>5</v>
      </c>
      <c r="F5276" s="142">
        <v>46129.541666666672</v>
      </c>
      <c r="G5276" s="140" t="s">
        <v>845</v>
      </c>
      <c r="H5276" s="140" t="s">
        <v>888</v>
      </c>
    </row>
    <row r="5277" spans="1:8" ht="15.75" customHeight="1">
      <c r="A5277" s="140" t="s">
        <v>95</v>
      </c>
      <c r="B5277" s="140" t="s">
        <v>25</v>
      </c>
      <c r="C5277" s="141" t="s">
        <v>151</v>
      </c>
      <c r="D5277" s="140" t="s">
        <v>152</v>
      </c>
      <c r="E5277" s="140">
        <v>6</v>
      </c>
      <c r="F5277" s="142">
        <v>46135.458333333328</v>
      </c>
      <c r="G5277" s="140" t="s">
        <v>845</v>
      </c>
      <c r="H5277" s="140" t="s">
        <v>888</v>
      </c>
    </row>
    <row r="5278" spans="1:8" ht="15.75" customHeight="1">
      <c r="A5278" s="140" t="s">
        <v>95</v>
      </c>
      <c r="B5278" s="140" t="s">
        <v>25</v>
      </c>
      <c r="C5278" s="141" t="s">
        <v>163</v>
      </c>
      <c r="D5278" s="140" t="s">
        <v>164</v>
      </c>
      <c r="E5278" s="140">
        <v>1</v>
      </c>
      <c r="F5278" s="142">
        <v>46086.583333333328</v>
      </c>
      <c r="G5278" s="140" t="s">
        <v>845</v>
      </c>
      <c r="H5278" s="140" t="s">
        <v>888</v>
      </c>
    </row>
    <row r="5279" spans="1:8" ht="15.75" customHeight="1">
      <c r="A5279" s="140" t="s">
        <v>95</v>
      </c>
      <c r="B5279" s="140" t="s">
        <v>25</v>
      </c>
      <c r="C5279" s="141" t="s">
        <v>163</v>
      </c>
      <c r="D5279" s="140" t="s">
        <v>164</v>
      </c>
      <c r="E5279" s="140">
        <v>2</v>
      </c>
      <c r="F5279" s="142">
        <v>46107.625</v>
      </c>
      <c r="G5279" s="140" t="s">
        <v>845</v>
      </c>
      <c r="H5279" s="140" t="s">
        <v>888</v>
      </c>
    </row>
    <row r="5280" spans="1:8" ht="15.75" customHeight="1">
      <c r="A5280" s="140" t="s">
        <v>95</v>
      </c>
      <c r="B5280" s="140" t="s">
        <v>25</v>
      </c>
      <c r="C5280" s="141" t="s">
        <v>163</v>
      </c>
      <c r="D5280" s="140" t="s">
        <v>164</v>
      </c>
      <c r="E5280" s="140">
        <v>3</v>
      </c>
      <c r="F5280" s="142">
        <v>46115.458333333328</v>
      </c>
      <c r="G5280" s="140" t="s">
        <v>845</v>
      </c>
      <c r="H5280" s="140" t="s">
        <v>888</v>
      </c>
    </row>
    <row r="5281" spans="1:8" ht="15.75" customHeight="1">
      <c r="A5281" s="140" t="s">
        <v>95</v>
      </c>
      <c r="B5281" s="140" t="s">
        <v>25</v>
      </c>
      <c r="C5281" s="141" t="s">
        <v>163</v>
      </c>
      <c r="D5281" s="140" t="s">
        <v>164</v>
      </c>
      <c r="E5281" s="140">
        <v>4</v>
      </c>
      <c r="F5281" s="142">
        <v>46128.416666666672</v>
      </c>
      <c r="G5281" s="140" t="s">
        <v>845</v>
      </c>
      <c r="H5281" s="140" t="s">
        <v>888</v>
      </c>
    </row>
    <row r="5282" spans="1:8" ht="15.75" customHeight="1">
      <c r="A5282" s="140" t="s">
        <v>95</v>
      </c>
      <c r="B5282" s="140" t="s">
        <v>25</v>
      </c>
      <c r="C5282" s="141" t="s">
        <v>163</v>
      </c>
      <c r="D5282" s="140" t="s">
        <v>164</v>
      </c>
      <c r="E5282" s="140">
        <v>5</v>
      </c>
      <c r="F5282" s="142">
        <v>46129.541666666672</v>
      </c>
      <c r="G5282" s="140" t="s">
        <v>845</v>
      </c>
      <c r="H5282" s="140" t="s">
        <v>888</v>
      </c>
    </row>
    <row r="5283" spans="1:8" ht="15.75" customHeight="1">
      <c r="A5283" s="140" t="s">
        <v>95</v>
      </c>
      <c r="B5283" s="140" t="s">
        <v>25</v>
      </c>
      <c r="C5283" s="141" t="s">
        <v>163</v>
      </c>
      <c r="D5283" s="140" t="s">
        <v>164</v>
      </c>
      <c r="E5283" s="140">
        <v>6</v>
      </c>
      <c r="F5283" s="142">
        <v>46135.458333333328</v>
      </c>
      <c r="G5283" s="140" t="s">
        <v>845</v>
      </c>
      <c r="H5283" s="140" t="s">
        <v>888</v>
      </c>
    </row>
    <row r="5284" spans="1:8" ht="15.75" customHeight="1">
      <c r="A5284" s="140" t="s">
        <v>95</v>
      </c>
      <c r="B5284" s="140" t="s">
        <v>25</v>
      </c>
      <c r="C5284" s="141" t="s">
        <v>180</v>
      </c>
      <c r="D5284" s="140" t="s">
        <v>181</v>
      </c>
      <c r="E5284" s="140">
        <v>1</v>
      </c>
      <c r="F5284" s="142">
        <v>46087.458333333328</v>
      </c>
      <c r="G5284" s="140" t="s">
        <v>845</v>
      </c>
      <c r="H5284" s="140" t="s">
        <v>888</v>
      </c>
    </row>
    <row r="5285" spans="1:8" ht="15.75" customHeight="1">
      <c r="A5285" s="140" t="s">
        <v>95</v>
      </c>
      <c r="B5285" s="140" t="s">
        <v>25</v>
      </c>
      <c r="C5285" s="141" t="s">
        <v>180</v>
      </c>
      <c r="D5285" s="140" t="s">
        <v>181</v>
      </c>
      <c r="E5285" s="140">
        <v>2</v>
      </c>
      <c r="F5285" s="142">
        <v>46107.625</v>
      </c>
      <c r="G5285" s="140" t="s">
        <v>845</v>
      </c>
      <c r="H5285" s="140" t="s">
        <v>888</v>
      </c>
    </row>
    <row r="5286" spans="1:8" ht="15.75" customHeight="1">
      <c r="A5286" s="140" t="s">
        <v>95</v>
      </c>
      <c r="B5286" s="140" t="s">
        <v>25</v>
      </c>
      <c r="C5286" s="141" t="s">
        <v>180</v>
      </c>
      <c r="D5286" s="140" t="s">
        <v>181</v>
      </c>
      <c r="E5286" s="140">
        <v>3</v>
      </c>
      <c r="F5286" s="142">
        <v>46115.458333333328</v>
      </c>
      <c r="G5286" s="140" t="s">
        <v>845</v>
      </c>
      <c r="H5286" s="140" t="s">
        <v>888</v>
      </c>
    </row>
    <row r="5287" spans="1:8" ht="15.75" customHeight="1">
      <c r="A5287" s="140" t="s">
        <v>95</v>
      </c>
      <c r="B5287" s="140" t="s">
        <v>25</v>
      </c>
      <c r="C5287" s="141" t="s">
        <v>180</v>
      </c>
      <c r="D5287" s="140" t="s">
        <v>181</v>
      </c>
      <c r="E5287" s="140">
        <v>4</v>
      </c>
      <c r="F5287" s="142">
        <v>46128.416666666672</v>
      </c>
      <c r="G5287" s="140" t="s">
        <v>845</v>
      </c>
      <c r="H5287" s="140" t="s">
        <v>888</v>
      </c>
    </row>
    <row r="5288" spans="1:8" ht="15.75" customHeight="1">
      <c r="A5288" s="140" t="s">
        <v>95</v>
      </c>
      <c r="B5288" s="140" t="s">
        <v>25</v>
      </c>
      <c r="C5288" s="141" t="s">
        <v>180</v>
      </c>
      <c r="D5288" s="140" t="s">
        <v>181</v>
      </c>
      <c r="E5288" s="140">
        <v>5</v>
      </c>
      <c r="F5288" s="142">
        <v>46129.541666666672</v>
      </c>
      <c r="G5288" s="140" t="s">
        <v>845</v>
      </c>
      <c r="H5288" s="140" t="s">
        <v>888</v>
      </c>
    </row>
    <row r="5289" spans="1:8" ht="15.75" customHeight="1">
      <c r="A5289" s="140" t="s">
        <v>95</v>
      </c>
      <c r="B5289" s="140" t="s">
        <v>25</v>
      </c>
      <c r="C5289" s="141" t="s">
        <v>180</v>
      </c>
      <c r="D5289" s="140" t="s">
        <v>181</v>
      </c>
      <c r="E5289" s="140">
        <v>6</v>
      </c>
      <c r="F5289" s="142">
        <v>46135.458333333328</v>
      </c>
      <c r="G5289" s="140" t="s">
        <v>845</v>
      </c>
      <c r="H5289" s="140" t="s">
        <v>888</v>
      </c>
    </row>
    <row r="5290" spans="1:8" ht="15.75" customHeight="1">
      <c r="A5290" s="140" t="s">
        <v>95</v>
      </c>
      <c r="B5290" s="140" t="s">
        <v>25</v>
      </c>
      <c r="C5290" s="141" t="s">
        <v>284</v>
      </c>
      <c r="D5290" s="140" t="s">
        <v>285</v>
      </c>
      <c r="E5290" s="140">
        <v>1</v>
      </c>
      <c r="F5290" s="142">
        <v>46087.458333333328</v>
      </c>
      <c r="G5290" s="140" t="s">
        <v>845</v>
      </c>
      <c r="H5290" s="140" t="s">
        <v>888</v>
      </c>
    </row>
    <row r="5291" spans="1:8" ht="15.75" customHeight="1">
      <c r="A5291" s="140" t="s">
        <v>95</v>
      </c>
      <c r="B5291" s="140" t="s">
        <v>25</v>
      </c>
      <c r="C5291" s="141" t="s">
        <v>284</v>
      </c>
      <c r="D5291" s="140" t="s">
        <v>285</v>
      </c>
      <c r="E5291" s="140">
        <v>2</v>
      </c>
      <c r="F5291" s="142">
        <v>46107.625</v>
      </c>
      <c r="G5291" s="140" t="s">
        <v>845</v>
      </c>
      <c r="H5291" s="140" t="s">
        <v>888</v>
      </c>
    </row>
    <row r="5292" spans="1:8" ht="15.75" customHeight="1">
      <c r="A5292" s="140" t="s">
        <v>95</v>
      </c>
      <c r="B5292" s="140" t="s">
        <v>25</v>
      </c>
      <c r="C5292" s="141" t="s">
        <v>284</v>
      </c>
      <c r="D5292" s="140" t="s">
        <v>285</v>
      </c>
      <c r="E5292" s="140">
        <v>3</v>
      </c>
      <c r="F5292" s="142">
        <v>46115.458333333328</v>
      </c>
      <c r="G5292" s="140" t="s">
        <v>845</v>
      </c>
      <c r="H5292" s="140" t="s">
        <v>888</v>
      </c>
    </row>
    <row r="5293" spans="1:8" ht="15.75" customHeight="1">
      <c r="A5293" s="140" t="s">
        <v>95</v>
      </c>
      <c r="B5293" s="140" t="s">
        <v>25</v>
      </c>
      <c r="C5293" s="141" t="s">
        <v>284</v>
      </c>
      <c r="D5293" s="140" t="s">
        <v>285</v>
      </c>
      <c r="E5293" s="140">
        <v>4</v>
      </c>
      <c r="F5293" s="142">
        <v>46128.416666666672</v>
      </c>
      <c r="G5293" s="140" t="s">
        <v>845</v>
      </c>
      <c r="H5293" s="140" t="s">
        <v>888</v>
      </c>
    </row>
    <row r="5294" spans="1:8" ht="15.75" customHeight="1">
      <c r="A5294" s="140" t="s">
        <v>95</v>
      </c>
      <c r="B5294" s="140" t="s">
        <v>25</v>
      </c>
      <c r="C5294" s="141" t="s">
        <v>284</v>
      </c>
      <c r="D5294" s="140" t="s">
        <v>285</v>
      </c>
      <c r="E5294" s="140">
        <v>5</v>
      </c>
      <c r="F5294" s="142">
        <v>46129.541666666672</v>
      </c>
      <c r="G5294" s="140" t="s">
        <v>845</v>
      </c>
      <c r="H5294" s="140" t="s">
        <v>888</v>
      </c>
    </row>
    <row r="5295" spans="1:8" ht="15.75" customHeight="1">
      <c r="A5295" s="140" t="s">
        <v>95</v>
      </c>
      <c r="B5295" s="140" t="s">
        <v>25</v>
      </c>
      <c r="C5295" s="141" t="s">
        <v>284</v>
      </c>
      <c r="D5295" s="140" t="s">
        <v>285</v>
      </c>
      <c r="E5295" s="140">
        <v>6</v>
      </c>
      <c r="F5295" s="142">
        <v>46135.458333333328</v>
      </c>
      <c r="G5295" s="140" t="s">
        <v>845</v>
      </c>
      <c r="H5295" s="140" t="s">
        <v>888</v>
      </c>
    </row>
    <row r="5296" spans="1:8" ht="15.75" customHeight="1">
      <c r="A5296" s="140" t="s">
        <v>95</v>
      </c>
      <c r="B5296" s="140" t="s">
        <v>25</v>
      </c>
      <c r="C5296" s="141" t="s">
        <v>359</v>
      </c>
      <c r="D5296" s="140" t="s">
        <v>360</v>
      </c>
      <c r="E5296" s="140">
        <v>1</v>
      </c>
      <c r="F5296" s="142">
        <v>46087.458333333328</v>
      </c>
      <c r="G5296" s="140" t="s">
        <v>845</v>
      </c>
      <c r="H5296" s="140" t="s">
        <v>888</v>
      </c>
    </row>
    <row r="5297" spans="1:8" ht="15.75" customHeight="1">
      <c r="A5297" s="140" t="s">
        <v>95</v>
      </c>
      <c r="B5297" s="140" t="s">
        <v>25</v>
      </c>
      <c r="C5297" s="141" t="s">
        <v>359</v>
      </c>
      <c r="D5297" s="140" t="s">
        <v>360</v>
      </c>
      <c r="E5297" s="140">
        <v>2</v>
      </c>
      <c r="F5297" s="142">
        <v>46107.625</v>
      </c>
      <c r="G5297" s="140" t="s">
        <v>845</v>
      </c>
      <c r="H5297" s="140" t="s">
        <v>888</v>
      </c>
    </row>
    <row r="5298" spans="1:8" ht="15.75" customHeight="1">
      <c r="A5298" s="140" t="s">
        <v>95</v>
      </c>
      <c r="B5298" s="140" t="s">
        <v>25</v>
      </c>
      <c r="C5298" s="141" t="s">
        <v>359</v>
      </c>
      <c r="D5298" s="140" t="s">
        <v>360</v>
      </c>
      <c r="E5298" s="140">
        <v>3</v>
      </c>
      <c r="F5298" s="142">
        <v>46115.458333333328</v>
      </c>
      <c r="G5298" s="140" t="s">
        <v>845</v>
      </c>
      <c r="H5298" s="140" t="s">
        <v>888</v>
      </c>
    </row>
    <row r="5299" spans="1:8" ht="15.75" customHeight="1">
      <c r="A5299" s="140" t="s">
        <v>95</v>
      </c>
      <c r="B5299" s="140" t="s">
        <v>25</v>
      </c>
      <c r="C5299" s="141" t="s">
        <v>359</v>
      </c>
      <c r="D5299" s="140" t="s">
        <v>360</v>
      </c>
      <c r="E5299" s="140">
        <v>4</v>
      </c>
      <c r="F5299" s="142">
        <v>46128.416666666672</v>
      </c>
      <c r="G5299" s="140" t="s">
        <v>845</v>
      </c>
      <c r="H5299" s="140" t="s">
        <v>888</v>
      </c>
    </row>
    <row r="5300" spans="1:8" ht="15.75" customHeight="1">
      <c r="A5300" s="140" t="s">
        <v>95</v>
      </c>
      <c r="B5300" s="140" t="s">
        <v>25</v>
      </c>
      <c r="C5300" s="141" t="s">
        <v>359</v>
      </c>
      <c r="D5300" s="140" t="s">
        <v>360</v>
      </c>
      <c r="E5300" s="140">
        <v>5</v>
      </c>
      <c r="F5300" s="142">
        <v>46129.541666666672</v>
      </c>
      <c r="G5300" s="140" t="s">
        <v>845</v>
      </c>
      <c r="H5300" s="140" t="s">
        <v>888</v>
      </c>
    </row>
    <row r="5301" spans="1:8" ht="15.75" customHeight="1">
      <c r="A5301" s="140" t="s">
        <v>95</v>
      </c>
      <c r="B5301" s="140" t="s">
        <v>25</v>
      </c>
      <c r="C5301" s="141" t="s">
        <v>359</v>
      </c>
      <c r="D5301" s="140" t="s">
        <v>360</v>
      </c>
      <c r="E5301" s="140">
        <v>6</v>
      </c>
      <c r="F5301" s="142">
        <v>46135.458333333328</v>
      </c>
      <c r="G5301" s="140" t="s">
        <v>845</v>
      </c>
      <c r="H5301" s="140" t="s">
        <v>888</v>
      </c>
    </row>
    <row r="5302" spans="1:8" ht="15.75" customHeight="1">
      <c r="A5302" s="140" t="s">
        <v>95</v>
      </c>
      <c r="B5302" s="140" t="s">
        <v>25</v>
      </c>
      <c r="C5302" s="141" t="s">
        <v>365</v>
      </c>
      <c r="D5302" s="140" t="s">
        <v>366</v>
      </c>
      <c r="E5302" s="140">
        <v>1</v>
      </c>
      <c r="F5302" s="142">
        <v>46087.458333333328</v>
      </c>
      <c r="G5302" s="140" t="s">
        <v>845</v>
      </c>
      <c r="H5302" s="140" t="s">
        <v>888</v>
      </c>
    </row>
    <row r="5303" spans="1:8" ht="15.75" customHeight="1">
      <c r="A5303" s="140" t="s">
        <v>95</v>
      </c>
      <c r="B5303" s="140" t="s">
        <v>25</v>
      </c>
      <c r="C5303" s="141" t="s">
        <v>365</v>
      </c>
      <c r="D5303" s="140" t="s">
        <v>366</v>
      </c>
      <c r="E5303" s="140">
        <v>2</v>
      </c>
      <c r="F5303" s="142">
        <v>46107.625</v>
      </c>
      <c r="G5303" s="140" t="s">
        <v>845</v>
      </c>
      <c r="H5303" s="140" t="s">
        <v>888</v>
      </c>
    </row>
    <row r="5304" spans="1:8" ht="15.75" customHeight="1">
      <c r="A5304" s="140" t="s">
        <v>95</v>
      </c>
      <c r="B5304" s="140" t="s">
        <v>25</v>
      </c>
      <c r="C5304" s="141" t="s">
        <v>365</v>
      </c>
      <c r="D5304" s="140" t="s">
        <v>366</v>
      </c>
      <c r="E5304" s="140">
        <v>3</v>
      </c>
      <c r="F5304" s="142">
        <v>46115.458333333328</v>
      </c>
      <c r="G5304" s="140" t="s">
        <v>845</v>
      </c>
      <c r="H5304" s="140" t="s">
        <v>888</v>
      </c>
    </row>
    <row r="5305" spans="1:8" ht="15.75" customHeight="1">
      <c r="A5305" s="140" t="s">
        <v>95</v>
      </c>
      <c r="B5305" s="140" t="s">
        <v>25</v>
      </c>
      <c r="C5305" s="141" t="s">
        <v>365</v>
      </c>
      <c r="D5305" s="140" t="s">
        <v>366</v>
      </c>
      <c r="E5305" s="140">
        <v>4</v>
      </c>
      <c r="F5305" s="142">
        <v>46128.416666666672</v>
      </c>
      <c r="G5305" s="140" t="s">
        <v>845</v>
      </c>
      <c r="H5305" s="140" t="s">
        <v>888</v>
      </c>
    </row>
    <row r="5306" spans="1:8" ht="15.75" customHeight="1">
      <c r="A5306" s="140" t="s">
        <v>95</v>
      </c>
      <c r="B5306" s="140" t="s">
        <v>25</v>
      </c>
      <c r="C5306" s="141" t="s">
        <v>365</v>
      </c>
      <c r="D5306" s="140" t="s">
        <v>366</v>
      </c>
      <c r="E5306" s="140">
        <v>5</v>
      </c>
      <c r="F5306" s="142">
        <v>46129.541666666672</v>
      </c>
      <c r="G5306" s="140" t="s">
        <v>845</v>
      </c>
      <c r="H5306" s="140" t="s">
        <v>888</v>
      </c>
    </row>
    <row r="5307" spans="1:8" ht="15.75" customHeight="1">
      <c r="A5307" s="140" t="s">
        <v>95</v>
      </c>
      <c r="B5307" s="140" t="s">
        <v>25</v>
      </c>
      <c r="C5307" s="141" t="s">
        <v>365</v>
      </c>
      <c r="D5307" s="140" t="s">
        <v>366</v>
      </c>
      <c r="E5307" s="140">
        <v>6</v>
      </c>
      <c r="F5307" s="142">
        <v>46135.458333333328</v>
      </c>
      <c r="G5307" s="140" t="s">
        <v>845</v>
      </c>
      <c r="H5307" s="140" t="s">
        <v>888</v>
      </c>
    </row>
    <row r="5308" spans="1:8" ht="15.75" customHeight="1">
      <c r="A5308" s="140" t="s">
        <v>95</v>
      </c>
      <c r="B5308" s="140" t="s">
        <v>25</v>
      </c>
      <c r="C5308" s="141" t="s">
        <v>393</v>
      </c>
      <c r="D5308" s="140" t="s">
        <v>394</v>
      </c>
      <c r="E5308" s="140">
        <v>1</v>
      </c>
      <c r="F5308" s="142">
        <v>46087.458333333328</v>
      </c>
      <c r="G5308" s="140" t="s">
        <v>845</v>
      </c>
      <c r="H5308" s="140" t="s">
        <v>888</v>
      </c>
    </row>
    <row r="5309" spans="1:8" ht="15.75" customHeight="1">
      <c r="A5309" s="140" t="s">
        <v>95</v>
      </c>
      <c r="B5309" s="140" t="s">
        <v>25</v>
      </c>
      <c r="C5309" s="141" t="s">
        <v>393</v>
      </c>
      <c r="D5309" s="140" t="s">
        <v>394</v>
      </c>
      <c r="E5309" s="140">
        <v>2</v>
      </c>
      <c r="F5309" s="142">
        <v>46107.625</v>
      </c>
      <c r="G5309" s="140" t="s">
        <v>845</v>
      </c>
      <c r="H5309" s="140" t="s">
        <v>888</v>
      </c>
    </row>
    <row r="5310" spans="1:8" ht="15.75" customHeight="1">
      <c r="A5310" s="140" t="s">
        <v>95</v>
      </c>
      <c r="B5310" s="140" t="s">
        <v>25</v>
      </c>
      <c r="C5310" s="141" t="s">
        <v>393</v>
      </c>
      <c r="D5310" s="140" t="s">
        <v>394</v>
      </c>
      <c r="E5310" s="140">
        <v>3</v>
      </c>
      <c r="F5310" s="142">
        <v>46115.458333333328</v>
      </c>
      <c r="G5310" s="140" t="s">
        <v>845</v>
      </c>
      <c r="H5310" s="140" t="s">
        <v>888</v>
      </c>
    </row>
    <row r="5311" spans="1:8" ht="15.75" customHeight="1">
      <c r="A5311" s="140" t="s">
        <v>95</v>
      </c>
      <c r="B5311" s="140" t="s">
        <v>25</v>
      </c>
      <c r="C5311" s="141" t="s">
        <v>393</v>
      </c>
      <c r="D5311" s="140" t="s">
        <v>394</v>
      </c>
      <c r="E5311" s="140">
        <v>4</v>
      </c>
      <c r="F5311" s="142">
        <v>46128.416666666672</v>
      </c>
      <c r="G5311" s="140" t="s">
        <v>845</v>
      </c>
      <c r="H5311" s="140" t="s">
        <v>888</v>
      </c>
    </row>
    <row r="5312" spans="1:8" ht="15.75" customHeight="1">
      <c r="A5312" s="140" t="s">
        <v>95</v>
      </c>
      <c r="B5312" s="140" t="s">
        <v>25</v>
      </c>
      <c r="C5312" s="141" t="s">
        <v>393</v>
      </c>
      <c r="D5312" s="140" t="s">
        <v>394</v>
      </c>
      <c r="E5312" s="140">
        <v>5</v>
      </c>
      <c r="F5312" s="142">
        <v>46129.541666666672</v>
      </c>
      <c r="G5312" s="140" t="s">
        <v>845</v>
      </c>
      <c r="H5312" s="140" t="s">
        <v>888</v>
      </c>
    </row>
    <row r="5313" spans="1:8" ht="15.75" customHeight="1">
      <c r="A5313" s="140" t="s">
        <v>95</v>
      </c>
      <c r="B5313" s="140" t="s">
        <v>25</v>
      </c>
      <c r="C5313" s="141" t="s">
        <v>393</v>
      </c>
      <c r="D5313" s="140" t="s">
        <v>394</v>
      </c>
      <c r="E5313" s="140">
        <v>6</v>
      </c>
      <c r="F5313" s="142">
        <v>46135.458333333328</v>
      </c>
      <c r="G5313" s="140" t="s">
        <v>845</v>
      </c>
      <c r="H5313" s="140" t="s">
        <v>888</v>
      </c>
    </row>
    <row r="5314" spans="1:8" ht="15.75" customHeight="1">
      <c r="A5314" s="140" t="s">
        <v>95</v>
      </c>
      <c r="B5314" s="140" t="s">
        <v>25</v>
      </c>
      <c r="C5314" s="141" t="s">
        <v>409</v>
      </c>
      <c r="D5314" s="140" t="s">
        <v>410</v>
      </c>
      <c r="E5314" s="140">
        <v>1</v>
      </c>
      <c r="F5314" s="142">
        <v>46086.583333333328</v>
      </c>
      <c r="G5314" s="140" t="s">
        <v>845</v>
      </c>
      <c r="H5314" s="140" t="s">
        <v>888</v>
      </c>
    </row>
    <row r="5315" spans="1:8" ht="15.75" customHeight="1">
      <c r="A5315" s="140" t="s">
        <v>95</v>
      </c>
      <c r="B5315" s="140" t="s">
        <v>25</v>
      </c>
      <c r="C5315" s="141" t="s">
        <v>409</v>
      </c>
      <c r="D5315" s="140" t="s">
        <v>410</v>
      </c>
      <c r="E5315" s="140">
        <v>2</v>
      </c>
      <c r="F5315" s="142">
        <v>46107.625</v>
      </c>
      <c r="G5315" s="140" t="s">
        <v>845</v>
      </c>
      <c r="H5315" s="140" t="s">
        <v>888</v>
      </c>
    </row>
    <row r="5316" spans="1:8" ht="15.75" customHeight="1">
      <c r="A5316" s="140" t="s">
        <v>95</v>
      </c>
      <c r="B5316" s="140" t="s">
        <v>25</v>
      </c>
      <c r="C5316" s="141" t="s">
        <v>409</v>
      </c>
      <c r="D5316" s="140" t="s">
        <v>410</v>
      </c>
      <c r="E5316" s="140">
        <v>3</v>
      </c>
      <c r="F5316" s="142">
        <v>46115.458333333328</v>
      </c>
      <c r="G5316" s="140" t="s">
        <v>845</v>
      </c>
      <c r="H5316" s="140" t="s">
        <v>888</v>
      </c>
    </row>
    <row r="5317" spans="1:8" ht="15.75" customHeight="1">
      <c r="A5317" s="140" t="s">
        <v>95</v>
      </c>
      <c r="B5317" s="140" t="s">
        <v>25</v>
      </c>
      <c r="C5317" s="141" t="s">
        <v>409</v>
      </c>
      <c r="D5317" s="140" t="s">
        <v>410</v>
      </c>
      <c r="E5317" s="140">
        <v>4</v>
      </c>
      <c r="F5317" s="142">
        <v>46128.416666666672</v>
      </c>
      <c r="G5317" s="140" t="s">
        <v>845</v>
      </c>
      <c r="H5317" s="140" t="s">
        <v>888</v>
      </c>
    </row>
    <row r="5318" spans="1:8" ht="15.75" customHeight="1">
      <c r="A5318" s="140" t="s">
        <v>95</v>
      </c>
      <c r="B5318" s="140" t="s">
        <v>25</v>
      </c>
      <c r="C5318" s="141" t="s">
        <v>409</v>
      </c>
      <c r="D5318" s="140" t="s">
        <v>410</v>
      </c>
      <c r="E5318" s="140">
        <v>5</v>
      </c>
      <c r="F5318" s="142">
        <v>46129.541666666672</v>
      </c>
      <c r="G5318" s="140" t="s">
        <v>845</v>
      </c>
      <c r="H5318" s="140" t="s">
        <v>888</v>
      </c>
    </row>
    <row r="5319" spans="1:8" ht="15.75" customHeight="1">
      <c r="A5319" s="140" t="s">
        <v>95</v>
      </c>
      <c r="B5319" s="140" t="s">
        <v>25</v>
      </c>
      <c r="C5319" s="141" t="s">
        <v>409</v>
      </c>
      <c r="D5319" s="140" t="s">
        <v>410</v>
      </c>
      <c r="E5319" s="140">
        <v>6</v>
      </c>
      <c r="F5319" s="142">
        <v>46135.458333333328</v>
      </c>
      <c r="G5319" s="140" t="s">
        <v>845</v>
      </c>
      <c r="H5319" s="140" t="s">
        <v>888</v>
      </c>
    </row>
    <row r="5320" spans="1:8" ht="15.75" customHeight="1">
      <c r="A5320" s="140" t="s">
        <v>95</v>
      </c>
      <c r="B5320" s="140" t="s">
        <v>25</v>
      </c>
      <c r="C5320" s="141" t="s">
        <v>478</v>
      </c>
      <c r="D5320" s="140" t="s">
        <v>479</v>
      </c>
      <c r="E5320" s="140">
        <v>1</v>
      </c>
      <c r="F5320" s="142">
        <v>46087.458333333328</v>
      </c>
      <c r="G5320" s="140" t="s">
        <v>845</v>
      </c>
      <c r="H5320" s="140" t="s">
        <v>888</v>
      </c>
    </row>
    <row r="5321" spans="1:8" ht="15.75" customHeight="1">
      <c r="A5321" s="140" t="s">
        <v>95</v>
      </c>
      <c r="B5321" s="140" t="s">
        <v>25</v>
      </c>
      <c r="C5321" s="141" t="s">
        <v>478</v>
      </c>
      <c r="D5321" s="140" t="s">
        <v>479</v>
      </c>
      <c r="E5321" s="140">
        <v>2</v>
      </c>
      <c r="F5321" s="142">
        <v>46107.625</v>
      </c>
      <c r="G5321" s="140" t="s">
        <v>843</v>
      </c>
      <c r="H5321" s="140" t="s">
        <v>888</v>
      </c>
    </row>
    <row r="5322" spans="1:8" ht="15.75" customHeight="1">
      <c r="A5322" s="140" t="s">
        <v>95</v>
      </c>
      <c r="B5322" s="140" t="s">
        <v>25</v>
      </c>
      <c r="C5322" s="141" t="s">
        <v>478</v>
      </c>
      <c r="D5322" s="140" t="s">
        <v>479</v>
      </c>
      <c r="E5322" s="140">
        <v>3</v>
      </c>
      <c r="F5322" s="142">
        <v>46115.458333333328</v>
      </c>
      <c r="G5322" s="140" t="s">
        <v>843</v>
      </c>
      <c r="H5322" s="140" t="s">
        <v>888</v>
      </c>
    </row>
    <row r="5323" spans="1:8" ht="15.75" customHeight="1">
      <c r="A5323" s="140" t="s">
        <v>95</v>
      </c>
      <c r="B5323" s="140" t="s">
        <v>25</v>
      </c>
      <c r="C5323" s="141" t="s">
        <v>478</v>
      </c>
      <c r="D5323" s="140" t="s">
        <v>479</v>
      </c>
      <c r="E5323" s="140">
        <v>4</v>
      </c>
      <c r="F5323" s="142">
        <v>46128.416666666672</v>
      </c>
      <c r="G5323" s="140" t="s">
        <v>843</v>
      </c>
      <c r="H5323" s="140" t="s">
        <v>888</v>
      </c>
    </row>
    <row r="5324" spans="1:8" ht="15.75" customHeight="1">
      <c r="A5324" s="140" t="s">
        <v>95</v>
      </c>
      <c r="B5324" s="140" t="s">
        <v>25</v>
      </c>
      <c r="C5324" s="141" t="s">
        <v>478</v>
      </c>
      <c r="D5324" s="140" t="s">
        <v>479</v>
      </c>
      <c r="E5324" s="140">
        <v>5</v>
      </c>
      <c r="F5324" s="142">
        <v>46129.541666666672</v>
      </c>
      <c r="G5324" s="140" t="s">
        <v>843</v>
      </c>
      <c r="H5324" s="140" t="s">
        <v>888</v>
      </c>
    </row>
    <row r="5325" spans="1:8" ht="15.75" customHeight="1">
      <c r="A5325" s="140" t="s">
        <v>95</v>
      </c>
      <c r="B5325" s="140" t="s">
        <v>25</v>
      </c>
      <c r="C5325" s="141" t="s">
        <v>478</v>
      </c>
      <c r="D5325" s="140" t="s">
        <v>479</v>
      </c>
      <c r="E5325" s="140">
        <v>6</v>
      </c>
      <c r="F5325" s="142">
        <v>46135.458333333328</v>
      </c>
      <c r="G5325" s="140" t="s">
        <v>843</v>
      </c>
      <c r="H5325" s="140" t="s">
        <v>888</v>
      </c>
    </row>
    <row r="5326" spans="1:8" ht="15.75" customHeight="1">
      <c r="A5326" s="140" t="s">
        <v>95</v>
      </c>
      <c r="B5326" s="140" t="s">
        <v>25</v>
      </c>
      <c r="C5326" s="141" t="s">
        <v>585</v>
      </c>
      <c r="D5326" s="140" t="s">
        <v>586</v>
      </c>
      <c r="E5326" s="140">
        <v>1</v>
      </c>
      <c r="F5326" s="142">
        <v>46087.458333333328</v>
      </c>
      <c r="G5326" s="140" t="s">
        <v>845</v>
      </c>
      <c r="H5326" s="140" t="s">
        <v>888</v>
      </c>
    </row>
    <row r="5327" spans="1:8" ht="15.75" customHeight="1">
      <c r="A5327" s="140" t="s">
        <v>95</v>
      </c>
      <c r="B5327" s="140" t="s">
        <v>25</v>
      </c>
      <c r="C5327" s="141" t="s">
        <v>585</v>
      </c>
      <c r="D5327" s="140" t="s">
        <v>586</v>
      </c>
      <c r="E5327" s="140">
        <v>2</v>
      </c>
      <c r="F5327" s="142">
        <v>46107.625</v>
      </c>
      <c r="G5327" s="140" t="s">
        <v>845</v>
      </c>
      <c r="H5327" s="140" t="s">
        <v>888</v>
      </c>
    </row>
    <row r="5328" spans="1:8" ht="15.75" customHeight="1">
      <c r="A5328" s="140" t="s">
        <v>95</v>
      </c>
      <c r="B5328" s="140" t="s">
        <v>25</v>
      </c>
      <c r="C5328" s="141" t="s">
        <v>585</v>
      </c>
      <c r="D5328" s="140" t="s">
        <v>586</v>
      </c>
      <c r="E5328" s="140">
        <v>3</v>
      </c>
      <c r="F5328" s="142">
        <v>46115.458333333328</v>
      </c>
      <c r="G5328" s="140" t="s">
        <v>845</v>
      </c>
      <c r="H5328" s="140" t="s">
        <v>888</v>
      </c>
    </row>
    <row r="5329" spans="1:8" ht="15.75" customHeight="1">
      <c r="A5329" s="140" t="s">
        <v>95</v>
      </c>
      <c r="B5329" s="140" t="s">
        <v>25</v>
      </c>
      <c r="C5329" s="141" t="s">
        <v>585</v>
      </c>
      <c r="D5329" s="140" t="s">
        <v>586</v>
      </c>
      <c r="E5329" s="140">
        <v>4</v>
      </c>
      <c r="F5329" s="142">
        <v>46128.416666666672</v>
      </c>
      <c r="G5329" s="140" t="s">
        <v>845</v>
      </c>
      <c r="H5329" s="140" t="s">
        <v>888</v>
      </c>
    </row>
    <row r="5330" spans="1:8" ht="15.75" customHeight="1">
      <c r="A5330" s="140" t="s">
        <v>95</v>
      </c>
      <c r="B5330" s="140" t="s">
        <v>25</v>
      </c>
      <c r="C5330" s="141" t="s">
        <v>585</v>
      </c>
      <c r="D5330" s="140" t="s">
        <v>586</v>
      </c>
      <c r="E5330" s="140">
        <v>6</v>
      </c>
      <c r="F5330" s="142">
        <v>46135.458333333328</v>
      </c>
      <c r="G5330" s="140" t="s">
        <v>845</v>
      </c>
      <c r="H5330" s="140" t="s">
        <v>888</v>
      </c>
    </row>
    <row r="5331" spans="1:8" ht="15.75" customHeight="1">
      <c r="A5331" s="140" t="s">
        <v>96</v>
      </c>
      <c r="B5331" s="140" t="s">
        <v>21</v>
      </c>
      <c r="C5331" s="141" t="s">
        <v>138</v>
      </c>
      <c r="D5331" s="140" t="s">
        <v>139</v>
      </c>
      <c r="E5331" s="140">
        <v>2</v>
      </c>
      <c r="F5331" s="142">
        <v>46120.458333333328</v>
      </c>
      <c r="G5331" s="140" t="s">
        <v>843</v>
      </c>
      <c r="H5331" s="140" t="s">
        <v>889</v>
      </c>
    </row>
    <row r="5332" spans="1:8" ht="15.75" customHeight="1">
      <c r="A5332" s="140" t="s">
        <v>96</v>
      </c>
      <c r="B5332" s="140" t="s">
        <v>21</v>
      </c>
      <c r="C5332" s="141" t="s">
        <v>138</v>
      </c>
      <c r="D5332" s="140" t="s">
        <v>139</v>
      </c>
      <c r="E5332" s="140">
        <v>3</v>
      </c>
      <c r="F5332" s="142">
        <v>46127.458333333328</v>
      </c>
      <c r="G5332" s="140" t="s">
        <v>845</v>
      </c>
      <c r="H5332" s="140" t="s">
        <v>889</v>
      </c>
    </row>
    <row r="5333" spans="1:8" ht="15.75" customHeight="1">
      <c r="A5333" s="140" t="s">
        <v>96</v>
      </c>
      <c r="B5333" s="140" t="s">
        <v>21</v>
      </c>
      <c r="C5333" s="141" t="s">
        <v>138</v>
      </c>
      <c r="D5333" s="140" t="s">
        <v>139</v>
      </c>
      <c r="E5333" s="140">
        <v>4</v>
      </c>
      <c r="F5333" s="142">
        <v>46134.458333333328</v>
      </c>
      <c r="G5333" s="140" t="s">
        <v>845</v>
      </c>
      <c r="H5333" s="140" t="s">
        <v>889</v>
      </c>
    </row>
    <row r="5334" spans="1:8" ht="15.75" customHeight="1">
      <c r="A5334" s="140" t="s">
        <v>96</v>
      </c>
      <c r="B5334" s="140" t="s">
        <v>21</v>
      </c>
      <c r="C5334" s="141" t="s">
        <v>267</v>
      </c>
      <c r="D5334" s="140" t="s">
        <v>268</v>
      </c>
      <c r="E5334" s="140">
        <v>2</v>
      </c>
      <c r="F5334" s="142">
        <v>46120.458333333328</v>
      </c>
      <c r="G5334" s="140" t="s">
        <v>845</v>
      </c>
      <c r="H5334" s="140" t="s">
        <v>889</v>
      </c>
    </row>
    <row r="5335" spans="1:8" ht="15.75" customHeight="1">
      <c r="A5335" s="140" t="s">
        <v>96</v>
      </c>
      <c r="B5335" s="140" t="s">
        <v>21</v>
      </c>
      <c r="C5335" s="141" t="s">
        <v>267</v>
      </c>
      <c r="D5335" s="140" t="s">
        <v>268</v>
      </c>
      <c r="E5335" s="140">
        <v>3</v>
      </c>
      <c r="F5335" s="142">
        <v>46127.458333333328</v>
      </c>
      <c r="G5335" s="140" t="s">
        <v>845</v>
      </c>
      <c r="H5335" s="140" t="s">
        <v>889</v>
      </c>
    </row>
    <row r="5336" spans="1:8" ht="15.75" customHeight="1">
      <c r="A5336" s="140" t="s">
        <v>96</v>
      </c>
      <c r="B5336" s="140" t="s">
        <v>21</v>
      </c>
      <c r="C5336" s="141" t="s">
        <v>267</v>
      </c>
      <c r="D5336" s="140" t="s">
        <v>268</v>
      </c>
      <c r="E5336" s="140">
        <v>4</v>
      </c>
      <c r="F5336" s="142">
        <v>46134.458333333328</v>
      </c>
      <c r="G5336" s="140" t="s">
        <v>845</v>
      </c>
      <c r="H5336" s="140" t="s">
        <v>889</v>
      </c>
    </row>
    <row r="5337" spans="1:8" ht="15.75" customHeight="1">
      <c r="A5337" s="140" t="s">
        <v>96</v>
      </c>
      <c r="B5337" s="140" t="s">
        <v>21</v>
      </c>
      <c r="C5337" s="141" t="s">
        <v>286</v>
      </c>
      <c r="D5337" s="140" t="s">
        <v>287</v>
      </c>
      <c r="E5337" s="140">
        <v>2</v>
      </c>
      <c r="F5337" s="142">
        <v>46120.458333333328</v>
      </c>
      <c r="G5337" s="140" t="s">
        <v>845</v>
      </c>
      <c r="H5337" s="140" t="s">
        <v>889</v>
      </c>
    </row>
    <row r="5338" spans="1:8" ht="15.75" customHeight="1">
      <c r="A5338" s="140" t="s">
        <v>96</v>
      </c>
      <c r="B5338" s="140" t="s">
        <v>21</v>
      </c>
      <c r="C5338" s="141" t="s">
        <v>286</v>
      </c>
      <c r="D5338" s="140" t="s">
        <v>287</v>
      </c>
      <c r="E5338" s="140">
        <v>3</v>
      </c>
      <c r="F5338" s="142">
        <v>46127.458333333328</v>
      </c>
      <c r="G5338" s="140" t="s">
        <v>845</v>
      </c>
      <c r="H5338" s="140" t="s">
        <v>889</v>
      </c>
    </row>
    <row r="5339" spans="1:8" ht="15.75" customHeight="1">
      <c r="A5339" s="140" t="s">
        <v>96</v>
      </c>
      <c r="B5339" s="140" t="s">
        <v>21</v>
      </c>
      <c r="C5339" s="141" t="s">
        <v>286</v>
      </c>
      <c r="D5339" s="140" t="s">
        <v>287</v>
      </c>
      <c r="E5339" s="140">
        <v>4</v>
      </c>
      <c r="F5339" s="142">
        <v>46134.458333333328</v>
      </c>
      <c r="G5339" s="140" t="s">
        <v>845</v>
      </c>
      <c r="H5339" s="140" t="s">
        <v>889</v>
      </c>
    </row>
    <row r="5340" spans="1:8" ht="15.75" customHeight="1">
      <c r="A5340" s="140" t="s">
        <v>96</v>
      </c>
      <c r="B5340" s="140" t="s">
        <v>21</v>
      </c>
      <c r="C5340" s="141" t="s">
        <v>370</v>
      </c>
      <c r="D5340" s="140" t="s">
        <v>371</v>
      </c>
      <c r="E5340" s="140">
        <v>2</v>
      </c>
      <c r="F5340" s="142">
        <v>46120.458333333328</v>
      </c>
      <c r="G5340" s="140" t="s">
        <v>845</v>
      </c>
      <c r="H5340" s="140" t="s">
        <v>889</v>
      </c>
    </row>
    <row r="5341" spans="1:8" ht="15.75" customHeight="1">
      <c r="A5341" s="140" t="s">
        <v>96</v>
      </c>
      <c r="B5341" s="140" t="s">
        <v>21</v>
      </c>
      <c r="C5341" s="141" t="s">
        <v>370</v>
      </c>
      <c r="D5341" s="140" t="s">
        <v>371</v>
      </c>
      <c r="E5341" s="140">
        <v>3</v>
      </c>
      <c r="F5341" s="142">
        <v>46127.458333333328</v>
      </c>
      <c r="G5341" s="140" t="s">
        <v>845</v>
      </c>
      <c r="H5341" s="140" t="s">
        <v>889</v>
      </c>
    </row>
    <row r="5342" spans="1:8" ht="15.75" customHeight="1">
      <c r="A5342" s="140" t="s">
        <v>96</v>
      </c>
      <c r="B5342" s="140" t="s">
        <v>21</v>
      </c>
      <c r="C5342" s="141" t="s">
        <v>370</v>
      </c>
      <c r="D5342" s="140" t="s">
        <v>371</v>
      </c>
      <c r="E5342" s="140">
        <v>4</v>
      </c>
      <c r="F5342" s="142">
        <v>46134.458333333328</v>
      </c>
      <c r="G5342" s="140" t="s">
        <v>845</v>
      </c>
      <c r="H5342" s="140" t="s">
        <v>889</v>
      </c>
    </row>
    <row r="5343" spans="1:8" ht="15.75" customHeight="1">
      <c r="A5343" s="140" t="s">
        <v>96</v>
      </c>
      <c r="B5343" s="140" t="s">
        <v>21</v>
      </c>
      <c r="C5343" s="141" t="s">
        <v>413</v>
      </c>
      <c r="D5343" s="140" t="s">
        <v>414</v>
      </c>
      <c r="E5343" s="140">
        <v>2</v>
      </c>
      <c r="F5343" s="142">
        <v>46120.458333333328</v>
      </c>
      <c r="G5343" s="140" t="s">
        <v>845</v>
      </c>
      <c r="H5343" s="140" t="s">
        <v>889</v>
      </c>
    </row>
    <row r="5344" spans="1:8" ht="15.75" customHeight="1">
      <c r="A5344" s="140" t="s">
        <v>96</v>
      </c>
      <c r="B5344" s="140" t="s">
        <v>21</v>
      </c>
      <c r="C5344" s="141" t="s">
        <v>413</v>
      </c>
      <c r="D5344" s="140" t="s">
        <v>414</v>
      </c>
      <c r="E5344" s="140">
        <v>3</v>
      </c>
      <c r="F5344" s="142">
        <v>46127.458333333328</v>
      </c>
      <c r="G5344" s="140" t="s">
        <v>845</v>
      </c>
      <c r="H5344" s="140" t="s">
        <v>889</v>
      </c>
    </row>
    <row r="5345" spans="1:8" ht="15.75" customHeight="1">
      <c r="A5345" s="140" t="s">
        <v>96</v>
      </c>
      <c r="B5345" s="140" t="s">
        <v>21</v>
      </c>
      <c r="C5345" s="141" t="s">
        <v>413</v>
      </c>
      <c r="D5345" s="140" t="s">
        <v>414</v>
      </c>
      <c r="E5345" s="140">
        <v>4</v>
      </c>
      <c r="F5345" s="142">
        <v>46134.458333333328</v>
      </c>
      <c r="G5345" s="140" t="s">
        <v>845</v>
      </c>
      <c r="H5345" s="140" t="s">
        <v>889</v>
      </c>
    </row>
    <row r="5346" spans="1:8" ht="15.75" customHeight="1">
      <c r="A5346" s="140" t="s">
        <v>96</v>
      </c>
      <c r="B5346" s="140" t="s">
        <v>21</v>
      </c>
      <c r="C5346" s="141" t="s">
        <v>653</v>
      </c>
      <c r="D5346" s="140" t="s">
        <v>654</v>
      </c>
      <c r="E5346" s="140">
        <v>2</v>
      </c>
      <c r="F5346" s="142">
        <v>46120.458333333328</v>
      </c>
      <c r="G5346" s="140" t="s">
        <v>845</v>
      </c>
      <c r="H5346" s="140" t="s">
        <v>889</v>
      </c>
    </row>
    <row r="5347" spans="1:8" ht="15.75" customHeight="1">
      <c r="A5347" s="140" t="s">
        <v>96</v>
      </c>
      <c r="B5347" s="140" t="s">
        <v>21</v>
      </c>
      <c r="C5347" s="141" t="s">
        <v>653</v>
      </c>
      <c r="D5347" s="140" t="s">
        <v>654</v>
      </c>
      <c r="E5347" s="140">
        <v>3</v>
      </c>
      <c r="F5347" s="142">
        <v>46127.458333333328</v>
      </c>
      <c r="G5347" s="140" t="s">
        <v>845</v>
      </c>
      <c r="H5347" s="140" t="s">
        <v>889</v>
      </c>
    </row>
    <row r="5348" spans="1:8" ht="15.75" customHeight="1">
      <c r="A5348" s="140" t="s">
        <v>96</v>
      </c>
      <c r="B5348" s="140" t="s">
        <v>21</v>
      </c>
      <c r="C5348" s="141" t="s">
        <v>653</v>
      </c>
      <c r="D5348" s="140" t="s">
        <v>654</v>
      </c>
      <c r="E5348" s="140">
        <v>4</v>
      </c>
      <c r="F5348" s="142">
        <v>46134.458333333328</v>
      </c>
      <c r="G5348" s="140" t="s">
        <v>845</v>
      </c>
      <c r="H5348" s="140" t="s">
        <v>889</v>
      </c>
    </row>
    <row r="5349" spans="1:8" ht="15.75" customHeight="1">
      <c r="A5349" s="140" t="s">
        <v>96</v>
      </c>
      <c r="B5349" s="140" t="s">
        <v>21</v>
      </c>
      <c r="C5349" s="141" t="s">
        <v>673</v>
      </c>
      <c r="D5349" s="140" t="s">
        <v>674</v>
      </c>
      <c r="E5349" s="140">
        <v>2</v>
      </c>
      <c r="F5349" s="142">
        <v>46120.458333333328</v>
      </c>
      <c r="G5349" s="140" t="s">
        <v>845</v>
      </c>
      <c r="H5349" s="140" t="s">
        <v>889</v>
      </c>
    </row>
    <row r="5350" spans="1:8" ht="15.75" customHeight="1">
      <c r="A5350" s="140" t="s">
        <v>96</v>
      </c>
      <c r="B5350" s="140" t="s">
        <v>21</v>
      </c>
      <c r="C5350" s="141" t="s">
        <v>673</v>
      </c>
      <c r="D5350" s="140" t="s">
        <v>674</v>
      </c>
      <c r="E5350" s="140">
        <v>3</v>
      </c>
      <c r="F5350" s="142">
        <v>46127.458333333328</v>
      </c>
      <c r="G5350" s="140" t="s">
        <v>845</v>
      </c>
      <c r="H5350" s="140" t="s">
        <v>889</v>
      </c>
    </row>
    <row r="5351" spans="1:8" ht="15.75" customHeight="1">
      <c r="A5351" s="140" t="s">
        <v>96</v>
      </c>
      <c r="B5351" s="140" t="s">
        <v>21</v>
      </c>
      <c r="C5351" s="141" t="s">
        <v>673</v>
      </c>
      <c r="D5351" s="140" t="s">
        <v>674</v>
      </c>
      <c r="E5351" s="140">
        <v>4</v>
      </c>
      <c r="F5351" s="142">
        <v>46134.458333333328</v>
      </c>
      <c r="G5351" s="140" t="s">
        <v>845</v>
      </c>
      <c r="H5351" s="140" t="s">
        <v>889</v>
      </c>
    </row>
    <row r="5352" spans="1:8" ht="15.75" customHeight="1">
      <c r="A5352" s="140" t="s">
        <v>97</v>
      </c>
      <c r="B5352" s="140" t="s">
        <v>21</v>
      </c>
      <c r="C5352" s="141" t="s">
        <v>161</v>
      </c>
      <c r="D5352" s="140" t="s">
        <v>162</v>
      </c>
      <c r="E5352" s="140">
        <v>1</v>
      </c>
      <c r="F5352" s="142">
        <v>46126.625</v>
      </c>
      <c r="G5352" s="140" t="s">
        <v>845</v>
      </c>
      <c r="H5352" s="140" t="s">
        <v>890</v>
      </c>
    </row>
    <row r="5353" spans="1:8" ht="15.75" customHeight="1">
      <c r="A5353" s="140" t="s">
        <v>97</v>
      </c>
      <c r="B5353" s="140" t="s">
        <v>21</v>
      </c>
      <c r="C5353" s="141" t="s">
        <v>161</v>
      </c>
      <c r="D5353" s="140" t="s">
        <v>162</v>
      </c>
      <c r="E5353" s="140">
        <v>2</v>
      </c>
      <c r="F5353" s="142">
        <v>46129.625</v>
      </c>
      <c r="G5353" s="140" t="s">
        <v>845</v>
      </c>
      <c r="H5353" s="140" t="s">
        <v>890</v>
      </c>
    </row>
    <row r="5354" spans="1:8" ht="15.75" customHeight="1">
      <c r="A5354" s="140" t="s">
        <v>97</v>
      </c>
      <c r="B5354" s="140" t="s">
        <v>21</v>
      </c>
      <c r="C5354" s="141" t="s">
        <v>269</v>
      </c>
      <c r="D5354" s="140" t="s">
        <v>270</v>
      </c>
      <c r="E5354" s="140">
        <v>1</v>
      </c>
      <c r="F5354" s="142">
        <v>46126.625</v>
      </c>
      <c r="G5354" s="140" t="s">
        <v>845</v>
      </c>
      <c r="H5354" s="140" t="s">
        <v>890</v>
      </c>
    </row>
    <row r="5355" spans="1:8" ht="15.75" customHeight="1">
      <c r="A5355" s="140" t="s">
        <v>97</v>
      </c>
      <c r="B5355" s="140" t="s">
        <v>21</v>
      </c>
      <c r="C5355" s="141" t="s">
        <v>269</v>
      </c>
      <c r="D5355" s="140" t="s">
        <v>270</v>
      </c>
      <c r="E5355" s="140">
        <v>2</v>
      </c>
      <c r="F5355" s="142">
        <v>46129.625</v>
      </c>
      <c r="G5355" s="140" t="s">
        <v>845</v>
      </c>
      <c r="H5355" s="140" t="s">
        <v>890</v>
      </c>
    </row>
    <row r="5356" spans="1:8" ht="15.75" customHeight="1">
      <c r="A5356" s="140" t="s">
        <v>97</v>
      </c>
      <c r="B5356" s="140" t="s">
        <v>21</v>
      </c>
      <c r="C5356" s="141" t="s">
        <v>290</v>
      </c>
      <c r="D5356" s="140" t="s">
        <v>291</v>
      </c>
      <c r="E5356" s="140">
        <v>1</v>
      </c>
      <c r="F5356" s="142">
        <v>46126.625</v>
      </c>
      <c r="G5356" s="140" t="s">
        <v>845</v>
      </c>
      <c r="H5356" s="140" t="s">
        <v>890</v>
      </c>
    </row>
    <row r="5357" spans="1:8" ht="15.75" customHeight="1">
      <c r="A5357" s="140" t="s">
        <v>97</v>
      </c>
      <c r="B5357" s="140" t="s">
        <v>21</v>
      </c>
      <c r="C5357" s="141" t="s">
        <v>290</v>
      </c>
      <c r="D5357" s="140" t="s">
        <v>291</v>
      </c>
      <c r="E5357" s="140">
        <v>2</v>
      </c>
      <c r="F5357" s="142">
        <v>46129.625</v>
      </c>
      <c r="G5357" s="140" t="s">
        <v>845</v>
      </c>
      <c r="H5357" s="140" t="s">
        <v>890</v>
      </c>
    </row>
    <row r="5358" spans="1:8" ht="15.75" customHeight="1">
      <c r="A5358" s="140" t="s">
        <v>97</v>
      </c>
      <c r="B5358" s="140" t="s">
        <v>21</v>
      </c>
      <c r="C5358" s="141" t="s">
        <v>468</v>
      </c>
      <c r="D5358" s="140" t="s">
        <v>469</v>
      </c>
      <c r="E5358" s="140">
        <v>1</v>
      </c>
      <c r="F5358" s="142">
        <v>46126.625</v>
      </c>
      <c r="G5358" s="140" t="s">
        <v>845</v>
      </c>
      <c r="H5358" s="140" t="s">
        <v>890</v>
      </c>
    </row>
    <row r="5359" spans="1:8" ht="15.75" customHeight="1">
      <c r="A5359" s="140" t="s">
        <v>97</v>
      </c>
      <c r="B5359" s="140" t="s">
        <v>21</v>
      </c>
      <c r="C5359" s="141" t="s">
        <v>468</v>
      </c>
      <c r="D5359" s="140" t="s">
        <v>469</v>
      </c>
      <c r="E5359" s="140">
        <v>2</v>
      </c>
      <c r="F5359" s="142">
        <v>46129.625</v>
      </c>
      <c r="G5359" s="140" t="s">
        <v>843</v>
      </c>
      <c r="H5359" s="140" t="s">
        <v>890</v>
      </c>
    </row>
    <row r="5360" spans="1:8" ht="15.75" customHeight="1">
      <c r="A5360" s="140" t="s">
        <v>97</v>
      </c>
      <c r="B5360" s="140" t="s">
        <v>21</v>
      </c>
      <c r="C5360" s="141" t="s">
        <v>470</v>
      </c>
      <c r="D5360" s="140" t="s">
        <v>471</v>
      </c>
      <c r="E5360" s="140">
        <v>1</v>
      </c>
      <c r="F5360" s="142">
        <v>46126.625</v>
      </c>
      <c r="G5360" s="140" t="s">
        <v>845</v>
      </c>
      <c r="H5360" s="140" t="s">
        <v>890</v>
      </c>
    </row>
    <row r="5361" spans="1:8" ht="15.75" customHeight="1">
      <c r="A5361" s="140" t="s">
        <v>97</v>
      </c>
      <c r="B5361" s="140" t="s">
        <v>21</v>
      </c>
      <c r="C5361" s="141" t="s">
        <v>470</v>
      </c>
      <c r="D5361" s="140" t="s">
        <v>471</v>
      </c>
      <c r="E5361" s="140">
        <v>2</v>
      </c>
      <c r="F5361" s="142">
        <v>46129.625</v>
      </c>
      <c r="G5361" s="140" t="s">
        <v>845</v>
      </c>
      <c r="H5361" s="140" t="s">
        <v>890</v>
      </c>
    </row>
    <row r="5362" spans="1:8" ht="15.75" customHeight="1">
      <c r="A5362" s="140" t="s">
        <v>97</v>
      </c>
      <c r="B5362" s="140" t="s">
        <v>21</v>
      </c>
      <c r="C5362" s="141" t="s">
        <v>516</v>
      </c>
      <c r="D5362" s="140" t="s">
        <v>517</v>
      </c>
      <c r="E5362" s="140">
        <v>1</v>
      </c>
      <c r="F5362" s="142">
        <v>46126.625</v>
      </c>
      <c r="G5362" s="140" t="s">
        <v>845</v>
      </c>
      <c r="H5362" s="140" t="s">
        <v>890</v>
      </c>
    </row>
    <row r="5363" spans="1:8" ht="15.75" customHeight="1">
      <c r="A5363" s="140" t="s">
        <v>97</v>
      </c>
      <c r="B5363" s="140" t="s">
        <v>21</v>
      </c>
      <c r="C5363" s="141" t="s">
        <v>516</v>
      </c>
      <c r="D5363" s="140" t="s">
        <v>517</v>
      </c>
      <c r="E5363" s="140">
        <v>2</v>
      </c>
      <c r="F5363" s="142">
        <v>46129.625</v>
      </c>
      <c r="G5363" s="140" t="s">
        <v>845</v>
      </c>
      <c r="H5363" s="140" t="s">
        <v>890</v>
      </c>
    </row>
    <row r="5364" spans="1:8" ht="15.75" customHeight="1">
      <c r="A5364" s="140" t="s">
        <v>783</v>
      </c>
      <c r="B5364" s="140" t="s">
        <v>21</v>
      </c>
      <c r="C5364" s="141" t="s">
        <v>725</v>
      </c>
      <c r="D5364" s="140" t="s">
        <v>726</v>
      </c>
      <c r="E5364" s="140">
        <v>1</v>
      </c>
      <c r="F5364" s="142">
        <v>46085.583333333328</v>
      </c>
      <c r="G5364" s="140" t="s">
        <v>845</v>
      </c>
      <c r="H5364" s="140" t="s">
        <v>891</v>
      </c>
    </row>
    <row r="5365" spans="1:8" ht="15.75" customHeight="1">
      <c r="A5365" s="140" t="s">
        <v>783</v>
      </c>
      <c r="B5365" s="140" t="s">
        <v>21</v>
      </c>
      <c r="C5365" s="141" t="s">
        <v>725</v>
      </c>
      <c r="D5365" s="140" t="s">
        <v>726</v>
      </c>
      <c r="E5365" s="140">
        <v>2</v>
      </c>
      <c r="F5365" s="142">
        <v>46093.583333333328</v>
      </c>
      <c r="G5365" s="140" t="s">
        <v>845</v>
      </c>
      <c r="H5365" s="140" t="s">
        <v>891</v>
      </c>
    </row>
    <row r="5366" spans="1:8" ht="15.75" customHeight="1">
      <c r="A5366" s="140" t="s">
        <v>783</v>
      </c>
      <c r="B5366" s="140" t="s">
        <v>21</v>
      </c>
      <c r="C5366" s="141" t="s">
        <v>725</v>
      </c>
      <c r="D5366" s="140" t="s">
        <v>726</v>
      </c>
      <c r="E5366" s="140">
        <v>3</v>
      </c>
      <c r="F5366" s="142">
        <v>46099.583333333328</v>
      </c>
      <c r="G5366" s="140" t="s">
        <v>845</v>
      </c>
      <c r="H5366" s="140" t="s">
        <v>891</v>
      </c>
    </row>
    <row r="5367" spans="1:8" ht="15.75" customHeight="1">
      <c r="A5367" s="140" t="s">
        <v>783</v>
      </c>
      <c r="B5367" s="140" t="s">
        <v>21</v>
      </c>
      <c r="C5367" s="141" t="s">
        <v>725</v>
      </c>
      <c r="D5367" s="140" t="s">
        <v>726</v>
      </c>
      <c r="E5367" s="140">
        <v>4</v>
      </c>
      <c r="F5367" s="142">
        <v>46108.416666666672</v>
      </c>
      <c r="G5367" s="140" t="s">
        <v>845</v>
      </c>
      <c r="H5367" s="140" t="s">
        <v>891</v>
      </c>
    </row>
    <row r="5368" spans="1:8" ht="15.75" customHeight="1">
      <c r="A5368" s="140" t="s">
        <v>783</v>
      </c>
      <c r="B5368" s="140" t="s">
        <v>21</v>
      </c>
      <c r="C5368" s="141" t="s">
        <v>725</v>
      </c>
      <c r="D5368" s="140" t="s">
        <v>726</v>
      </c>
      <c r="E5368" s="140">
        <v>5</v>
      </c>
      <c r="F5368" s="142">
        <v>46114.625</v>
      </c>
      <c r="G5368" s="140" t="s">
        <v>845</v>
      </c>
      <c r="H5368" s="140" t="s">
        <v>891</v>
      </c>
    </row>
    <row r="5369" spans="1:8" ht="15.75" customHeight="1">
      <c r="A5369" s="140" t="s">
        <v>783</v>
      </c>
      <c r="B5369" s="140" t="s">
        <v>21</v>
      </c>
      <c r="C5369" s="141" t="s">
        <v>725</v>
      </c>
      <c r="D5369" s="140" t="s">
        <v>726</v>
      </c>
      <c r="E5369" s="140">
        <v>6</v>
      </c>
      <c r="F5369" s="142">
        <v>46121.625</v>
      </c>
      <c r="G5369" s="140" t="s">
        <v>845</v>
      </c>
      <c r="H5369" s="140" t="s">
        <v>891</v>
      </c>
    </row>
    <row r="5370" spans="1:8" ht="15.75" customHeight="1">
      <c r="A5370" s="140" t="s">
        <v>783</v>
      </c>
      <c r="B5370" s="140" t="s">
        <v>21</v>
      </c>
      <c r="C5370" s="141" t="s">
        <v>725</v>
      </c>
      <c r="D5370" s="140" t="s">
        <v>726</v>
      </c>
      <c r="E5370" s="140">
        <v>7</v>
      </c>
      <c r="F5370" s="142">
        <v>46129.416666666672</v>
      </c>
      <c r="G5370" s="140" t="s">
        <v>845</v>
      </c>
      <c r="H5370" s="140" t="s">
        <v>891</v>
      </c>
    </row>
    <row r="5371" spans="1:8" ht="15.75" customHeight="1">
      <c r="A5371" s="140" t="s">
        <v>783</v>
      </c>
      <c r="B5371" s="140" t="s">
        <v>21</v>
      </c>
      <c r="C5371" s="141" t="s">
        <v>725</v>
      </c>
      <c r="D5371" s="140" t="s">
        <v>726</v>
      </c>
      <c r="E5371" s="140">
        <v>8</v>
      </c>
      <c r="F5371" s="142">
        <v>46135.541666666672</v>
      </c>
      <c r="G5371" s="140" t="s">
        <v>845</v>
      </c>
      <c r="H5371" s="140" t="s">
        <v>891</v>
      </c>
    </row>
    <row r="5372" spans="1:8" ht="15.75" customHeight="1">
      <c r="A5372" s="2" t="s">
        <v>783</v>
      </c>
      <c r="B5372" s="2" t="s">
        <v>21</v>
      </c>
      <c r="C5372" s="143" t="s">
        <v>727</v>
      </c>
      <c r="D5372" s="2" t="s">
        <v>728</v>
      </c>
      <c r="E5372" s="2">
        <v>1</v>
      </c>
      <c r="F5372" s="144">
        <v>46085.583333333328</v>
      </c>
      <c r="G5372" s="2" t="s">
        <v>845</v>
      </c>
      <c r="H5372" s="2" t="s">
        <v>891</v>
      </c>
    </row>
    <row r="5373" spans="1:8" ht="15.75" customHeight="1">
      <c r="A5373" s="2" t="s">
        <v>783</v>
      </c>
      <c r="B5373" s="2" t="s">
        <v>21</v>
      </c>
      <c r="C5373" s="143" t="s">
        <v>727</v>
      </c>
      <c r="D5373" s="2" t="s">
        <v>728</v>
      </c>
      <c r="E5373" s="2">
        <v>2</v>
      </c>
      <c r="F5373" s="144">
        <v>46093.583333333328</v>
      </c>
      <c r="G5373" s="2" t="s">
        <v>845</v>
      </c>
      <c r="H5373" s="2" t="s">
        <v>891</v>
      </c>
    </row>
    <row r="5374" spans="1:8" ht="15.75" customHeight="1">
      <c r="A5374" s="2" t="s">
        <v>783</v>
      </c>
      <c r="B5374" s="2" t="s">
        <v>21</v>
      </c>
      <c r="C5374" s="143" t="s">
        <v>727</v>
      </c>
      <c r="D5374" s="2" t="s">
        <v>728</v>
      </c>
      <c r="E5374" s="2">
        <v>3</v>
      </c>
      <c r="F5374" s="144">
        <v>46099.583333333328</v>
      </c>
      <c r="G5374" s="2" t="s">
        <v>845</v>
      </c>
      <c r="H5374" s="2" t="s">
        <v>891</v>
      </c>
    </row>
    <row r="5375" spans="1:8" ht="15.75" customHeight="1">
      <c r="A5375" s="2" t="s">
        <v>783</v>
      </c>
      <c r="B5375" s="2" t="s">
        <v>21</v>
      </c>
      <c r="C5375" s="143" t="s">
        <v>727</v>
      </c>
      <c r="D5375" s="2" t="s">
        <v>728</v>
      </c>
      <c r="E5375" s="2">
        <v>4</v>
      </c>
      <c r="F5375" s="144">
        <v>46108.416666666672</v>
      </c>
      <c r="G5375" s="2" t="s">
        <v>845</v>
      </c>
      <c r="H5375" s="2" t="s">
        <v>891</v>
      </c>
    </row>
    <row r="5376" spans="1:8" ht="15.75" customHeight="1">
      <c r="A5376" s="2" t="s">
        <v>783</v>
      </c>
      <c r="B5376" s="2" t="s">
        <v>21</v>
      </c>
      <c r="C5376" s="143" t="s">
        <v>727</v>
      </c>
      <c r="D5376" s="2" t="s">
        <v>728</v>
      </c>
      <c r="E5376" s="2">
        <v>5</v>
      </c>
      <c r="F5376" s="144">
        <v>46114.625</v>
      </c>
      <c r="G5376" s="2" t="s">
        <v>845</v>
      </c>
      <c r="H5376" s="2" t="s">
        <v>891</v>
      </c>
    </row>
    <row r="5377" spans="1:8" ht="15.75" customHeight="1">
      <c r="A5377" s="2" t="s">
        <v>783</v>
      </c>
      <c r="B5377" s="2" t="s">
        <v>21</v>
      </c>
      <c r="C5377" s="143" t="s">
        <v>727</v>
      </c>
      <c r="D5377" s="2" t="s">
        <v>728</v>
      </c>
      <c r="E5377" s="2">
        <v>6</v>
      </c>
      <c r="F5377" s="144">
        <v>46121.625</v>
      </c>
      <c r="G5377" s="2" t="s">
        <v>845</v>
      </c>
      <c r="H5377" s="2" t="s">
        <v>891</v>
      </c>
    </row>
    <row r="5378" spans="1:8" ht="15.75" customHeight="1">
      <c r="A5378" s="2" t="s">
        <v>783</v>
      </c>
      <c r="B5378" s="2" t="s">
        <v>21</v>
      </c>
      <c r="C5378" s="143" t="s">
        <v>727</v>
      </c>
      <c r="D5378" s="2" t="s">
        <v>728</v>
      </c>
      <c r="E5378" s="2">
        <v>7</v>
      </c>
      <c r="F5378" s="144">
        <v>46129.416666666672</v>
      </c>
      <c r="G5378" s="2" t="s">
        <v>845</v>
      </c>
      <c r="H5378" s="2" t="s">
        <v>891</v>
      </c>
    </row>
    <row r="5379" spans="1:8" ht="15.75" customHeight="1">
      <c r="A5379" s="2" t="s">
        <v>783</v>
      </c>
      <c r="B5379" s="2" t="s">
        <v>21</v>
      </c>
      <c r="C5379" s="143" t="s">
        <v>727</v>
      </c>
      <c r="D5379" s="2" t="s">
        <v>728</v>
      </c>
      <c r="E5379" s="2">
        <v>8</v>
      </c>
      <c r="F5379" s="144">
        <v>46135.541666666672</v>
      </c>
      <c r="G5379" s="2" t="s">
        <v>843</v>
      </c>
      <c r="H5379" s="2" t="s">
        <v>891</v>
      </c>
    </row>
    <row r="5380" spans="1:8" ht="15.75" customHeight="1">
      <c r="A5380" s="2" t="s">
        <v>783</v>
      </c>
      <c r="B5380" s="2" t="s">
        <v>21</v>
      </c>
      <c r="C5380" s="143" t="s">
        <v>729</v>
      </c>
      <c r="D5380" s="2" t="s">
        <v>730</v>
      </c>
      <c r="E5380" s="2">
        <v>1</v>
      </c>
      <c r="F5380" s="144">
        <v>46085.583333333328</v>
      </c>
      <c r="G5380" s="2" t="s">
        <v>845</v>
      </c>
      <c r="H5380" s="2" t="s">
        <v>891</v>
      </c>
    </row>
    <row r="5381" spans="1:8" ht="15.75" customHeight="1">
      <c r="A5381" s="2" t="s">
        <v>783</v>
      </c>
      <c r="B5381" s="2" t="s">
        <v>21</v>
      </c>
      <c r="C5381" s="143" t="s">
        <v>729</v>
      </c>
      <c r="D5381" s="2" t="s">
        <v>730</v>
      </c>
      <c r="E5381" s="2">
        <v>2</v>
      </c>
      <c r="F5381" s="144">
        <v>46093.583333333328</v>
      </c>
      <c r="G5381" s="2" t="s">
        <v>845</v>
      </c>
      <c r="H5381" s="2" t="s">
        <v>891</v>
      </c>
    </row>
    <row r="5382" spans="1:8" ht="15.75" customHeight="1">
      <c r="A5382" s="2" t="s">
        <v>783</v>
      </c>
      <c r="B5382" s="2" t="s">
        <v>21</v>
      </c>
      <c r="C5382" s="143" t="s">
        <v>729</v>
      </c>
      <c r="D5382" s="2" t="s">
        <v>730</v>
      </c>
      <c r="E5382" s="2">
        <v>3</v>
      </c>
      <c r="F5382" s="144">
        <v>46099.583333333328</v>
      </c>
      <c r="G5382" s="2" t="s">
        <v>845</v>
      </c>
      <c r="H5382" s="2" t="s">
        <v>891</v>
      </c>
    </row>
    <row r="5383" spans="1:8" ht="15.75" customHeight="1">
      <c r="A5383" s="2" t="s">
        <v>783</v>
      </c>
      <c r="B5383" s="2" t="s">
        <v>21</v>
      </c>
      <c r="C5383" s="143" t="s">
        <v>729</v>
      </c>
      <c r="D5383" s="2" t="s">
        <v>730</v>
      </c>
      <c r="E5383" s="2">
        <v>4</v>
      </c>
      <c r="F5383" s="144">
        <v>46108.416666666672</v>
      </c>
      <c r="G5383" s="2" t="s">
        <v>845</v>
      </c>
      <c r="H5383" s="2" t="s">
        <v>891</v>
      </c>
    </row>
    <row r="5384" spans="1:8" ht="15.75" customHeight="1">
      <c r="A5384" s="2" t="s">
        <v>783</v>
      </c>
      <c r="B5384" s="2" t="s">
        <v>21</v>
      </c>
      <c r="C5384" s="143" t="s">
        <v>729</v>
      </c>
      <c r="D5384" s="2" t="s">
        <v>730</v>
      </c>
      <c r="E5384" s="2">
        <v>5</v>
      </c>
      <c r="F5384" s="144">
        <v>46114.625</v>
      </c>
      <c r="G5384" s="2" t="s">
        <v>845</v>
      </c>
      <c r="H5384" s="2" t="s">
        <v>891</v>
      </c>
    </row>
    <row r="5385" spans="1:8" ht="15.75" customHeight="1">
      <c r="A5385" s="2" t="s">
        <v>783</v>
      </c>
      <c r="B5385" s="2" t="s">
        <v>21</v>
      </c>
      <c r="C5385" s="143" t="s">
        <v>729</v>
      </c>
      <c r="D5385" s="2" t="s">
        <v>730</v>
      </c>
      <c r="E5385" s="2">
        <v>6</v>
      </c>
      <c r="F5385" s="144">
        <v>46121.625</v>
      </c>
      <c r="G5385" s="2" t="s">
        <v>845</v>
      </c>
      <c r="H5385" s="2" t="s">
        <v>891</v>
      </c>
    </row>
    <row r="5386" spans="1:8" ht="15.75" customHeight="1">
      <c r="A5386" s="2" t="s">
        <v>783</v>
      </c>
      <c r="B5386" s="2" t="s">
        <v>21</v>
      </c>
      <c r="C5386" s="143" t="s">
        <v>729</v>
      </c>
      <c r="D5386" s="2" t="s">
        <v>730</v>
      </c>
      <c r="E5386" s="2">
        <v>7</v>
      </c>
      <c r="F5386" s="144">
        <v>46129.416666666672</v>
      </c>
      <c r="G5386" s="2" t="s">
        <v>845</v>
      </c>
      <c r="H5386" s="2" t="s">
        <v>891</v>
      </c>
    </row>
    <row r="5387" spans="1:8" ht="15.75" customHeight="1">
      <c r="A5387" s="2" t="s">
        <v>783</v>
      </c>
      <c r="B5387" s="2" t="s">
        <v>21</v>
      </c>
      <c r="C5387" s="143" t="s">
        <v>729</v>
      </c>
      <c r="D5387" s="2" t="s">
        <v>730</v>
      </c>
      <c r="E5387" s="2">
        <v>8</v>
      </c>
      <c r="F5387" s="144">
        <v>46135.541666666672</v>
      </c>
      <c r="G5387" s="2" t="s">
        <v>845</v>
      </c>
      <c r="H5387" s="2" t="s">
        <v>891</v>
      </c>
    </row>
    <row r="5388" spans="1:8" ht="15.75" customHeight="1">
      <c r="A5388" s="2" t="s">
        <v>783</v>
      </c>
      <c r="B5388" s="2" t="s">
        <v>21</v>
      </c>
      <c r="C5388" s="143" t="s">
        <v>731</v>
      </c>
      <c r="D5388" s="2" t="s">
        <v>732</v>
      </c>
      <c r="E5388" s="2">
        <v>1</v>
      </c>
      <c r="F5388" s="144">
        <v>46085.583333333328</v>
      </c>
      <c r="G5388" s="2" t="s">
        <v>845</v>
      </c>
      <c r="H5388" s="2" t="s">
        <v>891</v>
      </c>
    </row>
    <row r="5389" spans="1:8" ht="15.75" customHeight="1">
      <c r="A5389" s="2" t="s">
        <v>783</v>
      </c>
      <c r="B5389" s="2" t="s">
        <v>21</v>
      </c>
      <c r="C5389" s="143" t="s">
        <v>731</v>
      </c>
      <c r="D5389" s="2" t="s">
        <v>732</v>
      </c>
      <c r="E5389" s="2">
        <v>2</v>
      </c>
      <c r="F5389" s="144">
        <v>46093.583333333328</v>
      </c>
      <c r="G5389" s="2" t="s">
        <v>845</v>
      </c>
      <c r="H5389" s="2" t="s">
        <v>891</v>
      </c>
    </row>
    <row r="5390" spans="1:8" ht="15.75" customHeight="1">
      <c r="A5390" s="2" t="s">
        <v>783</v>
      </c>
      <c r="B5390" s="2" t="s">
        <v>21</v>
      </c>
      <c r="C5390" s="143" t="s">
        <v>731</v>
      </c>
      <c r="D5390" s="2" t="s">
        <v>732</v>
      </c>
      <c r="E5390" s="2">
        <v>3</v>
      </c>
      <c r="F5390" s="144">
        <v>46099.583333333328</v>
      </c>
      <c r="G5390" s="2" t="s">
        <v>845</v>
      </c>
      <c r="H5390" s="2" t="s">
        <v>891</v>
      </c>
    </row>
    <row r="5391" spans="1:8" ht="15.75" customHeight="1">
      <c r="A5391" s="2" t="s">
        <v>783</v>
      </c>
      <c r="B5391" s="2" t="s">
        <v>21</v>
      </c>
      <c r="C5391" s="143" t="s">
        <v>731</v>
      </c>
      <c r="D5391" s="2" t="s">
        <v>732</v>
      </c>
      <c r="E5391" s="2">
        <v>4</v>
      </c>
      <c r="F5391" s="144">
        <v>46108.416666666672</v>
      </c>
      <c r="G5391" s="2" t="s">
        <v>845</v>
      </c>
      <c r="H5391" s="2" t="s">
        <v>891</v>
      </c>
    </row>
    <row r="5392" spans="1:8" ht="15.75" customHeight="1">
      <c r="A5392" s="2" t="s">
        <v>783</v>
      </c>
      <c r="B5392" s="2" t="s">
        <v>21</v>
      </c>
      <c r="C5392" s="143" t="s">
        <v>731</v>
      </c>
      <c r="D5392" s="2" t="s">
        <v>732</v>
      </c>
      <c r="E5392" s="2">
        <v>5</v>
      </c>
      <c r="F5392" s="144">
        <v>46114.625</v>
      </c>
      <c r="G5392" s="2" t="s">
        <v>845</v>
      </c>
      <c r="H5392" s="2" t="s">
        <v>891</v>
      </c>
    </row>
    <row r="5393" spans="1:8" ht="15.75" customHeight="1">
      <c r="A5393" s="2" t="s">
        <v>783</v>
      </c>
      <c r="B5393" s="2" t="s">
        <v>21</v>
      </c>
      <c r="C5393" s="143" t="s">
        <v>731</v>
      </c>
      <c r="D5393" s="2" t="s">
        <v>732</v>
      </c>
      <c r="E5393" s="2">
        <v>6</v>
      </c>
      <c r="F5393" s="144">
        <v>46121.625</v>
      </c>
      <c r="G5393" s="2" t="s">
        <v>845</v>
      </c>
      <c r="H5393" s="2" t="s">
        <v>891</v>
      </c>
    </row>
    <row r="5394" spans="1:8" ht="15.75" customHeight="1">
      <c r="A5394" s="2" t="s">
        <v>783</v>
      </c>
      <c r="B5394" s="2" t="s">
        <v>21</v>
      </c>
      <c r="C5394" s="143" t="s">
        <v>731</v>
      </c>
      <c r="D5394" s="2" t="s">
        <v>732</v>
      </c>
      <c r="E5394" s="2">
        <v>7</v>
      </c>
      <c r="F5394" s="144">
        <v>46129.416666666672</v>
      </c>
      <c r="G5394" s="2" t="s">
        <v>845</v>
      </c>
      <c r="H5394" s="2" t="s">
        <v>891</v>
      </c>
    </row>
    <row r="5395" spans="1:8" ht="15.75" customHeight="1">
      <c r="A5395" s="2" t="s">
        <v>783</v>
      </c>
      <c r="B5395" s="2" t="s">
        <v>21</v>
      </c>
      <c r="C5395" s="143" t="s">
        <v>731</v>
      </c>
      <c r="D5395" s="2" t="s">
        <v>732</v>
      </c>
      <c r="E5395" s="2">
        <v>8</v>
      </c>
      <c r="F5395" s="144">
        <v>46135.541666666672</v>
      </c>
      <c r="G5395" s="2" t="s">
        <v>845</v>
      </c>
      <c r="H5395" s="2" t="s">
        <v>891</v>
      </c>
    </row>
    <row r="5396" spans="1:8" ht="15.75" customHeight="1">
      <c r="A5396" s="2" t="s">
        <v>783</v>
      </c>
      <c r="B5396" s="2" t="s">
        <v>21</v>
      </c>
      <c r="C5396" s="143" t="s">
        <v>733</v>
      </c>
      <c r="D5396" s="2" t="s">
        <v>734</v>
      </c>
      <c r="E5396" s="2">
        <v>1</v>
      </c>
      <c r="F5396" s="144">
        <v>46085.583333333328</v>
      </c>
      <c r="G5396" s="2" t="s">
        <v>845</v>
      </c>
      <c r="H5396" s="2" t="s">
        <v>891</v>
      </c>
    </row>
    <row r="5397" spans="1:8" ht="15.75" customHeight="1">
      <c r="A5397" s="2" t="s">
        <v>783</v>
      </c>
      <c r="B5397" s="2" t="s">
        <v>21</v>
      </c>
      <c r="C5397" s="143" t="s">
        <v>733</v>
      </c>
      <c r="D5397" s="2" t="s">
        <v>734</v>
      </c>
      <c r="E5397" s="2">
        <v>2</v>
      </c>
      <c r="F5397" s="144">
        <v>46093.583333333328</v>
      </c>
      <c r="G5397" s="2" t="s">
        <v>845</v>
      </c>
      <c r="H5397" s="2" t="s">
        <v>891</v>
      </c>
    </row>
    <row r="5398" spans="1:8" ht="15.75" customHeight="1">
      <c r="A5398" s="2" t="s">
        <v>783</v>
      </c>
      <c r="B5398" s="2" t="s">
        <v>21</v>
      </c>
      <c r="C5398" s="143" t="s">
        <v>733</v>
      </c>
      <c r="D5398" s="2" t="s">
        <v>734</v>
      </c>
      <c r="E5398" s="2">
        <v>3</v>
      </c>
      <c r="F5398" s="144">
        <v>46099.583333333328</v>
      </c>
      <c r="G5398" s="2" t="s">
        <v>843</v>
      </c>
      <c r="H5398" s="2" t="s">
        <v>891</v>
      </c>
    </row>
    <row r="5399" spans="1:8" ht="15.75" customHeight="1">
      <c r="A5399" s="2" t="s">
        <v>783</v>
      </c>
      <c r="B5399" s="2" t="s">
        <v>21</v>
      </c>
      <c r="C5399" s="143" t="s">
        <v>733</v>
      </c>
      <c r="D5399" s="2" t="s">
        <v>734</v>
      </c>
      <c r="E5399" s="2">
        <v>4</v>
      </c>
      <c r="F5399" s="144">
        <v>46108.416666666672</v>
      </c>
      <c r="G5399" s="2" t="s">
        <v>845</v>
      </c>
      <c r="H5399" s="2" t="s">
        <v>891</v>
      </c>
    </row>
    <row r="5400" spans="1:8" ht="15.75" customHeight="1">
      <c r="A5400" s="2" t="s">
        <v>783</v>
      </c>
      <c r="B5400" s="2" t="s">
        <v>21</v>
      </c>
      <c r="C5400" s="143" t="s">
        <v>733</v>
      </c>
      <c r="D5400" s="2" t="s">
        <v>734</v>
      </c>
      <c r="E5400" s="2">
        <v>5</v>
      </c>
      <c r="F5400" s="144">
        <v>46114.625</v>
      </c>
      <c r="G5400" s="2" t="s">
        <v>845</v>
      </c>
      <c r="H5400" s="2" t="s">
        <v>891</v>
      </c>
    </row>
    <row r="5401" spans="1:8" ht="15.75" customHeight="1">
      <c r="A5401" s="2" t="s">
        <v>783</v>
      </c>
      <c r="B5401" s="2" t="s">
        <v>21</v>
      </c>
      <c r="C5401" s="143" t="s">
        <v>733</v>
      </c>
      <c r="D5401" s="2" t="s">
        <v>734</v>
      </c>
      <c r="E5401" s="2">
        <v>6</v>
      </c>
      <c r="F5401" s="144">
        <v>46121.625</v>
      </c>
      <c r="G5401" s="2" t="s">
        <v>845</v>
      </c>
      <c r="H5401" s="2" t="s">
        <v>891</v>
      </c>
    </row>
    <row r="5402" spans="1:8" ht="15.75" customHeight="1">
      <c r="A5402" s="2" t="s">
        <v>783</v>
      </c>
      <c r="B5402" s="2" t="s">
        <v>21</v>
      </c>
      <c r="C5402" s="143" t="s">
        <v>733</v>
      </c>
      <c r="D5402" s="2" t="s">
        <v>734</v>
      </c>
      <c r="E5402" s="2">
        <v>7</v>
      </c>
      <c r="F5402" s="144">
        <v>46129.416666666672</v>
      </c>
      <c r="G5402" s="2" t="s">
        <v>843</v>
      </c>
      <c r="H5402" s="2" t="s">
        <v>891</v>
      </c>
    </row>
    <row r="5403" spans="1:8" ht="15.75" customHeight="1">
      <c r="A5403" s="2" t="s">
        <v>783</v>
      </c>
      <c r="B5403" s="2" t="s">
        <v>21</v>
      </c>
      <c r="C5403" s="143" t="s">
        <v>733</v>
      </c>
      <c r="D5403" s="2" t="s">
        <v>734</v>
      </c>
      <c r="E5403" s="2">
        <v>8</v>
      </c>
      <c r="F5403" s="144">
        <v>46135.541666666672</v>
      </c>
      <c r="G5403" s="2" t="s">
        <v>845</v>
      </c>
      <c r="H5403" s="2" t="s">
        <v>891</v>
      </c>
    </row>
    <row r="5404" spans="1:8" ht="15.75" customHeight="1">
      <c r="A5404" s="2" t="s">
        <v>783</v>
      </c>
      <c r="B5404" s="2" t="s">
        <v>21</v>
      </c>
      <c r="C5404" s="143">
        <v>193470</v>
      </c>
      <c r="D5404" s="2" t="s">
        <v>724</v>
      </c>
      <c r="E5404" s="2">
        <v>1</v>
      </c>
      <c r="F5404" s="144">
        <v>46085.583333333328</v>
      </c>
      <c r="G5404" s="2" t="s">
        <v>845</v>
      </c>
      <c r="H5404" s="2" t="s">
        <v>891</v>
      </c>
    </row>
    <row r="5405" spans="1:8" ht="15.75" customHeight="1">
      <c r="A5405" s="2" t="s">
        <v>783</v>
      </c>
      <c r="B5405" s="2" t="s">
        <v>21</v>
      </c>
      <c r="C5405" s="143">
        <v>193470</v>
      </c>
      <c r="D5405" s="2" t="s">
        <v>724</v>
      </c>
      <c r="E5405" s="2">
        <v>2</v>
      </c>
      <c r="F5405" s="144">
        <v>46093.583333333328</v>
      </c>
      <c r="G5405" s="2" t="s">
        <v>845</v>
      </c>
      <c r="H5405" s="2" t="s">
        <v>891</v>
      </c>
    </row>
    <row r="5406" spans="1:8" ht="15.75" customHeight="1">
      <c r="A5406" s="2" t="s">
        <v>783</v>
      </c>
      <c r="B5406" s="2" t="s">
        <v>21</v>
      </c>
      <c r="C5406" s="143">
        <v>193470</v>
      </c>
      <c r="D5406" s="2" t="s">
        <v>724</v>
      </c>
      <c r="E5406" s="2">
        <v>3</v>
      </c>
      <c r="F5406" s="144">
        <v>46099.583333333328</v>
      </c>
      <c r="G5406" s="2" t="s">
        <v>843</v>
      </c>
      <c r="H5406" s="2" t="s">
        <v>891</v>
      </c>
    </row>
    <row r="5407" spans="1:8" ht="15.75" customHeight="1">
      <c r="A5407" s="2" t="s">
        <v>783</v>
      </c>
      <c r="B5407" s="2" t="s">
        <v>21</v>
      </c>
      <c r="C5407" s="143">
        <v>193470</v>
      </c>
      <c r="D5407" s="2" t="s">
        <v>724</v>
      </c>
      <c r="E5407" s="2">
        <v>4</v>
      </c>
      <c r="F5407" s="144">
        <v>46108.416666666672</v>
      </c>
      <c r="G5407" s="2" t="s">
        <v>845</v>
      </c>
      <c r="H5407" s="2" t="s">
        <v>891</v>
      </c>
    </row>
    <row r="5408" spans="1:8" ht="15.75" customHeight="1">
      <c r="A5408" s="2" t="s">
        <v>783</v>
      </c>
      <c r="B5408" s="2" t="s">
        <v>21</v>
      </c>
      <c r="C5408" s="143">
        <v>193470</v>
      </c>
      <c r="D5408" s="2" t="s">
        <v>724</v>
      </c>
      <c r="E5408" s="2">
        <v>5</v>
      </c>
      <c r="F5408" s="144">
        <v>46114.625</v>
      </c>
      <c r="G5408" s="2" t="s">
        <v>845</v>
      </c>
      <c r="H5408" s="2" t="s">
        <v>891</v>
      </c>
    </row>
    <row r="5409" spans="1:8" ht="15.75" customHeight="1">
      <c r="A5409" s="2" t="s">
        <v>783</v>
      </c>
      <c r="B5409" s="2" t="s">
        <v>21</v>
      </c>
      <c r="C5409" s="143">
        <v>193470</v>
      </c>
      <c r="D5409" s="2" t="s">
        <v>724</v>
      </c>
      <c r="E5409" s="2">
        <v>6</v>
      </c>
      <c r="F5409" s="144">
        <v>46121.625</v>
      </c>
      <c r="G5409" s="2" t="s">
        <v>845</v>
      </c>
      <c r="H5409" s="2" t="s">
        <v>891</v>
      </c>
    </row>
    <row r="5410" spans="1:8" ht="15.75" customHeight="1">
      <c r="A5410" s="2" t="s">
        <v>783</v>
      </c>
      <c r="B5410" s="2" t="s">
        <v>21</v>
      </c>
      <c r="C5410" s="143">
        <v>193470</v>
      </c>
      <c r="D5410" s="2" t="s">
        <v>724</v>
      </c>
      <c r="E5410" s="2">
        <v>7</v>
      </c>
      <c r="F5410" s="144">
        <v>46129.416666666672</v>
      </c>
      <c r="G5410" s="2" t="s">
        <v>845</v>
      </c>
      <c r="H5410" s="2" t="s">
        <v>891</v>
      </c>
    </row>
    <row r="5411" spans="1:8" ht="15.75" customHeight="1">
      <c r="A5411" s="2" t="s">
        <v>783</v>
      </c>
      <c r="B5411" s="2" t="s">
        <v>21</v>
      </c>
      <c r="C5411" s="143">
        <v>193470</v>
      </c>
      <c r="D5411" s="2" t="s">
        <v>724</v>
      </c>
      <c r="E5411" s="2">
        <v>8</v>
      </c>
      <c r="F5411" s="144">
        <v>46135.541666666672</v>
      </c>
      <c r="G5411" s="2" t="s">
        <v>845</v>
      </c>
      <c r="H5411" s="2" t="s">
        <v>891</v>
      </c>
    </row>
    <row r="5412" spans="1:8" ht="15.75" customHeight="1">
      <c r="A5412" s="2" t="s">
        <v>794</v>
      </c>
      <c r="B5412" s="2" t="s">
        <v>21</v>
      </c>
      <c r="C5412" s="143" t="s">
        <v>735</v>
      </c>
      <c r="D5412" s="2" t="s">
        <v>736</v>
      </c>
      <c r="E5412" s="2">
        <v>1</v>
      </c>
      <c r="F5412" s="144">
        <v>46085.625</v>
      </c>
      <c r="G5412" s="2" t="s">
        <v>845</v>
      </c>
      <c r="H5412" s="2" t="s">
        <v>892</v>
      </c>
    </row>
    <row r="5413" spans="1:8" ht="15.75" customHeight="1">
      <c r="A5413" s="2" t="s">
        <v>794</v>
      </c>
      <c r="B5413" s="2" t="s">
        <v>21</v>
      </c>
      <c r="C5413" s="143" t="s">
        <v>735</v>
      </c>
      <c r="D5413" s="2" t="s">
        <v>736</v>
      </c>
      <c r="E5413" s="2">
        <v>2</v>
      </c>
      <c r="F5413" s="144">
        <v>46093.416666666672</v>
      </c>
      <c r="G5413" s="2" t="s">
        <v>845</v>
      </c>
      <c r="H5413" s="2" t="s">
        <v>892</v>
      </c>
    </row>
    <row r="5414" spans="1:8" ht="15.75" customHeight="1">
      <c r="A5414" s="2" t="s">
        <v>794</v>
      </c>
      <c r="B5414" s="2" t="s">
        <v>21</v>
      </c>
      <c r="C5414" s="143" t="s">
        <v>735</v>
      </c>
      <c r="D5414" s="2" t="s">
        <v>736</v>
      </c>
      <c r="E5414" s="2">
        <v>3</v>
      </c>
      <c r="F5414" s="144">
        <v>46099.583333333328</v>
      </c>
      <c r="G5414" s="2" t="s">
        <v>845</v>
      </c>
      <c r="H5414" s="2" t="s">
        <v>892</v>
      </c>
    </row>
    <row r="5415" spans="1:8" ht="15.75" customHeight="1">
      <c r="A5415" s="2" t="s">
        <v>794</v>
      </c>
      <c r="B5415" s="2" t="s">
        <v>21</v>
      </c>
      <c r="C5415" s="143" t="s">
        <v>735</v>
      </c>
      <c r="D5415" s="2" t="s">
        <v>736</v>
      </c>
      <c r="E5415" s="2">
        <v>4</v>
      </c>
      <c r="F5415" s="144">
        <v>46107.416666666672</v>
      </c>
      <c r="G5415" s="2" t="s">
        <v>845</v>
      </c>
      <c r="H5415" s="2" t="s">
        <v>892</v>
      </c>
    </row>
    <row r="5416" spans="1:8" ht="15.75" customHeight="1">
      <c r="A5416" s="2" t="s">
        <v>794</v>
      </c>
      <c r="B5416" s="2" t="s">
        <v>21</v>
      </c>
      <c r="C5416" s="143" t="s">
        <v>735</v>
      </c>
      <c r="D5416" s="2" t="s">
        <v>736</v>
      </c>
      <c r="E5416" s="2">
        <v>5</v>
      </c>
      <c r="F5416" s="144">
        <v>46115.625</v>
      </c>
      <c r="G5416" s="2" t="s">
        <v>845</v>
      </c>
      <c r="H5416" s="2" t="s">
        <v>892</v>
      </c>
    </row>
    <row r="5417" spans="1:8" ht="15.75" customHeight="1">
      <c r="A5417" s="2" t="s">
        <v>794</v>
      </c>
      <c r="B5417" s="2" t="s">
        <v>21</v>
      </c>
      <c r="C5417" s="143" t="s">
        <v>735</v>
      </c>
      <c r="D5417" s="2" t="s">
        <v>736</v>
      </c>
      <c r="E5417" s="2">
        <v>6</v>
      </c>
      <c r="F5417" s="144">
        <v>46128.625</v>
      </c>
      <c r="G5417" s="2" t="s">
        <v>845</v>
      </c>
      <c r="H5417" s="2" t="s">
        <v>892</v>
      </c>
    </row>
    <row r="5418" spans="1:8" ht="15.75" customHeight="1">
      <c r="A5418" s="2" t="s">
        <v>794</v>
      </c>
      <c r="B5418" s="2" t="s">
        <v>21</v>
      </c>
      <c r="C5418" s="143" t="s">
        <v>735</v>
      </c>
      <c r="D5418" s="2" t="s">
        <v>736</v>
      </c>
      <c r="E5418" s="2">
        <v>7</v>
      </c>
      <c r="F5418" s="144">
        <v>46129.416666666672</v>
      </c>
      <c r="G5418" s="2" t="s">
        <v>845</v>
      </c>
      <c r="H5418" s="2" t="s">
        <v>892</v>
      </c>
    </row>
    <row r="5419" spans="1:8" ht="15.75" customHeight="1">
      <c r="A5419" s="2" t="s">
        <v>794</v>
      </c>
      <c r="B5419" s="2" t="s">
        <v>21</v>
      </c>
      <c r="C5419" s="143" t="s">
        <v>735</v>
      </c>
      <c r="D5419" s="2" t="s">
        <v>736</v>
      </c>
      <c r="E5419" s="2">
        <v>8</v>
      </c>
      <c r="F5419" s="144">
        <v>46135.625</v>
      </c>
      <c r="G5419" s="2" t="s">
        <v>845</v>
      </c>
      <c r="H5419" s="2" t="s">
        <v>892</v>
      </c>
    </row>
    <row r="5420" spans="1:8" ht="15.75" customHeight="1">
      <c r="A5420" s="2" t="s">
        <v>794</v>
      </c>
      <c r="B5420" s="2" t="s">
        <v>21</v>
      </c>
      <c r="C5420" s="143" t="s">
        <v>737</v>
      </c>
      <c r="D5420" s="2" t="s">
        <v>738</v>
      </c>
      <c r="E5420" s="2">
        <v>1</v>
      </c>
      <c r="F5420" s="144">
        <v>46085.625</v>
      </c>
      <c r="G5420" s="2" t="s">
        <v>845</v>
      </c>
      <c r="H5420" s="2" t="s">
        <v>892</v>
      </c>
    </row>
    <row r="5421" spans="1:8" ht="15.75" customHeight="1">
      <c r="A5421" s="2" t="s">
        <v>794</v>
      </c>
      <c r="B5421" s="2" t="s">
        <v>21</v>
      </c>
      <c r="C5421" s="143" t="s">
        <v>737</v>
      </c>
      <c r="D5421" s="2" t="s">
        <v>738</v>
      </c>
      <c r="E5421" s="2">
        <v>2</v>
      </c>
      <c r="F5421" s="144">
        <v>46093.416666666672</v>
      </c>
      <c r="G5421" s="2" t="s">
        <v>845</v>
      </c>
      <c r="H5421" s="2" t="s">
        <v>892</v>
      </c>
    </row>
    <row r="5422" spans="1:8" ht="15.75" customHeight="1">
      <c r="A5422" s="2" t="s">
        <v>794</v>
      </c>
      <c r="B5422" s="2" t="s">
        <v>21</v>
      </c>
      <c r="C5422" s="143" t="s">
        <v>737</v>
      </c>
      <c r="D5422" s="2" t="s">
        <v>738</v>
      </c>
      <c r="E5422" s="2">
        <v>3</v>
      </c>
      <c r="F5422" s="144">
        <v>46099.583333333328</v>
      </c>
      <c r="G5422" s="2" t="s">
        <v>845</v>
      </c>
      <c r="H5422" s="2" t="s">
        <v>892</v>
      </c>
    </row>
    <row r="5423" spans="1:8" ht="15.75" customHeight="1">
      <c r="A5423" s="2" t="s">
        <v>794</v>
      </c>
      <c r="B5423" s="2" t="s">
        <v>21</v>
      </c>
      <c r="C5423" s="143" t="s">
        <v>737</v>
      </c>
      <c r="D5423" s="2" t="s">
        <v>738</v>
      </c>
      <c r="E5423" s="2">
        <v>4</v>
      </c>
      <c r="F5423" s="144">
        <v>46107.416666666672</v>
      </c>
      <c r="G5423" s="2" t="s">
        <v>845</v>
      </c>
      <c r="H5423" s="2" t="s">
        <v>892</v>
      </c>
    </row>
    <row r="5424" spans="1:8" ht="15.75" customHeight="1">
      <c r="A5424" s="2" t="s">
        <v>794</v>
      </c>
      <c r="B5424" s="2" t="s">
        <v>21</v>
      </c>
      <c r="C5424" s="143" t="s">
        <v>737</v>
      </c>
      <c r="D5424" s="2" t="s">
        <v>738</v>
      </c>
      <c r="E5424" s="2">
        <v>5</v>
      </c>
      <c r="F5424" s="144">
        <v>46115.625</v>
      </c>
      <c r="G5424" s="2" t="s">
        <v>843</v>
      </c>
      <c r="H5424" s="2" t="s">
        <v>892</v>
      </c>
    </row>
    <row r="5425" spans="1:8" ht="15.75" customHeight="1">
      <c r="A5425" s="2" t="s">
        <v>794</v>
      </c>
      <c r="B5425" s="2" t="s">
        <v>21</v>
      </c>
      <c r="C5425" s="143" t="s">
        <v>737</v>
      </c>
      <c r="D5425" s="2" t="s">
        <v>738</v>
      </c>
      <c r="E5425" s="2">
        <v>6</v>
      </c>
      <c r="F5425" s="144">
        <v>46128.625</v>
      </c>
      <c r="G5425" s="2" t="s">
        <v>845</v>
      </c>
      <c r="H5425" s="2" t="s">
        <v>892</v>
      </c>
    </row>
    <row r="5426" spans="1:8" ht="15.75" customHeight="1">
      <c r="A5426" s="2" t="s">
        <v>794</v>
      </c>
      <c r="B5426" s="2" t="s">
        <v>21</v>
      </c>
      <c r="C5426" s="143" t="s">
        <v>737</v>
      </c>
      <c r="D5426" s="2" t="s">
        <v>738</v>
      </c>
      <c r="E5426" s="2">
        <v>7</v>
      </c>
      <c r="F5426" s="144">
        <v>46129.416666666672</v>
      </c>
      <c r="G5426" s="2" t="s">
        <v>845</v>
      </c>
      <c r="H5426" s="2" t="s">
        <v>892</v>
      </c>
    </row>
    <row r="5427" spans="1:8" ht="15.75" customHeight="1">
      <c r="A5427" s="2" t="s">
        <v>794</v>
      </c>
      <c r="B5427" s="2" t="s">
        <v>21</v>
      </c>
      <c r="C5427" s="143" t="s">
        <v>737</v>
      </c>
      <c r="D5427" s="2" t="s">
        <v>738</v>
      </c>
      <c r="E5427" s="2">
        <v>8</v>
      </c>
      <c r="F5427" s="144">
        <v>46135.625</v>
      </c>
      <c r="G5427" s="2" t="s">
        <v>845</v>
      </c>
      <c r="H5427" s="2" t="s">
        <v>892</v>
      </c>
    </row>
    <row r="5428" spans="1:8" ht="15.75" customHeight="1">
      <c r="A5428" s="2" t="s">
        <v>794</v>
      </c>
      <c r="B5428" s="2" t="s">
        <v>21</v>
      </c>
      <c r="C5428" s="143" t="s">
        <v>739</v>
      </c>
      <c r="D5428" s="2" t="s">
        <v>740</v>
      </c>
      <c r="E5428" s="2">
        <v>1</v>
      </c>
      <c r="F5428" s="144">
        <v>46085.625</v>
      </c>
      <c r="G5428" s="2" t="s">
        <v>845</v>
      </c>
      <c r="H5428" s="2" t="s">
        <v>892</v>
      </c>
    </row>
    <row r="5429" spans="1:8" ht="15.75" customHeight="1">
      <c r="A5429" s="2" t="s">
        <v>794</v>
      </c>
      <c r="B5429" s="2" t="s">
        <v>21</v>
      </c>
      <c r="C5429" s="143" t="s">
        <v>739</v>
      </c>
      <c r="D5429" s="2" t="s">
        <v>740</v>
      </c>
      <c r="E5429" s="2">
        <v>2</v>
      </c>
      <c r="F5429" s="144">
        <v>46093.416666666672</v>
      </c>
      <c r="G5429" s="2" t="s">
        <v>845</v>
      </c>
      <c r="H5429" s="2" t="s">
        <v>892</v>
      </c>
    </row>
    <row r="5430" spans="1:8" ht="15.75" customHeight="1">
      <c r="A5430" s="2" t="s">
        <v>794</v>
      </c>
      <c r="B5430" s="2" t="s">
        <v>21</v>
      </c>
      <c r="C5430" s="143" t="s">
        <v>739</v>
      </c>
      <c r="D5430" s="2" t="s">
        <v>740</v>
      </c>
      <c r="E5430" s="2">
        <v>3</v>
      </c>
      <c r="F5430" s="144">
        <v>46099.583333333328</v>
      </c>
      <c r="G5430" s="2" t="s">
        <v>843</v>
      </c>
      <c r="H5430" s="2" t="s">
        <v>892</v>
      </c>
    </row>
    <row r="5431" spans="1:8" ht="15.75" customHeight="1">
      <c r="A5431" s="2" t="s">
        <v>794</v>
      </c>
      <c r="B5431" s="2" t="s">
        <v>21</v>
      </c>
      <c r="C5431" s="143" t="s">
        <v>739</v>
      </c>
      <c r="D5431" s="2" t="s">
        <v>740</v>
      </c>
      <c r="E5431" s="2">
        <v>4</v>
      </c>
      <c r="F5431" s="144">
        <v>46107.416666666672</v>
      </c>
      <c r="G5431" s="2" t="s">
        <v>845</v>
      </c>
      <c r="H5431" s="2" t="s">
        <v>892</v>
      </c>
    </row>
    <row r="5432" spans="1:8" ht="15.75" customHeight="1">
      <c r="A5432" s="2" t="s">
        <v>794</v>
      </c>
      <c r="B5432" s="2" t="s">
        <v>21</v>
      </c>
      <c r="C5432" s="143" t="s">
        <v>739</v>
      </c>
      <c r="D5432" s="2" t="s">
        <v>740</v>
      </c>
      <c r="E5432" s="2">
        <v>5</v>
      </c>
      <c r="F5432" s="144">
        <v>46115.625</v>
      </c>
      <c r="G5432" s="2" t="s">
        <v>845</v>
      </c>
      <c r="H5432" s="2" t="s">
        <v>892</v>
      </c>
    </row>
    <row r="5433" spans="1:8" ht="15.75" customHeight="1">
      <c r="A5433" s="2" t="s">
        <v>794</v>
      </c>
      <c r="B5433" s="2" t="s">
        <v>21</v>
      </c>
      <c r="C5433" s="143" t="s">
        <v>739</v>
      </c>
      <c r="D5433" s="2" t="s">
        <v>740</v>
      </c>
      <c r="E5433" s="2">
        <v>6</v>
      </c>
      <c r="F5433" s="144">
        <v>46128.625</v>
      </c>
      <c r="G5433" s="2" t="s">
        <v>845</v>
      </c>
      <c r="H5433" s="2" t="s">
        <v>892</v>
      </c>
    </row>
    <row r="5434" spans="1:8" ht="15.75" customHeight="1">
      <c r="A5434" s="2" t="s">
        <v>794</v>
      </c>
      <c r="B5434" s="2" t="s">
        <v>21</v>
      </c>
      <c r="C5434" s="143" t="s">
        <v>739</v>
      </c>
      <c r="D5434" s="2" t="s">
        <v>740</v>
      </c>
      <c r="E5434" s="2">
        <v>7</v>
      </c>
      <c r="F5434" s="144">
        <v>46129.416666666672</v>
      </c>
      <c r="G5434" s="2" t="s">
        <v>845</v>
      </c>
      <c r="H5434" s="2" t="s">
        <v>892</v>
      </c>
    </row>
    <row r="5435" spans="1:8" ht="15.75" customHeight="1">
      <c r="A5435" s="2" t="s">
        <v>794</v>
      </c>
      <c r="B5435" s="2" t="s">
        <v>21</v>
      </c>
      <c r="C5435" s="143" t="s">
        <v>739</v>
      </c>
      <c r="D5435" s="2" t="s">
        <v>740</v>
      </c>
      <c r="E5435" s="2">
        <v>8</v>
      </c>
      <c r="F5435" s="144">
        <v>46135.625</v>
      </c>
      <c r="G5435" s="2" t="s">
        <v>845</v>
      </c>
      <c r="H5435" s="2" t="s">
        <v>892</v>
      </c>
    </row>
    <row r="5436" spans="1:8" ht="15.75" customHeight="1">
      <c r="A5436" s="2" t="s">
        <v>794</v>
      </c>
      <c r="B5436" s="2" t="s">
        <v>21</v>
      </c>
      <c r="C5436" s="143" t="s">
        <v>741</v>
      </c>
      <c r="D5436" s="2" t="s">
        <v>742</v>
      </c>
      <c r="E5436" s="2">
        <v>1</v>
      </c>
      <c r="F5436" s="144">
        <v>46085.625</v>
      </c>
      <c r="G5436" s="2" t="s">
        <v>845</v>
      </c>
      <c r="H5436" s="2" t="s">
        <v>892</v>
      </c>
    </row>
    <row r="5437" spans="1:8" ht="15.75" customHeight="1">
      <c r="A5437" s="2" t="s">
        <v>794</v>
      </c>
      <c r="B5437" s="2" t="s">
        <v>21</v>
      </c>
      <c r="C5437" s="143" t="s">
        <v>741</v>
      </c>
      <c r="D5437" s="2" t="s">
        <v>742</v>
      </c>
      <c r="E5437" s="2">
        <v>2</v>
      </c>
      <c r="F5437" s="144">
        <v>46093.416666666672</v>
      </c>
      <c r="G5437" s="2" t="s">
        <v>845</v>
      </c>
      <c r="H5437" s="2" t="s">
        <v>892</v>
      </c>
    </row>
    <row r="5438" spans="1:8" ht="15.75" customHeight="1">
      <c r="A5438" s="2" t="s">
        <v>794</v>
      </c>
      <c r="B5438" s="2" t="s">
        <v>21</v>
      </c>
      <c r="C5438" s="143" t="s">
        <v>741</v>
      </c>
      <c r="D5438" s="2" t="s">
        <v>742</v>
      </c>
      <c r="E5438" s="2">
        <v>3</v>
      </c>
      <c r="F5438" s="144">
        <v>46099.583333333328</v>
      </c>
      <c r="G5438" s="2" t="s">
        <v>843</v>
      </c>
      <c r="H5438" s="2" t="s">
        <v>892</v>
      </c>
    </row>
    <row r="5439" spans="1:8" ht="15.75" customHeight="1">
      <c r="A5439" s="2" t="s">
        <v>794</v>
      </c>
      <c r="B5439" s="2" t="s">
        <v>21</v>
      </c>
      <c r="C5439" s="143" t="s">
        <v>741</v>
      </c>
      <c r="D5439" s="2" t="s">
        <v>742</v>
      </c>
      <c r="E5439" s="2">
        <v>4</v>
      </c>
      <c r="F5439" s="144">
        <v>46107.416666666672</v>
      </c>
      <c r="G5439" s="2" t="s">
        <v>845</v>
      </c>
      <c r="H5439" s="2" t="s">
        <v>892</v>
      </c>
    </row>
    <row r="5440" spans="1:8" ht="15.75" customHeight="1">
      <c r="A5440" s="2" t="s">
        <v>794</v>
      </c>
      <c r="B5440" s="2" t="s">
        <v>21</v>
      </c>
      <c r="C5440" s="143" t="s">
        <v>741</v>
      </c>
      <c r="D5440" s="2" t="s">
        <v>742</v>
      </c>
      <c r="E5440" s="2">
        <v>5</v>
      </c>
      <c r="F5440" s="144">
        <v>46115.625</v>
      </c>
      <c r="G5440" s="2" t="s">
        <v>845</v>
      </c>
      <c r="H5440" s="2" t="s">
        <v>892</v>
      </c>
    </row>
    <row r="5441" spans="1:8" ht="15.75" customHeight="1">
      <c r="A5441" s="2" t="s">
        <v>794</v>
      </c>
      <c r="B5441" s="2" t="s">
        <v>21</v>
      </c>
      <c r="C5441" s="143" t="s">
        <v>741</v>
      </c>
      <c r="D5441" s="2" t="s">
        <v>742</v>
      </c>
      <c r="E5441" s="2">
        <v>6</v>
      </c>
      <c r="F5441" s="144">
        <v>46128.625</v>
      </c>
      <c r="G5441" s="2" t="s">
        <v>845</v>
      </c>
      <c r="H5441" s="2" t="s">
        <v>892</v>
      </c>
    </row>
    <row r="5442" spans="1:8" ht="15.75" customHeight="1">
      <c r="A5442" s="2" t="s">
        <v>794</v>
      </c>
      <c r="B5442" s="2" t="s">
        <v>21</v>
      </c>
      <c r="C5442" s="143" t="s">
        <v>741</v>
      </c>
      <c r="D5442" s="2" t="s">
        <v>742</v>
      </c>
      <c r="E5442" s="2">
        <v>7</v>
      </c>
      <c r="F5442" s="144">
        <v>46129.416666666672</v>
      </c>
      <c r="G5442" s="2" t="s">
        <v>845</v>
      </c>
      <c r="H5442" s="2" t="s">
        <v>892</v>
      </c>
    </row>
    <row r="5443" spans="1:8" ht="15.75" customHeight="1">
      <c r="A5443" s="2" t="s">
        <v>794</v>
      </c>
      <c r="B5443" s="2" t="s">
        <v>21</v>
      </c>
      <c r="C5443" s="143" t="s">
        <v>741</v>
      </c>
      <c r="D5443" s="2" t="s">
        <v>742</v>
      </c>
      <c r="E5443" s="2">
        <v>8</v>
      </c>
      <c r="F5443" s="144">
        <v>46135.625</v>
      </c>
      <c r="G5443" s="2" t="s">
        <v>845</v>
      </c>
      <c r="H5443" s="2" t="s">
        <v>892</v>
      </c>
    </row>
    <row r="5444" spans="1:8" ht="15.75" customHeight="1">
      <c r="A5444" s="2" t="s">
        <v>794</v>
      </c>
      <c r="B5444" s="2" t="s">
        <v>21</v>
      </c>
      <c r="C5444" s="143" t="s">
        <v>743</v>
      </c>
      <c r="D5444" s="2" t="s">
        <v>744</v>
      </c>
      <c r="E5444" s="2">
        <v>1</v>
      </c>
      <c r="F5444" s="144">
        <v>46085.625</v>
      </c>
      <c r="G5444" s="2" t="s">
        <v>845</v>
      </c>
      <c r="H5444" s="2" t="s">
        <v>892</v>
      </c>
    </row>
    <row r="5445" spans="1:8" ht="15.75" customHeight="1">
      <c r="A5445" s="2" t="s">
        <v>794</v>
      </c>
      <c r="B5445" s="2" t="s">
        <v>21</v>
      </c>
      <c r="C5445" s="143" t="s">
        <v>743</v>
      </c>
      <c r="D5445" s="2" t="s">
        <v>744</v>
      </c>
      <c r="E5445" s="2">
        <v>2</v>
      </c>
      <c r="F5445" s="144">
        <v>46093.416666666672</v>
      </c>
      <c r="G5445" s="2" t="s">
        <v>845</v>
      </c>
      <c r="H5445" s="2" t="s">
        <v>892</v>
      </c>
    </row>
    <row r="5446" spans="1:8" ht="15.75" customHeight="1">
      <c r="A5446" s="2" t="s">
        <v>794</v>
      </c>
      <c r="B5446" s="2" t="s">
        <v>21</v>
      </c>
      <c r="C5446" s="143" t="s">
        <v>743</v>
      </c>
      <c r="D5446" s="2" t="s">
        <v>744</v>
      </c>
      <c r="E5446" s="2">
        <v>3</v>
      </c>
      <c r="F5446" s="144">
        <v>46099.583333333328</v>
      </c>
      <c r="G5446" s="2" t="s">
        <v>845</v>
      </c>
      <c r="H5446" s="2" t="s">
        <v>892</v>
      </c>
    </row>
    <row r="5447" spans="1:8" ht="15.75" customHeight="1">
      <c r="A5447" s="2" t="s">
        <v>794</v>
      </c>
      <c r="B5447" s="2" t="s">
        <v>21</v>
      </c>
      <c r="C5447" s="143" t="s">
        <v>743</v>
      </c>
      <c r="D5447" s="2" t="s">
        <v>744</v>
      </c>
      <c r="E5447" s="2">
        <v>4</v>
      </c>
      <c r="F5447" s="144">
        <v>46107.416666666672</v>
      </c>
      <c r="G5447" s="2" t="s">
        <v>845</v>
      </c>
      <c r="H5447" s="2" t="s">
        <v>892</v>
      </c>
    </row>
    <row r="5448" spans="1:8" ht="15.75" customHeight="1">
      <c r="A5448" s="2" t="s">
        <v>794</v>
      </c>
      <c r="B5448" s="2" t="s">
        <v>21</v>
      </c>
      <c r="C5448" s="143" t="s">
        <v>743</v>
      </c>
      <c r="D5448" s="2" t="s">
        <v>744</v>
      </c>
      <c r="E5448" s="2">
        <v>5</v>
      </c>
      <c r="F5448" s="144">
        <v>46115.625</v>
      </c>
      <c r="G5448" s="2" t="s">
        <v>845</v>
      </c>
      <c r="H5448" s="2" t="s">
        <v>892</v>
      </c>
    </row>
    <row r="5449" spans="1:8" ht="15.75" customHeight="1">
      <c r="A5449" s="2" t="s">
        <v>794</v>
      </c>
      <c r="B5449" s="2" t="s">
        <v>21</v>
      </c>
      <c r="C5449" s="143" t="s">
        <v>743</v>
      </c>
      <c r="D5449" s="2" t="s">
        <v>744</v>
      </c>
      <c r="E5449" s="2">
        <v>6</v>
      </c>
      <c r="F5449" s="144">
        <v>46128.625</v>
      </c>
      <c r="G5449" s="2" t="s">
        <v>845</v>
      </c>
      <c r="H5449" s="2" t="s">
        <v>892</v>
      </c>
    </row>
    <row r="5450" spans="1:8" ht="15.75" customHeight="1">
      <c r="A5450" s="2" t="s">
        <v>794</v>
      </c>
      <c r="B5450" s="2" t="s">
        <v>21</v>
      </c>
      <c r="C5450" s="143" t="s">
        <v>743</v>
      </c>
      <c r="D5450" s="2" t="s">
        <v>744</v>
      </c>
      <c r="E5450" s="2">
        <v>7</v>
      </c>
      <c r="F5450" s="144">
        <v>46129.416666666672</v>
      </c>
      <c r="G5450" s="2" t="s">
        <v>845</v>
      </c>
      <c r="H5450" s="2" t="s">
        <v>892</v>
      </c>
    </row>
    <row r="5451" spans="1:8" ht="15.75" customHeight="1">
      <c r="A5451" s="2" t="s">
        <v>794</v>
      </c>
      <c r="B5451" s="2" t="s">
        <v>21</v>
      </c>
      <c r="C5451" s="143" t="s">
        <v>743</v>
      </c>
      <c r="D5451" s="2" t="s">
        <v>744</v>
      </c>
      <c r="E5451" s="2">
        <v>8</v>
      </c>
      <c r="F5451" s="144">
        <v>46135.625</v>
      </c>
      <c r="G5451" s="2" t="s">
        <v>845</v>
      </c>
      <c r="H5451" s="2" t="s">
        <v>892</v>
      </c>
    </row>
    <row r="5452" spans="1:8" ht="15.75" customHeight="1">
      <c r="A5452" s="2" t="s">
        <v>794</v>
      </c>
      <c r="B5452" s="2" t="s">
        <v>21</v>
      </c>
      <c r="C5452" s="143" t="s">
        <v>490</v>
      </c>
      <c r="D5452" s="2" t="s">
        <v>819</v>
      </c>
      <c r="E5452" s="2">
        <v>4</v>
      </c>
      <c r="F5452" s="144">
        <v>46107.416666666672</v>
      </c>
      <c r="G5452" s="2" t="s">
        <v>845</v>
      </c>
      <c r="H5452" s="2" t="s">
        <v>892</v>
      </c>
    </row>
    <row r="5453" spans="1:8" ht="15.75" customHeight="1">
      <c r="A5453" s="2" t="s">
        <v>794</v>
      </c>
      <c r="B5453" s="2" t="s">
        <v>21</v>
      </c>
      <c r="C5453" s="143" t="s">
        <v>490</v>
      </c>
      <c r="D5453" s="2" t="s">
        <v>819</v>
      </c>
      <c r="E5453" s="2">
        <v>5</v>
      </c>
      <c r="F5453" s="144">
        <v>46115.625</v>
      </c>
      <c r="G5453" s="2" t="s">
        <v>843</v>
      </c>
      <c r="H5453" s="2" t="s">
        <v>892</v>
      </c>
    </row>
    <row r="5454" spans="1:8" ht="15.75" customHeight="1">
      <c r="A5454" s="2" t="s">
        <v>794</v>
      </c>
      <c r="B5454" s="2" t="s">
        <v>21</v>
      </c>
      <c r="C5454" s="143" t="s">
        <v>490</v>
      </c>
      <c r="D5454" s="2" t="s">
        <v>819</v>
      </c>
      <c r="E5454" s="2">
        <v>6</v>
      </c>
      <c r="F5454" s="144">
        <v>46128.625</v>
      </c>
      <c r="G5454" s="2" t="s">
        <v>845</v>
      </c>
      <c r="H5454" s="2" t="s">
        <v>892</v>
      </c>
    </row>
    <row r="5455" spans="1:8" ht="15.75" customHeight="1">
      <c r="A5455" s="2" t="s">
        <v>794</v>
      </c>
      <c r="B5455" s="2" t="s">
        <v>21</v>
      </c>
      <c r="C5455" s="143" t="s">
        <v>490</v>
      </c>
      <c r="D5455" s="2" t="s">
        <v>819</v>
      </c>
      <c r="E5455" s="2">
        <v>7</v>
      </c>
      <c r="F5455" s="144">
        <v>46129.416666666672</v>
      </c>
      <c r="G5455" s="2" t="s">
        <v>845</v>
      </c>
      <c r="H5455" s="2" t="s">
        <v>892</v>
      </c>
    </row>
    <row r="5456" spans="1:8" ht="15.75" customHeight="1">
      <c r="A5456" s="2" t="s">
        <v>794</v>
      </c>
      <c r="B5456" s="2" t="s">
        <v>21</v>
      </c>
      <c r="C5456" s="143" t="s">
        <v>490</v>
      </c>
      <c r="D5456" s="2" t="s">
        <v>819</v>
      </c>
      <c r="E5456" s="2">
        <v>8</v>
      </c>
      <c r="F5456" s="144">
        <v>46135.625</v>
      </c>
      <c r="G5456" s="2" t="s">
        <v>845</v>
      </c>
      <c r="H5456" s="2" t="s">
        <v>892</v>
      </c>
    </row>
    <row r="5457" spans="1:8" ht="15.75" customHeight="1">
      <c r="A5457" s="2" t="s">
        <v>800</v>
      </c>
      <c r="B5457" s="2" t="s">
        <v>21</v>
      </c>
      <c r="C5457" s="143" t="s">
        <v>747</v>
      </c>
      <c r="D5457" s="2" t="s">
        <v>748</v>
      </c>
      <c r="E5457" s="2">
        <v>3</v>
      </c>
      <c r="F5457" s="144">
        <v>46113.583333333328</v>
      </c>
      <c r="G5457" s="2" t="s">
        <v>845</v>
      </c>
      <c r="H5457" s="2" t="s">
        <v>893</v>
      </c>
    </row>
    <row r="5458" spans="1:8" ht="15.75" customHeight="1">
      <c r="A5458" s="2" t="s">
        <v>800</v>
      </c>
      <c r="B5458" s="2" t="s">
        <v>21</v>
      </c>
      <c r="C5458" s="143" t="s">
        <v>747</v>
      </c>
      <c r="D5458" s="2" t="s">
        <v>748</v>
      </c>
      <c r="E5458" s="2">
        <v>4</v>
      </c>
      <c r="F5458" s="144">
        <v>46120.416666666672</v>
      </c>
      <c r="G5458" s="2" t="s">
        <v>845</v>
      </c>
      <c r="H5458" s="2" t="s">
        <v>893</v>
      </c>
    </row>
    <row r="5459" spans="1:8" ht="15.75" customHeight="1">
      <c r="A5459" s="2" t="s">
        <v>800</v>
      </c>
      <c r="B5459" s="2" t="s">
        <v>21</v>
      </c>
      <c r="C5459" s="143" t="s">
        <v>747</v>
      </c>
      <c r="D5459" s="2" t="s">
        <v>748</v>
      </c>
      <c r="E5459" s="2">
        <v>5</v>
      </c>
      <c r="F5459" s="144">
        <v>46127.416666666672</v>
      </c>
      <c r="G5459" s="2" t="s">
        <v>843</v>
      </c>
      <c r="H5459" s="2" t="s">
        <v>893</v>
      </c>
    </row>
    <row r="5460" spans="1:8" ht="15.75" customHeight="1">
      <c r="A5460" s="2" t="s">
        <v>800</v>
      </c>
      <c r="B5460" s="2" t="s">
        <v>21</v>
      </c>
      <c r="C5460" s="143" t="s">
        <v>747</v>
      </c>
      <c r="D5460" s="2" t="s">
        <v>748</v>
      </c>
      <c r="E5460" s="2">
        <v>6</v>
      </c>
      <c r="F5460" s="144">
        <v>46134.416666666672</v>
      </c>
      <c r="G5460" s="2" t="s">
        <v>845</v>
      </c>
      <c r="H5460" s="2" t="s">
        <v>893</v>
      </c>
    </row>
    <row r="5461" spans="1:8" ht="15.75" customHeight="1">
      <c r="A5461" s="2" t="s">
        <v>800</v>
      </c>
      <c r="B5461" s="2" t="s">
        <v>21</v>
      </c>
      <c r="C5461" s="143" t="s">
        <v>749</v>
      </c>
      <c r="D5461" s="2" t="s">
        <v>750</v>
      </c>
      <c r="E5461" s="2">
        <v>3</v>
      </c>
      <c r="F5461" s="144">
        <v>46113.583333333328</v>
      </c>
      <c r="G5461" s="2" t="s">
        <v>845</v>
      </c>
      <c r="H5461" s="2" t="s">
        <v>893</v>
      </c>
    </row>
    <row r="5462" spans="1:8" ht="15.75" customHeight="1">
      <c r="A5462" s="2" t="s">
        <v>800</v>
      </c>
      <c r="B5462" s="2" t="s">
        <v>21</v>
      </c>
      <c r="C5462" s="143" t="s">
        <v>749</v>
      </c>
      <c r="D5462" s="2" t="s">
        <v>750</v>
      </c>
      <c r="E5462" s="2">
        <v>4</v>
      </c>
      <c r="F5462" s="144">
        <v>46120.416666666672</v>
      </c>
      <c r="G5462" s="2" t="s">
        <v>845</v>
      </c>
      <c r="H5462" s="2" t="s">
        <v>893</v>
      </c>
    </row>
    <row r="5463" spans="1:8" ht="15.75" customHeight="1">
      <c r="A5463" s="2" t="s">
        <v>800</v>
      </c>
      <c r="B5463" s="2" t="s">
        <v>21</v>
      </c>
      <c r="C5463" s="143" t="s">
        <v>749</v>
      </c>
      <c r="D5463" s="2" t="s">
        <v>750</v>
      </c>
      <c r="E5463" s="2">
        <v>5</v>
      </c>
      <c r="F5463" s="144">
        <v>46127.416666666672</v>
      </c>
      <c r="G5463" s="2" t="s">
        <v>845</v>
      </c>
      <c r="H5463" s="2" t="s">
        <v>893</v>
      </c>
    </row>
    <row r="5464" spans="1:8" ht="15.75" customHeight="1">
      <c r="A5464" s="2" t="s">
        <v>800</v>
      </c>
      <c r="B5464" s="2" t="s">
        <v>21</v>
      </c>
      <c r="C5464" s="143" t="s">
        <v>749</v>
      </c>
      <c r="D5464" s="2" t="s">
        <v>750</v>
      </c>
      <c r="E5464" s="2">
        <v>6</v>
      </c>
      <c r="F5464" s="144">
        <v>46134.416666666672</v>
      </c>
      <c r="G5464" s="2" t="s">
        <v>845</v>
      </c>
      <c r="H5464" s="2" t="s">
        <v>893</v>
      </c>
    </row>
    <row r="5465" spans="1:8" ht="15.75" customHeight="1">
      <c r="A5465" s="2" t="s">
        <v>800</v>
      </c>
      <c r="B5465" s="2" t="s">
        <v>21</v>
      </c>
      <c r="C5465" s="143" t="s">
        <v>745</v>
      </c>
      <c r="D5465" s="2" t="s">
        <v>746</v>
      </c>
      <c r="E5465" s="2">
        <v>3</v>
      </c>
      <c r="F5465" s="144">
        <v>46113.583333333328</v>
      </c>
      <c r="G5465" s="2" t="s">
        <v>845</v>
      </c>
      <c r="H5465" s="2" t="s">
        <v>893</v>
      </c>
    </row>
    <row r="5466" spans="1:8" ht="15.75" customHeight="1">
      <c r="A5466" s="2" t="s">
        <v>800</v>
      </c>
      <c r="B5466" s="2" t="s">
        <v>21</v>
      </c>
      <c r="C5466" s="143" t="s">
        <v>745</v>
      </c>
      <c r="D5466" s="2" t="s">
        <v>746</v>
      </c>
      <c r="E5466" s="2">
        <v>4</v>
      </c>
      <c r="F5466" s="144">
        <v>46120.416666666672</v>
      </c>
      <c r="G5466" s="2" t="s">
        <v>845</v>
      </c>
      <c r="H5466" s="2" t="s">
        <v>893</v>
      </c>
    </row>
    <row r="5467" spans="1:8" ht="15.75" customHeight="1">
      <c r="A5467" s="2" t="s">
        <v>800</v>
      </c>
      <c r="B5467" s="2" t="s">
        <v>21</v>
      </c>
      <c r="C5467" s="143" t="s">
        <v>745</v>
      </c>
      <c r="D5467" s="2" t="s">
        <v>746</v>
      </c>
      <c r="E5467" s="2">
        <v>5</v>
      </c>
      <c r="F5467" s="144">
        <v>46127.416666666672</v>
      </c>
      <c r="G5467" s="2" t="s">
        <v>845</v>
      </c>
      <c r="H5467" s="2" t="s">
        <v>893</v>
      </c>
    </row>
    <row r="5468" spans="1:8" ht="15.75" customHeight="1">
      <c r="A5468" s="2" t="s">
        <v>800</v>
      </c>
      <c r="B5468" s="2" t="s">
        <v>21</v>
      </c>
      <c r="C5468" s="143" t="s">
        <v>745</v>
      </c>
      <c r="D5468" s="2" t="s">
        <v>746</v>
      </c>
      <c r="E5468" s="2">
        <v>6</v>
      </c>
      <c r="F5468" s="144">
        <v>46134.416666666672</v>
      </c>
      <c r="G5468" s="2" t="s">
        <v>845</v>
      </c>
      <c r="H5468" s="2" t="s">
        <v>893</v>
      </c>
    </row>
    <row r="5469" spans="1:8" ht="15.75" customHeight="1">
      <c r="A5469" s="2" t="s">
        <v>800</v>
      </c>
      <c r="B5469" s="2" t="s">
        <v>21</v>
      </c>
      <c r="C5469" s="143" t="s">
        <v>751</v>
      </c>
      <c r="D5469" s="2" t="s">
        <v>752</v>
      </c>
      <c r="E5469" s="2">
        <v>3</v>
      </c>
      <c r="F5469" s="144">
        <v>46113.583333333328</v>
      </c>
      <c r="G5469" s="2" t="s">
        <v>843</v>
      </c>
      <c r="H5469" s="2" t="s">
        <v>893</v>
      </c>
    </row>
    <row r="5470" spans="1:8" ht="15.75" customHeight="1">
      <c r="A5470" s="2" t="s">
        <v>800</v>
      </c>
      <c r="B5470" s="2" t="s">
        <v>21</v>
      </c>
      <c r="C5470" s="143" t="s">
        <v>751</v>
      </c>
      <c r="D5470" s="2" t="s">
        <v>752</v>
      </c>
      <c r="E5470" s="2">
        <v>4</v>
      </c>
      <c r="F5470" s="144">
        <v>46120.416666666672</v>
      </c>
      <c r="G5470" s="2" t="s">
        <v>845</v>
      </c>
      <c r="H5470" s="2" t="s">
        <v>893</v>
      </c>
    </row>
    <row r="5471" spans="1:8" ht="15.75" customHeight="1">
      <c r="A5471" s="2" t="s">
        <v>800</v>
      </c>
      <c r="B5471" s="2" t="s">
        <v>21</v>
      </c>
      <c r="C5471" s="143" t="s">
        <v>751</v>
      </c>
      <c r="D5471" s="2" t="s">
        <v>752</v>
      </c>
      <c r="E5471" s="2">
        <v>5</v>
      </c>
      <c r="F5471" s="144">
        <v>46127.416666666672</v>
      </c>
      <c r="G5471" s="2" t="s">
        <v>845</v>
      </c>
      <c r="H5471" s="2" t="s">
        <v>893</v>
      </c>
    </row>
    <row r="5472" spans="1:8" ht="15.75" customHeight="1">
      <c r="A5472" s="2" t="s">
        <v>800</v>
      </c>
      <c r="B5472" s="2" t="s">
        <v>21</v>
      </c>
      <c r="C5472" s="143" t="s">
        <v>751</v>
      </c>
      <c r="D5472" s="2" t="s">
        <v>752</v>
      </c>
      <c r="E5472" s="2">
        <v>6</v>
      </c>
      <c r="F5472" s="144">
        <v>46134.416666666672</v>
      </c>
      <c r="G5472" s="2" t="s">
        <v>845</v>
      </c>
      <c r="H5472" s="2" t="s">
        <v>893</v>
      </c>
    </row>
    <row r="5473" spans="1:8" ht="15.75" customHeight="1">
      <c r="A5473" s="2" t="s">
        <v>800</v>
      </c>
      <c r="B5473" s="2" t="s">
        <v>21</v>
      </c>
      <c r="C5473" s="143" t="s">
        <v>753</v>
      </c>
      <c r="D5473" s="2" t="s">
        <v>754</v>
      </c>
      <c r="E5473" s="2">
        <v>3</v>
      </c>
      <c r="F5473" s="144">
        <v>46113.583333333328</v>
      </c>
      <c r="G5473" s="2" t="s">
        <v>845</v>
      </c>
      <c r="H5473" s="2" t="s">
        <v>893</v>
      </c>
    </row>
    <row r="5474" spans="1:8" ht="15.75" customHeight="1">
      <c r="A5474" s="2" t="s">
        <v>800</v>
      </c>
      <c r="B5474" s="2" t="s">
        <v>21</v>
      </c>
      <c r="C5474" s="143" t="s">
        <v>753</v>
      </c>
      <c r="D5474" s="2" t="s">
        <v>754</v>
      </c>
      <c r="E5474" s="2">
        <v>4</v>
      </c>
      <c r="F5474" s="144">
        <v>46120.416666666672</v>
      </c>
      <c r="G5474" s="2" t="s">
        <v>845</v>
      </c>
      <c r="H5474" s="2" t="s">
        <v>893</v>
      </c>
    </row>
    <row r="5475" spans="1:8" ht="15.75" customHeight="1">
      <c r="A5475" s="2" t="s">
        <v>800</v>
      </c>
      <c r="B5475" s="2" t="s">
        <v>21</v>
      </c>
      <c r="C5475" s="143" t="s">
        <v>753</v>
      </c>
      <c r="D5475" s="2" t="s">
        <v>754</v>
      </c>
      <c r="E5475" s="2">
        <v>5</v>
      </c>
      <c r="F5475" s="144">
        <v>46127.416666666672</v>
      </c>
      <c r="G5475" s="2" t="s">
        <v>845</v>
      </c>
      <c r="H5475" s="2" t="s">
        <v>893</v>
      </c>
    </row>
    <row r="5476" spans="1:8" ht="15.75" customHeight="1">
      <c r="A5476" s="2" t="s">
        <v>800</v>
      </c>
      <c r="B5476" s="2" t="s">
        <v>21</v>
      </c>
      <c r="C5476" s="143" t="s">
        <v>753</v>
      </c>
      <c r="D5476" s="2" t="s">
        <v>754</v>
      </c>
      <c r="E5476" s="2">
        <v>6</v>
      </c>
      <c r="F5476" s="144">
        <v>46134.416666666672</v>
      </c>
      <c r="G5476" s="2" t="s">
        <v>845</v>
      </c>
      <c r="H5476" s="2" t="s">
        <v>893</v>
      </c>
    </row>
    <row r="5477" spans="1:8" ht="15.75" customHeight="1">
      <c r="A5477" s="2" t="s">
        <v>800</v>
      </c>
      <c r="B5477" s="2" t="s">
        <v>21</v>
      </c>
      <c r="C5477" s="143" t="s">
        <v>755</v>
      </c>
      <c r="D5477" s="2" t="s">
        <v>756</v>
      </c>
      <c r="E5477" s="2">
        <v>3</v>
      </c>
      <c r="F5477" s="144">
        <v>46113.583333333328</v>
      </c>
      <c r="G5477" s="2" t="s">
        <v>845</v>
      </c>
      <c r="H5477" s="2" t="s">
        <v>893</v>
      </c>
    </row>
    <row r="5478" spans="1:8" ht="15.75" customHeight="1">
      <c r="A5478" s="2" t="s">
        <v>800</v>
      </c>
      <c r="B5478" s="2" t="s">
        <v>21</v>
      </c>
      <c r="C5478" s="143" t="s">
        <v>755</v>
      </c>
      <c r="D5478" s="2" t="s">
        <v>756</v>
      </c>
      <c r="E5478" s="2">
        <v>4</v>
      </c>
      <c r="F5478" s="144">
        <v>46120.416666666672</v>
      </c>
      <c r="G5478" s="2" t="s">
        <v>845</v>
      </c>
      <c r="H5478" s="2" t="s">
        <v>893</v>
      </c>
    </row>
    <row r="5479" spans="1:8" ht="15.75" customHeight="1">
      <c r="A5479" s="2" t="s">
        <v>800</v>
      </c>
      <c r="B5479" s="2" t="s">
        <v>21</v>
      </c>
      <c r="C5479" s="143" t="s">
        <v>755</v>
      </c>
      <c r="D5479" s="2" t="s">
        <v>756</v>
      </c>
      <c r="E5479" s="2">
        <v>5</v>
      </c>
      <c r="F5479" s="144">
        <v>46127.416666666672</v>
      </c>
      <c r="G5479" s="2" t="s">
        <v>845</v>
      </c>
      <c r="H5479" s="2" t="s">
        <v>893</v>
      </c>
    </row>
    <row r="5480" spans="1:8" ht="15.75" customHeight="1">
      <c r="A5480" s="2" t="s">
        <v>800</v>
      </c>
      <c r="B5480" s="2" t="s">
        <v>21</v>
      </c>
      <c r="C5480" s="143" t="s">
        <v>755</v>
      </c>
      <c r="D5480" s="2" t="s">
        <v>756</v>
      </c>
      <c r="E5480" s="2">
        <v>6</v>
      </c>
      <c r="F5480" s="144">
        <v>46134.416666666672</v>
      </c>
      <c r="G5480" s="2" t="s">
        <v>845</v>
      </c>
      <c r="H5480" s="2" t="s">
        <v>893</v>
      </c>
    </row>
    <row r="5481" spans="1:8" ht="15.75" customHeight="1">
      <c r="A5481" s="2" t="s">
        <v>800</v>
      </c>
      <c r="B5481" s="2" t="s">
        <v>21</v>
      </c>
      <c r="C5481" s="143" t="s">
        <v>478</v>
      </c>
      <c r="D5481" s="2" t="s">
        <v>816</v>
      </c>
      <c r="E5481" s="2">
        <v>3</v>
      </c>
      <c r="F5481" s="144">
        <v>46113.583333333328</v>
      </c>
      <c r="G5481" s="2" t="s">
        <v>845</v>
      </c>
      <c r="H5481" s="2" t="s">
        <v>893</v>
      </c>
    </row>
    <row r="5482" spans="1:8" ht="15.75" customHeight="1">
      <c r="A5482" s="2" t="s">
        <v>800</v>
      </c>
      <c r="B5482" s="2" t="s">
        <v>21</v>
      </c>
      <c r="C5482" s="143" t="s">
        <v>478</v>
      </c>
      <c r="D5482" s="2" t="s">
        <v>816</v>
      </c>
      <c r="E5482" s="2">
        <v>4</v>
      </c>
      <c r="F5482" s="144">
        <v>46120.416666666672</v>
      </c>
      <c r="G5482" s="2" t="s">
        <v>845</v>
      </c>
      <c r="H5482" s="2" t="s">
        <v>893</v>
      </c>
    </row>
    <row r="5483" spans="1:8" ht="15.75" customHeight="1">
      <c r="A5483" s="2" t="s">
        <v>800</v>
      </c>
      <c r="B5483" s="2" t="s">
        <v>21</v>
      </c>
      <c r="C5483" s="143" t="s">
        <v>478</v>
      </c>
      <c r="D5483" s="2" t="s">
        <v>816</v>
      </c>
      <c r="E5483" s="2">
        <v>5</v>
      </c>
      <c r="F5483" s="144">
        <v>46127.416666666672</v>
      </c>
      <c r="G5483" s="2" t="s">
        <v>843</v>
      </c>
      <c r="H5483" s="2" t="s">
        <v>893</v>
      </c>
    </row>
    <row r="5484" spans="1:8" ht="15.75" customHeight="1">
      <c r="A5484" s="2" t="s">
        <v>800</v>
      </c>
      <c r="B5484" s="2" t="s">
        <v>21</v>
      </c>
      <c r="C5484" s="143" t="s">
        <v>478</v>
      </c>
      <c r="D5484" s="2" t="s">
        <v>816</v>
      </c>
      <c r="E5484" s="2">
        <v>6</v>
      </c>
      <c r="F5484" s="144">
        <v>46134.416666666672</v>
      </c>
      <c r="G5484" s="2" t="s">
        <v>845</v>
      </c>
      <c r="H5484" s="2" t="s">
        <v>893</v>
      </c>
    </row>
    <row r="5485" spans="1:8" ht="15.75" customHeight="1">
      <c r="A5485" s="2"/>
      <c r="B5485" s="2"/>
      <c r="C5485" s="143"/>
      <c r="D5485" s="2"/>
      <c r="E5485" s="2"/>
      <c r="F5485" s="2"/>
      <c r="G5485" s="2"/>
      <c r="H5485" s="2"/>
    </row>
    <row r="5486" spans="1:8" ht="15.75" customHeight="1">
      <c r="A5486" s="2"/>
      <c r="B5486" s="2"/>
      <c r="C5486" s="143"/>
      <c r="D5486" s="2"/>
      <c r="E5486" s="2"/>
      <c r="F5486" s="2"/>
      <c r="G5486" s="2"/>
      <c r="H5486" s="2"/>
    </row>
    <row r="5487" spans="1:8" ht="15.75" customHeight="1">
      <c r="A5487" s="2"/>
      <c r="B5487" s="2"/>
      <c r="C5487" s="143"/>
      <c r="D5487" s="2"/>
      <c r="E5487" s="2"/>
      <c r="F5487" s="2"/>
      <c r="G5487" s="2"/>
      <c r="H5487" s="2"/>
    </row>
    <row r="5488" spans="1:8" ht="15.75" customHeight="1">
      <c r="A5488" s="2"/>
      <c r="B5488" s="2"/>
      <c r="C5488" s="143"/>
      <c r="D5488" s="2"/>
      <c r="E5488" s="2"/>
      <c r="F5488" s="2"/>
      <c r="G5488" s="2"/>
      <c r="H5488" s="2"/>
    </row>
    <row r="5489" spans="1:8" ht="15.75" customHeight="1">
      <c r="A5489" s="2"/>
      <c r="B5489" s="2"/>
      <c r="C5489" s="143"/>
      <c r="D5489" s="2"/>
      <c r="E5489" s="2"/>
      <c r="F5489" s="2"/>
      <c r="G5489" s="2"/>
      <c r="H5489" s="2"/>
    </row>
    <row r="5490" spans="1:8" ht="15.75" customHeight="1">
      <c r="A5490" s="2"/>
      <c r="B5490" s="2"/>
      <c r="C5490" s="143"/>
      <c r="D5490" s="2"/>
      <c r="E5490" s="2"/>
      <c r="F5490" s="2"/>
      <c r="G5490" s="2"/>
      <c r="H5490" s="2"/>
    </row>
    <row r="5491" spans="1:8" ht="15.75" customHeight="1">
      <c r="A5491" s="2"/>
      <c r="B5491" s="2"/>
      <c r="C5491" s="143"/>
      <c r="D5491" s="2"/>
      <c r="E5491" s="2"/>
      <c r="F5491" s="2"/>
      <c r="G5491" s="2"/>
      <c r="H5491" s="2"/>
    </row>
    <row r="5492" spans="1:8" ht="15.75" customHeight="1">
      <c r="A5492" s="2"/>
      <c r="B5492" s="2"/>
      <c r="C5492" s="143"/>
      <c r="D5492" s="2"/>
      <c r="E5492" s="2"/>
      <c r="F5492" s="2"/>
      <c r="G5492" s="2"/>
      <c r="H5492" s="2"/>
    </row>
    <row r="5493" spans="1:8" ht="15.75" customHeight="1">
      <c r="A5493" s="2"/>
      <c r="B5493" s="2"/>
      <c r="C5493" s="143"/>
      <c r="D5493" s="2"/>
      <c r="E5493" s="2"/>
      <c r="F5493" s="2"/>
      <c r="G5493" s="2"/>
      <c r="H5493" s="2"/>
    </row>
    <row r="5494" spans="1:8" ht="15.75" customHeight="1">
      <c r="A5494" s="2"/>
      <c r="B5494" s="2"/>
      <c r="C5494" s="143"/>
      <c r="D5494" s="2"/>
      <c r="E5494" s="2"/>
      <c r="F5494" s="2"/>
      <c r="G5494" s="2"/>
      <c r="H5494" s="2"/>
    </row>
    <row r="5495" spans="1:8" ht="15.75" customHeight="1">
      <c r="A5495" s="2"/>
      <c r="B5495" s="2"/>
      <c r="C5495" s="143"/>
      <c r="D5495" s="2"/>
      <c r="E5495" s="2"/>
      <c r="F5495" s="2"/>
      <c r="G5495" s="2"/>
      <c r="H5495" s="2"/>
    </row>
    <row r="5496" spans="1:8" ht="15.75" customHeight="1">
      <c r="A5496" s="2"/>
      <c r="B5496" s="2"/>
      <c r="C5496" s="143"/>
      <c r="D5496" s="2"/>
      <c r="E5496" s="2"/>
      <c r="F5496" s="2"/>
      <c r="G5496" s="2"/>
      <c r="H5496" s="2"/>
    </row>
    <row r="5497" spans="1:8" ht="15.75" customHeight="1">
      <c r="A5497" s="2"/>
      <c r="B5497" s="2"/>
      <c r="C5497" s="143"/>
      <c r="D5497" s="2"/>
      <c r="E5497" s="2"/>
      <c r="F5497" s="2"/>
      <c r="G5497" s="2"/>
      <c r="H5497" s="2"/>
    </row>
    <row r="5498" spans="1:8" ht="15.75" customHeight="1">
      <c r="A5498" s="2"/>
      <c r="B5498" s="2"/>
      <c r="C5498" s="143"/>
      <c r="D5498" s="2"/>
      <c r="E5498" s="2"/>
      <c r="F5498" s="2"/>
      <c r="G5498" s="2"/>
      <c r="H5498" s="2"/>
    </row>
    <row r="5499" spans="1:8" ht="15.75" customHeight="1">
      <c r="A5499" s="2"/>
      <c r="B5499" s="2"/>
      <c r="C5499" s="143"/>
      <c r="D5499" s="2"/>
      <c r="E5499" s="2"/>
      <c r="F5499" s="2"/>
      <c r="G5499" s="2"/>
      <c r="H5499" s="2"/>
    </row>
    <row r="5500" spans="1:8" ht="15.75" customHeight="1">
      <c r="A5500" s="2"/>
      <c r="B5500" s="2"/>
      <c r="C5500" s="143"/>
      <c r="D5500" s="2"/>
      <c r="E5500" s="2"/>
      <c r="F5500" s="2"/>
      <c r="G5500" s="2"/>
      <c r="H5500" s="2"/>
    </row>
    <row r="5501" spans="1:8" ht="15.75" customHeight="1">
      <c r="A5501" s="2"/>
      <c r="B5501" s="2"/>
      <c r="C5501" s="143"/>
      <c r="D5501" s="2"/>
      <c r="E5501" s="2"/>
      <c r="F5501" s="2"/>
      <c r="G5501" s="2"/>
      <c r="H5501" s="2"/>
    </row>
    <row r="5502" spans="1:8" ht="15.75" customHeight="1">
      <c r="A5502" s="2"/>
      <c r="B5502" s="2"/>
      <c r="C5502" s="143"/>
      <c r="D5502" s="2"/>
      <c r="E5502" s="2"/>
      <c r="F5502" s="2"/>
      <c r="G5502" s="2"/>
      <c r="H5502" s="2"/>
    </row>
    <row r="5503" spans="1:8" ht="15.75" customHeight="1">
      <c r="A5503" s="2"/>
      <c r="B5503" s="2"/>
      <c r="C5503" s="143"/>
      <c r="D5503" s="2"/>
      <c r="E5503" s="2"/>
      <c r="F5503" s="2"/>
      <c r="G5503" s="2"/>
      <c r="H5503" s="2"/>
    </row>
    <row r="5504" spans="1:8" ht="15.75" customHeight="1">
      <c r="A5504" s="2"/>
      <c r="B5504" s="2"/>
      <c r="C5504" s="143"/>
      <c r="D5504" s="2"/>
      <c r="E5504" s="2"/>
      <c r="F5504" s="2"/>
      <c r="G5504" s="2"/>
      <c r="H5504" s="2"/>
    </row>
    <row r="5505" spans="1:8" ht="15.75" customHeight="1">
      <c r="A5505" s="2"/>
      <c r="B5505" s="2"/>
      <c r="C5505" s="143"/>
      <c r="D5505" s="2"/>
      <c r="E5505" s="2"/>
      <c r="F5505" s="2"/>
      <c r="G5505" s="2"/>
      <c r="H5505" s="2"/>
    </row>
    <row r="5506" spans="1:8" ht="15.75" customHeight="1">
      <c r="A5506" s="2"/>
      <c r="B5506" s="2"/>
      <c r="C5506" s="143"/>
      <c r="D5506" s="2"/>
      <c r="E5506" s="2"/>
      <c r="F5506" s="2"/>
      <c r="G5506" s="2"/>
      <c r="H5506" s="2"/>
    </row>
    <row r="5507" spans="1:8" ht="15.75" customHeight="1">
      <c r="A5507" s="2"/>
      <c r="B5507" s="2"/>
      <c r="C5507" s="143"/>
      <c r="D5507" s="2"/>
      <c r="E5507" s="2"/>
      <c r="F5507" s="2"/>
      <c r="G5507" s="2"/>
      <c r="H5507" s="2"/>
    </row>
    <row r="5508" spans="1:8" ht="15.75" customHeight="1">
      <c r="A5508" s="2"/>
      <c r="B5508" s="2"/>
      <c r="C5508" s="143"/>
      <c r="D5508" s="2"/>
      <c r="E5508" s="2"/>
      <c r="F5508" s="2"/>
      <c r="G5508" s="2"/>
      <c r="H5508" s="2"/>
    </row>
    <row r="5509" spans="1:8" ht="15.75" customHeight="1">
      <c r="A5509" s="2"/>
      <c r="B5509" s="2"/>
      <c r="C5509" s="143"/>
      <c r="D5509" s="2"/>
      <c r="E5509" s="2"/>
      <c r="F5509" s="2"/>
      <c r="G5509" s="2"/>
      <c r="H5509" s="2"/>
    </row>
    <row r="5510" spans="1:8" ht="15.75" customHeight="1">
      <c r="A5510" s="2"/>
      <c r="B5510" s="2"/>
      <c r="C5510" s="143"/>
      <c r="D5510" s="2"/>
      <c r="E5510" s="2"/>
      <c r="F5510" s="2"/>
      <c r="G5510" s="2"/>
      <c r="H5510" s="2"/>
    </row>
    <row r="5511" spans="1:8" ht="15.75" customHeight="1">
      <c r="A5511" s="2"/>
      <c r="B5511" s="2"/>
      <c r="C5511" s="143"/>
      <c r="D5511" s="2"/>
      <c r="E5511" s="2"/>
      <c r="F5511" s="2"/>
      <c r="G5511" s="2"/>
      <c r="H5511" s="2"/>
    </row>
    <row r="5512" spans="1:8" ht="15.75" customHeight="1">
      <c r="A5512" s="2"/>
      <c r="B5512" s="2"/>
      <c r="C5512" s="143"/>
      <c r="D5512" s="2"/>
      <c r="E5512" s="2"/>
      <c r="F5512" s="2"/>
      <c r="G5512" s="2"/>
      <c r="H5512" s="2"/>
    </row>
    <row r="5513" spans="1:8" ht="15.75" customHeight="1">
      <c r="A5513" s="2"/>
      <c r="B5513" s="2"/>
      <c r="C5513" s="143"/>
      <c r="D5513" s="2"/>
      <c r="E5513" s="2"/>
      <c r="F5513" s="2"/>
      <c r="G5513" s="2"/>
      <c r="H5513" s="2"/>
    </row>
    <row r="5514" spans="1:8" ht="15.75" customHeight="1">
      <c r="A5514" s="2"/>
      <c r="B5514" s="2"/>
      <c r="C5514" s="143"/>
      <c r="D5514" s="2"/>
      <c r="E5514" s="2"/>
      <c r="F5514" s="2"/>
      <c r="G5514" s="2"/>
      <c r="H5514" s="2"/>
    </row>
    <row r="5515" spans="1:8" ht="15.75" customHeight="1">
      <c r="A5515" s="2"/>
      <c r="B5515" s="2"/>
      <c r="C5515" s="143"/>
      <c r="D5515" s="2"/>
      <c r="E5515" s="2"/>
      <c r="F5515" s="2"/>
      <c r="G5515" s="2"/>
      <c r="H5515" s="2"/>
    </row>
    <row r="5516" spans="1:8" ht="15.75" customHeight="1">
      <c r="A5516" s="2"/>
      <c r="B5516" s="2"/>
      <c r="C5516" s="143"/>
      <c r="D5516" s="2"/>
      <c r="E5516" s="2"/>
      <c r="F5516" s="2"/>
      <c r="G5516" s="2"/>
      <c r="H5516" s="2"/>
    </row>
    <row r="5517" spans="1:8" ht="15.75" customHeight="1">
      <c r="A5517" s="2"/>
      <c r="B5517" s="2"/>
      <c r="C5517" s="143"/>
      <c r="D5517" s="2"/>
      <c r="E5517" s="2"/>
      <c r="F5517" s="2"/>
      <c r="G5517" s="2"/>
      <c r="H5517" s="2"/>
    </row>
    <row r="5518" spans="1:8" ht="15.75" customHeight="1">
      <c r="A5518" s="2"/>
      <c r="B5518" s="2"/>
      <c r="C5518" s="143"/>
      <c r="D5518" s="2"/>
      <c r="E5518" s="2"/>
      <c r="F5518" s="2"/>
      <c r="G5518" s="2"/>
      <c r="H5518" s="2"/>
    </row>
    <row r="5519" spans="1:8" ht="15.75" customHeight="1">
      <c r="A5519" s="2"/>
      <c r="B5519" s="2"/>
      <c r="C5519" s="143"/>
      <c r="D5519" s="2"/>
      <c r="E5519" s="2"/>
      <c r="F5519" s="2"/>
      <c r="G5519" s="2"/>
      <c r="H5519" s="2"/>
    </row>
    <row r="5520" spans="1:8" ht="15.75" customHeight="1">
      <c r="A5520" s="2"/>
      <c r="B5520" s="2"/>
      <c r="C5520" s="143"/>
      <c r="D5520" s="2"/>
      <c r="E5520" s="2"/>
      <c r="F5520" s="2"/>
      <c r="G5520" s="2"/>
      <c r="H5520" s="2"/>
    </row>
    <row r="5521" spans="1:8" ht="15.75" customHeight="1">
      <c r="A5521" s="2"/>
      <c r="B5521" s="2"/>
      <c r="C5521" s="143"/>
      <c r="D5521" s="2"/>
      <c r="E5521" s="2"/>
      <c r="F5521" s="2"/>
      <c r="G5521" s="2"/>
      <c r="H5521" s="2"/>
    </row>
    <row r="5522" spans="1:8" ht="15.75" customHeight="1">
      <c r="A5522" s="2"/>
      <c r="B5522" s="2"/>
      <c r="C5522" s="143"/>
      <c r="D5522" s="2"/>
      <c r="E5522" s="2"/>
      <c r="F5522" s="2"/>
      <c r="G5522" s="2"/>
      <c r="H5522" s="2"/>
    </row>
    <row r="5523" spans="1:8" ht="15.75" customHeight="1">
      <c r="A5523" s="2"/>
      <c r="B5523" s="2"/>
      <c r="C5523" s="143"/>
      <c r="D5523" s="2"/>
      <c r="E5523" s="2"/>
      <c r="F5523" s="2"/>
      <c r="G5523" s="2"/>
      <c r="H5523" s="2"/>
    </row>
    <row r="5524" spans="1:8" ht="15.75" customHeight="1">
      <c r="A5524" s="2"/>
      <c r="B5524" s="2"/>
      <c r="C5524" s="143"/>
      <c r="D5524" s="2"/>
      <c r="E5524" s="2"/>
      <c r="F5524" s="2"/>
      <c r="G5524" s="2"/>
      <c r="H5524" s="2"/>
    </row>
    <row r="5525" spans="1:8" ht="15.75" customHeight="1">
      <c r="A5525" s="2"/>
      <c r="B5525" s="2"/>
      <c r="C5525" s="143"/>
      <c r="D5525" s="2"/>
      <c r="E5525" s="2"/>
      <c r="F5525" s="2"/>
      <c r="G5525" s="2"/>
      <c r="H5525" s="2"/>
    </row>
    <row r="5526" spans="1:8" ht="15.75" customHeight="1">
      <c r="A5526" s="2"/>
      <c r="B5526" s="2"/>
      <c r="C5526" s="143"/>
      <c r="D5526" s="2"/>
      <c r="E5526" s="2"/>
      <c r="F5526" s="2"/>
      <c r="G5526" s="2"/>
      <c r="H5526" s="2"/>
    </row>
    <row r="5527" spans="1:8" ht="15.75" customHeight="1">
      <c r="A5527" s="2"/>
      <c r="B5527" s="2"/>
      <c r="C5527" s="143"/>
      <c r="D5527" s="2"/>
      <c r="E5527" s="2"/>
      <c r="F5527" s="2"/>
      <c r="G5527" s="2"/>
      <c r="H5527" s="2"/>
    </row>
    <row r="5528" spans="1:8" ht="15.75" customHeight="1">
      <c r="A5528" s="2"/>
      <c r="B5528" s="2"/>
      <c r="C5528" s="143"/>
      <c r="D5528" s="2"/>
      <c r="E5528" s="2"/>
      <c r="F5528" s="2"/>
      <c r="G5528" s="2"/>
      <c r="H5528" s="2"/>
    </row>
    <row r="5529" spans="1:8" ht="15.75" customHeight="1">
      <c r="A5529" s="2"/>
      <c r="B5529" s="2"/>
      <c r="C5529" s="143"/>
      <c r="D5529" s="2"/>
      <c r="E5529" s="2"/>
      <c r="F5529" s="2"/>
      <c r="G5529" s="2"/>
      <c r="H5529" s="2"/>
    </row>
    <row r="5530" spans="1:8" ht="15.75" customHeight="1">
      <c r="A5530" s="2"/>
      <c r="B5530" s="2"/>
      <c r="C5530" s="143"/>
      <c r="D5530" s="2"/>
      <c r="E5530" s="2"/>
      <c r="F5530" s="2"/>
      <c r="G5530" s="2"/>
      <c r="H5530" s="2"/>
    </row>
    <row r="5531" spans="1:8" ht="15.75" customHeight="1">
      <c r="A5531" s="2"/>
      <c r="B5531" s="2"/>
      <c r="C5531" s="143"/>
      <c r="D5531" s="2"/>
      <c r="E5531" s="2"/>
      <c r="F5531" s="2"/>
      <c r="G5531" s="2"/>
      <c r="H5531" s="2"/>
    </row>
    <row r="5532" spans="1:8" ht="15.75" customHeight="1">
      <c r="A5532" s="2"/>
      <c r="B5532" s="2"/>
      <c r="C5532" s="143"/>
      <c r="D5532" s="2"/>
      <c r="E5532" s="2"/>
      <c r="F5532" s="2"/>
      <c r="G5532" s="2"/>
      <c r="H5532" s="2"/>
    </row>
    <row r="5533" spans="1:8" ht="15.75" customHeight="1">
      <c r="A5533" s="2"/>
      <c r="B5533" s="2"/>
      <c r="C5533" s="143"/>
      <c r="D5533" s="2"/>
      <c r="E5533" s="2"/>
      <c r="F5533" s="2"/>
      <c r="G5533" s="2"/>
      <c r="H5533" s="2"/>
    </row>
    <row r="5534" spans="1:8" ht="15.75" customHeight="1">
      <c r="A5534" s="2"/>
      <c r="B5534" s="2"/>
      <c r="C5534" s="143"/>
      <c r="D5534" s="2"/>
      <c r="E5534" s="2"/>
      <c r="F5534" s="2"/>
      <c r="G5534" s="2"/>
      <c r="H5534" s="2"/>
    </row>
    <row r="5535" spans="1:8" ht="15.75" customHeight="1">
      <c r="A5535" s="2"/>
      <c r="B5535" s="2"/>
      <c r="C5535" s="143"/>
      <c r="D5535" s="2"/>
      <c r="E5535" s="2"/>
      <c r="F5535" s="2"/>
      <c r="G5535" s="2"/>
      <c r="H5535" s="2"/>
    </row>
    <row r="5536" spans="1:8" ht="15.75" customHeight="1">
      <c r="A5536" s="2"/>
      <c r="B5536" s="2"/>
      <c r="C5536" s="143"/>
      <c r="D5536" s="2"/>
      <c r="E5536" s="2"/>
      <c r="F5536" s="2"/>
      <c r="G5536" s="2"/>
      <c r="H5536" s="2"/>
    </row>
    <row r="5537" spans="1:8" ht="15.75" customHeight="1">
      <c r="A5537" s="2"/>
      <c r="B5537" s="2"/>
      <c r="C5537" s="143"/>
      <c r="D5537" s="2"/>
      <c r="E5537" s="2"/>
      <c r="F5537" s="2"/>
      <c r="G5537" s="2"/>
      <c r="H5537" s="2"/>
    </row>
    <row r="5538" spans="1:8" ht="15.75" customHeight="1">
      <c r="A5538" s="2"/>
      <c r="B5538" s="2"/>
      <c r="C5538" s="143"/>
      <c r="D5538" s="2"/>
      <c r="E5538" s="2"/>
      <c r="F5538" s="2"/>
      <c r="G5538" s="2"/>
      <c r="H5538" s="2"/>
    </row>
    <row r="5539" spans="1:8" ht="15.75" customHeight="1">
      <c r="A5539" s="2"/>
      <c r="B5539" s="2"/>
      <c r="C5539" s="143"/>
      <c r="D5539" s="2"/>
      <c r="E5539" s="2"/>
      <c r="F5539" s="2"/>
      <c r="G5539" s="2"/>
      <c r="H5539" s="2"/>
    </row>
    <row r="5540" spans="1:8" ht="15.75" customHeight="1">
      <c r="A5540" s="2"/>
      <c r="B5540" s="2"/>
      <c r="C5540" s="143"/>
      <c r="D5540" s="2"/>
      <c r="E5540" s="2"/>
      <c r="F5540" s="2"/>
      <c r="G5540" s="2"/>
      <c r="H5540" s="2"/>
    </row>
    <row r="5541" spans="1:8" ht="15.75" customHeight="1">
      <c r="A5541" s="2"/>
      <c r="B5541" s="2"/>
      <c r="C5541" s="143"/>
      <c r="D5541" s="2"/>
      <c r="E5541" s="2"/>
      <c r="F5541" s="2"/>
      <c r="G5541" s="2"/>
      <c r="H5541" s="2"/>
    </row>
    <row r="5542" spans="1:8" ht="15.75" customHeight="1">
      <c r="A5542" s="2"/>
      <c r="B5542" s="2"/>
      <c r="C5542" s="143"/>
      <c r="D5542" s="2"/>
      <c r="E5542" s="2"/>
      <c r="F5542" s="2"/>
      <c r="G5542" s="2"/>
      <c r="H5542" s="2"/>
    </row>
    <row r="5543" spans="1:8" ht="15.75" customHeight="1">
      <c r="A5543" s="2"/>
      <c r="B5543" s="2"/>
      <c r="C5543" s="143"/>
      <c r="D5543" s="2"/>
      <c r="E5543" s="2"/>
      <c r="F5543" s="2"/>
      <c r="G5543" s="2"/>
      <c r="H5543" s="2"/>
    </row>
    <row r="5544" spans="1:8" ht="15.75" customHeight="1">
      <c r="A5544" s="2"/>
      <c r="B5544" s="2"/>
      <c r="C5544" s="143"/>
      <c r="D5544" s="2"/>
      <c r="E5544" s="2"/>
      <c r="F5544" s="2"/>
      <c r="G5544" s="2"/>
      <c r="H5544" s="2"/>
    </row>
    <row r="5545" spans="1:8" ht="15.75" customHeight="1">
      <c r="A5545" s="2"/>
      <c r="B5545" s="2"/>
      <c r="C5545" s="143"/>
      <c r="D5545" s="2"/>
      <c r="E5545" s="2"/>
      <c r="F5545" s="2"/>
      <c r="G5545" s="2"/>
      <c r="H5545" s="2"/>
    </row>
    <row r="5546" spans="1:8" ht="15.75" customHeight="1">
      <c r="A5546" s="2"/>
      <c r="B5546" s="2"/>
      <c r="C5546" s="143"/>
      <c r="D5546" s="2"/>
      <c r="E5546" s="2"/>
      <c r="F5546" s="2"/>
      <c r="G5546" s="2"/>
      <c r="H5546" s="2"/>
    </row>
    <row r="5547" spans="1:8" ht="15.75" customHeight="1">
      <c r="A5547" s="2"/>
      <c r="B5547" s="2"/>
      <c r="C5547" s="143"/>
      <c r="D5547" s="2"/>
      <c r="E5547" s="2"/>
      <c r="F5547" s="2"/>
      <c r="G5547" s="2"/>
      <c r="H5547" s="2"/>
    </row>
    <row r="5548" spans="1:8" ht="15.75" customHeight="1">
      <c r="A5548" s="2"/>
      <c r="B5548" s="2"/>
      <c r="C5548" s="143"/>
      <c r="D5548" s="2"/>
      <c r="E5548" s="2"/>
      <c r="F5548" s="2"/>
      <c r="G5548" s="2"/>
      <c r="H5548" s="2"/>
    </row>
    <row r="5549" spans="1:8" ht="15.75" customHeight="1">
      <c r="A5549" s="2"/>
      <c r="B5549" s="2"/>
      <c r="C5549" s="143"/>
      <c r="D5549" s="2"/>
      <c r="E5549" s="2"/>
      <c r="F5549" s="2"/>
      <c r="G5549" s="2"/>
      <c r="H5549" s="2"/>
    </row>
    <row r="5550" spans="1:8" ht="15.75" customHeight="1">
      <c r="A5550" s="2"/>
      <c r="B5550" s="2"/>
      <c r="C5550" s="143"/>
      <c r="D5550" s="2"/>
      <c r="E5550" s="2"/>
      <c r="F5550" s="2"/>
      <c r="G5550" s="2"/>
      <c r="H5550" s="2"/>
    </row>
    <row r="5551" spans="1:8" ht="15.75" customHeight="1">
      <c r="A5551" s="2"/>
      <c r="B5551" s="2"/>
      <c r="C5551" s="143"/>
      <c r="D5551" s="2"/>
      <c r="E5551" s="2"/>
      <c r="F5551" s="2"/>
      <c r="G5551" s="2"/>
      <c r="H5551" s="2"/>
    </row>
    <row r="5552" spans="1:8" ht="15.75" customHeight="1">
      <c r="A5552" s="2"/>
      <c r="B5552" s="2"/>
      <c r="C5552" s="143"/>
      <c r="D5552" s="2"/>
      <c r="E5552" s="2"/>
      <c r="F5552" s="2"/>
      <c r="G5552" s="2"/>
      <c r="H5552" s="2"/>
    </row>
    <row r="5553" spans="1:8" ht="15.75" customHeight="1">
      <c r="A5553" s="2"/>
      <c r="B5553" s="2"/>
      <c r="C5553" s="143"/>
      <c r="D5553" s="2"/>
      <c r="E5553" s="2"/>
      <c r="F5553" s="2"/>
      <c r="G5553" s="2"/>
      <c r="H5553" s="2"/>
    </row>
    <row r="5554" spans="1:8" ht="15.75" customHeight="1">
      <c r="A5554" s="2"/>
      <c r="B5554" s="2"/>
      <c r="C5554" s="143"/>
      <c r="D5554" s="2"/>
      <c r="E5554" s="2"/>
      <c r="F5554" s="2"/>
      <c r="G5554" s="2"/>
      <c r="H5554" s="2"/>
    </row>
    <row r="5555" spans="1:8" ht="15.75" customHeight="1">
      <c r="A5555" s="2"/>
      <c r="B5555" s="2"/>
      <c r="C5555" s="143"/>
      <c r="D5555" s="2"/>
      <c r="E5555" s="2"/>
      <c r="F5555" s="2"/>
      <c r="G5555" s="2"/>
      <c r="H5555" s="2"/>
    </row>
    <row r="5556" spans="1:8" ht="15.75" customHeight="1">
      <c r="A5556" s="2"/>
      <c r="B5556" s="2"/>
      <c r="C5556" s="143"/>
      <c r="D5556" s="2"/>
      <c r="E5556" s="2"/>
      <c r="F5556" s="2"/>
      <c r="G5556" s="2"/>
      <c r="H5556" s="2"/>
    </row>
    <row r="5557" spans="1:8" ht="15.75" customHeight="1">
      <c r="A5557" s="2"/>
      <c r="B5557" s="2"/>
      <c r="C5557" s="143"/>
      <c r="D5557" s="2"/>
      <c r="E5557" s="2"/>
      <c r="F5557" s="2"/>
      <c r="G5557" s="2"/>
      <c r="H5557" s="2"/>
    </row>
    <row r="5558" spans="1:8" ht="15.75" customHeight="1">
      <c r="A5558" s="2"/>
      <c r="B5558" s="2"/>
      <c r="C5558" s="143"/>
      <c r="D5558" s="2"/>
      <c r="E5558" s="2"/>
      <c r="F5558" s="2"/>
      <c r="G5558" s="2"/>
      <c r="H5558" s="2"/>
    </row>
    <row r="5559" spans="1:8" ht="15.75" customHeight="1">
      <c r="A5559" s="2"/>
      <c r="B5559" s="2"/>
      <c r="C5559" s="143"/>
      <c r="D5559" s="2"/>
      <c r="E5559" s="2"/>
      <c r="F5559" s="2"/>
      <c r="G5559" s="2"/>
      <c r="H5559" s="2"/>
    </row>
    <row r="5560" spans="1:8" ht="15.75" customHeight="1">
      <c r="A5560" s="2"/>
      <c r="B5560" s="2"/>
      <c r="C5560" s="143"/>
      <c r="D5560" s="2"/>
      <c r="E5560" s="2"/>
      <c r="F5560" s="2"/>
      <c r="G5560" s="2"/>
      <c r="H5560" s="2"/>
    </row>
    <row r="5561" spans="1:8" ht="15.75" customHeight="1">
      <c r="A5561" s="2"/>
      <c r="B5561" s="2"/>
      <c r="C5561" s="143"/>
      <c r="D5561" s="2"/>
      <c r="E5561" s="2"/>
      <c r="F5561" s="2"/>
      <c r="G5561" s="2"/>
      <c r="H5561" s="2"/>
    </row>
    <row r="5562" spans="1:8" ht="15.75" customHeight="1">
      <c r="A5562" s="2"/>
      <c r="B5562" s="2"/>
      <c r="C5562" s="143"/>
      <c r="D5562" s="2"/>
      <c r="E5562" s="2"/>
      <c r="F5562" s="2"/>
      <c r="G5562" s="2"/>
      <c r="H5562" s="2"/>
    </row>
    <row r="5563" spans="1:8" ht="15.75" customHeight="1">
      <c r="A5563" s="2"/>
      <c r="B5563" s="2"/>
      <c r="C5563" s="143"/>
      <c r="D5563" s="2"/>
      <c r="E5563" s="2"/>
      <c r="F5563" s="2"/>
      <c r="G5563" s="2"/>
      <c r="H5563" s="2"/>
    </row>
    <row r="5564" spans="1:8" ht="15.75" customHeight="1">
      <c r="A5564" s="2"/>
      <c r="B5564" s="2"/>
      <c r="C5564" s="143"/>
      <c r="D5564" s="2"/>
      <c r="E5564" s="2"/>
      <c r="F5564" s="2"/>
      <c r="G5564" s="2"/>
      <c r="H5564" s="2"/>
    </row>
    <row r="5565" spans="1:8" ht="15.75" customHeight="1">
      <c r="A5565" s="2"/>
      <c r="B5565" s="2"/>
      <c r="C5565" s="143"/>
      <c r="D5565" s="2"/>
      <c r="E5565" s="2"/>
      <c r="F5565" s="2"/>
      <c r="G5565" s="2"/>
      <c r="H5565" s="2"/>
    </row>
    <row r="5566" spans="1:8" ht="15.75" customHeight="1">
      <c r="A5566" s="2"/>
      <c r="B5566" s="2"/>
      <c r="C5566" s="143"/>
      <c r="D5566" s="2"/>
      <c r="E5566" s="2"/>
      <c r="F5566" s="2"/>
      <c r="G5566" s="2"/>
      <c r="H5566" s="2"/>
    </row>
    <row r="5567" spans="1:8" ht="15.75" customHeight="1">
      <c r="A5567" s="2"/>
      <c r="B5567" s="2"/>
      <c r="C5567" s="143"/>
      <c r="D5567" s="2"/>
      <c r="E5567" s="2"/>
      <c r="F5567" s="2"/>
      <c r="G5567" s="2"/>
      <c r="H5567" s="2"/>
    </row>
    <row r="5568" spans="1:8" ht="15.75" customHeight="1">
      <c r="A5568" s="2"/>
      <c r="B5568" s="2"/>
      <c r="C5568" s="143"/>
      <c r="D5568" s="2"/>
      <c r="E5568" s="2"/>
      <c r="F5568" s="2"/>
      <c r="G5568" s="2"/>
      <c r="H5568" s="2"/>
    </row>
    <row r="5569" spans="1:8" ht="15.75" customHeight="1">
      <c r="A5569" s="2"/>
      <c r="B5569" s="2"/>
      <c r="C5569" s="143"/>
      <c r="D5569" s="2"/>
      <c r="E5569" s="2"/>
      <c r="F5569" s="2"/>
      <c r="G5569" s="2"/>
      <c r="H5569" s="2"/>
    </row>
    <row r="5570" spans="1:8" ht="15.75" customHeight="1">
      <c r="A5570" s="2"/>
      <c r="B5570" s="2"/>
      <c r="C5570" s="143"/>
      <c r="D5570" s="2"/>
      <c r="E5570" s="2"/>
      <c r="F5570" s="2"/>
      <c r="G5570" s="2"/>
      <c r="H5570" s="2"/>
    </row>
    <row r="5571" spans="1:8" ht="15.75" customHeight="1">
      <c r="A5571" s="2"/>
      <c r="B5571" s="2"/>
      <c r="C5571" s="143"/>
      <c r="D5571" s="2"/>
      <c r="E5571" s="2"/>
      <c r="F5571" s="2"/>
      <c r="G5571" s="2"/>
      <c r="H5571" s="2"/>
    </row>
  </sheetData>
  <pageMargins left="0.75" right="0.75" top="1" bottom="1"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K1599"/>
  <sheetViews>
    <sheetView workbookViewId="0">
      <pane ySplit="1" topLeftCell="A11" activePane="bottomLeft" state="frozen"/>
      <selection pane="bottomLeft" activeCell="B3" sqref="B3"/>
    </sheetView>
  </sheetViews>
  <sheetFormatPr defaultColWidth="14.42578125" defaultRowHeight="15" customHeight="1"/>
  <cols>
    <col min="2" max="2" width="31.140625" customWidth="1"/>
    <col min="5" max="5" width="23.140625" customWidth="1"/>
    <col min="6" max="6" width="23.28515625" customWidth="1"/>
    <col min="7" max="7" width="24.85546875" customWidth="1"/>
    <col min="15" max="15" width="12.28515625" customWidth="1"/>
    <col min="16" max="16" width="11.140625" customWidth="1"/>
    <col min="17" max="17" width="10" customWidth="1"/>
    <col min="18" max="19" width="18.85546875" customWidth="1"/>
    <col min="20" max="20" width="12.28515625" customWidth="1"/>
    <col min="21" max="21" width="5.85546875" customWidth="1"/>
    <col min="22" max="22" width="12.7109375" customWidth="1"/>
    <col min="23" max="27" width="11.140625" customWidth="1"/>
    <col min="28" max="34" width="10.140625" customWidth="1"/>
    <col min="35" max="36" width="11.140625" customWidth="1"/>
    <col min="37" max="38" width="16.140625" customWidth="1"/>
    <col min="39" max="39" width="5.42578125" customWidth="1"/>
    <col min="40" max="40" width="13.5703125" customWidth="1"/>
    <col min="41" max="43" width="11.140625" customWidth="1"/>
    <col min="44" max="44" width="5.7109375" customWidth="1"/>
    <col min="45" max="89" width="11.140625" customWidth="1"/>
  </cols>
  <sheetData>
    <row r="1" spans="1:89" ht="45">
      <c r="A1" s="139" t="s">
        <v>123</v>
      </c>
      <c r="B1" s="138" t="s">
        <v>124</v>
      </c>
      <c r="C1" s="138" t="s">
        <v>44</v>
      </c>
      <c r="D1" s="138" t="s">
        <v>45</v>
      </c>
      <c r="E1" s="138" t="s">
        <v>14</v>
      </c>
      <c r="F1" s="138" t="s">
        <v>128</v>
      </c>
      <c r="G1" s="138" t="s">
        <v>894</v>
      </c>
      <c r="H1" s="138" t="s">
        <v>895</v>
      </c>
      <c r="I1" s="138" t="s">
        <v>896</v>
      </c>
      <c r="J1" s="138" t="s">
        <v>897</v>
      </c>
      <c r="K1" s="138" t="s">
        <v>898</v>
      </c>
      <c r="L1" s="138" t="s">
        <v>899</v>
      </c>
      <c r="M1" s="138" t="s">
        <v>125</v>
      </c>
      <c r="N1" s="138" t="s">
        <v>900</v>
      </c>
      <c r="O1" s="138" t="s">
        <v>901</v>
      </c>
      <c r="P1" s="138" t="s">
        <v>902</v>
      </c>
      <c r="Q1" s="138" t="s">
        <v>903</v>
      </c>
      <c r="R1" s="138" t="s">
        <v>904</v>
      </c>
      <c r="S1" s="145" t="s">
        <v>905</v>
      </c>
      <c r="T1" s="145"/>
      <c r="U1" s="145"/>
      <c r="V1" s="38" t="s">
        <v>906</v>
      </c>
      <c r="W1" s="38" t="s">
        <v>907</v>
      </c>
      <c r="X1" s="38" t="s">
        <v>908</v>
      </c>
      <c r="Y1" s="38" t="s">
        <v>909</v>
      </c>
      <c r="Z1" s="146"/>
      <c r="AA1" s="147" t="s">
        <v>910</v>
      </c>
      <c r="AB1" s="148" t="s">
        <v>911</v>
      </c>
      <c r="AC1" s="147"/>
      <c r="AD1" s="147"/>
      <c r="AE1" s="147"/>
      <c r="AF1" s="147"/>
      <c r="AG1" s="147"/>
      <c r="AH1" s="147"/>
      <c r="AI1" s="147"/>
      <c r="AJ1" s="147" t="s">
        <v>14</v>
      </c>
      <c r="AK1" s="149" t="s">
        <v>838</v>
      </c>
      <c r="AL1" s="150" t="s">
        <v>912</v>
      </c>
      <c r="AM1" s="151"/>
      <c r="AN1" s="152" t="s">
        <v>913</v>
      </c>
      <c r="AO1" s="38" t="s">
        <v>914</v>
      </c>
      <c r="AP1" s="38" t="s">
        <v>908</v>
      </c>
      <c r="AQ1" s="38" t="s">
        <v>915</v>
      </c>
      <c r="AR1" s="147"/>
      <c r="AS1" s="230" t="s">
        <v>1001</v>
      </c>
      <c r="AT1" s="230" t="s">
        <v>911</v>
      </c>
      <c r="AU1" s="236"/>
      <c r="AV1" s="236"/>
      <c r="AW1" s="236"/>
      <c r="AX1" s="236"/>
      <c r="AY1" s="23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row>
    <row r="2" spans="1:89">
      <c r="A2" s="153" t="s">
        <v>721</v>
      </c>
      <c r="B2" s="154" t="s">
        <v>722</v>
      </c>
      <c r="C2" s="155" t="s">
        <v>51</v>
      </c>
      <c r="D2" s="155" t="s">
        <v>844</v>
      </c>
      <c r="E2" s="154" t="s">
        <v>21</v>
      </c>
      <c r="F2" s="3" t="s">
        <v>916</v>
      </c>
      <c r="G2" s="3" t="s">
        <v>917</v>
      </c>
      <c r="H2" s="156" t="str">
        <f ca="1">IFERROR(
  _xludf.MINIFS(ATTENDANCE_LOG!$F:$F,
         ATTENDANCE_LOG!$A:$A, C2,
         ATTENDANCE_LOG!$B:$B, E2),
"")</f>
        <v/>
      </c>
      <c r="I2" s="156" t="str">
        <f t="shared" ref="I2:I256" ca="1" si="0">IFERROR(
  _xludf.MINIFS($H:$H, $A:$A, A2, $H:$H, "&gt;"&amp;0),
"")</f>
        <v/>
      </c>
      <c r="J2" s="3">
        <f>IFERROR(VLOOKUP(F2, LEVEL_HELPER!$A:$B, 2, 0), "")</f>
        <v>2.5</v>
      </c>
      <c r="K2" s="3">
        <f>IFERROR(VLOOKUP(G2, LEVEL_HELPER!$A:$B, 2, 0), "")</f>
        <v>3</v>
      </c>
      <c r="L2" s="157" t="s">
        <v>918</v>
      </c>
      <c r="M2" s="157" t="s">
        <v>919</v>
      </c>
      <c r="N2" s="3">
        <f t="array" aca="1" ref="N2" ca="1">IFERROR(
  INDEX($J$2:$J$543,
    MATCH(A2&amp;TEXT(I2,"yyyy-mm-dd"),
          $A$2:$A$543&amp;TEXT($H$2:$H$543,"yyyy-mm-dd"),
          0)),
"")</f>
        <v>2.5</v>
      </c>
      <c r="O2" s="147" t="str">
        <f t="shared" ref="O2:O256" ca="1" si="1">IFERROR(_xludf.MAXIFS($K:$K, $A:$A, A2), "")</f>
        <v/>
      </c>
      <c r="P2" s="147">
        <f t="shared" ref="P2:Q2" ca="1" si="2">IF(N2="",0,IF(N2&lt;=2,1,IF(N2&lt;=4,2,IF(N2&lt;=5.5,3,4))))</f>
        <v>2</v>
      </c>
      <c r="Q2" s="147">
        <f t="shared" ca="1" si="2"/>
        <v>0</v>
      </c>
      <c r="R2" s="147" t="str">
        <f t="shared" ref="R2:R256" ca="1" si="3">IF(OR(O2=0, O2=""), "Not tested yet", IF(P2=0, "No Data", IF(Q2&lt;P2, "Regressed", IF(Q2=P2, IF(O2&gt;N2, "Progress within level", "No Progress"), IF(Q2-P2=1, "Lv"&amp;P2&amp;" → Lv"&amp;Q2, "Lv"&amp;P2&amp;" → Lv"&amp;Q2&amp;" (multi)")))))</f>
        <v>Not tested yet</v>
      </c>
      <c r="S2" s="147">
        <f t="shared" ref="S2:S256" si="4">IF(COUNTIF($A$2:A2,A2)=1,1,0)</f>
        <v>1</v>
      </c>
      <c r="T2" s="147"/>
      <c r="U2" s="147"/>
      <c r="V2" s="148" t="e">
        <f t="array" aca="1" ref="V2:V306" ca="1">_xludf.unique(A2:A1599)</f>
        <v>#NAME?</v>
      </c>
      <c r="W2" s="147" t="e">
        <f t="shared" ref="W2:W256" ca="1" si="5">VLOOKUP(V2,$A$2:$P1599,12,0)</f>
        <v>#NAME?</v>
      </c>
      <c r="X2" s="147" t="e">
        <f t="shared" ref="X2:X256" ca="1" si="6">_xludf.IFS(W2="QC","QC",OR(W2="BA",W2="BC"),"BA, BC",OR(W2="DEV",W2="TA"),"DEV, TA",OR(W2="HR",W2="Admin",W2="Management"),"HR, GA, Mgt",W2="GSD","GSD",OR(W2="PPO",W2="SM",W2="IM"),"PPO, SM, IM ",OR(W2="UI/UX",W2="Designer"),"UI/UX, Des")</f>
        <v>#NAME?</v>
      </c>
      <c r="Y2" s="147" t="e">
        <f t="shared" ref="Y2:Y256" ca="1" si="7">VLOOKUP(V2,$A$2:$P1599,13,0)</f>
        <v>#NAME?</v>
      </c>
      <c r="Z2" s="147"/>
      <c r="AA2" s="148" t="s">
        <v>908</v>
      </c>
      <c r="AB2" s="147" t="s">
        <v>920</v>
      </c>
      <c r="AC2" s="147" t="s">
        <v>921</v>
      </c>
      <c r="AD2" s="147" t="s">
        <v>922</v>
      </c>
      <c r="AE2" s="147" t="s">
        <v>923</v>
      </c>
      <c r="AF2" s="147" t="s">
        <v>924</v>
      </c>
      <c r="AG2" s="147" t="s">
        <v>919</v>
      </c>
      <c r="AH2" s="147" t="s">
        <v>925</v>
      </c>
      <c r="AI2" s="147"/>
      <c r="AJ2" s="158"/>
      <c r="AK2" s="157">
        <v>0</v>
      </c>
      <c r="AL2" s="147">
        <v>0</v>
      </c>
      <c r="AM2" s="151"/>
      <c r="AN2" s="148" t="str">
        <f ca="1">IFERROR(__xludf.DUMMYFUNCTION("filter(STUDENTS!A3:A1599,STUDENTS!E3:E1599=""Active"")"),"213817")</f>
        <v>213817</v>
      </c>
      <c r="AO2" s="147" t="str">
        <f t="shared" ref="AO2:AO240" ca="1" si="8">VLOOKUP(AN2,$A$2:$P1599,12,0)</f>
        <v>QC</v>
      </c>
      <c r="AP2" s="147" t="e">
        <f t="shared" ref="AP2:AP240" ca="1" si="9">_xludf.IFS(AO2="QC","QC",OR(AO2="BA",AO2="BC"),"BA, BC",OR(AO2="DEV",AO2="TA"),"DEV, TA",OR(AO2="HR",AO2="Admin",AO2="Management"),"HR, GA, Mgt",AO2="GSD","GSD",OR(AO2="PPO",AO2="SM",AO2="IM"),"PPO, SM, IM ",OR(AO2="UI/UX",AO2="Designer"),"UI/UX, Des")</f>
        <v>#NAME?</v>
      </c>
      <c r="AQ2" s="147" t="str">
        <f t="shared" ref="AQ2:AQ240" ca="1" si="10">VLOOKUP(AN2,$A$2:$P1599,13,0)</f>
        <v>ONC</v>
      </c>
      <c r="AR2" s="147"/>
      <c r="AS2" s="230" t="s">
        <v>908</v>
      </c>
      <c r="AT2" s="238" t="s">
        <v>921</v>
      </c>
      <c r="AU2" s="239" t="s">
        <v>922</v>
      </c>
      <c r="AV2" s="239" t="s">
        <v>923</v>
      </c>
      <c r="AW2" s="239" t="s">
        <v>924</v>
      </c>
      <c r="AX2" s="239" t="s">
        <v>919</v>
      </c>
      <c r="AY2" s="240" t="s">
        <v>925</v>
      </c>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7"/>
      <c r="BY2" s="147"/>
      <c r="BZ2" s="147"/>
      <c r="CA2" s="147"/>
      <c r="CB2" s="147"/>
      <c r="CC2" s="147"/>
      <c r="CD2" s="147"/>
      <c r="CE2" s="147"/>
      <c r="CF2" s="147"/>
      <c r="CG2" s="147"/>
      <c r="CH2" s="147"/>
      <c r="CI2" s="147"/>
      <c r="CJ2" s="147"/>
      <c r="CK2" s="147"/>
    </row>
    <row r="3" spans="1:89">
      <c r="A3" s="159" t="s">
        <v>296</v>
      </c>
      <c r="B3" s="3" t="s">
        <v>297</v>
      </c>
      <c r="C3" s="160" t="s">
        <v>51</v>
      </c>
      <c r="D3" s="160" t="s">
        <v>844</v>
      </c>
      <c r="E3" s="3" t="s">
        <v>21</v>
      </c>
      <c r="F3" s="3" t="s">
        <v>926</v>
      </c>
      <c r="G3" s="3" t="s">
        <v>917</v>
      </c>
      <c r="H3" s="156" t="str">
        <f ca="1">IFERROR(
  _xludf.MINIFS(ATTENDANCE_LOG!$F:$F,
         ATTENDANCE_LOG!$A:$A, C3,
         ATTENDANCE_LOG!$B:$B, E3),
"")</f>
        <v/>
      </c>
      <c r="I3" s="156" t="str">
        <f t="shared" ca="1" si="0"/>
        <v/>
      </c>
      <c r="J3" s="3">
        <f>IFERROR(VLOOKUP(F3, LEVEL_HELPER!$A:$B, 2, 0), "")</f>
        <v>1</v>
      </c>
      <c r="K3" s="3">
        <f>IFERROR(VLOOKUP(G3, LEVEL_HELPER!$A:$B, 2, 0), "")</f>
        <v>3</v>
      </c>
      <c r="L3" s="157" t="s">
        <v>918</v>
      </c>
      <c r="M3" s="157" t="s">
        <v>919</v>
      </c>
      <c r="N3" s="3">
        <f t="array" aca="1" ref="N3" ca="1">IFERROR(
  INDEX($J$2:$J$543,
    MATCH(A3&amp;TEXT(I3,"yyyy-mm-dd"),
          $A$2:$A$543&amp;TEXT($H$2:$H$543,"yyyy-mm-dd"),
          0)),
"")</f>
        <v>1</v>
      </c>
      <c r="O3" s="147" t="str">
        <f t="shared" ca="1" si="1"/>
        <v/>
      </c>
      <c r="P3" s="147">
        <f t="shared" ref="P3:Q3" ca="1" si="11">IF(N3="",0,IF(N3&lt;=2,1,IF(N3&lt;=4,2,IF(N3&lt;=5.5,3,4))))</f>
        <v>1</v>
      </c>
      <c r="Q3" s="147">
        <f t="shared" ca="1" si="11"/>
        <v>0</v>
      </c>
      <c r="R3" s="147" t="str">
        <f t="shared" ca="1" si="3"/>
        <v>Not tested yet</v>
      </c>
      <c r="S3" s="147">
        <f t="shared" si="4"/>
        <v>1</v>
      </c>
      <c r="T3" s="147"/>
      <c r="U3" s="147"/>
      <c r="V3" s="148" t="e">
        <f ca="1"/>
        <v>#NAME?</v>
      </c>
      <c r="W3" s="147" t="e">
        <f t="shared" ca="1" si="5"/>
        <v>#NAME?</v>
      </c>
      <c r="X3" s="147" t="e">
        <f t="shared" ca="1" si="6"/>
        <v>#NAME?</v>
      </c>
      <c r="Y3" s="147" t="e">
        <f t="shared" ca="1" si="7"/>
        <v>#NAME?</v>
      </c>
      <c r="Z3" s="147"/>
      <c r="AA3" s="147" t="s">
        <v>927</v>
      </c>
      <c r="AB3" s="147"/>
      <c r="AC3" s="147"/>
      <c r="AD3" s="147">
        <v>4</v>
      </c>
      <c r="AE3" s="147">
        <v>2</v>
      </c>
      <c r="AF3" s="147"/>
      <c r="AG3" s="147">
        <v>1</v>
      </c>
      <c r="AH3" s="147">
        <v>2</v>
      </c>
      <c r="AI3" s="147"/>
      <c r="AJ3" s="158" t="s">
        <v>24</v>
      </c>
      <c r="AK3" s="157">
        <v>5</v>
      </c>
      <c r="AL3" s="147">
        <v>30</v>
      </c>
      <c r="AM3" s="151">
        <f t="shared" ref="AM3:AM9" si="12">AL3/AK3</f>
        <v>6</v>
      </c>
      <c r="AN3" s="148" t="str">
        <f ca="1">IFERROR(__xludf.DUMMYFUNCTION("""COMPUTED_VALUE"""),"237226")</f>
        <v>237226</v>
      </c>
      <c r="AO3" s="147" t="str">
        <f t="shared" ca="1" si="8"/>
        <v>GSD</v>
      </c>
      <c r="AP3" s="147" t="e">
        <f t="shared" ca="1" si="9"/>
        <v>#NAME?</v>
      </c>
      <c r="AQ3" s="147" t="str">
        <f t="shared" ca="1" si="10"/>
        <v>LBU</v>
      </c>
      <c r="AR3" s="147"/>
      <c r="AS3" s="238" t="s">
        <v>929</v>
      </c>
      <c r="AT3" s="241">
        <v>4</v>
      </c>
      <c r="AU3" s="242">
        <v>3</v>
      </c>
      <c r="AV3" s="242">
        <v>9</v>
      </c>
      <c r="AW3" s="242">
        <v>12</v>
      </c>
      <c r="AX3" s="242">
        <v>2</v>
      </c>
      <c r="AY3" s="243">
        <v>1</v>
      </c>
      <c r="AZ3" s="147"/>
      <c r="BA3" s="147"/>
      <c r="BB3" s="147"/>
      <c r="BC3" s="147"/>
      <c r="BD3" s="147"/>
      <c r="BE3" s="147"/>
      <c r="BF3" s="147"/>
      <c r="BG3" s="147"/>
      <c r="BH3" s="147"/>
      <c r="BI3" s="147"/>
      <c r="BJ3" s="147"/>
      <c r="BK3" s="147"/>
      <c r="BL3" s="147"/>
      <c r="BM3" s="147"/>
      <c r="BN3" s="147"/>
      <c r="BO3" s="147"/>
      <c r="BP3" s="147"/>
      <c r="BQ3" s="147"/>
      <c r="BR3" s="147"/>
      <c r="BS3" s="147"/>
      <c r="BT3" s="147"/>
      <c r="BU3" s="147"/>
      <c r="BV3" s="147"/>
      <c r="BW3" s="147"/>
      <c r="BX3" s="147"/>
      <c r="BY3" s="147"/>
      <c r="BZ3" s="147"/>
      <c r="CA3" s="147"/>
      <c r="CB3" s="147"/>
      <c r="CC3" s="147"/>
      <c r="CD3" s="147"/>
      <c r="CE3" s="147"/>
      <c r="CF3" s="147"/>
      <c r="CG3" s="147"/>
      <c r="CH3" s="147"/>
      <c r="CI3" s="147"/>
      <c r="CJ3" s="147"/>
      <c r="CK3" s="147"/>
    </row>
    <row r="4" spans="1:89">
      <c r="A4" s="159" t="s">
        <v>319</v>
      </c>
      <c r="B4" s="3" t="s">
        <v>320</v>
      </c>
      <c r="C4" s="160" t="s">
        <v>51</v>
      </c>
      <c r="D4" s="160" t="s">
        <v>844</v>
      </c>
      <c r="E4" s="3" t="s">
        <v>21</v>
      </c>
      <c r="F4" s="3" t="s">
        <v>926</v>
      </c>
      <c r="G4" s="3" t="s">
        <v>928</v>
      </c>
      <c r="H4" s="156" t="str">
        <f ca="1">IFERROR(
  _xludf.MINIFS(ATTENDANCE_LOG!$F:$F,
         ATTENDANCE_LOG!$A:$A, C4,
         ATTENDANCE_LOG!$B:$B, E4),
"")</f>
        <v/>
      </c>
      <c r="I4" s="156" t="str">
        <f t="shared" ca="1" si="0"/>
        <v/>
      </c>
      <c r="J4" s="3">
        <f>IFERROR(VLOOKUP(F4, LEVEL_HELPER!$A:$B, 2, 0), "")</f>
        <v>1</v>
      </c>
      <c r="K4" s="3">
        <f>IFERROR(VLOOKUP(G4, LEVEL_HELPER!$A:$B, 2, 0), "")</f>
        <v>1.5</v>
      </c>
      <c r="L4" s="157" t="s">
        <v>918</v>
      </c>
      <c r="M4" s="157" t="s">
        <v>919</v>
      </c>
      <c r="N4" s="3">
        <f t="array" aca="1" ref="N4" ca="1">IFERROR(
  INDEX($J$2:$J$543,
    MATCH(A4&amp;TEXT(I4,"yyyy-mm-dd"),
          $A$2:$A$543&amp;TEXT($H$2:$H$543,"yyyy-mm-dd"),
          0)),
"")</f>
        <v>1</v>
      </c>
      <c r="O4" s="147" t="str">
        <f t="shared" ca="1" si="1"/>
        <v/>
      </c>
      <c r="P4" s="147">
        <f t="shared" ref="P4:Q4" ca="1" si="13">IF(N4="",0,IF(N4&lt;=2,1,IF(N4&lt;=4,2,IF(N4&lt;=5.5,3,4))))</f>
        <v>1</v>
      </c>
      <c r="Q4" s="147">
        <f t="shared" ca="1" si="13"/>
        <v>0</v>
      </c>
      <c r="R4" s="147" t="str">
        <f t="shared" ca="1" si="3"/>
        <v>Not tested yet</v>
      </c>
      <c r="S4" s="147">
        <f t="shared" si="4"/>
        <v>1</v>
      </c>
      <c r="T4" s="147"/>
      <c r="U4" s="147"/>
      <c r="V4" s="148" t="e">
        <f ca="1"/>
        <v>#NAME?</v>
      </c>
      <c r="W4" s="147" t="e">
        <f t="shared" ca="1" si="5"/>
        <v>#NAME?</v>
      </c>
      <c r="X4" s="147" t="e">
        <f t="shared" ca="1" si="6"/>
        <v>#NAME?</v>
      </c>
      <c r="Y4" s="147" t="e">
        <f t="shared" ca="1" si="7"/>
        <v>#NAME?</v>
      </c>
      <c r="Z4" s="147"/>
      <c r="AA4" s="147" t="s">
        <v>929</v>
      </c>
      <c r="AB4" s="147"/>
      <c r="AC4" s="147">
        <v>36</v>
      </c>
      <c r="AD4" s="147">
        <v>19</v>
      </c>
      <c r="AE4" s="147">
        <v>42</v>
      </c>
      <c r="AF4" s="147">
        <v>42</v>
      </c>
      <c r="AG4" s="147">
        <v>5</v>
      </c>
      <c r="AH4" s="147">
        <v>20</v>
      </c>
      <c r="AI4" s="147"/>
      <c r="AJ4" s="158" t="s">
        <v>21</v>
      </c>
      <c r="AK4" s="157">
        <v>46</v>
      </c>
      <c r="AL4" s="147">
        <v>280</v>
      </c>
      <c r="AM4" s="151">
        <f t="shared" si="12"/>
        <v>6.0869565217391308</v>
      </c>
      <c r="AN4" s="148" t="str">
        <f ca="1">IFERROR(__xludf.DUMMYFUNCTION("""COMPUTED_VALUE"""),"213856")</f>
        <v>213856</v>
      </c>
      <c r="AO4" s="147" t="str">
        <f t="shared" ca="1" si="8"/>
        <v>QC</v>
      </c>
      <c r="AP4" s="147" t="e">
        <f t="shared" ca="1" si="9"/>
        <v>#NAME?</v>
      </c>
      <c r="AQ4" s="147" t="str">
        <f t="shared" ca="1" si="10"/>
        <v>ONC</v>
      </c>
      <c r="AR4" s="147"/>
      <c r="AS4" s="244" t="s">
        <v>930</v>
      </c>
      <c r="AT4" s="245"/>
      <c r="AU4" s="246">
        <v>2</v>
      </c>
      <c r="AV4" s="246">
        <v>2</v>
      </c>
      <c r="AW4" s="246"/>
      <c r="AX4" s="246">
        <v>5</v>
      </c>
      <c r="AY4" s="247">
        <v>2</v>
      </c>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row>
    <row r="5" spans="1:89">
      <c r="A5" s="159" t="s">
        <v>474</v>
      </c>
      <c r="B5" s="3" t="s">
        <v>475</v>
      </c>
      <c r="C5" s="160" t="s">
        <v>51</v>
      </c>
      <c r="D5" s="160" t="s">
        <v>844</v>
      </c>
      <c r="E5" s="3" t="s">
        <v>21</v>
      </c>
      <c r="F5" s="3" t="s">
        <v>926</v>
      </c>
      <c r="G5" s="3" t="s">
        <v>917</v>
      </c>
      <c r="H5" s="156" t="str">
        <f ca="1">IFERROR(
  _xludf.MINIFS(ATTENDANCE_LOG!$F:$F,
         ATTENDANCE_LOG!$A:$A, C5,
         ATTENDANCE_LOG!$B:$B, E5),
"")</f>
        <v/>
      </c>
      <c r="I5" s="156" t="str">
        <f t="shared" ca="1" si="0"/>
        <v/>
      </c>
      <c r="J5" s="3">
        <f>IFERROR(VLOOKUP(F5, LEVEL_HELPER!$A:$B, 2, 0), "")</f>
        <v>1</v>
      </c>
      <c r="K5" s="3">
        <f>IFERROR(VLOOKUP(G5, LEVEL_HELPER!$A:$B, 2, 0), "")</f>
        <v>3</v>
      </c>
      <c r="L5" s="157" t="s">
        <v>918</v>
      </c>
      <c r="M5" s="157" t="s">
        <v>919</v>
      </c>
      <c r="N5" s="3">
        <f t="array" aca="1" ref="N5" ca="1">IFERROR(
  INDEX($J$2:$J$543,
    MATCH(A5&amp;TEXT(I5,"yyyy-mm-dd"),
          $A$2:$A$543&amp;TEXT($H$2:$H$543,"yyyy-mm-dd"),
          0)),
"")</f>
        <v>1</v>
      </c>
      <c r="O5" s="147" t="str">
        <f t="shared" ca="1" si="1"/>
        <v/>
      </c>
      <c r="P5" s="147">
        <f t="shared" ref="P5:Q5" ca="1" si="14">IF(N5="",0,IF(N5&lt;=2,1,IF(N5&lt;=4,2,IF(N5&lt;=5.5,3,4))))</f>
        <v>1</v>
      </c>
      <c r="Q5" s="147">
        <f t="shared" ca="1" si="14"/>
        <v>0</v>
      </c>
      <c r="R5" s="147" t="str">
        <f t="shared" ca="1" si="3"/>
        <v>Not tested yet</v>
      </c>
      <c r="S5" s="147">
        <f t="shared" si="4"/>
        <v>1</v>
      </c>
      <c r="T5" s="147"/>
      <c r="U5" s="147"/>
      <c r="V5" s="148" t="e">
        <f ca="1"/>
        <v>#NAME?</v>
      </c>
      <c r="W5" s="147" t="e">
        <f t="shared" ca="1" si="5"/>
        <v>#NAME?</v>
      </c>
      <c r="X5" s="147" t="e">
        <f t="shared" ca="1" si="6"/>
        <v>#NAME?</v>
      </c>
      <c r="Y5" s="147" t="e">
        <f t="shared" ca="1" si="7"/>
        <v>#NAME?</v>
      </c>
      <c r="Z5" s="147"/>
      <c r="AA5" s="147" t="s">
        <v>930</v>
      </c>
      <c r="AB5" s="147"/>
      <c r="AC5" s="147">
        <v>1</v>
      </c>
      <c r="AD5" s="147">
        <v>20</v>
      </c>
      <c r="AE5" s="147">
        <v>7</v>
      </c>
      <c r="AF5" s="147">
        <v>2</v>
      </c>
      <c r="AG5" s="147">
        <v>16</v>
      </c>
      <c r="AH5" s="147">
        <v>8</v>
      </c>
      <c r="AI5" s="147"/>
      <c r="AJ5" s="158" t="s">
        <v>22</v>
      </c>
      <c r="AK5" s="157">
        <v>23</v>
      </c>
      <c r="AL5" s="147">
        <v>146</v>
      </c>
      <c r="AM5" s="151">
        <f t="shared" si="12"/>
        <v>6.3478260869565215</v>
      </c>
      <c r="AN5" s="148" t="str">
        <f ca="1">IFERROR(__xludf.DUMMYFUNCTION("""COMPUTED_VALUE"""),"247423")</f>
        <v>247423</v>
      </c>
      <c r="AO5" s="147" t="str">
        <f t="shared" ca="1" si="8"/>
        <v>DEV</v>
      </c>
      <c r="AP5" s="147" t="e">
        <f t="shared" ca="1" si="9"/>
        <v>#NAME?</v>
      </c>
      <c r="AQ5" s="147" t="str">
        <f t="shared" ca="1" si="10"/>
        <v>MOC</v>
      </c>
      <c r="AR5" s="147"/>
      <c r="AS5" s="244" t="s">
        <v>918</v>
      </c>
      <c r="AT5" s="245"/>
      <c r="AU5" s="246">
        <v>1</v>
      </c>
      <c r="AV5" s="246"/>
      <c r="AW5" s="246">
        <v>3</v>
      </c>
      <c r="AX5" s="246">
        <v>1</v>
      </c>
      <c r="AY5" s="247">
        <v>1</v>
      </c>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row>
    <row r="6" spans="1:89">
      <c r="A6" s="159" t="s">
        <v>657</v>
      </c>
      <c r="B6" s="3" t="s">
        <v>658</v>
      </c>
      <c r="C6" s="160" t="s">
        <v>51</v>
      </c>
      <c r="D6" s="160" t="s">
        <v>844</v>
      </c>
      <c r="E6" s="3" t="s">
        <v>21</v>
      </c>
      <c r="F6" s="3" t="s">
        <v>931</v>
      </c>
      <c r="G6" s="3" t="s">
        <v>931</v>
      </c>
      <c r="H6" s="156" t="str">
        <f ca="1">IFERROR(
  _xludf.MINIFS(ATTENDANCE_LOG!$F:$F,
         ATTENDANCE_LOG!$A:$A, C6,
         ATTENDANCE_LOG!$B:$B, E6),
"")</f>
        <v/>
      </c>
      <c r="I6" s="156" t="str">
        <f t="shared" ca="1" si="0"/>
        <v/>
      </c>
      <c r="J6" s="3">
        <f>IFERROR(VLOOKUP(F6, LEVEL_HELPER!$A:$B, 2, 0), "")</f>
        <v>4.5</v>
      </c>
      <c r="K6" s="3">
        <f>IFERROR(VLOOKUP(G6, LEVEL_HELPER!$A:$B, 2, 0), "")</f>
        <v>4.5</v>
      </c>
      <c r="L6" s="157" t="s">
        <v>918</v>
      </c>
      <c r="M6" s="157" t="s">
        <v>919</v>
      </c>
      <c r="N6" s="3">
        <f t="array" aca="1" ref="N6" ca="1">IFERROR(
  INDEX($J$2:$J$543,
    MATCH(A6&amp;TEXT(I6,"yyyy-mm-dd"),
          $A$2:$A$543&amp;TEXT($H$2:$H$543,"yyyy-mm-dd"),
          0)),
"")</f>
        <v>4.5</v>
      </c>
      <c r="O6" s="147" t="str">
        <f t="shared" ca="1" si="1"/>
        <v/>
      </c>
      <c r="P6" s="147">
        <f t="shared" ref="P6:Q6" ca="1" si="15">IF(N6="",0,IF(N6&lt;=2,1,IF(N6&lt;=4,2,IF(N6&lt;=5.5,3,4))))</f>
        <v>3</v>
      </c>
      <c r="Q6" s="147">
        <f t="shared" ca="1" si="15"/>
        <v>0</v>
      </c>
      <c r="R6" s="147" t="str">
        <f t="shared" ca="1" si="3"/>
        <v>Not tested yet</v>
      </c>
      <c r="S6" s="147">
        <f t="shared" si="4"/>
        <v>1</v>
      </c>
      <c r="T6" s="147"/>
      <c r="U6" s="147"/>
      <c r="V6" s="148" t="e">
        <f ca="1"/>
        <v>#NAME?</v>
      </c>
      <c r="W6" s="147" t="e">
        <f t="shared" ca="1" si="5"/>
        <v>#NAME?</v>
      </c>
      <c r="X6" s="147" t="e">
        <f t="shared" ca="1" si="6"/>
        <v>#NAME?</v>
      </c>
      <c r="Y6" s="147" t="e">
        <f t="shared" ca="1" si="7"/>
        <v>#NAME?</v>
      </c>
      <c r="Z6" s="147"/>
      <c r="AA6" s="147" t="s">
        <v>932</v>
      </c>
      <c r="AB6" s="147">
        <v>7</v>
      </c>
      <c r="AC6" s="147">
        <v>1</v>
      </c>
      <c r="AD6" s="147">
        <v>1</v>
      </c>
      <c r="AE6" s="147"/>
      <c r="AF6" s="147">
        <v>1</v>
      </c>
      <c r="AG6" s="147"/>
      <c r="AH6" s="147"/>
      <c r="AI6" s="147"/>
      <c r="AJ6" s="158" t="s">
        <v>23</v>
      </c>
      <c r="AK6" s="157">
        <v>3</v>
      </c>
      <c r="AL6" s="147">
        <v>22</v>
      </c>
      <c r="AM6" s="151">
        <f t="shared" si="12"/>
        <v>7.333333333333333</v>
      </c>
      <c r="AN6" s="148" t="str">
        <f ca="1">IFERROR(__xludf.DUMMYFUNCTION("""COMPUTED_VALUE"""),"183322")</f>
        <v>183322</v>
      </c>
      <c r="AO6" s="147" t="str">
        <f t="shared" ca="1" si="8"/>
        <v>DEV</v>
      </c>
      <c r="AP6" s="147" t="e">
        <f t="shared" ca="1" si="9"/>
        <v>#NAME?</v>
      </c>
      <c r="AQ6" s="147" t="str">
        <f t="shared" ca="1" si="10"/>
        <v>MOC</v>
      </c>
      <c r="AR6" s="147"/>
      <c r="AS6" s="244" t="s">
        <v>935</v>
      </c>
      <c r="AT6" s="245"/>
      <c r="AU6" s="246">
        <v>2</v>
      </c>
      <c r="AV6" s="246"/>
      <c r="AW6" s="246"/>
      <c r="AX6" s="246"/>
      <c r="AY6" s="2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row>
    <row r="7" spans="1:89">
      <c r="A7" s="159" t="s">
        <v>659</v>
      </c>
      <c r="B7" s="3" t="s">
        <v>660</v>
      </c>
      <c r="C7" s="160" t="s">
        <v>51</v>
      </c>
      <c r="D7" s="160" t="s">
        <v>844</v>
      </c>
      <c r="E7" s="3" t="s">
        <v>21</v>
      </c>
      <c r="F7" s="3" t="s">
        <v>926</v>
      </c>
      <c r="G7" s="3" t="s">
        <v>934</v>
      </c>
      <c r="H7" s="156" t="str">
        <f ca="1">IFERROR(
  _xludf.MINIFS(ATTENDANCE_LOG!$F:$F,
         ATTENDANCE_LOG!$A:$A, C7,
         ATTENDANCE_LOG!$B:$B, E7),
"")</f>
        <v/>
      </c>
      <c r="I7" s="156" t="str">
        <f t="shared" ca="1" si="0"/>
        <v/>
      </c>
      <c r="J7" s="3">
        <f>IFERROR(VLOOKUP(F7, LEVEL_HELPER!$A:$B, 2, 0), "")</f>
        <v>1</v>
      </c>
      <c r="K7" s="3">
        <f>IFERROR(VLOOKUP(G7, LEVEL_HELPER!$A:$B, 2, 0), "")</f>
        <v>3.5</v>
      </c>
      <c r="L7" s="157" t="s">
        <v>918</v>
      </c>
      <c r="M7" s="157" t="s">
        <v>919</v>
      </c>
      <c r="N7" s="3">
        <f t="array" aca="1" ref="N7" ca="1">IFERROR(
  INDEX($J$2:$J$543,
    MATCH(A7&amp;TEXT(I7,"yyyy-mm-dd"),
          $A$2:$A$543&amp;TEXT($H$2:$H$543,"yyyy-mm-dd"),
          0)),
"")</f>
        <v>1</v>
      </c>
      <c r="O7" s="147" t="str">
        <f t="shared" ca="1" si="1"/>
        <v/>
      </c>
      <c r="P7" s="147">
        <f t="shared" ref="P7:Q7" ca="1" si="16">IF(N7="",0,IF(N7&lt;=2,1,IF(N7&lt;=4,2,IF(N7&lt;=5.5,3,4))))</f>
        <v>1</v>
      </c>
      <c r="Q7" s="147">
        <f t="shared" ca="1" si="16"/>
        <v>0</v>
      </c>
      <c r="R7" s="147" t="str">
        <f t="shared" ca="1" si="3"/>
        <v>Not tested yet</v>
      </c>
      <c r="S7" s="147">
        <f t="shared" si="4"/>
        <v>1</v>
      </c>
      <c r="T7" s="147"/>
      <c r="U7" s="147"/>
      <c r="V7" s="148" t="e">
        <f ca="1"/>
        <v>#NAME?</v>
      </c>
      <c r="W7" s="147" t="e">
        <f t="shared" ca="1" si="5"/>
        <v>#NAME?</v>
      </c>
      <c r="X7" s="147" t="e">
        <f t="shared" ca="1" si="6"/>
        <v>#NAME?</v>
      </c>
      <c r="Y7" s="147" t="e">
        <f t="shared" ca="1" si="7"/>
        <v>#NAME?</v>
      </c>
      <c r="Z7" s="147"/>
      <c r="AA7" s="147" t="s">
        <v>933</v>
      </c>
      <c r="AB7" s="147"/>
      <c r="AC7" s="147">
        <v>6</v>
      </c>
      <c r="AD7" s="147"/>
      <c r="AE7" s="147"/>
      <c r="AF7" s="147"/>
      <c r="AG7" s="147"/>
      <c r="AH7" s="147">
        <v>1</v>
      </c>
      <c r="AI7" s="147"/>
      <c r="AJ7" s="147" t="s">
        <v>26</v>
      </c>
      <c r="AK7" s="147">
        <v>1</v>
      </c>
      <c r="AL7" s="147">
        <v>3</v>
      </c>
      <c r="AM7" s="151">
        <f t="shared" si="12"/>
        <v>3</v>
      </c>
      <c r="AN7" s="148" t="str">
        <f ca="1">IFERROR(__xludf.DUMMYFUNCTION("""COMPUTED_VALUE"""),"257134")</f>
        <v>257134</v>
      </c>
      <c r="AO7" s="147" t="str">
        <f t="shared" ca="1" si="8"/>
        <v>Designer</v>
      </c>
      <c r="AP7" s="147" t="e">
        <f t="shared" ca="1" si="9"/>
        <v>#NAME?</v>
      </c>
      <c r="AQ7" s="147" t="str">
        <f t="shared" ca="1" si="10"/>
        <v>LBU</v>
      </c>
      <c r="AR7" s="147"/>
      <c r="AS7" s="233" t="s">
        <v>999</v>
      </c>
      <c r="AT7" s="248">
        <v>4</v>
      </c>
      <c r="AU7" s="249">
        <v>8</v>
      </c>
      <c r="AV7" s="249">
        <v>11</v>
      </c>
      <c r="AW7" s="249">
        <v>15</v>
      </c>
      <c r="AX7" s="249">
        <v>8</v>
      </c>
      <c r="AY7" s="250">
        <v>4</v>
      </c>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row>
    <row r="8" spans="1:89">
      <c r="A8" s="153" t="s">
        <v>721</v>
      </c>
      <c r="B8" s="154" t="s">
        <v>722</v>
      </c>
      <c r="C8" s="155" t="s">
        <v>51</v>
      </c>
      <c r="D8" s="155" t="s">
        <v>844</v>
      </c>
      <c r="E8" s="154" t="s">
        <v>22</v>
      </c>
      <c r="F8" s="3" t="s">
        <v>917</v>
      </c>
      <c r="G8" s="3" t="s">
        <v>934</v>
      </c>
      <c r="H8" s="156" t="str">
        <f ca="1">IFERROR(
  _xludf.MINIFS(ATTENDANCE_LOG!$F:$F,
         ATTENDANCE_LOG!$A:$A, C8,
         ATTENDANCE_LOG!$B:$B, E8),
"")</f>
        <v/>
      </c>
      <c r="I8" s="156" t="str">
        <f t="shared" ca="1" si="0"/>
        <v/>
      </c>
      <c r="J8" s="3">
        <f>IFERROR(VLOOKUP(F8, LEVEL_HELPER!$A:$B, 2, 0), "")</f>
        <v>3</v>
      </c>
      <c r="K8" s="3">
        <f>IFERROR(VLOOKUP(G8, LEVEL_HELPER!$A:$B, 2, 0), "")</f>
        <v>3.5</v>
      </c>
      <c r="L8" s="157" t="s">
        <v>918</v>
      </c>
      <c r="M8" s="157" t="s">
        <v>919</v>
      </c>
      <c r="N8" s="3">
        <f t="array" aca="1" ref="N8" ca="1">IFERROR(
  INDEX($J$2:$J$543,
    MATCH(A8&amp;TEXT(I8,"yyyy-mm-dd"),
          $A$2:$A$543&amp;TEXT($H$2:$H$543,"yyyy-mm-dd"),
          0)),
"")</f>
        <v>2.5</v>
      </c>
      <c r="O8" s="147" t="str">
        <f t="shared" ca="1" si="1"/>
        <v/>
      </c>
      <c r="P8" s="147">
        <f t="shared" ref="P8:Q8" ca="1" si="17">IF(N8="",0,IF(N8&lt;=2,1,IF(N8&lt;=4,2,IF(N8&lt;=5.5,3,4))))</f>
        <v>2</v>
      </c>
      <c r="Q8" s="147">
        <f t="shared" ca="1" si="17"/>
        <v>0</v>
      </c>
      <c r="R8" s="147" t="str">
        <f t="shared" ca="1" si="3"/>
        <v>Not tested yet</v>
      </c>
      <c r="S8" s="147">
        <f t="shared" si="4"/>
        <v>0</v>
      </c>
      <c r="T8" s="147"/>
      <c r="U8" s="147"/>
      <c r="V8" s="148" t="e">
        <f ca="1"/>
        <v>#NAME?</v>
      </c>
      <c r="W8" s="147" t="e">
        <f t="shared" ca="1" si="5"/>
        <v>#NAME?</v>
      </c>
      <c r="X8" s="147" t="e">
        <f t="shared" ca="1" si="6"/>
        <v>#NAME?</v>
      </c>
      <c r="Y8" s="147" t="e">
        <f t="shared" ca="1" si="7"/>
        <v>#NAME?</v>
      </c>
      <c r="Z8" s="147"/>
      <c r="AA8" s="147" t="s">
        <v>918</v>
      </c>
      <c r="AB8" s="147"/>
      <c r="AC8" s="147">
        <v>11</v>
      </c>
      <c r="AD8" s="147">
        <v>12</v>
      </c>
      <c r="AE8" s="147">
        <v>6</v>
      </c>
      <c r="AF8" s="147">
        <v>10</v>
      </c>
      <c r="AG8" s="147">
        <v>6</v>
      </c>
      <c r="AH8" s="147">
        <v>2</v>
      </c>
      <c r="AI8" s="147"/>
      <c r="AJ8" s="147" t="s">
        <v>25</v>
      </c>
      <c r="AK8" s="147">
        <v>5</v>
      </c>
      <c r="AL8" s="147">
        <v>41</v>
      </c>
      <c r="AM8" s="151">
        <f t="shared" si="12"/>
        <v>8.1999999999999993</v>
      </c>
      <c r="AN8" s="148" t="str">
        <f ca="1">IFERROR(__xludf.DUMMYFUNCTION("""COMPUTED_VALUE"""),"237239")</f>
        <v>237239</v>
      </c>
      <c r="AO8" s="147" t="str">
        <f t="shared" ca="1" si="8"/>
        <v>DEV</v>
      </c>
      <c r="AP8" s="147" t="e">
        <f t="shared" ca="1" si="9"/>
        <v>#NAME?</v>
      </c>
      <c r="AQ8" s="147" t="str">
        <f t="shared" ca="1" si="10"/>
        <v>CHORUS</v>
      </c>
      <c r="AR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7"/>
      <c r="BY8" s="147"/>
      <c r="BZ8" s="147"/>
      <c r="CA8" s="147"/>
      <c r="CB8" s="147"/>
      <c r="CC8" s="147"/>
      <c r="CD8" s="147"/>
      <c r="CE8" s="147"/>
      <c r="CF8" s="147"/>
      <c r="CG8" s="147"/>
      <c r="CH8" s="147"/>
      <c r="CI8" s="147"/>
      <c r="CJ8" s="147"/>
      <c r="CK8" s="147"/>
    </row>
    <row r="9" spans="1:89">
      <c r="A9" s="159" t="s">
        <v>296</v>
      </c>
      <c r="B9" s="3" t="s">
        <v>297</v>
      </c>
      <c r="C9" s="160" t="s">
        <v>51</v>
      </c>
      <c r="D9" s="160" t="s">
        <v>844</v>
      </c>
      <c r="E9" s="3" t="s">
        <v>22</v>
      </c>
      <c r="F9" s="3" t="s">
        <v>917</v>
      </c>
      <c r="G9" s="3" t="s">
        <v>934</v>
      </c>
      <c r="H9" s="156" t="str">
        <f ca="1">IFERROR(
  _xludf.MINIFS(ATTENDANCE_LOG!$F:$F,
         ATTENDANCE_LOG!$A:$A, C9,
         ATTENDANCE_LOG!$B:$B, E9),
"")</f>
        <v/>
      </c>
      <c r="I9" s="156" t="str">
        <f t="shared" ca="1" si="0"/>
        <v/>
      </c>
      <c r="J9" s="3">
        <f>IFERROR(VLOOKUP(F9, LEVEL_HELPER!$A:$B, 2, 0), "")</f>
        <v>3</v>
      </c>
      <c r="K9" s="3">
        <f>IFERROR(VLOOKUP(G9, LEVEL_HELPER!$A:$B, 2, 0), "")</f>
        <v>3.5</v>
      </c>
      <c r="L9" s="157" t="s">
        <v>918</v>
      </c>
      <c r="M9" s="157" t="s">
        <v>919</v>
      </c>
      <c r="N9" s="3">
        <f t="array" aca="1" ref="N9" ca="1">IFERROR(
  INDEX($J$2:$J$543,
    MATCH(A9&amp;TEXT(I9,"yyyy-mm-dd"),
          $A$2:$A$543&amp;TEXT($H$2:$H$543,"yyyy-mm-dd"),
          0)),
"")</f>
        <v>1</v>
      </c>
      <c r="O9" s="147" t="str">
        <f t="shared" ca="1" si="1"/>
        <v/>
      </c>
      <c r="P9" s="147">
        <f t="shared" ref="P9:Q9" ca="1" si="18">IF(N9="",0,IF(N9&lt;=2,1,IF(N9&lt;=4,2,IF(N9&lt;=5.5,3,4))))</f>
        <v>1</v>
      </c>
      <c r="Q9" s="147">
        <f t="shared" ca="1" si="18"/>
        <v>0</v>
      </c>
      <c r="R9" s="147" t="str">
        <f t="shared" ca="1" si="3"/>
        <v>Not tested yet</v>
      </c>
      <c r="S9" s="147">
        <f t="shared" si="4"/>
        <v>0</v>
      </c>
      <c r="T9" s="147"/>
      <c r="U9" s="147"/>
      <c r="V9" s="148" t="e">
        <f ca="1"/>
        <v>#NAME?</v>
      </c>
      <c r="W9" s="147" t="e">
        <f t="shared" ca="1" si="5"/>
        <v>#NAME?</v>
      </c>
      <c r="X9" s="147" t="e">
        <f t="shared" ca="1" si="6"/>
        <v>#NAME?</v>
      </c>
      <c r="Y9" s="147" t="e">
        <f t="shared" ca="1" si="7"/>
        <v>#NAME?</v>
      </c>
      <c r="Z9" s="147"/>
      <c r="AA9" s="147" t="s">
        <v>935</v>
      </c>
      <c r="AB9" s="147"/>
      <c r="AC9" s="147">
        <v>6</v>
      </c>
      <c r="AD9" s="147">
        <v>7</v>
      </c>
      <c r="AE9" s="147"/>
      <c r="AF9" s="147"/>
      <c r="AG9" s="147"/>
      <c r="AH9" s="147"/>
      <c r="AI9" s="161">
        <f>AI10/1200</f>
        <v>0.25333333333333335</v>
      </c>
      <c r="AJ9" s="147" t="s">
        <v>840</v>
      </c>
      <c r="AK9" s="147">
        <v>50</v>
      </c>
      <c r="AL9" s="162">
        <v>304</v>
      </c>
      <c r="AM9" s="151">
        <f t="shared" si="12"/>
        <v>6.08</v>
      </c>
      <c r="AN9" s="161" t="str">
        <f ca="1">IFERROR(__xludf.DUMMYFUNCTION("""COMPUTED_VALUE"""),"213835")</f>
        <v>213835</v>
      </c>
      <c r="AO9" s="147" t="str">
        <f t="shared" ca="1" si="8"/>
        <v>DEV</v>
      </c>
      <c r="AP9" s="147" t="e">
        <f t="shared" ca="1" si="9"/>
        <v>#NAME?</v>
      </c>
      <c r="AQ9" s="147" t="str">
        <f t="shared" ca="1" si="10"/>
        <v>MOC</v>
      </c>
      <c r="AR9" s="161"/>
      <c r="AZ9" s="147"/>
      <c r="BA9" s="161">
        <f>BA10/1200</f>
        <v>0</v>
      </c>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row>
    <row r="10" spans="1:89">
      <c r="A10" s="159" t="s">
        <v>319</v>
      </c>
      <c r="B10" s="3" t="s">
        <v>320</v>
      </c>
      <c r="C10" s="160" t="s">
        <v>51</v>
      </c>
      <c r="D10" s="160" t="s">
        <v>844</v>
      </c>
      <c r="E10" s="3" t="s">
        <v>22</v>
      </c>
      <c r="F10" s="3" t="s">
        <v>928</v>
      </c>
      <c r="G10" s="3" t="s">
        <v>936</v>
      </c>
      <c r="H10" s="156" t="str">
        <f ca="1">IFERROR(
  _xludf.MINIFS(ATTENDANCE_LOG!$F:$F,
         ATTENDANCE_LOG!$A:$A, C10,
         ATTENDANCE_LOG!$B:$B, E10),
"")</f>
        <v/>
      </c>
      <c r="I10" s="156" t="str">
        <f t="shared" ca="1" si="0"/>
        <v/>
      </c>
      <c r="J10" s="3">
        <f>IFERROR(VLOOKUP(F10, LEVEL_HELPER!$A:$B, 2, 0), "")</f>
        <v>1.5</v>
      </c>
      <c r="K10" s="3">
        <f>IFERROR(VLOOKUP(G10, LEVEL_HELPER!$A:$B, 2, 0), "")</f>
        <v>2</v>
      </c>
      <c r="L10" s="157" t="s">
        <v>918</v>
      </c>
      <c r="M10" s="157" t="s">
        <v>919</v>
      </c>
      <c r="N10" s="3">
        <f t="array" aca="1" ref="N10" ca="1">IFERROR(
  INDEX($J$2:$J$543,
    MATCH(A10&amp;TEXT(I10,"yyyy-mm-dd"),
          $A$2:$A$543&amp;TEXT($H$2:$H$543,"yyyy-mm-dd"),
          0)),
"")</f>
        <v>1</v>
      </c>
      <c r="O10" s="147" t="str">
        <f t="shared" ca="1" si="1"/>
        <v/>
      </c>
      <c r="P10" s="147">
        <f t="shared" ref="P10:Q10" ca="1" si="19">IF(N10="",0,IF(N10&lt;=2,1,IF(N10&lt;=4,2,IF(N10&lt;=5.5,3,4))))</f>
        <v>1</v>
      </c>
      <c r="Q10" s="147">
        <f t="shared" ca="1" si="19"/>
        <v>0</v>
      </c>
      <c r="R10" s="147" t="str">
        <f t="shared" ca="1" si="3"/>
        <v>Not tested yet</v>
      </c>
      <c r="S10" s="147">
        <f t="shared" si="4"/>
        <v>0</v>
      </c>
      <c r="T10" s="147"/>
      <c r="U10" s="147"/>
      <c r="V10" s="148" t="e">
        <f ca="1"/>
        <v>#NAME?</v>
      </c>
      <c r="W10" s="147" t="e">
        <f t="shared" ca="1" si="5"/>
        <v>#NAME?</v>
      </c>
      <c r="X10" s="147" t="e">
        <f t="shared" ca="1" si="6"/>
        <v>#NAME?</v>
      </c>
      <c r="Y10" s="147" t="e">
        <f t="shared" ca="1" si="7"/>
        <v>#NAME?</v>
      </c>
      <c r="Z10" s="147"/>
      <c r="AA10" s="147" t="s">
        <v>840</v>
      </c>
      <c r="AB10" s="147">
        <v>7</v>
      </c>
      <c r="AC10" s="147">
        <v>61</v>
      </c>
      <c r="AD10" s="147">
        <v>63</v>
      </c>
      <c r="AE10" s="147">
        <v>57</v>
      </c>
      <c r="AF10" s="147">
        <v>55</v>
      </c>
      <c r="AG10" s="147">
        <v>28</v>
      </c>
      <c r="AH10" s="147">
        <v>33</v>
      </c>
      <c r="AI10" s="163">
        <f>SUM(AB10:AH10)</f>
        <v>304</v>
      </c>
      <c r="AJ10" s="163"/>
      <c r="AK10" s="163"/>
      <c r="AL10" s="163"/>
      <c r="AM10" s="151"/>
      <c r="AN10" s="148" t="str">
        <f ca="1">IFERROR(__xludf.DUMMYFUNCTION("""COMPUTED_VALUE"""),"247063")</f>
        <v>247063</v>
      </c>
      <c r="AO10" s="147" t="str">
        <f t="shared" ca="1" si="8"/>
        <v>GSD</v>
      </c>
      <c r="AP10" s="147" t="e">
        <f t="shared" ca="1" si="9"/>
        <v>#NAME?</v>
      </c>
      <c r="AQ10" s="147" t="str">
        <f t="shared" ca="1" si="10"/>
        <v>POC</v>
      </c>
      <c r="AR10" s="163"/>
      <c r="AS10" s="147"/>
      <c r="AT10" s="147"/>
      <c r="AU10" s="147"/>
      <c r="AV10" s="147"/>
      <c r="AW10" s="147"/>
      <c r="AX10" s="147"/>
      <c r="AY10" s="147"/>
      <c r="AZ10" s="147"/>
      <c r="BA10" s="163">
        <f>SUM(AT9:AZ9)</f>
        <v>0</v>
      </c>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row>
    <row r="11" spans="1:89">
      <c r="A11" s="159" t="s">
        <v>474</v>
      </c>
      <c r="B11" s="3" t="s">
        <v>475</v>
      </c>
      <c r="C11" s="160" t="s">
        <v>51</v>
      </c>
      <c r="D11" s="160" t="s">
        <v>844</v>
      </c>
      <c r="E11" s="3" t="s">
        <v>22</v>
      </c>
      <c r="F11" s="3" t="s">
        <v>917</v>
      </c>
      <c r="G11" s="3" t="s">
        <v>934</v>
      </c>
      <c r="H11" s="156" t="str">
        <f ca="1">IFERROR(
  _xludf.MINIFS(ATTENDANCE_LOG!$F:$F,
         ATTENDANCE_LOG!$A:$A, C11,
         ATTENDANCE_LOG!$B:$B, E11),
"")</f>
        <v/>
      </c>
      <c r="I11" s="156" t="str">
        <f t="shared" ca="1" si="0"/>
        <v/>
      </c>
      <c r="J11" s="3">
        <f>IFERROR(VLOOKUP(F11, LEVEL_HELPER!$A:$B, 2, 0), "")</f>
        <v>3</v>
      </c>
      <c r="K11" s="3">
        <f>IFERROR(VLOOKUP(G11, LEVEL_HELPER!$A:$B, 2, 0), "")</f>
        <v>3.5</v>
      </c>
      <c r="L11" s="157" t="s">
        <v>918</v>
      </c>
      <c r="M11" s="157" t="s">
        <v>919</v>
      </c>
      <c r="N11" s="3">
        <f t="array" aca="1" ref="N11" ca="1">IFERROR(
  INDEX($J$2:$J$543,
    MATCH(A11&amp;TEXT(I11,"yyyy-mm-dd"),
          $A$2:$A$543&amp;TEXT($H$2:$H$543,"yyyy-mm-dd"),
          0)),
"")</f>
        <v>1</v>
      </c>
      <c r="O11" s="147" t="str">
        <f t="shared" ca="1" si="1"/>
        <v/>
      </c>
      <c r="P11" s="147">
        <f t="shared" ref="P11:Q11" ca="1" si="20">IF(N11="",0,IF(N11&lt;=2,1,IF(N11&lt;=4,2,IF(N11&lt;=5.5,3,4))))</f>
        <v>1</v>
      </c>
      <c r="Q11" s="147">
        <f t="shared" ca="1" si="20"/>
        <v>0</v>
      </c>
      <c r="R11" s="147" t="str">
        <f t="shared" ca="1" si="3"/>
        <v>Not tested yet</v>
      </c>
      <c r="S11" s="147">
        <f t="shared" si="4"/>
        <v>0</v>
      </c>
      <c r="T11" s="147"/>
      <c r="U11" s="147"/>
      <c r="V11" s="148" t="e">
        <f ca="1"/>
        <v>#NAME?</v>
      </c>
      <c r="W11" s="147" t="e">
        <f t="shared" ca="1" si="5"/>
        <v>#NAME?</v>
      </c>
      <c r="X11" s="147" t="e">
        <f t="shared" ca="1" si="6"/>
        <v>#NAME?</v>
      </c>
      <c r="Y11" s="147" t="e">
        <f t="shared" ca="1" si="7"/>
        <v>#NAME?</v>
      </c>
      <c r="Z11" s="147"/>
      <c r="AM11" s="137"/>
      <c r="AN11" s="159" t="str">
        <f ca="1">IFERROR(__xludf.DUMMYFUNCTION("""COMPUTED_VALUE"""),"193588")</f>
        <v>193588</v>
      </c>
      <c r="AO11" s="147" t="str">
        <f t="shared" ca="1" si="8"/>
        <v>DEV</v>
      </c>
      <c r="AP11" s="147" t="e">
        <f t="shared" ca="1" si="9"/>
        <v>#NAME?</v>
      </c>
      <c r="AQ11" s="147" t="str">
        <f t="shared" ca="1" si="10"/>
        <v>MOC</v>
      </c>
    </row>
    <row r="12" spans="1:89" ht="15.75">
      <c r="A12" s="159" t="s">
        <v>657</v>
      </c>
      <c r="B12" s="3" t="s">
        <v>658</v>
      </c>
      <c r="C12" s="160" t="s">
        <v>51</v>
      </c>
      <c r="D12" s="160" t="s">
        <v>844</v>
      </c>
      <c r="E12" s="3" t="s">
        <v>22</v>
      </c>
      <c r="F12" s="3" t="s">
        <v>931</v>
      </c>
      <c r="G12" s="3" t="s">
        <v>937</v>
      </c>
      <c r="H12" s="156" t="str">
        <f ca="1">IFERROR(
  _xludf.MINIFS(ATTENDANCE_LOG!$F:$F,
         ATTENDANCE_LOG!$A:$A, C12,
         ATTENDANCE_LOG!$B:$B, E12),
"")</f>
        <v/>
      </c>
      <c r="I12" s="156" t="str">
        <f t="shared" ca="1" si="0"/>
        <v/>
      </c>
      <c r="J12" s="3">
        <f>IFERROR(VLOOKUP(F12, LEVEL_HELPER!$A:$B, 2, 0), "")</f>
        <v>4.5</v>
      </c>
      <c r="K12" s="3">
        <f>IFERROR(VLOOKUP(G12, LEVEL_HELPER!$A:$B, 2, 0), "")</f>
        <v>5.5</v>
      </c>
      <c r="L12" s="157" t="s">
        <v>918</v>
      </c>
      <c r="M12" s="157" t="s">
        <v>919</v>
      </c>
      <c r="N12" s="3">
        <f t="array" aca="1" ref="N12" ca="1">IFERROR(
  INDEX($J$2:$J$543,
    MATCH(A12&amp;TEXT(I12,"yyyy-mm-dd"),
          $A$2:$A$543&amp;TEXT($H$2:$H$543,"yyyy-mm-dd"),
          0)),
"")</f>
        <v>4.5</v>
      </c>
      <c r="O12" s="147" t="str">
        <f t="shared" ca="1" si="1"/>
        <v/>
      </c>
      <c r="P12" s="147">
        <f t="shared" ref="P12:Q12" ca="1" si="21">IF(N12="",0,IF(N12&lt;=2,1,IF(N12&lt;=4,2,IF(N12&lt;=5.5,3,4))))</f>
        <v>3</v>
      </c>
      <c r="Q12" s="147">
        <f t="shared" ca="1" si="21"/>
        <v>0</v>
      </c>
      <c r="R12" s="147" t="str">
        <f t="shared" ca="1" si="3"/>
        <v>Not tested yet</v>
      </c>
      <c r="S12" s="147">
        <f t="shared" si="4"/>
        <v>0</v>
      </c>
      <c r="T12" s="147"/>
      <c r="U12" s="147"/>
      <c r="V12" s="148" t="e">
        <f ca="1"/>
        <v>#NAME?</v>
      </c>
      <c r="W12" s="147" t="e">
        <f t="shared" ca="1" si="5"/>
        <v>#NAME?</v>
      </c>
      <c r="X12" s="147" t="e">
        <f t="shared" ca="1" si="6"/>
        <v>#NAME?</v>
      </c>
      <c r="Y12" s="147" t="e">
        <f t="shared" ca="1" si="7"/>
        <v>#NAME?</v>
      </c>
      <c r="Z12" s="147"/>
      <c r="AA12" s="164" t="s">
        <v>938</v>
      </c>
      <c r="AB12" s="147"/>
      <c r="AC12" s="147"/>
      <c r="AD12" s="147"/>
      <c r="AE12" s="147"/>
      <c r="AF12" s="147"/>
      <c r="AG12" s="147"/>
      <c r="AI12" s="147"/>
      <c r="AJ12" s="147"/>
      <c r="AK12" s="147"/>
      <c r="AL12" s="147"/>
      <c r="AM12" s="151"/>
      <c r="AN12" s="148" t="str">
        <f ca="1">IFERROR(__xludf.DUMMYFUNCTION("""COMPUTED_VALUE"""),"213893")</f>
        <v>213893</v>
      </c>
      <c r="AO12" s="147" t="str">
        <f t="shared" ca="1" si="8"/>
        <v>DEV</v>
      </c>
      <c r="AP12" s="147" t="e">
        <f t="shared" ca="1" si="9"/>
        <v>#NAME?</v>
      </c>
      <c r="AQ12" s="147" t="str">
        <f t="shared" ca="1" si="10"/>
        <v>ONC</v>
      </c>
      <c r="AR12" s="147"/>
      <c r="AS12" s="164" t="s">
        <v>939</v>
      </c>
      <c r="AT12" s="164"/>
      <c r="AU12" s="147"/>
      <c r="AV12" s="147"/>
      <c r="AW12" s="147"/>
      <c r="AX12" s="147"/>
      <c r="AY12" s="147"/>
      <c r="AZ12" s="147"/>
      <c r="BA12" s="147"/>
      <c r="BB12" s="147"/>
      <c r="BC12" s="147"/>
      <c r="BD12" s="147"/>
      <c r="BE12" s="147"/>
      <c r="BF12" s="147"/>
      <c r="BG12" s="147"/>
      <c r="BH12" s="147"/>
      <c r="BI12" s="147"/>
      <c r="BJ12" s="147"/>
      <c r="BK12" s="147"/>
      <c r="BL12" s="147"/>
      <c r="BM12" s="147"/>
      <c r="BN12" s="147"/>
      <c r="BO12" s="147"/>
      <c r="BP12" s="147"/>
      <c r="BQ12" s="147"/>
      <c r="BR12" s="147"/>
      <c r="BS12" s="147"/>
      <c r="BT12" s="147"/>
      <c r="BU12" s="147"/>
      <c r="BV12" s="147"/>
      <c r="BW12" s="147"/>
      <c r="BX12" s="147"/>
      <c r="BY12" s="147"/>
      <c r="BZ12" s="147"/>
      <c r="CA12" s="147"/>
      <c r="CB12" s="147"/>
      <c r="CC12" s="147"/>
      <c r="CD12" s="147"/>
      <c r="CE12" s="147"/>
      <c r="CF12" s="147"/>
      <c r="CG12" s="147"/>
      <c r="CH12" s="147"/>
      <c r="CI12" s="147"/>
      <c r="CJ12" s="147"/>
      <c r="CK12" s="147"/>
    </row>
    <row r="13" spans="1:89">
      <c r="A13" s="159" t="s">
        <v>659</v>
      </c>
      <c r="B13" s="3" t="s">
        <v>660</v>
      </c>
      <c r="C13" s="160" t="s">
        <v>51</v>
      </c>
      <c r="D13" s="160" t="s">
        <v>844</v>
      </c>
      <c r="E13" s="3" t="s">
        <v>22</v>
      </c>
      <c r="F13" s="3" t="s">
        <v>934</v>
      </c>
      <c r="G13" s="3" t="s">
        <v>940</v>
      </c>
      <c r="H13" s="156" t="str">
        <f ca="1">IFERROR(
  _xludf.MINIFS(ATTENDANCE_LOG!$F:$F,
         ATTENDANCE_LOG!$A:$A, C13,
         ATTENDANCE_LOG!$B:$B, E13),
"")</f>
        <v/>
      </c>
      <c r="I13" s="156" t="str">
        <f t="shared" ca="1" si="0"/>
        <v/>
      </c>
      <c r="J13" s="3">
        <f>IFERROR(VLOOKUP(F13, LEVEL_HELPER!$A:$B, 2, 0), "")</f>
        <v>3.5</v>
      </c>
      <c r="K13" s="3">
        <f>IFERROR(VLOOKUP(G13, LEVEL_HELPER!$A:$B, 2, 0), "")</f>
        <v>5</v>
      </c>
      <c r="L13" s="157" t="s">
        <v>918</v>
      </c>
      <c r="M13" s="157" t="s">
        <v>919</v>
      </c>
      <c r="N13" s="3">
        <f t="array" aca="1" ref="N13" ca="1">IFERROR(
  INDEX($J$2:$J$543,
    MATCH(A13&amp;TEXT(I13,"yyyy-mm-dd"),
          $A$2:$A$543&amp;TEXT($H$2:$H$543,"yyyy-mm-dd"),
          0)),
"")</f>
        <v>1</v>
      </c>
      <c r="O13" s="147" t="str">
        <f t="shared" ca="1" si="1"/>
        <v/>
      </c>
      <c r="P13" s="147">
        <f t="shared" ref="P13:Q13" ca="1" si="22">IF(N13="",0,IF(N13&lt;=2,1,IF(N13&lt;=4,2,IF(N13&lt;=5.5,3,4))))</f>
        <v>1</v>
      </c>
      <c r="Q13" s="147">
        <f t="shared" ca="1" si="22"/>
        <v>0</v>
      </c>
      <c r="R13" s="147" t="str">
        <f t="shared" ca="1" si="3"/>
        <v>Not tested yet</v>
      </c>
      <c r="S13" s="147">
        <f t="shared" si="4"/>
        <v>0</v>
      </c>
      <c r="T13" s="147"/>
      <c r="U13" s="147"/>
      <c r="V13" s="148" t="e">
        <f ca="1"/>
        <v>#NAME?</v>
      </c>
      <c r="W13" s="147" t="e">
        <f t="shared" ca="1" si="5"/>
        <v>#NAME?</v>
      </c>
      <c r="X13" s="147" t="e">
        <f t="shared" ca="1" si="6"/>
        <v>#NAME?</v>
      </c>
      <c r="Y13" s="147" t="e">
        <f t="shared" ca="1" si="7"/>
        <v>#NAME?</v>
      </c>
      <c r="Z13" s="147"/>
      <c r="AA13" s="147"/>
      <c r="AB13" s="147"/>
      <c r="AC13" s="147"/>
      <c r="AD13" s="147"/>
      <c r="AE13" s="147"/>
      <c r="AF13" s="147"/>
      <c r="AG13" s="147"/>
      <c r="AH13" s="147"/>
      <c r="AI13" s="147"/>
      <c r="AJ13" s="147"/>
      <c r="AK13" s="147"/>
      <c r="AL13" s="147"/>
      <c r="AM13" s="151"/>
      <c r="AN13" s="148" t="str">
        <f ca="1">IFERROR(__xludf.DUMMYFUNCTION("""COMPUTED_VALUE"""),"213901")</f>
        <v>213901</v>
      </c>
      <c r="AO13" s="147" t="str">
        <f t="shared" ca="1" si="8"/>
        <v>DEV</v>
      </c>
      <c r="AP13" s="147" t="e">
        <f t="shared" ca="1" si="9"/>
        <v>#NAME?</v>
      </c>
      <c r="AQ13" s="147" t="str">
        <f t="shared" ca="1" si="10"/>
        <v>LBU</v>
      </c>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7"/>
      <c r="CJ13" s="147"/>
      <c r="CK13" s="147"/>
    </row>
    <row r="14" spans="1:89">
      <c r="A14" s="153" t="s">
        <v>721</v>
      </c>
      <c r="B14" s="154" t="s">
        <v>722</v>
      </c>
      <c r="C14" s="155" t="s">
        <v>51</v>
      </c>
      <c r="D14" s="155" t="s">
        <v>844</v>
      </c>
      <c r="E14" s="154" t="s">
        <v>24</v>
      </c>
      <c r="F14" s="3"/>
      <c r="G14" s="3"/>
      <c r="H14" s="156" t="str">
        <f ca="1">IFERROR(
  _xludf.MINIFS(ATTENDANCE_LOG!$F:$F,
         ATTENDANCE_LOG!$A:$A, C14,
         ATTENDANCE_LOG!$B:$B, E14),
"")</f>
        <v/>
      </c>
      <c r="I14" s="156" t="str">
        <f t="shared" ca="1" si="0"/>
        <v/>
      </c>
      <c r="J14" s="3" t="str">
        <f>IFERROR(VLOOKUP(F14, LEVEL_HELPER!$A:$B, 2, 0), "")</f>
        <v/>
      </c>
      <c r="K14" s="3" t="str">
        <f>IFERROR(VLOOKUP(G14, LEVEL_HELPER!$A:$B, 2, 0), "")</f>
        <v/>
      </c>
      <c r="L14" s="157" t="s">
        <v>918</v>
      </c>
      <c r="M14" s="157" t="s">
        <v>919</v>
      </c>
      <c r="N14" s="3">
        <f t="array" aca="1" ref="N14" ca="1">IFERROR(
  INDEX($J$2:$J$543,
    MATCH(A14&amp;TEXT(I14,"yyyy-mm-dd"),
          $A$2:$A$543&amp;TEXT($H$2:$H$543,"yyyy-mm-dd"),
          0)),
"")</f>
        <v>2.5</v>
      </c>
      <c r="O14" s="147" t="str">
        <f t="shared" ca="1" si="1"/>
        <v/>
      </c>
      <c r="P14" s="147">
        <f t="shared" ref="P14:Q14" ca="1" si="23">IF(N14="",0,IF(N14&lt;=2,1,IF(N14&lt;=4,2,IF(N14&lt;=5.5,3,4))))</f>
        <v>2</v>
      </c>
      <c r="Q14" s="147">
        <f t="shared" ca="1" si="23"/>
        <v>0</v>
      </c>
      <c r="R14" s="147" t="str">
        <f t="shared" ca="1" si="3"/>
        <v>Not tested yet</v>
      </c>
      <c r="S14" s="147">
        <f t="shared" si="4"/>
        <v>0</v>
      </c>
      <c r="T14" s="147"/>
      <c r="U14" s="147"/>
      <c r="V14" s="148" t="e">
        <f ca="1"/>
        <v>#NAME?</v>
      </c>
      <c r="W14" s="147" t="e">
        <f t="shared" ca="1" si="5"/>
        <v>#NAME?</v>
      </c>
      <c r="X14" s="147" t="e">
        <f t="shared" ca="1" si="6"/>
        <v>#NAME?</v>
      </c>
      <c r="Y14" s="147" t="e">
        <f t="shared" ca="1" si="7"/>
        <v>#NAME?</v>
      </c>
      <c r="Z14" s="147"/>
      <c r="AA14" s="147"/>
      <c r="AB14" s="147"/>
      <c r="AC14" s="147"/>
      <c r="AD14" s="147"/>
      <c r="AE14" s="147"/>
      <c r="AF14" s="147"/>
      <c r="AG14" s="147"/>
      <c r="AH14" s="147"/>
      <c r="AI14" s="147"/>
      <c r="AJ14" s="147"/>
      <c r="AK14" s="147"/>
      <c r="AL14" s="147"/>
      <c r="AM14" s="151"/>
      <c r="AN14" s="148" t="str">
        <f ca="1">IFERROR(__xludf.DUMMYFUNCTION("""COMPUTED_VALUE"""),"227244")</f>
        <v>227244</v>
      </c>
      <c r="AO14" s="147" t="str">
        <f t="shared" ca="1" si="8"/>
        <v>DEV</v>
      </c>
      <c r="AP14" s="147" t="e">
        <f t="shared" ca="1" si="9"/>
        <v>#NAME?</v>
      </c>
      <c r="AQ14" s="147" t="str">
        <f t="shared" ca="1" si="10"/>
        <v>ONC</v>
      </c>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c r="CB14" s="147"/>
      <c r="CC14" s="147"/>
      <c r="CD14" s="147"/>
      <c r="CE14" s="147"/>
      <c r="CF14" s="147"/>
      <c r="CG14" s="147"/>
      <c r="CH14" s="147"/>
      <c r="CI14" s="147"/>
      <c r="CJ14" s="147"/>
      <c r="CK14" s="147"/>
    </row>
    <row r="15" spans="1:89">
      <c r="A15" s="159" t="s">
        <v>657</v>
      </c>
      <c r="B15" s="3" t="s">
        <v>658</v>
      </c>
      <c r="C15" s="160" t="s">
        <v>51</v>
      </c>
      <c r="D15" s="160" t="s">
        <v>844</v>
      </c>
      <c r="E15" s="3" t="s">
        <v>24</v>
      </c>
      <c r="F15" s="3"/>
      <c r="G15" s="3"/>
      <c r="H15" s="156" t="str">
        <f ca="1">IFERROR(
  _xludf.MINIFS(ATTENDANCE_LOG!$F:$F,
         ATTENDANCE_LOG!$A:$A, C15,
         ATTENDANCE_LOG!$B:$B, E15),
"")</f>
        <v/>
      </c>
      <c r="I15" s="156" t="str">
        <f t="shared" ca="1" si="0"/>
        <v/>
      </c>
      <c r="J15" s="3" t="str">
        <f>IFERROR(VLOOKUP(F15, LEVEL_HELPER!$A:$B, 2, 0), "")</f>
        <v/>
      </c>
      <c r="K15" s="3" t="str">
        <f>IFERROR(VLOOKUP(G15, LEVEL_HELPER!$A:$B, 2, 0), "")</f>
        <v/>
      </c>
      <c r="L15" s="157" t="s">
        <v>918</v>
      </c>
      <c r="M15" s="157" t="s">
        <v>919</v>
      </c>
      <c r="N15" s="3">
        <f t="array" aca="1" ref="N15" ca="1">IFERROR(
  INDEX($J$2:$J$543,
    MATCH(A15&amp;TEXT(I15,"yyyy-mm-dd"),
          $A$2:$A$543&amp;TEXT($H$2:$H$543,"yyyy-mm-dd"),
          0)),
"")</f>
        <v>4.5</v>
      </c>
      <c r="O15" s="147" t="str">
        <f t="shared" ca="1" si="1"/>
        <v/>
      </c>
      <c r="P15" s="147">
        <f t="shared" ref="P15:Q15" ca="1" si="24">IF(N15="",0,IF(N15&lt;=2,1,IF(N15&lt;=4,2,IF(N15&lt;=5.5,3,4))))</f>
        <v>3</v>
      </c>
      <c r="Q15" s="147">
        <f t="shared" ca="1" si="24"/>
        <v>0</v>
      </c>
      <c r="R15" s="147" t="str">
        <f t="shared" ca="1" si="3"/>
        <v>Not tested yet</v>
      </c>
      <c r="S15" s="147">
        <f t="shared" si="4"/>
        <v>0</v>
      </c>
      <c r="T15" s="147"/>
      <c r="U15" s="147"/>
      <c r="V15" s="148" t="e">
        <f ca="1"/>
        <v>#NAME?</v>
      </c>
      <c r="W15" s="147" t="e">
        <f t="shared" ca="1" si="5"/>
        <v>#NAME?</v>
      </c>
      <c r="X15" s="147" t="e">
        <f t="shared" ca="1" si="6"/>
        <v>#NAME?</v>
      </c>
      <c r="Y15" s="147" t="e">
        <f t="shared" ca="1" si="7"/>
        <v>#NAME?</v>
      </c>
      <c r="Z15" s="147"/>
      <c r="AA15" s="147"/>
      <c r="AB15" s="147"/>
      <c r="AC15" s="147"/>
      <c r="AD15" s="147"/>
      <c r="AE15" s="147"/>
      <c r="AF15" s="147"/>
      <c r="AG15" s="147"/>
      <c r="AH15" s="147"/>
      <c r="AI15" s="147"/>
      <c r="AJ15" s="147"/>
      <c r="AK15" s="147"/>
      <c r="AL15" s="147"/>
      <c r="AM15" s="151"/>
      <c r="AN15" s="148" t="str">
        <f ca="1">IFERROR(__xludf.DUMMYFUNCTION("""COMPUTED_VALUE"""),"237117")</f>
        <v>237117</v>
      </c>
      <c r="AO15" s="147" t="str">
        <f t="shared" ca="1" si="8"/>
        <v>DEV</v>
      </c>
      <c r="AP15" s="147" t="e">
        <f t="shared" ca="1" si="9"/>
        <v>#NAME?</v>
      </c>
      <c r="AQ15" s="147" t="str">
        <f t="shared" ca="1" si="10"/>
        <v>TBU</v>
      </c>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c r="BP15" s="147"/>
      <c r="BQ15" s="147"/>
      <c r="BR15" s="147"/>
      <c r="BS15" s="147"/>
      <c r="BT15" s="147"/>
      <c r="BU15" s="147"/>
      <c r="BV15" s="147"/>
      <c r="BW15" s="147"/>
      <c r="BX15" s="147"/>
      <c r="BY15" s="147"/>
      <c r="BZ15" s="147"/>
      <c r="CA15" s="147"/>
      <c r="CB15" s="147"/>
      <c r="CC15" s="147"/>
      <c r="CD15" s="147"/>
      <c r="CE15" s="147"/>
      <c r="CF15" s="147"/>
      <c r="CG15" s="147"/>
      <c r="CH15" s="147"/>
      <c r="CI15" s="147"/>
      <c r="CJ15" s="147"/>
      <c r="CK15" s="147"/>
    </row>
    <row r="16" spans="1:89">
      <c r="A16" s="159" t="s">
        <v>659</v>
      </c>
      <c r="B16" s="3" t="s">
        <v>660</v>
      </c>
      <c r="C16" s="160" t="s">
        <v>51</v>
      </c>
      <c r="D16" s="160" t="s">
        <v>844</v>
      </c>
      <c r="E16" s="3" t="s">
        <v>24</v>
      </c>
      <c r="F16" s="3"/>
      <c r="G16" s="3"/>
      <c r="H16" s="156" t="str">
        <f ca="1">IFERROR(
  _xludf.MINIFS(ATTENDANCE_LOG!$F:$F,
         ATTENDANCE_LOG!$A:$A, C16,
         ATTENDANCE_LOG!$B:$B, E16),
"")</f>
        <v/>
      </c>
      <c r="I16" s="156" t="str">
        <f t="shared" ca="1" si="0"/>
        <v/>
      </c>
      <c r="J16" s="3" t="str">
        <f>IFERROR(VLOOKUP(F16, LEVEL_HELPER!$A:$B, 2, 0), "")</f>
        <v/>
      </c>
      <c r="K16" s="3" t="str">
        <f>IFERROR(VLOOKUP(G16, LEVEL_HELPER!$A:$B, 2, 0), "")</f>
        <v/>
      </c>
      <c r="L16" s="157" t="s">
        <v>918</v>
      </c>
      <c r="M16" s="157" t="s">
        <v>919</v>
      </c>
      <c r="N16" s="3">
        <f t="array" aca="1" ref="N16" ca="1">IFERROR(
  INDEX($J$2:$J$543,
    MATCH(A16&amp;TEXT(I16,"yyyy-mm-dd"),
          $A$2:$A$543&amp;TEXT($H$2:$H$543,"yyyy-mm-dd"),
          0)),
"")</f>
        <v>1</v>
      </c>
      <c r="O16" s="147" t="str">
        <f t="shared" ca="1" si="1"/>
        <v/>
      </c>
      <c r="P16" s="147">
        <f t="shared" ref="P16:Q16" ca="1" si="25">IF(N16="",0,IF(N16&lt;=2,1,IF(N16&lt;=4,2,IF(N16&lt;=5.5,3,4))))</f>
        <v>1</v>
      </c>
      <c r="Q16" s="147">
        <f t="shared" ca="1" si="25"/>
        <v>0</v>
      </c>
      <c r="R16" s="147" t="str">
        <f t="shared" ca="1" si="3"/>
        <v>Not tested yet</v>
      </c>
      <c r="S16" s="147">
        <f t="shared" si="4"/>
        <v>0</v>
      </c>
      <c r="T16" s="147"/>
      <c r="U16" s="147"/>
      <c r="V16" s="148" t="e">
        <f ca="1"/>
        <v>#NAME?</v>
      </c>
      <c r="W16" s="147" t="e">
        <f t="shared" ca="1" si="5"/>
        <v>#NAME?</v>
      </c>
      <c r="X16" s="147" t="e">
        <f t="shared" ca="1" si="6"/>
        <v>#NAME?</v>
      </c>
      <c r="Y16" s="147" t="e">
        <f t="shared" ca="1" si="7"/>
        <v>#NAME?</v>
      </c>
      <c r="Z16" s="147"/>
      <c r="AA16" s="147"/>
      <c r="AB16" s="147"/>
      <c r="AC16" s="147"/>
      <c r="AD16" s="147"/>
      <c r="AE16" s="147"/>
      <c r="AF16" s="147"/>
      <c r="AG16" s="147"/>
      <c r="AH16" s="147"/>
      <c r="AI16" s="147"/>
      <c r="AJ16" s="147"/>
      <c r="AK16" s="147"/>
      <c r="AL16" s="147"/>
      <c r="AM16" s="151"/>
      <c r="AN16" s="148" t="str">
        <f ca="1">IFERROR(__xludf.DUMMYFUNCTION("""COMPUTED_VALUE"""),"213859")</f>
        <v>213859</v>
      </c>
      <c r="AO16" s="147" t="str">
        <f t="shared" ca="1" si="8"/>
        <v>GSD</v>
      </c>
      <c r="AP16" s="147" t="e">
        <f t="shared" ca="1" si="9"/>
        <v>#NAME?</v>
      </c>
      <c r="AQ16" s="147" t="str">
        <f t="shared" ca="1" si="10"/>
        <v>MOC</v>
      </c>
      <c r="AR16" s="147"/>
      <c r="AS16" s="147"/>
      <c r="AT16" s="147"/>
      <c r="AU16" s="147"/>
      <c r="AV16" s="147"/>
      <c r="AW16" s="147"/>
      <c r="AX16" s="147"/>
      <c r="AY16" s="147"/>
      <c r="AZ16" s="147"/>
      <c r="BA16" s="147"/>
      <c r="BB16" s="147"/>
      <c r="BC16" s="147"/>
      <c r="BD16" s="147"/>
      <c r="BE16" s="147"/>
      <c r="BF16" s="147"/>
      <c r="BG16" s="147"/>
      <c r="BH16" s="147"/>
      <c r="BI16" s="147"/>
      <c r="BJ16" s="147"/>
      <c r="BK16" s="147"/>
      <c r="BL16" s="147"/>
      <c r="BM16" s="147"/>
      <c r="BN16" s="147"/>
      <c r="BO16" s="147"/>
      <c r="BP16" s="147"/>
      <c r="BQ16" s="147"/>
      <c r="BR16" s="147"/>
      <c r="BS16" s="147"/>
      <c r="BT16" s="147"/>
      <c r="BU16" s="147"/>
      <c r="BV16" s="147"/>
      <c r="BW16" s="147"/>
      <c r="BX16" s="147"/>
      <c r="BY16" s="147"/>
      <c r="BZ16" s="147"/>
      <c r="CA16" s="147"/>
      <c r="CB16" s="147"/>
      <c r="CC16" s="147"/>
      <c r="CD16" s="147"/>
      <c r="CE16" s="147"/>
      <c r="CF16" s="147"/>
      <c r="CG16" s="147"/>
      <c r="CH16" s="147"/>
      <c r="CI16" s="147"/>
      <c r="CJ16" s="147"/>
      <c r="CK16" s="147"/>
    </row>
    <row r="17" spans="1:89">
      <c r="A17" s="153" t="s">
        <v>170</v>
      </c>
      <c r="B17" s="154" t="s">
        <v>171</v>
      </c>
      <c r="C17" s="155" t="s">
        <v>52</v>
      </c>
      <c r="D17" s="155" t="s">
        <v>846</v>
      </c>
      <c r="E17" s="154" t="s">
        <v>21</v>
      </c>
      <c r="F17" s="3" t="s">
        <v>916</v>
      </c>
      <c r="G17" s="3"/>
      <c r="H17" s="156" t="str">
        <f ca="1">IFERROR(
  _xludf.MINIFS(ATTENDANCE_LOG!$F:$F,
         ATTENDANCE_LOG!$A:$A, C17,
         ATTENDANCE_LOG!$B:$B, E17),
"")</f>
        <v/>
      </c>
      <c r="I17" s="156" t="str">
        <f t="shared" ca="1" si="0"/>
        <v/>
      </c>
      <c r="J17" s="3">
        <f>IFERROR(VLOOKUP(F17, LEVEL_HELPER!$A:$B, 2, 0), "")</f>
        <v>2.5</v>
      </c>
      <c r="K17" s="3" t="str">
        <f>IFERROR(VLOOKUP(G17, LEVEL_HELPER!$A:$B, 2, 0), "")</f>
        <v/>
      </c>
      <c r="L17" s="157" t="s">
        <v>941</v>
      </c>
      <c r="M17" s="157" t="s">
        <v>921</v>
      </c>
      <c r="N17" s="3">
        <f t="array" aca="1" ref="N17" ca="1">IFERROR(
  INDEX($J$2:$J$543,
    MATCH(A17&amp;TEXT(I17,"yyyy-mm-dd"),
          $A$2:$A$543&amp;TEXT($H$2:$H$543,"yyyy-mm-dd"),
          0)),
"")</f>
        <v>2.5</v>
      </c>
      <c r="O17" s="147" t="str">
        <f t="shared" ca="1" si="1"/>
        <v/>
      </c>
      <c r="P17" s="147">
        <f t="shared" ref="P17:Q17" ca="1" si="26">IF(N17="",0,IF(N17&lt;=2,1,IF(N17&lt;=4,2,IF(N17&lt;=5.5,3,4))))</f>
        <v>2</v>
      </c>
      <c r="Q17" s="147">
        <f t="shared" ca="1" si="26"/>
        <v>0</v>
      </c>
      <c r="R17" s="147" t="str">
        <f t="shared" ca="1" si="3"/>
        <v>Not tested yet</v>
      </c>
      <c r="S17" s="147">
        <f t="shared" si="4"/>
        <v>1</v>
      </c>
      <c r="T17" s="147"/>
      <c r="U17" s="147"/>
      <c r="V17" s="148" t="e">
        <f ca="1"/>
        <v>#NAME?</v>
      </c>
      <c r="W17" s="147" t="e">
        <f t="shared" ca="1" si="5"/>
        <v>#NAME?</v>
      </c>
      <c r="X17" s="147" t="e">
        <f t="shared" ca="1" si="6"/>
        <v>#NAME?</v>
      </c>
      <c r="Y17" s="147" t="e">
        <f t="shared" ca="1" si="7"/>
        <v>#NAME?</v>
      </c>
      <c r="Z17" s="147"/>
      <c r="AA17" s="147"/>
      <c r="AB17" s="147"/>
      <c r="AC17" s="147"/>
      <c r="AD17" s="147"/>
      <c r="AE17" s="147"/>
      <c r="AF17" s="147"/>
      <c r="AG17" s="147"/>
      <c r="AH17" s="147"/>
      <c r="AI17" s="147"/>
      <c r="AJ17" s="147"/>
      <c r="AK17" s="147"/>
      <c r="AL17" s="147"/>
      <c r="AM17" s="151"/>
      <c r="AN17" s="148" t="str">
        <f ca="1">IFERROR(__xludf.DUMMYFUNCTION("""COMPUTED_VALUE"""),"193584")</f>
        <v>193584</v>
      </c>
      <c r="AO17" s="147" t="str">
        <f t="shared" ca="1" si="8"/>
        <v>GSD</v>
      </c>
      <c r="AP17" s="147" t="e">
        <f t="shared" ca="1" si="9"/>
        <v>#NAME?</v>
      </c>
      <c r="AQ17" s="147" t="str">
        <f t="shared" ca="1" si="10"/>
        <v>LBU</v>
      </c>
      <c r="AR17" s="147"/>
      <c r="AS17" s="147"/>
      <c r="AT17" s="147"/>
      <c r="AU17" s="147"/>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c r="CB17" s="147"/>
      <c r="CC17" s="147"/>
      <c r="CD17" s="147"/>
      <c r="CE17" s="147"/>
      <c r="CF17" s="147"/>
      <c r="CG17" s="147"/>
      <c r="CH17" s="147"/>
      <c r="CI17" s="147"/>
      <c r="CJ17" s="147"/>
      <c r="CK17" s="147"/>
    </row>
    <row r="18" spans="1:89">
      <c r="A18" s="159" t="s">
        <v>196</v>
      </c>
      <c r="B18" s="3" t="s">
        <v>197</v>
      </c>
      <c r="C18" s="160" t="s">
        <v>52</v>
      </c>
      <c r="D18" s="160" t="s">
        <v>846</v>
      </c>
      <c r="E18" s="3" t="s">
        <v>21</v>
      </c>
      <c r="F18" s="3" t="s">
        <v>926</v>
      </c>
      <c r="G18" s="3" t="s">
        <v>931</v>
      </c>
      <c r="H18" s="156" t="str">
        <f ca="1">IFERROR(
  _xludf.MINIFS(ATTENDANCE_LOG!$F:$F,
         ATTENDANCE_LOG!$A:$A, C18,
         ATTENDANCE_LOG!$B:$B, E18),
"")</f>
        <v/>
      </c>
      <c r="I18" s="156" t="str">
        <f t="shared" ca="1" si="0"/>
        <v/>
      </c>
      <c r="J18" s="3">
        <f>IFERROR(VLOOKUP(F18, LEVEL_HELPER!$A:$B, 2, 0), "")</f>
        <v>1</v>
      </c>
      <c r="K18" s="3">
        <f>IFERROR(VLOOKUP(G18, LEVEL_HELPER!$A:$B, 2, 0), "")</f>
        <v>4.5</v>
      </c>
      <c r="L18" s="157" t="s">
        <v>942</v>
      </c>
      <c r="M18" s="157" t="s">
        <v>921</v>
      </c>
      <c r="N18" s="3">
        <f t="array" aca="1" ref="N18" ca="1">IFERROR(
  INDEX($J$2:$J$543,
    MATCH(A18&amp;TEXT(I18,"yyyy-mm-dd"),
          $A$2:$A$543&amp;TEXT($H$2:$H$543,"yyyy-mm-dd"),
          0)),
"")</f>
        <v>1</v>
      </c>
      <c r="O18" s="147" t="str">
        <f t="shared" ca="1" si="1"/>
        <v/>
      </c>
      <c r="P18" s="147">
        <f t="shared" ref="P18:Q18" ca="1" si="27">IF(N18="",0,IF(N18&lt;=2,1,IF(N18&lt;=4,2,IF(N18&lt;=5.5,3,4))))</f>
        <v>1</v>
      </c>
      <c r="Q18" s="147">
        <f t="shared" ca="1" si="27"/>
        <v>0</v>
      </c>
      <c r="R18" s="147" t="str">
        <f t="shared" ca="1" si="3"/>
        <v>Not tested yet</v>
      </c>
      <c r="S18" s="147">
        <f t="shared" si="4"/>
        <v>1</v>
      </c>
      <c r="T18" s="147"/>
      <c r="U18" s="147"/>
      <c r="V18" s="148" t="e">
        <f ca="1"/>
        <v>#NAME?</v>
      </c>
      <c r="W18" s="147" t="e">
        <f t="shared" ca="1" si="5"/>
        <v>#NAME?</v>
      </c>
      <c r="X18" s="147" t="e">
        <f t="shared" ca="1" si="6"/>
        <v>#NAME?</v>
      </c>
      <c r="Y18" s="147" t="e">
        <f t="shared" ca="1" si="7"/>
        <v>#NAME?</v>
      </c>
      <c r="Z18" s="147"/>
      <c r="AA18" s="147"/>
      <c r="AB18" s="147"/>
      <c r="AC18" s="147"/>
      <c r="AD18" s="147"/>
      <c r="AE18" s="147"/>
      <c r="AF18" s="147"/>
      <c r="AG18" s="147"/>
      <c r="AH18" s="147"/>
      <c r="AI18" s="147"/>
      <c r="AJ18" s="147"/>
      <c r="AK18" s="147"/>
      <c r="AL18" s="147"/>
      <c r="AM18" s="151"/>
      <c r="AN18" s="148" t="str">
        <f ca="1">IFERROR(__xludf.DUMMYFUNCTION("""COMPUTED_VALUE"""),"203780")</f>
        <v>203780</v>
      </c>
      <c r="AO18" s="147" t="str">
        <f t="shared" ca="1" si="8"/>
        <v>QC</v>
      </c>
      <c r="AP18" s="147" t="e">
        <f t="shared" ca="1" si="9"/>
        <v>#NAME?</v>
      </c>
      <c r="AQ18" s="147" t="str">
        <f t="shared" ca="1" si="10"/>
        <v>TBU</v>
      </c>
      <c r="AR18" s="147"/>
      <c r="AS18" s="147"/>
      <c r="AT18" s="147"/>
      <c r="AU18" s="147"/>
      <c r="AV18" s="147"/>
      <c r="AW18" s="147"/>
      <c r="AX18" s="147"/>
      <c r="AY18" s="147"/>
      <c r="AZ18" s="147"/>
      <c r="BA18" s="147"/>
      <c r="BB18" s="147"/>
      <c r="BC18" s="147"/>
      <c r="BD18" s="147"/>
      <c r="BE18" s="147"/>
      <c r="BF18" s="147"/>
      <c r="BG18" s="147"/>
      <c r="BH18" s="147"/>
      <c r="BI18" s="147"/>
      <c r="BJ18" s="147"/>
      <c r="BK18" s="147"/>
      <c r="BL18" s="147"/>
      <c r="BM18" s="147"/>
      <c r="BN18" s="147"/>
      <c r="BO18" s="147"/>
      <c r="BP18" s="147"/>
      <c r="BQ18" s="147"/>
      <c r="BR18" s="147"/>
      <c r="BS18" s="147"/>
      <c r="BT18" s="147"/>
      <c r="BU18" s="147"/>
      <c r="BV18" s="147"/>
      <c r="BW18" s="147"/>
      <c r="BX18" s="147"/>
      <c r="BY18" s="147"/>
      <c r="BZ18" s="147"/>
      <c r="CA18" s="147"/>
      <c r="CB18" s="147"/>
      <c r="CC18" s="147"/>
      <c r="CD18" s="147"/>
      <c r="CE18" s="147"/>
      <c r="CF18" s="147"/>
      <c r="CG18" s="147"/>
      <c r="CH18" s="147"/>
      <c r="CI18" s="147"/>
      <c r="CJ18" s="147"/>
      <c r="CK18" s="147"/>
    </row>
    <row r="19" spans="1:89">
      <c r="A19" s="159" t="s">
        <v>328</v>
      </c>
      <c r="B19" s="3" t="s">
        <v>329</v>
      </c>
      <c r="C19" s="160" t="s">
        <v>52</v>
      </c>
      <c r="D19" s="160" t="s">
        <v>846</v>
      </c>
      <c r="E19" s="3" t="s">
        <v>21</v>
      </c>
      <c r="F19" s="3" t="s">
        <v>926</v>
      </c>
      <c r="G19" s="3" t="s">
        <v>917</v>
      </c>
      <c r="H19" s="156" t="str">
        <f ca="1">IFERROR(
  _xludf.MINIFS(ATTENDANCE_LOG!$F:$F,
         ATTENDANCE_LOG!$A:$A, C19,
         ATTENDANCE_LOG!$B:$B, E19),
"")</f>
        <v/>
      </c>
      <c r="I19" s="156" t="str">
        <f t="shared" ca="1" si="0"/>
        <v/>
      </c>
      <c r="J19" s="3">
        <f>IFERROR(VLOOKUP(F19, LEVEL_HELPER!$A:$B, 2, 0), "")</f>
        <v>1</v>
      </c>
      <c r="K19" s="3">
        <f>IFERROR(VLOOKUP(G19, LEVEL_HELPER!$A:$B, 2, 0), "")</f>
        <v>3</v>
      </c>
      <c r="L19" s="157" t="s">
        <v>942</v>
      </c>
      <c r="M19" s="157" t="s">
        <v>921</v>
      </c>
      <c r="N19" s="3">
        <f t="array" aca="1" ref="N19" ca="1">IFERROR(
  INDEX($J$2:$J$543,
    MATCH(A19&amp;TEXT(I19,"yyyy-mm-dd"),
          $A$2:$A$543&amp;TEXT($H$2:$H$543,"yyyy-mm-dd"),
          0)),
"")</f>
        <v>1</v>
      </c>
      <c r="O19" s="147" t="str">
        <f t="shared" ca="1" si="1"/>
        <v/>
      </c>
      <c r="P19" s="147">
        <f t="shared" ref="P19:Q19" ca="1" si="28">IF(N19="",0,IF(N19&lt;=2,1,IF(N19&lt;=4,2,IF(N19&lt;=5.5,3,4))))</f>
        <v>1</v>
      </c>
      <c r="Q19" s="147">
        <f t="shared" ca="1" si="28"/>
        <v>0</v>
      </c>
      <c r="R19" s="147" t="str">
        <f t="shared" ca="1" si="3"/>
        <v>Not tested yet</v>
      </c>
      <c r="S19" s="147">
        <f t="shared" si="4"/>
        <v>1</v>
      </c>
      <c r="T19" s="147"/>
      <c r="U19" s="147"/>
      <c r="V19" s="148" t="e">
        <f ca="1"/>
        <v>#NAME?</v>
      </c>
      <c r="W19" s="147" t="e">
        <f t="shared" ca="1" si="5"/>
        <v>#NAME?</v>
      </c>
      <c r="X19" s="147" t="e">
        <f t="shared" ca="1" si="6"/>
        <v>#NAME?</v>
      </c>
      <c r="Y19" s="147" t="e">
        <f t="shared" ca="1" si="7"/>
        <v>#NAME?</v>
      </c>
      <c r="Z19" s="147"/>
      <c r="AA19" s="147"/>
      <c r="AB19" s="147"/>
      <c r="AC19" s="147"/>
      <c r="AD19" s="147"/>
      <c r="AE19" s="147"/>
      <c r="AF19" s="147"/>
      <c r="AG19" s="147"/>
      <c r="AH19" s="147"/>
      <c r="AI19" s="147"/>
      <c r="AJ19" s="147"/>
      <c r="AK19" s="147"/>
      <c r="AL19" s="147"/>
      <c r="AM19" s="151"/>
      <c r="AN19" s="148" t="str">
        <f ca="1">IFERROR(__xludf.DUMMYFUNCTION("""COMPUTED_VALUE"""),"193534")</f>
        <v>193534</v>
      </c>
      <c r="AO19" s="147" t="str">
        <f t="shared" ca="1" si="8"/>
        <v>DEV</v>
      </c>
      <c r="AP19" s="147" t="e">
        <f t="shared" ca="1" si="9"/>
        <v>#NAME?</v>
      </c>
      <c r="AQ19" s="147" t="str">
        <f t="shared" ca="1" si="10"/>
        <v>POC</v>
      </c>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row>
    <row r="20" spans="1:89">
      <c r="A20" s="159" t="s">
        <v>506</v>
      </c>
      <c r="B20" s="3" t="s">
        <v>507</v>
      </c>
      <c r="C20" s="160" t="s">
        <v>52</v>
      </c>
      <c r="D20" s="160" t="s">
        <v>846</v>
      </c>
      <c r="E20" s="3" t="s">
        <v>21</v>
      </c>
      <c r="F20" s="3" t="s">
        <v>926</v>
      </c>
      <c r="G20" s="3"/>
      <c r="H20" s="156" t="str">
        <f ca="1">IFERROR(
  _xludf.MINIFS(ATTENDANCE_LOG!$F:$F,
         ATTENDANCE_LOG!$A:$A, C20,
         ATTENDANCE_LOG!$B:$B, E20),
"")</f>
        <v/>
      </c>
      <c r="I20" s="156" t="str">
        <f t="shared" ca="1" si="0"/>
        <v/>
      </c>
      <c r="J20" s="3">
        <f>IFERROR(VLOOKUP(F20, LEVEL_HELPER!$A:$B, 2, 0), "")</f>
        <v>1</v>
      </c>
      <c r="K20" s="3" t="str">
        <f>IFERROR(VLOOKUP(G20, LEVEL_HELPER!$A:$B, 2, 0), "")</f>
        <v/>
      </c>
      <c r="L20" s="157" t="s">
        <v>943</v>
      </c>
      <c r="M20" s="157" t="s">
        <v>921</v>
      </c>
      <c r="N20" s="3">
        <f t="array" aca="1" ref="N20" ca="1">IFERROR(
  INDEX($J$2:$J$543,
    MATCH(A20&amp;TEXT(I20,"yyyy-mm-dd"),
          $A$2:$A$543&amp;TEXT($H$2:$H$543,"yyyy-mm-dd"),
          0)),
"")</f>
        <v>1</v>
      </c>
      <c r="O20" s="147" t="str">
        <f t="shared" ca="1" si="1"/>
        <v/>
      </c>
      <c r="P20" s="147">
        <f t="shared" ref="P20:Q20" ca="1" si="29">IF(N20="",0,IF(N20&lt;=2,1,IF(N20&lt;=4,2,IF(N20&lt;=5.5,3,4))))</f>
        <v>1</v>
      </c>
      <c r="Q20" s="147">
        <f t="shared" ca="1" si="29"/>
        <v>0</v>
      </c>
      <c r="R20" s="147" t="str">
        <f t="shared" ca="1" si="3"/>
        <v>Not tested yet</v>
      </c>
      <c r="S20" s="147">
        <f t="shared" si="4"/>
        <v>1</v>
      </c>
      <c r="T20" s="147"/>
      <c r="U20" s="147"/>
      <c r="V20" s="148" t="e">
        <f ca="1"/>
        <v>#NAME?</v>
      </c>
      <c r="W20" s="147" t="e">
        <f t="shared" ca="1" si="5"/>
        <v>#NAME?</v>
      </c>
      <c r="X20" s="147" t="e">
        <f t="shared" ca="1" si="6"/>
        <v>#NAME?</v>
      </c>
      <c r="Y20" s="147" t="e">
        <f t="shared" ca="1" si="7"/>
        <v>#NAME?</v>
      </c>
      <c r="Z20" s="147"/>
      <c r="AA20" s="147"/>
      <c r="AB20" s="147"/>
      <c r="AC20" s="147"/>
      <c r="AD20" s="147"/>
      <c r="AE20" s="147"/>
      <c r="AF20" s="147"/>
      <c r="AG20" s="147"/>
      <c r="AH20" s="147"/>
      <c r="AI20" s="147"/>
      <c r="AJ20" s="147"/>
      <c r="AK20" s="147"/>
      <c r="AL20" s="147"/>
      <c r="AM20" s="151"/>
      <c r="AN20" s="148" t="str">
        <f ca="1">IFERROR(__xludf.DUMMYFUNCTION("""COMPUTED_VALUE"""),"247185")</f>
        <v>247185</v>
      </c>
      <c r="AO20" s="147" t="str">
        <f t="shared" ca="1" si="8"/>
        <v>QC</v>
      </c>
      <c r="AP20" s="147" t="e">
        <f t="shared" ca="1" si="9"/>
        <v>#NAME?</v>
      </c>
      <c r="AQ20" s="147" t="str">
        <f t="shared" ca="1" si="10"/>
        <v>ONC</v>
      </c>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row>
    <row r="21" spans="1:89">
      <c r="A21" s="159" t="s">
        <v>605</v>
      </c>
      <c r="B21" s="3" t="s">
        <v>606</v>
      </c>
      <c r="C21" s="160" t="s">
        <v>52</v>
      </c>
      <c r="D21" s="160" t="s">
        <v>846</v>
      </c>
      <c r="E21" s="3" t="s">
        <v>21</v>
      </c>
      <c r="F21" s="3" t="s">
        <v>926</v>
      </c>
      <c r="G21" s="3"/>
      <c r="H21" s="156" t="str">
        <f ca="1">IFERROR(
  _xludf.MINIFS(ATTENDANCE_LOG!$F:$F,
         ATTENDANCE_LOG!$A:$A, C21,
         ATTENDANCE_LOG!$B:$B, E21),
"")</f>
        <v/>
      </c>
      <c r="I21" s="156" t="str">
        <f t="shared" ca="1" si="0"/>
        <v/>
      </c>
      <c r="J21" s="3">
        <f>IFERROR(VLOOKUP(F21, LEVEL_HELPER!$A:$B, 2, 0), "")</f>
        <v>1</v>
      </c>
      <c r="K21" s="3" t="str">
        <f>IFERROR(VLOOKUP(G21, LEVEL_HELPER!$A:$B, 2, 0), "")</f>
        <v/>
      </c>
      <c r="L21" s="157" t="s">
        <v>942</v>
      </c>
      <c r="M21" s="157" t="s">
        <v>922</v>
      </c>
      <c r="N21" s="3">
        <f t="array" aca="1" ref="N21" ca="1">IFERROR(
  INDEX($J$2:$J$543,
    MATCH(A21&amp;TEXT(I21,"yyyy-mm-dd"),
          $A$2:$A$543&amp;TEXT($H$2:$H$543,"yyyy-mm-dd"),
          0)),
"")</f>
        <v>1</v>
      </c>
      <c r="O21" s="147" t="str">
        <f t="shared" ca="1" si="1"/>
        <v/>
      </c>
      <c r="P21" s="147">
        <f t="shared" ref="P21:Q21" ca="1" si="30">IF(N21="",0,IF(N21&lt;=2,1,IF(N21&lt;=4,2,IF(N21&lt;=5.5,3,4))))</f>
        <v>1</v>
      </c>
      <c r="Q21" s="147">
        <f t="shared" ca="1" si="30"/>
        <v>0</v>
      </c>
      <c r="R21" s="147" t="str">
        <f t="shared" ca="1" si="3"/>
        <v>Not tested yet</v>
      </c>
      <c r="S21" s="147">
        <f t="shared" si="4"/>
        <v>1</v>
      </c>
      <c r="T21" s="147"/>
      <c r="U21" s="147"/>
      <c r="V21" s="148" t="e">
        <f ca="1"/>
        <v>#NAME?</v>
      </c>
      <c r="W21" s="147" t="e">
        <f t="shared" ca="1" si="5"/>
        <v>#NAME?</v>
      </c>
      <c r="X21" s="147" t="e">
        <f t="shared" ca="1" si="6"/>
        <v>#NAME?</v>
      </c>
      <c r="Y21" s="147" t="e">
        <f t="shared" ca="1" si="7"/>
        <v>#NAME?</v>
      </c>
      <c r="Z21" s="147"/>
      <c r="AA21" s="147"/>
      <c r="AB21" s="147"/>
      <c r="AC21" s="147"/>
      <c r="AD21" s="147"/>
      <c r="AE21" s="147"/>
      <c r="AF21" s="147"/>
      <c r="AG21" s="147"/>
      <c r="AH21" s="147"/>
      <c r="AI21" s="147"/>
      <c r="AJ21" s="147"/>
      <c r="AK21" s="147"/>
      <c r="AL21" s="147"/>
      <c r="AM21" s="151"/>
      <c r="AN21" s="148" t="str">
        <f ca="1">IFERROR(__xludf.DUMMYFUNCTION("""COMPUTED_VALUE"""),"213844")</f>
        <v>213844</v>
      </c>
      <c r="AO21" s="147" t="str">
        <f t="shared" ca="1" si="8"/>
        <v>DEV</v>
      </c>
      <c r="AP21" s="147" t="e">
        <f t="shared" ca="1" si="9"/>
        <v>#NAME?</v>
      </c>
      <c r="AQ21" s="147" t="str">
        <f t="shared" ca="1" si="10"/>
        <v>MOC</v>
      </c>
      <c r="AR21" s="147"/>
      <c r="AS21" s="147"/>
      <c r="AT21" s="147"/>
      <c r="AU21" s="147"/>
      <c r="AV21" s="147"/>
      <c r="AW21" s="147"/>
      <c r="AX21" s="147"/>
      <c r="AY21" s="147"/>
      <c r="AZ21" s="147"/>
      <c r="BA21" s="147"/>
      <c r="BB21" s="147"/>
      <c r="BC21" s="147"/>
      <c r="BD21" s="147"/>
      <c r="BE21" s="147"/>
      <c r="BF21" s="147"/>
      <c r="BG21" s="147"/>
      <c r="BH21" s="147"/>
      <c r="BI21" s="147"/>
      <c r="BJ21" s="147"/>
      <c r="BK21" s="147"/>
      <c r="BL21" s="147"/>
      <c r="BM21" s="147"/>
      <c r="BN21" s="147"/>
      <c r="BO21" s="147"/>
      <c r="BP21" s="147"/>
      <c r="BQ21" s="147"/>
      <c r="BR21" s="147"/>
      <c r="BS21" s="147"/>
      <c r="BT21" s="147"/>
      <c r="BU21" s="147"/>
      <c r="BV21" s="147"/>
      <c r="BW21" s="147"/>
      <c r="BX21" s="147"/>
      <c r="BY21" s="147"/>
      <c r="BZ21" s="147"/>
      <c r="CA21" s="147"/>
      <c r="CB21" s="147"/>
      <c r="CC21" s="147"/>
      <c r="CD21" s="147"/>
      <c r="CE21" s="147"/>
      <c r="CF21" s="147"/>
      <c r="CG21" s="147"/>
      <c r="CH21" s="147"/>
      <c r="CI21" s="147"/>
      <c r="CJ21" s="147"/>
      <c r="CK21" s="147"/>
    </row>
    <row r="22" spans="1:89">
      <c r="A22" s="159" t="s">
        <v>677</v>
      </c>
      <c r="B22" s="3" t="s">
        <v>678</v>
      </c>
      <c r="C22" s="160" t="s">
        <v>52</v>
      </c>
      <c r="D22" s="160" t="s">
        <v>846</v>
      </c>
      <c r="E22" s="3" t="s">
        <v>21</v>
      </c>
      <c r="F22" s="3" t="s">
        <v>926</v>
      </c>
      <c r="G22" s="3" t="s">
        <v>917</v>
      </c>
      <c r="H22" s="156" t="str">
        <f ca="1">IFERROR(
  _xludf.MINIFS(ATTENDANCE_LOG!$F:$F,
         ATTENDANCE_LOG!$A:$A, C22,
         ATTENDANCE_LOG!$B:$B, E22),
"")</f>
        <v/>
      </c>
      <c r="I22" s="156" t="str">
        <f t="shared" ca="1" si="0"/>
        <v/>
      </c>
      <c r="J22" s="3">
        <f>IFERROR(VLOOKUP(F22, LEVEL_HELPER!$A:$B, 2, 0), "")</f>
        <v>1</v>
      </c>
      <c r="K22" s="3">
        <f>IFERROR(VLOOKUP(G22, LEVEL_HELPER!$A:$B, 2, 0), "")</f>
        <v>3</v>
      </c>
      <c r="L22" s="157" t="s">
        <v>942</v>
      </c>
      <c r="M22" s="157" t="s">
        <v>921</v>
      </c>
      <c r="N22" s="3">
        <f t="array" aca="1" ref="N22" ca="1">IFERROR(
  INDEX($J$2:$J$543,
    MATCH(A22&amp;TEXT(I22,"yyyy-mm-dd"),
          $A$2:$A$543&amp;TEXT($H$2:$H$543,"yyyy-mm-dd"),
          0)),
"")</f>
        <v>1</v>
      </c>
      <c r="O22" s="147" t="str">
        <f t="shared" ca="1" si="1"/>
        <v/>
      </c>
      <c r="P22" s="147">
        <f t="shared" ref="P22:Q22" ca="1" si="31">IF(N22="",0,IF(N22&lt;=2,1,IF(N22&lt;=4,2,IF(N22&lt;=5.5,3,4))))</f>
        <v>1</v>
      </c>
      <c r="Q22" s="147">
        <f t="shared" ca="1" si="31"/>
        <v>0</v>
      </c>
      <c r="R22" s="147" t="str">
        <f t="shared" ca="1" si="3"/>
        <v>Not tested yet</v>
      </c>
      <c r="S22" s="147">
        <f t="shared" si="4"/>
        <v>1</v>
      </c>
      <c r="T22" s="147"/>
      <c r="U22" s="147"/>
      <c r="V22" s="148" t="e">
        <f ca="1"/>
        <v>#NAME?</v>
      </c>
      <c r="W22" s="147" t="e">
        <f t="shared" ca="1" si="5"/>
        <v>#NAME?</v>
      </c>
      <c r="X22" s="147" t="e">
        <f t="shared" ca="1" si="6"/>
        <v>#NAME?</v>
      </c>
      <c r="Y22" s="147" t="e">
        <f t="shared" ca="1" si="7"/>
        <v>#NAME?</v>
      </c>
      <c r="Z22" s="147"/>
      <c r="AA22" s="147"/>
      <c r="AB22" s="147"/>
      <c r="AC22" s="147"/>
      <c r="AD22" s="147"/>
      <c r="AE22" s="147"/>
      <c r="AF22" s="147"/>
      <c r="AG22" s="147"/>
      <c r="AH22" s="147"/>
      <c r="AI22" s="147"/>
      <c r="AJ22" s="147"/>
      <c r="AK22" s="147"/>
      <c r="AL22" s="147"/>
      <c r="AM22" s="151"/>
      <c r="AN22" s="148" t="str">
        <f ca="1">IFERROR(__xludf.DUMMYFUNCTION("""COMPUTED_VALUE"""),"227047")</f>
        <v>227047</v>
      </c>
      <c r="AO22" s="147" t="str">
        <f t="shared" ca="1" si="8"/>
        <v>DEV</v>
      </c>
      <c r="AP22" s="147" t="e">
        <f t="shared" ca="1" si="9"/>
        <v>#NAME?</v>
      </c>
      <c r="AQ22" s="147" t="str">
        <f t="shared" ca="1" si="10"/>
        <v>POC</v>
      </c>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7"/>
      <c r="CE22" s="147"/>
      <c r="CF22" s="147"/>
      <c r="CG22" s="147"/>
      <c r="CH22" s="147"/>
      <c r="CI22" s="147"/>
      <c r="CJ22" s="147"/>
      <c r="CK22" s="147"/>
    </row>
    <row r="23" spans="1:89">
      <c r="A23" s="159" t="s">
        <v>687</v>
      </c>
      <c r="B23" s="3" t="s">
        <v>688</v>
      </c>
      <c r="C23" s="160" t="s">
        <v>52</v>
      </c>
      <c r="D23" s="160" t="s">
        <v>846</v>
      </c>
      <c r="E23" s="3" t="s">
        <v>21</v>
      </c>
      <c r="F23" s="3" t="s">
        <v>926</v>
      </c>
      <c r="G23" s="3" t="s">
        <v>917</v>
      </c>
      <c r="H23" s="156" t="str">
        <f ca="1">IFERROR(
  _xludf.MINIFS(ATTENDANCE_LOG!$F:$F,
         ATTENDANCE_LOG!$A:$A, C23,
         ATTENDANCE_LOG!$B:$B, E23),
"")</f>
        <v/>
      </c>
      <c r="I23" s="156" t="str">
        <f t="shared" ca="1" si="0"/>
        <v/>
      </c>
      <c r="J23" s="3">
        <f>IFERROR(VLOOKUP(F23, LEVEL_HELPER!$A:$B, 2, 0), "")</f>
        <v>1</v>
      </c>
      <c r="K23" s="3">
        <f>IFERROR(VLOOKUP(G23, LEVEL_HELPER!$A:$B, 2, 0), "")</f>
        <v>3</v>
      </c>
      <c r="L23" s="157" t="s">
        <v>942</v>
      </c>
      <c r="M23" s="157" t="s">
        <v>921</v>
      </c>
      <c r="N23" s="3">
        <f t="array" aca="1" ref="N23" ca="1">IFERROR(
  INDEX($J$2:$J$543,
    MATCH(A23&amp;TEXT(I23,"yyyy-mm-dd"),
          $A$2:$A$543&amp;TEXT($H$2:$H$543,"yyyy-mm-dd"),
          0)),
"")</f>
        <v>1</v>
      </c>
      <c r="O23" s="147" t="str">
        <f t="shared" ca="1" si="1"/>
        <v/>
      </c>
      <c r="P23" s="147">
        <f t="shared" ref="P23:Q23" ca="1" si="32">IF(N23="",0,IF(N23&lt;=2,1,IF(N23&lt;=4,2,IF(N23&lt;=5.5,3,4))))</f>
        <v>1</v>
      </c>
      <c r="Q23" s="147">
        <f t="shared" ca="1" si="32"/>
        <v>0</v>
      </c>
      <c r="R23" s="147" t="str">
        <f t="shared" ca="1" si="3"/>
        <v>Not tested yet</v>
      </c>
      <c r="S23" s="147">
        <f t="shared" si="4"/>
        <v>1</v>
      </c>
      <c r="T23" s="147"/>
      <c r="U23" s="147"/>
      <c r="V23" s="148" t="e">
        <f ca="1"/>
        <v>#NAME?</v>
      </c>
      <c r="W23" s="147" t="e">
        <f t="shared" ca="1" si="5"/>
        <v>#NAME?</v>
      </c>
      <c r="X23" s="147" t="e">
        <f t="shared" ca="1" si="6"/>
        <v>#NAME?</v>
      </c>
      <c r="Y23" s="147" t="e">
        <f t="shared" ca="1" si="7"/>
        <v>#NAME?</v>
      </c>
      <c r="Z23" s="147"/>
      <c r="AA23" s="147"/>
      <c r="AB23" s="147"/>
      <c r="AC23" s="147"/>
      <c r="AD23" s="147"/>
      <c r="AE23" s="147"/>
      <c r="AF23" s="147"/>
      <c r="AG23" s="147"/>
      <c r="AH23" s="147"/>
      <c r="AI23" s="147"/>
      <c r="AJ23" s="147"/>
      <c r="AK23" s="147"/>
      <c r="AL23" s="147"/>
      <c r="AM23" s="151"/>
      <c r="AN23" s="148" t="str">
        <f ca="1">IFERROR(__xludf.DUMMYFUNCTION("""COMPUTED_VALUE"""),"227116")</f>
        <v>227116</v>
      </c>
      <c r="AO23" s="147" t="str">
        <f t="shared" ca="1" si="8"/>
        <v>DEV</v>
      </c>
      <c r="AP23" s="147" t="e">
        <f t="shared" ca="1" si="9"/>
        <v>#NAME?</v>
      </c>
      <c r="AQ23" s="147" t="str">
        <f t="shared" ca="1" si="10"/>
        <v>CHORUS</v>
      </c>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47"/>
      <c r="BX23" s="147"/>
      <c r="BY23" s="147"/>
      <c r="BZ23" s="147"/>
      <c r="CA23" s="147"/>
      <c r="CB23" s="147"/>
      <c r="CC23" s="147"/>
      <c r="CD23" s="147"/>
      <c r="CE23" s="147"/>
      <c r="CF23" s="147"/>
      <c r="CG23" s="147"/>
      <c r="CH23" s="147"/>
      <c r="CI23" s="147"/>
      <c r="CJ23" s="147"/>
      <c r="CK23" s="147"/>
    </row>
    <row r="24" spans="1:89">
      <c r="A24" s="159" t="s">
        <v>701</v>
      </c>
      <c r="B24" s="3" t="s">
        <v>702</v>
      </c>
      <c r="C24" s="160" t="s">
        <v>52</v>
      </c>
      <c r="D24" s="160" t="s">
        <v>846</v>
      </c>
      <c r="E24" s="3" t="s">
        <v>21</v>
      </c>
      <c r="F24" s="3" t="s">
        <v>926</v>
      </c>
      <c r="G24" s="3" t="s">
        <v>934</v>
      </c>
      <c r="H24" s="156" t="str">
        <f ca="1">IFERROR(
  _xludf.MINIFS(ATTENDANCE_LOG!$F:$F,
         ATTENDANCE_LOG!$A:$A, C24,
         ATTENDANCE_LOG!$B:$B, E24),
"")</f>
        <v/>
      </c>
      <c r="I24" s="156" t="str">
        <f t="shared" ca="1" si="0"/>
        <v/>
      </c>
      <c r="J24" s="3">
        <f>IFERROR(VLOOKUP(F24, LEVEL_HELPER!$A:$B, 2, 0), "")</f>
        <v>1</v>
      </c>
      <c r="K24" s="3">
        <f>IFERROR(VLOOKUP(G24, LEVEL_HELPER!$A:$B, 2, 0), "")</f>
        <v>3.5</v>
      </c>
      <c r="L24" s="157" t="s">
        <v>942</v>
      </c>
      <c r="M24" s="157" t="s">
        <v>921</v>
      </c>
      <c r="N24" s="3">
        <f t="array" aca="1" ref="N24" ca="1">IFERROR(
  INDEX($J$2:$J$543,
    MATCH(A24&amp;TEXT(I24,"yyyy-mm-dd"),
          $A$2:$A$543&amp;TEXT($H$2:$H$543,"yyyy-mm-dd"),
          0)),
"")</f>
        <v>1</v>
      </c>
      <c r="O24" s="147" t="str">
        <f t="shared" ca="1" si="1"/>
        <v/>
      </c>
      <c r="P24" s="147">
        <f t="shared" ref="P24:Q24" ca="1" si="33">IF(N24="",0,IF(N24&lt;=2,1,IF(N24&lt;=4,2,IF(N24&lt;=5.5,3,4))))</f>
        <v>1</v>
      </c>
      <c r="Q24" s="147">
        <f t="shared" ca="1" si="33"/>
        <v>0</v>
      </c>
      <c r="R24" s="147" t="str">
        <f t="shared" ca="1" si="3"/>
        <v>Not tested yet</v>
      </c>
      <c r="S24" s="147">
        <f t="shared" si="4"/>
        <v>1</v>
      </c>
      <c r="T24" s="147"/>
      <c r="U24" s="147"/>
      <c r="V24" s="148" t="e">
        <f ca="1"/>
        <v>#NAME?</v>
      </c>
      <c r="W24" s="147" t="e">
        <f t="shared" ca="1" si="5"/>
        <v>#NAME?</v>
      </c>
      <c r="X24" s="147" t="e">
        <f t="shared" ca="1" si="6"/>
        <v>#NAME?</v>
      </c>
      <c r="Y24" s="147" t="e">
        <f t="shared" ca="1" si="7"/>
        <v>#NAME?</v>
      </c>
      <c r="Z24" s="147"/>
      <c r="AA24" s="147"/>
      <c r="AB24" s="147"/>
      <c r="AC24" s="147"/>
      <c r="AD24" s="147"/>
      <c r="AE24" s="147"/>
      <c r="AF24" s="147"/>
      <c r="AG24" s="147"/>
      <c r="AH24" s="147"/>
      <c r="AI24" s="147"/>
      <c r="AJ24" s="147"/>
      <c r="AK24" s="147"/>
      <c r="AL24" s="147"/>
      <c r="AM24" s="151"/>
      <c r="AN24" s="148" t="str">
        <f ca="1">IFERROR(__xludf.DUMMYFUNCTION("""COMPUTED_VALUE"""),"257133")</f>
        <v>257133</v>
      </c>
      <c r="AO24" s="147" t="str">
        <f t="shared" ca="1" si="8"/>
        <v>QC</v>
      </c>
      <c r="AP24" s="147" t="e">
        <f t="shared" ca="1" si="9"/>
        <v>#NAME?</v>
      </c>
      <c r="AQ24" s="147" t="str">
        <f t="shared" ca="1" si="10"/>
        <v>ONC</v>
      </c>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7"/>
      <c r="CE24" s="147"/>
      <c r="CF24" s="147"/>
      <c r="CG24" s="147"/>
      <c r="CH24" s="147"/>
      <c r="CI24" s="147"/>
      <c r="CJ24" s="147"/>
      <c r="CK24" s="147"/>
    </row>
    <row r="25" spans="1:89">
      <c r="A25" s="153" t="s">
        <v>534</v>
      </c>
      <c r="B25" s="154" t="s">
        <v>535</v>
      </c>
      <c r="C25" s="155" t="s">
        <v>53</v>
      </c>
      <c r="D25" s="155" t="s">
        <v>847</v>
      </c>
      <c r="E25" s="154" t="s">
        <v>21</v>
      </c>
      <c r="F25" s="3" t="s">
        <v>926</v>
      </c>
      <c r="G25" s="3" t="s">
        <v>917</v>
      </c>
      <c r="H25" s="156" t="str">
        <f ca="1">IFERROR(
  _xludf.MINIFS(ATTENDANCE_LOG!$F:$F,
         ATTENDANCE_LOG!$A:$A, C25,
         ATTENDANCE_LOG!$B:$B, E25),
"")</f>
        <v/>
      </c>
      <c r="I25" s="156" t="str">
        <f t="shared" ca="1" si="0"/>
        <v/>
      </c>
      <c r="J25" s="3">
        <f>IFERROR(VLOOKUP(F25, LEVEL_HELPER!$A:$B, 2, 0), "")</f>
        <v>1</v>
      </c>
      <c r="K25" s="3">
        <f>IFERROR(VLOOKUP(G25, LEVEL_HELPER!$A:$B, 2, 0), "")</f>
        <v>3</v>
      </c>
      <c r="L25" s="157" t="s">
        <v>918</v>
      </c>
      <c r="M25" s="157" t="s">
        <v>922</v>
      </c>
      <c r="N25" s="3">
        <f t="array" aca="1" ref="N25" ca="1">IFERROR(
  INDEX($J$2:$J$543,
    MATCH(A25&amp;TEXT(I25,"yyyy-mm-dd"),
          $A$2:$A$543&amp;TEXT($H$2:$H$543,"yyyy-mm-dd"),
          0)),
"")</f>
        <v>1</v>
      </c>
      <c r="O25" s="147" t="str">
        <f t="shared" ca="1" si="1"/>
        <v/>
      </c>
      <c r="P25" s="147">
        <f t="shared" ref="P25:Q25" ca="1" si="34">IF(N25="",0,IF(N25&lt;=2,1,IF(N25&lt;=4,2,IF(N25&lt;=5.5,3,4))))</f>
        <v>1</v>
      </c>
      <c r="Q25" s="147">
        <f t="shared" ca="1" si="34"/>
        <v>0</v>
      </c>
      <c r="R25" s="147" t="str">
        <f t="shared" ca="1" si="3"/>
        <v>Not tested yet</v>
      </c>
      <c r="S25" s="147">
        <f t="shared" si="4"/>
        <v>1</v>
      </c>
      <c r="T25" s="147"/>
      <c r="U25" s="147"/>
      <c r="V25" s="148" t="e">
        <f ca="1"/>
        <v>#NAME?</v>
      </c>
      <c r="W25" s="147" t="e">
        <f t="shared" ca="1" si="5"/>
        <v>#NAME?</v>
      </c>
      <c r="X25" s="147" t="e">
        <f t="shared" ca="1" si="6"/>
        <v>#NAME?</v>
      </c>
      <c r="Y25" s="147" t="e">
        <f t="shared" ca="1" si="7"/>
        <v>#NAME?</v>
      </c>
      <c r="Z25" s="147"/>
      <c r="AA25" s="147"/>
      <c r="AB25" s="147"/>
      <c r="AC25" s="147"/>
      <c r="AD25" s="147"/>
      <c r="AE25" s="147"/>
      <c r="AF25" s="147"/>
      <c r="AG25" s="147"/>
      <c r="AH25" s="147"/>
      <c r="AI25" s="147"/>
      <c r="AJ25" s="147"/>
      <c r="AK25" s="147"/>
      <c r="AL25" s="147"/>
      <c r="AM25" s="151"/>
      <c r="AN25" s="148" t="str">
        <f ca="1">IFERROR(__xludf.DUMMYFUNCTION("""COMPUTED_VALUE"""),"173246")</f>
        <v>173246</v>
      </c>
      <c r="AO25" s="147" t="str">
        <f t="shared" ca="1" si="8"/>
        <v>GSD</v>
      </c>
      <c r="AP25" s="147" t="e">
        <f t="shared" ca="1" si="9"/>
        <v>#NAME?</v>
      </c>
      <c r="AQ25" s="147" t="str">
        <f t="shared" ca="1" si="10"/>
        <v>POC</v>
      </c>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row>
    <row r="26" spans="1:89">
      <c r="A26" s="159" t="s">
        <v>325</v>
      </c>
      <c r="B26" s="3" t="s">
        <v>326</v>
      </c>
      <c r="C26" s="160" t="s">
        <v>53</v>
      </c>
      <c r="D26" s="160" t="s">
        <v>847</v>
      </c>
      <c r="E26" s="3" t="s">
        <v>21</v>
      </c>
      <c r="F26" s="3" t="s">
        <v>926</v>
      </c>
      <c r="G26" s="3" t="s">
        <v>926</v>
      </c>
      <c r="H26" s="156" t="str">
        <f ca="1">IFERROR(
  _xludf.MINIFS(ATTENDANCE_LOG!$F:$F,
         ATTENDANCE_LOG!$A:$A, C26,
         ATTENDANCE_LOG!$B:$B, E26),
"")</f>
        <v/>
      </c>
      <c r="I26" s="156" t="str">
        <f t="shared" ca="1" si="0"/>
        <v/>
      </c>
      <c r="J26" s="3">
        <f>IFERROR(VLOOKUP(F26, LEVEL_HELPER!$A:$B, 2, 0), "")</f>
        <v>1</v>
      </c>
      <c r="K26" s="3">
        <f>IFERROR(VLOOKUP(G26, LEVEL_HELPER!$A:$B, 2, 0), "")</f>
        <v>1</v>
      </c>
      <c r="L26" s="157" t="s">
        <v>944</v>
      </c>
      <c r="M26" s="157" t="s">
        <v>921</v>
      </c>
      <c r="N26" s="3">
        <f t="array" aca="1" ref="N26" ca="1">IFERROR(
  INDEX($J$2:$J$543,
    MATCH(A26&amp;TEXT(I26,"yyyy-mm-dd"),
          $A$2:$A$543&amp;TEXT($H$2:$H$543,"yyyy-mm-dd"),
          0)),
"")</f>
        <v>1</v>
      </c>
      <c r="O26" s="147" t="str">
        <f t="shared" ca="1" si="1"/>
        <v/>
      </c>
      <c r="P26" s="147">
        <f t="shared" ref="P26:Q26" ca="1" si="35">IF(N26="",0,IF(N26&lt;=2,1,IF(N26&lt;=4,2,IF(N26&lt;=5.5,3,4))))</f>
        <v>1</v>
      </c>
      <c r="Q26" s="147">
        <f t="shared" ca="1" si="35"/>
        <v>0</v>
      </c>
      <c r="R26" s="147" t="str">
        <f t="shared" ca="1" si="3"/>
        <v>Not tested yet</v>
      </c>
      <c r="S26" s="147">
        <f t="shared" si="4"/>
        <v>1</v>
      </c>
      <c r="T26" s="147"/>
      <c r="U26" s="147"/>
      <c r="V26" s="148" t="e">
        <f ca="1"/>
        <v>#NAME?</v>
      </c>
      <c r="W26" s="147" t="e">
        <f t="shared" ca="1" si="5"/>
        <v>#NAME?</v>
      </c>
      <c r="X26" s="147" t="e">
        <f t="shared" ca="1" si="6"/>
        <v>#NAME?</v>
      </c>
      <c r="Y26" s="147" t="e">
        <f t="shared" ca="1" si="7"/>
        <v>#NAME?</v>
      </c>
      <c r="Z26" s="147"/>
      <c r="AA26" s="147"/>
      <c r="AB26" s="147"/>
      <c r="AC26" s="147"/>
      <c r="AD26" s="147"/>
      <c r="AE26" s="147"/>
      <c r="AF26" s="147"/>
      <c r="AG26" s="147"/>
      <c r="AH26" s="147"/>
      <c r="AI26" s="147"/>
      <c r="AJ26" s="147"/>
      <c r="AK26" s="147"/>
      <c r="AL26" s="147"/>
      <c r="AM26" s="151"/>
      <c r="AN26" s="148" t="str">
        <f ca="1">IFERROR(__xludf.DUMMYFUNCTION("""COMPUTED_VALUE"""),"173230")</f>
        <v>173230</v>
      </c>
      <c r="AO26" s="147" t="str">
        <f t="shared" ca="1" si="8"/>
        <v>QC</v>
      </c>
      <c r="AP26" s="147" t="e">
        <f t="shared" ca="1" si="9"/>
        <v>#NAME?</v>
      </c>
      <c r="AQ26" s="147" t="str">
        <f t="shared" ca="1" si="10"/>
        <v>POC</v>
      </c>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7"/>
      <c r="CE26" s="147"/>
      <c r="CF26" s="147"/>
      <c r="CG26" s="147"/>
      <c r="CH26" s="147"/>
      <c r="CI26" s="147"/>
      <c r="CJ26" s="147"/>
      <c r="CK26" s="147"/>
    </row>
    <row r="27" spans="1:89">
      <c r="A27" s="159" t="s">
        <v>415</v>
      </c>
      <c r="B27" s="3" t="s">
        <v>416</v>
      </c>
      <c r="C27" s="160" t="s">
        <v>53</v>
      </c>
      <c r="D27" s="160" t="s">
        <v>847</v>
      </c>
      <c r="E27" s="3" t="s">
        <v>21</v>
      </c>
      <c r="F27" s="3" t="s">
        <v>926</v>
      </c>
      <c r="G27" s="3" t="s">
        <v>926</v>
      </c>
      <c r="H27" s="156" t="str">
        <f ca="1">IFERROR(
  _xludf.MINIFS(ATTENDANCE_LOG!$F:$F,
         ATTENDANCE_LOG!$A:$A, C27,
         ATTENDANCE_LOG!$B:$B, E27),
"")</f>
        <v/>
      </c>
      <c r="I27" s="156" t="str">
        <f t="shared" ca="1" si="0"/>
        <v/>
      </c>
      <c r="J27" s="3">
        <f>IFERROR(VLOOKUP(F27, LEVEL_HELPER!$A:$B, 2, 0), "")</f>
        <v>1</v>
      </c>
      <c r="K27" s="3">
        <f>IFERROR(VLOOKUP(G27, LEVEL_HELPER!$A:$B, 2, 0), "")</f>
        <v>1</v>
      </c>
      <c r="L27" s="157" t="s">
        <v>918</v>
      </c>
      <c r="M27" s="157" t="s">
        <v>921</v>
      </c>
      <c r="N27" s="3">
        <f t="array" aca="1" ref="N27" ca="1">IFERROR(
  INDEX($J$2:$J$543,
    MATCH(A27&amp;TEXT(I27,"yyyy-mm-dd"),
          $A$2:$A$543&amp;TEXT($H$2:$H$543,"yyyy-mm-dd"),
          0)),
"")</f>
        <v>1</v>
      </c>
      <c r="O27" s="147" t="str">
        <f t="shared" ca="1" si="1"/>
        <v/>
      </c>
      <c r="P27" s="147">
        <f t="shared" ref="P27:Q27" ca="1" si="36">IF(N27="",0,IF(N27&lt;=2,1,IF(N27&lt;=4,2,IF(N27&lt;=5.5,3,4))))</f>
        <v>1</v>
      </c>
      <c r="Q27" s="147">
        <f t="shared" ca="1" si="36"/>
        <v>0</v>
      </c>
      <c r="R27" s="147" t="str">
        <f t="shared" ca="1" si="3"/>
        <v>Not tested yet</v>
      </c>
      <c r="S27" s="147">
        <f t="shared" si="4"/>
        <v>1</v>
      </c>
      <c r="T27" s="147"/>
      <c r="U27" s="147"/>
      <c r="V27" s="148" t="e">
        <f ca="1"/>
        <v>#NAME?</v>
      </c>
      <c r="W27" s="147" t="e">
        <f t="shared" ca="1" si="5"/>
        <v>#NAME?</v>
      </c>
      <c r="X27" s="147" t="e">
        <f t="shared" ca="1" si="6"/>
        <v>#NAME?</v>
      </c>
      <c r="Y27" s="147" t="e">
        <f t="shared" ca="1" si="7"/>
        <v>#NAME?</v>
      </c>
      <c r="Z27" s="147"/>
      <c r="AA27" s="147"/>
      <c r="AB27" s="147"/>
      <c r="AC27" s="147"/>
      <c r="AD27" s="147"/>
      <c r="AE27" s="147"/>
      <c r="AF27" s="147"/>
      <c r="AG27" s="147"/>
      <c r="AH27" s="147"/>
      <c r="AI27" s="147"/>
      <c r="AJ27" s="147"/>
      <c r="AK27" s="147"/>
      <c r="AL27" s="147"/>
      <c r="AM27" s="151"/>
      <c r="AN27" s="148" t="str">
        <f ca="1">IFERROR(__xludf.DUMMYFUNCTION("""COMPUTED_VALUE"""),"183422")</f>
        <v>183422</v>
      </c>
      <c r="AO27" s="147" t="str">
        <f t="shared" ca="1" si="8"/>
        <v>DEV</v>
      </c>
      <c r="AP27" s="147" t="e">
        <f t="shared" ca="1" si="9"/>
        <v>#NAME?</v>
      </c>
      <c r="AQ27" s="147" t="str">
        <f t="shared" ca="1" si="10"/>
        <v>ONC</v>
      </c>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7"/>
      <c r="CE27" s="147"/>
      <c r="CF27" s="147"/>
      <c r="CG27" s="147"/>
      <c r="CH27" s="147"/>
      <c r="CI27" s="147"/>
      <c r="CJ27" s="147"/>
      <c r="CK27" s="147"/>
    </row>
    <row r="28" spans="1:89">
      <c r="A28" s="159" t="s">
        <v>461</v>
      </c>
      <c r="B28" s="3" t="s">
        <v>462</v>
      </c>
      <c r="C28" s="160" t="s">
        <v>53</v>
      </c>
      <c r="D28" s="160" t="s">
        <v>847</v>
      </c>
      <c r="E28" s="3" t="s">
        <v>21</v>
      </c>
      <c r="F28" s="3" t="s">
        <v>926</v>
      </c>
      <c r="G28" s="3" t="s">
        <v>926</v>
      </c>
      <c r="H28" s="156" t="str">
        <f ca="1">IFERROR(
  _xludf.MINIFS(ATTENDANCE_LOG!$F:$F,
         ATTENDANCE_LOG!$A:$A, C28,
         ATTENDANCE_LOG!$B:$B, E28),
"")</f>
        <v/>
      </c>
      <c r="I28" s="156" t="str">
        <f t="shared" ca="1" si="0"/>
        <v/>
      </c>
      <c r="J28" s="3">
        <f>IFERROR(VLOOKUP(F28, LEVEL_HELPER!$A:$B, 2, 0), "")</f>
        <v>1</v>
      </c>
      <c r="K28" s="3">
        <f>IFERROR(VLOOKUP(G28, LEVEL_HELPER!$A:$B, 2, 0), "")</f>
        <v>1</v>
      </c>
      <c r="L28" s="157" t="s">
        <v>918</v>
      </c>
      <c r="M28" s="157" t="s">
        <v>922</v>
      </c>
      <c r="N28" s="3">
        <f t="array" aca="1" ref="N28" ca="1">IFERROR(
  INDEX($J$2:$J$543,
    MATCH(A28&amp;TEXT(I28,"yyyy-mm-dd"),
          $A$2:$A$543&amp;TEXT($H$2:$H$543,"yyyy-mm-dd"),
          0)),
"")</f>
        <v>1</v>
      </c>
      <c r="O28" s="147" t="str">
        <f t="shared" ca="1" si="1"/>
        <v/>
      </c>
      <c r="P28" s="147">
        <f t="shared" ref="P28:Q28" ca="1" si="37">IF(N28="",0,IF(N28&lt;=2,1,IF(N28&lt;=4,2,IF(N28&lt;=5.5,3,4))))</f>
        <v>1</v>
      </c>
      <c r="Q28" s="147">
        <f t="shared" ca="1" si="37"/>
        <v>0</v>
      </c>
      <c r="R28" s="147" t="str">
        <f t="shared" ca="1" si="3"/>
        <v>Not tested yet</v>
      </c>
      <c r="S28" s="147">
        <f t="shared" si="4"/>
        <v>1</v>
      </c>
      <c r="T28" s="147"/>
      <c r="U28" s="147"/>
      <c r="V28" s="148" t="e">
        <f ca="1"/>
        <v>#NAME?</v>
      </c>
      <c r="W28" s="147" t="e">
        <f t="shared" ca="1" si="5"/>
        <v>#NAME?</v>
      </c>
      <c r="X28" s="147" t="e">
        <f t="shared" ca="1" si="6"/>
        <v>#NAME?</v>
      </c>
      <c r="Y28" s="147" t="e">
        <f t="shared" ca="1" si="7"/>
        <v>#NAME?</v>
      </c>
      <c r="Z28" s="147"/>
      <c r="AA28" s="147"/>
      <c r="AB28" s="147"/>
      <c r="AC28" s="147"/>
      <c r="AD28" s="147"/>
      <c r="AE28" s="147"/>
      <c r="AF28" s="147"/>
      <c r="AG28" s="147"/>
      <c r="AH28" s="147"/>
      <c r="AI28" s="147"/>
      <c r="AJ28" s="147"/>
      <c r="AK28" s="147"/>
      <c r="AL28" s="147"/>
      <c r="AM28" s="151"/>
      <c r="AN28" s="148" t="str">
        <f ca="1">IFERROR(__xludf.DUMMYFUNCTION("""COMPUTED_VALUE"""),"213889")</f>
        <v>213889</v>
      </c>
      <c r="AO28" s="147" t="str">
        <f t="shared" ca="1" si="8"/>
        <v>DEV</v>
      </c>
      <c r="AP28" s="147" t="e">
        <f t="shared" ca="1" si="9"/>
        <v>#NAME?</v>
      </c>
      <c r="AQ28" s="147" t="str">
        <f t="shared" ca="1" si="10"/>
        <v>MOC</v>
      </c>
      <c r="AR28" s="147"/>
      <c r="AS28" s="147"/>
      <c r="AT28" s="147"/>
      <c r="AU28" s="147"/>
      <c r="AV28" s="147"/>
      <c r="AW28" s="147"/>
      <c r="AX28" s="147"/>
      <c r="AY28" s="147"/>
      <c r="AZ28" s="147"/>
      <c r="BA28" s="147"/>
      <c r="BB28" s="147"/>
      <c r="BC28" s="147"/>
      <c r="BD28" s="147"/>
      <c r="BE28" s="147"/>
      <c r="BF28" s="147"/>
      <c r="BG28" s="147"/>
      <c r="BH28" s="147"/>
      <c r="BI28" s="147"/>
      <c r="BJ28" s="147"/>
      <c r="BK28" s="147"/>
      <c r="BL28" s="147"/>
      <c r="BM28" s="147"/>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row>
    <row r="29" spans="1:89">
      <c r="A29" s="159" t="s">
        <v>560</v>
      </c>
      <c r="B29" s="3" t="s">
        <v>561</v>
      </c>
      <c r="C29" s="160" t="s">
        <v>53</v>
      </c>
      <c r="D29" s="160" t="s">
        <v>847</v>
      </c>
      <c r="E29" s="3" t="s">
        <v>21</v>
      </c>
      <c r="F29" s="3" t="s">
        <v>926</v>
      </c>
      <c r="G29" s="3" t="s">
        <v>926</v>
      </c>
      <c r="H29" s="156" t="str">
        <f ca="1">IFERROR(
  _xludf.MINIFS(ATTENDANCE_LOG!$F:$F,
         ATTENDANCE_LOG!$A:$A, C29,
         ATTENDANCE_LOG!$B:$B, E29),
"")</f>
        <v/>
      </c>
      <c r="I29" s="156" t="str">
        <f t="shared" ca="1" si="0"/>
        <v/>
      </c>
      <c r="J29" s="3">
        <f>IFERROR(VLOOKUP(F29, LEVEL_HELPER!$A:$B, 2, 0), "")</f>
        <v>1</v>
      </c>
      <c r="K29" s="3">
        <f>IFERROR(VLOOKUP(G29, LEVEL_HELPER!$A:$B, 2, 0), "")</f>
        <v>1</v>
      </c>
      <c r="L29" s="157" t="s">
        <v>918</v>
      </c>
      <c r="M29" s="157" t="s">
        <v>921</v>
      </c>
      <c r="N29" s="3">
        <f t="array" aca="1" ref="N29" ca="1">IFERROR(
  INDEX($J$2:$J$543,
    MATCH(A29&amp;TEXT(I29,"yyyy-mm-dd"),
          $A$2:$A$543&amp;TEXT($H$2:$H$543,"yyyy-mm-dd"),
          0)),
"")</f>
        <v>1</v>
      </c>
      <c r="O29" s="147" t="str">
        <f t="shared" ca="1" si="1"/>
        <v/>
      </c>
      <c r="P29" s="147">
        <f t="shared" ref="P29:Q29" ca="1" si="38">IF(N29="",0,IF(N29&lt;=2,1,IF(N29&lt;=4,2,IF(N29&lt;=5.5,3,4))))</f>
        <v>1</v>
      </c>
      <c r="Q29" s="147">
        <f t="shared" ca="1" si="38"/>
        <v>0</v>
      </c>
      <c r="R29" s="147" t="str">
        <f t="shared" ca="1" si="3"/>
        <v>Not tested yet</v>
      </c>
      <c r="S29" s="147">
        <f t="shared" si="4"/>
        <v>1</v>
      </c>
      <c r="T29" s="147"/>
      <c r="U29" s="147"/>
      <c r="V29" s="148" t="e">
        <f ca="1"/>
        <v>#NAME?</v>
      </c>
      <c r="W29" s="147" t="e">
        <f t="shared" ca="1" si="5"/>
        <v>#NAME?</v>
      </c>
      <c r="X29" s="147" t="e">
        <f t="shared" ca="1" si="6"/>
        <v>#NAME?</v>
      </c>
      <c r="Y29" s="147" t="e">
        <f t="shared" ca="1" si="7"/>
        <v>#NAME?</v>
      </c>
      <c r="Z29" s="147"/>
      <c r="AA29" s="147"/>
      <c r="AB29" s="147"/>
      <c r="AC29" s="147"/>
      <c r="AD29" s="147"/>
      <c r="AE29" s="147"/>
      <c r="AF29" s="147"/>
      <c r="AG29" s="147"/>
      <c r="AH29" s="147"/>
      <c r="AI29" s="147"/>
      <c r="AJ29" s="147"/>
      <c r="AK29" s="147"/>
      <c r="AL29" s="147"/>
      <c r="AM29" s="151"/>
      <c r="AN29" s="148" t="str">
        <f ca="1">IFERROR(__xludf.DUMMYFUNCTION("""COMPUTED_VALUE"""),"163188")</f>
        <v>163188</v>
      </c>
      <c r="AO29" s="147" t="str">
        <f t="shared" ca="1" si="8"/>
        <v>DEV</v>
      </c>
      <c r="AP29" s="147" t="e">
        <f t="shared" ca="1" si="9"/>
        <v>#NAME?</v>
      </c>
      <c r="AQ29" s="147" t="str">
        <f t="shared" ca="1" si="10"/>
        <v>MOC</v>
      </c>
      <c r="AR29" s="147"/>
      <c r="AS29" s="147"/>
      <c r="AT29" s="147"/>
      <c r="AU29" s="147"/>
      <c r="AV29" s="147"/>
      <c r="AW29" s="147"/>
      <c r="AX29" s="147"/>
      <c r="AY29" s="147"/>
      <c r="AZ29" s="147"/>
      <c r="BA29" s="147"/>
      <c r="BB29" s="147"/>
      <c r="BC29" s="147"/>
      <c r="BD29" s="147"/>
      <c r="BE29" s="147"/>
      <c r="BF29" s="147"/>
      <c r="BG29" s="147"/>
      <c r="BH29" s="147"/>
      <c r="BI29" s="147"/>
      <c r="BJ29" s="147"/>
      <c r="BK29" s="147"/>
      <c r="BL29" s="147"/>
      <c r="BM29" s="147"/>
      <c r="BN29" s="147"/>
      <c r="BO29" s="147"/>
      <c r="BP29" s="147"/>
      <c r="BQ29" s="147"/>
      <c r="BR29" s="147"/>
      <c r="BS29" s="147"/>
      <c r="BT29" s="147"/>
      <c r="BU29" s="147"/>
      <c r="BV29" s="147"/>
      <c r="BW29" s="147"/>
      <c r="BX29" s="147"/>
      <c r="BY29" s="147"/>
      <c r="BZ29" s="147"/>
      <c r="CA29" s="147"/>
      <c r="CB29" s="147"/>
      <c r="CC29" s="147"/>
      <c r="CD29" s="147"/>
      <c r="CE29" s="147"/>
      <c r="CF29" s="147"/>
      <c r="CG29" s="147"/>
      <c r="CH29" s="147"/>
      <c r="CI29" s="147"/>
      <c r="CJ29" s="147"/>
      <c r="CK29" s="147"/>
    </row>
    <row r="30" spans="1:89">
      <c r="A30" s="159" t="s">
        <v>399</v>
      </c>
      <c r="B30" s="3" t="s">
        <v>400</v>
      </c>
      <c r="C30" s="160" t="s">
        <v>53</v>
      </c>
      <c r="D30" s="160" t="s">
        <v>847</v>
      </c>
      <c r="E30" s="3" t="s">
        <v>21</v>
      </c>
      <c r="F30" s="3" t="s">
        <v>916</v>
      </c>
      <c r="G30" s="3" t="s">
        <v>934</v>
      </c>
      <c r="H30" s="156" t="str">
        <f ca="1">IFERROR(
  _xludf.MINIFS(ATTENDANCE_LOG!$F:$F,
         ATTENDANCE_LOG!$A:$A, C30,
         ATTENDANCE_LOG!$B:$B, E30),
"")</f>
        <v/>
      </c>
      <c r="I30" s="156" t="str">
        <f t="shared" ca="1" si="0"/>
        <v/>
      </c>
      <c r="J30" s="3">
        <f>IFERROR(VLOOKUP(F30, LEVEL_HELPER!$A:$B, 2, 0), "")</f>
        <v>2.5</v>
      </c>
      <c r="K30" s="3">
        <f>IFERROR(VLOOKUP(G30, LEVEL_HELPER!$A:$B, 2, 0), "")</f>
        <v>3.5</v>
      </c>
      <c r="L30" s="157" t="s">
        <v>944</v>
      </c>
      <c r="M30" s="157" t="s">
        <v>922</v>
      </c>
      <c r="N30" s="3">
        <f t="array" aca="1" ref="N30" ca="1">IFERROR(
  INDEX($J$2:$J$543,
    MATCH(A30&amp;TEXT(I30,"yyyy-mm-dd"),
          $A$2:$A$543&amp;TEXT($H$2:$H$543,"yyyy-mm-dd"),
          0)),
"")</f>
        <v>2.5</v>
      </c>
      <c r="O30" s="147" t="str">
        <f t="shared" ca="1" si="1"/>
        <v/>
      </c>
      <c r="P30" s="147">
        <f t="shared" ref="P30:Q30" ca="1" si="39">IF(N30="",0,IF(N30&lt;=2,1,IF(N30&lt;=4,2,IF(N30&lt;=5.5,3,4))))</f>
        <v>2</v>
      </c>
      <c r="Q30" s="147">
        <f t="shared" ca="1" si="39"/>
        <v>0</v>
      </c>
      <c r="R30" s="147" t="str">
        <f t="shared" ca="1" si="3"/>
        <v>Not tested yet</v>
      </c>
      <c r="S30" s="147">
        <f t="shared" si="4"/>
        <v>1</v>
      </c>
      <c r="T30" s="147"/>
      <c r="U30" s="147"/>
      <c r="V30" s="148" t="e">
        <f ca="1"/>
        <v>#NAME?</v>
      </c>
      <c r="W30" s="147" t="e">
        <f t="shared" ca="1" si="5"/>
        <v>#NAME?</v>
      </c>
      <c r="X30" s="147" t="e">
        <f t="shared" ca="1" si="6"/>
        <v>#NAME?</v>
      </c>
      <c r="Y30" s="147" t="e">
        <f t="shared" ca="1" si="7"/>
        <v>#NAME?</v>
      </c>
      <c r="Z30" s="147"/>
      <c r="AA30" s="147"/>
      <c r="AB30" s="147"/>
      <c r="AC30" s="147"/>
      <c r="AD30" s="147"/>
      <c r="AE30" s="147"/>
      <c r="AF30" s="147"/>
      <c r="AG30" s="147"/>
      <c r="AH30" s="147"/>
      <c r="AI30" s="147"/>
      <c r="AJ30" s="147"/>
      <c r="AK30" s="147"/>
      <c r="AL30" s="147"/>
      <c r="AM30" s="151"/>
      <c r="AN30" s="148" t="str">
        <f ca="1">IFERROR(__xludf.DUMMYFUNCTION("""COMPUTED_VALUE"""),"133051")</f>
        <v>133051</v>
      </c>
      <c r="AO30" s="147" t="str">
        <f t="shared" ca="1" si="8"/>
        <v>DEV</v>
      </c>
      <c r="AP30" s="147" t="e">
        <f t="shared" ca="1" si="9"/>
        <v>#NAME?</v>
      </c>
      <c r="AQ30" s="147" t="str">
        <f t="shared" ca="1" si="10"/>
        <v>TBU</v>
      </c>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c r="CB30" s="147"/>
      <c r="CC30" s="147"/>
      <c r="CD30" s="147"/>
      <c r="CE30" s="147"/>
      <c r="CF30" s="147"/>
      <c r="CG30" s="147"/>
      <c r="CH30" s="147"/>
      <c r="CI30" s="147"/>
      <c r="CJ30" s="147"/>
      <c r="CK30" s="147"/>
    </row>
    <row r="31" spans="1:89">
      <c r="A31" s="153" t="s">
        <v>510</v>
      </c>
      <c r="B31" s="154" t="s">
        <v>511</v>
      </c>
      <c r="C31" s="155" t="s">
        <v>54</v>
      </c>
      <c r="D31" s="155" t="s">
        <v>848</v>
      </c>
      <c r="E31" s="154" t="s">
        <v>21</v>
      </c>
      <c r="F31" s="3" t="s">
        <v>916</v>
      </c>
      <c r="G31" s="3" t="s">
        <v>934</v>
      </c>
      <c r="H31" s="156" t="str">
        <f ca="1">IFERROR(
  _xludf.MINIFS(ATTENDANCE_LOG!$F:$F,
         ATTENDANCE_LOG!$A:$A, C31,
         ATTENDANCE_LOG!$B:$B, E31),
"")</f>
        <v/>
      </c>
      <c r="I31" s="156" t="str">
        <f t="shared" ca="1" si="0"/>
        <v/>
      </c>
      <c r="J31" s="3">
        <f>IFERROR(VLOOKUP(F31, LEVEL_HELPER!$A:$B, 2, 0), "")</f>
        <v>2.5</v>
      </c>
      <c r="K31" s="3">
        <f>IFERROR(VLOOKUP(G31, LEVEL_HELPER!$A:$B, 2, 0), "")</f>
        <v>3.5</v>
      </c>
      <c r="L31" s="157" t="s">
        <v>942</v>
      </c>
      <c r="M31" s="157" t="s">
        <v>924</v>
      </c>
      <c r="N31" s="3">
        <f t="array" aca="1" ref="N31" ca="1">IFERROR(
  INDEX($J$2:$J$543,
    MATCH(A31&amp;TEXT(I31,"yyyy-mm-dd"),
          $A$2:$A$543&amp;TEXT($H$2:$H$543,"yyyy-mm-dd"),
          0)),
"")</f>
        <v>2.5</v>
      </c>
      <c r="O31" s="147" t="str">
        <f t="shared" ca="1" si="1"/>
        <v/>
      </c>
      <c r="P31" s="147">
        <f t="shared" ref="P31:Q31" ca="1" si="40">IF(N31="",0,IF(N31&lt;=2,1,IF(N31&lt;=4,2,IF(N31&lt;=5.5,3,4))))</f>
        <v>2</v>
      </c>
      <c r="Q31" s="147">
        <f t="shared" ca="1" si="40"/>
        <v>0</v>
      </c>
      <c r="R31" s="147" t="str">
        <f t="shared" ca="1" si="3"/>
        <v>Not tested yet</v>
      </c>
      <c r="S31" s="147">
        <f t="shared" si="4"/>
        <v>1</v>
      </c>
      <c r="T31" s="147"/>
      <c r="U31" s="147"/>
      <c r="V31" s="148" t="e">
        <f ca="1"/>
        <v>#NAME?</v>
      </c>
      <c r="W31" s="147" t="e">
        <f t="shared" ca="1" si="5"/>
        <v>#NAME?</v>
      </c>
      <c r="X31" s="147" t="e">
        <f t="shared" ca="1" si="6"/>
        <v>#NAME?</v>
      </c>
      <c r="Y31" s="147" t="e">
        <f t="shared" ca="1" si="7"/>
        <v>#NAME?</v>
      </c>
      <c r="Z31" s="147"/>
      <c r="AC31" s="147"/>
      <c r="AD31" s="147"/>
      <c r="AE31" s="147"/>
      <c r="AF31" s="147"/>
      <c r="AG31" s="147"/>
      <c r="AH31" s="147"/>
      <c r="AI31" s="147"/>
      <c r="AJ31" s="147"/>
      <c r="AK31" s="147"/>
      <c r="AL31" s="147"/>
      <c r="AM31" s="151"/>
      <c r="AN31" s="148" t="str">
        <f ca="1">IFERROR(__xludf.DUMMYFUNCTION("""COMPUTED_VALUE"""),"143079")</f>
        <v>143079</v>
      </c>
      <c r="AO31" s="147" t="str">
        <f t="shared" ca="1" si="8"/>
        <v>QC</v>
      </c>
      <c r="AP31" s="147" t="e">
        <f t="shared" ca="1" si="9"/>
        <v>#NAME?</v>
      </c>
      <c r="AQ31" s="147" t="str">
        <f t="shared" ca="1" si="10"/>
        <v>POC</v>
      </c>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7"/>
      <c r="CE31" s="147"/>
      <c r="CF31" s="147"/>
      <c r="CG31" s="147"/>
      <c r="CH31" s="147"/>
      <c r="CI31" s="147"/>
      <c r="CJ31" s="147"/>
      <c r="CK31" s="147"/>
    </row>
    <row r="32" spans="1:89">
      <c r="A32" s="159" t="s">
        <v>144</v>
      </c>
      <c r="B32" s="3" t="s">
        <v>145</v>
      </c>
      <c r="C32" s="160" t="s">
        <v>54</v>
      </c>
      <c r="D32" s="160" t="s">
        <v>848</v>
      </c>
      <c r="E32" s="3" t="s">
        <v>21</v>
      </c>
      <c r="F32" s="3" t="s">
        <v>926</v>
      </c>
      <c r="G32" s="3" t="s">
        <v>926</v>
      </c>
      <c r="H32" s="156" t="str">
        <f ca="1">IFERROR(
  _xludf.MINIFS(ATTENDANCE_LOG!$F:$F,
         ATTENDANCE_LOG!$A:$A, C32,
         ATTENDANCE_LOG!$B:$B, E32),
"")</f>
        <v/>
      </c>
      <c r="I32" s="156" t="str">
        <f t="shared" ca="1" si="0"/>
        <v/>
      </c>
      <c r="J32" s="3">
        <f>IFERROR(VLOOKUP(F32, LEVEL_HELPER!$A:$B, 2, 0), "")</f>
        <v>1</v>
      </c>
      <c r="K32" s="3">
        <f>IFERROR(VLOOKUP(G32, LEVEL_HELPER!$A:$B, 2, 0), "")</f>
        <v>1</v>
      </c>
      <c r="L32" s="157" t="s">
        <v>942</v>
      </c>
      <c r="M32" s="157" t="s">
        <v>924</v>
      </c>
      <c r="N32" s="3">
        <f t="array" aca="1" ref="N32" ca="1">IFERROR(
  INDEX($J$2:$J$543,
    MATCH(A32&amp;TEXT(I32,"yyyy-mm-dd"),
          $A$2:$A$543&amp;TEXT($H$2:$H$543,"yyyy-mm-dd"),
          0)),
"")</f>
        <v>1</v>
      </c>
      <c r="O32" s="147" t="str">
        <f t="shared" ca="1" si="1"/>
        <v/>
      </c>
      <c r="P32" s="147">
        <f t="shared" ref="P32:Q32" ca="1" si="41">IF(N32="",0,IF(N32&lt;=2,1,IF(N32&lt;=4,2,IF(N32&lt;=5.5,3,4))))</f>
        <v>1</v>
      </c>
      <c r="Q32" s="147">
        <f t="shared" ca="1" si="41"/>
        <v>0</v>
      </c>
      <c r="R32" s="147" t="str">
        <f t="shared" ca="1" si="3"/>
        <v>Not tested yet</v>
      </c>
      <c r="S32" s="147">
        <f t="shared" si="4"/>
        <v>1</v>
      </c>
      <c r="T32" s="147"/>
      <c r="U32" s="147"/>
      <c r="V32" s="148" t="e">
        <f ca="1"/>
        <v>#NAME?</v>
      </c>
      <c r="W32" s="147" t="e">
        <f t="shared" ca="1" si="5"/>
        <v>#NAME?</v>
      </c>
      <c r="X32" s="147" t="e">
        <f t="shared" ca="1" si="6"/>
        <v>#NAME?</v>
      </c>
      <c r="Y32" s="147" t="e">
        <f t="shared" ca="1" si="7"/>
        <v>#NAME?</v>
      </c>
      <c r="Z32" s="147"/>
      <c r="AC32" s="147"/>
      <c r="AD32" s="147"/>
      <c r="AE32" s="147"/>
      <c r="AF32" s="147"/>
      <c r="AG32" s="147"/>
      <c r="AH32" s="147"/>
      <c r="AI32" s="147"/>
      <c r="AJ32" s="147"/>
      <c r="AK32" s="147"/>
      <c r="AL32" s="147"/>
      <c r="AM32" s="151"/>
      <c r="AN32" s="148" t="str">
        <f ca="1">IFERROR(__xludf.DUMMYFUNCTION("""COMPUTED_VALUE"""),"237035")</f>
        <v>237035</v>
      </c>
      <c r="AO32" s="147" t="str">
        <f t="shared" ca="1" si="8"/>
        <v>DEV</v>
      </c>
      <c r="AP32" s="147" t="e">
        <f t="shared" ca="1" si="9"/>
        <v>#NAME?</v>
      </c>
      <c r="AQ32" s="147" t="str">
        <f t="shared" ca="1" si="10"/>
        <v>ONC</v>
      </c>
      <c r="AR32" s="147"/>
      <c r="AS32" s="147"/>
      <c r="AT32" s="147"/>
      <c r="AU32" s="147"/>
      <c r="AV32" s="147"/>
      <c r="AW32" s="147"/>
      <c r="AX32" s="147"/>
      <c r="AY32" s="147"/>
      <c r="AZ32" s="147"/>
      <c r="BA32" s="147"/>
      <c r="BB32" s="147"/>
      <c r="BC32" s="147"/>
      <c r="BD32" s="147"/>
      <c r="BE32" s="147"/>
      <c r="BF32" s="147"/>
      <c r="BG32" s="147"/>
      <c r="BH32" s="147"/>
      <c r="BI32" s="147"/>
      <c r="BJ32" s="147"/>
      <c r="BK32" s="147"/>
      <c r="BL32" s="147"/>
      <c r="BM32" s="147"/>
      <c r="BN32" s="147"/>
      <c r="BO32" s="147"/>
      <c r="BP32" s="147"/>
      <c r="BQ32" s="147"/>
      <c r="BR32" s="147"/>
      <c r="BS32" s="147"/>
      <c r="BT32" s="147"/>
      <c r="BU32" s="147"/>
      <c r="BV32" s="147"/>
      <c r="BW32" s="147"/>
      <c r="BX32" s="147"/>
      <c r="BY32" s="147"/>
      <c r="BZ32" s="147"/>
      <c r="CA32" s="147"/>
      <c r="CB32" s="147"/>
      <c r="CC32" s="147"/>
      <c r="CD32" s="147"/>
      <c r="CE32" s="147"/>
      <c r="CF32" s="147"/>
      <c r="CG32" s="147"/>
      <c r="CH32" s="147"/>
      <c r="CI32" s="147"/>
      <c r="CJ32" s="147"/>
      <c r="CK32" s="147"/>
    </row>
    <row r="33" spans="1:89">
      <c r="A33" s="159" t="s">
        <v>155</v>
      </c>
      <c r="B33" s="3" t="s">
        <v>156</v>
      </c>
      <c r="C33" s="160" t="s">
        <v>54</v>
      </c>
      <c r="D33" s="160" t="s">
        <v>848</v>
      </c>
      <c r="E33" s="3" t="s">
        <v>21</v>
      </c>
      <c r="F33" s="3" t="s">
        <v>926</v>
      </c>
      <c r="G33" s="3" t="s">
        <v>940</v>
      </c>
      <c r="H33" s="156" t="str">
        <f ca="1">IFERROR(
  _xludf.MINIFS(ATTENDANCE_LOG!$F:$F,
         ATTENDANCE_LOG!$A:$A, C33,
         ATTENDANCE_LOG!$B:$B, E33),
"")</f>
        <v/>
      </c>
      <c r="I33" s="156" t="str">
        <f t="shared" ca="1" si="0"/>
        <v/>
      </c>
      <c r="J33" s="3">
        <f>IFERROR(VLOOKUP(F33, LEVEL_HELPER!$A:$B, 2, 0), "")</f>
        <v>1</v>
      </c>
      <c r="K33" s="3">
        <f>IFERROR(VLOOKUP(G33, LEVEL_HELPER!$A:$B, 2, 0), "")</f>
        <v>5</v>
      </c>
      <c r="L33" s="157" t="s">
        <v>942</v>
      </c>
      <c r="M33" s="157" t="s">
        <v>924</v>
      </c>
      <c r="N33" s="3">
        <f t="array" aca="1" ref="N33" ca="1">IFERROR(
  INDEX($J$2:$J$543,
    MATCH(A33&amp;TEXT(I33,"yyyy-mm-dd"),
          $A$2:$A$543&amp;TEXT($H$2:$H$543,"yyyy-mm-dd"),
          0)),
"")</f>
        <v>1</v>
      </c>
      <c r="O33" s="147" t="str">
        <f t="shared" ca="1" si="1"/>
        <v/>
      </c>
      <c r="P33" s="147">
        <f t="shared" ref="P33:Q33" ca="1" si="42">IF(N33="",0,IF(N33&lt;=2,1,IF(N33&lt;=4,2,IF(N33&lt;=5.5,3,4))))</f>
        <v>1</v>
      </c>
      <c r="Q33" s="147">
        <f t="shared" ca="1" si="42"/>
        <v>0</v>
      </c>
      <c r="R33" s="147" t="str">
        <f t="shared" ca="1" si="3"/>
        <v>Not tested yet</v>
      </c>
      <c r="S33" s="147">
        <f t="shared" si="4"/>
        <v>1</v>
      </c>
      <c r="T33" s="147"/>
      <c r="U33" s="147"/>
      <c r="V33" s="148" t="e">
        <f ca="1"/>
        <v>#NAME?</v>
      </c>
      <c r="W33" s="147" t="e">
        <f t="shared" ca="1" si="5"/>
        <v>#NAME?</v>
      </c>
      <c r="X33" s="147" t="e">
        <f t="shared" ca="1" si="6"/>
        <v>#NAME?</v>
      </c>
      <c r="Y33" s="147" t="e">
        <f t="shared" ca="1" si="7"/>
        <v>#NAME?</v>
      </c>
      <c r="Z33" s="147"/>
      <c r="AC33" s="147"/>
      <c r="AD33" s="147"/>
      <c r="AE33" s="147"/>
      <c r="AF33" s="147"/>
      <c r="AG33" s="147"/>
      <c r="AH33" s="147"/>
      <c r="AI33" s="147"/>
      <c r="AJ33" s="147"/>
      <c r="AK33" s="147"/>
      <c r="AL33" s="147"/>
      <c r="AM33" s="151"/>
      <c r="AN33" s="148" t="str">
        <f ca="1">IFERROR(__xludf.DUMMYFUNCTION("""COMPUTED_VALUE"""),"247413")</f>
        <v>247413</v>
      </c>
      <c r="AO33" s="147" t="str">
        <f t="shared" ca="1" si="8"/>
        <v>DEV</v>
      </c>
      <c r="AP33" s="147" t="e">
        <f t="shared" ca="1" si="9"/>
        <v>#NAME?</v>
      </c>
      <c r="AQ33" s="147" t="str">
        <f t="shared" ca="1" si="10"/>
        <v>CHORUS</v>
      </c>
      <c r="AR33" s="147"/>
      <c r="AS33" s="147"/>
      <c r="AT33" s="147"/>
      <c r="AU33" s="147"/>
      <c r="AV33" s="147"/>
      <c r="AW33" s="147"/>
      <c r="AX33" s="147"/>
      <c r="AY33" s="147"/>
      <c r="AZ33" s="147"/>
      <c r="BA33" s="147"/>
      <c r="BB33" s="147"/>
      <c r="BC33" s="147"/>
      <c r="BD33" s="147"/>
      <c r="BE33" s="147"/>
      <c r="BF33" s="147"/>
      <c r="BG33" s="147"/>
      <c r="BH33" s="147"/>
      <c r="BI33" s="147"/>
      <c r="BJ33" s="147"/>
      <c r="BK33" s="147"/>
      <c r="BL33" s="147"/>
      <c r="BM33" s="147"/>
      <c r="BN33" s="147"/>
      <c r="BO33" s="147"/>
      <c r="BP33" s="147"/>
      <c r="BQ33" s="147"/>
      <c r="BR33" s="147"/>
      <c r="BS33" s="147"/>
      <c r="BT33" s="147"/>
      <c r="BU33" s="147"/>
      <c r="BV33" s="147"/>
      <c r="BW33" s="147"/>
      <c r="BX33" s="147"/>
      <c r="BY33" s="147"/>
      <c r="BZ33" s="147"/>
      <c r="CA33" s="147"/>
      <c r="CB33" s="147"/>
      <c r="CC33" s="147"/>
      <c r="CD33" s="147"/>
      <c r="CE33" s="147"/>
      <c r="CF33" s="147"/>
      <c r="CG33" s="147"/>
      <c r="CH33" s="147"/>
      <c r="CI33" s="147"/>
      <c r="CJ33" s="147"/>
      <c r="CK33" s="147"/>
    </row>
    <row r="34" spans="1:89">
      <c r="A34" s="159" t="s">
        <v>226</v>
      </c>
      <c r="B34" s="3" t="s">
        <v>227</v>
      </c>
      <c r="C34" s="160" t="s">
        <v>54</v>
      </c>
      <c r="D34" s="160" t="s">
        <v>848</v>
      </c>
      <c r="E34" s="3" t="s">
        <v>21</v>
      </c>
      <c r="F34" s="3" t="s">
        <v>926</v>
      </c>
      <c r="G34" s="3" t="s">
        <v>928</v>
      </c>
      <c r="H34" s="156" t="str">
        <f ca="1">IFERROR(
  _xludf.MINIFS(ATTENDANCE_LOG!$F:$F,
         ATTENDANCE_LOG!$A:$A, C34,
         ATTENDANCE_LOG!$B:$B, E34),
"")</f>
        <v/>
      </c>
      <c r="I34" s="156" t="str">
        <f t="shared" ca="1" si="0"/>
        <v/>
      </c>
      <c r="J34" s="3">
        <f>IFERROR(VLOOKUP(F34, LEVEL_HELPER!$A:$B, 2, 0), "")</f>
        <v>1</v>
      </c>
      <c r="K34" s="3">
        <f>IFERROR(VLOOKUP(G34, LEVEL_HELPER!$A:$B, 2, 0), "")</f>
        <v>1.5</v>
      </c>
      <c r="L34" s="157" t="s">
        <v>942</v>
      </c>
      <c r="M34" s="157" t="s">
        <v>924</v>
      </c>
      <c r="N34" s="3">
        <f t="array" aca="1" ref="N34" ca="1">IFERROR(
  INDEX($J$2:$J$543,
    MATCH(A34&amp;TEXT(I34,"yyyy-mm-dd"),
          $A$2:$A$543&amp;TEXT($H$2:$H$543,"yyyy-mm-dd"),
          0)),
"")</f>
        <v>1</v>
      </c>
      <c r="O34" s="147" t="str">
        <f t="shared" ca="1" si="1"/>
        <v/>
      </c>
      <c r="P34" s="147">
        <f t="shared" ref="P34:Q34" ca="1" si="43">IF(N34="",0,IF(N34&lt;=2,1,IF(N34&lt;=4,2,IF(N34&lt;=5.5,3,4))))</f>
        <v>1</v>
      </c>
      <c r="Q34" s="147">
        <f t="shared" ca="1" si="43"/>
        <v>0</v>
      </c>
      <c r="R34" s="147" t="str">
        <f t="shared" ca="1" si="3"/>
        <v>Not tested yet</v>
      </c>
      <c r="S34" s="147">
        <f t="shared" si="4"/>
        <v>1</v>
      </c>
      <c r="T34" s="147"/>
      <c r="U34" s="147"/>
      <c r="V34" s="148" t="e">
        <f ca="1"/>
        <v>#NAME?</v>
      </c>
      <c r="W34" s="147" t="e">
        <f t="shared" ca="1" si="5"/>
        <v>#NAME?</v>
      </c>
      <c r="X34" s="147" t="e">
        <f t="shared" ca="1" si="6"/>
        <v>#NAME?</v>
      </c>
      <c r="Y34" s="147" t="e">
        <f t="shared" ca="1" si="7"/>
        <v>#NAME?</v>
      </c>
      <c r="Z34" s="147"/>
      <c r="AC34" s="147"/>
      <c r="AD34" s="147"/>
      <c r="AE34" s="147"/>
      <c r="AF34" s="147"/>
      <c r="AG34" s="147"/>
      <c r="AH34" s="147"/>
      <c r="AI34" s="147"/>
      <c r="AJ34" s="147"/>
      <c r="AK34" s="147"/>
      <c r="AL34" s="147"/>
      <c r="AM34" s="151"/>
      <c r="AN34" s="148" t="str">
        <f ca="1">IFERROR(__xludf.DUMMYFUNCTION("""COMPUTED_VALUE"""),"153116")</f>
        <v>153116</v>
      </c>
      <c r="AO34" s="147" t="str">
        <f t="shared" ca="1" si="8"/>
        <v>GSD</v>
      </c>
      <c r="AP34" s="147" t="e">
        <f t="shared" ca="1" si="9"/>
        <v>#NAME?</v>
      </c>
      <c r="AQ34" s="147" t="str">
        <f t="shared" ca="1" si="10"/>
        <v>POC</v>
      </c>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7"/>
      <c r="BT34" s="147"/>
      <c r="BU34" s="147"/>
      <c r="BV34" s="147"/>
      <c r="BW34" s="147"/>
      <c r="BX34" s="147"/>
      <c r="BY34" s="147"/>
      <c r="BZ34" s="147"/>
      <c r="CA34" s="147"/>
      <c r="CB34" s="147"/>
      <c r="CC34" s="147"/>
      <c r="CD34" s="147"/>
      <c r="CE34" s="147"/>
      <c r="CF34" s="147"/>
      <c r="CG34" s="147"/>
      <c r="CH34" s="147"/>
      <c r="CI34" s="147"/>
      <c r="CJ34" s="147"/>
      <c r="CK34" s="147"/>
    </row>
    <row r="35" spans="1:89">
      <c r="A35" s="159" t="s">
        <v>245</v>
      </c>
      <c r="B35" s="3" t="s">
        <v>246</v>
      </c>
      <c r="C35" s="160" t="s">
        <v>54</v>
      </c>
      <c r="D35" s="160" t="s">
        <v>848</v>
      </c>
      <c r="E35" s="3" t="s">
        <v>21</v>
      </c>
      <c r="F35" s="3" t="s">
        <v>926</v>
      </c>
      <c r="G35" s="3" t="s">
        <v>926</v>
      </c>
      <c r="H35" s="156" t="str">
        <f ca="1">IFERROR(
  _xludf.MINIFS(ATTENDANCE_LOG!$F:$F,
         ATTENDANCE_LOG!$A:$A, C35,
         ATTENDANCE_LOG!$B:$B, E35),
"")</f>
        <v/>
      </c>
      <c r="I35" s="156" t="str">
        <f t="shared" ca="1" si="0"/>
        <v/>
      </c>
      <c r="J35" s="3">
        <f>IFERROR(VLOOKUP(F35, LEVEL_HELPER!$A:$B, 2, 0), "")</f>
        <v>1</v>
      </c>
      <c r="K35" s="3">
        <f>IFERROR(VLOOKUP(G35, LEVEL_HELPER!$A:$B, 2, 0), "")</f>
        <v>1</v>
      </c>
      <c r="L35" s="157" t="s">
        <v>942</v>
      </c>
      <c r="M35" s="157" t="s">
        <v>924</v>
      </c>
      <c r="N35" s="3">
        <f t="array" aca="1" ref="N35" ca="1">IFERROR(
  INDEX($J$2:$J$543,
    MATCH(A35&amp;TEXT(I35,"yyyy-mm-dd"),
          $A$2:$A$543&amp;TEXT($H$2:$H$543,"yyyy-mm-dd"),
          0)),
"")</f>
        <v>1</v>
      </c>
      <c r="O35" s="147" t="str">
        <f t="shared" ca="1" si="1"/>
        <v/>
      </c>
      <c r="P35" s="147">
        <f t="shared" ref="P35:Q35" ca="1" si="44">IF(N35="",0,IF(N35&lt;=2,1,IF(N35&lt;=4,2,IF(N35&lt;=5.5,3,4))))</f>
        <v>1</v>
      </c>
      <c r="Q35" s="147">
        <f t="shared" ca="1" si="44"/>
        <v>0</v>
      </c>
      <c r="R35" s="147" t="str">
        <f t="shared" ca="1" si="3"/>
        <v>Not tested yet</v>
      </c>
      <c r="S35" s="147">
        <f t="shared" si="4"/>
        <v>1</v>
      </c>
      <c r="T35" s="147"/>
      <c r="U35" s="147"/>
      <c r="V35" s="148" t="e">
        <f ca="1"/>
        <v>#NAME?</v>
      </c>
      <c r="W35" s="147" t="e">
        <f t="shared" ca="1" si="5"/>
        <v>#NAME?</v>
      </c>
      <c r="X35" s="147" t="e">
        <f t="shared" ca="1" si="6"/>
        <v>#NAME?</v>
      </c>
      <c r="Y35" s="147" t="e">
        <f t="shared" ca="1" si="7"/>
        <v>#NAME?</v>
      </c>
      <c r="Z35" s="147"/>
      <c r="AC35" s="147"/>
      <c r="AD35" s="147"/>
      <c r="AE35" s="147"/>
      <c r="AF35" s="147"/>
      <c r="AG35" s="147"/>
      <c r="AH35" s="147"/>
      <c r="AI35" s="147"/>
      <c r="AJ35" s="147"/>
      <c r="AK35" s="147"/>
      <c r="AL35" s="147"/>
      <c r="AM35" s="151"/>
      <c r="AN35" s="148" t="str">
        <f ca="1">IFERROR(__xludf.DUMMYFUNCTION("""COMPUTED_VALUE"""),"183382")</f>
        <v>183382</v>
      </c>
      <c r="AO35" s="147" t="str">
        <f t="shared" ca="1" si="8"/>
        <v>DEV</v>
      </c>
      <c r="AP35" s="147" t="e">
        <f t="shared" ca="1" si="9"/>
        <v>#NAME?</v>
      </c>
      <c r="AQ35" s="147" t="str">
        <f t="shared" ca="1" si="10"/>
        <v>CHORUS</v>
      </c>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c r="CB35" s="147"/>
      <c r="CC35" s="147"/>
      <c r="CD35" s="147"/>
      <c r="CE35" s="147"/>
      <c r="CF35" s="147"/>
      <c r="CG35" s="147"/>
      <c r="CH35" s="147"/>
      <c r="CI35" s="147"/>
      <c r="CJ35" s="147"/>
      <c r="CK35" s="147"/>
    </row>
    <row r="36" spans="1:89">
      <c r="A36" s="159" t="s">
        <v>352</v>
      </c>
      <c r="B36" s="3" t="s">
        <v>353</v>
      </c>
      <c r="C36" s="160" t="s">
        <v>54</v>
      </c>
      <c r="D36" s="160" t="s">
        <v>848</v>
      </c>
      <c r="E36" s="3" t="s">
        <v>21</v>
      </c>
      <c r="F36" s="3" t="s">
        <v>926</v>
      </c>
      <c r="G36" s="3" t="s">
        <v>928</v>
      </c>
      <c r="H36" s="156" t="str">
        <f ca="1">IFERROR(
  _xludf.MINIFS(ATTENDANCE_LOG!$F:$F,
         ATTENDANCE_LOG!$A:$A, C36,
         ATTENDANCE_LOG!$B:$B, E36),
"")</f>
        <v/>
      </c>
      <c r="I36" s="156" t="str">
        <f t="shared" ca="1" si="0"/>
        <v/>
      </c>
      <c r="J36" s="3">
        <f>IFERROR(VLOOKUP(F36, LEVEL_HELPER!$A:$B, 2, 0), "")</f>
        <v>1</v>
      </c>
      <c r="K36" s="3">
        <f>IFERROR(VLOOKUP(G36, LEVEL_HELPER!$A:$B, 2, 0), "")</f>
        <v>1.5</v>
      </c>
      <c r="L36" s="157" t="s">
        <v>942</v>
      </c>
      <c r="M36" s="157" t="s">
        <v>924</v>
      </c>
      <c r="N36" s="3">
        <f t="array" aca="1" ref="N36" ca="1">IFERROR(
  INDEX($J$2:$J$543,
    MATCH(A36&amp;TEXT(I36,"yyyy-mm-dd"),
          $A$2:$A$543&amp;TEXT($H$2:$H$543,"yyyy-mm-dd"),
          0)),
"")</f>
        <v>1</v>
      </c>
      <c r="O36" s="147" t="str">
        <f t="shared" ca="1" si="1"/>
        <v/>
      </c>
      <c r="P36" s="147">
        <f t="shared" ref="P36:Q36" ca="1" si="45">IF(N36="",0,IF(N36&lt;=2,1,IF(N36&lt;=4,2,IF(N36&lt;=5.5,3,4))))</f>
        <v>1</v>
      </c>
      <c r="Q36" s="147">
        <f t="shared" ca="1" si="45"/>
        <v>0</v>
      </c>
      <c r="R36" s="147" t="str">
        <f t="shared" ca="1" si="3"/>
        <v>Not tested yet</v>
      </c>
      <c r="S36" s="147">
        <f t="shared" si="4"/>
        <v>1</v>
      </c>
      <c r="T36" s="147"/>
      <c r="U36" s="147"/>
      <c r="V36" s="148" t="e">
        <f ca="1"/>
        <v>#NAME?</v>
      </c>
      <c r="W36" s="147" t="e">
        <f t="shared" ca="1" si="5"/>
        <v>#NAME?</v>
      </c>
      <c r="X36" s="147" t="e">
        <f t="shared" ca="1" si="6"/>
        <v>#NAME?</v>
      </c>
      <c r="Y36" s="147" t="e">
        <f t="shared" ca="1" si="7"/>
        <v>#NAME?</v>
      </c>
      <c r="Z36" s="147"/>
      <c r="AC36" s="147"/>
      <c r="AD36" s="147"/>
      <c r="AE36" s="147"/>
      <c r="AF36" s="147"/>
      <c r="AG36" s="147"/>
      <c r="AH36" s="147"/>
      <c r="AI36" s="147"/>
      <c r="AJ36" s="147"/>
      <c r="AK36" s="147"/>
      <c r="AL36" s="147"/>
      <c r="AM36" s="151"/>
      <c r="AN36" s="148" t="str">
        <f ca="1">IFERROR(__xludf.DUMMYFUNCTION("""COMPUTED_VALUE"""),"203664")</f>
        <v>203664</v>
      </c>
      <c r="AO36" s="147" t="str">
        <f t="shared" ca="1" si="8"/>
        <v>DEV</v>
      </c>
      <c r="AP36" s="147" t="e">
        <f t="shared" ca="1" si="9"/>
        <v>#NAME?</v>
      </c>
      <c r="AQ36" s="147" t="str">
        <f t="shared" ca="1" si="10"/>
        <v>ONC</v>
      </c>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c r="CB36" s="147"/>
      <c r="CC36" s="147"/>
      <c r="CD36" s="147"/>
      <c r="CE36" s="147"/>
      <c r="CF36" s="147"/>
      <c r="CG36" s="147"/>
      <c r="CH36" s="147"/>
      <c r="CI36" s="147"/>
      <c r="CJ36" s="147"/>
      <c r="CK36" s="147"/>
    </row>
    <row r="37" spans="1:89">
      <c r="A37" s="159" t="s">
        <v>553</v>
      </c>
      <c r="B37" s="3" t="s">
        <v>554</v>
      </c>
      <c r="C37" s="160" t="s">
        <v>54</v>
      </c>
      <c r="D37" s="160" t="s">
        <v>848</v>
      </c>
      <c r="E37" s="3" t="s">
        <v>21</v>
      </c>
      <c r="F37" s="3" t="s">
        <v>926</v>
      </c>
      <c r="G37" s="3" t="s">
        <v>934</v>
      </c>
      <c r="H37" s="156" t="str">
        <f ca="1">IFERROR(
  _xludf.MINIFS(ATTENDANCE_LOG!$F:$F,
         ATTENDANCE_LOG!$A:$A, C37,
         ATTENDANCE_LOG!$B:$B, E37),
"")</f>
        <v/>
      </c>
      <c r="I37" s="156" t="str">
        <f t="shared" ca="1" si="0"/>
        <v/>
      </c>
      <c r="J37" s="3">
        <f>IFERROR(VLOOKUP(F37, LEVEL_HELPER!$A:$B, 2, 0), "")</f>
        <v>1</v>
      </c>
      <c r="K37" s="3">
        <f>IFERROR(VLOOKUP(G37, LEVEL_HELPER!$A:$B, 2, 0), "")</f>
        <v>3.5</v>
      </c>
      <c r="L37" s="157" t="s">
        <v>942</v>
      </c>
      <c r="M37" s="157" t="s">
        <v>924</v>
      </c>
      <c r="N37" s="3">
        <f t="array" aca="1" ref="N37" ca="1">IFERROR(
  INDEX($J$2:$J$543,
    MATCH(A37&amp;TEXT(I37,"yyyy-mm-dd"),
          $A$2:$A$543&amp;TEXT($H$2:$H$543,"yyyy-mm-dd"),
          0)),
"")</f>
        <v>1</v>
      </c>
      <c r="O37" s="147" t="str">
        <f t="shared" ca="1" si="1"/>
        <v/>
      </c>
      <c r="P37" s="147">
        <f t="shared" ref="P37:Q37" ca="1" si="46">IF(N37="",0,IF(N37&lt;=2,1,IF(N37&lt;=4,2,IF(N37&lt;=5.5,3,4))))</f>
        <v>1</v>
      </c>
      <c r="Q37" s="147">
        <f t="shared" ca="1" si="46"/>
        <v>0</v>
      </c>
      <c r="R37" s="147" t="str">
        <f t="shared" ca="1" si="3"/>
        <v>Not tested yet</v>
      </c>
      <c r="S37" s="147">
        <f t="shared" si="4"/>
        <v>1</v>
      </c>
      <c r="T37" s="147"/>
      <c r="U37" s="147"/>
      <c r="V37" s="148" t="e">
        <f ca="1"/>
        <v>#NAME?</v>
      </c>
      <c r="W37" s="147" t="e">
        <f t="shared" ca="1" si="5"/>
        <v>#NAME?</v>
      </c>
      <c r="X37" s="147" t="e">
        <f t="shared" ca="1" si="6"/>
        <v>#NAME?</v>
      </c>
      <c r="Y37" s="147" t="e">
        <f t="shared" ca="1" si="7"/>
        <v>#NAME?</v>
      </c>
      <c r="Z37" s="147"/>
      <c r="AC37" s="147"/>
      <c r="AD37" s="147"/>
      <c r="AE37" s="147"/>
      <c r="AF37" s="147"/>
      <c r="AG37" s="147"/>
      <c r="AH37" s="147"/>
      <c r="AI37" s="147"/>
      <c r="AJ37" s="147"/>
      <c r="AK37" s="147"/>
      <c r="AL37" s="147"/>
      <c r="AM37" s="151"/>
      <c r="AN37" s="148" t="str">
        <f ca="1">IFERROR(__xludf.DUMMYFUNCTION("""COMPUTED_VALUE"""),"193633")</f>
        <v>193633</v>
      </c>
      <c r="AO37" s="147" t="str">
        <f t="shared" ca="1" si="8"/>
        <v>QC</v>
      </c>
      <c r="AP37" s="147" t="e">
        <f t="shared" ca="1" si="9"/>
        <v>#NAME?</v>
      </c>
      <c r="AQ37" s="147" t="str">
        <f t="shared" ca="1" si="10"/>
        <v>ONC</v>
      </c>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7"/>
      <c r="BU37" s="147"/>
      <c r="BV37" s="147"/>
      <c r="BW37" s="147"/>
      <c r="BX37" s="147"/>
      <c r="BY37" s="147"/>
      <c r="BZ37" s="147"/>
      <c r="CA37" s="147"/>
      <c r="CB37" s="147"/>
      <c r="CC37" s="147"/>
      <c r="CD37" s="147"/>
      <c r="CE37" s="147"/>
      <c r="CF37" s="147"/>
      <c r="CG37" s="147"/>
      <c r="CH37" s="147"/>
      <c r="CI37" s="147"/>
      <c r="CJ37" s="147"/>
      <c r="CK37" s="147"/>
    </row>
    <row r="38" spans="1:89">
      <c r="A38" s="159" t="s">
        <v>617</v>
      </c>
      <c r="B38" s="3" t="s">
        <v>618</v>
      </c>
      <c r="C38" s="160" t="s">
        <v>54</v>
      </c>
      <c r="D38" s="160" t="s">
        <v>848</v>
      </c>
      <c r="E38" s="3" t="s">
        <v>21</v>
      </c>
      <c r="F38" s="3" t="s">
        <v>926</v>
      </c>
      <c r="G38" s="3" t="s">
        <v>917</v>
      </c>
      <c r="H38" s="156" t="str">
        <f ca="1">IFERROR(
  _xludf.MINIFS(ATTENDANCE_LOG!$F:$F,
         ATTENDANCE_LOG!$A:$A, C38,
         ATTENDANCE_LOG!$B:$B, E38),
"")</f>
        <v/>
      </c>
      <c r="I38" s="156" t="str">
        <f t="shared" ca="1" si="0"/>
        <v/>
      </c>
      <c r="J38" s="3">
        <f>IFERROR(VLOOKUP(F38, LEVEL_HELPER!$A:$B, 2, 0), "")</f>
        <v>1</v>
      </c>
      <c r="K38" s="3">
        <f>IFERROR(VLOOKUP(G38, LEVEL_HELPER!$A:$B, 2, 0), "")</f>
        <v>3</v>
      </c>
      <c r="L38" s="157" t="s">
        <v>942</v>
      </c>
      <c r="M38" s="157" t="s">
        <v>924</v>
      </c>
      <c r="N38" s="3">
        <f t="array" aca="1" ref="N38" ca="1">IFERROR(
  INDEX($J$2:$J$543,
    MATCH(A38&amp;TEXT(I38,"yyyy-mm-dd"),
          $A$2:$A$543&amp;TEXT($H$2:$H$543,"yyyy-mm-dd"),
          0)),
"")</f>
        <v>1</v>
      </c>
      <c r="O38" s="147" t="str">
        <f t="shared" ca="1" si="1"/>
        <v/>
      </c>
      <c r="P38" s="147">
        <f t="shared" ref="P38:Q38" ca="1" si="47">IF(N38="",0,IF(N38&lt;=2,1,IF(N38&lt;=4,2,IF(N38&lt;=5.5,3,4))))</f>
        <v>1</v>
      </c>
      <c r="Q38" s="147">
        <f t="shared" ca="1" si="47"/>
        <v>0</v>
      </c>
      <c r="R38" s="147" t="str">
        <f t="shared" ca="1" si="3"/>
        <v>Not tested yet</v>
      </c>
      <c r="S38" s="147">
        <f t="shared" si="4"/>
        <v>1</v>
      </c>
      <c r="T38" s="147"/>
      <c r="U38" s="147"/>
      <c r="V38" s="148" t="e">
        <f ca="1"/>
        <v>#NAME?</v>
      </c>
      <c r="W38" s="147" t="e">
        <f t="shared" ca="1" si="5"/>
        <v>#NAME?</v>
      </c>
      <c r="X38" s="147" t="e">
        <f t="shared" ca="1" si="6"/>
        <v>#NAME?</v>
      </c>
      <c r="Y38" s="147" t="e">
        <f t="shared" ca="1" si="7"/>
        <v>#NAME?</v>
      </c>
      <c r="Z38" s="147"/>
      <c r="AC38" s="147"/>
      <c r="AD38" s="147"/>
      <c r="AE38" s="147"/>
      <c r="AF38" s="147"/>
      <c r="AG38" s="147"/>
      <c r="AH38" s="147"/>
      <c r="AI38" s="147"/>
      <c r="AJ38" s="147"/>
      <c r="AK38" s="147"/>
      <c r="AL38" s="147"/>
      <c r="AM38" s="151"/>
      <c r="AN38" s="148" t="str">
        <f ca="1">IFERROR(__xludf.DUMMYFUNCTION("""COMPUTED_VALUE"""),"227218")</f>
        <v>227218</v>
      </c>
      <c r="AO38" s="147" t="str">
        <f t="shared" ca="1" si="8"/>
        <v>GSD</v>
      </c>
      <c r="AP38" s="147" t="e">
        <f t="shared" ca="1" si="9"/>
        <v>#NAME?</v>
      </c>
      <c r="AQ38" s="147" t="str">
        <f t="shared" ca="1" si="10"/>
        <v>POC</v>
      </c>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7"/>
      <c r="BU38" s="147"/>
      <c r="BV38" s="147"/>
      <c r="BW38" s="147"/>
      <c r="BX38" s="147"/>
      <c r="BY38" s="147"/>
      <c r="BZ38" s="147"/>
      <c r="CA38" s="147"/>
      <c r="CB38" s="147"/>
      <c r="CC38" s="147"/>
      <c r="CD38" s="147"/>
      <c r="CE38" s="147"/>
      <c r="CF38" s="147"/>
      <c r="CG38" s="147"/>
      <c r="CH38" s="147"/>
      <c r="CI38" s="147"/>
      <c r="CJ38" s="147"/>
      <c r="CK38" s="147"/>
    </row>
    <row r="39" spans="1:89">
      <c r="A39" s="159" t="s">
        <v>695</v>
      </c>
      <c r="B39" s="3" t="s">
        <v>696</v>
      </c>
      <c r="C39" s="160" t="s">
        <v>54</v>
      </c>
      <c r="D39" s="160" t="s">
        <v>848</v>
      </c>
      <c r="E39" s="3" t="s">
        <v>21</v>
      </c>
      <c r="F39" s="3"/>
      <c r="G39" s="3"/>
      <c r="H39" s="156" t="str">
        <f ca="1">IFERROR(
  _xludf.MINIFS(ATTENDANCE_LOG!$F:$F,
         ATTENDANCE_LOG!$A:$A, C39,
         ATTENDANCE_LOG!$B:$B, E39),
"")</f>
        <v/>
      </c>
      <c r="I39" s="156" t="str">
        <f t="shared" ca="1" si="0"/>
        <v/>
      </c>
      <c r="J39" s="3" t="str">
        <f>IFERROR(VLOOKUP(F39, LEVEL_HELPER!$A:$B, 2, 0), "")</f>
        <v/>
      </c>
      <c r="K39" s="3" t="str">
        <f>IFERROR(VLOOKUP(G39, LEVEL_HELPER!$A:$B, 2, 0), "")</f>
        <v/>
      </c>
      <c r="L39" s="157" t="s">
        <v>942</v>
      </c>
      <c r="M39" s="157" t="s">
        <v>924</v>
      </c>
      <c r="N39" s="3" t="str">
        <f t="array" aca="1" ref="N39" ca="1">IFERROR(
  INDEX($J$2:$J$543,
    MATCH(A39&amp;TEXT(I39,"yyyy-mm-dd"),
          $A$2:$A$543&amp;TEXT($H$2:$H$543,"yyyy-mm-dd"),
          0)),
"")</f>
        <v/>
      </c>
      <c r="O39" s="147" t="str">
        <f t="shared" ca="1" si="1"/>
        <v/>
      </c>
      <c r="P39" s="147">
        <f t="shared" ref="P39:Q39" ca="1" si="48">IF(N39="",0,IF(N39&lt;=2,1,IF(N39&lt;=4,2,IF(N39&lt;=5.5,3,4))))</f>
        <v>0</v>
      </c>
      <c r="Q39" s="147">
        <f t="shared" ca="1" si="48"/>
        <v>0</v>
      </c>
      <c r="R39" s="147" t="str">
        <f t="shared" ca="1" si="3"/>
        <v>Not tested yet</v>
      </c>
      <c r="S39" s="147">
        <f t="shared" si="4"/>
        <v>1</v>
      </c>
      <c r="T39" s="147"/>
      <c r="U39" s="147"/>
      <c r="V39" s="148" t="e">
        <f ca="1"/>
        <v>#NAME?</v>
      </c>
      <c r="W39" s="147" t="e">
        <f t="shared" ca="1" si="5"/>
        <v>#NAME?</v>
      </c>
      <c r="X39" s="147" t="e">
        <f t="shared" ca="1" si="6"/>
        <v>#NAME?</v>
      </c>
      <c r="Y39" s="147" t="e">
        <f t="shared" ca="1" si="7"/>
        <v>#NAME?</v>
      </c>
      <c r="Z39" s="147"/>
      <c r="AC39" s="147"/>
      <c r="AD39" s="147"/>
      <c r="AE39" s="147"/>
      <c r="AF39" s="147"/>
      <c r="AG39" s="147"/>
      <c r="AH39" s="147"/>
      <c r="AI39" s="147"/>
      <c r="AJ39" s="147"/>
      <c r="AK39" s="147"/>
      <c r="AL39" s="147"/>
      <c r="AM39" s="151"/>
      <c r="AN39" s="148" t="str">
        <f ca="1">IFERROR(__xludf.DUMMYFUNCTION("""COMPUTED_VALUE"""),"227081")</f>
        <v>227081</v>
      </c>
      <c r="AO39" s="147" t="str">
        <f t="shared" ca="1" si="8"/>
        <v>DEV</v>
      </c>
      <c r="AP39" s="147" t="e">
        <f t="shared" ca="1" si="9"/>
        <v>#NAME?</v>
      </c>
      <c r="AQ39" s="147" t="str">
        <f t="shared" ca="1" si="10"/>
        <v>MOC</v>
      </c>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7"/>
      <c r="CA39" s="147"/>
      <c r="CB39" s="147"/>
      <c r="CC39" s="147"/>
      <c r="CD39" s="147"/>
      <c r="CE39" s="147"/>
      <c r="CF39" s="147"/>
      <c r="CG39" s="147"/>
      <c r="CH39" s="147"/>
      <c r="CI39" s="147"/>
      <c r="CJ39" s="147"/>
      <c r="CK39" s="147"/>
    </row>
    <row r="40" spans="1:89">
      <c r="A40" s="153" t="s">
        <v>510</v>
      </c>
      <c r="B40" s="154" t="s">
        <v>511</v>
      </c>
      <c r="C40" s="155" t="s">
        <v>54</v>
      </c>
      <c r="D40" s="155" t="s">
        <v>848</v>
      </c>
      <c r="E40" s="154" t="s">
        <v>22</v>
      </c>
      <c r="F40" s="3" t="s">
        <v>934</v>
      </c>
      <c r="G40" s="3" t="s">
        <v>940</v>
      </c>
      <c r="H40" s="156" t="str">
        <f ca="1">IFERROR(
  _xludf.MINIFS(ATTENDANCE_LOG!$F:$F,
         ATTENDANCE_LOG!$A:$A, C40,
         ATTENDANCE_LOG!$B:$B, E40),
"")</f>
        <v/>
      </c>
      <c r="I40" s="156" t="str">
        <f t="shared" ca="1" si="0"/>
        <v/>
      </c>
      <c r="J40" s="3">
        <f>IFERROR(VLOOKUP(F40, LEVEL_HELPER!$A:$B, 2, 0), "")</f>
        <v>3.5</v>
      </c>
      <c r="K40" s="3">
        <f>IFERROR(VLOOKUP(G40, LEVEL_HELPER!$A:$B, 2, 0), "")</f>
        <v>5</v>
      </c>
      <c r="L40" s="157" t="s">
        <v>942</v>
      </c>
      <c r="M40" s="157" t="s">
        <v>924</v>
      </c>
      <c r="N40" s="3">
        <f t="array" aca="1" ref="N40" ca="1">IFERROR(
  INDEX($J$2:$J$543,
    MATCH(A40&amp;TEXT(I40,"yyyy-mm-dd"),
          $A$2:$A$543&amp;TEXT($H$2:$H$543,"yyyy-mm-dd"),
          0)),
"")</f>
        <v>2.5</v>
      </c>
      <c r="O40" s="147" t="str">
        <f t="shared" ca="1" si="1"/>
        <v/>
      </c>
      <c r="P40" s="147">
        <f t="shared" ref="P40:Q40" ca="1" si="49">IF(N40="",0,IF(N40&lt;=2,1,IF(N40&lt;=4,2,IF(N40&lt;=5.5,3,4))))</f>
        <v>2</v>
      </c>
      <c r="Q40" s="147">
        <f t="shared" ca="1" si="49"/>
        <v>0</v>
      </c>
      <c r="R40" s="147" t="str">
        <f t="shared" ca="1" si="3"/>
        <v>Not tested yet</v>
      </c>
      <c r="S40" s="147">
        <f t="shared" si="4"/>
        <v>0</v>
      </c>
      <c r="T40" s="147"/>
      <c r="U40" s="147"/>
      <c r="V40" s="148" t="e">
        <f ca="1"/>
        <v>#NAME?</v>
      </c>
      <c r="W40" s="147" t="e">
        <f t="shared" ca="1" si="5"/>
        <v>#NAME?</v>
      </c>
      <c r="X40" s="147" t="e">
        <f t="shared" ca="1" si="6"/>
        <v>#NAME?</v>
      </c>
      <c r="Y40" s="147" t="e">
        <f t="shared" ca="1" si="7"/>
        <v>#NAME?</v>
      </c>
      <c r="Z40" s="147"/>
      <c r="AA40" s="147"/>
      <c r="AB40" s="147"/>
      <c r="AC40" s="147"/>
      <c r="AD40" s="147"/>
      <c r="AE40" s="147"/>
      <c r="AF40" s="147"/>
      <c r="AG40" s="147"/>
      <c r="AH40" s="147"/>
      <c r="AI40" s="147"/>
      <c r="AJ40" s="147"/>
      <c r="AK40" s="147"/>
      <c r="AL40" s="147"/>
      <c r="AM40" s="151"/>
      <c r="AN40" s="148" t="str">
        <f ca="1">IFERROR(__xludf.DUMMYFUNCTION("""COMPUTED_VALUE"""),"247313")</f>
        <v>247313</v>
      </c>
      <c r="AO40" s="147" t="str">
        <f t="shared" ca="1" si="8"/>
        <v>SM</v>
      </c>
      <c r="AP40" s="147" t="e">
        <f t="shared" ca="1" si="9"/>
        <v>#NAME?</v>
      </c>
      <c r="AQ40" s="147" t="str">
        <f t="shared" ca="1" si="10"/>
        <v>TBU</v>
      </c>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147"/>
      <c r="BS40" s="147"/>
      <c r="BT40" s="147"/>
      <c r="BU40" s="147"/>
      <c r="BV40" s="147"/>
      <c r="BW40" s="147"/>
      <c r="BX40" s="147"/>
      <c r="BY40" s="147"/>
      <c r="BZ40" s="147"/>
      <c r="CA40" s="147"/>
      <c r="CB40" s="147"/>
      <c r="CC40" s="147"/>
      <c r="CD40" s="147"/>
      <c r="CE40" s="147"/>
      <c r="CF40" s="147"/>
      <c r="CG40" s="147"/>
      <c r="CH40" s="147"/>
      <c r="CI40" s="147"/>
      <c r="CJ40" s="147"/>
      <c r="CK40" s="147"/>
    </row>
    <row r="41" spans="1:89">
      <c r="A41" s="159" t="s">
        <v>144</v>
      </c>
      <c r="B41" s="3" t="s">
        <v>145</v>
      </c>
      <c r="C41" s="160" t="s">
        <v>54</v>
      </c>
      <c r="D41" s="160" t="s">
        <v>848</v>
      </c>
      <c r="E41" s="3" t="s">
        <v>22</v>
      </c>
      <c r="F41" s="3" t="s">
        <v>926</v>
      </c>
      <c r="G41" s="3" t="s">
        <v>934</v>
      </c>
      <c r="H41" s="156" t="str">
        <f ca="1">IFERROR(
  _xludf.MINIFS(ATTENDANCE_LOG!$F:$F,
         ATTENDANCE_LOG!$A:$A, C41,
         ATTENDANCE_LOG!$B:$B, E41),
"")</f>
        <v/>
      </c>
      <c r="I41" s="156" t="str">
        <f t="shared" ca="1" si="0"/>
        <v/>
      </c>
      <c r="J41" s="3">
        <f>IFERROR(VLOOKUP(F41, LEVEL_HELPER!$A:$B, 2, 0), "")</f>
        <v>1</v>
      </c>
      <c r="K41" s="3">
        <f>IFERROR(VLOOKUP(G41, LEVEL_HELPER!$A:$B, 2, 0), "")</f>
        <v>3.5</v>
      </c>
      <c r="L41" s="157" t="s">
        <v>942</v>
      </c>
      <c r="M41" s="157" t="s">
        <v>924</v>
      </c>
      <c r="N41" s="3">
        <f t="array" aca="1" ref="N41" ca="1">IFERROR(
  INDEX($J$2:$J$543,
    MATCH(A41&amp;TEXT(I41,"yyyy-mm-dd"),
          $A$2:$A$543&amp;TEXT($H$2:$H$543,"yyyy-mm-dd"),
          0)),
"")</f>
        <v>1</v>
      </c>
      <c r="O41" s="147" t="str">
        <f t="shared" ca="1" si="1"/>
        <v/>
      </c>
      <c r="P41" s="147">
        <f t="shared" ref="P41:Q41" ca="1" si="50">IF(N41="",0,IF(N41&lt;=2,1,IF(N41&lt;=4,2,IF(N41&lt;=5.5,3,4))))</f>
        <v>1</v>
      </c>
      <c r="Q41" s="147">
        <f t="shared" ca="1" si="50"/>
        <v>0</v>
      </c>
      <c r="R41" s="147" t="str">
        <f t="shared" ca="1" si="3"/>
        <v>Not tested yet</v>
      </c>
      <c r="S41" s="147">
        <f t="shared" si="4"/>
        <v>0</v>
      </c>
      <c r="T41" s="147"/>
      <c r="U41" s="147"/>
      <c r="V41" s="148" t="e">
        <f ca="1"/>
        <v>#NAME?</v>
      </c>
      <c r="W41" s="147" t="e">
        <f t="shared" ca="1" si="5"/>
        <v>#NAME?</v>
      </c>
      <c r="X41" s="147" t="e">
        <f t="shared" ca="1" si="6"/>
        <v>#NAME?</v>
      </c>
      <c r="Y41" s="147" t="e">
        <f t="shared" ca="1" si="7"/>
        <v>#NAME?</v>
      </c>
      <c r="Z41" s="147"/>
      <c r="AA41" s="147"/>
      <c r="AB41" s="147"/>
      <c r="AC41" s="147"/>
      <c r="AD41" s="147"/>
      <c r="AE41" s="147"/>
      <c r="AF41" s="147"/>
      <c r="AG41" s="147"/>
      <c r="AH41" s="147"/>
      <c r="AI41" s="147"/>
      <c r="AJ41" s="147"/>
      <c r="AK41" s="147"/>
      <c r="AL41" s="147"/>
      <c r="AM41" s="151"/>
      <c r="AN41" s="148" t="str">
        <f ca="1">IFERROR(__xludf.DUMMYFUNCTION("""COMPUTED_VALUE"""),"227103")</f>
        <v>227103</v>
      </c>
      <c r="AO41" s="147" t="str">
        <f t="shared" ca="1" si="8"/>
        <v>DEV</v>
      </c>
      <c r="AP41" s="147" t="e">
        <f t="shared" ca="1" si="9"/>
        <v>#NAME?</v>
      </c>
      <c r="AQ41" s="147" t="str">
        <f t="shared" ca="1" si="10"/>
        <v>CHORUS</v>
      </c>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7"/>
      <c r="BU41" s="147"/>
      <c r="BV41" s="147"/>
      <c r="BW41" s="147"/>
      <c r="BX41" s="147"/>
      <c r="BY41" s="147"/>
      <c r="BZ41" s="147"/>
      <c r="CA41" s="147"/>
      <c r="CB41" s="147"/>
      <c r="CC41" s="147"/>
      <c r="CD41" s="147"/>
      <c r="CE41" s="147"/>
      <c r="CF41" s="147"/>
      <c r="CG41" s="147"/>
      <c r="CH41" s="147"/>
      <c r="CI41" s="147"/>
      <c r="CJ41" s="147"/>
      <c r="CK41" s="147"/>
    </row>
    <row r="42" spans="1:89">
      <c r="A42" s="159" t="s">
        <v>155</v>
      </c>
      <c r="B42" s="3" t="s">
        <v>156</v>
      </c>
      <c r="C42" s="160" t="s">
        <v>54</v>
      </c>
      <c r="D42" s="160" t="s">
        <v>848</v>
      </c>
      <c r="E42" s="3" t="s">
        <v>22</v>
      </c>
      <c r="F42" s="3" t="s">
        <v>917</v>
      </c>
      <c r="G42" s="3" t="s">
        <v>917</v>
      </c>
      <c r="H42" s="156" t="str">
        <f ca="1">IFERROR(
  _xludf.MINIFS(ATTENDANCE_LOG!$F:$F,
         ATTENDANCE_LOG!$A:$A, C42,
         ATTENDANCE_LOG!$B:$B, E42),
"")</f>
        <v/>
      </c>
      <c r="I42" s="156" t="str">
        <f t="shared" ca="1" si="0"/>
        <v/>
      </c>
      <c r="J42" s="3">
        <f>IFERROR(VLOOKUP(F42, LEVEL_HELPER!$A:$B, 2, 0), "")</f>
        <v>3</v>
      </c>
      <c r="K42" s="3">
        <f>IFERROR(VLOOKUP(G42, LEVEL_HELPER!$A:$B, 2, 0), "")</f>
        <v>3</v>
      </c>
      <c r="L42" s="157" t="s">
        <v>942</v>
      </c>
      <c r="M42" s="157" t="s">
        <v>924</v>
      </c>
      <c r="N42" s="3">
        <f t="array" aca="1" ref="N42" ca="1">IFERROR(
  INDEX($J$2:$J$543,
    MATCH(A42&amp;TEXT(I42,"yyyy-mm-dd"),
          $A$2:$A$543&amp;TEXT($H$2:$H$543,"yyyy-mm-dd"),
          0)),
"")</f>
        <v>1</v>
      </c>
      <c r="O42" s="147" t="str">
        <f t="shared" ca="1" si="1"/>
        <v/>
      </c>
      <c r="P42" s="147">
        <f t="shared" ref="P42:Q42" ca="1" si="51">IF(N42="",0,IF(N42&lt;=2,1,IF(N42&lt;=4,2,IF(N42&lt;=5.5,3,4))))</f>
        <v>1</v>
      </c>
      <c r="Q42" s="147">
        <f t="shared" ca="1" si="51"/>
        <v>0</v>
      </c>
      <c r="R42" s="147" t="str">
        <f t="shared" ca="1" si="3"/>
        <v>Not tested yet</v>
      </c>
      <c r="S42" s="147">
        <f t="shared" si="4"/>
        <v>0</v>
      </c>
      <c r="T42" s="147"/>
      <c r="U42" s="147"/>
      <c r="V42" s="148" t="e">
        <f ca="1"/>
        <v>#NAME?</v>
      </c>
      <c r="W42" s="147" t="e">
        <f t="shared" ca="1" si="5"/>
        <v>#NAME?</v>
      </c>
      <c r="X42" s="147" t="e">
        <f t="shared" ca="1" si="6"/>
        <v>#NAME?</v>
      </c>
      <c r="Y42" s="147" t="e">
        <f t="shared" ca="1" si="7"/>
        <v>#NAME?</v>
      </c>
      <c r="Z42" s="147"/>
      <c r="AA42" s="147"/>
      <c r="AB42" s="147"/>
      <c r="AC42" s="147"/>
      <c r="AD42" s="147"/>
      <c r="AE42" s="147"/>
      <c r="AF42" s="147"/>
      <c r="AG42" s="147"/>
      <c r="AH42" s="147"/>
      <c r="AI42" s="147"/>
      <c r="AJ42" s="147"/>
      <c r="AK42" s="147"/>
      <c r="AL42" s="147"/>
      <c r="AM42" s="151"/>
      <c r="AN42" s="148" t="str">
        <f ca="1">IFERROR(__xludf.DUMMYFUNCTION("""COMPUTED_VALUE"""),"227048")</f>
        <v>227048</v>
      </c>
      <c r="AO42" s="147" t="str">
        <f t="shared" ca="1" si="8"/>
        <v>DEV</v>
      </c>
      <c r="AP42" s="147" t="e">
        <f t="shared" ca="1" si="9"/>
        <v>#NAME?</v>
      </c>
      <c r="AQ42" s="147" t="str">
        <f t="shared" ca="1" si="10"/>
        <v>POC</v>
      </c>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7"/>
      <c r="CH42" s="147"/>
      <c r="CI42" s="147"/>
      <c r="CJ42" s="147"/>
      <c r="CK42" s="147"/>
    </row>
    <row r="43" spans="1:89">
      <c r="A43" s="159" t="s">
        <v>226</v>
      </c>
      <c r="B43" s="3" t="s">
        <v>227</v>
      </c>
      <c r="C43" s="160" t="s">
        <v>54</v>
      </c>
      <c r="D43" s="160" t="s">
        <v>848</v>
      </c>
      <c r="E43" s="3" t="s">
        <v>22</v>
      </c>
      <c r="F43" s="3" t="s">
        <v>928</v>
      </c>
      <c r="G43" s="3" t="s">
        <v>934</v>
      </c>
      <c r="H43" s="156" t="str">
        <f ca="1">IFERROR(
  _xludf.MINIFS(ATTENDANCE_LOG!$F:$F,
         ATTENDANCE_LOG!$A:$A, C43,
         ATTENDANCE_LOG!$B:$B, E43),
"")</f>
        <v/>
      </c>
      <c r="I43" s="156" t="str">
        <f t="shared" ca="1" si="0"/>
        <v/>
      </c>
      <c r="J43" s="3">
        <f>IFERROR(VLOOKUP(F43, LEVEL_HELPER!$A:$B, 2, 0), "")</f>
        <v>1.5</v>
      </c>
      <c r="K43" s="3">
        <f>IFERROR(VLOOKUP(G43, LEVEL_HELPER!$A:$B, 2, 0), "")</f>
        <v>3.5</v>
      </c>
      <c r="L43" s="157" t="s">
        <v>942</v>
      </c>
      <c r="M43" s="157" t="s">
        <v>924</v>
      </c>
      <c r="N43" s="3">
        <f t="array" aca="1" ref="N43" ca="1">IFERROR(
  INDEX($J$2:$J$543,
    MATCH(A43&amp;TEXT(I43,"yyyy-mm-dd"),
          $A$2:$A$543&amp;TEXT($H$2:$H$543,"yyyy-mm-dd"),
          0)),
"")</f>
        <v>1</v>
      </c>
      <c r="O43" s="147" t="str">
        <f t="shared" ca="1" si="1"/>
        <v/>
      </c>
      <c r="P43" s="147">
        <f t="shared" ref="P43:Q43" ca="1" si="52">IF(N43="",0,IF(N43&lt;=2,1,IF(N43&lt;=4,2,IF(N43&lt;=5.5,3,4))))</f>
        <v>1</v>
      </c>
      <c r="Q43" s="147">
        <f t="shared" ca="1" si="52"/>
        <v>0</v>
      </c>
      <c r="R43" s="147" t="str">
        <f t="shared" ca="1" si="3"/>
        <v>Not tested yet</v>
      </c>
      <c r="S43" s="147">
        <f t="shared" si="4"/>
        <v>0</v>
      </c>
      <c r="T43" s="147"/>
      <c r="U43" s="147"/>
      <c r="V43" s="148" t="e">
        <f ca="1"/>
        <v>#NAME?</v>
      </c>
      <c r="W43" s="147" t="e">
        <f t="shared" ca="1" si="5"/>
        <v>#NAME?</v>
      </c>
      <c r="X43" s="147" t="e">
        <f t="shared" ca="1" si="6"/>
        <v>#NAME?</v>
      </c>
      <c r="Y43" s="147" t="e">
        <f t="shared" ca="1" si="7"/>
        <v>#NAME?</v>
      </c>
      <c r="Z43" s="147"/>
      <c r="AA43" s="147"/>
      <c r="AB43" s="147"/>
      <c r="AC43" s="147"/>
      <c r="AD43" s="147"/>
      <c r="AE43" s="147"/>
      <c r="AF43" s="147"/>
      <c r="AG43" s="147"/>
      <c r="AH43" s="147"/>
      <c r="AI43" s="147"/>
      <c r="AJ43" s="147"/>
      <c r="AK43" s="147"/>
      <c r="AL43" s="147"/>
      <c r="AM43" s="151"/>
      <c r="AN43" s="148" t="str">
        <f ca="1">IFERROR(__xludf.DUMMYFUNCTION("""COMPUTED_VALUE"""),"247172")</f>
        <v>247172</v>
      </c>
      <c r="AO43" s="147" t="str">
        <f t="shared" ca="1" si="8"/>
        <v>DEV</v>
      </c>
      <c r="AP43" s="147" t="e">
        <f t="shared" ca="1" si="9"/>
        <v>#NAME?</v>
      </c>
      <c r="AQ43" s="147" t="str">
        <f t="shared" ca="1" si="10"/>
        <v>MOC</v>
      </c>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c r="BV43" s="147"/>
      <c r="BW43" s="147"/>
      <c r="BX43" s="147"/>
      <c r="BY43" s="147"/>
      <c r="BZ43" s="147"/>
      <c r="CA43" s="147"/>
      <c r="CB43" s="147"/>
      <c r="CC43" s="147"/>
      <c r="CD43" s="147"/>
      <c r="CE43" s="147"/>
      <c r="CF43" s="147"/>
      <c r="CG43" s="147"/>
      <c r="CH43" s="147"/>
      <c r="CI43" s="147"/>
      <c r="CJ43" s="147"/>
      <c r="CK43" s="147"/>
    </row>
    <row r="44" spans="1:89">
      <c r="A44" s="159" t="s">
        <v>245</v>
      </c>
      <c r="B44" s="3" t="s">
        <v>246</v>
      </c>
      <c r="C44" s="160" t="s">
        <v>54</v>
      </c>
      <c r="D44" s="160" t="s">
        <v>848</v>
      </c>
      <c r="E44" s="3" t="s">
        <v>22</v>
      </c>
      <c r="F44" s="3" t="s">
        <v>926</v>
      </c>
      <c r="G44" s="3" t="s">
        <v>917</v>
      </c>
      <c r="H44" s="156" t="str">
        <f ca="1">IFERROR(
  _xludf.MINIFS(ATTENDANCE_LOG!$F:$F,
         ATTENDANCE_LOG!$A:$A, C44,
         ATTENDANCE_LOG!$B:$B, E44),
"")</f>
        <v/>
      </c>
      <c r="I44" s="156" t="str">
        <f t="shared" ca="1" si="0"/>
        <v/>
      </c>
      <c r="J44" s="3">
        <f>IFERROR(VLOOKUP(F44, LEVEL_HELPER!$A:$B, 2, 0), "")</f>
        <v>1</v>
      </c>
      <c r="K44" s="3">
        <f>IFERROR(VLOOKUP(G44, LEVEL_HELPER!$A:$B, 2, 0), "")</f>
        <v>3</v>
      </c>
      <c r="L44" s="157" t="s">
        <v>942</v>
      </c>
      <c r="M44" s="157" t="s">
        <v>924</v>
      </c>
      <c r="N44" s="3">
        <f t="array" aca="1" ref="N44" ca="1">IFERROR(
  INDEX($J$2:$J$543,
    MATCH(A44&amp;TEXT(I44,"yyyy-mm-dd"),
          $A$2:$A$543&amp;TEXT($H$2:$H$543,"yyyy-mm-dd"),
          0)),
"")</f>
        <v>1</v>
      </c>
      <c r="O44" s="147" t="str">
        <f t="shared" ca="1" si="1"/>
        <v/>
      </c>
      <c r="P44" s="147">
        <f t="shared" ref="P44:Q44" ca="1" si="53">IF(N44="",0,IF(N44&lt;=2,1,IF(N44&lt;=4,2,IF(N44&lt;=5.5,3,4))))</f>
        <v>1</v>
      </c>
      <c r="Q44" s="147">
        <f t="shared" ca="1" si="53"/>
        <v>0</v>
      </c>
      <c r="R44" s="147" t="str">
        <f t="shared" ca="1" si="3"/>
        <v>Not tested yet</v>
      </c>
      <c r="S44" s="147">
        <f t="shared" si="4"/>
        <v>0</v>
      </c>
      <c r="T44" s="147"/>
      <c r="U44" s="147"/>
      <c r="V44" s="148" t="e">
        <f ca="1"/>
        <v>#NAME?</v>
      </c>
      <c r="W44" s="147" t="e">
        <f t="shared" ca="1" si="5"/>
        <v>#NAME?</v>
      </c>
      <c r="X44" s="147" t="e">
        <f t="shared" ca="1" si="6"/>
        <v>#NAME?</v>
      </c>
      <c r="Y44" s="147" t="e">
        <f t="shared" ca="1" si="7"/>
        <v>#NAME?</v>
      </c>
      <c r="Z44" s="147"/>
      <c r="AA44" s="147"/>
      <c r="AB44" s="147"/>
      <c r="AC44" s="147"/>
      <c r="AD44" s="147"/>
      <c r="AE44" s="147"/>
      <c r="AF44" s="147"/>
      <c r="AG44" s="147"/>
      <c r="AH44" s="147"/>
      <c r="AI44" s="147"/>
      <c r="AJ44" s="147"/>
      <c r="AK44" s="147"/>
      <c r="AL44" s="147"/>
      <c r="AM44" s="151"/>
      <c r="AN44" s="148" t="str">
        <f ca="1">IFERROR(__xludf.DUMMYFUNCTION("""COMPUTED_VALUE"""),"237201")</f>
        <v>237201</v>
      </c>
      <c r="AO44" s="147" t="str">
        <f t="shared" ca="1" si="8"/>
        <v>QC</v>
      </c>
      <c r="AP44" s="147" t="e">
        <f t="shared" ca="1" si="9"/>
        <v>#NAME?</v>
      </c>
      <c r="AQ44" s="147" t="str">
        <f t="shared" ca="1" si="10"/>
        <v>CHORUS</v>
      </c>
      <c r="AR44" s="147"/>
      <c r="AS44" s="147"/>
      <c r="AT44" s="147"/>
      <c r="AU44" s="147"/>
      <c r="AV44" s="147"/>
      <c r="AW44" s="147"/>
      <c r="AX44" s="147"/>
      <c r="AY44" s="147"/>
      <c r="AZ44" s="147"/>
      <c r="BA44" s="147"/>
      <c r="BB44" s="147"/>
      <c r="BC44" s="147"/>
      <c r="BD44" s="147"/>
      <c r="BE44" s="147"/>
      <c r="BF44" s="147"/>
      <c r="BG44" s="147"/>
      <c r="BH44" s="147"/>
      <c r="BI44" s="147"/>
      <c r="BJ44" s="147"/>
      <c r="BK44" s="147"/>
      <c r="BL44" s="147"/>
      <c r="BM44" s="147"/>
      <c r="BN44" s="147"/>
      <c r="BO44" s="147"/>
      <c r="BP44" s="147"/>
      <c r="BQ44" s="147"/>
      <c r="BR44" s="147"/>
      <c r="BS44" s="147"/>
      <c r="BT44" s="147"/>
      <c r="BU44" s="147"/>
      <c r="BV44" s="147"/>
      <c r="BW44" s="147"/>
      <c r="BX44" s="147"/>
      <c r="BY44" s="147"/>
      <c r="BZ44" s="147"/>
      <c r="CA44" s="147"/>
      <c r="CB44" s="147"/>
      <c r="CC44" s="147"/>
      <c r="CD44" s="147"/>
      <c r="CE44" s="147"/>
      <c r="CF44" s="147"/>
      <c r="CG44" s="147"/>
      <c r="CH44" s="147"/>
      <c r="CI44" s="147"/>
      <c r="CJ44" s="147"/>
      <c r="CK44" s="147"/>
    </row>
    <row r="45" spans="1:89">
      <c r="A45" s="159" t="s">
        <v>352</v>
      </c>
      <c r="B45" s="3" t="s">
        <v>353</v>
      </c>
      <c r="C45" s="160" t="s">
        <v>54</v>
      </c>
      <c r="D45" s="160" t="s">
        <v>848</v>
      </c>
      <c r="E45" s="3" t="s">
        <v>22</v>
      </c>
      <c r="F45" s="3" t="s">
        <v>928</v>
      </c>
      <c r="G45" s="3" t="s">
        <v>917</v>
      </c>
      <c r="H45" s="156" t="str">
        <f ca="1">IFERROR(
  _xludf.MINIFS(ATTENDANCE_LOG!$F:$F,
         ATTENDANCE_LOG!$A:$A, C45,
         ATTENDANCE_LOG!$B:$B, E45),
"")</f>
        <v/>
      </c>
      <c r="I45" s="156" t="str">
        <f t="shared" ca="1" si="0"/>
        <v/>
      </c>
      <c r="J45" s="3">
        <f>IFERROR(VLOOKUP(F45, LEVEL_HELPER!$A:$B, 2, 0), "")</f>
        <v>1.5</v>
      </c>
      <c r="K45" s="3">
        <f>IFERROR(VLOOKUP(G45, LEVEL_HELPER!$A:$B, 2, 0), "")</f>
        <v>3</v>
      </c>
      <c r="L45" s="157" t="s">
        <v>942</v>
      </c>
      <c r="M45" s="157" t="s">
        <v>924</v>
      </c>
      <c r="N45" s="3">
        <f t="array" aca="1" ref="N45" ca="1">IFERROR(
  INDEX($J$2:$J$543,
    MATCH(A45&amp;TEXT(I45,"yyyy-mm-dd"),
          $A$2:$A$543&amp;TEXT($H$2:$H$543,"yyyy-mm-dd"),
          0)),
"")</f>
        <v>1</v>
      </c>
      <c r="O45" s="147" t="str">
        <f t="shared" ca="1" si="1"/>
        <v/>
      </c>
      <c r="P45" s="147">
        <f t="shared" ref="P45:Q45" ca="1" si="54">IF(N45="",0,IF(N45&lt;=2,1,IF(N45&lt;=4,2,IF(N45&lt;=5.5,3,4))))</f>
        <v>1</v>
      </c>
      <c r="Q45" s="147">
        <f t="shared" ca="1" si="54"/>
        <v>0</v>
      </c>
      <c r="R45" s="147" t="str">
        <f t="shared" ca="1" si="3"/>
        <v>Not tested yet</v>
      </c>
      <c r="S45" s="147">
        <f t="shared" si="4"/>
        <v>0</v>
      </c>
      <c r="T45" s="147"/>
      <c r="U45" s="147"/>
      <c r="V45" s="148" t="e">
        <f ca="1"/>
        <v>#NAME?</v>
      </c>
      <c r="W45" s="147" t="e">
        <f t="shared" ca="1" si="5"/>
        <v>#NAME?</v>
      </c>
      <c r="X45" s="147" t="e">
        <f t="shared" ca="1" si="6"/>
        <v>#NAME?</v>
      </c>
      <c r="Y45" s="147" t="e">
        <f t="shared" ca="1" si="7"/>
        <v>#NAME?</v>
      </c>
      <c r="Z45" s="147"/>
      <c r="AA45" s="147"/>
      <c r="AB45" s="147"/>
      <c r="AC45" s="147"/>
      <c r="AD45" s="147"/>
      <c r="AE45" s="147"/>
      <c r="AF45" s="147"/>
      <c r="AG45" s="147"/>
      <c r="AH45" s="147"/>
      <c r="AI45" s="147"/>
      <c r="AJ45" s="147"/>
      <c r="AK45" s="147"/>
      <c r="AL45" s="147"/>
      <c r="AM45" s="151"/>
      <c r="AN45" s="148" t="str">
        <f ca="1">IFERROR(__xludf.DUMMYFUNCTION("""COMPUTED_VALUE"""),"227177")</f>
        <v>227177</v>
      </c>
      <c r="AO45" s="147" t="str">
        <f t="shared" ca="1" si="8"/>
        <v>QC</v>
      </c>
      <c r="AP45" s="147" t="e">
        <f t="shared" ca="1" si="9"/>
        <v>#NAME?</v>
      </c>
      <c r="AQ45" s="147" t="str">
        <f t="shared" ca="1" si="10"/>
        <v>ONC</v>
      </c>
      <c r="AR45" s="147"/>
      <c r="AS45" s="147"/>
      <c r="AT45" s="147"/>
      <c r="AU45" s="147"/>
      <c r="AV45" s="147"/>
      <c r="AW45" s="147"/>
      <c r="AX45" s="147"/>
      <c r="AY45" s="147"/>
      <c r="AZ45" s="147"/>
      <c r="BA45" s="147"/>
      <c r="BB45" s="147"/>
      <c r="BC45" s="147"/>
      <c r="BD45" s="147"/>
      <c r="BE45" s="147"/>
      <c r="BF45" s="147"/>
      <c r="BG45" s="147"/>
      <c r="BH45" s="147"/>
      <c r="BI45" s="147"/>
      <c r="BJ45" s="147"/>
      <c r="BK45" s="147"/>
      <c r="BL45" s="147"/>
      <c r="BM45" s="147"/>
      <c r="BN45" s="147"/>
      <c r="BO45" s="147"/>
      <c r="BP45" s="147"/>
      <c r="BQ45" s="147"/>
      <c r="BR45" s="147"/>
      <c r="BS45" s="147"/>
      <c r="BT45" s="147"/>
      <c r="BU45" s="147"/>
      <c r="BV45" s="147"/>
      <c r="BW45" s="147"/>
      <c r="BX45" s="147"/>
      <c r="BY45" s="147"/>
      <c r="BZ45" s="147"/>
      <c r="CA45" s="147"/>
      <c r="CB45" s="147"/>
      <c r="CC45" s="147"/>
      <c r="CD45" s="147"/>
      <c r="CE45" s="147"/>
      <c r="CF45" s="147"/>
      <c r="CG45" s="147"/>
      <c r="CH45" s="147"/>
      <c r="CI45" s="147"/>
      <c r="CJ45" s="147"/>
      <c r="CK45" s="147"/>
    </row>
    <row r="46" spans="1:89">
      <c r="A46" s="159" t="s">
        <v>553</v>
      </c>
      <c r="B46" s="3" t="s">
        <v>554</v>
      </c>
      <c r="C46" s="160" t="s">
        <v>54</v>
      </c>
      <c r="D46" s="160" t="s">
        <v>848</v>
      </c>
      <c r="E46" s="3" t="s">
        <v>22</v>
      </c>
      <c r="F46" s="3" t="s">
        <v>934</v>
      </c>
      <c r="G46" s="3" t="s">
        <v>940</v>
      </c>
      <c r="H46" s="156" t="str">
        <f ca="1">IFERROR(
  _xludf.MINIFS(ATTENDANCE_LOG!$F:$F,
         ATTENDANCE_LOG!$A:$A, C46,
         ATTENDANCE_LOG!$B:$B, E46),
"")</f>
        <v/>
      </c>
      <c r="I46" s="156" t="str">
        <f t="shared" ca="1" si="0"/>
        <v/>
      </c>
      <c r="J46" s="3">
        <f>IFERROR(VLOOKUP(F46, LEVEL_HELPER!$A:$B, 2, 0), "")</f>
        <v>3.5</v>
      </c>
      <c r="K46" s="3">
        <f>IFERROR(VLOOKUP(G46, LEVEL_HELPER!$A:$B, 2, 0), "")</f>
        <v>5</v>
      </c>
      <c r="L46" s="157" t="s">
        <v>942</v>
      </c>
      <c r="M46" s="157" t="s">
        <v>924</v>
      </c>
      <c r="N46" s="3">
        <f t="array" aca="1" ref="N46" ca="1">IFERROR(
  INDEX($J$2:$J$543,
    MATCH(A46&amp;TEXT(I46,"yyyy-mm-dd"),
          $A$2:$A$543&amp;TEXT($H$2:$H$543,"yyyy-mm-dd"),
          0)),
"")</f>
        <v>1</v>
      </c>
      <c r="O46" s="147" t="str">
        <f t="shared" ca="1" si="1"/>
        <v/>
      </c>
      <c r="P46" s="147">
        <f t="shared" ref="P46:Q46" ca="1" si="55">IF(N46="",0,IF(N46&lt;=2,1,IF(N46&lt;=4,2,IF(N46&lt;=5.5,3,4))))</f>
        <v>1</v>
      </c>
      <c r="Q46" s="147">
        <f t="shared" ca="1" si="55"/>
        <v>0</v>
      </c>
      <c r="R46" s="147" t="str">
        <f t="shared" ca="1" si="3"/>
        <v>Not tested yet</v>
      </c>
      <c r="S46" s="147">
        <f t="shared" si="4"/>
        <v>0</v>
      </c>
      <c r="T46" s="147"/>
      <c r="U46" s="147"/>
      <c r="V46" s="148" t="e">
        <f ca="1"/>
        <v>#NAME?</v>
      </c>
      <c r="W46" s="147" t="e">
        <f t="shared" ca="1" si="5"/>
        <v>#NAME?</v>
      </c>
      <c r="X46" s="147" t="e">
        <f t="shared" ca="1" si="6"/>
        <v>#NAME?</v>
      </c>
      <c r="Y46" s="147" t="e">
        <f t="shared" ca="1" si="7"/>
        <v>#NAME?</v>
      </c>
      <c r="Z46" s="147"/>
      <c r="AA46" s="147"/>
      <c r="AB46" s="147"/>
      <c r="AC46" s="147"/>
      <c r="AD46" s="147"/>
      <c r="AE46" s="147"/>
      <c r="AF46" s="147"/>
      <c r="AG46" s="147"/>
      <c r="AH46" s="147"/>
      <c r="AI46" s="147"/>
      <c r="AJ46" s="147"/>
      <c r="AK46" s="147"/>
      <c r="AL46" s="147"/>
      <c r="AM46" s="151"/>
      <c r="AN46" s="148" t="str">
        <f ca="1">IFERROR(__xludf.DUMMYFUNCTION("""COMPUTED_VALUE"""),"227035")</f>
        <v>227035</v>
      </c>
      <c r="AO46" s="147" t="str">
        <f t="shared" ca="1" si="8"/>
        <v>DEV</v>
      </c>
      <c r="AP46" s="147" t="e">
        <f t="shared" ca="1" si="9"/>
        <v>#NAME?</v>
      </c>
      <c r="AQ46" s="147" t="str">
        <f t="shared" ca="1" si="10"/>
        <v>LBU</v>
      </c>
      <c r="AR46" s="147"/>
      <c r="AS46" s="147"/>
      <c r="AT46" s="147"/>
      <c r="AU46" s="147"/>
      <c r="AV46" s="147"/>
      <c r="AW46" s="147"/>
      <c r="AX46" s="147"/>
      <c r="AY46" s="147"/>
      <c r="AZ46" s="147"/>
      <c r="BA46" s="147"/>
      <c r="BB46" s="147"/>
      <c r="BC46" s="147"/>
      <c r="BD46" s="147"/>
      <c r="BE46" s="147"/>
      <c r="BF46" s="147"/>
      <c r="BG46" s="147"/>
      <c r="BH46" s="147"/>
      <c r="BI46" s="147"/>
      <c r="BJ46" s="147"/>
      <c r="BK46" s="147"/>
      <c r="BL46" s="147"/>
      <c r="BM46" s="147"/>
      <c r="BN46" s="147"/>
      <c r="BO46" s="147"/>
      <c r="BP46" s="147"/>
      <c r="BQ46" s="147"/>
      <c r="BR46" s="147"/>
      <c r="BS46" s="147"/>
      <c r="BT46" s="147"/>
      <c r="BU46" s="147"/>
      <c r="BV46" s="147"/>
      <c r="BW46" s="147"/>
      <c r="BX46" s="147"/>
      <c r="BY46" s="147"/>
      <c r="BZ46" s="147"/>
      <c r="CA46" s="147"/>
      <c r="CB46" s="147"/>
      <c r="CC46" s="147"/>
      <c r="CD46" s="147"/>
      <c r="CE46" s="147"/>
      <c r="CF46" s="147"/>
      <c r="CG46" s="147"/>
      <c r="CH46" s="147"/>
      <c r="CI46" s="147"/>
      <c r="CJ46" s="147"/>
      <c r="CK46" s="147"/>
    </row>
    <row r="47" spans="1:89">
      <c r="A47" s="159" t="s">
        <v>617</v>
      </c>
      <c r="B47" s="3" t="s">
        <v>618</v>
      </c>
      <c r="C47" s="160" t="s">
        <v>54</v>
      </c>
      <c r="D47" s="160" t="s">
        <v>848</v>
      </c>
      <c r="E47" s="3" t="s">
        <v>22</v>
      </c>
      <c r="F47" s="3" t="s">
        <v>917</v>
      </c>
      <c r="G47" s="3" t="s">
        <v>934</v>
      </c>
      <c r="H47" s="156" t="str">
        <f ca="1">IFERROR(
  _xludf.MINIFS(ATTENDANCE_LOG!$F:$F,
         ATTENDANCE_LOG!$A:$A, C47,
         ATTENDANCE_LOG!$B:$B, E47),
"")</f>
        <v/>
      </c>
      <c r="I47" s="156" t="str">
        <f t="shared" ca="1" si="0"/>
        <v/>
      </c>
      <c r="J47" s="3">
        <f>IFERROR(VLOOKUP(F47, LEVEL_HELPER!$A:$B, 2, 0), "")</f>
        <v>3</v>
      </c>
      <c r="K47" s="3">
        <f>IFERROR(VLOOKUP(G47, LEVEL_HELPER!$A:$B, 2, 0), "")</f>
        <v>3.5</v>
      </c>
      <c r="L47" s="157" t="s">
        <v>942</v>
      </c>
      <c r="M47" s="157" t="s">
        <v>924</v>
      </c>
      <c r="N47" s="3">
        <f t="array" aca="1" ref="N47" ca="1">IFERROR(
  INDEX($J$2:$J$543,
    MATCH(A47&amp;TEXT(I47,"yyyy-mm-dd"),
          $A$2:$A$543&amp;TEXT($H$2:$H$543,"yyyy-mm-dd"),
          0)),
"")</f>
        <v>1</v>
      </c>
      <c r="O47" s="147" t="str">
        <f t="shared" ca="1" si="1"/>
        <v/>
      </c>
      <c r="P47" s="147">
        <f t="shared" ref="P47:Q47" ca="1" si="56">IF(N47="",0,IF(N47&lt;=2,1,IF(N47&lt;=4,2,IF(N47&lt;=5.5,3,4))))</f>
        <v>1</v>
      </c>
      <c r="Q47" s="147">
        <f t="shared" ca="1" si="56"/>
        <v>0</v>
      </c>
      <c r="R47" s="147" t="str">
        <f t="shared" ca="1" si="3"/>
        <v>Not tested yet</v>
      </c>
      <c r="S47" s="147">
        <f t="shared" si="4"/>
        <v>0</v>
      </c>
      <c r="T47" s="147"/>
      <c r="U47" s="147"/>
      <c r="V47" s="148" t="e">
        <f ca="1"/>
        <v>#NAME?</v>
      </c>
      <c r="W47" s="147" t="e">
        <f t="shared" ca="1" si="5"/>
        <v>#NAME?</v>
      </c>
      <c r="X47" s="147" t="e">
        <f t="shared" ca="1" si="6"/>
        <v>#NAME?</v>
      </c>
      <c r="Y47" s="147" t="e">
        <f t="shared" ca="1" si="7"/>
        <v>#NAME?</v>
      </c>
      <c r="Z47" s="147"/>
      <c r="AA47" s="147"/>
      <c r="AB47" s="147"/>
      <c r="AC47" s="147"/>
      <c r="AD47" s="147"/>
      <c r="AE47" s="147"/>
      <c r="AF47" s="147"/>
      <c r="AG47" s="147"/>
      <c r="AH47" s="147"/>
      <c r="AI47" s="147"/>
      <c r="AJ47" s="147"/>
      <c r="AK47" s="147"/>
      <c r="AL47" s="147"/>
      <c r="AM47" s="151"/>
      <c r="AN47" s="148" t="str">
        <f ca="1">IFERROR(__xludf.DUMMYFUNCTION("""COMPUTED_VALUE"""),"227214")</f>
        <v>227214</v>
      </c>
      <c r="AO47" s="147" t="str">
        <f t="shared" ca="1" si="8"/>
        <v>GSD</v>
      </c>
      <c r="AP47" s="147" t="e">
        <f t="shared" ca="1" si="9"/>
        <v>#NAME?</v>
      </c>
      <c r="AQ47" s="147" t="str">
        <f t="shared" ca="1" si="10"/>
        <v>LBU</v>
      </c>
      <c r="AR47" s="147"/>
      <c r="AS47" s="147"/>
      <c r="AT47" s="147"/>
      <c r="AU47" s="147"/>
      <c r="AV47" s="147"/>
      <c r="AW47" s="147"/>
      <c r="AX47" s="147"/>
      <c r="AY47" s="147"/>
      <c r="AZ47" s="147"/>
      <c r="BA47" s="147"/>
      <c r="BB47" s="147"/>
      <c r="BC47" s="147"/>
      <c r="BD47" s="147"/>
      <c r="BE47" s="147"/>
      <c r="BF47" s="147"/>
      <c r="BG47" s="147"/>
      <c r="BH47" s="147"/>
      <c r="BI47" s="147"/>
      <c r="BJ47" s="147"/>
      <c r="BK47" s="147"/>
      <c r="BL47" s="147"/>
      <c r="BM47" s="147"/>
      <c r="BN47" s="147"/>
      <c r="BO47" s="147"/>
      <c r="BP47" s="147"/>
      <c r="BQ47" s="147"/>
      <c r="BR47" s="147"/>
      <c r="BS47" s="147"/>
      <c r="BT47" s="147"/>
      <c r="BU47" s="147"/>
      <c r="BV47" s="147"/>
      <c r="BW47" s="147"/>
      <c r="BX47" s="147"/>
      <c r="BY47" s="147"/>
      <c r="BZ47" s="147"/>
      <c r="CA47" s="147"/>
      <c r="CB47" s="147"/>
      <c r="CC47" s="147"/>
      <c r="CD47" s="147"/>
      <c r="CE47" s="147"/>
      <c r="CF47" s="147"/>
      <c r="CG47" s="147"/>
      <c r="CH47" s="147"/>
      <c r="CI47" s="147"/>
      <c r="CJ47" s="147"/>
      <c r="CK47" s="147"/>
    </row>
    <row r="48" spans="1:89">
      <c r="A48" s="159" t="s">
        <v>695</v>
      </c>
      <c r="B48" s="3" t="s">
        <v>696</v>
      </c>
      <c r="C48" s="160" t="s">
        <v>54</v>
      </c>
      <c r="D48" s="160" t="s">
        <v>848</v>
      </c>
      <c r="E48" s="3" t="s">
        <v>22</v>
      </c>
      <c r="F48" s="3"/>
      <c r="G48" s="3"/>
      <c r="H48" s="156" t="str">
        <f ca="1">IFERROR(
  _xludf.MINIFS(ATTENDANCE_LOG!$F:$F,
         ATTENDANCE_LOG!$A:$A, C48,
         ATTENDANCE_LOG!$B:$B, E48),
"")</f>
        <v/>
      </c>
      <c r="I48" s="156" t="str">
        <f t="shared" ca="1" si="0"/>
        <v/>
      </c>
      <c r="J48" s="3" t="str">
        <f>IFERROR(VLOOKUP(F48, LEVEL_HELPER!$A:$B, 2, 0), "")</f>
        <v/>
      </c>
      <c r="K48" s="3" t="str">
        <f>IFERROR(VLOOKUP(G48, LEVEL_HELPER!$A:$B, 2, 0), "")</f>
        <v/>
      </c>
      <c r="L48" s="157" t="s">
        <v>942</v>
      </c>
      <c r="M48" s="157" t="s">
        <v>924</v>
      </c>
      <c r="N48" s="3" t="str">
        <f t="array" aca="1" ref="N48" ca="1">IFERROR(
  INDEX($J$2:$J$543,
    MATCH(A48&amp;TEXT(I48,"yyyy-mm-dd"),
          $A$2:$A$543&amp;TEXT($H$2:$H$543,"yyyy-mm-dd"),
          0)),
"")</f>
        <v/>
      </c>
      <c r="O48" s="147" t="str">
        <f t="shared" ca="1" si="1"/>
        <v/>
      </c>
      <c r="P48" s="147">
        <f t="shared" ref="P48:Q48" ca="1" si="57">IF(N48="",0,IF(N48&lt;=2,1,IF(N48&lt;=4,2,IF(N48&lt;=5.5,3,4))))</f>
        <v>0</v>
      </c>
      <c r="Q48" s="147">
        <f t="shared" ca="1" si="57"/>
        <v>0</v>
      </c>
      <c r="R48" s="147" t="str">
        <f t="shared" ca="1" si="3"/>
        <v>Not tested yet</v>
      </c>
      <c r="S48" s="147">
        <f t="shared" si="4"/>
        <v>0</v>
      </c>
      <c r="T48" s="147"/>
      <c r="U48" s="147"/>
      <c r="V48" s="148" t="e">
        <f ca="1"/>
        <v>#NAME?</v>
      </c>
      <c r="W48" s="147" t="e">
        <f t="shared" ca="1" si="5"/>
        <v>#NAME?</v>
      </c>
      <c r="X48" s="147" t="e">
        <f t="shared" ca="1" si="6"/>
        <v>#NAME?</v>
      </c>
      <c r="Y48" s="147" t="e">
        <f t="shared" ca="1" si="7"/>
        <v>#NAME?</v>
      </c>
      <c r="Z48" s="147"/>
      <c r="AA48" s="147"/>
      <c r="AB48" s="147"/>
      <c r="AC48" s="147"/>
      <c r="AD48" s="147"/>
      <c r="AE48" s="147"/>
      <c r="AF48" s="147"/>
      <c r="AG48" s="147"/>
      <c r="AH48" s="147"/>
      <c r="AI48" s="147"/>
      <c r="AJ48" s="147"/>
      <c r="AK48" s="147"/>
      <c r="AL48" s="147"/>
      <c r="AM48" s="151"/>
      <c r="AN48" s="148" t="str">
        <f ca="1">IFERROR(__xludf.DUMMYFUNCTION("""COMPUTED_VALUE"""),"247332")</f>
        <v>247332</v>
      </c>
      <c r="AO48" s="147" t="str">
        <f t="shared" ca="1" si="8"/>
        <v>DEV</v>
      </c>
      <c r="AP48" s="147" t="e">
        <f t="shared" ca="1" si="9"/>
        <v>#NAME?</v>
      </c>
      <c r="AQ48" s="147" t="str">
        <f t="shared" ca="1" si="10"/>
        <v>LBU</v>
      </c>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c r="CB48" s="147"/>
      <c r="CC48" s="147"/>
      <c r="CD48" s="147"/>
      <c r="CE48" s="147"/>
      <c r="CF48" s="147"/>
      <c r="CG48" s="147"/>
      <c r="CH48" s="147"/>
      <c r="CI48" s="147"/>
      <c r="CJ48" s="147"/>
      <c r="CK48" s="147"/>
    </row>
    <row r="49" spans="1:89">
      <c r="A49" s="153" t="s">
        <v>330</v>
      </c>
      <c r="B49" s="154" t="s">
        <v>331</v>
      </c>
      <c r="C49" s="155" t="s">
        <v>55</v>
      </c>
      <c r="D49" s="155" t="s">
        <v>849</v>
      </c>
      <c r="E49" s="154" t="s">
        <v>21</v>
      </c>
      <c r="F49" s="3" t="s">
        <v>916</v>
      </c>
      <c r="G49" s="3" t="s">
        <v>931</v>
      </c>
      <c r="H49" s="156" t="str">
        <f ca="1">IFERROR(
  _xludf.MINIFS(ATTENDANCE_LOG!$F:$F,
         ATTENDANCE_LOG!$A:$A, C49,
         ATTENDANCE_LOG!$B:$B, E49),
"")</f>
        <v/>
      </c>
      <c r="I49" s="156" t="str">
        <f t="shared" ca="1" si="0"/>
        <v/>
      </c>
      <c r="J49" s="3">
        <f>IFERROR(VLOOKUP(F49, LEVEL_HELPER!$A:$B, 2, 0), "")</f>
        <v>2.5</v>
      </c>
      <c r="K49" s="3">
        <f>IFERROR(VLOOKUP(G49, LEVEL_HELPER!$A:$B, 2, 0), "")</f>
        <v>4.5</v>
      </c>
      <c r="L49" s="157" t="s">
        <v>942</v>
      </c>
      <c r="M49" s="157" t="s">
        <v>922</v>
      </c>
      <c r="N49" s="3">
        <f t="array" aca="1" ref="N49" ca="1">IFERROR(
  INDEX($J$2:$J$543,
    MATCH(A49&amp;TEXT(I49,"yyyy-mm-dd"),
          $A$2:$A$543&amp;TEXT($H$2:$H$543,"yyyy-mm-dd"),
          0)),
"")</f>
        <v>2.5</v>
      </c>
      <c r="O49" s="147" t="str">
        <f t="shared" ca="1" si="1"/>
        <v/>
      </c>
      <c r="P49" s="147">
        <f t="shared" ref="P49:Q49" ca="1" si="58">IF(N49="",0,IF(N49&lt;=2,1,IF(N49&lt;=4,2,IF(N49&lt;=5.5,3,4))))</f>
        <v>2</v>
      </c>
      <c r="Q49" s="147">
        <f t="shared" ca="1" si="58"/>
        <v>0</v>
      </c>
      <c r="R49" s="147" t="str">
        <f t="shared" ca="1" si="3"/>
        <v>Not tested yet</v>
      </c>
      <c r="S49" s="147">
        <f t="shared" si="4"/>
        <v>1</v>
      </c>
      <c r="T49" s="147"/>
      <c r="U49" s="147"/>
      <c r="V49" s="148" t="e">
        <f ca="1"/>
        <v>#NAME?</v>
      </c>
      <c r="W49" s="147" t="e">
        <f t="shared" ca="1" si="5"/>
        <v>#NAME?</v>
      </c>
      <c r="X49" s="147" t="e">
        <f t="shared" ca="1" si="6"/>
        <v>#NAME?</v>
      </c>
      <c r="Y49" s="147" t="e">
        <f t="shared" ca="1" si="7"/>
        <v>#NAME?</v>
      </c>
      <c r="Z49" s="147"/>
      <c r="AA49" s="147"/>
      <c r="AB49" s="147"/>
      <c r="AC49" s="147"/>
      <c r="AD49" s="147"/>
      <c r="AE49" s="147"/>
      <c r="AF49" s="147"/>
      <c r="AG49" s="147"/>
      <c r="AH49" s="147"/>
      <c r="AI49" s="147"/>
      <c r="AJ49" s="147"/>
      <c r="AK49" s="147"/>
      <c r="AL49" s="147"/>
      <c r="AM49" s="151"/>
      <c r="AN49" s="148" t="str">
        <f ca="1">IFERROR(__xludf.DUMMYFUNCTION("""COMPUTED_VALUE"""),"173232")</f>
        <v>173232</v>
      </c>
      <c r="AO49" s="147" t="str">
        <f t="shared" ca="1" si="8"/>
        <v>TA</v>
      </c>
      <c r="AP49" s="147" t="e">
        <f t="shared" ca="1" si="9"/>
        <v>#NAME?</v>
      </c>
      <c r="AQ49" s="147" t="str">
        <f t="shared" ca="1" si="10"/>
        <v>MOC</v>
      </c>
      <c r="AR49" s="147"/>
      <c r="AS49" s="147"/>
      <c r="AT49" s="147"/>
      <c r="AU49" s="147"/>
      <c r="AV49" s="147"/>
      <c r="AW49" s="147"/>
      <c r="AX49" s="147"/>
      <c r="AY49" s="147"/>
      <c r="AZ49" s="147"/>
      <c r="BA49" s="147"/>
      <c r="BB49" s="147"/>
      <c r="BC49" s="147"/>
      <c r="BD49" s="147"/>
      <c r="BE49" s="147"/>
      <c r="BF49" s="147"/>
      <c r="BG49" s="147"/>
      <c r="BH49" s="147"/>
      <c r="BI49" s="147"/>
      <c r="BJ49" s="147"/>
      <c r="BK49" s="147"/>
      <c r="BL49" s="147"/>
      <c r="BM49" s="147"/>
      <c r="BN49" s="147"/>
      <c r="BO49" s="147"/>
      <c r="BP49" s="147"/>
      <c r="BQ49" s="147"/>
      <c r="BR49" s="147"/>
      <c r="BS49" s="147"/>
      <c r="BT49" s="147"/>
      <c r="BU49" s="147"/>
      <c r="BV49" s="147"/>
      <c r="BW49" s="147"/>
      <c r="BX49" s="147"/>
      <c r="BY49" s="147"/>
      <c r="BZ49" s="147"/>
      <c r="CA49" s="147"/>
      <c r="CB49" s="147"/>
      <c r="CC49" s="147"/>
      <c r="CD49" s="147"/>
      <c r="CE49" s="147"/>
      <c r="CF49" s="147"/>
      <c r="CG49" s="147"/>
      <c r="CH49" s="147"/>
      <c r="CI49" s="147"/>
      <c r="CJ49" s="147"/>
      <c r="CK49" s="147"/>
    </row>
    <row r="50" spans="1:89">
      <c r="A50" s="159" t="s">
        <v>294</v>
      </c>
      <c r="B50" s="3" t="s">
        <v>295</v>
      </c>
      <c r="C50" s="160" t="s">
        <v>55</v>
      </c>
      <c r="D50" s="160" t="s">
        <v>849</v>
      </c>
      <c r="E50" s="3" t="s">
        <v>21</v>
      </c>
      <c r="F50" s="3" t="s">
        <v>926</v>
      </c>
      <c r="G50" s="3" t="s">
        <v>928</v>
      </c>
      <c r="H50" s="156" t="str">
        <f ca="1">IFERROR(
  _xludf.MINIFS(ATTENDANCE_LOG!$F:$F,
         ATTENDANCE_LOG!$A:$A, C50,
         ATTENDANCE_LOG!$B:$B, E50),
"")</f>
        <v/>
      </c>
      <c r="I50" s="156" t="str">
        <f t="shared" ca="1" si="0"/>
        <v/>
      </c>
      <c r="J50" s="3">
        <f>IFERROR(VLOOKUP(F50, LEVEL_HELPER!$A:$B, 2, 0), "")</f>
        <v>1</v>
      </c>
      <c r="K50" s="3">
        <f>IFERROR(VLOOKUP(G50, LEVEL_HELPER!$A:$B, 2, 0), "")</f>
        <v>1.5</v>
      </c>
      <c r="L50" s="157" t="s">
        <v>930</v>
      </c>
      <c r="M50" s="157" t="s">
        <v>922</v>
      </c>
      <c r="N50" s="3">
        <f t="array" aca="1" ref="N50" ca="1">IFERROR(
  INDEX($J$2:$J$543,
    MATCH(A50&amp;TEXT(I50,"yyyy-mm-dd"),
          $A$2:$A$543&amp;TEXT($H$2:$H$543,"yyyy-mm-dd"),
          0)),
"")</f>
        <v>1</v>
      </c>
      <c r="O50" s="147" t="str">
        <f t="shared" ca="1" si="1"/>
        <v/>
      </c>
      <c r="P50" s="147">
        <f t="shared" ref="P50:Q50" ca="1" si="59">IF(N50="",0,IF(N50&lt;=2,1,IF(N50&lt;=4,2,IF(N50&lt;=5.5,3,4))))</f>
        <v>1</v>
      </c>
      <c r="Q50" s="147">
        <f t="shared" ca="1" si="59"/>
        <v>0</v>
      </c>
      <c r="R50" s="147" t="str">
        <f t="shared" ca="1" si="3"/>
        <v>Not tested yet</v>
      </c>
      <c r="S50" s="147">
        <f t="shared" si="4"/>
        <v>1</v>
      </c>
      <c r="T50" s="147"/>
      <c r="U50" s="147"/>
      <c r="V50" s="148" t="e">
        <f ca="1"/>
        <v>#NAME?</v>
      </c>
      <c r="W50" s="147" t="e">
        <f t="shared" ca="1" si="5"/>
        <v>#NAME?</v>
      </c>
      <c r="X50" s="147" t="e">
        <f t="shared" ca="1" si="6"/>
        <v>#NAME?</v>
      </c>
      <c r="Y50" s="147" t="e">
        <f t="shared" ca="1" si="7"/>
        <v>#NAME?</v>
      </c>
      <c r="Z50" s="147"/>
      <c r="AA50" s="147"/>
      <c r="AB50" s="147"/>
      <c r="AC50" s="147"/>
      <c r="AD50" s="147"/>
      <c r="AE50" s="147"/>
      <c r="AF50" s="147"/>
      <c r="AG50" s="147"/>
      <c r="AH50" s="147"/>
      <c r="AI50" s="147"/>
      <c r="AJ50" s="147"/>
      <c r="AK50" s="147"/>
      <c r="AL50" s="147"/>
      <c r="AM50" s="151"/>
      <c r="AN50" s="148" t="str">
        <f ca="1">IFERROR(__xludf.DUMMYFUNCTION("""COMPUTED_VALUE"""),"193613")</f>
        <v>193613</v>
      </c>
      <c r="AO50" s="147" t="str">
        <f t="shared" ca="1" si="8"/>
        <v>DEV</v>
      </c>
      <c r="AP50" s="147" t="e">
        <f t="shared" ca="1" si="9"/>
        <v>#NAME?</v>
      </c>
      <c r="AQ50" s="147" t="str">
        <f t="shared" ca="1" si="10"/>
        <v>MOC</v>
      </c>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47"/>
      <c r="BU50" s="147"/>
      <c r="BV50" s="147"/>
      <c r="BW50" s="147"/>
      <c r="BX50" s="147"/>
      <c r="BY50" s="147"/>
      <c r="BZ50" s="147"/>
      <c r="CA50" s="147"/>
      <c r="CB50" s="147"/>
      <c r="CC50" s="147"/>
      <c r="CD50" s="147"/>
      <c r="CE50" s="147"/>
      <c r="CF50" s="147"/>
      <c r="CG50" s="147"/>
      <c r="CH50" s="147"/>
      <c r="CI50" s="147"/>
      <c r="CJ50" s="147"/>
      <c r="CK50" s="147"/>
    </row>
    <row r="51" spans="1:89">
      <c r="A51" s="159" t="s">
        <v>411</v>
      </c>
      <c r="B51" s="3" t="s">
        <v>412</v>
      </c>
      <c r="C51" s="160" t="s">
        <v>55</v>
      </c>
      <c r="D51" s="160" t="s">
        <v>849</v>
      </c>
      <c r="E51" s="3" t="s">
        <v>21</v>
      </c>
      <c r="F51" s="3" t="s">
        <v>916</v>
      </c>
      <c r="G51" s="3" t="s">
        <v>928</v>
      </c>
      <c r="H51" s="156" t="str">
        <f ca="1">IFERROR(
  _xludf.MINIFS(ATTENDANCE_LOG!$F:$F,
         ATTENDANCE_LOG!$A:$A, C51,
         ATTENDANCE_LOG!$B:$B, E51),
"")</f>
        <v/>
      </c>
      <c r="I51" s="156" t="str">
        <f t="shared" ca="1" si="0"/>
        <v/>
      </c>
      <c r="J51" s="3">
        <f>IFERROR(VLOOKUP(F51, LEVEL_HELPER!$A:$B, 2, 0), "")</f>
        <v>2.5</v>
      </c>
      <c r="K51" s="3">
        <f>IFERROR(VLOOKUP(G51, LEVEL_HELPER!$A:$B, 2, 0), "")</f>
        <v>1.5</v>
      </c>
      <c r="L51" s="157" t="s">
        <v>930</v>
      </c>
      <c r="M51" s="157" t="s">
        <v>922</v>
      </c>
      <c r="N51" s="3">
        <f t="array" aca="1" ref="N51" ca="1">IFERROR(
  INDEX($J$2:$J$543,
    MATCH(A51&amp;TEXT(I51,"yyyy-mm-dd"),
          $A$2:$A$543&amp;TEXT($H$2:$H$543,"yyyy-mm-dd"),
          0)),
"")</f>
        <v>2.5</v>
      </c>
      <c r="O51" s="147" t="str">
        <f t="shared" ca="1" si="1"/>
        <v/>
      </c>
      <c r="P51" s="147">
        <f t="shared" ref="P51:Q51" ca="1" si="60">IF(N51="",0,IF(N51&lt;=2,1,IF(N51&lt;=4,2,IF(N51&lt;=5.5,3,4))))</f>
        <v>2</v>
      </c>
      <c r="Q51" s="147">
        <f t="shared" ca="1" si="60"/>
        <v>0</v>
      </c>
      <c r="R51" s="147" t="str">
        <f t="shared" ca="1" si="3"/>
        <v>Not tested yet</v>
      </c>
      <c r="S51" s="147">
        <f t="shared" si="4"/>
        <v>1</v>
      </c>
      <c r="T51" s="147"/>
      <c r="U51" s="147"/>
      <c r="V51" s="148" t="e">
        <f ca="1"/>
        <v>#NAME?</v>
      </c>
      <c r="W51" s="147" t="e">
        <f t="shared" ca="1" si="5"/>
        <v>#NAME?</v>
      </c>
      <c r="X51" s="147" t="e">
        <f t="shared" ca="1" si="6"/>
        <v>#NAME?</v>
      </c>
      <c r="Y51" s="147" t="e">
        <f t="shared" ca="1" si="7"/>
        <v>#NAME?</v>
      </c>
      <c r="Z51" s="147"/>
      <c r="AA51" s="147"/>
      <c r="AB51" s="147"/>
      <c r="AC51" s="147"/>
      <c r="AD51" s="147"/>
      <c r="AE51" s="147"/>
      <c r="AF51" s="147"/>
      <c r="AG51" s="147"/>
      <c r="AH51" s="147"/>
      <c r="AI51" s="147"/>
      <c r="AJ51" s="147"/>
      <c r="AK51" s="147"/>
      <c r="AL51" s="147"/>
      <c r="AM51" s="151"/>
      <c r="AN51" s="148" t="str">
        <f ca="1">IFERROR(__xludf.DUMMYFUNCTION("""COMPUTED_VALUE"""),"203790")</f>
        <v>203790</v>
      </c>
      <c r="AO51" s="147" t="str">
        <f t="shared" ca="1" si="8"/>
        <v>GSD</v>
      </c>
      <c r="AP51" s="147" t="e">
        <f t="shared" ca="1" si="9"/>
        <v>#NAME?</v>
      </c>
      <c r="AQ51" s="147" t="str">
        <f t="shared" ca="1" si="10"/>
        <v>LBU</v>
      </c>
      <c r="AR51" s="147"/>
      <c r="AS51" s="147"/>
      <c r="AT51" s="147"/>
      <c r="AU51" s="147"/>
      <c r="AV51" s="147"/>
      <c r="AW51" s="147"/>
      <c r="AX51" s="147"/>
      <c r="AY51" s="147"/>
      <c r="AZ51" s="147"/>
      <c r="BA51" s="147"/>
      <c r="BB51" s="147"/>
      <c r="BC51" s="147"/>
      <c r="BD51" s="147"/>
      <c r="BE51" s="147"/>
      <c r="BF51" s="147"/>
      <c r="BG51" s="147"/>
      <c r="BH51" s="147"/>
      <c r="BI51" s="147"/>
      <c r="BJ51" s="147"/>
      <c r="BK51" s="147"/>
      <c r="BL51" s="147"/>
      <c r="BM51" s="147"/>
      <c r="BN51" s="147"/>
      <c r="BO51" s="147"/>
      <c r="BP51" s="147"/>
      <c r="BQ51" s="147"/>
      <c r="BR51" s="147"/>
      <c r="BS51" s="147"/>
      <c r="BT51" s="147"/>
      <c r="BU51" s="147"/>
      <c r="BV51" s="147"/>
      <c r="BW51" s="147"/>
      <c r="BX51" s="147"/>
      <c r="BY51" s="147"/>
      <c r="BZ51" s="147"/>
      <c r="CA51" s="147"/>
      <c r="CB51" s="147"/>
      <c r="CC51" s="147"/>
      <c r="CD51" s="147"/>
      <c r="CE51" s="147"/>
      <c r="CF51" s="147"/>
      <c r="CG51" s="147"/>
      <c r="CH51" s="147"/>
      <c r="CI51" s="147"/>
      <c r="CJ51" s="147"/>
      <c r="CK51" s="147"/>
    </row>
    <row r="52" spans="1:89">
      <c r="A52" s="159" t="s">
        <v>496</v>
      </c>
      <c r="B52" s="3" t="s">
        <v>497</v>
      </c>
      <c r="C52" s="160" t="s">
        <v>55</v>
      </c>
      <c r="D52" s="160" t="s">
        <v>849</v>
      </c>
      <c r="E52" s="3" t="s">
        <v>21</v>
      </c>
      <c r="F52" s="3"/>
      <c r="G52" s="3"/>
      <c r="H52" s="156" t="str">
        <f ca="1">IFERROR(
  _xludf.MINIFS(ATTENDANCE_LOG!$F:$F,
         ATTENDANCE_LOG!$A:$A, C52,
         ATTENDANCE_LOG!$B:$B, E52),
"")</f>
        <v/>
      </c>
      <c r="I52" s="156" t="str">
        <f t="shared" ca="1" si="0"/>
        <v/>
      </c>
      <c r="J52" s="3" t="str">
        <f>IFERROR(VLOOKUP(F52, LEVEL_HELPER!$A:$B, 2, 0), "")</f>
        <v/>
      </c>
      <c r="K52" s="3" t="str">
        <f>IFERROR(VLOOKUP(G52, LEVEL_HELPER!$A:$B, 2, 0), "")</f>
        <v/>
      </c>
      <c r="L52" s="157" t="s">
        <v>930</v>
      </c>
      <c r="M52" s="157" t="s">
        <v>924</v>
      </c>
      <c r="N52" s="3" t="str">
        <f t="array" aca="1" ref="N52" ca="1">IFERROR(
  INDEX($J$2:$J$543,
    MATCH(A52&amp;TEXT(I52,"yyyy-mm-dd"),
          $A$2:$A$543&amp;TEXT($H$2:$H$543,"yyyy-mm-dd"),
          0)),
"")</f>
        <v/>
      </c>
      <c r="O52" s="147" t="str">
        <f t="shared" ca="1" si="1"/>
        <v/>
      </c>
      <c r="P52" s="147">
        <f t="shared" ref="P52:Q52" ca="1" si="61">IF(N52="",0,IF(N52&lt;=2,1,IF(N52&lt;=4,2,IF(N52&lt;=5.5,3,4))))</f>
        <v>0</v>
      </c>
      <c r="Q52" s="147">
        <f t="shared" ca="1" si="61"/>
        <v>0</v>
      </c>
      <c r="R52" s="147" t="str">
        <f t="shared" ca="1" si="3"/>
        <v>Not tested yet</v>
      </c>
      <c r="S52" s="147">
        <f t="shared" si="4"/>
        <v>1</v>
      </c>
      <c r="T52" s="147"/>
      <c r="U52" s="147"/>
      <c r="V52" s="148" t="e">
        <f ca="1"/>
        <v>#NAME?</v>
      </c>
      <c r="W52" s="147" t="e">
        <f t="shared" ca="1" si="5"/>
        <v>#NAME?</v>
      </c>
      <c r="X52" s="147" t="e">
        <f t="shared" ca="1" si="6"/>
        <v>#NAME?</v>
      </c>
      <c r="Y52" s="147" t="e">
        <f t="shared" ca="1" si="7"/>
        <v>#NAME?</v>
      </c>
      <c r="Z52" s="147"/>
      <c r="AA52" s="147"/>
      <c r="AB52" s="147"/>
      <c r="AC52" s="147"/>
      <c r="AD52" s="147"/>
      <c r="AE52" s="147"/>
      <c r="AF52" s="147"/>
      <c r="AG52" s="147"/>
      <c r="AH52" s="147"/>
      <c r="AI52" s="147"/>
      <c r="AJ52" s="147"/>
      <c r="AK52" s="147"/>
      <c r="AL52" s="147"/>
      <c r="AM52" s="151"/>
      <c r="AN52" s="148" t="str">
        <f ca="1">IFERROR(__xludf.DUMMYFUNCTION("""COMPUTED_VALUE"""),"193632")</f>
        <v>193632</v>
      </c>
      <c r="AO52" s="147" t="str">
        <f t="shared" ca="1" si="8"/>
        <v>GSD</v>
      </c>
      <c r="AP52" s="147" t="e">
        <f t="shared" ca="1" si="9"/>
        <v>#NAME?</v>
      </c>
      <c r="AQ52" s="147" t="str">
        <f t="shared" ca="1" si="10"/>
        <v>MOC</v>
      </c>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147"/>
      <c r="BT52" s="147"/>
      <c r="BU52" s="147"/>
      <c r="BV52" s="147"/>
      <c r="BW52" s="147"/>
      <c r="BX52" s="147"/>
      <c r="BY52" s="147"/>
      <c r="BZ52" s="147"/>
      <c r="CA52" s="147"/>
      <c r="CB52" s="147"/>
      <c r="CC52" s="147"/>
      <c r="CD52" s="147"/>
      <c r="CE52" s="147"/>
      <c r="CF52" s="147"/>
      <c r="CG52" s="147"/>
      <c r="CH52" s="147"/>
      <c r="CI52" s="147"/>
      <c r="CJ52" s="147"/>
      <c r="CK52" s="147"/>
    </row>
    <row r="53" spans="1:89">
      <c r="A53" s="159" t="s">
        <v>547</v>
      </c>
      <c r="B53" s="3" t="s">
        <v>548</v>
      </c>
      <c r="C53" s="160" t="s">
        <v>55</v>
      </c>
      <c r="D53" s="160" t="s">
        <v>849</v>
      </c>
      <c r="E53" s="3" t="s">
        <v>21</v>
      </c>
      <c r="F53" s="3" t="s">
        <v>931</v>
      </c>
      <c r="G53" s="3" t="s">
        <v>931</v>
      </c>
      <c r="H53" s="156" t="str">
        <f ca="1">IFERROR(
  _xludf.MINIFS(ATTENDANCE_LOG!$F:$F,
         ATTENDANCE_LOG!$A:$A, C53,
         ATTENDANCE_LOG!$B:$B, E53),
"")</f>
        <v/>
      </c>
      <c r="I53" s="156" t="str">
        <f t="shared" ca="1" si="0"/>
        <v/>
      </c>
      <c r="J53" s="3">
        <f>IFERROR(VLOOKUP(F53, LEVEL_HELPER!$A:$B, 2, 0), "")</f>
        <v>4.5</v>
      </c>
      <c r="K53" s="3">
        <f>IFERROR(VLOOKUP(G53, LEVEL_HELPER!$A:$B, 2, 0), "")</f>
        <v>4.5</v>
      </c>
      <c r="L53" s="157" t="s">
        <v>930</v>
      </c>
      <c r="M53" s="157" t="s">
        <v>922</v>
      </c>
      <c r="N53" s="3">
        <f t="array" aca="1" ref="N53" ca="1">IFERROR(
  INDEX($J$2:$J$543,
    MATCH(A53&amp;TEXT(I53,"yyyy-mm-dd"),
          $A$2:$A$543&amp;TEXT($H$2:$H$543,"yyyy-mm-dd"),
          0)),
"")</f>
        <v>4.5</v>
      </c>
      <c r="O53" s="147" t="str">
        <f t="shared" ca="1" si="1"/>
        <v/>
      </c>
      <c r="P53" s="147">
        <f t="shared" ref="P53:Q53" ca="1" si="62">IF(N53="",0,IF(N53&lt;=2,1,IF(N53&lt;=4,2,IF(N53&lt;=5.5,3,4))))</f>
        <v>3</v>
      </c>
      <c r="Q53" s="147">
        <f t="shared" ca="1" si="62"/>
        <v>0</v>
      </c>
      <c r="R53" s="147" t="str">
        <f t="shared" ca="1" si="3"/>
        <v>Not tested yet</v>
      </c>
      <c r="S53" s="147">
        <f t="shared" si="4"/>
        <v>1</v>
      </c>
      <c r="T53" s="147"/>
      <c r="U53" s="147"/>
      <c r="V53" s="148" t="e">
        <f ca="1"/>
        <v>#NAME?</v>
      </c>
      <c r="W53" s="147" t="e">
        <f t="shared" ca="1" si="5"/>
        <v>#NAME?</v>
      </c>
      <c r="X53" s="147" t="e">
        <f t="shared" ca="1" si="6"/>
        <v>#NAME?</v>
      </c>
      <c r="Y53" s="147" t="e">
        <f t="shared" ca="1" si="7"/>
        <v>#NAME?</v>
      </c>
      <c r="Z53" s="147"/>
      <c r="AA53" s="147"/>
      <c r="AB53" s="147"/>
      <c r="AC53" s="147"/>
      <c r="AD53" s="147"/>
      <c r="AE53" s="147"/>
      <c r="AF53" s="147"/>
      <c r="AG53" s="147"/>
      <c r="AH53" s="147"/>
      <c r="AI53" s="147"/>
      <c r="AJ53" s="147"/>
      <c r="AK53" s="147"/>
      <c r="AL53" s="147"/>
      <c r="AM53" s="151"/>
      <c r="AN53" s="148" t="str">
        <f ca="1">IFERROR(__xludf.DUMMYFUNCTION("""COMPUTED_VALUE"""),"247097")</f>
        <v>247097</v>
      </c>
      <c r="AO53" s="147" t="str">
        <f t="shared" ca="1" si="8"/>
        <v>DEV</v>
      </c>
      <c r="AP53" s="147" t="e">
        <f t="shared" ca="1" si="9"/>
        <v>#NAME?</v>
      </c>
      <c r="AQ53" s="147" t="str">
        <f t="shared" ca="1" si="10"/>
        <v>MOC</v>
      </c>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47"/>
      <c r="BU53" s="147"/>
      <c r="BV53" s="147"/>
      <c r="BW53" s="147"/>
      <c r="BX53" s="147"/>
      <c r="BY53" s="147"/>
      <c r="BZ53" s="147"/>
      <c r="CA53" s="147"/>
      <c r="CB53" s="147"/>
      <c r="CC53" s="147"/>
      <c r="CD53" s="147"/>
      <c r="CE53" s="147"/>
      <c r="CF53" s="147"/>
      <c r="CG53" s="147"/>
      <c r="CH53" s="147"/>
      <c r="CI53" s="147"/>
      <c r="CJ53" s="147"/>
      <c r="CK53" s="147"/>
    </row>
    <row r="54" spans="1:89">
      <c r="A54" s="153" t="s">
        <v>445</v>
      </c>
      <c r="B54" s="154" t="s">
        <v>446</v>
      </c>
      <c r="C54" s="155" t="s">
        <v>56</v>
      </c>
      <c r="D54" s="155" t="s">
        <v>850</v>
      </c>
      <c r="E54" s="154" t="s">
        <v>21</v>
      </c>
      <c r="F54" s="3" t="s">
        <v>931</v>
      </c>
      <c r="G54" s="3" t="s">
        <v>931</v>
      </c>
      <c r="H54" s="156" t="str">
        <f ca="1">IFERROR(
  _xludf.MINIFS(ATTENDANCE_LOG!$F:$F,
         ATTENDANCE_LOG!$A:$A, C54,
         ATTENDANCE_LOG!$B:$B, E54),
"")</f>
        <v/>
      </c>
      <c r="I54" s="156" t="str">
        <f t="shared" ca="1" si="0"/>
        <v/>
      </c>
      <c r="J54" s="3">
        <f>IFERROR(VLOOKUP(F54, LEVEL_HELPER!$A:$B, 2, 0), "")</f>
        <v>4.5</v>
      </c>
      <c r="K54" s="3">
        <f>IFERROR(VLOOKUP(G54, LEVEL_HELPER!$A:$B, 2, 0), "")</f>
        <v>4.5</v>
      </c>
      <c r="L54" s="157" t="s">
        <v>942</v>
      </c>
      <c r="M54" s="157" t="s">
        <v>922</v>
      </c>
      <c r="N54" s="3">
        <f t="array" aca="1" ref="N54" ca="1">IFERROR(
  INDEX($J$2:$J$543,
    MATCH(A54&amp;TEXT(I54,"yyyy-mm-dd"),
          $A$2:$A$543&amp;TEXT($H$2:$H$543,"yyyy-mm-dd"),
          0)),
"")</f>
        <v>4.5</v>
      </c>
      <c r="O54" s="147" t="str">
        <f t="shared" ca="1" si="1"/>
        <v/>
      </c>
      <c r="P54" s="147">
        <f t="shared" ref="P54:Q54" ca="1" si="63">IF(N54="",0,IF(N54&lt;=2,1,IF(N54&lt;=4,2,IF(N54&lt;=5.5,3,4))))</f>
        <v>3</v>
      </c>
      <c r="Q54" s="147">
        <f t="shared" ca="1" si="63"/>
        <v>0</v>
      </c>
      <c r="R54" s="147" t="str">
        <f t="shared" ca="1" si="3"/>
        <v>Not tested yet</v>
      </c>
      <c r="S54" s="147">
        <f t="shared" si="4"/>
        <v>1</v>
      </c>
      <c r="T54" s="147"/>
      <c r="U54" s="147"/>
      <c r="V54" s="148" t="e">
        <f ca="1"/>
        <v>#NAME?</v>
      </c>
      <c r="W54" s="147" t="e">
        <f t="shared" ca="1" si="5"/>
        <v>#NAME?</v>
      </c>
      <c r="X54" s="147" t="e">
        <f t="shared" ca="1" si="6"/>
        <v>#NAME?</v>
      </c>
      <c r="Y54" s="147" t="e">
        <f t="shared" ca="1" si="7"/>
        <v>#NAME?</v>
      </c>
      <c r="Z54" s="147"/>
      <c r="AA54" s="147"/>
      <c r="AB54" s="147"/>
      <c r="AC54" s="147"/>
      <c r="AD54" s="147"/>
      <c r="AE54" s="147"/>
      <c r="AF54" s="147"/>
      <c r="AG54" s="147"/>
      <c r="AH54" s="147"/>
      <c r="AI54" s="147"/>
      <c r="AJ54" s="147"/>
      <c r="AK54" s="147"/>
      <c r="AL54" s="147"/>
      <c r="AM54" s="151"/>
      <c r="AN54" s="148" t="str">
        <f ca="1">IFERROR(__xludf.DUMMYFUNCTION("""COMPUTED_VALUE"""),"247062")</f>
        <v>247062</v>
      </c>
      <c r="AO54" s="147" t="str">
        <f t="shared" ca="1" si="8"/>
        <v>GSD</v>
      </c>
      <c r="AP54" s="147" t="e">
        <f t="shared" ca="1" si="9"/>
        <v>#NAME?</v>
      </c>
      <c r="AQ54" s="147" t="str">
        <f t="shared" ca="1" si="10"/>
        <v>POC</v>
      </c>
      <c r="AR54" s="147"/>
      <c r="AS54" s="147"/>
      <c r="AT54" s="147"/>
      <c r="AU54" s="147"/>
      <c r="AV54" s="147"/>
      <c r="AW54" s="147"/>
      <c r="AX54" s="147"/>
      <c r="AY54" s="147"/>
      <c r="AZ54" s="147"/>
      <c r="BA54" s="147"/>
      <c r="BB54" s="147"/>
      <c r="BC54" s="147"/>
      <c r="BD54" s="147"/>
      <c r="BE54" s="147"/>
      <c r="BF54" s="147"/>
      <c r="BG54" s="147"/>
      <c r="BH54" s="147"/>
      <c r="BI54" s="147"/>
      <c r="BJ54" s="147"/>
      <c r="BK54" s="147"/>
      <c r="BL54" s="147"/>
      <c r="BM54" s="147"/>
      <c r="BN54" s="147"/>
      <c r="BO54" s="147"/>
      <c r="BP54" s="147"/>
      <c r="BQ54" s="147"/>
      <c r="BR54" s="147"/>
      <c r="BS54" s="147"/>
      <c r="BT54" s="147"/>
      <c r="BU54" s="147"/>
      <c r="BV54" s="147"/>
      <c r="BW54" s="147"/>
      <c r="BX54" s="147"/>
      <c r="BY54" s="147"/>
      <c r="BZ54" s="147"/>
      <c r="CA54" s="147"/>
      <c r="CB54" s="147"/>
      <c r="CC54" s="147"/>
      <c r="CD54" s="147"/>
      <c r="CE54" s="147"/>
      <c r="CF54" s="147"/>
      <c r="CG54" s="147"/>
      <c r="CH54" s="147"/>
      <c r="CI54" s="147"/>
      <c r="CJ54" s="147"/>
      <c r="CK54" s="147"/>
    </row>
    <row r="55" spans="1:89">
      <c r="A55" s="159" t="s">
        <v>176</v>
      </c>
      <c r="B55" s="3" t="s">
        <v>177</v>
      </c>
      <c r="C55" s="160" t="s">
        <v>56</v>
      </c>
      <c r="D55" s="160" t="s">
        <v>850</v>
      </c>
      <c r="E55" s="3" t="s">
        <v>21</v>
      </c>
      <c r="F55" s="3" t="s">
        <v>916</v>
      </c>
      <c r="G55" s="3" t="s">
        <v>931</v>
      </c>
      <c r="H55" s="156" t="str">
        <f ca="1">IFERROR(
  _xludf.MINIFS(ATTENDANCE_LOG!$F:$F,
         ATTENDANCE_LOG!$A:$A, C55,
         ATTENDANCE_LOG!$B:$B, E55),
"")</f>
        <v/>
      </c>
      <c r="I55" s="156" t="str">
        <f t="shared" ca="1" si="0"/>
        <v/>
      </c>
      <c r="J55" s="3">
        <f>IFERROR(VLOOKUP(F55, LEVEL_HELPER!$A:$B, 2, 0), "")</f>
        <v>2.5</v>
      </c>
      <c r="K55" s="3">
        <f>IFERROR(VLOOKUP(G55, LEVEL_HELPER!$A:$B, 2, 0), "")</f>
        <v>4.5</v>
      </c>
      <c r="L55" s="157" t="s">
        <v>930</v>
      </c>
      <c r="M55" s="157" t="s">
        <v>922</v>
      </c>
      <c r="N55" s="3">
        <f t="array" aca="1" ref="N55" ca="1">IFERROR(
  INDEX($J$2:$J$543,
    MATCH(A55&amp;TEXT(I55,"yyyy-mm-dd"),
          $A$2:$A$543&amp;TEXT($H$2:$H$543,"yyyy-mm-dd"),
          0)),
"")</f>
        <v>2.5</v>
      </c>
      <c r="O55" s="147" t="str">
        <f t="shared" ca="1" si="1"/>
        <v/>
      </c>
      <c r="P55" s="147">
        <f t="shared" ref="P55:Q55" ca="1" si="64">IF(N55="",0,IF(N55&lt;=2,1,IF(N55&lt;=4,2,IF(N55&lt;=5.5,3,4))))</f>
        <v>2</v>
      </c>
      <c r="Q55" s="147">
        <f t="shared" ca="1" si="64"/>
        <v>0</v>
      </c>
      <c r="R55" s="147" t="str">
        <f t="shared" ca="1" si="3"/>
        <v>Not tested yet</v>
      </c>
      <c r="S55" s="147">
        <f t="shared" si="4"/>
        <v>1</v>
      </c>
      <c r="T55" s="147"/>
      <c r="U55" s="147"/>
      <c r="V55" s="148" t="e">
        <f ca="1"/>
        <v>#NAME?</v>
      </c>
      <c r="W55" s="147" t="e">
        <f t="shared" ca="1" si="5"/>
        <v>#NAME?</v>
      </c>
      <c r="X55" s="147" t="e">
        <f t="shared" ca="1" si="6"/>
        <v>#NAME?</v>
      </c>
      <c r="Y55" s="147" t="e">
        <f t="shared" ca="1" si="7"/>
        <v>#NAME?</v>
      </c>
      <c r="Z55" s="147"/>
      <c r="AA55" s="147"/>
      <c r="AB55" s="147"/>
      <c r="AC55" s="147"/>
      <c r="AD55" s="147"/>
      <c r="AE55" s="147"/>
      <c r="AF55" s="147"/>
      <c r="AG55" s="147"/>
      <c r="AH55" s="147"/>
      <c r="AI55" s="147"/>
      <c r="AJ55" s="147"/>
      <c r="AK55" s="147"/>
      <c r="AL55" s="147"/>
      <c r="AM55" s="151"/>
      <c r="AN55" s="148" t="str">
        <f ca="1">IFERROR(__xludf.DUMMYFUNCTION("""COMPUTED_VALUE"""),"247064")</f>
        <v>247064</v>
      </c>
      <c r="AO55" s="147" t="str">
        <f t="shared" ca="1" si="8"/>
        <v>GSD</v>
      </c>
      <c r="AP55" s="147" t="e">
        <f t="shared" ca="1" si="9"/>
        <v>#NAME?</v>
      </c>
      <c r="AQ55" s="147" t="str">
        <f t="shared" ca="1" si="10"/>
        <v>POC</v>
      </c>
      <c r="AR55" s="147"/>
      <c r="AS55" s="147"/>
      <c r="AT55" s="147"/>
      <c r="AU55" s="147"/>
      <c r="AV55" s="147"/>
      <c r="AW55" s="147"/>
      <c r="AX55" s="147"/>
      <c r="AY55" s="147"/>
      <c r="AZ55" s="147"/>
      <c r="BA55" s="147"/>
      <c r="BB55" s="147"/>
      <c r="BC55" s="147"/>
      <c r="BD55" s="147"/>
      <c r="BE55" s="147"/>
      <c r="BF55" s="147"/>
      <c r="BG55" s="147"/>
      <c r="BH55" s="147"/>
      <c r="BI55" s="147"/>
      <c r="BJ55" s="147"/>
      <c r="BK55" s="147"/>
      <c r="BL55" s="147"/>
      <c r="BM55" s="147"/>
      <c r="BN55" s="147"/>
      <c r="BO55" s="147"/>
      <c r="BP55" s="147"/>
      <c r="BQ55" s="147"/>
      <c r="BR55" s="147"/>
      <c r="BS55" s="147"/>
      <c r="BT55" s="147"/>
      <c r="BU55" s="147"/>
      <c r="BV55" s="147"/>
      <c r="BW55" s="147"/>
      <c r="BX55" s="147"/>
      <c r="BY55" s="147"/>
      <c r="BZ55" s="147"/>
      <c r="CA55" s="147"/>
      <c r="CB55" s="147"/>
      <c r="CC55" s="147"/>
      <c r="CD55" s="147"/>
      <c r="CE55" s="147"/>
      <c r="CF55" s="147"/>
      <c r="CG55" s="147"/>
      <c r="CH55" s="147"/>
      <c r="CI55" s="147"/>
      <c r="CJ55" s="147"/>
      <c r="CK55" s="147"/>
    </row>
    <row r="56" spans="1:89">
      <c r="A56" s="159" t="s">
        <v>228</v>
      </c>
      <c r="B56" s="3" t="s">
        <v>229</v>
      </c>
      <c r="C56" s="160" t="s">
        <v>56</v>
      </c>
      <c r="D56" s="160" t="s">
        <v>850</v>
      </c>
      <c r="E56" s="3" t="s">
        <v>21</v>
      </c>
      <c r="F56" s="3" t="s">
        <v>926</v>
      </c>
      <c r="G56" s="3" t="s">
        <v>917</v>
      </c>
      <c r="H56" s="156" t="str">
        <f ca="1">IFERROR(
  _xludf.MINIFS(ATTENDANCE_LOG!$F:$F,
         ATTENDANCE_LOG!$A:$A, C56,
         ATTENDANCE_LOG!$B:$B, E56),
"")</f>
        <v/>
      </c>
      <c r="I56" s="156" t="str">
        <f t="shared" ca="1" si="0"/>
        <v/>
      </c>
      <c r="J56" s="3">
        <f>IFERROR(VLOOKUP(F56, LEVEL_HELPER!$A:$B, 2, 0), "")</f>
        <v>1</v>
      </c>
      <c r="K56" s="3">
        <f>IFERROR(VLOOKUP(G56, LEVEL_HELPER!$A:$B, 2, 0), "")</f>
        <v>3</v>
      </c>
      <c r="L56" s="157" t="s">
        <v>942</v>
      </c>
      <c r="M56" s="157" t="s">
        <v>922</v>
      </c>
      <c r="N56" s="3">
        <f t="array" aca="1" ref="N56" ca="1">IFERROR(
  INDEX($J$2:$J$543,
    MATCH(A56&amp;TEXT(I56,"yyyy-mm-dd"),
          $A$2:$A$543&amp;TEXT($H$2:$H$543,"yyyy-mm-dd"),
          0)),
"")</f>
        <v>1</v>
      </c>
      <c r="O56" s="147" t="str">
        <f t="shared" ca="1" si="1"/>
        <v/>
      </c>
      <c r="P56" s="147">
        <f t="shared" ref="P56:Q56" ca="1" si="65">IF(N56="",0,IF(N56&lt;=2,1,IF(N56&lt;=4,2,IF(N56&lt;=5.5,3,4))))</f>
        <v>1</v>
      </c>
      <c r="Q56" s="147">
        <f t="shared" ca="1" si="65"/>
        <v>0</v>
      </c>
      <c r="R56" s="147" t="str">
        <f t="shared" ca="1" si="3"/>
        <v>Not tested yet</v>
      </c>
      <c r="S56" s="147">
        <f t="shared" si="4"/>
        <v>1</v>
      </c>
      <c r="T56" s="147"/>
      <c r="U56" s="147"/>
      <c r="V56" s="148" t="e">
        <f ca="1"/>
        <v>#NAME?</v>
      </c>
      <c r="W56" s="147" t="e">
        <f t="shared" ca="1" si="5"/>
        <v>#NAME?</v>
      </c>
      <c r="X56" s="147" t="e">
        <f t="shared" ca="1" si="6"/>
        <v>#NAME?</v>
      </c>
      <c r="Y56" s="147" t="e">
        <f t="shared" ca="1" si="7"/>
        <v>#NAME?</v>
      </c>
      <c r="Z56" s="147"/>
      <c r="AA56" s="147"/>
      <c r="AB56" s="147"/>
      <c r="AC56" s="147"/>
      <c r="AD56" s="147"/>
      <c r="AE56" s="147"/>
      <c r="AF56" s="147"/>
      <c r="AG56" s="147"/>
      <c r="AH56" s="147"/>
      <c r="AI56" s="147"/>
      <c r="AJ56" s="147"/>
      <c r="AK56" s="147"/>
      <c r="AL56" s="147"/>
      <c r="AM56" s="151"/>
      <c r="AN56" s="148" t="str">
        <f ca="1">IFERROR(__xludf.DUMMYFUNCTION("""COMPUTED_VALUE"""),"183330")</f>
        <v>183330</v>
      </c>
      <c r="AO56" s="147" t="str">
        <f t="shared" ca="1" si="8"/>
        <v>GSD</v>
      </c>
      <c r="AP56" s="147" t="e">
        <f t="shared" ca="1" si="9"/>
        <v>#NAME?</v>
      </c>
      <c r="AQ56" s="147" t="str">
        <f t="shared" ca="1" si="10"/>
        <v>TBU</v>
      </c>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row>
    <row r="57" spans="1:89">
      <c r="A57" s="159" t="s">
        <v>482</v>
      </c>
      <c r="B57" s="3" t="s">
        <v>483</v>
      </c>
      <c r="C57" s="160" t="s">
        <v>56</v>
      </c>
      <c r="D57" s="160" t="s">
        <v>850</v>
      </c>
      <c r="E57" s="3" t="s">
        <v>21</v>
      </c>
      <c r="F57" s="3" t="s">
        <v>916</v>
      </c>
      <c r="G57" s="3" t="s">
        <v>934</v>
      </c>
      <c r="H57" s="156" t="str">
        <f ca="1">IFERROR(
  _xludf.MINIFS(ATTENDANCE_LOG!$F:$F,
         ATTENDANCE_LOG!$A:$A, C57,
         ATTENDANCE_LOG!$B:$B, E57),
"")</f>
        <v/>
      </c>
      <c r="I57" s="156" t="str">
        <f t="shared" ca="1" si="0"/>
        <v/>
      </c>
      <c r="J57" s="3">
        <f>IFERROR(VLOOKUP(F57, LEVEL_HELPER!$A:$B, 2, 0), "")</f>
        <v>2.5</v>
      </c>
      <c r="K57" s="3">
        <f>IFERROR(VLOOKUP(G57, LEVEL_HELPER!$A:$B, 2, 0), "")</f>
        <v>3.5</v>
      </c>
      <c r="L57" s="157" t="s">
        <v>918</v>
      </c>
      <c r="M57" s="157" t="s">
        <v>925</v>
      </c>
      <c r="N57" s="3">
        <f t="array" aca="1" ref="N57" ca="1">IFERROR(
  INDEX($J$2:$J$543,
    MATCH(A57&amp;TEXT(I57,"yyyy-mm-dd"),
          $A$2:$A$543&amp;TEXT($H$2:$H$543,"yyyy-mm-dd"),
          0)),
"")</f>
        <v>2.5</v>
      </c>
      <c r="O57" s="147" t="str">
        <f t="shared" ca="1" si="1"/>
        <v/>
      </c>
      <c r="P57" s="147">
        <f t="shared" ref="P57:Q57" ca="1" si="66">IF(N57="",0,IF(N57&lt;=2,1,IF(N57&lt;=4,2,IF(N57&lt;=5.5,3,4))))</f>
        <v>2</v>
      </c>
      <c r="Q57" s="147">
        <f t="shared" ca="1" si="66"/>
        <v>0</v>
      </c>
      <c r="R57" s="147" t="str">
        <f t="shared" ca="1" si="3"/>
        <v>Not tested yet</v>
      </c>
      <c r="S57" s="147">
        <f t="shared" si="4"/>
        <v>1</v>
      </c>
      <c r="T57" s="147"/>
      <c r="U57" s="147"/>
      <c r="V57" s="148" t="e">
        <f ca="1"/>
        <v>#NAME?</v>
      </c>
      <c r="W57" s="147" t="e">
        <f t="shared" ca="1" si="5"/>
        <v>#NAME?</v>
      </c>
      <c r="X57" s="147" t="e">
        <f t="shared" ca="1" si="6"/>
        <v>#NAME?</v>
      </c>
      <c r="Y57" s="147" t="e">
        <f t="shared" ca="1" si="7"/>
        <v>#NAME?</v>
      </c>
      <c r="Z57" s="147"/>
      <c r="AA57" s="147"/>
      <c r="AB57" s="147"/>
      <c r="AC57" s="147"/>
      <c r="AD57" s="147"/>
      <c r="AE57" s="147"/>
      <c r="AF57" s="147"/>
      <c r="AG57" s="147"/>
      <c r="AH57" s="147"/>
      <c r="AI57" s="147"/>
      <c r="AJ57" s="147"/>
      <c r="AK57" s="147"/>
      <c r="AL57" s="147"/>
      <c r="AM57" s="151"/>
      <c r="AN57" s="148" t="str">
        <f ca="1">IFERROR(__xludf.DUMMYFUNCTION("""COMPUTED_VALUE"""),"227122")</f>
        <v>227122</v>
      </c>
      <c r="AO57" s="147" t="str">
        <f t="shared" ca="1" si="8"/>
        <v>QC</v>
      </c>
      <c r="AP57" s="147" t="e">
        <f t="shared" ca="1" si="9"/>
        <v>#NAME?</v>
      </c>
      <c r="AQ57" s="147" t="str">
        <f t="shared" ca="1" si="10"/>
        <v>POC</v>
      </c>
      <c r="AR57" s="147"/>
      <c r="AS57" s="147"/>
      <c r="AT57" s="147"/>
      <c r="AU57" s="147"/>
      <c r="AV57" s="147"/>
      <c r="AW57" s="147"/>
      <c r="AX57" s="147"/>
      <c r="AY57" s="147"/>
      <c r="AZ57" s="147"/>
      <c r="BA57" s="147"/>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7"/>
      <c r="CE57" s="147"/>
      <c r="CF57" s="147"/>
      <c r="CG57" s="147"/>
      <c r="CH57" s="147"/>
      <c r="CI57" s="147"/>
      <c r="CJ57" s="147"/>
      <c r="CK57" s="147"/>
    </row>
    <row r="58" spans="1:89">
      <c r="A58" s="153" t="s">
        <v>357</v>
      </c>
      <c r="B58" s="154" t="s">
        <v>358</v>
      </c>
      <c r="C58" s="155" t="s">
        <v>57</v>
      </c>
      <c r="D58" s="155" t="s">
        <v>851</v>
      </c>
      <c r="E58" s="154" t="s">
        <v>21</v>
      </c>
      <c r="F58" s="3" t="s">
        <v>916</v>
      </c>
      <c r="G58" s="3" t="s">
        <v>934</v>
      </c>
      <c r="H58" s="156" t="str">
        <f ca="1">IFERROR(
  _xludf.MINIFS(ATTENDANCE_LOG!$F:$F,
         ATTENDANCE_LOG!$A:$A, C58,
         ATTENDANCE_LOG!$B:$B, E58),
"")</f>
        <v/>
      </c>
      <c r="I58" s="156" t="str">
        <f t="shared" ca="1" si="0"/>
        <v/>
      </c>
      <c r="J58" s="3">
        <f>IFERROR(VLOOKUP(F58, LEVEL_HELPER!$A:$B, 2, 0), "")</f>
        <v>2.5</v>
      </c>
      <c r="K58" s="3">
        <f>IFERROR(VLOOKUP(G58, LEVEL_HELPER!$A:$B, 2, 0), "")</f>
        <v>3.5</v>
      </c>
      <c r="L58" s="157" t="s">
        <v>942</v>
      </c>
      <c r="M58" s="157" t="s">
        <v>921</v>
      </c>
      <c r="N58" s="3">
        <f t="array" aca="1" ref="N58" ca="1">IFERROR(
  INDEX($J$2:$J$543,
    MATCH(A58&amp;TEXT(I58,"yyyy-mm-dd"),
          $A$2:$A$543&amp;TEXT($H$2:$H$543,"yyyy-mm-dd"),
          0)),
"")</f>
        <v>2.5</v>
      </c>
      <c r="O58" s="147" t="str">
        <f t="shared" ca="1" si="1"/>
        <v/>
      </c>
      <c r="P58" s="147">
        <f t="shared" ref="P58:Q58" ca="1" si="67">IF(N58="",0,IF(N58&lt;=2,1,IF(N58&lt;=4,2,IF(N58&lt;=5.5,3,4))))</f>
        <v>2</v>
      </c>
      <c r="Q58" s="147">
        <f t="shared" ca="1" si="67"/>
        <v>0</v>
      </c>
      <c r="R58" s="147" t="str">
        <f t="shared" ca="1" si="3"/>
        <v>Not tested yet</v>
      </c>
      <c r="S58" s="147">
        <f t="shared" si="4"/>
        <v>1</v>
      </c>
      <c r="T58" s="147"/>
      <c r="U58" s="147"/>
      <c r="V58" s="148" t="e">
        <f ca="1"/>
        <v>#NAME?</v>
      </c>
      <c r="W58" s="147" t="e">
        <f t="shared" ca="1" si="5"/>
        <v>#NAME?</v>
      </c>
      <c r="X58" s="147" t="e">
        <f t="shared" ca="1" si="6"/>
        <v>#NAME?</v>
      </c>
      <c r="Y58" s="147" t="e">
        <f t="shared" ca="1" si="7"/>
        <v>#NAME?</v>
      </c>
      <c r="Z58" s="147"/>
      <c r="AA58" s="147"/>
      <c r="AB58" s="147"/>
      <c r="AC58" s="147"/>
      <c r="AD58" s="147"/>
      <c r="AE58" s="147"/>
      <c r="AF58" s="147"/>
      <c r="AG58" s="147"/>
      <c r="AH58" s="147"/>
      <c r="AI58" s="147"/>
      <c r="AJ58" s="147"/>
      <c r="AK58" s="147"/>
      <c r="AL58" s="147"/>
      <c r="AM58" s="151"/>
      <c r="AN58" s="148" t="str">
        <f ca="1">IFERROR(__xludf.DUMMYFUNCTION("""COMPUTED_VALUE"""),"247263")</f>
        <v>247263</v>
      </c>
      <c r="AO58" s="147" t="str">
        <f t="shared" ca="1" si="8"/>
        <v>GSD</v>
      </c>
      <c r="AP58" s="147" t="e">
        <f t="shared" ca="1" si="9"/>
        <v>#NAME?</v>
      </c>
      <c r="AQ58" s="147" t="str">
        <f t="shared" ca="1" si="10"/>
        <v>MOC</v>
      </c>
      <c r="AR58" s="147"/>
      <c r="AS58" s="147"/>
      <c r="AT58" s="147"/>
      <c r="AU58" s="147"/>
      <c r="AV58" s="147"/>
      <c r="AW58" s="147"/>
      <c r="AX58" s="147"/>
      <c r="AY58" s="147"/>
      <c r="AZ58" s="147"/>
      <c r="BA58" s="147"/>
      <c r="BB58" s="147"/>
      <c r="BC58" s="147"/>
      <c r="BD58" s="147"/>
      <c r="BE58" s="147"/>
      <c r="BF58" s="147"/>
      <c r="BG58" s="147"/>
      <c r="BH58" s="147"/>
      <c r="BI58" s="147"/>
      <c r="BJ58" s="147"/>
      <c r="BK58" s="147"/>
      <c r="BL58" s="147"/>
      <c r="BM58" s="147"/>
      <c r="BN58" s="147"/>
      <c r="BO58" s="147"/>
      <c r="BP58" s="147"/>
      <c r="BQ58" s="147"/>
      <c r="BR58" s="147"/>
      <c r="BS58" s="147"/>
      <c r="BT58" s="147"/>
      <c r="BU58" s="147"/>
      <c r="BV58" s="147"/>
      <c r="BW58" s="147"/>
      <c r="BX58" s="147"/>
      <c r="BY58" s="147"/>
      <c r="BZ58" s="147"/>
      <c r="CA58" s="147"/>
      <c r="CB58" s="147"/>
      <c r="CC58" s="147"/>
      <c r="CD58" s="147"/>
      <c r="CE58" s="147"/>
      <c r="CF58" s="147"/>
      <c r="CG58" s="147"/>
      <c r="CH58" s="147"/>
      <c r="CI58" s="147"/>
      <c r="CJ58" s="147"/>
      <c r="CK58" s="147"/>
    </row>
    <row r="59" spans="1:89">
      <c r="A59" s="159" t="s">
        <v>230</v>
      </c>
      <c r="B59" s="3" t="s">
        <v>231</v>
      </c>
      <c r="C59" s="160" t="s">
        <v>57</v>
      </c>
      <c r="D59" s="160" t="s">
        <v>851</v>
      </c>
      <c r="E59" s="3" t="s">
        <v>21</v>
      </c>
      <c r="F59" s="3" t="s">
        <v>926</v>
      </c>
      <c r="G59" s="3" t="s">
        <v>917</v>
      </c>
      <c r="H59" s="156" t="str">
        <f ca="1">IFERROR(
  _xludf.MINIFS(ATTENDANCE_LOG!$F:$F,
         ATTENDANCE_LOG!$A:$A, C59,
         ATTENDANCE_LOG!$B:$B, E59),
"")</f>
        <v/>
      </c>
      <c r="I59" s="156" t="str">
        <f t="shared" ca="1" si="0"/>
        <v/>
      </c>
      <c r="J59" s="3">
        <f>IFERROR(VLOOKUP(F59, LEVEL_HELPER!$A:$B, 2, 0), "")</f>
        <v>1</v>
      </c>
      <c r="K59" s="3">
        <f>IFERROR(VLOOKUP(G59, LEVEL_HELPER!$A:$B, 2, 0), "")</f>
        <v>3</v>
      </c>
      <c r="L59" s="157" t="s">
        <v>942</v>
      </c>
      <c r="M59" s="157" t="s">
        <v>921</v>
      </c>
      <c r="N59" s="3">
        <f t="array" aca="1" ref="N59" ca="1">IFERROR(
  INDEX($J$2:$J$543,
    MATCH(A59&amp;TEXT(I59,"yyyy-mm-dd"),
          $A$2:$A$543&amp;TEXT($H$2:$H$543,"yyyy-mm-dd"),
          0)),
"")</f>
        <v>1</v>
      </c>
      <c r="O59" s="147" t="str">
        <f t="shared" ca="1" si="1"/>
        <v/>
      </c>
      <c r="P59" s="147">
        <f t="shared" ref="P59:Q59" ca="1" si="68">IF(N59="",0,IF(N59&lt;=2,1,IF(N59&lt;=4,2,IF(N59&lt;=5.5,3,4))))</f>
        <v>1</v>
      </c>
      <c r="Q59" s="147">
        <f t="shared" ca="1" si="68"/>
        <v>0</v>
      </c>
      <c r="R59" s="147" t="str">
        <f t="shared" ca="1" si="3"/>
        <v>Not tested yet</v>
      </c>
      <c r="S59" s="147">
        <f t="shared" si="4"/>
        <v>1</v>
      </c>
      <c r="T59" s="147"/>
      <c r="U59" s="147"/>
      <c r="V59" s="148" t="e">
        <f ca="1"/>
        <v>#NAME?</v>
      </c>
      <c r="W59" s="147" t="e">
        <f t="shared" ca="1" si="5"/>
        <v>#NAME?</v>
      </c>
      <c r="X59" s="147" t="e">
        <f t="shared" ca="1" si="6"/>
        <v>#NAME?</v>
      </c>
      <c r="Y59" s="147" t="e">
        <f t="shared" ca="1" si="7"/>
        <v>#NAME?</v>
      </c>
      <c r="Z59" s="147"/>
      <c r="AA59" s="147"/>
      <c r="AB59" s="147"/>
      <c r="AC59" s="147"/>
      <c r="AD59" s="147"/>
      <c r="AE59" s="147"/>
      <c r="AF59" s="147"/>
      <c r="AG59" s="147"/>
      <c r="AH59" s="147"/>
      <c r="AI59" s="147"/>
      <c r="AJ59" s="147"/>
      <c r="AK59" s="147"/>
      <c r="AL59" s="147"/>
      <c r="AM59" s="151"/>
      <c r="AN59" s="148" t="str">
        <f ca="1">IFERROR(__xludf.DUMMYFUNCTION("""COMPUTED_VALUE"""),"247083")</f>
        <v>247083</v>
      </c>
      <c r="AO59" s="147" t="str">
        <f t="shared" ca="1" si="8"/>
        <v>GSD</v>
      </c>
      <c r="AP59" s="147" t="e">
        <f t="shared" ca="1" si="9"/>
        <v>#NAME?</v>
      </c>
      <c r="AQ59" s="147" t="str">
        <f t="shared" ca="1" si="10"/>
        <v>LBU</v>
      </c>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row>
    <row r="60" spans="1:89">
      <c r="A60" s="159" t="s">
        <v>568</v>
      </c>
      <c r="B60" s="3" t="s">
        <v>569</v>
      </c>
      <c r="C60" s="160" t="s">
        <v>57</v>
      </c>
      <c r="D60" s="160" t="s">
        <v>851</v>
      </c>
      <c r="E60" s="3" t="s">
        <v>21</v>
      </c>
      <c r="F60" s="3" t="s">
        <v>926</v>
      </c>
      <c r="G60" s="3" t="s">
        <v>917</v>
      </c>
      <c r="H60" s="156" t="str">
        <f ca="1">IFERROR(
  _xludf.MINIFS(ATTENDANCE_LOG!$F:$F,
         ATTENDANCE_LOG!$A:$A, C60,
         ATTENDANCE_LOG!$B:$B, E60),
"")</f>
        <v/>
      </c>
      <c r="I60" s="156" t="str">
        <f t="shared" ca="1" si="0"/>
        <v/>
      </c>
      <c r="J60" s="3">
        <f>IFERROR(VLOOKUP(F60, LEVEL_HELPER!$A:$B, 2, 0), "")</f>
        <v>1</v>
      </c>
      <c r="K60" s="3">
        <f>IFERROR(VLOOKUP(G60, LEVEL_HELPER!$A:$B, 2, 0), "")</f>
        <v>3</v>
      </c>
      <c r="L60" s="157" t="s">
        <v>942</v>
      </c>
      <c r="M60" s="157" t="s">
        <v>922</v>
      </c>
      <c r="N60" s="3">
        <f t="array" aca="1" ref="N60" ca="1">IFERROR(
  INDEX($J$2:$J$543,
    MATCH(A60&amp;TEXT(I60,"yyyy-mm-dd"),
          $A$2:$A$543&amp;TEXT($H$2:$H$543,"yyyy-mm-dd"),
          0)),
"")</f>
        <v>1</v>
      </c>
      <c r="O60" s="147" t="str">
        <f t="shared" ca="1" si="1"/>
        <v/>
      </c>
      <c r="P60" s="147">
        <f t="shared" ref="P60:Q60" ca="1" si="69">IF(N60="",0,IF(N60&lt;=2,1,IF(N60&lt;=4,2,IF(N60&lt;=5.5,3,4))))</f>
        <v>1</v>
      </c>
      <c r="Q60" s="147">
        <f t="shared" ca="1" si="69"/>
        <v>0</v>
      </c>
      <c r="R60" s="147" t="str">
        <f t="shared" ca="1" si="3"/>
        <v>Not tested yet</v>
      </c>
      <c r="S60" s="147">
        <f t="shared" si="4"/>
        <v>1</v>
      </c>
      <c r="T60" s="147"/>
      <c r="U60" s="147"/>
      <c r="V60" s="148" t="e">
        <f ca="1"/>
        <v>#NAME?</v>
      </c>
      <c r="W60" s="147" t="e">
        <f t="shared" ca="1" si="5"/>
        <v>#NAME?</v>
      </c>
      <c r="X60" s="147" t="e">
        <f t="shared" ca="1" si="6"/>
        <v>#NAME?</v>
      </c>
      <c r="Y60" s="147" t="e">
        <f t="shared" ca="1" si="7"/>
        <v>#NAME?</v>
      </c>
      <c r="Z60" s="147"/>
      <c r="AA60" s="147"/>
      <c r="AB60" s="147"/>
      <c r="AC60" s="147"/>
      <c r="AD60" s="147"/>
      <c r="AE60" s="147"/>
      <c r="AF60" s="147"/>
      <c r="AG60" s="147"/>
      <c r="AH60" s="147"/>
      <c r="AI60" s="147"/>
      <c r="AJ60" s="147"/>
      <c r="AK60" s="147"/>
      <c r="AL60" s="147"/>
      <c r="AM60" s="151"/>
      <c r="AN60" s="148" t="str">
        <f ca="1">IFERROR(__xludf.DUMMYFUNCTION("""COMPUTED_VALUE"""),"247178")</f>
        <v>247178</v>
      </c>
      <c r="AO60" s="147" t="str">
        <f t="shared" ca="1" si="8"/>
        <v>GSD</v>
      </c>
      <c r="AP60" s="147" t="e">
        <f t="shared" ca="1" si="9"/>
        <v>#NAME?</v>
      </c>
      <c r="AQ60" s="147" t="str">
        <f t="shared" ca="1" si="10"/>
        <v>LBU</v>
      </c>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row>
    <row r="61" spans="1:89">
      <c r="A61" s="159" t="s">
        <v>625</v>
      </c>
      <c r="B61" s="3" t="s">
        <v>626</v>
      </c>
      <c r="C61" s="160" t="s">
        <v>57</v>
      </c>
      <c r="D61" s="160" t="s">
        <v>851</v>
      </c>
      <c r="E61" s="3" t="s">
        <v>21</v>
      </c>
      <c r="F61" s="3" t="s">
        <v>926</v>
      </c>
      <c r="G61" s="3" t="s">
        <v>917</v>
      </c>
      <c r="H61" s="156" t="str">
        <f ca="1">IFERROR(
  _xludf.MINIFS(ATTENDANCE_LOG!$F:$F,
         ATTENDANCE_LOG!$A:$A, C61,
         ATTENDANCE_LOG!$B:$B, E61),
"")</f>
        <v/>
      </c>
      <c r="I61" s="156" t="str">
        <f t="shared" ca="1" si="0"/>
        <v/>
      </c>
      <c r="J61" s="3">
        <f>IFERROR(VLOOKUP(F61, LEVEL_HELPER!$A:$B, 2, 0), "")</f>
        <v>1</v>
      </c>
      <c r="K61" s="3">
        <f>IFERROR(VLOOKUP(G61, LEVEL_HELPER!$A:$B, 2, 0), "")</f>
        <v>3</v>
      </c>
      <c r="L61" s="157" t="s">
        <v>942</v>
      </c>
      <c r="M61" s="157" t="s">
        <v>921</v>
      </c>
      <c r="N61" s="3">
        <f t="array" aca="1" ref="N61" ca="1">IFERROR(
  INDEX($J$2:$J$543,
    MATCH(A61&amp;TEXT(I61,"yyyy-mm-dd"),
          $A$2:$A$543&amp;TEXT($H$2:$H$543,"yyyy-mm-dd"),
          0)),
"")</f>
        <v>1</v>
      </c>
      <c r="O61" s="147" t="str">
        <f t="shared" ca="1" si="1"/>
        <v/>
      </c>
      <c r="P61" s="147">
        <f t="shared" ref="P61:Q61" ca="1" si="70">IF(N61="",0,IF(N61&lt;=2,1,IF(N61&lt;=4,2,IF(N61&lt;=5.5,3,4))))</f>
        <v>1</v>
      </c>
      <c r="Q61" s="147">
        <f t="shared" ca="1" si="70"/>
        <v>0</v>
      </c>
      <c r="R61" s="147" t="str">
        <f t="shared" ca="1" si="3"/>
        <v>Not tested yet</v>
      </c>
      <c r="S61" s="147">
        <f t="shared" si="4"/>
        <v>1</v>
      </c>
      <c r="T61" s="147"/>
      <c r="U61" s="147"/>
      <c r="V61" s="148" t="e">
        <f ca="1"/>
        <v>#NAME?</v>
      </c>
      <c r="W61" s="147" t="e">
        <f t="shared" ca="1" si="5"/>
        <v>#NAME?</v>
      </c>
      <c r="X61" s="147" t="e">
        <f t="shared" ca="1" si="6"/>
        <v>#NAME?</v>
      </c>
      <c r="Y61" s="147" t="e">
        <f t="shared" ca="1" si="7"/>
        <v>#NAME?</v>
      </c>
      <c r="Z61" s="147"/>
      <c r="AA61" s="147"/>
      <c r="AB61" s="147"/>
      <c r="AC61" s="147"/>
      <c r="AD61" s="147"/>
      <c r="AE61" s="147"/>
      <c r="AF61" s="147"/>
      <c r="AG61" s="147"/>
      <c r="AH61" s="147"/>
      <c r="AI61" s="147"/>
      <c r="AJ61" s="147"/>
      <c r="AK61" s="147"/>
      <c r="AL61" s="147"/>
      <c r="AM61" s="151"/>
      <c r="AN61" s="148" t="str">
        <f ca="1">IFERROR(__xludf.DUMMYFUNCTION("""COMPUTED_VALUE"""),"153139")</f>
        <v>153139</v>
      </c>
      <c r="AO61" s="147" t="str">
        <f t="shared" ca="1" si="8"/>
        <v>BA</v>
      </c>
      <c r="AP61" s="147" t="e">
        <f t="shared" ca="1" si="9"/>
        <v>#NAME?</v>
      </c>
      <c r="AQ61" s="147" t="str">
        <f t="shared" ca="1" si="10"/>
        <v>POC</v>
      </c>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row>
    <row r="62" spans="1:89">
      <c r="A62" s="159" t="s">
        <v>675</v>
      </c>
      <c r="B62" s="3" t="s">
        <v>676</v>
      </c>
      <c r="C62" s="160" t="s">
        <v>57</v>
      </c>
      <c r="D62" s="160" t="s">
        <v>851</v>
      </c>
      <c r="E62" s="3" t="s">
        <v>21</v>
      </c>
      <c r="F62" s="3" t="s">
        <v>916</v>
      </c>
      <c r="G62" s="3" t="s">
        <v>917</v>
      </c>
      <c r="H62" s="156" t="str">
        <f ca="1">IFERROR(
  _xludf.MINIFS(ATTENDANCE_LOG!$F:$F,
         ATTENDANCE_LOG!$A:$A, C62,
         ATTENDANCE_LOG!$B:$B, E62),
"")</f>
        <v/>
      </c>
      <c r="I62" s="156" t="str">
        <f t="shared" ca="1" si="0"/>
        <v/>
      </c>
      <c r="J62" s="3">
        <f>IFERROR(VLOOKUP(F62, LEVEL_HELPER!$A:$B, 2, 0), "")</f>
        <v>2.5</v>
      </c>
      <c r="K62" s="3">
        <f>IFERROR(VLOOKUP(G62, LEVEL_HELPER!$A:$B, 2, 0), "")</f>
        <v>3</v>
      </c>
      <c r="L62" s="157" t="s">
        <v>918</v>
      </c>
      <c r="M62" s="157" t="s">
        <v>923</v>
      </c>
      <c r="N62" s="3">
        <f t="array" aca="1" ref="N62" ca="1">IFERROR(
  INDEX($J$2:$J$543,
    MATCH(A62&amp;TEXT(I62,"yyyy-mm-dd"),
          $A$2:$A$543&amp;TEXT($H$2:$H$543,"yyyy-mm-dd"),
          0)),
"")</f>
        <v>2.5</v>
      </c>
      <c r="O62" s="147" t="str">
        <f t="shared" ca="1" si="1"/>
        <v/>
      </c>
      <c r="P62" s="147">
        <f t="shared" ref="P62:Q62" ca="1" si="71">IF(N62="",0,IF(N62&lt;=2,1,IF(N62&lt;=4,2,IF(N62&lt;=5.5,3,4))))</f>
        <v>2</v>
      </c>
      <c r="Q62" s="147">
        <f t="shared" ca="1" si="71"/>
        <v>0</v>
      </c>
      <c r="R62" s="147" t="str">
        <f t="shared" ca="1" si="3"/>
        <v>Not tested yet</v>
      </c>
      <c r="S62" s="147">
        <f t="shared" si="4"/>
        <v>1</v>
      </c>
      <c r="T62" s="147"/>
      <c r="U62" s="147"/>
      <c r="V62" s="148" t="e">
        <f ca="1"/>
        <v>#NAME?</v>
      </c>
      <c r="W62" s="147" t="e">
        <f t="shared" ca="1" si="5"/>
        <v>#NAME?</v>
      </c>
      <c r="X62" s="147" t="e">
        <f t="shared" ca="1" si="6"/>
        <v>#NAME?</v>
      </c>
      <c r="Y62" s="147" t="e">
        <f t="shared" ca="1" si="7"/>
        <v>#NAME?</v>
      </c>
      <c r="Z62" s="147"/>
      <c r="AA62" s="147"/>
      <c r="AB62" s="147"/>
      <c r="AC62" s="147"/>
      <c r="AD62" s="147"/>
      <c r="AE62" s="147"/>
      <c r="AF62" s="147"/>
      <c r="AG62" s="147"/>
      <c r="AH62" s="147"/>
      <c r="AI62" s="147"/>
      <c r="AJ62" s="147"/>
      <c r="AK62" s="147"/>
      <c r="AL62" s="147"/>
      <c r="AM62" s="151"/>
      <c r="AN62" s="148" t="str">
        <f ca="1">IFERROR(__xludf.DUMMYFUNCTION("""COMPUTED_VALUE"""),"227091")</f>
        <v>227091</v>
      </c>
      <c r="AO62" s="147" t="str">
        <f t="shared" ca="1" si="8"/>
        <v>GSD</v>
      </c>
      <c r="AP62" s="147" t="e">
        <f t="shared" ca="1" si="9"/>
        <v>#NAME?</v>
      </c>
      <c r="AQ62" s="147" t="str">
        <f t="shared" ca="1" si="10"/>
        <v>POC</v>
      </c>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row>
    <row r="63" spans="1:89">
      <c r="A63" s="153" t="s">
        <v>357</v>
      </c>
      <c r="B63" s="154" t="s">
        <v>358</v>
      </c>
      <c r="C63" s="155" t="s">
        <v>57</v>
      </c>
      <c r="D63" s="155" t="s">
        <v>851</v>
      </c>
      <c r="E63" s="154" t="s">
        <v>22</v>
      </c>
      <c r="F63" s="3" t="s">
        <v>934</v>
      </c>
      <c r="G63" s="3"/>
      <c r="H63" s="156" t="str">
        <f ca="1">IFERROR(
  _xludf.MINIFS(ATTENDANCE_LOG!$F:$F,
         ATTENDANCE_LOG!$A:$A, C63,
         ATTENDANCE_LOG!$B:$B, E63),
"")</f>
        <v/>
      </c>
      <c r="I63" s="156" t="str">
        <f t="shared" ca="1" si="0"/>
        <v/>
      </c>
      <c r="J63" s="3">
        <f>IFERROR(VLOOKUP(F63, LEVEL_HELPER!$A:$B, 2, 0), "")</f>
        <v>3.5</v>
      </c>
      <c r="K63" s="3" t="str">
        <f>IFERROR(VLOOKUP(G63, LEVEL_HELPER!$A:$B, 2, 0), "")</f>
        <v/>
      </c>
      <c r="L63" s="157" t="s">
        <v>942</v>
      </c>
      <c r="M63" s="157" t="s">
        <v>921</v>
      </c>
      <c r="N63" s="3">
        <f t="array" aca="1" ref="N63" ca="1">IFERROR(
  INDEX($J$2:$J$543,
    MATCH(A63&amp;TEXT(I63,"yyyy-mm-dd"),
          $A$2:$A$543&amp;TEXT($H$2:$H$543,"yyyy-mm-dd"),
          0)),
"")</f>
        <v>2.5</v>
      </c>
      <c r="O63" s="147" t="str">
        <f t="shared" ca="1" si="1"/>
        <v/>
      </c>
      <c r="P63" s="147">
        <f t="shared" ref="P63:Q63" ca="1" si="72">IF(N63="",0,IF(N63&lt;=2,1,IF(N63&lt;=4,2,IF(N63&lt;=5.5,3,4))))</f>
        <v>2</v>
      </c>
      <c r="Q63" s="147">
        <f t="shared" ca="1" si="72"/>
        <v>0</v>
      </c>
      <c r="R63" s="147" t="str">
        <f t="shared" ca="1" si="3"/>
        <v>Not tested yet</v>
      </c>
      <c r="S63" s="147">
        <f t="shared" si="4"/>
        <v>0</v>
      </c>
      <c r="T63" s="147"/>
      <c r="U63" s="147"/>
      <c r="V63" s="148" t="e">
        <f ca="1"/>
        <v>#NAME?</v>
      </c>
      <c r="W63" s="147" t="e">
        <f t="shared" ca="1" si="5"/>
        <v>#NAME?</v>
      </c>
      <c r="X63" s="147" t="e">
        <f t="shared" ca="1" si="6"/>
        <v>#NAME?</v>
      </c>
      <c r="Y63" s="147" t="e">
        <f t="shared" ca="1" si="7"/>
        <v>#NAME?</v>
      </c>
      <c r="Z63" s="147"/>
      <c r="AA63" s="147"/>
      <c r="AB63" s="147"/>
      <c r="AC63" s="147"/>
      <c r="AD63" s="147"/>
      <c r="AE63" s="147"/>
      <c r="AF63" s="147"/>
      <c r="AG63" s="147"/>
      <c r="AH63" s="147"/>
      <c r="AI63" s="147"/>
      <c r="AJ63" s="147"/>
      <c r="AK63" s="147"/>
      <c r="AL63" s="147"/>
      <c r="AM63" s="151"/>
      <c r="AN63" s="148" t="str">
        <f ca="1">IFERROR(__xludf.DUMMYFUNCTION("""COMPUTED_VALUE"""),"193523")</f>
        <v>193523</v>
      </c>
      <c r="AO63" s="147" t="str">
        <f t="shared" ca="1" si="8"/>
        <v>DEV</v>
      </c>
      <c r="AP63" s="147" t="e">
        <f t="shared" ca="1" si="9"/>
        <v>#NAME?</v>
      </c>
      <c r="AQ63" s="147" t="str">
        <f t="shared" ca="1" si="10"/>
        <v>TBU</v>
      </c>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7"/>
      <c r="CA63" s="147"/>
      <c r="CB63" s="147"/>
      <c r="CC63" s="147"/>
      <c r="CD63" s="147"/>
      <c r="CE63" s="147"/>
      <c r="CF63" s="147"/>
      <c r="CG63" s="147"/>
      <c r="CH63" s="147"/>
      <c r="CI63" s="147"/>
      <c r="CJ63" s="147"/>
      <c r="CK63" s="147"/>
    </row>
    <row r="64" spans="1:89">
      <c r="A64" s="159" t="s">
        <v>167</v>
      </c>
      <c r="B64" s="3" t="s">
        <v>168</v>
      </c>
      <c r="C64" s="160" t="s">
        <v>57</v>
      </c>
      <c r="D64" s="160" t="s">
        <v>851</v>
      </c>
      <c r="E64" s="3" t="s">
        <v>22</v>
      </c>
      <c r="F64" s="3"/>
      <c r="G64" s="3"/>
      <c r="H64" s="156" t="str">
        <f ca="1">IFERROR(
  _xludf.MINIFS(ATTENDANCE_LOG!$F:$F,
         ATTENDANCE_LOG!$A:$A, C64,
         ATTENDANCE_LOG!$B:$B, E64),
"")</f>
        <v/>
      </c>
      <c r="I64" s="156" t="str">
        <f t="shared" ca="1" si="0"/>
        <v/>
      </c>
      <c r="J64" s="3" t="str">
        <f>IFERROR(VLOOKUP(F64, LEVEL_HELPER!$A:$B, 2, 0), "")</f>
        <v/>
      </c>
      <c r="K64" s="3" t="str">
        <f>IFERROR(VLOOKUP(G64, LEVEL_HELPER!$A:$B, 2, 0), "")</f>
        <v/>
      </c>
      <c r="L64" s="157" t="s">
        <v>918</v>
      </c>
      <c r="M64" s="157" t="s">
        <v>922</v>
      </c>
      <c r="N64" s="3" t="str">
        <f t="array" aca="1" ref="N64" ca="1">IFERROR(
  INDEX($J$2:$J$543,
    MATCH(A64&amp;TEXT(I64,"yyyy-mm-dd"),
          $A$2:$A$543&amp;TEXT($H$2:$H$543,"yyyy-mm-dd"),
          0)),
"")</f>
        <v/>
      </c>
      <c r="O64" s="147" t="str">
        <f t="shared" ca="1" si="1"/>
        <v/>
      </c>
      <c r="P64" s="147">
        <f t="shared" ref="P64:Q64" ca="1" si="73">IF(N64="",0,IF(N64&lt;=2,1,IF(N64&lt;=4,2,IF(N64&lt;=5.5,3,4))))</f>
        <v>0</v>
      </c>
      <c r="Q64" s="147">
        <f t="shared" ca="1" si="73"/>
        <v>0</v>
      </c>
      <c r="R64" s="147" t="str">
        <f t="shared" ca="1" si="3"/>
        <v>Not tested yet</v>
      </c>
      <c r="S64" s="147">
        <f t="shared" si="4"/>
        <v>1</v>
      </c>
      <c r="T64" s="147"/>
      <c r="U64" s="147"/>
      <c r="V64" s="148" t="e">
        <f ca="1"/>
        <v>#NAME?</v>
      </c>
      <c r="W64" s="147" t="e">
        <f t="shared" ca="1" si="5"/>
        <v>#NAME?</v>
      </c>
      <c r="X64" s="147" t="e">
        <f t="shared" ca="1" si="6"/>
        <v>#NAME?</v>
      </c>
      <c r="Y64" s="147" t="e">
        <f t="shared" ca="1" si="7"/>
        <v>#NAME?</v>
      </c>
      <c r="Z64" s="147"/>
      <c r="AA64" s="147"/>
      <c r="AB64" s="147"/>
      <c r="AC64" s="147"/>
      <c r="AD64" s="147"/>
      <c r="AE64" s="147"/>
      <c r="AF64" s="147"/>
      <c r="AG64" s="147"/>
      <c r="AH64" s="147"/>
      <c r="AI64" s="147"/>
      <c r="AJ64" s="147"/>
      <c r="AK64" s="147"/>
      <c r="AL64" s="147"/>
      <c r="AM64" s="151"/>
      <c r="AN64" s="148" t="str">
        <f ca="1">IFERROR(__xludf.DUMMYFUNCTION("""COMPUTED_VALUE"""),"247119")</f>
        <v>247119</v>
      </c>
      <c r="AO64" s="147" t="str">
        <f t="shared" ca="1" si="8"/>
        <v>DEV</v>
      </c>
      <c r="AP64" s="147" t="e">
        <f t="shared" ca="1" si="9"/>
        <v>#NAME?</v>
      </c>
      <c r="AQ64" s="147" t="str">
        <f t="shared" ca="1" si="10"/>
        <v>MOC</v>
      </c>
      <c r="AR64" s="147"/>
      <c r="AS64" s="147"/>
      <c r="AT64" s="147"/>
      <c r="AU64" s="147"/>
      <c r="AV64" s="147"/>
      <c r="AW64" s="147"/>
      <c r="AX64" s="147"/>
      <c r="AY64" s="147"/>
      <c r="AZ64" s="147"/>
      <c r="BA64" s="147"/>
      <c r="BB64" s="147"/>
      <c r="BC64" s="147"/>
      <c r="BD64" s="147"/>
      <c r="BE64" s="147"/>
      <c r="BF64" s="147"/>
      <c r="BG64" s="147"/>
      <c r="BH64" s="147"/>
      <c r="BI64" s="147"/>
      <c r="BJ64" s="147"/>
      <c r="BK64" s="147"/>
      <c r="BL64" s="147"/>
      <c r="BM64" s="147"/>
      <c r="BN64" s="147"/>
      <c r="BO64" s="147"/>
      <c r="BP64" s="147"/>
      <c r="BQ64" s="147"/>
      <c r="BR64" s="147"/>
      <c r="BS64" s="147"/>
      <c r="BT64" s="147"/>
      <c r="BU64" s="147"/>
      <c r="BV64" s="147"/>
      <c r="BW64" s="147"/>
      <c r="BX64" s="147"/>
      <c r="BY64" s="147"/>
      <c r="BZ64" s="147"/>
      <c r="CA64" s="147"/>
      <c r="CB64" s="147"/>
      <c r="CC64" s="147"/>
      <c r="CD64" s="147"/>
      <c r="CE64" s="147"/>
      <c r="CF64" s="147"/>
      <c r="CG64" s="147"/>
      <c r="CH64" s="147"/>
      <c r="CI64" s="147"/>
      <c r="CJ64" s="147"/>
      <c r="CK64" s="147"/>
    </row>
    <row r="65" spans="1:89">
      <c r="A65" s="159" t="s">
        <v>184</v>
      </c>
      <c r="B65" s="3" t="s">
        <v>185</v>
      </c>
      <c r="C65" s="160" t="s">
        <v>57</v>
      </c>
      <c r="D65" s="160" t="s">
        <v>851</v>
      </c>
      <c r="E65" s="3" t="s">
        <v>22</v>
      </c>
      <c r="F65" s="3"/>
      <c r="G65" s="3"/>
      <c r="H65" s="156" t="str">
        <f ca="1">IFERROR(
  _xludf.MINIFS(ATTENDANCE_LOG!$F:$F,
         ATTENDANCE_LOG!$A:$A, C65,
         ATTENDANCE_LOG!$B:$B, E65),
"")</f>
        <v/>
      </c>
      <c r="I65" s="156" t="str">
        <f t="shared" ca="1" si="0"/>
        <v/>
      </c>
      <c r="J65" s="3" t="str">
        <f>IFERROR(VLOOKUP(F65, LEVEL_HELPER!$A:$B, 2, 0), "")</f>
        <v/>
      </c>
      <c r="K65" s="3" t="str">
        <f>IFERROR(VLOOKUP(G65, LEVEL_HELPER!$A:$B, 2, 0), "")</f>
        <v/>
      </c>
      <c r="L65" s="157" t="s">
        <v>942</v>
      </c>
      <c r="M65" s="157" t="s">
        <v>925</v>
      </c>
      <c r="N65" s="3" t="str">
        <f t="array" aca="1" ref="N65" ca="1">IFERROR(
  INDEX($J$2:$J$543,
    MATCH(A65&amp;TEXT(I65,"yyyy-mm-dd"),
          $A$2:$A$543&amp;TEXT($H$2:$H$543,"yyyy-mm-dd"),
          0)),
"")</f>
        <v/>
      </c>
      <c r="O65" s="147" t="str">
        <f t="shared" ca="1" si="1"/>
        <v/>
      </c>
      <c r="P65" s="147">
        <f t="shared" ref="P65:Q65" ca="1" si="74">IF(N65="",0,IF(N65&lt;=2,1,IF(N65&lt;=4,2,IF(N65&lt;=5.5,3,4))))</f>
        <v>0</v>
      </c>
      <c r="Q65" s="147">
        <f t="shared" ca="1" si="74"/>
        <v>0</v>
      </c>
      <c r="R65" s="147" t="str">
        <f t="shared" ca="1" si="3"/>
        <v>Not tested yet</v>
      </c>
      <c r="S65" s="147">
        <f t="shared" si="4"/>
        <v>1</v>
      </c>
      <c r="T65" s="147"/>
      <c r="U65" s="147"/>
      <c r="V65" s="148" t="e">
        <f ca="1"/>
        <v>#NAME?</v>
      </c>
      <c r="W65" s="147" t="e">
        <f t="shared" ca="1" si="5"/>
        <v>#NAME?</v>
      </c>
      <c r="X65" s="147" t="e">
        <f t="shared" ca="1" si="6"/>
        <v>#NAME?</v>
      </c>
      <c r="Y65" s="147" t="e">
        <f t="shared" ca="1" si="7"/>
        <v>#NAME?</v>
      </c>
      <c r="Z65" s="147"/>
      <c r="AA65" s="147"/>
      <c r="AB65" s="147"/>
      <c r="AC65" s="147"/>
      <c r="AD65" s="147"/>
      <c r="AE65" s="147"/>
      <c r="AF65" s="147"/>
      <c r="AG65" s="147"/>
      <c r="AH65" s="147"/>
      <c r="AI65" s="147"/>
      <c r="AJ65" s="147"/>
      <c r="AK65" s="147"/>
      <c r="AL65" s="147"/>
      <c r="AM65" s="151"/>
      <c r="AN65" s="148" t="str">
        <f ca="1">IFERROR(__xludf.DUMMYFUNCTION("""COMPUTED_VALUE"""),"247147")</f>
        <v>247147</v>
      </c>
      <c r="AO65" s="147" t="str">
        <f t="shared" ca="1" si="8"/>
        <v>GSD</v>
      </c>
      <c r="AP65" s="147" t="e">
        <f t="shared" ca="1" si="9"/>
        <v>#NAME?</v>
      </c>
      <c r="AQ65" s="147" t="str">
        <f t="shared" ca="1" si="10"/>
        <v>POC</v>
      </c>
      <c r="AR65" s="147"/>
      <c r="AS65" s="147"/>
      <c r="AT65" s="147"/>
      <c r="AU65" s="147"/>
      <c r="AV65" s="147"/>
      <c r="AW65" s="147"/>
      <c r="AX65" s="147"/>
      <c r="AY65" s="147"/>
      <c r="AZ65" s="147"/>
      <c r="BA65" s="147"/>
      <c r="BB65" s="147"/>
      <c r="BC65" s="147"/>
      <c r="BD65" s="147"/>
      <c r="BE65" s="147"/>
      <c r="BF65" s="147"/>
      <c r="BG65" s="147"/>
      <c r="BH65" s="147"/>
      <c r="BI65" s="147"/>
      <c r="BJ65" s="147"/>
      <c r="BK65" s="147"/>
      <c r="BL65" s="147"/>
      <c r="BM65" s="147"/>
      <c r="BN65" s="147"/>
      <c r="BO65" s="147"/>
      <c r="BP65" s="147"/>
      <c r="BQ65" s="147"/>
      <c r="BR65" s="147"/>
      <c r="BS65" s="147"/>
      <c r="BT65" s="147"/>
      <c r="BU65" s="147"/>
      <c r="BV65" s="147"/>
      <c r="BW65" s="147"/>
      <c r="BX65" s="147"/>
      <c r="BY65" s="147"/>
      <c r="BZ65" s="147"/>
      <c r="CA65" s="147"/>
      <c r="CB65" s="147"/>
      <c r="CC65" s="147"/>
      <c r="CD65" s="147"/>
      <c r="CE65" s="147"/>
      <c r="CF65" s="147"/>
      <c r="CG65" s="147"/>
      <c r="CH65" s="147"/>
      <c r="CI65" s="147"/>
      <c r="CJ65" s="147"/>
      <c r="CK65" s="147"/>
    </row>
    <row r="66" spans="1:89">
      <c r="A66" s="159" t="s">
        <v>188</v>
      </c>
      <c r="B66" s="3" t="s">
        <v>189</v>
      </c>
      <c r="C66" s="160" t="s">
        <v>57</v>
      </c>
      <c r="D66" s="160" t="s">
        <v>851</v>
      </c>
      <c r="E66" s="3" t="s">
        <v>22</v>
      </c>
      <c r="F66" s="3"/>
      <c r="G66" s="3"/>
      <c r="H66" s="156" t="str">
        <f ca="1">IFERROR(
  _xludf.MINIFS(ATTENDANCE_LOG!$F:$F,
         ATTENDANCE_LOG!$A:$A, C66,
         ATTENDANCE_LOG!$B:$B, E66),
"")</f>
        <v/>
      </c>
      <c r="I66" s="156" t="str">
        <f t="shared" ca="1" si="0"/>
        <v/>
      </c>
      <c r="J66" s="3" t="str">
        <f>IFERROR(VLOOKUP(F66, LEVEL_HELPER!$A:$B, 2, 0), "")</f>
        <v/>
      </c>
      <c r="K66" s="3" t="str">
        <f>IFERROR(VLOOKUP(G66, LEVEL_HELPER!$A:$B, 2, 0), "")</f>
        <v/>
      </c>
      <c r="L66" s="157" t="s">
        <v>918</v>
      </c>
      <c r="M66" s="157" t="s">
        <v>922</v>
      </c>
      <c r="N66" s="3" t="str">
        <f t="array" aca="1" ref="N66" ca="1">IFERROR(
  INDEX($J$2:$J$543,
    MATCH(A66&amp;TEXT(I66,"yyyy-mm-dd"),
          $A$2:$A$543&amp;TEXT($H$2:$H$543,"yyyy-mm-dd"),
          0)),
"")</f>
        <v/>
      </c>
      <c r="O66" s="147" t="str">
        <f t="shared" ca="1" si="1"/>
        <v/>
      </c>
      <c r="P66" s="147">
        <f t="shared" ref="P66:Q66" ca="1" si="75">IF(N66="",0,IF(N66&lt;=2,1,IF(N66&lt;=4,2,IF(N66&lt;=5.5,3,4))))</f>
        <v>0</v>
      </c>
      <c r="Q66" s="147">
        <f t="shared" ca="1" si="75"/>
        <v>0</v>
      </c>
      <c r="R66" s="147" t="str">
        <f t="shared" ca="1" si="3"/>
        <v>Not tested yet</v>
      </c>
      <c r="S66" s="147">
        <f t="shared" si="4"/>
        <v>1</v>
      </c>
      <c r="T66" s="147"/>
      <c r="U66" s="147"/>
      <c r="V66" s="148" t="e">
        <f ca="1"/>
        <v>#NAME?</v>
      </c>
      <c r="W66" s="147" t="e">
        <f t="shared" ca="1" si="5"/>
        <v>#NAME?</v>
      </c>
      <c r="X66" s="147" t="e">
        <f t="shared" ca="1" si="6"/>
        <v>#NAME?</v>
      </c>
      <c r="Y66" s="147" t="e">
        <f t="shared" ca="1" si="7"/>
        <v>#NAME?</v>
      </c>
      <c r="Z66" s="147"/>
      <c r="AA66" s="147"/>
      <c r="AB66" s="147"/>
      <c r="AC66" s="147"/>
      <c r="AD66" s="147"/>
      <c r="AE66" s="147"/>
      <c r="AF66" s="147"/>
      <c r="AG66" s="147"/>
      <c r="AH66" s="147"/>
      <c r="AI66" s="147"/>
      <c r="AJ66" s="147"/>
      <c r="AK66" s="147"/>
      <c r="AL66" s="147"/>
      <c r="AM66" s="151"/>
      <c r="AN66" s="148" t="str">
        <f ca="1">IFERROR(__xludf.DUMMYFUNCTION("""COMPUTED_VALUE"""),"203701")</f>
        <v>203701</v>
      </c>
      <c r="AO66" s="147" t="str">
        <f t="shared" ca="1" si="8"/>
        <v>DEV</v>
      </c>
      <c r="AP66" s="147" t="e">
        <f t="shared" ca="1" si="9"/>
        <v>#NAME?</v>
      </c>
      <c r="AQ66" s="147" t="str">
        <f t="shared" ca="1" si="10"/>
        <v>MOC</v>
      </c>
      <c r="AR66" s="147"/>
      <c r="AS66" s="147"/>
      <c r="AT66" s="147"/>
      <c r="AU66" s="147"/>
      <c r="AV66" s="147"/>
      <c r="AW66" s="147"/>
      <c r="AX66" s="147"/>
      <c r="AY66" s="147"/>
      <c r="AZ66" s="147"/>
      <c r="BA66" s="147"/>
      <c r="BB66" s="147"/>
      <c r="BC66" s="147"/>
      <c r="BD66" s="147"/>
      <c r="BE66" s="147"/>
      <c r="BF66" s="147"/>
      <c r="BG66" s="147"/>
      <c r="BH66" s="147"/>
      <c r="BI66" s="147"/>
      <c r="BJ66" s="147"/>
      <c r="BK66" s="147"/>
      <c r="BL66" s="147"/>
      <c r="BM66" s="147"/>
      <c r="BN66" s="147"/>
      <c r="BO66" s="147"/>
      <c r="BP66" s="147"/>
      <c r="BQ66" s="147"/>
      <c r="BR66" s="147"/>
      <c r="BS66" s="147"/>
      <c r="BT66" s="147"/>
      <c r="BU66" s="147"/>
      <c r="BV66" s="147"/>
      <c r="BW66" s="147"/>
      <c r="BX66" s="147"/>
      <c r="BY66" s="147"/>
      <c r="BZ66" s="147"/>
      <c r="CA66" s="147"/>
      <c r="CB66" s="147"/>
      <c r="CC66" s="147"/>
      <c r="CD66" s="147"/>
      <c r="CE66" s="147"/>
      <c r="CF66" s="147"/>
      <c r="CG66" s="147"/>
      <c r="CH66" s="147"/>
      <c r="CI66" s="147"/>
      <c r="CJ66" s="147"/>
      <c r="CK66" s="147"/>
    </row>
    <row r="67" spans="1:89">
      <c r="A67" s="159" t="s">
        <v>230</v>
      </c>
      <c r="B67" s="3" t="s">
        <v>231</v>
      </c>
      <c r="C67" s="160" t="s">
        <v>57</v>
      </c>
      <c r="D67" s="160" t="s">
        <v>851</v>
      </c>
      <c r="E67" s="3" t="s">
        <v>22</v>
      </c>
      <c r="F67" s="3" t="s">
        <v>917</v>
      </c>
      <c r="G67" s="3"/>
      <c r="H67" s="156" t="str">
        <f ca="1">IFERROR(
  _xludf.MINIFS(ATTENDANCE_LOG!$F:$F,
         ATTENDANCE_LOG!$A:$A, C67,
         ATTENDANCE_LOG!$B:$B, E67),
"")</f>
        <v/>
      </c>
      <c r="I67" s="156" t="str">
        <f t="shared" ca="1" si="0"/>
        <v/>
      </c>
      <c r="J67" s="3">
        <f>IFERROR(VLOOKUP(F67, LEVEL_HELPER!$A:$B, 2, 0), "")</f>
        <v>3</v>
      </c>
      <c r="K67" s="3" t="str">
        <f>IFERROR(VLOOKUP(G67, LEVEL_HELPER!$A:$B, 2, 0), "")</f>
        <v/>
      </c>
      <c r="L67" s="157" t="s">
        <v>942</v>
      </c>
      <c r="M67" s="157" t="s">
        <v>921</v>
      </c>
      <c r="N67" s="3">
        <f t="array" aca="1" ref="N67" ca="1">IFERROR(
  INDEX($J$2:$J$543,
    MATCH(A67&amp;TEXT(I67,"yyyy-mm-dd"),
          $A$2:$A$543&amp;TEXT($H$2:$H$543,"yyyy-mm-dd"),
          0)),
"")</f>
        <v>1</v>
      </c>
      <c r="O67" s="147" t="str">
        <f t="shared" ca="1" si="1"/>
        <v/>
      </c>
      <c r="P67" s="147">
        <f t="shared" ref="P67:Q67" ca="1" si="76">IF(N67="",0,IF(N67&lt;=2,1,IF(N67&lt;=4,2,IF(N67&lt;=5.5,3,4))))</f>
        <v>1</v>
      </c>
      <c r="Q67" s="147">
        <f t="shared" ca="1" si="76"/>
        <v>0</v>
      </c>
      <c r="R67" s="147" t="str">
        <f t="shared" ca="1" si="3"/>
        <v>Not tested yet</v>
      </c>
      <c r="S67" s="147">
        <f t="shared" si="4"/>
        <v>0</v>
      </c>
      <c r="T67" s="147"/>
      <c r="U67" s="147"/>
      <c r="V67" s="148" t="e">
        <f ca="1"/>
        <v>#NAME?</v>
      </c>
      <c r="W67" s="147" t="e">
        <f t="shared" ca="1" si="5"/>
        <v>#NAME?</v>
      </c>
      <c r="X67" s="147" t="e">
        <f t="shared" ca="1" si="6"/>
        <v>#NAME?</v>
      </c>
      <c r="Y67" s="147" t="e">
        <f t="shared" ca="1" si="7"/>
        <v>#NAME?</v>
      </c>
      <c r="Z67" s="147"/>
      <c r="AA67" s="147"/>
      <c r="AB67" s="147"/>
      <c r="AC67" s="147"/>
      <c r="AD67" s="147"/>
      <c r="AE67" s="147"/>
      <c r="AF67" s="147"/>
      <c r="AG67" s="147"/>
      <c r="AH67" s="147"/>
      <c r="AI67" s="147"/>
      <c r="AJ67" s="147"/>
      <c r="AK67" s="147"/>
      <c r="AL67" s="147"/>
      <c r="AM67" s="151"/>
      <c r="AN67" s="148" t="str">
        <f ca="1">IFERROR(__xludf.DUMMYFUNCTION("""COMPUTED_VALUE"""),"247065")</f>
        <v>247065</v>
      </c>
      <c r="AO67" s="147" t="str">
        <f t="shared" ca="1" si="8"/>
        <v>DEV</v>
      </c>
      <c r="AP67" s="147" t="e">
        <f t="shared" ca="1" si="9"/>
        <v>#NAME?</v>
      </c>
      <c r="AQ67" s="147" t="str">
        <f t="shared" ca="1" si="10"/>
        <v>ONC</v>
      </c>
      <c r="AR67" s="147"/>
      <c r="AS67" s="147"/>
      <c r="AT67" s="147"/>
      <c r="AU67" s="147"/>
      <c r="AV67" s="147"/>
      <c r="AW67" s="147"/>
      <c r="AX67" s="147"/>
      <c r="AY67" s="147"/>
      <c r="AZ67" s="147"/>
      <c r="BA67" s="147"/>
      <c r="BB67" s="147"/>
      <c r="BC67" s="147"/>
      <c r="BD67" s="147"/>
      <c r="BE67" s="147"/>
      <c r="BF67" s="147"/>
      <c r="BG67" s="147"/>
      <c r="BH67" s="147"/>
      <c r="BI67" s="147"/>
      <c r="BJ67" s="147"/>
      <c r="BK67" s="147"/>
      <c r="BL67" s="147"/>
      <c r="BM67" s="147"/>
      <c r="BN67" s="147"/>
      <c r="BO67" s="147"/>
      <c r="BP67" s="147"/>
      <c r="BQ67" s="147"/>
      <c r="BR67" s="147"/>
      <c r="BS67" s="147"/>
      <c r="BT67" s="147"/>
      <c r="BU67" s="147"/>
      <c r="BV67" s="147"/>
      <c r="BW67" s="147"/>
      <c r="BX67" s="147"/>
      <c r="BY67" s="147"/>
      <c r="BZ67" s="147"/>
      <c r="CA67" s="147"/>
      <c r="CB67" s="147"/>
      <c r="CC67" s="147"/>
      <c r="CD67" s="147"/>
      <c r="CE67" s="147"/>
      <c r="CF67" s="147"/>
      <c r="CG67" s="147"/>
      <c r="CH67" s="147"/>
      <c r="CI67" s="147"/>
      <c r="CJ67" s="147"/>
      <c r="CK67" s="147"/>
    </row>
    <row r="68" spans="1:89">
      <c r="A68" s="159" t="s">
        <v>568</v>
      </c>
      <c r="B68" s="3" t="s">
        <v>569</v>
      </c>
      <c r="C68" s="160" t="s">
        <v>57</v>
      </c>
      <c r="D68" s="160" t="s">
        <v>851</v>
      </c>
      <c r="E68" s="3" t="s">
        <v>22</v>
      </c>
      <c r="F68" s="3" t="s">
        <v>917</v>
      </c>
      <c r="G68" s="3" t="s">
        <v>940</v>
      </c>
      <c r="H68" s="156" t="str">
        <f ca="1">IFERROR(
  _xludf.MINIFS(ATTENDANCE_LOG!$F:$F,
         ATTENDANCE_LOG!$A:$A, C68,
         ATTENDANCE_LOG!$B:$B, E68),
"")</f>
        <v/>
      </c>
      <c r="I68" s="156" t="str">
        <f t="shared" ca="1" si="0"/>
        <v/>
      </c>
      <c r="J68" s="3">
        <f>IFERROR(VLOOKUP(F68, LEVEL_HELPER!$A:$B, 2, 0), "")</f>
        <v>3</v>
      </c>
      <c r="K68" s="3">
        <f>IFERROR(VLOOKUP(G68, LEVEL_HELPER!$A:$B, 2, 0), "")</f>
        <v>5</v>
      </c>
      <c r="L68" s="157" t="s">
        <v>942</v>
      </c>
      <c r="M68" s="157" t="s">
        <v>922</v>
      </c>
      <c r="N68" s="3">
        <f t="array" aca="1" ref="N68" ca="1">IFERROR(
  INDEX($J$2:$J$543,
    MATCH(A68&amp;TEXT(I68,"yyyy-mm-dd"),
          $A$2:$A$543&amp;TEXT($H$2:$H$543,"yyyy-mm-dd"),
          0)),
"")</f>
        <v>1</v>
      </c>
      <c r="O68" s="147" t="str">
        <f t="shared" ca="1" si="1"/>
        <v/>
      </c>
      <c r="P68" s="147">
        <f t="shared" ref="P68:Q68" ca="1" si="77">IF(N68="",0,IF(N68&lt;=2,1,IF(N68&lt;=4,2,IF(N68&lt;=5.5,3,4))))</f>
        <v>1</v>
      </c>
      <c r="Q68" s="147">
        <f t="shared" ca="1" si="77"/>
        <v>0</v>
      </c>
      <c r="R68" s="147" t="str">
        <f t="shared" ca="1" si="3"/>
        <v>Not tested yet</v>
      </c>
      <c r="S68" s="147">
        <f t="shared" si="4"/>
        <v>0</v>
      </c>
      <c r="T68" s="147"/>
      <c r="U68" s="147"/>
      <c r="V68" s="148" t="e">
        <f ca="1"/>
        <v>#NAME?</v>
      </c>
      <c r="W68" s="147" t="e">
        <f t="shared" ca="1" si="5"/>
        <v>#NAME?</v>
      </c>
      <c r="X68" s="147" t="e">
        <f t="shared" ca="1" si="6"/>
        <v>#NAME?</v>
      </c>
      <c r="Y68" s="147" t="e">
        <f t="shared" ca="1" si="7"/>
        <v>#NAME?</v>
      </c>
      <c r="Z68" s="147"/>
      <c r="AA68" s="147"/>
      <c r="AB68" s="147"/>
      <c r="AC68" s="147"/>
      <c r="AD68" s="147"/>
      <c r="AE68" s="147"/>
      <c r="AF68" s="147"/>
      <c r="AG68" s="147"/>
      <c r="AH68" s="147"/>
      <c r="AI68" s="147"/>
      <c r="AJ68" s="147"/>
      <c r="AK68" s="147"/>
      <c r="AL68" s="147"/>
      <c r="AM68" s="151"/>
      <c r="AN68" s="148" t="str">
        <f ca="1">IFERROR(__xludf.DUMMYFUNCTION("""COMPUTED_VALUE"""),"193496")</f>
        <v>193496</v>
      </c>
      <c r="AO68" s="147" t="str">
        <f t="shared" ca="1" si="8"/>
        <v>GSD</v>
      </c>
      <c r="AP68" s="147" t="e">
        <f t="shared" ca="1" si="9"/>
        <v>#NAME?</v>
      </c>
      <c r="AQ68" s="147" t="str">
        <f t="shared" ca="1" si="10"/>
        <v>POC</v>
      </c>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c r="BP68" s="147"/>
      <c r="BQ68" s="147"/>
      <c r="BR68" s="147"/>
      <c r="BS68" s="147"/>
      <c r="BT68" s="147"/>
      <c r="BU68" s="147"/>
      <c r="BV68" s="147"/>
      <c r="BW68" s="147"/>
      <c r="BX68" s="147"/>
      <c r="BY68" s="147"/>
      <c r="BZ68" s="147"/>
      <c r="CA68" s="147"/>
      <c r="CB68" s="147"/>
      <c r="CC68" s="147"/>
      <c r="CD68" s="147"/>
      <c r="CE68" s="147"/>
      <c r="CF68" s="147"/>
      <c r="CG68" s="147"/>
      <c r="CH68" s="147"/>
      <c r="CI68" s="147"/>
      <c r="CJ68" s="147"/>
      <c r="CK68" s="147"/>
    </row>
    <row r="69" spans="1:89">
      <c r="A69" s="159" t="s">
        <v>625</v>
      </c>
      <c r="B69" s="3" t="s">
        <v>626</v>
      </c>
      <c r="C69" s="160" t="s">
        <v>57</v>
      </c>
      <c r="D69" s="160" t="s">
        <v>851</v>
      </c>
      <c r="E69" s="3" t="s">
        <v>22</v>
      </c>
      <c r="F69" s="3" t="s">
        <v>917</v>
      </c>
      <c r="G69" s="3"/>
      <c r="H69" s="156" t="str">
        <f ca="1">IFERROR(
  _xludf.MINIFS(ATTENDANCE_LOG!$F:$F,
         ATTENDANCE_LOG!$A:$A, C69,
         ATTENDANCE_LOG!$B:$B, E69),
"")</f>
        <v/>
      </c>
      <c r="I69" s="156" t="str">
        <f t="shared" ca="1" si="0"/>
        <v/>
      </c>
      <c r="J69" s="3">
        <f>IFERROR(VLOOKUP(F69, LEVEL_HELPER!$A:$B, 2, 0), "")</f>
        <v>3</v>
      </c>
      <c r="K69" s="3" t="str">
        <f>IFERROR(VLOOKUP(G69, LEVEL_HELPER!$A:$B, 2, 0), "")</f>
        <v/>
      </c>
      <c r="L69" s="157" t="s">
        <v>942</v>
      </c>
      <c r="M69" s="157" t="s">
        <v>921</v>
      </c>
      <c r="N69" s="3">
        <f t="array" aca="1" ref="N69" ca="1">IFERROR(
  INDEX($J$2:$J$543,
    MATCH(A69&amp;TEXT(I69,"yyyy-mm-dd"),
          $A$2:$A$543&amp;TEXT($H$2:$H$543,"yyyy-mm-dd"),
          0)),
"")</f>
        <v>1</v>
      </c>
      <c r="O69" s="147" t="str">
        <f t="shared" ca="1" si="1"/>
        <v/>
      </c>
      <c r="P69" s="147">
        <f t="shared" ref="P69:Q69" ca="1" si="78">IF(N69="",0,IF(N69&lt;=2,1,IF(N69&lt;=4,2,IF(N69&lt;=5.5,3,4))))</f>
        <v>1</v>
      </c>
      <c r="Q69" s="147">
        <f t="shared" ca="1" si="78"/>
        <v>0</v>
      </c>
      <c r="R69" s="147" t="str">
        <f t="shared" ca="1" si="3"/>
        <v>Not tested yet</v>
      </c>
      <c r="S69" s="147">
        <f t="shared" si="4"/>
        <v>0</v>
      </c>
      <c r="T69" s="147"/>
      <c r="U69" s="147"/>
      <c r="V69" s="148" t="e">
        <f ca="1"/>
        <v>#NAME?</v>
      </c>
      <c r="W69" s="147" t="e">
        <f t="shared" ca="1" si="5"/>
        <v>#NAME?</v>
      </c>
      <c r="X69" s="147" t="e">
        <f t="shared" ca="1" si="6"/>
        <v>#NAME?</v>
      </c>
      <c r="Y69" s="147" t="e">
        <f t="shared" ca="1" si="7"/>
        <v>#NAME?</v>
      </c>
      <c r="Z69" s="147"/>
      <c r="AA69" s="147"/>
      <c r="AB69" s="147"/>
      <c r="AC69" s="147"/>
      <c r="AD69" s="147"/>
      <c r="AE69" s="147"/>
      <c r="AF69" s="147"/>
      <c r="AG69" s="147"/>
      <c r="AH69" s="147"/>
      <c r="AI69" s="147"/>
      <c r="AJ69" s="147"/>
      <c r="AK69" s="147"/>
      <c r="AL69" s="147"/>
      <c r="AM69" s="151"/>
      <c r="AN69" s="148" t="str">
        <f ca="1">IFERROR(__xludf.DUMMYFUNCTION("""COMPUTED_VALUE"""),"183427")</f>
        <v>183427</v>
      </c>
      <c r="AO69" s="147" t="str">
        <f t="shared" ca="1" si="8"/>
        <v>DEV</v>
      </c>
      <c r="AP69" s="147" t="e">
        <f t="shared" ca="1" si="9"/>
        <v>#NAME?</v>
      </c>
      <c r="AQ69" s="147" t="str">
        <f t="shared" ca="1" si="10"/>
        <v>ONC</v>
      </c>
      <c r="AR69" s="147"/>
      <c r="AS69" s="147"/>
      <c r="AT69" s="147"/>
      <c r="AU69" s="147"/>
      <c r="AV69" s="147"/>
      <c r="AW69" s="147"/>
      <c r="AX69" s="147"/>
      <c r="AY69" s="147"/>
      <c r="AZ69" s="147"/>
      <c r="BA69" s="147"/>
      <c r="BB69" s="147"/>
      <c r="BC69" s="147"/>
      <c r="BD69" s="147"/>
      <c r="BE69" s="147"/>
      <c r="BF69" s="147"/>
      <c r="BG69" s="147"/>
      <c r="BH69" s="147"/>
      <c r="BI69" s="147"/>
      <c r="BJ69" s="147"/>
      <c r="BK69" s="147"/>
      <c r="BL69" s="147"/>
      <c r="BM69" s="147"/>
      <c r="BN69" s="147"/>
      <c r="BO69" s="147"/>
      <c r="BP69" s="147"/>
      <c r="BQ69" s="147"/>
      <c r="BR69" s="147"/>
      <c r="BS69" s="147"/>
      <c r="BT69" s="147"/>
      <c r="BU69" s="147"/>
      <c r="BV69" s="147"/>
      <c r="BW69" s="147"/>
      <c r="BX69" s="147"/>
      <c r="BY69" s="147"/>
      <c r="BZ69" s="147"/>
      <c r="CA69" s="147"/>
      <c r="CB69" s="147"/>
      <c r="CC69" s="147"/>
      <c r="CD69" s="147"/>
      <c r="CE69" s="147"/>
      <c r="CF69" s="147"/>
      <c r="CG69" s="147"/>
      <c r="CH69" s="147"/>
      <c r="CI69" s="147"/>
      <c r="CJ69" s="147"/>
      <c r="CK69" s="147"/>
    </row>
    <row r="70" spans="1:89">
      <c r="A70" s="159" t="s">
        <v>697</v>
      </c>
      <c r="B70" s="3" t="s">
        <v>698</v>
      </c>
      <c r="C70" s="160" t="s">
        <v>57</v>
      </c>
      <c r="D70" s="160" t="s">
        <v>851</v>
      </c>
      <c r="E70" s="3" t="s">
        <v>22</v>
      </c>
      <c r="F70" s="3"/>
      <c r="G70" s="3"/>
      <c r="H70" s="156" t="str">
        <f ca="1">IFERROR(
  _xludf.MINIFS(ATTENDANCE_LOG!$F:$F,
         ATTENDANCE_LOG!$A:$A, C70,
         ATTENDANCE_LOG!$B:$B, E70),
"")</f>
        <v/>
      </c>
      <c r="I70" s="156" t="str">
        <f t="shared" ca="1" si="0"/>
        <v/>
      </c>
      <c r="J70" s="3" t="str">
        <f>IFERROR(VLOOKUP(F70, LEVEL_HELPER!$A:$B, 2, 0), "")</f>
        <v/>
      </c>
      <c r="K70" s="3" t="str">
        <f>IFERROR(VLOOKUP(G70, LEVEL_HELPER!$A:$B, 2, 0), "")</f>
        <v/>
      </c>
      <c r="L70" s="157" t="s">
        <v>942</v>
      </c>
      <c r="M70" s="157" t="s">
        <v>925</v>
      </c>
      <c r="N70" s="3" t="str">
        <f t="array" aca="1" ref="N70" ca="1">IFERROR(
  INDEX($J$2:$J$543,
    MATCH(A70&amp;TEXT(I70,"yyyy-mm-dd"),
          $A$2:$A$543&amp;TEXT($H$2:$H$543,"yyyy-mm-dd"),
          0)),
"")</f>
        <v/>
      </c>
      <c r="O70" s="147" t="str">
        <f t="shared" ca="1" si="1"/>
        <v/>
      </c>
      <c r="P70" s="147">
        <f t="shared" ref="P70:Q70" ca="1" si="79">IF(N70="",0,IF(N70&lt;=2,1,IF(N70&lt;=4,2,IF(N70&lt;=5.5,3,4))))</f>
        <v>0</v>
      </c>
      <c r="Q70" s="147">
        <f t="shared" ca="1" si="79"/>
        <v>0</v>
      </c>
      <c r="R70" s="147" t="str">
        <f t="shared" ca="1" si="3"/>
        <v>Not tested yet</v>
      </c>
      <c r="S70" s="147">
        <f t="shared" si="4"/>
        <v>1</v>
      </c>
      <c r="T70" s="147"/>
      <c r="U70" s="147"/>
      <c r="V70" s="148" t="e">
        <f ca="1"/>
        <v>#NAME?</v>
      </c>
      <c r="W70" s="147" t="e">
        <f t="shared" ca="1" si="5"/>
        <v>#NAME?</v>
      </c>
      <c r="X70" s="147" t="e">
        <f t="shared" ca="1" si="6"/>
        <v>#NAME?</v>
      </c>
      <c r="Y70" s="147" t="e">
        <f t="shared" ca="1" si="7"/>
        <v>#NAME?</v>
      </c>
      <c r="Z70" s="147"/>
      <c r="AA70" s="147"/>
      <c r="AB70" s="147"/>
      <c r="AC70" s="147"/>
      <c r="AD70" s="147"/>
      <c r="AE70" s="147"/>
      <c r="AF70" s="147"/>
      <c r="AG70" s="147"/>
      <c r="AH70" s="147"/>
      <c r="AI70" s="147"/>
      <c r="AJ70" s="147"/>
      <c r="AK70" s="147"/>
      <c r="AL70" s="147"/>
      <c r="AM70" s="151"/>
      <c r="AN70" s="148" t="str">
        <f ca="1">IFERROR(__xludf.DUMMYFUNCTION("""COMPUTED_VALUE"""),"193490")</f>
        <v>193490</v>
      </c>
      <c r="AO70" s="147" t="str">
        <f t="shared" ca="1" si="8"/>
        <v>GSD</v>
      </c>
      <c r="AP70" s="147" t="e">
        <f t="shared" ca="1" si="9"/>
        <v>#NAME?</v>
      </c>
      <c r="AQ70" s="147" t="str">
        <f t="shared" ca="1" si="10"/>
        <v>POC</v>
      </c>
      <c r="AR70" s="147"/>
      <c r="AS70" s="147"/>
      <c r="AT70" s="147"/>
      <c r="AU70" s="147"/>
      <c r="AV70" s="147"/>
      <c r="AW70" s="147"/>
      <c r="AX70" s="147"/>
      <c r="AY70" s="147"/>
      <c r="AZ70" s="147"/>
      <c r="BA70" s="147"/>
      <c r="BB70" s="147"/>
      <c r="BC70" s="147"/>
      <c r="BD70" s="147"/>
      <c r="BE70" s="147"/>
      <c r="BF70" s="147"/>
      <c r="BG70" s="147"/>
      <c r="BH70" s="147"/>
      <c r="BI70" s="147"/>
      <c r="BJ70" s="147"/>
      <c r="BK70" s="147"/>
      <c r="BL70" s="147"/>
      <c r="BM70" s="147"/>
      <c r="BN70" s="147"/>
      <c r="BO70" s="147"/>
      <c r="BP70" s="147"/>
      <c r="BQ70" s="147"/>
      <c r="BR70" s="147"/>
      <c r="BS70" s="147"/>
      <c r="BT70" s="147"/>
      <c r="BU70" s="147"/>
      <c r="BV70" s="147"/>
      <c r="BW70" s="147"/>
      <c r="BX70" s="147"/>
      <c r="BY70" s="147"/>
      <c r="BZ70" s="147"/>
      <c r="CA70" s="147"/>
      <c r="CB70" s="147"/>
      <c r="CC70" s="147"/>
      <c r="CD70" s="147"/>
      <c r="CE70" s="147"/>
      <c r="CF70" s="147"/>
      <c r="CG70" s="147"/>
      <c r="CH70" s="147"/>
      <c r="CI70" s="147"/>
      <c r="CJ70" s="147"/>
      <c r="CK70" s="147"/>
    </row>
    <row r="71" spans="1:89">
      <c r="A71" s="153" t="s">
        <v>603</v>
      </c>
      <c r="B71" s="154" t="s">
        <v>604</v>
      </c>
      <c r="C71" s="155" t="s">
        <v>58</v>
      </c>
      <c r="D71" s="155" t="s">
        <v>852</v>
      </c>
      <c r="E71" s="154" t="s">
        <v>24</v>
      </c>
      <c r="F71" s="3"/>
      <c r="G71" s="3"/>
      <c r="H71" s="156" t="str">
        <f ca="1">IFERROR(
  _xludf.MINIFS(ATTENDANCE_LOG!$F:$F,
         ATTENDANCE_LOG!$A:$A, C71,
         ATTENDANCE_LOG!$B:$B, E71),
"")</f>
        <v/>
      </c>
      <c r="I71" s="156" t="str">
        <f t="shared" ca="1" si="0"/>
        <v/>
      </c>
      <c r="J71" s="3" t="str">
        <f>IFERROR(VLOOKUP(F71, LEVEL_HELPER!$A:$B, 2, 0), "")</f>
        <v/>
      </c>
      <c r="K71" s="3" t="str">
        <f>IFERROR(VLOOKUP(G71, LEVEL_HELPER!$A:$B, 2, 0), "")</f>
        <v/>
      </c>
      <c r="L71" s="157" t="s">
        <v>942</v>
      </c>
      <c r="M71" s="157" t="s">
        <v>925</v>
      </c>
      <c r="N71" s="3" t="str">
        <f t="array" aca="1" ref="N71" ca="1">IFERROR(
  INDEX($J$2:$J$543,
    MATCH(A71&amp;TEXT(I71,"yyyy-mm-dd"),
          $A$2:$A$543&amp;TEXT($H$2:$H$543,"yyyy-mm-dd"),
          0)),
"")</f>
        <v/>
      </c>
      <c r="O71" s="147" t="str">
        <f t="shared" ca="1" si="1"/>
        <v/>
      </c>
      <c r="P71" s="147">
        <f t="shared" ref="P71:Q71" ca="1" si="80">IF(N71="",0,IF(N71&lt;=2,1,IF(N71&lt;=4,2,IF(N71&lt;=5.5,3,4))))</f>
        <v>0</v>
      </c>
      <c r="Q71" s="147">
        <f t="shared" ca="1" si="80"/>
        <v>0</v>
      </c>
      <c r="R71" s="147" t="str">
        <f t="shared" ca="1" si="3"/>
        <v>Not tested yet</v>
      </c>
      <c r="S71" s="147">
        <f t="shared" si="4"/>
        <v>1</v>
      </c>
      <c r="T71" s="147"/>
      <c r="U71" s="147"/>
      <c r="V71" s="148" t="e">
        <f ca="1"/>
        <v>#NAME?</v>
      </c>
      <c r="W71" s="147" t="e">
        <f t="shared" ca="1" si="5"/>
        <v>#NAME?</v>
      </c>
      <c r="X71" s="147" t="e">
        <f t="shared" ca="1" si="6"/>
        <v>#NAME?</v>
      </c>
      <c r="Y71" s="147" t="e">
        <f t="shared" ca="1" si="7"/>
        <v>#NAME?</v>
      </c>
      <c r="Z71" s="147"/>
      <c r="AA71" s="147"/>
      <c r="AB71" s="147"/>
      <c r="AC71" s="147"/>
      <c r="AD71" s="147"/>
      <c r="AE71" s="147"/>
      <c r="AF71" s="147"/>
      <c r="AG71" s="147"/>
      <c r="AH71" s="147"/>
      <c r="AI71" s="147"/>
      <c r="AJ71" s="147"/>
      <c r="AK71" s="147"/>
      <c r="AL71" s="147"/>
      <c r="AM71" s="151"/>
      <c r="AN71" s="148" t="str">
        <f ca="1">IFERROR(__xludf.DUMMYFUNCTION("""COMPUTED_VALUE"""),"173268")</f>
        <v>173268</v>
      </c>
      <c r="AO71" s="147" t="str">
        <f t="shared" ca="1" si="8"/>
        <v>GSD</v>
      </c>
      <c r="AP71" s="147" t="e">
        <f t="shared" ca="1" si="9"/>
        <v>#NAME?</v>
      </c>
      <c r="AQ71" s="147" t="str">
        <f t="shared" ca="1" si="10"/>
        <v>TBU</v>
      </c>
      <c r="AR71" s="147"/>
      <c r="AS71" s="147"/>
      <c r="AT71" s="147"/>
      <c r="AU71" s="147"/>
      <c r="AV71" s="147"/>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47"/>
      <c r="CJ71" s="147"/>
      <c r="CK71" s="147"/>
    </row>
    <row r="72" spans="1:89">
      <c r="A72" s="159" t="s">
        <v>239</v>
      </c>
      <c r="B72" s="3" t="s">
        <v>240</v>
      </c>
      <c r="C72" s="160" t="s">
        <v>58</v>
      </c>
      <c r="D72" s="160" t="s">
        <v>852</v>
      </c>
      <c r="E72" s="3" t="s">
        <v>24</v>
      </c>
      <c r="F72" s="3"/>
      <c r="G72" s="3"/>
      <c r="H72" s="156" t="str">
        <f ca="1">IFERROR(
  _xludf.MINIFS(ATTENDANCE_LOG!$F:$F,
         ATTENDANCE_LOG!$A:$A, C72,
         ATTENDANCE_LOG!$B:$B, E72),
"")</f>
        <v/>
      </c>
      <c r="I72" s="156" t="str">
        <f t="shared" ca="1" si="0"/>
        <v/>
      </c>
      <c r="J72" s="3" t="str">
        <f>IFERROR(VLOOKUP(F72, LEVEL_HELPER!$A:$B, 2, 0), "")</f>
        <v/>
      </c>
      <c r="K72" s="3" t="str">
        <f>IFERROR(VLOOKUP(G72, LEVEL_HELPER!$A:$B, 2, 0), "")</f>
        <v/>
      </c>
      <c r="L72" s="157" t="s">
        <v>942</v>
      </c>
      <c r="M72" s="157" t="s">
        <v>925</v>
      </c>
      <c r="N72" s="3" t="str">
        <f t="array" aca="1" ref="N72" ca="1">IFERROR(
  INDEX($J$2:$J$543,
    MATCH(A72&amp;TEXT(I72,"yyyy-mm-dd"),
          $A$2:$A$543&amp;TEXT($H$2:$H$543,"yyyy-mm-dd"),
          0)),
"")</f>
        <v/>
      </c>
      <c r="O72" s="147" t="str">
        <f t="shared" ca="1" si="1"/>
        <v/>
      </c>
      <c r="P72" s="147">
        <f t="shared" ref="P72:Q72" ca="1" si="81">IF(N72="",0,IF(N72&lt;=2,1,IF(N72&lt;=4,2,IF(N72&lt;=5.5,3,4))))</f>
        <v>0</v>
      </c>
      <c r="Q72" s="147">
        <f t="shared" ca="1" si="81"/>
        <v>0</v>
      </c>
      <c r="R72" s="147" t="str">
        <f t="shared" ca="1" si="3"/>
        <v>Not tested yet</v>
      </c>
      <c r="S72" s="147">
        <f t="shared" si="4"/>
        <v>1</v>
      </c>
      <c r="T72" s="147"/>
      <c r="U72" s="147"/>
      <c r="V72" s="148" t="e">
        <f ca="1"/>
        <v>#NAME?</v>
      </c>
      <c r="W72" s="147" t="e">
        <f t="shared" ca="1" si="5"/>
        <v>#NAME?</v>
      </c>
      <c r="X72" s="147" t="e">
        <f t="shared" ca="1" si="6"/>
        <v>#NAME?</v>
      </c>
      <c r="Y72" s="147" t="e">
        <f t="shared" ca="1" si="7"/>
        <v>#NAME?</v>
      </c>
      <c r="Z72" s="147"/>
      <c r="AA72" s="147"/>
      <c r="AB72" s="147"/>
      <c r="AC72" s="147"/>
      <c r="AD72" s="147"/>
      <c r="AE72" s="147"/>
      <c r="AF72" s="147"/>
      <c r="AG72" s="147"/>
      <c r="AH72" s="147"/>
      <c r="AI72" s="147"/>
      <c r="AJ72" s="147"/>
      <c r="AK72" s="147"/>
      <c r="AL72" s="147"/>
      <c r="AM72" s="151"/>
      <c r="AN72" s="148" t="str">
        <f ca="1">IFERROR(__xludf.DUMMYFUNCTION("""COMPUTED_VALUE"""),"183379")</f>
        <v>183379</v>
      </c>
      <c r="AO72" s="147" t="str">
        <f t="shared" ca="1" si="8"/>
        <v>DEV</v>
      </c>
      <c r="AP72" s="147" t="e">
        <f t="shared" ca="1" si="9"/>
        <v>#NAME?</v>
      </c>
      <c r="AQ72" s="147" t="str">
        <f t="shared" ca="1" si="10"/>
        <v>ONC</v>
      </c>
      <c r="AR72" s="147"/>
      <c r="AS72" s="147"/>
      <c r="AT72" s="147"/>
      <c r="AU72" s="147"/>
      <c r="AV72" s="147"/>
      <c r="AW72" s="147"/>
      <c r="AX72" s="147"/>
      <c r="AY72" s="147"/>
      <c r="AZ72" s="147"/>
      <c r="BA72" s="147"/>
      <c r="BB72" s="147"/>
      <c r="BC72" s="147"/>
      <c r="BD72" s="147"/>
      <c r="BE72" s="147"/>
      <c r="BF72" s="147"/>
      <c r="BG72" s="147"/>
      <c r="BH72" s="147"/>
      <c r="BI72" s="147"/>
      <c r="BJ72" s="147"/>
      <c r="BK72" s="147"/>
      <c r="BL72" s="147"/>
      <c r="BM72" s="147"/>
      <c r="BN72" s="147"/>
      <c r="BO72" s="147"/>
      <c r="BP72" s="147"/>
      <c r="BQ72" s="147"/>
      <c r="BR72" s="147"/>
      <c r="BS72" s="147"/>
      <c r="BT72" s="147"/>
      <c r="BU72" s="147"/>
      <c r="BV72" s="147"/>
      <c r="BW72" s="147"/>
      <c r="BX72" s="147"/>
      <c r="BY72" s="147"/>
      <c r="BZ72" s="147"/>
      <c r="CA72" s="147"/>
      <c r="CB72" s="147"/>
      <c r="CC72" s="147"/>
      <c r="CD72" s="147"/>
      <c r="CE72" s="147"/>
      <c r="CF72" s="147"/>
      <c r="CG72" s="147"/>
      <c r="CH72" s="147"/>
      <c r="CI72" s="147"/>
      <c r="CJ72" s="147"/>
      <c r="CK72" s="147"/>
    </row>
    <row r="73" spans="1:89">
      <c r="A73" s="159" t="s">
        <v>263</v>
      </c>
      <c r="B73" s="3" t="s">
        <v>264</v>
      </c>
      <c r="C73" s="160" t="s">
        <v>58</v>
      </c>
      <c r="D73" s="160" t="s">
        <v>852</v>
      </c>
      <c r="E73" s="3" t="s">
        <v>24</v>
      </c>
      <c r="F73" s="3"/>
      <c r="G73" s="3"/>
      <c r="H73" s="156" t="str">
        <f ca="1">IFERROR(
  _xludf.MINIFS(ATTENDANCE_LOG!$F:$F,
         ATTENDANCE_LOG!$A:$A, C73,
         ATTENDANCE_LOG!$B:$B, E73),
"")</f>
        <v/>
      </c>
      <c r="I73" s="156" t="str">
        <f t="shared" ca="1" si="0"/>
        <v/>
      </c>
      <c r="J73" s="3" t="str">
        <f>IFERROR(VLOOKUP(F73, LEVEL_HELPER!$A:$B, 2, 0), "")</f>
        <v/>
      </c>
      <c r="K73" s="3" t="str">
        <f>IFERROR(VLOOKUP(G73, LEVEL_HELPER!$A:$B, 2, 0), "")</f>
        <v/>
      </c>
      <c r="L73" s="157" t="s">
        <v>918</v>
      </c>
      <c r="M73" s="157" t="s">
        <v>925</v>
      </c>
      <c r="N73" s="3" t="str">
        <f t="array" aca="1" ref="N73" ca="1">IFERROR(
  INDEX($J$2:$J$543,
    MATCH(A73&amp;TEXT(I73,"yyyy-mm-dd"),
          $A$2:$A$543&amp;TEXT($H$2:$H$543,"yyyy-mm-dd"),
          0)),
"")</f>
        <v/>
      </c>
      <c r="O73" s="147" t="str">
        <f t="shared" ca="1" si="1"/>
        <v/>
      </c>
      <c r="P73" s="147">
        <f t="shared" ref="P73:Q73" ca="1" si="82">IF(N73="",0,IF(N73&lt;=2,1,IF(N73&lt;=4,2,IF(N73&lt;=5.5,3,4))))</f>
        <v>0</v>
      </c>
      <c r="Q73" s="147">
        <f t="shared" ca="1" si="82"/>
        <v>0</v>
      </c>
      <c r="R73" s="147" t="str">
        <f t="shared" ca="1" si="3"/>
        <v>Not tested yet</v>
      </c>
      <c r="S73" s="147">
        <f t="shared" si="4"/>
        <v>1</v>
      </c>
      <c r="T73" s="147"/>
      <c r="U73" s="147"/>
      <c r="V73" s="148" t="e">
        <f ca="1"/>
        <v>#NAME?</v>
      </c>
      <c r="W73" s="147" t="e">
        <f t="shared" ca="1" si="5"/>
        <v>#NAME?</v>
      </c>
      <c r="X73" s="147" t="e">
        <f t="shared" ca="1" si="6"/>
        <v>#NAME?</v>
      </c>
      <c r="Y73" s="147" t="e">
        <f t="shared" ca="1" si="7"/>
        <v>#NAME?</v>
      </c>
      <c r="Z73" s="147"/>
      <c r="AA73" s="147"/>
      <c r="AB73" s="147"/>
      <c r="AC73" s="147"/>
      <c r="AD73" s="147"/>
      <c r="AE73" s="147"/>
      <c r="AF73" s="147"/>
      <c r="AG73" s="147"/>
      <c r="AH73" s="147"/>
      <c r="AI73" s="147"/>
      <c r="AJ73" s="147"/>
      <c r="AK73" s="147"/>
      <c r="AL73" s="147"/>
      <c r="AM73" s="151"/>
      <c r="AN73" s="148" t="str">
        <f ca="1">IFERROR(__xludf.DUMMYFUNCTION("""COMPUTED_VALUE"""),"227101")</f>
        <v>227101</v>
      </c>
      <c r="AO73" s="147" t="str">
        <f t="shared" ca="1" si="8"/>
        <v>DEV</v>
      </c>
      <c r="AP73" s="147" t="e">
        <f t="shared" ca="1" si="9"/>
        <v>#NAME?</v>
      </c>
      <c r="AQ73" s="147" t="str">
        <f t="shared" ca="1" si="10"/>
        <v>ONC</v>
      </c>
      <c r="AR73" s="147"/>
      <c r="AS73" s="147"/>
      <c r="AT73" s="147"/>
      <c r="AU73" s="147"/>
      <c r="AV73" s="147"/>
      <c r="AW73" s="147"/>
      <c r="AX73" s="147"/>
      <c r="AY73" s="147"/>
      <c r="AZ73" s="147"/>
      <c r="BA73" s="147"/>
      <c r="BB73" s="147"/>
      <c r="BC73" s="147"/>
      <c r="BD73" s="147"/>
      <c r="BE73" s="147"/>
      <c r="BF73" s="147"/>
      <c r="BG73" s="147"/>
      <c r="BH73" s="147"/>
      <c r="BI73" s="147"/>
      <c r="BJ73" s="147"/>
      <c r="BK73" s="147"/>
      <c r="BL73" s="147"/>
      <c r="BM73" s="147"/>
      <c r="BN73" s="147"/>
      <c r="BO73" s="147"/>
      <c r="BP73" s="147"/>
      <c r="BQ73" s="147"/>
      <c r="BR73" s="147"/>
      <c r="BS73" s="147"/>
      <c r="BT73" s="147"/>
      <c r="BU73" s="147"/>
      <c r="BV73" s="147"/>
      <c r="BW73" s="147"/>
      <c r="BX73" s="147"/>
      <c r="BY73" s="147"/>
      <c r="BZ73" s="147"/>
      <c r="CA73" s="147"/>
      <c r="CB73" s="147"/>
      <c r="CC73" s="147"/>
      <c r="CD73" s="147"/>
      <c r="CE73" s="147"/>
      <c r="CF73" s="147"/>
      <c r="CG73" s="147"/>
      <c r="CH73" s="147"/>
      <c r="CI73" s="147"/>
      <c r="CJ73" s="147"/>
      <c r="CK73" s="147"/>
    </row>
    <row r="74" spans="1:89">
      <c r="A74" s="159" t="s">
        <v>383</v>
      </c>
      <c r="B74" s="3" t="s">
        <v>384</v>
      </c>
      <c r="C74" s="160" t="s">
        <v>58</v>
      </c>
      <c r="D74" s="160" t="s">
        <v>852</v>
      </c>
      <c r="E74" s="3" t="s">
        <v>24</v>
      </c>
      <c r="F74" s="3"/>
      <c r="G74" s="3"/>
      <c r="H74" s="156" t="str">
        <f ca="1">IFERROR(
  _xludf.MINIFS(ATTENDANCE_LOG!$F:$F,
         ATTENDANCE_LOG!$A:$A, C74,
         ATTENDANCE_LOG!$B:$B, E74),
"")</f>
        <v/>
      </c>
      <c r="I74" s="156" t="str">
        <f t="shared" ca="1" si="0"/>
        <v/>
      </c>
      <c r="J74" s="3" t="str">
        <f>IFERROR(VLOOKUP(F74, LEVEL_HELPER!$A:$B, 2, 0), "")</f>
        <v/>
      </c>
      <c r="K74" s="3" t="str">
        <f>IFERROR(VLOOKUP(G74, LEVEL_HELPER!$A:$B, 2, 0), "")</f>
        <v/>
      </c>
      <c r="L74" s="157" t="s">
        <v>941</v>
      </c>
      <c r="M74" s="157" t="s">
        <v>925</v>
      </c>
      <c r="N74" s="3" t="str">
        <f t="array" aca="1" ref="N74" ca="1">IFERROR(
  INDEX($J$2:$J$543,
    MATCH(A74&amp;TEXT(I74,"yyyy-mm-dd"),
          $A$2:$A$543&amp;TEXT($H$2:$H$543,"yyyy-mm-dd"),
          0)),
"")</f>
        <v/>
      </c>
      <c r="O74" s="147" t="str">
        <f t="shared" ca="1" si="1"/>
        <v/>
      </c>
      <c r="P74" s="147">
        <f t="shared" ref="P74:Q74" ca="1" si="83">IF(N74="",0,IF(N74&lt;=2,1,IF(N74&lt;=4,2,IF(N74&lt;=5.5,3,4))))</f>
        <v>0</v>
      </c>
      <c r="Q74" s="147">
        <f t="shared" ca="1" si="83"/>
        <v>0</v>
      </c>
      <c r="R74" s="147" t="str">
        <f t="shared" ca="1" si="3"/>
        <v>Not tested yet</v>
      </c>
      <c r="S74" s="147">
        <f t="shared" si="4"/>
        <v>1</v>
      </c>
      <c r="T74" s="147"/>
      <c r="U74" s="147"/>
      <c r="V74" s="148" t="e">
        <f ca="1"/>
        <v>#NAME?</v>
      </c>
      <c r="W74" s="147" t="e">
        <f t="shared" ca="1" si="5"/>
        <v>#NAME?</v>
      </c>
      <c r="X74" s="147" t="e">
        <f t="shared" ca="1" si="6"/>
        <v>#NAME?</v>
      </c>
      <c r="Y74" s="147" t="e">
        <f t="shared" ca="1" si="7"/>
        <v>#NAME?</v>
      </c>
      <c r="Z74" s="147"/>
      <c r="AA74" s="147"/>
      <c r="AB74" s="147"/>
      <c r="AC74" s="147"/>
      <c r="AD74" s="147"/>
      <c r="AE74" s="147"/>
      <c r="AF74" s="147"/>
      <c r="AG74" s="147"/>
      <c r="AH74" s="147"/>
      <c r="AI74" s="147"/>
      <c r="AJ74" s="147"/>
      <c r="AK74" s="147"/>
      <c r="AL74" s="147"/>
      <c r="AM74" s="151"/>
      <c r="AN74" s="148" t="str">
        <f ca="1">IFERROR(__xludf.DUMMYFUNCTION("""COMPUTED_VALUE"""),"193495")</f>
        <v>193495</v>
      </c>
      <c r="AO74" s="147" t="str">
        <f t="shared" ca="1" si="8"/>
        <v>DEV</v>
      </c>
      <c r="AP74" s="147" t="e">
        <f t="shared" ca="1" si="9"/>
        <v>#NAME?</v>
      </c>
      <c r="AQ74" s="147" t="str">
        <f t="shared" ca="1" si="10"/>
        <v>CHORUS</v>
      </c>
      <c r="AR74" s="147"/>
      <c r="AS74" s="147"/>
      <c r="AT74" s="147"/>
      <c r="AU74" s="147"/>
      <c r="AV74" s="147"/>
      <c r="AW74" s="147"/>
      <c r="AX74" s="147"/>
      <c r="AY74" s="147"/>
      <c r="AZ74" s="147"/>
      <c r="BA74" s="147"/>
      <c r="BB74" s="147"/>
      <c r="BC74" s="147"/>
      <c r="BD74" s="147"/>
      <c r="BE74" s="147"/>
      <c r="BF74" s="147"/>
      <c r="BG74" s="147"/>
      <c r="BH74" s="147"/>
      <c r="BI74" s="147"/>
      <c r="BJ74" s="147"/>
      <c r="BK74" s="147"/>
      <c r="BL74" s="147"/>
      <c r="BM74" s="147"/>
      <c r="BN74" s="147"/>
      <c r="BO74" s="147"/>
      <c r="BP74" s="147"/>
      <c r="BQ74" s="147"/>
      <c r="BR74" s="147"/>
      <c r="BS74" s="147"/>
      <c r="BT74" s="147"/>
      <c r="BU74" s="147"/>
      <c r="BV74" s="147"/>
      <c r="BW74" s="147"/>
      <c r="BX74" s="147"/>
      <c r="BY74" s="147"/>
      <c r="BZ74" s="147"/>
      <c r="CA74" s="147"/>
      <c r="CB74" s="147"/>
      <c r="CC74" s="147"/>
      <c r="CD74" s="147"/>
      <c r="CE74" s="147"/>
      <c r="CF74" s="147"/>
      <c r="CG74" s="147"/>
      <c r="CH74" s="147"/>
      <c r="CI74" s="147"/>
      <c r="CJ74" s="147"/>
      <c r="CK74" s="147"/>
    </row>
    <row r="75" spans="1:89">
      <c r="A75" s="159" t="s">
        <v>528</v>
      </c>
      <c r="B75" s="3" t="s">
        <v>529</v>
      </c>
      <c r="C75" s="160" t="s">
        <v>58</v>
      </c>
      <c r="D75" s="160" t="s">
        <v>852</v>
      </c>
      <c r="E75" s="3" t="s">
        <v>24</v>
      </c>
      <c r="F75" s="3"/>
      <c r="G75" s="3"/>
      <c r="H75" s="156" t="str">
        <f ca="1">IFERROR(
  _xludf.MINIFS(ATTENDANCE_LOG!$F:$F,
         ATTENDANCE_LOG!$A:$A, C75,
         ATTENDANCE_LOG!$B:$B, E75),
"")</f>
        <v/>
      </c>
      <c r="I75" s="156" t="str">
        <f t="shared" ca="1" si="0"/>
        <v/>
      </c>
      <c r="J75" s="3" t="str">
        <f>IFERROR(VLOOKUP(F75, LEVEL_HELPER!$A:$B, 2, 0), "")</f>
        <v/>
      </c>
      <c r="K75" s="3" t="str">
        <f>IFERROR(VLOOKUP(G75, LEVEL_HELPER!$A:$B, 2, 0), "")</f>
        <v/>
      </c>
      <c r="L75" s="157" t="s">
        <v>942</v>
      </c>
      <c r="M75" s="157" t="s">
        <v>925</v>
      </c>
      <c r="N75" s="3" t="str">
        <f t="array" aca="1" ref="N75" ca="1">IFERROR(
  INDEX($J$2:$J$543,
    MATCH(A75&amp;TEXT(I75,"yyyy-mm-dd"),
          $A$2:$A$543&amp;TEXT($H$2:$H$543,"yyyy-mm-dd"),
          0)),
"")</f>
        <v/>
      </c>
      <c r="O75" s="147" t="str">
        <f t="shared" ca="1" si="1"/>
        <v/>
      </c>
      <c r="P75" s="147">
        <f t="shared" ref="P75:Q75" ca="1" si="84">IF(N75="",0,IF(N75&lt;=2,1,IF(N75&lt;=4,2,IF(N75&lt;=5.5,3,4))))</f>
        <v>0</v>
      </c>
      <c r="Q75" s="147">
        <f t="shared" ca="1" si="84"/>
        <v>0</v>
      </c>
      <c r="R75" s="147" t="str">
        <f t="shared" ca="1" si="3"/>
        <v>Not tested yet</v>
      </c>
      <c r="S75" s="147">
        <f t="shared" si="4"/>
        <v>1</v>
      </c>
      <c r="T75" s="147"/>
      <c r="U75" s="147"/>
      <c r="V75" s="148" t="e">
        <f ca="1"/>
        <v>#NAME?</v>
      </c>
      <c r="W75" s="147" t="e">
        <f t="shared" ca="1" si="5"/>
        <v>#NAME?</v>
      </c>
      <c r="X75" s="147" t="e">
        <f t="shared" ca="1" si="6"/>
        <v>#NAME?</v>
      </c>
      <c r="Y75" s="147" t="e">
        <f t="shared" ca="1" si="7"/>
        <v>#NAME?</v>
      </c>
      <c r="Z75" s="147"/>
      <c r="AA75" s="147"/>
      <c r="AB75" s="147"/>
      <c r="AC75" s="147"/>
      <c r="AD75" s="147"/>
      <c r="AE75" s="147"/>
      <c r="AF75" s="147"/>
      <c r="AG75" s="147"/>
      <c r="AH75" s="147"/>
      <c r="AI75" s="147"/>
      <c r="AJ75" s="147"/>
      <c r="AK75" s="147"/>
      <c r="AL75" s="147"/>
      <c r="AM75" s="151"/>
      <c r="AN75" s="148" t="str">
        <f ca="1">IFERROR(__xludf.DUMMYFUNCTION("""COMPUTED_VALUE"""),"247262")</f>
        <v>247262</v>
      </c>
      <c r="AO75" s="147" t="str">
        <f t="shared" ca="1" si="8"/>
        <v>GSD</v>
      </c>
      <c r="AP75" s="147" t="e">
        <f t="shared" ca="1" si="9"/>
        <v>#NAME?</v>
      </c>
      <c r="AQ75" s="147" t="str">
        <f t="shared" ca="1" si="10"/>
        <v>MOC</v>
      </c>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7"/>
      <c r="CH75" s="147"/>
      <c r="CI75" s="147"/>
      <c r="CJ75" s="147"/>
      <c r="CK75" s="147"/>
    </row>
    <row r="76" spans="1:89">
      <c r="A76" s="159" t="s">
        <v>665</v>
      </c>
      <c r="B76" s="3" t="s">
        <v>666</v>
      </c>
      <c r="C76" s="160" t="s">
        <v>58</v>
      </c>
      <c r="D76" s="160" t="s">
        <v>852</v>
      </c>
      <c r="E76" s="3" t="s">
        <v>24</v>
      </c>
      <c r="F76" s="3"/>
      <c r="G76" s="3"/>
      <c r="H76" s="156" t="str">
        <f ca="1">IFERROR(
  _xludf.MINIFS(ATTENDANCE_LOG!$F:$F,
         ATTENDANCE_LOG!$A:$A, C76,
         ATTENDANCE_LOG!$B:$B, E76),
"")</f>
        <v/>
      </c>
      <c r="I76" s="156" t="str">
        <f t="shared" ca="1" si="0"/>
        <v/>
      </c>
      <c r="J76" s="3" t="str">
        <f>IFERROR(VLOOKUP(F76, LEVEL_HELPER!$A:$B, 2, 0), "")</f>
        <v/>
      </c>
      <c r="K76" s="3" t="str">
        <f>IFERROR(VLOOKUP(G76, LEVEL_HELPER!$A:$B, 2, 0), "")</f>
        <v/>
      </c>
      <c r="L76" s="157" t="s">
        <v>942</v>
      </c>
      <c r="M76" s="157" t="s">
        <v>925</v>
      </c>
      <c r="N76" s="3" t="str">
        <f t="array" aca="1" ref="N76" ca="1">IFERROR(
  INDEX($J$2:$J$543,
    MATCH(A76&amp;TEXT(I76,"yyyy-mm-dd"),
          $A$2:$A$543&amp;TEXT($H$2:$H$543,"yyyy-mm-dd"),
          0)),
"")</f>
        <v/>
      </c>
      <c r="O76" s="147" t="str">
        <f t="shared" ca="1" si="1"/>
        <v/>
      </c>
      <c r="P76" s="147">
        <f t="shared" ref="P76:Q76" ca="1" si="85">IF(N76="",0,IF(N76&lt;=2,1,IF(N76&lt;=4,2,IF(N76&lt;=5.5,3,4))))</f>
        <v>0</v>
      </c>
      <c r="Q76" s="147">
        <f t="shared" ca="1" si="85"/>
        <v>0</v>
      </c>
      <c r="R76" s="147" t="str">
        <f t="shared" ca="1" si="3"/>
        <v>Not tested yet</v>
      </c>
      <c r="S76" s="147">
        <f t="shared" si="4"/>
        <v>1</v>
      </c>
      <c r="T76" s="147"/>
      <c r="U76" s="147"/>
      <c r="V76" s="148" t="e">
        <f ca="1"/>
        <v>#NAME?</v>
      </c>
      <c r="W76" s="147" t="e">
        <f t="shared" ca="1" si="5"/>
        <v>#NAME?</v>
      </c>
      <c r="X76" s="147" t="e">
        <f t="shared" ca="1" si="6"/>
        <v>#NAME?</v>
      </c>
      <c r="Y76" s="147" t="e">
        <f t="shared" ca="1" si="7"/>
        <v>#NAME?</v>
      </c>
      <c r="Z76" s="147"/>
      <c r="AA76" s="147"/>
      <c r="AB76" s="147"/>
      <c r="AC76" s="147"/>
      <c r="AD76" s="147"/>
      <c r="AE76" s="147"/>
      <c r="AF76" s="147"/>
      <c r="AG76" s="147"/>
      <c r="AH76" s="147"/>
      <c r="AI76" s="147"/>
      <c r="AJ76" s="147"/>
      <c r="AK76" s="147"/>
      <c r="AL76" s="147"/>
      <c r="AM76" s="151"/>
      <c r="AN76" s="148" t="str">
        <f ca="1">IFERROR(__xludf.DUMMYFUNCTION("""COMPUTED_VALUE"""),"193516")</f>
        <v>193516</v>
      </c>
      <c r="AO76" s="147" t="str">
        <f t="shared" ca="1" si="8"/>
        <v>DEV</v>
      </c>
      <c r="AP76" s="147" t="e">
        <f t="shared" ca="1" si="9"/>
        <v>#NAME?</v>
      </c>
      <c r="AQ76" s="147" t="str">
        <f t="shared" ca="1" si="10"/>
        <v>ONC</v>
      </c>
      <c r="AR76" s="147"/>
      <c r="AS76" s="147"/>
      <c r="AT76" s="147"/>
      <c r="AU76" s="147"/>
      <c r="AV76" s="147"/>
      <c r="AW76" s="147"/>
      <c r="AX76" s="147"/>
      <c r="AY76" s="147"/>
      <c r="AZ76" s="147"/>
      <c r="BA76" s="147"/>
      <c r="BB76" s="147"/>
      <c r="BC76" s="147"/>
      <c r="BD76" s="147"/>
      <c r="BE76" s="147"/>
      <c r="BF76" s="147"/>
      <c r="BG76" s="147"/>
      <c r="BH76" s="147"/>
      <c r="BI76" s="147"/>
      <c r="BJ76" s="147"/>
      <c r="BK76" s="147"/>
      <c r="BL76" s="147"/>
      <c r="BM76" s="147"/>
      <c r="BN76" s="147"/>
      <c r="BO76" s="147"/>
      <c r="BP76" s="147"/>
      <c r="BQ76" s="147"/>
      <c r="BR76" s="147"/>
      <c r="BS76" s="147"/>
      <c r="BT76" s="147"/>
      <c r="BU76" s="147"/>
      <c r="BV76" s="147"/>
      <c r="BW76" s="147"/>
      <c r="BX76" s="147"/>
      <c r="BY76" s="147"/>
      <c r="BZ76" s="147"/>
      <c r="CA76" s="147"/>
      <c r="CB76" s="147"/>
      <c r="CC76" s="147"/>
      <c r="CD76" s="147"/>
      <c r="CE76" s="147"/>
      <c r="CF76" s="147"/>
      <c r="CG76" s="147"/>
      <c r="CH76" s="147"/>
      <c r="CI76" s="147"/>
      <c r="CJ76" s="147"/>
      <c r="CK76" s="147"/>
    </row>
    <row r="77" spans="1:89">
      <c r="A77" s="153" t="s">
        <v>603</v>
      </c>
      <c r="B77" s="154" t="s">
        <v>604</v>
      </c>
      <c r="C77" s="155" t="s">
        <v>58</v>
      </c>
      <c r="D77" s="155" t="s">
        <v>852</v>
      </c>
      <c r="E77" s="154" t="s">
        <v>21</v>
      </c>
      <c r="F77" s="3" t="s">
        <v>926</v>
      </c>
      <c r="G77" s="3" t="s">
        <v>917</v>
      </c>
      <c r="H77" s="156" t="str">
        <f ca="1">IFERROR(
  _xludf.MINIFS(ATTENDANCE_LOG!$F:$F,
         ATTENDANCE_LOG!$A:$A, C77,
         ATTENDANCE_LOG!$B:$B, E77),
"")</f>
        <v/>
      </c>
      <c r="I77" s="156" t="str">
        <f t="shared" ca="1" si="0"/>
        <v/>
      </c>
      <c r="J77" s="3">
        <f>IFERROR(VLOOKUP(F77, LEVEL_HELPER!$A:$B, 2, 0), "")</f>
        <v>1</v>
      </c>
      <c r="K77" s="3">
        <f>IFERROR(VLOOKUP(G77, LEVEL_HELPER!$A:$B, 2, 0), "")</f>
        <v>3</v>
      </c>
      <c r="L77" s="157" t="s">
        <v>942</v>
      </c>
      <c r="M77" s="157" t="s">
        <v>925</v>
      </c>
      <c r="N77" s="3" t="str">
        <f t="array" aca="1" ref="N77" ca="1">IFERROR(
  INDEX($J$2:$J$543,
    MATCH(A77&amp;TEXT(I77,"yyyy-mm-dd"),
          $A$2:$A$543&amp;TEXT($H$2:$H$543,"yyyy-mm-dd"),
          0)),
"")</f>
        <v/>
      </c>
      <c r="O77" s="147" t="str">
        <f t="shared" ca="1" si="1"/>
        <v/>
      </c>
      <c r="P77" s="147">
        <f t="shared" ref="P77:Q77" ca="1" si="86">IF(N77="",0,IF(N77&lt;=2,1,IF(N77&lt;=4,2,IF(N77&lt;=5.5,3,4))))</f>
        <v>0</v>
      </c>
      <c r="Q77" s="147">
        <f t="shared" ca="1" si="86"/>
        <v>0</v>
      </c>
      <c r="R77" s="147" t="str">
        <f t="shared" ca="1" si="3"/>
        <v>Not tested yet</v>
      </c>
      <c r="S77" s="147">
        <f t="shared" si="4"/>
        <v>0</v>
      </c>
      <c r="T77" s="147"/>
      <c r="U77" s="147"/>
      <c r="V77" s="148" t="e">
        <f ca="1"/>
        <v>#NAME?</v>
      </c>
      <c r="W77" s="147" t="e">
        <f t="shared" ca="1" si="5"/>
        <v>#NAME?</v>
      </c>
      <c r="X77" s="147" t="e">
        <f t="shared" ca="1" si="6"/>
        <v>#NAME?</v>
      </c>
      <c r="Y77" s="147" t="e">
        <f t="shared" ca="1" si="7"/>
        <v>#NAME?</v>
      </c>
      <c r="Z77" s="147"/>
      <c r="AA77" s="147"/>
      <c r="AB77" s="147"/>
      <c r="AC77" s="147"/>
      <c r="AD77" s="147"/>
      <c r="AE77" s="147"/>
      <c r="AF77" s="147"/>
      <c r="AG77" s="147"/>
      <c r="AH77" s="147"/>
      <c r="AI77" s="147"/>
      <c r="AJ77" s="147"/>
      <c r="AK77" s="147"/>
      <c r="AL77" s="147"/>
      <c r="AM77" s="151"/>
      <c r="AN77" s="148" t="str">
        <f ca="1">IFERROR(__xludf.DUMMYFUNCTION("""COMPUTED_VALUE"""),"193526")</f>
        <v>193526</v>
      </c>
      <c r="AO77" s="147" t="str">
        <f t="shared" ca="1" si="8"/>
        <v>DEV</v>
      </c>
      <c r="AP77" s="147" t="e">
        <f t="shared" ca="1" si="9"/>
        <v>#NAME?</v>
      </c>
      <c r="AQ77" s="147" t="str">
        <f t="shared" ca="1" si="10"/>
        <v>TBU</v>
      </c>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7"/>
      <c r="CA77" s="147"/>
      <c r="CB77" s="147"/>
      <c r="CC77" s="147"/>
      <c r="CD77" s="147"/>
      <c r="CE77" s="147"/>
      <c r="CF77" s="147"/>
      <c r="CG77" s="147"/>
      <c r="CH77" s="147"/>
      <c r="CI77" s="147"/>
      <c r="CJ77" s="147"/>
      <c r="CK77" s="147"/>
    </row>
    <row r="78" spans="1:89">
      <c r="A78" s="159" t="s">
        <v>239</v>
      </c>
      <c r="B78" s="3" t="s">
        <v>240</v>
      </c>
      <c r="C78" s="160" t="s">
        <v>58</v>
      </c>
      <c r="D78" s="160" t="s">
        <v>852</v>
      </c>
      <c r="E78" s="3" t="s">
        <v>21</v>
      </c>
      <c r="F78" s="3" t="s">
        <v>926</v>
      </c>
      <c r="G78" s="3" t="s">
        <v>928</v>
      </c>
      <c r="H78" s="156" t="str">
        <f ca="1">IFERROR(
  _xludf.MINIFS(ATTENDANCE_LOG!$F:$F,
         ATTENDANCE_LOG!$A:$A, C78,
         ATTENDANCE_LOG!$B:$B, E78),
"")</f>
        <v/>
      </c>
      <c r="I78" s="156" t="str">
        <f t="shared" ca="1" si="0"/>
        <v/>
      </c>
      <c r="J78" s="3">
        <f>IFERROR(VLOOKUP(F78, LEVEL_HELPER!$A:$B, 2, 0), "")</f>
        <v>1</v>
      </c>
      <c r="K78" s="3">
        <f>IFERROR(VLOOKUP(G78, LEVEL_HELPER!$A:$B, 2, 0), "")</f>
        <v>1.5</v>
      </c>
      <c r="L78" s="157" t="s">
        <v>942</v>
      </c>
      <c r="M78" s="157" t="s">
        <v>925</v>
      </c>
      <c r="N78" s="3" t="str">
        <f t="array" aca="1" ref="N78" ca="1">IFERROR(
  INDEX($J$2:$J$543,
    MATCH(A78&amp;TEXT(I78,"yyyy-mm-dd"),
          $A$2:$A$543&amp;TEXT($H$2:$H$543,"yyyy-mm-dd"),
          0)),
"")</f>
        <v/>
      </c>
      <c r="O78" s="147" t="str">
        <f t="shared" ca="1" si="1"/>
        <v/>
      </c>
      <c r="P78" s="147">
        <f t="shared" ref="P78:Q78" ca="1" si="87">IF(N78="",0,IF(N78&lt;=2,1,IF(N78&lt;=4,2,IF(N78&lt;=5.5,3,4))))</f>
        <v>0</v>
      </c>
      <c r="Q78" s="147">
        <f t="shared" ca="1" si="87"/>
        <v>0</v>
      </c>
      <c r="R78" s="147" t="str">
        <f t="shared" ca="1" si="3"/>
        <v>Not tested yet</v>
      </c>
      <c r="S78" s="147">
        <f t="shared" si="4"/>
        <v>0</v>
      </c>
      <c r="T78" s="147"/>
      <c r="U78" s="147"/>
      <c r="V78" s="148" t="e">
        <f ca="1"/>
        <v>#NAME?</v>
      </c>
      <c r="W78" s="147" t="e">
        <f t="shared" ca="1" si="5"/>
        <v>#NAME?</v>
      </c>
      <c r="X78" s="147" t="e">
        <f t="shared" ca="1" si="6"/>
        <v>#NAME?</v>
      </c>
      <c r="Y78" s="147" t="e">
        <f t="shared" ca="1" si="7"/>
        <v>#NAME?</v>
      </c>
      <c r="Z78" s="147"/>
      <c r="AA78" s="147"/>
      <c r="AB78" s="147"/>
      <c r="AC78" s="147"/>
      <c r="AD78" s="147"/>
      <c r="AE78" s="147"/>
      <c r="AF78" s="147"/>
      <c r="AG78" s="147"/>
      <c r="AH78" s="147"/>
      <c r="AI78" s="147"/>
      <c r="AJ78" s="147"/>
      <c r="AK78" s="147"/>
      <c r="AL78" s="147"/>
      <c r="AM78" s="151"/>
      <c r="AN78" s="148" t="str">
        <f ca="1">IFERROR(__xludf.DUMMYFUNCTION("""COMPUTED_VALUE"""),"247102")</f>
        <v>247102</v>
      </c>
      <c r="AO78" s="147" t="str">
        <f t="shared" ca="1" si="8"/>
        <v>GSD</v>
      </c>
      <c r="AP78" s="147" t="e">
        <f t="shared" ca="1" si="9"/>
        <v>#NAME?</v>
      </c>
      <c r="AQ78" s="147" t="str">
        <f t="shared" ca="1" si="10"/>
        <v>POC</v>
      </c>
      <c r="AR78" s="147"/>
      <c r="AS78" s="147"/>
      <c r="AT78" s="147"/>
      <c r="AU78" s="147"/>
      <c r="AV78" s="147"/>
      <c r="AW78" s="147"/>
      <c r="AX78" s="147"/>
      <c r="AY78" s="147"/>
      <c r="AZ78" s="147"/>
      <c r="BA78" s="147"/>
      <c r="BB78" s="147"/>
      <c r="BC78" s="147"/>
      <c r="BD78" s="147"/>
      <c r="BE78" s="147"/>
      <c r="BF78" s="147"/>
      <c r="BG78" s="147"/>
      <c r="BH78" s="147"/>
      <c r="BI78" s="147"/>
      <c r="BJ78" s="147"/>
      <c r="BK78" s="147"/>
      <c r="BL78" s="147"/>
      <c r="BM78" s="147"/>
      <c r="BN78" s="147"/>
      <c r="BO78" s="147"/>
      <c r="BP78" s="147"/>
      <c r="BQ78" s="147"/>
      <c r="BR78" s="147"/>
      <c r="BS78" s="147"/>
      <c r="BT78" s="147"/>
      <c r="BU78" s="147"/>
      <c r="BV78" s="147"/>
      <c r="BW78" s="147"/>
      <c r="BX78" s="147"/>
      <c r="BY78" s="147"/>
      <c r="BZ78" s="147"/>
      <c r="CA78" s="147"/>
      <c r="CB78" s="147"/>
      <c r="CC78" s="147"/>
      <c r="CD78" s="147"/>
      <c r="CE78" s="147"/>
      <c r="CF78" s="147"/>
      <c r="CG78" s="147"/>
      <c r="CH78" s="147"/>
      <c r="CI78" s="147"/>
      <c r="CJ78" s="147"/>
      <c r="CK78" s="147"/>
    </row>
    <row r="79" spans="1:89">
      <c r="A79" s="159" t="s">
        <v>263</v>
      </c>
      <c r="B79" s="3" t="s">
        <v>264</v>
      </c>
      <c r="C79" s="160" t="s">
        <v>58</v>
      </c>
      <c r="D79" s="160" t="s">
        <v>852</v>
      </c>
      <c r="E79" s="3" t="s">
        <v>21</v>
      </c>
      <c r="F79" s="3" t="s">
        <v>926</v>
      </c>
      <c r="G79" s="3" t="s">
        <v>917</v>
      </c>
      <c r="H79" s="156" t="str">
        <f ca="1">IFERROR(
  _xludf.MINIFS(ATTENDANCE_LOG!$F:$F,
         ATTENDANCE_LOG!$A:$A, C79,
         ATTENDANCE_LOG!$B:$B, E79),
"")</f>
        <v/>
      </c>
      <c r="I79" s="156" t="str">
        <f t="shared" ca="1" si="0"/>
        <v/>
      </c>
      <c r="J79" s="3">
        <f>IFERROR(VLOOKUP(F79, LEVEL_HELPER!$A:$B, 2, 0), "")</f>
        <v>1</v>
      </c>
      <c r="K79" s="3">
        <f>IFERROR(VLOOKUP(G79, LEVEL_HELPER!$A:$B, 2, 0), "")</f>
        <v>3</v>
      </c>
      <c r="L79" s="157" t="s">
        <v>918</v>
      </c>
      <c r="M79" s="157" t="s">
        <v>925</v>
      </c>
      <c r="N79" s="3" t="str">
        <f t="array" aca="1" ref="N79" ca="1">IFERROR(
  INDEX($J$2:$J$543,
    MATCH(A79&amp;TEXT(I79,"yyyy-mm-dd"),
          $A$2:$A$543&amp;TEXT($H$2:$H$543,"yyyy-mm-dd"),
          0)),
"")</f>
        <v/>
      </c>
      <c r="O79" s="147" t="str">
        <f t="shared" ca="1" si="1"/>
        <v/>
      </c>
      <c r="P79" s="147">
        <f t="shared" ref="P79:Q79" ca="1" si="88">IF(N79="",0,IF(N79&lt;=2,1,IF(N79&lt;=4,2,IF(N79&lt;=5.5,3,4))))</f>
        <v>0</v>
      </c>
      <c r="Q79" s="147">
        <f t="shared" ca="1" si="88"/>
        <v>0</v>
      </c>
      <c r="R79" s="147" t="str">
        <f t="shared" ca="1" si="3"/>
        <v>Not tested yet</v>
      </c>
      <c r="S79" s="147">
        <f t="shared" si="4"/>
        <v>0</v>
      </c>
      <c r="T79" s="147"/>
      <c r="U79" s="147"/>
      <c r="V79" s="148" t="e">
        <f ca="1"/>
        <v>#NAME?</v>
      </c>
      <c r="W79" s="147" t="e">
        <f t="shared" ca="1" si="5"/>
        <v>#NAME?</v>
      </c>
      <c r="X79" s="147" t="e">
        <f t="shared" ca="1" si="6"/>
        <v>#NAME?</v>
      </c>
      <c r="Y79" s="147" t="e">
        <f t="shared" ca="1" si="7"/>
        <v>#NAME?</v>
      </c>
      <c r="Z79" s="147"/>
      <c r="AA79" s="147"/>
      <c r="AB79" s="147"/>
      <c r="AC79" s="147"/>
      <c r="AD79" s="147"/>
      <c r="AE79" s="147"/>
      <c r="AF79" s="147"/>
      <c r="AG79" s="147"/>
      <c r="AH79" s="147"/>
      <c r="AI79" s="147"/>
      <c r="AJ79" s="147"/>
      <c r="AK79" s="147"/>
      <c r="AL79" s="147"/>
      <c r="AM79" s="151"/>
      <c r="AN79" s="148" t="str">
        <f ca="1">IFERROR(__xludf.DUMMYFUNCTION("""COMPUTED_VALUE"""),"247234")</f>
        <v>247234</v>
      </c>
      <c r="AO79" s="147" t="str">
        <f t="shared" ca="1" si="8"/>
        <v>QC</v>
      </c>
      <c r="AP79" s="147" t="e">
        <f t="shared" ca="1" si="9"/>
        <v>#NAME?</v>
      </c>
      <c r="AQ79" s="147" t="str">
        <f t="shared" ca="1" si="10"/>
        <v>LBU</v>
      </c>
      <c r="AR79" s="147"/>
      <c r="AS79" s="147"/>
      <c r="AT79" s="147"/>
      <c r="AU79" s="147"/>
      <c r="AV79" s="147"/>
      <c r="AW79" s="147"/>
      <c r="AX79" s="147"/>
      <c r="AY79" s="147"/>
      <c r="AZ79" s="147"/>
      <c r="BA79" s="147"/>
      <c r="BB79" s="147"/>
      <c r="BC79" s="147"/>
      <c r="BD79" s="147"/>
      <c r="BE79" s="147"/>
      <c r="BF79" s="147"/>
      <c r="BG79" s="147"/>
      <c r="BH79" s="147"/>
      <c r="BI79" s="147"/>
      <c r="BJ79" s="147"/>
      <c r="BK79" s="147"/>
      <c r="BL79" s="147"/>
      <c r="BM79" s="147"/>
      <c r="BN79" s="147"/>
      <c r="BO79" s="147"/>
      <c r="BP79" s="147"/>
      <c r="BQ79" s="147"/>
      <c r="BR79" s="147"/>
      <c r="BS79" s="147"/>
      <c r="BT79" s="147"/>
      <c r="BU79" s="147"/>
      <c r="BV79" s="147"/>
      <c r="BW79" s="147"/>
      <c r="BX79" s="147"/>
      <c r="BY79" s="147"/>
      <c r="BZ79" s="147"/>
      <c r="CA79" s="147"/>
      <c r="CB79" s="147"/>
      <c r="CC79" s="147"/>
      <c r="CD79" s="147"/>
      <c r="CE79" s="147"/>
      <c r="CF79" s="147"/>
      <c r="CG79" s="147"/>
      <c r="CH79" s="147"/>
      <c r="CI79" s="147"/>
      <c r="CJ79" s="147"/>
      <c r="CK79" s="147"/>
    </row>
    <row r="80" spans="1:89">
      <c r="A80" s="159" t="s">
        <v>528</v>
      </c>
      <c r="B80" s="3" t="s">
        <v>529</v>
      </c>
      <c r="C80" s="160" t="s">
        <v>58</v>
      </c>
      <c r="D80" s="160" t="s">
        <v>852</v>
      </c>
      <c r="E80" s="3" t="s">
        <v>21</v>
      </c>
      <c r="F80" s="3" t="s">
        <v>926</v>
      </c>
      <c r="G80" s="3" t="s">
        <v>928</v>
      </c>
      <c r="H80" s="156" t="str">
        <f ca="1">IFERROR(
  _xludf.MINIFS(ATTENDANCE_LOG!$F:$F,
         ATTENDANCE_LOG!$A:$A, C80,
         ATTENDANCE_LOG!$B:$B, E80),
"")</f>
        <v/>
      </c>
      <c r="I80" s="156" t="str">
        <f t="shared" ca="1" si="0"/>
        <v/>
      </c>
      <c r="J80" s="3">
        <f>IFERROR(VLOOKUP(F80, LEVEL_HELPER!$A:$B, 2, 0), "")</f>
        <v>1</v>
      </c>
      <c r="K80" s="3">
        <f>IFERROR(VLOOKUP(G80, LEVEL_HELPER!$A:$B, 2, 0), "")</f>
        <v>1.5</v>
      </c>
      <c r="L80" s="157" t="s">
        <v>942</v>
      </c>
      <c r="M80" s="157" t="s">
        <v>925</v>
      </c>
      <c r="N80" s="3" t="str">
        <f t="array" aca="1" ref="N80" ca="1">IFERROR(
  INDEX($J$2:$J$543,
    MATCH(A80&amp;TEXT(I80,"yyyy-mm-dd"),
          $A$2:$A$543&amp;TEXT($H$2:$H$543,"yyyy-mm-dd"),
          0)),
"")</f>
        <v/>
      </c>
      <c r="O80" s="147" t="str">
        <f t="shared" ca="1" si="1"/>
        <v/>
      </c>
      <c r="P80" s="147">
        <f t="shared" ref="P80:Q80" ca="1" si="89">IF(N80="",0,IF(N80&lt;=2,1,IF(N80&lt;=4,2,IF(N80&lt;=5.5,3,4))))</f>
        <v>0</v>
      </c>
      <c r="Q80" s="147">
        <f t="shared" ca="1" si="89"/>
        <v>0</v>
      </c>
      <c r="R80" s="147" t="str">
        <f t="shared" ca="1" si="3"/>
        <v>Not tested yet</v>
      </c>
      <c r="S80" s="147">
        <f t="shared" si="4"/>
        <v>0</v>
      </c>
      <c r="T80" s="147"/>
      <c r="U80" s="147"/>
      <c r="V80" s="148" t="e">
        <f ca="1"/>
        <v>#NAME?</v>
      </c>
      <c r="W80" s="147" t="e">
        <f t="shared" ca="1" si="5"/>
        <v>#NAME?</v>
      </c>
      <c r="X80" s="147" t="e">
        <f t="shared" ca="1" si="6"/>
        <v>#NAME?</v>
      </c>
      <c r="Y80" s="147" t="e">
        <f t="shared" ca="1" si="7"/>
        <v>#NAME?</v>
      </c>
      <c r="Z80" s="147"/>
      <c r="AA80" s="147"/>
      <c r="AB80" s="147"/>
      <c r="AC80" s="147"/>
      <c r="AD80" s="147"/>
      <c r="AE80" s="147"/>
      <c r="AF80" s="147"/>
      <c r="AG80" s="147"/>
      <c r="AH80" s="147"/>
      <c r="AI80" s="147"/>
      <c r="AJ80" s="147"/>
      <c r="AK80" s="147"/>
      <c r="AL80" s="147"/>
      <c r="AM80" s="151"/>
      <c r="AN80" s="148" t="str">
        <f ca="1">IFERROR(__xludf.DUMMYFUNCTION("""COMPUTED_VALUE"""),"193530")</f>
        <v>193530</v>
      </c>
      <c r="AO80" s="147" t="str">
        <f t="shared" ca="1" si="8"/>
        <v>DEV</v>
      </c>
      <c r="AP80" s="147" t="e">
        <f t="shared" ca="1" si="9"/>
        <v>#NAME?</v>
      </c>
      <c r="AQ80" s="147" t="str">
        <f t="shared" ca="1" si="10"/>
        <v>ONC</v>
      </c>
      <c r="AR80" s="147"/>
      <c r="AS80" s="147"/>
      <c r="AT80" s="147"/>
      <c r="AU80" s="147"/>
      <c r="AV80" s="147"/>
      <c r="AW80" s="147"/>
      <c r="AX80" s="147"/>
      <c r="AY80" s="147"/>
      <c r="AZ80" s="147"/>
      <c r="BA80" s="147"/>
      <c r="BB80" s="147"/>
      <c r="BC80" s="147"/>
      <c r="BD80" s="147"/>
      <c r="BE80" s="147"/>
      <c r="BF80" s="147"/>
      <c r="BG80" s="147"/>
      <c r="BH80" s="147"/>
      <c r="BI80" s="147"/>
      <c r="BJ80" s="147"/>
      <c r="BK80" s="147"/>
      <c r="BL80" s="147"/>
      <c r="BM80" s="147"/>
      <c r="BN80" s="147"/>
      <c r="BO80" s="147"/>
      <c r="BP80" s="147"/>
      <c r="BQ80" s="147"/>
      <c r="BR80" s="147"/>
      <c r="BS80" s="147"/>
      <c r="BT80" s="147"/>
      <c r="BU80" s="147"/>
      <c r="BV80" s="147"/>
      <c r="BW80" s="147"/>
      <c r="BX80" s="147"/>
      <c r="BY80" s="147"/>
      <c r="BZ80" s="147"/>
      <c r="CA80" s="147"/>
      <c r="CB80" s="147"/>
      <c r="CC80" s="147"/>
      <c r="CD80" s="147"/>
      <c r="CE80" s="147"/>
      <c r="CF80" s="147"/>
      <c r="CG80" s="147"/>
      <c r="CH80" s="147"/>
      <c r="CI80" s="147"/>
      <c r="CJ80" s="147"/>
      <c r="CK80" s="147"/>
    </row>
    <row r="81" spans="1:89">
      <c r="A81" s="159" t="s">
        <v>665</v>
      </c>
      <c r="B81" s="3" t="s">
        <v>666</v>
      </c>
      <c r="C81" s="160" t="s">
        <v>58</v>
      </c>
      <c r="D81" s="160" t="s">
        <v>852</v>
      </c>
      <c r="E81" s="3" t="s">
        <v>21</v>
      </c>
      <c r="F81" s="3" t="s">
        <v>926</v>
      </c>
      <c r="G81" s="3" t="s">
        <v>934</v>
      </c>
      <c r="H81" s="156" t="str">
        <f ca="1">IFERROR(
  _xludf.MINIFS(ATTENDANCE_LOG!$F:$F,
         ATTENDANCE_LOG!$A:$A, C81,
         ATTENDANCE_LOG!$B:$B, E81),
"")</f>
        <v/>
      </c>
      <c r="I81" s="156" t="str">
        <f t="shared" ca="1" si="0"/>
        <v/>
      </c>
      <c r="J81" s="3">
        <f>IFERROR(VLOOKUP(F81, LEVEL_HELPER!$A:$B, 2, 0), "")</f>
        <v>1</v>
      </c>
      <c r="K81" s="3">
        <f>IFERROR(VLOOKUP(G81, LEVEL_HELPER!$A:$B, 2, 0), "")</f>
        <v>3.5</v>
      </c>
      <c r="L81" s="157" t="s">
        <v>942</v>
      </c>
      <c r="M81" s="157" t="s">
        <v>925</v>
      </c>
      <c r="N81" s="3" t="str">
        <f t="array" aca="1" ref="N81" ca="1">IFERROR(
  INDEX($J$2:$J$543,
    MATCH(A81&amp;TEXT(I81,"yyyy-mm-dd"),
          $A$2:$A$543&amp;TEXT($H$2:$H$543,"yyyy-mm-dd"),
          0)),
"")</f>
        <v/>
      </c>
      <c r="O81" s="147" t="str">
        <f t="shared" ca="1" si="1"/>
        <v/>
      </c>
      <c r="P81" s="147">
        <f t="shared" ref="P81:Q81" ca="1" si="90">IF(N81="",0,IF(N81&lt;=2,1,IF(N81&lt;=4,2,IF(N81&lt;=5.5,3,4))))</f>
        <v>0</v>
      </c>
      <c r="Q81" s="147">
        <f t="shared" ca="1" si="90"/>
        <v>0</v>
      </c>
      <c r="R81" s="147" t="str">
        <f t="shared" ca="1" si="3"/>
        <v>Not tested yet</v>
      </c>
      <c r="S81" s="147">
        <f t="shared" si="4"/>
        <v>0</v>
      </c>
      <c r="T81" s="147"/>
      <c r="U81" s="147"/>
      <c r="V81" s="148" t="e">
        <f ca="1"/>
        <v>#NAME?</v>
      </c>
      <c r="W81" s="147" t="e">
        <f t="shared" ca="1" si="5"/>
        <v>#NAME?</v>
      </c>
      <c r="X81" s="147" t="e">
        <f t="shared" ca="1" si="6"/>
        <v>#NAME?</v>
      </c>
      <c r="Y81" s="147" t="e">
        <f t="shared" ca="1" si="7"/>
        <v>#NAME?</v>
      </c>
      <c r="Z81" s="147"/>
      <c r="AA81" s="147"/>
      <c r="AB81" s="147"/>
      <c r="AC81" s="147"/>
      <c r="AD81" s="147"/>
      <c r="AE81" s="147"/>
      <c r="AF81" s="147"/>
      <c r="AG81" s="147"/>
      <c r="AH81" s="147"/>
      <c r="AI81" s="147"/>
      <c r="AJ81" s="147"/>
      <c r="AK81" s="147"/>
      <c r="AL81" s="147"/>
      <c r="AM81" s="151"/>
      <c r="AN81" s="148" t="str">
        <f ca="1">IFERROR(__xludf.DUMMYFUNCTION("""COMPUTED_VALUE"""),"203764")</f>
        <v>203764</v>
      </c>
      <c r="AO81" s="147" t="str">
        <f t="shared" ca="1" si="8"/>
        <v>DEV</v>
      </c>
      <c r="AP81" s="147" t="e">
        <f t="shared" ca="1" si="9"/>
        <v>#NAME?</v>
      </c>
      <c r="AQ81" s="147" t="str">
        <f t="shared" ca="1" si="10"/>
        <v>MOC</v>
      </c>
      <c r="AR81" s="147"/>
      <c r="AS81" s="147"/>
      <c r="AT81" s="147"/>
      <c r="AU81" s="147"/>
      <c r="AV81" s="147"/>
      <c r="AW81" s="147"/>
      <c r="AX81" s="147"/>
      <c r="AY81" s="147"/>
      <c r="AZ81" s="147"/>
      <c r="BA81" s="147"/>
      <c r="BB81" s="147"/>
      <c r="BC81" s="147"/>
      <c r="BD81" s="147"/>
      <c r="BE81" s="147"/>
      <c r="BF81" s="147"/>
      <c r="BG81" s="147"/>
      <c r="BH81" s="147"/>
      <c r="BI81" s="147"/>
      <c r="BJ81" s="147"/>
      <c r="BK81" s="147"/>
      <c r="BL81" s="147"/>
      <c r="BM81" s="147"/>
      <c r="BN81" s="147"/>
      <c r="BO81" s="147"/>
      <c r="BP81" s="147"/>
      <c r="BQ81" s="147"/>
      <c r="BR81" s="147"/>
      <c r="BS81" s="147"/>
      <c r="BT81" s="147"/>
      <c r="BU81" s="147"/>
      <c r="BV81" s="147"/>
      <c r="BW81" s="147"/>
      <c r="BX81" s="147"/>
      <c r="BY81" s="147"/>
      <c r="BZ81" s="147"/>
      <c r="CA81" s="147"/>
      <c r="CB81" s="147"/>
      <c r="CC81" s="147"/>
      <c r="CD81" s="147"/>
      <c r="CE81" s="147"/>
      <c r="CF81" s="147"/>
      <c r="CG81" s="147"/>
      <c r="CH81" s="147"/>
      <c r="CI81" s="147"/>
      <c r="CJ81" s="147"/>
      <c r="CK81" s="147"/>
    </row>
    <row r="82" spans="1:89">
      <c r="A82" s="153" t="s">
        <v>603</v>
      </c>
      <c r="B82" s="154" t="s">
        <v>604</v>
      </c>
      <c r="C82" s="155" t="s">
        <v>58</v>
      </c>
      <c r="D82" s="155" t="s">
        <v>852</v>
      </c>
      <c r="E82" s="154" t="s">
        <v>22</v>
      </c>
      <c r="F82" s="3" t="s">
        <v>917</v>
      </c>
      <c r="G82" s="3" t="s">
        <v>940</v>
      </c>
      <c r="H82" s="156" t="str">
        <f ca="1">IFERROR(
  _xludf.MINIFS(ATTENDANCE_LOG!$F:$F,
         ATTENDANCE_LOG!$A:$A, C82,
         ATTENDANCE_LOG!$B:$B, E82),
"")</f>
        <v/>
      </c>
      <c r="I82" s="156" t="str">
        <f t="shared" ca="1" si="0"/>
        <v/>
      </c>
      <c r="J82" s="3">
        <f>IFERROR(VLOOKUP(F82, LEVEL_HELPER!$A:$B, 2, 0), "")</f>
        <v>3</v>
      </c>
      <c r="K82" s="3">
        <f>IFERROR(VLOOKUP(G82, LEVEL_HELPER!$A:$B, 2, 0), "")</f>
        <v>5</v>
      </c>
      <c r="L82" s="157" t="s">
        <v>942</v>
      </c>
      <c r="M82" s="157" t="s">
        <v>925</v>
      </c>
      <c r="N82" s="3" t="str">
        <f t="array" aca="1" ref="N82" ca="1">IFERROR(
  INDEX($J$2:$J$543,
    MATCH(A82&amp;TEXT(I82,"yyyy-mm-dd"),
          $A$2:$A$543&amp;TEXT($H$2:$H$543,"yyyy-mm-dd"),
          0)),
"")</f>
        <v/>
      </c>
      <c r="O82" s="147" t="str">
        <f t="shared" ca="1" si="1"/>
        <v/>
      </c>
      <c r="P82" s="147">
        <f t="shared" ref="P82:Q82" ca="1" si="91">IF(N82="",0,IF(N82&lt;=2,1,IF(N82&lt;=4,2,IF(N82&lt;=5.5,3,4))))</f>
        <v>0</v>
      </c>
      <c r="Q82" s="147">
        <f t="shared" ca="1" si="91"/>
        <v>0</v>
      </c>
      <c r="R82" s="147" t="str">
        <f t="shared" ca="1" si="3"/>
        <v>Not tested yet</v>
      </c>
      <c r="S82" s="147">
        <f t="shared" si="4"/>
        <v>0</v>
      </c>
      <c r="T82" s="147"/>
      <c r="U82" s="147"/>
      <c r="V82" s="148" t="e">
        <f ca="1"/>
        <v>#NAME?</v>
      </c>
      <c r="W82" s="147" t="e">
        <f t="shared" ca="1" si="5"/>
        <v>#NAME?</v>
      </c>
      <c r="X82" s="147" t="e">
        <f t="shared" ca="1" si="6"/>
        <v>#NAME?</v>
      </c>
      <c r="Y82" s="147" t="e">
        <f t="shared" ca="1" si="7"/>
        <v>#NAME?</v>
      </c>
      <c r="Z82" s="147"/>
      <c r="AA82" s="147"/>
      <c r="AB82" s="147"/>
      <c r="AC82" s="147"/>
      <c r="AD82" s="147"/>
      <c r="AE82" s="147"/>
      <c r="AF82" s="147"/>
      <c r="AG82" s="147"/>
      <c r="AH82" s="147"/>
      <c r="AI82" s="147"/>
      <c r="AJ82" s="147"/>
      <c r="AK82" s="147"/>
      <c r="AL82" s="147"/>
      <c r="AM82" s="151"/>
      <c r="AN82" s="148" t="str">
        <f ca="1">IFERROR(__xludf.DUMMYFUNCTION("""COMPUTED_VALUE"""),"237147")</f>
        <v>237147</v>
      </c>
      <c r="AO82" s="147" t="str">
        <f t="shared" ca="1" si="8"/>
        <v>GSD</v>
      </c>
      <c r="AP82" s="147" t="e">
        <f t="shared" ca="1" si="9"/>
        <v>#NAME?</v>
      </c>
      <c r="AQ82" s="147" t="str">
        <f t="shared" ca="1" si="10"/>
        <v>MOC</v>
      </c>
      <c r="AR82" s="147"/>
      <c r="AS82" s="147"/>
      <c r="AT82" s="147"/>
      <c r="AU82" s="147"/>
      <c r="AV82" s="147"/>
      <c r="AW82" s="147"/>
      <c r="AX82" s="147"/>
      <c r="AY82" s="147"/>
      <c r="AZ82" s="147"/>
      <c r="BA82" s="147"/>
      <c r="BB82" s="147"/>
      <c r="BC82" s="147"/>
      <c r="BD82" s="147"/>
      <c r="BE82" s="147"/>
      <c r="BF82" s="147"/>
      <c r="BG82" s="147"/>
      <c r="BH82" s="147"/>
      <c r="BI82" s="147"/>
      <c r="BJ82" s="147"/>
      <c r="BK82" s="147"/>
      <c r="BL82" s="147"/>
      <c r="BM82" s="147"/>
      <c r="BN82" s="147"/>
      <c r="BO82" s="147"/>
      <c r="BP82" s="147"/>
      <c r="BQ82" s="147"/>
      <c r="BR82" s="147"/>
      <c r="BS82" s="147"/>
      <c r="BT82" s="147"/>
      <c r="BU82" s="147"/>
      <c r="BV82" s="147"/>
      <c r="BW82" s="147"/>
      <c r="BX82" s="147"/>
      <c r="BY82" s="147"/>
      <c r="BZ82" s="147"/>
      <c r="CA82" s="147"/>
      <c r="CB82" s="147"/>
      <c r="CC82" s="147"/>
      <c r="CD82" s="147"/>
      <c r="CE82" s="147"/>
      <c r="CF82" s="147"/>
      <c r="CG82" s="147"/>
      <c r="CH82" s="147"/>
      <c r="CI82" s="147"/>
      <c r="CJ82" s="147"/>
      <c r="CK82" s="147"/>
    </row>
    <row r="83" spans="1:89">
      <c r="A83" s="159" t="s">
        <v>239</v>
      </c>
      <c r="B83" s="3" t="s">
        <v>240</v>
      </c>
      <c r="C83" s="160" t="s">
        <v>58</v>
      </c>
      <c r="D83" s="160" t="s">
        <v>852</v>
      </c>
      <c r="E83" s="3" t="s">
        <v>22</v>
      </c>
      <c r="F83" s="3" t="s">
        <v>928</v>
      </c>
      <c r="G83" s="3" t="s">
        <v>940</v>
      </c>
      <c r="H83" s="156" t="str">
        <f ca="1">IFERROR(
  _xludf.MINIFS(ATTENDANCE_LOG!$F:$F,
         ATTENDANCE_LOG!$A:$A, C83,
         ATTENDANCE_LOG!$B:$B, E83),
"")</f>
        <v/>
      </c>
      <c r="I83" s="156" t="str">
        <f t="shared" ca="1" si="0"/>
        <v/>
      </c>
      <c r="J83" s="3">
        <f>IFERROR(VLOOKUP(F83, LEVEL_HELPER!$A:$B, 2, 0), "")</f>
        <v>1.5</v>
      </c>
      <c r="K83" s="3">
        <f>IFERROR(VLOOKUP(G83, LEVEL_HELPER!$A:$B, 2, 0), "")</f>
        <v>5</v>
      </c>
      <c r="L83" s="157" t="s">
        <v>942</v>
      </c>
      <c r="M83" s="157" t="s">
        <v>925</v>
      </c>
      <c r="N83" s="3" t="str">
        <f t="array" aca="1" ref="N83" ca="1">IFERROR(
  INDEX($J$2:$J$543,
    MATCH(A83&amp;TEXT(I83,"yyyy-mm-dd"),
          $A$2:$A$543&amp;TEXT($H$2:$H$543,"yyyy-mm-dd"),
          0)),
"")</f>
        <v/>
      </c>
      <c r="O83" s="147" t="str">
        <f t="shared" ca="1" si="1"/>
        <v/>
      </c>
      <c r="P83" s="147">
        <f t="shared" ref="P83:Q83" ca="1" si="92">IF(N83="",0,IF(N83&lt;=2,1,IF(N83&lt;=4,2,IF(N83&lt;=5.5,3,4))))</f>
        <v>0</v>
      </c>
      <c r="Q83" s="147">
        <f t="shared" ca="1" si="92"/>
        <v>0</v>
      </c>
      <c r="R83" s="147" t="str">
        <f t="shared" ca="1" si="3"/>
        <v>Not tested yet</v>
      </c>
      <c r="S83" s="147">
        <f t="shared" si="4"/>
        <v>0</v>
      </c>
      <c r="T83" s="147"/>
      <c r="U83" s="147"/>
      <c r="V83" s="148" t="e">
        <f ca="1"/>
        <v>#NAME?</v>
      </c>
      <c r="W83" s="147" t="e">
        <f t="shared" ca="1" si="5"/>
        <v>#NAME?</v>
      </c>
      <c r="X83" s="147" t="e">
        <f t="shared" ca="1" si="6"/>
        <v>#NAME?</v>
      </c>
      <c r="Y83" s="147" t="e">
        <f t="shared" ca="1" si="7"/>
        <v>#NAME?</v>
      </c>
      <c r="Z83" s="147"/>
      <c r="AA83" s="147"/>
      <c r="AB83" s="147"/>
      <c r="AC83" s="147"/>
      <c r="AD83" s="147"/>
      <c r="AE83" s="147"/>
      <c r="AF83" s="147"/>
      <c r="AG83" s="147"/>
      <c r="AH83" s="147"/>
      <c r="AI83" s="147"/>
      <c r="AJ83" s="147"/>
      <c r="AK83" s="147"/>
      <c r="AL83" s="147"/>
      <c r="AM83" s="151"/>
      <c r="AN83" s="148" t="str">
        <f ca="1">IFERROR(__xludf.DUMMYFUNCTION("""COMPUTED_VALUE"""),"257132")</f>
        <v>257132</v>
      </c>
      <c r="AO83" s="147" t="str">
        <f t="shared" ca="1" si="8"/>
        <v>QC</v>
      </c>
      <c r="AP83" s="147" t="e">
        <f t="shared" ca="1" si="9"/>
        <v>#NAME?</v>
      </c>
      <c r="AQ83" s="147" t="str">
        <f t="shared" ca="1" si="10"/>
        <v>ONC</v>
      </c>
      <c r="AR83" s="147"/>
      <c r="AS83" s="147"/>
      <c r="AT83" s="147"/>
      <c r="AU83" s="147"/>
      <c r="AV83" s="147"/>
      <c r="AW83" s="147"/>
      <c r="AX83" s="147"/>
      <c r="AY83" s="147"/>
      <c r="AZ83" s="147"/>
      <c r="BA83" s="147"/>
      <c r="BB83" s="147"/>
      <c r="BC83" s="147"/>
      <c r="BD83" s="147"/>
      <c r="BE83" s="147"/>
      <c r="BF83" s="147"/>
      <c r="BG83" s="147"/>
      <c r="BH83" s="147"/>
      <c r="BI83" s="147"/>
      <c r="BJ83" s="147"/>
      <c r="BK83" s="147"/>
      <c r="BL83" s="147"/>
      <c r="BM83" s="147"/>
      <c r="BN83" s="147"/>
      <c r="BO83" s="147"/>
      <c r="BP83" s="147"/>
      <c r="BQ83" s="147"/>
      <c r="BR83" s="147"/>
      <c r="BS83" s="147"/>
      <c r="BT83" s="147"/>
      <c r="BU83" s="147"/>
      <c r="BV83" s="147"/>
      <c r="BW83" s="147"/>
      <c r="BX83" s="147"/>
      <c r="BY83" s="147"/>
      <c r="BZ83" s="147"/>
      <c r="CA83" s="147"/>
      <c r="CB83" s="147"/>
      <c r="CC83" s="147"/>
      <c r="CD83" s="147"/>
      <c r="CE83" s="147"/>
      <c r="CF83" s="147"/>
      <c r="CG83" s="147"/>
      <c r="CH83" s="147"/>
      <c r="CI83" s="147"/>
      <c r="CJ83" s="147"/>
      <c r="CK83" s="147"/>
    </row>
    <row r="84" spans="1:89">
      <c r="A84" s="159" t="s">
        <v>263</v>
      </c>
      <c r="B84" s="3" t="s">
        <v>264</v>
      </c>
      <c r="C84" s="160" t="s">
        <v>58</v>
      </c>
      <c r="D84" s="160" t="s">
        <v>852</v>
      </c>
      <c r="E84" s="3" t="s">
        <v>22</v>
      </c>
      <c r="F84" s="3" t="s">
        <v>917</v>
      </c>
      <c r="G84" s="3" t="s">
        <v>931</v>
      </c>
      <c r="H84" s="156" t="str">
        <f ca="1">IFERROR(
  _xludf.MINIFS(ATTENDANCE_LOG!$F:$F,
         ATTENDANCE_LOG!$A:$A, C84,
         ATTENDANCE_LOG!$B:$B, E84),
"")</f>
        <v/>
      </c>
      <c r="I84" s="156" t="str">
        <f t="shared" ca="1" si="0"/>
        <v/>
      </c>
      <c r="J84" s="3">
        <f>IFERROR(VLOOKUP(F84, LEVEL_HELPER!$A:$B, 2, 0), "")</f>
        <v>3</v>
      </c>
      <c r="K84" s="3">
        <f>IFERROR(VLOOKUP(G84, LEVEL_HELPER!$A:$B, 2, 0), "")</f>
        <v>4.5</v>
      </c>
      <c r="L84" s="157" t="s">
        <v>918</v>
      </c>
      <c r="M84" s="157" t="s">
        <v>925</v>
      </c>
      <c r="N84" s="3" t="str">
        <f t="array" aca="1" ref="N84" ca="1">IFERROR(
  INDEX($J$2:$J$543,
    MATCH(A84&amp;TEXT(I84,"yyyy-mm-dd"),
          $A$2:$A$543&amp;TEXT($H$2:$H$543,"yyyy-mm-dd"),
          0)),
"")</f>
        <v/>
      </c>
      <c r="O84" s="147" t="str">
        <f t="shared" ca="1" si="1"/>
        <v/>
      </c>
      <c r="P84" s="147">
        <f t="shared" ref="P84:Q84" ca="1" si="93">IF(N84="",0,IF(N84&lt;=2,1,IF(N84&lt;=4,2,IF(N84&lt;=5.5,3,4))))</f>
        <v>0</v>
      </c>
      <c r="Q84" s="147">
        <f t="shared" ca="1" si="93"/>
        <v>0</v>
      </c>
      <c r="R84" s="147" t="str">
        <f t="shared" ca="1" si="3"/>
        <v>Not tested yet</v>
      </c>
      <c r="S84" s="147">
        <f t="shared" si="4"/>
        <v>0</v>
      </c>
      <c r="T84" s="147"/>
      <c r="U84" s="147"/>
      <c r="V84" s="148" t="e">
        <f ca="1"/>
        <v>#NAME?</v>
      </c>
      <c r="W84" s="147" t="e">
        <f t="shared" ca="1" si="5"/>
        <v>#NAME?</v>
      </c>
      <c r="X84" s="147" t="e">
        <f t="shared" ca="1" si="6"/>
        <v>#NAME?</v>
      </c>
      <c r="Y84" s="147" t="e">
        <f t="shared" ca="1" si="7"/>
        <v>#NAME?</v>
      </c>
      <c r="Z84" s="147"/>
      <c r="AA84" s="147"/>
      <c r="AB84" s="147"/>
      <c r="AC84" s="147"/>
      <c r="AD84" s="147"/>
      <c r="AE84" s="147"/>
      <c r="AF84" s="147"/>
      <c r="AG84" s="147"/>
      <c r="AH84" s="147"/>
      <c r="AI84" s="147"/>
      <c r="AJ84" s="147"/>
      <c r="AK84" s="147"/>
      <c r="AL84" s="147"/>
      <c r="AM84" s="151"/>
      <c r="AN84" s="148" t="str">
        <f ca="1">IFERROR(__xludf.DUMMYFUNCTION("""COMPUTED_VALUE"""),"237050")</f>
        <v>237050</v>
      </c>
      <c r="AO84" s="147" t="str">
        <f t="shared" ca="1" si="8"/>
        <v>QC</v>
      </c>
      <c r="AP84" s="147" t="e">
        <f t="shared" ca="1" si="9"/>
        <v>#NAME?</v>
      </c>
      <c r="AQ84" s="147" t="str">
        <f t="shared" ca="1" si="10"/>
        <v>POC</v>
      </c>
      <c r="AR84" s="147"/>
      <c r="AS84" s="147"/>
      <c r="AT84" s="147"/>
      <c r="AU84" s="147"/>
      <c r="AV84" s="147"/>
      <c r="AW84" s="147"/>
      <c r="AX84" s="147"/>
      <c r="AY84" s="147"/>
      <c r="AZ84" s="147"/>
      <c r="BA84" s="147"/>
      <c r="BB84" s="147"/>
      <c r="BC84" s="147"/>
      <c r="BD84" s="147"/>
      <c r="BE84" s="147"/>
      <c r="BF84" s="147"/>
      <c r="BG84" s="147"/>
      <c r="BH84" s="147"/>
      <c r="BI84" s="147"/>
      <c r="BJ84" s="147"/>
      <c r="BK84" s="147"/>
      <c r="BL84" s="147"/>
      <c r="BM84" s="147"/>
      <c r="BN84" s="147"/>
      <c r="BO84" s="147"/>
      <c r="BP84" s="147"/>
      <c r="BQ84" s="147"/>
      <c r="BR84" s="147"/>
      <c r="BS84" s="147"/>
      <c r="BT84" s="147"/>
      <c r="BU84" s="147"/>
      <c r="BV84" s="147"/>
      <c r="BW84" s="147"/>
      <c r="BX84" s="147"/>
      <c r="BY84" s="147"/>
      <c r="BZ84" s="147"/>
      <c r="CA84" s="147"/>
      <c r="CB84" s="147"/>
      <c r="CC84" s="147"/>
      <c r="CD84" s="147"/>
      <c r="CE84" s="147"/>
      <c r="CF84" s="147"/>
      <c r="CG84" s="147"/>
      <c r="CH84" s="147"/>
      <c r="CI84" s="147"/>
      <c r="CJ84" s="147"/>
      <c r="CK84" s="147"/>
    </row>
    <row r="85" spans="1:89">
      <c r="A85" s="159" t="s">
        <v>528</v>
      </c>
      <c r="B85" s="3" t="s">
        <v>529</v>
      </c>
      <c r="C85" s="160" t="s">
        <v>58</v>
      </c>
      <c r="D85" s="160" t="s">
        <v>852</v>
      </c>
      <c r="E85" s="3" t="s">
        <v>22</v>
      </c>
      <c r="F85" s="3" t="s">
        <v>928</v>
      </c>
      <c r="G85" s="3" t="s">
        <v>940</v>
      </c>
      <c r="H85" s="156" t="str">
        <f ca="1">IFERROR(
  _xludf.MINIFS(ATTENDANCE_LOG!$F:$F,
         ATTENDANCE_LOG!$A:$A, C85,
         ATTENDANCE_LOG!$B:$B, E85),
"")</f>
        <v/>
      </c>
      <c r="I85" s="156" t="str">
        <f t="shared" ca="1" si="0"/>
        <v/>
      </c>
      <c r="J85" s="3">
        <f>IFERROR(VLOOKUP(F85, LEVEL_HELPER!$A:$B, 2, 0), "")</f>
        <v>1.5</v>
      </c>
      <c r="K85" s="3">
        <f>IFERROR(VLOOKUP(G85, LEVEL_HELPER!$A:$B, 2, 0), "")</f>
        <v>5</v>
      </c>
      <c r="L85" s="157" t="s">
        <v>942</v>
      </c>
      <c r="M85" s="157" t="s">
        <v>925</v>
      </c>
      <c r="N85" s="3" t="str">
        <f t="array" aca="1" ref="N85" ca="1">IFERROR(
  INDEX($J$2:$J$543,
    MATCH(A85&amp;TEXT(I85,"yyyy-mm-dd"),
          $A$2:$A$543&amp;TEXT($H$2:$H$543,"yyyy-mm-dd"),
          0)),
"")</f>
        <v/>
      </c>
      <c r="O85" s="147" t="str">
        <f t="shared" ca="1" si="1"/>
        <v/>
      </c>
      <c r="P85" s="147">
        <f t="shared" ref="P85:Q85" ca="1" si="94">IF(N85="",0,IF(N85&lt;=2,1,IF(N85&lt;=4,2,IF(N85&lt;=5.5,3,4))))</f>
        <v>0</v>
      </c>
      <c r="Q85" s="147">
        <f t="shared" ca="1" si="94"/>
        <v>0</v>
      </c>
      <c r="R85" s="147" t="str">
        <f t="shared" ca="1" si="3"/>
        <v>Not tested yet</v>
      </c>
      <c r="S85" s="147">
        <f t="shared" si="4"/>
        <v>0</v>
      </c>
      <c r="T85" s="147"/>
      <c r="U85" s="147"/>
      <c r="V85" s="148" t="e">
        <f ca="1"/>
        <v>#NAME?</v>
      </c>
      <c r="W85" s="147" t="e">
        <f t="shared" ca="1" si="5"/>
        <v>#NAME?</v>
      </c>
      <c r="X85" s="147" t="e">
        <f t="shared" ca="1" si="6"/>
        <v>#NAME?</v>
      </c>
      <c r="Y85" s="147" t="e">
        <f t="shared" ca="1" si="7"/>
        <v>#NAME?</v>
      </c>
      <c r="Z85" s="147"/>
      <c r="AA85" s="147"/>
      <c r="AB85" s="147"/>
      <c r="AC85" s="147"/>
      <c r="AD85" s="147"/>
      <c r="AE85" s="147"/>
      <c r="AF85" s="147"/>
      <c r="AG85" s="147"/>
      <c r="AH85" s="147"/>
      <c r="AI85" s="147"/>
      <c r="AJ85" s="147"/>
      <c r="AK85" s="147"/>
      <c r="AL85" s="147"/>
      <c r="AM85" s="151"/>
      <c r="AN85" s="148" t="str">
        <f ca="1">IFERROR(__xludf.DUMMYFUNCTION("""COMPUTED_VALUE"""),"227148")</f>
        <v>227148</v>
      </c>
      <c r="AO85" s="147" t="str">
        <f t="shared" ca="1" si="8"/>
        <v>QC</v>
      </c>
      <c r="AP85" s="147" t="e">
        <f t="shared" ca="1" si="9"/>
        <v>#NAME?</v>
      </c>
      <c r="AQ85" s="147" t="str">
        <f t="shared" ca="1" si="10"/>
        <v>POC</v>
      </c>
      <c r="AR85" s="147"/>
      <c r="AS85" s="147"/>
      <c r="AT85" s="147"/>
      <c r="AU85" s="147"/>
      <c r="AV85" s="147"/>
      <c r="AW85" s="147"/>
      <c r="AX85" s="147"/>
      <c r="AY85" s="147"/>
      <c r="AZ85" s="147"/>
      <c r="BA85" s="147"/>
      <c r="BB85" s="147"/>
      <c r="BC85" s="147"/>
      <c r="BD85" s="147"/>
      <c r="BE85" s="147"/>
      <c r="BF85" s="147"/>
      <c r="BG85" s="147"/>
      <c r="BH85" s="147"/>
      <c r="BI85" s="147"/>
      <c r="BJ85" s="147"/>
      <c r="BK85" s="147"/>
      <c r="BL85" s="147"/>
      <c r="BM85" s="147"/>
      <c r="BN85" s="147"/>
      <c r="BO85" s="147"/>
      <c r="BP85" s="147"/>
      <c r="BQ85" s="147"/>
      <c r="BR85" s="147"/>
      <c r="BS85" s="147"/>
      <c r="BT85" s="147"/>
      <c r="BU85" s="147"/>
      <c r="BV85" s="147"/>
      <c r="BW85" s="147"/>
      <c r="BX85" s="147"/>
      <c r="BY85" s="147"/>
      <c r="BZ85" s="147"/>
      <c r="CA85" s="147"/>
      <c r="CB85" s="147"/>
      <c r="CC85" s="147"/>
      <c r="CD85" s="147"/>
      <c r="CE85" s="147"/>
      <c r="CF85" s="147"/>
      <c r="CG85" s="147"/>
      <c r="CH85" s="147"/>
      <c r="CI85" s="147"/>
      <c r="CJ85" s="147"/>
      <c r="CK85" s="147"/>
    </row>
    <row r="86" spans="1:89">
      <c r="A86" s="159" t="s">
        <v>665</v>
      </c>
      <c r="B86" s="3" t="s">
        <v>666</v>
      </c>
      <c r="C86" s="160" t="s">
        <v>58</v>
      </c>
      <c r="D86" s="160" t="s">
        <v>852</v>
      </c>
      <c r="E86" s="3" t="s">
        <v>22</v>
      </c>
      <c r="F86" s="3" t="s">
        <v>934</v>
      </c>
      <c r="G86" s="3" t="s">
        <v>940</v>
      </c>
      <c r="H86" s="156" t="str">
        <f ca="1">IFERROR(
  _xludf.MINIFS(ATTENDANCE_LOG!$F:$F,
         ATTENDANCE_LOG!$A:$A, C86,
         ATTENDANCE_LOG!$B:$B, E86),
"")</f>
        <v/>
      </c>
      <c r="I86" s="156" t="str">
        <f t="shared" ca="1" si="0"/>
        <v/>
      </c>
      <c r="J86" s="3">
        <f>IFERROR(VLOOKUP(F86, LEVEL_HELPER!$A:$B, 2, 0), "")</f>
        <v>3.5</v>
      </c>
      <c r="K86" s="3">
        <f>IFERROR(VLOOKUP(G86, LEVEL_HELPER!$A:$B, 2, 0), "")</f>
        <v>5</v>
      </c>
      <c r="L86" s="157" t="s">
        <v>942</v>
      </c>
      <c r="M86" s="157" t="s">
        <v>925</v>
      </c>
      <c r="N86" s="3" t="str">
        <f t="array" aca="1" ref="N86" ca="1">IFERROR(
  INDEX($J$2:$J$543,
    MATCH(A86&amp;TEXT(I86,"yyyy-mm-dd"),
          $A$2:$A$543&amp;TEXT($H$2:$H$543,"yyyy-mm-dd"),
          0)),
"")</f>
        <v/>
      </c>
      <c r="O86" s="147" t="str">
        <f t="shared" ca="1" si="1"/>
        <v/>
      </c>
      <c r="P86" s="147">
        <f t="shared" ref="P86:Q86" ca="1" si="95">IF(N86="",0,IF(N86&lt;=2,1,IF(N86&lt;=4,2,IF(N86&lt;=5.5,3,4))))</f>
        <v>0</v>
      </c>
      <c r="Q86" s="147">
        <f t="shared" ca="1" si="95"/>
        <v>0</v>
      </c>
      <c r="R86" s="147" t="str">
        <f t="shared" ca="1" si="3"/>
        <v>Not tested yet</v>
      </c>
      <c r="S86" s="147">
        <f t="shared" si="4"/>
        <v>0</v>
      </c>
      <c r="T86" s="147"/>
      <c r="U86" s="147"/>
      <c r="V86" s="148" t="e">
        <f ca="1"/>
        <v>#NAME?</v>
      </c>
      <c r="W86" s="147" t="e">
        <f t="shared" ca="1" si="5"/>
        <v>#NAME?</v>
      </c>
      <c r="X86" s="147" t="e">
        <f t="shared" ca="1" si="6"/>
        <v>#NAME?</v>
      </c>
      <c r="Y86" s="147" t="e">
        <f t="shared" ca="1" si="7"/>
        <v>#NAME?</v>
      </c>
      <c r="Z86" s="147"/>
      <c r="AA86" s="147"/>
      <c r="AB86" s="147"/>
      <c r="AC86" s="147"/>
      <c r="AD86" s="147"/>
      <c r="AE86" s="147"/>
      <c r="AF86" s="147"/>
      <c r="AG86" s="147"/>
      <c r="AH86" s="147"/>
      <c r="AI86" s="147"/>
      <c r="AJ86" s="147"/>
      <c r="AK86" s="147"/>
      <c r="AL86" s="147"/>
      <c r="AM86" s="151"/>
      <c r="AN86" s="148" t="str">
        <f ca="1">IFERROR(__xludf.DUMMYFUNCTION("""COMPUTED_VALUE"""),"237161")</f>
        <v>237161</v>
      </c>
      <c r="AO86" s="147" t="str">
        <f t="shared" ca="1" si="8"/>
        <v>DEV</v>
      </c>
      <c r="AP86" s="147" t="e">
        <f t="shared" ca="1" si="9"/>
        <v>#NAME?</v>
      </c>
      <c r="AQ86" s="147" t="str">
        <f t="shared" ca="1" si="10"/>
        <v>TBU</v>
      </c>
      <c r="AR86" s="147"/>
      <c r="AS86" s="147"/>
      <c r="AT86" s="147"/>
      <c r="AU86" s="147"/>
      <c r="AV86" s="147"/>
      <c r="AW86" s="147"/>
      <c r="AX86" s="147"/>
      <c r="AY86" s="147"/>
      <c r="AZ86" s="147"/>
      <c r="BA86" s="147"/>
      <c r="BB86" s="147"/>
      <c r="BC86" s="147"/>
      <c r="BD86" s="147"/>
      <c r="BE86" s="147"/>
      <c r="BF86" s="147"/>
      <c r="BG86" s="147"/>
      <c r="BH86" s="147"/>
      <c r="BI86" s="147"/>
      <c r="BJ86" s="147"/>
      <c r="BK86" s="147"/>
      <c r="BL86" s="147"/>
      <c r="BM86" s="147"/>
      <c r="BN86" s="147"/>
      <c r="BO86" s="147"/>
      <c r="BP86" s="147"/>
      <c r="BQ86" s="147"/>
      <c r="BR86" s="147"/>
      <c r="BS86" s="147"/>
      <c r="BT86" s="147"/>
      <c r="BU86" s="147"/>
      <c r="BV86" s="147"/>
      <c r="BW86" s="147"/>
      <c r="BX86" s="147"/>
      <c r="BY86" s="147"/>
      <c r="BZ86" s="147"/>
      <c r="CA86" s="147"/>
      <c r="CB86" s="147"/>
      <c r="CC86" s="147"/>
      <c r="CD86" s="147"/>
      <c r="CE86" s="147"/>
      <c r="CF86" s="147"/>
      <c r="CG86" s="147"/>
      <c r="CH86" s="147"/>
      <c r="CI86" s="147"/>
      <c r="CJ86" s="147"/>
      <c r="CK86" s="147"/>
    </row>
    <row r="87" spans="1:89">
      <c r="A87" s="153" t="s">
        <v>484</v>
      </c>
      <c r="B87" s="154" t="s">
        <v>485</v>
      </c>
      <c r="C87" s="155" t="s">
        <v>59</v>
      </c>
      <c r="D87" s="155" t="s">
        <v>853</v>
      </c>
      <c r="E87" s="154" t="s">
        <v>21</v>
      </c>
      <c r="F87" s="3" t="s">
        <v>916</v>
      </c>
      <c r="G87" s="3" t="s">
        <v>934</v>
      </c>
      <c r="H87" s="156" t="str">
        <f ca="1">IFERROR(
  _xludf.MINIFS(ATTENDANCE_LOG!$F:$F,
         ATTENDANCE_LOG!$A:$A, C87,
         ATTENDANCE_LOG!$B:$B, E87),
"")</f>
        <v/>
      </c>
      <c r="I87" s="156" t="str">
        <f t="shared" ca="1" si="0"/>
        <v/>
      </c>
      <c r="J87" s="3">
        <f>IFERROR(VLOOKUP(F87, LEVEL_HELPER!$A:$B, 2, 0), "")</f>
        <v>2.5</v>
      </c>
      <c r="K87" s="3">
        <f>IFERROR(VLOOKUP(G87, LEVEL_HELPER!$A:$B, 2, 0), "")</f>
        <v>3.5</v>
      </c>
      <c r="L87" s="157" t="s">
        <v>930</v>
      </c>
      <c r="M87" s="157" t="s">
        <v>924</v>
      </c>
      <c r="N87" s="3">
        <f t="array" aca="1" ref="N87" ca="1">IFERROR(
  INDEX($J$2:$J$543,
    MATCH(A87&amp;TEXT(I87,"yyyy-mm-dd"),
          $A$2:$A$543&amp;TEXT($H$2:$H$543,"yyyy-mm-dd"),
          0)),
"")</f>
        <v>2.5</v>
      </c>
      <c r="O87" s="147" t="str">
        <f t="shared" ca="1" si="1"/>
        <v/>
      </c>
      <c r="P87" s="147">
        <f t="shared" ref="P87:Q87" ca="1" si="96">IF(N87="",0,IF(N87&lt;=2,1,IF(N87&lt;=4,2,IF(N87&lt;=5.5,3,4))))</f>
        <v>2</v>
      </c>
      <c r="Q87" s="147">
        <f t="shared" ca="1" si="96"/>
        <v>0</v>
      </c>
      <c r="R87" s="147" t="str">
        <f t="shared" ca="1" si="3"/>
        <v>Not tested yet</v>
      </c>
      <c r="S87" s="147">
        <f t="shared" si="4"/>
        <v>1</v>
      </c>
      <c r="T87" s="147"/>
      <c r="U87" s="147"/>
      <c r="V87" s="148" t="e">
        <f ca="1"/>
        <v>#NAME?</v>
      </c>
      <c r="W87" s="147" t="e">
        <f t="shared" ca="1" si="5"/>
        <v>#NAME?</v>
      </c>
      <c r="X87" s="147" t="e">
        <f t="shared" ca="1" si="6"/>
        <v>#NAME?</v>
      </c>
      <c r="Y87" s="147" t="e">
        <f t="shared" ca="1" si="7"/>
        <v>#NAME?</v>
      </c>
      <c r="Z87" s="147"/>
      <c r="AA87" s="147"/>
      <c r="AB87" s="147"/>
      <c r="AC87" s="147"/>
      <c r="AD87" s="147"/>
      <c r="AE87" s="147"/>
      <c r="AF87" s="147"/>
      <c r="AG87" s="147"/>
      <c r="AH87" s="147"/>
      <c r="AI87" s="147"/>
      <c r="AJ87" s="147"/>
      <c r="AK87" s="147"/>
      <c r="AL87" s="147"/>
      <c r="AM87" s="151"/>
      <c r="AN87" s="148" t="str">
        <f ca="1">IFERROR(__xludf.DUMMYFUNCTION("""COMPUTED_VALUE"""),"193511")</f>
        <v>193511</v>
      </c>
      <c r="AO87" s="147" t="str">
        <f t="shared" ca="1" si="8"/>
        <v>DEV</v>
      </c>
      <c r="AP87" s="147" t="e">
        <f t="shared" ca="1" si="9"/>
        <v>#NAME?</v>
      </c>
      <c r="AQ87" s="147" t="str">
        <f t="shared" ca="1" si="10"/>
        <v>ONC</v>
      </c>
      <c r="AR87" s="147"/>
      <c r="AS87" s="147"/>
      <c r="AT87" s="147"/>
      <c r="AU87" s="147"/>
      <c r="AV87" s="147"/>
      <c r="AW87" s="147"/>
      <c r="AX87" s="147"/>
      <c r="AY87" s="147"/>
      <c r="AZ87" s="147"/>
      <c r="BA87" s="147"/>
      <c r="BB87" s="147"/>
      <c r="BC87" s="147"/>
      <c r="BD87" s="147"/>
      <c r="BE87" s="147"/>
      <c r="BF87" s="147"/>
      <c r="BG87" s="147"/>
      <c r="BH87" s="147"/>
      <c r="BI87" s="147"/>
      <c r="BJ87" s="147"/>
      <c r="BK87" s="147"/>
      <c r="BL87" s="147"/>
      <c r="BM87" s="147"/>
      <c r="BN87" s="147"/>
      <c r="BO87" s="147"/>
      <c r="BP87" s="147"/>
      <c r="BQ87" s="147"/>
      <c r="BR87" s="147"/>
      <c r="BS87" s="147"/>
      <c r="BT87" s="147"/>
      <c r="BU87" s="147"/>
      <c r="BV87" s="147"/>
      <c r="BW87" s="147"/>
      <c r="BX87" s="147"/>
      <c r="BY87" s="147"/>
      <c r="BZ87" s="147"/>
      <c r="CA87" s="147"/>
      <c r="CB87" s="147"/>
      <c r="CC87" s="147"/>
      <c r="CD87" s="147"/>
      <c r="CE87" s="147"/>
      <c r="CF87" s="147"/>
      <c r="CG87" s="147"/>
      <c r="CH87" s="147"/>
      <c r="CI87" s="147"/>
      <c r="CJ87" s="147"/>
      <c r="CK87" s="147"/>
    </row>
    <row r="88" spans="1:89">
      <c r="A88" s="165" t="s">
        <v>159</v>
      </c>
      <c r="B88" s="166" t="s">
        <v>160</v>
      </c>
      <c r="C88" s="167" t="s">
        <v>59</v>
      </c>
      <c r="D88" s="167" t="s">
        <v>853</v>
      </c>
      <c r="E88" s="166" t="s">
        <v>21</v>
      </c>
      <c r="F88" s="166" t="s">
        <v>926</v>
      </c>
      <c r="G88" s="166" t="s">
        <v>917</v>
      </c>
      <c r="H88" s="168" t="str">
        <f ca="1">IFERROR(
  _xludf.MINIFS(ATTENDANCE_LOG!$F:$F,
         ATTENDANCE_LOG!$A:$A, C88,
         ATTENDANCE_LOG!$B:$B, E88),
"")</f>
        <v/>
      </c>
      <c r="I88" s="168" t="str">
        <f t="shared" ca="1" si="0"/>
        <v/>
      </c>
      <c r="J88" s="166">
        <f>IFERROR(VLOOKUP(F88, LEVEL_HELPER!$A:$B, 2, 0), "")</f>
        <v>1</v>
      </c>
      <c r="K88" s="166">
        <f>IFERROR(VLOOKUP(G88, LEVEL_HELPER!$A:$B, 2, 0), "")</f>
        <v>3</v>
      </c>
      <c r="L88" s="169" t="s">
        <v>930</v>
      </c>
      <c r="M88" s="169" t="s">
        <v>922</v>
      </c>
      <c r="N88" s="166">
        <f t="array" aca="1" ref="N88" ca="1">IFERROR(
  INDEX($J$2:$J$543,
    MATCH(A88&amp;TEXT(I88,"yyyy-mm-dd"),
          $A$2:$A$543&amp;TEXT($H$2:$H$543,"yyyy-mm-dd"),
          0)),
"")</f>
        <v>1</v>
      </c>
      <c r="O88" s="170" t="str">
        <f t="shared" ca="1" si="1"/>
        <v/>
      </c>
      <c r="P88" s="170">
        <f t="shared" ref="P88:Q88" ca="1" si="97">IF(N88="",0,IF(N88&lt;=2,1,IF(N88&lt;=4,2,IF(N88&lt;=5.5,3,4))))</f>
        <v>1</v>
      </c>
      <c r="Q88" s="170">
        <f t="shared" ca="1" si="97"/>
        <v>0</v>
      </c>
      <c r="R88" s="170" t="str">
        <f t="shared" ca="1" si="3"/>
        <v>Not tested yet</v>
      </c>
      <c r="S88" s="170">
        <f t="shared" si="4"/>
        <v>1</v>
      </c>
      <c r="T88" s="170"/>
      <c r="U88" s="170"/>
      <c r="V88" s="171" t="e">
        <f ca="1"/>
        <v>#NAME?</v>
      </c>
      <c r="W88" s="170" t="e">
        <f t="shared" ca="1" si="5"/>
        <v>#NAME?</v>
      </c>
      <c r="X88" s="170" t="e">
        <f t="shared" ca="1" si="6"/>
        <v>#NAME?</v>
      </c>
      <c r="Y88" s="170" t="e">
        <f t="shared" ca="1" si="7"/>
        <v>#NAME?</v>
      </c>
      <c r="Z88" s="170"/>
      <c r="AA88" s="170"/>
      <c r="AB88" s="170"/>
      <c r="AC88" s="170"/>
      <c r="AD88" s="170"/>
      <c r="AE88" s="170"/>
      <c r="AF88" s="170"/>
      <c r="AG88" s="170"/>
      <c r="AH88" s="170"/>
      <c r="AI88" s="170"/>
      <c r="AJ88" s="170"/>
      <c r="AK88" s="170"/>
      <c r="AL88" s="170"/>
      <c r="AM88" s="172"/>
      <c r="AN88" s="171" t="str">
        <f ca="1">IFERROR(__xludf.DUMMYFUNCTION("""COMPUTED_VALUE"""),"183340")</f>
        <v>183340</v>
      </c>
      <c r="AO88" s="170" t="str">
        <f t="shared" ca="1" si="8"/>
        <v>DEV</v>
      </c>
      <c r="AP88" s="170" t="e">
        <f t="shared" ca="1" si="9"/>
        <v>#NAME?</v>
      </c>
      <c r="AQ88" s="170" t="str">
        <f t="shared" ca="1" si="10"/>
        <v>POC</v>
      </c>
      <c r="AR88" s="170"/>
      <c r="AS88" s="170"/>
      <c r="AT88" s="170"/>
      <c r="AU88" s="170"/>
      <c r="AV88" s="170"/>
      <c r="AW88" s="170"/>
      <c r="AX88" s="170"/>
      <c r="AY88" s="170"/>
      <c r="AZ88" s="170"/>
      <c r="BA88" s="170"/>
      <c r="BB88" s="170"/>
      <c r="BC88" s="170"/>
      <c r="BD88" s="170"/>
      <c r="BE88" s="170"/>
      <c r="BF88" s="170"/>
      <c r="BG88" s="170"/>
      <c r="BH88" s="170"/>
      <c r="BI88" s="170"/>
      <c r="BJ88" s="170"/>
      <c r="BK88" s="170"/>
      <c r="BL88" s="170"/>
      <c r="BM88" s="170"/>
      <c r="BN88" s="170"/>
      <c r="BO88" s="170"/>
      <c r="BP88" s="170"/>
      <c r="BQ88" s="170"/>
      <c r="BR88" s="170"/>
      <c r="BS88" s="170"/>
      <c r="BT88" s="170"/>
      <c r="BU88" s="170"/>
      <c r="BV88" s="170"/>
      <c r="BW88" s="170"/>
      <c r="BX88" s="170"/>
      <c r="BY88" s="170"/>
      <c r="BZ88" s="170"/>
      <c r="CA88" s="170"/>
      <c r="CB88" s="170"/>
      <c r="CC88" s="170"/>
      <c r="CD88" s="170"/>
      <c r="CE88" s="170"/>
      <c r="CF88" s="170"/>
      <c r="CG88" s="170"/>
      <c r="CH88" s="170"/>
      <c r="CI88" s="170"/>
      <c r="CJ88" s="170"/>
      <c r="CK88" s="170"/>
    </row>
    <row r="89" spans="1:89">
      <c r="A89" s="159" t="s">
        <v>313</v>
      </c>
      <c r="B89" s="3" t="s">
        <v>314</v>
      </c>
      <c r="C89" s="160" t="s">
        <v>59</v>
      </c>
      <c r="D89" s="160" t="s">
        <v>853</v>
      </c>
      <c r="E89" s="3" t="s">
        <v>21</v>
      </c>
      <c r="F89" s="3" t="s">
        <v>926</v>
      </c>
      <c r="G89" s="3" t="s">
        <v>917</v>
      </c>
      <c r="H89" s="156" t="str">
        <f ca="1">IFERROR(
  _xludf.MINIFS(ATTENDANCE_LOG!$F:$F,
         ATTENDANCE_LOG!$A:$A, C89,
         ATTENDANCE_LOG!$B:$B, E89),
"")</f>
        <v/>
      </c>
      <c r="I89" s="156" t="str">
        <f t="shared" ca="1" si="0"/>
        <v/>
      </c>
      <c r="J89" s="3">
        <f>IFERROR(VLOOKUP(F89, LEVEL_HELPER!$A:$B, 2, 0), "")</f>
        <v>1</v>
      </c>
      <c r="K89" s="3">
        <f>IFERROR(VLOOKUP(G89, LEVEL_HELPER!$A:$B, 2, 0), "")</f>
        <v>3</v>
      </c>
      <c r="L89" s="157" t="s">
        <v>930</v>
      </c>
      <c r="M89" s="157" t="s">
        <v>922</v>
      </c>
      <c r="N89" s="3">
        <f t="array" aca="1" ref="N89" ca="1">IFERROR(
  INDEX($J$2:$J$543,
    MATCH(A89&amp;TEXT(I89,"yyyy-mm-dd"),
          $A$2:$A$543&amp;TEXT($H$2:$H$543,"yyyy-mm-dd"),
          0)),
"")</f>
        <v>1</v>
      </c>
      <c r="O89" s="147" t="str">
        <f t="shared" ca="1" si="1"/>
        <v/>
      </c>
      <c r="P89" s="147">
        <f t="shared" ref="P89:Q89" ca="1" si="98">IF(N89="",0,IF(N89&lt;=2,1,IF(N89&lt;=4,2,IF(N89&lt;=5.5,3,4))))</f>
        <v>1</v>
      </c>
      <c r="Q89" s="147">
        <f t="shared" ca="1" si="98"/>
        <v>0</v>
      </c>
      <c r="R89" s="147" t="str">
        <f t="shared" ca="1" si="3"/>
        <v>Not tested yet</v>
      </c>
      <c r="S89" s="147">
        <f t="shared" si="4"/>
        <v>1</v>
      </c>
      <c r="T89" s="147"/>
      <c r="U89" s="147"/>
      <c r="V89" s="148" t="e">
        <f ca="1"/>
        <v>#NAME?</v>
      </c>
      <c r="W89" s="147" t="e">
        <f t="shared" ca="1" si="5"/>
        <v>#NAME?</v>
      </c>
      <c r="X89" s="147" t="e">
        <f t="shared" ca="1" si="6"/>
        <v>#NAME?</v>
      </c>
      <c r="Y89" s="147" t="e">
        <f t="shared" ca="1" si="7"/>
        <v>#NAME?</v>
      </c>
      <c r="Z89" s="147"/>
      <c r="AA89" s="147"/>
      <c r="AB89" s="147"/>
      <c r="AC89" s="147"/>
      <c r="AD89" s="147"/>
      <c r="AE89" s="147"/>
      <c r="AF89" s="147"/>
      <c r="AG89" s="147"/>
      <c r="AH89" s="147"/>
      <c r="AI89" s="147"/>
      <c r="AJ89" s="147"/>
      <c r="AK89" s="147"/>
      <c r="AL89" s="147"/>
      <c r="AM89" s="151"/>
      <c r="AN89" s="148" t="str">
        <f ca="1">IFERROR(__xludf.DUMMYFUNCTION("""COMPUTED_VALUE"""),"213916")</f>
        <v>213916</v>
      </c>
      <c r="AO89" s="147" t="str">
        <f t="shared" ca="1" si="8"/>
        <v>DEV</v>
      </c>
      <c r="AP89" s="147" t="e">
        <f t="shared" ca="1" si="9"/>
        <v>#NAME?</v>
      </c>
      <c r="AQ89" s="147" t="str">
        <f t="shared" ca="1" si="10"/>
        <v>MOC</v>
      </c>
      <c r="AR89" s="147"/>
      <c r="AS89" s="147"/>
      <c r="AT89" s="147"/>
      <c r="AU89" s="147"/>
      <c r="AV89" s="147"/>
      <c r="AW89" s="147"/>
      <c r="AX89" s="147"/>
      <c r="AY89" s="147"/>
      <c r="AZ89" s="147"/>
      <c r="BA89" s="147"/>
      <c r="BB89" s="147"/>
      <c r="BC89" s="147"/>
      <c r="BD89" s="147"/>
      <c r="BE89" s="147"/>
      <c r="BF89" s="147"/>
      <c r="BG89" s="147"/>
      <c r="BH89" s="147"/>
      <c r="BI89" s="147"/>
      <c r="BJ89" s="147"/>
      <c r="BK89" s="147"/>
      <c r="BL89" s="147"/>
      <c r="BM89" s="147"/>
      <c r="BN89" s="147"/>
      <c r="BO89" s="147"/>
      <c r="BP89" s="147"/>
      <c r="BQ89" s="147"/>
      <c r="BR89" s="147"/>
      <c r="BS89" s="147"/>
      <c r="BT89" s="147"/>
      <c r="BU89" s="147"/>
      <c r="BV89" s="147"/>
      <c r="BW89" s="147"/>
      <c r="BX89" s="147"/>
      <c r="BY89" s="147"/>
      <c r="BZ89" s="147"/>
      <c r="CA89" s="147"/>
      <c r="CB89" s="147"/>
      <c r="CC89" s="147"/>
      <c r="CD89" s="147"/>
      <c r="CE89" s="147"/>
      <c r="CF89" s="147"/>
      <c r="CG89" s="147"/>
      <c r="CH89" s="147"/>
      <c r="CI89" s="147"/>
      <c r="CJ89" s="147"/>
      <c r="CK89" s="147"/>
    </row>
    <row r="90" spans="1:89">
      <c r="A90" s="159" t="s">
        <v>433</v>
      </c>
      <c r="B90" s="3" t="s">
        <v>432</v>
      </c>
      <c r="C90" s="160" t="s">
        <v>59</v>
      </c>
      <c r="D90" s="160" t="s">
        <v>853</v>
      </c>
      <c r="E90" s="3" t="s">
        <v>21</v>
      </c>
      <c r="F90" s="3" t="s">
        <v>916</v>
      </c>
      <c r="G90" s="3" t="s">
        <v>917</v>
      </c>
      <c r="H90" s="156" t="str">
        <f ca="1">IFERROR(
  _xludf.MINIFS(ATTENDANCE_LOG!$F:$F,
         ATTENDANCE_LOG!$A:$A, C90,
         ATTENDANCE_LOG!$B:$B, E90),
"")</f>
        <v/>
      </c>
      <c r="I90" s="156" t="str">
        <f t="shared" ca="1" si="0"/>
        <v/>
      </c>
      <c r="J90" s="3">
        <f>IFERROR(VLOOKUP(F90, LEVEL_HELPER!$A:$B, 2, 0), "")</f>
        <v>2.5</v>
      </c>
      <c r="K90" s="3">
        <f>IFERROR(VLOOKUP(G90, LEVEL_HELPER!$A:$B, 2, 0), "")</f>
        <v>3</v>
      </c>
      <c r="L90" s="157" t="s">
        <v>930</v>
      </c>
      <c r="M90" s="157" t="s">
        <v>922</v>
      </c>
      <c r="N90" s="3">
        <f t="array" aca="1" ref="N90" ca="1">IFERROR(
  INDEX($J$2:$J$543,
    MATCH(A90&amp;TEXT(I90,"yyyy-mm-dd"),
          $A$2:$A$543&amp;TEXT($H$2:$H$543,"yyyy-mm-dd"),
          0)),
"")</f>
        <v>2.5</v>
      </c>
      <c r="O90" s="147" t="str">
        <f t="shared" ca="1" si="1"/>
        <v/>
      </c>
      <c r="P90" s="147">
        <f t="shared" ref="P90:Q90" ca="1" si="99">IF(N90="",0,IF(N90&lt;=2,1,IF(N90&lt;=4,2,IF(N90&lt;=5.5,3,4))))</f>
        <v>2</v>
      </c>
      <c r="Q90" s="147">
        <f t="shared" ca="1" si="99"/>
        <v>0</v>
      </c>
      <c r="R90" s="147" t="str">
        <f t="shared" ca="1" si="3"/>
        <v>Not tested yet</v>
      </c>
      <c r="S90" s="147">
        <f t="shared" si="4"/>
        <v>1</v>
      </c>
      <c r="T90" s="147"/>
      <c r="U90" s="147"/>
      <c r="V90" s="148" t="e">
        <f ca="1"/>
        <v>#NAME?</v>
      </c>
      <c r="W90" s="147" t="e">
        <f t="shared" ca="1" si="5"/>
        <v>#NAME?</v>
      </c>
      <c r="X90" s="147" t="e">
        <f t="shared" ca="1" si="6"/>
        <v>#NAME?</v>
      </c>
      <c r="Y90" s="147" t="e">
        <f t="shared" ca="1" si="7"/>
        <v>#NAME?</v>
      </c>
      <c r="Z90" s="147"/>
      <c r="AA90" s="147"/>
      <c r="AB90" s="147"/>
      <c r="AC90" s="147"/>
      <c r="AD90" s="147"/>
      <c r="AE90" s="147"/>
      <c r="AF90" s="147"/>
      <c r="AG90" s="147"/>
      <c r="AH90" s="147"/>
      <c r="AI90" s="147"/>
      <c r="AJ90" s="147"/>
      <c r="AK90" s="147"/>
      <c r="AL90" s="147"/>
      <c r="AM90" s="151"/>
      <c r="AN90" s="148" t="str">
        <f ca="1">IFERROR(__xludf.DUMMYFUNCTION("""COMPUTED_VALUE"""),"227155")</f>
        <v>227155</v>
      </c>
      <c r="AO90" s="147" t="str">
        <f t="shared" ca="1" si="8"/>
        <v>QC</v>
      </c>
      <c r="AP90" s="147" t="e">
        <f t="shared" ca="1" si="9"/>
        <v>#NAME?</v>
      </c>
      <c r="AQ90" s="147" t="str">
        <f t="shared" ca="1" si="10"/>
        <v>POC</v>
      </c>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7"/>
      <c r="BN90" s="147"/>
      <c r="BO90" s="147"/>
      <c r="BP90" s="147"/>
      <c r="BQ90" s="147"/>
      <c r="BR90" s="147"/>
      <c r="BS90" s="147"/>
      <c r="BT90" s="147"/>
      <c r="BU90" s="147"/>
      <c r="BV90" s="147"/>
      <c r="BW90" s="147"/>
      <c r="BX90" s="147"/>
      <c r="BY90" s="147"/>
      <c r="BZ90" s="147"/>
      <c r="CA90" s="147"/>
      <c r="CB90" s="147"/>
      <c r="CC90" s="147"/>
      <c r="CD90" s="147"/>
      <c r="CE90" s="147"/>
      <c r="CF90" s="147"/>
      <c r="CG90" s="147"/>
      <c r="CH90" s="147"/>
      <c r="CI90" s="147"/>
      <c r="CJ90" s="147"/>
      <c r="CK90" s="147"/>
    </row>
    <row r="91" spans="1:89">
      <c r="A91" s="159" t="s">
        <v>451</v>
      </c>
      <c r="B91" s="3" t="s">
        <v>452</v>
      </c>
      <c r="C91" s="160" t="s">
        <v>59</v>
      </c>
      <c r="D91" s="160" t="s">
        <v>853</v>
      </c>
      <c r="E91" s="3" t="s">
        <v>21</v>
      </c>
      <c r="F91" s="3" t="s">
        <v>926</v>
      </c>
      <c r="G91" s="3" t="s">
        <v>934</v>
      </c>
      <c r="H91" s="156" t="str">
        <f ca="1">IFERROR(
  _xludf.MINIFS(ATTENDANCE_LOG!$F:$F,
         ATTENDANCE_LOG!$A:$A, C91,
         ATTENDANCE_LOG!$B:$B, E91),
"")</f>
        <v/>
      </c>
      <c r="I91" s="156" t="str">
        <f t="shared" ca="1" si="0"/>
        <v/>
      </c>
      <c r="J91" s="3">
        <f>IFERROR(VLOOKUP(F91, LEVEL_HELPER!$A:$B, 2, 0), "")</f>
        <v>1</v>
      </c>
      <c r="K91" s="3">
        <f>IFERROR(VLOOKUP(G91, LEVEL_HELPER!$A:$B, 2, 0), "")</f>
        <v>3.5</v>
      </c>
      <c r="L91" s="157" t="s">
        <v>930</v>
      </c>
      <c r="M91" s="157" t="s">
        <v>922</v>
      </c>
      <c r="N91" s="3">
        <f t="array" aca="1" ref="N91" ca="1">IFERROR(
  INDEX($J$2:$J$543,
    MATCH(A91&amp;TEXT(I91,"yyyy-mm-dd"),
          $A$2:$A$543&amp;TEXT($H$2:$H$543,"yyyy-mm-dd"),
          0)),
"")</f>
        <v>1</v>
      </c>
      <c r="O91" s="147" t="str">
        <f t="shared" ca="1" si="1"/>
        <v/>
      </c>
      <c r="P91" s="147">
        <f t="shared" ref="P91:Q91" ca="1" si="100">IF(N91="",0,IF(N91&lt;=2,1,IF(N91&lt;=4,2,IF(N91&lt;=5.5,3,4))))</f>
        <v>1</v>
      </c>
      <c r="Q91" s="147">
        <f t="shared" ca="1" si="100"/>
        <v>0</v>
      </c>
      <c r="R91" s="147" t="str">
        <f t="shared" ca="1" si="3"/>
        <v>Not tested yet</v>
      </c>
      <c r="S91" s="147">
        <f t="shared" si="4"/>
        <v>1</v>
      </c>
      <c r="T91" s="147"/>
      <c r="U91" s="147"/>
      <c r="V91" s="148" t="e">
        <f ca="1"/>
        <v>#NAME?</v>
      </c>
      <c r="W91" s="147" t="e">
        <f t="shared" ca="1" si="5"/>
        <v>#NAME?</v>
      </c>
      <c r="X91" s="147" t="e">
        <f t="shared" ca="1" si="6"/>
        <v>#NAME?</v>
      </c>
      <c r="Y91" s="147" t="e">
        <f t="shared" ca="1" si="7"/>
        <v>#NAME?</v>
      </c>
      <c r="Z91" s="147"/>
      <c r="AA91" s="147"/>
      <c r="AB91" s="147"/>
      <c r="AC91" s="147"/>
      <c r="AD91" s="147"/>
      <c r="AE91" s="147"/>
      <c r="AF91" s="147"/>
      <c r="AG91" s="147"/>
      <c r="AH91" s="147"/>
      <c r="AI91" s="147"/>
      <c r="AJ91" s="147"/>
      <c r="AK91" s="147"/>
      <c r="AL91" s="147"/>
      <c r="AM91" s="151"/>
      <c r="AN91" s="148">
        <f ca="1">IFERROR(__xludf.DUMMYFUNCTION("""COMPUTED_VALUE"""),193470)</f>
        <v>193470</v>
      </c>
      <c r="AO91" s="147" t="e">
        <f t="shared" ca="1" si="8"/>
        <v>#N/A</v>
      </c>
      <c r="AP91" s="147" t="e">
        <f t="shared" ca="1" si="9"/>
        <v>#NAME?</v>
      </c>
      <c r="AQ91" s="147" t="e">
        <f t="shared" ca="1" si="10"/>
        <v>#N/A</v>
      </c>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7"/>
      <c r="BN91" s="147"/>
      <c r="BO91" s="147"/>
      <c r="BP91" s="147"/>
      <c r="BQ91" s="147"/>
      <c r="BR91" s="147"/>
      <c r="BS91" s="147"/>
      <c r="BT91" s="147"/>
      <c r="BU91" s="147"/>
      <c r="BV91" s="147"/>
      <c r="BW91" s="147"/>
      <c r="BX91" s="147"/>
      <c r="BY91" s="147"/>
      <c r="BZ91" s="147"/>
      <c r="CA91" s="147"/>
      <c r="CB91" s="147"/>
      <c r="CC91" s="147"/>
      <c r="CD91" s="147"/>
      <c r="CE91" s="147"/>
      <c r="CF91" s="147"/>
      <c r="CG91" s="147"/>
      <c r="CH91" s="147"/>
      <c r="CI91" s="147"/>
      <c r="CJ91" s="147"/>
      <c r="CK91" s="147"/>
    </row>
    <row r="92" spans="1:89">
      <c r="A92" s="159" t="s">
        <v>466</v>
      </c>
      <c r="B92" s="3" t="s">
        <v>467</v>
      </c>
      <c r="C92" s="160" t="s">
        <v>59</v>
      </c>
      <c r="D92" s="160" t="s">
        <v>853</v>
      </c>
      <c r="E92" s="3" t="s">
        <v>21</v>
      </c>
      <c r="F92" s="3" t="s">
        <v>926</v>
      </c>
      <c r="G92" s="3" t="s">
        <v>928</v>
      </c>
      <c r="H92" s="156" t="str">
        <f ca="1">IFERROR(
  _xludf.MINIFS(ATTENDANCE_LOG!$F:$F,
         ATTENDANCE_LOG!$A:$A, C92,
         ATTENDANCE_LOG!$B:$B, E92),
"")</f>
        <v/>
      </c>
      <c r="I92" s="156" t="str">
        <f t="shared" ca="1" si="0"/>
        <v/>
      </c>
      <c r="J92" s="3">
        <f>IFERROR(VLOOKUP(F92, LEVEL_HELPER!$A:$B, 2, 0), "")</f>
        <v>1</v>
      </c>
      <c r="K92" s="3">
        <f>IFERROR(VLOOKUP(G92, LEVEL_HELPER!$A:$B, 2, 0), "")</f>
        <v>1.5</v>
      </c>
      <c r="L92" s="157" t="s">
        <v>930</v>
      </c>
      <c r="M92" s="157" t="s">
        <v>922</v>
      </c>
      <c r="N92" s="3">
        <f t="array" aca="1" ref="N92" ca="1">IFERROR(
  INDEX($J$2:$J$543,
    MATCH(A92&amp;TEXT(I92,"yyyy-mm-dd"),
          $A$2:$A$543&amp;TEXT($H$2:$H$543,"yyyy-mm-dd"),
          0)),
"")</f>
        <v>1</v>
      </c>
      <c r="O92" s="147" t="str">
        <f t="shared" ca="1" si="1"/>
        <v/>
      </c>
      <c r="P92" s="147">
        <f t="shared" ref="P92:Q92" ca="1" si="101">IF(N92="",0,IF(N92&lt;=2,1,IF(N92&lt;=4,2,IF(N92&lt;=5.5,3,4))))</f>
        <v>1</v>
      </c>
      <c r="Q92" s="147">
        <f t="shared" ca="1" si="101"/>
        <v>0</v>
      </c>
      <c r="R92" s="147" t="str">
        <f t="shared" ca="1" si="3"/>
        <v>Not tested yet</v>
      </c>
      <c r="S92" s="147">
        <f t="shared" si="4"/>
        <v>1</v>
      </c>
      <c r="T92" s="147"/>
      <c r="U92" s="147"/>
      <c r="V92" s="148" t="e">
        <f ca="1"/>
        <v>#NAME?</v>
      </c>
      <c r="W92" s="147" t="e">
        <f t="shared" ca="1" si="5"/>
        <v>#NAME?</v>
      </c>
      <c r="X92" s="147" t="e">
        <f t="shared" ca="1" si="6"/>
        <v>#NAME?</v>
      </c>
      <c r="Y92" s="147" t="e">
        <f t="shared" ca="1" si="7"/>
        <v>#NAME?</v>
      </c>
      <c r="Z92" s="147"/>
      <c r="AA92" s="147"/>
      <c r="AB92" s="147"/>
      <c r="AC92" s="147"/>
      <c r="AD92" s="147"/>
      <c r="AE92" s="147"/>
      <c r="AF92" s="147"/>
      <c r="AG92" s="147"/>
      <c r="AH92" s="147"/>
      <c r="AI92" s="147"/>
      <c r="AJ92" s="147"/>
      <c r="AK92" s="147"/>
      <c r="AL92" s="147"/>
      <c r="AM92" s="151"/>
      <c r="AN92" s="148" t="str">
        <f ca="1">IFERROR(__xludf.DUMMYFUNCTION("""COMPUTED_VALUE"""),"153138")</f>
        <v>153138</v>
      </c>
      <c r="AO92" s="147" t="str">
        <f t="shared" ca="1" si="8"/>
        <v>DEV</v>
      </c>
      <c r="AP92" s="147" t="e">
        <f t="shared" ca="1" si="9"/>
        <v>#NAME?</v>
      </c>
      <c r="AQ92" s="147" t="str">
        <f t="shared" ca="1" si="10"/>
        <v>ONC</v>
      </c>
      <c r="AR92" s="147"/>
      <c r="AS92" s="147"/>
      <c r="AT92" s="147"/>
      <c r="AU92" s="147"/>
      <c r="AV92" s="147"/>
      <c r="AW92" s="147"/>
      <c r="AX92" s="147"/>
      <c r="AY92" s="147"/>
      <c r="AZ92" s="147"/>
      <c r="BA92" s="147"/>
      <c r="BB92" s="147"/>
      <c r="BC92" s="147"/>
      <c r="BD92" s="147"/>
      <c r="BE92" s="147"/>
      <c r="BF92" s="147"/>
      <c r="BG92" s="147"/>
      <c r="BH92" s="147"/>
      <c r="BI92" s="147"/>
      <c r="BJ92" s="147"/>
      <c r="BK92" s="147"/>
      <c r="BL92" s="147"/>
      <c r="BM92" s="147"/>
      <c r="BN92" s="147"/>
      <c r="BO92" s="147"/>
      <c r="BP92" s="147"/>
      <c r="BQ92" s="147"/>
      <c r="BR92" s="147"/>
      <c r="BS92" s="147"/>
      <c r="BT92" s="147"/>
      <c r="BU92" s="147"/>
      <c r="BV92" s="147"/>
      <c r="BW92" s="147"/>
      <c r="BX92" s="147"/>
      <c r="BY92" s="147"/>
      <c r="BZ92" s="147"/>
      <c r="CA92" s="147"/>
      <c r="CB92" s="147"/>
      <c r="CC92" s="147"/>
      <c r="CD92" s="147"/>
      <c r="CE92" s="147"/>
      <c r="CF92" s="147"/>
      <c r="CG92" s="147"/>
      <c r="CH92" s="147"/>
      <c r="CI92" s="147"/>
      <c r="CJ92" s="147"/>
      <c r="CK92" s="147"/>
    </row>
    <row r="93" spans="1:89">
      <c r="A93" s="153" t="s">
        <v>330</v>
      </c>
      <c r="B93" s="154" t="s">
        <v>331</v>
      </c>
      <c r="C93" s="155" t="s">
        <v>59</v>
      </c>
      <c r="D93" s="155" t="s">
        <v>853</v>
      </c>
      <c r="E93" s="154" t="s">
        <v>22</v>
      </c>
      <c r="F93" s="3" t="s">
        <v>931</v>
      </c>
      <c r="G93" s="3" t="s">
        <v>937</v>
      </c>
      <c r="H93" s="156" t="str">
        <f ca="1">IFERROR(
  _xludf.MINIFS(ATTENDANCE_LOG!$F:$F,
         ATTENDANCE_LOG!$A:$A, C93,
         ATTENDANCE_LOG!$B:$B, E93),
"")</f>
        <v/>
      </c>
      <c r="I93" s="156" t="str">
        <f t="shared" ca="1" si="0"/>
        <v/>
      </c>
      <c r="J93" s="3">
        <f>IFERROR(VLOOKUP(F93, LEVEL_HELPER!$A:$B, 2, 0), "")</f>
        <v>4.5</v>
      </c>
      <c r="K93" s="3">
        <f>IFERROR(VLOOKUP(G93, LEVEL_HELPER!$A:$B, 2, 0), "")</f>
        <v>5.5</v>
      </c>
      <c r="L93" s="157" t="s">
        <v>942</v>
      </c>
      <c r="M93" s="157" t="s">
        <v>922</v>
      </c>
      <c r="N93" s="3">
        <f t="array" aca="1" ref="N93" ca="1">IFERROR(
  INDEX($J$2:$J$543,
    MATCH(A93&amp;TEXT(I93,"yyyy-mm-dd"),
          $A$2:$A$543&amp;TEXT($H$2:$H$543,"yyyy-mm-dd"),
          0)),
"")</f>
        <v>2.5</v>
      </c>
      <c r="O93" s="147" t="str">
        <f t="shared" ca="1" si="1"/>
        <v/>
      </c>
      <c r="P93" s="147">
        <f t="shared" ref="P93:Q93" ca="1" si="102">IF(N93="",0,IF(N93&lt;=2,1,IF(N93&lt;=4,2,IF(N93&lt;=5.5,3,4))))</f>
        <v>2</v>
      </c>
      <c r="Q93" s="147">
        <f t="shared" ca="1" si="102"/>
        <v>0</v>
      </c>
      <c r="R93" s="147" t="str">
        <f t="shared" ca="1" si="3"/>
        <v>Not tested yet</v>
      </c>
      <c r="S93" s="147">
        <f t="shared" si="4"/>
        <v>0</v>
      </c>
      <c r="T93" s="147"/>
      <c r="U93" s="147"/>
      <c r="V93" s="148" t="e">
        <f ca="1"/>
        <v>#NAME?</v>
      </c>
      <c r="W93" s="147" t="e">
        <f t="shared" ca="1" si="5"/>
        <v>#NAME?</v>
      </c>
      <c r="X93" s="147" t="e">
        <f t="shared" ca="1" si="6"/>
        <v>#NAME?</v>
      </c>
      <c r="Y93" s="147" t="e">
        <f t="shared" ca="1" si="7"/>
        <v>#NAME?</v>
      </c>
      <c r="Z93" s="147"/>
      <c r="AA93" s="147"/>
      <c r="AB93" s="147"/>
      <c r="AC93" s="147"/>
      <c r="AD93" s="147"/>
      <c r="AE93" s="147"/>
      <c r="AF93" s="147"/>
      <c r="AG93" s="147"/>
      <c r="AH93" s="147"/>
      <c r="AI93" s="147"/>
      <c r="AJ93" s="147"/>
      <c r="AK93" s="147"/>
      <c r="AL93" s="147"/>
      <c r="AM93" s="151"/>
      <c r="AN93" s="148" t="str">
        <f ca="1">IFERROR(__xludf.DUMMYFUNCTION("""COMPUTED_VALUE"""),"193522")</f>
        <v>193522</v>
      </c>
      <c r="AO93" s="147" t="str">
        <f t="shared" ca="1" si="8"/>
        <v>DEV</v>
      </c>
      <c r="AP93" s="147" t="e">
        <f t="shared" ca="1" si="9"/>
        <v>#NAME?</v>
      </c>
      <c r="AQ93" s="147" t="str">
        <f t="shared" ca="1" si="10"/>
        <v>ONC</v>
      </c>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7"/>
      <c r="BN93" s="147"/>
      <c r="BO93" s="147"/>
      <c r="BP93" s="147"/>
      <c r="BQ93" s="147"/>
      <c r="BR93" s="147"/>
      <c r="BS93" s="147"/>
      <c r="BT93" s="147"/>
      <c r="BU93" s="147"/>
      <c r="BV93" s="147"/>
      <c r="BW93" s="147"/>
      <c r="BX93" s="147"/>
      <c r="BY93" s="147"/>
      <c r="BZ93" s="147"/>
      <c r="CA93" s="147"/>
      <c r="CB93" s="147"/>
      <c r="CC93" s="147"/>
      <c r="CD93" s="147"/>
      <c r="CE93" s="147"/>
      <c r="CF93" s="147"/>
      <c r="CG93" s="147"/>
      <c r="CH93" s="147"/>
      <c r="CI93" s="147"/>
      <c r="CJ93" s="147"/>
      <c r="CK93" s="147"/>
    </row>
    <row r="94" spans="1:89">
      <c r="A94" s="159" t="s">
        <v>247</v>
      </c>
      <c r="B94" s="3" t="s">
        <v>248</v>
      </c>
      <c r="C94" s="160" t="s">
        <v>59</v>
      </c>
      <c r="D94" s="160" t="s">
        <v>853</v>
      </c>
      <c r="E94" s="3" t="s">
        <v>22</v>
      </c>
      <c r="F94" s="3" t="s">
        <v>928</v>
      </c>
      <c r="G94" s="3" t="s">
        <v>928</v>
      </c>
      <c r="H94" s="156" t="str">
        <f ca="1">IFERROR(
  _xludf.MINIFS(ATTENDANCE_LOG!$F:$F,
         ATTENDANCE_LOG!$A:$A, C94,
         ATTENDANCE_LOG!$B:$B, E94),
"")</f>
        <v/>
      </c>
      <c r="I94" s="156" t="str">
        <f t="shared" ca="1" si="0"/>
        <v/>
      </c>
      <c r="J94" s="3">
        <f>IFERROR(VLOOKUP(F94, LEVEL_HELPER!$A:$B, 2, 0), "")</f>
        <v>1.5</v>
      </c>
      <c r="K94" s="3">
        <f>IFERROR(VLOOKUP(G94, LEVEL_HELPER!$A:$B, 2, 0), "")</f>
        <v>1.5</v>
      </c>
      <c r="L94" s="157" t="s">
        <v>930</v>
      </c>
      <c r="M94" s="157" t="s">
        <v>922</v>
      </c>
      <c r="N94" s="3">
        <f t="array" aca="1" ref="N94" ca="1">IFERROR(
  INDEX($J$2:$J$543,
    MATCH(A94&amp;TEXT(I94,"yyyy-mm-dd"),
          $A$2:$A$543&amp;TEXT($H$2:$H$543,"yyyy-mm-dd"),
          0)),
"")</f>
        <v>1.5</v>
      </c>
      <c r="O94" s="147" t="str">
        <f t="shared" ca="1" si="1"/>
        <v/>
      </c>
      <c r="P94" s="147">
        <f t="shared" ref="P94:Q94" ca="1" si="103">IF(N94="",0,IF(N94&lt;=2,1,IF(N94&lt;=4,2,IF(N94&lt;=5.5,3,4))))</f>
        <v>1</v>
      </c>
      <c r="Q94" s="147">
        <f t="shared" ca="1" si="103"/>
        <v>0</v>
      </c>
      <c r="R94" s="147" t="str">
        <f t="shared" ca="1" si="3"/>
        <v>Not tested yet</v>
      </c>
      <c r="S94" s="147">
        <f t="shared" si="4"/>
        <v>1</v>
      </c>
      <c r="T94" s="147"/>
      <c r="U94" s="147"/>
      <c r="V94" s="148" t="e">
        <f ca="1"/>
        <v>#NAME?</v>
      </c>
      <c r="W94" s="147" t="e">
        <f t="shared" ca="1" si="5"/>
        <v>#NAME?</v>
      </c>
      <c r="X94" s="147" t="e">
        <f t="shared" ca="1" si="6"/>
        <v>#NAME?</v>
      </c>
      <c r="Y94" s="147" t="e">
        <f t="shared" ca="1" si="7"/>
        <v>#NAME?</v>
      </c>
      <c r="Z94" s="147"/>
      <c r="AA94" s="147"/>
      <c r="AB94" s="147"/>
      <c r="AC94" s="147"/>
      <c r="AD94" s="147"/>
      <c r="AE94" s="147"/>
      <c r="AF94" s="147"/>
      <c r="AG94" s="147"/>
      <c r="AH94" s="147"/>
      <c r="AI94" s="147"/>
      <c r="AJ94" s="147"/>
      <c r="AK94" s="147"/>
      <c r="AL94" s="147"/>
      <c r="AM94" s="151"/>
      <c r="AN94" s="148" t="str">
        <f ca="1">IFERROR(__xludf.DUMMYFUNCTION("""COMPUTED_VALUE"""),"237070")</f>
        <v>237070</v>
      </c>
      <c r="AO94" s="147" t="str">
        <f t="shared" ca="1" si="8"/>
        <v>DEV</v>
      </c>
      <c r="AP94" s="147" t="e">
        <f t="shared" ca="1" si="9"/>
        <v>#NAME?</v>
      </c>
      <c r="AQ94" s="147" t="str">
        <f t="shared" ca="1" si="10"/>
        <v>ONC</v>
      </c>
      <c r="AR94" s="147"/>
      <c r="AS94" s="147"/>
      <c r="AT94" s="147"/>
      <c r="AU94" s="147"/>
      <c r="AV94" s="147"/>
      <c r="AW94" s="147"/>
      <c r="AX94" s="147"/>
      <c r="AY94" s="147"/>
      <c r="AZ94" s="147"/>
      <c r="BA94" s="147"/>
      <c r="BB94" s="147"/>
      <c r="BC94" s="147"/>
      <c r="BD94" s="147"/>
      <c r="BE94" s="147"/>
      <c r="BF94" s="147"/>
      <c r="BG94" s="147"/>
      <c r="BH94" s="147"/>
      <c r="BI94" s="147"/>
      <c r="BJ94" s="147"/>
      <c r="BK94" s="147"/>
      <c r="BL94" s="147"/>
      <c r="BM94" s="147"/>
      <c r="BN94" s="147"/>
      <c r="BO94" s="147"/>
      <c r="BP94" s="147"/>
      <c r="BQ94" s="147"/>
      <c r="BR94" s="147"/>
      <c r="BS94" s="147"/>
      <c r="BT94" s="147"/>
      <c r="BU94" s="147"/>
      <c r="BV94" s="147"/>
      <c r="BW94" s="147"/>
      <c r="BX94" s="147"/>
      <c r="BY94" s="147"/>
      <c r="BZ94" s="147"/>
      <c r="CA94" s="147"/>
      <c r="CB94" s="147"/>
      <c r="CC94" s="147"/>
      <c r="CD94" s="147"/>
      <c r="CE94" s="147"/>
      <c r="CF94" s="147"/>
      <c r="CG94" s="147"/>
      <c r="CH94" s="147"/>
      <c r="CI94" s="147"/>
      <c r="CJ94" s="147"/>
      <c r="CK94" s="147"/>
    </row>
    <row r="95" spans="1:89">
      <c r="A95" s="159" t="s">
        <v>294</v>
      </c>
      <c r="B95" s="3" t="s">
        <v>295</v>
      </c>
      <c r="C95" s="160" t="s">
        <v>59</v>
      </c>
      <c r="D95" s="160" t="s">
        <v>853</v>
      </c>
      <c r="E95" s="3" t="s">
        <v>22</v>
      </c>
      <c r="F95" s="3" t="s">
        <v>928</v>
      </c>
      <c r="G95" s="3" t="s">
        <v>917</v>
      </c>
      <c r="H95" s="156" t="str">
        <f ca="1">IFERROR(
  _xludf.MINIFS(ATTENDANCE_LOG!$F:$F,
         ATTENDANCE_LOG!$A:$A, C95,
         ATTENDANCE_LOG!$B:$B, E95),
"")</f>
        <v/>
      </c>
      <c r="I95" s="156" t="str">
        <f t="shared" ca="1" si="0"/>
        <v/>
      </c>
      <c r="J95" s="3">
        <f>IFERROR(VLOOKUP(F95, LEVEL_HELPER!$A:$B, 2, 0), "")</f>
        <v>1.5</v>
      </c>
      <c r="K95" s="3">
        <f>IFERROR(VLOOKUP(G95, LEVEL_HELPER!$A:$B, 2, 0), "")</f>
        <v>3</v>
      </c>
      <c r="L95" s="157" t="s">
        <v>930</v>
      </c>
      <c r="M95" s="157" t="s">
        <v>922</v>
      </c>
      <c r="N95" s="3">
        <f t="array" aca="1" ref="N95" ca="1">IFERROR(
  INDEX($J$2:$J$543,
    MATCH(A95&amp;TEXT(I95,"yyyy-mm-dd"),
          $A$2:$A$543&amp;TEXT($H$2:$H$543,"yyyy-mm-dd"),
          0)),
"")</f>
        <v>1</v>
      </c>
      <c r="O95" s="147" t="str">
        <f t="shared" ca="1" si="1"/>
        <v/>
      </c>
      <c r="P95" s="147">
        <f t="shared" ref="P95:Q95" ca="1" si="104">IF(N95="",0,IF(N95&lt;=2,1,IF(N95&lt;=4,2,IF(N95&lt;=5.5,3,4))))</f>
        <v>1</v>
      </c>
      <c r="Q95" s="147">
        <f t="shared" ca="1" si="104"/>
        <v>0</v>
      </c>
      <c r="R95" s="147" t="str">
        <f t="shared" ca="1" si="3"/>
        <v>Not tested yet</v>
      </c>
      <c r="S95" s="147">
        <f t="shared" si="4"/>
        <v>0</v>
      </c>
      <c r="T95" s="147"/>
      <c r="U95" s="147"/>
      <c r="V95" s="148" t="e">
        <f ca="1"/>
        <v>#NAME?</v>
      </c>
      <c r="W95" s="147" t="e">
        <f t="shared" ca="1" si="5"/>
        <v>#NAME?</v>
      </c>
      <c r="X95" s="147" t="e">
        <f t="shared" ca="1" si="6"/>
        <v>#NAME?</v>
      </c>
      <c r="Y95" s="147" t="e">
        <f t="shared" ca="1" si="7"/>
        <v>#NAME?</v>
      </c>
      <c r="Z95" s="147"/>
      <c r="AA95" s="147"/>
      <c r="AB95" s="147"/>
      <c r="AC95" s="147"/>
      <c r="AD95" s="147"/>
      <c r="AE95" s="147"/>
      <c r="AF95" s="147"/>
      <c r="AG95" s="147"/>
      <c r="AH95" s="147"/>
      <c r="AI95" s="147"/>
      <c r="AJ95" s="147"/>
      <c r="AK95" s="147"/>
      <c r="AL95" s="147"/>
      <c r="AM95" s="151"/>
      <c r="AN95" s="148" t="str">
        <f ca="1">IFERROR(__xludf.DUMMYFUNCTION("""COMPUTED_VALUE"""),"203757")</f>
        <v>203757</v>
      </c>
      <c r="AO95" s="147" t="str">
        <f t="shared" ca="1" si="8"/>
        <v>DEV</v>
      </c>
      <c r="AP95" s="147" t="e">
        <f t="shared" ca="1" si="9"/>
        <v>#NAME?</v>
      </c>
      <c r="AQ95" s="147" t="str">
        <f t="shared" ca="1" si="10"/>
        <v>ONC</v>
      </c>
      <c r="AR95" s="147"/>
      <c r="AS95" s="147"/>
      <c r="AT95" s="147"/>
      <c r="AU95" s="147"/>
      <c r="AV95" s="147"/>
      <c r="AW95" s="147"/>
      <c r="AX95" s="147"/>
      <c r="AY95" s="147"/>
      <c r="AZ95" s="147"/>
      <c r="BA95" s="147"/>
      <c r="BB95" s="147"/>
      <c r="BC95" s="147"/>
      <c r="BD95" s="147"/>
      <c r="BE95" s="147"/>
      <c r="BF95" s="147"/>
      <c r="BG95" s="147"/>
      <c r="BH95" s="147"/>
      <c r="BI95" s="147"/>
      <c r="BJ95" s="147"/>
      <c r="BK95" s="147"/>
      <c r="BL95" s="147"/>
      <c r="BM95" s="147"/>
      <c r="BN95" s="147"/>
      <c r="BO95" s="147"/>
      <c r="BP95" s="147"/>
      <c r="BQ95" s="147"/>
      <c r="BR95" s="147"/>
      <c r="BS95" s="147"/>
      <c r="BT95" s="147"/>
      <c r="BU95" s="147"/>
      <c r="BV95" s="147"/>
      <c r="BW95" s="147"/>
      <c r="BX95" s="147"/>
      <c r="BY95" s="147"/>
      <c r="BZ95" s="147"/>
      <c r="CA95" s="147"/>
      <c r="CB95" s="147"/>
      <c r="CC95" s="147"/>
      <c r="CD95" s="147"/>
      <c r="CE95" s="147"/>
      <c r="CF95" s="147"/>
      <c r="CG95" s="147"/>
      <c r="CH95" s="147"/>
      <c r="CI95" s="147"/>
      <c r="CJ95" s="147"/>
      <c r="CK95" s="147"/>
    </row>
    <row r="96" spans="1:89">
      <c r="A96" s="159" t="s">
        <v>313</v>
      </c>
      <c r="B96" s="3" t="s">
        <v>314</v>
      </c>
      <c r="C96" s="160" t="s">
        <v>59</v>
      </c>
      <c r="D96" s="160" t="s">
        <v>853</v>
      </c>
      <c r="E96" s="3" t="s">
        <v>22</v>
      </c>
      <c r="F96" s="3" t="s">
        <v>917</v>
      </c>
      <c r="G96" s="3" t="s">
        <v>940</v>
      </c>
      <c r="H96" s="156" t="str">
        <f ca="1">IFERROR(
  _xludf.MINIFS(ATTENDANCE_LOG!$F:$F,
         ATTENDANCE_LOG!$A:$A, C96,
         ATTENDANCE_LOG!$B:$B, E96),
"")</f>
        <v/>
      </c>
      <c r="I96" s="156" t="str">
        <f t="shared" ca="1" si="0"/>
        <v/>
      </c>
      <c r="J96" s="3">
        <f>IFERROR(VLOOKUP(F96, LEVEL_HELPER!$A:$B, 2, 0), "")</f>
        <v>3</v>
      </c>
      <c r="K96" s="3">
        <f>IFERROR(VLOOKUP(G96, LEVEL_HELPER!$A:$B, 2, 0), "")</f>
        <v>5</v>
      </c>
      <c r="L96" s="157" t="s">
        <v>930</v>
      </c>
      <c r="M96" s="157" t="s">
        <v>922</v>
      </c>
      <c r="N96" s="3">
        <f t="array" aca="1" ref="N96" ca="1">IFERROR(
  INDEX($J$2:$J$543,
    MATCH(A96&amp;TEXT(I96,"yyyy-mm-dd"),
          $A$2:$A$543&amp;TEXT($H$2:$H$543,"yyyy-mm-dd"),
          0)),
"")</f>
        <v>1</v>
      </c>
      <c r="O96" s="147" t="str">
        <f t="shared" ca="1" si="1"/>
        <v/>
      </c>
      <c r="P96" s="147">
        <f t="shared" ref="P96:Q96" ca="1" si="105">IF(N96="",0,IF(N96&lt;=2,1,IF(N96&lt;=4,2,IF(N96&lt;=5.5,3,4))))</f>
        <v>1</v>
      </c>
      <c r="Q96" s="147">
        <f t="shared" ca="1" si="105"/>
        <v>0</v>
      </c>
      <c r="R96" s="147" t="str">
        <f t="shared" ca="1" si="3"/>
        <v>Not tested yet</v>
      </c>
      <c r="S96" s="147">
        <f t="shared" si="4"/>
        <v>0</v>
      </c>
      <c r="T96" s="147"/>
      <c r="U96" s="147"/>
      <c r="V96" s="148" t="e">
        <f ca="1"/>
        <v>#NAME?</v>
      </c>
      <c r="W96" s="147" t="e">
        <f t="shared" ca="1" si="5"/>
        <v>#NAME?</v>
      </c>
      <c r="X96" s="147" t="e">
        <f t="shared" ca="1" si="6"/>
        <v>#NAME?</v>
      </c>
      <c r="Y96" s="147" t="e">
        <f t="shared" ca="1" si="7"/>
        <v>#NAME?</v>
      </c>
      <c r="Z96" s="147"/>
      <c r="AA96" s="147"/>
      <c r="AB96" s="147"/>
      <c r="AC96" s="147"/>
      <c r="AD96" s="147"/>
      <c r="AE96" s="147"/>
      <c r="AF96" s="147"/>
      <c r="AG96" s="147"/>
      <c r="AH96" s="147"/>
      <c r="AI96" s="147"/>
      <c r="AJ96" s="147"/>
      <c r="AK96" s="147"/>
      <c r="AL96" s="147"/>
      <c r="AM96" s="151"/>
      <c r="AN96" s="148" t="str">
        <f ca="1">IFERROR(__xludf.DUMMYFUNCTION("""COMPUTED_VALUE"""),"213911")</f>
        <v>213911</v>
      </c>
      <c r="AO96" s="147" t="str">
        <f t="shared" ca="1" si="8"/>
        <v>DEV</v>
      </c>
      <c r="AP96" s="147" t="e">
        <f t="shared" ca="1" si="9"/>
        <v>#NAME?</v>
      </c>
      <c r="AQ96" s="147" t="str">
        <f t="shared" ca="1" si="10"/>
        <v>ONC</v>
      </c>
      <c r="AR96" s="147"/>
      <c r="AS96" s="147"/>
      <c r="AT96" s="147"/>
      <c r="AU96" s="147"/>
      <c r="AV96" s="147"/>
      <c r="AW96" s="147"/>
      <c r="AX96" s="147"/>
      <c r="AY96" s="147"/>
      <c r="AZ96" s="147"/>
      <c r="BA96" s="147"/>
      <c r="BB96" s="147"/>
      <c r="BC96" s="147"/>
      <c r="BD96" s="147"/>
      <c r="BE96" s="147"/>
      <c r="BF96" s="147"/>
      <c r="BG96" s="147"/>
      <c r="BH96" s="147"/>
      <c r="BI96" s="147"/>
      <c r="BJ96" s="147"/>
      <c r="BK96" s="147"/>
      <c r="BL96" s="147"/>
      <c r="BM96" s="147"/>
      <c r="BN96" s="147"/>
      <c r="BO96" s="147"/>
      <c r="BP96" s="147"/>
      <c r="BQ96" s="147"/>
      <c r="BR96" s="147"/>
      <c r="BS96" s="147"/>
      <c r="BT96" s="147"/>
      <c r="BU96" s="147"/>
      <c r="BV96" s="147"/>
      <c r="BW96" s="147"/>
      <c r="BX96" s="147"/>
      <c r="BY96" s="147"/>
      <c r="BZ96" s="147"/>
      <c r="CA96" s="147"/>
      <c r="CB96" s="147"/>
      <c r="CC96" s="147"/>
      <c r="CD96" s="147"/>
      <c r="CE96" s="147"/>
      <c r="CF96" s="147"/>
      <c r="CG96" s="147"/>
      <c r="CH96" s="147"/>
      <c r="CI96" s="147"/>
      <c r="CJ96" s="147"/>
      <c r="CK96" s="147"/>
    </row>
    <row r="97" spans="1:89">
      <c r="A97" s="159" t="s">
        <v>411</v>
      </c>
      <c r="B97" s="3" t="s">
        <v>412</v>
      </c>
      <c r="C97" s="160" t="s">
        <v>59</v>
      </c>
      <c r="D97" s="160" t="s">
        <v>853</v>
      </c>
      <c r="E97" s="3" t="s">
        <v>22</v>
      </c>
      <c r="F97" s="3" t="s">
        <v>928</v>
      </c>
      <c r="G97" s="3" t="s">
        <v>940</v>
      </c>
      <c r="H97" s="156" t="str">
        <f ca="1">IFERROR(
  _xludf.MINIFS(ATTENDANCE_LOG!$F:$F,
         ATTENDANCE_LOG!$A:$A, C97,
         ATTENDANCE_LOG!$B:$B, E97),
"")</f>
        <v/>
      </c>
      <c r="I97" s="156" t="str">
        <f t="shared" ca="1" si="0"/>
        <v/>
      </c>
      <c r="J97" s="3">
        <f>IFERROR(VLOOKUP(F97, LEVEL_HELPER!$A:$B, 2, 0), "")</f>
        <v>1.5</v>
      </c>
      <c r="K97" s="3">
        <f>IFERROR(VLOOKUP(G97, LEVEL_HELPER!$A:$B, 2, 0), "")</f>
        <v>5</v>
      </c>
      <c r="L97" s="157" t="s">
        <v>930</v>
      </c>
      <c r="M97" s="157" t="s">
        <v>922</v>
      </c>
      <c r="N97" s="3">
        <f t="array" aca="1" ref="N97" ca="1">IFERROR(
  INDEX($J$2:$J$543,
    MATCH(A97&amp;TEXT(I97,"yyyy-mm-dd"),
          $A$2:$A$543&amp;TEXT($H$2:$H$543,"yyyy-mm-dd"),
          0)),
"")</f>
        <v>2.5</v>
      </c>
      <c r="O97" s="147" t="str">
        <f t="shared" ca="1" si="1"/>
        <v/>
      </c>
      <c r="P97" s="147">
        <f t="shared" ref="P97:Q97" ca="1" si="106">IF(N97="",0,IF(N97&lt;=2,1,IF(N97&lt;=4,2,IF(N97&lt;=5.5,3,4))))</f>
        <v>2</v>
      </c>
      <c r="Q97" s="147">
        <f t="shared" ca="1" si="106"/>
        <v>0</v>
      </c>
      <c r="R97" s="147" t="str">
        <f t="shared" ca="1" si="3"/>
        <v>Not tested yet</v>
      </c>
      <c r="S97" s="147">
        <f t="shared" si="4"/>
        <v>0</v>
      </c>
      <c r="T97" s="147"/>
      <c r="U97" s="147"/>
      <c r="V97" s="148" t="e">
        <f ca="1"/>
        <v>#NAME?</v>
      </c>
      <c r="W97" s="147" t="e">
        <f t="shared" ca="1" si="5"/>
        <v>#NAME?</v>
      </c>
      <c r="X97" s="147" t="e">
        <f t="shared" ca="1" si="6"/>
        <v>#NAME?</v>
      </c>
      <c r="Y97" s="147" t="e">
        <f t="shared" ca="1" si="7"/>
        <v>#NAME?</v>
      </c>
      <c r="Z97" s="147"/>
      <c r="AA97" s="147"/>
      <c r="AB97" s="147"/>
      <c r="AC97" s="147"/>
      <c r="AD97" s="147"/>
      <c r="AE97" s="147"/>
      <c r="AF97" s="147"/>
      <c r="AG97" s="147"/>
      <c r="AH97" s="147"/>
      <c r="AI97" s="147"/>
      <c r="AJ97" s="147"/>
      <c r="AK97" s="147"/>
      <c r="AL97" s="147"/>
      <c r="AM97" s="151"/>
      <c r="AN97" s="148" t="str">
        <f ca="1">IFERROR(__xludf.DUMMYFUNCTION("""COMPUTED_VALUE"""),"203791")</f>
        <v>203791</v>
      </c>
      <c r="AO97" s="147" t="str">
        <f t="shared" ca="1" si="8"/>
        <v>DEV</v>
      </c>
      <c r="AP97" s="147" t="e">
        <f t="shared" ca="1" si="9"/>
        <v>#NAME?</v>
      </c>
      <c r="AQ97" s="147" t="str">
        <f t="shared" ca="1" si="10"/>
        <v>ONC</v>
      </c>
      <c r="AR97" s="147"/>
      <c r="AS97" s="147"/>
      <c r="AT97" s="147"/>
      <c r="AU97" s="147"/>
      <c r="AV97" s="147"/>
      <c r="AW97" s="147"/>
      <c r="AX97" s="147"/>
      <c r="AY97" s="147"/>
      <c r="AZ97" s="147"/>
      <c r="BA97" s="147"/>
      <c r="BB97" s="147"/>
      <c r="BC97" s="147"/>
      <c r="BD97" s="147"/>
      <c r="BE97" s="147"/>
      <c r="BF97" s="147"/>
      <c r="BG97" s="147"/>
      <c r="BH97" s="147"/>
      <c r="BI97" s="147"/>
      <c r="BJ97" s="147"/>
      <c r="BK97" s="147"/>
      <c r="BL97" s="147"/>
      <c r="BM97" s="147"/>
      <c r="BN97" s="147"/>
      <c r="BO97" s="147"/>
      <c r="BP97" s="147"/>
      <c r="BQ97" s="147"/>
      <c r="BR97" s="147"/>
      <c r="BS97" s="147"/>
      <c r="BT97" s="147"/>
      <c r="BU97" s="147"/>
      <c r="BV97" s="147"/>
      <c r="BW97" s="147"/>
      <c r="BX97" s="147"/>
      <c r="BY97" s="147"/>
      <c r="BZ97" s="147"/>
      <c r="CA97" s="147"/>
      <c r="CB97" s="147"/>
      <c r="CC97" s="147"/>
      <c r="CD97" s="147"/>
      <c r="CE97" s="147"/>
      <c r="CF97" s="147"/>
      <c r="CG97" s="147"/>
      <c r="CH97" s="147"/>
      <c r="CI97" s="147"/>
      <c r="CJ97" s="147"/>
      <c r="CK97" s="147"/>
    </row>
    <row r="98" spans="1:89">
      <c r="A98" s="159" t="s">
        <v>451</v>
      </c>
      <c r="B98" s="3" t="s">
        <v>452</v>
      </c>
      <c r="C98" s="160" t="s">
        <v>59</v>
      </c>
      <c r="D98" s="160" t="s">
        <v>853</v>
      </c>
      <c r="E98" s="3" t="s">
        <v>22</v>
      </c>
      <c r="F98" s="3" t="s">
        <v>934</v>
      </c>
      <c r="G98" s="3" t="s">
        <v>937</v>
      </c>
      <c r="H98" s="156" t="str">
        <f ca="1">IFERROR(
  _xludf.MINIFS(ATTENDANCE_LOG!$F:$F,
         ATTENDANCE_LOG!$A:$A, C98,
         ATTENDANCE_LOG!$B:$B, E98),
"")</f>
        <v/>
      </c>
      <c r="I98" s="156" t="str">
        <f t="shared" ca="1" si="0"/>
        <v/>
      </c>
      <c r="J98" s="3">
        <f>IFERROR(VLOOKUP(F98, LEVEL_HELPER!$A:$B, 2, 0), "")</f>
        <v>3.5</v>
      </c>
      <c r="K98" s="3">
        <f>IFERROR(VLOOKUP(G98, LEVEL_HELPER!$A:$B, 2, 0), "")</f>
        <v>5.5</v>
      </c>
      <c r="L98" s="157" t="s">
        <v>930</v>
      </c>
      <c r="M98" s="157" t="s">
        <v>922</v>
      </c>
      <c r="N98" s="3">
        <f t="array" aca="1" ref="N98" ca="1">IFERROR(
  INDEX($J$2:$J$543,
    MATCH(A98&amp;TEXT(I98,"yyyy-mm-dd"),
          $A$2:$A$543&amp;TEXT($H$2:$H$543,"yyyy-mm-dd"),
          0)),
"")</f>
        <v>1</v>
      </c>
      <c r="O98" s="147" t="str">
        <f t="shared" ca="1" si="1"/>
        <v/>
      </c>
      <c r="P98" s="147">
        <f t="shared" ref="P98:Q98" ca="1" si="107">IF(N98="",0,IF(N98&lt;=2,1,IF(N98&lt;=4,2,IF(N98&lt;=5.5,3,4))))</f>
        <v>1</v>
      </c>
      <c r="Q98" s="147">
        <f t="shared" ca="1" si="107"/>
        <v>0</v>
      </c>
      <c r="R98" s="147" t="str">
        <f t="shared" ca="1" si="3"/>
        <v>Not tested yet</v>
      </c>
      <c r="S98" s="147">
        <f t="shared" si="4"/>
        <v>0</v>
      </c>
      <c r="T98" s="147"/>
      <c r="U98" s="147"/>
      <c r="V98" s="148" t="e">
        <f ca="1"/>
        <v>#NAME?</v>
      </c>
      <c r="W98" s="147" t="e">
        <f t="shared" ca="1" si="5"/>
        <v>#NAME?</v>
      </c>
      <c r="X98" s="147" t="e">
        <f t="shared" ca="1" si="6"/>
        <v>#NAME?</v>
      </c>
      <c r="Y98" s="147" t="e">
        <f t="shared" ca="1" si="7"/>
        <v>#NAME?</v>
      </c>
      <c r="Z98" s="147"/>
      <c r="AA98" s="147"/>
      <c r="AB98" s="147"/>
      <c r="AC98" s="147"/>
      <c r="AD98" s="147"/>
      <c r="AE98" s="147"/>
      <c r="AF98" s="147"/>
      <c r="AG98" s="147"/>
      <c r="AH98" s="147"/>
      <c r="AI98" s="147"/>
      <c r="AJ98" s="147"/>
      <c r="AK98" s="147"/>
      <c r="AL98" s="147"/>
      <c r="AM98" s="151"/>
      <c r="AN98" s="148" t="str">
        <f ca="1">IFERROR(__xludf.DUMMYFUNCTION("""COMPUTED_VALUE"""),"237031")</f>
        <v>237031</v>
      </c>
      <c r="AO98" s="147" t="str">
        <f t="shared" ca="1" si="8"/>
        <v>DEV</v>
      </c>
      <c r="AP98" s="147" t="e">
        <f t="shared" ca="1" si="9"/>
        <v>#NAME?</v>
      </c>
      <c r="AQ98" s="147" t="str">
        <f t="shared" ca="1" si="10"/>
        <v>ONC</v>
      </c>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7"/>
      <c r="BN98" s="147"/>
      <c r="BO98" s="147"/>
      <c r="BP98" s="147"/>
      <c r="BQ98" s="147"/>
      <c r="BR98" s="147"/>
      <c r="BS98" s="147"/>
      <c r="BT98" s="147"/>
      <c r="BU98" s="147"/>
      <c r="BV98" s="147"/>
      <c r="BW98" s="147"/>
      <c r="BX98" s="147"/>
      <c r="BY98" s="147"/>
      <c r="BZ98" s="147"/>
      <c r="CA98" s="147"/>
      <c r="CB98" s="147"/>
      <c r="CC98" s="147"/>
      <c r="CD98" s="147"/>
      <c r="CE98" s="147"/>
      <c r="CF98" s="147"/>
      <c r="CG98" s="147"/>
      <c r="CH98" s="147"/>
      <c r="CI98" s="147"/>
      <c r="CJ98" s="147"/>
      <c r="CK98" s="147"/>
    </row>
    <row r="99" spans="1:89">
      <c r="A99" s="159" t="s">
        <v>466</v>
      </c>
      <c r="B99" s="3" t="s">
        <v>467</v>
      </c>
      <c r="C99" s="160" t="s">
        <v>59</v>
      </c>
      <c r="D99" s="160" t="s">
        <v>853</v>
      </c>
      <c r="E99" s="3" t="s">
        <v>22</v>
      </c>
      <c r="F99" s="3" t="s">
        <v>928</v>
      </c>
      <c r="G99" s="3" t="s">
        <v>917</v>
      </c>
      <c r="H99" s="156" t="str">
        <f ca="1">IFERROR(
  _xludf.MINIFS(ATTENDANCE_LOG!$F:$F,
         ATTENDANCE_LOG!$A:$A, C99,
         ATTENDANCE_LOG!$B:$B, E99),
"")</f>
        <v/>
      </c>
      <c r="I99" s="156" t="str">
        <f t="shared" ca="1" si="0"/>
        <v/>
      </c>
      <c r="J99" s="3">
        <f>IFERROR(VLOOKUP(F99, LEVEL_HELPER!$A:$B, 2, 0), "")</f>
        <v>1.5</v>
      </c>
      <c r="K99" s="3">
        <f>IFERROR(VLOOKUP(G99, LEVEL_HELPER!$A:$B, 2, 0), "")</f>
        <v>3</v>
      </c>
      <c r="L99" s="157" t="s">
        <v>930</v>
      </c>
      <c r="M99" s="157" t="s">
        <v>922</v>
      </c>
      <c r="N99" s="3">
        <f t="array" aca="1" ref="N99" ca="1">IFERROR(
  INDEX($J$2:$J$543,
    MATCH(A99&amp;TEXT(I99,"yyyy-mm-dd"),
          $A$2:$A$543&amp;TEXT($H$2:$H$543,"yyyy-mm-dd"),
          0)),
"")</f>
        <v>1</v>
      </c>
      <c r="O99" s="147" t="str">
        <f t="shared" ca="1" si="1"/>
        <v/>
      </c>
      <c r="P99" s="147">
        <f t="shared" ref="P99:Q99" ca="1" si="108">IF(N99="",0,IF(N99&lt;=2,1,IF(N99&lt;=4,2,IF(N99&lt;=5.5,3,4))))</f>
        <v>1</v>
      </c>
      <c r="Q99" s="147">
        <f t="shared" ca="1" si="108"/>
        <v>0</v>
      </c>
      <c r="R99" s="147" t="str">
        <f t="shared" ca="1" si="3"/>
        <v>Not tested yet</v>
      </c>
      <c r="S99" s="147">
        <f t="shared" si="4"/>
        <v>0</v>
      </c>
      <c r="T99" s="147"/>
      <c r="U99" s="147"/>
      <c r="V99" s="148" t="e">
        <f ca="1"/>
        <v>#NAME?</v>
      </c>
      <c r="W99" s="147" t="e">
        <f t="shared" ca="1" si="5"/>
        <v>#NAME?</v>
      </c>
      <c r="X99" s="147" t="e">
        <f t="shared" ca="1" si="6"/>
        <v>#NAME?</v>
      </c>
      <c r="Y99" s="147" t="e">
        <f t="shared" ca="1" si="7"/>
        <v>#NAME?</v>
      </c>
      <c r="Z99" s="147"/>
      <c r="AA99" s="147"/>
      <c r="AB99" s="147"/>
      <c r="AC99" s="147"/>
      <c r="AD99" s="147"/>
      <c r="AE99" s="147"/>
      <c r="AF99" s="147"/>
      <c r="AG99" s="147"/>
      <c r="AH99" s="147"/>
      <c r="AI99" s="147"/>
      <c r="AJ99" s="147"/>
      <c r="AK99" s="147"/>
      <c r="AL99" s="147"/>
      <c r="AM99" s="151"/>
      <c r="AN99" s="148" t="str">
        <f ca="1">IFERROR(__xludf.DUMMYFUNCTION("""COMPUTED_VALUE"""),"203713")</f>
        <v>203713</v>
      </c>
      <c r="AO99" s="147" t="str">
        <f t="shared" ca="1" si="8"/>
        <v>DEV</v>
      </c>
      <c r="AP99" s="147" t="e">
        <f t="shared" ca="1" si="9"/>
        <v>#NAME?</v>
      </c>
      <c r="AQ99" s="147" t="str">
        <f t="shared" ca="1" si="10"/>
        <v>ONC</v>
      </c>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7"/>
      <c r="BN99" s="147"/>
      <c r="BO99" s="147"/>
      <c r="BP99" s="147"/>
      <c r="BQ99" s="147"/>
      <c r="BR99" s="147"/>
      <c r="BS99" s="147"/>
      <c r="BT99" s="147"/>
      <c r="BU99" s="147"/>
      <c r="BV99" s="147"/>
      <c r="BW99" s="147"/>
      <c r="BX99" s="147"/>
      <c r="BY99" s="147"/>
      <c r="BZ99" s="147"/>
      <c r="CA99" s="147"/>
      <c r="CB99" s="147"/>
      <c r="CC99" s="147"/>
      <c r="CD99" s="147"/>
      <c r="CE99" s="147"/>
      <c r="CF99" s="147"/>
      <c r="CG99" s="147"/>
      <c r="CH99" s="147"/>
      <c r="CI99" s="147"/>
      <c r="CJ99" s="147"/>
      <c r="CK99" s="147"/>
    </row>
    <row r="100" spans="1:89">
      <c r="A100" s="159" t="s">
        <v>484</v>
      </c>
      <c r="B100" s="3" t="s">
        <v>485</v>
      </c>
      <c r="C100" s="160" t="s">
        <v>59</v>
      </c>
      <c r="D100" s="160" t="s">
        <v>853</v>
      </c>
      <c r="E100" s="3" t="s">
        <v>22</v>
      </c>
      <c r="F100" s="3" t="s">
        <v>934</v>
      </c>
      <c r="G100" s="3" t="s">
        <v>934</v>
      </c>
      <c r="H100" s="156" t="str">
        <f ca="1">IFERROR(
  _xludf.MINIFS(ATTENDANCE_LOG!$F:$F,
         ATTENDANCE_LOG!$A:$A, C100,
         ATTENDANCE_LOG!$B:$B, E100),
"")</f>
        <v/>
      </c>
      <c r="I100" s="156" t="str">
        <f t="shared" ca="1" si="0"/>
        <v/>
      </c>
      <c r="J100" s="3">
        <f>IFERROR(VLOOKUP(F100, LEVEL_HELPER!$A:$B, 2, 0), "")</f>
        <v>3.5</v>
      </c>
      <c r="K100" s="3">
        <f>IFERROR(VLOOKUP(G100, LEVEL_HELPER!$A:$B, 2, 0), "")</f>
        <v>3.5</v>
      </c>
      <c r="L100" s="157" t="s">
        <v>930</v>
      </c>
      <c r="M100" s="157" t="s">
        <v>924</v>
      </c>
      <c r="N100" s="3">
        <f t="array" aca="1" ref="N100" ca="1">IFERROR(
  INDEX($J$2:$J$543,
    MATCH(A100&amp;TEXT(I100,"yyyy-mm-dd"),
          $A$2:$A$543&amp;TEXT($H$2:$H$543,"yyyy-mm-dd"),
          0)),
"")</f>
        <v>2.5</v>
      </c>
      <c r="O100" s="147" t="str">
        <f t="shared" ca="1" si="1"/>
        <v/>
      </c>
      <c r="P100" s="147">
        <f t="shared" ref="P100:Q100" ca="1" si="109">IF(N100="",0,IF(N100&lt;=2,1,IF(N100&lt;=4,2,IF(N100&lt;=5.5,3,4))))</f>
        <v>2</v>
      </c>
      <c r="Q100" s="147">
        <f t="shared" ca="1" si="109"/>
        <v>0</v>
      </c>
      <c r="R100" s="147" t="str">
        <f t="shared" ca="1" si="3"/>
        <v>Not tested yet</v>
      </c>
      <c r="S100" s="147">
        <f t="shared" si="4"/>
        <v>0</v>
      </c>
      <c r="T100" s="147"/>
      <c r="U100" s="147"/>
      <c r="V100" s="148" t="e">
        <f ca="1"/>
        <v>#NAME?</v>
      </c>
      <c r="W100" s="147" t="e">
        <f t="shared" ca="1" si="5"/>
        <v>#NAME?</v>
      </c>
      <c r="X100" s="147" t="e">
        <f t="shared" ca="1" si="6"/>
        <v>#NAME?</v>
      </c>
      <c r="Y100" s="147" t="e">
        <f t="shared" ca="1" si="7"/>
        <v>#NAME?</v>
      </c>
      <c r="Z100" s="147"/>
      <c r="AA100" s="147"/>
      <c r="AB100" s="147"/>
      <c r="AC100" s="147"/>
      <c r="AD100" s="147"/>
      <c r="AE100" s="147"/>
      <c r="AF100" s="147"/>
      <c r="AG100" s="147"/>
      <c r="AH100" s="147"/>
      <c r="AI100" s="147"/>
      <c r="AJ100" s="147"/>
      <c r="AK100" s="147"/>
      <c r="AL100" s="147"/>
      <c r="AM100" s="151"/>
      <c r="AN100" s="148" t="str">
        <f ca="1">IFERROR(__xludf.DUMMYFUNCTION("""COMPUTED_VALUE"""),"213874")</f>
        <v>213874</v>
      </c>
      <c r="AO100" s="147" t="str">
        <f t="shared" ca="1" si="8"/>
        <v>DEV</v>
      </c>
      <c r="AP100" s="147" t="e">
        <f t="shared" ca="1" si="9"/>
        <v>#NAME?</v>
      </c>
      <c r="AQ100" s="147" t="str">
        <f t="shared" ca="1" si="10"/>
        <v>ONC</v>
      </c>
      <c r="AR100" s="147"/>
      <c r="AS100" s="147"/>
      <c r="AT100" s="147"/>
      <c r="AU100" s="147"/>
      <c r="AV100" s="147"/>
      <c r="AW100" s="147"/>
      <c r="AX100" s="147"/>
      <c r="AY100" s="147"/>
      <c r="AZ100" s="147"/>
      <c r="BA100" s="147"/>
      <c r="BB100" s="147"/>
      <c r="BC100" s="147"/>
      <c r="BD100" s="147"/>
      <c r="BE100" s="147"/>
      <c r="BF100" s="147"/>
      <c r="BG100" s="147"/>
      <c r="BH100" s="147"/>
      <c r="BI100" s="147"/>
      <c r="BJ100" s="147"/>
      <c r="BK100" s="147"/>
      <c r="BL100" s="147"/>
      <c r="BM100" s="147"/>
      <c r="BN100" s="147"/>
      <c r="BO100" s="147"/>
      <c r="BP100" s="147"/>
      <c r="BQ100" s="147"/>
      <c r="BR100" s="147"/>
      <c r="BS100" s="147"/>
      <c r="BT100" s="147"/>
      <c r="BU100" s="147"/>
      <c r="BV100" s="147"/>
      <c r="BW100" s="147"/>
      <c r="BX100" s="147"/>
      <c r="BY100" s="147"/>
      <c r="BZ100" s="147"/>
      <c r="CA100" s="147"/>
      <c r="CB100" s="147"/>
      <c r="CC100" s="147"/>
      <c r="CD100" s="147"/>
      <c r="CE100" s="147"/>
      <c r="CF100" s="147"/>
      <c r="CG100" s="147"/>
      <c r="CH100" s="147"/>
      <c r="CI100" s="147"/>
      <c r="CJ100" s="147"/>
      <c r="CK100" s="147"/>
    </row>
    <row r="101" spans="1:89">
      <c r="A101" s="159" t="s">
        <v>547</v>
      </c>
      <c r="B101" s="3" t="s">
        <v>548</v>
      </c>
      <c r="C101" s="160" t="s">
        <v>59</v>
      </c>
      <c r="D101" s="160" t="s">
        <v>853</v>
      </c>
      <c r="E101" s="3" t="s">
        <v>22</v>
      </c>
      <c r="F101" s="3" t="s">
        <v>931</v>
      </c>
      <c r="G101" s="3" t="s">
        <v>940</v>
      </c>
      <c r="H101" s="156" t="str">
        <f ca="1">IFERROR(
  _xludf.MINIFS(ATTENDANCE_LOG!$F:$F,
         ATTENDANCE_LOG!$A:$A, C101,
         ATTENDANCE_LOG!$B:$B, E101),
"")</f>
        <v/>
      </c>
      <c r="I101" s="156" t="str">
        <f t="shared" ca="1" si="0"/>
        <v/>
      </c>
      <c r="J101" s="3">
        <f>IFERROR(VLOOKUP(F101, LEVEL_HELPER!$A:$B, 2, 0), "")</f>
        <v>4.5</v>
      </c>
      <c r="K101" s="3">
        <f>IFERROR(VLOOKUP(G101, LEVEL_HELPER!$A:$B, 2, 0), "")</f>
        <v>5</v>
      </c>
      <c r="L101" s="157" t="s">
        <v>930</v>
      </c>
      <c r="M101" s="157" t="s">
        <v>922</v>
      </c>
      <c r="N101" s="3">
        <f t="array" aca="1" ref="N101" ca="1">IFERROR(
  INDEX($J$2:$J$543,
    MATCH(A101&amp;TEXT(I101,"yyyy-mm-dd"),
          $A$2:$A$543&amp;TEXT($H$2:$H$543,"yyyy-mm-dd"),
          0)),
"")</f>
        <v>4.5</v>
      </c>
      <c r="O101" s="147" t="str">
        <f t="shared" ca="1" si="1"/>
        <v/>
      </c>
      <c r="P101" s="147">
        <f t="shared" ref="P101:Q101" ca="1" si="110">IF(N101="",0,IF(N101&lt;=2,1,IF(N101&lt;=4,2,IF(N101&lt;=5.5,3,4))))</f>
        <v>3</v>
      </c>
      <c r="Q101" s="147">
        <f t="shared" ca="1" si="110"/>
        <v>0</v>
      </c>
      <c r="R101" s="147" t="str">
        <f t="shared" ca="1" si="3"/>
        <v>Not tested yet</v>
      </c>
      <c r="S101" s="147">
        <f t="shared" si="4"/>
        <v>0</v>
      </c>
      <c r="T101" s="147"/>
      <c r="U101" s="147"/>
      <c r="V101" s="148" t="e">
        <f ca="1"/>
        <v>#NAME?</v>
      </c>
      <c r="W101" s="147" t="e">
        <f t="shared" ca="1" si="5"/>
        <v>#NAME?</v>
      </c>
      <c r="X101" s="147" t="e">
        <f t="shared" ca="1" si="6"/>
        <v>#NAME?</v>
      </c>
      <c r="Y101" s="147" t="e">
        <f t="shared" ca="1" si="7"/>
        <v>#NAME?</v>
      </c>
      <c r="Z101" s="147"/>
      <c r="AA101" s="147"/>
      <c r="AB101" s="147"/>
      <c r="AC101" s="147"/>
      <c r="AD101" s="147"/>
      <c r="AE101" s="147"/>
      <c r="AF101" s="147"/>
      <c r="AG101" s="147"/>
      <c r="AH101" s="147"/>
      <c r="AI101" s="147"/>
      <c r="AJ101" s="147"/>
      <c r="AK101" s="147"/>
      <c r="AL101" s="147"/>
      <c r="AM101" s="151"/>
      <c r="AN101" s="148" t="str">
        <f ca="1">IFERROR(__xludf.DUMMYFUNCTION("""COMPUTED_VALUE"""),"203725")</f>
        <v>203725</v>
      </c>
      <c r="AO101" s="147" t="str">
        <f t="shared" ca="1" si="8"/>
        <v>DEV</v>
      </c>
      <c r="AP101" s="147" t="e">
        <f t="shared" ca="1" si="9"/>
        <v>#NAME?</v>
      </c>
      <c r="AQ101" s="147" t="str">
        <f t="shared" ca="1" si="10"/>
        <v>ONC</v>
      </c>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c r="BM101" s="147"/>
      <c r="BN101" s="147"/>
      <c r="BO101" s="147"/>
      <c r="BP101" s="147"/>
      <c r="BQ101" s="147"/>
      <c r="BR101" s="147"/>
      <c r="BS101" s="147"/>
      <c r="BT101" s="147"/>
      <c r="BU101" s="147"/>
      <c r="BV101" s="147"/>
      <c r="BW101" s="147"/>
      <c r="BX101" s="147"/>
      <c r="BY101" s="147"/>
      <c r="BZ101" s="147"/>
      <c r="CA101" s="147"/>
      <c r="CB101" s="147"/>
      <c r="CC101" s="147"/>
      <c r="CD101" s="147"/>
      <c r="CE101" s="147"/>
      <c r="CF101" s="147"/>
      <c r="CG101" s="147"/>
      <c r="CH101" s="147"/>
      <c r="CI101" s="147"/>
      <c r="CJ101" s="147"/>
      <c r="CK101" s="147"/>
    </row>
    <row r="102" spans="1:89">
      <c r="A102" s="153" t="s">
        <v>627</v>
      </c>
      <c r="B102" s="154" t="s">
        <v>628</v>
      </c>
      <c r="C102" s="155" t="s">
        <v>60</v>
      </c>
      <c r="D102" s="155" t="s">
        <v>854</v>
      </c>
      <c r="E102" s="154" t="s">
        <v>21</v>
      </c>
      <c r="F102" s="3" t="s">
        <v>926</v>
      </c>
      <c r="G102" s="3" t="s">
        <v>916</v>
      </c>
      <c r="H102" s="156" t="str">
        <f ca="1">IFERROR(
  _xludf.MINIFS(ATTENDANCE_LOG!$F:$F,
         ATTENDANCE_LOG!$A:$A, C102,
         ATTENDANCE_LOG!$B:$B, E102),
"")</f>
        <v/>
      </c>
      <c r="I102" s="156" t="str">
        <f t="shared" ca="1" si="0"/>
        <v/>
      </c>
      <c r="J102" s="3">
        <f>IFERROR(VLOOKUP(F102, LEVEL_HELPER!$A:$B, 2, 0), "")</f>
        <v>1</v>
      </c>
      <c r="K102" s="3">
        <f>IFERROR(VLOOKUP(G102, LEVEL_HELPER!$A:$B, 2, 0), "")</f>
        <v>2.5</v>
      </c>
      <c r="L102" s="157" t="s">
        <v>944</v>
      </c>
      <c r="M102" s="157" t="s">
        <v>921</v>
      </c>
      <c r="N102" s="3">
        <f t="array" aca="1" ref="N102" ca="1">IFERROR(
  INDEX($J$2:$J$543,
    MATCH(A102&amp;TEXT(I102,"yyyy-mm-dd"),
          $A$2:$A$543&amp;TEXT($H$2:$H$543,"yyyy-mm-dd"),
          0)),
"")</f>
        <v>1</v>
      </c>
      <c r="O102" s="147" t="str">
        <f t="shared" ca="1" si="1"/>
        <v/>
      </c>
      <c r="P102" s="147">
        <f t="shared" ref="P102:Q102" ca="1" si="111">IF(N102="",0,IF(N102&lt;=2,1,IF(N102&lt;=4,2,IF(N102&lt;=5.5,3,4))))</f>
        <v>1</v>
      </c>
      <c r="Q102" s="147">
        <f t="shared" ca="1" si="111"/>
        <v>0</v>
      </c>
      <c r="R102" s="147" t="str">
        <f t="shared" ca="1" si="3"/>
        <v>Not tested yet</v>
      </c>
      <c r="S102" s="147">
        <f t="shared" si="4"/>
        <v>1</v>
      </c>
      <c r="T102" s="147"/>
      <c r="U102" s="147"/>
      <c r="V102" s="148" t="e">
        <f ca="1"/>
        <v>#NAME?</v>
      </c>
      <c r="W102" s="147" t="e">
        <f t="shared" ca="1" si="5"/>
        <v>#NAME?</v>
      </c>
      <c r="X102" s="147" t="e">
        <f t="shared" ca="1" si="6"/>
        <v>#NAME?</v>
      </c>
      <c r="Y102" s="147" t="e">
        <f t="shared" ca="1" si="7"/>
        <v>#NAME?</v>
      </c>
      <c r="Z102" s="147"/>
      <c r="AA102" s="147"/>
      <c r="AB102" s="147"/>
      <c r="AC102" s="147"/>
      <c r="AD102" s="147"/>
      <c r="AE102" s="147"/>
      <c r="AF102" s="147"/>
      <c r="AG102" s="147"/>
      <c r="AH102" s="147"/>
      <c r="AI102" s="147"/>
      <c r="AJ102" s="147"/>
      <c r="AK102" s="147"/>
      <c r="AL102" s="147"/>
      <c r="AM102" s="151"/>
      <c r="AN102" s="148" t="str">
        <f ca="1">IFERROR(__xludf.DUMMYFUNCTION("""COMPUTED_VALUE"""),"227005")</f>
        <v>227005</v>
      </c>
      <c r="AO102" s="147" t="str">
        <f t="shared" ca="1" si="8"/>
        <v>IM</v>
      </c>
      <c r="AP102" s="147" t="e">
        <f t="shared" ca="1" si="9"/>
        <v>#NAME?</v>
      </c>
      <c r="AQ102" s="147" t="str">
        <f t="shared" ca="1" si="10"/>
        <v>CHORUS</v>
      </c>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c r="BM102" s="147"/>
      <c r="BN102" s="147"/>
      <c r="BO102" s="147"/>
      <c r="BP102" s="147"/>
      <c r="BQ102" s="147"/>
      <c r="BR102" s="147"/>
      <c r="BS102" s="147"/>
      <c r="BT102" s="147"/>
      <c r="BU102" s="147"/>
      <c r="BV102" s="147"/>
      <c r="BW102" s="147"/>
      <c r="BX102" s="147"/>
      <c r="BY102" s="147"/>
      <c r="BZ102" s="147"/>
      <c r="CA102" s="147"/>
      <c r="CB102" s="147"/>
      <c r="CC102" s="147"/>
      <c r="CD102" s="147"/>
      <c r="CE102" s="147"/>
      <c r="CF102" s="147"/>
      <c r="CG102" s="147"/>
      <c r="CH102" s="147"/>
      <c r="CI102" s="147"/>
      <c r="CJ102" s="147"/>
      <c r="CK102" s="147"/>
    </row>
    <row r="103" spans="1:89">
      <c r="A103" s="159" t="s">
        <v>216</v>
      </c>
      <c r="B103" s="3" t="s">
        <v>217</v>
      </c>
      <c r="C103" s="160" t="s">
        <v>60</v>
      </c>
      <c r="D103" s="160" t="s">
        <v>854</v>
      </c>
      <c r="E103" s="3" t="s">
        <v>21</v>
      </c>
      <c r="F103" s="3" t="s">
        <v>916</v>
      </c>
      <c r="G103" s="3" t="s">
        <v>916</v>
      </c>
      <c r="H103" s="156" t="str">
        <f ca="1">IFERROR(
  _xludf.MINIFS(ATTENDANCE_LOG!$F:$F,
         ATTENDANCE_LOG!$A:$A, C103,
         ATTENDANCE_LOG!$B:$B, E103),
"")</f>
        <v/>
      </c>
      <c r="I103" s="156" t="str">
        <f t="shared" ca="1" si="0"/>
        <v/>
      </c>
      <c r="J103" s="3">
        <f>IFERROR(VLOOKUP(F103, LEVEL_HELPER!$A:$B, 2, 0), "")</f>
        <v>2.5</v>
      </c>
      <c r="K103" s="3">
        <f>IFERROR(VLOOKUP(G103, LEVEL_HELPER!$A:$B, 2, 0), "")</f>
        <v>2.5</v>
      </c>
      <c r="L103" s="157" t="s">
        <v>942</v>
      </c>
      <c r="M103" s="157" t="s">
        <v>921</v>
      </c>
      <c r="N103" s="3">
        <f t="array" aca="1" ref="N103" ca="1">IFERROR(
  INDEX($J$2:$J$543,
    MATCH(A103&amp;TEXT(I103,"yyyy-mm-dd"),
          $A$2:$A$543&amp;TEXT($H$2:$H$543,"yyyy-mm-dd"),
          0)),
"")</f>
        <v>2.5</v>
      </c>
      <c r="O103" s="147" t="str">
        <f t="shared" ca="1" si="1"/>
        <v/>
      </c>
      <c r="P103" s="147">
        <f t="shared" ref="P103:Q103" ca="1" si="112">IF(N103="",0,IF(N103&lt;=2,1,IF(N103&lt;=4,2,IF(N103&lt;=5.5,3,4))))</f>
        <v>2</v>
      </c>
      <c r="Q103" s="147">
        <f t="shared" ca="1" si="112"/>
        <v>0</v>
      </c>
      <c r="R103" s="147" t="str">
        <f t="shared" ca="1" si="3"/>
        <v>Not tested yet</v>
      </c>
      <c r="S103" s="147">
        <f t="shared" si="4"/>
        <v>1</v>
      </c>
      <c r="T103" s="147"/>
      <c r="U103" s="147"/>
      <c r="V103" s="148" t="e">
        <f ca="1"/>
        <v>#NAME?</v>
      </c>
      <c r="W103" s="147" t="e">
        <f t="shared" ca="1" si="5"/>
        <v>#NAME?</v>
      </c>
      <c r="X103" s="147" t="e">
        <f t="shared" ca="1" si="6"/>
        <v>#NAME?</v>
      </c>
      <c r="Y103" s="147" t="e">
        <f t="shared" ca="1" si="7"/>
        <v>#NAME?</v>
      </c>
      <c r="Z103" s="147"/>
      <c r="AA103" s="147"/>
      <c r="AB103" s="147"/>
      <c r="AC103" s="147"/>
      <c r="AD103" s="147"/>
      <c r="AE103" s="147"/>
      <c r="AF103" s="147"/>
      <c r="AG103" s="147"/>
      <c r="AH103" s="147"/>
      <c r="AI103" s="147"/>
      <c r="AJ103" s="147"/>
      <c r="AK103" s="147"/>
      <c r="AL103" s="147"/>
      <c r="AM103" s="151"/>
      <c r="AN103" s="148" t="str">
        <f ca="1">IFERROR(__xludf.DUMMYFUNCTION("""COMPUTED_VALUE"""),"213813")</f>
        <v>213813</v>
      </c>
      <c r="AO103" s="147" t="str">
        <f t="shared" ca="1" si="8"/>
        <v>DEV</v>
      </c>
      <c r="AP103" s="147" t="e">
        <f t="shared" ca="1" si="9"/>
        <v>#NAME?</v>
      </c>
      <c r="AQ103" s="147" t="str">
        <f t="shared" ca="1" si="10"/>
        <v>LBU</v>
      </c>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7"/>
      <c r="BN103" s="147"/>
      <c r="BO103" s="147"/>
      <c r="BP103" s="147"/>
      <c r="BQ103" s="147"/>
      <c r="BR103" s="147"/>
      <c r="BS103" s="147"/>
      <c r="BT103" s="147"/>
      <c r="BU103" s="147"/>
      <c r="BV103" s="147"/>
      <c r="BW103" s="147"/>
      <c r="BX103" s="147"/>
      <c r="BY103" s="147"/>
      <c r="BZ103" s="147"/>
      <c r="CA103" s="147"/>
      <c r="CB103" s="147"/>
      <c r="CC103" s="147"/>
      <c r="CD103" s="147"/>
      <c r="CE103" s="147"/>
      <c r="CF103" s="147"/>
      <c r="CG103" s="147"/>
      <c r="CH103" s="147"/>
      <c r="CI103" s="147"/>
      <c r="CJ103" s="147"/>
      <c r="CK103" s="147"/>
    </row>
    <row r="104" spans="1:89">
      <c r="A104" s="159" t="s">
        <v>232</v>
      </c>
      <c r="B104" s="3" t="s">
        <v>233</v>
      </c>
      <c r="C104" s="160" t="s">
        <v>60</v>
      </c>
      <c r="D104" s="160" t="s">
        <v>854</v>
      </c>
      <c r="E104" s="3" t="s">
        <v>21</v>
      </c>
      <c r="F104" s="3" t="s">
        <v>926</v>
      </c>
      <c r="G104" s="3" t="s">
        <v>916</v>
      </c>
      <c r="H104" s="156" t="str">
        <f ca="1">IFERROR(
  _xludf.MINIFS(ATTENDANCE_LOG!$F:$F,
         ATTENDANCE_LOG!$A:$A, C104,
         ATTENDANCE_LOG!$B:$B, E104),
"")</f>
        <v/>
      </c>
      <c r="I104" s="156" t="str">
        <f t="shared" ca="1" si="0"/>
        <v/>
      </c>
      <c r="J104" s="3">
        <f>IFERROR(VLOOKUP(F104, LEVEL_HELPER!$A:$B, 2, 0), "")</f>
        <v>1</v>
      </c>
      <c r="K104" s="3">
        <f>IFERROR(VLOOKUP(G104, LEVEL_HELPER!$A:$B, 2, 0), "")</f>
        <v>2.5</v>
      </c>
      <c r="L104" s="157" t="s">
        <v>942</v>
      </c>
      <c r="M104" s="157" t="s">
        <v>921</v>
      </c>
      <c r="N104" s="3">
        <f t="array" aca="1" ref="N104" ca="1">IFERROR(
  INDEX($J$2:$J$543,
    MATCH(A104&amp;TEXT(I104,"yyyy-mm-dd"),
          $A$2:$A$543&amp;TEXT($H$2:$H$543,"yyyy-mm-dd"),
          0)),
"")</f>
        <v>1</v>
      </c>
      <c r="O104" s="147" t="str">
        <f t="shared" ca="1" si="1"/>
        <v/>
      </c>
      <c r="P104" s="147">
        <f t="shared" ref="P104:Q104" ca="1" si="113">IF(N104="",0,IF(N104&lt;=2,1,IF(N104&lt;=4,2,IF(N104&lt;=5.5,3,4))))</f>
        <v>1</v>
      </c>
      <c r="Q104" s="147">
        <f t="shared" ca="1" si="113"/>
        <v>0</v>
      </c>
      <c r="R104" s="147" t="str">
        <f t="shared" ca="1" si="3"/>
        <v>Not tested yet</v>
      </c>
      <c r="S104" s="147">
        <f t="shared" si="4"/>
        <v>1</v>
      </c>
      <c r="T104" s="147"/>
      <c r="U104" s="147"/>
      <c r="V104" s="148" t="e">
        <f ca="1"/>
        <v>#NAME?</v>
      </c>
      <c r="W104" s="147" t="e">
        <f t="shared" ca="1" si="5"/>
        <v>#NAME?</v>
      </c>
      <c r="X104" s="147" t="e">
        <f t="shared" ca="1" si="6"/>
        <v>#NAME?</v>
      </c>
      <c r="Y104" s="147" t="e">
        <f t="shared" ca="1" si="7"/>
        <v>#NAME?</v>
      </c>
      <c r="Z104" s="147"/>
      <c r="AA104" s="147"/>
      <c r="AB104" s="147"/>
      <c r="AC104" s="147"/>
      <c r="AD104" s="147"/>
      <c r="AE104" s="147"/>
      <c r="AF104" s="147"/>
      <c r="AG104" s="147"/>
      <c r="AH104" s="147"/>
      <c r="AI104" s="147"/>
      <c r="AJ104" s="147"/>
      <c r="AK104" s="147"/>
      <c r="AL104" s="147"/>
      <c r="AM104" s="151"/>
      <c r="AN104" s="148" t="str">
        <f ca="1">IFERROR(__xludf.DUMMYFUNCTION("""COMPUTED_VALUE"""),"203786")</f>
        <v>203786</v>
      </c>
      <c r="AO104" s="147" t="str">
        <f t="shared" ca="1" si="8"/>
        <v>BA</v>
      </c>
      <c r="AP104" s="147" t="e">
        <f t="shared" ca="1" si="9"/>
        <v>#NAME?</v>
      </c>
      <c r="AQ104" s="147" t="str">
        <f t="shared" ca="1" si="10"/>
        <v>LBU</v>
      </c>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7"/>
      <c r="BN104" s="147"/>
      <c r="BO104" s="147"/>
      <c r="BP104" s="147"/>
      <c r="BQ104" s="147"/>
      <c r="BR104" s="147"/>
      <c r="BS104" s="147"/>
      <c r="BT104" s="147"/>
      <c r="BU104" s="147"/>
      <c r="BV104" s="147"/>
      <c r="BW104" s="147"/>
      <c r="BX104" s="147"/>
      <c r="BY104" s="147"/>
      <c r="BZ104" s="147"/>
      <c r="CA104" s="147"/>
      <c r="CB104" s="147"/>
      <c r="CC104" s="147"/>
      <c r="CD104" s="147"/>
      <c r="CE104" s="147"/>
      <c r="CF104" s="147"/>
      <c r="CG104" s="147"/>
      <c r="CH104" s="147"/>
      <c r="CI104" s="147"/>
      <c r="CJ104" s="147"/>
      <c r="CK104" s="147"/>
    </row>
    <row r="105" spans="1:89">
      <c r="A105" s="159" t="s">
        <v>321</v>
      </c>
      <c r="B105" s="3" t="s">
        <v>322</v>
      </c>
      <c r="C105" s="160" t="s">
        <v>60</v>
      </c>
      <c r="D105" s="160" t="s">
        <v>854</v>
      </c>
      <c r="E105" s="3" t="s">
        <v>21</v>
      </c>
      <c r="F105" s="3" t="s">
        <v>926</v>
      </c>
      <c r="G105" s="3" t="s">
        <v>916</v>
      </c>
      <c r="H105" s="156" t="str">
        <f ca="1">IFERROR(
  _xludf.MINIFS(ATTENDANCE_LOG!$F:$F,
         ATTENDANCE_LOG!$A:$A, C105,
         ATTENDANCE_LOG!$B:$B, E105),
"")</f>
        <v/>
      </c>
      <c r="I105" s="156" t="str">
        <f t="shared" ca="1" si="0"/>
        <v/>
      </c>
      <c r="J105" s="3">
        <f>IFERROR(VLOOKUP(F105, LEVEL_HELPER!$A:$B, 2, 0), "")</f>
        <v>1</v>
      </c>
      <c r="K105" s="3">
        <f>IFERROR(VLOOKUP(G105, LEVEL_HELPER!$A:$B, 2, 0), "")</f>
        <v>2.5</v>
      </c>
      <c r="L105" s="157" t="s">
        <v>918</v>
      </c>
      <c r="M105" s="157" t="s">
        <v>921</v>
      </c>
      <c r="N105" s="3">
        <f t="array" aca="1" ref="N105" ca="1">IFERROR(
  INDEX($J$2:$J$543,
    MATCH(A105&amp;TEXT(I105,"yyyy-mm-dd"),
          $A$2:$A$543&amp;TEXT($H$2:$H$543,"yyyy-mm-dd"),
          0)),
"")</f>
        <v>1</v>
      </c>
      <c r="O105" s="147" t="str">
        <f t="shared" ca="1" si="1"/>
        <v/>
      </c>
      <c r="P105" s="147">
        <f t="shared" ref="P105:Q105" ca="1" si="114">IF(N105="",0,IF(N105&lt;=2,1,IF(N105&lt;=4,2,IF(N105&lt;=5.5,3,4))))</f>
        <v>1</v>
      </c>
      <c r="Q105" s="147">
        <f t="shared" ca="1" si="114"/>
        <v>0</v>
      </c>
      <c r="R105" s="147" t="str">
        <f t="shared" ca="1" si="3"/>
        <v>Not tested yet</v>
      </c>
      <c r="S105" s="147">
        <f t="shared" si="4"/>
        <v>1</v>
      </c>
      <c r="T105" s="147"/>
      <c r="U105" s="147"/>
      <c r="V105" s="148" t="e">
        <f ca="1"/>
        <v>#NAME?</v>
      </c>
      <c r="W105" s="147" t="e">
        <f t="shared" ca="1" si="5"/>
        <v>#NAME?</v>
      </c>
      <c r="X105" s="147" t="e">
        <f t="shared" ca="1" si="6"/>
        <v>#NAME?</v>
      </c>
      <c r="Y105" s="147" t="e">
        <f t="shared" ca="1" si="7"/>
        <v>#NAME?</v>
      </c>
      <c r="Z105" s="147"/>
      <c r="AA105" s="147"/>
      <c r="AB105" s="147"/>
      <c r="AC105" s="147"/>
      <c r="AD105" s="147"/>
      <c r="AE105" s="147"/>
      <c r="AF105" s="147"/>
      <c r="AG105" s="147"/>
      <c r="AH105" s="147"/>
      <c r="AI105" s="147"/>
      <c r="AJ105" s="147"/>
      <c r="AK105" s="147"/>
      <c r="AL105" s="147"/>
      <c r="AM105" s="151"/>
      <c r="AN105" s="148" t="str">
        <f ca="1">IFERROR(__xludf.DUMMYFUNCTION("""COMPUTED_VALUE"""),"257121")</f>
        <v>257121</v>
      </c>
      <c r="AO105" s="147" t="str">
        <f t="shared" ca="1" si="8"/>
        <v>GSD</v>
      </c>
      <c r="AP105" s="147" t="e">
        <f t="shared" ca="1" si="9"/>
        <v>#NAME?</v>
      </c>
      <c r="AQ105" s="147" t="str">
        <f t="shared" ca="1" si="10"/>
        <v>POC</v>
      </c>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7"/>
      <c r="CA105" s="147"/>
      <c r="CB105" s="147"/>
      <c r="CC105" s="147"/>
      <c r="CD105" s="147"/>
      <c r="CE105" s="147"/>
      <c r="CF105" s="147"/>
      <c r="CG105" s="147"/>
      <c r="CH105" s="147"/>
      <c r="CI105" s="147"/>
      <c r="CJ105" s="147"/>
      <c r="CK105" s="147"/>
    </row>
    <row r="106" spans="1:89">
      <c r="A106" s="159" t="s">
        <v>689</v>
      </c>
      <c r="B106" s="3" t="s">
        <v>690</v>
      </c>
      <c r="C106" s="160" t="s">
        <v>60</v>
      </c>
      <c r="D106" s="160" t="s">
        <v>854</v>
      </c>
      <c r="E106" s="3" t="s">
        <v>21</v>
      </c>
      <c r="F106" s="3" t="s">
        <v>926</v>
      </c>
      <c r="G106" s="3" t="s">
        <v>916</v>
      </c>
      <c r="H106" s="156" t="str">
        <f ca="1">IFERROR(
  _xludf.MINIFS(ATTENDANCE_LOG!$F:$F,
         ATTENDANCE_LOG!$A:$A, C106,
         ATTENDANCE_LOG!$B:$B, E106),
"")</f>
        <v/>
      </c>
      <c r="I106" s="156" t="str">
        <f t="shared" ca="1" si="0"/>
        <v/>
      </c>
      <c r="J106" s="3">
        <f>IFERROR(VLOOKUP(F106, LEVEL_HELPER!$A:$B, 2, 0), "")</f>
        <v>1</v>
      </c>
      <c r="K106" s="3">
        <f>IFERROR(VLOOKUP(G106, LEVEL_HELPER!$A:$B, 2, 0), "")</f>
        <v>2.5</v>
      </c>
      <c r="L106" s="157" t="s">
        <v>943</v>
      </c>
      <c r="M106" s="157" t="s">
        <v>921</v>
      </c>
      <c r="N106" s="3">
        <f t="array" aca="1" ref="N106" ca="1">IFERROR(
  INDEX($J$2:$J$543,
    MATCH(A106&amp;TEXT(I106,"yyyy-mm-dd"),
          $A$2:$A$543&amp;TEXT($H$2:$H$543,"yyyy-mm-dd"),
          0)),
"")</f>
        <v>1</v>
      </c>
      <c r="O106" s="147" t="str">
        <f t="shared" ca="1" si="1"/>
        <v/>
      </c>
      <c r="P106" s="147">
        <f t="shared" ref="P106:Q106" ca="1" si="115">IF(N106="",0,IF(N106&lt;=2,1,IF(N106&lt;=4,2,IF(N106&lt;=5.5,3,4))))</f>
        <v>1</v>
      </c>
      <c r="Q106" s="147">
        <f t="shared" ca="1" si="115"/>
        <v>0</v>
      </c>
      <c r="R106" s="147" t="str">
        <f t="shared" ca="1" si="3"/>
        <v>Not tested yet</v>
      </c>
      <c r="S106" s="147">
        <f t="shared" si="4"/>
        <v>1</v>
      </c>
      <c r="T106" s="147"/>
      <c r="U106" s="147"/>
      <c r="V106" s="148" t="e">
        <f ca="1"/>
        <v>#NAME?</v>
      </c>
      <c r="W106" s="147" t="e">
        <f t="shared" ca="1" si="5"/>
        <v>#NAME?</v>
      </c>
      <c r="X106" s="147" t="e">
        <f t="shared" ca="1" si="6"/>
        <v>#NAME?</v>
      </c>
      <c r="Y106" s="147" t="e">
        <f t="shared" ca="1" si="7"/>
        <v>#NAME?</v>
      </c>
      <c r="Z106" s="147"/>
      <c r="AA106" s="147"/>
      <c r="AB106" s="147"/>
      <c r="AC106" s="147"/>
      <c r="AD106" s="147"/>
      <c r="AE106" s="147"/>
      <c r="AF106" s="147"/>
      <c r="AG106" s="147"/>
      <c r="AH106" s="147"/>
      <c r="AI106" s="147"/>
      <c r="AJ106" s="147"/>
      <c r="AK106" s="147"/>
      <c r="AL106" s="147"/>
      <c r="AM106" s="151"/>
      <c r="AN106" s="148" t="str">
        <f ca="1">IFERROR(__xludf.DUMMYFUNCTION("""COMPUTED_VALUE"""),"257135")</f>
        <v>257135</v>
      </c>
      <c r="AO106" s="147" t="str">
        <f t="shared" ca="1" si="8"/>
        <v>Designer</v>
      </c>
      <c r="AP106" s="147" t="e">
        <f t="shared" ca="1" si="9"/>
        <v>#NAME?</v>
      </c>
      <c r="AQ106" s="147" t="str">
        <f t="shared" ca="1" si="10"/>
        <v>LBU</v>
      </c>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7"/>
      <c r="BN106" s="147"/>
      <c r="BO106" s="147"/>
      <c r="BP106" s="147"/>
      <c r="BQ106" s="147"/>
      <c r="BR106" s="147"/>
      <c r="BS106" s="147"/>
      <c r="BT106" s="147"/>
      <c r="BU106" s="147"/>
      <c r="BV106" s="147"/>
      <c r="BW106" s="147"/>
      <c r="BX106" s="147"/>
      <c r="BY106" s="147"/>
      <c r="BZ106" s="147"/>
      <c r="CA106" s="147"/>
      <c r="CB106" s="147"/>
      <c r="CC106" s="147"/>
      <c r="CD106" s="147"/>
      <c r="CE106" s="147"/>
      <c r="CF106" s="147"/>
      <c r="CG106" s="147"/>
      <c r="CH106" s="147"/>
      <c r="CI106" s="147"/>
      <c r="CJ106" s="147"/>
      <c r="CK106" s="147"/>
    </row>
    <row r="107" spans="1:89">
      <c r="A107" s="153" t="s">
        <v>504</v>
      </c>
      <c r="B107" s="154" t="s">
        <v>505</v>
      </c>
      <c r="C107" s="155" t="s">
        <v>60</v>
      </c>
      <c r="D107" s="155" t="s">
        <v>854</v>
      </c>
      <c r="E107" s="154" t="s">
        <v>22</v>
      </c>
      <c r="F107" s="3" t="s">
        <v>926</v>
      </c>
      <c r="G107" s="3"/>
      <c r="H107" s="156" t="str">
        <f ca="1">IFERROR(
  _xludf.MINIFS(ATTENDANCE_LOG!$F:$F,
         ATTENDANCE_LOG!$A:$A, C107,
         ATTENDANCE_LOG!$B:$B, E107),
"")</f>
        <v/>
      </c>
      <c r="I107" s="156" t="str">
        <f t="shared" ca="1" si="0"/>
        <v/>
      </c>
      <c r="J107" s="3">
        <f>IFERROR(VLOOKUP(F107, LEVEL_HELPER!$A:$B, 2, 0), "")</f>
        <v>1</v>
      </c>
      <c r="K107" s="3" t="str">
        <f>IFERROR(VLOOKUP(G107, LEVEL_HELPER!$A:$B, 2, 0), "")</f>
        <v/>
      </c>
      <c r="L107" s="157" t="s">
        <v>942</v>
      </c>
      <c r="M107" s="157" t="s">
        <v>921</v>
      </c>
      <c r="N107" s="3">
        <f t="array" aca="1" ref="N107" ca="1">IFERROR(
  INDEX($J$2:$J$543,
    MATCH(A107&amp;TEXT(I107,"yyyy-mm-dd"),
          $A$2:$A$543&amp;TEXT($H$2:$H$543,"yyyy-mm-dd"),
          0)),
"")</f>
        <v>1</v>
      </c>
      <c r="O107" s="147" t="str">
        <f t="shared" ca="1" si="1"/>
        <v/>
      </c>
      <c r="P107" s="147">
        <f t="shared" ref="P107:Q107" ca="1" si="116">IF(N107="",0,IF(N107&lt;=2,1,IF(N107&lt;=4,2,IF(N107&lt;=5.5,3,4))))</f>
        <v>1</v>
      </c>
      <c r="Q107" s="147">
        <f t="shared" ca="1" si="116"/>
        <v>0</v>
      </c>
      <c r="R107" s="147" t="str">
        <f t="shared" ca="1" si="3"/>
        <v>Not tested yet</v>
      </c>
      <c r="S107" s="147">
        <f t="shared" si="4"/>
        <v>1</v>
      </c>
      <c r="T107" s="147"/>
      <c r="U107" s="147"/>
      <c r="V107" s="148" t="e">
        <f ca="1"/>
        <v>#NAME?</v>
      </c>
      <c r="W107" s="147" t="e">
        <f t="shared" ca="1" si="5"/>
        <v>#NAME?</v>
      </c>
      <c r="X107" s="147" t="e">
        <f t="shared" ca="1" si="6"/>
        <v>#NAME?</v>
      </c>
      <c r="Y107" s="147" t="e">
        <f t="shared" ca="1" si="7"/>
        <v>#NAME?</v>
      </c>
      <c r="Z107" s="147"/>
      <c r="AA107" s="147"/>
      <c r="AB107" s="147"/>
      <c r="AC107" s="147"/>
      <c r="AD107" s="147"/>
      <c r="AE107" s="147"/>
      <c r="AF107" s="147"/>
      <c r="AG107" s="147"/>
      <c r="AH107" s="147"/>
      <c r="AI107" s="147"/>
      <c r="AJ107" s="147"/>
      <c r="AK107" s="147"/>
      <c r="AL107" s="147"/>
      <c r="AM107" s="151"/>
      <c r="AN107" s="148" t="str">
        <f ca="1">IFERROR(__xludf.DUMMYFUNCTION("""COMPUTED_VALUE"""),"257059")</f>
        <v>257059</v>
      </c>
      <c r="AO107" s="147" t="str">
        <f t="shared" ca="1" si="8"/>
        <v>Designer</v>
      </c>
      <c r="AP107" s="147" t="e">
        <f t="shared" ca="1" si="9"/>
        <v>#NAME?</v>
      </c>
      <c r="AQ107" s="147" t="str">
        <f t="shared" ca="1" si="10"/>
        <v>LBU</v>
      </c>
      <c r="AR107" s="147"/>
      <c r="AS107" s="147"/>
      <c r="AT107" s="147"/>
      <c r="AU107" s="147"/>
      <c r="AV107" s="147"/>
      <c r="AW107" s="147"/>
      <c r="AX107" s="147"/>
      <c r="AY107" s="147"/>
      <c r="AZ107" s="147"/>
      <c r="BA107" s="147"/>
      <c r="BB107" s="147"/>
      <c r="BC107" s="147"/>
      <c r="BD107" s="147"/>
      <c r="BE107" s="147"/>
      <c r="BF107" s="147"/>
      <c r="BG107" s="147"/>
      <c r="BH107" s="147"/>
      <c r="BI107" s="147"/>
      <c r="BJ107" s="147"/>
      <c r="BK107" s="147"/>
      <c r="BL107" s="147"/>
      <c r="BM107" s="147"/>
      <c r="BN107" s="147"/>
      <c r="BO107" s="147"/>
      <c r="BP107" s="147"/>
      <c r="BQ107" s="147"/>
      <c r="BR107" s="147"/>
      <c r="BS107" s="147"/>
      <c r="BT107" s="147"/>
      <c r="BU107" s="147"/>
      <c r="BV107" s="147"/>
      <c r="BW107" s="147"/>
      <c r="BX107" s="147"/>
      <c r="BY107" s="147"/>
      <c r="BZ107" s="147"/>
      <c r="CA107" s="147"/>
      <c r="CB107" s="147"/>
      <c r="CC107" s="147"/>
      <c r="CD107" s="147"/>
      <c r="CE107" s="147"/>
      <c r="CF107" s="147"/>
      <c r="CG107" s="147"/>
      <c r="CH107" s="147"/>
      <c r="CI107" s="147"/>
      <c r="CJ107" s="147"/>
      <c r="CK107" s="147"/>
    </row>
    <row r="108" spans="1:89">
      <c r="A108" s="159" t="s">
        <v>140</v>
      </c>
      <c r="B108" s="3" t="s">
        <v>141</v>
      </c>
      <c r="C108" s="160" t="s">
        <v>60</v>
      </c>
      <c r="D108" s="160" t="s">
        <v>854</v>
      </c>
      <c r="E108" s="3" t="s">
        <v>22</v>
      </c>
      <c r="F108" s="3" t="s">
        <v>916</v>
      </c>
      <c r="G108" s="3"/>
      <c r="H108" s="156" t="str">
        <f ca="1">IFERROR(
  _xludf.MINIFS(ATTENDANCE_LOG!$F:$F,
         ATTENDANCE_LOG!$A:$A, C108,
         ATTENDANCE_LOG!$B:$B, E108),
"")</f>
        <v/>
      </c>
      <c r="I108" s="156" t="str">
        <f t="shared" ca="1" si="0"/>
        <v/>
      </c>
      <c r="J108" s="3">
        <f>IFERROR(VLOOKUP(F108, LEVEL_HELPER!$A:$B, 2, 0), "")</f>
        <v>2.5</v>
      </c>
      <c r="K108" s="3" t="str">
        <f>IFERROR(VLOOKUP(G108, LEVEL_HELPER!$A:$B, 2, 0), "")</f>
        <v/>
      </c>
      <c r="L108" s="157" t="s">
        <v>942</v>
      </c>
      <c r="M108" s="157" t="s">
        <v>921</v>
      </c>
      <c r="N108" s="3">
        <f t="array" aca="1" ref="N108" ca="1">IFERROR(
  INDEX($J$2:$J$543,
    MATCH(A108&amp;TEXT(I108,"yyyy-mm-dd"),
          $A$2:$A$543&amp;TEXT($H$2:$H$543,"yyyy-mm-dd"),
          0)),
"")</f>
        <v>2.5</v>
      </c>
      <c r="O108" s="147" t="str">
        <f t="shared" ca="1" si="1"/>
        <v/>
      </c>
      <c r="P108" s="147">
        <f t="shared" ref="P108:Q108" ca="1" si="117">IF(N108="",0,IF(N108&lt;=2,1,IF(N108&lt;=4,2,IF(N108&lt;=5.5,3,4))))</f>
        <v>2</v>
      </c>
      <c r="Q108" s="147">
        <f t="shared" ca="1" si="117"/>
        <v>0</v>
      </c>
      <c r="R108" s="147" t="str">
        <f t="shared" ca="1" si="3"/>
        <v>Not tested yet</v>
      </c>
      <c r="S108" s="147">
        <f t="shared" si="4"/>
        <v>1</v>
      </c>
      <c r="T108" s="147"/>
      <c r="U108" s="147"/>
      <c r="V108" s="148" t="e">
        <f ca="1"/>
        <v>#NAME?</v>
      </c>
      <c r="W108" s="147" t="e">
        <f t="shared" ca="1" si="5"/>
        <v>#NAME?</v>
      </c>
      <c r="X108" s="147" t="e">
        <f t="shared" ca="1" si="6"/>
        <v>#NAME?</v>
      </c>
      <c r="Y108" s="147" t="e">
        <f t="shared" ca="1" si="7"/>
        <v>#NAME?</v>
      </c>
      <c r="Z108" s="147"/>
      <c r="AA108" s="147"/>
      <c r="AB108" s="147"/>
      <c r="AC108" s="147"/>
      <c r="AD108" s="147"/>
      <c r="AE108" s="147"/>
      <c r="AF108" s="147"/>
      <c r="AG108" s="147"/>
      <c r="AH108" s="147"/>
      <c r="AI108" s="147"/>
      <c r="AJ108" s="147"/>
      <c r="AK108" s="147"/>
      <c r="AL108" s="147"/>
      <c r="AM108" s="151"/>
      <c r="AN108" s="147"/>
      <c r="AO108" s="147" t="e">
        <f t="shared" si="8"/>
        <v>#N/A</v>
      </c>
      <c r="AP108" s="147" t="e">
        <f t="shared" ca="1" si="9"/>
        <v>#NAME?</v>
      </c>
      <c r="AQ108" s="147" t="e">
        <f t="shared" si="10"/>
        <v>#N/A</v>
      </c>
      <c r="AR108" s="147"/>
      <c r="AS108" s="147"/>
      <c r="AT108" s="147"/>
      <c r="AU108" s="147"/>
      <c r="AV108" s="147"/>
      <c r="AW108" s="147"/>
      <c r="AX108" s="147"/>
      <c r="AY108" s="147"/>
      <c r="AZ108" s="147"/>
      <c r="BA108" s="147"/>
      <c r="BB108" s="147"/>
      <c r="BC108" s="147"/>
      <c r="BD108" s="147"/>
      <c r="BE108" s="147"/>
      <c r="BF108" s="147"/>
      <c r="BG108" s="147"/>
      <c r="BH108" s="147"/>
      <c r="BI108" s="147"/>
      <c r="BJ108" s="147"/>
      <c r="BK108" s="147"/>
      <c r="BL108" s="147"/>
      <c r="BM108" s="147"/>
      <c r="BN108" s="147"/>
      <c r="BO108" s="147"/>
      <c r="BP108" s="147"/>
      <c r="BQ108" s="147"/>
      <c r="BR108" s="147"/>
      <c r="BS108" s="147"/>
      <c r="BT108" s="147"/>
      <c r="BU108" s="147"/>
      <c r="BV108" s="147"/>
      <c r="BW108" s="147"/>
      <c r="BX108" s="147"/>
      <c r="BY108" s="147"/>
      <c r="BZ108" s="147"/>
      <c r="CA108" s="147"/>
      <c r="CB108" s="147"/>
      <c r="CC108" s="147"/>
      <c r="CD108" s="147"/>
      <c r="CE108" s="147"/>
      <c r="CF108" s="147"/>
      <c r="CG108" s="147"/>
      <c r="CH108" s="147"/>
      <c r="CI108" s="147"/>
      <c r="CJ108" s="147"/>
      <c r="CK108" s="147"/>
    </row>
    <row r="109" spans="1:89">
      <c r="A109" s="159" t="s">
        <v>216</v>
      </c>
      <c r="B109" s="3" t="s">
        <v>217</v>
      </c>
      <c r="C109" s="160" t="s">
        <v>60</v>
      </c>
      <c r="D109" s="160" t="s">
        <v>854</v>
      </c>
      <c r="E109" s="3" t="s">
        <v>22</v>
      </c>
      <c r="F109" s="3" t="s">
        <v>916</v>
      </c>
      <c r="G109" s="3"/>
      <c r="H109" s="156" t="str">
        <f ca="1">IFERROR(
  _xludf.MINIFS(ATTENDANCE_LOG!$F:$F,
         ATTENDANCE_LOG!$A:$A, C109,
         ATTENDANCE_LOG!$B:$B, E109),
"")</f>
        <v/>
      </c>
      <c r="I109" s="156" t="str">
        <f t="shared" ca="1" si="0"/>
        <v/>
      </c>
      <c r="J109" s="3">
        <f>IFERROR(VLOOKUP(F109, LEVEL_HELPER!$A:$B, 2, 0), "")</f>
        <v>2.5</v>
      </c>
      <c r="K109" s="3" t="str">
        <f>IFERROR(VLOOKUP(G109, LEVEL_HELPER!$A:$B, 2, 0), "")</f>
        <v/>
      </c>
      <c r="L109" s="157" t="s">
        <v>942</v>
      </c>
      <c r="M109" s="157" t="s">
        <v>921</v>
      </c>
      <c r="N109" s="3">
        <f t="array" aca="1" ref="N109" ca="1">IFERROR(
  INDEX($J$2:$J$543,
    MATCH(A109&amp;TEXT(I109,"yyyy-mm-dd"),
          $A$2:$A$543&amp;TEXT($H$2:$H$543,"yyyy-mm-dd"),
          0)),
"")</f>
        <v>2.5</v>
      </c>
      <c r="O109" s="147" t="str">
        <f t="shared" ca="1" si="1"/>
        <v/>
      </c>
      <c r="P109" s="147">
        <f t="shared" ref="P109:Q109" ca="1" si="118">IF(N109="",0,IF(N109&lt;=2,1,IF(N109&lt;=4,2,IF(N109&lt;=5.5,3,4))))</f>
        <v>2</v>
      </c>
      <c r="Q109" s="147">
        <f t="shared" ca="1" si="118"/>
        <v>0</v>
      </c>
      <c r="R109" s="147" t="str">
        <f t="shared" ca="1" si="3"/>
        <v>Not tested yet</v>
      </c>
      <c r="S109" s="147">
        <f t="shared" si="4"/>
        <v>0</v>
      </c>
      <c r="T109" s="147"/>
      <c r="U109" s="147"/>
      <c r="V109" s="148" t="e">
        <f ca="1"/>
        <v>#NAME?</v>
      </c>
      <c r="W109" s="147" t="e">
        <f t="shared" ca="1" si="5"/>
        <v>#NAME?</v>
      </c>
      <c r="X109" s="147" t="e">
        <f t="shared" ca="1" si="6"/>
        <v>#NAME?</v>
      </c>
      <c r="Y109" s="147" t="e">
        <f t="shared" ca="1" si="7"/>
        <v>#NAME?</v>
      </c>
      <c r="Z109" s="147"/>
      <c r="AA109" s="147"/>
      <c r="AB109" s="147"/>
      <c r="AC109" s="147"/>
      <c r="AD109" s="147"/>
      <c r="AE109" s="147"/>
      <c r="AF109" s="147"/>
      <c r="AG109" s="147"/>
      <c r="AH109" s="147"/>
      <c r="AI109" s="147"/>
      <c r="AJ109" s="147"/>
      <c r="AK109" s="147"/>
      <c r="AL109" s="147"/>
      <c r="AM109" s="151"/>
      <c r="AN109" s="147"/>
      <c r="AO109" s="147" t="e">
        <f t="shared" si="8"/>
        <v>#N/A</v>
      </c>
      <c r="AP109" s="147" t="e">
        <f t="shared" ca="1" si="9"/>
        <v>#NAME?</v>
      </c>
      <c r="AQ109" s="147" t="e">
        <f t="shared" si="10"/>
        <v>#N/A</v>
      </c>
      <c r="AR109" s="147"/>
      <c r="AS109" s="147"/>
      <c r="AT109" s="147"/>
      <c r="AU109" s="147"/>
      <c r="AV109" s="147"/>
      <c r="AW109" s="147"/>
      <c r="AX109" s="147"/>
      <c r="AY109" s="147"/>
      <c r="AZ109" s="147"/>
      <c r="BA109" s="147"/>
      <c r="BB109" s="147"/>
      <c r="BC109" s="147"/>
      <c r="BD109" s="147"/>
      <c r="BE109" s="147"/>
      <c r="BF109" s="147"/>
      <c r="BG109" s="147"/>
      <c r="BH109" s="147"/>
      <c r="BI109" s="147"/>
      <c r="BJ109" s="147"/>
      <c r="BK109" s="147"/>
      <c r="BL109" s="147"/>
      <c r="BM109" s="147"/>
      <c r="BN109" s="147"/>
      <c r="BO109" s="147"/>
      <c r="BP109" s="147"/>
      <c r="BQ109" s="147"/>
      <c r="BR109" s="147"/>
      <c r="BS109" s="147"/>
      <c r="BT109" s="147"/>
      <c r="BU109" s="147"/>
      <c r="BV109" s="147"/>
      <c r="BW109" s="147"/>
      <c r="BX109" s="147"/>
      <c r="BY109" s="147"/>
      <c r="BZ109" s="147"/>
      <c r="CA109" s="147"/>
      <c r="CB109" s="147"/>
      <c r="CC109" s="147"/>
      <c r="CD109" s="147"/>
      <c r="CE109" s="147"/>
      <c r="CF109" s="147"/>
      <c r="CG109" s="147"/>
      <c r="CH109" s="147"/>
      <c r="CI109" s="147"/>
      <c r="CJ109" s="147"/>
      <c r="CK109" s="147"/>
    </row>
    <row r="110" spans="1:89">
      <c r="A110" s="159" t="s">
        <v>232</v>
      </c>
      <c r="B110" s="3" t="s">
        <v>233</v>
      </c>
      <c r="C110" s="160" t="s">
        <v>60</v>
      </c>
      <c r="D110" s="160" t="s">
        <v>854</v>
      </c>
      <c r="E110" s="3" t="s">
        <v>22</v>
      </c>
      <c r="F110" s="3" t="s">
        <v>916</v>
      </c>
      <c r="G110" s="3"/>
      <c r="H110" s="156" t="str">
        <f ca="1">IFERROR(
  _xludf.MINIFS(ATTENDANCE_LOG!$F:$F,
         ATTENDANCE_LOG!$A:$A, C110,
         ATTENDANCE_LOG!$B:$B, E110),
"")</f>
        <v/>
      </c>
      <c r="I110" s="156" t="str">
        <f t="shared" ca="1" si="0"/>
        <v/>
      </c>
      <c r="J110" s="3">
        <f>IFERROR(VLOOKUP(F110, LEVEL_HELPER!$A:$B, 2, 0), "")</f>
        <v>2.5</v>
      </c>
      <c r="K110" s="3" t="str">
        <f>IFERROR(VLOOKUP(G110, LEVEL_HELPER!$A:$B, 2, 0), "")</f>
        <v/>
      </c>
      <c r="L110" s="157" t="s">
        <v>942</v>
      </c>
      <c r="M110" s="157" t="s">
        <v>921</v>
      </c>
      <c r="N110" s="3">
        <f t="array" aca="1" ref="N110" ca="1">IFERROR(
  INDEX($J$2:$J$543,
    MATCH(A110&amp;TEXT(I110,"yyyy-mm-dd"),
          $A$2:$A$543&amp;TEXT($H$2:$H$543,"yyyy-mm-dd"),
          0)),
"")</f>
        <v>1</v>
      </c>
      <c r="O110" s="147" t="str">
        <f t="shared" ca="1" si="1"/>
        <v/>
      </c>
      <c r="P110" s="147">
        <f t="shared" ref="P110:Q110" ca="1" si="119">IF(N110="",0,IF(N110&lt;=2,1,IF(N110&lt;=4,2,IF(N110&lt;=5.5,3,4))))</f>
        <v>1</v>
      </c>
      <c r="Q110" s="147">
        <f t="shared" ca="1" si="119"/>
        <v>0</v>
      </c>
      <c r="R110" s="147" t="str">
        <f t="shared" ca="1" si="3"/>
        <v>Not tested yet</v>
      </c>
      <c r="S110" s="147">
        <f t="shared" si="4"/>
        <v>0</v>
      </c>
      <c r="T110" s="147"/>
      <c r="U110" s="147"/>
      <c r="V110" s="148" t="e">
        <f ca="1"/>
        <v>#NAME?</v>
      </c>
      <c r="W110" s="147" t="e">
        <f t="shared" ca="1" si="5"/>
        <v>#NAME?</v>
      </c>
      <c r="X110" s="147" t="e">
        <f t="shared" ca="1" si="6"/>
        <v>#NAME?</v>
      </c>
      <c r="Y110" s="147" t="e">
        <f t="shared" ca="1" si="7"/>
        <v>#NAME?</v>
      </c>
      <c r="Z110" s="147"/>
      <c r="AA110" s="147"/>
      <c r="AB110" s="147"/>
      <c r="AC110" s="147"/>
      <c r="AD110" s="147"/>
      <c r="AE110" s="147"/>
      <c r="AF110" s="147"/>
      <c r="AG110" s="147"/>
      <c r="AH110" s="147"/>
      <c r="AI110" s="147"/>
      <c r="AJ110" s="147"/>
      <c r="AK110" s="147"/>
      <c r="AL110" s="147"/>
      <c r="AM110" s="151"/>
      <c r="AN110" s="147"/>
      <c r="AO110" s="147" t="e">
        <f t="shared" si="8"/>
        <v>#N/A</v>
      </c>
      <c r="AP110" s="147" t="e">
        <f t="shared" ca="1" si="9"/>
        <v>#NAME?</v>
      </c>
      <c r="AQ110" s="147" t="e">
        <f t="shared" si="10"/>
        <v>#N/A</v>
      </c>
      <c r="AR110" s="147"/>
      <c r="AS110" s="147"/>
      <c r="AT110" s="147"/>
      <c r="AU110" s="147"/>
      <c r="AV110" s="147"/>
      <c r="AW110" s="147"/>
      <c r="AX110" s="147"/>
      <c r="AY110" s="147"/>
      <c r="AZ110" s="147"/>
      <c r="BA110" s="147"/>
      <c r="BB110" s="147"/>
      <c r="BC110" s="147"/>
      <c r="BD110" s="147"/>
      <c r="BE110" s="147"/>
      <c r="BF110" s="147"/>
      <c r="BG110" s="147"/>
      <c r="BH110" s="147"/>
      <c r="BI110" s="147"/>
      <c r="BJ110" s="147"/>
      <c r="BK110" s="147"/>
      <c r="BL110" s="147"/>
      <c r="BM110" s="147"/>
      <c r="BN110" s="147"/>
      <c r="BO110" s="147"/>
      <c r="BP110" s="147"/>
      <c r="BQ110" s="147"/>
      <c r="BR110" s="147"/>
      <c r="BS110" s="147"/>
      <c r="BT110" s="147"/>
      <c r="BU110" s="147"/>
      <c r="BV110" s="147"/>
      <c r="BW110" s="147"/>
      <c r="BX110" s="147"/>
      <c r="BY110" s="147"/>
      <c r="BZ110" s="147"/>
      <c r="CA110" s="147"/>
      <c r="CB110" s="147"/>
      <c r="CC110" s="147"/>
      <c r="CD110" s="147"/>
      <c r="CE110" s="147"/>
      <c r="CF110" s="147"/>
      <c r="CG110" s="147"/>
      <c r="CH110" s="147"/>
      <c r="CI110" s="147"/>
      <c r="CJ110" s="147"/>
      <c r="CK110" s="147"/>
    </row>
    <row r="111" spans="1:89">
      <c r="A111" s="159" t="s">
        <v>321</v>
      </c>
      <c r="B111" s="3" t="s">
        <v>322</v>
      </c>
      <c r="C111" s="160" t="s">
        <v>60</v>
      </c>
      <c r="D111" s="160" t="s">
        <v>854</v>
      </c>
      <c r="E111" s="3" t="s">
        <v>22</v>
      </c>
      <c r="F111" s="3" t="s">
        <v>916</v>
      </c>
      <c r="G111" s="3"/>
      <c r="H111" s="156" t="str">
        <f ca="1">IFERROR(
  _xludf.MINIFS(ATTENDANCE_LOG!$F:$F,
         ATTENDANCE_LOG!$A:$A, C111,
         ATTENDANCE_LOG!$B:$B, E111),
"")</f>
        <v/>
      </c>
      <c r="I111" s="156" t="str">
        <f t="shared" ca="1" si="0"/>
        <v/>
      </c>
      <c r="J111" s="3">
        <f>IFERROR(VLOOKUP(F111, LEVEL_HELPER!$A:$B, 2, 0), "")</f>
        <v>2.5</v>
      </c>
      <c r="K111" s="3" t="str">
        <f>IFERROR(VLOOKUP(G111, LEVEL_HELPER!$A:$B, 2, 0), "")</f>
        <v/>
      </c>
      <c r="L111" s="157" t="s">
        <v>918</v>
      </c>
      <c r="M111" s="157" t="s">
        <v>921</v>
      </c>
      <c r="N111" s="3">
        <f t="array" aca="1" ref="N111" ca="1">IFERROR(
  INDEX($J$2:$J$543,
    MATCH(A111&amp;TEXT(I111,"yyyy-mm-dd"),
          $A$2:$A$543&amp;TEXT($H$2:$H$543,"yyyy-mm-dd"),
          0)),
"")</f>
        <v>1</v>
      </c>
      <c r="O111" s="147" t="str">
        <f t="shared" ca="1" si="1"/>
        <v/>
      </c>
      <c r="P111" s="147">
        <f t="shared" ref="P111:Q111" ca="1" si="120">IF(N111="",0,IF(N111&lt;=2,1,IF(N111&lt;=4,2,IF(N111&lt;=5.5,3,4))))</f>
        <v>1</v>
      </c>
      <c r="Q111" s="147">
        <f t="shared" ca="1" si="120"/>
        <v>0</v>
      </c>
      <c r="R111" s="147" t="str">
        <f t="shared" ca="1" si="3"/>
        <v>Not tested yet</v>
      </c>
      <c r="S111" s="147">
        <f t="shared" si="4"/>
        <v>0</v>
      </c>
      <c r="T111" s="147"/>
      <c r="U111" s="147"/>
      <c r="V111" s="148" t="e">
        <f ca="1"/>
        <v>#NAME?</v>
      </c>
      <c r="W111" s="147" t="e">
        <f t="shared" ca="1" si="5"/>
        <v>#NAME?</v>
      </c>
      <c r="X111" s="147" t="e">
        <f t="shared" ca="1" si="6"/>
        <v>#NAME?</v>
      </c>
      <c r="Y111" s="147" t="e">
        <f t="shared" ca="1" si="7"/>
        <v>#NAME?</v>
      </c>
      <c r="Z111" s="147"/>
      <c r="AA111" s="147"/>
      <c r="AB111" s="147"/>
      <c r="AC111" s="147"/>
      <c r="AD111" s="147"/>
      <c r="AE111" s="147"/>
      <c r="AF111" s="147"/>
      <c r="AG111" s="147"/>
      <c r="AH111" s="147"/>
      <c r="AI111" s="147"/>
      <c r="AJ111" s="147"/>
      <c r="AK111" s="147"/>
      <c r="AL111" s="147"/>
      <c r="AM111" s="151"/>
      <c r="AN111" s="147"/>
      <c r="AO111" s="147" t="e">
        <f t="shared" si="8"/>
        <v>#N/A</v>
      </c>
      <c r="AP111" s="147" t="e">
        <f t="shared" ca="1" si="9"/>
        <v>#NAME?</v>
      </c>
      <c r="AQ111" s="147" t="e">
        <f t="shared" si="10"/>
        <v>#N/A</v>
      </c>
      <c r="AR111" s="147"/>
      <c r="AS111" s="147"/>
      <c r="AT111" s="147"/>
      <c r="AU111" s="147"/>
      <c r="AV111" s="147"/>
      <c r="AW111" s="147"/>
      <c r="AX111" s="147"/>
      <c r="AY111" s="147"/>
      <c r="AZ111" s="147"/>
      <c r="BA111" s="147"/>
      <c r="BB111" s="147"/>
      <c r="BC111" s="147"/>
      <c r="BD111" s="147"/>
      <c r="BE111" s="147"/>
      <c r="BF111" s="147"/>
      <c r="BG111" s="147"/>
      <c r="BH111" s="147"/>
      <c r="BI111" s="147"/>
      <c r="BJ111" s="147"/>
      <c r="BK111" s="147"/>
      <c r="BL111" s="147"/>
      <c r="BM111" s="147"/>
      <c r="BN111" s="147"/>
      <c r="BO111" s="147"/>
      <c r="BP111" s="147"/>
      <c r="BQ111" s="147"/>
      <c r="BR111" s="147"/>
      <c r="BS111" s="147"/>
      <c r="BT111" s="147"/>
      <c r="BU111" s="147"/>
      <c r="BV111" s="147"/>
      <c r="BW111" s="147"/>
      <c r="BX111" s="147"/>
      <c r="BY111" s="147"/>
      <c r="BZ111" s="147"/>
      <c r="CA111" s="147"/>
      <c r="CB111" s="147"/>
      <c r="CC111" s="147"/>
      <c r="CD111" s="147"/>
      <c r="CE111" s="147"/>
      <c r="CF111" s="147"/>
      <c r="CG111" s="147"/>
      <c r="CH111" s="147"/>
      <c r="CI111" s="147"/>
      <c r="CJ111" s="147"/>
      <c r="CK111" s="147"/>
    </row>
    <row r="112" spans="1:89">
      <c r="A112" s="159" t="s">
        <v>340</v>
      </c>
      <c r="B112" s="3" t="s">
        <v>341</v>
      </c>
      <c r="C112" s="160" t="s">
        <v>60</v>
      </c>
      <c r="D112" s="160" t="s">
        <v>854</v>
      </c>
      <c r="E112" s="3" t="s">
        <v>22</v>
      </c>
      <c r="F112" s="3" t="s">
        <v>916</v>
      </c>
      <c r="G112" s="3"/>
      <c r="H112" s="156" t="str">
        <f ca="1">IFERROR(
  _xludf.MINIFS(ATTENDANCE_LOG!$F:$F,
         ATTENDANCE_LOG!$A:$A, C112,
         ATTENDANCE_LOG!$B:$B, E112),
"")</f>
        <v/>
      </c>
      <c r="I112" s="156" t="str">
        <f t="shared" ca="1" si="0"/>
        <v/>
      </c>
      <c r="J112" s="3">
        <f>IFERROR(VLOOKUP(F112, LEVEL_HELPER!$A:$B, 2, 0), "")</f>
        <v>2.5</v>
      </c>
      <c r="K112" s="3" t="str">
        <f>IFERROR(VLOOKUP(G112, LEVEL_HELPER!$A:$B, 2, 0), "")</f>
        <v/>
      </c>
      <c r="L112" s="157" t="s">
        <v>942</v>
      </c>
      <c r="M112" s="157" t="s">
        <v>921</v>
      </c>
      <c r="N112" s="3">
        <f t="array" aca="1" ref="N112" ca="1">IFERROR(
  INDEX($J$2:$J$543,
    MATCH(A112&amp;TEXT(I112,"yyyy-mm-dd"),
          $A$2:$A$543&amp;TEXT($H$2:$H$543,"yyyy-mm-dd"),
          0)),
"")</f>
        <v>2.5</v>
      </c>
      <c r="O112" s="147" t="str">
        <f t="shared" ca="1" si="1"/>
        <v/>
      </c>
      <c r="P112" s="147">
        <f t="shared" ref="P112:Q112" ca="1" si="121">IF(N112="",0,IF(N112&lt;=2,1,IF(N112&lt;=4,2,IF(N112&lt;=5.5,3,4))))</f>
        <v>2</v>
      </c>
      <c r="Q112" s="147">
        <f t="shared" ca="1" si="121"/>
        <v>0</v>
      </c>
      <c r="R112" s="147" t="str">
        <f t="shared" ca="1" si="3"/>
        <v>Not tested yet</v>
      </c>
      <c r="S112" s="147">
        <f t="shared" si="4"/>
        <v>1</v>
      </c>
      <c r="T112" s="147"/>
      <c r="U112" s="147"/>
      <c r="V112" s="148" t="e">
        <f ca="1"/>
        <v>#NAME?</v>
      </c>
      <c r="W112" s="147" t="e">
        <f t="shared" ca="1" si="5"/>
        <v>#NAME?</v>
      </c>
      <c r="X112" s="147" t="e">
        <f t="shared" ca="1" si="6"/>
        <v>#NAME?</v>
      </c>
      <c r="Y112" s="147" t="e">
        <f t="shared" ca="1" si="7"/>
        <v>#NAME?</v>
      </c>
      <c r="Z112" s="147"/>
      <c r="AA112" s="147"/>
      <c r="AB112" s="147"/>
      <c r="AC112" s="147"/>
      <c r="AD112" s="147"/>
      <c r="AE112" s="147"/>
      <c r="AF112" s="147"/>
      <c r="AG112" s="147"/>
      <c r="AH112" s="147"/>
      <c r="AI112" s="147"/>
      <c r="AJ112" s="147"/>
      <c r="AK112" s="147"/>
      <c r="AL112" s="147"/>
      <c r="AM112" s="151"/>
      <c r="AN112" s="147"/>
      <c r="AO112" s="147" t="e">
        <f t="shared" si="8"/>
        <v>#N/A</v>
      </c>
      <c r="AP112" s="147" t="e">
        <f t="shared" ca="1" si="9"/>
        <v>#NAME?</v>
      </c>
      <c r="AQ112" s="147" t="e">
        <f t="shared" si="10"/>
        <v>#N/A</v>
      </c>
      <c r="AR112" s="147"/>
      <c r="AS112" s="147"/>
      <c r="AT112" s="147"/>
      <c r="AU112" s="147"/>
      <c r="AV112" s="147"/>
      <c r="AW112" s="147"/>
      <c r="AX112" s="147"/>
      <c r="AY112" s="147"/>
      <c r="AZ112" s="147"/>
      <c r="BA112" s="147"/>
      <c r="BB112" s="147"/>
      <c r="BC112" s="147"/>
      <c r="BD112" s="147"/>
      <c r="BE112" s="147"/>
      <c r="BF112" s="147"/>
      <c r="BG112" s="147"/>
      <c r="BH112" s="147"/>
      <c r="BI112" s="147"/>
      <c r="BJ112" s="147"/>
      <c r="BK112" s="147"/>
      <c r="BL112" s="147"/>
      <c r="BM112" s="147"/>
      <c r="BN112" s="147"/>
      <c r="BO112" s="147"/>
      <c r="BP112" s="147"/>
      <c r="BQ112" s="147"/>
      <c r="BR112" s="147"/>
      <c r="BS112" s="147"/>
      <c r="BT112" s="147"/>
      <c r="BU112" s="147"/>
      <c r="BV112" s="147"/>
      <c r="BW112" s="147"/>
      <c r="BX112" s="147"/>
      <c r="BY112" s="147"/>
      <c r="BZ112" s="147"/>
      <c r="CA112" s="147"/>
      <c r="CB112" s="147"/>
      <c r="CC112" s="147"/>
      <c r="CD112" s="147"/>
      <c r="CE112" s="147"/>
      <c r="CF112" s="147"/>
      <c r="CG112" s="147"/>
      <c r="CH112" s="147"/>
      <c r="CI112" s="147"/>
      <c r="CJ112" s="147"/>
      <c r="CK112" s="147"/>
    </row>
    <row r="113" spans="1:89">
      <c r="A113" s="159" t="s">
        <v>395</v>
      </c>
      <c r="B113" s="3" t="s">
        <v>396</v>
      </c>
      <c r="C113" s="160" t="s">
        <v>60</v>
      </c>
      <c r="D113" s="160" t="s">
        <v>854</v>
      </c>
      <c r="E113" s="3" t="s">
        <v>22</v>
      </c>
      <c r="F113" s="3" t="s">
        <v>916</v>
      </c>
      <c r="G113" s="3"/>
      <c r="H113" s="156" t="str">
        <f ca="1">IFERROR(
  _xludf.MINIFS(ATTENDANCE_LOG!$F:$F,
         ATTENDANCE_LOG!$A:$A, C113,
         ATTENDANCE_LOG!$B:$B, E113),
"")</f>
        <v/>
      </c>
      <c r="I113" s="156" t="str">
        <f t="shared" ca="1" si="0"/>
        <v/>
      </c>
      <c r="J113" s="3">
        <f>IFERROR(VLOOKUP(F113, LEVEL_HELPER!$A:$B, 2, 0), "")</f>
        <v>2.5</v>
      </c>
      <c r="K113" s="3" t="str">
        <f>IFERROR(VLOOKUP(G113, LEVEL_HELPER!$A:$B, 2, 0), "")</f>
        <v/>
      </c>
      <c r="L113" s="157" t="s">
        <v>918</v>
      </c>
      <c r="M113" s="157" t="s">
        <v>921</v>
      </c>
      <c r="N113" s="3">
        <f t="array" aca="1" ref="N113" ca="1">IFERROR(
  INDEX($J$2:$J$543,
    MATCH(A113&amp;TEXT(I113,"yyyy-mm-dd"),
          $A$2:$A$543&amp;TEXT($H$2:$H$543,"yyyy-mm-dd"),
          0)),
"")</f>
        <v>2.5</v>
      </c>
      <c r="O113" s="147" t="str">
        <f t="shared" ca="1" si="1"/>
        <v/>
      </c>
      <c r="P113" s="147">
        <f t="shared" ref="P113:Q113" ca="1" si="122">IF(N113="",0,IF(N113&lt;=2,1,IF(N113&lt;=4,2,IF(N113&lt;=5.5,3,4))))</f>
        <v>2</v>
      </c>
      <c r="Q113" s="147">
        <f t="shared" ca="1" si="122"/>
        <v>0</v>
      </c>
      <c r="R113" s="147" t="str">
        <f t="shared" ca="1" si="3"/>
        <v>Not tested yet</v>
      </c>
      <c r="S113" s="147">
        <f t="shared" si="4"/>
        <v>1</v>
      </c>
      <c r="T113" s="147"/>
      <c r="U113" s="147"/>
      <c r="V113" s="148" t="e">
        <f ca="1"/>
        <v>#NAME?</v>
      </c>
      <c r="W113" s="147" t="e">
        <f t="shared" ca="1" si="5"/>
        <v>#NAME?</v>
      </c>
      <c r="X113" s="147" t="e">
        <f t="shared" ca="1" si="6"/>
        <v>#NAME?</v>
      </c>
      <c r="Y113" s="147" t="e">
        <f t="shared" ca="1" si="7"/>
        <v>#NAME?</v>
      </c>
      <c r="Z113" s="147"/>
      <c r="AA113" s="147"/>
      <c r="AB113" s="147"/>
      <c r="AC113" s="147"/>
      <c r="AD113" s="147"/>
      <c r="AE113" s="147"/>
      <c r="AF113" s="147"/>
      <c r="AG113" s="147"/>
      <c r="AH113" s="147"/>
      <c r="AI113" s="147"/>
      <c r="AJ113" s="147"/>
      <c r="AK113" s="147"/>
      <c r="AL113" s="147"/>
      <c r="AM113" s="151"/>
      <c r="AN113" s="147"/>
      <c r="AO113" s="147" t="e">
        <f t="shared" si="8"/>
        <v>#N/A</v>
      </c>
      <c r="AP113" s="147" t="e">
        <f t="shared" ca="1" si="9"/>
        <v>#NAME?</v>
      </c>
      <c r="AQ113" s="147" t="e">
        <f t="shared" si="10"/>
        <v>#N/A</v>
      </c>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7"/>
      <c r="BN113" s="147"/>
      <c r="BO113" s="147"/>
      <c r="BP113" s="147"/>
      <c r="BQ113" s="147"/>
      <c r="BR113" s="147"/>
      <c r="BS113" s="147"/>
      <c r="BT113" s="147"/>
      <c r="BU113" s="147"/>
      <c r="BV113" s="147"/>
      <c r="BW113" s="147"/>
      <c r="BX113" s="147"/>
      <c r="BY113" s="147"/>
      <c r="BZ113" s="147"/>
      <c r="CA113" s="147"/>
      <c r="CB113" s="147"/>
      <c r="CC113" s="147"/>
      <c r="CD113" s="147"/>
      <c r="CE113" s="147"/>
      <c r="CF113" s="147"/>
      <c r="CG113" s="147"/>
      <c r="CH113" s="147"/>
      <c r="CI113" s="147"/>
      <c r="CJ113" s="147"/>
      <c r="CK113" s="147"/>
    </row>
    <row r="114" spans="1:89">
      <c r="A114" s="159" t="s">
        <v>583</v>
      </c>
      <c r="B114" s="3" t="s">
        <v>584</v>
      </c>
      <c r="C114" s="160" t="s">
        <v>60</v>
      </c>
      <c r="D114" s="160" t="s">
        <v>854</v>
      </c>
      <c r="E114" s="3" t="s">
        <v>22</v>
      </c>
      <c r="F114" s="3" t="s">
        <v>931</v>
      </c>
      <c r="G114" s="3"/>
      <c r="H114" s="156" t="str">
        <f ca="1">IFERROR(
  _xludf.MINIFS(ATTENDANCE_LOG!$F:$F,
         ATTENDANCE_LOG!$A:$A, C114,
         ATTENDANCE_LOG!$B:$B, E114),
"")</f>
        <v/>
      </c>
      <c r="I114" s="156" t="str">
        <f t="shared" ca="1" si="0"/>
        <v/>
      </c>
      <c r="J114" s="3">
        <f>IFERROR(VLOOKUP(F114, LEVEL_HELPER!$A:$B, 2, 0), "")</f>
        <v>4.5</v>
      </c>
      <c r="K114" s="3" t="str">
        <f>IFERROR(VLOOKUP(G114, LEVEL_HELPER!$A:$B, 2, 0), "")</f>
        <v/>
      </c>
      <c r="L114" s="157" t="s">
        <v>942</v>
      </c>
      <c r="M114" s="157" t="s">
        <v>921</v>
      </c>
      <c r="N114" s="3">
        <f t="array" aca="1" ref="N114" ca="1">IFERROR(
  INDEX($J$2:$J$543,
    MATCH(A114&amp;TEXT(I114,"yyyy-mm-dd"),
          $A$2:$A$543&amp;TEXT($H$2:$H$543,"yyyy-mm-dd"),
          0)),
"")</f>
        <v>4.5</v>
      </c>
      <c r="O114" s="147" t="str">
        <f t="shared" ca="1" si="1"/>
        <v/>
      </c>
      <c r="P114" s="147">
        <f t="shared" ref="P114:Q114" ca="1" si="123">IF(N114="",0,IF(N114&lt;=2,1,IF(N114&lt;=4,2,IF(N114&lt;=5.5,3,4))))</f>
        <v>3</v>
      </c>
      <c r="Q114" s="147">
        <f t="shared" ca="1" si="123"/>
        <v>0</v>
      </c>
      <c r="R114" s="147" t="str">
        <f t="shared" ca="1" si="3"/>
        <v>Not tested yet</v>
      </c>
      <c r="S114" s="147">
        <f t="shared" si="4"/>
        <v>1</v>
      </c>
      <c r="T114" s="147"/>
      <c r="U114" s="147"/>
      <c r="V114" s="148" t="e">
        <f ca="1"/>
        <v>#NAME?</v>
      </c>
      <c r="W114" s="147" t="e">
        <f t="shared" ca="1" si="5"/>
        <v>#NAME?</v>
      </c>
      <c r="X114" s="147" t="e">
        <f t="shared" ca="1" si="6"/>
        <v>#NAME?</v>
      </c>
      <c r="Y114" s="147" t="e">
        <f t="shared" ca="1" si="7"/>
        <v>#NAME?</v>
      </c>
      <c r="Z114" s="147"/>
      <c r="AA114" s="147"/>
      <c r="AB114" s="147"/>
      <c r="AC114" s="147"/>
      <c r="AD114" s="147"/>
      <c r="AE114" s="147"/>
      <c r="AF114" s="147"/>
      <c r="AG114" s="147"/>
      <c r="AH114" s="147"/>
      <c r="AI114" s="147"/>
      <c r="AJ114" s="147"/>
      <c r="AK114" s="147"/>
      <c r="AL114" s="147"/>
      <c r="AM114" s="151"/>
      <c r="AN114" s="147"/>
      <c r="AO114" s="147" t="e">
        <f t="shared" si="8"/>
        <v>#N/A</v>
      </c>
      <c r="AP114" s="147" t="e">
        <f t="shared" ca="1" si="9"/>
        <v>#NAME?</v>
      </c>
      <c r="AQ114" s="147" t="e">
        <f t="shared" si="10"/>
        <v>#N/A</v>
      </c>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7"/>
      <c r="CA114" s="147"/>
      <c r="CB114" s="147"/>
      <c r="CC114" s="147"/>
      <c r="CD114" s="147"/>
      <c r="CE114" s="147"/>
      <c r="CF114" s="147"/>
      <c r="CG114" s="147"/>
      <c r="CH114" s="147"/>
      <c r="CI114" s="147"/>
      <c r="CJ114" s="147"/>
      <c r="CK114" s="147"/>
    </row>
    <row r="115" spans="1:89">
      <c r="A115" s="153" t="s">
        <v>395</v>
      </c>
      <c r="B115" s="154" t="s">
        <v>396</v>
      </c>
      <c r="C115" s="155" t="s">
        <v>61</v>
      </c>
      <c r="D115" s="155" t="s">
        <v>855</v>
      </c>
      <c r="E115" s="154" t="s">
        <v>21</v>
      </c>
      <c r="F115" s="3" t="s">
        <v>916</v>
      </c>
      <c r="G115" s="3" t="s">
        <v>916</v>
      </c>
      <c r="H115" s="156" t="str">
        <f ca="1">IFERROR(
  _xludf.MINIFS(ATTENDANCE_LOG!$F:$F,
         ATTENDANCE_LOG!$A:$A, C115,
         ATTENDANCE_LOG!$B:$B, E115),
"")</f>
        <v/>
      </c>
      <c r="I115" s="156" t="str">
        <f t="shared" ca="1" si="0"/>
        <v/>
      </c>
      <c r="J115" s="3">
        <f>IFERROR(VLOOKUP(F115, LEVEL_HELPER!$A:$B, 2, 0), "")</f>
        <v>2.5</v>
      </c>
      <c r="K115" s="3">
        <f>IFERROR(VLOOKUP(G115, LEVEL_HELPER!$A:$B, 2, 0), "")</f>
        <v>2.5</v>
      </c>
      <c r="L115" s="157" t="s">
        <v>918</v>
      </c>
      <c r="M115" s="157" t="s">
        <v>921</v>
      </c>
      <c r="N115" s="3">
        <f t="array" aca="1" ref="N115" ca="1">IFERROR(
  INDEX($J$2:$J$543,
    MATCH(A115&amp;TEXT(I115,"yyyy-mm-dd"),
          $A$2:$A$543&amp;TEXT($H$2:$H$543,"yyyy-mm-dd"),
          0)),
"")</f>
        <v>2.5</v>
      </c>
      <c r="O115" s="147" t="str">
        <f t="shared" ca="1" si="1"/>
        <v/>
      </c>
      <c r="P115" s="147">
        <f t="shared" ref="P115:Q115" ca="1" si="124">IF(N115="",0,IF(N115&lt;=2,1,IF(N115&lt;=4,2,IF(N115&lt;=5.5,3,4))))</f>
        <v>2</v>
      </c>
      <c r="Q115" s="147">
        <f t="shared" ca="1" si="124"/>
        <v>0</v>
      </c>
      <c r="R115" s="147" t="str">
        <f t="shared" ca="1" si="3"/>
        <v>Not tested yet</v>
      </c>
      <c r="S115" s="147">
        <f t="shared" si="4"/>
        <v>0</v>
      </c>
      <c r="T115" s="147"/>
      <c r="U115" s="147"/>
      <c r="V115" s="148" t="e">
        <f ca="1"/>
        <v>#NAME?</v>
      </c>
      <c r="W115" s="147" t="e">
        <f t="shared" ca="1" si="5"/>
        <v>#NAME?</v>
      </c>
      <c r="X115" s="147" t="e">
        <f t="shared" ca="1" si="6"/>
        <v>#NAME?</v>
      </c>
      <c r="Y115" s="147" t="e">
        <f t="shared" ca="1" si="7"/>
        <v>#NAME?</v>
      </c>
      <c r="Z115" s="147"/>
      <c r="AA115" s="147"/>
      <c r="AB115" s="147"/>
      <c r="AC115" s="147"/>
      <c r="AD115" s="147"/>
      <c r="AE115" s="147"/>
      <c r="AF115" s="147"/>
      <c r="AG115" s="147"/>
      <c r="AH115" s="147"/>
      <c r="AI115" s="147"/>
      <c r="AJ115" s="147"/>
      <c r="AK115" s="147"/>
      <c r="AL115" s="147"/>
      <c r="AM115" s="151"/>
      <c r="AN115" s="147"/>
      <c r="AO115" s="147" t="e">
        <f t="shared" si="8"/>
        <v>#N/A</v>
      </c>
      <c r="AP115" s="147" t="e">
        <f t="shared" ca="1" si="9"/>
        <v>#NAME?</v>
      </c>
      <c r="AQ115" s="147" t="e">
        <f t="shared" si="10"/>
        <v>#N/A</v>
      </c>
      <c r="AR115" s="147"/>
      <c r="AS115" s="147"/>
      <c r="AT115" s="147"/>
      <c r="AU115" s="147"/>
      <c r="AV115" s="147"/>
      <c r="AW115" s="147"/>
      <c r="AX115" s="147"/>
      <c r="AY115" s="147"/>
      <c r="AZ115" s="147"/>
      <c r="BA115" s="147"/>
      <c r="BB115" s="147"/>
      <c r="BC115" s="147"/>
      <c r="BD115" s="147"/>
      <c r="BE115" s="147"/>
      <c r="BF115" s="147"/>
      <c r="BG115" s="147"/>
      <c r="BH115" s="147"/>
      <c r="BI115" s="147"/>
      <c r="BJ115" s="147"/>
      <c r="BK115" s="147"/>
      <c r="BL115" s="147"/>
      <c r="BM115" s="147"/>
      <c r="BN115" s="147"/>
      <c r="BO115" s="147"/>
      <c r="BP115" s="147"/>
      <c r="BQ115" s="147"/>
      <c r="BR115" s="147"/>
      <c r="BS115" s="147"/>
      <c r="BT115" s="147"/>
      <c r="BU115" s="147"/>
      <c r="BV115" s="147"/>
      <c r="BW115" s="147"/>
      <c r="BX115" s="147"/>
      <c r="BY115" s="147"/>
      <c r="BZ115" s="147"/>
      <c r="CA115" s="147"/>
      <c r="CB115" s="147"/>
      <c r="CC115" s="147"/>
      <c r="CD115" s="147"/>
      <c r="CE115" s="147"/>
      <c r="CF115" s="147"/>
      <c r="CG115" s="147"/>
      <c r="CH115" s="147"/>
      <c r="CI115" s="147"/>
      <c r="CJ115" s="147"/>
      <c r="CK115" s="147"/>
    </row>
    <row r="116" spans="1:89">
      <c r="A116" s="159" t="s">
        <v>140</v>
      </c>
      <c r="B116" s="3" t="s">
        <v>141</v>
      </c>
      <c r="C116" s="160" t="s">
        <v>61</v>
      </c>
      <c r="D116" s="160" t="s">
        <v>855</v>
      </c>
      <c r="E116" s="3" t="s">
        <v>21</v>
      </c>
      <c r="F116" s="3" t="s">
        <v>926</v>
      </c>
      <c r="G116" s="3" t="s">
        <v>916</v>
      </c>
      <c r="H116" s="156" t="str">
        <f ca="1">IFERROR(
  _xludf.MINIFS(ATTENDANCE_LOG!$F:$F,
         ATTENDANCE_LOG!$A:$A, C116,
         ATTENDANCE_LOG!$B:$B, E116),
"")</f>
        <v/>
      </c>
      <c r="I116" s="156" t="str">
        <f t="shared" ca="1" si="0"/>
        <v/>
      </c>
      <c r="J116" s="3">
        <f>IFERROR(VLOOKUP(F116, LEVEL_HELPER!$A:$B, 2, 0), "")</f>
        <v>1</v>
      </c>
      <c r="K116" s="3">
        <f>IFERROR(VLOOKUP(G116, LEVEL_HELPER!$A:$B, 2, 0), "")</f>
        <v>2.5</v>
      </c>
      <c r="L116" s="157" t="s">
        <v>942</v>
      </c>
      <c r="M116" s="157" t="s">
        <v>921</v>
      </c>
      <c r="N116" s="3">
        <f t="array" aca="1" ref="N116" ca="1">IFERROR(
  INDEX($J$2:$J$543,
    MATCH(A116&amp;TEXT(I116,"yyyy-mm-dd"),
          $A$2:$A$543&amp;TEXT($H$2:$H$543,"yyyy-mm-dd"),
          0)),
"")</f>
        <v>2.5</v>
      </c>
      <c r="O116" s="147" t="str">
        <f t="shared" ca="1" si="1"/>
        <v/>
      </c>
      <c r="P116" s="147">
        <f t="shared" ref="P116:Q116" ca="1" si="125">IF(N116="",0,IF(N116&lt;=2,1,IF(N116&lt;=4,2,IF(N116&lt;=5.5,3,4))))</f>
        <v>2</v>
      </c>
      <c r="Q116" s="147">
        <f t="shared" ca="1" si="125"/>
        <v>0</v>
      </c>
      <c r="R116" s="147" t="str">
        <f t="shared" ca="1" si="3"/>
        <v>Not tested yet</v>
      </c>
      <c r="S116" s="147">
        <f t="shared" si="4"/>
        <v>0</v>
      </c>
      <c r="T116" s="147"/>
      <c r="U116" s="147"/>
      <c r="V116" s="148" t="e">
        <f ca="1"/>
        <v>#NAME?</v>
      </c>
      <c r="W116" s="147" t="e">
        <f t="shared" ca="1" si="5"/>
        <v>#NAME?</v>
      </c>
      <c r="X116" s="147" t="e">
        <f t="shared" ca="1" si="6"/>
        <v>#NAME?</v>
      </c>
      <c r="Y116" s="147" t="e">
        <f t="shared" ca="1" si="7"/>
        <v>#NAME?</v>
      </c>
      <c r="Z116" s="147"/>
      <c r="AA116" s="147"/>
      <c r="AB116" s="147"/>
      <c r="AC116" s="147"/>
      <c r="AD116" s="147"/>
      <c r="AE116" s="147"/>
      <c r="AF116" s="147"/>
      <c r="AG116" s="147"/>
      <c r="AH116" s="147"/>
      <c r="AI116" s="147"/>
      <c r="AJ116" s="147"/>
      <c r="AK116" s="147"/>
      <c r="AL116" s="147"/>
      <c r="AM116" s="151"/>
      <c r="AN116" s="147"/>
      <c r="AO116" s="147" t="e">
        <f t="shared" si="8"/>
        <v>#N/A</v>
      </c>
      <c r="AP116" s="147" t="e">
        <f t="shared" ca="1" si="9"/>
        <v>#NAME?</v>
      </c>
      <c r="AQ116" s="147" t="e">
        <f t="shared" si="10"/>
        <v>#N/A</v>
      </c>
      <c r="AR116" s="147"/>
      <c r="AS116" s="147"/>
      <c r="AT116" s="147"/>
      <c r="AU116" s="147"/>
      <c r="AV116" s="147"/>
      <c r="AW116" s="147"/>
      <c r="AX116" s="147"/>
      <c r="AY116" s="147"/>
      <c r="AZ116" s="147"/>
      <c r="BA116" s="147"/>
      <c r="BB116" s="147"/>
      <c r="BC116" s="147"/>
      <c r="BD116" s="147"/>
      <c r="BE116" s="147"/>
      <c r="BF116" s="147"/>
      <c r="BG116" s="147"/>
      <c r="BH116" s="147"/>
      <c r="BI116" s="147"/>
      <c r="BJ116" s="147"/>
      <c r="BK116" s="147"/>
      <c r="BL116" s="147"/>
      <c r="BM116" s="147"/>
      <c r="BN116" s="147"/>
      <c r="BO116" s="147"/>
      <c r="BP116" s="147"/>
      <c r="BQ116" s="147"/>
      <c r="BR116" s="147"/>
      <c r="BS116" s="147"/>
      <c r="BT116" s="147"/>
      <c r="BU116" s="147"/>
      <c r="BV116" s="147"/>
      <c r="BW116" s="147"/>
      <c r="BX116" s="147"/>
      <c r="BY116" s="147"/>
      <c r="BZ116" s="147"/>
      <c r="CA116" s="147"/>
      <c r="CB116" s="147"/>
      <c r="CC116" s="147"/>
      <c r="CD116" s="147"/>
      <c r="CE116" s="147"/>
      <c r="CF116" s="147"/>
      <c r="CG116" s="147"/>
      <c r="CH116" s="147"/>
      <c r="CI116" s="147"/>
      <c r="CJ116" s="147"/>
      <c r="CK116" s="147"/>
    </row>
    <row r="117" spans="1:89">
      <c r="A117" s="159" t="s">
        <v>340</v>
      </c>
      <c r="B117" s="3" t="s">
        <v>341</v>
      </c>
      <c r="C117" s="160" t="s">
        <v>61</v>
      </c>
      <c r="D117" s="160" t="s">
        <v>855</v>
      </c>
      <c r="E117" s="3" t="s">
        <v>21</v>
      </c>
      <c r="F117" s="3" t="s">
        <v>926</v>
      </c>
      <c r="G117" s="3" t="s">
        <v>916</v>
      </c>
      <c r="H117" s="156" t="str">
        <f ca="1">IFERROR(
  _xludf.MINIFS(ATTENDANCE_LOG!$F:$F,
         ATTENDANCE_LOG!$A:$A, C117,
         ATTENDANCE_LOG!$B:$B, E117),
"")</f>
        <v/>
      </c>
      <c r="I117" s="156" t="str">
        <f t="shared" ca="1" si="0"/>
        <v/>
      </c>
      <c r="J117" s="3">
        <f>IFERROR(VLOOKUP(F117, LEVEL_HELPER!$A:$B, 2, 0), "")</f>
        <v>1</v>
      </c>
      <c r="K117" s="3">
        <f>IFERROR(VLOOKUP(G117, LEVEL_HELPER!$A:$B, 2, 0), "")</f>
        <v>2.5</v>
      </c>
      <c r="L117" s="157" t="s">
        <v>942</v>
      </c>
      <c r="M117" s="157" t="s">
        <v>921</v>
      </c>
      <c r="N117" s="3">
        <f t="array" aca="1" ref="N117" ca="1">IFERROR(
  INDEX($J$2:$J$543,
    MATCH(A117&amp;TEXT(I117,"yyyy-mm-dd"),
          $A$2:$A$543&amp;TEXT($H$2:$H$543,"yyyy-mm-dd"),
          0)),
"")</f>
        <v>2.5</v>
      </c>
      <c r="O117" s="147" t="str">
        <f t="shared" ca="1" si="1"/>
        <v/>
      </c>
      <c r="P117" s="147">
        <f t="shared" ref="P117:Q117" ca="1" si="126">IF(N117="",0,IF(N117&lt;=2,1,IF(N117&lt;=4,2,IF(N117&lt;=5.5,3,4))))</f>
        <v>2</v>
      </c>
      <c r="Q117" s="147">
        <f t="shared" ca="1" si="126"/>
        <v>0</v>
      </c>
      <c r="R117" s="147" t="str">
        <f t="shared" ca="1" si="3"/>
        <v>Not tested yet</v>
      </c>
      <c r="S117" s="147">
        <f t="shared" si="4"/>
        <v>0</v>
      </c>
      <c r="T117" s="147"/>
      <c r="U117" s="147"/>
      <c r="V117" s="148" t="e">
        <f ca="1"/>
        <v>#NAME?</v>
      </c>
      <c r="W117" s="147" t="e">
        <f t="shared" ca="1" si="5"/>
        <v>#NAME?</v>
      </c>
      <c r="X117" s="147" t="e">
        <f t="shared" ca="1" si="6"/>
        <v>#NAME?</v>
      </c>
      <c r="Y117" s="147" t="e">
        <f t="shared" ca="1" si="7"/>
        <v>#NAME?</v>
      </c>
      <c r="Z117" s="147"/>
      <c r="AA117" s="147"/>
      <c r="AB117" s="147"/>
      <c r="AC117" s="147"/>
      <c r="AD117" s="147"/>
      <c r="AE117" s="147"/>
      <c r="AF117" s="147"/>
      <c r="AG117" s="147"/>
      <c r="AH117" s="147"/>
      <c r="AI117" s="147"/>
      <c r="AJ117" s="147"/>
      <c r="AK117" s="147"/>
      <c r="AL117" s="147"/>
      <c r="AM117" s="151"/>
      <c r="AN117" s="147"/>
      <c r="AO117" s="147" t="e">
        <f t="shared" si="8"/>
        <v>#N/A</v>
      </c>
      <c r="AP117" s="147" t="e">
        <f t="shared" ca="1" si="9"/>
        <v>#NAME?</v>
      </c>
      <c r="AQ117" s="147" t="e">
        <f t="shared" si="10"/>
        <v>#N/A</v>
      </c>
      <c r="AR117" s="147"/>
      <c r="AS117" s="147"/>
      <c r="AT117" s="147"/>
      <c r="AU117" s="147"/>
      <c r="AV117" s="147"/>
      <c r="AW117" s="147"/>
      <c r="AX117" s="147"/>
      <c r="AY117" s="147"/>
      <c r="AZ117" s="147"/>
      <c r="BA117" s="147"/>
      <c r="BB117" s="147"/>
      <c r="BC117" s="147"/>
      <c r="BD117" s="147"/>
      <c r="BE117" s="147"/>
      <c r="BF117" s="147"/>
      <c r="BG117" s="147"/>
      <c r="BH117" s="147"/>
      <c r="BI117" s="147"/>
      <c r="BJ117" s="147"/>
      <c r="BK117" s="147"/>
      <c r="BL117" s="147"/>
      <c r="BM117" s="147"/>
      <c r="BN117" s="147"/>
      <c r="BO117" s="147"/>
      <c r="BP117" s="147"/>
      <c r="BQ117" s="147"/>
      <c r="BR117" s="147"/>
      <c r="BS117" s="147"/>
      <c r="BT117" s="147"/>
      <c r="BU117" s="147"/>
      <c r="BV117" s="147"/>
      <c r="BW117" s="147"/>
      <c r="BX117" s="147"/>
      <c r="BY117" s="147"/>
      <c r="BZ117" s="147"/>
      <c r="CA117" s="147"/>
      <c r="CB117" s="147"/>
      <c r="CC117" s="147"/>
      <c r="CD117" s="147"/>
      <c r="CE117" s="147"/>
      <c r="CF117" s="147"/>
      <c r="CG117" s="147"/>
      <c r="CH117" s="147"/>
      <c r="CI117" s="147"/>
      <c r="CJ117" s="147"/>
      <c r="CK117" s="147"/>
    </row>
    <row r="118" spans="1:89">
      <c r="A118" s="159" t="s">
        <v>504</v>
      </c>
      <c r="B118" s="3" t="s">
        <v>505</v>
      </c>
      <c r="C118" s="160" t="s">
        <v>61</v>
      </c>
      <c r="D118" s="160" t="s">
        <v>855</v>
      </c>
      <c r="E118" s="3" t="s">
        <v>21</v>
      </c>
      <c r="F118" s="3" t="s">
        <v>926</v>
      </c>
      <c r="G118" s="3" t="s">
        <v>926</v>
      </c>
      <c r="H118" s="156" t="str">
        <f ca="1">IFERROR(
  _xludf.MINIFS(ATTENDANCE_LOG!$F:$F,
         ATTENDANCE_LOG!$A:$A, C118,
         ATTENDANCE_LOG!$B:$B, E118),
"")</f>
        <v/>
      </c>
      <c r="I118" s="156" t="str">
        <f t="shared" ca="1" si="0"/>
        <v/>
      </c>
      <c r="J118" s="3">
        <f>IFERROR(VLOOKUP(F118, LEVEL_HELPER!$A:$B, 2, 0), "")</f>
        <v>1</v>
      </c>
      <c r="K118" s="3">
        <f>IFERROR(VLOOKUP(G118, LEVEL_HELPER!$A:$B, 2, 0), "")</f>
        <v>1</v>
      </c>
      <c r="L118" s="157" t="s">
        <v>942</v>
      </c>
      <c r="M118" s="157" t="s">
        <v>921</v>
      </c>
      <c r="N118" s="3">
        <f t="array" aca="1" ref="N118" ca="1">IFERROR(
  INDEX($J$2:$J$543,
    MATCH(A118&amp;TEXT(I118,"yyyy-mm-dd"),
          $A$2:$A$543&amp;TEXT($H$2:$H$543,"yyyy-mm-dd"),
          0)),
"")</f>
        <v>1</v>
      </c>
      <c r="O118" s="147" t="str">
        <f t="shared" ca="1" si="1"/>
        <v/>
      </c>
      <c r="P118" s="147">
        <f t="shared" ref="P118:Q118" ca="1" si="127">IF(N118="",0,IF(N118&lt;=2,1,IF(N118&lt;=4,2,IF(N118&lt;=5.5,3,4))))</f>
        <v>1</v>
      </c>
      <c r="Q118" s="147">
        <f t="shared" ca="1" si="127"/>
        <v>0</v>
      </c>
      <c r="R118" s="147" t="str">
        <f t="shared" ca="1" si="3"/>
        <v>Not tested yet</v>
      </c>
      <c r="S118" s="147">
        <f t="shared" si="4"/>
        <v>0</v>
      </c>
      <c r="T118" s="147"/>
      <c r="U118" s="147"/>
      <c r="V118" s="148" t="e">
        <f ca="1"/>
        <v>#NAME?</v>
      </c>
      <c r="W118" s="147" t="e">
        <f t="shared" ca="1" si="5"/>
        <v>#NAME?</v>
      </c>
      <c r="X118" s="147" t="e">
        <f t="shared" ca="1" si="6"/>
        <v>#NAME?</v>
      </c>
      <c r="Y118" s="147" t="e">
        <f t="shared" ca="1" si="7"/>
        <v>#NAME?</v>
      </c>
      <c r="Z118" s="147"/>
      <c r="AA118" s="147"/>
      <c r="AB118" s="147"/>
      <c r="AC118" s="147"/>
      <c r="AD118" s="147"/>
      <c r="AE118" s="147"/>
      <c r="AF118" s="147"/>
      <c r="AG118" s="147"/>
      <c r="AH118" s="147"/>
      <c r="AI118" s="147"/>
      <c r="AJ118" s="147"/>
      <c r="AK118" s="147"/>
      <c r="AL118" s="147"/>
      <c r="AM118" s="151"/>
      <c r="AN118" s="147"/>
      <c r="AO118" s="147" t="e">
        <f t="shared" si="8"/>
        <v>#N/A</v>
      </c>
      <c r="AP118" s="147" t="e">
        <f t="shared" ca="1" si="9"/>
        <v>#NAME?</v>
      </c>
      <c r="AQ118" s="147" t="e">
        <f t="shared" si="10"/>
        <v>#N/A</v>
      </c>
      <c r="AR118" s="147"/>
      <c r="AS118" s="147"/>
      <c r="AT118" s="147"/>
      <c r="AU118" s="147"/>
      <c r="AV118" s="147"/>
      <c r="AW118" s="147"/>
      <c r="AX118" s="147"/>
      <c r="AY118" s="147"/>
      <c r="AZ118" s="147"/>
      <c r="BA118" s="147"/>
      <c r="BB118" s="147"/>
      <c r="BC118" s="147"/>
      <c r="BD118" s="147"/>
      <c r="BE118" s="147"/>
      <c r="BF118" s="147"/>
      <c r="BG118" s="147"/>
      <c r="BH118" s="147"/>
      <c r="BI118" s="147"/>
      <c r="BJ118" s="147"/>
      <c r="BK118" s="147"/>
      <c r="BL118" s="147"/>
      <c r="BM118" s="147"/>
      <c r="BN118" s="147"/>
      <c r="BO118" s="147"/>
      <c r="BP118" s="147"/>
      <c r="BQ118" s="147"/>
      <c r="BR118" s="147"/>
      <c r="BS118" s="147"/>
      <c r="BT118" s="147"/>
      <c r="BU118" s="147"/>
      <c r="BV118" s="147"/>
      <c r="BW118" s="147"/>
      <c r="BX118" s="147"/>
      <c r="BY118" s="147"/>
      <c r="BZ118" s="147"/>
      <c r="CA118" s="147"/>
      <c r="CB118" s="147"/>
      <c r="CC118" s="147"/>
      <c r="CD118" s="147"/>
      <c r="CE118" s="147"/>
      <c r="CF118" s="147"/>
      <c r="CG118" s="147"/>
      <c r="CH118" s="147"/>
      <c r="CI118" s="147"/>
      <c r="CJ118" s="147"/>
      <c r="CK118" s="147"/>
    </row>
    <row r="119" spans="1:89">
      <c r="A119" s="159" t="s">
        <v>583</v>
      </c>
      <c r="B119" s="3" t="s">
        <v>584</v>
      </c>
      <c r="C119" s="160" t="s">
        <v>61</v>
      </c>
      <c r="D119" s="160" t="s">
        <v>855</v>
      </c>
      <c r="E119" s="3" t="s">
        <v>21</v>
      </c>
      <c r="F119" s="3" t="s">
        <v>916</v>
      </c>
      <c r="G119" s="3" t="s">
        <v>931</v>
      </c>
      <c r="H119" s="156" t="str">
        <f ca="1">IFERROR(
  _xludf.MINIFS(ATTENDANCE_LOG!$F:$F,
         ATTENDANCE_LOG!$A:$A, C119,
         ATTENDANCE_LOG!$B:$B, E119),
"")</f>
        <v/>
      </c>
      <c r="I119" s="156" t="str">
        <f t="shared" ca="1" si="0"/>
        <v/>
      </c>
      <c r="J119" s="3">
        <f>IFERROR(VLOOKUP(F119, LEVEL_HELPER!$A:$B, 2, 0), "")</f>
        <v>2.5</v>
      </c>
      <c r="K119" s="3">
        <f>IFERROR(VLOOKUP(G119, LEVEL_HELPER!$A:$B, 2, 0), "")</f>
        <v>4.5</v>
      </c>
      <c r="L119" s="157" t="s">
        <v>942</v>
      </c>
      <c r="M119" s="157" t="s">
        <v>921</v>
      </c>
      <c r="N119" s="3">
        <f t="array" aca="1" ref="N119" ca="1">IFERROR(
  INDEX($J$2:$J$543,
    MATCH(A119&amp;TEXT(I119,"yyyy-mm-dd"),
          $A$2:$A$543&amp;TEXT($H$2:$H$543,"yyyy-mm-dd"),
          0)),
"")</f>
        <v>4.5</v>
      </c>
      <c r="O119" s="147" t="str">
        <f t="shared" ca="1" si="1"/>
        <v/>
      </c>
      <c r="P119" s="147">
        <f t="shared" ref="P119:Q119" ca="1" si="128">IF(N119="",0,IF(N119&lt;=2,1,IF(N119&lt;=4,2,IF(N119&lt;=5.5,3,4))))</f>
        <v>3</v>
      </c>
      <c r="Q119" s="147">
        <f t="shared" ca="1" si="128"/>
        <v>0</v>
      </c>
      <c r="R119" s="147" t="str">
        <f t="shared" ca="1" si="3"/>
        <v>Not tested yet</v>
      </c>
      <c r="S119" s="147">
        <f t="shared" si="4"/>
        <v>0</v>
      </c>
      <c r="T119" s="147"/>
      <c r="U119" s="147"/>
      <c r="V119" s="148" t="e">
        <f ca="1"/>
        <v>#NAME?</v>
      </c>
      <c r="W119" s="147" t="e">
        <f t="shared" ca="1" si="5"/>
        <v>#NAME?</v>
      </c>
      <c r="X119" s="147" t="e">
        <f t="shared" ca="1" si="6"/>
        <v>#NAME?</v>
      </c>
      <c r="Y119" s="147" t="e">
        <f t="shared" ca="1" si="7"/>
        <v>#NAME?</v>
      </c>
      <c r="Z119" s="147"/>
      <c r="AA119" s="147"/>
      <c r="AB119" s="147"/>
      <c r="AC119" s="147"/>
      <c r="AD119" s="147"/>
      <c r="AE119" s="147"/>
      <c r="AF119" s="147"/>
      <c r="AG119" s="147"/>
      <c r="AH119" s="147"/>
      <c r="AI119" s="147"/>
      <c r="AJ119" s="147"/>
      <c r="AK119" s="147"/>
      <c r="AL119" s="147"/>
      <c r="AM119" s="151"/>
      <c r="AN119" s="147"/>
      <c r="AO119" s="147" t="e">
        <f t="shared" si="8"/>
        <v>#N/A</v>
      </c>
      <c r="AP119" s="147" t="e">
        <f t="shared" ca="1" si="9"/>
        <v>#NAME?</v>
      </c>
      <c r="AQ119" s="147" t="e">
        <f t="shared" si="10"/>
        <v>#N/A</v>
      </c>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7"/>
      <c r="BN119" s="147"/>
      <c r="BO119" s="147"/>
      <c r="BP119" s="147"/>
      <c r="BQ119" s="147"/>
      <c r="BR119" s="147"/>
      <c r="BS119" s="147"/>
      <c r="BT119" s="147"/>
      <c r="BU119" s="147"/>
      <c r="BV119" s="147"/>
      <c r="BW119" s="147"/>
      <c r="BX119" s="147"/>
      <c r="BY119" s="147"/>
      <c r="BZ119" s="147"/>
      <c r="CA119" s="147"/>
      <c r="CB119" s="147"/>
      <c r="CC119" s="147"/>
      <c r="CD119" s="147"/>
      <c r="CE119" s="147"/>
      <c r="CF119" s="147"/>
      <c r="CG119" s="147"/>
      <c r="CH119" s="147"/>
      <c r="CI119" s="147"/>
      <c r="CJ119" s="147"/>
      <c r="CK119" s="147"/>
    </row>
    <row r="120" spans="1:89">
      <c r="A120" s="153" t="s">
        <v>307</v>
      </c>
      <c r="B120" s="154" t="s">
        <v>308</v>
      </c>
      <c r="C120" s="155" t="s">
        <v>62</v>
      </c>
      <c r="D120" s="155" t="s">
        <v>856</v>
      </c>
      <c r="E120" s="154" t="s">
        <v>21</v>
      </c>
      <c r="F120" s="3" t="s">
        <v>916</v>
      </c>
      <c r="G120" s="3" t="s">
        <v>934</v>
      </c>
      <c r="H120" s="156" t="str">
        <f ca="1">IFERROR(
  _xludf.MINIFS(ATTENDANCE_LOG!$F:$F,
         ATTENDANCE_LOG!$A:$A, C120,
         ATTENDANCE_LOG!$B:$B, E120),
"")</f>
        <v/>
      </c>
      <c r="I120" s="156" t="str">
        <f t="shared" ca="1" si="0"/>
        <v/>
      </c>
      <c r="J120" s="3">
        <f>IFERROR(VLOOKUP(F120, LEVEL_HELPER!$A:$B, 2, 0), "")</f>
        <v>2.5</v>
      </c>
      <c r="K120" s="3">
        <f>IFERROR(VLOOKUP(G120, LEVEL_HELPER!$A:$B, 2, 0), "")</f>
        <v>3.5</v>
      </c>
      <c r="L120" s="157" t="s">
        <v>942</v>
      </c>
      <c r="M120" s="157" t="s">
        <v>921</v>
      </c>
      <c r="N120" s="3">
        <f t="array" aca="1" ref="N120" ca="1">IFERROR(
  INDEX($J$2:$J$543,
    MATCH(A120&amp;TEXT(I120,"yyyy-mm-dd"),
          $A$2:$A$543&amp;TEXT($H$2:$H$543,"yyyy-mm-dd"),
          0)),
"")</f>
        <v>2.5</v>
      </c>
      <c r="O120" s="147" t="str">
        <f t="shared" ca="1" si="1"/>
        <v/>
      </c>
      <c r="P120" s="147">
        <f t="shared" ref="P120:Q120" ca="1" si="129">IF(N120="",0,IF(N120&lt;=2,1,IF(N120&lt;=4,2,IF(N120&lt;=5.5,3,4))))</f>
        <v>2</v>
      </c>
      <c r="Q120" s="147">
        <f t="shared" ca="1" si="129"/>
        <v>0</v>
      </c>
      <c r="R120" s="147" t="str">
        <f t="shared" ca="1" si="3"/>
        <v>Not tested yet</v>
      </c>
      <c r="S120" s="147">
        <f t="shared" si="4"/>
        <v>1</v>
      </c>
      <c r="T120" s="147"/>
      <c r="U120" s="147"/>
      <c r="V120" s="148" t="e">
        <f ca="1"/>
        <v>#NAME?</v>
      </c>
      <c r="W120" s="147" t="e">
        <f t="shared" ca="1" si="5"/>
        <v>#NAME?</v>
      </c>
      <c r="X120" s="147" t="e">
        <f t="shared" ca="1" si="6"/>
        <v>#NAME?</v>
      </c>
      <c r="Y120" s="147" t="e">
        <f t="shared" ca="1" si="7"/>
        <v>#NAME?</v>
      </c>
      <c r="Z120" s="147"/>
      <c r="AA120" s="147"/>
      <c r="AB120" s="147"/>
      <c r="AC120" s="147"/>
      <c r="AD120" s="147"/>
      <c r="AE120" s="147"/>
      <c r="AF120" s="147"/>
      <c r="AG120" s="147"/>
      <c r="AH120" s="147"/>
      <c r="AI120" s="147"/>
      <c r="AJ120" s="147"/>
      <c r="AK120" s="147"/>
      <c r="AL120" s="147"/>
      <c r="AM120" s="151"/>
      <c r="AN120" s="147"/>
      <c r="AO120" s="147" t="e">
        <f t="shared" si="8"/>
        <v>#N/A</v>
      </c>
      <c r="AP120" s="147" t="e">
        <f t="shared" ca="1" si="9"/>
        <v>#NAME?</v>
      </c>
      <c r="AQ120" s="147" t="e">
        <f t="shared" si="10"/>
        <v>#N/A</v>
      </c>
      <c r="AR120" s="147"/>
      <c r="AS120" s="147"/>
      <c r="AT120" s="147"/>
      <c r="AU120" s="147"/>
      <c r="AV120" s="147"/>
      <c r="AW120" s="147"/>
      <c r="AX120" s="147"/>
      <c r="AY120" s="147"/>
      <c r="AZ120" s="147"/>
      <c r="BA120" s="147"/>
      <c r="BB120" s="147"/>
      <c r="BC120" s="147"/>
      <c r="BD120" s="147"/>
      <c r="BE120" s="147"/>
      <c r="BF120" s="147"/>
      <c r="BG120" s="147"/>
      <c r="BH120" s="147"/>
      <c r="BI120" s="147"/>
      <c r="BJ120" s="147"/>
      <c r="BK120" s="147"/>
      <c r="BL120" s="147"/>
      <c r="BM120" s="147"/>
      <c r="BN120" s="147"/>
      <c r="BO120" s="147"/>
      <c r="BP120" s="147"/>
      <c r="BQ120" s="147"/>
      <c r="BR120" s="147"/>
      <c r="BS120" s="147"/>
      <c r="BT120" s="147"/>
      <c r="BU120" s="147"/>
      <c r="BV120" s="147"/>
      <c r="BW120" s="147"/>
      <c r="BX120" s="147"/>
      <c r="BY120" s="147"/>
      <c r="BZ120" s="147"/>
      <c r="CA120" s="147"/>
      <c r="CB120" s="147"/>
      <c r="CC120" s="147"/>
      <c r="CD120" s="147"/>
      <c r="CE120" s="147"/>
      <c r="CF120" s="147"/>
      <c r="CG120" s="147"/>
      <c r="CH120" s="147"/>
      <c r="CI120" s="147"/>
      <c r="CJ120" s="147"/>
      <c r="CK120" s="147"/>
    </row>
    <row r="121" spans="1:89">
      <c r="A121" s="159" t="s">
        <v>190</v>
      </c>
      <c r="B121" s="3" t="s">
        <v>191</v>
      </c>
      <c r="C121" s="160" t="s">
        <v>62</v>
      </c>
      <c r="D121" s="160" t="s">
        <v>856</v>
      </c>
      <c r="E121" s="3" t="s">
        <v>21</v>
      </c>
      <c r="F121" s="3" t="s">
        <v>926</v>
      </c>
      <c r="G121" s="3"/>
      <c r="H121" s="156" t="str">
        <f ca="1">IFERROR(
  _xludf.MINIFS(ATTENDANCE_LOG!$F:$F,
         ATTENDANCE_LOG!$A:$A, C121,
         ATTENDANCE_LOG!$B:$B, E121),
"")</f>
        <v/>
      </c>
      <c r="I121" s="156" t="str">
        <f t="shared" ca="1" si="0"/>
        <v/>
      </c>
      <c r="J121" s="3">
        <f>IFERROR(VLOOKUP(F121, LEVEL_HELPER!$A:$B, 2, 0), "")</f>
        <v>1</v>
      </c>
      <c r="K121" s="3" t="str">
        <f>IFERROR(VLOOKUP(G121, LEVEL_HELPER!$A:$B, 2, 0), "")</f>
        <v/>
      </c>
      <c r="L121" s="157" t="s">
        <v>943</v>
      </c>
      <c r="M121" s="157" t="s">
        <v>921</v>
      </c>
      <c r="N121" s="3">
        <f t="array" aca="1" ref="N121" ca="1">IFERROR(
  INDEX($J$2:$J$543,
    MATCH(A121&amp;TEXT(I121,"yyyy-mm-dd"),
          $A$2:$A$543&amp;TEXT($H$2:$H$543,"yyyy-mm-dd"),
          0)),
"")</f>
        <v>1</v>
      </c>
      <c r="O121" s="147" t="str">
        <f t="shared" ca="1" si="1"/>
        <v/>
      </c>
      <c r="P121" s="147">
        <f t="shared" ref="P121:Q121" ca="1" si="130">IF(N121="",0,IF(N121&lt;=2,1,IF(N121&lt;=4,2,IF(N121&lt;=5.5,3,4))))</f>
        <v>1</v>
      </c>
      <c r="Q121" s="147">
        <f t="shared" ca="1" si="130"/>
        <v>0</v>
      </c>
      <c r="R121" s="147" t="str">
        <f t="shared" ca="1" si="3"/>
        <v>Not tested yet</v>
      </c>
      <c r="S121" s="147">
        <f t="shared" si="4"/>
        <v>1</v>
      </c>
      <c r="T121" s="147"/>
      <c r="U121" s="147"/>
      <c r="V121" s="148" t="e">
        <f ca="1"/>
        <v>#NAME?</v>
      </c>
      <c r="W121" s="147" t="e">
        <f t="shared" ca="1" si="5"/>
        <v>#NAME?</v>
      </c>
      <c r="X121" s="147" t="e">
        <f t="shared" ca="1" si="6"/>
        <v>#NAME?</v>
      </c>
      <c r="Y121" s="147" t="e">
        <f t="shared" ca="1" si="7"/>
        <v>#NAME?</v>
      </c>
      <c r="Z121" s="147"/>
      <c r="AA121" s="147"/>
      <c r="AB121" s="147"/>
      <c r="AC121" s="147"/>
      <c r="AD121" s="147"/>
      <c r="AE121" s="147"/>
      <c r="AF121" s="147"/>
      <c r="AG121" s="147"/>
      <c r="AH121" s="147"/>
      <c r="AI121" s="147"/>
      <c r="AJ121" s="147"/>
      <c r="AK121" s="147"/>
      <c r="AL121" s="147"/>
      <c r="AM121" s="151"/>
      <c r="AN121" s="147"/>
      <c r="AO121" s="147" t="e">
        <f t="shared" si="8"/>
        <v>#N/A</v>
      </c>
      <c r="AP121" s="147" t="e">
        <f t="shared" ca="1" si="9"/>
        <v>#NAME?</v>
      </c>
      <c r="AQ121" s="147" t="e">
        <f t="shared" si="10"/>
        <v>#N/A</v>
      </c>
      <c r="AR121" s="147"/>
      <c r="AS121" s="147"/>
      <c r="AT121" s="147"/>
      <c r="AU121" s="147"/>
      <c r="AV121" s="147"/>
      <c r="AW121" s="147"/>
      <c r="AX121" s="147"/>
      <c r="AY121" s="147"/>
      <c r="AZ121" s="147"/>
      <c r="BA121" s="147"/>
      <c r="BB121" s="147"/>
      <c r="BC121" s="147"/>
      <c r="BD121" s="147"/>
      <c r="BE121" s="147"/>
      <c r="BF121" s="147"/>
      <c r="BG121" s="147"/>
      <c r="BH121" s="147"/>
      <c r="BI121" s="147"/>
      <c r="BJ121" s="147"/>
      <c r="BK121" s="147"/>
      <c r="BL121" s="147"/>
      <c r="BM121" s="147"/>
      <c r="BN121" s="147"/>
      <c r="BO121" s="147"/>
      <c r="BP121" s="147"/>
      <c r="BQ121" s="147"/>
      <c r="BR121" s="147"/>
      <c r="BS121" s="147"/>
      <c r="BT121" s="147"/>
      <c r="BU121" s="147"/>
      <c r="BV121" s="147"/>
      <c r="BW121" s="147"/>
      <c r="BX121" s="147"/>
      <c r="BY121" s="147"/>
      <c r="BZ121" s="147"/>
      <c r="CA121" s="147"/>
      <c r="CB121" s="147"/>
      <c r="CC121" s="147"/>
      <c r="CD121" s="147"/>
      <c r="CE121" s="147"/>
      <c r="CF121" s="147"/>
      <c r="CG121" s="147"/>
      <c r="CH121" s="147"/>
      <c r="CI121" s="147"/>
      <c r="CJ121" s="147"/>
      <c r="CK121" s="147"/>
    </row>
    <row r="122" spans="1:89">
      <c r="A122" s="159" t="s">
        <v>198</v>
      </c>
      <c r="B122" s="3" t="s">
        <v>199</v>
      </c>
      <c r="C122" s="160" t="s">
        <v>62</v>
      </c>
      <c r="D122" s="160" t="s">
        <v>856</v>
      </c>
      <c r="E122" s="3" t="s">
        <v>21</v>
      </c>
      <c r="F122" s="3" t="s">
        <v>916</v>
      </c>
      <c r="G122" s="3"/>
      <c r="H122" s="156" t="str">
        <f ca="1">IFERROR(
  _xludf.MINIFS(ATTENDANCE_LOG!$F:$F,
         ATTENDANCE_LOG!$A:$A, C122,
         ATTENDANCE_LOG!$B:$B, E122),
"")</f>
        <v/>
      </c>
      <c r="I122" s="156" t="str">
        <f t="shared" ca="1" si="0"/>
        <v/>
      </c>
      <c r="J122" s="3">
        <f>IFERROR(VLOOKUP(F122, LEVEL_HELPER!$A:$B, 2, 0), "")</f>
        <v>2.5</v>
      </c>
      <c r="K122" s="3" t="str">
        <f>IFERROR(VLOOKUP(G122, LEVEL_HELPER!$A:$B, 2, 0), "")</f>
        <v/>
      </c>
      <c r="L122" s="157" t="s">
        <v>942</v>
      </c>
      <c r="M122" s="157" t="s">
        <v>925</v>
      </c>
      <c r="N122" s="3">
        <f t="array" aca="1" ref="N122" ca="1">IFERROR(
  INDEX($J$2:$J$543,
    MATCH(A122&amp;TEXT(I122,"yyyy-mm-dd"),
          $A$2:$A$543&amp;TEXT($H$2:$H$543,"yyyy-mm-dd"),
          0)),
"")</f>
        <v>2.5</v>
      </c>
      <c r="O122" s="147" t="str">
        <f t="shared" ca="1" si="1"/>
        <v/>
      </c>
      <c r="P122" s="147">
        <f t="shared" ref="P122:Q122" ca="1" si="131">IF(N122="",0,IF(N122&lt;=2,1,IF(N122&lt;=4,2,IF(N122&lt;=5.5,3,4))))</f>
        <v>2</v>
      </c>
      <c r="Q122" s="147">
        <f t="shared" ca="1" si="131"/>
        <v>0</v>
      </c>
      <c r="R122" s="147" t="str">
        <f t="shared" ca="1" si="3"/>
        <v>Not tested yet</v>
      </c>
      <c r="S122" s="147">
        <f t="shared" si="4"/>
        <v>1</v>
      </c>
      <c r="T122" s="147"/>
      <c r="U122" s="147"/>
      <c r="V122" s="148" t="e">
        <f ca="1"/>
        <v>#NAME?</v>
      </c>
      <c r="W122" s="147" t="e">
        <f t="shared" ca="1" si="5"/>
        <v>#NAME?</v>
      </c>
      <c r="X122" s="147" t="e">
        <f t="shared" ca="1" si="6"/>
        <v>#NAME?</v>
      </c>
      <c r="Y122" s="147" t="e">
        <f t="shared" ca="1" si="7"/>
        <v>#NAME?</v>
      </c>
      <c r="Z122" s="147"/>
      <c r="AA122" s="147"/>
      <c r="AB122" s="147"/>
      <c r="AC122" s="147"/>
      <c r="AD122" s="147"/>
      <c r="AE122" s="147"/>
      <c r="AF122" s="147"/>
      <c r="AG122" s="147"/>
      <c r="AH122" s="147"/>
      <c r="AI122" s="147"/>
      <c r="AJ122" s="147"/>
      <c r="AK122" s="147"/>
      <c r="AL122" s="147"/>
      <c r="AM122" s="151"/>
      <c r="AN122" s="147"/>
      <c r="AO122" s="147" t="e">
        <f t="shared" si="8"/>
        <v>#N/A</v>
      </c>
      <c r="AP122" s="147" t="e">
        <f t="shared" ca="1" si="9"/>
        <v>#NAME?</v>
      </c>
      <c r="AQ122" s="147" t="e">
        <f t="shared" si="10"/>
        <v>#N/A</v>
      </c>
      <c r="AR122" s="147"/>
      <c r="AS122" s="147"/>
      <c r="AT122" s="147"/>
      <c r="AU122" s="147"/>
      <c r="AV122" s="147"/>
      <c r="AW122" s="147"/>
      <c r="AX122" s="147"/>
      <c r="AY122" s="147"/>
      <c r="AZ122" s="147"/>
      <c r="BA122" s="147"/>
      <c r="BB122" s="147"/>
      <c r="BC122" s="147"/>
      <c r="BD122" s="147"/>
      <c r="BE122" s="147"/>
      <c r="BF122" s="147"/>
      <c r="BG122" s="147"/>
      <c r="BH122" s="147"/>
      <c r="BI122" s="147"/>
      <c r="BJ122" s="147"/>
      <c r="BK122" s="147"/>
      <c r="BL122" s="147"/>
      <c r="BM122" s="147"/>
      <c r="BN122" s="147"/>
      <c r="BO122" s="147"/>
      <c r="BP122" s="147"/>
      <c r="BQ122" s="147"/>
      <c r="BR122" s="147"/>
      <c r="BS122" s="147"/>
      <c r="BT122" s="147"/>
      <c r="BU122" s="147"/>
      <c r="BV122" s="147"/>
      <c r="BW122" s="147"/>
      <c r="BX122" s="147"/>
      <c r="BY122" s="147"/>
      <c r="BZ122" s="147"/>
      <c r="CA122" s="147"/>
      <c r="CB122" s="147"/>
      <c r="CC122" s="147"/>
      <c r="CD122" s="147"/>
      <c r="CE122" s="147"/>
      <c r="CF122" s="147"/>
      <c r="CG122" s="147"/>
      <c r="CH122" s="147"/>
      <c r="CI122" s="147"/>
      <c r="CJ122" s="147"/>
      <c r="CK122" s="147"/>
    </row>
    <row r="123" spans="1:89">
      <c r="A123" s="159" t="s">
        <v>237</v>
      </c>
      <c r="B123" s="3" t="s">
        <v>238</v>
      </c>
      <c r="C123" s="160" t="s">
        <v>62</v>
      </c>
      <c r="D123" s="160" t="s">
        <v>856</v>
      </c>
      <c r="E123" s="3" t="s">
        <v>21</v>
      </c>
      <c r="F123" s="3" t="s">
        <v>916</v>
      </c>
      <c r="G123" s="3"/>
      <c r="H123" s="156" t="str">
        <f ca="1">IFERROR(
  _xludf.MINIFS(ATTENDANCE_LOG!$F:$F,
         ATTENDANCE_LOG!$A:$A, C123,
         ATTENDANCE_LOG!$B:$B, E123),
"")</f>
        <v/>
      </c>
      <c r="I123" s="156" t="str">
        <f t="shared" ca="1" si="0"/>
        <v/>
      </c>
      <c r="J123" s="3">
        <f>IFERROR(VLOOKUP(F123, LEVEL_HELPER!$A:$B, 2, 0), "")</f>
        <v>2.5</v>
      </c>
      <c r="K123" s="3" t="str">
        <f>IFERROR(VLOOKUP(G123, LEVEL_HELPER!$A:$B, 2, 0), "")</f>
        <v/>
      </c>
      <c r="L123" s="157" t="s">
        <v>918</v>
      </c>
      <c r="M123" s="157" t="s">
        <v>921</v>
      </c>
      <c r="N123" s="3">
        <f t="array" aca="1" ref="N123" ca="1">IFERROR(
  INDEX($J$2:$J$543,
    MATCH(A123&amp;TEXT(I123,"yyyy-mm-dd"),
          $A$2:$A$543&amp;TEXT($H$2:$H$543,"yyyy-mm-dd"),
          0)),
"")</f>
        <v>2.5</v>
      </c>
      <c r="O123" s="147" t="str">
        <f t="shared" ca="1" si="1"/>
        <v/>
      </c>
      <c r="P123" s="147">
        <f t="shared" ref="P123:Q123" ca="1" si="132">IF(N123="",0,IF(N123&lt;=2,1,IF(N123&lt;=4,2,IF(N123&lt;=5.5,3,4))))</f>
        <v>2</v>
      </c>
      <c r="Q123" s="147">
        <f t="shared" ca="1" si="132"/>
        <v>0</v>
      </c>
      <c r="R123" s="147" t="str">
        <f t="shared" ca="1" si="3"/>
        <v>Not tested yet</v>
      </c>
      <c r="S123" s="147">
        <f t="shared" si="4"/>
        <v>1</v>
      </c>
      <c r="T123" s="147"/>
      <c r="U123" s="147"/>
      <c r="V123" s="148" t="e">
        <f ca="1"/>
        <v>#NAME?</v>
      </c>
      <c r="W123" s="147" t="e">
        <f t="shared" ca="1" si="5"/>
        <v>#NAME?</v>
      </c>
      <c r="X123" s="147" t="e">
        <f t="shared" ca="1" si="6"/>
        <v>#NAME?</v>
      </c>
      <c r="Y123" s="147" t="e">
        <f t="shared" ca="1" si="7"/>
        <v>#NAME?</v>
      </c>
      <c r="Z123" s="147"/>
      <c r="AA123" s="147"/>
      <c r="AB123" s="147"/>
      <c r="AC123" s="147"/>
      <c r="AD123" s="147"/>
      <c r="AE123" s="147"/>
      <c r="AF123" s="147"/>
      <c r="AG123" s="147"/>
      <c r="AH123" s="147"/>
      <c r="AI123" s="147"/>
      <c r="AJ123" s="147"/>
      <c r="AK123" s="147"/>
      <c r="AL123" s="147"/>
      <c r="AM123" s="151"/>
      <c r="AN123" s="147"/>
      <c r="AO123" s="147" t="e">
        <f t="shared" si="8"/>
        <v>#N/A</v>
      </c>
      <c r="AP123" s="147" t="e">
        <f t="shared" ca="1" si="9"/>
        <v>#NAME?</v>
      </c>
      <c r="AQ123" s="147" t="e">
        <f t="shared" si="10"/>
        <v>#N/A</v>
      </c>
      <c r="AR123" s="147"/>
      <c r="AS123" s="147"/>
      <c r="AT123" s="147"/>
      <c r="AU123" s="147"/>
      <c r="AV123" s="147"/>
      <c r="AW123" s="147"/>
      <c r="AX123" s="147"/>
      <c r="AY123" s="147"/>
      <c r="AZ123" s="147"/>
      <c r="BA123" s="147"/>
      <c r="BB123" s="147"/>
      <c r="BC123" s="147"/>
      <c r="BD123" s="147"/>
      <c r="BE123" s="147"/>
      <c r="BF123" s="147"/>
      <c r="BG123" s="147"/>
      <c r="BH123" s="147"/>
      <c r="BI123" s="147"/>
      <c r="BJ123" s="147"/>
      <c r="BK123" s="147"/>
      <c r="BL123" s="147"/>
      <c r="BM123" s="147"/>
      <c r="BN123" s="147"/>
      <c r="BO123" s="147"/>
      <c r="BP123" s="147"/>
      <c r="BQ123" s="147"/>
      <c r="BR123" s="147"/>
      <c r="BS123" s="147"/>
      <c r="BT123" s="147"/>
      <c r="BU123" s="147"/>
      <c r="BV123" s="147"/>
      <c r="BW123" s="147"/>
      <c r="BX123" s="147"/>
      <c r="BY123" s="147"/>
      <c r="BZ123" s="147"/>
      <c r="CA123" s="147"/>
      <c r="CB123" s="147"/>
      <c r="CC123" s="147"/>
      <c r="CD123" s="147"/>
      <c r="CE123" s="147"/>
      <c r="CF123" s="147"/>
      <c r="CG123" s="147"/>
      <c r="CH123" s="147"/>
      <c r="CI123" s="147"/>
      <c r="CJ123" s="147"/>
      <c r="CK123" s="147"/>
    </row>
    <row r="124" spans="1:89">
      <c r="A124" s="159" t="s">
        <v>249</v>
      </c>
      <c r="B124" s="3" t="s">
        <v>250</v>
      </c>
      <c r="C124" s="160" t="s">
        <v>62</v>
      </c>
      <c r="D124" s="160" t="s">
        <v>856</v>
      </c>
      <c r="E124" s="3" t="s">
        <v>21</v>
      </c>
      <c r="F124" s="3" t="s">
        <v>926</v>
      </c>
      <c r="G124" s="3"/>
      <c r="H124" s="156" t="str">
        <f ca="1">IFERROR(
  _xludf.MINIFS(ATTENDANCE_LOG!$F:$F,
         ATTENDANCE_LOG!$A:$A, C124,
         ATTENDANCE_LOG!$B:$B, E124),
"")</f>
        <v/>
      </c>
      <c r="I124" s="156" t="str">
        <f t="shared" ca="1" si="0"/>
        <v/>
      </c>
      <c r="J124" s="3">
        <f>IFERROR(VLOOKUP(F124, LEVEL_HELPER!$A:$B, 2, 0), "")</f>
        <v>1</v>
      </c>
      <c r="K124" s="3" t="str">
        <f>IFERROR(VLOOKUP(G124, LEVEL_HELPER!$A:$B, 2, 0), "")</f>
        <v/>
      </c>
      <c r="L124" s="157" t="s">
        <v>942</v>
      </c>
      <c r="M124" s="157" t="s">
        <v>921</v>
      </c>
      <c r="N124" s="3">
        <f t="array" aca="1" ref="N124" ca="1">IFERROR(
  INDEX($J$2:$J$543,
    MATCH(A124&amp;TEXT(I124,"yyyy-mm-dd"),
          $A$2:$A$543&amp;TEXT($H$2:$H$543,"yyyy-mm-dd"),
          0)),
"")</f>
        <v>1</v>
      </c>
      <c r="O124" s="147" t="str">
        <f t="shared" ca="1" si="1"/>
        <v/>
      </c>
      <c r="P124" s="147">
        <f t="shared" ref="P124:Q124" ca="1" si="133">IF(N124="",0,IF(N124&lt;=2,1,IF(N124&lt;=4,2,IF(N124&lt;=5.5,3,4))))</f>
        <v>1</v>
      </c>
      <c r="Q124" s="147">
        <f t="shared" ca="1" si="133"/>
        <v>0</v>
      </c>
      <c r="R124" s="147" t="str">
        <f t="shared" ca="1" si="3"/>
        <v>Not tested yet</v>
      </c>
      <c r="S124" s="147">
        <f t="shared" si="4"/>
        <v>1</v>
      </c>
      <c r="T124" s="147"/>
      <c r="U124" s="147"/>
      <c r="V124" s="148" t="e">
        <f ca="1"/>
        <v>#NAME?</v>
      </c>
      <c r="W124" s="147" t="e">
        <f t="shared" ca="1" si="5"/>
        <v>#NAME?</v>
      </c>
      <c r="X124" s="147" t="e">
        <f t="shared" ca="1" si="6"/>
        <v>#NAME?</v>
      </c>
      <c r="Y124" s="147" t="e">
        <f t="shared" ca="1" si="7"/>
        <v>#NAME?</v>
      </c>
      <c r="Z124" s="147"/>
      <c r="AA124" s="147"/>
      <c r="AB124" s="147"/>
      <c r="AC124" s="147"/>
      <c r="AD124" s="147"/>
      <c r="AE124" s="147"/>
      <c r="AF124" s="147"/>
      <c r="AG124" s="147"/>
      <c r="AH124" s="147"/>
      <c r="AI124" s="147"/>
      <c r="AJ124" s="147"/>
      <c r="AK124" s="147"/>
      <c r="AL124" s="147"/>
      <c r="AM124" s="151"/>
      <c r="AN124" s="147"/>
      <c r="AO124" s="147" t="e">
        <f t="shared" si="8"/>
        <v>#N/A</v>
      </c>
      <c r="AP124" s="147" t="e">
        <f t="shared" ca="1" si="9"/>
        <v>#NAME?</v>
      </c>
      <c r="AQ124" s="147" t="e">
        <f t="shared" si="10"/>
        <v>#N/A</v>
      </c>
      <c r="AR124" s="147"/>
      <c r="AS124" s="147"/>
      <c r="AT124" s="147"/>
      <c r="AU124" s="147"/>
      <c r="AV124" s="147"/>
      <c r="AW124" s="147"/>
      <c r="AX124" s="147"/>
      <c r="AY124" s="147"/>
      <c r="AZ124" s="147"/>
      <c r="BA124" s="147"/>
      <c r="BB124" s="147"/>
      <c r="BC124" s="147"/>
      <c r="BD124" s="147"/>
      <c r="BE124" s="147"/>
      <c r="BF124" s="147"/>
      <c r="BG124" s="147"/>
      <c r="BH124" s="147"/>
      <c r="BI124" s="147"/>
      <c r="BJ124" s="147"/>
      <c r="BK124" s="147"/>
      <c r="BL124" s="147"/>
      <c r="BM124" s="147"/>
      <c r="BN124" s="147"/>
      <c r="BO124" s="147"/>
      <c r="BP124" s="147"/>
      <c r="BQ124" s="147"/>
      <c r="BR124" s="147"/>
      <c r="BS124" s="147"/>
      <c r="BT124" s="147"/>
      <c r="BU124" s="147"/>
      <c r="BV124" s="147"/>
      <c r="BW124" s="147"/>
      <c r="BX124" s="147"/>
      <c r="BY124" s="147"/>
      <c r="BZ124" s="147"/>
      <c r="CA124" s="147"/>
      <c r="CB124" s="147"/>
      <c r="CC124" s="147"/>
      <c r="CD124" s="147"/>
      <c r="CE124" s="147"/>
      <c r="CF124" s="147"/>
      <c r="CG124" s="147"/>
      <c r="CH124" s="147"/>
      <c r="CI124" s="147"/>
      <c r="CJ124" s="147"/>
      <c r="CK124" s="147"/>
    </row>
    <row r="125" spans="1:89">
      <c r="A125" s="159" t="s">
        <v>376</v>
      </c>
      <c r="B125" s="3" t="s">
        <v>377</v>
      </c>
      <c r="C125" s="160" t="s">
        <v>62</v>
      </c>
      <c r="D125" s="160" t="s">
        <v>856</v>
      </c>
      <c r="E125" s="3" t="s">
        <v>21</v>
      </c>
      <c r="F125" s="3" t="s">
        <v>926</v>
      </c>
      <c r="G125" s="3"/>
      <c r="H125" s="156" t="str">
        <f ca="1">IFERROR(
  _xludf.MINIFS(ATTENDANCE_LOG!$F:$F,
         ATTENDANCE_LOG!$A:$A, C125,
         ATTENDANCE_LOG!$B:$B, E125),
"")</f>
        <v/>
      </c>
      <c r="I125" s="156" t="str">
        <f t="shared" ca="1" si="0"/>
        <v/>
      </c>
      <c r="J125" s="3">
        <f>IFERROR(VLOOKUP(F125, LEVEL_HELPER!$A:$B, 2, 0), "")</f>
        <v>1</v>
      </c>
      <c r="K125" s="3" t="str">
        <f>IFERROR(VLOOKUP(G125, LEVEL_HELPER!$A:$B, 2, 0), "")</f>
        <v/>
      </c>
      <c r="L125" s="157" t="s">
        <v>918</v>
      </c>
      <c r="M125" s="157" t="s">
        <v>921</v>
      </c>
      <c r="N125" s="3">
        <f t="array" aca="1" ref="N125" ca="1">IFERROR(
  INDEX($J$2:$J$543,
    MATCH(A125&amp;TEXT(I125,"yyyy-mm-dd"),
          $A$2:$A$543&amp;TEXT($H$2:$H$543,"yyyy-mm-dd"),
          0)),
"")</f>
        <v>1</v>
      </c>
      <c r="O125" s="147" t="str">
        <f t="shared" ca="1" si="1"/>
        <v/>
      </c>
      <c r="P125" s="147">
        <f t="shared" ref="P125:Q125" ca="1" si="134">IF(N125="",0,IF(N125&lt;=2,1,IF(N125&lt;=4,2,IF(N125&lt;=5.5,3,4))))</f>
        <v>1</v>
      </c>
      <c r="Q125" s="147">
        <f t="shared" ca="1" si="134"/>
        <v>0</v>
      </c>
      <c r="R125" s="147" t="str">
        <f t="shared" ca="1" si="3"/>
        <v>Not tested yet</v>
      </c>
      <c r="S125" s="147">
        <f t="shared" si="4"/>
        <v>1</v>
      </c>
      <c r="T125" s="147"/>
      <c r="U125" s="147"/>
      <c r="V125" s="148" t="e">
        <f ca="1"/>
        <v>#NAME?</v>
      </c>
      <c r="W125" s="147" t="e">
        <f t="shared" ca="1" si="5"/>
        <v>#NAME?</v>
      </c>
      <c r="X125" s="147" t="e">
        <f t="shared" ca="1" si="6"/>
        <v>#NAME?</v>
      </c>
      <c r="Y125" s="147" t="e">
        <f t="shared" ca="1" si="7"/>
        <v>#NAME?</v>
      </c>
      <c r="Z125" s="147"/>
      <c r="AA125" s="147"/>
      <c r="AB125" s="147"/>
      <c r="AC125" s="147"/>
      <c r="AD125" s="147"/>
      <c r="AE125" s="147"/>
      <c r="AF125" s="147"/>
      <c r="AG125" s="147"/>
      <c r="AH125" s="147"/>
      <c r="AI125" s="147"/>
      <c r="AJ125" s="147"/>
      <c r="AK125" s="147"/>
      <c r="AL125" s="147"/>
      <c r="AM125" s="151"/>
      <c r="AN125" s="147"/>
      <c r="AO125" s="147" t="e">
        <f t="shared" si="8"/>
        <v>#N/A</v>
      </c>
      <c r="AP125" s="147" t="e">
        <f t="shared" ca="1" si="9"/>
        <v>#NAME?</v>
      </c>
      <c r="AQ125" s="147" t="e">
        <f t="shared" si="10"/>
        <v>#N/A</v>
      </c>
      <c r="AR125" s="147"/>
      <c r="AS125" s="147"/>
      <c r="AT125" s="147"/>
      <c r="AU125" s="147"/>
      <c r="AV125" s="147"/>
      <c r="AW125" s="147"/>
      <c r="AX125" s="147"/>
      <c r="AY125" s="147"/>
      <c r="AZ125" s="147"/>
      <c r="BA125" s="147"/>
      <c r="BB125" s="147"/>
      <c r="BC125" s="147"/>
      <c r="BD125" s="147"/>
      <c r="BE125" s="147"/>
      <c r="BF125" s="147"/>
      <c r="BG125" s="147"/>
      <c r="BH125" s="147"/>
      <c r="BI125" s="147"/>
      <c r="BJ125" s="147"/>
      <c r="BK125" s="147"/>
      <c r="BL125" s="147"/>
      <c r="BM125" s="147"/>
      <c r="BN125" s="147"/>
      <c r="BO125" s="147"/>
      <c r="BP125" s="147"/>
      <c r="BQ125" s="147"/>
      <c r="BR125" s="147"/>
      <c r="BS125" s="147"/>
      <c r="BT125" s="147"/>
      <c r="BU125" s="147"/>
      <c r="BV125" s="147"/>
      <c r="BW125" s="147"/>
      <c r="BX125" s="147"/>
      <c r="BY125" s="147"/>
      <c r="BZ125" s="147"/>
      <c r="CA125" s="147"/>
      <c r="CB125" s="147"/>
      <c r="CC125" s="147"/>
      <c r="CD125" s="147"/>
      <c r="CE125" s="147"/>
      <c r="CF125" s="147"/>
      <c r="CG125" s="147"/>
      <c r="CH125" s="147"/>
      <c r="CI125" s="147"/>
      <c r="CJ125" s="147"/>
      <c r="CK125" s="147"/>
    </row>
    <row r="126" spans="1:89">
      <c r="A126" s="159" t="s">
        <v>387</v>
      </c>
      <c r="B126" s="3" t="s">
        <v>388</v>
      </c>
      <c r="C126" s="160" t="s">
        <v>62</v>
      </c>
      <c r="D126" s="160" t="s">
        <v>856</v>
      </c>
      <c r="E126" s="3" t="s">
        <v>21</v>
      </c>
      <c r="F126" s="3" t="s">
        <v>926</v>
      </c>
      <c r="G126" s="3" t="s">
        <v>928</v>
      </c>
      <c r="H126" s="156" t="str">
        <f ca="1">IFERROR(
  _xludf.MINIFS(ATTENDANCE_LOG!$F:$F,
         ATTENDANCE_LOG!$A:$A, C126,
         ATTENDANCE_LOG!$B:$B, E126),
"")</f>
        <v/>
      </c>
      <c r="I126" s="156" t="str">
        <f t="shared" ca="1" si="0"/>
        <v/>
      </c>
      <c r="J126" s="3">
        <f>IFERROR(VLOOKUP(F126, LEVEL_HELPER!$A:$B, 2, 0), "")</f>
        <v>1</v>
      </c>
      <c r="K126" s="3">
        <f>IFERROR(VLOOKUP(G126, LEVEL_HELPER!$A:$B, 2, 0), "")</f>
        <v>1.5</v>
      </c>
      <c r="L126" s="157" t="s">
        <v>942</v>
      </c>
      <c r="M126" s="157" t="s">
        <v>921</v>
      </c>
      <c r="N126" s="3">
        <f t="array" aca="1" ref="N126" ca="1">IFERROR(
  INDEX($J$2:$J$543,
    MATCH(A126&amp;TEXT(I126,"yyyy-mm-dd"),
          $A$2:$A$543&amp;TEXT($H$2:$H$543,"yyyy-mm-dd"),
          0)),
"")</f>
        <v>1</v>
      </c>
      <c r="O126" s="147" t="str">
        <f t="shared" ca="1" si="1"/>
        <v/>
      </c>
      <c r="P126" s="147">
        <f t="shared" ref="P126:Q126" ca="1" si="135">IF(N126="",0,IF(N126&lt;=2,1,IF(N126&lt;=4,2,IF(N126&lt;=5.5,3,4))))</f>
        <v>1</v>
      </c>
      <c r="Q126" s="147">
        <f t="shared" ca="1" si="135"/>
        <v>0</v>
      </c>
      <c r="R126" s="147" t="str">
        <f t="shared" ca="1" si="3"/>
        <v>Not tested yet</v>
      </c>
      <c r="S126" s="147">
        <f t="shared" si="4"/>
        <v>1</v>
      </c>
      <c r="T126" s="147"/>
      <c r="U126" s="147"/>
      <c r="V126" s="148" t="e">
        <f ca="1"/>
        <v>#NAME?</v>
      </c>
      <c r="W126" s="147" t="e">
        <f t="shared" ca="1" si="5"/>
        <v>#NAME?</v>
      </c>
      <c r="X126" s="147" t="e">
        <f t="shared" ca="1" si="6"/>
        <v>#NAME?</v>
      </c>
      <c r="Y126" s="147" t="e">
        <f t="shared" ca="1" si="7"/>
        <v>#NAME?</v>
      </c>
      <c r="Z126" s="147"/>
      <c r="AA126" s="147"/>
      <c r="AB126" s="147"/>
      <c r="AC126" s="147"/>
      <c r="AD126" s="147"/>
      <c r="AE126" s="147"/>
      <c r="AF126" s="147"/>
      <c r="AG126" s="147"/>
      <c r="AH126" s="147"/>
      <c r="AI126" s="147"/>
      <c r="AJ126" s="147"/>
      <c r="AK126" s="147"/>
      <c r="AL126" s="147"/>
      <c r="AM126" s="151"/>
      <c r="AN126" s="147"/>
      <c r="AO126" s="147" t="e">
        <f t="shared" si="8"/>
        <v>#N/A</v>
      </c>
      <c r="AP126" s="147" t="e">
        <f t="shared" ca="1" si="9"/>
        <v>#NAME?</v>
      </c>
      <c r="AQ126" s="147" t="e">
        <f t="shared" si="10"/>
        <v>#N/A</v>
      </c>
      <c r="AR126" s="147"/>
      <c r="AS126" s="147"/>
      <c r="AT126" s="147"/>
      <c r="AU126" s="147"/>
      <c r="AV126" s="147"/>
      <c r="AW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47"/>
      <c r="BU126" s="147"/>
      <c r="BV126" s="147"/>
      <c r="BW126" s="147"/>
      <c r="BX126" s="147"/>
      <c r="BY126" s="147"/>
      <c r="BZ126" s="147"/>
      <c r="CA126" s="147"/>
      <c r="CB126" s="147"/>
      <c r="CC126" s="147"/>
      <c r="CD126" s="147"/>
      <c r="CE126" s="147"/>
      <c r="CF126" s="147"/>
      <c r="CG126" s="147"/>
      <c r="CH126" s="147"/>
      <c r="CI126" s="147"/>
      <c r="CJ126" s="147"/>
      <c r="CK126" s="147"/>
    </row>
    <row r="127" spans="1:89">
      <c r="A127" s="153" t="s">
        <v>298</v>
      </c>
      <c r="B127" s="154" t="s">
        <v>299</v>
      </c>
      <c r="C127" s="155" t="s">
        <v>63</v>
      </c>
      <c r="D127" s="155" t="s">
        <v>857</v>
      </c>
      <c r="E127" s="154" t="s">
        <v>21</v>
      </c>
      <c r="F127" s="3" t="s">
        <v>926</v>
      </c>
      <c r="G127" s="3" t="s">
        <v>917</v>
      </c>
      <c r="H127" s="156" t="str">
        <f ca="1">IFERROR(
  _xludf.MINIFS(ATTENDANCE_LOG!$F:$F,
         ATTENDANCE_LOG!$A:$A, C127,
         ATTENDANCE_LOG!$B:$B, E127),
"")</f>
        <v/>
      </c>
      <c r="I127" s="156" t="str">
        <f t="shared" ca="1" si="0"/>
        <v/>
      </c>
      <c r="J127" s="3">
        <f>IFERROR(VLOOKUP(F127, LEVEL_HELPER!$A:$B, 2, 0), "")</f>
        <v>1</v>
      </c>
      <c r="K127" s="3">
        <f>IFERROR(VLOOKUP(G127, LEVEL_HELPER!$A:$B, 2, 0), "")</f>
        <v>3</v>
      </c>
      <c r="L127" s="157" t="s">
        <v>942</v>
      </c>
      <c r="M127" s="157" t="s">
        <v>924</v>
      </c>
      <c r="N127" s="3">
        <f t="array" aca="1" ref="N127" ca="1">IFERROR(
  INDEX($J$2:$J$543,
    MATCH(A127&amp;TEXT(I127,"yyyy-mm-dd"),
          $A$2:$A$543&amp;TEXT($H$2:$H$543,"yyyy-mm-dd"),
          0)),
"")</f>
        <v>1</v>
      </c>
      <c r="O127" s="147" t="str">
        <f t="shared" ca="1" si="1"/>
        <v/>
      </c>
      <c r="P127" s="147">
        <f t="shared" ref="P127:Q127" ca="1" si="136">IF(N127="",0,IF(N127&lt;=2,1,IF(N127&lt;=4,2,IF(N127&lt;=5.5,3,4))))</f>
        <v>1</v>
      </c>
      <c r="Q127" s="147">
        <f t="shared" ca="1" si="136"/>
        <v>0</v>
      </c>
      <c r="R127" s="147" t="str">
        <f t="shared" ca="1" si="3"/>
        <v>Not tested yet</v>
      </c>
      <c r="S127" s="147">
        <f t="shared" si="4"/>
        <v>1</v>
      </c>
      <c r="T127" s="147"/>
      <c r="U127" s="147"/>
      <c r="V127" s="148" t="e">
        <f ca="1"/>
        <v>#NAME?</v>
      </c>
      <c r="W127" s="147" t="e">
        <f t="shared" ca="1" si="5"/>
        <v>#NAME?</v>
      </c>
      <c r="X127" s="147" t="e">
        <f t="shared" ca="1" si="6"/>
        <v>#NAME?</v>
      </c>
      <c r="Y127" s="147" t="e">
        <f t="shared" ca="1" si="7"/>
        <v>#NAME?</v>
      </c>
      <c r="Z127" s="147"/>
      <c r="AA127" s="147"/>
      <c r="AB127" s="147"/>
      <c r="AC127" s="147"/>
      <c r="AD127" s="147"/>
      <c r="AE127" s="147"/>
      <c r="AF127" s="147"/>
      <c r="AG127" s="147"/>
      <c r="AH127" s="147"/>
      <c r="AI127" s="147"/>
      <c r="AJ127" s="147"/>
      <c r="AK127" s="147"/>
      <c r="AL127" s="147"/>
      <c r="AM127" s="151"/>
      <c r="AN127" s="147"/>
      <c r="AO127" s="147" t="e">
        <f t="shared" si="8"/>
        <v>#N/A</v>
      </c>
      <c r="AP127" s="147" t="e">
        <f t="shared" ca="1" si="9"/>
        <v>#NAME?</v>
      </c>
      <c r="AQ127" s="147" t="e">
        <f t="shared" si="10"/>
        <v>#N/A</v>
      </c>
      <c r="AR127" s="147"/>
      <c r="AS127" s="147"/>
      <c r="AT127" s="147"/>
      <c r="AU127" s="147"/>
      <c r="AV127" s="147"/>
      <c r="AW127" s="147"/>
      <c r="AX127" s="147"/>
      <c r="AY127" s="147"/>
      <c r="AZ127" s="147"/>
      <c r="BA127" s="147"/>
      <c r="BB127" s="147"/>
      <c r="BC127" s="147"/>
      <c r="BD127" s="147"/>
      <c r="BE127" s="147"/>
      <c r="BF127" s="147"/>
      <c r="BG127" s="147"/>
      <c r="BH127" s="147"/>
      <c r="BI127" s="147"/>
      <c r="BJ127" s="147"/>
      <c r="BK127" s="147"/>
      <c r="BL127" s="147"/>
      <c r="BM127" s="147"/>
      <c r="BN127" s="147"/>
      <c r="BO127" s="147"/>
      <c r="BP127" s="147"/>
      <c r="BQ127" s="147"/>
      <c r="BR127" s="147"/>
      <c r="BS127" s="147"/>
      <c r="BT127" s="147"/>
      <c r="BU127" s="147"/>
      <c r="BV127" s="147"/>
      <c r="BW127" s="147"/>
      <c r="BX127" s="147"/>
      <c r="BY127" s="147"/>
      <c r="BZ127" s="147"/>
      <c r="CA127" s="147"/>
      <c r="CB127" s="147"/>
      <c r="CC127" s="147"/>
      <c r="CD127" s="147"/>
      <c r="CE127" s="147"/>
      <c r="CF127" s="147"/>
      <c r="CG127" s="147"/>
      <c r="CH127" s="147"/>
      <c r="CI127" s="147"/>
      <c r="CJ127" s="147"/>
      <c r="CK127" s="147"/>
    </row>
    <row r="128" spans="1:89">
      <c r="A128" s="159" t="s">
        <v>220</v>
      </c>
      <c r="B128" s="3" t="s">
        <v>221</v>
      </c>
      <c r="C128" s="160" t="s">
        <v>63</v>
      </c>
      <c r="D128" s="160" t="s">
        <v>857</v>
      </c>
      <c r="E128" s="3" t="s">
        <v>21</v>
      </c>
      <c r="F128" s="3" t="s">
        <v>926</v>
      </c>
      <c r="G128" s="3" t="s">
        <v>928</v>
      </c>
      <c r="H128" s="156" t="str">
        <f ca="1">IFERROR(
  _xludf.MINIFS(ATTENDANCE_LOG!$F:$F,
         ATTENDANCE_LOG!$A:$A, C128,
         ATTENDANCE_LOG!$B:$B, E128),
"")</f>
        <v/>
      </c>
      <c r="I128" s="156" t="str">
        <f t="shared" ca="1" si="0"/>
        <v/>
      </c>
      <c r="J128" s="3">
        <f>IFERROR(VLOOKUP(F128, LEVEL_HELPER!$A:$B, 2, 0), "")</f>
        <v>1</v>
      </c>
      <c r="K128" s="3">
        <f>IFERROR(VLOOKUP(G128, LEVEL_HELPER!$A:$B, 2, 0), "")</f>
        <v>1.5</v>
      </c>
      <c r="L128" s="157" t="s">
        <v>942</v>
      </c>
      <c r="M128" s="157" t="s">
        <v>924</v>
      </c>
      <c r="N128" s="3">
        <f t="array" aca="1" ref="N128" ca="1">IFERROR(
  INDEX($J$2:$J$543,
    MATCH(A128&amp;TEXT(I128,"yyyy-mm-dd"),
          $A$2:$A$543&amp;TEXT($H$2:$H$543,"yyyy-mm-dd"),
          0)),
"")</f>
        <v>1</v>
      </c>
      <c r="O128" s="147" t="str">
        <f t="shared" ca="1" si="1"/>
        <v/>
      </c>
      <c r="P128" s="147">
        <f t="shared" ref="P128:Q128" ca="1" si="137">IF(N128="",0,IF(N128&lt;=2,1,IF(N128&lt;=4,2,IF(N128&lt;=5.5,3,4))))</f>
        <v>1</v>
      </c>
      <c r="Q128" s="147">
        <f t="shared" ca="1" si="137"/>
        <v>0</v>
      </c>
      <c r="R128" s="147" t="str">
        <f t="shared" ca="1" si="3"/>
        <v>Not tested yet</v>
      </c>
      <c r="S128" s="147">
        <f t="shared" si="4"/>
        <v>1</v>
      </c>
      <c r="T128" s="147"/>
      <c r="U128" s="147"/>
      <c r="V128" s="148" t="e">
        <f ca="1"/>
        <v>#NAME?</v>
      </c>
      <c r="W128" s="147" t="e">
        <f t="shared" ca="1" si="5"/>
        <v>#NAME?</v>
      </c>
      <c r="X128" s="147" t="e">
        <f t="shared" ca="1" si="6"/>
        <v>#NAME?</v>
      </c>
      <c r="Y128" s="147" t="e">
        <f t="shared" ca="1" si="7"/>
        <v>#NAME?</v>
      </c>
      <c r="Z128" s="147"/>
      <c r="AA128" s="147"/>
      <c r="AB128" s="147"/>
      <c r="AC128" s="147"/>
      <c r="AD128" s="147"/>
      <c r="AE128" s="147"/>
      <c r="AF128" s="147"/>
      <c r="AG128" s="147"/>
      <c r="AH128" s="147"/>
      <c r="AI128" s="147"/>
      <c r="AJ128" s="147"/>
      <c r="AK128" s="147"/>
      <c r="AL128" s="147"/>
      <c r="AM128" s="151"/>
      <c r="AN128" s="147"/>
      <c r="AO128" s="147" t="e">
        <f t="shared" si="8"/>
        <v>#N/A</v>
      </c>
      <c r="AP128" s="147" t="e">
        <f t="shared" ca="1" si="9"/>
        <v>#NAME?</v>
      </c>
      <c r="AQ128" s="147" t="e">
        <f t="shared" si="10"/>
        <v>#N/A</v>
      </c>
      <c r="AR128" s="147"/>
      <c r="AS128" s="147"/>
      <c r="AT128" s="147"/>
      <c r="AU128" s="147"/>
      <c r="AV128" s="147"/>
      <c r="AW128" s="147"/>
      <c r="AX128" s="147"/>
      <c r="AY128" s="147"/>
      <c r="AZ128" s="147"/>
      <c r="BA128" s="147"/>
      <c r="BB128" s="147"/>
      <c r="BC128" s="147"/>
      <c r="BD128" s="147"/>
      <c r="BE128" s="147"/>
      <c r="BF128" s="147"/>
      <c r="BG128" s="147"/>
      <c r="BH128" s="147"/>
      <c r="BI128" s="147"/>
      <c r="BJ128" s="147"/>
      <c r="BK128" s="147"/>
      <c r="BL128" s="147"/>
      <c r="BM128" s="147"/>
      <c r="BN128" s="147"/>
      <c r="BO128" s="147"/>
      <c r="BP128" s="147"/>
      <c r="BQ128" s="147"/>
      <c r="BR128" s="147"/>
      <c r="BS128" s="147"/>
      <c r="BT128" s="147"/>
      <c r="BU128" s="147"/>
      <c r="BV128" s="147"/>
      <c r="BW128" s="147"/>
      <c r="BX128" s="147"/>
      <c r="BY128" s="147"/>
      <c r="BZ128" s="147"/>
      <c r="CA128" s="147"/>
      <c r="CB128" s="147"/>
      <c r="CC128" s="147"/>
      <c r="CD128" s="147"/>
      <c r="CE128" s="147"/>
      <c r="CF128" s="147"/>
      <c r="CG128" s="147"/>
      <c r="CH128" s="147"/>
      <c r="CI128" s="147"/>
      <c r="CJ128" s="147"/>
      <c r="CK128" s="147"/>
    </row>
    <row r="129" spans="1:89">
      <c r="A129" s="159" t="s">
        <v>234</v>
      </c>
      <c r="B129" s="3" t="s">
        <v>235</v>
      </c>
      <c r="C129" s="160" t="s">
        <v>63</v>
      </c>
      <c r="D129" s="160" t="s">
        <v>857</v>
      </c>
      <c r="E129" s="3" t="s">
        <v>21</v>
      </c>
      <c r="F129" s="3" t="s">
        <v>916</v>
      </c>
      <c r="G129" s="3" t="s">
        <v>917</v>
      </c>
      <c r="H129" s="156" t="str">
        <f ca="1">IFERROR(
  _xludf.MINIFS(ATTENDANCE_LOG!$F:$F,
         ATTENDANCE_LOG!$A:$A, C129,
         ATTENDANCE_LOG!$B:$B, E129),
"")</f>
        <v/>
      </c>
      <c r="I129" s="156" t="str">
        <f t="shared" ca="1" si="0"/>
        <v/>
      </c>
      <c r="J129" s="3">
        <f>IFERROR(VLOOKUP(F129, LEVEL_HELPER!$A:$B, 2, 0), "")</f>
        <v>2.5</v>
      </c>
      <c r="K129" s="3">
        <f>IFERROR(VLOOKUP(G129, LEVEL_HELPER!$A:$B, 2, 0), "")</f>
        <v>3</v>
      </c>
      <c r="L129" s="157" t="s">
        <v>942</v>
      </c>
      <c r="M129" s="157" t="s">
        <v>924</v>
      </c>
      <c r="N129" s="3">
        <f t="array" aca="1" ref="N129" ca="1">IFERROR(
  INDEX($J$2:$J$543,
    MATCH(A129&amp;TEXT(I129,"yyyy-mm-dd"),
          $A$2:$A$543&amp;TEXT($H$2:$H$543,"yyyy-mm-dd"),
          0)),
"")</f>
        <v>2.5</v>
      </c>
      <c r="O129" s="147" t="str">
        <f t="shared" ca="1" si="1"/>
        <v/>
      </c>
      <c r="P129" s="147">
        <f t="shared" ref="P129:Q129" ca="1" si="138">IF(N129="",0,IF(N129&lt;=2,1,IF(N129&lt;=4,2,IF(N129&lt;=5.5,3,4))))</f>
        <v>2</v>
      </c>
      <c r="Q129" s="147">
        <f t="shared" ca="1" si="138"/>
        <v>0</v>
      </c>
      <c r="R129" s="147" t="str">
        <f t="shared" ca="1" si="3"/>
        <v>Not tested yet</v>
      </c>
      <c r="S129" s="147">
        <f t="shared" si="4"/>
        <v>1</v>
      </c>
      <c r="T129" s="147"/>
      <c r="U129" s="147"/>
      <c r="V129" s="148" t="e">
        <f ca="1"/>
        <v>#NAME?</v>
      </c>
      <c r="W129" s="147" t="e">
        <f t="shared" ca="1" si="5"/>
        <v>#NAME?</v>
      </c>
      <c r="X129" s="147" t="e">
        <f t="shared" ca="1" si="6"/>
        <v>#NAME?</v>
      </c>
      <c r="Y129" s="147" t="e">
        <f t="shared" ca="1" si="7"/>
        <v>#NAME?</v>
      </c>
      <c r="Z129" s="147"/>
      <c r="AA129" s="147"/>
      <c r="AB129" s="147"/>
      <c r="AC129" s="147"/>
      <c r="AD129" s="147"/>
      <c r="AE129" s="147"/>
      <c r="AF129" s="147"/>
      <c r="AG129" s="147"/>
      <c r="AH129" s="147"/>
      <c r="AI129" s="147"/>
      <c r="AJ129" s="147"/>
      <c r="AK129" s="147"/>
      <c r="AL129" s="147"/>
      <c r="AM129" s="151"/>
      <c r="AN129" s="147"/>
      <c r="AO129" s="147" t="e">
        <f t="shared" si="8"/>
        <v>#N/A</v>
      </c>
      <c r="AP129" s="147" t="e">
        <f t="shared" ca="1" si="9"/>
        <v>#NAME?</v>
      </c>
      <c r="AQ129" s="147" t="e">
        <f t="shared" si="10"/>
        <v>#N/A</v>
      </c>
      <c r="AR129" s="147"/>
      <c r="AS129" s="147"/>
      <c r="AT129" s="147"/>
      <c r="AU129" s="147"/>
      <c r="AV129" s="147"/>
      <c r="AW129" s="147"/>
      <c r="AX129" s="147"/>
      <c r="AY129" s="147"/>
      <c r="AZ129" s="147"/>
      <c r="BA129" s="147"/>
      <c r="BB129" s="147"/>
      <c r="BC129" s="147"/>
      <c r="BD129" s="147"/>
      <c r="BE129" s="147"/>
      <c r="BF129" s="147"/>
      <c r="BG129" s="147"/>
      <c r="BH129" s="147"/>
      <c r="BI129" s="147"/>
      <c r="BJ129" s="147"/>
      <c r="BK129" s="147"/>
      <c r="BL129" s="147"/>
      <c r="BM129" s="147"/>
      <c r="BN129" s="147"/>
      <c r="BO129" s="147"/>
      <c r="BP129" s="147"/>
      <c r="BQ129" s="147"/>
      <c r="BR129" s="147"/>
      <c r="BS129" s="147"/>
      <c r="BT129" s="147"/>
      <c r="BU129" s="147"/>
      <c r="BV129" s="147"/>
      <c r="BW129" s="147"/>
      <c r="BX129" s="147"/>
      <c r="BY129" s="147"/>
      <c r="BZ129" s="147"/>
      <c r="CA129" s="147"/>
      <c r="CB129" s="147"/>
      <c r="CC129" s="147"/>
      <c r="CD129" s="147"/>
      <c r="CE129" s="147"/>
      <c r="CF129" s="147"/>
      <c r="CG129" s="147"/>
      <c r="CH129" s="147"/>
      <c r="CI129" s="147"/>
      <c r="CJ129" s="147"/>
      <c r="CK129" s="147"/>
    </row>
    <row r="130" spans="1:89">
      <c r="A130" s="159" t="s">
        <v>438</v>
      </c>
      <c r="B130" s="3" t="s">
        <v>439</v>
      </c>
      <c r="C130" s="160" t="s">
        <v>63</v>
      </c>
      <c r="D130" s="160" t="s">
        <v>857</v>
      </c>
      <c r="E130" s="3" t="s">
        <v>21</v>
      </c>
      <c r="F130" s="3" t="s">
        <v>926</v>
      </c>
      <c r="G130" s="3" t="s">
        <v>928</v>
      </c>
      <c r="H130" s="156" t="str">
        <f ca="1">IFERROR(
  _xludf.MINIFS(ATTENDANCE_LOG!$F:$F,
         ATTENDANCE_LOG!$A:$A, C130,
         ATTENDANCE_LOG!$B:$B, E130),
"")</f>
        <v/>
      </c>
      <c r="I130" s="156" t="str">
        <f t="shared" ca="1" si="0"/>
        <v/>
      </c>
      <c r="J130" s="3">
        <f>IFERROR(VLOOKUP(F130, LEVEL_HELPER!$A:$B, 2, 0), "")</f>
        <v>1</v>
      </c>
      <c r="K130" s="3">
        <f>IFERROR(VLOOKUP(G130, LEVEL_HELPER!$A:$B, 2, 0), "")</f>
        <v>1.5</v>
      </c>
      <c r="L130" s="157" t="s">
        <v>942</v>
      </c>
      <c r="M130" s="157" t="s">
        <v>924</v>
      </c>
      <c r="N130" s="3">
        <f t="array" aca="1" ref="N130" ca="1">IFERROR(
  INDEX($J$2:$J$543,
    MATCH(A130&amp;TEXT(I130,"yyyy-mm-dd"),
          $A$2:$A$543&amp;TEXT($H$2:$H$543,"yyyy-mm-dd"),
          0)),
"")</f>
        <v>1</v>
      </c>
      <c r="O130" s="147" t="str">
        <f t="shared" ca="1" si="1"/>
        <v/>
      </c>
      <c r="P130" s="147">
        <f t="shared" ref="P130:Q130" ca="1" si="139">IF(N130="",0,IF(N130&lt;=2,1,IF(N130&lt;=4,2,IF(N130&lt;=5.5,3,4))))</f>
        <v>1</v>
      </c>
      <c r="Q130" s="147">
        <f t="shared" ca="1" si="139"/>
        <v>0</v>
      </c>
      <c r="R130" s="147" t="str">
        <f t="shared" ca="1" si="3"/>
        <v>Not tested yet</v>
      </c>
      <c r="S130" s="147">
        <f t="shared" si="4"/>
        <v>1</v>
      </c>
      <c r="T130" s="147"/>
      <c r="U130" s="147"/>
      <c r="V130" s="148" t="e">
        <f ca="1"/>
        <v>#NAME?</v>
      </c>
      <c r="W130" s="147" t="e">
        <f t="shared" ca="1" si="5"/>
        <v>#NAME?</v>
      </c>
      <c r="X130" s="147" t="e">
        <f t="shared" ca="1" si="6"/>
        <v>#NAME?</v>
      </c>
      <c r="Y130" s="147" t="e">
        <f t="shared" ca="1" si="7"/>
        <v>#NAME?</v>
      </c>
      <c r="Z130" s="147"/>
      <c r="AA130" s="147"/>
      <c r="AB130" s="147"/>
      <c r="AC130" s="147"/>
      <c r="AD130" s="147"/>
      <c r="AE130" s="147"/>
      <c r="AF130" s="147"/>
      <c r="AG130" s="147"/>
      <c r="AH130" s="147"/>
      <c r="AI130" s="147"/>
      <c r="AJ130" s="147"/>
      <c r="AK130" s="147"/>
      <c r="AL130" s="147"/>
      <c r="AM130" s="151"/>
      <c r="AN130" s="147"/>
      <c r="AO130" s="147" t="e">
        <f t="shared" si="8"/>
        <v>#N/A</v>
      </c>
      <c r="AP130" s="147" t="e">
        <f t="shared" ca="1" si="9"/>
        <v>#NAME?</v>
      </c>
      <c r="AQ130" s="147" t="e">
        <f t="shared" si="10"/>
        <v>#N/A</v>
      </c>
      <c r="AR130" s="147"/>
      <c r="AS130" s="147"/>
      <c r="AT130" s="147"/>
      <c r="AU130" s="147"/>
      <c r="AV130" s="147"/>
      <c r="AW130" s="147"/>
      <c r="AX130" s="147"/>
      <c r="AY130" s="147"/>
      <c r="AZ130" s="147"/>
      <c r="BA130" s="147"/>
      <c r="BB130" s="147"/>
      <c r="BC130" s="147"/>
      <c r="BD130" s="147"/>
      <c r="BE130" s="147"/>
      <c r="BF130" s="147"/>
      <c r="BG130" s="147"/>
      <c r="BH130" s="147"/>
      <c r="BI130" s="147"/>
      <c r="BJ130" s="147"/>
      <c r="BK130" s="147"/>
      <c r="BL130" s="147"/>
      <c r="BM130" s="147"/>
      <c r="BN130" s="147"/>
      <c r="BO130" s="147"/>
      <c r="BP130" s="147"/>
      <c r="BQ130" s="147"/>
      <c r="BR130" s="147"/>
      <c r="BS130" s="147"/>
      <c r="BT130" s="147"/>
      <c r="BU130" s="147"/>
      <c r="BV130" s="147"/>
      <c r="BW130" s="147"/>
      <c r="BX130" s="147"/>
      <c r="BY130" s="147"/>
      <c r="BZ130" s="147"/>
      <c r="CA130" s="147"/>
      <c r="CB130" s="147"/>
      <c r="CC130" s="147"/>
      <c r="CD130" s="147"/>
      <c r="CE130" s="147"/>
      <c r="CF130" s="147"/>
      <c r="CG130" s="147"/>
      <c r="CH130" s="147"/>
      <c r="CI130" s="147"/>
      <c r="CJ130" s="147"/>
      <c r="CK130" s="147"/>
    </row>
    <row r="131" spans="1:89">
      <c r="A131" s="159" t="s">
        <v>599</v>
      </c>
      <c r="B131" s="3" t="s">
        <v>600</v>
      </c>
      <c r="C131" s="160" t="s">
        <v>63</v>
      </c>
      <c r="D131" s="160" t="s">
        <v>857</v>
      </c>
      <c r="E131" s="3" t="s">
        <v>21</v>
      </c>
      <c r="F131" s="3" t="s">
        <v>916</v>
      </c>
      <c r="G131" s="3" t="s">
        <v>934</v>
      </c>
      <c r="H131" s="156" t="str">
        <f ca="1">IFERROR(
  _xludf.MINIFS(ATTENDANCE_LOG!$F:$F,
         ATTENDANCE_LOG!$A:$A, C131,
         ATTENDANCE_LOG!$B:$B, E131),
"")</f>
        <v/>
      </c>
      <c r="I131" s="156" t="str">
        <f t="shared" ca="1" si="0"/>
        <v/>
      </c>
      <c r="J131" s="3">
        <f>IFERROR(VLOOKUP(F131, LEVEL_HELPER!$A:$B, 2, 0), "")</f>
        <v>2.5</v>
      </c>
      <c r="K131" s="3">
        <f>IFERROR(VLOOKUP(G131, LEVEL_HELPER!$A:$B, 2, 0), "")</f>
        <v>3.5</v>
      </c>
      <c r="L131" s="157" t="s">
        <v>942</v>
      </c>
      <c r="M131" s="157" t="s">
        <v>924</v>
      </c>
      <c r="N131" s="3">
        <f t="array" aca="1" ref="N131" ca="1">IFERROR(
  INDEX($J$2:$J$543,
    MATCH(A131&amp;TEXT(I131,"yyyy-mm-dd"),
          $A$2:$A$543&amp;TEXT($H$2:$H$543,"yyyy-mm-dd"),
          0)),
"")</f>
        <v>2.5</v>
      </c>
      <c r="O131" s="147" t="str">
        <f t="shared" ca="1" si="1"/>
        <v/>
      </c>
      <c r="P131" s="147">
        <f t="shared" ref="P131:Q131" ca="1" si="140">IF(N131="",0,IF(N131&lt;=2,1,IF(N131&lt;=4,2,IF(N131&lt;=5.5,3,4))))</f>
        <v>2</v>
      </c>
      <c r="Q131" s="147">
        <f t="shared" ca="1" si="140"/>
        <v>0</v>
      </c>
      <c r="R131" s="147" t="str">
        <f t="shared" ca="1" si="3"/>
        <v>Not tested yet</v>
      </c>
      <c r="S131" s="147">
        <f t="shared" si="4"/>
        <v>1</v>
      </c>
      <c r="T131" s="147"/>
      <c r="U131" s="147"/>
      <c r="V131" s="148" t="e">
        <f ca="1"/>
        <v>#NAME?</v>
      </c>
      <c r="W131" s="147" t="e">
        <f t="shared" ca="1" si="5"/>
        <v>#NAME?</v>
      </c>
      <c r="X131" s="147" t="e">
        <f t="shared" ca="1" si="6"/>
        <v>#NAME?</v>
      </c>
      <c r="Y131" s="147" t="e">
        <f t="shared" ca="1" si="7"/>
        <v>#NAME?</v>
      </c>
      <c r="Z131" s="147"/>
      <c r="AA131" s="147"/>
      <c r="AB131" s="147"/>
      <c r="AC131" s="147"/>
      <c r="AD131" s="147"/>
      <c r="AE131" s="147"/>
      <c r="AF131" s="147"/>
      <c r="AG131" s="147"/>
      <c r="AH131" s="147"/>
      <c r="AI131" s="147"/>
      <c r="AJ131" s="147"/>
      <c r="AK131" s="147"/>
      <c r="AL131" s="147"/>
      <c r="AM131" s="151"/>
      <c r="AN131" s="147"/>
      <c r="AO131" s="147" t="e">
        <f t="shared" si="8"/>
        <v>#N/A</v>
      </c>
      <c r="AP131" s="147" t="e">
        <f t="shared" ca="1" si="9"/>
        <v>#NAME?</v>
      </c>
      <c r="AQ131" s="147" t="e">
        <f t="shared" si="10"/>
        <v>#N/A</v>
      </c>
      <c r="AR131" s="147"/>
      <c r="AS131" s="147"/>
      <c r="AT131" s="147"/>
      <c r="AU131" s="147"/>
      <c r="AV131" s="147"/>
      <c r="AW131" s="147"/>
      <c r="AX131" s="147"/>
      <c r="AY131" s="147"/>
      <c r="AZ131" s="147"/>
      <c r="BA131" s="147"/>
      <c r="BB131" s="147"/>
      <c r="BC131" s="147"/>
      <c r="BD131" s="147"/>
      <c r="BE131" s="147"/>
      <c r="BF131" s="147"/>
      <c r="BG131" s="147"/>
      <c r="BH131" s="147"/>
      <c r="BI131" s="147"/>
      <c r="BJ131" s="147"/>
      <c r="BK131" s="147"/>
      <c r="BL131" s="147"/>
      <c r="BM131" s="147"/>
      <c r="BN131" s="147"/>
      <c r="BO131" s="147"/>
      <c r="BP131" s="147"/>
      <c r="BQ131" s="147"/>
      <c r="BR131" s="147"/>
      <c r="BS131" s="147"/>
      <c r="BT131" s="147"/>
      <c r="BU131" s="147"/>
      <c r="BV131" s="147"/>
      <c r="BW131" s="147"/>
      <c r="BX131" s="147"/>
      <c r="BY131" s="147"/>
      <c r="BZ131" s="147"/>
      <c r="CA131" s="147"/>
      <c r="CB131" s="147"/>
      <c r="CC131" s="147"/>
      <c r="CD131" s="147"/>
      <c r="CE131" s="147"/>
      <c r="CF131" s="147"/>
      <c r="CG131" s="147"/>
      <c r="CH131" s="147"/>
      <c r="CI131" s="147"/>
      <c r="CJ131" s="147"/>
      <c r="CK131" s="147"/>
    </row>
    <row r="132" spans="1:89">
      <c r="A132" s="159" t="s">
        <v>611</v>
      </c>
      <c r="B132" s="3" t="s">
        <v>612</v>
      </c>
      <c r="C132" s="160" t="s">
        <v>63</v>
      </c>
      <c r="D132" s="160" t="s">
        <v>857</v>
      </c>
      <c r="E132" s="3" t="s">
        <v>21</v>
      </c>
      <c r="F132" s="3" t="s">
        <v>926</v>
      </c>
      <c r="G132" s="3" t="s">
        <v>934</v>
      </c>
      <c r="H132" s="156" t="str">
        <f ca="1">IFERROR(
  _xludf.MINIFS(ATTENDANCE_LOG!$F:$F,
         ATTENDANCE_LOG!$A:$A, C132,
         ATTENDANCE_LOG!$B:$B, E132),
"")</f>
        <v/>
      </c>
      <c r="I132" s="156" t="str">
        <f t="shared" ca="1" si="0"/>
        <v/>
      </c>
      <c r="J132" s="3">
        <f>IFERROR(VLOOKUP(F132, LEVEL_HELPER!$A:$B, 2, 0), "")</f>
        <v>1</v>
      </c>
      <c r="K132" s="3">
        <f>IFERROR(VLOOKUP(G132, LEVEL_HELPER!$A:$B, 2, 0), "")</f>
        <v>3.5</v>
      </c>
      <c r="L132" s="157" t="s">
        <v>918</v>
      </c>
      <c r="M132" s="157" t="s">
        <v>922</v>
      </c>
      <c r="N132" s="3">
        <f t="array" aca="1" ref="N132" ca="1">IFERROR(
  INDEX($J$2:$J$543,
    MATCH(A132&amp;TEXT(I132,"yyyy-mm-dd"),
          $A$2:$A$543&amp;TEXT($H$2:$H$543,"yyyy-mm-dd"),
          0)),
"")</f>
        <v>1</v>
      </c>
      <c r="O132" s="147" t="str">
        <f t="shared" ca="1" si="1"/>
        <v/>
      </c>
      <c r="P132" s="147">
        <f t="shared" ref="P132:Q132" ca="1" si="141">IF(N132="",0,IF(N132&lt;=2,1,IF(N132&lt;=4,2,IF(N132&lt;=5.5,3,4))))</f>
        <v>1</v>
      </c>
      <c r="Q132" s="147">
        <f t="shared" ca="1" si="141"/>
        <v>0</v>
      </c>
      <c r="R132" s="147" t="str">
        <f t="shared" ca="1" si="3"/>
        <v>Not tested yet</v>
      </c>
      <c r="S132" s="147">
        <f t="shared" si="4"/>
        <v>1</v>
      </c>
      <c r="T132" s="147"/>
      <c r="U132" s="147"/>
      <c r="V132" s="148" t="e">
        <f ca="1"/>
        <v>#NAME?</v>
      </c>
      <c r="W132" s="147" t="e">
        <f t="shared" ca="1" si="5"/>
        <v>#NAME?</v>
      </c>
      <c r="X132" s="147" t="e">
        <f t="shared" ca="1" si="6"/>
        <v>#NAME?</v>
      </c>
      <c r="Y132" s="147" t="e">
        <f t="shared" ca="1" si="7"/>
        <v>#NAME?</v>
      </c>
      <c r="Z132" s="147"/>
      <c r="AA132" s="147"/>
      <c r="AB132" s="147"/>
      <c r="AC132" s="147"/>
      <c r="AD132" s="147"/>
      <c r="AE132" s="147"/>
      <c r="AF132" s="147"/>
      <c r="AG132" s="147"/>
      <c r="AH132" s="147"/>
      <c r="AI132" s="147"/>
      <c r="AJ132" s="147"/>
      <c r="AK132" s="147"/>
      <c r="AL132" s="147"/>
      <c r="AM132" s="151"/>
      <c r="AN132" s="147"/>
      <c r="AO132" s="147" t="e">
        <f t="shared" si="8"/>
        <v>#N/A</v>
      </c>
      <c r="AP132" s="147" t="e">
        <f t="shared" ca="1" si="9"/>
        <v>#NAME?</v>
      </c>
      <c r="AQ132" s="147" t="e">
        <f t="shared" si="10"/>
        <v>#N/A</v>
      </c>
      <c r="AR132" s="147"/>
      <c r="AS132" s="147"/>
      <c r="AT132" s="147"/>
      <c r="AU132" s="147"/>
      <c r="AV132" s="147"/>
      <c r="AW132" s="147"/>
      <c r="AX132" s="147"/>
      <c r="AY132" s="147"/>
      <c r="AZ132" s="147"/>
      <c r="BA132" s="147"/>
      <c r="BB132" s="147"/>
      <c r="BC132" s="147"/>
      <c r="BD132" s="147"/>
      <c r="BE132" s="147"/>
      <c r="BF132" s="147"/>
      <c r="BG132" s="147"/>
      <c r="BH132" s="147"/>
      <c r="BI132" s="147"/>
      <c r="BJ132" s="147"/>
      <c r="BK132" s="147"/>
      <c r="BL132" s="147"/>
      <c r="BM132" s="147"/>
      <c r="BN132" s="147"/>
      <c r="BO132" s="147"/>
      <c r="BP132" s="147"/>
      <c r="BQ132" s="147"/>
      <c r="BR132" s="147"/>
      <c r="BS132" s="147"/>
      <c r="BT132" s="147"/>
      <c r="BU132" s="147"/>
      <c r="BV132" s="147"/>
      <c r="BW132" s="147"/>
      <c r="BX132" s="147"/>
      <c r="BY132" s="147"/>
      <c r="BZ132" s="147"/>
      <c r="CA132" s="147"/>
      <c r="CB132" s="147"/>
      <c r="CC132" s="147"/>
      <c r="CD132" s="147"/>
      <c r="CE132" s="147"/>
      <c r="CF132" s="147"/>
      <c r="CG132" s="147"/>
      <c r="CH132" s="147"/>
      <c r="CI132" s="147"/>
      <c r="CJ132" s="147"/>
      <c r="CK132" s="147"/>
    </row>
    <row r="133" spans="1:89">
      <c r="A133" s="153" t="s">
        <v>298</v>
      </c>
      <c r="B133" s="154" t="s">
        <v>299</v>
      </c>
      <c r="C133" s="155" t="s">
        <v>63</v>
      </c>
      <c r="D133" s="155" t="s">
        <v>857</v>
      </c>
      <c r="E133" s="154" t="s">
        <v>22</v>
      </c>
      <c r="F133" s="3" t="s">
        <v>917</v>
      </c>
      <c r="G133" s="3" t="s">
        <v>934</v>
      </c>
      <c r="H133" s="156" t="str">
        <f ca="1">IFERROR(
  _xludf.MINIFS(ATTENDANCE_LOG!$F:$F,
         ATTENDANCE_LOG!$A:$A, C133,
         ATTENDANCE_LOG!$B:$B, E133),
"")</f>
        <v/>
      </c>
      <c r="I133" s="156" t="str">
        <f t="shared" ca="1" si="0"/>
        <v/>
      </c>
      <c r="J133" s="3">
        <f>IFERROR(VLOOKUP(F133, LEVEL_HELPER!$A:$B, 2, 0), "")</f>
        <v>3</v>
      </c>
      <c r="K133" s="3">
        <f>IFERROR(VLOOKUP(G133, LEVEL_HELPER!$A:$B, 2, 0), "")</f>
        <v>3.5</v>
      </c>
      <c r="L133" s="157" t="s">
        <v>942</v>
      </c>
      <c r="M133" s="157" t="s">
        <v>924</v>
      </c>
      <c r="N133" s="3">
        <f t="array" aca="1" ref="N133" ca="1">IFERROR(
  INDEX($J$2:$J$543,
    MATCH(A133&amp;TEXT(I133,"yyyy-mm-dd"),
          $A$2:$A$543&amp;TEXT($H$2:$H$543,"yyyy-mm-dd"),
          0)),
"")</f>
        <v>1</v>
      </c>
      <c r="O133" s="147" t="str">
        <f t="shared" ca="1" si="1"/>
        <v/>
      </c>
      <c r="P133" s="147">
        <f t="shared" ref="P133:Q133" ca="1" si="142">IF(N133="",0,IF(N133&lt;=2,1,IF(N133&lt;=4,2,IF(N133&lt;=5.5,3,4))))</f>
        <v>1</v>
      </c>
      <c r="Q133" s="147">
        <f t="shared" ca="1" si="142"/>
        <v>0</v>
      </c>
      <c r="R133" s="147" t="str">
        <f t="shared" ca="1" si="3"/>
        <v>Not tested yet</v>
      </c>
      <c r="S133" s="147">
        <f t="shared" si="4"/>
        <v>0</v>
      </c>
      <c r="T133" s="147"/>
      <c r="U133" s="147"/>
      <c r="V133" s="148" t="e">
        <f ca="1"/>
        <v>#NAME?</v>
      </c>
      <c r="W133" s="147" t="e">
        <f t="shared" ca="1" si="5"/>
        <v>#NAME?</v>
      </c>
      <c r="X133" s="147" t="e">
        <f t="shared" ca="1" si="6"/>
        <v>#NAME?</v>
      </c>
      <c r="Y133" s="147" t="e">
        <f t="shared" ca="1" si="7"/>
        <v>#NAME?</v>
      </c>
      <c r="Z133" s="147"/>
      <c r="AA133" s="147"/>
      <c r="AB133" s="147"/>
      <c r="AC133" s="147"/>
      <c r="AD133" s="147"/>
      <c r="AE133" s="147"/>
      <c r="AF133" s="147"/>
      <c r="AG133" s="147"/>
      <c r="AH133" s="147"/>
      <c r="AI133" s="147"/>
      <c r="AJ133" s="147"/>
      <c r="AK133" s="147"/>
      <c r="AL133" s="147"/>
      <c r="AM133" s="151"/>
      <c r="AN133" s="147"/>
      <c r="AO133" s="147" t="e">
        <f t="shared" si="8"/>
        <v>#N/A</v>
      </c>
      <c r="AP133" s="147" t="e">
        <f t="shared" ca="1" si="9"/>
        <v>#NAME?</v>
      </c>
      <c r="AQ133" s="147" t="e">
        <f t="shared" si="10"/>
        <v>#N/A</v>
      </c>
      <c r="AR133" s="147"/>
      <c r="AS133" s="147"/>
      <c r="AT133" s="147"/>
      <c r="AU133" s="147"/>
      <c r="AV133" s="147"/>
      <c r="AW133" s="147"/>
      <c r="AX133" s="147"/>
      <c r="AY133" s="147"/>
      <c r="AZ133" s="147"/>
      <c r="BA133" s="147"/>
      <c r="BB133" s="147"/>
      <c r="BC133" s="147"/>
      <c r="BD133" s="147"/>
      <c r="BE133" s="147"/>
      <c r="BF133" s="147"/>
      <c r="BG133" s="147"/>
      <c r="BH133" s="147"/>
      <c r="BI133" s="147"/>
      <c r="BJ133" s="147"/>
      <c r="BK133" s="147"/>
      <c r="BL133" s="147"/>
      <c r="BM133" s="147"/>
      <c r="BN133" s="147"/>
      <c r="BO133" s="147"/>
      <c r="BP133" s="147"/>
      <c r="BQ133" s="147"/>
      <c r="BR133" s="147"/>
      <c r="BS133" s="147"/>
      <c r="BT133" s="147"/>
      <c r="BU133" s="147"/>
      <c r="BV133" s="147"/>
      <c r="BW133" s="147"/>
      <c r="BX133" s="147"/>
      <c r="BY133" s="147"/>
      <c r="BZ133" s="147"/>
      <c r="CA133" s="147"/>
      <c r="CB133" s="147"/>
      <c r="CC133" s="147"/>
      <c r="CD133" s="147"/>
      <c r="CE133" s="147"/>
      <c r="CF133" s="147"/>
      <c r="CG133" s="147"/>
      <c r="CH133" s="147"/>
      <c r="CI133" s="147"/>
      <c r="CJ133" s="147"/>
      <c r="CK133" s="147"/>
    </row>
    <row r="134" spans="1:89">
      <c r="A134" s="159" t="s">
        <v>220</v>
      </c>
      <c r="B134" s="3" t="s">
        <v>221</v>
      </c>
      <c r="C134" s="160" t="s">
        <v>63</v>
      </c>
      <c r="D134" s="160" t="s">
        <v>857</v>
      </c>
      <c r="E134" s="3" t="s">
        <v>22</v>
      </c>
      <c r="F134" s="3" t="s">
        <v>928</v>
      </c>
      <c r="G134" s="3" t="s">
        <v>917</v>
      </c>
      <c r="H134" s="156" t="str">
        <f ca="1">IFERROR(
  _xludf.MINIFS(ATTENDANCE_LOG!$F:$F,
         ATTENDANCE_LOG!$A:$A, C134,
         ATTENDANCE_LOG!$B:$B, E134),
"")</f>
        <v/>
      </c>
      <c r="I134" s="156" t="str">
        <f t="shared" ca="1" si="0"/>
        <v/>
      </c>
      <c r="J134" s="3">
        <f>IFERROR(VLOOKUP(F134, LEVEL_HELPER!$A:$B, 2, 0), "")</f>
        <v>1.5</v>
      </c>
      <c r="K134" s="3">
        <f>IFERROR(VLOOKUP(G134, LEVEL_HELPER!$A:$B, 2, 0), "")</f>
        <v>3</v>
      </c>
      <c r="L134" s="157" t="s">
        <v>942</v>
      </c>
      <c r="M134" s="157" t="s">
        <v>924</v>
      </c>
      <c r="N134" s="3">
        <f t="array" aca="1" ref="N134" ca="1">IFERROR(
  INDEX($J$2:$J$543,
    MATCH(A134&amp;TEXT(I134,"yyyy-mm-dd"),
          $A$2:$A$543&amp;TEXT($H$2:$H$543,"yyyy-mm-dd"),
          0)),
"")</f>
        <v>1</v>
      </c>
      <c r="O134" s="147" t="str">
        <f t="shared" ca="1" si="1"/>
        <v/>
      </c>
      <c r="P134" s="147">
        <f t="shared" ref="P134:Q134" ca="1" si="143">IF(N134="",0,IF(N134&lt;=2,1,IF(N134&lt;=4,2,IF(N134&lt;=5.5,3,4))))</f>
        <v>1</v>
      </c>
      <c r="Q134" s="147">
        <f t="shared" ca="1" si="143"/>
        <v>0</v>
      </c>
      <c r="R134" s="147" t="str">
        <f t="shared" ca="1" si="3"/>
        <v>Not tested yet</v>
      </c>
      <c r="S134" s="147">
        <f t="shared" si="4"/>
        <v>0</v>
      </c>
      <c r="T134" s="147"/>
      <c r="U134" s="147"/>
      <c r="V134" s="148" t="e">
        <f ca="1"/>
        <v>#NAME?</v>
      </c>
      <c r="W134" s="147" t="e">
        <f t="shared" ca="1" si="5"/>
        <v>#NAME?</v>
      </c>
      <c r="X134" s="147" t="e">
        <f t="shared" ca="1" si="6"/>
        <v>#NAME?</v>
      </c>
      <c r="Y134" s="147" t="e">
        <f t="shared" ca="1" si="7"/>
        <v>#NAME?</v>
      </c>
      <c r="Z134" s="147"/>
      <c r="AA134" s="147"/>
      <c r="AB134" s="147"/>
      <c r="AC134" s="147"/>
      <c r="AD134" s="147"/>
      <c r="AE134" s="147"/>
      <c r="AF134" s="147"/>
      <c r="AG134" s="147"/>
      <c r="AH134" s="147"/>
      <c r="AI134" s="147"/>
      <c r="AJ134" s="147"/>
      <c r="AK134" s="147"/>
      <c r="AL134" s="147"/>
      <c r="AM134" s="151"/>
      <c r="AN134" s="147"/>
      <c r="AO134" s="147" t="e">
        <f t="shared" si="8"/>
        <v>#N/A</v>
      </c>
      <c r="AP134" s="147" t="e">
        <f t="shared" ca="1" si="9"/>
        <v>#NAME?</v>
      </c>
      <c r="AQ134" s="147" t="e">
        <f t="shared" si="10"/>
        <v>#N/A</v>
      </c>
      <c r="AR134" s="147"/>
      <c r="AS134" s="147"/>
      <c r="AT134" s="147"/>
      <c r="AU134" s="147"/>
      <c r="AV134" s="147"/>
      <c r="AW134" s="147"/>
      <c r="AX134" s="147"/>
      <c r="AY134" s="147"/>
      <c r="AZ134" s="147"/>
      <c r="BA134" s="147"/>
      <c r="BB134" s="147"/>
      <c r="BC134" s="147"/>
      <c r="BD134" s="147"/>
      <c r="BE134" s="147"/>
      <c r="BF134" s="147"/>
      <c r="BG134" s="147"/>
      <c r="BH134" s="147"/>
      <c r="BI134" s="147"/>
      <c r="BJ134" s="147"/>
      <c r="BK134" s="147"/>
      <c r="BL134" s="147"/>
      <c r="BM134" s="147"/>
      <c r="BN134" s="147"/>
      <c r="BO134" s="147"/>
      <c r="BP134" s="147"/>
      <c r="BQ134" s="147"/>
      <c r="BR134" s="147"/>
      <c r="BS134" s="147"/>
      <c r="BT134" s="147"/>
      <c r="BU134" s="147"/>
      <c r="BV134" s="147"/>
      <c r="BW134" s="147"/>
      <c r="BX134" s="147"/>
      <c r="BY134" s="147"/>
      <c r="BZ134" s="147"/>
      <c r="CA134" s="147"/>
      <c r="CB134" s="147"/>
      <c r="CC134" s="147"/>
      <c r="CD134" s="147"/>
      <c r="CE134" s="147"/>
      <c r="CF134" s="147"/>
      <c r="CG134" s="147"/>
      <c r="CH134" s="147"/>
      <c r="CI134" s="147"/>
      <c r="CJ134" s="147"/>
      <c r="CK134" s="147"/>
    </row>
    <row r="135" spans="1:89">
      <c r="A135" s="159" t="s">
        <v>234</v>
      </c>
      <c r="B135" s="3" t="s">
        <v>235</v>
      </c>
      <c r="C135" s="160" t="s">
        <v>63</v>
      </c>
      <c r="D135" s="160" t="s">
        <v>857</v>
      </c>
      <c r="E135" s="3" t="s">
        <v>22</v>
      </c>
      <c r="F135" s="3" t="s">
        <v>917</v>
      </c>
      <c r="G135" s="3" t="s">
        <v>934</v>
      </c>
      <c r="H135" s="156" t="str">
        <f ca="1">IFERROR(
  _xludf.MINIFS(ATTENDANCE_LOG!$F:$F,
         ATTENDANCE_LOG!$A:$A, C135,
         ATTENDANCE_LOG!$B:$B, E135),
"")</f>
        <v/>
      </c>
      <c r="I135" s="156" t="str">
        <f t="shared" ca="1" si="0"/>
        <v/>
      </c>
      <c r="J135" s="3">
        <f>IFERROR(VLOOKUP(F135, LEVEL_HELPER!$A:$B, 2, 0), "")</f>
        <v>3</v>
      </c>
      <c r="K135" s="3">
        <f>IFERROR(VLOOKUP(G135, LEVEL_HELPER!$A:$B, 2, 0), "")</f>
        <v>3.5</v>
      </c>
      <c r="L135" s="157" t="s">
        <v>942</v>
      </c>
      <c r="M135" s="157" t="s">
        <v>924</v>
      </c>
      <c r="N135" s="3">
        <f t="array" aca="1" ref="N135" ca="1">IFERROR(
  INDEX($J$2:$J$543,
    MATCH(A135&amp;TEXT(I135,"yyyy-mm-dd"),
          $A$2:$A$543&amp;TEXT($H$2:$H$543,"yyyy-mm-dd"),
          0)),
"")</f>
        <v>2.5</v>
      </c>
      <c r="O135" s="147" t="str">
        <f t="shared" ca="1" si="1"/>
        <v/>
      </c>
      <c r="P135" s="147">
        <f t="shared" ref="P135:Q135" ca="1" si="144">IF(N135="",0,IF(N135&lt;=2,1,IF(N135&lt;=4,2,IF(N135&lt;=5.5,3,4))))</f>
        <v>2</v>
      </c>
      <c r="Q135" s="147">
        <f t="shared" ca="1" si="144"/>
        <v>0</v>
      </c>
      <c r="R135" s="147" t="str">
        <f t="shared" ca="1" si="3"/>
        <v>Not tested yet</v>
      </c>
      <c r="S135" s="147">
        <f t="shared" si="4"/>
        <v>0</v>
      </c>
      <c r="T135" s="147"/>
      <c r="U135" s="147"/>
      <c r="V135" s="148" t="e">
        <f ca="1"/>
        <v>#NAME?</v>
      </c>
      <c r="W135" s="147" t="e">
        <f t="shared" ca="1" si="5"/>
        <v>#NAME?</v>
      </c>
      <c r="X135" s="147" t="e">
        <f t="shared" ca="1" si="6"/>
        <v>#NAME?</v>
      </c>
      <c r="Y135" s="147" t="e">
        <f t="shared" ca="1" si="7"/>
        <v>#NAME?</v>
      </c>
      <c r="Z135" s="147"/>
      <c r="AA135" s="147"/>
      <c r="AB135" s="147"/>
      <c r="AC135" s="147"/>
      <c r="AD135" s="147"/>
      <c r="AE135" s="147"/>
      <c r="AF135" s="147"/>
      <c r="AG135" s="147"/>
      <c r="AH135" s="147"/>
      <c r="AI135" s="147"/>
      <c r="AJ135" s="147"/>
      <c r="AK135" s="147"/>
      <c r="AL135" s="147"/>
      <c r="AM135" s="151"/>
      <c r="AN135" s="147"/>
      <c r="AO135" s="147" t="e">
        <f t="shared" si="8"/>
        <v>#N/A</v>
      </c>
      <c r="AP135" s="147" t="e">
        <f t="shared" ca="1" si="9"/>
        <v>#NAME?</v>
      </c>
      <c r="AQ135" s="147" t="e">
        <f t="shared" si="10"/>
        <v>#N/A</v>
      </c>
      <c r="AR135" s="147"/>
      <c r="AS135" s="147"/>
      <c r="AT135" s="147"/>
      <c r="AU135" s="147"/>
      <c r="AV135" s="147"/>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47"/>
      <c r="CJ135" s="147"/>
      <c r="CK135" s="147"/>
    </row>
    <row r="136" spans="1:89">
      <c r="A136" s="159" t="s">
        <v>438</v>
      </c>
      <c r="B136" s="3" t="s">
        <v>439</v>
      </c>
      <c r="C136" s="160" t="s">
        <v>63</v>
      </c>
      <c r="D136" s="160" t="s">
        <v>857</v>
      </c>
      <c r="E136" s="3" t="s">
        <v>22</v>
      </c>
      <c r="F136" s="3" t="s">
        <v>928</v>
      </c>
      <c r="G136" s="3"/>
      <c r="H136" s="156" t="str">
        <f ca="1">IFERROR(
  _xludf.MINIFS(ATTENDANCE_LOG!$F:$F,
         ATTENDANCE_LOG!$A:$A, C136,
         ATTENDANCE_LOG!$B:$B, E136),
"")</f>
        <v/>
      </c>
      <c r="I136" s="156" t="str">
        <f t="shared" ca="1" si="0"/>
        <v/>
      </c>
      <c r="J136" s="3">
        <f>IFERROR(VLOOKUP(F136, LEVEL_HELPER!$A:$B, 2, 0), "")</f>
        <v>1.5</v>
      </c>
      <c r="K136" s="3" t="str">
        <f>IFERROR(VLOOKUP(G136, LEVEL_HELPER!$A:$B, 2, 0), "")</f>
        <v/>
      </c>
      <c r="L136" s="157" t="s">
        <v>942</v>
      </c>
      <c r="M136" s="157" t="s">
        <v>924</v>
      </c>
      <c r="N136" s="3">
        <f t="array" aca="1" ref="N136" ca="1">IFERROR(
  INDEX($J$2:$J$543,
    MATCH(A136&amp;TEXT(I136,"yyyy-mm-dd"),
          $A$2:$A$543&amp;TEXT($H$2:$H$543,"yyyy-mm-dd"),
          0)),
"")</f>
        <v>1</v>
      </c>
      <c r="O136" s="147" t="str">
        <f t="shared" ca="1" si="1"/>
        <v/>
      </c>
      <c r="P136" s="147">
        <f t="shared" ref="P136:Q136" ca="1" si="145">IF(N136="",0,IF(N136&lt;=2,1,IF(N136&lt;=4,2,IF(N136&lt;=5.5,3,4))))</f>
        <v>1</v>
      </c>
      <c r="Q136" s="147">
        <f t="shared" ca="1" si="145"/>
        <v>0</v>
      </c>
      <c r="R136" s="147" t="str">
        <f t="shared" ca="1" si="3"/>
        <v>Not tested yet</v>
      </c>
      <c r="S136" s="147">
        <f t="shared" si="4"/>
        <v>0</v>
      </c>
      <c r="T136" s="147"/>
      <c r="U136" s="147"/>
      <c r="V136" s="148" t="e">
        <f ca="1"/>
        <v>#NAME?</v>
      </c>
      <c r="W136" s="147" t="e">
        <f t="shared" ca="1" si="5"/>
        <v>#NAME?</v>
      </c>
      <c r="X136" s="147" t="e">
        <f t="shared" ca="1" si="6"/>
        <v>#NAME?</v>
      </c>
      <c r="Y136" s="147" t="e">
        <f t="shared" ca="1" si="7"/>
        <v>#NAME?</v>
      </c>
      <c r="Z136" s="147"/>
      <c r="AA136" s="147"/>
      <c r="AB136" s="147"/>
      <c r="AC136" s="147"/>
      <c r="AD136" s="147"/>
      <c r="AE136" s="147"/>
      <c r="AF136" s="147"/>
      <c r="AG136" s="147"/>
      <c r="AH136" s="147"/>
      <c r="AI136" s="147"/>
      <c r="AJ136" s="147"/>
      <c r="AK136" s="147"/>
      <c r="AL136" s="147"/>
      <c r="AM136" s="151"/>
      <c r="AN136" s="147"/>
      <c r="AO136" s="147" t="e">
        <f t="shared" si="8"/>
        <v>#N/A</v>
      </c>
      <c r="AP136" s="147" t="e">
        <f t="shared" ca="1" si="9"/>
        <v>#NAME?</v>
      </c>
      <c r="AQ136" s="147" t="e">
        <f t="shared" si="10"/>
        <v>#N/A</v>
      </c>
      <c r="AR136" s="147"/>
      <c r="AS136" s="147"/>
      <c r="AT136" s="147"/>
      <c r="AU136" s="147"/>
      <c r="AV136" s="147"/>
      <c r="AW136" s="147"/>
      <c r="AX136" s="147"/>
      <c r="AY136" s="147"/>
      <c r="AZ136" s="147"/>
      <c r="BA136" s="147"/>
      <c r="BB136" s="147"/>
      <c r="BC136" s="147"/>
      <c r="BD136" s="147"/>
      <c r="BE136" s="147"/>
      <c r="BF136" s="147"/>
      <c r="BG136" s="147"/>
      <c r="BH136" s="147"/>
      <c r="BI136" s="147"/>
      <c r="BJ136" s="147"/>
      <c r="BK136" s="147"/>
      <c r="BL136" s="147"/>
      <c r="BM136" s="147"/>
      <c r="BN136" s="147"/>
      <c r="BO136" s="147"/>
      <c r="BP136" s="147"/>
      <c r="BQ136" s="147"/>
      <c r="BR136" s="147"/>
      <c r="BS136" s="147"/>
      <c r="BT136" s="147"/>
      <c r="BU136" s="147"/>
      <c r="BV136" s="147"/>
      <c r="BW136" s="147"/>
      <c r="BX136" s="147"/>
      <c r="BY136" s="147"/>
      <c r="BZ136" s="147"/>
      <c r="CA136" s="147"/>
      <c r="CB136" s="147"/>
      <c r="CC136" s="147"/>
      <c r="CD136" s="147"/>
      <c r="CE136" s="147"/>
      <c r="CF136" s="147"/>
      <c r="CG136" s="147"/>
      <c r="CH136" s="147"/>
      <c r="CI136" s="147"/>
      <c r="CJ136" s="147"/>
      <c r="CK136" s="147"/>
    </row>
    <row r="137" spans="1:89">
      <c r="A137" s="159" t="s">
        <v>599</v>
      </c>
      <c r="B137" s="3" t="s">
        <v>600</v>
      </c>
      <c r="C137" s="160" t="s">
        <v>63</v>
      </c>
      <c r="D137" s="160" t="s">
        <v>857</v>
      </c>
      <c r="E137" s="3" t="s">
        <v>22</v>
      </c>
      <c r="F137" s="3" t="s">
        <v>934</v>
      </c>
      <c r="G137" s="3" t="s">
        <v>934</v>
      </c>
      <c r="H137" s="156" t="str">
        <f ca="1">IFERROR(
  _xludf.MINIFS(ATTENDANCE_LOG!$F:$F,
         ATTENDANCE_LOG!$A:$A, C137,
         ATTENDANCE_LOG!$B:$B, E137),
"")</f>
        <v/>
      </c>
      <c r="I137" s="156" t="str">
        <f t="shared" ca="1" si="0"/>
        <v/>
      </c>
      <c r="J137" s="3">
        <f>IFERROR(VLOOKUP(F137, LEVEL_HELPER!$A:$B, 2, 0), "")</f>
        <v>3.5</v>
      </c>
      <c r="K137" s="3">
        <f>IFERROR(VLOOKUP(G137, LEVEL_HELPER!$A:$B, 2, 0), "")</f>
        <v>3.5</v>
      </c>
      <c r="L137" s="157" t="s">
        <v>942</v>
      </c>
      <c r="M137" s="157" t="s">
        <v>924</v>
      </c>
      <c r="N137" s="3">
        <f t="array" aca="1" ref="N137" ca="1">IFERROR(
  INDEX($J$2:$J$543,
    MATCH(A137&amp;TEXT(I137,"yyyy-mm-dd"),
          $A$2:$A$543&amp;TEXT($H$2:$H$543,"yyyy-mm-dd"),
          0)),
"")</f>
        <v>2.5</v>
      </c>
      <c r="O137" s="147" t="str">
        <f t="shared" ca="1" si="1"/>
        <v/>
      </c>
      <c r="P137" s="147">
        <f t="shared" ref="P137:Q137" ca="1" si="146">IF(N137="",0,IF(N137&lt;=2,1,IF(N137&lt;=4,2,IF(N137&lt;=5.5,3,4))))</f>
        <v>2</v>
      </c>
      <c r="Q137" s="147">
        <f t="shared" ca="1" si="146"/>
        <v>0</v>
      </c>
      <c r="R137" s="147" t="str">
        <f t="shared" ca="1" si="3"/>
        <v>Not tested yet</v>
      </c>
      <c r="S137" s="147">
        <f t="shared" si="4"/>
        <v>0</v>
      </c>
      <c r="T137" s="147"/>
      <c r="U137" s="147"/>
      <c r="V137" s="148" t="e">
        <f ca="1"/>
        <v>#NAME?</v>
      </c>
      <c r="W137" s="147" t="e">
        <f t="shared" ca="1" si="5"/>
        <v>#NAME?</v>
      </c>
      <c r="X137" s="147" t="e">
        <f t="shared" ca="1" si="6"/>
        <v>#NAME?</v>
      </c>
      <c r="Y137" s="147" t="e">
        <f t="shared" ca="1" si="7"/>
        <v>#NAME?</v>
      </c>
      <c r="Z137" s="147"/>
      <c r="AA137" s="147"/>
      <c r="AB137" s="147"/>
      <c r="AC137" s="147"/>
      <c r="AD137" s="147"/>
      <c r="AE137" s="147"/>
      <c r="AF137" s="147"/>
      <c r="AG137" s="147"/>
      <c r="AH137" s="147"/>
      <c r="AI137" s="147"/>
      <c r="AJ137" s="147"/>
      <c r="AK137" s="147"/>
      <c r="AL137" s="147"/>
      <c r="AM137" s="151"/>
      <c r="AN137" s="147"/>
      <c r="AO137" s="147" t="e">
        <f t="shared" si="8"/>
        <v>#N/A</v>
      </c>
      <c r="AP137" s="147" t="e">
        <f t="shared" ca="1" si="9"/>
        <v>#NAME?</v>
      </c>
      <c r="AQ137" s="147" t="e">
        <f t="shared" si="10"/>
        <v>#N/A</v>
      </c>
      <c r="AR137" s="147"/>
      <c r="AS137" s="147"/>
      <c r="AT137" s="147"/>
      <c r="AU137" s="147"/>
      <c r="AV137" s="147"/>
      <c r="AW137" s="147"/>
      <c r="AX137" s="147"/>
      <c r="AY137" s="147"/>
      <c r="AZ137" s="147"/>
      <c r="BA137" s="147"/>
      <c r="BB137" s="147"/>
      <c r="BC137" s="147"/>
      <c r="BD137" s="147"/>
      <c r="BE137" s="147"/>
      <c r="BF137" s="147"/>
      <c r="BG137" s="147"/>
      <c r="BH137" s="147"/>
      <c r="BI137" s="147"/>
      <c r="BJ137" s="147"/>
      <c r="BK137" s="147"/>
      <c r="BL137" s="147"/>
      <c r="BM137" s="147"/>
      <c r="BN137" s="147"/>
      <c r="BO137" s="147"/>
      <c r="BP137" s="147"/>
      <c r="BQ137" s="147"/>
      <c r="BR137" s="147"/>
      <c r="BS137" s="147"/>
      <c r="BT137" s="147"/>
      <c r="BU137" s="147"/>
      <c r="BV137" s="147"/>
      <c r="BW137" s="147"/>
      <c r="BX137" s="147"/>
      <c r="BY137" s="147"/>
      <c r="BZ137" s="147"/>
      <c r="CA137" s="147"/>
      <c r="CB137" s="147"/>
      <c r="CC137" s="147"/>
      <c r="CD137" s="147"/>
      <c r="CE137" s="147"/>
      <c r="CF137" s="147"/>
      <c r="CG137" s="147"/>
      <c r="CH137" s="147"/>
      <c r="CI137" s="147"/>
      <c r="CJ137" s="147"/>
      <c r="CK137" s="147"/>
    </row>
    <row r="138" spans="1:89">
      <c r="A138" s="159" t="s">
        <v>611</v>
      </c>
      <c r="B138" s="3" t="s">
        <v>612</v>
      </c>
      <c r="C138" s="160" t="s">
        <v>63</v>
      </c>
      <c r="D138" s="160" t="s">
        <v>857</v>
      </c>
      <c r="E138" s="3" t="s">
        <v>22</v>
      </c>
      <c r="F138" s="3" t="s">
        <v>934</v>
      </c>
      <c r="G138" s="3" t="s">
        <v>940</v>
      </c>
      <c r="H138" s="156" t="str">
        <f ca="1">IFERROR(
  _xludf.MINIFS(ATTENDANCE_LOG!$F:$F,
         ATTENDANCE_LOG!$A:$A, C138,
         ATTENDANCE_LOG!$B:$B, E138),
"")</f>
        <v/>
      </c>
      <c r="I138" s="156" t="str">
        <f t="shared" ca="1" si="0"/>
        <v/>
      </c>
      <c r="J138" s="3">
        <f>IFERROR(VLOOKUP(F138, LEVEL_HELPER!$A:$B, 2, 0), "")</f>
        <v>3.5</v>
      </c>
      <c r="K138" s="3">
        <f>IFERROR(VLOOKUP(G138, LEVEL_HELPER!$A:$B, 2, 0), "")</f>
        <v>5</v>
      </c>
      <c r="L138" s="157" t="s">
        <v>918</v>
      </c>
      <c r="M138" s="157" t="s">
        <v>922</v>
      </c>
      <c r="N138" s="3">
        <f t="array" aca="1" ref="N138" ca="1">IFERROR(
  INDEX($J$2:$J$543,
    MATCH(A138&amp;TEXT(I138,"yyyy-mm-dd"),
          $A$2:$A$543&amp;TEXT($H$2:$H$543,"yyyy-mm-dd"),
          0)),
"")</f>
        <v>1</v>
      </c>
      <c r="O138" s="147" t="str">
        <f t="shared" ca="1" si="1"/>
        <v/>
      </c>
      <c r="P138" s="147">
        <f t="shared" ref="P138:Q138" ca="1" si="147">IF(N138="",0,IF(N138&lt;=2,1,IF(N138&lt;=4,2,IF(N138&lt;=5.5,3,4))))</f>
        <v>1</v>
      </c>
      <c r="Q138" s="147">
        <f t="shared" ca="1" si="147"/>
        <v>0</v>
      </c>
      <c r="R138" s="147" t="str">
        <f t="shared" ca="1" si="3"/>
        <v>Not tested yet</v>
      </c>
      <c r="S138" s="147">
        <f t="shared" si="4"/>
        <v>0</v>
      </c>
      <c r="T138" s="147"/>
      <c r="U138" s="147"/>
      <c r="V138" s="148" t="e">
        <f ca="1"/>
        <v>#NAME?</v>
      </c>
      <c r="W138" s="147" t="e">
        <f t="shared" ca="1" si="5"/>
        <v>#NAME?</v>
      </c>
      <c r="X138" s="147" t="e">
        <f t="shared" ca="1" si="6"/>
        <v>#NAME?</v>
      </c>
      <c r="Y138" s="147" t="e">
        <f t="shared" ca="1" si="7"/>
        <v>#NAME?</v>
      </c>
      <c r="Z138" s="147"/>
      <c r="AA138" s="147"/>
      <c r="AB138" s="147"/>
      <c r="AC138" s="147"/>
      <c r="AD138" s="147"/>
      <c r="AE138" s="147"/>
      <c r="AF138" s="147"/>
      <c r="AG138" s="147"/>
      <c r="AH138" s="147"/>
      <c r="AI138" s="147"/>
      <c r="AJ138" s="147"/>
      <c r="AK138" s="147"/>
      <c r="AL138" s="147"/>
      <c r="AM138" s="151"/>
      <c r="AN138" s="147"/>
      <c r="AO138" s="147" t="e">
        <f t="shared" si="8"/>
        <v>#N/A</v>
      </c>
      <c r="AP138" s="147" t="e">
        <f t="shared" ca="1" si="9"/>
        <v>#NAME?</v>
      </c>
      <c r="AQ138" s="147" t="e">
        <f t="shared" si="10"/>
        <v>#N/A</v>
      </c>
      <c r="AR138" s="147"/>
      <c r="AS138" s="147"/>
      <c r="AT138" s="147"/>
      <c r="AU138" s="147"/>
      <c r="AV138" s="147"/>
      <c r="AW138" s="147"/>
      <c r="AX138" s="147"/>
      <c r="AY138" s="147"/>
      <c r="AZ138" s="147"/>
      <c r="BA138" s="147"/>
      <c r="BB138" s="147"/>
      <c r="BC138" s="147"/>
      <c r="BD138" s="147"/>
      <c r="BE138" s="147"/>
      <c r="BF138" s="147"/>
      <c r="BG138" s="147"/>
      <c r="BH138" s="147"/>
      <c r="BI138" s="147"/>
      <c r="BJ138" s="147"/>
      <c r="BK138" s="147"/>
      <c r="BL138" s="147"/>
      <c r="BM138" s="147"/>
      <c r="BN138" s="147"/>
      <c r="BO138" s="147"/>
      <c r="BP138" s="147"/>
      <c r="BQ138" s="147"/>
      <c r="BR138" s="147"/>
      <c r="BS138" s="147"/>
      <c r="BT138" s="147"/>
      <c r="BU138" s="147"/>
      <c r="BV138" s="147"/>
      <c r="BW138" s="147"/>
      <c r="BX138" s="147"/>
      <c r="BY138" s="147"/>
      <c r="BZ138" s="147"/>
      <c r="CA138" s="147"/>
      <c r="CB138" s="147"/>
      <c r="CC138" s="147"/>
      <c r="CD138" s="147"/>
      <c r="CE138" s="147"/>
      <c r="CF138" s="147"/>
      <c r="CG138" s="147"/>
      <c r="CH138" s="147"/>
      <c r="CI138" s="147"/>
      <c r="CJ138" s="147"/>
      <c r="CK138" s="147"/>
    </row>
    <row r="139" spans="1:89">
      <c r="A139" s="153" t="s">
        <v>298</v>
      </c>
      <c r="B139" s="154" t="s">
        <v>299</v>
      </c>
      <c r="C139" s="155" t="s">
        <v>63</v>
      </c>
      <c r="D139" s="155" t="s">
        <v>857</v>
      </c>
      <c r="E139" s="154" t="s">
        <v>23</v>
      </c>
      <c r="F139" s="3"/>
      <c r="G139" s="3"/>
      <c r="H139" s="156" t="str">
        <f ca="1">IFERROR(
  _xludf.MINIFS(ATTENDANCE_LOG!$F:$F,
         ATTENDANCE_LOG!$A:$A, C139,
         ATTENDANCE_LOG!$B:$B, E139),
"")</f>
        <v/>
      </c>
      <c r="I139" s="156" t="str">
        <f t="shared" ca="1" si="0"/>
        <v/>
      </c>
      <c r="J139" s="3" t="str">
        <f>IFERROR(VLOOKUP(F139, LEVEL_HELPER!$A:$B, 2, 0), "")</f>
        <v/>
      </c>
      <c r="K139" s="3" t="str">
        <f>IFERROR(VLOOKUP(G139, LEVEL_HELPER!$A:$B, 2, 0), "")</f>
        <v/>
      </c>
      <c r="L139" s="157" t="s">
        <v>942</v>
      </c>
      <c r="M139" s="157" t="s">
        <v>924</v>
      </c>
      <c r="N139" s="3">
        <f t="array" aca="1" ref="N139" ca="1">IFERROR(
  INDEX($J$2:$J$543,
    MATCH(A139&amp;TEXT(I139,"yyyy-mm-dd"),
          $A$2:$A$543&amp;TEXT($H$2:$H$543,"yyyy-mm-dd"),
          0)),
"")</f>
        <v>1</v>
      </c>
      <c r="O139" s="147" t="str">
        <f t="shared" ca="1" si="1"/>
        <v/>
      </c>
      <c r="P139" s="147">
        <f t="shared" ref="P139:Q139" ca="1" si="148">IF(N139="",0,IF(N139&lt;=2,1,IF(N139&lt;=4,2,IF(N139&lt;=5.5,3,4))))</f>
        <v>1</v>
      </c>
      <c r="Q139" s="147">
        <f t="shared" ca="1" si="148"/>
        <v>0</v>
      </c>
      <c r="R139" s="147" t="str">
        <f t="shared" ca="1" si="3"/>
        <v>Not tested yet</v>
      </c>
      <c r="S139" s="147">
        <f t="shared" si="4"/>
        <v>0</v>
      </c>
      <c r="T139" s="147"/>
      <c r="U139" s="147"/>
      <c r="V139" s="148" t="e">
        <f ca="1"/>
        <v>#NAME?</v>
      </c>
      <c r="W139" s="147" t="e">
        <f t="shared" ca="1" si="5"/>
        <v>#NAME?</v>
      </c>
      <c r="X139" s="147" t="e">
        <f t="shared" ca="1" si="6"/>
        <v>#NAME?</v>
      </c>
      <c r="Y139" s="147" t="e">
        <f t="shared" ca="1" si="7"/>
        <v>#NAME?</v>
      </c>
      <c r="Z139" s="147"/>
      <c r="AA139" s="147"/>
      <c r="AB139" s="147"/>
      <c r="AC139" s="147"/>
      <c r="AD139" s="147"/>
      <c r="AE139" s="147"/>
      <c r="AF139" s="147"/>
      <c r="AG139" s="147"/>
      <c r="AH139" s="147"/>
      <c r="AI139" s="147"/>
      <c r="AJ139" s="147"/>
      <c r="AK139" s="147"/>
      <c r="AL139" s="147"/>
      <c r="AM139" s="151"/>
      <c r="AN139" s="147"/>
      <c r="AO139" s="147" t="e">
        <f t="shared" si="8"/>
        <v>#N/A</v>
      </c>
      <c r="AP139" s="147" t="e">
        <f t="shared" ca="1" si="9"/>
        <v>#NAME?</v>
      </c>
      <c r="AQ139" s="147" t="e">
        <f t="shared" si="10"/>
        <v>#N/A</v>
      </c>
      <c r="AR139" s="147"/>
      <c r="AS139" s="147"/>
      <c r="AT139" s="147"/>
      <c r="AU139" s="147"/>
      <c r="AV139" s="147"/>
      <c r="AW139" s="147"/>
      <c r="AX139" s="147"/>
      <c r="AY139" s="147"/>
      <c r="AZ139" s="147"/>
      <c r="BA139" s="147"/>
      <c r="BB139" s="147"/>
      <c r="BC139" s="147"/>
      <c r="BD139" s="147"/>
      <c r="BE139" s="147"/>
      <c r="BF139" s="147"/>
      <c r="BG139" s="147"/>
      <c r="BH139" s="147"/>
      <c r="BI139" s="147"/>
      <c r="BJ139" s="147"/>
      <c r="BK139" s="147"/>
      <c r="BL139" s="147"/>
      <c r="BM139" s="147"/>
      <c r="BN139" s="147"/>
      <c r="BO139" s="147"/>
      <c r="BP139" s="147"/>
      <c r="BQ139" s="147"/>
      <c r="BR139" s="147"/>
      <c r="BS139" s="147"/>
      <c r="BT139" s="147"/>
      <c r="BU139" s="147"/>
      <c r="BV139" s="147"/>
      <c r="BW139" s="147"/>
      <c r="BX139" s="147"/>
      <c r="BY139" s="147"/>
      <c r="BZ139" s="147"/>
      <c r="CA139" s="147"/>
      <c r="CB139" s="147"/>
      <c r="CC139" s="147"/>
      <c r="CD139" s="147"/>
      <c r="CE139" s="147"/>
      <c r="CF139" s="147"/>
      <c r="CG139" s="147"/>
      <c r="CH139" s="147"/>
      <c r="CI139" s="147"/>
      <c r="CJ139" s="147"/>
      <c r="CK139" s="147"/>
    </row>
    <row r="140" spans="1:89">
      <c r="A140" s="159" t="s">
        <v>220</v>
      </c>
      <c r="B140" s="3" t="s">
        <v>221</v>
      </c>
      <c r="C140" s="160" t="s">
        <v>63</v>
      </c>
      <c r="D140" s="160" t="s">
        <v>857</v>
      </c>
      <c r="E140" s="3" t="s">
        <v>23</v>
      </c>
      <c r="F140" s="3"/>
      <c r="G140" s="3"/>
      <c r="H140" s="156" t="str">
        <f ca="1">IFERROR(
  _xludf.MINIFS(ATTENDANCE_LOG!$F:$F,
         ATTENDANCE_LOG!$A:$A, C140,
         ATTENDANCE_LOG!$B:$B, E140),
"")</f>
        <v/>
      </c>
      <c r="I140" s="156" t="str">
        <f t="shared" ca="1" si="0"/>
        <v/>
      </c>
      <c r="J140" s="3" t="str">
        <f>IFERROR(VLOOKUP(F140, LEVEL_HELPER!$A:$B, 2, 0), "")</f>
        <v/>
      </c>
      <c r="K140" s="3" t="str">
        <f>IFERROR(VLOOKUP(G140, LEVEL_HELPER!$A:$B, 2, 0), "")</f>
        <v/>
      </c>
      <c r="L140" s="157" t="s">
        <v>942</v>
      </c>
      <c r="M140" s="157" t="s">
        <v>924</v>
      </c>
      <c r="N140" s="3">
        <f t="array" aca="1" ref="N140" ca="1">IFERROR(
  INDEX($J$2:$J$543,
    MATCH(A140&amp;TEXT(I140,"yyyy-mm-dd"),
          $A$2:$A$543&amp;TEXT($H$2:$H$543,"yyyy-mm-dd"),
          0)),
"")</f>
        <v>1</v>
      </c>
      <c r="O140" s="147" t="str">
        <f t="shared" ca="1" si="1"/>
        <v/>
      </c>
      <c r="P140" s="147">
        <f t="shared" ref="P140:Q140" ca="1" si="149">IF(N140="",0,IF(N140&lt;=2,1,IF(N140&lt;=4,2,IF(N140&lt;=5.5,3,4))))</f>
        <v>1</v>
      </c>
      <c r="Q140" s="147">
        <f t="shared" ca="1" si="149"/>
        <v>0</v>
      </c>
      <c r="R140" s="147" t="str">
        <f t="shared" ca="1" si="3"/>
        <v>Not tested yet</v>
      </c>
      <c r="S140" s="147">
        <f t="shared" si="4"/>
        <v>0</v>
      </c>
      <c r="T140" s="147"/>
      <c r="U140" s="147"/>
      <c r="V140" s="148" t="e">
        <f ca="1"/>
        <v>#NAME?</v>
      </c>
      <c r="W140" s="147" t="e">
        <f t="shared" ca="1" si="5"/>
        <v>#NAME?</v>
      </c>
      <c r="X140" s="147" t="e">
        <f t="shared" ca="1" si="6"/>
        <v>#NAME?</v>
      </c>
      <c r="Y140" s="147" t="e">
        <f t="shared" ca="1" si="7"/>
        <v>#NAME?</v>
      </c>
      <c r="Z140" s="147"/>
      <c r="AA140" s="147"/>
      <c r="AB140" s="147"/>
      <c r="AC140" s="147"/>
      <c r="AD140" s="147"/>
      <c r="AE140" s="147"/>
      <c r="AF140" s="147"/>
      <c r="AG140" s="147"/>
      <c r="AH140" s="147"/>
      <c r="AI140" s="147"/>
      <c r="AJ140" s="147"/>
      <c r="AK140" s="147"/>
      <c r="AL140" s="147"/>
      <c r="AM140" s="151"/>
      <c r="AN140" s="147"/>
      <c r="AO140" s="147" t="e">
        <f t="shared" si="8"/>
        <v>#N/A</v>
      </c>
      <c r="AP140" s="147" t="e">
        <f t="shared" ca="1" si="9"/>
        <v>#NAME?</v>
      </c>
      <c r="AQ140" s="147" t="e">
        <f t="shared" si="10"/>
        <v>#N/A</v>
      </c>
      <c r="AR140" s="147"/>
      <c r="AS140" s="147"/>
      <c r="AT140" s="147"/>
      <c r="AU140" s="147"/>
      <c r="AV140" s="147"/>
      <c r="AW140" s="147"/>
      <c r="AX140" s="147"/>
      <c r="AY140" s="147"/>
      <c r="AZ140" s="147"/>
      <c r="BA140" s="147"/>
      <c r="BB140" s="147"/>
      <c r="BC140" s="147"/>
      <c r="BD140" s="147"/>
      <c r="BE140" s="147"/>
      <c r="BF140" s="147"/>
      <c r="BG140" s="147"/>
      <c r="BH140" s="147"/>
      <c r="BI140" s="147"/>
      <c r="BJ140" s="147"/>
      <c r="BK140" s="147"/>
      <c r="BL140" s="147"/>
      <c r="BM140" s="147"/>
      <c r="BN140" s="147"/>
      <c r="BO140" s="147"/>
      <c r="BP140" s="147"/>
      <c r="BQ140" s="147"/>
      <c r="BR140" s="147"/>
      <c r="BS140" s="147"/>
      <c r="BT140" s="147"/>
      <c r="BU140" s="147"/>
      <c r="BV140" s="147"/>
      <c r="BW140" s="147"/>
      <c r="BX140" s="147"/>
      <c r="BY140" s="147"/>
      <c r="BZ140" s="147"/>
      <c r="CA140" s="147"/>
      <c r="CB140" s="147"/>
      <c r="CC140" s="147"/>
      <c r="CD140" s="147"/>
      <c r="CE140" s="147"/>
      <c r="CF140" s="147"/>
      <c r="CG140" s="147"/>
      <c r="CH140" s="147"/>
      <c r="CI140" s="147"/>
      <c r="CJ140" s="147"/>
      <c r="CK140" s="147"/>
    </row>
    <row r="141" spans="1:89">
      <c r="A141" s="159" t="s">
        <v>234</v>
      </c>
      <c r="B141" s="3" t="s">
        <v>235</v>
      </c>
      <c r="C141" s="160" t="s">
        <v>63</v>
      </c>
      <c r="D141" s="160" t="s">
        <v>857</v>
      </c>
      <c r="E141" s="3" t="s">
        <v>23</v>
      </c>
      <c r="F141" s="3"/>
      <c r="G141" s="3"/>
      <c r="H141" s="156" t="str">
        <f ca="1">IFERROR(
  _xludf.MINIFS(ATTENDANCE_LOG!$F:$F,
         ATTENDANCE_LOG!$A:$A, C141,
         ATTENDANCE_LOG!$B:$B, E141),
"")</f>
        <v/>
      </c>
      <c r="I141" s="156" t="str">
        <f t="shared" ca="1" si="0"/>
        <v/>
      </c>
      <c r="J141" s="3" t="str">
        <f>IFERROR(VLOOKUP(F141, LEVEL_HELPER!$A:$B, 2, 0), "")</f>
        <v/>
      </c>
      <c r="K141" s="3" t="str">
        <f>IFERROR(VLOOKUP(G141, LEVEL_HELPER!$A:$B, 2, 0), "")</f>
        <v/>
      </c>
      <c r="L141" s="157" t="s">
        <v>942</v>
      </c>
      <c r="M141" s="157" t="s">
        <v>924</v>
      </c>
      <c r="N141" s="3">
        <f t="array" aca="1" ref="N141" ca="1">IFERROR(
  INDEX($J$2:$J$543,
    MATCH(A141&amp;TEXT(I141,"yyyy-mm-dd"),
          $A$2:$A$543&amp;TEXT($H$2:$H$543,"yyyy-mm-dd"),
          0)),
"")</f>
        <v>2.5</v>
      </c>
      <c r="O141" s="147" t="str">
        <f t="shared" ca="1" si="1"/>
        <v/>
      </c>
      <c r="P141" s="147">
        <f t="shared" ref="P141:Q141" ca="1" si="150">IF(N141="",0,IF(N141&lt;=2,1,IF(N141&lt;=4,2,IF(N141&lt;=5.5,3,4))))</f>
        <v>2</v>
      </c>
      <c r="Q141" s="147">
        <f t="shared" ca="1" si="150"/>
        <v>0</v>
      </c>
      <c r="R141" s="147" t="str">
        <f t="shared" ca="1" si="3"/>
        <v>Not tested yet</v>
      </c>
      <c r="S141" s="147">
        <f t="shared" si="4"/>
        <v>0</v>
      </c>
      <c r="T141" s="147"/>
      <c r="U141" s="147"/>
      <c r="V141" s="148" t="e">
        <f ca="1"/>
        <v>#NAME?</v>
      </c>
      <c r="W141" s="147" t="e">
        <f t="shared" ca="1" si="5"/>
        <v>#NAME?</v>
      </c>
      <c r="X141" s="147" t="e">
        <f t="shared" ca="1" si="6"/>
        <v>#NAME?</v>
      </c>
      <c r="Y141" s="147" t="e">
        <f t="shared" ca="1" si="7"/>
        <v>#NAME?</v>
      </c>
      <c r="Z141" s="147"/>
      <c r="AA141" s="147"/>
      <c r="AB141" s="147"/>
      <c r="AC141" s="147"/>
      <c r="AD141" s="147"/>
      <c r="AE141" s="147"/>
      <c r="AF141" s="147"/>
      <c r="AG141" s="147"/>
      <c r="AH141" s="147"/>
      <c r="AI141" s="147"/>
      <c r="AJ141" s="147"/>
      <c r="AK141" s="147"/>
      <c r="AL141" s="147"/>
      <c r="AM141" s="151"/>
      <c r="AN141" s="147"/>
      <c r="AO141" s="147" t="e">
        <f t="shared" si="8"/>
        <v>#N/A</v>
      </c>
      <c r="AP141" s="147" t="e">
        <f t="shared" ca="1" si="9"/>
        <v>#NAME?</v>
      </c>
      <c r="AQ141" s="147" t="e">
        <f t="shared" si="10"/>
        <v>#N/A</v>
      </c>
      <c r="AR141" s="147"/>
      <c r="AS141" s="147"/>
      <c r="AT141" s="147"/>
      <c r="AU141" s="147"/>
      <c r="AV141" s="147"/>
      <c r="AW141" s="147"/>
      <c r="AX141" s="147"/>
      <c r="AY141" s="147"/>
      <c r="AZ141" s="147"/>
      <c r="BA141" s="147"/>
      <c r="BB141" s="147"/>
      <c r="BC141" s="147"/>
      <c r="BD141" s="147"/>
      <c r="BE141" s="147"/>
      <c r="BF141" s="147"/>
      <c r="BG141" s="147"/>
      <c r="BH141" s="147"/>
      <c r="BI141" s="147"/>
      <c r="BJ141" s="147"/>
      <c r="BK141" s="147"/>
      <c r="BL141" s="147"/>
      <c r="BM141" s="147"/>
      <c r="BN141" s="147"/>
      <c r="BO141" s="147"/>
      <c r="BP141" s="147"/>
      <c r="BQ141" s="147"/>
      <c r="BR141" s="147"/>
      <c r="BS141" s="147"/>
      <c r="BT141" s="147"/>
      <c r="BU141" s="147"/>
      <c r="BV141" s="147"/>
      <c r="BW141" s="147"/>
      <c r="BX141" s="147"/>
      <c r="BY141" s="147"/>
      <c r="BZ141" s="147"/>
      <c r="CA141" s="147"/>
      <c r="CB141" s="147"/>
      <c r="CC141" s="147"/>
      <c r="CD141" s="147"/>
      <c r="CE141" s="147"/>
      <c r="CF141" s="147"/>
      <c r="CG141" s="147"/>
      <c r="CH141" s="147"/>
      <c r="CI141" s="147"/>
      <c r="CJ141" s="147"/>
      <c r="CK141" s="147"/>
    </row>
    <row r="142" spans="1:89">
      <c r="A142" s="159" t="s">
        <v>553</v>
      </c>
      <c r="B142" s="3" t="s">
        <v>554</v>
      </c>
      <c r="C142" s="160" t="s">
        <v>63</v>
      </c>
      <c r="D142" s="160" t="s">
        <v>857</v>
      </c>
      <c r="E142" s="3" t="s">
        <v>23</v>
      </c>
      <c r="F142" s="3"/>
      <c r="G142" s="3"/>
      <c r="H142" s="156" t="str">
        <f ca="1">IFERROR(
  _xludf.MINIFS(ATTENDANCE_LOG!$F:$F,
         ATTENDANCE_LOG!$A:$A, C142,
         ATTENDANCE_LOG!$B:$B, E142),
"")</f>
        <v/>
      </c>
      <c r="I142" s="156" t="str">
        <f t="shared" ca="1" si="0"/>
        <v/>
      </c>
      <c r="J142" s="3" t="str">
        <f>IFERROR(VLOOKUP(F142, LEVEL_HELPER!$A:$B, 2, 0), "")</f>
        <v/>
      </c>
      <c r="K142" s="3" t="str">
        <f>IFERROR(VLOOKUP(G142, LEVEL_HELPER!$A:$B, 2, 0), "")</f>
        <v/>
      </c>
      <c r="L142" s="157" t="s">
        <v>942</v>
      </c>
      <c r="M142" s="157" t="s">
        <v>924</v>
      </c>
      <c r="N142" s="3">
        <f t="array" aca="1" ref="N142" ca="1">IFERROR(
  INDEX($J$2:$J$543,
    MATCH(A142&amp;TEXT(I142,"yyyy-mm-dd"),
          $A$2:$A$543&amp;TEXT($H$2:$H$543,"yyyy-mm-dd"),
          0)),
"")</f>
        <v>1</v>
      </c>
      <c r="O142" s="147" t="str">
        <f t="shared" ca="1" si="1"/>
        <v/>
      </c>
      <c r="P142" s="147">
        <f t="shared" ref="P142:Q142" ca="1" si="151">IF(N142="",0,IF(N142&lt;=2,1,IF(N142&lt;=4,2,IF(N142&lt;=5.5,3,4))))</f>
        <v>1</v>
      </c>
      <c r="Q142" s="147">
        <f t="shared" ca="1" si="151"/>
        <v>0</v>
      </c>
      <c r="R142" s="147" t="str">
        <f t="shared" ca="1" si="3"/>
        <v>Not tested yet</v>
      </c>
      <c r="S142" s="147">
        <f t="shared" si="4"/>
        <v>0</v>
      </c>
      <c r="T142" s="147"/>
      <c r="U142" s="147"/>
      <c r="V142" s="148" t="e">
        <f ca="1"/>
        <v>#NAME?</v>
      </c>
      <c r="W142" s="147" t="e">
        <f t="shared" ca="1" si="5"/>
        <v>#NAME?</v>
      </c>
      <c r="X142" s="147" t="e">
        <f t="shared" ca="1" si="6"/>
        <v>#NAME?</v>
      </c>
      <c r="Y142" s="147" t="e">
        <f t="shared" ca="1" si="7"/>
        <v>#NAME?</v>
      </c>
      <c r="Z142" s="147"/>
      <c r="AA142" s="147"/>
      <c r="AB142" s="147"/>
      <c r="AC142" s="147"/>
      <c r="AD142" s="147"/>
      <c r="AE142" s="147"/>
      <c r="AF142" s="147"/>
      <c r="AG142" s="147"/>
      <c r="AH142" s="147"/>
      <c r="AI142" s="147"/>
      <c r="AJ142" s="147"/>
      <c r="AK142" s="147"/>
      <c r="AL142" s="147"/>
      <c r="AM142" s="151"/>
      <c r="AN142" s="147"/>
      <c r="AO142" s="147" t="e">
        <f t="shared" si="8"/>
        <v>#N/A</v>
      </c>
      <c r="AP142" s="147" t="e">
        <f t="shared" ca="1" si="9"/>
        <v>#NAME?</v>
      </c>
      <c r="AQ142" s="147" t="e">
        <f t="shared" si="10"/>
        <v>#N/A</v>
      </c>
      <c r="AR142" s="147"/>
      <c r="AS142" s="147"/>
      <c r="AT142" s="147"/>
      <c r="AU142" s="147"/>
      <c r="AV142" s="147"/>
      <c r="AW142" s="147"/>
      <c r="AX142" s="147"/>
      <c r="AY142" s="147"/>
      <c r="AZ142" s="147"/>
      <c r="BA142" s="147"/>
      <c r="BB142" s="147"/>
      <c r="BC142" s="147"/>
      <c r="BD142" s="147"/>
      <c r="BE142" s="147"/>
      <c r="BF142" s="147"/>
      <c r="BG142" s="147"/>
      <c r="BH142" s="147"/>
      <c r="BI142" s="147"/>
      <c r="BJ142" s="147"/>
      <c r="BK142" s="147"/>
      <c r="BL142" s="147"/>
      <c r="BM142" s="147"/>
      <c r="BN142" s="147"/>
      <c r="BO142" s="147"/>
      <c r="BP142" s="147"/>
      <c r="BQ142" s="147"/>
      <c r="BR142" s="147"/>
      <c r="BS142" s="147"/>
      <c r="BT142" s="147"/>
      <c r="BU142" s="147"/>
      <c r="BV142" s="147"/>
      <c r="BW142" s="147"/>
      <c r="BX142" s="147"/>
      <c r="BY142" s="147"/>
      <c r="BZ142" s="147"/>
      <c r="CA142" s="147"/>
      <c r="CB142" s="147"/>
      <c r="CC142" s="147"/>
      <c r="CD142" s="147"/>
      <c r="CE142" s="147"/>
      <c r="CF142" s="147"/>
      <c r="CG142" s="147"/>
      <c r="CH142" s="147"/>
      <c r="CI142" s="147"/>
      <c r="CJ142" s="147"/>
      <c r="CK142" s="147"/>
    </row>
    <row r="143" spans="1:89">
      <c r="A143" s="159" t="s">
        <v>599</v>
      </c>
      <c r="B143" s="3" t="s">
        <v>600</v>
      </c>
      <c r="C143" s="160" t="s">
        <v>63</v>
      </c>
      <c r="D143" s="160" t="s">
        <v>857</v>
      </c>
      <c r="E143" s="3" t="s">
        <v>23</v>
      </c>
      <c r="F143" s="3"/>
      <c r="G143" s="3"/>
      <c r="H143" s="156" t="str">
        <f ca="1">IFERROR(
  _xludf.MINIFS(ATTENDANCE_LOG!$F:$F,
         ATTENDANCE_LOG!$A:$A, C143,
         ATTENDANCE_LOG!$B:$B, E143),
"")</f>
        <v/>
      </c>
      <c r="I143" s="156" t="str">
        <f t="shared" ca="1" si="0"/>
        <v/>
      </c>
      <c r="J143" s="3" t="str">
        <f>IFERROR(VLOOKUP(F143, LEVEL_HELPER!$A:$B, 2, 0), "")</f>
        <v/>
      </c>
      <c r="K143" s="3" t="str">
        <f>IFERROR(VLOOKUP(G143, LEVEL_HELPER!$A:$B, 2, 0), "")</f>
        <v/>
      </c>
      <c r="L143" s="157" t="s">
        <v>942</v>
      </c>
      <c r="M143" s="157" t="s">
        <v>924</v>
      </c>
      <c r="N143" s="3">
        <f t="array" aca="1" ref="N143" ca="1">IFERROR(
  INDEX($J$2:$J$543,
    MATCH(A143&amp;TEXT(I143,"yyyy-mm-dd"),
          $A$2:$A$543&amp;TEXT($H$2:$H$543,"yyyy-mm-dd"),
          0)),
"")</f>
        <v>2.5</v>
      </c>
      <c r="O143" s="147" t="str">
        <f t="shared" ca="1" si="1"/>
        <v/>
      </c>
      <c r="P143" s="147">
        <f t="shared" ref="P143:Q143" ca="1" si="152">IF(N143="",0,IF(N143&lt;=2,1,IF(N143&lt;=4,2,IF(N143&lt;=5.5,3,4))))</f>
        <v>2</v>
      </c>
      <c r="Q143" s="147">
        <f t="shared" ca="1" si="152"/>
        <v>0</v>
      </c>
      <c r="R143" s="147" t="str">
        <f t="shared" ca="1" si="3"/>
        <v>Not tested yet</v>
      </c>
      <c r="S143" s="147">
        <f t="shared" si="4"/>
        <v>0</v>
      </c>
      <c r="T143" s="147"/>
      <c r="U143" s="147"/>
      <c r="V143" s="148" t="e">
        <f ca="1"/>
        <v>#NAME?</v>
      </c>
      <c r="W143" s="147" t="e">
        <f t="shared" ca="1" si="5"/>
        <v>#NAME?</v>
      </c>
      <c r="X143" s="147" t="e">
        <f t="shared" ca="1" si="6"/>
        <v>#NAME?</v>
      </c>
      <c r="Y143" s="147" t="e">
        <f t="shared" ca="1" si="7"/>
        <v>#NAME?</v>
      </c>
      <c r="Z143" s="147"/>
      <c r="AA143" s="147"/>
      <c r="AB143" s="147"/>
      <c r="AC143" s="147"/>
      <c r="AD143" s="147"/>
      <c r="AE143" s="147"/>
      <c r="AF143" s="147"/>
      <c r="AG143" s="147"/>
      <c r="AH143" s="147"/>
      <c r="AI143" s="147"/>
      <c r="AJ143" s="147"/>
      <c r="AK143" s="147"/>
      <c r="AL143" s="147"/>
      <c r="AM143" s="151"/>
      <c r="AN143" s="147"/>
      <c r="AO143" s="147" t="e">
        <f t="shared" si="8"/>
        <v>#N/A</v>
      </c>
      <c r="AP143" s="147" t="e">
        <f t="shared" ca="1" si="9"/>
        <v>#NAME?</v>
      </c>
      <c r="AQ143" s="147" t="e">
        <f t="shared" si="10"/>
        <v>#N/A</v>
      </c>
      <c r="AR143" s="147"/>
      <c r="AS143" s="147"/>
      <c r="AT143" s="147"/>
      <c r="AU143" s="147"/>
      <c r="AV143" s="147"/>
      <c r="AW143" s="147"/>
      <c r="AX143" s="147"/>
      <c r="AY143" s="147"/>
      <c r="AZ143" s="147"/>
      <c r="BA143" s="147"/>
      <c r="BB143" s="147"/>
      <c r="BC143" s="147"/>
      <c r="BD143" s="147"/>
      <c r="BE143" s="147"/>
      <c r="BF143" s="147"/>
      <c r="BG143" s="147"/>
      <c r="BH143" s="147"/>
      <c r="BI143" s="147"/>
      <c r="BJ143" s="147"/>
      <c r="BK143" s="147"/>
      <c r="BL143" s="147"/>
      <c r="BM143" s="147"/>
      <c r="BN143" s="147"/>
      <c r="BO143" s="147"/>
      <c r="BP143" s="147"/>
      <c r="BQ143" s="147"/>
      <c r="BR143" s="147"/>
      <c r="BS143" s="147"/>
      <c r="BT143" s="147"/>
      <c r="BU143" s="147"/>
      <c r="BV143" s="147"/>
      <c r="BW143" s="147"/>
      <c r="BX143" s="147"/>
      <c r="BY143" s="147"/>
      <c r="BZ143" s="147"/>
      <c r="CA143" s="147"/>
      <c r="CB143" s="147"/>
      <c r="CC143" s="147"/>
      <c r="CD143" s="147"/>
      <c r="CE143" s="147"/>
      <c r="CF143" s="147"/>
      <c r="CG143" s="147"/>
      <c r="CH143" s="147"/>
      <c r="CI143" s="147"/>
      <c r="CJ143" s="147"/>
      <c r="CK143" s="147"/>
    </row>
    <row r="144" spans="1:89">
      <c r="A144" s="159" t="s">
        <v>611</v>
      </c>
      <c r="B144" s="3" t="s">
        <v>612</v>
      </c>
      <c r="C144" s="160" t="s">
        <v>63</v>
      </c>
      <c r="D144" s="160" t="s">
        <v>857</v>
      </c>
      <c r="E144" s="3" t="s">
        <v>23</v>
      </c>
      <c r="F144" s="3"/>
      <c r="G144" s="3"/>
      <c r="H144" s="156" t="str">
        <f ca="1">IFERROR(
  _xludf.MINIFS(ATTENDANCE_LOG!$F:$F,
         ATTENDANCE_LOG!$A:$A, C144,
         ATTENDANCE_LOG!$B:$B, E144),
"")</f>
        <v/>
      </c>
      <c r="I144" s="156" t="str">
        <f t="shared" ca="1" si="0"/>
        <v/>
      </c>
      <c r="J144" s="3" t="str">
        <f>IFERROR(VLOOKUP(F144, LEVEL_HELPER!$A:$B, 2, 0), "")</f>
        <v/>
      </c>
      <c r="K144" s="3" t="str">
        <f>IFERROR(VLOOKUP(G144, LEVEL_HELPER!$A:$B, 2, 0), "")</f>
        <v/>
      </c>
      <c r="L144" s="157" t="s">
        <v>918</v>
      </c>
      <c r="M144" s="157" t="s">
        <v>922</v>
      </c>
      <c r="N144" s="3">
        <f t="array" aca="1" ref="N144" ca="1">IFERROR(
  INDEX($J$2:$J$543,
    MATCH(A144&amp;TEXT(I144,"yyyy-mm-dd"),
          $A$2:$A$543&amp;TEXT($H$2:$H$543,"yyyy-mm-dd"),
          0)),
"")</f>
        <v>1</v>
      </c>
      <c r="O144" s="147" t="str">
        <f t="shared" ca="1" si="1"/>
        <v/>
      </c>
      <c r="P144" s="147">
        <f t="shared" ref="P144:Q144" ca="1" si="153">IF(N144="",0,IF(N144&lt;=2,1,IF(N144&lt;=4,2,IF(N144&lt;=5.5,3,4))))</f>
        <v>1</v>
      </c>
      <c r="Q144" s="147">
        <f t="shared" ca="1" si="153"/>
        <v>0</v>
      </c>
      <c r="R144" s="147" t="str">
        <f t="shared" ca="1" si="3"/>
        <v>Not tested yet</v>
      </c>
      <c r="S144" s="147">
        <f t="shared" si="4"/>
        <v>0</v>
      </c>
      <c r="T144" s="147"/>
      <c r="U144" s="147"/>
      <c r="V144" s="148" t="e">
        <f ca="1"/>
        <v>#NAME?</v>
      </c>
      <c r="W144" s="147" t="e">
        <f t="shared" ca="1" si="5"/>
        <v>#NAME?</v>
      </c>
      <c r="X144" s="147" t="e">
        <f t="shared" ca="1" si="6"/>
        <v>#NAME?</v>
      </c>
      <c r="Y144" s="147" t="e">
        <f t="shared" ca="1" si="7"/>
        <v>#NAME?</v>
      </c>
      <c r="Z144" s="147"/>
      <c r="AA144" s="147"/>
      <c r="AB144" s="147"/>
      <c r="AC144" s="147"/>
      <c r="AD144" s="147"/>
      <c r="AE144" s="147"/>
      <c r="AF144" s="147"/>
      <c r="AG144" s="147"/>
      <c r="AH144" s="147"/>
      <c r="AI144" s="147"/>
      <c r="AJ144" s="147"/>
      <c r="AK144" s="147"/>
      <c r="AL144" s="147"/>
      <c r="AM144" s="151"/>
      <c r="AN144" s="147"/>
      <c r="AO144" s="147" t="e">
        <f t="shared" si="8"/>
        <v>#N/A</v>
      </c>
      <c r="AP144" s="147" t="e">
        <f t="shared" ca="1" si="9"/>
        <v>#NAME?</v>
      </c>
      <c r="AQ144" s="147" t="e">
        <f t="shared" si="10"/>
        <v>#N/A</v>
      </c>
      <c r="AR144" s="147"/>
      <c r="AS144" s="147"/>
      <c r="AT144" s="147"/>
      <c r="AU144" s="147"/>
      <c r="AV144" s="147"/>
      <c r="AW144" s="147"/>
      <c r="AX144" s="147"/>
      <c r="AY144" s="147"/>
      <c r="AZ144" s="147"/>
      <c r="BA144" s="147"/>
      <c r="BB144" s="147"/>
      <c r="BC144" s="147"/>
      <c r="BD144" s="147"/>
      <c r="BE144" s="147"/>
      <c r="BF144" s="147"/>
      <c r="BG144" s="147"/>
      <c r="BH144" s="147"/>
      <c r="BI144" s="147"/>
      <c r="BJ144" s="147"/>
      <c r="BK144" s="147"/>
      <c r="BL144" s="147"/>
      <c r="BM144" s="147"/>
      <c r="BN144" s="147"/>
      <c r="BO144" s="147"/>
      <c r="BP144" s="147"/>
      <c r="BQ144" s="147"/>
      <c r="BR144" s="147"/>
      <c r="BS144" s="147"/>
      <c r="BT144" s="147"/>
      <c r="BU144" s="147"/>
      <c r="BV144" s="147"/>
      <c r="BW144" s="147"/>
      <c r="BX144" s="147"/>
      <c r="BY144" s="147"/>
      <c r="BZ144" s="147"/>
      <c r="CA144" s="147"/>
      <c r="CB144" s="147"/>
      <c r="CC144" s="147"/>
      <c r="CD144" s="147"/>
      <c r="CE144" s="147"/>
      <c r="CF144" s="147"/>
      <c r="CG144" s="147"/>
      <c r="CH144" s="147"/>
      <c r="CI144" s="147"/>
      <c r="CJ144" s="147"/>
      <c r="CK144" s="147"/>
    </row>
    <row r="145" spans="1:89">
      <c r="A145" s="153" t="s">
        <v>945</v>
      </c>
      <c r="B145" s="154" t="s">
        <v>723</v>
      </c>
      <c r="C145" s="155" t="s">
        <v>64</v>
      </c>
      <c r="D145" s="155" t="s">
        <v>829</v>
      </c>
      <c r="E145" s="154" t="s">
        <v>21</v>
      </c>
      <c r="F145" s="3" t="s">
        <v>926</v>
      </c>
      <c r="G145" s="3" t="s">
        <v>926</v>
      </c>
      <c r="H145" s="156" t="str">
        <f ca="1">IFERROR(
  _xludf.MINIFS(ATTENDANCE_LOG!$F:$F,
         ATTENDANCE_LOG!$A:$A, C145,
         ATTENDANCE_LOG!$B:$B, E145),
"")</f>
        <v/>
      </c>
      <c r="I145" s="156" t="str">
        <f t="shared" ca="1" si="0"/>
        <v/>
      </c>
      <c r="J145" s="3">
        <f>IFERROR(VLOOKUP(F145, LEVEL_HELPER!$A:$B, 2, 0), "")</f>
        <v>1</v>
      </c>
      <c r="K145" s="3">
        <f>IFERROR(VLOOKUP(G145, LEVEL_HELPER!$A:$B, 2, 0), "")</f>
        <v>1</v>
      </c>
      <c r="L145" s="157" t="s">
        <v>918</v>
      </c>
      <c r="M145" s="157" t="s">
        <v>922</v>
      </c>
      <c r="N145" s="3">
        <f t="array" aca="1" ref="N145" ca="1">IFERROR(
  INDEX($J$2:$J$543,
    MATCH(A145&amp;TEXT(I145,"yyyy-mm-dd"),
          $A$2:$A$543&amp;TEXT($H$2:$H$543,"yyyy-mm-dd"),
          0)),
"")</f>
        <v>1</v>
      </c>
      <c r="O145" s="147" t="str">
        <f t="shared" ca="1" si="1"/>
        <v/>
      </c>
      <c r="P145" s="147">
        <f t="shared" ref="P145:Q145" ca="1" si="154">IF(N145="",0,IF(N145&lt;=2,1,IF(N145&lt;=4,2,IF(N145&lt;=5.5,3,4))))</f>
        <v>1</v>
      </c>
      <c r="Q145" s="147">
        <f t="shared" ca="1" si="154"/>
        <v>0</v>
      </c>
      <c r="R145" s="147" t="str">
        <f t="shared" ca="1" si="3"/>
        <v>Not tested yet</v>
      </c>
      <c r="S145" s="147">
        <f t="shared" si="4"/>
        <v>1</v>
      </c>
      <c r="T145" s="147"/>
      <c r="U145" s="147"/>
      <c r="V145" s="148" t="e">
        <f ca="1"/>
        <v>#NAME?</v>
      </c>
      <c r="W145" s="147" t="e">
        <f t="shared" ca="1" si="5"/>
        <v>#NAME?</v>
      </c>
      <c r="X145" s="147" t="e">
        <f t="shared" ca="1" si="6"/>
        <v>#NAME?</v>
      </c>
      <c r="Y145" s="147" t="e">
        <f t="shared" ca="1" si="7"/>
        <v>#NAME?</v>
      </c>
      <c r="Z145" s="147"/>
      <c r="AA145" s="147"/>
      <c r="AB145" s="147"/>
      <c r="AC145" s="147"/>
      <c r="AD145" s="147"/>
      <c r="AE145" s="147"/>
      <c r="AF145" s="147"/>
      <c r="AG145" s="147"/>
      <c r="AH145" s="147"/>
      <c r="AI145" s="147"/>
      <c r="AJ145" s="147"/>
      <c r="AK145" s="147"/>
      <c r="AL145" s="147"/>
      <c r="AM145" s="151"/>
      <c r="AN145" s="147"/>
      <c r="AO145" s="147" t="e">
        <f t="shared" si="8"/>
        <v>#N/A</v>
      </c>
      <c r="AP145" s="147" t="e">
        <f t="shared" ca="1" si="9"/>
        <v>#NAME?</v>
      </c>
      <c r="AQ145" s="147" t="e">
        <f t="shared" si="10"/>
        <v>#N/A</v>
      </c>
      <c r="AR145" s="147"/>
      <c r="AS145" s="147"/>
      <c r="AT145" s="147"/>
      <c r="AU145" s="147"/>
      <c r="AV145" s="147"/>
      <c r="AW145" s="147"/>
      <c r="AX145" s="147"/>
      <c r="AY145" s="147"/>
      <c r="AZ145" s="147"/>
      <c r="BA145" s="147"/>
      <c r="BB145" s="147"/>
      <c r="BC145" s="147"/>
      <c r="BD145" s="147"/>
      <c r="BE145" s="147"/>
      <c r="BF145" s="147"/>
      <c r="BG145" s="147"/>
      <c r="BH145" s="147"/>
      <c r="BI145" s="147"/>
      <c r="BJ145" s="147"/>
      <c r="BK145" s="147"/>
      <c r="BL145" s="147"/>
      <c r="BM145" s="147"/>
      <c r="BN145" s="147"/>
      <c r="BO145" s="147"/>
      <c r="BP145" s="147"/>
      <c r="BQ145" s="147"/>
      <c r="BR145" s="147"/>
      <c r="BS145" s="147"/>
      <c r="BT145" s="147"/>
      <c r="BU145" s="147"/>
      <c r="BV145" s="147"/>
      <c r="BW145" s="147"/>
      <c r="BX145" s="147"/>
      <c r="BY145" s="147"/>
      <c r="BZ145" s="147"/>
      <c r="CA145" s="147"/>
      <c r="CB145" s="147"/>
      <c r="CC145" s="147"/>
      <c r="CD145" s="147"/>
      <c r="CE145" s="147"/>
      <c r="CF145" s="147"/>
      <c r="CG145" s="147"/>
      <c r="CH145" s="147"/>
      <c r="CI145" s="147"/>
      <c r="CJ145" s="147"/>
      <c r="CK145" s="147"/>
    </row>
    <row r="146" spans="1:89">
      <c r="A146" s="159" t="s">
        <v>317</v>
      </c>
      <c r="B146" s="3" t="s">
        <v>318</v>
      </c>
      <c r="C146" s="160" t="s">
        <v>64</v>
      </c>
      <c r="D146" s="160" t="s">
        <v>829</v>
      </c>
      <c r="E146" s="3" t="s">
        <v>21</v>
      </c>
      <c r="F146" s="3" t="s">
        <v>926</v>
      </c>
      <c r="G146" s="3" t="s">
        <v>926</v>
      </c>
      <c r="H146" s="156" t="str">
        <f ca="1">IFERROR(
  _xludf.MINIFS(ATTENDANCE_LOG!$F:$F,
         ATTENDANCE_LOG!$A:$A, C146,
         ATTENDANCE_LOG!$B:$B, E146),
"")</f>
        <v/>
      </c>
      <c r="I146" s="156" t="str">
        <f t="shared" ca="1" si="0"/>
        <v/>
      </c>
      <c r="J146" s="3">
        <f>IFERROR(VLOOKUP(F146, LEVEL_HELPER!$A:$B, 2, 0), "")</f>
        <v>1</v>
      </c>
      <c r="K146" s="3">
        <f>IFERROR(VLOOKUP(G146, LEVEL_HELPER!$A:$B, 2, 0), "")</f>
        <v>1</v>
      </c>
      <c r="L146" s="157" t="s">
        <v>918</v>
      </c>
      <c r="M146" s="157" t="s">
        <v>924</v>
      </c>
      <c r="N146" s="3">
        <f t="array" aca="1" ref="N146" ca="1">IFERROR(
  INDEX($J$2:$J$543,
    MATCH(A146&amp;TEXT(I146,"yyyy-mm-dd"),
          $A$2:$A$543&amp;TEXT($H$2:$H$543,"yyyy-mm-dd"),
          0)),
"")</f>
        <v>1</v>
      </c>
      <c r="O146" s="147" t="str">
        <f t="shared" ca="1" si="1"/>
        <v/>
      </c>
      <c r="P146" s="147">
        <f t="shared" ref="P146:Q146" ca="1" si="155">IF(N146="",0,IF(N146&lt;=2,1,IF(N146&lt;=4,2,IF(N146&lt;=5.5,3,4))))</f>
        <v>1</v>
      </c>
      <c r="Q146" s="147">
        <f t="shared" ca="1" si="155"/>
        <v>0</v>
      </c>
      <c r="R146" s="147" t="str">
        <f t="shared" ca="1" si="3"/>
        <v>Not tested yet</v>
      </c>
      <c r="S146" s="147">
        <f t="shared" si="4"/>
        <v>1</v>
      </c>
      <c r="T146" s="147"/>
      <c r="U146" s="147"/>
      <c r="V146" s="148" t="e">
        <f ca="1"/>
        <v>#NAME?</v>
      </c>
      <c r="W146" s="147" t="e">
        <f t="shared" ca="1" si="5"/>
        <v>#NAME?</v>
      </c>
      <c r="X146" s="147" t="e">
        <f t="shared" ca="1" si="6"/>
        <v>#NAME?</v>
      </c>
      <c r="Y146" s="147" t="e">
        <f t="shared" ca="1" si="7"/>
        <v>#NAME?</v>
      </c>
      <c r="Z146" s="147"/>
      <c r="AA146" s="147"/>
      <c r="AB146" s="147"/>
      <c r="AC146" s="147"/>
      <c r="AD146" s="147"/>
      <c r="AE146" s="147"/>
      <c r="AF146" s="147"/>
      <c r="AG146" s="147"/>
      <c r="AH146" s="147"/>
      <c r="AI146" s="147"/>
      <c r="AJ146" s="147"/>
      <c r="AK146" s="147"/>
      <c r="AL146" s="147"/>
      <c r="AM146" s="151"/>
      <c r="AN146" s="147"/>
      <c r="AO146" s="147" t="e">
        <f t="shared" si="8"/>
        <v>#N/A</v>
      </c>
      <c r="AP146" s="147" t="e">
        <f t="shared" ca="1" si="9"/>
        <v>#NAME?</v>
      </c>
      <c r="AQ146" s="147" t="e">
        <f t="shared" si="10"/>
        <v>#N/A</v>
      </c>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7"/>
      <c r="BU146" s="147"/>
      <c r="BV146" s="147"/>
      <c r="BW146" s="147"/>
      <c r="BX146" s="147"/>
      <c r="BY146" s="147"/>
      <c r="BZ146" s="147"/>
      <c r="CA146" s="147"/>
      <c r="CB146" s="147"/>
      <c r="CC146" s="147"/>
      <c r="CD146" s="147"/>
      <c r="CE146" s="147"/>
      <c r="CF146" s="147"/>
      <c r="CG146" s="147"/>
      <c r="CH146" s="147"/>
      <c r="CI146" s="147"/>
      <c r="CJ146" s="147"/>
      <c r="CK146" s="147"/>
    </row>
    <row r="147" spans="1:89">
      <c r="A147" s="159" t="s">
        <v>342</v>
      </c>
      <c r="B147" s="3" t="s">
        <v>343</v>
      </c>
      <c r="C147" s="160" t="s">
        <v>64</v>
      </c>
      <c r="D147" s="160" t="s">
        <v>829</v>
      </c>
      <c r="E147" s="3" t="s">
        <v>21</v>
      </c>
      <c r="F147" s="3" t="s">
        <v>926</v>
      </c>
      <c r="G147" s="3" t="s">
        <v>926</v>
      </c>
      <c r="H147" s="156" t="str">
        <f ca="1">IFERROR(
  _xludf.MINIFS(ATTENDANCE_LOG!$F:$F,
         ATTENDANCE_LOG!$A:$A, C147,
         ATTENDANCE_LOG!$B:$B, E147),
"")</f>
        <v/>
      </c>
      <c r="I147" s="156" t="str">
        <f t="shared" ca="1" si="0"/>
        <v/>
      </c>
      <c r="J147" s="3">
        <f>IFERROR(VLOOKUP(F147, LEVEL_HELPER!$A:$B, 2, 0), "")</f>
        <v>1</v>
      </c>
      <c r="K147" s="3">
        <f>IFERROR(VLOOKUP(G147, LEVEL_HELPER!$A:$B, 2, 0), "")</f>
        <v>1</v>
      </c>
      <c r="L147" s="157" t="s">
        <v>918</v>
      </c>
      <c r="M147" s="157" t="s">
        <v>923</v>
      </c>
      <c r="N147" s="3">
        <f t="array" aca="1" ref="N147" ca="1">IFERROR(
  INDEX($J$2:$J$543,
    MATCH(A147&amp;TEXT(I147,"yyyy-mm-dd"),
          $A$2:$A$543&amp;TEXT($H$2:$H$543,"yyyy-mm-dd"),
          0)),
"")</f>
        <v>1</v>
      </c>
      <c r="O147" s="147" t="str">
        <f t="shared" ca="1" si="1"/>
        <v/>
      </c>
      <c r="P147" s="147">
        <f t="shared" ref="P147:Q147" ca="1" si="156">IF(N147="",0,IF(N147&lt;=2,1,IF(N147&lt;=4,2,IF(N147&lt;=5.5,3,4))))</f>
        <v>1</v>
      </c>
      <c r="Q147" s="147">
        <f t="shared" ca="1" si="156"/>
        <v>0</v>
      </c>
      <c r="R147" s="147" t="str">
        <f t="shared" ca="1" si="3"/>
        <v>Not tested yet</v>
      </c>
      <c r="S147" s="147">
        <f t="shared" si="4"/>
        <v>1</v>
      </c>
      <c r="T147" s="147"/>
      <c r="U147" s="147"/>
      <c r="V147" s="148" t="e">
        <f ca="1"/>
        <v>#NAME?</v>
      </c>
      <c r="W147" s="147" t="e">
        <f t="shared" ca="1" si="5"/>
        <v>#NAME?</v>
      </c>
      <c r="X147" s="147" t="e">
        <f t="shared" ca="1" si="6"/>
        <v>#NAME?</v>
      </c>
      <c r="Y147" s="147" t="e">
        <f t="shared" ca="1" si="7"/>
        <v>#NAME?</v>
      </c>
      <c r="Z147" s="147"/>
      <c r="AA147" s="147"/>
      <c r="AB147" s="147"/>
      <c r="AC147" s="147"/>
      <c r="AD147" s="147"/>
      <c r="AE147" s="147"/>
      <c r="AF147" s="147"/>
      <c r="AG147" s="147"/>
      <c r="AH147" s="147"/>
      <c r="AI147" s="147"/>
      <c r="AJ147" s="147"/>
      <c r="AK147" s="147"/>
      <c r="AL147" s="147"/>
      <c r="AM147" s="151"/>
      <c r="AN147" s="147"/>
      <c r="AO147" s="147" t="e">
        <f t="shared" si="8"/>
        <v>#N/A</v>
      </c>
      <c r="AP147" s="147" t="e">
        <f t="shared" ca="1" si="9"/>
        <v>#NAME?</v>
      </c>
      <c r="AQ147" s="147" t="e">
        <f t="shared" si="10"/>
        <v>#N/A</v>
      </c>
      <c r="AR147" s="147"/>
      <c r="AS147" s="147"/>
      <c r="AT147" s="147"/>
      <c r="AU147" s="147"/>
      <c r="AV147" s="147"/>
      <c r="AW147" s="147"/>
      <c r="AX147" s="147"/>
      <c r="AY147" s="147"/>
      <c r="AZ147" s="147"/>
      <c r="BA147" s="147"/>
      <c r="BB147" s="147"/>
      <c r="BC147" s="147"/>
      <c r="BD147" s="147"/>
      <c r="BE147" s="147"/>
      <c r="BF147" s="147"/>
      <c r="BG147" s="147"/>
      <c r="BH147" s="147"/>
      <c r="BI147" s="147"/>
      <c r="BJ147" s="147"/>
      <c r="BK147" s="147"/>
      <c r="BL147" s="147"/>
      <c r="BM147" s="147"/>
      <c r="BN147" s="147"/>
      <c r="BO147" s="147"/>
      <c r="BP147" s="147"/>
      <c r="BQ147" s="147"/>
      <c r="BR147" s="147"/>
      <c r="BS147" s="147"/>
      <c r="BT147" s="147"/>
      <c r="BU147" s="147"/>
      <c r="BV147" s="147"/>
      <c r="BW147" s="147"/>
      <c r="BX147" s="147"/>
      <c r="BY147" s="147"/>
      <c r="BZ147" s="147"/>
      <c r="CA147" s="147"/>
      <c r="CB147" s="147"/>
      <c r="CC147" s="147"/>
      <c r="CD147" s="147"/>
      <c r="CE147" s="147"/>
      <c r="CF147" s="147"/>
      <c r="CG147" s="147"/>
      <c r="CH147" s="147"/>
      <c r="CI147" s="147"/>
      <c r="CJ147" s="147"/>
      <c r="CK147" s="147"/>
    </row>
    <row r="148" spans="1:89">
      <c r="A148" s="159" t="s">
        <v>370</v>
      </c>
      <c r="B148" s="3" t="s">
        <v>371</v>
      </c>
      <c r="C148" s="160" t="s">
        <v>64</v>
      </c>
      <c r="D148" s="160" t="s">
        <v>829</v>
      </c>
      <c r="E148" s="3" t="s">
        <v>21</v>
      </c>
      <c r="F148" s="3" t="s">
        <v>926</v>
      </c>
      <c r="G148" s="3" t="s">
        <v>926</v>
      </c>
      <c r="H148" s="156" t="str">
        <f ca="1">IFERROR(
  _xludf.MINIFS(ATTENDANCE_LOG!$F:$F,
         ATTENDANCE_LOG!$A:$A, C148,
         ATTENDANCE_LOG!$B:$B, E148),
"")</f>
        <v/>
      </c>
      <c r="I148" s="156" t="str">
        <f t="shared" ca="1" si="0"/>
        <v/>
      </c>
      <c r="J148" s="3">
        <f>IFERROR(VLOOKUP(F148, LEVEL_HELPER!$A:$B, 2, 0), "")</f>
        <v>1</v>
      </c>
      <c r="K148" s="3">
        <f>IFERROR(VLOOKUP(G148, LEVEL_HELPER!$A:$B, 2, 0), "")</f>
        <v>1</v>
      </c>
      <c r="L148" s="157" t="s">
        <v>918</v>
      </c>
      <c r="M148" s="157" t="s">
        <v>924</v>
      </c>
      <c r="N148" s="3">
        <f t="array" aca="1" ref="N148" ca="1">IFERROR(
  INDEX($J$2:$J$543,
    MATCH(A148&amp;TEXT(I148,"yyyy-mm-dd"),
          $A$2:$A$543&amp;TEXT($H$2:$H$543,"yyyy-mm-dd"),
          0)),
"")</f>
        <v>1</v>
      </c>
      <c r="O148" s="147" t="str">
        <f t="shared" ca="1" si="1"/>
        <v/>
      </c>
      <c r="P148" s="147">
        <f t="shared" ref="P148:Q148" ca="1" si="157">IF(N148="",0,IF(N148&lt;=2,1,IF(N148&lt;=4,2,IF(N148&lt;=5.5,3,4))))</f>
        <v>1</v>
      </c>
      <c r="Q148" s="147">
        <f t="shared" ca="1" si="157"/>
        <v>0</v>
      </c>
      <c r="R148" s="147" t="str">
        <f t="shared" ca="1" si="3"/>
        <v>Not tested yet</v>
      </c>
      <c r="S148" s="147">
        <f t="shared" si="4"/>
        <v>1</v>
      </c>
      <c r="T148" s="147"/>
      <c r="U148" s="147"/>
      <c r="V148" s="148" t="e">
        <f ca="1"/>
        <v>#NAME?</v>
      </c>
      <c r="W148" s="147" t="e">
        <f t="shared" ca="1" si="5"/>
        <v>#NAME?</v>
      </c>
      <c r="X148" s="147" t="e">
        <f t="shared" ca="1" si="6"/>
        <v>#NAME?</v>
      </c>
      <c r="Y148" s="147" t="e">
        <f t="shared" ca="1" si="7"/>
        <v>#NAME?</v>
      </c>
      <c r="Z148" s="147"/>
      <c r="AA148" s="147"/>
      <c r="AB148" s="147"/>
      <c r="AC148" s="147"/>
      <c r="AD148" s="147"/>
      <c r="AE148" s="147"/>
      <c r="AF148" s="147"/>
      <c r="AG148" s="147"/>
      <c r="AH148" s="147"/>
      <c r="AI148" s="147"/>
      <c r="AJ148" s="147"/>
      <c r="AK148" s="147"/>
      <c r="AL148" s="147"/>
      <c r="AM148" s="151"/>
      <c r="AN148" s="147"/>
      <c r="AO148" s="147" t="e">
        <f t="shared" si="8"/>
        <v>#N/A</v>
      </c>
      <c r="AP148" s="147" t="e">
        <f t="shared" ca="1" si="9"/>
        <v>#NAME?</v>
      </c>
      <c r="AQ148" s="147" t="e">
        <f t="shared" si="10"/>
        <v>#N/A</v>
      </c>
      <c r="AR148" s="147"/>
      <c r="AS148" s="147"/>
      <c r="AT148" s="147"/>
      <c r="AU148" s="147"/>
      <c r="AV148" s="147"/>
      <c r="AW148" s="147"/>
      <c r="AX148" s="147"/>
      <c r="AY148" s="147"/>
      <c r="AZ148" s="147"/>
      <c r="BA148" s="147"/>
      <c r="BB148" s="147"/>
      <c r="BC148" s="147"/>
      <c r="BD148" s="147"/>
      <c r="BE148" s="147"/>
      <c r="BF148" s="147"/>
      <c r="BG148" s="147"/>
      <c r="BH148" s="147"/>
      <c r="BI148" s="147"/>
      <c r="BJ148" s="147"/>
      <c r="BK148" s="147"/>
      <c r="BL148" s="147"/>
      <c r="BM148" s="147"/>
      <c r="BN148" s="147"/>
      <c r="BO148" s="147"/>
      <c r="BP148" s="147"/>
      <c r="BQ148" s="147"/>
      <c r="BR148" s="147"/>
      <c r="BS148" s="147"/>
      <c r="BT148" s="147"/>
      <c r="BU148" s="147"/>
      <c r="BV148" s="147"/>
      <c r="BW148" s="147"/>
      <c r="BX148" s="147"/>
      <c r="BY148" s="147"/>
      <c r="BZ148" s="147"/>
      <c r="CA148" s="147"/>
      <c r="CB148" s="147"/>
      <c r="CC148" s="147"/>
      <c r="CD148" s="147"/>
      <c r="CE148" s="147"/>
      <c r="CF148" s="147"/>
      <c r="CG148" s="147"/>
      <c r="CH148" s="147"/>
      <c r="CI148" s="147"/>
      <c r="CJ148" s="147"/>
      <c r="CK148" s="147"/>
    </row>
    <row r="149" spans="1:89">
      <c r="A149" s="159" t="s">
        <v>717</v>
      </c>
      <c r="B149" s="3" t="s">
        <v>718</v>
      </c>
      <c r="C149" s="160" t="s">
        <v>64</v>
      </c>
      <c r="D149" s="160" t="s">
        <v>829</v>
      </c>
      <c r="E149" s="3" t="s">
        <v>21</v>
      </c>
      <c r="F149" s="3" t="s">
        <v>931</v>
      </c>
      <c r="G149" s="3" t="s">
        <v>916</v>
      </c>
      <c r="H149" s="156" t="str">
        <f ca="1">IFERROR(
  _xludf.MINIFS(ATTENDANCE_LOG!$F:$F,
         ATTENDANCE_LOG!$A:$A, C149,
         ATTENDANCE_LOG!$B:$B, E149),
"")</f>
        <v/>
      </c>
      <c r="I149" s="156" t="str">
        <f t="shared" ca="1" si="0"/>
        <v/>
      </c>
      <c r="J149" s="3">
        <f>IFERROR(VLOOKUP(F149, LEVEL_HELPER!$A:$B, 2, 0), "")</f>
        <v>4.5</v>
      </c>
      <c r="K149" s="3">
        <f>IFERROR(VLOOKUP(G149, LEVEL_HELPER!$A:$B, 2, 0), "")</f>
        <v>2.5</v>
      </c>
      <c r="L149" s="157" t="s">
        <v>918</v>
      </c>
      <c r="M149" s="157" t="s">
        <v>924</v>
      </c>
      <c r="N149" s="3">
        <f t="array" aca="1" ref="N149" ca="1">IFERROR(
  INDEX($J$2:$J$543,
    MATCH(A149&amp;TEXT(I149,"yyyy-mm-dd"),
          $A$2:$A$543&amp;TEXT($H$2:$H$543,"yyyy-mm-dd"),
          0)),
"")</f>
        <v>4.5</v>
      </c>
      <c r="O149" s="147" t="str">
        <f t="shared" ca="1" si="1"/>
        <v/>
      </c>
      <c r="P149" s="147">
        <f t="shared" ref="P149:Q149" ca="1" si="158">IF(N149="",0,IF(N149&lt;=2,1,IF(N149&lt;=4,2,IF(N149&lt;=5.5,3,4))))</f>
        <v>3</v>
      </c>
      <c r="Q149" s="147">
        <f t="shared" ca="1" si="158"/>
        <v>0</v>
      </c>
      <c r="R149" s="147" t="str">
        <f t="shared" ca="1" si="3"/>
        <v>Not tested yet</v>
      </c>
      <c r="S149" s="147">
        <f t="shared" si="4"/>
        <v>1</v>
      </c>
      <c r="T149" s="147"/>
      <c r="U149" s="147"/>
      <c r="V149" s="148" t="e">
        <f ca="1"/>
        <v>#NAME?</v>
      </c>
      <c r="W149" s="147" t="e">
        <f t="shared" ca="1" si="5"/>
        <v>#NAME?</v>
      </c>
      <c r="X149" s="147" t="e">
        <f t="shared" ca="1" si="6"/>
        <v>#NAME?</v>
      </c>
      <c r="Y149" s="147" t="e">
        <f t="shared" ca="1" si="7"/>
        <v>#NAME?</v>
      </c>
      <c r="Z149" s="147"/>
      <c r="AA149" s="147"/>
      <c r="AB149" s="147"/>
      <c r="AC149" s="147"/>
      <c r="AD149" s="147"/>
      <c r="AE149" s="147"/>
      <c r="AF149" s="147"/>
      <c r="AG149" s="147"/>
      <c r="AH149" s="147"/>
      <c r="AI149" s="147"/>
      <c r="AJ149" s="147"/>
      <c r="AK149" s="147"/>
      <c r="AL149" s="147"/>
      <c r="AM149" s="151"/>
      <c r="AN149" s="147"/>
      <c r="AO149" s="147" t="e">
        <f t="shared" si="8"/>
        <v>#N/A</v>
      </c>
      <c r="AP149" s="147" t="e">
        <f t="shared" ca="1" si="9"/>
        <v>#NAME?</v>
      </c>
      <c r="AQ149" s="147" t="e">
        <f t="shared" si="10"/>
        <v>#N/A</v>
      </c>
      <c r="AR149" s="147"/>
      <c r="AS149" s="147"/>
      <c r="AT149" s="147"/>
      <c r="AU149" s="147"/>
      <c r="AV149" s="147"/>
      <c r="AW149" s="147"/>
      <c r="AX149" s="147"/>
      <c r="AY149" s="147"/>
      <c r="AZ149" s="147"/>
      <c r="BA149" s="147"/>
      <c r="BB149" s="147"/>
      <c r="BC149" s="147"/>
      <c r="BD149" s="147"/>
      <c r="BE149" s="147"/>
      <c r="BF149" s="147"/>
      <c r="BG149" s="147"/>
      <c r="BH149" s="147"/>
      <c r="BI149" s="147"/>
      <c r="BJ149" s="147"/>
      <c r="BK149" s="147"/>
      <c r="BL149" s="147"/>
      <c r="BM149" s="147"/>
      <c r="BN149" s="147"/>
      <c r="BO149" s="147"/>
      <c r="BP149" s="147"/>
      <c r="BQ149" s="147"/>
      <c r="BR149" s="147"/>
      <c r="BS149" s="147"/>
      <c r="BT149" s="147"/>
      <c r="BU149" s="147"/>
      <c r="BV149" s="147"/>
      <c r="BW149" s="147"/>
      <c r="BX149" s="147"/>
      <c r="BY149" s="147"/>
      <c r="BZ149" s="147"/>
      <c r="CA149" s="147"/>
      <c r="CB149" s="147"/>
      <c r="CC149" s="147"/>
      <c r="CD149" s="147"/>
      <c r="CE149" s="147"/>
      <c r="CF149" s="147"/>
      <c r="CG149" s="147"/>
      <c r="CH149" s="147"/>
      <c r="CI149" s="147"/>
      <c r="CJ149" s="147"/>
      <c r="CK149" s="147"/>
    </row>
    <row r="150" spans="1:89">
      <c r="A150" s="153" t="s">
        <v>149</v>
      </c>
      <c r="B150" s="154" t="s">
        <v>150</v>
      </c>
      <c r="C150" s="155" t="s">
        <v>65</v>
      </c>
      <c r="D150" s="155" t="s">
        <v>858</v>
      </c>
      <c r="E150" s="154" t="s">
        <v>21</v>
      </c>
      <c r="F150" s="3" t="s">
        <v>926</v>
      </c>
      <c r="G150" s="3" t="s">
        <v>916</v>
      </c>
      <c r="H150" s="156" t="str">
        <f ca="1">IFERROR(
  _xludf.MINIFS(ATTENDANCE_LOG!$F:$F,
         ATTENDANCE_LOG!$A:$A, C150,
         ATTENDANCE_LOG!$B:$B, E150),
"")</f>
        <v/>
      </c>
      <c r="I150" s="156" t="str">
        <f t="shared" ca="1" si="0"/>
        <v/>
      </c>
      <c r="J150" s="3">
        <f>IFERROR(VLOOKUP(F150, LEVEL_HELPER!$A:$B, 2, 0), "")</f>
        <v>1</v>
      </c>
      <c r="K150" s="3">
        <f>IFERROR(VLOOKUP(G150, LEVEL_HELPER!$A:$B, 2, 0), "")</f>
        <v>2.5</v>
      </c>
      <c r="L150" s="157" t="s">
        <v>918</v>
      </c>
      <c r="M150" s="157" t="s">
        <v>924</v>
      </c>
      <c r="N150" s="3">
        <f t="array" aca="1" ref="N150" ca="1">IFERROR(
  INDEX($J$2:$J$543,
    MATCH(A150&amp;TEXT(I150,"yyyy-mm-dd"),
          $A$2:$A$543&amp;TEXT($H$2:$H$543,"yyyy-mm-dd"),
          0)),
"")</f>
        <v>1</v>
      </c>
      <c r="O150" s="147" t="str">
        <f t="shared" ca="1" si="1"/>
        <v/>
      </c>
      <c r="P150" s="147">
        <f t="shared" ref="P150:Q150" ca="1" si="159">IF(N150="",0,IF(N150&lt;=2,1,IF(N150&lt;=4,2,IF(N150&lt;=5.5,3,4))))</f>
        <v>1</v>
      </c>
      <c r="Q150" s="147">
        <f t="shared" ca="1" si="159"/>
        <v>0</v>
      </c>
      <c r="R150" s="147" t="str">
        <f t="shared" ca="1" si="3"/>
        <v>Not tested yet</v>
      </c>
      <c r="S150" s="147">
        <f t="shared" si="4"/>
        <v>1</v>
      </c>
      <c r="T150" s="147"/>
      <c r="U150" s="147"/>
      <c r="V150" s="148" t="e">
        <f ca="1"/>
        <v>#NAME?</v>
      </c>
      <c r="W150" s="147" t="e">
        <f t="shared" ca="1" si="5"/>
        <v>#NAME?</v>
      </c>
      <c r="X150" s="147" t="e">
        <f t="shared" ca="1" si="6"/>
        <v>#NAME?</v>
      </c>
      <c r="Y150" s="147" t="e">
        <f t="shared" ca="1" si="7"/>
        <v>#NAME?</v>
      </c>
      <c r="Z150" s="147"/>
      <c r="AA150" s="147"/>
      <c r="AB150" s="147"/>
      <c r="AC150" s="147"/>
      <c r="AD150" s="147"/>
      <c r="AE150" s="147"/>
      <c r="AF150" s="147"/>
      <c r="AG150" s="147"/>
      <c r="AH150" s="147"/>
      <c r="AI150" s="147"/>
      <c r="AJ150" s="147"/>
      <c r="AK150" s="147"/>
      <c r="AL150" s="147"/>
      <c r="AM150" s="151"/>
      <c r="AN150" s="147"/>
      <c r="AO150" s="147" t="e">
        <f t="shared" si="8"/>
        <v>#N/A</v>
      </c>
      <c r="AP150" s="147" t="e">
        <f t="shared" ca="1" si="9"/>
        <v>#NAME?</v>
      </c>
      <c r="AQ150" s="147" t="e">
        <f t="shared" si="10"/>
        <v>#N/A</v>
      </c>
      <c r="AR150" s="147"/>
      <c r="AS150" s="147"/>
      <c r="AT150" s="147"/>
      <c r="AU150" s="147"/>
      <c r="AV150" s="147"/>
      <c r="AW150" s="147"/>
      <c r="AX150" s="147"/>
      <c r="AY150" s="147"/>
      <c r="AZ150" s="147"/>
      <c r="BA150" s="147"/>
      <c r="BB150" s="147"/>
      <c r="BC150" s="147"/>
      <c r="BD150" s="147"/>
      <c r="BE150" s="147"/>
      <c r="BF150" s="147"/>
      <c r="BG150" s="147"/>
      <c r="BH150" s="147"/>
      <c r="BI150" s="147"/>
      <c r="BJ150" s="147"/>
      <c r="BK150" s="147"/>
      <c r="BL150" s="147"/>
      <c r="BM150" s="147"/>
      <c r="BN150" s="147"/>
      <c r="BO150" s="147"/>
      <c r="BP150" s="147"/>
      <c r="BQ150" s="147"/>
      <c r="BR150" s="147"/>
      <c r="BS150" s="147"/>
      <c r="BT150" s="147"/>
      <c r="BU150" s="147"/>
      <c r="BV150" s="147"/>
      <c r="BW150" s="147"/>
      <c r="BX150" s="147"/>
      <c r="BY150" s="147"/>
      <c r="BZ150" s="147"/>
      <c r="CA150" s="147"/>
      <c r="CB150" s="147"/>
      <c r="CC150" s="147"/>
      <c r="CD150" s="147"/>
      <c r="CE150" s="147"/>
      <c r="CF150" s="147"/>
      <c r="CG150" s="147"/>
      <c r="CH150" s="147"/>
      <c r="CI150" s="147"/>
      <c r="CJ150" s="147"/>
      <c r="CK150" s="147"/>
    </row>
    <row r="151" spans="1:89">
      <c r="A151" s="159" t="s">
        <v>212</v>
      </c>
      <c r="B151" s="3" t="s">
        <v>213</v>
      </c>
      <c r="C151" s="160" t="s">
        <v>65</v>
      </c>
      <c r="D151" s="160" t="s">
        <v>858</v>
      </c>
      <c r="E151" s="3" t="s">
        <v>21</v>
      </c>
      <c r="F151" s="3" t="s">
        <v>926</v>
      </c>
      <c r="G151" s="3" t="s">
        <v>916</v>
      </c>
      <c r="H151" s="156" t="str">
        <f ca="1">IFERROR(
  _xludf.MINIFS(ATTENDANCE_LOG!$F:$F,
         ATTENDANCE_LOG!$A:$A, C151,
         ATTENDANCE_LOG!$B:$B, E151),
"")</f>
        <v/>
      </c>
      <c r="I151" s="156" t="str">
        <f t="shared" ca="1" si="0"/>
        <v/>
      </c>
      <c r="J151" s="3">
        <f>IFERROR(VLOOKUP(F151, LEVEL_HELPER!$A:$B, 2, 0), "")</f>
        <v>1</v>
      </c>
      <c r="K151" s="3">
        <f>IFERROR(VLOOKUP(G151, LEVEL_HELPER!$A:$B, 2, 0), "")</f>
        <v>2.5</v>
      </c>
      <c r="L151" s="157" t="s">
        <v>918</v>
      </c>
      <c r="M151" s="157" t="s">
        <v>924</v>
      </c>
      <c r="N151" s="3">
        <f t="array" aca="1" ref="N151" ca="1">IFERROR(
  INDEX($J$2:$J$543,
    MATCH(A151&amp;TEXT(I151,"yyyy-mm-dd"),
          $A$2:$A$543&amp;TEXT($H$2:$H$543,"yyyy-mm-dd"),
          0)),
"")</f>
        <v>1</v>
      </c>
      <c r="O151" s="147" t="str">
        <f t="shared" ca="1" si="1"/>
        <v/>
      </c>
      <c r="P151" s="147">
        <f t="shared" ref="P151:Q151" ca="1" si="160">IF(N151="",0,IF(N151&lt;=2,1,IF(N151&lt;=4,2,IF(N151&lt;=5.5,3,4))))</f>
        <v>1</v>
      </c>
      <c r="Q151" s="147">
        <f t="shared" ca="1" si="160"/>
        <v>0</v>
      </c>
      <c r="R151" s="147" t="str">
        <f t="shared" ca="1" si="3"/>
        <v>Not tested yet</v>
      </c>
      <c r="S151" s="147">
        <f t="shared" si="4"/>
        <v>1</v>
      </c>
      <c r="T151" s="147"/>
      <c r="U151" s="147"/>
      <c r="V151" s="148" t="e">
        <f ca="1"/>
        <v>#NAME?</v>
      </c>
      <c r="W151" s="147" t="e">
        <f t="shared" ca="1" si="5"/>
        <v>#NAME?</v>
      </c>
      <c r="X151" s="147" t="e">
        <f t="shared" ca="1" si="6"/>
        <v>#NAME?</v>
      </c>
      <c r="Y151" s="147" t="e">
        <f t="shared" ca="1" si="7"/>
        <v>#NAME?</v>
      </c>
      <c r="Z151" s="147"/>
      <c r="AA151" s="147"/>
      <c r="AB151" s="147"/>
      <c r="AC151" s="147"/>
      <c r="AD151" s="147"/>
      <c r="AE151" s="147"/>
      <c r="AF151" s="147"/>
      <c r="AG151" s="147"/>
      <c r="AH151" s="147"/>
      <c r="AI151" s="147"/>
      <c r="AJ151" s="147"/>
      <c r="AK151" s="147"/>
      <c r="AL151" s="147"/>
      <c r="AM151" s="151"/>
      <c r="AN151" s="147"/>
      <c r="AO151" s="147" t="e">
        <f t="shared" si="8"/>
        <v>#N/A</v>
      </c>
      <c r="AP151" s="147" t="e">
        <f t="shared" ca="1" si="9"/>
        <v>#NAME?</v>
      </c>
      <c r="AQ151" s="147" t="e">
        <f t="shared" si="10"/>
        <v>#N/A</v>
      </c>
      <c r="AR151" s="147"/>
      <c r="AS151" s="147"/>
      <c r="AT151" s="147"/>
      <c r="AU151" s="147"/>
      <c r="AV151" s="147"/>
      <c r="AW151" s="147"/>
      <c r="AX151" s="147"/>
      <c r="AY151" s="147"/>
      <c r="AZ151" s="147"/>
      <c r="BA151" s="147"/>
      <c r="BB151" s="147"/>
      <c r="BC151" s="147"/>
      <c r="BD151" s="147"/>
      <c r="BE151" s="147"/>
      <c r="BF151" s="147"/>
      <c r="BG151" s="147"/>
      <c r="BH151" s="147"/>
      <c r="BI151" s="147"/>
      <c r="BJ151" s="147"/>
      <c r="BK151" s="147"/>
      <c r="BL151" s="147"/>
      <c r="BM151" s="147"/>
      <c r="BN151" s="147"/>
      <c r="BO151" s="147"/>
      <c r="BP151" s="147"/>
      <c r="BQ151" s="147"/>
      <c r="BR151" s="147"/>
      <c r="BS151" s="147"/>
      <c r="BT151" s="147"/>
      <c r="BU151" s="147"/>
      <c r="BV151" s="147"/>
      <c r="BW151" s="147"/>
      <c r="BX151" s="147"/>
      <c r="BY151" s="147"/>
      <c r="BZ151" s="147"/>
      <c r="CA151" s="147"/>
      <c r="CB151" s="147"/>
      <c r="CC151" s="147"/>
      <c r="CD151" s="147"/>
      <c r="CE151" s="147"/>
      <c r="CF151" s="147"/>
      <c r="CG151" s="147"/>
      <c r="CH151" s="147"/>
      <c r="CI151" s="147"/>
      <c r="CJ151" s="147"/>
      <c r="CK151" s="147"/>
    </row>
    <row r="152" spans="1:89">
      <c r="A152" s="159" t="s">
        <v>267</v>
      </c>
      <c r="B152" s="3" t="s">
        <v>268</v>
      </c>
      <c r="C152" s="160" t="s">
        <v>65</v>
      </c>
      <c r="D152" s="160" t="s">
        <v>858</v>
      </c>
      <c r="E152" s="3" t="s">
        <v>21</v>
      </c>
      <c r="F152" s="3" t="s">
        <v>926</v>
      </c>
      <c r="G152" s="3" t="s">
        <v>916</v>
      </c>
      <c r="H152" s="156" t="str">
        <f ca="1">IFERROR(
  _xludf.MINIFS(ATTENDANCE_LOG!$F:$F,
         ATTENDANCE_LOG!$A:$A, C152,
         ATTENDANCE_LOG!$B:$B, E152),
"")</f>
        <v/>
      </c>
      <c r="I152" s="156" t="str">
        <f t="shared" ca="1" si="0"/>
        <v/>
      </c>
      <c r="J152" s="3">
        <f>IFERROR(VLOOKUP(F152, LEVEL_HELPER!$A:$B, 2, 0), "")</f>
        <v>1</v>
      </c>
      <c r="K152" s="3">
        <f>IFERROR(VLOOKUP(G152, LEVEL_HELPER!$A:$B, 2, 0), "")</f>
        <v>2.5</v>
      </c>
      <c r="L152" s="157" t="s">
        <v>918</v>
      </c>
      <c r="M152" s="157" t="s">
        <v>924</v>
      </c>
      <c r="N152" s="3">
        <f t="array" aca="1" ref="N152" ca="1">IFERROR(
  INDEX($J$2:$J$543,
    MATCH(A152&amp;TEXT(I152,"yyyy-mm-dd"),
          $A$2:$A$543&amp;TEXT($H$2:$H$543,"yyyy-mm-dd"),
          0)),
"")</f>
        <v>1</v>
      </c>
      <c r="O152" s="147" t="str">
        <f t="shared" ca="1" si="1"/>
        <v/>
      </c>
      <c r="P152" s="147">
        <f t="shared" ref="P152:Q152" ca="1" si="161">IF(N152="",0,IF(N152&lt;=2,1,IF(N152&lt;=4,2,IF(N152&lt;=5.5,3,4))))</f>
        <v>1</v>
      </c>
      <c r="Q152" s="147">
        <f t="shared" ca="1" si="161"/>
        <v>0</v>
      </c>
      <c r="R152" s="147" t="str">
        <f t="shared" ca="1" si="3"/>
        <v>Not tested yet</v>
      </c>
      <c r="S152" s="147">
        <f t="shared" si="4"/>
        <v>1</v>
      </c>
      <c r="T152" s="147"/>
      <c r="U152" s="147"/>
      <c r="V152" s="148" t="e">
        <f ca="1"/>
        <v>#NAME?</v>
      </c>
      <c r="W152" s="147" t="e">
        <f t="shared" ca="1" si="5"/>
        <v>#NAME?</v>
      </c>
      <c r="X152" s="147" t="e">
        <f t="shared" ca="1" si="6"/>
        <v>#NAME?</v>
      </c>
      <c r="Y152" s="147" t="e">
        <f t="shared" ca="1" si="7"/>
        <v>#NAME?</v>
      </c>
      <c r="Z152" s="147"/>
      <c r="AA152" s="147"/>
      <c r="AB152" s="147"/>
      <c r="AC152" s="147"/>
      <c r="AD152" s="147"/>
      <c r="AE152" s="147"/>
      <c r="AF152" s="147"/>
      <c r="AG152" s="147"/>
      <c r="AH152" s="147"/>
      <c r="AI152" s="147"/>
      <c r="AJ152" s="147"/>
      <c r="AK152" s="147"/>
      <c r="AL152" s="147"/>
      <c r="AM152" s="151"/>
      <c r="AN152" s="147"/>
      <c r="AO152" s="147" t="e">
        <f t="shared" si="8"/>
        <v>#N/A</v>
      </c>
      <c r="AP152" s="147" t="e">
        <f t="shared" ca="1" si="9"/>
        <v>#NAME?</v>
      </c>
      <c r="AQ152" s="147" t="e">
        <f t="shared" si="10"/>
        <v>#N/A</v>
      </c>
      <c r="AR152" s="147"/>
      <c r="AS152" s="147"/>
      <c r="AT152" s="147"/>
      <c r="AU152" s="147"/>
      <c r="AV152" s="147"/>
      <c r="AW152" s="147"/>
      <c r="AX152" s="147"/>
      <c r="AY152" s="147"/>
      <c r="AZ152" s="147"/>
      <c r="BA152" s="147"/>
      <c r="BB152" s="147"/>
      <c r="BC152" s="147"/>
      <c r="BD152" s="147"/>
      <c r="BE152" s="147"/>
      <c r="BF152" s="147"/>
      <c r="BG152" s="147"/>
      <c r="BH152" s="147"/>
      <c r="BI152" s="147"/>
      <c r="BJ152" s="147"/>
      <c r="BK152" s="147"/>
      <c r="BL152" s="147"/>
      <c r="BM152" s="147"/>
      <c r="BN152" s="147"/>
      <c r="BO152" s="147"/>
      <c r="BP152" s="147"/>
      <c r="BQ152" s="147"/>
      <c r="BR152" s="147"/>
      <c r="BS152" s="147"/>
      <c r="BT152" s="147"/>
      <c r="BU152" s="147"/>
      <c r="BV152" s="147"/>
      <c r="BW152" s="147"/>
      <c r="BX152" s="147"/>
      <c r="BY152" s="147"/>
      <c r="BZ152" s="147"/>
      <c r="CA152" s="147"/>
      <c r="CB152" s="147"/>
      <c r="CC152" s="147"/>
      <c r="CD152" s="147"/>
      <c r="CE152" s="147"/>
      <c r="CF152" s="147"/>
      <c r="CG152" s="147"/>
      <c r="CH152" s="147"/>
      <c r="CI152" s="147"/>
      <c r="CJ152" s="147"/>
      <c r="CK152" s="147"/>
    </row>
    <row r="153" spans="1:89">
      <c r="A153" s="159" t="s">
        <v>413</v>
      </c>
      <c r="B153" s="3" t="s">
        <v>414</v>
      </c>
      <c r="C153" s="160" t="s">
        <v>65</v>
      </c>
      <c r="D153" s="160" t="s">
        <v>858</v>
      </c>
      <c r="E153" s="3" t="s">
        <v>21</v>
      </c>
      <c r="F153" s="3" t="s">
        <v>926</v>
      </c>
      <c r="G153" s="3" t="s">
        <v>916</v>
      </c>
      <c r="H153" s="156" t="str">
        <f ca="1">IFERROR(
  _xludf.MINIFS(ATTENDANCE_LOG!$F:$F,
         ATTENDANCE_LOG!$A:$A, C153,
         ATTENDANCE_LOG!$B:$B, E153),
"")</f>
        <v/>
      </c>
      <c r="I153" s="156" t="str">
        <f t="shared" ca="1" si="0"/>
        <v/>
      </c>
      <c r="J153" s="3">
        <f>IFERROR(VLOOKUP(F153, LEVEL_HELPER!$A:$B, 2, 0), "")</f>
        <v>1</v>
      </c>
      <c r="K153" s="3">
        <f>IFERROR(VLOOKUP(G153, LEVEL_HELPER!$A:$B, 2, 0), "")</f>
        <v>2.5</v>
      </c>
      <c r="L153" s="157" t="s">
        <v>918</v>
      </c>
      <c r="M153" s="157" t="s">
        <v>924</v>
      </c>
      <c r="N153" s="3">
        <f t="array" aca="1" ref="N153" ca="1">IFERROR(
  INDEX($J$2:$J$543,
    MATCH(A153&amp;TEXT(I153,"yyyy-mm-dd"),
          $A$2:$A$543&amp;TEXT($H$2:$H$543,"yyyy-mm-dd"),
          0)),
"")</f>
        <v>1</v>
      </c>
      <c r="O153" s="147" t="str">
        <f t="shared" ca="1" si="1"/>
        <v/>
      </c>
      <c r="P153" s="147">
        <f t="shared" ref="P153:Q153" ca="1" si="162">IF(N153="",0,IF(N153&lt;=2,1,IF(N153&lt;=4,2,IF(N153&lt;=5.5,3,4))))</f>
        <v>1</v>
      </c>
      <c r="Q153" s="147">
        <f t="shared" ca="1" si="162"/>
        <v>0</v>
      </c>
      <c r="R153" s="147" t="str">
        <f t="shared" ca="1" si="3"/>
        <v>Not tested yet</v>
      </c>
      <c r="S153" s="147">
        <f t="shared" si="4"/>
        <v>1</v>
      </c>
      <c r="T153" s="147"/>
      <c r="U153" s="147"/>
      <c r="V153" s="148" t="e">
        <f ca="1"/>
        <v>#NAME?</v>
      </c>
      <c r="W153" s="147" t="e">
        <f t="shared" ca="1" si="5"/>
        <v>#NAME?</v>
      </c>
      <c r="X153" s="147" t="e">
        <f t="shared" ca="1" si="6"/>
        <v>#NAME?</v>
      </c>
      <c r="Y153" s="147" t="e">
        <f t="shared" ca="1" si="7"/>
        <v>#NAME?</v>
      </c>
      <c r="Z153" s="147"/>
      <c r="AA153" s="147"/>
      <c r="AB153" s="147"/>
      <c r="AC153" s="147"/>
      <c r="AD153" s="147"/>
      <c r="AE153" s="147"/>
      <c r="AF153" s="147"/>
      <c r="AG153" s="147"/>
      <c r="AH153" s="147"/>
      <c r="AI153" s="147"/>
      <c r="AJ153" s="147"/>
      <c r="AK153" s="147"/>
      <c r="AL153" s="147"/>
      <c r="AM153" s="151"/>
      <c r="AN153" s="147"/>
      <c r="AO153" s="147" t="e">
        <f t="shared" si="8"/>
        <v>#N/A</v>
      </c>
      <c r="AP153" s="147" t="e">
        <f t="shared" ca="1" si="9"/>
        <v>#NAME?</v>
      </c>
      <c r="AQ153" s="147" t="e">
        <f t="shared" si="10"/>
        <v>#N/A</v>
      </c>
      <c r="AR153" s="147"/>
      <c r="AS153" s="147"/>
      <c r="AT153" s="147"/>
      <c r="AU153" s="147"/>
      <c r="AV153" s="147"/>
      <c r="AW153" s="147"/>
      <c r="AX153" s="147"/>
      <c r="AY153" s="147"/>
      <c r="AZ153" s="147"/>
      <c r="BA153" s="147"/>
      <c r="BB153" s="147"/>
      <c r="BC153" s="147"/>
      <c r="BD153" s="147"/>
      <c r="BE153" s="147"/>
      <c r="BF153" s="147"/>
      <c r="BG153" s="147"/>
      <c r="BH153" s="147"/>
      <c r="BI153" s="147"/>
      <c r="BJ153" s="147"/>
      <c r="BK153" s="147"/>
      <c r="BL153" s="147"/>
      <c r="BM153" s="147"/>
      <c r="BN153" s="147"/>
      <c r="BO153" s="147"/>
      <c r="BP153" s="147"/>
      <c r="BQ153" s="147"/>
      <c r="BR153" s="147"/>
      <c r="BS153" s="147"/>
      <c r="BT153" s="147"/>
      <c r="BU153" s="147"/>
      <c r="BV153" s="147"/>
      <c r="BW153" s="147"/>
      <c r="BX153" s="147"/>
      <c r="BY153" s="147"/>
      <c r="BZ153" s="147"/>
      <c r="CA153" s="147"/>
      <c r="CB153" s="147"/>
      <c r="CC153" s="147"/>
      <c r="CD153" s="147"/>
      <c r="CE153" s="147"/>
      <c r="CF153" s="147"/>
      <c r="CG153" s="147"/>
      <c r="CH153" s="147"/>
      <c r="CI153" s="147"/>
      <c r="CJ153" s="147"/>
      <c r="CK153" s="147"/>
    </row>
    <row r="154" spans="1:89">
      <c r="A154" s="159" t="s">
        <v>601</v>
      </c>
      <c r="B154" s="3" t="s">
        <v>602</v>
      </c>
      <c r="C154" s="160" t="s">
        <v>65</v>
      </c>
      <c r="D154" s="160" t="s">
        <v>858</v>
      </c>
      <c r="E154" s="3" t="s">
        <v>21</v>
      </c>
      <c r="F154" s="3" t="s">
        <v>931</v>
      </c>
      <c r="G154" s="3"/>
      <c r="H154" s="156" t="str">
        <f ca="1">IFERROR(
  _xludf.MINIFS(ATTENDANCE_LOG!$F:$F,
         ATTENDANCE_LOG!$A:$A, C154,
         ATTENDANCE_LOG!$B:$B, E154),
"")</f>
        <v/>
      </c>
      <c r="I154" s="156" t="str">
        <f t="shared" ca="1" si="0"/>
        <v/>
      </c>
      <c r="J154" s="3">
        <f>IFERROR(VLOOKUP(F154, LEVEL_HELPER!$A:$B, 2, 0), "")</f>
        <v>4.5</v>
      </c>
      <c r="K154" s="3" t="str">
        <f>IFERROR(VLOOKUP(G154, LEVEL_HELPER!$A:$B, 2, 0), "")</f>
        <v/>
      </c>
      <c r="L154" s="157" t="s">
        <v>918</v>
      </c>
      <c r="M154" s="157" t="s">
        <v>922</v>
      </c>
      <c r="N154" s="3">
        <f t="array" aca="1" ref="N154" ca="1">IFERROR(
  INDEX($J$2:$J$543,
    MATCH(A154&amp;TEXT(I154,"yyyy-mm-dd"),
          $A$2:$A$543&amp;TEXT($H$2:$H$543,"yyyy-mm-dd"),
          0)),
"")</f>
        <v>4.5</v>
      </c>
      <c r="O154" s="147" t="str">
        <f t="shared" ca="1" si="1"/>
        <v/>
      </c>
      <c r="P154" s="147">
        <f t="shared" ref="P154:Q154" ca="1" si="163">IF(N154="",0,IF(N154&lt;=2,1,IF(N154&lt;=4,2,IF(N154&lt;=5.5,3,4))))</f>
        <v>3</v>
      </c>
      <c r="Q154" s="147">
        <f t="shared" ca="1" si="163"/>
        <v>0</v>
      </c>
      <c r="R154" s="147" t="str">
        <f t="shared" ca="1" si="3"/>
        <v>Not tested yet</v>
      </c>
      <c r="S154" s="147">
        <f t="shared" si="4"/>
        <v>1</v>
      </c>
      <c r="T154" s="147"/>
      <c r="U154" s="147"/>
      <c r="V154" s="148" t="e">
        <f ca="1"/>
        <v>#NAME?</v>
      </c>
      <c r="W154" s="147" t="e">
        <f t="shared" ca="1" si="5"/>
        <v>#NAME?</v>
      </c>
      <c r="X154" s="147" t="e">
        <f t="shared" ca="1" si="6"/>
        <v>#NAME?</v>
      </c>
      <c r="Y154" s="147" t="e">
        <f t="shared" ca="1" si="7"/>
        <v>#NAME?</v>
      </c>
      <c r="Z154" s="147"/>
      <c r="AA154" s="147"/>
      <c r="AB154" s="147"/>
      <c r="AC154" s="147"/>
      <c r="AD154" s="147"/>
      <c r="AE154" s="147"/>
      <c r="AF154" s="147"/>
      <c r="AG154" s="147"/>
      <c r="AH154" s="147"/>
      <c r="AI154" s="147"/>
      <c r="AJ154" s="147"/>
      <c r="AK154" s="147"/>
      <c r="AL154" s="147"/>
      <c r="AM154" s="151"/>
      <c r="AN154" s="147"/>
      <c r="AO154" s="147" t="e">
        <f t="shared" si="8"/>
        <v>#N/A</v>
      </c>
      <c r="AP154" s="147" t="e">
        <f t="shared" ca="1" si="9"/>
        <v>#NAME?</v>
      </c>
      <c r="AQ154" s="147" t="e">
        <f t="shared" si="10"/>
        <v>#N/A</v>
      </c>
      <c r="AR154" s="147"/>
      <c r="AS154" s="147"/>
      <c r="AT154" s="147"/>
      <c r="AU154" s="147"/>
      <c r="AV154" s="147"/>
      <c r="AW154" s="147"/>
      <c r="AX154" s="147"/>
      <c r="AY154" s="147"/>
      <c r="AZ154" s="147"/>
      <c r="BA154" s="147"/>
      <c r="BB154" s="147"/>
      <c r="BC154" s="147"/>
      <c r="BD154" s="147"/>
      <c r="BE154" s="147"/>
      <c r="BF154" s="147"/>
      <c r="BG154" s="147"/>
      <c r="BH154" s="147"/>
      <c r="BI154" s="147"/>
      <c r="BJ154" s="147"/>
      <c r="BK154" s="147"/>
      <c r="BL154" s="147"/>
      <c r="BM154" s="147"/>
      <c r="BN154" s="147"/>
      <c r="BO154" s="147"/>
      <c r="BP154" s="147"/>
      <c r="BQ154" s="147"/>
      <c r="BR154" s="147"/>
      <c r="BS154" s="147"/>
      <c r="BT154" s="147"/>
      <c r="BU154" s="147"/>
      <c r="BV154" s="147"/>
      <c r="BW154" s="147"/>
      <c r="BX154" s="147"/>
      <c r="BY154" s="147"/>
      <c r="BZ154" s="147"/>
      <c r="CA154" s="147"/>
      <c r="CB154" s="147"/>
      <c r="CC154" s="147"/>
      <c r="CD154" s="147"/>
      <c r="CE154" s="147"/>
      <c r="CF154" s="147"/>
      <c r="CG154" s="147"/>
      <c r="CH154" s="147"/>
      <c r="CI154" s="147"/>
      <c r="CJ154" s="147"/>
      <c r="CK154" s="147"/>
    </row>
    <row r="155" spans="1:89">
      <c r="A155" s="159" t="s">
        <v>699</v>
      </c>
      <c r="B155" s="3" t="s">
        <v>700</v>
      </c>
      <c r="C155" s="160" t="s">
        <v>65</v>
      </c>
      <c r="D155" s="160" t="s">
        <v>858</v>
      </c>
      <c r="E155" s="3" t="s">
        <v>21</v>
      </c>
      <c r="F155" s="3" t="s">
        <v>916</v>
      </c>
      <c r="G155" s="3" t="s">
        <v>931</v>
      </c>
      <c r="H155" s="156" t="str">
        <f ca="1">IFERROR(
  _xludf.MINIFS(ATTENDANCE_LOG!$F:$F,
         ATTENDANCE_LOG!$A:$A, C155,
         ATTENDANCE_LOG!$B:$B, E155),
"")</f>
        <v/>
      </c>
      <c r="I155" s="156" t="str">
        <f t="shared" ca="1" si="0"/>
        <v/>
      </c>
      <c r="J155" s="3">
        <f>IFERROR(VLOOKUP(F155, LEVEL_HELPER!$A:$B, 2, 0), "")</f>
        <v>2.5</v>
      </c>
      <c r="K155" s="3">
        <f>IFERROR(VLOOKUP(G155, LEVEL_HELPER!$A:$B, 2, 0), "")</f>
        <v>4.5</v>
      </c>
      <c r="L155" s="157" t="s">
        <v>918</v>
      </c>
      <c r="M155" s="157" t="s">
        <v>922</v>
      </c>
      <c r="N155" s="3">
        <f t="array" aca="1" ref="N155" ca="1">IFERROR(
  INDEX($J$2:$J$543,
    MATCH(A155&amp;TEXT(I155,"yyyy-mm-dd"),
          $A$2:$A$543&amp;TEXT($H$2:$H$543,"yyyy-mm-dd"),
          0)),
"")</f>
        <v>2.5</v>
      </c>
      <c r="O155" s="147" t="str">
        <f t="shared" ca="1" si="1"/>
        <v/>
      </c>
      <c r="P155" s="147">
        <f t="shared" ref="P155:Q155" ca="1" si="164">IF(N155="",0,IF(N155&lt;=2,1,IF(N155&lt;=4,2,IF(N155&lt;=5.5,3,4))))</f>
        <v>2</v>
      </c>
      <c r="Q155" s="147">
        <f t="shared" ca="1" si="164"/>
        <v>0</v>
      </c>
      <c r="R155" s="147" t="str">
        <f t="shared" ca="1" si="3"/>
        <v>Not tested yet</v>
      </c>
      <c r="S155" s="147">
        <f t="shared" si="4"/>
        <v>1</v>
      </c>
      <c r="T155" s="147"/>
      <c r="U155" s="147"/>
      <c r="V155" s="148" t="e">
        <f ca="1"/>
        <v>#NAME?</v>
      </c>
      <c r="W155" s="147" t="e">
        <f t="shared" ca="1" si="5"/>
        <v>#NAME?</v>
      </c>
      <c r="X155" s="147" t="e">
        <f t="shared" ca="1" si="6"/>
        <v>#NAME?</v>
      </c>
      <c r="Y155" s="147" t="e">
        <f t="shared" ca="1" si="7"/>
        <v>#NAME?</v>
      </c>
      <c r="Z155" s="147"/>
      <c r="AA155" s="147"/>
      <c r="AB155" s="147"/>
      <c r="AC155" s="147"/>
      <c r="AD155" s="147"/>
      <c r="AE155" s="147"/>
      <c r="AF155" s="147"/>
      <c r="AG155" s="147"/>
      <c r="AH155" s="147"/>
      <c r="AI155" s="147"/>
      <c r="AJ155" s="147"/>
      <c r="AK155" s="147"/>
      <c r="AL155" s="147"/>
      <c r="AM155" s="151"/>
      <c r="AN155" s="147"/>
      <c r="AO155" s="147" t="e">
        <f t="shared" si="8"/>
        <v>#N/A</v>
      </c>
      <c r="AP155" s="147" t="e">
        <f t="shared" ca="1" si="9"/>
        <v>#NAME?</v>
      </c>
      <c r="AQ155" s="147" t="e">
        <f t="shared" si="10"/>
        <v>#N/A</v>
      </c>
      <c r="AR155" s="147"/>
      <c r="AS155" s="147"/>
      <c r="AT155" s="147"/>
      <c r="AU155" s="147"/>
      <c r="AV155" s="147"/>
      <c r="AW155" s="147"/>
      <c r="AX155" s="147"/>
      <c r="AY155" s="147"/>
      <c r="AZ155" s="147"/>
      <c r="BA155" s="147"/>
      <c r="BB155" s="147"/>
      <c r="BC155" s="147"/>
      <c r="BD155" s="147"/>
      <c r="BE155" s="147"/>
      <c r="BF155" s="147"/>
      <c r="BG155" s="147"/>
      <c r="BH155" s="147"/>
      <c r="BI155" s="147"/>
      <c r="BJ155" s="147"/>
      <c r="BK155" s="147"/>
      <c r="BL155" s="147"/>
      <c r="BM155" s="147"/>
      <c r="BN155" s="147"/>
      <c r="BO155" s="147"/>
      <c r="BP155" s="147"/>
      <c r="BQ155" s="147"/>
      <c r="BR155" s="147"/>
      <c r="BS155" s="147"/>
      <c r="BT155" s="147"/>
      <c r="BU155" s="147"/>
      <c r="BV155" s="147"/>
      <c r="BW155" s="147"/>
      <c r="BX155" s="147"/>
      <c r="BY155" s="147"/>
      <c r="BZ155" s="147"/>
      <c r="CA155" s="147"/>
      <c r="CB155" s="147"/>
      <c r="CC155" s="147"/>
      <c r="CD155" s="147"/>
      <c r="CE155" s="147"/>
      <c r="CF155" s="147"/>
      <c r="CG155" s="147"/>
      <c r="CH155" s="147"/>
      <c r="CI155" s="147"/>
      <c r="CJ155" s="147"/>
      <c r="CK155" s="147"/>
    </row>
    <row r="156" spans="1:89">
      <c r="A156" s="153" t="s">
        <v>413</v>
      </c>
      <c r="B156" s="154" t="s">
        <v>414</v>
      </c>
      <c r="C156" s="155" t="s">
        <v>65</v>
      </c>
      <c r="D156" s="155" t="s">
        <v>858</v>
      </c>
      <c r="E156" s="154" t="s">
        <v>22</v>
      </c>
      <c r="F156" s="3" t="s">
        <v>916</v>
      </c>
      <c r="G156" s="3" t="s">
        <v>916</v>
      </c>
      <c r="H156" s="156" t="str">
        <f ca="1">IFERROR(
  _xludf.MINIFS(ATTENDANCE_LOG!$F:$F,
         ATTENDANCE_LOG!$A:$A, C156,
         ATTENDANCE_LOG!$B:$B, E156),
"")</f>
        <v/>
      </c>
      <c r="I156" s="156" t="str">
        <f t="shared" ca="1" si="0"/>
        <v/>
      </c>
      <c r="J156" s="3">
        <f>IFERROR(VLOOKUP(F156, LEVEL_HELPER!$A:$B, 2, 0), "")</f>
        <v>2.5</v>
      </c>
      <c r="K156" s="3">
        <f>IFERROR(VLOOKUP(G156, LEVEL_HELPER!$A:$B, 2, 0), "")</f>
        <v>2.5</v>
      </c>
      <c r="L156" s="157" t="s">
        <v>918</v>
      </c>
      <c r="M156" s="157" t="s">
        <v>924</v>
      </c>
      <c r="N156" s="3">
        <f t="array" aca="1" ref="N156" ca="1">IFERROR(
  INDEX($J$2:$J$543,
    MATCH(A156&amp;TEXT(I156,"yyyy-mm-dd"),
          $A$2:$A$543&amp;TEXT($H$2:$H$543,"yyyy-mm-dd"),
          0)),
"")</f>
        <v>1</v>
      </c>
      <c r="O156" s="147" t="str">
        <f t="shared" ca="1" si="1"/>
        <v/>
      </c>
      <c r="P156" s="147">
        <f t="shared" ref="P156:Q156" ca="1" si="165">IF(N156="",0,IF(N156&lt;=2,1,IF(N156&lt;=4,2,IF(N156&lt;=5.5,3,4))))</f>
        <v>1</v>
      </c>
      <c r="Q156" s="147">
        <f t="shared" ca="1" si="165"/>
        <v>0</v>
      </c>
      <c r="R156" s="147" t="str">
        <f t="shared" ca="1" si="3"/>
        <v>Not tested yet</v>
      </c>
      <c r="S156" s="147">
        <f t="shared" si="4"/>
        <v>0</v>
      </c>
      <c r="T156" s="147"/>
      <c r="U156" s="147"/>
      <c r="V156" s="148" t="e">
        <f ca="1"/>
        <v>#NAME?</v>
      </c>
      <c r="W156" s="147" t="e">
        <f t="shared" ca="1" si="5"/>
        <v>#NAME?</v>
      </c>
      <c r="X156" s="147" t="e">
        <f t="shared" ca="1" si="6"/>
        <v>#NAME?</v>
      </c>
      <c r="Y156" s="147" t="e">
        <f t="shared" ca="1" si="7"/>
        <v>#NAME?</v>
      </c>
      <c r="Z156" s="147"/>
      <c r="AA156" s="147"/>
      <c r="AB156" s="147"/>
      <c r="AC156" s="147"/>
      <c r="AD156" s="147"/>
      <c r="AE156" s="147"/>
      <c r="AF156" s="147"/>
      <c r="AG156" s="147"/>
      <c r="AH156" s="147"/>
      <c r="AI156" s="147"/>
      <c r="AJ156" s="147"/>
      <c r="AK156" s="147"/>
      <c r="AL156" s="147"/>
      <c r="AM156" s="151"/>
      <c r="AN156" s="147"/>
      <c r="AO156" s="147" t="e">
        <f t="shared" si="8"/>
        <v>#N/A</v>
      </c>
      <c r="AP156" s="147" t="e">
        <f t="shared" ca="1" si="9"/>
        <v>#NAME?</v>
      </c>
      <c r="AQ156" s="147" t="e">
        <f t="shared" si="10"/>
        <v>#N/A</v>
      </c>
      <c r="AR156" s="147"/>
      <c r="AS156" s="147"/>
      <c r="AT156" s="147"/>
      <c r="AU156" s="147"/>
      <c r="AV156" s="147"/>
      <c r="AW156" s="147"/>
      <c r="AX156" s="147"/>
      <c r="AY156" s="147"/>
      <c r="AZ156" s="147"/>
      <c r="BA156" s="147"/>
      <c r="BB156" s="147"/>
      <c r="BC156" s="147"/>
      <c r="BD156" s="147"/>
      <c r="BE156" s="147"/>
      <c r="BF156" s="147"/>
      <c r="BG156" s="147"/>
      <c r="BH156" s="147"/>
      <c r="BI156" s="147"/>
      <c r="BJ156" s="147"/>
      <c r="BK156" s="147"/>
      <c r="BL156" s="147"/>
      <c r="BM156" s="147"/>
      <c r="BN156" s="147"/>
      <c r="BO156" s="147"/>
      <c r="BP156" s="147"/>
      <c r="BQ156" s="147"/>
      <c r="BR156" s="147"/>
      <c r="BS156" s="147"/>
      <c r="BT156" s="147"/>
      <c r="BU156" s="147"/>
      <c r="BV156" s="147"/>
      <c r="BW156" s="147"/>
      <c r="BX156" s="147"/>
      <c r="BY156" s="147"/>
      <c r="BZ156" s="147"/>
      <c r="CA156" s="147"/>
      <c r="CB156" s="147"/>
      <c r="CC156" s="147"/>
      <c r="CD156" s="147"/>
      <c r="CE156" s="147"/>
      <c r="CF156" s="147"/>
      <c r="CG156" s="147"/>
      <c r="CH156" s="147"/>
      <c r="CI156" s="147"/>
      <c r="CJ156" s="147"/>
      <c r="CK156" s="147"/>
    </row>
    <row r="157" spans="1:89">
      <c r="A157" s="159" t="s">
        <v>212</v>
      </c>
      <c r="B157" s="3" t="s">
        <v>213</v>
      </c>
      <c r="C157" s="160" t="s">
        <v>65</v>
      </c>
      <c r="D157" s="160" t="s">
        <v>858</v>
      </c>
      <c r="E157" s="3" t="s">
        <v>22</v>
      </c>
      <c r="F157" s="3" t="s">
        <v>916</v>
      </c>
      <c r="G157" s="3" t="s">
        <v>916</v>
      </c>
      <c r="H157" s="156" t="str">
        <f ca="1">IFERROR(
  _xludf.MINIFS(ATTENDANCE_LOG!$F:$F,
         ATTENDANCE_LOG!$A:$A, C157,
         ATTENDANCE_LOG!$B:$B, E157),
"")</f>
        <v/>
      </c>
      <c r="I157" s="156" t="str">
        <f t="shared" ca="1" si="0"/>
        <v/>
      </c>
      <c r="J157" s="3">
        <f>IFERROR(VLOOKUP(F157, LEVEL_HELPER!$A:$B, 2, 0), "")</f>
        <v>2.5</v>
      </c>
      <c r="K157" s="3">
        <f>IFERROR(VLOOKUP(G157, LEVEL_HELPER!$A:$B, 2, 0), "")</f>
        <v>2.5</v>
      </c>
      <c r="L157" s="157" t="s">
        <v>918</v>
      </c>
      <c r="M157" s="157" t="s">
        <v>924</v>
      </c>
      <c r="N157" s="3">
        <f t="array" aca="1" ref="N157" ca="1">IFERROR(
  INDEX($J$2:$J$543,
    MATCH(A157&amp;TEXT(I157,"yyyy-mm-dd"),
          $A$2:$A$543&amp;TEXT($H$2:$H$543,"yyyy-mm-dd"),
          0)),
"")</f>
        <v>1</v>
      </c>
      <c r="O157" s="147" t="str">
        <f t="shared" ca="1" si="1"/>
        <v/>
      </c>
      <c r="P157" s="147">
        <f t="shared" ref="P157:Q157" ca="1" si="166">IF(N157="",0,IF(N157&lt;=2,1,IF(N157&lt;=4,2,IF(N157&lt;=5.5,3,4))))</f>
        <v>1</v>
      </c>
      <c r="Q157" s="147">
        <f t="shared" ca="1" si="166"/>
        <v>0</v>
      </c>
      <c r="R157" s="147" t="str">
        <f t="shared" ca="1" si="3"/>
        <v>Not tested yet</v>
      </c>
      <c r="S157" s="147">
        <f t="shared" si="4"/>
        <v>0</v>
      </c>
      <c r="T157" s="147"/>
      <c r="U157" s="147"/>
      <c r="V157" s="148" t="e">
        <f ca="1"/>
        <v>#NAME?</v>
      </c>
      <c r="W157" s="147" t="e">
        <f t="shared" ca="1" si="5"/>
        <v>#NAME?</v>
      </c>
      <c r="X157" s="147" t="e">
        <f t="shared" ca="1" si="6"/>
        <v>#NAME?</v>
      </c>
      <c r="Y157" s="147" t="e">
        <f t="shared" ca="1" si="7"/>
        <v>#NAME?</v>
      </c>
      <c r="Z157" s="147"/>
      <c r="AA157" s="147"/>
      <c r="AB157" s="147"/>
      <c r="AC157" s="147"/>
      <c r="AD157" s="147"/>
      <c r="AE157" s="147"/>
      <c r="AF157" s="147"/>
      <c r="AG157" s="147"/>
      <c r="AH157" s="147"/>
      <c r="AI157" s="147"/>
      <c r="AJ157" s="147"/>
      <c r="AK157" s="147"/>
      <c r="AL157" s="147"/>
      <c r="AM157" s="151"/>
      <c r="AN157" s="147"/>
      <c r="AO157" s="147" t="e">
        <f t="shared" si="8"/>
        <v>#N/A</v>
      </c>
      <c r="AP157" s="147" t="e">
        <f t="shared" ca="1" si="9"/>
        <v>#NAME?</v>
      </c>
      <c r="AQ157" s="147" t="e">
        <f t="shared" si="10"/>
        <v>#N/A</v>
      </c>
      <c r="AR157" s="147"/>
      <c r="AS157" s="147"/>
      <c r="AT157" s="147"/>
      <c r="AU157" s="147"/>
      <c r="AV157" s="147"/>
      <c r="AW157" s="147"/>
      <c r="AX157" s="147"/>
      <c r="AY157" s="147"/>
      <c r="AZ157" s="147"/>
      <c r="BA157" s="147"/>
      <c r="BB157" s="147"/>
      <c r="BC157" s="147"/>
      <c r="BD157" s="147"/>
      <c r="BE157" s="147"/>
      <c r="BF157" s="147"/>
      <c r="BG157" s="147"/>
      <c r="BH157" s="147"/>
      <c r="BI157" s="147"/>
      <c r="BJ157" s="147"/>
      <c r="BK157" s="147"/>
      <c r="BL157" s="147"/>
      <c r="BM157" s="147"/>
      <c r="BN157" s="147"/>
      <c r="BO157" s="147"/>
      <c r="BP157" s="147"/>
      <c r="BQ157" s="147"/>
      <c r="BR157" s="147"/>
      <c r="BS157" s="147"/>
      <c r="BT157" s="147"/>
      <c r="BU157" s="147"/>
      <c r="BV157" s="147"/>
      <c r="BW157" s="147"/>
      <c r="BX157" s="147"/>
      <c r="BY157" s="147"/>
      <c r="BZ157" s="147"/>
      <c r="CA157" s="147"/>
      <c r="CB157" s="147"/>
      <c r="CC157" s="147"/>
      <c r="CD157" s="147"/>
      <c r="CE157" s="147"/>
      <c r="CF157" s="147"/>
      <c r="CG157" s="147"/>
      <c r="CH157" s="147"/>
      <c r="CI157" s="147"/>
      <c r="CJ157" s="147"/>
      <c r="CK157" s="147"/>
    </row>
    <row r="158" spans="1:89">
      <c r="A158" s="159" t="s">
        <v>267</v>
      </c>
      <c r="B158" s="3" t="s">
        <v>268</v>
      </c>
      <c r="C158" s="160" t="s">
        <v>65</v>
      </c>
      <c r="D158" s="160" t="s">
        <v>858</v>
      </c>
      <c r="E158" s="3" t="s">
        <v>22</v>
      </c>
      <c r="F158" s="3" t="s">
        <v>916</v>
      </c>
      <c r="G158" s="3" t="s">
        <v>916</v>
      </c>
      <c r="H158" s="156" t="str">
        <f ca="1">IFERROR(
  _xludf.MINIFS(ATTENDANCE_LOG!$F:$F,
         ATTENDANCE_LOG!$A:$A, C158,
         ATTENDANCE_LOG!$B:$B, E158),
"")</f>
        <v/>
      </c>
      <c r="I158" s="156" t="str">
        <f t="shared" ca="1" si="0"/>
        <v/>
      </c>
      <c r="J158" s="3">
        <f>IFERROR(VLOOKUP(F158, LEVEL_HELPER!$A:$B, 2, 0), "")</f>
        <v>2.5</v>
      </c>
      <c r="K158" s="3">
        <f>IFERROR(VLOOKUP(G158, LEVEL_HELPER!$A:$B, 2, 0), "")</f>
        <v>2.5</v>
      </c>
      <c r="L158" s="157" t="s">
        <v>918</v>
      </c>
      <c r="M158" s="157" t="s">
        <v>924</v>
      </c>
      <c r="N158" s="3">
        <f t="array" aca="1" ref="N158" ca="1">IFERROR(
  INDEX($J$2:$J$543,
    MATCH(A158&amp;TEXT(I158,"yyyy-mm-dd"),
          $A$2:$A$543&amp;TEXT($H$2:$H$543,"yyyy-mm-dd"),
          0)),
"")</f>
        <v>1</v>
      </c>
      <c r="O158" s="147" t="str">
        <f t="shared" ca="1" si="1"/>
        <v/>
      </c>
      <c r="P158" s="147">
        <f t="shared" ref="P158:Q158" ca="1" si="167">IF(N158="",0,IF(N158&lt;=2,1,IF(N158&lt;=4,2,IF(N158&lt;=5.5,3,4))))</f>
        <v>1</v>
      </c>
      <c r="Q158" s="147">
        <f t="shared" ca="1" si="167"/>
        <v>0</v>
      </c>
      <c r="R158" s="147" t="str">
        <f t="shared" ca="1" si="3"/>
        <v>Not tested yet</v>
      </c>
      <c r="S158" s="147">
        <f t="shared" si="4"/>
        <v>0</v>
      </c>
      <c r="T158" s="147"/>
      <c r="U158" s="147"/>
      <c r="V158" s="148" t="e">
        <f ca="1"/>
        <v>#NAME?</v>
      </c>
      <c r="W158" s="147" t="e">
        <f t="shared" ca="1" si="5"/>
        <v>#NAME?</v>
      </c>
      <c r="X158" s="147" t="e">
        <f t="shared" ca="1" si="6"/>
        <v>#NAME?</v>
      </c>
      <c r="Y158" s="147" t="e">
        <f t="shared" ca="1" si="7"/>
        <v>#NAME?</v>
      </c>
      <c r="Z158" s="147"/>
      <c r="AA158" s="147"/>
      <c r="AB158" s="147"/>
      <c r="AC158" s="147"/>
      <c r="AD158" s="147"/>
      <c r="AE158" s="147"/>
      <c r="AF158" s="147"/>
      <c r="AG158" s="147"/>
      <c r="AH158" s="147"/>
      <c r="AI158" s="147"/>
      <c r="AJ158" s="147"/>
      <c r="AK158" s="147"/>
      <c r="AL158" s="147"/>
      <c r="AM158" s="151"/>
      <c r="AN158" s="147"/>
      <c r="AO158" s="147" t="e">
        <f t="shared" si="8"/>
        <v>#N/A</v>
      </c>
      <c r="AP158" s="147" t="e">
        <f t="shared" ca="1" si="9"/>
        <v>#NAME?</v>
      </c>
      <c r="AQ158" s="147" t="e">
        <f t="shared" si="10"/>
        <v>#N/A</v>
      </c>
      <c r="AR158" s="147"/>
      <c r="AS158" s="147"/>
      <c r="AT158" s="147"/>
      <c r="AU158" s="147"/>
      <c r="AV158" s="147"/>
      <c r="AW158" s="147"/>
      <c r="AX158" s="147"/>
      <c r="AY158" s="147"/>
      <c r="AZ158" s="147"/>
      <c r="BA158" s="147"/>
      <c r="BB158" s="147"/>
      <c r="BC158" s="147"/>
      <c r="BD158" s="147"/>
      <c r="BE158" s="147"/>
      <c r="BF158" s="147"/>
      <c r="BG158" s="147"/>
      <c r="BH158" s="147"/>
      <c r="BI158" s="147"/>
      <c r="BJ158" s="147"/>
      <c r="BK158" s="147"/>
      <c r="BL158" s="147"/>
      <c r="BM158" s="147"/>
      <c r="BN158" s="147"/>
      <c r="BO158" s="147"/>
      <c r="BP158" s="147"/>
      <c r="BQ158" s="147"/>
      <c r="BR158" s="147"/>
      <c r="BS158" s="147"/>
      <c r="BT158" s="147"/>
      <c r="BU158" s="147"/>
      <c r="BV158" s="147"/>
      <c r="BW158" s="147"/>
      <c r="BX158" s="147"/>
      <c r="BY158" s="147"/>
      <c r="BZ158" s="147"/>
      <c r="CA158" s="147"/>
      <c r="CB158" s="147"/>
      <c r="CC158" s="147"/>
      <c r="CD158" s="147"/>
      <c r="CE158" s="147"/>
      <c r="CF158" s="147"/>
      <c r="CG158" s="147"/>
      <c r="CH158" s="147"/>
      <c r="CI158" s="147"/>
      <c r="CJ158" s="147"/>
      <c r="CK158" s="147"/>
    </row>
    <row r="159" spans="1:89">
      <c r="A159" s="159" t="s">
        <v>699</v>
      </c>
      <c r="B159" s="3" t="s">
        <v>700</v>
      </c>
      <c r="C159" s="160" t="s">
        <v>65</v>
      </c>
      <c r="D159" s="160" t="s">
        <v>858</v>
      </c>
      <c r="E159" s="3" t="s">
        <v>22</v>
      </c>
      <c r="F159" s="3" t="s">
        <v>931</v>
      </c>
      <c r="G159" s="3" t="s">
        <v>931</v>
      </c>
      <c r="H159" s="156" t="str">
        <f ca="1">IFERROR(
  _xludf.MINIFS(ATTENDANCE_LOG!$F:$F,
         ATTENDANCE_LOG!$A:$A, C159,
         ATTENDANCE_LOG!$B:$B, E159),
"")</f>
        <v/>
      </c>
      <c r="I159" s="156" t="str">
        <f t="shared" ca="1" si="0"/>
        <v/>
      </c>
      <c r="J159" s="3">
        <f>IFERROR(VLOOKUP(F159, LEVEL_HELPER!$A:$B, 2, 0), "")</f>
        <v>4.5</v>
      </c>
      <c r="K159" s="3">
        <f>IFERROR(VLOOKUP(G159, LEVEL_HELPER!$A:$B, 2, 0), "")</f>
        <v>4.5</v>
      </c>
      <c r="L159" s="157" t="s">
        <v>918</v>
      </c>
      <c r="M159" s="157" t="s">
        <v>922</v>
      </c>
      <c r="N159" s="3">
        <f t="array" aca="1" ref="N159" ca="1">IFERROR(
  INDEX($J$2:$J$543,
    MATCH(A159&amp;TEXT(I159,"yyyy-mm-dd"),
          $A$2:$A$543&amp;TEXT($H$2:$H$543,"yyyy-mm-dd"),
          0)),
"")</f>
        <v>2.5</v>
      </c>
      <c r="O159" s="147" t="str">
        <f t="shared" ca="1" si="1"/>
        <v/>
      </c>
      <c r="P159" s="147">
        <f t="shared" ref="P159:Q159" ca="1" si="168">IF(N159="",0,IF(N159&lt;=2,1,IF(N159&lt;=4,2,IF(N159&lt;=5.5,3,4))))</f>
        <v>2</v>
      </c>
      <c r="Q159" s="147">
        <f t="shared" ca="1" si="168"/>
        <v>0</v>
      </c>
      <c r="R159" s="147" t="str">
        <f t="shared" ca="1" si="3"/>
        <v>Not tested yet</v>
      </c>
      <c r="S159" s="147">
        <f t="shared" si="4"/>
        <v>0</v>
      </c>
      <c r="T159" s="147"/>
      <c r="U159" s="147"/>
      <c r="V159" s="148" t="e">
        <f ca="1"/>
        <v>#NAME?</v>
      </c>
      <c r="W159" s="147" t="e">
        <f t="shared" ca="1" si="5"/>
        <v>#NAME?</v>
      </c>
      <c r="X159" s="147" t="e">
        <f t="shared" ca="1" si="6"/>
        <v>#NAME?</v>
      </c>
      <c r="Y159" s="147" t="e">
        <f t="shared" ca="1" si="7"/>
        <v>#NAME?</v>
      </c>
      <c r="Z159" s="147"/>
      <c r="AA159" s="147"/>
      <c r="AB159" s="147"/>
      <c r="AC159" s="147"/>
      <c r="AD159" s="147"/>
      <c r="AE159" s="147"/>
      <c r="AF159" s="147"/>
      <c r="AG159" s="147"/>
      <c r="AH159" s="147"/>
      <c r="AI159" s="147"/>
      <c r="AJ159" s="147"/>
      <c r="AK159" s="147"/>
      <c r="AL159" s="147"/>
      <c r="AM159" s="151"/>
      <c r="AN159" s="147"/>
      <c r="AO159" s="147" t="e">
        <f t="shared" si="8"/>
        <v>#N/A</v>
      </c>
      <c r="AP159" s="147" t="e">
        <f t="shared" ca="1" si="9"/>
        <v>#NAME?</v>
      </c>
      <c r="AQ159" s="147" t="e">
        <f t="shared" si="10"/>
        <v>#N/A</v>
      </c>
      <c r="AR159" s="147"/>
      <c r="AS159" s="147"/>
      <c r="AT159" s="147"/>
      <c r="AU159" s="147"/>
      <c r="AV159" s="147"/>
      <c r="AW159" s="147"/>
      <c r="AX159" s="147"/>
      <c r="AY159" s="147"/>
      <c r="AZ159" s="147"/>
      <c r="BA159" s="147"/>
      <c r="BB159" s="147"/>
      <c r="BC159" s="147"/>
      <c r="BD159" s="147"/>
      <c r="BE159" s="147"/>
      <c r="BF159" s="147"/>
      <c r="BG159" s="147"/>
      <c r="BH159" s="147"/>
      <c r="BI159" s="147"/>
      <c r="BJ159" s="147"/>
      <c r="BK159" s="147"/>
      <c r="BL159" s="147"/>
      <c r="BM159" s="147"/>
      <c r="BN159" s="147"/>
      <c r="BO159" s="147"/>
      <c r="BP159" s="147"/>
      <c r="BQ159" s="147"/>
      <c r="BR159" s="147"/>
      <c r="BS159" s="147"/>
      <c r="BT159" s="147"/>
      <c r="BU159" s="147"/>
      <c r="BV159" s="147"/>
      <c r="BW159" s="147"/>
      <c r="BX159" s="147"/>
      <c r="BY159" s="147"/>
      <c r="BZ159" s="147"/>
      <c r="CA159" s="147"/>
      <c r="CB159" s="147"/>
      <c r="CC159" s="147"/>
      <c r="CD159" s="147"/>
      <c r="CE159" s="147"/>
      <c r="CF159" s="147"/>
      <c r="CG159" s="147"/>
      <c r="CH159" s="147"/>
      <c r="CI159" s="147"/>
      <c r="CJ159" s="147"/>
      <c r="CK159" s="147"/>
    </row>
    <row r="160" spans="1:89">
      <c r="A160" s="153" t="s">
        <v>346</v>
      </c>
      <c r="B160" s="154" t="s">
        <v>347</v>
      </c>
      <c r="C160" s="155" t="s">
        <v>66</v>
      </c>
      <c r="D160" s="155" t="s">
        <v>859</v>
      </c>
      <c r="E160" s="154" t="s">
        <v>21</v>
      </c>
      <c r="F160" s="3"/>
      <c r="G160" s="3"/>
      <c r="H160" s="156" t="str">
        <f ca="1">IFERROR(
  _xludf.MINIFS(ATTENDANCE_LOG!$F:$F,
         ATTENDANCE_LOG!$A:$A, C160,
         ATTENDANCE_LOG!$B:$B, E160),
"")</f>
        <v/>
      </c>
      <c r="I160" s="156" t="str">
        <f t="shared" ca="1" si="0"/>
        <v/>
      </c>
      <c r="J160" s="3" t="str">
        <f>IFERROR(VLOOKUP(F160, LEVEL_HELPER!$A:$B, 2, 0), "")</f>
        <v/>
      </c>
      <c r="K160" s="3" t="str">
        <f>IFERROR(VLOOKUP(G160, LEVEL_HELPER!$A:$B, 2, 0), "")</f>
        <v/>
      </c>
      <c r="L160" s="157" t="s">
        <v>946</v>
      </c>
      <c r="M160" s="157" t="s">
        <v>925</v>
      </c>
      <c r="N160" s="3" t="str">
        <f t="array" aca="1" ref="N160" ca="1">IFERROR(
  INDEX($J$2:$J$543,
    MATCH(A160&amp;TEXT(I160,"yyyy-mm-dd"),
          $A$2:$A$543&amp;TEXT($H$2:$H$543,"yyyy-mm-dd"),
          0)),
"")</f>
        <v/>
      </c>
      <c r="O160" s="147" t="str">
        <f t="shared" ca="1" si="1"/>
        <v/>
      </c>
      <c r="P160" s="147">
        <f t="shared" ref="P160:Q160" ca="1" si="169">IF(N160="",0,IF(N160&lt;=2,1,IF(N160&lt;=4,2,IF(N160&lt;=5.5,3,4))))</f>
        <v>0</v>
      </c>
      <c r="Q160" s="147">
        <f t="shared" ca="1" si="169"/>
        <v>0</v>
      </c>
      <c r="R160" s="147" t="str">
        <f t="shared" ca="1" si="3"/>
        <v>Not tested yet</v>
      </c>
      <c r="S160" s="147">
        <f t="shared" si="4"/>
        <v>1</v>
      </c>
      <c r="T160" s="147"/>
      <c r="U160" s="147"/>
      <c r="V160" s="148" t="e">
        <f ca="1"/>
        <v>#NAME?</v>
      </c>
      <c r="W160" s="147" t="e">
        <f t="shared" ca="1" si="5"/>
        <v>#NAME?</v>
      </c>
      <c r="X160" s="147" t="e">
        <f t="shared" ca="1" si="6"/>
        <v>#NAME?</v>
      </c>
      <c r="Y160" s="147" t="e">
        <f t="shared" ca="1" si="7"/>
        <v>#NAME?</v>
      </c>
      <c r="Z160" s="147"/>
      <c r="AA160" s="147"/>
      <c r="AB160" s="147"/>
      <c r="AC160" s="147"/>
      <c r="AD160" s="147"/>
      <c r="AE160" s="147"/>
      <c r="AF160" s="147"/>
      <c r="AG160" s="147"/>
      <c r="AH160" s="147"/>
      <c r="AI160" s="147"/>
      <c r="AJ160" s="147"/>
      <c r="AK160" s="147"/>
      <c r="AL160" s="147"/>
      <c r="AM160" s="151"/>
      <c r="AN160" s="147"/>
      <c r="AO160" s="147" t="e">
        <f t="shared" si="8"/>
        <v>#N/A</v>
      </c>
      <c r="AP160" s="147" t="e">
        <f t="shared" ca="1" si="9"/>
        <v>#NAME?</v>
      </c>
      <c r="AQ160" s="147" t="e">
        <f t="shared" si="10"/>
        <v>#N/A</v>
      </c>
      <c r="AR160" s="147"/>
      <c r="AS160" s="147"/>
      <c r="AT160" s="147"/>
      <c r="AU160" s="147"/>
      <c r="AV160" s="147"/>
      <c r="AW160" s="147"/>
      <c r="AX160" s="147"/>
      <c r="AY160" s="147"/>
      <c r="AZ160" s="147"/>
      <c r="BA160" s="147"/>
      <c r="BB160" s="147"/>
      <c r="BC160" s="147"/>
      <c r="BD160" s="147"/>
      <c r="BE160" s="147"/>
      <c r="BF160" s="147"/>
      <c r="BG160" s="147"/>
      <c r="BH160" s="147"/>
      <c r="BI160" s="147"/>
      <c r="BJ160" s="147"/>
      <c r="BK160" s="147"/>
      <c r="BL160" s="147"/>
      <c r="BM160" s="147"/>
      <c r="BN160" s="147"/>
      <c r="BO160" s="147"/>
      <c r="BP160" s="147"/>
      <c r="BQ160" s="147"/>
      <c r="BR160" s="147"/>
      <c r="BS160" s="147"/>
      <c r="BT160" s="147"/>
      <c r="BU160" s="147"/>
      <c r="BV160" s="147"/>
      <c r="BW160" s="147"/>
      <c r="BX160" s="147"/>
      <c r="BY160" s="147"/>
      <c r="BZ160" s="147"/>
      <c r="CA160" s="147"/>
      <c r="CB160" s="147"/>
      <c r="CC160" s="147"/>
      <c r="CD160" s="147"/>
      <c r="CE160" s="147"/>
      <c r="CF160" s="147"/>
      <c r="CG160" s="147"/>
      <c r="CH160" s="147"/>
      <c r="CI160" s="147"/>
      <c r="CJ160" s="147"/>
      <c r="CK160" s="147"/>
    </row>
    <row r="161" spans="1:89">
      <c r="A161" s="159" t="s">
        <v>514</v>
      </c>
      <c r="B161" s="3" t="s">
        <v>515</v>
      </c>
      <c r="C161" s="160" t="s">
        <v>66</v>
      </c>
      <c r="D161" s="160" t="s">
        <v>859</v>
      </c>
      <c r="E161" s="3" t="s">
        <v>21</v>
      </c>
      <c r="F161" s="3"/>
      <c r="G161" s="3"/>
      <c r="H161" s="156" t="str">
        <f ca="1">IFERROR(
  _xludf.MINIFS(ATTENDANCE_LOG!$F:$F,
         ATTENDANCE_LOG!$A:$A, C161,
         ATTENDANCE_LOG!$B:$B, E161),
"")</f>
        <v/>
      </c>
      <c r="I161" s="156" t="str">
        <f t="shared" ca="1" si="0"/>
        <v/>
      </c>
      <c r="J161" s="3" t="str">
        <f>IFERROR(VLOOKUP(F161, LEVEL_HELPER!$A:$B, 2, 0), "")</f>
        <v/>
      </c>
      <c r="K161" s="3" t="str">
        <f>IFERROR(VLOOKUP(G161, LEVEL_HELPER!$A:$B, 2, 0), "")</f>
        <v/>
      </c>
      <c r="L161" s="157" t="s">
        <v>942</v>
      </c>
      <c r="M161" s="157" t="s">
        <v>925</v>
      </c>
      <c r="N161" s="3" t="str">
        <f t="array" aca="1" ref="N161" ca="1">IFERROR(
  INDEX($J$2:$J$543,
    MATCH(A161&amp;TEXT(I161,"yyyy-mm-dd"),
          $A$2:$A$543&amp;TEXT($H$2:$H$543,"yyyy-mm-dd"),
          0)),
"")</f>
        <v/>
      </c>
      <c r="O161" s="147" t="str">
        <f t="shared" ca="1" si="1"/>
        <v/>
      </c>
      <c r="P161" s="147">
        <f t="shared" ref="P161:Q161" ca="1" si="170">IF(N161="",0,IF(N161&lt;=2,1,IF(N161&lt;=4,2,IF(N161&lt;=5.5,3,4))))</f>
        <v>0</v>
      </c>
      <c r="Q161" s="147">
        <f t="shared" ca="1" si="170"/>
        <v>0</v>
      </c>
      <c r="R161" s="147" t="str">
        <f t="shared" ca="1" si="3"/>
        <v>Not tested yet</v>
      </c>
      <c r="S161" s="147">
        <f t="shared" si="4"/>
        <v>1</v>
      </c>
      <c r="T161" s="147"/>
      <c r="U161" s="147"/>
      <c r="V161" s="148" t="e">
        <f ca="1"/>
        <v>#NAME?</v>
      </c>
      <c r="W161" s="147" t="e">
        <f t="shared" ca="1" si="5"/>
        <v>#NAME?</v>
      </c>
      <c r="X161" s="147" t="e">
        <f t="shared" ca="1" si="6"/>
        <v>#NAME?</v>
      </c>
      <c r="Y161" s="147" t="e">
        <f t="shared" ca="1" si="7"/>
        <v>#NAME?</v>
      </c>
      <c r="Z161" s="147"/>
      <c r="AA161" s="147"/>
      <c r="AB161" s="147"/>
      <c r="AC161" s="147"/>
      <c r="AD161" s="147"/>
      <c r="AE161" s="147"/>
      <c r="AF161" s="147"/>
      <c r="AG161" s="147"/>
      <c r="AH161" s="147"/>
      <c r="AI161" s="147"/>
      <c r="AJ161" s="147"/>
      <c r="AK161" s="147"/>
      <c r="AL161" s="147"/>
      <c r="AM161" s="151"/>
      <c r="AN161" s="147"/>
      <c r="AO161" s="147" t="e">
        <f t="shared" si="8"/>
        <v>#N/A</v>
      </c>
      <c r="AP161" s="147" t="e">
        <f t="shared" ca="1" si="9"/>
        <v>#NAME?</v>
      </c>
      <c r="AQ161" s="147" t="e">
        <f t="shared" si="10"/>
        <v>#N/A</v>
      </c>
      <c r="AR161" s="147"/>
      <c r="AS161" s="147"/>
      <c r="AT161" s="147"/>
      <c r="AU161" s="147"/>
      <c r="AV161" s="147"/>
      <c r="AW161" s="147"/>
      <c r="AX161" s="147"/>
      <c r="AY161" s="147"/>
      <c r="AZ161" s="147"/>
      <c r="BA161" s="147"/>
      <c r="BB161" s="147"/>
      <c r="BC161" s="147"/>
      <c r="BD161" s="147"/>
      <c r="BE161" s="147"/>
      <c r="BF161" s="147"/>
      <c r="BG161" s="147"/>
      <c r="BH161" s="147"/>
      <c r="BI161" s="147"/>
      <c r="BJ161" s="147"/>
      <c r="BK161" s="147"/>
      <c r="BL161" s="147"/>
      <c r="BM161" s="147"/>
      <c r="BN161" s="147"/>
      <c r="BO161" s="147"/>
      <c r="BP161" s="147"/>
      <c r="BQ161" s="147"/>
      <c r="BR161" s="147"/>
      <c r="BS161" s="147"/>
      <c r="BT161" s="147"/>
      <c r="BU161" s="147"/>
      <c r="BV161" s="147"/>
      <c r="BW161" s="147"/>
      <c r="BX161" s="147"/>
      <c r="BY161" s="147"/>
      <c r="BZ161" s="147"/>
      <c r="CA161" s="147"/>
      <c r="CB161" s="147"/>
      <c r="CC161" s="147"/>
      <c r="CD161" s="147"/>
      <c r="CE161" s="147"/>
      <c r="CF161" s="147"/>
      <c r="CG161" s="147"/>
      <c r="CH161" s="147"/>
      <c r="CI161" s="147"/>
      <c r="CJ161" s="147"/>
      <c r="CK161" s="147"/>
    </row>
    <row r="162" spans="1:89">
      <c r="A162" s="159" t="s">
        <v>518</v>
      </c>
      <c r="B162" s="3" t="s">
        <v>519</v>
      </c>
      <c r="C162" s="160" t="s">
        <v>66</v>
      </c>
      <c r="D162" s="160" t="s">
        <v>859</v>
      </c>
      <c r="E162" s="3" t="s">
        <v>21</v>
      </c>
      <c r="F162" s="3"/>
      <c r="G162" s="3"/>
      <c r="H162" s="156" t="str">
        <f ca="1">IFERROR(
  _xludf.MINIFS(ATTENDANCE_LOG!$F:$F,
         ATTENDANCE_LOG!$A:$A, C162,
         ATTENDANCE_LOG!$B:$B, E162),
"")</f>
        <v/>
      </c>
      <c r="I162" s="156" t="str">
        <f t="shared" ca="1" si="0"/>
        <v/>
      </c>
      <c r="J162" s="3" t="str">
        <f>IFERROR(VLOOKUP(F162, LEVEL_HELPER!$A:$B, 2, 0), "")</f>
        <v/>
      </c>
      <c r="K162" s="3" t="str">
        <f>IFERROR(VLOOKUP(G162, LEVEL_HELPER!$A:$B, 2, 0), "")</f>
        <v/>
      </c>
      <c r="L162" s="157" t="s">
        <v>942</v>
      </c>
      <c r="M162" s="157" t="s">
        <v>925</v>
      </c>
      <c r="N162" s="3" t="str">
        <f t="array" aca="1" ref="N162" ca="1">IFERROR(
  INDEX($J$2:$J$543,
    MATCH(A162&amp;TEXT(I162,"yyyy-mm-dd"),
          $A$2:$A$543&amp;TEXT($H$2:$H$543,"yyyy-mm-dd"),
          0)),
"")</f>
        <v/>
      </c>
      <c r="O162" s="147" t="str">
        <f t="shared" ca="1" si="1"/>
        <v/>
      </c>
      <c r="P162" s="147">
        <f t="shared" ref="P162:Q162" ca="1" si="171">IF(N162="",0,IF(N162&lt;=2,1,IF(N162&lt;=4,2,IF(N162&lt;=5.5,3,4))))</f>
        <v>0</v>
      </c>
      <c r="Q162" s="147">
        <f t="shared" ca="1" si="171"/>
        <v>0</v>
      </c>
      <c r="R162" s="147" t="str">
        <f t="shared" ca="1" si="3"/>
        <v>Not tested yet</v>
      </c>
      <c r="S162" s="147">
        <f t="shared" si="4"/>
        <v>1</v>
      </c>
      <c r="T162" s="147"/>
      <c r="U162" s="147"/>
      <c r="V162" s="148" t="e">
        <f ca="1"/>
        <v>#NAME?</v>
      </c>
      <c r="W162" s="147" t="e">
        <f t="shared" ca="1" si="5"/>
        <v>#NAME?</v>
      </c>
      <c r="X162" s="147" t="e">
        <f t="shared" ca="1" si="6"/>
        <v>#NAME?</v>
      </c>
      <c r="Y162" s="147" t="e">
        <f t="shared" ca="1" si="7"/>
        <v>#NAME?</v>
      </c>
      <c r="Z162" s="147"/>
      <c r="AA162" s="147"/>
      <c r="AB162" s="147"/>
      <c r="AC162" s="147"/>
      <c r="AD162" s="147"/>
      <c r="AE162" s="147"/>
      <c r="AF162" s="147"/>
      <c r="AG162" s="147"/>
      <c r="AH162" s="147"/>
      <c r="AI162" s="147"/>
      <c r="AJ162" s="147"/>
      <c r="AK162" s="147"/>
      <c r="AL162" s="147"/>
      <c r="AM162" s="151"/>
      <c r="AN162" s="147"/>
      <c r="AO162" s="147" t="e">
        <f t="shared" si="8"/>
        <v>#N/A</v>
      </c>
      <c r="AP162" s="147" t="e">
        <f t="shared" ca="1" si="9"/>
        <v>#NAME?</v>
      </c>
      <c r="AQ162" s="147" t="e">
        <f t="shared" si="10"/>
        <v>#N/A</v>
      </c>
      <c r="AR162" s="147"/>
      <c r="AS162" s="147"/>
      <c r="AT162" s="147"/>
      <c r="AU162" s="147"/>
      <c r="AV162" s="147"/>
      <c r="AW162" s="147"/>
      <c r="AX162" s="147"/>
      <c r="AY162" s="147"/>
      <c r="AZ162" s="147"/>
      <c r="BA162" s="147"/>
      <c r="BB162" s="147"/>
      <c r="BC162" s="147"/>
      <c r="BD162" s="147"/>
      <c r="BE162" s="147"/>
      <c r="BF162" s="147"/>
      <c r="BG162" s="147"/>
      <c r="BH162" s="147"/>
      <c r="BI162" s="147"/>
      <c r="BJ162" s="147"/>
      <c r="BK162" s="147"/>
      <c r="BL162" s="147"/>
      <c r="BM162" s="147"/>
      <c r="BN162" s="147"/>
      <c r="BO162" s="147"/>
      <c r="BP162" s="147"/>
      <c r="BQ162" s="147"/>
      <c r="BR162" s="147"/>
      <c r="BS162" s="147"/>
      <c r="BT162" s="147"/>
      <c r="BU162" s="147"/>
      <c r="BV162" s="147"/>
      <c r="BW162" s="147"/>
      <c r="BX162" s="147"/>
      <c r="BY162" s="147"/>
      <c r="BZ162" s="147"/>
      <c r="CA162" s="147"/>
      <c r="CB162" s="147"/>
      <c r="CC162" s="147"/>
      <c r="CD162" s="147"/>
      <c r="CE162" s="147"/>
      <c r="CF162" s="147"/>
      <c r="CG162" s="147"/>
      <c r="CH162" s="147"/>
      <c r="CI162" s="147"/>
      <c r="CJ162" s="147"/>
      <c r="CK162" s="147"/>
    </row>
    <row r="163" spans="1:89">
      <c r="A163" s="159" t="s">
        <v>522</v>
      </c>
      <c r="B163" s="3" t="s">
        <v>523</v>
      </c>
      <c r="C163" s="160" t="s">
        <v>66</v>
      </c>
      <c r="D163" s="160" t="s">
        <v>859</v>
      </c>
      <c r="E163" s="3" t="s">
        <v>21</v>
      </c>
      <c r="F163" s="3"/>
      <c r="G163" s="3"/>
      <c r="H163" s="156" t="str">
        <f ca="1">IFERROR(
  _xludf.MINIFS(ATTENDANCE_LOG!$F:$F,
         ATTENDANCE_LOG!$A:$A, C163,
         ATTENDANCE_LOG!$B:$B, E163),
"")</f>
        <v/>
      </c>
      <c r="I163" s="156" t="str">
        <f t="shared" ca="1" si="0"/>
        <v/>
      </c>
      <c r="J163" s="3" t="str">
        <f>IFERROR(VLOOKUP(F163, LEVEL_HELPER!$A:$B, 2, 0), "")</f>
        <v/>
      </c>
      <c r="K163" s="3" t="str">
        <f>IFERROR(VLOOKUP(G163, LEVEL_HELPER!$A:$B, 2, 0), "")</f>
        <v/>
      </c>
      <c r="L163" s="157" t="s">
        <v>942</v>
      </c>
      <c r="M163" s="157" t="s">
        <v>925</v>
      </c>
      <c r="N163" s="3" t="str">
        <f t="array" aca="1" ref="N163" ca="1">IFERROR(
  INDEX($J$2:$J$543,
    MATCH(A163&amp;TEXT(I163,"yyyy-mm-dd"),
          $A$2:$A$543&amp;TEXT($H$2:$H$543,"yyyy-mm-dd"),
          0)),
"")</f>
        <v/>
      </c>
      <c r="O163" s="147" t="str">
        <f t="shared" ca="1" si="1"/>
        <v/>
      </c>
      <c r="P163" s="147">
        <f t="shared" ref="P163:Q163" ca="1" si="172">IF(N163="",0,IF(N163&lt;=2,1,IF(N163&lt;=4,2,IF(N163&lt;=5.5,3,4))))</f>
        <v>0</v>
      </c>
      <c r="Q163" s="147">
        <f t="shared" ca="1" si="172"/>
        <v>0</v>
      </c>
      <c r="R163" s="147" t="str">
        <f t="shared" ca="1" si="3"/>
        <v>Not tested yet</v>
      </c>
      <c r="S163" s="147">
        <f t="shared" si="4"/>
        <v>1</v>
      </c>
      <c r="T163" s="147"/>
      <c r="U163" s="147"/>
      <c r="V163" s="148" t="e">
        <f ca="1"/>
        <v>#NAME?</v>
      </c>
      <c r="W163" s="147" t="e">
        <f t="shared" ca="1" si="5"/>
        <v>#NAME?</v>
      </c>
      <c r="X163" s="147" t="e">
        <f t="shared" ca="1" si="6"/>
        <v>#NAME?</v>
      </c>
      <c r="Y163" s="147" t="e">
        <f t="shared" ca="1" si="7"/>
        <v>#NAME?</v>
      </c>
      <c r="Z163" s="147"/>
      <c r="AA163" s="147"/>
      <c r="AB163" s="147"/>
      <c r="AC163" s="147"/>
      <c r="AD163" s="147"/>
      <c r="AE163" s="147"/>
      <c r="AF163" s="147"/>
      <c r="AG163" s="147"/>
      <c r="AH163" s="147"/>
      <c r="AI163" s="147"/>
      <c r="AJ163" s="147"/>
      <c r="AK163" s="147"/>
      <c r="AL163" s="147"/>
      <c r="AM163" s="151"/>
      <c r="AN163" s="147"/>
      <c r="AO163" s="147" t="e">
        <f t="shared" si="8"/>
        <v>#N/A</v>
      </c>
      <c r="AP163" s="147" t="e">
        <f t="shared" ca="1" si="9"/>
        <v>#NAME?</v>
      </c>
      <c r="AQ163" s="147" t="e">
        <f t="shared" si="10"/>
        <v>#N/A</v>
      </c>
      <c r="AR163" s="147"/>
      <c r="AS163" s="147"/>
      <c r="AT163" s="147"/>
      <c r="AU163" s="147"/>
      <c r="AV163" s="147"/>
      <c r="AW163" s="147"/>
      <c r="AX163" s="147"/>
      <c r="AY163" s="147"/>
      <c r="AZ163" s="147"/>
      <c r="BA163" s="147"/>
      <c r="BB163" s="147"/>
      <c r="BC163" s="147"/>
      <c r="BD163" s="147"/>
      <c r="BE163" s="147"/>
      <c r="BF163" s="147"/>
      <c r="BG163" s="147"/>
      <c r="BH163" s="147"/>
      <c r="BI163" s="147"/>
      <c r="BJ163" s="147"/>
      <c r="BK163" s="147"/>
      <c r="BL163" s="147"/>
      <c r="BM163" s="147"/>
      <c r="BN163" s="147"/>
      <c r="BO163" s="147"/>
      <c r="BP163" s="147"/>
      <c r="BQ163" s="147"/>
      <c r="BR163" s="147"/>
      <c r="BS163" s="147"/>
      <c r="BT163" s="147"/>
      <c r="BU163" s="147"/>
      <c r="BV163" s="147"/>
      <c r="BW163" s="147"/>
      <c r="BX163" s="147"/>
      <c r="BY163" s="147"/>
      <c r="BZ163" s="147"/>
      <c r="CA163" s="147"/>
      <c r="CB163" s="147"/>
      <c r="CC163" s="147"/>
      <c r="CD163" s="147"/>
      <c r="CE163" s="147"/>
      <c r="CF163" s="147"/>
      <c r="CG163" s="147"/>
      <c r="CH163" s="147"/>
      <c r="CI163" s="147"/>
      <c r="CJ163" s="147"/>
      <c r="CK163" s="147"/>
    </row>
    <row r="164" spans="1:89">
      <c r="A164" s="159" t="s">
        <v>589</v>
      </c>
      <c r="B164" s="3" t="s">
        <v>590</v>
      </c>
      <c r="C164" s="160" t="s">
        <v>66</v>
      </c>
      <c r="D164" s="160" t="s">
        <v>859</v>
      </c>
      <c r="E164" s="3" t="s">
        <v>21</v>
      </c>
      <c r="F164" s="3"/>
      <c r="G164" s="3"/>
      <c r="H164" s="156" t="str">
        <f ca="1">IFERROR(
  _xludf.MINIFS(ATTENDANCE_LOG!$F:$F,
         ATTENDANCE_LOG!$A:$A, C164,
         ATTENDANCE_LOG!$B:$B, E164),
"")</f>
        <v/>
      </c>
      <c r="I164" s="156" t="str">
        <f t="shared" ca="1" si="0"/>
        <v/>
      </c>
      <c r="J164" s="3" t="str">
        <f>IFERROR(VLOOKUP(F164, LEVEL_HELPER!$A:$B, 2, 0), "")</f>
        <v/>
      </c>
      <c r="K164" s="3" t="str">
        <f>IFERROR(VLOOKUP(G164, LEVEL_HELPER!$A:$B, 2, 0), "")</f>
        <v/>
      </c>
      <c r="L164" s="157" t="s">
        <v>942</v>
      </c>
      <c r="M164" s="157" t="s">
        <v>925</v>
      </c>
      <c r="N164" s="3" t="str">
        <f t="array" aca="1" ref="N164" ca="1">IFERROR(
  INDEX($J$2:$J$543,
    MATCH(A164&amp;TEXT(I164,"yyyy-mm-dd"),
          $A$2:$A$543&amp;TEXT($H$2:$H$543,"yyyy-mm-dd"),
          0)),
"")</f>
        <v/>
      </c>
      <c r="O164" s="147" t="str">
        <f t="shared" ca="1" si="1"/>
        <v/>
      </c>
      <c r="P164" s="147">
        <f t="shared" ref="P164:Q164" ca="1" si="173">IF(N164="",0,IF(N164&lt;=2,1,IF(N164&lt;=4,2,IF(N164&lt;=5.5,3,4))))</f>
        <v>0</v>
      </c>
      <c r="Q164" s="147">
        <f t="shared" ca="1" si="173"/>
        <v>0</v>
      </c>
      <c r="R164" s="147" t="str">
        <f t="shared" ca="1" si="3"/>
        <v>Not tested yet</v>
      </c>
      <c r="S164" s="147">
        <f t="shared" si="4"/>
        <v>1</v>
      </c>
      <c r="T164" s="147"/>
      <c r="U164" s="147"/>
      <c r="V164" s="148" t="e">
        <f ca="1"/>
        <v>#NAME?</v>
      </c>
      <c r="W164" s="147" t="e">
        <f t="shared" ca="1" si="5"/>
        <v>#NAME?</v>
      </c>
      <c r="X164" s="147" t="e">
        <f t="shared" ca="1" si="6"/>
        <v>#NAME?</v>
      </c>
      <c r="Y164" s="147" t="e">
        <f t="shared" ca="1" si="7"/>
        <v>#NAME?</v>
      </c>
      <c r="Z164" s="147"/>
      <c r="AA164" s="147"/>
      <c r="AB164" s="147"/>
      <c r="AC164" s="147"/>
      <c r="AD164" s="147"/>
      <c r="AE164" s="147"/>
      <c r="AF164" s="147"/>
      <c r="AG164" s="147"/>
      <c r="AH164" s="147"/>
      <c r="AI164" s="147"/>
      <c r="AJ164" s="147"/>
      <c r="AK164" s="147"/>
      <c r="AL164" s="147"/>
      <c r="AM164" s="151"/>
      <c r="AN164" s="147"/>
      <c r="AO164" s="147" t="e">
        <f t="shared" si="8"/>
        <v>#N/A</v>
      </c>
      <c r="AP164" s="147" t="e">
        <f t="shared" ca="1" si="9"/>
        <v>#NAME?</v>
      </c>
      <c r="AQ164" s="147" t="e">
        <f t="shared" si="10"/>
        <v>#N/A</v>
      </c>
      <c r="AR164" s="147"/>
      <c r="AS164" s="147"/>
      <c r="AT164" s="147"/>
      <c r="AU164" s="147"/>
      <c r="AV164" s="147"/>
      <c r="AW164" s="147"/>
      <c r="AX164" s="147"/>
      <c r="AY164" s="147"/>
      <c r="AZ164" s="147"/>
      <c r="BA164" s="147"/>
      <c r="BB164" s="147"/>
      <c r="BC164" s="147"/>
      <c r="BD164" s="147"/>
      <c r="BE164" s="147"/>
      <c r="BF164" s="147"/>
      <c r="BG164" s="147"/>
      <c r="BH164" s="147"/>
      <c r="BI164" s="147"/>
      <c r="BJ164" s="147"/>
      <c r="BK164" s="147"/>
      <c r="BL164" s="147"/>
      <c r="BM164" s="147"/>
      <c r="BN164" s="147"/>
      <c r="BO164" s="147"/>
      <c r="BP164" s="147"/>
      <c r="BQ164" s="147"/>
      <c r="BR164" s="147"/>
      <c r="BS164" s="147"/>
      <c r="BT164" s="147"/>
      <c r="BU164" s="147"/>
      <c r="BV164" s="147"/>
      <c r="BW164" s="147"/>
      <c r="BX164" s="147"/>
      <c r="BY164" s="147"/>
      <c r="BZ164" s="147"/>
      <c r="CA164" s="147"/>
      <c r="CB164" s="147"/>
      <c r="CC164" s="147"/>
      <c r="CD164" s="147"/>
      <c r="CE164" s="147"/>
      <c r="CF164" s="147"/>
      <c r="CG164" s="147"/>
      <c r="CH164" s="147"/>
      <c r="CI164" s="147"/>
      <c r="CJ164" s="147"/>
      <c r="CK164" s="147"/>
    </row>
    <row r="165" spans="1:89">
      <c r="A165" s="159" t="s">
        <v>645</v>
      </c>
      <c r="B165" s="3" t="s">
        <v>646</v>
      </c>
      <c r="C165" s="160" t="s">
        <v>66</v>
      </c>
      <c r="D165" s="160" t="s">
        <v>859</v>
      </c>
      <c r="E165" s="3" t="s">
        <v>21</v>
      </c>
      <c r="F165" s="3"/>
      <c r="G165" s="3"/>
      <c r="H165" s="156" t="str">
        <f ca="1">IFERROR(
  _xludf.MINIFS(ATTENDANCE_LOG!$F:$F,
         ATTENDANCE_LOG!$A:$A, C165,
         ATTENDANCE_LOG!$B:$B, E165),
"")</f>
        <v/>
      </c>
      <c r="I165" s="156" t="str">
        <f t="shared" ca="1" si="0"/>
        <v/>
      </c>
      <c r="J165" s="3" t="str">
        <f>IFERROR(VLOOKUP(F165, LEVEL_HELPER!$A:$B, 2, 0), "")</f>
        <v/>
      </c>
      <c r="K165" s="3" t="str">
        <f>IFERROR(VLOOKUP(G165, LEVEL_HELPER!$A:$B, 2, 0), "")</f>
        <v/>
      </c>
      <c r="L165" s="157" t="s">
        <v>942</v>
      </c>
      <c r="M165" s="157" t="s">
        <v>925</v>
      </c>
      <c r="N165" s="3" t="str">
        <f t="array" aca="1" ref="N165" ca="1">IFERROR(
  INDEX($J$2:$J$543,
    MATCH(A165&amp;TEXT(I165,"yyyy-mm-dd"),
          $A$2:$A$543&amp;TEXT($H$2:$H$543,"yyyy-mm-dd"),
          0)),
"")</f>
        <v/>
      </c>
      <c r="O165" s="147" t="str">
        <f t="shared" ca="1" si="1"/>
        <v/>
      </c>
      <c r="P165" s="147">
        <f t="shared" ref="P165:Q165" ca="1" si="174">IF(N165="",0,IF(N165&lt;=2,1,IF(N165&lt;=4,2,IF(N165&lt;=5.5,3,4))))</f>
        <v>0</v>
      </c>
      <c r="Q165" s="147">
        <f t="shared" ca="1" si="174"/>
        <v>0</v>
      </c>
      <c r="R165" s="147" t="str">
        <f t="shared" ca="1" si="3"/>
        <v>Not tested yet</v>
      </c>
      <c r="S165" s="147">
        <f t="shared" si="4"/>
        <v>1</v>
      </c>
      <c r="T165" s="147"/>
      <c r="U165" s="147"/>
      <c r="V165" s="148" t="e">
        <f ca="1"/>
        <v>#NAME?</v>
      </c>
      <c r="W165" s="147" t="e">
        <f t="shared" ca="1" si="5"/>
        <v>#NAME?</v>
      </c>
      <c r="X165" s="147" t="e">
        <f t="shared" ca="1" si="6"/>
        <v>#NAME?</v>
      </c>
      <c r="Y165" s="147" t="e">
        <f t="shared" ca="1" si="7"/>
        <v>#NAME?</v>
      </c>
      <c r="Z165" s="147"/>
      <c r="AA165" s="147"/>
      <c r="AB165" s="147"/>
      <c r="AC165" s="147"/>
      <c r="AD165" s="147"/>
      <c r="AE165" s="147"/>
      <c r="AF165" s="147"/>
      <c r="AG165" s="147"/>
      <c r="AH165" s="147"/>
      <c r="AI165" s="147"/>
      <c r="AJ165" s="147"/>
      <c r="AK165" s="147"/>
      <c r="AL165" s="147"/>
      <c r="AM165" s="151"/>
      <c r="AN165" s="147"/>
      <c r="AO165" s="147" t="e">
        <f t="shared" si="8"/>
        <v>#N/A</v>
      </c>
      <c r="AP165" s="147" t="e">
        <f t="shared" ca="1" si="9"/>
        <v>#NAME?</v>
      </c>
      <c r="AQ165" s="147" t="e">
        <f t="shared" si="10"/>
        <v>#N/A</v>
      </c>
      <c r="AR165" s="147"/>
      <c r="AS165" s="147"/>
      <c r="AT165" s="147"/>
      <c r="AU165" s="147"/>
      <c r="AV165" s="147"/>
      <c r="AW165" s="147"/>
      <c r="AX165" s="147"/>
      <c r="AY165" s="147"/>
      <c r="AZ165" s="147"/>
      <c r="BA165" s="147"/>
      <c r="BB165" s="147"/>
      <c r="BC165" s="147"/>
      <c r="BD165" s="147"/>
      <c r="BE165" s="147"/>
      <c r="BF165" s="147"/>
      <c r="BG165" s="147"/>
      <c r="BH165" s="147"/>
      <c r="BI165" s="147"/>
      <c r="BJ165" s="147"/>
      <c r="BK165" s="147"/>
      <c r="BL165" s="147"/>
      <c r="BM165" s="147"/>
      <c r="BN165" s="147"/>
      <c r="BO165" s="147"/>
      <c r="BP165" s="147"/>
      <c r="BQ165" s="147"/>
      <c r="BR165" s="147"/>
      <c r="BS165" s="147"/>
      <c r="BT165" s="147"/>
      <c r="BU165" s="147"/>
      <c r="BV165" s="147"/>
      <c r="BW165" s="147"/>
      <c r="BX165" s="147"/>
      <c r="BY165" s="147"/>
      <c r="BZ165" s="147"/>
      <c r="CA165" s="147"/>
      <c r="CB165" s="147"/>
      <c r="CC165" s="147"/>
      <c r="CD165" s="147"/>
      <c r="CE165" s="147"/>
      <c r="CF165" s="147"/>
      <c r="CG165" s="147"/>
      <c r="CH165" s="147"/>
      <c r="CI165" s="147"/>
      <c r="CJ165" s="147"/>
      <c r="CK165" s="147"/>
    </row>
    <row r="166" spans="1:89">
      <c r="A166" s="153" t="s">
        <v>142</v>
      </c>
      <c r="B166" s="154" t="s">
        <v>143</v>
      </c>
      <c r="C166" s="155" t="s">
        <v>67</v>
      </c>
      <c r="D166" s="155" t="s">
        <v>860</v>
      </c>
      <c r="E166" s="154" t="s">
        <v>21</v>
      </c>
      <c r="F166" s="3" t="s">
        <v>916</v>
      </c>
      <c r="G166" s="3" t="s">
        <v>916</v>
      </c>
      <c r="H166" s="156" t="str">
        <f ca="1">IFERROR(
  _xludf.MINIFS(ATTENDANCE_LOG!$F:$F,
         ATTENDANCE_LOG!$A:$A, C166,
         ATTENDANCE_LOG!$B:$B, E166),
"")</f>
        <v/>
      </c>
      <c r="I166" s="156" t="str">
        <f t="shared" ca="1" si="0"/>
        <v/>
      </c>
      <c r="J166" s="3">
        <f>IFERROR(VLOOKUP(F166, LEVEL_HELPER!$A:$B, 2, 0), "")</f>
        <v>2.5</v>
      </c>
      <c r="K166" s="3">
        <f>IFERROR(VLOOKUP(G166, LEVEL_HELPER!$A:$B, 2, 0), "")</f>
        <v>2.5</v>
      </c>
      <c r="L166" s="157" t="s">
        <v>947</v>
      </c>
      <c r="M166" s="157" t="s">
        <v>920</v>
      </c>
      <c r="N166" s="3">
        <f t="array" aca="1" ref="N166" ca="1">IFERROR(
  INDEX($J$2:$J$543,
    MATCH(A166&amp;TEXT(I166,"yyyy-mm-dd"),
          $A$2:$A$543&amp;TEXT($H$2:$H$543,"yyyy-mm-dd"),
          0)),
"")</f>
        <v>2.5</v>
      </c>
      <c r="O166" s="147" t="str">
        <f t="shared" ca="1" si="1"/>
        <v/>
      </c>
      <c r="P166" s="147">
        <f t="shared" ref="P166:Q166" ca="1" si="175">IF(N166="",0,IF(N166&lt;=2,1,IF(N166&lt;=4,2,IF(N166&lt;=5.5,3,4))))</f>
        <v>2</v>
      </c>
      <c r="Q166" s="147">
        <f t="shared" ca="1" si="175"/>
        <v>0</v>
      </c>
      <c r="R166" s="147" t="str">
        <f t="shared" ca="1" si="3"/>
        <v>Not tested yet</v>
      </c>
      <c r="S166" s="147">
        <f t="shared" si="4"/>
        <v>1</v>
      </c>
      <c r="T166" s="147"/>
      <c r="U166" s="147"/>
      <c r="V166" s="148" t="e">
        <f ca="1"/>
        <v>#NAME?</v>
      </c>
      <c r="W166" s="147" t="e">
        <f t="shared" ca="1" si="5"/>
        <v>#NAME?</v>
      </c>
      <c r="X166" s="147" t="e">
        <f t="shared" ca="1" si="6"/>
        <v>#NAME?</v>
      </c>
      <c r="Y166" s="147" t="e">
        <f t="shared" ca="1" si="7"/>
        <v>#NAME?</v>
      </c>
      <c r="Z166" s="147"/>
      <c r="AA166" s="147"/>
      <c r="AB166" s="147"/>
      <c r="AC166" s="147"/>
      <c r="AD166" s="147"/>
      <c r="AE166" s="147"/>
      <c r="AF166" s="147"/>
      <c r="AG166" s="147"/>
      <c r="AH166" s="147"/>
      <c r="AI166" s="147"/>
      <c r="AJ166" s="147"/>
      <c r="AK166" s="147"/>
      <c r="AL166" s="147"/>
      <c r="AM166" s="151"/>
      <c r="AN166" s="147"/>
      <c r="AO166" s="147" t="e">
        <f t="shared" si="8"/>
        <v>#N/A</v>
      </c>
      <c r="AP166" s="147" t="e">
        <f t="shared" ca="1" si="9"/>
        <v>#NAME?</v>
      </c>
      <c r="AQ166" s="147" t="e">
        <f t="shared" si="10"/>
        <v>#N/A</v>
      </c>
      <c r="AR166" s="147"/>
      <c r="AS166" s="147"/>
      <c r="AT166" s="147"/>
      <c r="AU166" s="147"/>
      <c r="AV166" s="147"/>
      <c r="AW166" s="147"/>
      <c r="AX166" s="147"/>
      <c r="AY166" s="147"/>
      <c r="AZ166" s="147"/>
      <c r="BA166" s="147"/>
      <c r="BB166" s="147"/>
      <c r="BC166" s="147"/>
      <c r="BD166" s="147"/>
      <c r="BE166" s="147"/>
      <c r="BF166" s="147"/>
      <c r="BG166" s="147"/>
      <c r="BH166" s="147"/>
      <c r="BI166" s="147"/>
      <c r="BJ166" s="147"/>
      <c r="BK166" s="147"/>
      <c r="BL166" s="147"/>
      <c r="BM166" s="147"/>
      <c r="BN166" s="147"/>
      <c r="BO166" s="147"/>
      <c r="BP166" s="147"/>
      <c r="BQ166" s="147"/>
      <c r="BR166" s="147"/>
      <c r="BS166" s="147"/>
      <c r="BT166" s="147"/>
      <c r="BU166" s="147"/>
      <c r="BV166" s="147"/>
      <c r="BW166" s="147"/>
      <c r="BX166" s="147"/>
      <c r="BY166" s="147"/>
      <c r="BZ166" s="147"/>
      <c r="CA166" s="147"/>
      <c r="CB166" s="147"/>
      <c r="CC166" s="147"/>
      <c r="CD166" s="147"/>
      <c r="CE166" s="147"/>
      <c r="CF166" s="147"/>
      <c r="CG166" s="147"/>
      <c r="CH166" s="147"/>
      <c r="CI166" s="147"/>
      <c r="CJ166" s="147"/>
      <c r="CK166" s="147"/>
    </row>
    <row r="167" spans="1:89">
      <c r="A167" s="159" t="s">
        <v>204</v>
      </c>
      <c r="B167" s="3" t="s">
        <v>205</v>
      </c>
      <c r="C167" s="160" t="s">
        <v>67</v>
      </c>
      <c r="D167" s="160" t="s">
        <v>860</v>
      </c>
      <c r="E167" s="3" t="s">
        <v>21</v>
      </c>
      <c r="F167" s="3"/>
      <c r="G167" s="3"/>
      <c r="H167" s="156" t="str">
        <f ca="1">IFERROR(
  _xludf.MINIFS(ATTENDANCE_LOG!$F:$F,
         ATTENDANCE_LOG!$A:$A, C167,
         ATTENDANCE_LOG!$B:$B, E167),
"")</f>
        <v/>
      </c>
      <c r="I167" s="156" t="str">
        <f t="shared" ca="1" si="0"/>
        <v/>
      </c>
      <c r="J167" s="3" t="str">
        <f>IFERROR(VLOOKUP(F167, LEVEL_HELPER!$A:$B, 2, 0), "")</f>
        <v/>
      </c>
      <c r="K167" s="3" t="str">
        <f>IFERROR(VLOOKUP(G167, LEVEL_HELPER!$A:$B, 2, 0), "")</f>
        <v/>
      </c>
      <c r="L167" s="157" t="s">
        <v>947</v>
      </c>
      <c r="M167" s="157" t="s">
        <v>922</v>
      </c>
      <c r="N167" s="3" t="str">
        <f t="array" aca="1" ref="N167" ca="1">IFERROR(
  INDEX($J$2:$J$543,
    MATCH(A167&amp;TEXT(I167,"yyyy-mm-dd"),
          $A$2:$A$543&amp;TEXT($H$2:$H$543,"yyyy-mm-dd"),
          0)),
"")</f>
        <v/>
      </c>
      <c r="O167" s="147" t="str">
        <f t="shared" ca="1" si="1"/>
        <v/>
      </c>
      <c r="P167" s="147">
        <f t="shared" ref="P167:Q167" ca="1" si="176">IF(N167="",0,IF(N167&lt;=2,1,IF(N167&lt;=4,2,IF(N167&lt;=5.5,3,4))))</f>
        <v>0</v>
      </c>
      <c r="Q167" s="147">
        <f t="shared" ca="1" si="176"/>
        <v>0</v>
      </c>
      <c r="R167" s="147" t="str">
        <f t="shared" ca="1" si="3"/>
        <v>Not tested yet</v>
      </c>
      <c r="S167" s="147">
        <f t="shared" si="4"/>
        <v>1</v>
      </c>
      <c r="T167" s="147"/>
      <c r="U167" s="147"/>
      <c r="V167" s="148" t="e">
        <f ca="1"/>
        <v>#NAME?</v>
      </c>
      <c r="W167" s="147" t="e">
        <f t="shared" ca="1" si="5"/>
        <v>#NAME?</v>
      </c>
      <c r="X167" s="147" t="e">
        <f t="shared" ca="1" si="6"/>
        <v>#NAME?</v>
      </c>
      <c r="Y167" s="147" t="e">
        <f t="shared" ca="1" si="7"/>
        <v>#NAME?</v>
      </c>
      <c r="Z167" s="147"/>
      <c r="AA167" s="147"/>
      <c r="AB167" s="147"/>
      <c r="AC167" s="147"/>
      <c r="AD167" s="147"/>
      <c r="AE167" s="147"/>
      <c r="AF167" s="147"/>
      <c r="AG167" s="147"/>
      <c r="AH167" s="147"/>
      <c r="AI167" s="147"/>
      <c r="AJ167" s="147"/>
      <c r="AK167" s="147"/>
      <c r="AL167" s="147"/>
      <c r="AM167" s="151"/>
      <c r="AN167" s="147"/>
      <c r="AO167" s="147" t="e">
        <f t="shared" si="8"/>
        <v>#N/A</v>
      </c>
      <c r="AP167" s="147" t="e">
        <f t="shared" ca="1" si="9"/>
        <v>#NAME?</v>
      </c>
      <c r="AQ167" s="147" t="e">
        <f t="shared" si="10"/>
        <v>#N/A</v>
      </c>
      <c r="AR167" s="147"/>
      <c r="AS167" s="147"/>
      <c r="AT167" s="147"/>
      <c r="AU167" s="147"/>
      <c r="AV167" s="147"/>
      <c r="AW167" s="147"/>
      <c r="AX167" s="147"/>
      <c r="AY167" s="147"/>
      <c r="AZ167" s="147"/>
      <c r="BA167" s="147"/>
      <c r="BB167" s="147"/>
      <c r="BC167" s="147"/>
      <c r="BD167" s="147"/>
      <c r="BE167" s="147"/>
      <c r="BF167" s="147"/>
      <c r="BG167" s="147"/>
      <c r="BH167" s="147"/>
      <c r="BI167" s="147"/>
      <c r="BJ167" s="147"/>
      <c r="BK167" s="147"/>
      <c r="BL167" s="147"/>
      <c r="BM167" s="147"/>
      <c r="BN167" s="147"/>
      <c r="BO167" s="147"/>
      <c r="BP167" s="147"/>
      <c r="BQ167" s="147"/>
      <c r="BR167" s="147"/>
      <c r="BS167" s="147"/>
      <c r="BT167" s="147"/>
      <c r="BU167" s="147"/>
      <c r="BV167" s="147"/>
      <c r="BW167" s="147"/>
      <c r="BX167" s="147"/>
      <c r="BY167" s="147"/>
      <c r="BZ167" s="147"/>
      <c r="CA167" s="147"/>
      <c r="CB167" s="147"/>
      <c r="CC167" s="147"/>
      <c r="CD167" s="147"/>
      <c r="CE167" s="147"/>
      <c r="CF167" s="147"/>
      <c r="CG167" s="147"/>
      <c r="CH167" s="147"/>
      <c r="CI167" s="147"/>
      <c r="CJ167" s="147"/>
      <c r="CK167" s="147"/>
    </row>
    <row r="168" spans="1:89">
      <c r="A168" s="159" t="s">
        <v>222</v>
      </c>
      <c r="B168" s="3" t="s">
        <v>223</v>
      </c>
      <c r="C168" s="160" t="s">
        <v>67</v>
      </c>
      <c r="D168" s="160" t="s">
        <v>860</v>
      </c>
      <c r="E168" s="3" t="s">
        <v>21</v>
      </c>
      <c r="F168" s="3" t="s">
        <v>926</v>
      </c>
      <c r="G168" s="3" t="s">
        <v>926</v>
      </c>
      <c r="H168" s="156" t="str">
        <f ca="1">IFERROR(
  _xludf.MINIFS(ATTENDANCE_LOG!$F:$F,
         ATTENDANCE_LOG!$A:$A, C168,
         ATTENDANCE_LOG!$B:$B, E168),
"")</f>
        <v/>
      </c>
      <c r="I168" s="156" t="str">
        <f t="shared" ca="1" si="0"/>
        <v/>
      </c>
      <c r="J168" s="3">
        <f>IFERROR(VLOOKUP(F168, LEVEL_HELPER!$A:$B, 2, 0), "")</f>
        <v>1</v>
      </c>
      <c r="K168" s="3">
        <f>IFERROR(VLOOKUP(G168, LEVEL_HELPER!$A:$B, 2, 0), "")</f>
        <v>1</v>
      </c>
      <c r="L168" s="157" t="s">
        <v>947</v>
      </c>
      <c r="M168" s="157" t="s">
        <v>920</v>
      </c>
      <c r="N168" s="3">
        <f t="array" aca="1" ref="N168" ca="1">IFERROR(
  INDEX($J$2:$J$543,
    MATCH(A168&amp;TEXT(I168,"yyyy-mm-dd"),
          $A$2:$A$543&amp;TEXT($H$2:$H$543,"yyyy-mm-dd"),
          0)),
"")</f>
        <v>1</v>
      </c>
      <c r="O168" s="147" t="str">
        <f t="shared" ca="1" si="1"/>
        <v/>
      </c>
      <c r="P168" s="147">
        <f t="shared" ref="P168:Q168" ca="1" si="177">IF(N168="",0,IF(N168&lt;=2,1,IF(N168&lt;=4,2,IF(N168&lt;=5.5,3,4))))</f>
        <v>1</v>
      </c>
      <c r="Q168" s="147">
        <f t="shared" ca="1" si="177"/>
        <v>0</v>
      </c>
      <c r="R168" s="147" t="str">
        <f t="shared" ca="1" si="3"/>
        <v>Not tested yet</v>
      </c>
      <c r="S168" s="147">
        <f t="shared" si="4"/>
        <v>1</v>
      </c>
      <c r="T168" s="147"/>
      <c r="U168" s="147"/>
      <c r="V168" s="148" t="e">
        <f ca="1"/>
        <v>#NAME?</v>
      </c>
      <c r="W168" s="147" t="e">
        <f t="shared" ca="1" si="5"/>
        <v>#NAME?</v>
      </c>
      <c r="X168" s="147" t="e">
        <f t="shared" ca="1" si="6"/>
        <v>#NAME?</v>
      </c>
      <c r="Y168" s="147" t="e">
        <f t="shared" ca="1" si="7"/>
        <v>#NAME?</v>
      </c>
      <c r="Z168" s="147"/>
      <c r="AA168" s="147"/>
      <c r="AB168" s="147"/>
      <c r="AC168" s="147"/>
      <c r="AD168" s="147"/>
      <c r="AE168" s="147"/>
      <c r="AF168" s="147"/>
      <c r="AG168" s="147"/>
      <c r="AH168" s="147"/>
      <c r="AI168" s="147"/>
      <c r="AJ168" s="147"/>
      <c r="AK168" s="147"/>
      <c r="AL168" s="147"/>
      <c r="AM168" s="151"/>
      <c r="AN168" s="147"/>
      <c r="AO168" s="147" t="e">
        <f t="shared" si="8"/>
        <v>#N/A</v>
      </c>
      <c r="AP168" s="147" t="e">
        <f t="shared" ca="1" si="9"/>
        <v>#NAME?</v>
      </c>
      <c r="AQ168" s="147" t="e">
        <f t="shared" si="10"/>
        <v>#N/A</v>
      </c>
      <c r="AR168" s="147"/>
      <c r="AS168" s="147"/>
      <c r="AT168" s="147"/>
      <c r="AU168" s="147"/>
      <c r="AV168" s="147"/>
      <c r="AW168" s="147"/>
      <c r="AX168" s="147"/>
      <c r="AY168" s="147"/>
      <c r="AZ168" s="147"/>
      <c r="BA168" s="147"/>
      <c r="BB168" s="147"/>
      <c r="BC168" s="147"/>
      <c r="BD168" s="147"/>
      <c r="BE168" s="147"/>
      <c r="BF168" s="147"/>
      <c r="BG168" s="147"/>
      <c r="BH168" s="147"/>
      <c r="BI168" s="147"/>
      <c r="BJ168" s="147"/>
      <c r="BK168" s="147"/>
      <c r="BL168" s="147"/>
      <c r="BM168" s="147"/>
      <c r="BN168" s="147"/>
      <c r="BO168" s="147"/>
      <c r="BP168" s="147"/>
      <c r="BQ168" s="147"/>
      <c r="BR168" s="147"/>
      <c r="BS168" s="147"/>
      <c r="BT168" s="147"/>
      <c r="BU168" s="147"/>
      <c r="BV168" s="147"/>
      <c r="BW168" s="147"/>
      <c r="BX168" s="147"/>
      <c r="BY168" s="147"/>
      <c r="BZ168" s="147"/>
      <c r="CA168" s="147"/>
      <c r="CB168" s="147"/>
      <c r="CC168" s="147"/>
      <c r="CD168" s="147"/>
      <c r="CE168" s="147"/>
      <c r="CF168" s="147"/>
      <c r="CG168" s="147"/>
      <c r="CH168" s="147"/>
      <c r="CI168" s="147"/>
      <c r="CJ168" s="147"/>
      <c r="CK168" s="147"/>
    </row>
    <row r="169" spans="1:89">
      <c r="A169" s="159" t="s">
        <v>292</v>
      </c>
      <c r="B169" s="3" t="s">
        <v>293</v>
      </c>
      <c r="C169" s="160" t="s">
        <v>67</v>
      </c>
      <c r="D169" s="160" t="s">
        <v>860</v>
      </c>
      <c r="E169" s="3" t="s">
        <v>21</v>
      </c>
      <c r="F169" s="3" t="s">
        <v>926</v>
      </c>
      <c r="G169" s="3" t="s">
        <v>916</v>
      </c>
      <c r="H169" s="156" t="str">
        <f ca="1">IFERROR(
  _xludf.MINIFS(ATTENDANCE_LOG!$F:$F,
         ATTENDANCE_LOG!$A:$A, C169,
         ATTENDANCE_LOG!$B:$B, E169),
"")</f>
        <v/>
      </c>
      <c r="I169" s="156" t="str">
        <f t="shared" ca="1" si="0"/>
        <v/>
      </c>
      <c r="J169" s="3">
        <f>IFERROR(VLOOKUP(F169, LEVEL_HELPER!$A:$B, 2, 0), "")</f>
        <v>1</v>
      </c>
      <c r="K169" s="3">
        <f>IFERROR(VLOOKUP(G169, LEVEL_HELPER!$A:$B, 2, 0), "")</f>
        <v>2.5</v>
      </c>
      <c r="L169" s="157" t="s">
        <v>947</v>
      </c>
      <c r="M169" s="157" t="s">
        <v>920</v>
      </c>
      <c r="N169" s="3">
        <f t="array" aca="1" ref="N169" ca="1">IFERROR(
  INDEX($J$2:$J$543,
    MATCH(A169&amp;TEXT(I169,"yyyy-mm-dd"),
          $A$2:$A$543&amp;TEXT($H$2:$H$543,"yyyy-mm-dd"),
          0)),
"")</f>
        <v>1</v>
      </c>
      <c r="O169" s="147" t="str">
        <f t="shared" ca="1" si="1"/>
        <v/>
      </c>
      <c r="P169" s="147">
        <f t="shared" ref="P169:Q169" ca="1" si="178">IF(N169="",0,IF(N169&lt;=2,1,IF(N169&lt;=4,2,IF(N169&lt;=5.5,3,4))))</f>
        <v>1</v>
      </c>
      <c r="Q169" s="147">
        <f t="shared" ca="1" si="178"/>
        <v>0</v>
      </c>
      <c r="R169" s="147" t="str">
        <f t="shared" ca="1" si="3"/>
        <v>Not tested yet</v>
      </c>
      <c r="S169" s="147">
        <f t="shared" si="4"/>
        <v>1</v>
      </c>
      <c r="T169" s="147"/>
      <c r="U169" s="147"/>
      <c r="V169" s="148" t="e">
        <f ca="1"/>
        <v>#NAME?</v>
      </c>
      <c r="W169" s="147" t="e">
        <f t="shared" ca="1" si="5"/>
        <v>#NAME?</v>
      </c>
      <c r="X169" s="147" t="e">
        <f t="shared" ca="1" si="6"/>
        <v>#NAME?</v>
      </c>
      <c r="Y169" s="147" t="e">
        <f t="shared" ca="1" si="7"/>
        <v>#NAME?</v>
      </c>
      <c r="Z169" s="147"/>
      <c r="AA169" s="147"/>
      <c r="AB169" s="147"/>
      <c r="AC169" s="147"/>
      <c r="AD169" s="147"/>
      <c r="AE169" s="147"/>
      <c r="AF169" s="147"/>
      <c r="AG169" s="147"/>
      <c r="AH169" s="147"/>
      <c r="AI169" s="147"/>
      <c r="AJ169" s="147"/>
      <c r="AK169" s="147"/>
      <c r="AL169" s="147"/>
      <c r="AM169" s="151"/>
      <c r="AN169" s="147"/>
      <c r="AO169" s="147" t="e">
        <f t="shared" si="8"/>
        <v>#N/A</v>
      </c>
      <c r="AP169" s="147" t="e">
        <f t="shared" ca="1" si="9"/>
        <v>#NAME?</v>
      </c>
      <c r="AQ169" s="147" t="e">
        <f t="shared" si="10"/>
        <v>#N/A</v>
      </c>
      <c r="AR169" s="147"/>
      <c r="AS169" s="147"/>
      <c r="AT169" s="147"/>
      <c r="AU169" s="147"/>
      <c r="AV169" s="147"/>
      <c r="AW169" s="147"/>
      <c r="AX169" s="147"/>
      <c r="AY169" s="147"/>
      <c r="AZ169" s="147"/>
      <c r="BA169" s="147"/>
      <c r="BB169" s="147"/>
      <c r="BC169" s="147"/>
      <c r="BD169" s="147"/>
      <c r="BE169" s="147"/>
      <c r="BF169" s="147"/>
      <c r="BG169" s="147"/>
      <c r="BH169" s="147"/>
      <c r="BI169" s="147"/>
      <c r="BJ169" s="147"/>
      <c r="BK169" s="147"/>
      <c r="BL169" s="147"/>
      <c r="BM169" s="147"/>
      <c r="BN169" s="147"/>
      <c r="BO169" s="147"/>
      <c r="BP169" s="147"/>
      <c r="BQ169" s="147"/>
      <c r="BR169" s="147"/>
      <c r="BS169" s="147"/>
      <c r="BT169" s="147"/>
      <c r="BU169" s="147"/>
      <c r="BV169" s="147"/>
      <c r="BW169" s="147"/>
      <c r="BX169" s="147"/>
      <c r="BY169" s="147"/>
      <c r="BZ169" s="147"/>
      <c r="CA169" s="147"/>
      <c r="CB169" s="147"/>
      <c r="CC169" s="147"/>
      <c r="CD169" s="147"/>
      <c r="CE169" s="147"/>
      <c r="CF169" s="147"/>
      <c r="CG169" s="147"/>
      <c r="CH169" s="147"/>
      <c r="CI169" s="147"/>
      <c r="CJ169" s="147"/>
      <c r="CK169" s="147"/>
    </row>
    <row r="170" spans="1:89">
      <c r="A170" s="159" t="s">
        <v>348</v>
      </c>
      <c r="B170" s="3" t="s">
        <v>349</v>
      </c>
      <c r="C170" s="160" t="s">
        <v>67</v>
      </c>
      <c r="D170" s="160" t="s">
        <v>860</v>
      </c>
      <c r="E170" s="3" t="s">
        <v>21</v>
      </c>
      <c r="F170" s="3" t="s">
        <v>916</v>
      </c>
      <c r="G170" s="3" t="s">
        <v>931</v>
      </c>
      <c r="H170" s="156" t="str">
        <f ca="1">IFERROR(
  _xludf.MINIFS(ATTENDANCE_LOG!$F:$F,
         ATTENDANCE_LOG!$A:$A, C170,
         ATTENDANCE_LOG!$B:$B, E170),
"")</f>
        <v/>
      </c>
      <c r="I170" s="156" t="str">
        <f t="shared" ca="1" si="0"/>
        <v/>
      </c>
      <c r="J170" s="3">
        <f>IFERROR(VLOOKUP(F170, LEVEL_HELPER!$A:$B, 2, 0), "")</f>
        <v>2.5</v>
      </c>
      <c r="K170" s="3">
        <f>IFERROR(VLOOKUP(G170, LEVEL_HELPER!$A:$B, 2, 0), "")</f>
        <v>4.5</v>
      </c>
      <c r="L170" s="157" t="s">
        <v>947</v>
      </c>
      <c r="M170" s="157" t="s">
        <v>920</v>
      </c>
      <c r="N170" s="3">
        <f t="array" aca="1" ref="N170" ca="1">IFERROR(
  INDEX($J$2:$J$543,
    MATCH(A170&amp;TEXT(I170,"yyyy-mm-dd"),
          $A$2:$A$543&amp;TEXT($H$2:$H$543,"yyyy-mm-dd"),
          0)),
"")</f>
        <v>2.5</v>
      </c>
      <c r="O170" s="147" t="str">
        <f t="shared" ca="1" si="1"/>
        <v/>
      </c>
      <c r="P170" s="147">
        <f t="shared" ref="P170:Q170" ca="1" si="179">IF(N170="",0,IF(N170&lt;=2,1,IF(N170&lt;=4,2,IF(N170&lt;=5.5,3,4))))</f>
        <v>2</v>
      </c>
      <c r="Q170" s="147">
        <f t="shared" ca="1" si="179"/>
        <v>0</v>
      </c>
      <c r="R170" s="147" t="str">
        <f t="shared" ca="1" si="3"/>
        <v>Not tested yet</v>
      </c>
      <c r="S170" s="147">
        <f t="shared" si="4"/>
        <v>1</v>
      </c>
      <c r="T170" s="147"/>
      <c r="U170" s="147"/>
      <c r="V170" s="148" t="e">
        <f ca="1"/>
        <v>#NAME?</v>
      </c>
      <c r="W170" s="147" t="e">
        <f t="shared" ca="1" si="5"/>
        <v>#NAME?</v>
      </c>
      <c r="X170" s="147" t="e">
        <f t="shared" ca="1" si="6"/>
        <v>#NAME?</v>
      </c>
      <c r="Y170" s="147" t="e">
        <f t="shared" ca="1" si="7"/>
        <v>#NAME?</v>
      </c>
      <c r="Z170" s="147"/>
      <c r="AA170" s="147"/>
      <c r="AB170" s="147"/>
      <c r="AC170" s="147"/>
      <c r="AD170" s="147"/>
      <c r="AE170" s="147"/>
      <c r="AF170" s="147"/>
      <c r="AG170" s="147"/>
      <c r="AH170" s="147"/>
      <c r="AI170" s="147"/>
      <c r="AJ170" s="147"/>
      <c r="AK170" s="147"/>
      <c r="AL170" s="147"/>
      <c r="AM170" s="151"/>
      <c r="AN170" s="147"/>
      <c r="AO170" s="147" t="e">
        <f t="shared" si="8"/>
        <v>#N/A</v>
      </c>
      <c r="AP170" s="147" t="e">
        <f t="shared" ca="1" si="9"/>
        <v>#NAME?</v>
      </c>
      <c r="AQ170" s="147" t="e">
        <f t="shared" si="10"/>
        <v>#N/A</v>
      </c>
      <c r="AR170" s="147"/>
      <c r="AS170" s="147"/>
      <c r="AT170" s="147"/>
      <c r="AU170" s="147"/>
      <c r="AV170" s="147"/>
      <c r="AW170" s="147"/>
      <c r="AX170" s="147"/>
      <c r="AY170" s="147"/>
      <c r="AZ170" s="147"/>
      <c r="BA170" s="147"/>
      <c r="BB170" s="147"/>
      <c r="BC170" s="147"/>
      <c r="BD170" s="147"/>
      <c r="BE170" s="147"/>
      <c r="BF170" s="147"/>
      <c r="BG170" s="147"/>
      <c r="BH170" s="147"/>
      <c r="BI170" s="147"/>
      <c r="BJ170" s="147"/>
      <c r="BK170" s="147"/>
      <c r="BL170" s="147"/>
      <c r="BM170" s="147"/>
      <c r="BN170" s="147"/>
      <c r="BO170" s="147"/>
      <c r="BP170" s="147"/>
      <c r="BQ170" s="147"/>
      <c r="BR170" s="147"/>
      <c r="BS170" s="147"/>
      <c r="BT170" s="147"/>
      <c r="BU170" s="147"/>
      <c r="BV170" s="147"/>
      <c r="BW170" s="147"/>
      <c r="BX170" s="147"/>
      <c r="BY170" s="147"/>
      <c r="BZ170" s="147"/>
      <c r="CA170" s="147"/>
      <c r="CB170" s="147"/>
      <c r="CC170" s="147"/>
      <c r="CD170" s="147"/>
      <c r="CE170" s="147"/>
      <c r="CF170" s="147"/>
      <c r="CG170" s="147"/>
      <c r="CH170" s="147"/>
      <c r="CI170" s="147"/>
      <c r="CJ170" s="147"/>
      <c r="CK170" s="147"/>
    </row>
    <row r="171" spans="1:89">
      <c r="A171" s="159" t="s">
        <v>480</v>
      </c>
      <c r="B171" s="3" t="s">
        <v>481</v>
      </c>
      <c r="C171" s="160" t="s">
        <v>67</v>
      </c>
      <c r="D171" s="160" t="s">
        <v>860</v>
      </c>
      <c r="E171" s="3" t="s">
        <v>21</v>
      </c>
      <c r="F171" s="3" t="s">
        <v>926</v>
      </c>
      <c r="G171" s="3" t="s">
        <v>926</v>
      </c>
      <c r="H171" s="156" t="str">
        <f ca="1">IFERROR(
  _xludf.MINIFS(ATTENDANCE_LOG!$F:$F,
         ATTENDANCE_LOG!$A:$A, C171,
         ATTENDANCE_LOG!$B:$B, E171),
"")</f>
        <v/>
      </c>
      <c r="I171" s="156" t="str">
        <f t="shared" ca="1" si="0"/>
        <v/>
      </c>
      <c r="J171" s="3">
        <f>IFERROR(VLOOKUP(F171, LEVEL_HELPER!$A:$B, 2, 0), "")</f>
        <v>1</v>
      </c>
      <c r="K171" s="3">
        <f>IFERROR(VLOOKUP(G171, LEVEL_HELPER!$A:$B, 2, 0), "")</f>
        <v>1</v>
      </c>
      <c r="L171" s="157" t="s">
        <v>947</v>
      </c>
      <c r="M171" s="157" t="s">
        <v>920</v>
      </c>
      <c r="N171" s="3">
        <f t="array" aca="1" ref="N171" ca="1">IFERROR(
  INDEX($J$2:$J$543,
    MATCH(A171&amp;TEXT(I171,"yyyy-mm-dd"),
          $A$2:$A$543&amp;TEXT($H$2:$H$543,"yyyy-mm-dd"),
          0)),
"")</f>
        <v>1</v>
      </c>
      <c r="O171" s="147" t="str">
        <f t="shared" ca="1" si="1"/>
        <v/>
      </c>
      <c r="P171" s="147">
        <f t="shared" ref="P171:Q171" ca="1" si="180">IF(N171="",0,IF(N171&lt;=2,1,IF(N171&lt;=4,2,IF(N171&lt;=5.5,3,4))))</f>
        <v>1</v>
      </c>
      <c r="Q171" s="147">
        <f t="shared" ca="1" si="180"/>
        <v>0</v>
      </c>
      <c r="R171" s="147" t="str">
        <f t="shared" ca="1" si="3"/>
        <v>Not tested yet</v>
      </c>
      <c r="S171" s="147">
        <f t="shared" si="4"/>
        <v>1</v>
      </c>
      <c r="T171" s="147"/>
      <c r="U171" s="147"/>
      <c r="V171" s="148" t="e">
        <f ca="1"/>
        <v>#NAME?</v>
      </c>
      <c r="W171" s="147" t="e">
        <f t="shared" ca="1" si="5"/>
        <v>#NAME?</v>
      </c>
      <c r="X171" s="147" t="e">
        <f t="shared" ca="1" si="6"/>
        <v>#NAME?</v>
      </c>
      <c r="Y171" s="147" t="e">
        <f t="shared" ca="1" si="7"/>
        <v>#NAME?</v>
      </c>
      <c r="Z171" s="147"/>
      <c r="AA171" s="147"/>
      <c r="AB171" s="147"/>
      <c r="AC171" s="147"/>
      <c r="AD171" s="147"/>
      <c r="AE171" s="147"/>
      <c r="AF171" s="147"/>
      <c r="AG171" s="147"/>
      <c r="AH171" s="147"/>
      <c r="AI171" s="147"/>
      <c r="AJ171" s="147"/>
      <c r="AK171" s="147"/>
      <c r="AL171" s="147"/>
      <c r="AM171" s="151"/>
      <c r="AN171" s="147"/>
      <c r="AO171" s="147" t="e">
        <f t="shared" si="8"/>
        <v>#N/A</v>
      </c>
      <c r="AP171" s="147" t="e">
        <f t="shared" ca="1" si="9"/>
        <v>#NAME?</v>
      </c>
      <c r="AQ171" s="147" t="e">
        <f t="shared" si="10"/>
        <v>#N/A</v>
      </c>
      <c r="AR171" s="147"/>
      <c r="AS171" s="147"/>
      <c r="AT171" s="147"/>
      <c r="AU171" s="147"/>
      <c r="AV171" s="147"/>
      <c r="AW171" s="147"/>
      <c r="AX171" s="147"/>
      <c r="AY171" s="147"/>
      <c r="AZ171" s="147"/>
      <c r="BA171" s="147"/>
      <c r="BB171" s="147"/>
      <c r="BC171" s="147"/>
      <c r="BD171" s="147"/>
      <c r="BE171" s="147"/>
      <c r="BF171" s="147"/>
      <c r="BG171" s="147"/>
      <c r="BH171" s="147"/>
      <c r="BI171" s="147"/>
      <c r="BJ171" s="147"/>
      <c r="BK171" s="147"/>
      <c r="BL171" s="147"/>
      <c r="BM171" s="147"/>
      <c r="BN171" s="147"/>
      <c r="BO171" s="147"/>
      <c r="BP171" s="147"/>
      <c r="BQ171" s="147"/>
      <c r="BR171" s="147"/>
      <c r="BS171" s="147"/>
      <c r="BT171" s="147"/>
      <c r="BU171" s="147"/>
      <c r="BV171" s="147"/>
      <c r="BW171" s="147"/>
      <c r="BX171" s="147"/>
      <c r="BY171" s="147"/>
      <c r="BZ171" s="147"/>
      <c r="CA171" s="147"/>
      <c r="CB171" s="147"/>
      <c r="CC171" s="147"/>
      <c r="CD171" s="147"/>
      <c r="CE171" s="147"/>
      <c r="CF171" s="147"/>
      <c r="CG171" s="147"/>
      <c r="CH171" s="147"/>
      <c r="CI171" s="147"/>
      <c r="CJ171" s="147"/>
      <c r="CK171" s="147"/>
    </row>
    <row r="172" spans="1:89">
      <c r="A172" s="159" t="s">
        <v>564</v>
      </c>
      <c r="B172" s="3" t="s">
        <v>565</v>
      </c>
      <c r="C172" s="160" t="s">
        <v>67</v>
      </c>
      <c r="D172" s="160" t="s">
        <v>860</v>
      </c>
      <c r="E172" s="3" t="s">
        <v>21</v>
      </c>
      <c r="F172" s="3" t="s">
        <v>926</v>
      </c>
      <c r="G172" s="3"/>
      <c r="H172" s="156" t="str">
        <f ca="1">IFERROR(
  _xludf.MINIFS(ATTENDANCE_LOG!$F:$F,
         ATTENDANCE_LOG!$A:$A, C172,
         ATTENDANCE_LOG!$B:$B, E172),
"")</f>
        <v/>
      </c>
      <c r="I172" s="156" t="str">
        <f t="shared" ca="1" si="0"/>
        <v/>
      </c>
      <c r="J172" s="3">
        <f>IFERROR(VLOOKUP(F172, LEVEL_HELPER!$A:$B, 2, 0), "")</f>
        <v>1</v>
      </c>
      <c r="K172" s="3" t="str">
        <f>IFERROR(VLOOKUP(G172, LEVEL_HELPER!$A:$B, 2, 0), "")</f>
        <v/>
      </c>
      <c r="L172" s="157" t="s">
        <v>948</v>
      </c>
      <c r="M172" s="157" t="s">
        <v>920</v>
      </c>
      <c r="N172" s="3">
        <f t="array" aca="1" ref="N172" ca="1">IFERROR(
  INDEX($J$2:$J$543,
    MATCH(A172&amp;TEXT(I172,"yyyy-mm-dd"),
          $A$2:$A$543&amp;TEXT($H$2:$H$543,"yyyy-mm-dd"),
          0)),
"")</f>
        <v>1</v>
      </c>
      <c r="O172" s="147" t="str">
        <f t="shared" ca="1" si="1"/>
        <v/>
      </c>
      <c r="P172" s="147">
        <f t="shared" ref="P172:Q172" ca="1" si="181">IF(N172="",0,IF(N172&lt;=2,1,IF(N172&lt;=4,2,IF(N172&lt;=5.5,3,4))))</f>
        <v>1</v>
      </c>
      <c r="Q172" s="147">
        <f t="shared" ca="1" si="181"/>
        <v>0</v>
      </c>
      <c r="R172" s="147" t="str">
        <f t="shared" ca="1" si="3"/>
        <v>Not tested yet</v>
      </c>
      <c r="S172" s="147">
        <f t="shared" si="4"/>
        <v>1</v>
      </c>
      <c r="T172" s="147"/>
      <c r="U172" s="147"/>
      <c r="V172" s="148" t="e">
        <f ca="1"/>
        <v>#NAME?</v>
      </c>
      <c r="W172" s="147" t="e">
        <f t="shared" ca="1" si="5"/>
        <v>#NAME?</v>
      </c>
      <c r="X172" s="147" t="e">
        <f t="shared" ca="1" si="6"/>
        <v>#NAME?</v>
      </c>
      <c r="Y172" s="147" t="e">
        <f t="shared" ca="1" si="7"/>
        <v>#NAME?</v>
      </c>
      <c r="Z172" s="147"/>
      <c r="AA172" s="147"/>
      <c r="AB172" s="147"/>
      <c r="AC172" s="147"/>
      <c r="AD172" s="147"/>
      <c r="AE172" s="147"/>
      <c r="AF172" s="147"/>
      <c r="AG172" s="147"/>
      <c r="AH172" s="147"/>
      <c r="AI172" s="147"/>
      <c r="AJ172" s="147"/>
      <c r="AK172" s="147"/>
      <c r="AL172" s="147"/>
      <c r="AM172" s="151"/>
      <c r="AN172" s="147"/>
      <c r="AO172" s="147" t="e">
        <f t="shared" si="8"/>
        <v>#N/A</v>
      </c>
      <c r="AP172" s="147" t="e">
        <f t="shared" ca="1" si="9"/>
        <v>#NAME?</v>
      </c>
      <c r="AQ172" s="147" t="e">
        <f t="shared" si="10"/>
        <v>#N/A</v>
      </c>
      <c r="AR172" s="147"/>
      <c r="AS172" s="147"/>
      <c r="AT172" s="147"/>
      <c r="AU172" s="147"/>
      <c r="AV172" s="147"/>
      <c r="AW172" s="147"/>
      <c r="AX172" s="147"/>
      <c r="AY172" s="147"/>
      <c r="AZ172" s="147"/>
      <c r="BA172" s="147"/>
      <c r="BB172" s="147"/>
      <c r="BC172" s="147"/>
      <c r="BD172" s="147"/>
      <c r="BE172" s="147"/>
      <c r="BF172" s="147"/>
      <c r="BG172" s="147"/>
      <c r="BH172" s="147"/>
      <c r="BI172" s="147"/>
      <c r="BJ172" s="147"/>
      <c r="BK172" s="147"/>
      <c r="BL172" s="147"/>
      <c r="BM172" s="147"/>
      <c r="BN172" s="147"/>
      <c r="BO172" s="147"/>
      <c r="BP172" s="147"/>
      <c r="BQ172" s="147"/>
      <c r="BR172" s="147"/>
      <c r="BS172" s="147"/>
      <c r="BT172" s="147"/>
      <c r="BU172" s="147"/>
      <c r="BV172" s="147"/>
      <c r="BW172" s="147"/>
      <c r="BX172" s="147"/>
      <c r="BY172" s="147"/>
      <c r="BZ172" s="147"/>
      <c r="CA172" s="147"/>
      <c r="CB172" s="147"/>
      <c r="CC172" s="147"/>
      <c r="CD172" s="147"/>
      <c r="CE172" s="147"/>
      <c r="CF172" s="147"/>
      <c r="CG172" s="147"/>
      <c r="CH172" s="147"/>
      <c r="CI172" s="147"/>
      <c r="CJ172" s="147"/>
      <c r="CK172" s="147"/>
    </row>
    <row r="173" spans="1:89">
      <c r="A173" s="159" t="s">
        <v>647</v>
      </c>
      <c r="B173" s="3" t="s">
        <v>648</v>
      </c>
      <c r="C173" s="160" t="s">
        <v>67</v>
      </c>
      <c r="D173" s="160" t="s">
        <v>860</v>
      </c>
      <c r="E173" s="3" t="s">
        <v>21</v>
      </c>
      <c r="F173" s="3" t="s">
        <v>926</v>
      </c>
      <c r="G173" s="3"/>
      <c r="H173" s="156" t="str">
        <f ca="1">IFERROR(
  _xludf.MINIFS(ATTENDANCE_LOG!$F:$F,
         ATTENDANCE_LOG!$A:$A, C173,
         ATTENDANCE_LOG!$B:$B, E173),
"")</f>
        <v/>
      </c>
      <c r="I173" s="156" t="str">
        <f t="shared" ca="1" si="0"/>
        <v/>
      </c>
      <c r="J173" s="3">
        <f>IFERROR(VLOOKUP(F173, LEVEL_HELPER!$A:$B, 2, 0), "")</f>
        <v>1</v>
      </c>
      <c r="K173" s="3" t="str">
        <f>IFERROR(VLOOKUP(G173, LEVEL_HELPER!$A:$B, 2, 0), "")</f>
        <v/>
      </c>
      <c r="L173" s="157" t="s">
        <v>948</v>
      </c>
      <c r="M173" s="157" t="s">
        <v>920</v>
      </c>
      <c r="N173" s="3">
        <f t="array" aca="1" ref="N173" ca="1">IFERROR(
  INDEX($J$2:$J$543,
    MATCH(A173&amp;TEXT(I173,"yyyy-mm-dd"),
          $A$2:$A$543&amp;TEXT($H$2:$H$543,"yyyy-mm-dd"),
          0)),
"")</f>
        <v>1</v>
      </c>
      <c r="O173" s="147" t="str">
        <f t="shared" ca="1" si="1"/>
        <v/>
      </c>
      <c r="P173" s="147">
        <f t="shared" ref="P173:Q173" ca="1" si="182">IF(N173="",0,IF(N173&lt;=2,1,IF(N173&lt;=4,2,IF(N173&lt;=5.5,3,4))))</f>
        <v>1</v>
      </c>
      <c r="Q173" s="147">
        <f t="shared" ca="1" si="182"/>
        <v>0</v>
      </c>
      <c r="R173" s="147" t="str">
        <f t="shared" ca="1" si="3"/>
        <v>Not tested yet</v>
      </c>
      <c r="S173" s="147">
        <f t="shared" si="4"/>
        <v>1</v>
      </c>
      <c r="T173" s="147"/>
      <c r="U173" s="147"/>
      <c r="V173" s="148" t="e">
        <f ca="1"/>
        <v>#NAME?</v>
      </c>
      <c r="W173" s="147" t="e">
        <f t="shared" ca="1" si="5"/>
        <v>#NAME?</v>
      </c>
      <c r="X173" s="147" t="e">
        <f t="shared" ca="1" si="6"/>
        <v>#NAME?</v>
      </c>
      <c r="Y173" s="147" t="e">
        <f t="shared" ca="1" si="7"/>
        <v>#NAME?</v>
      </c>
      <c r="Z173" s="147"/>
      <c r="AA173" s="147"/>
      <c r="AB173" s="147"/>
      <c r="AC173" s="147"/>
      <c r="AD173" s="147"/>
      <c r="AE173" s="147"/>
      <c r="AF173" s="147"/>
      <c r="AG173" s="147"/>
      <c r="AH173" s="147"/>
      <c r="AI173" s="147"/>
      <c r="AJ173" s="147"/>
      <c r="AK173" s="147"/>
      <c r="AL173" s="147"/>
      <c r="AM173" s="151"/>
      <c r="AN173" s="147"/>
      <c r="AO173" s="147" t="e">
        <f t="shared" si="8"/>
        <v>#N/A</v>
      </c>
      <c r="AP173" s="147" t="e">
        <f t="shared" ca="1" si="9"/>
        <v>#NAME?</v>
      </c>
      <c r="AQ173" s="147" t="e">
        <f t="shared" si="10"/>
        <v>#N/A</v>
      </c>
      <c r="AR173" s="147"/>
      <c r="AS173" s="147"/>
      <c r="AT173" s="147"/>
      <c r="AU173" s="147"/>
      <c r="AV173" s="147"/>
      <c r="AW173" s="147"/>
      <c r="AX173" s="147"/>
      <c r="AY173" s="147"/>
      <c r="AZ173" s="147"/>
      <c r="BA173" s="147"/>
      <c r="BB173" s="147"/>
      <c r="BC173" s="147"/>
      <c r="BD173" s="147"/>
      <c r="BE173" s="147"/>
      <c r="BF173" s="147"/>
      <c r="BG173" s="147"/>
      <c r="BH173" s="147"/>
      <c r="BI173" s="147"/>
      <c r="BJ173" s="147"/>
      <c r="BK173" s="147"/>
      <c r="BL173" s="147"/>
      <c r="BM173" s="147"/>
      <c r="BN173" s="147"/>
      <c r="BO173" s="147"/>
      <c r="BP173" s="147"/>
      <c r="BQ173" s="147"/>
      <c r="BR173" s="147"/>
      <c r="BS173" s="147"/>
      <c r="BT173" s="147"/>
      <c r="BU173" s="147"/>
      <c r="BV173" s="147"/>
      <c r="BW173" s="147"/>
      <c r="BX173" s="147"/>
      <c r="BY173" s="147"/>
      <c r="BZ173" s="147"/>
      <c r="CA173" s="147"/>
      <c r="CB173" s="147"/>
      <c r="CC173" s="147"/>
      <c r="CD173" s="147"/>
      <c r="CE173" s="147"/>
      <c r="CF173" s="147"/>
      <c r="CG173" s="147"/>
      <c r="CH173" s="147"/>
      <c r="CI173" s="147"/>
      <c r="CJ173" s="147"/>
      <c r="CK173" s="147"/>
    </row>
    <row r="174" spans="1:89">
      <c r="A174" s="153" t="s">
        <v>556</v>
      </c>
      <c r="B174" s="154" t="s">
        <v>557</v>
      </c>
      <c r="C174" s="155" t="s">
        <v>68</v>
      </c>
      <c r="D174" s="155" t="s">
        <v>861</v>
      </c>
      <c r="E174" s="154" t="s">
        <v>21</v>
      </c>
      <c r="F174" s="3" t="s">
        <v>916</v>
      </c>
      <c r="G174" s="3" t="s">
        <v>934</v>
      </c>
      <c r="H174" s="156" t="str">
        <f ca="1">IFERROR(
  _xludf.MINIFS(ATTENDANCE_LOG!$F:$F,
         ATTENDANCE_LOG!$A:$A, C174,
         ATTENDANCE_LOG!$B:$B, E174),
"")</f>
        <v/>
      </c>
      <c r="I174" s="156" t="str">
        <f t="shared" ca="1" si="0"/>
        <v/>
      </c>
      <c r="J174" s="3">
        <f>IFERROR(VLOOKUP(F174, LEVEL_HELPER!$A:$B, 2, 0), "")</f>
        <v>2.5</v>
      </c>
      <c r="K174" s="3">
        <f>IFERROR(VLOOKUP(G174, LEVEL_HELPER!$A:$B, 2, 0), "")</f>
        <v>3.5</v>
      </c>
      <c r="L174" s="157" t="s">
        <v>942</v>
      </c>
      <c r="M174" s="157" t="s">
        <v>924</v>
      </c>
      <c r="N174" s="3">
        <f t="array" aca="1" ref="N174" ca="1">IFERROR(
  INDEX($J$2:$J$543,
    MATCH(A174&amp;TEXT(I174,"yyyy-mm-dd"),
          $A$2:$A$543&amp;TEXT($H$2:$H$543,"yyyy-mm-dd"),
          0)),
"")</f>
        <v>2.5</v>
      </c>
      <c r="O174" s="147" t="str">
        <f t="shared" ca="1" si="1"/>
        <v/>
      </c>
      <c r="P174" s="147">
        <f t="shared" ref="P174:Q174" ca="1" si="183">IF(N174="",0,IF(N174&lt;=2,1,IF(N174&lt;=4,2,IF(N174&lt;=5.5,3,4))))</f>
        <v>2</v>
      </c>
      <c r="Q174" s="147">
        <f t="shared" ca="1" si="183"/>
        <v>0</v>
      </c>
      <c r="R174" s="147" t="str">
        <f t="shared" ca="1" si="3"/>
        <v>Not tested yet</v>
      </c>
      <c r="S174" s="147">
        <f t="shared" si="4"/>
        <v>1</v>
      </c>
      <c r="T174" s="147"/>
      <c r="U174" s="147"/>
      <c r="V174" s="148" t="e">
        <f ca="1"/>
        <v>#NAME?</v>
      </c>
      <c r="W174" s="147" t="e">
        <f t="shared" ca="1" si="5"/>
        <v>#NAME?</v>
      </c>
      <c r="X174" s="147" t="e">
        <f t="shared" ca="1" si="6"/>
        <v>#NAME?</v>
      </c>
      <c r="Y174" s="147" t="e">
        <f t="shared" ca="1" si="7"/>
        <v>#NAME?</v>
      </c>
      <c r="Z174" s="147"/>
      <c r="AA174" s="147"/>
      <c r="AB174" s="147"/>
      <c r="AC174" s="147"/>
      <c r="AD174" s="147"/>
      <c r="AE174" s="147"/>
      <c r="AF174" s="147"/>
      <c r="AG174" s="147"/>
      <c r="AH174" s="147"/>
      <c r="AI174" s="147"/>
      <c r="AJ174" s="147"/>
      <c r="AK174" s="147"/>
      <c r="AL174" s="147"/>
      <c r="AM174" s="151"/>
      <c r="AN174" s="147"/>
      <c r="AO174" s="147" t="e">
        <f t="shared" si="8"/>
        <v>#N/A</v>
      </c>
      <c r="AP174" s="147" t="e">
        <f t="shared" ca="1" si="9"/>
        <v>#NAME?</v>
      </c>
      <c r="AQ174" s="147" t="e">
        <f t="shared" si="10"/>
        <v>#N/A</v>
      </c>
      <c r="AR174" s="147"/>
      <c r="AS174" s="147"/>
      <c r="AT174" s="147"/>
      <c r="AU174" s="147"/>
      <c r="AV174" s="147"/>
      <c r="AW174" s="147"/>
      <c r="AX174" s="147"/>
      <c r="AY174" s="147"/>
      <c r="AZ174" s="147"/>
      <c r="BA174" s="147"/>
      <c r="BB174" s="147"/>
      <c r="BC174" s="147"/>
      <c r="BD174" s="147"/>
      <c r="BE174" s="147"/>
      <c r="BF174" s="147"/>
      <c r="BG174" s="147"/>
      <c r="BH174" s="147"/>
      <c r="BI174" s="147"/>
      <c r="BJ174" s="147"/>
      <c r="BK174" s="147"/>
      <c r="BL174" s="147"/>
      <c r="BM174" s="147"/>
      <c r="BN174" s="147"/>
      <c r="BO174" s="147"/>
      <c r="BP174" s="147"/>
      <c r="BQ174" s="147"/>
      <c r="BR174" s="147"/>
      <c r="BS174" s="147"/>
      <c r="BT174" s="147"/>
      <c r="BU174" s="147"/>
      <c r="BV174" s="147"/>
      <c r="BW174" s="147"/>
      <c r="BX174" s="147"/>
      <c r="BY174" s="147"/>
      <c r="BZ174" s="147"/>
      <c r="CA174" s="147"/>
      <c r="CB174" s="147"/>
      <c r="CC174" s="147"/>
      <c r="CD174" s="147"/>
      <c r="CE174" s="147"/>
      <c r="CF174" s="147"/>
      <c r="CG174" s="147"/>
      <c r="CH174" s="147"/>
      <c r="CI174" s="147"/>
      <c r="CJ174" s="147"/>
      <c r="CK174" s="147"/>
    </row>
    <row r="175" spans="1:89">
      <c r="A175" s="159" t="s">
        <v>218</v>
      </c>
      <c r="B175" s="3" t="s">
        <v>219</v>
      </c>
      <c r="C175" s="160" t="s">
        <v>68</v>
      </c>
      <c r="D175" s="160" t="s">
        <v>861</v>
      </c>
      <c r="E175" s="3" t="s">
        <v>21</v>
      </c>
      <c r="F175" s="3" t="s">
        <v>926</v>
      </c>
      <c r="G175" s="3" t="s">
        <v>934</v>
      </c>
      <c r="H175" s="156" t="str">
        <f ca="1">IFERROR(
  _xludf.MINIFS(ATTENDANCE_LOG!$F:$F,
         ATTENDANCE_LOG!$A:$A, C175,
         ATTENDANCE_LOG!$B:$B, E175),
"")</f>
        <v/>
      </c>
      <c r="I175" s="156" t="str">
        <f t="shared" ca="1" si="0"/>
        <v/>
      </c>
      <c r="J175" s="3">
        <f>IFERROR(VLOOKUP(F175, LEVEL_HELPER!$A:$B, 2, 0), "")</f>
        <v>1</v>
      </c>
      <c r="K175" s="3">
        <f>IFERROR(VLOOKUP(G175, LEVEL_HELPER!$A:$B, 2, 0), "")</f>
        <v>3.5</v>
      </c>
      <c r="L175" s="157" t="s">
        <v>942</v>
      </c>
      <c r="M175" s="157" t="s">
        <v>924</v>
      </c>
      <c r="N175" s="3">
        <f t="array" aca="1" ref="N175" ca="1">IFERROR(
  INDEX($J$2:$J$543,
    MATCH(A175&amp;TEXT(I175,"yyyy-mm-dd"),
          $A$2:$A$543&amp;TEXT($H$2:$H$543,"yyyy-mm-dd"),
          0)),
"")</f>
        <v>1</v>
      </c>
      <c r="O175" s="147" t="str">
        <f t="shared" ca="1" si="1"/>
        <v/>
      </c>
      <c r="P175" s="147">
        <f t="shared" ref="P175:Q175" ca="1" si="184">IF(N175="",0,IF(N175&lt;=2,1,IF(N175&lt;=4,2,IF(N175&lt;=5.5,3,4))))</f>
        <v>1</v>
      </c>
      <c r="Q175" s="147">
        <f t="shared" ca="1" si="184"/>
        <v>0</v>
      </c>
      <c r="R175" s="147" t="str">
        <f t="shared" ca="1" si="3"/>
        <v>Not tested yet</v>
      </c>
      <c r="S175" s="147">
        <f t="shared" si="4"/>
        <v>1</v>
      </c>
      <c r="T175" s="147"/>
      <c r="U175" s="147"/>
      <c r="V175" s="148" t="e">
        <f ca="1"/>
        <v>#NAME?</v>
      </c>
      <c r="W175" s="147" t="e">
        <f t="shared" ca="1" si="5"/>
        <v>#NAME?</v>
      </c>
      <c r="X175" s="147" t="e">
        <f t="shared" ca="1" si="6"/>
        <v>#NAME?</v>
      </c>
      <c r="Y175" s="147" t="e">
        <f t="shared" ca="1" si="7"/>
        <v>#NAME?</v>
      </c>
      <c r="Z175" s="147"/>
      <c r="AA175" s="147"/>
      <c r="AB175" s="147"/>
      <c r="AC175" s="147"/>
      <c r="AD175" s="147"/>
      <c r="AE175" s="147"/>
      <c r="AF175" s="147"/>
      <c r="AG175" s="147"/>
      <c r="AH175" s="147"/>
      <c r="AI175" s="147"/>
      <c r="AJ175" s="147"/>
      <c r="AK175" s="147"/>
      <c r="AL175" s="147"/>
      <c r="AM175" s="151"/>
      <c r="AN175" s="147"/>
      <c r="AO175" s="147" t="e">
        <f t="shared" si="8"/>
        <v>#N/A</v>
      </c>
      <c r="AP175" s="147" t="e">
        <f t="shared" ca="1" si="9"/>
        <v>#NAME?</v>
      </c>
      <c r="AQ175" s="147" t="e">
        <f t="shared" si="10"/>
        <v>#N/A</v>
      </c>
      <c r="AR175" s="147"/>
      <c r="AS175" s="147"/>
      <c r="AT175" s="147"/>
      <c r="AU175" s="147"/>
      <c r="AV175" s="147"/>
      <c r="AW175" s="147"/>
      <c r="AX175" s="147"/>
      <c r="AY175" s="147"/>
      <c r="AZ175" s="147"/>
      <c r="BA175" s="147"/>
      <c r="BB175" s="147"/>
      <c r="BC175" s="147"/>
      <c r="BD175" s="147"/>
      <c r="BE175" s="147"/>
      <c r="BF175" s="147"/>
      <c r="BG175" s="147"/>
      <c r="BH175" s="147"/>
      <c r="BI175" s="147"/>
      <c r="BJ175" s="147"/>
      <c r="BK175" s="147"/>
      <c r="BL175" s="147"/>
      <c r="BM175" s="147"/>
      <c r="BN175" s="147"/>
      <c r="BO175" s="147"/>
      <c r="BP175" s="147"/>
      <c r="BQ175" s="147"/>
      <c r="BR175" s="147"/>
      <c r="BS175" s="147"/>
      <c r="BT175" s="147"/>
      <c r="BU175" s="147"/>
      <c r="BV175" s="147"/>
      <c r="BW175" s="147"/>
      <c r="BX175" s="147"/>
      <c r="BY175" s="147"/>
      <c r="BZ175" s="147"/>
      <c r="CA175" s="147"/>
      <c r="CB175" s="147"/>
      <c r="CC175" s="147"/>
      <c r="CD175" s="147"/>
      <c r="CE175" s="147"/>
      <c r="CF175" s="147"/>
      <c r="CG175" s="147"/>
      <c r="CH175" s="147"/>
      <c r="CI175" s="147"/>
      <c r="CJ175" s="147"/>
      <c r="CK175" s="147"/>
    </row>
    <row r="176" spans="1:89">
      <c r="A176" s="159" t="s">
        <v>374</v>
      </c>
      <c r="B176" s="3" t="s">
        <v>375</v>
      </c>
      <c r="C176" s="160" t="s">
        <v>68</v>
      </c>
      <c r="D176" s="160" t="s">
        <v>861</v>
      </c>
      <c r="E176" s="3" t="s">
        <v>21</v>
      </c>
      <c r="F176" s="3"/>
      <c r="G176" s="3"/>
      <c r="H176" s="156" t="str">
        <f ca="1">IFERROR(
  _xludf.MINIFS(ATTENDANCE_LOG!$F:$F,
         ATTENDANCE_LOG!$A:$A, C176,
         ATTENDANCE_LOG!$B:$B, E176),
"")</f>
        <v/>
      </c>
      <c r="I176" s="156" t="str">
        <f t="shared" ca="1" si="0"/>
        <v/>
      </c>
      <c r="J176" s="3" t="str">
        <f>IFERROR(VLOOKUP(F176, LEVEL_HELPER!$A:$B, 2, 0), "")</f>
        <v/>
      </c>
      <c r="K176" s="3" t="str">
        <f>IFERROR(VLOOKUP(G176, LEVEL_HELPER!$A:$B, 2, 0), "")</f>
        <v/>
      </c>
      <c r="L176" s="157" t="s">
        <v>942</v>
      </c>
      <c r="M176" s="157" t="s">
        <v>924</v>
      </c>
      <c r="N176" s="3" t="str">
        <f t="array" aca="1" ref="N176" ca="1">IFERROR(
  INDEX($J$2:$J$543,
    MATCH(A176&amp;TEXT(I176,"yyyy-mm-dd"),
          $A$2:$A$543&amp;TEXT($H$2:$H$543,"yyyy-mm-dd"),
          0)),
"")</f>
        <v/>
      </c>
      <c r="O176" s="147" t="str">
        <f t="shared" ca="1" si="1"/>
        <v/>
      </c>
      <c r="P176" s="147">
        <f t="shared" ref="P176:Q176" ca="1" si="185">IF(N176="",0,IF(N176&lt;=2,1,IF(N176&lt;=4,2,IF(N176&lt;=5.5,3,4))))</f>
        <v>0</v>
      </c>
      <c r="Q176" s="147">
        <f t="shared" ca="1" si="185"/>
        <v>0</v>
      </c>
      <c r="R176" s="147" t="str">
        <f t="shared" ca="1" si="3"/>
        <v>Not tested yet</v>
      </c>
      <c r="S176" s="147">
        <f t="shared" si="4"/>
        <v>1</v>
      </c>
      <c r="T176" s="147"/>
      <c r="U176" s="147"/>
      <c r="V176" s="148" t="e">
        <f ca="1"/>
        <v>#NAME?</v>
      </c>
      <c r="W176" s="147" t="e">
        <f t="shared" ca="1" si="5"/>
        <v>#NAME?</v>
      </c>
      <c r="X176" s="147" t="e">
        <f t="shared" ca="1" si="6"/>
        <v>#NAME?</v>
      </c>
      <c r="Y176" s="147" t="e">
        <f t="shared" ca="1" si="7"/>
        <v>#NAME?</v>
      </c>
      <c r="Z176" s="147"/>
      <c r="AA176" s="147"/>
      <c r="AB176" s="147"/>
      <c r="AC176" s="147"/>
      <c r="AD176" s="147"/>
      <c r="AE176" s="147"/>
      <c r="AF176" s="147"/>
      <c r="AG176" s="147"/>
      <c r="AH176" s="147"/>
      <c r="AI176" s="147"/>
      <c r="AJ176" s="147"/>
      <c r="AK176" s="147"/>
      <c r="AL176" s="147"/>
      <c r="AM176" s="151"/>
      <c r="AN176" s="147"/>
      <c r="AO176" s="147" t="e">
        <f t="shared" si="8"/>
        <v>#N/A</v>
      </c>
      <c r="AP176" s="147" t="e">
        <f t="shared" ca="1" si="9"/>
        <v>#NAME?</v>
      </c>
      <c r="AQ176" s="147" t="e">
        <f t="shared" si="10"/>
        <v>#N/A</v>
      </c>
      <c r="AR176" s="147"/>
      <c r="AS176" s="147"/>
      <c r="AT176" s="147"/>
      <c r="AU176" s="147"/>
      <c r="AV176" s="147"/>
      <c r="AW176" s="147"/>
      <c r="AX176" s="147"/>
      <c r="AY176" s="147"/>
      <c r="AZ176" s="147"/>
      <c r="BA176" s="147"/>
      <c r="BB176" s="147"/>
      <c r="BC176" s="147"/>
      <c r="BD176" s="147"/>
      <c r="BE176" s="147"/>
      <c r="BF176" s="147"/>
      <c r="BG176" s="147"/>
      <c r="BH176" s="147"/>
      <c r="BI176" s="147"/>
      <c r="BJ176" s="147"/>
      <c r="BK176" s="147"/>
      <c r="BL176" s="147"/>
      <c r="BM176" s="147"/>
      <c r="BN176" s="147"/>
      <c r="BO176" s="147"/>
      <c r="BP176" s="147"/>
      <c r="BQ176" s="147"/>
      <c r="BR176" s="147"/>
      <c r="BS176" s="147"/>
      <c r="BT176" s="147"/>
      <c r="BU176" s="147"/>
      <c r="BV176" s="147"/>
      <c r="BW176" s="147"/>
      <c r="BX176" s="147"/>
      <c r="BY176" s="147"/>
      <c r="BZ176" s="147"/>
      <c r="CA176" s="147"/>
      <c r="CB176" s="147"/>
      <c r="CC176" s="147"/>
      <c r="CD176" s="147"/>
      <c r="CE176" s="147"/>
      <c r="CF176" s="147"/>
      <c r="CG176" s="147"/>
      <c r="CH176" s="147"/>
      <c r="CI176" s="147"/>
      <c r="CJ176" s="147"/>
      <c r="CK176" s="147"/>
    </row>
    <row r="177" spans="1:89">
      <c r="A177" s="159" t="s">
        <v>643</v>
      </c>
      <c r="B177" s="3" t="s">
        <v>644</v>
      </c>
      <c r="C177" s="160" t="s">
        <v>68</v>
      </c>
      <c r="D177" s="160" t="s">
        <v>861</v>
      </c>
      <c r="E177" s="3" t="s">
        <v>21</v>
      </c>
      <c r="F177" s="3" t="s">
        <v>926</v>
      </c>
      <c r="G177" s="3" t="s">
        <v>917</v>
      </c>
      <c r="H177" s="156" t="str">
        <f ca="1">IFERROR(
  _xludf.MINIFS(ATTENDANCE_LOG!$F:$F,
         ATTENDANCE_LOG!$A:$A, C177,
         ATTENDANCE_LOG!$B:$B, E177),
"")</f>
        <v/>
      </c>
      <c r="I177" s="156" t="str">
        <f t="shared" ca="1" si="0"/>
        <v/>
      </c>
      <c r="J177" s="3">
        <f>IFERROR(VLOOKUP(F177, LEVEL_HELPER!$A:$B, 2, 0), "")</f>
        <v>1</v>
      </c>
      <c r="K177" s="3">
        <f>IFERROR(VLOOKUP(G177, LEVEL_HELPER!$A:$B, 2, 0), "")</f>
        <v>3</v>
      </c>
      <c r="L177" s="157" t="s">
        <v>942</v>
      </c>
      <c r="M177" s="157" t="s">
        <v>924</v>
      </c>
      <c r="N177" s="3">
        <f t="array" aca="1" ref="N177" ca="1">IFERROR(
  INDEX($J$2:$J$543,
    MATCH(A177&amp;TEXT(I177,"yyyy-mm-dd"),
          $A$2:$A$543&amp;TEXT($H$2:$H$543,"yyyy-mm-dd"),
          0)),
"")</f>
        <v>1</v>
      </c>
      <c r="O177" s="147" t="str">
        <f t="shared" ca="1" si="1"/>
        <v/>
      </c>
      <c r="P177" s="147">
        <f t="shared" ref="P177:Q177" ca="1" si="186">IF(N177="",0,IF(N177&lt;=2,1,IF(N177&lt;=4,2,IF(N177&lt;=5.5,3,4))))</f>
        <v>1</v>
      </c>
      <c r="Q177" s="147">
        <f t="shared" ca="1" si="186"/>
        <v>0</v>
      </c>
      <c r="R177" s="147" t="str">
        <f t="shared" ca="1" si="3"/>
        <v>Not tested yet</v>
      </c>
      <c r="S177" s="147">
        <f t="shared" si="4"/>
        <v>1</v>
      </c>
      <c r="T177" s="147"/>
      <c r="U177" s="147"/>
      <c r="V177" s="148" t="e">
        <f ca="1"/>
        <v>#NAME?</v>
      </c>
      <c r="W177" s="147" t="e">
        <f t="shared" ca="1" si="5"/>
        <v>#NAME?</v>
      </c>
      <c r="X177" s="147" t="e">
        <f t="shared" ca="1" si="6"/>
        <v>#NAME?</v>
      </c>
      <c r="Y177" s="147" t="e">
        <f t="shared" ca="1" si="7"/>
        <v>#NAME?</v>
      </c>
      <c r="Z177" s="147"/>
      <c r="AA177" s="147"/>
      <c r="AB177" s="147"/>
      <c r="AC177" s="147"/>
      <c r="AD177" s="147"/>
      <c r="AE177" s="147"/>
      <c r="AF177" s="147"/>
      <c r="AG177" s="147"/>
      <c r="AH177" s="147"/>
      <c r="AI177" s="147"/>
      <c r="AJ177" s="147"/>
      <c r="AK177" s="147"/>
      <c r="AL177" s="147"/>
      <c r="AM177" s="151"/>
      <c r="AN177" s="147"/>
      <c r="AO177" s="147" t="e">
        <f t="shared" si="8"/>
        <v>#N/A</v>
      </c>
      <c r="AP177" s="147" t="e">
        <f t="shared" ca="1" si="9"/>
        <v>#NAME?</v>
      </c>
      <c r="AQ177" s="147" t="e">
        <f t="shared" si="10"/>
        <v>#N/A</v>
      </c>
      <c r="AR177" s="147"/>
      <c r="AS177" s="147"/>
      <c r="AT177" s="147"/>
      <c r="AU177" s="147"/>
      <c r="AV177" s="147"/>
      <c r="AW177" s="147"/>
      <c r="AX177" s="147"/>
      <c r="AY177" s="147"/>
      <c r="AZ177" s="147"/>
      <c r="BA177" s="147"/>
      <c r="BB177" s="147"/>
      <c r="BC177" s="147"/>
      <c r="BD177" s="147"/>
      <c r="BE177" s="147"/>
      <c r="BF177" s="147"/>
      <c r="BG177" s="147"/>
      <c r="BH177" s="147"/>
      <c r="BI177" s="147"/>
      <c r="BJ177" s="147"/>
      <c r="BK177" s="147"/>
      <c r="BL177" s="147"/>
      <c r="BM177" s="147"/>
      <c r="BN177" s="147"/>
      <c r="BO177" s="147"/>
      <c r="BP177" s="147"/>
      <c r="BQ177" s="147"/>
      <c r="BR177" s="147"/>
      <c r="BS177" s="147"/>
      <c r="BT177" s="147"/>
      <c r="BU177" s="147"/>
      <c r="BV177" s="147"/>
      <c r="BW177" s="147"/>
      <c r="BX177" s="147"/>
      <c r="BY177" s="147"/>
      <c r="BZ177" s="147"/>
      <c r="CA177" s="147"/>
      <c r="CB177" s="147"/>
      <c r="CC177" s="147"/>
      <c r="CD177" s="147"/>
      <c r="CE177" s="147"/>
      <c r="CF177" s="147"/>
      <c r="CG177" s="147"/>
      <c r="CH177" s="147"/>
      <c r="CI177" s="147"/>
      <c r="CJ177" s="147"/>
      <c r="CK177" s="147"/>
    </row>
    <row r="178" spans="1:89">
      <c r="A178" s="153" t="s">
        <v>556</v>
      </c>
      <c r="B178" s="154" t="s">
        <v>557</v>
      </c>
      <c r="C178" s="155" t="s">
        <v>68</v>
      </c>
      <c r="D178" s="155" t="s">
        <v>861</v>
      </c>
      <c r="E178" s="154" t="s">
        <v>22</v>
      </c>
      <c r="F178" s="3" t="s">
        <v>934</v>
      </c>
      <c r="G178" s="3"/>
      <c r="H178" s="156" t="str">
        <f ca="1">IFERROR(
  _xludf.MINIFS(ATTENDANCE_LOG!$F:$F,
         ATTENDANCE_LOG!$A:$A, C178,
         ATTENDANCE_LOG!$B:$B, E178),
"")</f>
        <v/>
      </c>
      <c r="I178" s="156" t="str">
        <f t="shared" ca="1" si="0"/>
        <v/>
      </c>
      <c r="J178" s="3">
        <f>IFERROR(VLOOKUP(F178, LEVEL_HELPER!$A:$B, 2, 0), "")</f>
        <v>3.5</v>
      </c>
      <c r="K178" s="3" t="str">
        <f>IFERROR(VLOOKUP(G178, LEVEL_HELPER!$A:$B, 2, 0), "")</f>
        <v/>
      </c>
      <c r="L178" s="157" t="s">
        <v>942</v>
      </c>
      <c r="M178" s="157" t="s">
        <v>924</v>
      </c>
      <c r="N178" s="3">
        <f t="array" aca="1" ref="N178" ca="1">IFERROR(
  INDEX($J$2:$J$543,
    MATCH(A178&amp;TEXT(I178,"yyyy-mm-dd"),
          $A$2:$A$543&amp;TEXT($H$2:$H$543,"yyyy-mm-dd"),
          0)),
"")</f>
        <v>2.5</v>
      </c>
      <c r="O178" s="147" t="str">
        <f t="shared" ca="1" si="1"/>
        <v/>
      </c>
      <c r="P178" s="147">
        <f t="shared" ref="P178:Q178" ca="1" si="187">IF(N178="",0,IF(N178&lt;=2,1,IF(N178&lt;=4,2,IF(N178&lt;=5.5,3,4))))</f>
        <v>2</v>
      </c>
      <c r="Q178" s="147">
        <f t="shared" ca="1" si="187"/>
        <v>0</v>
      </c>
      <c r="R178" s="147" t="str">
        <f t="shared" ca="1" si="3"/>
        <v>Not tested yet</v>
      </c>
      <c r="S178" s="147">
        <f t="shared" si="4"/>
        <v>0</v>
      </c>
      <c r="T178" s="147"/>
      <c r="U178" s="147"/>
      <c r="V178" s="148" t="e">
        <f ca="1"/>
        <v>#NAME?</v>
      </c>
      <c r="W178" s="147" t="e">
        <f t="shared" ca="1" si="5"/>
        <v>#NAME?</v>
      </c>
      <c r="X178" s="147" t="e">
        <f t="shared" ca="1" si="6"/>
        <v>#NAME?</v>
      </c>
      <c r="Y178" s="147" t="e">
        <f t="shared" ca="1" si="7"/>
        <v>#NAME?</v>
      </c>
      <c r="Z178" s="147"/>
      <c r="AA178" s="147"/>
      <c r="AB178" s="147"/>
      <c r="AC178" s="147"/>
      <c r="AD178" s="147"/>
      <c r="AE178" s="147"/>
      <c r="AF178" s="147"/>
      <c r="AG178" s="147"/>
      <c r="AH178" s="147"/>
      <c r="AI178" s="147"/>
      <c r="AJ178" s="147"/>
      <c r="AK178" s="147"/>
      <c r="AL178" s="147"/>
      <c r="AM178" s="151"/>
      <c r="AN178" s="147"/>
      <c r="AO178" s="147" t="e">
        <f t="shared" si="8"/>
        <v>#N/A</v>
      </c>
      <c r="AP178" s="147" t="e">
        <f t="shared" ca="1" si="9"/>
        <v>#NAME?</v>
      </c>
      <c r="AQ178" s="147" t="e">
        <f t="shared" si="10"/>
        <v>#N/A</v>
      </c>
      <c r="AR178" s="147"/>
      <c r="AS178" s="147"/>
      <c r="AT178" s="147"/>
      <c r="AU178" s="147"/>
      <c r="AV178" s="147"/>
      <c r="AW178" s="147"/>
      <c r="AX178" s="147"/>
      <c r="AY178" s="147"/>
      <c r="AZ178" s="147"/>
      <c r="BA178" s="147"/>
      <c r="BB178" s="147"/>
      <c r="BC178" s="147"/>
      <c r="BD178" s="147"/>
      <c r="BE178" s="147"/>
      <c r="BF178" s="147"/>
      <c r="BG178" s="147"/>
      <c r="BH178" s="147"/>
      <c r="BI178" s="147"/>
      <c r="BJ178" s="147"/>
      <c r="BK178" s="147"/>
      <c r="BL178" s="147"/>
      <c r="BM178" s="147"/>
      <c r="BN178" s="147"/>
      <c r="BO178" s="147"/>
      <c r="BP178" s="147"/>
      <c r="BQ178" s="147"/>
      <c r="BR178" s="147"/>
      <c r="BS178" s="147"/>
      <c r="BT178" s="147"/>
      <c r="BU178" s="147"/>
      <c r="BV178" s="147"/>
      <c r="BW178" s="147"/>
      <c r="BX178" s="147"/>
      <c r="BY178" s="147"/>
      <c r="BZ178" s="147"/>
      <c r="CA178" s="147"/>
      <c r="CB178" s="147"/>
      <c r="CC178" s="147"/>
      <c r="CD178" s="147"/>
      <c r="CE178" s="147"/>
      <c r="CF178" s="147"/>
      <c r="CG178" s="147"/>
      <c r="CH178" s="147"/>
      <c r="CI178" s="147"/>
      <c r="CJ178" s="147"/>
      <c r="CK178" s="147"/>
    </row>
    <row r="179" spans="1:89">
      <c r="A179" s="159" t="s">
        <v>218</v>
      </c>
      <c r="B179" s="3" t="s">
        <v>219</v>
      </c>
      <c r="C179" s="160" t="s">
        <v>68</v>
      </c>
      <c r="D179" s="160" t="s">
        <v>861</v>
      </c>
      <c r="E179" s="3" t="s">
        <v>22</v>
      </c>
      <c r="F179" s="3" t="s">
        <v>926</v>
      </c>
      <c r="G179" s="3"/>
      <c r="H179" s="156" t="str">
        <f ca="1">IFERROR(
  _xludf.MINIFS(ATTENDANCE_LOG!$F:$F,
         ATTENDANCE_LOG!$A:$A, C179,
         ATTENDANCE_LOG!$B:$B, E179),
"")</f>
        <v/>
      </c>
      <c r="I179" s="156" t="str">
        <f t="shared" ca="1" si="0"/>
        <v/>
      </c>
      <c r="J179" s="3">
        <f>IFERROR(VLOOKUP(F179, LEVEL_HELPER!$A:$B, 2, 0), "")</f>
        <v>1</v>
      </c>
      <c r="K179" s="3" t="str">
        <f>IFERROR(VLOOKUP(G179, LEVEL_HELPER!$A:$B, 2, 0), "")</f>
        <v/>
      </c>
      <c r="L179" s="157" t="s">
        <v>942</v>
      </c>
      <c r="M179" s="157" t="s">
        <v>924</v>
      </c>
      <c r="N179" s="3">
        <f t="array" aca="1" ref="N179" ca="1">IFERROR(
  INDEX($J$2:$J$543,
    MATCH(A179&amp;TEXT(I179,"yyyy-mm-dd"),
          $A$2:$A$543&amp;TEXT($H$2:$H$543,"yyyy-mm-dd"),
          0)),
"")</f>
        <v>1</v>
      </c>
      <c r="O179" s="147" t="str">
        <f t="shared" ca="1" si="1"/>
        <v/>
      </c>
      <c r="P179" s="147">
        <f t="shared" ref="P179:Q179" ca="1" si="188">IF(N179="",0,IF(N179&lt;=2,1,IF(N179&lt;=4,2,IF(N179&lt;=5.5,3,4))))</f>
        <v>1</v>
      </c>
      <c r="Q179" s="147">
        <f t="shared" ca="1" si="188"/>
        <v>0</v>
      </c>
      <c r="R179" s="147" t="str">
        <f t="shared" ca="1" si="3"/>
        <v>Not tested yet</v>
      </c>
      <c r="S179" s="147">
        <f t="shared" si="4"/>
        <v>0</v>
      </c>
      <c r="T179" s="147"/>
      <c r="U179" s="147"/>
      <c r="V179" s="148" t="e">
        <f ca="1"/>
        <v>#NAME?</v>
      </c>
      <c r="W179" s="147" t="e">
        <f t="shared" ca="1" si="5"/>
        <v>#NAME?</v>
      </c>
      <c r="X179" s="147" t="e">
        <f t="shared" ca="1" si="6"/>
        <v>#NAME?</v>
      </c>
      <c r="Y179" s="147" t="e">
        <f t="shared" ca="1" si="7"/>
        <v>#NAME?</v>
      </c>
      <c r="Z179" s="147"/>
      <c r="AA179" s="147"/>
      <c r="AB179" s="147"/>
      <c r="AC179" s="147"/>
      <c r="AD179" s="147"/>
      <c r="AE179" s="147"/>
      <c r="AF179" s="147"/>
      <c r="AG179" s="147"/>
      <c r="AH179" s="147"/>
      <c r="AI179" s="147"/>
      <c r="AJ179" s="147"/>
      <c r="AK179" s="147"/>
      <c r="AL179" s="147"/>
      <c r="AM179" s="151"/>
      <c r="AN179" s="147"/>
      <c r="AO179" s="147" t="e">
        <f t="shared" si="8"/>
        <v>#N/A</v>
      </c>
      <c r="AP179" s="147" t="e">
        <f t="shared" ca="1" si="9"/>
        <v>#NAME?</v>
      </c>
      <c r="AQ179" s="147" t="e">
        <f t="shared" si="10"/>
        <v>#N/A</v>
      </c>
      <c r="AR179" s="147"/>
      <c r="AS179" s="147"/>
      <c r="AT179" s="147"/>
      <c r="AU179" s="147"/>
      <c r="AV179" s="147"/>
      <c r="AW179" s="147"/>
      <c r="AX179" s="147"/>
      <c r="AY179" s="147"/>
      <c r="AZ179" s="147"/>
      <c r="BA179" s="147"/>
      <c r="BB179" s="147"/>
      <c r="BC179" s="147"/>
      <c r="BD179" s="147"/>
      <c r="BE179" s="147"/>
      <c r="BF179" s="147"/>
      <c r="BG179" s="147"/>
      <c r="BH179" s="147"/>
      <c r="BI179" s="147"/>
      <c r="BJ179" s="147"/>
      <c r="BK179" s="147"/>
      <c r="BL179" s="147"/>
      <c r="BM179" s="147"/>
      <c r="BN179" s="147"/>
      <c r="BO179" s="147"/>
      <c r="BP179" s="147"/>
      <c r="BQ179" s="147"/>
      <c r="BR179" s="147"/>
      <c r="BS179" s="147"/>
      <c r="BT179" s="147"/>
      <c r="BU179" s="147"/>
      <c r="BV179" s="147"/>
      <c r="BW179" s="147"/>
      <c r="BX179" s="147"/>
      <c r="BY179" s="147"/>
      <c r="BZ179" s="147"/>
      <c r="CA179" s="147"/>
      <c r="CB179" s="147"/>
      <c r="CC179" s="147"/>
      <c r="CD179" s="147"/>
      <c r="CE179" s="147"/>
      <c r="CF179" s="147"/>
      <c r="CG179" s="147"/>
      <c r="CH179" s="147"/>
      <c r="CI179" s="147"/>
      <c r="CJ179" s="147"/>
      <c r="CK179" s="147"/>
    </row>
    <row r="180" spans="1:89">
      <c r="A180" s="159" t="s">
        <v>323</v>
      </c>
      <c r="B180" s="3" t="s">
        <v>324</v>
      </c>
      <c r="C180" s="160" t="s">
        <v>68</v>
      </c>
      <c r="D180" s="160" t="s">
        <v>861</v>
      </c>
      <c r="E180" s="3" t="s">
        <v>22</v>
      </c>
      <c r="F180" s="3" t="s">
        <v>926</v>
      </c>
      <c r="G180" s="3"/>
      <c r="H180" s="156" t="str">
        <f ca="1">IFERROR(
  _xludf.MINIFS(ATTENDANCE_LOG!$F:$F,
         ATTENDANCE_LOG!$A:$A, C180,
         ATTENDANCE_LOG!$B:$B, E180),
"")</f>
        <v/>
      </c>
      <c r="I180" s="156" t="str">
        <f t="shared" ca="1" si="0"/>
        <v/>
      </c>
      <c r="J180" s="3">
        <f>IFERROR(VLOOKUP(F180, LEVEL_HELPER!$A:$B, 2, 0), "")</f>
        <v>1</v>
      </c>
      <c r="K180" s="3" t="str">
        <f>IFERROR(VLOOKUP(G180, LEVEL_HELPER!$A:$B, 2, 0), "")</f>
        <v/>
      </c>
      <c r="L180" s="157" t="s">
        <v>942</v>
      </c>
      <c r="M180" s="157" t="s">
        <v>924</v>
      </c>
      <c r="N180" s="3">
        <f t="array" aca="1" ref="N180" ca="1">IFERROR(
  INDEX($J$2:$J$543,
    MATCH(A180&amp;TEXT(I180,"yyyy-mm-dd"),
          $A$2:$A$543&amp;TEXT($H$2:$H$543,"yyyy-mm-dd"),
          0)),
"")</f>
        <v>1</v>
      </c>
      <c r="O180" s="147" t="str">
        <f t="shared" ca="1" si="1"/>
        <v/>
      </c>
      <c r="P180" s="147">
        <f t="shared" ref="P180:Q180" ca="1" si="189">IF(N180="",0,IF(N180&lt;=2,1,IF(N180&lt;=4,2,IF(N180&lt;=5.5,3,4))))</f>
        <v>1</v>
      </c>
      <c r="Q180" s="147">
        <f t="shared" ca="1" si="189"/>
        <v>0</v>
      </c>
      <c r="R180" s="147" t="str">
        <f t="shared" ca="1" si="3"/>
        <v>Not tested yet</v>
      </c>
      <c r="S180" s="147">
        <f t="shared" si="4"/>
        <v>1</v>
      </c>
      <c r="T180" s="147"/>
      <c r="U180" s="147"/>
      <c r="V180" s="148" t="e">
        <f ca="1"/>
        <v>#NAME?</v>
      </c>
      <c r="W180" s="147" t="e">
        <f t="shared" ca="1" si="5"/>
        <v>#NAME?</v>
      </c>
      <c r="X180" s="147" t="e">
        <f t="shared" ca="1" si="6"/>
        <v>#NAME?</v>
      </c>
      <c r="Y180" s="147" t="e">
        <f t="shared" ca="1" si="7"/>
        <v>#NAME?</v>
      </c>
      <c r="Z180" s="147"/>
      <c r="AA180" s="147"/>
      <c r="AB180" s="147"/>
      <c r="AC180" s="147"/>
      <c r="AD180" s="147"/>
      <c r="AE180" s="147"/>
      <c r="AF180" s="147"/>
      <c r="AG180" s="147"/>
      <c r="AH180" s="147"/>
      <c r="AI180" s="147"/>
      <c r="AJ180" s="147"/>
      <c r="AK180" s="147"/>
      <c r="AL180" s="147"/>
      <c r="AM180" s="151"/>
      <c r="AN180" s="147"/>
      <c r="AO180" s="147" t="e">
        <f t="shared" si="8"/>
        <v>#N/A</v>
      </c>
      <c r="AP180" s="147" t="e">
        <f t="shared" ca="1" si="9"/>
        <v>#NAME?</v>
      </c>
      <c r="AQ180" s="147" t="e">
        <f t="shared" si="10"/>
        <v>#N/A</v>
      </c>
      <c r="AR180" s="147"/>
      <c r="AS180" s="147"/>
      <c r="AT180" s="147"/>
      <c r="AU180" s="147"/>
      <c r="AV180" s="147"/>
      <c r="AW180" s="147"/>
      <c r="AX180" s="147"/>
      <c r="AY180" s="147"/>
      <c r="AZ180" s="147"/>
      <c r="BA180" s="147"/>
      <c r="BB180" s="147"/>
      <c r="BC180" s="147"/>
      <c r="BD180" s="147"/>
      <c r="BE180" s="147"/>
      <c r="BF180" s="147"/>
      <c r="BG180" s="147"/>
      <c r="BH180" s="147"/>
      <c r="BI180" s="147"/>
      <c r="BJ180" s="147"/>
      <c r="BK180" s="147"/>
      <c r="BL180" s="147"/>
      <c r="BM180" s="147"/>
      <c r="BN180" s="147"/>
      <c r="BO180" s="147"/>
      <c r="BP180" s="147"/>
      <c r="BQ180" s="147"/>
      <c r="BR180" s="147"/>
      <c r="BS180" s="147"/>
      <c r="BT180" s="147"/>
      <c r="BU180" s="147"/>
      <c r="BV180" s="147"/>
      <c r="BW180" s="147"/>
      <c r="BX180" s="147"/>
      <c r="BY180" s="147"/>
      <c r="BZ180" s="147"/>
      <c r="CA180" s="147"/>
      <c r="CB180" s="147"/>
      <c r="CC180" s="147"/>
      <c r="CD180" s="147"/>
      <c r="CE180" s="147"/>
      <c r="CF180" s="147"/>
      <c r="CG180" s="147"/>
      <c r="CH180" s="147"/>
      <c r="CI180" s="147"/>
      <c r="CJ180" s="147"/>
      <c r="CK180" s="147"/>
    </row>
    <row r="181" spans="1:89">
      <c r="A181" s="159" t="s">
        <v>639</v>
      </c>
      <c r="B181" s="3" t="s">
        <v>640</v>
      </c>
      <c r="C181" s="160" t="s">
        <v>68</v>
      </c>
      <c r="D181" s="160" t="s">
        <v>861</v>
      </c>
      <c r="E181" s="3" t="s">
        <v>22</v>
      </c>
      <c r="F181" s="3" t="s">
        <v>916</v>
      </c>
      <c r="G181" s="3"/>
      <c r="H181" s="156" t="str">
        <f ca="1">IFERROR(
  _xludf.MINIFS(ATTENDANCE_LOG!$F:$F,
         ATTENDANCE_LOG!$A:$A, C181,
         ATTENDANCE_LOG!$B:$B, E181),
"")</f>
        <v/>
      </c>
      <c r="I181" s="156" t="str">
        <f t="shared" ca="1" si="0"/>
        <v/>
      </c>
      <c r="J181" s="3">
        <f>IFERROR(VLOOKUP(F181, LEVEL_HELPER!$A:$B, 2, 0), "")</f>
        <v>2.5</v>
      </c>
      <c r="K181" s="3" t="str">
        <f>IFERROR(VLOOKUP(G181, LEVEL_HELPER!$A:$B, 2, 0), "")</f>
        <v/>
      </c>
      <c r="L181" s="157" t="s">
        <v>942</v>
      </c>
      <c r="M181" s="157" t="s">
        <v>924</v>
      </c>
      <c r="N181" s="3">
        <f t="array" aca="1" ref="N181" ca="1">IFERROR(
  INDEX($J$2:$J$543,
    MATCH(A181&amp;TEXT(I181,"yyyy-mm-dd"),
          $A$2:$A$543&amp;TEXT($H$2:$H$543,"yyyy-mm-dd"),
          0)),
"")</f>
        <v>2.5</v>
      </c>
      <c r="O181" s="147" t="str">
        <f t="shared" ca="1" si="1"/>
        <v/>
      </c>
      <c r="P181" s="147">
        <f t="shared" ref="P181:Q181" ca="1" si="190">IF(N181="",0,IF(N181&lt;=2,1,IF(N181&lt;=4,2,IF(N181&lt;=5.5,3,4))))</f>
        <v>2</v>
      </c>
      <c r="Q181" s="147">
        <f t="shared" ca="1" si="190"/>
        <v>0</v>
      </c>
      <c r="R181" s="147" t="str">
        <f t="shared" ca="1" si="3"/>
        <v>Not tested yet</v>
      </c>
      <c r="S181" s="147">
        <f t="shared" si="4"/>
        <v>1</v>
      </c>
      <c r="T181" s="147"/>
      <c r="U181" s="147"/>
      <c r="V181" s="148" t="e">
        <f ca="1"/>
        <v>#NAME?</v>
      </c>
      <c r="W181" s="147" t="e">
        <f t="shared" ca="1" si="5"/>
        <v>#NAME?</v>
      </c>
      <c r="X181" s="147" t="e">
        <f t="shared" ca="1" si="6"/>
        <v>#NAME?</v>
      </c>
      <c r="Y181" s="147" t="e">
        <f t="shared" ca="1" si="7"/>
        <v>#NAME?</v>
      </c>
      <c r="Z181" s="147"/>
      <c r="AA181" s="147"/>
      <c r="AB181" s="147"/>
      <c r="AC181" s="147"/>
      <c r="AD181" s="147"/>
      <c r="AE181" s="147"/>
      <c r="AF181" s="147"/>
      <c r="AG181" s="147"/>
      <c r="AH181" s="147"/>
      <c r="AI181" s="147"/>
      <c r="AJ181" s="147"/>
      <c r="AK181" s="147"/>
      <c r="AL181" s="147"/>
      <c r="AM181" s="151"/>
      <c r="AN181" s="147"/>
      <c r="AO181" s="147" t="e">
        <f t="shared" si="8"/>
        <v>#N/A</v>
      </c>
      <c r="AP181" s="147" t="e">
        <f t="shared" ca="1" si="9"/>
        <v>#NAME?</v>
      </c>
      <c r="AQ181" s="147" t="e">
        <f t="shared" si="10"/>
        <v>#N/A</v>
      </c>
      <c r="AR181" s="147"/>
      <c r="AS181" s="147"/>
      <c r="AT181" s="147"/>
      <c r="AU181" s="147"/>
      <c r="AV181" s="147"/>
      <c r="AW181" s="147"/>
      <c r="AX181" s="147"/>
      <c r="AY181" s="147"/>
      <c r="AZ181" s="147"/>
      <c r="BA181" s="147"/>
      <c r="BB181" s="147"/>
      <c r="BC181" s="147"/>
      <c r="BD181" s="147"/>
      <c r="BE181" s="147"/>
      <c r="BF181" s="147"/>
      <c r="BG181" s="147"/>
      <c r="BH181" s="147"/>
      <c r="BI181" s="147"/>
      <c r="BJ181" s="147"/>
      <c r="BK181" s="147"/>
      <c r="BL181" s="147"/>
      <c r="BM181" s="147"/>
      <c r="BN181" s="147"/>
      <c r="BO181" s="147"/>
      <c r="BP181" s="147"/>
      <c r="BQ181" s="147"/>
      <c r="BR181" s="147"/>
      <c r="BS181" s="147"/>
      <c r="BT181" s="147"/>
      <c r="BU181" s="147"/>
      <c r="BV181" s="147"/>
      <c r="BW181" s="147"/>
      <c r="BX181" s="147"/>
      <c r="BY181" s="147"/>
      <c r="BZ181" s="147"/>
      <c r="CA181" s="147"/>
      <c r="CB181" s="147"/>
      <c r="CC181" s="147"/>
      <c r="CD181" s="147"/>
      <c r="CE181" s="147"/>
      <c r="CF181" s="147"/>
      <c r="CG181" s="147"/>
      <c r="CH181" s="147"/>
      <c r="CI181" s="147"/>
      <c r="CJ181" s="147"/>
      <c r="CK181" s="147"/>
    </row>
    <row r="182" spans="1:89">
      <c r="A182" s="159" t="s">
        <v>643</v>
      </c>
      <c r="B182" s="3" t="s">
        <v>644</v>
      </c>
      <c r="C182" s="160" t="s">
        <v>68</v>
      </c>
      <c r="D182" s="160" t="s">
        <v>861</v>
      </c>
      <c r="E182" s="3" t="s">
        <v>22</v>
      </c>
      <c r="F182" s="3" t="s">
        <v>917</v>
      </c>
      <c r="G182" s="3"/>
      <c r="H182" s="156" t="str">
        <f ca="1">IFERROR(
  _xludf.MINIFS(ATTENDANCE_LOG!$F:$F,
         ATTENDANCE_LOG!$A:$A, C182,
         ATTENDANCE_LOG!$B:$B, E182),
"")</f>
        <v/>
      </c>
      <c r="I182" s="156" t="str">
        <f t="shared" ca="1" si="0"/>
        <v/>
      </c>
      <c r="J182" s="3">
        <f>IFERROR(VLOOKUP(F182, LEVEL_HELPER!$A:$B, 2, 0), "")</f>
        <v>3</v>
      </c>
      <c r="K182" s="3" t="str">
        <f>IFERROR(VLOOKUP(G182, LEVEL_HELPER!$A:$B, 2, 0), "")</f>
        <v/>
      </c>
      <c r="L182" s="157" t="s">
        <v>942</v>
      </c>
      <c r="M182" s="157" t="s">
        <v>924</v>
      </c>
      <c r="N182" s="3">
        <f t="array" aca="1" ref="N182" ca="1">IFERROR(
  INDEX($J$2:$J$543,
    MATCH(A182&amp;TEXT(I182,"yyyy-mm-dd"),
          $A$2:$A$543&amp;TEXT($H$2:$H$543,"yyyy-mm-dd"),
          0)),
"")</f>
        <v>1</v>
      </c>
      <c r="O182" s="147" t="str">
        <f t="shared" ca="1" si="1"/>
        <v/>
      </c>
      <c r="P182" s="147">
        <f t="shared" ref="P182:Q182" ca="1" si="191">IF(N182="",0,IF(N182&lt;=2,1,IF(N182&lt;=4,2,IF(N182&lt;=5.5,3,4))))</f>
        <v>1</v>
      </c>
      <c r="Q182" s="147">
        <f t="shared" ca="1" si="191"/>
        <v>0</v>
      </c>
      <c r="R182" s="147" t="str">
        <f t="shared" ca="1" si="3"/>
        <v>Not tested yet</v>
      </c>
      <c r="S182" s="147">
        <f t="shared" si="4"/>
        <v>0</v>
      </c>
      <c r="T182" s="147"/>
      <c r="U182" s="147"/>
      <c r="V182" s="148" t="e">
        <f ca="1"/>
        <v>#NAME?</v>
      </c>
      <c r="W182" s="147" t="e">
        <f t="shared" ca="1" si="5"/>
        <v>#NAME?</v>
      </c>
      <c r="X182" s="147" t="e">
        <f t="shared" ca="1" si="6"/>
        <v>#NAME?</v>
      </c>
      <c r="Y182" s="147" t="e">
        <f t="shared" ca="1" si="7"/>
        <v>#NAME?</v>
      </c>
      <c r="Z182" s="147"/>
      <c r="AA182" s="147"/>
      <c r="AB182" s="147"/>
      <c r="AC182" s="147"/>
      <c r="AD182" s="147"/>
      <c r="AE182" s="147"/>
      <c r="AF182" s="147"/>
      <c r="AG182" s="147"/>
      <c r="AH182" s="147"/>
      <c r="AI182" s="147"/>
      <c r="AJ182" s="147"/>
      <c r="AK182" s="147"/>
      <c r="AL182" s="147"/>
      <c r="AM182" s="151"/>
      <c r="AN182" s="147"/>
      <c r="AO182" s="147" t="e">
        <f t="shared" si="8"/>
        <v>#N/A</v>
      </c>
      <c r="AP182" s="147" t="e">
        <f t="shared" ca="1" si="9"/>
        <v>#NAME?</v>
      </c>
      <c r="AQ182" s="147" t="e">
        <f t="shared" si="10"/>
        <v>#N/A</v>
      </c>
      <c r="AR182" s="147"/>
      <c r="AS182" s="147"/>
      <c r="AT182" s="147"/>
      <c r="AU182" s="147"/>
      <c r="AV182" s="147"/>
      <c r="AW182" s="147"/>
      <c r="AX182" s="147"/>
      <c r="AY182" s="147"/>
      <c r="AZ182" s="147"/>
      <c r="BA182" s="147"/>
      <c r="BB182" s="147"/>
      <c r="BC182" s="147"/>
      <c r="BD182" s="147"/>
      <c r="BE182" s="147"/>
      <c r="BF182" s="147"/>
      <c r="BG182" s="147"/>
      <c r="BH182" s="147"/>
      <c r="BI182" s="147"/>
      <c r="BJ182" s="147"/>
      <c r="BK182" s="147"/>
      <c r="BL182" s="147"/>
      <c r="BM182" s="147"/>
      <c r="BN182" s="147"/>
      <c r="BO182" s="147"/>
      <c r="BP182" s="147"/>
      <c r="BQ182" s="147"/>
      <c r="BR182" s="147"/>
      <c r="BS182" s="147"/>
      <c r="BT182" s="147"/>
      <c r="BU182" s="147"/>
      <c r="BV182" s="147"/>
      <c r="BW182" s="147"/>
      <c r="BX182" s="147"/>
      <c r="BY182" s="147"/>
      <c r="BZ182" s="147"/>
      <c r="CA182" s="147"/>
      <c r="CB182" s="147"/>
      <c r="CC182" s="147"/>
      <c r="CD182" s="147"/>
      <c r="CE182" s="147"/>
      <c r="CF182" s="147"/>
      <c r="CG182" s="147"/>
      <c r="CH182" s="147"/>
      <c r="CI182" s="147"/>
      <c r="CJ182" s="147"/>
      <c r="CK182" s="147"/>
    </row>
    <row r="183" spans="1:89">
      <c r="A183" s="159" t="s">
        <v>715</v>
      </c>
      <c r="B183" s="3" t="s">
        <v>716</v>
      </c>
      <c r="C183" s="160" t="s">
        <v>68</v>
      </c>
      <c r="D183" s="160" t="s">
        <v>861</v>
      </c>
      <c r="E183" s="3" t="s">
        <v>22</v>
      </c>
      <c r="F183" s="3" t="s">
        <v>916</v>
      </c>
      <c r="G183" s="3"/>
      <c r="H183" s="156" t="str">
        <f ca="1">IFERROR(
  _xludf.MINIFS(ATTENDANCE_LOG!$F:$F,
         ATTENDANCE_LOG!$A:$A, C183,
         ATTENDANCE_LOG!$B:$B, E183),
"")</f>
        <v/>
      </c>
      <c r="I183" s="156" t="str">
        <f t="shared" ca="1" si="0"/>
        <v/>
      </c>
      <c r="J183" s="3">
        <f>IFERROR(VLOOKUP(F183, LEVEL_HELPER!$A:$B, 2, 0), "")</f>
        <v>2.5</v>
      </c>
      <c r="K183" s="3" t="str">
        <f>IFERROR(VLOOKUP(G183, LEVEL_HELPER!$A:$B, 2, 0), "")</f>
        <v/>
      </c>
      <c r="L183" s="157" t="s">
        <v>942</v>
      </c>
      <c r="M183" s="157" t="s">
        <v>924</v>
      </c>
      <c r="N183" s="3">
        <f t="array" aca="1" ref="N183" ca="1">IFERROR(
  INDEX($J$2:$J$543,
    MATCH(A183&amp;TEXT(I183,"yyyy-mm-dd"),
          $A$2:$A$543&amp;TEXT($H$2:$H$543,"yyyy-mm-dd"),
          0)),
"")</f>
        <v>2.5</v>
      </c>
      <c r="O183" s="147" t="str">
        <f t="shared" ca="1" si="1"/>
        <v/>
      </c>
      <c r="P183" s="147">
        <f t="shared" ref="P183:Q183" ca="1" si="192">IF(N183="",0,IF(N183&lt;=2,1,IF(N183&lt;=4,2,IF(N183&lt;=5.5,3,4))))</f>
        <v>2</v>
      </c>
      <c r="Q183" s="147">
        <f t="shared" ca="1" si="192"/>
        <v>0</v>
      </c>
      <c r="R183" s="147" t="str">
        <f t="shared" ca="1" si="3"/>
        <v>Not tested yet</v>
      </c>
      <c r="S183" s="147">
        <f t="shared" si="4"/>
        <v>1</v>
      </c>
      <c r="T183" s="147"/>
      <c r="U183" s="147"/>
      <c r="V183" s="148" t="e">
        <f ca="1"/>
        <v>#NAME?</v>
      </c>
      <c r="W183" s="147" t="e">
        <f t="shared" ca="1" si="5"/>
        <v>#NAME?</v>
      </c>
      <c r="X183" s="147" t="e">
        <f t="shared" ca="1" si="6"/>
        <v>#NAME?</v>
      </c>
      <c r="Y183" s="147" t="e">
        <f t="shared" ca="1" si="7"/>
        <v>#NAME?</v>
      </c>
      <c r="Z183" s="147"/>
      <c r="AA183" s="147"/>
      <c r="AB183" s="147"/>
      <c r="AC183" s="147"/>
      <c r="AD183" s="147"/>
      <c r="AE183" s="147"/>
      <c r="AF183" s="147"/>
      <c r="AG183" s="147"/>
      <c r="AH183" s="147"/>
      <c r="AI183" s="147"/>
      <c r="AJ183" s="147"/>
      <c r="AK183" s="147"/>
      <c r="AL183" s="147"/>
      <c r="AM183" s="151"/>
      <c r="AN183" s="147"/>
      <c r="AO183" s="147" t="e">
        <f t="shared" si="8"/>
        <v>#N/A</v>
      </c>
      <c r="AP183" s="147" t="e">
        <f t="shared" ca="1" si="9"/>
        <v>#NAME?</v>
      </c>
      <c r="AQ183" s="147" t="e">
        <f t="shared" si="10"/>
        <v>#N/A</v>
      </c>
      <c r="AR183" s="147"/>
      <c r="AS183" s="147"/>
      <c r="AT183" s="147"/>
      <c r="AU183" s="147"/>
      <c r="AV183" s="147"/>
      <c r="AW183" s="147"/>
      <c r="AX183" s="147"/>
      <c r="AY183" s="147"/>
      <c r="AZ183" s="147"/>
      <c r="BA183" s="147"/>
      <c r="BB183" s="147"/>
      <c r="BC183" s="147"/>
      <c r="BD183" s="147"/>
      <c r="BE183" s="147"/>
      <c r="BF183" s="147"/>
      <c r="BG183" s="147"/>
      <c r="BH183" s="147"/>
      <c r="BI183" s="147"/>
      <c r="BJ183" s="147"/>
      <c r="BK183" s="147"/>
      <c r="BL183" s="147"/>
      <c r="BM183" s="147"/>
      <c r="BN183" s="147"/>
      <c r="BO183" s="147"/>
      <c r="BP183" s="147"/>
      <c r="BQ183" s="147"/>
      <c r="BR183" s="147"/>
      <c r="BS183" s="147"/>
      <c r="BT183" s="147"/>
      <c r="BU183" s="147"/>
      <c r="BV183" s="147"/>
      <c r="BW183" s="147"/>
      <c r="BX183" s="147"/>
      <c r="BY183" s="147"/>
      <c r="BZ183" s="147"/>
      <c r="CA183" s="147"/>
      <c r="CB183" s="147"/>
      <c r="CC183" s="147"/>
      <c r="CD183" s="147"/>
      <c r="CE183" s="147"/>
      <c r="CF183" s="147"/>
      <c r="CG183" s="147"/>
      <c r="CH183" s="147"/>
      <c r="CI183" s="147"/>
      <c r="CJ183" s="147"/>
      <c r="CK183" s="147"/>
    </row>
    <row r="184" spans="1:89">
      <c r="A184" s="153" t="s">
        <v>257</v>
      </c>
      <c r="B184" s="154" t="s">
        <v>258</v>
      </c>
      <c r="C184" s="155" t="s">
        <v>69</v>
      </c>
      <c r="D184" s="155" t="s">
        <v>862</v>
      </c>
      <c r="E184" s="154" t="s">
        <v>21</v>
      </c>
      <c r="F184" s="3" t="s">
        <v>916</v>
      </c>
      <c r="G184" s="3" t="s">
        <v>931</v>
      </c>
      <c r="H184" s="156" t="str">
        <f ca="1">IFERROR(
  _xludf.MINIFS(ATTENDANCE_LOG!$F:$F,
         ATTENDANCE_LOG!$A:$A, C184,
         ATTENDANCE_LOG!$B:$B, E184),
"")</f>
        <v/>
      </c>
      <c r="I184" s="156" t="str">
        <f t="shared" ca="1" si="0"/>
        <v/>
      </c>
      <c r="J184" s="3">
        <f>IFERROR(VLOOKUP(F184, LEVEL_HELPER!$A:$B, 2, 0), "")</f>
        <v>2.5</v>
      </c>
      <c r="K184" s="3">
        <f>IFERROR(VLOOKUP(G184, LEVEL_HELPER!$A:$B, 2, 0), "")</f>
        <v>4.5</v>
      </c>
      <c r="L184" s="157" t="s">
        <v>942</v>
      </c>
      <c r="M184" s="157" t="s">
        <v>924</v>
      </c>
      <c r="N184" s="3">
        <f t="array" aca="1" ref="N184" ca="1">IFERROR(
  INDEX($J$2:$J$543,
    MATCH(A184&amp;TEXT(I184,"yyyy-mm-dd"),
          $A$2:$A$543&amp;TEXT($H$2:$H$543,"yyyy-mm-dd"),
          0)),
"")</f>
        <v>2.5</v>
      </c>
      <c r="O184" s="147" t="str">
        <f t="shared" ca="1" si="1"/>
        <v/>
      </c>
      <c r="P184" s="147">
        <f t="shared" ref="P184:Q184" ca="1" si="193">IF(N184="",0,IF(N184&lt;=2,1,IF(N184&lt;=4,2,IF(N184&lt;=5.5,3,4))))</f>
        <v>2</v>
      </c>
      <c r="Q184" s="147">
        <f t="shared" ca="1" si="193"/>
        <v>0</v>
      </c>
      <c r="R184" s="147" t="str">
        <f t="shared" ca="1" si="3"/>
        <v>Not tested yet</v>
      </c>
      <c r="S184" s="147">
        <f t="shared" si="4"/>
        <v>1</v>
      </c>
      <c r="T184" s="147"/>
      <c r="U184" s="147"/>
      <c r="V184" s="148" t="e">
        <f ca="1"/>
        <v>#NAME?</v>
      </c>
      <c r="W184" s="147" t="e">
        <f t="shared" ca="1" si="5"/>
        <v>#NAME?</v>
      </c>
      <c r="X184" s="147" t="e">
        <f t="shared" ca="1" si="6"/>
        <v>#NAME?</v>
      </c>
      <c r="Y184" s="147" t="e">
        <f t="shared" ca="1" si="7"/>
        <v>#NAME?</v>
      </c>
      <c r="Z184" s="147"/>
      <c r="AA184" s="147"/>
      <c r="AB184" s="147"/>
      <c r="AC184" s="147"/>
      <c r="AD184" s="147"/>
      <c r="AE184" s="147"/>
      <c r="AF184" s="147"/>
      <c r="AG184" s="147"/>
      <c r="AH184" s="147"/>
      <c r="AI184" s="147"/>
      <c r="AJ184" s="147"/>
      <c r="AK184" s="147"/>
      <c r="AL184" s="147"/>
      <c r="AM184" s="151"/>
      <c r="AN184" s="147"/>
      <c r="AO184" s="147" t="e">
        <f t="shared" si="8"/>
        <v>#N/A</v>
      </c>
      <c r="AP184" s="147" t="e">
        <f t="shared" ca="1" si="9"/>
        <v>#NAME?</v>
      </c>
      <c r="AQ184" s="147" t="e">
        <f t="shared" si="10"/>
        <v>#N/A</v>
      </c>
      <c r="AR184" s="147"/>
      <c r="AS184" s="147"/>
      <c r="AT184" s="147"/>
      <c r="AU184" s="147"/>
      <c r="AV184" s="147"/>
      <c r="AW184" s="147"/>
      <c r="AX184" s="147"/>
      <c r="AY184" s="147"/>
      <c r="AZ184" s="147"/>
      <c r="BA184" s="147"/>
      <c r="BB184" s="147"/>
      <c r="BC184" s="147"/>
      <c r="BD184" s="147"/>
      <c r="BE184" s="147"/>
      <c r="BF184" s="147"/>
      <c r="BG184" s="147"/>
      <c r="BH184" s="147"/>
      <c r="BI184" s="147"/>
      <c r="BJ184" s="147"/>
      <c r="BK184" s="147"/>
      <c r="BL184" s="147"/>
      <c r="BM184" s="147"/>
      <c r="BN184" s="147"/>
      <c r="BO184" s="147"/>
      <c r="BP184" s="147"/>
      <c r="BQ184" s="147"/>
      <c r="BR184" s="147"/>
      <c r="BS184" s="147"/>
      <c r="BT184" s="147"/>
      <c r="BU184" s="147"/>
      <c r="BV184" s="147"/>
      <c r="BW184" s="147"/>
      <c r="BX184" s="147"/>
      <c r="BY184" s="147"/>
      <c r="BZ184" s="147"/>
      <c r="CA184" s="147"/>
      <c r="CB184" s="147"/>
      <c r="CC184" s="147"/>
      <c r="CD184" s="147"/>
      <c r="CE184" s="147"/>
      <c r="CF184" s="147"/>
      <c r="CG184" s="147"/>
      <c r="CH184" s="147"/>
      <c r="CI184" s="147"/>
      <c r="CJ184" s="147"/>
      <c r="CK184" s="147"/>
    </row>
    <row r="185" spans="1:89">
      <c r="A185" s="159" t="s">
        <v>311</v>
      </c>
      <c r="B185" s="3" t="s">
        <v>312</v>
      </c>
      <c r="C185" s="160" t="s">
        <v>69</v>
      </c>
      <c r="D185" s="160" t="s">
        <v>862</v>
      </c>
      <c r="E185" s="3" t="s">
        <v>21</v>
      </c>
      <c r="F185" s="3" t="s">
        <v>926</v>
      </c>
      <c r="G185" s="3" t="s">
        <v>926</v>
      </c>
      <c r="H185" s="156" t="str">
        <f ca="1">IFERROR(
  _xludf.MINIFS(ATTENDANCE_LOG!$F:$F,
         ATTENDANCE_LOG!$A:$A, C185,
         ATTENDANCE_LOG!$B:$B, E185),
"")</f>
        <v/>
      </c>
      <c r="I185" s="156" t="str">
        <f t="shared" ca="1" si="0"/>
        <v/>
      </c>
      <c r="J185" s="3">
        <f>IFERROR(VLOOKUP(F185, LEVEL_HELPER!$A:$B, 2, 0), "")</f>
        <v>1</v>
      </c>
      <c r="K185" s="3">
        <f>IFERROR(VLOOKUP(G185, LEVEL_HELPER!$A:$B, 2, 0), "")</f>
        <v>1</v>
      </c>
      <c r="L185" s="157" t="s">
        <v>942</v>
      </c>
      <c r="M185" s="157" t="s">
        <v>924</v>
      </c>
      <c r="N185" s="3">
        <f t="array" aca="1" ref="N185" ca="1">IFERROR(
  INDEX($J$2:$J$543,
    MATCH(A185&amp;TEXT(I185,"yyyy-mm-dd"),
          $A$2:$A$543&amp;TEXT($H$2:$H$543,"yyyy-mm-dd"),
          0)),
"")</f>
        <v>1</v>
      </c>
      <c r="O185" s="147" t="str">
        <f t="shared" ca="1" si="1"/>
        <v/>
      </c>
      <c r="P185" s="147">
        <f t="shared" ref="P185:Q185" ca="1" si="194">IF(N185="",0,IF(N185&lt;=2,1,IF(N185&lt;=4,2,IF(N185&lt;=5.5,3,4))))</f>
        <v>1</v>
      </c>
      <c r="Q185" s="147">
        <f t="shared" ca="1" si="194"/>
        <v>0</v>
      </c>
      <c r="R185" s="147" t="str">
        <f t="shared" ca="1" si="3"/>
        <v>Not tested yet</v>
      </c>
      <c r="S185" s="147">
        <f t="shared" si="4"/>
        <v>1</v>
      </c>
      <c r="T185" s="147"/>
      <c r="U185" s="147"/>
      <c r="V185" s="148" t="e">
        <f ca="1"/>
        <v>#NAME?</v>
      </c>
      <c r="W185" s="147" t="e">
        <f t="shared" ca="1" si="5"/>
        <v>#NAME?</v>
      </c>
      <c r="X185" s="147" t="e">
        <f t="shared" ca="1" si="6"/>
        <v>#NAME?</v>
      </c>
      <c r="Y185" s="147" t="e">
        <f t="shared" ca="1" si="7"/>
        <v>#NAME?</v>
      </c>
      <c r="Z185" s="147"/>
      <c r="AA185" s="147"/>
      <c r="AB185" s="147"/>
      <c r="AC185" s="147"/>
      <c r="AD185" s="147"/>
      <c r="AE185" s="147"/>
      <c r="AF185" s="147"/>
      <c r="AG185" s="147"/>
      <c r="AH185" s="147"/>
      <c r="AI185" s="147"/>
      <c r="AJ185" s="147"/>
      <c r="AK185" s="147"/>
      <c r="AL185" s="147"/>
      <c r="AM185" s="151"/>
      <c r="AN185" s="147"/>
      <c r="AO185" s="147" t="e">
        <f t="shared" si="8"/>
        <v>#N/A</v>
      </c>
      <c r="AP185" s="147" t="e">
        <f t="shared" ca="1" si="9"/>
        <v>#NAME?</v>
      </c>
      <c r="AQ185" s="147" t="e">
        <f t="shared" si="10"/>
        <v>#N/A</v>
      </c>
      <c r="AR185" s="147"/>
      <c r="AS185" s="147"/>
      <c r="AT185" s="147"/>
      <c r="AU185" s="147"/>
      <c r="AV185" s="147"/>
      <c r="AW185" s="147"/>
      <c r="AX185" s="147"/>
      <c r="AY185" s="147"/>
      <c r="AZ185" s="147"/>
      <c r="BA185" s="147"/>
      <c r="BB185" s="147"/>
      <c r="BC185" s="147"/>
      <c r="BD185" s="147"/>
      <c r="BE185" s="147"/>
      <c r="BF185" s="147"/>
      <c r="BG185" s="147"/>
      <c r="BH185" s="147"/>
      <c r="BI185" s="147"/>
      <c r="BJ185" s="147"/>
      <c r="BK185" s="147"/>
      <c r="BL185" s="147"/>
      <c r="BM185" s="147"/>
      <c r="BN185" s="147"/>
      <c r="BO185" s="147"/>
      <c r="BP185" s="147"/>
      <c r="BQ185" s="147"/>
      <c r="BR185" s="147"/>
      <c r="BS185" s="147"/>
      <c r="BT185" s="147"/>
      <c r="BU185" s="147"/>
      <c r="BV185" s="147"/>
      <c r="BW185" s="147"/>
      <c r="BX185" s="147"/>
      <c r="BY185" s="147"/>
      <c r="BZ185" s="147"/>
      <c r="CA185" s="147"/>
      <c r="CB185" s="147"/>
      <c r="CC185" s="147"/>
      <c r="CD185" s="147"/>
      <c r="CE185" s="147"/>
      <c r="CF185" s="147"/>
      <c r="CG185" s="147"/>
      <c r="CH185" s="147"/>
      <c r="CI185" s="147"/>
      <c r="CJ185" s="147"/>
      <c r="CK185" s="147"/>
    </row>
    <row r="186" spans="1:89">
      <c r="A186" s="159" t="s">
        <v>323</v>
      </c>
      <c r="B186" s="3" t="s">
        <v>324</v>
      </c>
      <c r="C186" s="160" t="s">
        <v>69</v>
      </c>
      <c r="D186" s="160" t="s">
        <v>862</v>
      </c>
      <c r="E186" s="3" t="s">
        <v>21</v>
      </c>
      <c r="F186" s="3" t="s">
        <v>926</v>
      </c>
      <c r="G186" s="3" t="s">
        <v>926</v>
      </c>
      <c r="H186" s="156" t="str">
        <f ca="1">IFERROR(
  _xludf.MINIFS(ATTENDANCE_LOG!$F:$F,
         ATTENDANCE_LOG!$A:$A, C186,
         ATTENDANCE_LOG!$B:$B, E186),
"")</f>
        <v/>
      </c>
      <c r="I186" s="156" t="str">
        <f t="shared" ca="1" si="0"/>
        <v/>
      </c>
      <c r="J186" s="3">
        <f>IFERROR(VLOOKUP(F186, LEVEL_HELPER!$A:$B, 2, 0), "")</f>
        <v>1</v>
      </c>
      <c r="K186" s="3">
        <f>IFERROR(VLOOKUP(G186, LEVEL_HELPER!$A:$B, 2, 0), "")</f>
        <v>1</v>
      </c>
      <c r="L186" s="157" t="s">
        <v>942</v>
      </c>
      <c r="M186" s="157" t="s">
        <v>924</v>
      </c>
      <c r="N186" s="3">
        <f t="array" aca="1" ref="N186" ca="1">IFERROR(
  INDEX($J$2:$J$543,
    MATCH(A186&amp;TEXT(I186,"yyyy-mm-dd"),
          $A$2:$A$543&amp;TEXT($H$2:$H$543,"yyyy-mm-dd"),
          0)),
"")</f>
        <v>1</v>
      </c>
      <c r="O186" s="147" t="str">
        <f t="shared" ca="1" si="1"/>
        <v/>
      </c>
      <c r="P186" s="147">
        <f t="shared" ref="P186:Q186" ca="1" si="195">IF(N186="",0,IF(N186&lt;=2,1,IF(N186&lt;=4,2,IF(N186&lt;=5.5,3,4))))</f>
        <v>1</v>
      </c>
      <c r="Q186" s="147">
        <f t="shared" ca="1" si="195"/>
        <v>0</v>
      </c>
      <c r="R186" s="147" t="str">
        <f t="shared" ca="1" si="3"/>
        <v>Not tested yet</v>
      </c>
      <c r="S186" s="147">
        <f t="shared" si="4"/>
        <v>0</v>
      </c>
      <c r="T186" s="147"/>
      <c r="U186" s="147"/>
      <c r="V186" s="148" t="e">
        <f ca="1"/>
        <v>#NAME?</v>
      </c>
      <c r="W186" s="147" t="e">
        <f t="shared" ca="1" si="5"/>
        <v>#NAME?</v>
      </c>
      <c r="X186" s="147" t="e">
        <f t="shared" ca="1" si="6"/>
        <v>#NAME?</v>
      </c>
      <c r="Y186" s="147" t="e">
        <f t="shared" ca="1" si="7"/>
        <v>#NAME?</v>
      </c>
      <c r="Z186" s="147"/>
      <c r="AA186" s="147"/>
      <c r="AB186" s="147"/>
      <c r="AC186" s="147"/>
      <c r="AD186" s="147"/>
      <c r="AE186" s="147"/>
      <c r="AF186" s="147"/>
      <c r="AG186" s="147"/>
      <c r="AH186" s="147"/>
      <c r="AI186" s="147"/>
      <c r="AJ186" s="147"/>
      <c r="AK186" s="147"/>
      <c r="AL186" s="147"/>
      <c r="AM186" s="151"/>
      <c r="AN186" s="147"/>
      <c r="AO186" s="147" t="e">
        <f t="shared" si="8"/>
        <v>#N/A</v>
      </c>
      <c r="AP186" s="147" t="e">
        <f t="shared" ca="1" si="9"/>
        <v>#NAME?</v>
      </c>
      <c r="AQ186" s="147" t="e">
        <f t="shared" si="10"/>
        <v>#N/A</v>
      </c>
      <c r="AR186" s="147"/>
      <c r="AS186" s="147"/>
      <c r="AT186" s="147"/>
      <c r="AU186" s="147"/>
      <c r="AV186" s="147"/>
      <c r="AW186" s="147"/>
      <c r="AX186" s="147"/>
      <c r="AY186" s="147"/>
      <c r="AZ186" s="147"/>
      <c r="BA186" s="147"/>
      <c r="BB186" s="147"/>
      <c r="BC186" s="147"/>
      <c r="BD186" s="147"/>
      <c r="BE186" s="147"/>
      <c r="BF186" s="147"/>
      <c r="BG186" s="147"/>
      <c r="BH186" s="147"/>
      <c r="BI186" s="147"/>
      <c r="BJ186" s="147"/>
      <c r="BK186" s="147"/>
      <c r="BL186" s="147"/>
      <c r="BM186" s="147"/>
      <c r="BN186" s="147"/>
      <c r="BO186" s="147"/>
      <c r="BP186" s="147"/>
      <c r="BQ186" s="147"/>
      <c r="BR186" s="147"/>
      <c r="BS186" s="147"/>
      <c r="BT186" s="147"/>
      <c r="BU186" s="147"/>
      <c r="BV186" s="147"/>
      <c r="BW186" s="147"/>
      <c r="BX186" s="147"/>
      <c r="BY186" s="147"/>
      <c r="BZ186" s="147"/>
      <c r="CA186" s="147"/>
      <c r="CB186" s="147"/>
      <c r="CC186" s="147"/>
      <c r="CD186" s="147"/>
      <c r="CE186" s="147"/>
      <c r="CF186" s="147"/>
      <c r="CG186" s="147"/>
      <c r="CH186" s="147"/>
      <c r="CI186" s="147"/>
      <c r="CJ186" s="147"/>
      <c r="CK186" s="147"/>
    </row>
    <row r="187" spans="1:89">
      <c r="A187" s="159" t="s">
        <v>403</v>
      </c>
      <c r="B187" s="3" t="s">
        <v>404</v>
      </c>
      <c r="C187" s="160" t="s">
        <v>69</v>
      </c>
      <c r="D187" s="160" t="s">
        <v>862</v>
      </c>
      <c r="E187" s="3" t="s">
        <v>21</v>
      </c>
      <c r="F187" s="3" t="s">
        <v>916</v>
      </c>
      <c r="G187" s="3" t="s">
        <v>931</v>
      </c>
      <c r="H187" s="156" t="str">
        <f ca="1">IFERROR(
  _xludf.MINIFS(ATTENDANCE_LOG!$F:$F,
         ATTENDANCE_LOG!$A:$A, C187,
         ATTENDANCE_LOG!$B:$B, E187),
"")</f>
        <v/>
      </c>
      <c r="I187" s="156" t="str">
        <f t="shared" ca="1" si="0"/>
        <v/>
      </c>
      <c r="J187" s="3">
        <f>IFERROR(VLOOKUP(F187, LEVEL_HELPER!$A:$B, 2, 0), "")</f>
        <v>2.5</v>
      </c>
      <c r="K187" s="3">
        <f>IFERROR(VLOOKUP(G187, LEVEL_HELPER!$A:$B, 2, 0), "")</f>
        <v>4.5</v>
      </c>
      <c r="L187" s="157" t="s">
        <v>942</v>
      </c>
      <c r="M187" s="157" t="s">
        <v>924</v>
      </c>
      <c r="N187" s="3">
        <f t="array" aca="1" ref="N187" ca="1">IFERROR(
  INDEX($J$2:$J$543,
    MATCH(A187&amp;TEXT(I187,"yyyy-mm-dd"),
          $A$2:$A$543&amp;TEXT($H$2:$H$543,"yyyy-mm-dd"),
          0)),
"")</f>
        <v>2.5</v>
      </c>
      <c r="O187" s="147" t="str">
        <f t="shared" ca="1" si="1"/>
        <v/>
      </c>
      <c r="P187" s="147">
        <f t="shared" ref="P187:Q187" ca="1" si="196">IF(N187="",0,IF(N187&lt;=2,1,IF(N187&lt;=4,2,IF(N187&lt;=5.5,3,4))))</f>
        <v>2</v>
      </c>
      <c r="Q187" s="147">
        <f t="shared" ca="1" si="196"/>
        <v>0</v>
      </c>
      <c r="R187" s="147" t="str">
        <f t="shared" ca="1" si="3"/>
        <v>Not tested yet</v>
      </c>
      <c r="S187" s="147">
        <f t="shared" si="4"/>
        <v>1</v>
      </c>
      <c r="T187" s="147"/>
      <c r="U187" s="147"/>
      <c r="V187" s="148" t="e">
        <f ca="1"/>
        <v>#NAME?</v>
      </c>
      <c r="W187" s="147" t="e">
        <f t="shared" ca="1" si="5"/>
        <v>#NAME?</v>
      </c>
      <c r="X187" s="147" t="e">
        <f t="shared" ca="1" si="6"/>
        <v>#NAME?</v>
      </c>
      <c r="Y187" s="147" t="e">
        <f t="shared" ca="1" si="7"/>
        <v>#NAME?</v>
      </c>
      <c r="Z187" s="147"/>
      <c r="AA187" s="147"/>
      <c r="AB187" s="147"/>
      <c r="AC187" s="147"/>
      <c r="AD187" s="147"/>
      <c r="AE187" s="147"/>
      <c r="AF187" s="147"/>
      <c r="AG187" s="147"/>
      <c r="AH187" s="147"/>
      <c r="AI187" s="147"/>
      <c r="AJ187" s="147"/>
      <c r="AK187" s="147"/>
      <c r="AL187" s="147"/>
      <c r="AM187" s="151"/>
      <c r="AN187" s="147"/>
      <c r="AO187" s="147" t="e">
        <f t="shared" si="8"/>
        <v>#N/A</v>
      </c>
      <c r="AP187" s="147" t="e">
        <f t="shared" ca="1" si="9"/>
        <v>#NAME?</v>
      </c>
      <c r="AQ187" s="147" t="e">
        <f t="shared" si="10"/>
        <v>#N/A</v>
      </c>
      <c r="AR187" s="147"/>
      <c r="AS187" s="147"/>
      <c r="AT187" s="147"/>
      <c r="AU187" s="147"/>
      <c r="AV187" s="147"/>
      <c r="AW187" s="147"/>
      <c r="AX187" s="147"/>
      <c r="AY187" s="147"/>
      <c r="AZ187" s="147"/>
      <c r="BA187" s="147"/>
      <c r="BB187" s="147"/>
      <c r="BC187" s="147"/>
      <c r="BD187" s="147"/>
      <c r="BE187" s="147"/>
      <c r="BF187" s="147"/>
      <c r="BG187" s="147"/>
      <c r="BH187" s="147"/>
      <c r="BI187" s="147"/>
      <c r="BJ187" s="147"/>
      <c r="BK187" s="147"/>
      <c r="BL187" s="147"/>
      <c r="BM187" s="147"/>
      <c r="BN187" s="147"/>
      <c r="BO187" s="147"/>
      <c r="BP187" s="147"/>
      <c r="BQ187" s="147"/>
      <c r="BR187" s="147"/>
      <c r="BS187" s="147"/>
      <c r="BT187" s="147"/>
      <c r="BU187" s="147"/>
      <c r="BV187" s="147"/>
      <c r="BW187" s="147"/>
      <c r="BX187" s="147"/>
      <c r="BY187" s="147"/>
      <c r="BZ187" s="147"/>
      <c r="CA187" s="147"/>
      <c r="CB187" s="147"/>
      <c r="CC187" s="147"/>
      <c r="CD187" s="147"/>
      <c r="CE187" s="147"/>
      <c r="CF187" s="147"/>
      <c r="CG187" s="147"/>
      <c r="CH187" s="147"/>
      <c r="CI187" s="147"/>
      <c r="CJ187" s="147"/>
      <c r="CK187" s="147"/>
    </row>
    <row r="188" spans="1:89">
      <c r="A188" s="159" t="s">
        <v>639</v>
      </c>
      <c r="B188" s="3" t="s">
        <v>640</v>
      </c>
      <c r="C188" s="160" t="s">
        <v>69</v>
      </c>
      <c r="D188" s="160" t="s">
        <v>862</v>
      </c>
      <c r="E188" s="3" t="s">
        <v>21</v>
      </c>
      <c r="F188" s="3" t="s">
        <v>926</v>
      </c>
      <c r="G188" s="3" t="s">
        <v>916</v>
      </c>
      <c r="H188" s="156" t="str">
        <f ca="1">IFERROR(
  _xludf.MINIFS(ATTENDANCE_LOG!$F:$F,
         ATTENDANCE_LOG!$A:$A, C188,
         ATTENDANCE_LOG!$B:$B, E188),
"")</f>
        <v/>
      </c>
      <c r="I188" s="156" t="str">
        <f t="shared" ca="1" si="0"/>
        <v/>
      </c>
      <c r="J188" s="3">
        <f>IFERROR(VLOOKUP(F188, LEVEL_HELPER!$A:$B, 2, 0), "")</f>
        <v>1</v>
      </c>
      <c r="K188" s="3">
        <f>IFERROR(VLOOKUP(G188, LEVEL_HELPER!$A:$B, 2, 0), "")</f>
        <v>2.5</v>
      </c>
      <c r="L188" s="157" t="s">
        <v>942</v>
      </c>
      <c r="M188" s="157" t="s">
        <v>924</v>
      </c>
      <c r="N188" s="3">
        <f t="array" aca="1" ref="N188" ca="1">IFERROR(
  INDEX($J$2:$J$543,
    MATCH(A188&amp;TEXT(I188,"yyyy-mm-dd"),
          $A$2:$A$543&amp;TEXT($H$2:$H$543,"yyyy-mm-dd"),
          0)),
"")</f>
        <v>2.5</v>
      </c>
      <c r="O188" s="147" t="str">
        <f t="shared" ca="1" si="1"/>
        <v/>
      </c>
      <c r="P188" s="147">
        <f t="shared" ref="P188:Q188" ca="1" si="197">IF(N188="",0,IF(N188&lt;=2,1,IF(N188&lt;=4,2,IF(N188&lt;=5.5,3,4))))</f>
        <v>2</v>
      </c>
      <c r="Q188" s="147">
        <f t="shared" ca="1" si="197"/>
        <v>0</v>
      </c>
      <c r="R188" s="147" t="str">
        <f t="shared" ca="1" si="3"/>
        <v>Not tested yet</v>
      </c>
      <c r="S188" s="147">
        <f t="shared" si="4"/>
        <v>0</v>
      </c>
      <c r="T188" s="147"/>
      <c r="U188" s="147"/>
      <c r="V188" s="148" t="e">
        <f ca="1"/>
        <v>#NAME?</v>
      </c>
      <c r="W188" s="147" t="e">
        <f t="shared" ca="1" si="5"/>
        <v>#NAME?</v>
      </c>
      <c r="X188" s="147" t="e">
        <f t="shared" ca="1" si="6"/>
        <v>#NAME?</v>
      </c>
      <c r="Y188" s="147" t="e">
        <f t="shared" ca="1" si="7"/>
        <v>#NAME?</v>
      </c>
      <c r="Z188" s="147"/>
      <c r="AA188" s="147"/>
      <c r="AB188" s="147"/>
      <c r="AC188" s="147"/>
      <c r="AD188" s="147"/>
      <c r="AE188" s="147"/>
      <c r="AF188" s="147"/>
      <c r="AG188" s="147"/>
      <c r="AH188" s="147"/>
      <c r="AI188" s="147"/>
      <c r="AJ188" s="147"/>
      <c r="AK188" s="147"/>
      <c r="AL188" s="147"/>
      <c r="AM188" s="151"/>
      <c r="AN188" s="147"/>
      <c r="AO188" s="147" t="e">
        <f t="shared" si="8"/>
        <v>#N/A</v>
      </c>
      <c r="AP188" s="147" t="e">
        <f t="shared" ca="1" si="9"/>
        <v>#NAME?</v>
      </c>
      <c r="AQ188" s="147" t="e">
        <f t="shared" si="10"/>
        <v>#N/A</v>
      </c>
      <c r="AR188" s="147"/>
      <c r="AS188" s="147"/>
      <c r="AT188" s="147"/>
      <c r="AU188" s="147"/>
      <c r="AV188" s="147"/>
      <c r="AW188" s="147"/>
      <c r="AX188" s="147"/>
      <c r="AY188" s="147"/>
      <c r="AZ188" s="147"/>
      <c r="BA188" s="147"/>
      <c r="BB188" s="147"/>
      <c r="BC188" s="147"/>
      <c r="BD188" s="147"/>
      <c r="BE188" s="147"/>
      <c r="BF188" s="147"/>
      <c r="BG188" s="147"/>
      <c r="BH188" s="147"/>
      <c r="BI188" s="147"/>
      <c r="BJ188" s="147"/>
      <c r="BK188" s="147"/>
      <c r="BL188" s="147"/>
      <c r="BM188" s="147"/>
      <c r="BN188" s="147"/>
      <c r="BO188" s="147"/>
      <c r="BP188" s="147"/>
      <c r="BQ188" s="147"/>
      <c r="BR188" s="147"/>
      <c r="BS188" s="147"/>
      <c r="BT188" s="147"/>
      <c r="BU188" s="147"/>
      <c r="BV188" s="147"/>
      <c r="BW188" s="147"/>
      <c r="BX188" s="147"/>
      <c r="BY188" s="147"/>
      <c r="BZ188" s="147"/>
      <c r="CA188" s="147"/>
      <c r="CB188" s="147"/>
      <c r="CC188" s="147"/>
      <c r="CD188" s="147"/>
      <c r="CE188" s="147"/>
      <c r="CF188" s="147"/>
      <c r="CG188" s="147"/>
      <c r="CH188" s="147"/>
      <c r="CI188" s="147"/>
      <c r="CJ188" s="147"/>
      <c r="CK188" s="147"/>
    </row>
    <row r="189" spans="1:89">
      <c r="A189" s="159" t="s">
        <v>715</v>
      </c>
      <c r="B189" s="3" t="s">
        <v>716</v>
      </c>
      <c r="C189" s="160" t="s">
        <v>69</v>
      </c>
      <c r="D189" s="160" t="s">
        <v>862</v>
      </c>
      <c r="E189" s="3" t="s">
        <v>21</v>
      </c>
      <c r="F189" s="3" t="s">
        <v>916</v>
      </c>
      <c r="G189" s="3" t="s">
        <v>916</v>
      </c>
      <c r="H189" s="156" t="str">
        <f ca="1">IFERROR(
  _xludf.MINIFS(ATTENDANCE_LOG!$F:$F,
         ATTENDANCE_LOG!$A:$A, C189,
         ATTENDANCE_LOG!$B:$B, E189),
"")</f>
        <v/>
      </c>
      <c r="I189" s="156" t="str">
        <f t="shared" ca="1" si="0"/>
        <v/>
      </c>
      <c r="J189" s="3">
        <f>IFERROR(VLOOKUP(F189, LEVEL_HELPER!$A:$B, 2, 0), "")</f>
        <v>2.5</v>
      </c>
      <c r="K189" s="3">
        <f>IFERROR(VLOOKUP(G189, LEVEL_HELPER!$A:$B, 2, 0), "")</f>
        <v>2.5</v>
      </c>
      <c r="L189" s="157" t="s">
        <v>942</v>
      </c>
      <c r="M189" s="157" t="s">
        <v>924</v>
      </c>
      <c r="N189" s="3">
        <f t="array" aca="1" ref="N189" ca="1">IFERROR(
  INDEX($J$2:$J$543,
    MATCH(A189&amp;TEXT(I189,"yyyy-mm-dd"),
          $A$2:$A$543&amp;TEXT($H$2:$H$543,"yyyy-mm-dd"),
          0)),
"")</f>
        <v>2.5</v>
      </c>
      <c r="O189" s="147" t="str">
        <f t="shared" ca="1" si="1"/>
        <v/>
      </c>
      <c r="P189" s="147">
        <f t="shared" ref="P189:Q189" ca="1" si="198">IF(N189="",0,IF(N189&lt;=2,1,IF(N189&lt;=4,2,IF(N189&lt;=5.5,3,4))))</f>
        <v>2</v>
      </c>
      <c r="Q189" s="147">
        <f t="shared" ca="1" si="198"/>
        <v>0</v>
      </c>
      <c r="R189" s="147" t="str">
        <f t="shared" ca="1" si="3"/>
        <v>Not tested yet</v>
      </c>
      <c r="S189" s="147">
        <f t="shared" si="4"/>
        <v>0</v>
      </c>
      <c r="T189" s="147"/>
      <c r="U189" s="147"/>
      <c r="V189" s="148" t="e">
        <f ca="1"/>
        <v>#NAME?</v>
      </c>
      <c r="W189" s="147" t="e">
        <f t="shared" ca="1" si="5"/>
        <v>#NAME?</v>
      </c>
      <c r="X189" s="147" t="e">
        <f t="shared" ca="1" si="6"/>
        <v>#NAME?</v>
      </c>
      <c r="Y189" s="147" t="e">
        <f t="shared" ca="1" si="7"/>
        <v>#NAME?</v>
      </c>
      <c r="Z189" s="147"/>
      <c r="AA189" s="147"/>
      <c r="AB189" s="147"/>
      <c r="AC189" s="147"/>
      <c r="AD189" s="147"/>
      <c r="AE189" s="147"/>
      <c r="AF189" s="147"/>
      <c r="AG189" s="147"/>
      <c r="AH189" s="147"/>
      <c r="AI189" s="147"/>
      <c r="AJ189" s="147"/>
      <c r="AK189" s="147"/>
      <c r="AL189" s="147"/>
      <c r="AM189" s="151"/>
      <c r="AN189" s="147"/>
      <c r="AO189" s="147" t="e">
        <f t="shared" si="8"/>
        <v>#N/A</v>
      </c>
      <c r="AP189" s="147" t="e">
        <f t="shared" ca="1" si="9"/>
        <v>#NAME?</v>
      </c>
      <c r="AQ189" s="147" t="e">
        <f t="shared" si="10"/>
        <v>#N/A</v>
      </c>
      <c r="AR189" s="147"/>
      <c r="AS189" s="147"/>
      <c r="AT189" s="147"/>
      <c r="AU189" s="147"/>
      <c r="AV189" s="147"/>
      <c r="AW189" s="147"/>
      <c r="AX189" s="147"/>
      <c r="AY189" s="147"/>
      <c r="AZ189" s="147"/>
      <c r="BA189" s="147"/>
      <c r="BB189" s="147"/>
      <c r="BC189" s="147"/>
      <c r="BD189" s="147"/>
      <c r="BE189" s="147"/>
      <c r="BF189" s="147"/>
      <c r="BG189" s="147"/>
      <c r="BH189" s="147"/>
      <c r="BI189" s="147"/>
      <c r="BJ189" s="147"/>
      <c r="BK189" s="147"/>
      <c r="BL189" s="147"/>
      <c r="BM189" s="147"/>
      <c r="BN189" s="147"/>
      <c r="BO189" s="147"/>
      <c r="BP189" s="147"/>
      <c r="BQ189" s="147"/>
      <c r="BR189" s="147"/>
      <c r="BS189" s="147"/>
      <c r="BT189" s="147"/>
      <c r="BU189" s="147"/>
      <c r="BV189" s="147"/>
      <c r="BW189" s="147"/>
      <c r="BX189" s="147"/>
      <c r="BY189" s="147"/>
      <c r="BZ189" s="147"/>
      <c r="CA189" s="147"/>
      <c r="CB189" s="147"/>
      <c r="CC189" s="147"/>
      <c r="CD189" s="147"/>
      <c r="CE189" s="147"/>
      <c r="CF189" s="147"/>
      <c r="CG189" s="147"/>
      <c r="CH189" s="147"/>
      <c r="CI189" s="147"/>
      <c r="CJ189" s="147"/>
      <c r="CK189" s="147"/>
    </row>
    <row r="190" spans="1:89">
      <c r="A190" s="153" t="s">
        <v>434</v>
      </c>
      <c r="B190" s="154" t="s">
        <v>435</v>
      </c>
      <c r="C190" s="155" t="s">
        <v>70</v>
      </c>
      <c r="D190" s="155" t="s">
        <v>863</v>
      </c>
      <c r="E190" s="154" t="s">
        <v>21</v>
      </c>
      <c r="F190" s="3" t="s">
        <v>926</v>
      </c>
      <c r="G190" s="3" t="s">
        <v>934</v>
      </c>
      <c r="H190" s="156" t="str">
        <f ca="1">IFERROR(
  _xludf.MINIFS(ATTENDANCE_LOG!$F:$F,
         ATTENDANCE_LOG!$A:$A, C190,
         ATTENDANCE_LOG!$B:$B, E190),
"")</f>
        <v/>
      </c>
      <c r="I190" s="156" t="str">
        <f t="shared" ca="1" si="0"/>
        <v/>
      </c>
      <c r="J190" s="3">
        <f>IFERROR(VLOOKUP(F190, LEVEL_HELPER!$A:$B, 2, 0), "")</f>
        <v>1</v>
      </c>
      <c r="K190" s="3">
        <f>IFERROR(VLOOKUP(G190, LEVEL_HELPER!$A:$B, 2, 0), "")</f>
        <v>3.5</v>
      </c>
      <c r="L190" s="157" t="s">
        <v>942</v>
      </c>
      <c r="M190" s="157" t="s">
        <v>925</v>
      </c>
      <c r="N190" s="3">
        <f t="array" aca="1" ref="N190" ca="1">IFERROR(
  INDEX($J$2:$J$543,
    MATCH(A190&amp;TEXT(I190,"yyyy-mm-dd"),
          $A$2:$A$543&amp;TEXT($H$2:$H$543,"yyyy-mm-dd"),
          0)),
"")</f>
        <v>1</v>
      </c>
      <c r="O190" s="147" t="str">
        <f t="shared" ca="1" si="1"/>
        <v/>
      </c>
      <c r="P190" s="147">
        <f t="shared" ref="P190:Q190" ca="1" si="199">IF(N190="",0,IF(N190&lt;=2,1,IF(N190&lt;=4,2,IF(N190&lt;=5.5,3,4))))</f>
        <v>1</v>
      </c>
      <c r="Q190" s="147">
        <f t="shared" ca="1" si="199"/>
        <v>0</v>
      </c>
      <c r="R190" s="147" t="str">
        <f t="shared" ca="1" si="3"/>
        <v>Not tested yet</v>
      </c>
      <c r="S190" s="147">
        <f t="shared" si="4"/>
        <v>1</v>
      </c>
      <c r="T190" s="147"/>
      <c r="U190" s="147"/>
      <c r="V190" s="148" t="e">
        <f ca="1"/>
        <v>#NAME?</v>
      </c>
      <c r="W190" s="147" t="e">
        <f t="shared" ca="1" si="5"/>
        <v>#NAME?</v>
      </c>
      <c r="X190" s="147" t="e">
        <f t="shared" ca="1" si="6"/>
        <v>#NAME?</v>
      </c>
      <c r="Y190" s="147" t="e">
        <f t="shared" ca="1" si="7"/>
        <v>#NAME?</v>
      </c>
      <c r="Z190" s="147"/>
      <c r="AA190" s="147"/>
      <c r="AB190" s="147"/>
      <c r="AC190" s="147"/>
      <c r="AD190" s="147"/>
      <c r="AE190" s="147"/>
      <c r="AF190" s="147"/>
      <c r="AG190" s="147"/>
      <c r="AH190" s="147"/>
      <c r="AI190" s="147"/>
      <c r="AJ190" s="147"/>
      <c r="AK190" s="147"/>
      <c r="AL190" s="147"/>
      <c r="AM190" s="151"/>
      <c r="AN190" s="147"/>
      <c r="AO190" s="147" t="e">
        <f t="shared" si="8"/>
        <v>#N/A</v>
      </c>
      <c r="AP190" s="147" t="e">
        <f t="shared" ca="1" si="9"/>
        <v>#NAME?</v>
      </c>
      <c r="AQ190" s="147" t="e">
        <f t="shared" si="10"/>
        <v>#N/A</v>
      </c>
      <c r="AR190" s="147"/>
      <c r="AS190" s="147"/>
      <c r="AT190" s="147"/>
      <c r="AU190" s="147"/>
      <c r="AV190" s="147"/>
      <c r="AW190" s="147"/>
      <c r="AX190" s="147"/>
      <c r="AY190" s="147"/>
      <c r="AZ190" s="147"/>
      <c r="BA190" s="147"/>
      <c r="BB190" s="147"/>
      <c r="BC190" s="147"/>
      <c r="BD190" s="147"/>
      <c r="BE190" s="147"/>
      <c r="BF190" s="147"/>
      <c r="BG190" s="147"/>
      <c r="BH190" s="147"/>
      <c r="BI190" s="147"/>
      <c r="BJ190" s="147"/>
      <c r="BK190" s="147"/>
      <c r="BL190" s="147"/>
      <c r="BM190" s="147"/>
      <c r="BN190" s="147"/>
      <c r="BO190" s="147"/>
      <c r="BP190" s="147"/>
      <c r="BQ190" s="147"/>
      <c r="BR190" s="147"/>
      <c r="BS190" s="147"/>
      <c r="BT190" s="147"/>
      <c r="BU190" s="147"/>
      <c r="BV190" s="147"/>
      <c r="BW190" s="147"/>
      <c r="BX190" s="147"/>
      <c r="BY190" s="147"/>
      <c r="BZ190" s="147"/>
      <c r="CA190" s="147"/>
      <c r="CB190" s="147"/>
      <c r="CC190" s="147"/>
      <c r="CD190" s="147"/>
      <c r="CE190" s="147"/>
      <c r="CF190" s="147"/>
      <c r="CG190" s="147"/>
      <c r="CH190" s="147"/>
      <c r="CI190" s="147"/>
      <c r="CJ190" s="147"/>
      <c r="CK190" s="147"/>
    </row>
    <row r="191" spans="1:89">
      <c r="A191" s="159" t="s">
        <v>167</v>
      </c>
      <c r="B191" s="3" t="s">
        <v>168</v>
      </c>
      <c r="C191" s="160" t="s">
        <v>70</v>
      </c>
      <c r="D191" s="160" t="s">
        <v>863</v>
      </c>
      <c r="E191" s="3" t="s">
        <v>21</v>
      </c>
      <c r="F191" s="3" t="s">
        <v>926</v>
      </c>
      <c r="G191" s="3" t="s">
        <v>928</v>
      </c>
      <c r="H191" s="156" t="str">
        <f ca="1">IFERROR(
  _xludf.MINIFS(ATTENDANCE_LOG!$F:$F,
         ATTENDANCE_LOG!$A:$A, C191,
         ATTENDANCE_LOG!$B:$B, E191),
"")</f>
        <v/>
      </c>
      <c r="I191" s="156" t="str">
        <f t="shared" ca="1" si="0"/>
        <v/>
      </c>
      <c r="J191" s="3">
        <f>IFERROR(VLOOKUP(F191, LEVEL_HELPER!$A:$B, 2, 0), "")</f>
        <v>1</v>
      </c>
      <c r="K191" s="3">
        <f>IFERROR(VLOOKUP(G191, LEVEL_HELPER!$A:$B, 2, 0), "")</f>
        <v>1.5</v>
      </c>
      <c r="L191" s="157" t="s">
        <v>918</v>
      </c>
      <c r="M191" s="157" t="s">
        <v>922</v>
      </c>
      <c r="N191" s="3" t="str">
        <f t="array" aca="1" ref="N191" ca="1">IFERROR(
  INDEX($J$2:$J$543,
    MATCH(A191&amp;TEXT(I191,"yyyy-mm-dd"),
          $A$2:$A$543&amp;TEXT($H$2:$H$543,"yyyy-mm-dd"),
          0)),
"")</f>
        <v/>
      </c>
      <c r="O191" s="147" t="str">
        <f t="shared" ca="1" si="1"/>
        <v/>
      </c>
      <c r="P191" s="147">
        <f t="shared" ref="P191:Q191" ca="1" si="200">IF(N191="",0,IF(N191&lt;=2,1,IF(N191&lt;=4,2,IF(N191&lt;=5.5,3,4))))</f>
        <v>0</v>
      </c>
      <c r="Q191" s="147">
        <f t="shared" ca="1" si="200"/>
        <v>0</v>
      </c>
      <c r="R191" s="147" t="str">
        <f t="shared" ca="1" si="3"/>
        <v>Not tested yet</v>
      </c>
      <c r="S191" s="147">
        <f t="shared" si="4"/>
        <v>0</v>
      </c>
      <c r="T191" s="147"/>
      <c r="U191" s="147"/>
      <c r="V191" s="148" t="e">
        <f ca="1"/>
        <v>#NAME?</v>
      </c>
      <c r="W191" s="147" t="e">
        <f t="shared" ca="1" si="5"/>
        <v>#NAME?</v>
      </c>
      <c r="X191" s="147" t="e">
        <f t="shared" ca="1" si="6"/>
        <v>#NAME?</v>
      </c>
      <c r="Y191" s="147" t="e">
        <f t="shared" ca="1" si="7"/>
        <v>#NAME?</v>
      </c>
      <c r="Z191" s="147"/>
      <c r="AA191" s="147"/>
      <c r="AB191" s="147"/>
      <c r="AC191" s="147"/>
      <c r="AD191" s="147"/>
      <c r="AE191" s="147"/>
      <c r="AF191" s="147"/>
      <c r="AG191" s="147"/>
      <c r="AH191" s="147"/>
      <c r="AI191" s="147"/>
      <c r="AJ191" s="147"/>
      <c r="AK191" s="147"/>
      <c r="AL191" s="147"/>
      <c r="AM191" s="151"/>
      <c r="AN191" s="147"/>
      <c r="AO191" s="147" t="e">
        <f t="shared" si="8"/>
        <v>#N/A</v>
      </c>
      <c r="AP191" s="147" t="e">
        <f t="shared" ca="1" si="9"/>
        <v>#NAME?</v>
      </c>
      <c r="AQ191" s="147" t="e">
        <f t="shared" si="10"/>
        <v>#N/A</v>
      </c>
      <c r="AR191" s="147"/>
      <c r="AS191" s="147"/>
      <c r="AT191" s="147"/>
      <c r="AU191" s="147"/>
      <c r="AV191" s="147"/>
      <c r="AW191" s="147"/>
      <c r="AX191" s="147"/>
      <c r="AY191" s="147"/>
      <c r="AZ191" s="147"/>
      <c r="BA191" s="147"/>
      <c r="BB191" s="147"/>
      <c r="BC191" s="147"/>
      <c r="BD191" s="147"/>
      <c r="BE191" s="147"/>
      <c r="BF191" s="147"/>
      <c r="BG191" s="147"/>
      <c r="BH191" s="147"/>
      <c r="BI191" s="147"/>
      <c r="BJ191" s="147"/>
      <c r="BK191" s="147"/>
      <c r="BL191" s="147"/>
      <c r="BM191" s="147"/>
      <c r="BN191" s="147"/>
      <c r="BO191" s="147"/>
      <c r="BP191" s="147"/>
      <c r="BQ191" s="147"/>
      <c r="BR191" s="147"/>
      <c r="BS191" s="147"/>
      <c r="BT191" s="147"/>
      <c r="BU191" s="147"/>
      <c r="BV191" s="147"/>
      <c r="BW191" s="147"/>
      <c r="BX191" s="147"/>
      <c r="BY191" s="147"/>
      <c r="BZ191" s="147"/>
      <c r="CA191" s="147"/>
      <c r="CB191" s="147"/>
      <c r="CC191" s="147"/>
      <c r="CD191" s="147"/>
      <c r="CE191" s="147"/>
      <c r="CF191" s="147"/>
      <c r="CG191" s="147"/>
      <c r="CH191" s="147"/>
      <c r="CI191" s="147"/>
      <c r="CJ191" s="147"/>
      <c r="CK191" s="147"/>
    </row>
    <row r="192" spans="1:89">
      <c r="A192" s="159" t="s">
        <v>184</v>
      </c>
      <c r="B192" s="3" t="s">
        <v>185</v>
      </c>
      <c r="C192" s="160" t="s">
        <v>70</v>
      </c>
      <c r="D192" s="160" t="s">
        <v>863</v>
      </c>
      <c r="E192" s="3" t="s">
        <v>21</v>
      </c>
      <c r="F192" s="3" t="s">
        <v>926</v>
      </c>
      <c r="G192" s="3" t="s">
        <v>934</v>
      </c>
      <c r="H192" s="156" t="str">
        <f ca="1">IFERROR(
  _xludf.MINIFS(ATTENDANCE_LOG!$F:$F,
         ATTENDANCE_LOG!$A:$A, C192,
         ATTENDANCE_LOG!$B:$B, E192),
"")</f>
        <v/>
      </c>
      <c r="I192" s="156" t="str">
        <f t="shared" ca="1" si="0"/>
        <v/>
      </c>
      <c r="J192" s="3">
        <f>IFERROR(VLOOKUP(F192, LEVEL_HELPER!$A:$B, 2, 0), "")</f>
        <v>1</v>
      </c>
      <c r="K192" s="3">
        <f>IFERROR(VLOOKUP(G192, LEVEL_HELPER!$A:$B, 2, 0), "")</f>
        <v>3.5</v>
      </c>
      <c r="L192" s="157" t="s">
        <v>942</v>
      </c>
      <c r="M192" s="157" t="s">
        <v>925</v>
      </c>
      <c r="N192" s="3" t="str">
        <f t="array" aca="1" ref="N192" ca="1">IFERROR(
  INDEX($J$2:$J$543,
    MATCH(A192&amp;TEXT(I192,"yyyy-mm-dd"),
          $A$2:$A$543&amp;TEXT($H$2:$H$543,"yyyy-mm-dd"),
          0)),
"")</f>
        <v/>
      </c>
      <c r="O192" s="147" t="str">
        <f t="shared" ca="1" si="1"/>
        <v/>
      </c>
      <c r="P192" s="147">
        <f t="shared" ref="P192:Q192" ca="1" si="201">IF(N192="",0,IF(N192&lt;=2,1,IF(N192&lt;=4,2,IF(N192&lt;=5.5,3,4))))</f>
        <v>0</v>
      </c>
      <c r="Q192" s="147">
        <f t="shared" ca="1" si="201"/>
        <v>0</v>
      </c>
      <c r="R192" s="147" t="str">
        <f t="shared" ca="1" si="3"/>
        <v>Not tested yet</v>
      </c>
      <c r="S192" s="147">
        <f t="shared" si="4"/>
        <v>0</v>
      </c>
      <c r="T192" s="147"/>
      <c r="U192" s="147"/>
      <c r="V192" s="148" t="e">
        <f ca="1"/>
        <v>#NAME?</v>
      </c>
      <c r="W192" s="147" t="e">
        <f t="shared" ca="1" si="5"/>
        <v>#NAME?</v>
      </c>
      <c r="X192" s="147" t="e">
        <f t="shared" ca="1" si="6"/>
        <v>#NAME?</v>
      </c>
      <c r="Y192" s="147" t="e">
        <f t="shared" ca="1" si="7"/>
        <v>#NAME?</v>
      </c>
      <c r="Z192" s="147"/>
      <c r="AA192" s="147"/>
      <c r="AB192" s="147"/>
      <c r="AC192" s="147"/>
      <c r="AD192" s="147"/>
      <c r="AE192" s="147"/>
      <c r="AF192" s="147"/>
      <c r="AG192" s="147"/>
      <c r="AH192" s="147"/>
      <c r="AI192" s="147"/>
      <c r="AJ192" s="147"/>
      <c r="AK192" s="147"/>
      <c r="AL192" s="147"/>
      <c r="AM192" s="151"/>
      <c r="AN192" s="147"/>
      <c r="AO192" s="147" t="e">
        <f t="shared" si="8"/>
        <v>#N/A</v>
      </c>
      <c r="AP192" s="147" t="e">
        <f t="shared" ca="1" si="9"/>
        <v>#NAME?</v>
      </c>
      <c r="AQ192" s="147" t="e">
        <f t="shared" si="10"/>
        <v>#N/A</v>
      </c>
      <c r="AR192" s="147"/>
      <c r="AS192" s="147"/>
      <c r="AT192" s="147"/>
      <c r="AU192" s="147"/>
      <c r="AV192" s="147"/>
      <c r="AW192" s="147"/>
      <c r="AX192" s="147"/>
      <c r="AY192" s="147"/>
      <c r="AZ192" s="147"/>
      <c r="BA192" s="147"/>
      <c r="BB192" s="147"/>
      <c r="BC192" s="147"/>
      <c r="BD192" s="147"/>
      <c r="BE192" s="147"/>
      <c r="BF192" s="147"/>
      <c r="BG192" s="147"/>
      <c r="BH192" s="147"/>
      <c r="BI192" s="147"/>
      <c r="BJ192" s="147"/>
      <c r="BK192" s="147"/>
      <c r="BL192" s="147"/>
      <c r="BM192" s="147"/>
      <c r="BN192" s="147"/>
      <c r="BO192" s="147"/>
      <c r="BP192" s="147"/>
      <c r="BQ192" s="147"/>
      <c r="BR192" s="147"/>
      <c r="BS192" s="147"/>
      <c r="BT192" s="147"/>
      <c r="BU192" s="147"/>
      <c r="BV192" s="147"/>
      <c r="BW192" s="147"/>
      <c r="BX192" s="147"/>
      <c r="BY192" s="147"/>
      <c r="BZ192" s="147"/>
      <c r="CA192" s="147"/>
      <c r="CB192" s="147"/>
      <c r="CC192" s="147"/>
      <c r="CD192" s="147"/>
      <c r="CE192" s="147"/>
      <c r="CF192" s="147"/>
      <c r="CG192" s="147"/>
      <c r="CH192" s="147"/>
      <c r="CI192" s="147"/>
      <c r="CJ192" s="147"/>
      <c r="CK192" s="147"/>
    </row>
    <row r="193" spans="1:89">
      <c r="A193" s="159" t="s">
        <v>188</v>
      </c>
      <c r="B193" s="3" t="s">
        <v>189</v>
      </c>
      <c r="C193" s="160" t="s">
        <v>70</v>
      </c>
      <c r="D193" s="160" t="s">
        <v>863</v>
      </c>
      <c r="E193" s="3" t="s">
        <v>21</v>
      </c>
      <c r="F193" s="3" t="s">
        <v>926</v>
      </c>
      <c r="G193" s="3" t="s">
        <v>934</v>
      </c>
      <c r="H193" s="156" t="str">
        <f ca="1">IFERROR(
  _xludf.MINIFS(ATTENDANCE_LOG!$F:$F,
         ATTENDANCE_LOG!$A:$A, C193,
         ATTENDANCE_LOG!$B:$B, E193),
"")</f>
        <v/>
      </c>
      <c r="I193" s="156" t="str">
        <f t="shared" ca="1" si="0"/>
        <v/>
      </c>
      <c r="J193" s="3">
        <f>IFERROR(VLOOKUP(F193, LEVEL_HELPER!$A:$B, 2, 0), "")</f>
        <v>1</v>
      </c>
      <c r="K193" s="3">
        <f>IFERROR(VLOOKUP(G193, LEVEL_HELPER!$A:$B, 2, 0), "")</f>
        <v>3.5</v>
      </c>
      <c r="L193" s="157" t="s">
        <v>918</v>
      </c>
      <c r="M193" s="157" t="s">
        <v>922</v>
      </c>
      <c r="N193" s="3" t="str">
        <f t="array" aca="1" ref="N193" ca="1">IFERROR(
  INDEX($J$2:$J$543,
    MATCH(A193&amp;TEXT(I193,"yyyy-mm-dd"),
          $A$2:$A$543&amp;TEXT($H$2:$H$543,"yyyy-mm-dd"),
          0)),
"")</f>
        <v/>
      </c>
      <c r="O193" s="147" t="str">
        <f t="shared" ca="1" si="1"/>
        <v/>
      </c>
      <c r="P193" s="147">
        <f t="shared" ref="P193:Q193" ca="1" si="202">IF(N193="",0,IF(N193&lt;=2,1,IF(N193&lt;=4,2,IF(N193&lt;=5.5,3,4))))</f>
        <v>0</v>
      </c>
      <c r="Q193" s="147">
        <f t="shared" ca="1" si="202"/>
        <v>0</v>
      </c>
      <c r="R193" s="147" t="str">
        <f t="shared" ca="1" si="3"/>
        <v>Not tested yet</v>
      </c>
      <c r="S193" s="147">
        <f t="shared" si="4"/>
        <v>0</v>
      </c>
      <c r="T193" s="147"/>
      <c r="U193" s="147"/>
      <c r="V193" s="148" t="e">
        <f ca="1"/>
        <v>#NAME?</v>
      </c>
      <c r="W193" s="147" t="e">
        <f t="shared" ca="1" si="5"/>
        <v>#NAME?</v>
      </c>
      <c r="X193" s="147" t="e">
        <f t="shared" ca="1" si="6"/>
        <v>#NAME?</v>
      </c>
      <c r="Y193" s="147" t="e">
        <f t="shared" ca="1" si="7"/>
        <v>#NAME?</v>
      </c>
      <c r="Z193" s="147"/>
      <c r="AA193" s="147"/>
      <c r="AB193" s="147"/>
      <c r="AC193" s="147"/>
      <c r="AD193" s="147"/>
      <c r="AE193" s="147"/>
      <c r="AF193" s="147"/>
      <c r="AG193" s="147"/>
      <c r="AH193" s="147"/>
      <c r="AI193" s="147"/>
      <c r="AJ193" s="147"/>
      <c r="AK193" s="147"/>
      <c r="AL193" s="147"/>
      <c r="AM193" s="151"/>
      <c r="AN193" s="147"/>
      <c r="AO193" s="147" t="e">
        <f t="shared" si="8"/>
        <v>#N/A</v>
      </c>
      <c r="AP193" s="147" t="e">
        <f t="shared" ca="1" si="9"/>
        <v>#NAME?</v>
      </c>
      <c r="AQ193" s="147" t="e">
        <f t="shared" si="10"/>
        <v>#N/A</v>
      </c>
      <c r="AR193" s="147"/>
      <c r="AS193" s="147"/>
      <c r="AT193" s="147"/>
      <c r="AU193" s="147"/>
      <c r="AV193" s="147"/>
      <c r="AW193" s="147"/>
      <c r="AX193" s="147"/>
      <c r="AY193" s="147"/>
      <c r="AZ193" s="147"/>
      <c r="BA193" s="147"/>
      <c r="BB193" s="147"/>
      <c r="BC193" s="147"/>
      <c r="BD193" s="147"/>
      <c r="BE193" s="147"/>
      <c r="BF193" s="147"/>
      <c r="BG193" s="147"/>
      <c r="BH193" s="147"/>
      <c r="BI193" s="147"/>
      <c r="BJ193" s="147"/>
      <c r="BK193" s="147"/>
      <c r="BL193" s="147"/>
      <c r="BM193" s="147"/>
      <c r="BN193" s="147"/>
      <c r="BO193" s="147"/>
      <c r="BP193" s="147"/>
      <c r="BQ193" s="147"/>
      <c r="BR193" s="147"/>
      <c r="BS193" s="147"/>
      <c r="BT193" s="147"/>
      <c r="BU193" s="147"/>
      <c r="BV193" s="147"/>
      <c r="BW193" s="147"/>
      <c r="BX193" s="147"/>
      <c r="BY193" s="147"/>
      <c r="BZ193" s="147"/>
      <c r="CA193" s="147"/>
      <c r="CB193" s="147"/>
      <c r="CC193" s="147"/>
      <c r="CD193" s="147"/>
      <c r="CE193" s="147"/>
      <c r="CF193" s="147"/>
      <c r="CG193" s="147"/>
      <c r="CH193" s="147"/>
      <c r="CI193" s="147"/>
      <c r="CJ193" s="147"/>
      <c r="CK193" s="147"/>
    </row>
    <row r="194" spans="1:89">
      <c r="A194" s="159" t="s">
        <v>192</v>
      </c>
      <c r="B194" s="3" t="s">
        <v>193</v>
      </c>
      <c r="C194" s="160" t="s">
        <v>70</v>
      </c>
      <c r="D194" s="160" t="s">
        <v>863</v>
      </c>
      <c r="E194" s="3" t="s">
        <v>21</v>
      </c>
      <c r="F194" s="3" t="s">
        <v>926</v>
      </c>
      <c r="G194" s="3" t="s">
        <v>917</v>
      </c>
      <c r="H194" s="156" t="str">
        <f ca="1">IFERROR(
  _xludf.MINIFS(ATTENDANCE_LOG!$F:$F,
         ATTENDANCE_LOG!$A:$A, C194,
         ATTENDANCE_LOG!$B:$B, E194),
"")</f>
        <v/>
      </c>
      <c r="I194" s="156" t="str">
        <f t="shared" ca="1" si="0"/>
        <v/>
      </c>
      <c r="J194" s="3">
        <f>IFERROR(VLOOKUP(F194, LEVEL_HELPER!$A:$B, 2, 0), "")</f>
        <v>1</v>
      </c>
      <c r="K194" s="3">
        <f>IFERROR(VLOOKUP(G194, LEVEL_HELPER!$A:$B, 2, 0), "")</f>
        <v>3</v>
      </c>
      <c r="L194" s="157" t="s">
        <v>942</v>
      </c>
      <c r="M194" s="157" t="s">
        <v>922</v>
      </c>
      <c r="N194" s="3">
        <f t="array" aca="1" ref="N194" ca="1">IFERROR(
  INDEX($J$2:$J$543,
    MATCH(A194&amp;TEXT(I194,"yyyy-mm-dd"),
          $A$2:$A$543&amp;TEXT($H$2:$H$543,"yyyy-mm-dd"),
          0)),
"")</f>
        <v>1</v>
      </c>
      <c r="O194" s="147" t="str">
        <f t="shared" ca="1" si="1"/>
        <v/>
      </c>
      <c r="P194" s="147">
        <f t="shared" ref="P194:Q194" ca="1" si="203">IF(N194="",0,IF(N194&lt;=2,1,IF(N194&lt;=4,2,IF(N194&lt;=5.5,3,4))))</f>
        <v>1</v>
      </c>
      <c r="Q194" s="147">
        <f t="shared" ca="1" si="203"/>
        <v>0</v>
      </c>
      <c r="R194" s="147" t="str">
        <f t="shared" ca="1" si="3"/>
        <v>Not tested yet</v>
      </c>
      <c r="S194" s="147">
        <f t="shared" si="4"/>
        <v>1</v>
      </c>
      <c r="T194" s="147"/>
      <c r="U194" s="147"/>
      <c r="V194" s="148" t="e">
        <f ca="1"/>
        <v>#NAME?</v>
      </c>
      <c r="W194" s="147" t="e">
        <f t="shared" ca="1" si="5"/>
        <v>#NAME?</v>
      </c>
      <c r="X194" s="147" t="e">
        <f t="shared" ca="1" si="6"/>
        <v>#NAME?</v>
      </c>
      <c r="Y194" s="147" t="e">
        <f t="shared" ca="1" si="7"/>
        <v>#NAME?</v>
      </c>
      <c r="Z194" s="147"/>
      <c r="AA194" s="147"/>
      <c r="AB194" s="147"/>
      <c r="AC194" s="147"/>
      <c r="AD194" s="147"/>
      <c r="AE194" s="147"/>
      <c r="AF194" s="147"/>
      <c r="AG194" s="147"/>
      <c r="AH194" s="147"/>
      <c r="AI194" s="147"/>
      <c r="AJ194" s="147"/>
      <c r="AK194" s="147"/>
      <c r="AL194" s="147"/>
      <c r="AM194" s="151"/>
      <c r="AN194" s="147"/>
      <c r="AO194" s="147" t="e">
        <f t="shared" si="8"/>
        <v>#N/A</v>
      </c>
      <c r="AP194" s="147" t="e">
        <f t="shared" ca="1" si="9"/>
        <v>#NAME?</v>
      </c>
      <c r="AQ194" s="147" t="e">
        <f t="shared" si="10"/>
        <v>#N/A</v>
      </c>
      <c r="AR194" s="147"/>
      <c r="AS194" s="147"/>
      <c r="AT194" s="147"/>
      <c r="AU194" s="147"/>
      <c r="AV194" s="147"/>
      <c r="AW194" s="147"/>
      <c r="AX194" s="147"/>
      <c r="AY194" s="147"/>
      <c r="AZ194" s="147"/>
      <c r="BA194" s="147"/>
      <c r="BB194" s="147"/>
      <c r="BC194" s="147"/>
      <c r="BD194" s="147"/>
      <c r="BE194" s="147"/>
      <c r="BF194" s="147"/>
      <c r="BG194" s="147"/>
      <c r="BH194" s="147"/>
      <c r="BI194" s="147"/>
      <c r="BJ194" s="147"/>
      <c r="BK194" s="147"/>
      <c r="BL194" s="147"/>
      <c r="BM194" s="147"/>
      <c r="BN194" s="147"/>
      <c r="BO194" s="147"/>
      <c r="BP194" s="147"/>
      <c r="BQ194" s="147"/>
      <c r="BR194" s="147"/>
      <c r="BS194" s="147"/>
      <c r="BT194" s="147"/>
      <c r="BU194" s="147"/>
      <c r="BV194" s="147"/>
      <c r="BW194" s="147"/>
      <c r="BX194" s="147"/>
      <c r="BY194" s="147"/>
      <c r="BZ194" s="147"/>
      <c r="CA194" s="147"/>
      <c r="CB194" s="147"/>
      <c r="CC194" s="147"/>
      <c r="CD194" s="147"/>
      <c r="CE194" s="147"/>
      <c r="CF194" s="147"/>
      <c r="CG194" s="147"/>
      <c r="CH194" s="147"/>
      <c r="CI194" s="147"/>
      <c r="CJ194" s="147"/>
      <c r="CK194" s="147"/>
    </row>
    <row r="195" spans="1:89">
      <c r="A195" s="159" t="s">
        <v>202</v>
      </c>
      <c r="B195" s="3" t="s">
        <v>203</v>
      </c>
      <c r="C195" s="160" t="s">
        <v>70</v>
      </c>
      <c r="D195" s="160" t="s">
        <v>863</v>
      </c>
      <c r="E195" s="3" t="s">
        <v>21</v>
      </c>
      <c r="F195" s="3" t="s">
        <v>931</v>
      </c>
      <c r="G195" s="3" t="s">
        <v>931</v>
      </c>
      <c r="H195" s="156" t="str">
        <f ca="1">IFERROR(
  _xludf.MINIFS(ATTENDANCE_LOG!$F:$F,
         ATTENDANCE_LOG!$A:$A, C195,
         ATTENDANCE_LOG!$B:$B, E195),
"")</f>
        <v/>
      </c>
      <c r="I195" s="156" t="str">
        <f t="shared" ca="1" si="0"/>
        <v/>
      </c>
      <c r="J195" s="3">
        <f>IFERROR(VLOOKUP(F195, LEVEL_HELPER!$A:$B, 2, 0), "")</f>
        <v>4.5</v>
      </c>
      <c r="K195" s="3">
        <f>IFERROR(VLOOKUP(G195, LEVEL_HELPER!$A:$B, 2, 0), "")</f>
        <v>4.5</v>
      </c>
      <c r="L195" s="157" t="s">
        <v>942</v>
      </c>
      <c r="M195" s="157" t="s">
        <v>925</v>
      </c>
      <c r="N195" s="3">
        <f t="array" aca="1" ref="N195" ca="1">IFERROR(
  INDEX($J$2:$J$543,
    MATCH(A195&amp;TEXT(I195,"yyyy-mm-dd"),
          $A$2:$A$543&amp;TEXT($H$2:$H$543,"yyyy-mm-dd"),
          0)),
"")</f>
        <v>4.5</v>
      </c>
      <c r="O195" s="147" t="str">
        <f t="shared" ca="1" si="1"/>
        <v/>
      </c>
      <c r="P195" s="147">
        <f t="shared" ref="P195:Q195" ca="1" si="204">IF(N195="",0,IF(N195&lt;=2,1,IF(N195&lt;=4,2,IF(N195&lt;=5.5,3,4))))</f>
        <v>3</v>
      </c>
      <c r="Q195" s="147">
        <f t="shared" ca="1" si="204"/>
        <v>0</v>
      </c>
      <c r="R195" s="147" t="str">
        <f t="shared" ca="1" si="3"/>
        <v>Not tested yet</v>
      </c>
      <c r="S195" s="147">
        <f t="shared" si="4"/>
        <v>1</v>
      </c>
      <c r="T195" s="147"/>
      <c r="U195" s="147"/>
      <c r="V195" s="148" t="e">
        <f ca="1"/>
        <v>#NAME?</v>
      </c>
      <c r="W195" s="147" t="e">
        <f t="shared" ca="1" si="5"/>
        <v>#NAME?</v>
      </c>
      <c r="X195" s="147" t="e">
        <f t="shared" ca="1" si="6"/>
        <v>#NAME?</v>
      </c>
      <c r="Y195" s="147" t="e">
        <f t="shared" ca="1" si="7"/>
        <v>#NAME?</v>
      </c>
      <c r="Z195" s="147"/>
      <c r="AA195" s="147"/>
      <c r="AB195" s="147"/>
      <c r="AC195" s="147"/>
      <c r="AD195" s="147"/>
      <c r="AE195" s="147"/>
      <c r="AF195" s="147"/>
      <c r="AG195" s="147"/>
      <c r="AH195" s="147"/>
      <c r="AI195" s="147"/>
      <c r="AJ195" s="147"/>
      <c r="AK195" s="147"/>
      <c r="AL195" s="147"/>
      <c r="AM195" s="151"/>
      <c r="AN195" s="147"/>
      <c r="AO195" s="147" t="e">
        <f t="shared" si="8"/>
        <v>#N/A</v>
      </c>
      <c r="AP195" s="147" t="e">
        <f t="shared" ca="1" si="9"/>
        <v>#NAME?</v>
      </c>
      <c r="AQ195" s="147" t="e">
        <f t="shared" si="10"/>
        <v>#N/A</v>
      </c>
      <c r="AR195" s="147"/>
      <c r="AS195" s="147"/>
      <c r="AT195" s="147"/>
      <c r="AU195" s="147"/>
      <c r="AV195" s="147"/>
      <c r="AW195" s="147"/>
      <c r="AX195" s="147"/>
      <c r="AY195" s="147"/>
      <c r="AZ195" s="147"/>
      <c r="BA195" s="147"/>
      <c r="BB195" s="147"/>
      <c r="BC195" s="147"/>
      <c r="BD195" s="147"/>
      <c r="BE195" s="147"/>
      <c r="BF195" s="147"/>
      <c r="BG195" s="147"/>
      <c r="BH195" s="147"/>
      <c r="BI195" s="147"/>
      <c r="BJ195" s="147"/>
      <c r="BK195" s="147"/>
      <c r="BL195" s="147"/>
      <c r="BM195" s="147"/>
      <c r="BN195" s="147"/>
      <c r="BO195" s="147"/>
      <c r="BP195" s="147"/>
      <c r="BQ195" s="147"/>
      <c r="BR195" s="147"/>
      <c r="BS195" s="147"/>
      <c r="BT195" s="147"/>
      <c r="BU195" s="147"/>
      <c r="BV195" s="147"/>
      <c r="BW195" s="147"/>
      <c r="BX195" s="147"/>
      <c r="BY195" s="147"/>
      <c r="BZ195" s="147"/>
      <c r="CA195" s="147"/>
      <c r="CB195" s="147"/>
      <c r="CC195" s="147"/>
      <c r="CD195" s="147"/>
      <c r="CE195" s="147"/>
      <c r="CF195" s="147"/>
      <c r="CG195" s="147"/>
      <c r="CH195" s="147"/>
      <c r="CI195" s="147"/>
      <c r="CJ195" s="147"/>
      <c r="CK195" s="147"/>
    </row>
    <row r="196" spans="1:89">
      <c r="A196" s="159" t="s">
        <v>607</v>
      </c>
      <c r="B196" s="3" t="s">
        <v>608</v>
      </c>
      <c r="C196" s="160" t="s">
        <v>70</v>
      </c>
      <c r="D196" s="160" t="s">
        <v>863</v>
      </c>
      <c r="E196" s="3" t="s">
        <v>21</v>
      </c>
      <c r="F196" s="3" t="s">
        <v>926</v>
      </c>
      <c r="G196" s="3" t="s">
        <v>934</v>
      </c>
      <c r="H196" s="156" t="str">
        <f ca="1">IFERROR(
  _xludf.MINIFS(ATTENDANCE_LOG!$F:$F,
         ATTENDANCE_LOG!$A:$A, C196,
         ATTENDANCE_LOG!$B:$B, E196),
"")</f>
        <v/>
      </c>
      <c r="I196" s="156" t="str">
        <f t="shared" ca="1" si="0"/>
        <v/>
      </c>
      <c r="J196" s="3">
        <f>IFERROR(VLOOKUP(F196, LEVEL_HELPER!$A:$B, 2, 0), "")</f>
        <v>1</v>
      </c>
      <c r="K196" s="3">
        <f>IFERROR(VLOOKUP(G196, LEVEL_HELPER!$A:$B, 2, 0), "")</f>
        <v>3.5</v>
      </c>
      <c r="L196" s="157" t="s">
        <v>942</v>
      </c>
      <c r="M196" s="157" t="s">
        <v>921</v>
      </c>
      <c r="N196" s="3">
        <f t="array" aca="1" ref="N196" ca="1">IFERROR(
  INDEX($J$2:$J$543,
    MATCH(A196&amp;TEXT(I196,"yyyy-mm-dd"),
          $A$2:$A$543&amp;TEXT($H$2:$H$543,"yyyy-mm-dd"),
          0)),
"")</f>
        <v>1</v>
      </c>
      <c r="O196" s="147" t="str">
        <f t="shared" ca="1" si="1"/>
        <v/>
      </c>
      <c r="P196" s="147">
        <f t="shared" ref="P196:Q196" ca="1" si="205">IF(N196="",0,IF(N196&lt;=2,1,IF(N196&lt;=4,2,IF(N196&lt;=5.5,3,4))))</f>
        <v>1</v>
      </c>
      <c r="Q196" s="147">
        <f t="shared" ca="1" si="205"/>
        <v>0</v>
      </c>
      <c r="R196" s="147" t="str">
        <f t="shared" ca="1" si="3"/>
        <v>Not tested yet</v>
      </c>
      <c r="S196" s="147">
        <f t="shared" si="4"/>
        <v>1</v>
      </c>
      <c r="T196" s="147"/>
      <c r="U196" s="147"/>
      <c r="V196" s="148" t="e">
        <f ca="1"/>
        <v>#NAME?</v>
      </c>
      <c r="W196" s="147" t="e">
        <f t="shared" ca="1" si="5"/>
        <v>#NAME?</v>
      </c>
      <c r="X196" s="147" t="e">
        <f t="shared" ca="1" si="6"/>
        <v>#NAME?</v>
      </c>
      <c r="Y196" s="147" t="e">
        <f t="shared" ca="1" si="7"/>
        <v>#NAME?</v>
      </c>
      <c r="Z196" s="147"/>
      <c r="AA196" s="147"/>
      <c r="AB196" s="147"/>
      <c r="AC196" s="147"/>
      <c r="AD196" s="147"/>
      <c r="AE196" s="147"/>
      <c r="AF196" s="147"/>
      <c r="AG196" s="147"/>
      <c r="AH196" s="147"/>
      <c r="AI196" s="147"/>
      <c r="AJ196" s="147"/>
      <c r="AK196" s="147"/>
      <c r="AL196" s="147"/>
      <c r="AM196" s="151"/>
      <c r="AN196" s="147"/>
      <c r="AO196" s="147" t="e">
        <f t="shared" si="8"/>
        <v>#N/A</v>
      </c>
      <c r="AP196" s="147" t="e">
        <f t="shared" ca="1" si="9"/>
        <v>#NAME?</v>
      </c>
      <c r="AQ196" s="147" t="e">
        <f t="shared" si="10"/>
        <v>#N/A</v>
      </c>
      <c r="AR196" s="147"/>
      <c r="AS196" s="147"/>
      <c r="AT196" s="147"/>
      <c r="AU196" s="147"/>
      <c r="AV196" s="147"/>
      <c r="AW196" s="147"/>
      <c r="AX196" s="147"/>
      <c r="AY196" s="147"/>
      <c r="AZ196" s="147"/>
      <c r="BA196" s="147"/>
      <c r="BB196" s="147"/>
      <c r="BC196" s="147"/>
      <c r="BD196" s="147"/>
      <c r="BE196" s="147"/>
      <c r="BF196" s="147"/>
      <c r="BG196" s="147"/>
      <c r="BH196" s="147"/>
      <c r="BI196" s="147"/>
      <c r="BJ196" s="147"/>
      <c r="BK196" s="147"/>
      <c r="BL196" s="147"/>
      <c r="BM196" s="147"/>
      <c r="BN196" s="147"/>
      <c r="BO196" s="147"/>
      <c r="BP196" s="147"/>
      <c r="BQ196" s="147"/>
      <c r="BR196" s="147"/>
      <c r="BS196" s="147"/>
      <c r="BT196" s="147"/>
      <c r="BU196" s="147"/>
      <c r="BV196" s="147"/>
      <c r="BW196" s="147"/>
      <c r="BX196" s="147"/>
      <c r="BY196" s="147"/>
      <c r="BZ196" s="147"/>
      <c r="CA196" s="147"/>
      <c r="CB196" s="147"/>
      <c r="CC196" s="147"/>
      <c r="CD196" s="147"/>
      <c r="CE196" s="147"/>
      <c r="CF196" s="147"/>
      <c r="CG196" s="147"/>
      <c r="CH196" s="147"/>
      <c r="CI196" s="147"/>
      <c r="CJ196" s="147"/>
      <c r="CK196" s="147"/>
    </row>
    <row r="197" spans="1:89">
      <c r="A197" s="159" t="s">
        <v>697</v>
      </c>
      <c r="B197" s="3" t="s">
        <v>698</v>
      </c>
      <c r="C197" s="160" t="s">
        <v>70</v>
      </c>
      <c r="D197" s="160" t="s">
        <v>863</v>
      </c>
      <c r="E197" s="3" t="s">
        <v>21</v>
      </c>
      <c r="F197" s="3" t="s">
        <v>926</v>
      </c>
      <c r="G197" s="3" t="s">
        <v>917</v>
      </c>
      <c r="H197" s="156" t="str">
        <f ca="1">IFERROR(
  _xludf.MINIFS(ATTENDANCE_LOG!$F:$F,
         ATTENDANCE_LOG!$A:$A, C197,
         ATTENDANCE_LOG!$B:$B, E197),
"")</f>
        <v/>
      </c>
      <c r="I197" s="156" t="str">
        <f t="shared" ca="1" si="0"/>
        <v/>
      </c>
      <c r="J197" s="3">
        <f>IFERROR(VLOOKUP(F197, LEVEL_HELPER!$A:$B, 2, 0), "")</f>
        <v>1</v>
      </c>
      <c r="K197" s="3">
        <f>IFERROR(VLOOKUP(G197, LEVEL_HELPER!$A:$B, 2, 0), "")</f>
        <v>3</v>
      </c>
      <c r="L197" s="157" t="s">
        <v>942</v>
      </c>
      <c r="M197" s="157" t="s">
        <v>925</v>
      </c>
      <c r="N197" s="3" t="str">
        <f t="array" aca="1" ref="N197" ca="1">IFERROR(
  INDEX($J$2:$J$543,
    MATCH(A197&amp;TEXT(I197,"yyyy-mm-dd"),
          $A$2:$A$543&amp;TEXT($H$2:$H$543,"yyyy-mm-dd"),
          0)),
"")</f>
        <v/>
      </c>
      <c r="O197" s="147" t="str">
        <f t="shared" ca="1" si="1"/>
        <v/>
      </c>
      <c r="P197" s="147">
        <f t="shared" ref="P197:Q197" ca="1" si="206">IF(N197="",0,IF(N197&lt;=2,1,IF(N197&lt;=4,2,IF(N197&lt;=5.5,3,4))))</f>
        <v>0</v>
      </c>
      <c r="Q197" s="147">
        <f t="shared" ca="1" si="206"/>
        <v>0</v>
      </c>
      <c r="R197" s="147" t="str">
        <f t="shared" ca="1" si="3"/>
        <v>Not tested yet</v>
      </c>
      <c r="S197" s="147">
        <f t="shared" si="4"/>
        <v>0</v>
      </c>
      <c r="T197" s="147"/>
      <c r="U197" s="147"/>
      <c r="V197" s="148" t="e">
        <f ca="1"/>
        <v>#NAME?</v>
      </c>
      <c r="W197" s="147" t="e">
        <f t="shared" ca="1" si="5"/>
        <v>#NAME?</v>
      </c>
      <c r="X197" s="147" t="e">
        <f t="shared" ca="1" si="6"/>
        <v>#NAME?</v>
      </c>
      <c r="Y197" s="147" t="e">
        <f t="shared" ca="1" si="7"/>
        <v>#NAME?</v>
      </c>
      <c r="Z197" s="147"/>
      <c r="AA197" s="147"/>
      <c r="AB197" s="147"/>
      <c r="AC197" s="147"/>
      <c r="AD197" s="147"/>
      <c r="AE197" s="147"/>
      <c r="AF197" s="147"/>
      <c r="AG197" s="147"/>
      <c r="AH197" s="147"/>
      <c r="AI197" s="147"/>
      <c r="AJ197" s="147"/>
      <c r="AK197" s="147"/>
      <c r="AL197" s="147"/>
      <c r="AM197" s="151"/>
      <c r="AN197" s="147"/>
      <c r="AO197" s="147" t="e">
        <f t="shared" si="8"/>
        <v>#N/A</v>
      </c>
      <c r="AP197" s="147" t="e">
        <f t="shared" ca="1" si="9"/>
        <v>#NAME?</v>
      </c>
      <c r="AQ197" s="147" t="e">
        <f t="shared" si="10"/>
        <v>#N/A</v>
      </c>
      <c r="AR197" s="147"/>
      <c r="AS197" s="147"/>
      <c r="AT197" s="147"/>
      <c r="AU197" s="147"/>
      <c r="AV197" s="147"/>
      <c r="AW197" s="147"/>
      <c r="AX197" s="147"/>
      <c r="AY197" s="147"/>
      <c r="AZ197" s="147"/>
      <c r="BA197" s="147"/>
      <c r="BB197" s="147"/>
      <c r="BC197" s="147"/>
      <c r="BD197" s="147"/>
      <c r="BE197" s="147"/>
      <c r="BF197" s="147"/>
      <c r="BG197" s="147"/>
      <c r="BH197" s="147"/>
      <c r="BI197" s="147"/>
      <c r="BJ197" s="147"/>
      <c r="BK197" s="147"/>
      <c r="BL197" s="147"/>
      <c r="BM197" s="147"/>
      <c r="BN197" s="147"/>
      <c r="BO197" s="147"/>
      <c r="BP197" s="147"/>
      <c r="BQ197" s="147"/>
      <c r="BR197" s="147"/>
      <c r="BS197" s="147"/>
      <c r="BT197" s="147"/>
      <c r="BU197" s="147"/>
      <c r="BV197" s="147"/>
      <c r="BW197" s="147"/>
      <c r="BX197" s="147"/>
      <c r="BY197" s="147"/>
      <c r="BZ197" s="147"/>
      <c r="CA197" s="147"/>
      <c r="CB197" s="147"/>
      <c r="CC197" s="147"/>
      <c r="CD197" s="147"/>
      <c r="CE197" s="147"/>
      <c r="CF197" s="147"/>
      <c r="CG197" s="147"/>
      <c r="CH197" s="147"/>
      <c r="CI197" s="147"/>
      <c r="CJ197" s="147"/>
      <c r="CK197" s="147"/>
    </row>
    <row r="198" spans="1:89">
      <c r="A198" s="153" t="s">
        <v>434</v>
      </c>
      <c r="B198" s="154" t="s">
        <v>435</v>
      </c>
      <c r="C198" s="155" t="s">
        <v>70</v>
      </c>
      <c r="D198" s="155" t="s">
        <v>863</v>
      </c>
      <c r="E198" s="154" t="s">
        <v>22</v>
      </c>
      <c r="F198" s="3" t="s">
        <v>934</v>
      </c>
      <c r="G198" s="3"/>
      <c r="H198" s="156" t="str">
        <f ca="1">IFERROR(
  _xludf.MINIFS(ATTENDANCE_LOG!$F:$F,
         ATTENDANCE_LOG!$A:$A, C198,
         ATTENDANCE_LOG!$B:$B, E198),
"")</f>
        <v/>
      </c>
      <c r="I198" s="156" t="str">
        <f t="shared" ca="1" si="0"/>
        <v/>
      </c>
      <c r="J198" s="3">
        <f>IFERROR(VLOOKUP(F198, LEVEL_HELPER!$A:$B, 2, 0), "")</f>
        <v>3.5</v>
      </c>
      <c r="K198" s="3" t="str">
        <f>IFERROR(VLOOKUP(G198, LEVEL_HELPER!$A:$B, 2, 0), "")</f>
        <v/>
      </c>
      <c r="L198" s="157" t="s">
        <v>942</v>
      </c>
      <c r="M198" s="157" t="s">
        <v>925</v>
      </c>
      <c r="N198" s="3">
        <f t="array" aca="1" ref="N198" ca="1">IFERROR(
  INDEX($J$2:$J$543,
    MATCH(A198&amp;TEXT(I198,"yyyy-mm-dd"),
          $A$2:$A$543&amp;TEXT($H$2:$H$543,"yyyy-mm-dd"),
          0)),
"")</f>
        <v>1</v>
      </c>
      <c r="O198" s="147" t="str">
        <f t="shared" ca="1" si="1"/>
        <v/>
      </c>
      <c r="P198" s="147">
        <f t="shared" ref="P198:Q198" ca="1" si="207">IF(N198="",0,IF(N198&lt;=2,1,IF(N198&lt;=4,2,IF(N198&lt;=5.5,3,4))))</f>
        <v>1</v>
      </c>
      <c r="Q198" s="147">
        <f t="shared" ca="1" si="207"/>
        <v>0</v>
      </c>
      <c r="R198" s="147" t="str">
        <f t="shared" ca="1" si="3"/>
        <v>Not tested yet</v>
      </c>
      <c r="S198" s="147">
        <f t="shared" si="4"/>
        <v>0</v>
      </c>
      <c r="T198" s="147"/>
      <c r="U198" s="147"/>
      <c r="V198" s="148" t="e">
        <f ca="1"/>
        <v>#NAME?</v>
      </c>
      <c r="W198" s="147" t="e">
        <f t="shared" ca="1" si="5"/>
        <v>#NAME?</v>
      </c>
      <c r="X198" s="147" t="e">
        <f t="shared" ca="1" si="6"/>
        <v>#NAME?</v>
      </c>
      <c r="Y198" s="147" t="e">
        <f t="shared" ca="1" si="7"/>
        <v>#NAME?</v>
      </c>
      <c r="Z198" s="147"/>
      <c r="AA198" s="147"/>
      <c r="AB198" s="147"/>
      <c r="AC198" s="147"/>
      <c r="AD198" s="147"/>
      <c r="AE198" s="147"/>
      <c r="AF198" s="147"/>
      <c r="AG198" s="147"/>
      <c r="AH198" s="147"/>
      <c r="AI198" s="147"/>
      <c r="AJ198" s="147"/>
      <c r="AK198" s="147"/>
      <c r="AL198" s="147"/>
      <c r="AM198" s="151"/>
      <c r="AN198" s="147"/>
      <c r="AO198" s="147" t="e">
        <f t="shared" si="8"/>
        <v>#N/A</v>
      </c>
      <c r="AP198" s="147" t="e">
        <f t="shared" ca="1" si="9"/>
        <v>#NAME?</v>
      </c>
      <c r="AQ198" s="147" t="e">
        <f t="shared" si="10"/>
        <v>#N/A</v>
      </c>
      <c r="AR198" s="147"/>
      <c r="AS198" s="147"/>
      <c r="AT198" s="147"/>
      <c r="AU198" s="147"/>
      <c r="AV198" s="147"/>
      <c r="AW198" s="147"/>
      <c r="AX198" s="147"/>
      <c r="AY198" s="147"/>
      <c r="AZ198" s="147"/>
      <c r="BA198" s="147"/>
      <c r="BB198" s="147"/>
      <c r="BC198" s="147"/>
      <c r="BD198" s="147"/>
      <c r="BE198" s="147"/>
      <c r="BF198" s="147"/>
      <c r="BG198" s="147"/>
      <c r="BH198" s="147"/>
      <c r="BI198" s="147"/>
      <c r="BJ198" s="147"/>
      <c r="BK198" s="147"/>
      <c r="BL198" s="147"/>
      <c r="BM198" s="147"/>
      <c r="BN198" s="147"/>
      <c r="BO198" s="147"/>
      <c r="BP198" s="147"/>
      <c r="BQ198" s="147"/>
      <c r="BR198" s="147"/>
      <c r="BS198" s="147"/>
      <c r="BT198" s="147"/>
      <c r="BU198" s="147"/>
      <c r="BV198" s="147"/>
      <c r="BW198" s="147"/>
      <c r="BX198" s="147"/>
      <c r="BY198" s="147"/>
      <c r="BZ198" s="147"/>
      <c r="CA198" s="147"/>
      <c r="CB198" s="147"/>
      <c r="CC198" s="147"/>
      <c r="CD198" s="147"/>
      <c r="CE198" s="147"/>
      <c r="CF198" s="147"/>
      <c r="CG198" s="147"/>
      <c r="CH198" s="147"/>
      <c r="CI198" s="147"/>
      <c r="CJ198" s="147"/>
      <c r="CK198" s="147"/>
    </row>
    <row r="199" spans="1:89">
      <c r="A199" s="159" t="s">
        <v>167</v>
      </c>
      <c r="B199" s="3" t="s">
        <v>168</v>
      </c>
      <c r="C199" s="160" t="s">
        <v>70</v>
      </c>
      <c r="D199" s="160" t="s">
        <v>863</v>
      </c>
      <c r="E199" s="3" t="s">
        <v>22</v>
      </c>
      <c r="F199" s="3" t="s">
        <v>928</v>
      </c>
      <c r="G199" s="3" t="s">
        <v>928</v>
      </c>
      <c r="H199" s="156" t="str">
        <f ca="1">IFERROR(
  _xludf.MINIFS(ATTENDANCE_LOG!$F:$F,
         ATTENDANCE_LOG!$A:$A, C199,
         ATTENDANCE_LOG!$B:$B, E199),
"")</f>
        <v/>
      </c>
      <c r="I199" s="156" t="str">
        <f t="shared" ca="1" si="0"/>
        <v/>
      </c>
      <c r="J199" s="3">
        <f>IFERROR(VLOOKUP(F199, LEVEL_HELPER!$A:$B, 2, 0), "")</f>
        <v>1.5</v>
      </c>
      <c r="K199" s="3">
        <f>IFERROR(VLOOKUP(G199, LEVEL_HELPER!$A:$B, 2, 0), "")</f>
        <v>1.5</v>
      </c>
      <c r="L199" s="157" t="s">
        <v>918</v>
      </c>
      <c r="M199" s="157" t="s">
        <v>922</v>
      </c>
      <c r="N199" s="3" t="str">
        <f t="array" aca="1" ref="N199" ca="1">IFERROR(
  INDEX($J$2:$J$543,
    MATCH(A199&amp;TEXT(I199,"yyyy-mm-dd"),
          $A$2:$A$543&amp;TEXT($H$2:$H$543,"yyyy-mm-dd"),
          0)),
"")</f>
        <v/>
      </c>
      <c r="O199" s="147" t="str">
        <f t="shared" ca="1" si="1"/>
        <v/>
      </c>
      <c r="P199" s="147">
        <f t="shared" ref="P199:Q199" ca="1" si="208">IF(N199="",0,IF(N199&lt;=2,1,IF(N199&lt;=4,2,IF(N199&lt;=5.5,3,4))))</f>
        <v>0</v>
      </c>
      <c r="Q199" s="147">
        <f t="shared" ca="1" si="208"/>
        <v>0</v>
      </c>
      <c r="R199" s="147" t="str">
        <f t="shared" ca="1" si="3"/>
        <v>Not tested yet</v>
      </c>
      <c r="S199" s="147">
        <f t="shared" si="4"/>
        <v>0</v>
      </c>
      <c r="T199" s="147"/>
      <c r="U199" s="147"/>
      <c r="V199" s="148" t="e">
        <f ca="1"/>
        <v>#NAME?</v>
      </c>
      <c r="W199" s="147" t="e">
        <f t="shared" ca="1" si="5"/>
        <v>#NAME?</v>
      </c>
      <c r="X199" s="147" t="e">
        <f t="shared" ca="1" si="6"/>
        <v>#NAME?</v>
      </c>
      <c r="Y199" s="147" t="e">
        <f t="shared" ca="1" si="7"/>
        <v>#NAME?</v>
      </c>
      <c r="Z199" s="147"/>
      <c r="AA199" s="147"/>
      <c r="AB199" s="147"/>
      <c r="AC199" s="147"/>
      <c r="AD199" s="147"/>
      <c r="AE199" s="147"/>
      <c r="AF199" s="147"/>
      <c r="AG199" s="147"/>
      <c r="AH199" s="147"/>
      <c r="AI199" s="147"/>
      <c r="AJ199" s="147"/>
      <c r="AK199" s="147"/>
      <c r="AL199" s="147"/>
      <c r="AM199" s="151"/>
      <c r="AN199" s="147"/>
      <c r="AO199" s="147" t="e">
        <f t="shared" si="8"/>
        <v>#N/A</v>
      </c>
      <c r="AP199" s="147" t="e">
        <f t="shared" ca="1" si="9"/>
        <v>#NAME?</v>
      </c>
      <c r="AQ199" s="147" t="e">
        <f t="shared" si="10"/>
        <v>#N/A</v>
      </c>
      <c r="AR199" s="147"/>
      <c r="AS199" s="147"/>
      <c r="AT199" s="147"/>
      <c r="AU199" s="147"/>
      <c r="AV199" s="147"/>
      <c r="AW199" s="147"/>
      <c r="AX199" s="147"/>
      <c r="AY199" s="147"/>
      <c r="AZ199" s="147"/>
      <c r="BA199" s="147"/>
      <c r="BB199" s="147"/>
      <c r="BC199" s="147"/>
      <c r="BD199" s="147"/>
      <c r="BE199" s="147"/>
      <c r="BF199" s="147"/>
      <c r="BG199" s="147"/>
      <c r="BH199" s="147"/>
      <c r="BI199" s="147"/>
      <c r="BJ199" s="147"/>
      <c r="BK199" s="147"/>
      <c r="BL199" s="147"/>
      <c r="BM199" s="147"/>
      <c r="BN199" s="147"/>
      <c r="BO199" s="147"/>
      <c r="BP199" s="147"/>
      <c r="BQ199" s="147"/>
      <c r="BR199" s="147"/>
      <c r="BS199" s="147"/>
      <c r="BT199" s="147"/>
      <c r="BU199" s="147"/>
      <c r="BV199" s="147"/>
      <c r="BW199" s="147"/>
      <c r="BX199" s="147"/>
      <c r="BY199" s="147"/>
      <c r="BZ199" s="147"/>
      <c r="CA199" s="147"/>
      <c r="CB199" s="147"/>
      <c r="CC199" s="147"/>
      <c r="CD199" s="147"/>
      <c r="CE199" s="147"/>
      <c r="CF199" s="147"/>
      <c r="CG199" s="147"/>
      <c r="CH199" s="147"/>
      <c r="CI199" s="147"/>
      <c r="CJ199" s="147"/>
      <c r="CK199" s="147"/>
    </row>
    <row r="200" spans="1:89">
      <c r="A200" s="159" t="s">
        <v>184</v>
      </c>
      <c r="B200" s="3" t="s">
        <v>185</v>
      </c>
      <c r="C200" s="160" t="s">
        <v>70</v>
      </c>
      <c r="D200" s="160" t="s">
        <v>863</v>
      </c>
      <c r="E200" s="3" t="s">
        <v>22</v>
      </c>
      <c r="F200" s="3" t="s">
        <v>934</v>
      </c>
      <c r="G200" s="3"/>
      <c r="H200" s="156" t="str">
        <f ca="1">IFERROR(
  _xludf.MINIFS(ATTENDANCE_LOG!$F:$F,
         ATTENDANCE_LOG!$A:$A, C200,
         ATTENDANCE_LOG!$B:$B, E200),
"")</f>
        <v/>
      </c>
      <c r="I200" s="156" t="str">
        <f t="shared" ca="1" si="0"/>
        <v/>
      </c>
      <c r="J200" s="3">
        <f>IFERROR(VLOOKUP(F200, LEVEL_HELPER!$A:$B, 2, 0), "")</f>
        <v>3.5</v>
      </c>
      <c r="K200" s="3" t="str">
        <f>IFERROR(VLOOKUP(G200, LEVEL_HELPER!$A:$B, 2, 0), "")</f>
        <v/>
      </c>
      <c r="L200" s="157" t="s">
        <v>942</v>
      </c>
      <c r="M200" s="157" t="s">
        <v>925</v>
      </c>
      <c r="N200" s="3" t="str">
        <f t="array" aca="1" ref="N200" ca="1">IFERROR(
  INDEX($J$2:$J$543,
    MATCH(A200&amp;TEXT(I200,"yyyy-mm-dd"),
          $A$2:$A$543&amp;TEXT($H$2:$H$543,"yyyy-mm-dd"),
          0)),
"")</f>
        <v/>
      </c>
      <c r="O200" s="147" t="str">
        <f t="shared" ca="1" si="1"/>
        <v/>
      </c>
      <c r="P200" s="147">
        <f t="shared" ref="P200:Q200" ca="1" si="209">IF(N200="",0,IF(N200&lt;=2,1,IF(N200&lt;=4,2,IF(N200&lt;=5.5,3,4))))</f>
        <v>0</v>
      </c>
      <c r="Q200" s="147">
        <f t="shared" ca="1" si="209"/>
        <v>0</v>
      </c>
      <c r="R200" s="147" t="str">
        <f t="shared" ca="1" si="3"/>
        <v>Not tested yet</v>
      </c>
      <c r="S200" s="147">
        <f t="shared" si="4"/>
        <v>0</v>
      </c>
      <c r="T200" s="147"/>
      <c r="U200" s="147"/>
      <c r="V200" s="148" t="e">
        <f ca="1"/>
        <v>#NAME?</v>
      </c>
      <c r="W200" s="147" t="e">
        <f t="shared" ca="1" si="5"/>
        <v>#NAME?</v>
      </c>
      <c r="X200" s="147" t="e">
        <f t="shared" ca="1" si="6"/>
        <v>#NAME?</v>
      </c>
      <c r="Y200" s="147" t="e">
        <f t="shared" ca="1" si="7"/>
        <v>#NAME?</v>
      </c>
      <c r="Z200" s="147"/>
      <c r="AA200" s="147"/>
      <c r="AB200" s="147"/>
      <c r="AC200" s="147"/>
      <c r="AD200" s="147"/>
      <c r="AE200" s="147"/>
      <c r="AF200" s="147"/>
      <c r="AG200" s="147"/>
      <c r="AH200" s="147"/>
      <c r="AI200" s="147"/>
      <c r="AJ200" s="147"/>
      <c r="AK200" s="147"/>
      <c r="AL200" s="147"/>
      <c r="AM200" s="151"/>
      <c r="AN200" s="147"/>
      <c r="AO200" s="147" t="e">
        <f t="shared" si="8"/>
        <v>#N/A</v>
      </c>
      <c r="AP200" s="147" t="e">
        <f t="shared" ca="1" si="9"/>
        <v>#NAME?</v>
      </c>
      <c r="AQ200" s="147" t="e">
        <f t="shared" si="10"/>
        <v>#N/A</v>
      </c>
      <c r="AR200" s="147"/>
      <c r="AS200" s="147"/>
      <c r="AT200" s="147"/>
      <c r="AU200" s="147"/>
      <c r="AV200" s="147"/>
      <c r="AW200" s="147"/>
      <c r="AX200" s="147"/>
      <c r="AY200" s="147"/>
      <c r="AZ200" s="147"/>
      <c r="BA200" s="147"/>
      <c r="BB200" s="147"/>
      <c r="BC200" s="147"/>
      <c r="BD200" s="147"/>
      <c r="BE200" s="147"/>
      <c r="BF200" s="147"/>
      <c r="BG200" s="147"/>
      <c r="BH200" s="147"/>
      <c r="BI200" s="147"/>
      <c r="BJ200" s="147"/>
      <c r="BK200" s="147"/>
      <c r="BL200" s="147"/>
      <c r="BM200" s="147"/>
      <c r="BN200" s="147"/>
      <c r="BO200" s="147"/>
      <c r="BP200" s="147"/>
      <c r="BQ200" s="147"/>
      <c r="BR200" s="147"/>
      <c r="BS200" s="147"/>
      <c r="BT200" s="147"/>
      <c r="BU200" s="147"/>
      <c r="BV200" s="147"/>
      <c r="BW200" s="147"/>
      <c r="BX200" s="147"/>
      <c r="BY200" s="147"/>
      <c r="BZ200" s="147"/>
      <c r="CA200" s="147"/>
      <c r="CB200" s="147"/>
      <c r="CC200" s="147"/>
      <c r="CD200" s="147"/>
      <c r="CE200" s="147"/>
      <c r="CF200" s="147"/>
      <c r="CG200" s="147"/>
      <c r="CH200" s="147"/>
      <c r="CI200" s="147"/>
      <c r="CJ200" s="147"/>
      <c r="CK200" s="147"/>
    </row>
    <row r="201" spans="1:89">
      <c r="A201" s="159" t="s">
        <v>188</v>
      </c>
      <c r="B201" s="3" t="s">
        <v>189</v>
      </c>
      <c r="C201" s="160" t="s">
        <v>70</v>
      </c>
      <c r="D201" s="160" t="s">
        <v>863</v>
      </c>
      <c r="E201" s="3" t="s">
        <v>22</v>
      </c>
      <c r="F201" s="3" t="s">
        <v>934</v>
      </c>
      <c r="G201" s="3"/>
      <c r="H201" s="156" t="str">
        <f ca="1">IFERROR(
  _xludf.MINIFS(ATTENDANCE_LOG!$F:$F,
         ATTENDANCE_LOG!$A:$A, C201,
         ATTENDANCE_LOG!$B:$B, E201),
"")</f>
        <v/>
      </c>
      <c r="I201" s="156" t="str">
        <f t="shared" ca="1" si="0"/>
        <v/>
      </c>
      <c r="J201" s="3">
        <f>IFERROR(VLOOKUP(F201, LEVEL_HELPER!$A:$B, 2, 0), "")</f>
        <v>3.5</v>
      </c>
      <c r="K201" s="3" t="str">
        <f>IFERROR(VLOOKUP(G201, LEVEL_HELPER!$A:$B, 2, 0), "")</f>
        <v/>
      </c>
      <c r="L201" s="157" t="s">
        <v>918</v>
      </c>
      <c r="M201" s="157" t="s">
        <v>922</v>
      </c>
      <c r="N201" s="3" t="str">
        <f t="array" aca="1" ref="N201" ca="1">IFERROR(
  INDEX($J$2:$J$543,
    MATCH(A201&amp;TEXT(I201,"yyyy-mm-dd"),
          $A$2:$A$543&amp;TEXT($H$2:$H$543,"yyyy-mm-dd"),
          0)),
"")</f>
        <v/>
      </c>
      <c r="O201" s="147" t="str">
        <f t="shared" ca="1" si="1"/>
        <v/>
      </c>
      <c r="P201" s="147">
        <f t="shared" ref="P201:Q201" ca="1" si="210">IF(N201="",0,IF(N201&lt;=2,1,IF(N201&lt;=4,2,IF(N201&lt;=5.5,3,4))))</f>
        <v>0</v>
      </c>
      <c r="Q201" s="147">
        <f t="shared" ca="1" si="210"/>
        <v>0</v>
      </c>
      <c r="R201" s="147" t="str">
        <f t="shared" ca="1" si="3"/>
        <v>Not tested yet</v>
      </c>
      <c r="S201" s="147">
        <f t="shared" si="4"/>
        <v>0</v>
      </c>
      <c r="T201" s="147"/>
      <c r="U201" s="147"/>
      <c r="V201" s="148" t="e">
        <f ca="1"/>
        <v>#NAME?</v>
      </c>
      <c r="W201" s="147" t="e">
        <f t="shared" ca="1" si="5"/>
        <v>#NAME?</v>
      </c>
      <c r="X201" s="147" t="e">
        <f t="shared" ca="1" si="6"/>
        <v>#NAME?</v>
      </c>
      <c r="Y201" s="147" t="e">
        <f t="shared" ca="1" si="7"/>
        <v>#NAME?</v>
      </c>
      <c r="Z201" s="147"/>
      <c r="AA201" s="147"/>
      <c r="AB201" s="147"/>
      <c r="AC201" s="147"/>
      <c r="AD201" s="147"/>
      <c r="AE201" s="147"/>
      <c r="AF201" s="147"/>
      <c r="AG201" s="147"/>
      <c r="AH201" s="147"/>
      <c r="AI201" s="147"/>
      <c r="AJ201" s="147"/>
      <c r="AK201" s="147"/>
      <c r="AL201" s="147"/>
      <c r="AM201" s="151"/>
      <c r="AN201" s="147"/>
      <c r="AO201" s="147" t="e">
        <f t="shared" si="8"/>
        <v>#N/A</v>
      </c>
      <c r="AP201" s="147" t="e">
        <f t="shared" ca="1" si="9"/>
        <v>#NAME?</v>
      </c>
      <c r="AQ201" s="147" t="e">
        <f t="shared" si="10"/>
        <v>#N/A</v>
      </c>
      <c r="AR201" s="147"/>
      <c r="AS201" s="147"/>
      <c r="AT201" s="147"/>
      <c r="AU201" s="147"/>
      <c r="AV201" s="147"/>
      <c r="AW201" s="147"/>
      <c r="AX201" s="147"/>
      <c r="AY201" s="147"/>
      <c r="AZ201" s="147"/>
      <c r="BA201" s="147"/>
      <c r="BB201" s="147"/>
      <c r="BC201" s="147"/>
      <c r="BD201" s="147"/>
      <c r="BE201" s="147"/>
      <c r="BF201" s="147"/>
      <c r="BG201" s="147"/>
      <c r="BH201" s="147"/>
      <c r="BI201" s="147"/>
      <c r="BJ201" s="147"/>
      <c r="BK201" s="147"/>
      <c r="BL201" s="147"/>
      <c r="BM201" s="147"/>
      <c r="BN201" s="147"/>
      <c r="BO201" s="147"/>
      <c r="BP201" s="147"/>
      <c r="BQ201" s="147"/>
      <c r="BR201" s="147"/>
      <c r="BS201" s="147"/>
      <c r="BT201" s="147"/>
      <c r="BU201" s="147"/>
      <c r="BV201" s="147"/>
      <c r="BW201" s="147"/>
      <c r="BX201" s="147"/>
      <c r="BY201" s="147"/>
      <c r="BZ201" s="147"/>
      <c r="CA201" s="147"/>
      <c r="CB201" s="147"/>
      <c r="CC201" s="147"/>
      <c r="CD201" s="147"/>
      <c r="CE201" s="147"/>
      <c r="CF201" s="147"/>
      <c r="CG201" s="147"/>
      <c r="CH201" s="147"/>
      <c r="CI201" s="147"/>
      <c r="CJ201" s="147"/>
      <c r="CK201" s="147"/>
    </row>
    <row r="202" spans="1:89">
      <c r="A202" s="159" t="s">
        <v>697</v>
      </c>
      <c r="B202" s="3" t="s">
        <v>698</v>
      </c>
      <c r="C202" s="160" t="s">
        <v>70</v>
      </c>
      <c r="D202" s="160" t="s">
        <v>863</v>
      </c>
      <c r="E202" s="3" t="s">
        <v>22</v>
      </c>
      <c r="F202" s="3" t="s">
        <v>934</v>
      </c>
      <c r="G202" s="3"/>
      <c r="H202" s="156" t="str">
        <f ca="1">IFERROR(
  _xludf.MINIFS(ATTENDANCE_LOG!$F:$F,
         ATTENDANCE_LOG!$A:$A, C202,
         ATTENDANCE_LOG!$B:$B, E202),
"")</f>
        <v/>
      </c>
      <c r="I202" s="156" t="str">
        <f t="shared" ca="1" si="0"/>
        <v/>
      </c>
      <c r="J202" s="3">
        <f>IFERROR(VLOOKUP(F202, LEVEL_HELPER!$A:$B, 2, 0), "")</f>
        <v>3.5</v>
      </c>
      <c r="K202" s="3" t="str">
        <f>IFERROR(VLOOKUP(G202, LEVEL_HELPER!$A:$B, 2, 0), "")</f>
        <v/>
      </c>
      <c r="L202" s="157" t="s">
        <v>942</v>
      </c>
      <c r="M202" s="157" t="s">
        <v>925</v>
      </c>
      <c r="N202" s="3" t="str">
        <f t="array" aca="1" ref="N202" ca="1">IFERROR(
  INDEX($J$2:$J$543,
    MATCH(A202&amp;TEXT(I202,"yyyy-mm-dd"),
          $A$2:$A$543&amp;TEXT($H$2:$H$543,"yyyy-mm-dd"),
          0)),
"")</f>
        <v/>
      </c>
      <c r="O202" s="147" t="str">
        <f t="shared" ca="1" si="1"/>
        <v/>
      </c>
      <c r="P202" s="147">
        <f t="shared" ref="P202:Q202" ca="1" si="211">IF(N202="",0,IF(N202&lt;=2,1,IF(N202&lt;=4,2,IF(N202&lt;=5.5,3,4))))</f>
        <v>0</v>
      </c>
      <c r="Q202" s="147">
        <f t="shared" ca="1" si="211"/>
        <v>0</v>
      </c>
      <c r="R202" s="147" t="str">
        <f t="shared" ca="1" si="3"/>
        <v>Not tested yet</v>
      </c>
      <c r="S202" s="147">
        <f t="shared" si="4"/>
        <v>0</v>
      </c>
      <c r="T202" s="147"/>
      <c r="U202" s="147"/>
      <c r="V202" s="148" t="e">
        <f ca="1"/>
        <v>#NAME?</v>
      </c>
      <c r="W202" s="147" t="e">
        <f t="shared" ca="1" si="5"/>
        <v>#NAME?</v>
      </c>
      <c r="X202" s="147" t="e">
        <f t="shared" ca="1" si="6"/>
        <v>#NAME?</v>
      </c>
      <c r="Y202" s="147" t="e">
        <f t="shared" ca="1" si="7"/>
        <v>#NAME?</v>
      </c>
      <c r="Z202" s="147"/>
      <c r="AA202" s="147"/>
      <c r="AB202" s="147"/>
      <c r="AC202" s="147"/>
      <c r="AD202" s="147"/>
      <c r="AE202" s="147"/>
      <c r="AF202" s="147"/>
      <c r="AG202" s="147"/>
      <c r="AH202" s="147"/>
      <c r="AI202" s="147"/>
      <c r="AJ202" s="147"/>
      <c r="AK202" s="147"/>
      <c r="AL202" s="147"/>
      <c r="AM202" s="151"/>
      <c r="AN202" s="147"/>
      <c r="AO202" s="147" t="e">
        <f t="shared" si="8"/>
        <v>#N/A</v>
      </c>
      <c r="AP202" s="147" t="e">
        <f t="shared" ca="1" si="9"/>
        <v>#NAME?</v>
      </c>
      <c r="AQ202" s="147" t="e">
        <f t="shared" si="10"/>
        <v>#N/A</v>
      </c>
      <c r="AR202" s="147"/>
      <c r="AS202" s="147"/>
      <c r="AT202" s="147"/>
      <c r="AU202" s="147"/>
      <c r="AV202" s="147"/>
      <c r="AW202" s="147"/>
      <c r="AX202" s="147"/>
      <c r="AY202" s="147"/>
      <c r="AZ202" s="147"/>
      <c r="BA202" s="147"/>
      <c r="BB202" s="147"/>
      <c r="BC202" s="147"/>
      <c r="BD202" s="147"/>
      <c r="BE202" s="147"/>
      <c r="BF202" s="147"/>
      <c r="BG202" s="147"/>
      <c r="BH202" s="147"/>
      <c r="BI202" s="147"/>
      <c r="BJ202" s="147"/>
      <c r="BK202" s="147"/>
      <c r="BL202" s="147"/>
      <c r="BM202" s="147"/>
      <c r="BN202" s="147"/>
      <c r="BO202" s="147"/>
      <c r="BP202" s="147"/>
      <c r="BQ202" s="147"/>
      <c r="BR202" s="147"/>
      <c r="BS202" s="147"/>
      <c r="BT202" s="147"/>
      <c r="BU202" s="147"/>
      <c r="BV202" s="147"/>
      <c r="BW202" s="147"/>
      <c r="BX202" s="147"/>
      <c r="BY202" s="147"/>
      <c r="BZ202" s="147"/>
      <c r="CA202" s="147"/>
      <c r="CB202" s="147"/>
      <c r="CC202" s="147"/>
      <c r="CD202" s="147"/>
      <c r="CE202" s="147"/>
      <c r="CF202" s="147"/>
      <c r="CG202" s="147"/>
      <c r="CH202" s="147"/>
      <c r="CI202" s="147"/>
      <c r="CJ202" s="147"/>
      <c r="CK202" s="147"/>
    </row>
    <row r="203" spans="1:89">
      <c r="A203" s="153" t="s">
        <v>631</v>
      </c>
      <c r="B203" s="154" t="s">
        <v>632</v>
      </c>
      <c r="C203" s="155" t="s">
        <v>71</v>
      </c>
      <c r="D203" s="155" t="s">
        <v>864</v>
      </c>
      <c r="E203" s="154" t="s">
        <v>24</v>
      </c>
      <c r="F203" s="3" t="s">
        <v>931</v>
      </c>
      <c r="G203" s="3" t="s">
        <v>949</v>
      </c>
      <c r="H203" s="156" t="str">
        <f ca="1">IFERROR(
  _xludf.MINIFS(ATTENDANCE_LOG!$F:$F,
         ATTENDANCE_LOG!$A:$A, C203,
         ATTENDANCE_LOG!$B:$B, E203),
"")</f>
        <v/>
      </c>
      <c r="I203" s="156" t="str">
        <f t="shared" ca="1" si="0"/>
        <v/>
      </c>
      <c r="J203" s="3">
        <f>IFERROR(VLOOKUP(F203, LEVEL_HELPER!$A:$B, 2, 0), "")</f>
        <v>4.5</v>
      </c>
      <c r="K203" s="3">
        <f>IFERROR(VLOOKUP(G203, LEVEL_HELPER!$A:$B, 2, 0), "")</f>
        <v>6</v>
      </c>
      <c r="L203" s="157" t="s">
        <v>950</v>
      </c>
      <c r="M203" s="157" t="s">
        <v>922</v>
      </c>
      <c r="N203" s="3">
        <f t="array" aca="1" ref="N203" ca="1">IFERROR(
  INDEX($J$2:$J$543,
    MATCH(A203&amp;TEXT(I203,"yyyy-mm-dd"),
          $A$2:$A$543&amp;TEXT($H$2:$H$543,"yyyy-mm-dd"),
          0)),
"")</f>
        <v>4.5</v>
      </c>
      <c r="O203" s="147" t="str">
        <f t="shared" ca="1" si="1"/>
        <v/>
      </c>
      <c r="P203" s="147">
        <f t="shared" ref="P203:Q203" ca="1" si="212">IF(N203="",0,IF(N203&lt;=2,1,IF(N203&lt;=4,2,IF(N203&lt;=5.5,3,4))))</f>
        <v>3</v>
      </c>
      <c r="Q203" s="147">
        <f t="shared" ca="1" si="212"/>
        <v>0</v>
      </c>
      <c r="R203" s="147" t="str">
        <f t="shared" ca="1" si="3"/>
        <v>Not tested yet</v>
      </c>
      <c r="S203" s="147">
        <f t="shared" si="4"/>
        <v>1</v>
      </c>
      <c r="T203" s="147"/>
      <c r="U203" s="147"/>
      <c r="V203" s="148" t="e">
        <f ca="1"/>
        <v>#NAME?</v>
      </c>
      <c r="W203" s="147" t="e">
        <f t="shared" ca="1" si="5"/>
        <v>#NAME?</v>
      </c>
      <c r="X203" s="147" t="e">
        <f t="shared" ca="1" si="6"/>
        <v>#NAME?</v>
      </c>
      <c r="Y203" s="147" t="e">
        <f t="shared" ca="1" si="7"/>
        <v>#NAME?</v>
      </c>
      <c r="Z203" s="147"/>
      <c r="AA203" s="147"/>
      <c r="AB203" s="147"/>
      <c r="AC203" s="147"/>
      <c r="AD203" s="147"/>
      <c r="AE203" s="147"/>
      <c r="AF203" s="147"/>
      <c r="AG203" s="147"/>
      <c r="AH203" s="147"/>
      <c r="AI203" s="147"/>
      <c r="AJ203" s="147"/>
      <c r="AK203" s="147"/>
      <c r="AL203" s="147"/>
      <c r="AM203" s="151"/>
      <c r="AN203" s="147"/>
      <c r="AO203" s="147" t="e">
        <f t="shared" si="8"/>
        <v>#N/A</v>
      </c>
      <c r="AP203" s="147" t="e">
        <f t="shared" ca="1" si="9"/>
        <v>#NAME?</v>
      </c>
      <c r="AQ203" s="147" t="e">
        <f t="shared" si="10"/>
        <v>#N/A</v>
      </c>
      <c r="AR203" s="147"/>
      <c r="AS203" s="147"/>
      <c r="AT203" s="147"/>
      <c r="AU203" s="147"/>
      <c r="AV203" s="147"/>
      <c r="AW203" s="147"/>
      <c r="AX203" s="147"/>
      <c r="AY203" s="147"/>
      <c r="AZ203" s="147"/>
      <c r="BA203" s="147"/>
      <c r="BB203" s="147"/>
      <c r="BC203" s="147"/>
      <c r="BD203" s="147"/>
      <c r="BE203" s="147"/>
      <c r="BF203" s="147"/>
      <c r="BG203" s="147"/>
      <c r="BH203" s="147"/>
      <c r="BI203" s="147"/>
      <c r="BJ203" s="147"/>
      <c r="BK203" s="147"/>
      <c r="BL203" s="147"/>
      <c r="BM203" s="147"/>
      <c r="BN203" s="147"/>
      <c r="BO203" s="147"/>
      <c r="BP203" s="147"/>
      <c r="BQ203" s="147"/>
      <c r="BR203" s="147"/>
      <c r="BS203" s="147"/>
      <c r="BT203" s="147"/>
      <c r="BU203" s="147"/>
      <c r="BV203" s="147"/>
      <c r="BW203" s="147"/>
      <c r="BX203" s="147"/>
      <c r="BY203" s="147"/>
      <c r="BZ203" s="147"/>
      <c r="CA203" s="147"/>
      <c r="CB203" s="147"/>
      <c r="CC203" s="147"/>
      <c r="CD203" s="147"/>
      <c r="CE203" s="147"/>
      <c r="CF203" s="147"/>
      <c r="CG203" s="147"/>
      <c r="CH203" s="147"/>
      <c r="CI203" s="147"/>
      <c r="CJ203" s="147"/>
      <c r="CK203" s="147"/>
    </row>
    <row r="204" spans="1:89">
      <c r="A204" s="159" t="s">
        <v>288</v>
      </c>
      <c r="B204" s="3" t="s">
        <v>289</v>
      </c>
      <c r="C204" s="160" t="s">
        <v>71</v>
      </c>
      <c r="D204" s="160" t="s">
        <v>864</v>
      </c>
      <c r="E204" s="3" t="s">
        <v>24</v>
      </c>
      <c r="F204" s="3" t="s">
        <v>931</v>
      </c>
      <c r="G204" s="3" t="s">
        <v>949</v>
      </c>
      <c r="H204" s="156" t="str">
        <f ca="1">IFERROR(
  _xludf.MINIFS(ATTENDANCE_LOG!$F:$F,
         ATTENDANCE_LOG!$A:$A, C204,
         ATTENDANCE_LOG!$B:$B, E204),
"")</f>
        <v/>
      </c>
      <c r="I204" s="156" t="str">
        <f t="shared" ca="1" si="0"/>
        <v/>
      </c>
      <c r="J204" s="3">
        <f>IFERROR(VLOOKUP(F204, LEVEL_HELPER!$A:$B, 2, 0), "")</f>
        <v>4.5</v>
      </c>
      <c r="K204" s="3">
        <f>IFERROR(VLOOKUP(G204, LEVEL_HELPER!$A:$B, 2, 0), "")</f>
        <v>6</v>
      </c>
      <c r="L204" s="157" t="s">
        <v>950</v>
      </c>
      <c r="M204" s="157" t="s">
        <v>922</v>
      </c>
      <c r="N204" s="3">
        <f t="array" aca="1" ref="N204" ca="1">IFERROR(
  INDEX($J$2:$J$543,
    MATCH(A204&amp;TEXT(I204,"yyyy-mm-dd"),
          $A$2:$A$543&amp;TEXT($H$2:$H$543,"yyyy-mm-dd"),
          0)),
"")</f>
        <v>4.5</v>
      </c>
      <c r="O204" s="147" t="str">
        <f t="shared" ca="1" si="1"/>
        <v/>
      </c>
      <c r="P204" s="147">
        <f t="shared" ref="P204:Q204" ca="1" si="213">IF(N204="",0,IF(N204&lt;=2,1,IF(N204&lt;=4,2,IF(N204&lt;=5.5,3,4))))</f>
        <v>3</v>
      </c>
      <c r="Q204" s="147">
        <f t="shared" ca="1" si="213"/>
        <v>0</v>
      </c>
      <c r="R204" s="147" t="str">
        <f t="shared" ca="1" si="3"/>
        <v>Not tested yet</v>
      </c>
      <c r="S204" s="147">
        <f t="shared" si="4"/>
        <v>1</v>
      </c>
      <c r="T204" s="147"/>
      <c r="U204" s="147"/>
      <c r="V204" s="148" t="e">
        <f ca="1"/>
        <v>#NAME?</v>
      </c>
      <c r="W204" s="147" t="e">
        <f t="shared" ca="1" si="5"/>
        <v>#NAME?</v>
      </c>
      <c r="X204" s="147" t="e">
        <f t="shared" ca="1" si="6"/>
        <v>#NAME?</v>
      </c>
      <c r="Y204" s="147" t="e">
        <f t="shared" ca="1" si="7"/>
        <v>#NAME?</v>
      </c>
      <c r="Z204" s="147"/>
      <c r="AA204" s="147"/>
      <c r="AB204" s="147"/>
      <c r="AC204" s="147"/>
      <c r="AD204" s="147"/>
      <c r="AE204" s="147"/>
      <c r="AF204" s="147"/>
      <c r="AG204" s="147"/>
      <c r="AH204" s="147"/>
      <c r="AI204" s="147"/>
      <c r="AJ204" s="147"/>
      <c r="AK204" s="147"/>
      <c r="AL204" s="147"/>
      <c r="AM204" s="151"/>
      <c r="AN204" s="147"/>
      <c r="AO204" s="147" t="e">
        <f t="shared" si="8"/>
        <v>#N/A</v>
      </c>
      <c r="AP204" s="147" t="e">
        <f t="shared" ca="1" si="9"/>
        <v>#NAME?</v>
      </c>
      <c r="AQ204" s="147" t="e">
        <f t="shared" si="10"/>
        <v>#N/A</v>
      </c>
      <c r="AR204" s="147"/>
      <c r="AS204" s="147"/>
      <c r="AT204" s="147"/>
      <c r="AU204" s="147"/>
      <c r="AV204" s="147"/>
      <c r="AW204" s="147"/>
      <c r="AX204" s="147"/>
      <c r="AY204" s="147"/>
      <c r="AZ204" s="147"/>
      <c r="BA204" s="147"/>
      <c r="BB204" s="147"/>
      <c r="BC204" s="147"/>
      <c r="BD204" s="147"/>
      <c r="BE204" s="147"/>
      <c r="BF204" s="147"/>
      <c r="BG204" s="147"/>
      <c r="BH204" s="147"/>
      <c r="BI204" s="147"/>
      <c r="BJ204" s="147"/>
      <c r="BK204" s="147"/>
      <c r="BL204" s="147"/>
      <c r="BM204" s="147"/>
      <c r="BN204" s="147"/>
      <c r="BO204" s="147"/>
      <c r="BP204" s="147"/>
      <c r="BQ204" s="147"/>
      <c r="BR204" s="147"/>
      <c r="BS204" s="147"/>
      <c r="BT204" s="147"/>
      <c r="BU204" s="147"/>
      <c r="BV204" s="147"/>
      <c r="BW204" s="147"/>
      <c r="BX204" s="147"/>
      <c r="BY204" s="147"/>
      <c r="BZ204" s="147"/>
      <c r="CA204" s="147"/>
      <c r="CB204" s="147"/>
      <c r="CC204" s="147"/>
      <c r="CD204" s="147"/>
      <c r="CE204" s="147"/>
      <c r="CF204" s="147"/>
      <c r="CG204" s="147"/>
      <c r="CH204" s="147"/>
      <c r="CI204" s="147"/>
      <c r="CJ204" s="147"/>
      <c r="CK204" s="147"/>
    </row>
    <row r="205" spans="1:89">
      <c r="A205" s="159" t="s">
        <v>348</v>
      </c>
      <c r="B205" s="3" t="s">
        <v>349</v>
      </c>
      <c r="C205" s="160" t="s">
        <v>71</v>
      </c>
      <c r="D205" s="160" t="s">
        <v>864</v>
      </c>
      <c r="E205" s="3" t="s">
        <v>24</v>
      </c>
      <c r="F205" s="3" t="s">
        <v>931</v>
      </c>
      <c r="G205" s="3"/>
      <c r="H205" s="156" t="str">
        <f ca="1">IFERROR(
  _xludf.MINIFS(ATTENDANCE_LOG!$F:$F,
         ATTENDANCE_LOG!$A:$A, C205,
         ATTENDANCE_LOG!$B:$B, E205),
"")</f>
        <v/>
      </c>
      <c r="I205" s="156" t="str">
        <f t="shared" ca="1" si="0"/>
        <v/>
      </c>
      <c r="J205" s="3">
        <f>IFERROR(VLOOKUP(F205, LEVEL_HELPER!$A:$B, 2, 0), "")</f>
        <v>4.5</v>
      </c>
      <c r="K205" s="3" t="str">
        <f>IFERROR(VLOOKUP(G205, LEVEL_HELPER!$A:$B, 2, 0), "")</f>
        <v/>
      </c>
      <c r="L205" s="157" t="s">
        <v>951</v>
      </c>
      <c r="M205" s="157" t="s">
        <v>920</v>
      </c>
      <c r="N205" s="3">
        <f t="array" aca="1" ref="N205" ca="1">IFERROR(
  INDEX($J$2:$J$543,
    MATCH(A205&amp;TEXT(I205,"yyyy-mm-dd"),
          $A$2:$A$543&amp;TEXT($H$2:$H$543,"yyyy-mm-dd"),
          0)),
"")</f>
        <v>2.5</v>
      </c>
      <c r="O205" s="147" t="str">
        <f t="shared" ca="1" si="1"/>
        <v/>
      </c>
      <c r="P205" s="147">
        <f t="shared" ref="P205:Q205" ca="1" si="214">IF(N205="",0,IF(N205&lt;=2,1,IF(N205&lt;=4,2,IF(N205&lt;=5.5,3,4))))</f>
        <v>2</v>
      </c>
      <c r="Q205" s="147">
        <f t="shared" ca="1" si="214"/>
        <v>0</v>
      </c>
      <c r="R205" s="147" t="str">
        <f t="shared" ca="1" si="3"/>
        <v>Not tested yet</v>
      </c>
      <c r="S205" s="147">
        <f t="shared" si="4"/>
        <v>0</v>
      </c>
      <c r="T205" s="147"/>
      <c r="U205" s="147"/>
      <c r="V205" s="148" t="e">
        <f ca="1"/>
        <v>#NAME?</v>
      </c>
      <c r="W205" s="147" t="e">
        <f t="shared" ca="1" si="5"/>
        <v>#NAME?</v>
      </c>
      <c r="X205" s="147" t="e">
        <f t="shared" ca="1" si="6"/>
        <v>#NAME?</v>
      </c>
      <c r="Y205" s="147" t="e">
        <f t="shared" ca="1" si="7"/>
        <v>#NAME?</v>
      </c>
      <c r="Z205" s="147"/>
      <c r="AA205" s="147"/>
      <c r="AB205" s="147"/>
      <c r="AC205" s="147"/>
      <c r="AD205" s="147"/>
      <c r="AE205" s="147"/>
      <c r="AF205" s="147"/>
      <c r="AG205" s="147"/>
      <c r="AH205" s="147"/>
      <c r="AI205" s="147"/>
      <c r="AJ205" s="147"/>
      <c r="AK205" s="147"/>
      <c r="AL205" s="147"/>
      <c r="AM205" s="151"/>
      <c r="AN205" s="147"/>
      <c r="AO205" s="147" t="e">
        <f t="shared" si="8"/>
        <v>#N/A</v>
      </c>
      <c r="AP205" s="147" t="e">
        <f t="shared" ca="1" si="9"/>
        <v>#NAME?</v>
      </c>
      <c r="AQ205" s="147" t="e">
        <f t="shared" si="10"/>
        <v>#N/A</v>
      </c>
      <c r="AR205" s="147"/>
      <c r="AS205" s="147"/>
      <c r="AT205" s="147"/>
      <c r="AU205" s="147"/>
      <c r="AV205" s="147"/>
      <c r="AW205" s="147"/>
      <c r="AX205" s="147"/>
      <c r="AY205" s="147"/>
      <c r="AZ205" s="147"/>
      <c r="BA205" s="147"/>
      <c r="BB205" s="147"/>
      <c r="BC205" s="147"/>
      <c r="BD205" s="147"/>
      <c r="BE205" s="147"/>
      <c r="BF205" s="147"/>
      <c r="BG205" s="147"/>
      <c r="BH205" s="147"/>
      <c r="BI205" s="147"/>
      <c r="BJ205" s="147"/>
      <c r="BK205" s="147"/>
      <c r="BL205" s="147"/>
      <c r="BM205" s="147"/>
      <c r="BN205" s="147"/>
      <c r="BO205" s="147"/>
      <c r="BP205" s="147"/>
      <c r="BQ205" s="147"/>
      <c r="BR205" s="147"/>
      <c r="BS205" s="147"/>
      <c r="BT205" s="147"/>
      <c r="BU205" s="147"/>
      <c r="BV205" s="147"/>
      <c r="BW205" s="147"/>
      <c r="BX205" s="147"/>
      <c r="BY205" s="147"/>
      <c r="BZ205" s="147"/>
      <c r="CA205" s="147"/>
      <c r="CB205" s="147"/>
      <c r="CC205" s="147"/>
      <c r="CD205" s="147"/>
      <c r="CE205" s="147"/>
      <c r="CF205" s="147"/>
      <c r="CG205" s="147"/>
      <c r="CH205" s="147"/>
      <c r="CI205" s="147"/>
      <c r="CJ205" s="147"/>
      <c r="CK205" s="147"/>
    </row>
    <row r="206" spans="1:89">
      <c r="A206" s="159" t="s">
        <v>570</v>
      </c>
      <c r="B206" s="3" t="s">
        <v>571</v>
      </c>
      <c r="C206" s="160" t="s">
        <v>71</v>
      </c>
      <c r="D206" s="160" t="s">
        <v>864</v>
      </c>
      <c r="E206" s="3" t="s">
        <v>24</v>
      </c>
      <c r="F206" s="3" t="s">
        <v>931</v>
      </c>
      <c r="G206" s="3" t="s">
        <v>949</v>
      </c>
      <c r="H206" s="156" t="str">
        <f ca="1">IFERROR(
  _xludf.MINIFS(ATTENDANCE_LOG!$F:$F,
         ATTENDANCE_LOG!$A:$A, C206,
         ATTENDANCE_LOG!$B:$B, E206),
"")</f>
        <v/>
      </c>
      <c r="I206" s="156" t="str">
        <f t="shared" ca="1" si="0"/>
        <v/>
      </c>
      <c r="J206" s="3">
        <f>IFERROR(VLOOKUP(F206, LEVEL_HELPER!$A:$B, 2, 0), "")</f>
        <v>4.5</v>
      </c>
      <c r="K206" s="3">
        <f>IFERROR(VLOOKUP(G206, LEVEL_HELPER!$A:$B, 2, 0), "")</f>
        <v>6</v>
      </c>
      <c r="L206" s="157" t="s">
        <v>950</v>
      </c>
      <c r="M206" s="157" t="s">
        <v>921</v>
      </c>
      <c r="N206" s="3">
        <f t="array" aca="1" ref="N206" ca="1">IFERROR(
  INDEX($J$2:$J$543,
    MATCH(A206&amp;TEXT(I206,"yyyy-mm-dd"),
          $A$2:$A$543&amp;TEXT($H$2:$H$543,"yyyy-mm-dd"),
          0)),
"")</f>
        <v>4.5</v>
      </c>
      <c r="O206" s="147" t="str">
        <f t="shared" ca="1" si="1"/>
        <v/>
      </c>
      <c r="P206" s="147">
        <f t="shared" ref="P206:Q206" ca="1" si="215">IF(N206="",0,IF(N206&lt;=2,1,IF(N206&lt;=4,2,IF(N206&lt;=5.5,3,4))))</f>
        <v>3</v>
      </c>
      <c r="Q206" s="147">
        <f t="shared" ca="1" si="215"/>
        <v>0</v>
      </c>
      <c r="R206" s="147" t="str">
        <f t="shared" ca="1" si="3"/>
        <v>Not tested yet</v>
      </c>
      <c r="S206" s="147">
        <f t="shared" si="4"/>
        <v>1</v>
      </c>
      <c r="T206" s="147"/>
      <c r="U206" s="147"/>
      <c r="V206" s="148" t="e">
        <f ca="1"/>
        <v>#NAME?</v>
      </c>
      <c r="W206" s="147" t="e">
        <f t="shared" ca="1" si="5"/>
        <v>#NAME?</v>
      </c>
      <c r="X206" s="147" t="e">
        <f t="shared" ca="1" si="6"/>
        <v>#NAME?</v>
      </c>
      <c r="Y206" s="147" t="e">
        <f t="shared" ca="1" si="7"/>
        <v>#NAME?</v>
      </c>
      <c r="Z206" s="147"/>
      <c r="AA206" s="147"/>
      <c r="AB206" s="147"/>
      <c r="AC206" s="147"/>
      <c r="AD206" s="147"/>
      <c r="AE206" s="147"/>
      <c r="AF206" s="147"/>
      <c r="AG206" s="147"/>
      <c r="AH206" s="147"/>
      <c r="AI206" s="147"/>
      <c r="AJ206" s="147"/>
      <c r="AK206" s="147"/>
      <c r="AL206" s="147"/>
      <c r="AM206" s="151"/>
      <c r="AN206" s="147"/>
      <c r="AO206" s="147" t="e">
        <f t="shared" si="8"/>
        <v>#N/A</v>
      </c>
      <c r="AP206" s="147" t="e">
        <f t="shared" ca="1" si="9"/>
        <v>#NAME?</v>
      </c>
      <c r="AQ206" s="147" t="e">
        <f t="shared" si="10"/>
        <v>#N/A</v>
      </c>
      <c r="AR206" s="147"/>
      <c r="AS206" s="147"/>
      <c r="AT206" s="147"/>
      <c r="AU206" s="147"/>
      <c r="AV206" s="147"/>
      <c r="AW206" s="147"/>
      <c r="AX206" s="147"/>
      <c r="AY206" s="147"/>
      <c r="AZ206" s="147"/>
      <c r="BA206" s="147"/>
      <c r="BB206" s="147"/>
      <c r="BC206" s="147"/>
      <c r="BD206" s="147"/>
      <c r="BE206" s="147"/>
      <c r="BF206" s="147"/>
      <c r="BG206" s="147"/>
      <c r="BH206" s="147"/>
      <c r="BI206" s="147"/>
      <c r="BJ206" s="147"/>
      <c r="BK206" s="147"/>
      <c r="BL206" s="147"/>
      <c r="BM206" s="147"/>
      <c r="BN206" s="147"/>
      <c r="BO206" s="147"/>
      <c r="BP206" s="147"/>
      <c r="BQ206" s="147"/>
      <c r="BR206" s="147"/>
      <c r="BS206" s="147"/>
      <c r="BT206" s="147"/>
      <c r="BU206" s="147"/>
      <c r="BV206" s="147"/>
      <c r="BW206" s="147"/>
      <c r="BX206" s="147"/>
      <c r="BY206" s="147"/>
      <c r="BZ206" s="147"/>
      <c r="CA206" s="147"/>
      <c r="CB206" s="147"/>
      <c r="CC206" s="147"/>
      <c r="CD206" s="147"/>
      <c r="CE206" s="147"/>
      <c r="CF206" s="147"/>
      <c r="CG206" s="147"/>
      <c r="CH206" s="147"/>
      <c r="CI206" s="147"/>
      <c r="CJ206" s="147"/>
      <c r="CK206" s="147"/>
    </row>
    <row r="207" spans="1:89">
      <c r="A207" s="159" t="s">
        <v>619</v>
      </c>
      <c r="B207" s="3" t="s">
        <v>620</v>
      </c>
      <c r="C207" s="160" t="s">
        <v>71</v>
      </c>
      <c r="D207" s="160" t="s">
        <v>864</v>
      </c>
      <c r="E207" s="3" t="s">
        <v>24</v>
      </c>
      <c r="F207" s="3" t="s">
        <v>931</v>
      </c>
      <c r="G207" s="3" t="s">
        <v>949</v>
      </c>
      <c r="H207" s="156" t="str">
        <f ca="1">IFERROR(
  _xludf.MINIFS(ATTENDANCE_LOG!$F:$F,
         ATTENDANCE_LOG!$A:$A, C207,
         ATTENDANCE_LOG!$B:$B, E207),
"")</f>
        <v/>
      </c>
      <c r="I207" s="156" t="str">
        <f t="shared" ca="1" si="0"/>
        <v/>
      </c>
      <c r="J207" s="3">
        <f>IFERROR(VLOOKUP(F207, LEVEL_HELPER!$A:$B, 2, 0), "")</f>
        <v>4.5</v>
      </c>
      <c r="K207" s="3">
        <f>IFERROR(VLOOKUP(G207, LEVEL_HELPER!$A:$B, 2, 0), "")</f>
        <v>6</v>
      </c>
      <c r="L207" s="157" t="s">
        <v>950</v>
      </c>
      <c r="M207" s="157" t="s">
        <v>922</v>
      </c>
      <c r="N207" s="3">
        <f t="array" aca="1" ref="N207" ca="1">IFERROR(
  INDEX($J$2:$J$543,
    MATCH(A207&amp;TEXT(I207,"yyyy-mm-dd"),
          $A$2:$A$543&amp;TEXT($H$2:$H$543,"yyyy-mm-dd"),
          0)),
"")</f>
        <v>4.5</v>
      </c>
      <c r="O207" s="147" t="str">
        <f t="shared" ca="1" si="1"/>
        <v/>
      </c>
      <c r="P207" s="147">
        <f t="shared" ref="P207:Q207" ca="1" si="216">IF(N207="",0,IF(N207&lt;=2,1,IF(N207&lt;=4,2,IF(N207&lt;=5.5,3,4))))</f>
        <v>3</v>
      </c>
      <c r="Q207" s="147">
        <f t="shared" ca="1" si="216"/>
        <v>0</v>
      </c>
      <c r="R207" s="147" t="str">
        <f t="shared" ca="1" si="3"/>
        <v>Not tested yet</v>
      </c>
      <c r="S207" s="147">
        <f t="shared" si="4"/>
        <v>1</v>
      </c>
      <c r="T207" s="147"/>
      <c r="U207" s="147"/>
      <c r="V207" s="148" t="e">
        <f ca="1"/>
        <v>#NAME?</v>
      </c>
      <c r="W207" s="147" t="e">
        <f t="shared" ca="1" si="5"/>
        <v>#NAME?</v>
      </c>
      <c r="X207" s="147" t="e">
        <f t="shared" ca="1" si="6"/>
        <v>#NAME?</v>
      </c>
      <c r="Y207" s="147" t="e">
        <f t="shared" ca="1" si="7"/>
        <v>#NAME?</v>
      </c>
      <c r="Z207" s="147"/>
      <c r="AA207" s="147"/>
      <c r="AB207" s="147"/>
      <c r="AC207" s="147"/>
      <c r="AD207" s="147"/>
      <c r="AE207" s="147"/>
      <c r="AF207" s="147"/>
      <c r="AG207" s="147"/>
      <c r="AH207" s="147"/>
      <c r="AI207" s="147"/>
      <c r="AJ207" s="147"/>
      <c r="AK207" s="147"/>
      <c r="AL207" s="147"/>
      <c r="AM207" s="151"/>
      <c r="AN207" s="147"/>
      <c r="AO207" s="147" t="e">
        <f t="shared" si="8"/>
        <v>#N/A</v>
      </c>
      <c r="AP207" s="147" t="e">
        <f t="shared" ca="1" si="9"/>
        <v>#NAME?</v>
      </c>
      <c r="AQ207" s="147" t="e">
        <f t="shared" si="10"/>
        <v>#N/A</v>
      </c>
      <c r="AR207" s="147"/>
      <c r="AS207" s="147"/>
      <c r="AT207" s="147"/>
      <c r="AU207" s="147"/>
      <c r="AV207" s="147"/>
      <c r="AW207" s="147"/>
      <c r="AX207" s="147"/>
      <c r="AY207" s="147"/>
      <c r="AZ207" s="147"/>
      <c r="BA207" s="147"/>
      <c r="BB207" s="147"/>
      <c r="BC207" s="147"/>
      <c r="BD207" s="147"/>
      <c r="BE207" s="147"/>
      <c r="BF207" s="147"/>
      <c r="BG207" s="147"/>
      <c r="BH207" s="147"/>
      <c r="BI207" s="147"/>
      <c r="BJ207" s="147"/>
      <c r="BK207" s="147"/>
      <c r="BL207" s="147"/>
      <c r="BM207" s="147"/>
      <c r="BN207" s="147"/>
      <c r="BO207" s="147"/>
      <c r="BP207" s="147"/>
      <c r="BQ207" s="147"/>
      <c r="BR207" s="147"/>
      <c r="BS207" s="147"/>
      <c r="BT207" s="147"/>
      <c r="BU207" s="147"/>
      <c r="BV207" s="147"/>
      <c r="BW207" s="147"/>
      <c r="BX207" s="147"/>
      <c r="BY207" s="147"/>
      <c r="BZ207" s="147"/>
      <c r="CA207" s="147"/>
      <c r="CB207" s="147"/>
      <c r="CC207" s="147"/>
      <c r="CD207" s="147"/>
      <c r="CE207" s="147"/>
      <c r="CF207" s="147"/>
      <c r="CG207" s="147"/>
      <c r="CH207" s="147"/>
      <c r="CI207" s="147"/>
      <c r="CJ207" s="147"/>
      <c r="CK207" s="147"/>
    </row>
    <row r="208" spans="1:89">
      <c r="A208" s="159" t="s">
        <v>635</v>
      </c>
      <c r="B208" s="3" t="s">
        <v>636</v>
      </c>
      <c r="C208" s="160" t="s">
        <v>71</v>
      </c>
      <c r="D208" s="160" t="s">
        <v>864</v>
      </c>
      <c r="E208" s="3" t="s">
        <v>24</v>
      </c>
      <c r="F208" s="3" t="s">
        <v>931</v>
      </c>
      <c r="G208" s="3" t="s">
        <v>949</v>
      </c>
      <c r="H208" s="156" t="str">
        <f ca="1">IFERROR(
  _xludf.MINIFS(ATTENDANCE_LOG!$F:$F,
         ATTENDANCE_LOG!$A:$A, C208,
         ATTENDANCE_LOG!$B:$B, E208),
"")</f>
        <v/>
      </c>
      <c r="I208" s="156" t="str">
        <f t="shared" ca="1" si="0"/>
        <v/>
      </c>
      <c r="J208" s="3">
        <f>IFERROR(VLOOKUP(F208, LEVEL_HELPER!$A:$B, 2, 0), "")</f>
        <v>4.5</v>
      </c>
      <c r="K208" s="3">
        <f>IFERROR(VLOOKUP(G208, LEVEL_HELPER!$A:$B, 2, 0), "")</f>
        <v>6</v>
      </c>
      <c r="L208" s="157" t="s">
        <v>918</v>
      </c>
      <c r="M208" s="157" t="s">
        <v>922</v>
      </c>
      <c r="N208" s="3">
        <f t="array" aca="1" ref="N208" ca="1">IFERROR(
  INDEX($J$2:$J$543,
    MATCH(A208&amp;TEXT(I208,"yyyy-mm-dd"),
          $A$2:$A$543&amp;TEXT($H$2:$H$543,"yyyy-mm-dd"),
          0)),
"")</f>
        <v>4.5</v>
      </c>
      <c r="O208" s="147" t="str">
        <f t="shared" ca="1" si="1"/>
        <v/>
      </c>
      <c r="P208" s="147">
        <f t="shared" ref="P208:Q208" ca="1" si="217">IF(N208="",0,IF(N208&lt;=2,1,IF(N208&lt;=4,2,IF(N208&lt;=5.5,3,4))))</f>
        <v>3</v>
      </c>
      <c r="Q208" s="147">
        <f t="shared" ca="1" si="217"/>
        <v>0</v>
      </c>
      <c r="R208" s="147" t="str">
        <f t="shared" ca="1" si="3"/>
        <v>Not tested yet</v>
      </c>
      <c r="S208" s="147">
        <f t="shared" si="4"/>
        <v>1</v>
      </c>
      <c r="T208" s="147"/>
      <c r="U208" s="147"/>
      <c r="V208" s="148" t="e">
        <f ca="1"/>
        <v>#NAME?</v>
      </c>
      <c r="W208" s="147" t="e">
        <f t="shared" ca="1" si="5"/>
        <v>#NAME?</v>
      </c>
      <c r="X208" s="147" t="e">
        <f t="shared" ca="1" si="6"/>
        <v>#NAME?</v>
      </c>
      <c r="Y208" s="147" t="e">
        <f t="shared" ca="1" si="7"/>
        <v>#NAME?</v>
      </c>
      <c r="Z208" s="147"/>
      <c r="AA208" s="147"/>
      <c r="AB208" s="147"/>
      <c r="AC208" s="147"/>
      <c r="AD208" s="147"/>
      <c r="AE208" s="147"/>
      <c r="AF208" s="147"/>
      <c r="AG208" s="147"/>
      <c r="AH208" s="147"/>
      <c r="AI208" s="147"/>
      <c r="AJ208" s="147"/>
      <c r="AK208" s="147"/>
      <c r="AL208" s="147"/>
      <c r="AM208" s="151"/>
      <c r="AN208" s="147"/>
      <c r="AO208" s="147" t="e">
        <f t="shared" si="8"/>
        <v>#N/A</v>
      </c>
      <c r="AP208" s="147" t="e">
        <f t="shared" ca="1" si="9"/>
        <v>#NAME?</v>
      </c>
      <c r="AQ208" s="147" t="e">
        <f t="shared" si="10"/>
        <v>#N/A</v>
      </c>
      <c r="AR208" s="147"/>
      <c r="AS208" s="147"/>
      <c r="AT208" s="147"/>
      <c r="AU208" s="147"/>
      <c r="AV208" s="147"/>
      <c r="AW208" s="147"/>
      <c r="AX208" s="147"/>
      <c r="AY208" s="147"/>
      <c r="AZ208" s="147"/>
      <c r="BA208" s="147"/>
      <c r="BB208" s="147"/>
      <c r="BC208" s="147"/>
      <c r="BD208" s="147"/>
      <c r="BE208" s="147"/>
      <c r="BF208" s="147"/>
      <c r="BG208" s="147"/>
      <c r="BH208" s="147"/>
      <c r="BI208" s="147"/>
      <c r="BJ208" s="147"/>
      <c r="BK208" s="147"/>
      <c r="BL208" s="147"/>
      <c r="BM208" s="147"/>
      <c r="BN208" s="147"/>
      <c r="BO208" s="147"/>
      <c r="BP208" s="147"/>
      <c r="BQ208" s="147"/>
      <c r="BR208" s="147"/>
      <c r="BS208" s="147"/>
      <c r="BT208" s="147"/>
      <c r="BU208" s="147"/>
      <c r="BV208" s="147"/>
      <c r="BW208" s="147"/>
      <c r="BX208" s="147"/>
      <c r="BY208" s="147"/>
      <c r="BZ208" s="147"/>
      <c r="CA208" s="147"/>
      <c r="CB208" s="147"/>
      <c r="CC208" s="147"/>
      <c r="CD208" s="147"/>
      <c r="CE208" s="147"/>
      <c r="CF208" s="147"/>
      <c r="CG208" s="147"/>
      <c r="CH208" s="147"/>
      <c r="CI208" s="147"/>
      <c r="CJ208" s="147"/>
      <c r="CK208" s="147"/>
    </row>
    <row r="209" spans="1:89">
      <c r="A209" s="159" t="s">
        <v>667</v>
      </c>
      <c r="B209" s="3" t="s">
        <v>668</v>
      </c>
      <c r="C209" s="160" t="s">
        <v>71</v>
      </c>
      <c r="D209" s="160" t="s">
        <v>864</v>
      </c>
      <c r="E209" s="3" t="s">
        <v>24</v>
      </c>
      <c r="F209" s="3" t="s">
        <v>931</v>
      </c>
      <c r="G209" s="3" t="s">
        <v>949</v>
      </c>
      <c r="H209" s="156" t="str">
        <f ca="1">IFERROR(
  _xludf.MINIFS(ATTENDANCE_LOG!$F:$F,
         ATTENDANCE_LOG!$A:$A, C209,
         ATTENDANCE_LOG!$B:$B, E209),
"")</f>
        <v/>
      </c>
      <c r="I209" s="156" t="str">
        <f t="shared" ca="1" si="0"/>
        <v/>
      </c>
      <c r="J209" s="3">
        <f>IFERROR(VLOOKUP(F209, LEVEL_HELPER!$A:$B, 2, 0), "")</f>
        <v>4.5</v>
      </c>
      <c r="K209" s="3">
        <f>IFERROR(VLOOKUP(G209, LEVEL_HELPER!$A:$B, 2, 0), "")</f>
        <v>6</v>
      </c>
      <c r="L209" s="157" t="s">
        <v>944</v>
      </c>
      <c r="M209" s="157" t="s">
        <v>921</v>
      </c>
      <c r="N209" s="3">
        <f t="array" aca="1" ref="N209" ca="1">IFERROR(
  INDEX($J$2:$J$543,
    MATCH(A209&amp;TEXT(I209,"yyyy-mm-dd"),
          $A$2:$A$543&amp;TEXT($H$2:$H$543,"yyyy-mm-dd"),
          0)),
"")</f>
        <v>4.5</v>
      </c>
      <c r="O209" s="147" t="str">
        <f t="shared" ca="1" si="1"/>
        <v/>
      </c>
      <c r="P209" s="147">
        <f t="shared" ref="P209:Q209" ca="1" si="218">IF(N209="",0,IF(N209&lt;=2,1,IF(N209&lt;=4,2,IF(N209&lt;=5.5,3,4))))</f>
        <v>3</v>
      </c>
      <c r="Q209" s="147">
        <f t="shared" ca="1" si="218"/>
        <v>0</v>
      </c>
      <c r="R209" s="147" t="str">
        <f t="shared" ca="1" si="3"/>
        <v>Not tested yet</v>
      </c>
      <c r="S209" s="147">
        <f t="shared" si="4"/>
        <v>1</v>
      </c>
      <c r="T209" s="147"/>
      <c r="U209" s="147"/>
      <c r="V209" s="148" t="e">
        <f ca="1"/>
        <v>#NAME?</v>
      </c>
      <c r="W209" s="147" t="e">
        <f t="shared" ca="1" si="5"/>
        <v>#NAME?</v>
      </c>
      <c r="X209" s="147" t="e">
        <f t="shared" ca="1" si="6"/>
        <v>#NAME?</v>
      </c>
      <c r="Y209" s="147" t="e">
        <f t="shared" ca="1" si="7"/>
        <v>#NAME?</v>
      </c>
      <c r="Z209" s="147"/>
      <c r="AA209" s="147"/>
      <c r="AB209" s="147"/>
      <c r="AC209" s="147"/>
      <c r="AD209" s="147"/>
      <c r="AE209" s="147"/>
      <c r="AF209" s="147"/>
      <c r="AG209" s="147"/>
      <c r="AH209" s="147"/>
      <c r="AI209" s="147"/>
      <c r="AJ209" s="147"/>
      <c r="AK209" s="147"/>
      <c r="AL209" s="147"/>
      <c r="AM209" s="151"/>
      <c r="AN209" s="147"/>
      <c r="AO209" s="147" t="e">
        <f t="shared" si="8"/>
        <v>#N/A</v>
      </c>
      <c r="AP209" s="147" t="e">
        <f t="shared" ca="1" si="9"/>
        <v>#NAME?</v>
      </c>
      <c r="AQ209" s="147" t="e">
        <f t="shared" si="10"/>
        <v>#N/A</v>
      </c>
      <c r="AR209" s="147"/>
      <c r="AS209" s="147"/>
      <c r="AT209" s="147"/>
      <c r="AU209" s="147"/>
      <c r="AV209" s="147"/>
      <c r="AW209" s="147"/>
      <c r="AX209" s="147"/>
      <c r="AY209" s="147"/>
      <c r="AZ209" s="147"/>
      <c r="BA209" s="147"/>
      <c r="BB209" s="147"/>
      <c r="BC209" s="147"/>
      <c r="BD209" s="147"/>
      <c r="BE209" s="147"/>
      <c r="BF209" s="147"/>
      <c r="BG209" s="147"/>
      <c r="BH209" s="147"/>
      <c r="BI209" s="147"/>
      <c r="BJ209" s="147"/>
      <c r="BK209" s="147"/>
      <c r="BL209" s="147"/>
      <c r="BM209" s="147"/>
      <c r="BN209" s="147"/>
      <c r="BO209" s="147"/>
      <c r="BP209" s="147"/>
      <c r="BQ209" s="147"/>
      <c r="BR209" s="147"/>
      <c r="BS209" s="147"/>
      <c r="BT209" s="147"/>
      <c r="BU209" s="147"/>
      <c r="BV209" s="147"/>
      <c r="BW209" s="147"/>
      <c r="BX209" s="147"/>
      <c r="BY209" s="147"/>
      <c r="BZ209" s="147"/>
      <c r="CA209" s="147"/>
      <c r="CB209" s="147"/>
      <c r="CC209" s="147"/>
      <c r="CD209" s="147"/>
      <c r="CE209" s="147"/>
      <c r="CF209" s="147"/>
      <c r="CG209" s="147"/>
      <c r="CH209" s="147"/>
      <c r="CI209" s="147"/>
      <c r="CJ209" s="147"/>
      <c r="CK209" s="147"/>
    </row>
    <row r="210" spans="1:89">
      <c r="A210" s="153" t="s">
        <v>683</v>
      </c>
      <c r="B210" s="154" t="s">
        <v>684</v>
      </c>
      <c r="C210" s="155" t="s">
        <v>72</v>
      </c>
      <c r="D210" s="155" t="s">
        <v>865</v>
      </c>
      <c r="E210" s="154" t="s">
        <v>21</v>
      </c>
      <c r="F210" s="3" t="s">
        <v>926</v>
      </c>
      <c r="G210" s="3" t="s">
        <v>917</v>
      </c>
      <c r="H210" s="156" t="str">
        <f ca="1">IFERROR(
  _xludf.MINIFS(ATTENDANCE_LOG!$F:$F,
         ATTENDANCE_LOG!$A:$A, C210,
         ATTENDANCE_LOG!$B:$B, E210),
"")</f>
        <v/>
      </c>
      <c r="I210" s="156" t="str">
        <f t="shared" ca="1" si="0"/>
        <v/>
      </c>
      <c r="J210" s="3">
        <f>IFERROR(VLOOKUP(F210, LEVEL_HELPER!$A:$B, 2, 0), "")</f>
        <v>1</v>
      </c>
      <c r="K210" s="3">
        <f>IFERROR(VLOOKUP(G210, LEVEL_HELPER!$A:$B, 2, 0), "")</f>
        <v>3</v>
      </c>
      <c r="L210" s="157" t="s">
        <v>942</v>
      </c>
      <c r="M210" s="157" t="s">
        <v>919</v>
      </c>
      <c r="N210" s="3">
        <f t="array" aca="1" ref="N210" ca="1">IFERROR(
  INDEX($J$2:$J$543,
    MATCH(A210&amp;TEXT(I210,"yyyy-mm-dd"),
          $A$2:$A$543&amp;TEXT($H$2:$H$543,"yyyy-mm-dd"),
          0)),
"")</f>
        <v>1</v>
      </c>
      <c r="O210" s="147" t="str">
        <f t="shared" ca="1" si="1"/>
        <v/>
      </c>
      <c r="P210" s="147">
        <f t="shared" ref="P210:Q210" ca="1" si="219">IF(N210="",0,IF(N210&lt;=2,1,IF(N210&lt;=4,2,IF(N210&lt;=5.5,3,4))))</f>
        <v>1</v>
      </c>
      <c r="Q210" s="147">
        <f t="shared" ca="1" si="219"/>
        <v>0</v>
      </c>
      <c r="R210" s="147" t="str">
        <f t="shared" ca="1" si="3"/>
        <v>Not tested yet</v>
      </c>
      <c r="S210" s="147">
        <f t="shared" si="4"/>
        <v>1</v>
      </c>
      <c r="T210" s="147"/>
      <c r="U210" s="147"/>
      <c r="V210" s="148" t="e">
        <f ca="1"/>
        <v>#NAME?</v>
      </c>
      <c r="W210" s="147" t="e">
        <f t="shared" ca="1" si="5"/>
        <v>#NAME?</v>
      </c>
      <c r="X210" s="147" t="e">
        <f t="shared" ca="1" si="6"/>
        <v>#NAME?</v>
      </c>
      <c r="Y210" s="147" t="e">
        <f t="shared" ca="1" si="7"/>
        <v>#NAME?</v>
      </c>
      <c r="Z210" s="147"/>
      <c r="AA210" s="147"/>
      <c r="AB210" s="147"/>
      <c r="AC210" s="147"/>
      <c r="AD210" s="147"/>
      <c r="AE210" s="147"/>
      <c r="AF210" s="147"/>
      <c r="AG210" s="147"/>
      <c r="AH210" s="147"/>
      <c r="AI210" s="147"/>
      <c r="AJ210" s="147"/>
      <c r="AK210" s="147"/>
      <c r="AL210" s="147"/>
      <c r="AM210" s="151"/>
      <c r="AN210" s="147"/>
      <c r="AO210" s="147" t="e">
        <f t="shared" si="8"/>
        <v>#N/A</v>
      </c>
      <c r="AP210" s="147" t="e">
        <f t="shared" ca="1" si="9"/>
        <v>#NAME?</v>
      </c>
      <c r="AQ210" s="147" t="e">
        <f t="shared" si="10"/>
        <v>#N/A</v>
      </c>
      <c r="AR210" s="147"/>
      <c r="AS210" s="147"/>
      <c r="AT210" s="147"/>
      <c r="AU210" s="147"/>
      <c r="AV210" s="147"/>
      <c r="AW210" s="147"/>
      <c r="AX210" s="147"/>
      <c r="AY210" s="147"/>
      <c r="AZ210" s="147"/>
      <c r="BA210" s="147"/>
      <c r="BB210" s="147"/>
      <c r="BC210" s="147"/>
      <c r="BD210" s="147"/>
      <c r="BE210" s="147"/>
      <c r="BF210" s="147"/>
      <c r="BG210" s="147"/>
      <c r="BH210" s="147"/>
      <c r="BI210" s="147"/>
      <c r="BJ210" s="147"/>
      <c r="BK210" s="147"/>
      <c r="BL210" s="147"/>
      <c r="BM210" s="147"/>
      <c r="BN210" s="147"/>
      <c r="BO210" s="147"/>
      <c r="BP210" s="147"/>
      <c r="BQ210" s="147"/>
      <c r="BR210" s="147"/>
      <c r="BS210" s="147"/>
      <c r="BT210" s="147"/>
      <c r="BU210" s="147"/>
      <c r="BV210" s="147"/>
      <c r="BW210" s="147"/>
      <c r="BX210" s="147"/>
      <c r="BY210" s="147"/>
      <c r="BZ210" s="147"/>
      <c r="CA210" s="147"/>
      <c r="CB210" s="147"/>
      <c r="CC210" s="147"/>
      <c r="CD210" s="147"/>
      <c r="CE210" s="147"/>
      <c r="CF210" s="147"/>
      <c r="CG210" s="147"/>
      <c r="CH210" s="147"/>
      <c r="CI210" s="147"/>
      <c r="CJ210" s="147"/>
      <c r="CK210" s="147"/>
    </row>
    <row r="211" spans="1:89">
      <c r="A211" s="159" t="s">
        <v>265</v>
      </c>
      <c r="B211" s="3" t="s">
        <v>266</v>
      </c>
      <c r="C211" s="160" t="s">
        <v>72</v>
      </c>
      <c r="D211" s="160" t="s">
        <v>865</v>
      </c>
      <c r="E211" s="3" t="s">
        <v>21</v>
      </c>
      <c r="F211" s="3" t="s">
        <v>926</v>
      </c>
      <c r="G211" s="3" t="s">
        <v>917</v>
      </c>
      <c r="H211" s="156" t="str">
        <f ca="1">IFERROR(
  _xludf.MINIFS(ATTENDANCE_LOG!$F:$F,
         ATTENDANCE_LOG!$A:$A, C211,
         ATTENDANCE_LOG!$B:$B, E211),
"")</f>
        <v/>
      </c>
      <c r="I211" s="156" t="str">
        <f t="shared" ca="1" si="0"/>
        <v/>
      </c>
      <c r="J211" s="3">
        <f>IFERROR(VLOOKUP(F211, LEVEL_HELPER!$A:$B, 2, 0), "")</f>
        <v>1</v>
      </c>
      <c r="K211" s="3">
        <f>IFERROR(VLOOKUP(G211, LEVEL_HELPER!$A:$B, 2, 0), "")</f>
        <v>3</v>
      </c>
      <c r="L211" s="157" t="s">
        <v>942</v>
      </c>
      <c r="M211" s="157" t="s">
        <v>919</v>
      </c>
      <c r="N211" s="3">
        <f t="array" aca="1" ref="N211" ca="1">IFERROR(
  INDEX($J$2:$J$543,
    MATCH(A211&amp;TEXT(I211,"yyyy-mm-dd"),
          $A$2:$A$543&amp;TEXT($H$2:$H$543,"yyyy-mm-dd"),
          0)),
"")</f>
        <v>1</v>
      </c>
      <c r="O211" s="147" t="str">
        <f t="shared" ca="1" si="1"/>
        <v/>
      </c>
      <c r="P211" s="147">
        <f t="shared" ref="P211:Q211" ca="1" si="220">IF(N211="",0,IF(N211&lt;=2,1,IF(N211&lt;=4,2,IF(N211&lt;=5.5,3,4))))</f>
        <v>1</v>
      </c>
      <c r="Q211" s="147">
        <f t="shared" ca="1" si="220"/>
        <v>0</v>
      </c>
      <c r="R211" s="147" t="str">
        <f t="shared" ca="1" si="3"/>
        <v>Not tested yet</v>
      </c>
      <c r="S211" s="147">
        <f t="shared" si="4"/>
        <v>1</v>
      </c>
      <c r="T211" s="147"/>
      <c r="U211" s="147"/>
      <c r="V211" s="148" t="e">
        <f ca="1"/>
        <v>#NAME?</v>
      </c>
      <c r="W211" s="147" t="e">
        <f t="shared" ca="1" si="5"/>
        <v>#NAME?</v>
      </c>
      <c r="X211" s="147" t="e">
        <f t="shared" ca="1" si="6"/>
        <v>#NAME?</v>
      </c>
      <c r="Y211" s="147" t="e">
        <f t="shared" ca="1" si="7"/>
        <v>#NAME?</v>
      </c>
      <c r="Z211" s="147"/>
      <c r="AA211" s="147"/>
      <c r="AB211" s="147"/>
      <c r="AC211" s="147"/>
      <c r="AD211" s="147"/>
      <c r="AE211" s="147"/>
      <c r="AF211" s="147"/>
      <c r="AG211" s="147"/>
      <c r="AH211" s="147"/>
      <c r="AI211" s="147"/>
      <c r="AJ211" s="147"/>
      <c r="AK211" s="147"/>
      <c r="AL211" s="147"/>
      <c r="AM211" s="151"/>
      <c r="AN211" s="147"/>
      <c r="AO211" s="147" t="e">
        <f t="shared" si="8"/>
        <v>#N/A</v>
      </c>
      <c r="AP211" s="147" t="e">
        <f t="shared" ca="1" si="9"/>
        <v>#NAME?</v>
      </c>
      <c r="AQ211" s="147" t="e">
        <f t="shared" si="10"/>
        <v>#N/A</v>
      </c>
      <c r="AR211" s="147"/>
      <c r="AS211" s="147"/>
      <c r="AT211" s="147"/>
      <c r="AU211" s="147"/>
      <c r="AV211" s="147"/>
      <c r="AW211" s="147"/>
      <c r="AX211" s="147"/>
      <c r="AY211" s="147"/>
      <c r="AZ211" s="147"/>
      <c r="BA211" s="147"/>
      <c r="BB211" s="147"/>
      <c r="BC211" s="147"/>
      <c r="BD211" s="147"/>
      <c r="BE211" s="147"/>
      <c r="BF211" s="147"/>
      <c r="BG211" s="147"/>
      <c r="BH211" s="147"/>
      <c r="BI211" s="147"/>
      <c r="BJ211" s="147"/>
      <c r="BK211" s="147"/>
      <c r="BL211" s="147"/>
      <c r="BM211" s="147"/>
      <c r="BN211" s="147"/>
      <c r="BO211" s="147"/>
      <c r="BP211" s="147"/>
      <c r="BQ211" s="147"/>
      <c r="BR211" s="147"/>
      <c r="BS211" s="147"/>
      <c r="BT211" s="147"/>
      <c r="BU211" s="147"/>
      <c r="BV211" s="147"/>
      <c r="BW211" s="147"/>
      <c r="BX211" s="147"/>
      <c r="BY211" s="147"/>
      <c r="BZ211" s="147"/>
      <c r="CA211" s="147"/>
      <c r="CB211" s="147"/>
      <c r="CC211" s="147"/>
      <c r="CD211" s="147"/>
      <c r="CE211" s="147"/>
      <c r="CF211" s="147"/>
      <c r="CG211" s="147"/>
      <c r="CH211" s="147"/>
      <c r="CI211" s="147"/>
      <c r="CJ211" s="147"/>
      <c r="CK211" s="147"/>
    </row>
    <row r="212" spans="1:89">
      <c r="A212" s="159" t="s">
        <v>108</v>
      </c>
      <c r="B212" s="3" t="s">
        <v>283</v>
      </c>
      <c r="C212" s="160" t="s">
        <v>72</v>
      </c>
      <c r="D212" s="160" t="s">
        <v>865</v>
      </c>
      <c r="E212" s="3" t="s">
        <v>21</v>
      </c>
      <c r="F212" s="3" t="s">
        <v>926</v>
      </c>
      <c r="G212" s="3" t="s">
        <v>917</v>
      </c>
      <c r="H212" s="156" t="str">
        <f ca="1">IFERROR(
  _xludf.MINIFS(ATTENDANCE_LOG!$F:$F,
         ATTENDANCE_LOG!$A:$A, C212,
         ATTENDANCE_LOG!$B:$B, E212),
"")</f>
        <v/>
      </c>
      <c r="I212" s="156" t="str">
        <f t="shared" ca="1" si="0"/>
        <v/>
      </c>
      <c r="J212" s="3">
        <f>IFERROR(VLOOKUP(F212, LEVEL_HELPER!$A:$B, 2, 0), "")</f>
        <v>1</v>
      </c>
      <c r="K212" s="3">
        <f>IFERROR(VLOOKUP(G212, LEVEL_HELPER!$A:$B, 2, 0), "")</f>
        <v>3</v>
      </c>
      <c r="L212" s="157" t="s">
        <v>942</v>
      </c>
      <c r="M212" s="157" t="s">
        <v>919</v>
      </c>
      <c r="N212" s="3">
        <f t="array" aca="1" ref="N212" ca="1">IFERROR(
  INDEX($J$2:$J$543,
    MATCH(A212&amp;TEXT(I212,"yyyy-mm-dd"),
          $A$2:$A$543&amp;TEXT($H$2:$H$543,"yyyy-mm-dd"),
          0)),
"")</f>
        <v>1</v>
      </c>
      <c r="O212" s="147" t="str">
        <f t="shared" ca="1" si="1"/>
        <v/>
      </c>
      <c r="P212" s="147">
        <f t="shared" ref="P212:Q212" ca="1" si="221">IF(N212="",0,IF(N212&lt;=2,1,IF(N212&lt;=4,2,IF(N212&lt;=5.5,3,4))))</f>
        <v>1</v>
      </c>
      <c r="Q212" s="147">
        <f t="shared" ca="1" si="221"/>
        <v>0</v>
      </c>
      <c r="R212" s="147" t="str">
        <f t="shared" ca="1" si="3"/>
        <v>Not tested yet</v>
      </c>
      <c r="S212" s="147">
        <f t="shared" si="4"/>
        <v>1</v>
      </c>
      <c r="T212" s="147"/>
      <c r="U212" s="147"/>
      <c r="V212" s="148" t="e">
        <f ca="1"/>
        <v>#NAME?</v>
      </c>
      <c r="W212" s="147" t="e">
        <f t="shared" ca="1" si="5"/>
        <v>#NAME?</v>
      </c>
      <c r="X212" s="147" t="e">
        <f t="shared" ca="1" si="6"/>
        <v>#NAME?</v>
      </c>
      <c r="Y212" s="147" t="e">
        <f t="shared" ca="1" si="7"/>
        <v>#NAME?</v>
      </c>
      <c r="Z212" s="147"/>
      <c r="AA212" s="147"/>
      <c r="AB212" s="147"/>
      <c r="AC212" s="147"/>
      <c r="AD212" s="147"/>
      <c r="AE212" s="147"/>
      <c r="AF212" s="147"/>
      <c r="AG212" s="147"/>
      <c r="AH212" s="147"/>
      <c r="AI212" s="147"/>
      <c r="AJ212" s="147"/>
      <c r="AK212" s="147"/>
      <c r="AL212" s="147"/>
      <c r="AM212" s="151"/>
      <c r="AN212" s="147"/>
      <c r="AO212" s="147" t="e">
        <f t="shared" si="8"/>
        <v>#N/A</v>
      </c>
      <c r="AP212" s="147" t="e">
        <f t="shared" ca="1" si="9"/>
        <v>#NAME?</v>
      </c>
      <c r="AQ212" s="147" t="e">
        <f t="shared" si="10"/>
        <v>#N/A</v>
      </c>
      <c r="AR212" s="147"/>
      <c r="AS212" s="147"/>
      <c r="AT212" s="147"/>
      <c r="AU212" s="147"/>
      <c r="AV212" s="147"/>
      <c r="AW212" s="147"/>
      <c r="AX212" s="147"/>
      <c r="AY212" s="147"/>
      <c r="AZ212" s="147"/>
      <c r="BA212" s="147"/>
      <c r="BB212" s="147"/>
      <c r="BC212" s="147"/>
      <c r="BD212" s="147"/>
      <c r="BE212" s="147"/>
      <c r="BF212" s="147"/>
      <c r="BG212" s="147"/>
      <c r="BH212" s="147"/>
      <c r="BI212" s="147"/>
      <c r="BJ212" s="147"/>
      <c r="BK212" s="147"/>
      <c r="BL212" s="147"/>
      <c r="BM212" s="147"/>
      <c r="BN212" s="147"/>
      <c r="BO212" s="147"/>
      <c r="BP212" s="147"/>
      <c r="BQ212" s="147"/>
      <c r="BR212" s="147"/>
      <c r="BS212" s="147"/>
      <c r="BT212" s="147"/>
      <c r="BU212" s="147"/>
      <c r="BV212" s="147"/>
      <c r="BW212" s="147"/>
      <c r="BX212" s="147"/>
      <c r="BY212" s="147"/>
      <c r="BZ212" s="147"/>
      <c r="CA212" s="147"/>
      <c r="CB212" s="147"/>
      <c r="CC212" s="147"/>
      <c r="CD212" s="147"/>
      <c r="CE212" s="147"/>
      <c r="CF212" s="147"/>
      <c r="CG212" s="147"/>
      <c r="CH212" s="147"/>
      <c r="CI212" s="147"/>
      <c r="CJ212" s="147"/>
      <c r="CK212" s="147"/>
    </row>
    <row r="213" spans="1:89">
      <c r="A213" s="159" t="s">
        <v>315</v>
      </c>
      <c r="B213" s="3" t="s">
        <v>316</v>
      </c>
      <c r="C213" s="160" t="s">
        <v>72</v>
      </c>
      <c r="D213" s="160" t="s">
        <v>865</v>
      </c>
      <c r="E213" s="3" t="s">
        <v>21</v>
      </c>
      <c r="F213" s="3" t="s">
        <v>926</v>
      </c>
      <c r="G213" s="3" t="s">
        <v>928</v>
      </c>
      <c r="H213" s="156" t="str">
        <f ca="1">IFERROR(
  _xludf.MINIFS(ATTENDANCE_LOG!$F:$F,
         ATTENDANCE_LOG!$A:$A, C213,
         ATTENDANCE_LOG!$B:$B, E213),
"")</f>
        <v/>
      </c>
      <c r="I213" s="156" t="str">
        <f t="shared" ca="1" si="0"/>
        <v/>
      </c>
      <c r="J213" s="3">
        <f>IFERROR(VLOOKUP(F213, LEVEL_HELPER!$A:$B, 2, 0), "")</f>
        <v>1</v>
      </c>
      <c r="K213" s="3">
        <f>IFERROR(VLOOKUP(G213, LEVEL_HELPER!$A:$B, 2, 0), "")</f>
        <v>1.5</v>
      </c>
      <c r="L213" s="157" t="s">
        <v>942</v>
      </c>
      <c r="M213" s="157" t="s">
        <v>925</v>
      </c>
      <c r="N213" s="3">
        <f t="array" aca="1" ref="N213" ca="1">IFERROR(
  INDEX($J$2:$J$543,
    MATCH(A213&amp;TEXT(I213,"yyyy-mm-dd"),
          $A$2:$A$543&amp;TEXT($H$2:$H$543,"yyyy-mm-dd"),
          0)),
"")</f>
        <v>1</v>
      </c>
      <c r="O213" s="147" t="str">
        <f t="shared" ca="1" si="1"/>
        <v/>
      </c>
      <c r="P213" s="147">
        <f t="shared" ref="P213:Q213" ca="1" si="222">IF(N213="",0,IF(N213&lt;=2,1,IF(N213&lt;=4,2,IF(N213&lt;=5.5,3,4))))</f>
        <v>1</v>
      </c>
      <c r="Q213" s="147">
        <f t="shared" ca="1" si="222"/>
        <v>0</v>
      </c>
      <c r="R213" s="147" t="str">
        <f t="shared" ca="1" si="3"/>
        <v>Not tested yet</v>
      </c>
      <c r="S213" s="147">
        <f t="shared" si="4"/>
        <v>1</v>
      </c>
      <c r="T213" s="147"/>
      <c r="U213" s="147"/>
      <c r="V213" s="148" t="e">
        <f ca="1"/>
        <v>#NAME?</v>
      </c>
      <c r="W213" s="147" t="e">
        <f t="shared" ca="1" si="5"/>
        <v>#NAME?</v>
      </c>
      <c r="X213" s="147" t="e">
        <f t="shared" ca="1" si="6"/>
        <v>#NAME?</v>
      </c>
      <c r="Y213" s="147" t="e">
        <f t="shared" ca="1" si="7"/>
        <v>#NAME?</v>
      </c>
      <c r="Z213" s="147"/>
      <c r="AA213" s="147"/>
      <c r="AB213" s="147"/>
      <c r="AC213" s="147"/>
      <c r="AD213" s="147"/>
      <c r="AE213" s="147"/>
      <c r="AF213" s="147"/>
      <c r="AG213" s="147"/>
      <c r="AH213" s="147"/>
      <c r="AI213" s="147"/>
      <c r="AJ213" s="147"/>
      <c r="AK213" s="147"/>
      <c r="AL213" s="147"/>
      <c r="AM213" s="151"/>
      <c r="AN213" s="147"/>
      <c r="AO213" s="147" t="e">
        <f t="shared" si="8"/>
        <v>#N/A</v>
      </c>
      <c r="AP213" s="147" t="e">
        <f t="shared" ca="1" si="9"/>
        <v>#NAME?</v>
      </c>
      <c r="AQ213" s="147" t="e">
        <f t="shared" si="10"/>
        <v>#N/A</v>
      </c>
      <c r="AR213" s="147"/>
      <c r="AS213" s="147"/>
      <c r="AT213" s="147"/>
      <c r="AU213" s="147"/>
      <c r="AV213" s="147"/>
      <c r="AW213" s="147"/>
      <c r="AX213" s="147"/>
      <c r="AY213" s="147"/>
      <c r="AZ213" s="147"/>
      <c r="BA213" s="147"/>
      <c r="BB213" s="147"/>
      <c r="BC213" s="147"/>
      <c r="BD213" s="147"/>
      <c r="BE213" s="147"/>
      <c r="BF213" s="147"/>
      <c r="BG213" s="147"/>
      <c r="BH213" s="147"/>
      <c r="BI213" s="147"/>
      <c r="BJ213" s="147"/>
      <c r="BK213" s="147"/>
      <c r="BL213" s="147"/>
      <c r="BM213" s="147"/>
      <c r="BN213" s="147"/>
      <c r="BO213" s="147"/>
      <c r="BP213" s="147"/>
      <c r="BQ213" s="147"/>
      <c r="BR213" s="147"/>
      <c r="BS213" s="147"/>
      <c r="BT213" s="147"/>
      <c r="BU213" s="147"/>
      <c r="BV213" s="147"/>
      <c r="BW213" s="147"/>
      <c r="BX213" s="147"/>
      <c r="BY213" s="147"/>
      <c r="BZ213" s="147"/>
      <c r="CA213" s="147"/>
      <c r="CB213" s="147"/>
      <c r="CC213" s="147"/>
      <c r="CD213" s="147"/>
      <c r="CE213" s="147"/>
      <c r="CF213" s="147"/>
      <c r="CG213" s="147"/>
      <c r="CH213" s="147"/>
      <c r="CI213" s="147"/>
      <c r="CJ213" s="147"/>
      <c r="CK213" s="147"/>
    </row>
    <row r="214" spans="1:89">
      <c r="A214" s="159" t="s">
        <v>334</v>
      </c>
      <c r="B214" s="3" t="s">
        <v>335</v>
      </c>
      <c r="C214" s="160" t="s">
        <v>72</v>
      </c>
      <c r="D214" s="160" t="s">
        <v>865</v>
      </c>
      <c r="E214" s="3" t="s">
        <v>21</v>
      </c>
      <c r="F214" s="3" t="s">
        <v>916</v>
      </c>
      <c r="G214" s="3" t="s">
        <v>931</v>
      </c>
      <c r="H214" s="156" t="str">
        <f ca="1">IFERROR(
  _xludf.MINIFS(ATTENDANCE_LOG!$F:$F,
         ATTENDANCE_LOG!$A:$A, C214,
         ATTENDANCE_LOG!$B:$B, E214),
"")</f>
        <v/>
      </c>
      <c r="I214" s="156" t="str">
        <f t="shared" ca="1" si="0"/>
        <v/>
      </c>
      <c r="J214" s="3">
        <f>IFERROR(VLOOKUP(F214, LEVEL_HELPER!$A:$B, 2, 0), "")</f>
        <v>2.5</v>
      </c>
      <c r="K214" s="3">
        <f>IFERROR(VLOOKUP(G214, LEVEL_HELPER!$A:$B, 2, 0), "")</f>
        <v>4.5</v>
      </c>
      <c r="L214" s="157" t="s">
        <v>942</v>
      </c>
      <c r="M214" s="157" t="s">
        <v>925</v>
      </c>
      <c r="N214" s="3">
        <f t="array" aca="1" ref="N214" ca="1">IFERROR(
  INDEX($J$2:$J$543,
    MATCH(A214&amp;TEXT(I214,"yyyy-mm-dd"),
          $A$2:$A$543&amp;TEXT($H$2:$H$543,"yyyy-mm-dd"),
          0)),
"")</f>
        <v>2.5</v>
      </c>
      <c r="O214" s="147" t="str">
        <f t="shared" ca="1" si="1"/>
        <v/>
      </c>
      <c r="P214" s="147">
        <f t="shared" ref="P214:Q214" ca="1" si="223">IF(N214="",0,IF(N214&lt;=2,1,IF(N214&lt;=4,2,IF(N214&lt;=5.5,3,4))))</f>
        <v>2</v>
      </c>
      <c r="Q214" s="147">
        <f t="shared" ca="1" si="223"/>
        <v>0</v>
      </c>
      <c r="R214" s="147" t="str">
        <f t="shared" ca="1" si="3"/>
        <v>Not tested yet</v>
      </c>
      <c r="S214" s="147">
        <f t="shared" si="4"/>
        <v>1</v>
      </c>
      <c r="T214" s="147"/>
      <c r="U214" s="147"/>
      <c r="V214" s="148" t="e">
        <f ca="1"/>
        <v>#NAME?</v>
      </c>
      <c r="W214" s="147" t="e">
        <f t="shared" ca="1" si="5"/>
        <v>#NAME?</v>
      </c>
      <c r="X214" s="147" t="e">
        <f t="shared" ca="1" si="6"/>
        <v>#NAME?</v>
      </c>
      <c r="Y214" s="147" t="e">
        <f t="shared" ca="1" si="7"/>
        <v>#NAME?</v>
      </c>
      <c r="Z214" s="147"/>
      <c r="AA214" s="147"/>
      <c r="AB214" s="147"/>
      <c r="AC214" s="147"/>
      <c r="AD214" s="147"/>
      <c r="AE214" s="147"/>
      <c r="AF214" s="147"/>
      <c r="AG214" s="147"/>
      <c r="AH214" s="147"/>
      <c r="AI214" s="147"/>
      <c r="AJ214" s="147"/>
      <c r="AK214" s="147"/>
      <c r="AL214" s="147"/>
      <c r="AM214" s="151"/>
      <c r="AN214" s="147"/>
      <c r="AO214" s="147" t="e">
        <f t="shared" si="8"/>
        <v>#N/A</v>
      </c>
      <c r="AP214" s="147" t="e">
        <f t="shared" ca="1" si="9"/>
        <v>#NAME?</v>
      </c>
      <c r="AQ214" s="147" t="e">
        <f t="shared" si="10"/>
        <v>#N/A</v>
      </c>
      <c r="AR214" s="147"/>
      <c r="AS214" s="147"/>
      <c r="AT214" s="147"/>
      <c r="AU214" s="147"/>
      <c r="AV214" s="147"/>
      <c r="AW214" s="147"/>
      <c r="AX214" s="147"/>
      <c r="AY214" s="147"/>
      <c r="AZ214" s="147"/>
      <c r="BA214" s="147"/>
      <c r="BB214" s="147"/>
      <c r="BC214" s="147"/>
      <c r="BD214" s="147"/>
      <c r="BE214" s="147"/>
      <c r="BF214" s="147"/>
      <c r="BG214" s="147"/>
      <c r="BH214" s="147"/>
      <c r="BI214" s="147"/>
      <c r="BJ214" s="147"/>
      <c r="BK214" s="147"/>
      <c r="BL214" s="147"/>
      <c r="BM214" s="147"/>
      <c r="BN214" s="147"/>
      <c r="BO214" s="147"/>
      <c r="BP214" s="147"/>
      <c r="BQ214" s="147"/>
      <c r="BR214" s="147"/>
      <c r="BS214" s="147"/>
      <c r="BT214" s="147"/>
      <c r="BU214" s="147"/>
      <c r="BV214" s="147"/>
      <c r="BW214" s="147"/>
      <c r="BX214" s="147"/>
      <c r="BY214" s="147"/>
      <c r="BZ214" s="147"/>
      <c r="CA214" s="147"/>
      <c r="CB214" s="147"/>
      <c r="CC214" s="147"/>
      <c r="CD214" s="147"/>
      <c r="CE214" s="147"/>
      <c r="CF214" s="147"/>
      <c r="CG214" s="147"/>
      <c r="CH214" s="147"/>
      <c r="CI214" s="147"/>
      <c r="CJ214" s="147"/>
      <c r="CK214" s="147"/>
    </row>
    <row r="215" spans="1:89">
      <c r="A215" s="159" t="s">
        <v>401</v>
      </c>
      <c r="B215" s="3" t="s">
        <v>402</v>
      </c>
      <c r="C215" s="160" t="s">
        <v>72</v>
      </c>
      <c r="D215" s="160" t="s">
        <v>865</v>
      </c>
      <c r="E215" s="3" t="s">
        <v>21</v>
      </c>
      <c r="F215" s="3" t="s">
        <v>926</v>
      </c>
      <c r="G215" s="3" t="s">
        <v>934</v>
      </c>
      <c r="H215" s="156" t="str">
        <f ca="1">IFERROR(
  _xludf.MINIFS(ATTENDANCE_LOG!$F:$F,
         ATTENDANCE_LOG!$A:$A, C215,
         ATTENDANCE_LOG!$B:$B, E215),
"")</f>
        <v/>
      </c>
      <c r="I215" s="156" t="str">
        <f t="shared" ca="1" si="0"/>
        <v/>
      </c>
      <c r="J215" s="3">
        <f>IFERROR(VLOOKUP(F215, LEVEL_HELPER!$A:$B, 2, 0), "")</f>
        <v>1</v>
      </c>
      <c r="K215" s="3">
        <f>IFERROR(VLOOKUP(G215, LEVEL_HELPER!$A:$B, 2, 0), "")</f>
        <v>3.5</v>
      </c>
      <c r="L215" s="157" t="s">
        <v>942</v>
      </c>
      <c r="M215" s="157" t="s">
        <v>919</v>
      </c>
      <c r="N215" s="3">
        <f t="array" aca="1" ref="N215" ca="1">IFERROR(
  INDEX($J$2:$J$543,
    MATCH(A215&amp;TEXT(I215,"yyyy-mm-dd"),
          $A$2:$A$543&amp;TEXT($H$2:$H$543,"yyyy-mm-dd"),
          0)),
"")</f>
        <v>1</v>
      </c>
      <c r="O215" s="147" t="str">
        <f t="shared" ca="1" si="1"/>
        <v/>
      </c>
      <c r="P215" s="147">
        <f t="shared" ref="P215:Q215" ca="1" si="224">IF(N215="",0,IF(N215&lt;=2,1,IF(N215&lt;=4,2,IF(N215&lt;=5.5,3,4))))</f>
        <v>1</v>
      </c>
      <c r="Q215" s="147">
        <f t="shared" ca="1" si="224"/>
        <v>0</v>
      </c>
      <c r="R215" s="147" t="str">
        <f t="shared" ca="1" si="3"/>
        <v>Not tested yet</v>
      </c>
      <c r="S215" s="147">
        <f t="shared" si="4"/>
        <v>1</v>
      </c>
      <c r="T215" s="147"/>
      <c r="U215" s="147"/>
      <c r="V215" s="148" t="e">
        <f ca="1"/>
        <v>#NAME?</v>
      </c>
      <c r="W215" s="147" t="e">
        <f t="shared" ca="1" si="5"/>
        <v>#NAME?</v>
      </c>
      <c r="X215" s="147" t="e">
        <f t="shared" ca="1" si="6"/>
        <v>#NAME?</v>
      </c>
      <c r="Y215" s="147" t="e">
        <f t="shared" ca="1" si="7"/>
        <v>#NAME?</v>
      </c>
      <c r="Z215" s="147"/>
      <c r="AA215" s="147"/>
      <c r="AB215" s="147"/>
      <c r="AC215" s="147"/>
      <c r="AD215" s="147"/>
      <c r="AE215" s="147"/>
      <c r="AF215" s="147"/>
      <c r="AG215" s="147"/>
      <c r="AH215" s="147"/>
      <c r="AI215" s="147"/>
      <c r="AJ215" s="147"/>
      <c r="AK215" s="147"/>
      <c r="AL215" s="147"/>
      <c r="AM215" s="151"/>
      <c r="AN215" s="147"/>
      <c r="AO215" s="147" t="e">
        <f t="shared" si="8"/>
        <v>#N/A</v>
      </c>
      <c r="AP215" s="147" t="e">
        <f t="shared" ca="1" si="9"/>
        <v>#NAME?</v>
      </c>
      <c r="AQ215" s="147" t="e">
        <f t="shared" si="10"/>
        <v>#N/A</v>
      </c>
      <c r="AR215" s="147"/>
      <c r="AS215" s="147"/>
      <c r="AT215" s="147"/>
      <c r="AU215" s="147"/>
      <c r="AV215" s="147"/>
      <c r="AW215" s="147"/>
      <c r="AX215" s="147"/>
      <c r="AY215" s="147"/>
      <c r="AZ215" s="147"/>
      <c r="BA215" s="147"/>
      <c r="BB215" s="147"/>
      <c r="BC215" s="147"/>
      <c r="BD215" s="147"/>
      <c r="BE215" s="147"/>
      <c r="BF215" s="147"/>
      <c r="BG215" s="147"/>
      <c r="BH215" s="147"/>
      <c r="BI215" s="147"/>
      <c r="BJ215" s="147"/>
      <c r="BK215" s="147"/>
      <c r="BL215" s="147"/>
      <c r="BM215" s="147"/>
      <c r="BN215" s="147"/>
      <c r="BO215" s="147"/>
      <c r="BP215" s="147"/>
      <c r="BQ215" s="147"/>
      <c r="BR215" s="147"/>
      <c r="BS215" s="147"/>
      <c r="BT215" s="147"/>
      <c r="BU215" s="147"/>
      <c r="BV215" s="147"/>
      <c r="BW215" s="147"/>
      <c r="BX215" s="147"/>
      <c r="BY215" s="147"/>
      <c r="BZ215" s="147"/>
      <c r="CA215" s="147"/>
      <c r="CB215" s="147"/>
      <c r="CC215" s="147"/>
      <c r="CD215" s="147"/>
      <c r="CE215" s="147"/>
      <c r="CF215" s="147"/>
      <c r="CG215" s="147"/>
      <c r="CH215" s="147"/>
      <c r="CI215" s="147"/>
      <c r="CJ215" s="147"/>
      <c r="CK215" s="147"/>
    </row>
    <row r="216" spans="1:89">
      <c r="A216" s="159" t="s">
        <v>572</v>
      </c>
      <c r="B216" s="3" t="s">
        <v>573</v>
      </c>
      <c r="C216" s="160" t="s">
        <v>72</v>
      </c>
      <c r="D216" s="160" t="s">
        <v>865</v>
      </c>
      <c r="E216" s="3" t="s">
        <v>21</v>
      </c>
      <c r="F216" s="3" t="s">
        <v>926</v>
      </c>
      <c r="G216" s="3" t="s">
        <v>917</v>
      </c>
      <c r="H216" s="156" t="str">
        <f ca="1">IFERROR(
  _xludf.MINIFS(ATTENDANCE_LOG!$F:$F,
         ATTENDANCE_LOG!$A:$A, C216,
         ATTENDANCE_LOG!$B:$B, E216),
"")</f>
        <v/>
      </c>
      <c r="I216" s="156" t="str">
        <f t="shared" ca="1" si="0"/>
        <v/>
      </c>
      <c r="J216" s="3">
        <f>IFERROR(VLOOKUP(F216, LEVEL_HELPER!$A:$B, 2, 0), "")</f>
        <v>1</v>
      </c>
      <c r="K216" s="3">
        <f>IFERROR(VLOOKUP(G216, LEVEL_HELPER!$A:$B, 2, 0), "")</f>
        <v>3</v>
      </c>
      <c r="L216" s="157" t="s">
        <v>942</v>
      </c>
      <c r="M216" s="157" t="s">
        <v>925</v>
      </c>
      <c r="N216" s="3">
        <f t="array" aca="1" ref="N216" ca="1">IFERROR(
  INDEX($J$2:$J$543,
    MATCH(A216&amp;TEXT(I216,"yyyy-mm-dd"),
          $A$2:$A$543&amp;TEXT($H$2:$H$543,"yyyy-mm-dd"),
          0)),
"")</f>
        <v>1</v>
      </c>
      <c r="O216" s="147" t="str">
        <f t="shared" ca="1" si="1"/>
        <v/>
      </c>
      <c r="P216" s="147">
        <f t="shared" ref="P216:Q216" ca="1" si="225">IF(N216="",0,IF(N216&lt;=2,1,IF(N216&lt;=4,2,IF(N216&lt;=5.5,3,4))))</f>
        <v>1</v>
      </c>
      <c r="Q216" s="147">
        <f t="shared" ca="1" si="225"/>
        <v>0</v>
      </c>
      <c r="R216" s="147" t="str">
        <f t="shared" ca="1" si="3"/>
        <v>Not tested yet</v>
      </c>
      <c r="S216" s="147">
        <f t="shared" si="4"/>
        <v>1</v>
      </c>
      <c r="T216" s="147"/>
      <c r="U216" s="147"/>
      <c r="V216" s="148" t="e">
        <f ca="1"/>
        <v>#NAME?</v>
      </c>
      <c r="W216" s="147" t="e">
        <f t="shared" ca="1" si="5"/>
        <v>#NAME?</v>
      </c>
      <c r="X216" s="147" t="e">
        <f t="shared" ca="1" si="6"/>
        <v>#NAME?</v>
      </c>
      <c r="Y216" s="147" t="e">
        <f t="shared" ca="1" si="7"/>
        <v>#NAME?</v>
      </c>
      <c r="Z216" s="147"/>
      <c r="AA216" s="147"/>
      <c r="AB216" s="147"/>
      <c r="AC216" s="147"/>
      <c r="AD216" s="147"/>
      <c r="AE216" s="147"/>
      <c r="AF216" s="147"/>
      <c r="AG216" s="147"/>
      <c r="AH216" s="147"/>
      <c r="AI216" s="147"/>
      <c r="AJ216" s="147"/>
      <c r="AK216" s="147"/>
      <c r="AL216" s="147"/>
      <c r="AM216" s="151"/>
      <c r="AN216" s="147"/>
      <c r="AO216" s="147" t="e">
        <f t="shared" si="8"/>
        <v>#N/A</v>
      </c>
      <c r="AP216" s="147" t="e">
        <f t="shared" ca="1" si="9"/>
        <v>#NAME?</v>
      </c>
      <c r="AQ216" s="147" t="e">
        <f t="shared" si="10"/>
        <v>#N/A</v>
      </c>
      <c r="AR216" s="147"/>
      <c r="AS216" s="147"/>
      <c r="AT216" s="147"/>
      <c r="AU216" s="147"/>
      <c r="AV216" s="147"/>
      <c r="AW216" s="147"/>
      <c r="AX216" s="147"/>
      <c r="AY216" s="147"/>
      <c r="AZ216" s="147"/>
      <c r="BA216" s="147"/>
      <c r="BB216" s="147"/>
      <c r="BC216" s="147"/>
      <c r="BD216" s="147"/>
      <c r="BE216" s="147"/>
      <c r="BF216" s="147"/>
      <c r="BG216" s="147"/>
      <c r="BH216" s="147"/>
      <c r="BI216" s="147"/>
      <c r="BJ216" s="147"/>
      <c r="BK216" s="147"/>
      <c r="BL216" s="147"/>
      <c r="BM216" s="147"/>
      <c r="BN216" s="147"/>
      <c r="BO216" s="147"/>
      <c r="BP216" s="147"/>
      <c r="BQ216" s="147"/>
      <c r="BR216" s="147"/>
      <c r="BS216" s="147"/>
      <c r="BT216" s="147"/>
      <c r="BU216" s="147"/>
      <c r="BV216" s="147"/>
      <c r="BW216" s="147"/>
      <c r="BX216" s="147"/>
      <c r="BY216" s="147"/>
      <c r="BZ216" s="147"/>
      <c r="CA216" s="147"/>
      <c r="CB216" s="147"/>
      <c r="CC216" s="147"/>
      <c r="CD216" s="147"/>
      <c r="CE216" s="147"/>
      <c r="CF216" s="147"/>
      <c r="CG216" s="147"/>
      <c r="CH216" s="147"/>
      <c r="CI216" s="147"/>
      <c r="CJ216" s="147"/>
      <c r="CK216" s="147"/>
    </row>
    <row r="217" spans="1:89">
      <c r="A217" s="159" t="s">
        <v>576</v>
      </c>
      <c r="B217" s="3" t="s">
        <v>577</v>
      </c>
      <c r="C217" s="160" t="s">
        <v>72</v>
      </c>
      <c r="D217" s="160" t="s">
        <v>865</v>
      </c>
      <c r="E217" s="3" t="s">
        <v>21</v>
      </c>
      <c r="F217" s="3" t="s">
        <v>916</v>
      </c>
      <c r="G217" s="3" t="s">
        <v>934</v>
      </c>
      <c r="H217" s="156" t="str">
        <f ca="1">IFERROR(
  _xludf.MINIFS(ATTENDANCE_LOG!$F:$F,
         ATTENDANCE_LOG!$A:$A, C217,
         ATTENDANCE_LOG!$B:$B, E217),
"")</f>
        <v/>
      </c>
      <c r="I217" s="156" t="str">
        <f t="shared" ca="1" si="0"/>
        <v/>
      </c>
      <c r="J217" s="3">
        <f>IFERROR(VLOOKUP(F217, LEVEL_HELPER!$A:$B, 2, 0), "")</f>
        <v>2.5</v>
      </c>
      <c r="K217" s="3">
        <f>IFERROR(VLOOKUP(G217, LEVEL_HELPER!$A:$B, 2, 0), "")</f>
        <v>3.5</v>
      </c>
      <c r="L217" s="157" t="s">
        <v>942</v>
      </c>
      <c r="M217" s="157" t="s">
        <v>919</v>
      </c>
      <c r="N217" s="3">
        <f t="array" aca="1" ref="N217" ca="1">IFERROR(
  INDEX($J$2:$J$543,
    MATCH(A217&amp;TEXT(I217,"yyyy-mm-dd"),
          $A$2:$A$543&amp;TEXT($H$2:$H$543,"yyyy-mm-dd"),
          0)),
"")</f>
        <v>2.5</v>
      </c>
      <c r="O217" s="147" t="str">
        <f t="shared" ca="1" si="1"/>
        <v/>
      </c>
      <c r="P217" s="147">
        <f t="shared" ref="P217:Q217" ca="1" si="226">IF(N217="",0,IF(N217&lt;=2,1,IF(N217&lt;=4,2,IF(N217&lt;=5.5,3,4))))</f>
        <v>2</v>
      </c>
      <c r="Q217" s="147">
        <f t="shared" ca="1" si="226"/>
        <v>0</v>
      </c>
      <c r="R217" s="147" t="str">
        <f t="shared" ca="1" si="3"/>
        <v>Not tested yet</v>
      </c>
      <c r="S217" s="147">
        <f t="shared" si="4"/>
        <v>1</v>
      </c>
      <c r="T217" s="147"/>
      <c r="U217" s="147"/>
      <c r="V217" s="148" t="e">
        <f ca="1"/>
        <v>#NAME?</v>
      </c>
      <c r="W217" s="147" t="e">
        <f t="shared" ca="1" si="5"/>
        <v>#NAME?</v>
      </c>
      <c r="X217" s="147" t="e">
        <f t="shared" ca="1" si="6"/>
        <v>#NAME?</v>
      </c>
      <c r="Y217" s="147" t="e">
        <f t="shared" ca="1" si="7"/>
        <v>#NAME?</v>
      </c>
      <c r="Z217" s="147"/>
      <c r="AA217" s="147"/>
      <c r="AB217" s="147"/>
      <c r="AC217" s="147"/>
      <c r="AD217" s="147"/>
      <c r="AE217" s="147"/>
      <c r="AF217" s="147"/>
      <c r="AG217" s="147"/>
      <c r="AH217" s="147"/>
      <c r="AI217" s="147"/>
      <c r="AJ217" s="147"/>
      <c r="AK217" s="147"/>
      <c r="AL217" s="147"/>
      <c r="AM217" s="151"/>
      <c r="AN217" s="147"/>
      <c r="AO217" s="147" t="e">
        <f t="shared" si="8"/>
        <v>#N/A</v>
      </c>
      <c r="AP217" s="147" t="e">
        <f t="shared" ca="1" si="9"/>
        <v>#NAME?</v>
      </c>
      <c r="AQ217" s="147" t="e">
        <f t="shared" si="10"/>
        <v>#N/A</v>
      </c>
      <c r="AR217" s="147"/>
      <c r="AS217" s="147"/>
      <c r="AT217" s="147"/>
      <c r="AU217" s="147"/>
      <c r="AV217" s="147"/>
      <c r="AW217" s="147"/>
      <c r="AX217" s="147"/>
      <c r="AY217" s="147"/>
      <c r="AZ217" s="147"/>
      <c r="BA217" s="147"/>
      <c r="BB217" s="147"/>
      <c r="BC217" s="147"/>
      <c r="BD217" s="147"/>
      <c r="BE217" s="147"/>
      <c r="BF217" s="147"/>
      <c r="BG217" s="147"/>
      <c r="BH217" s="147"/>
      <c r="BI217" s="147"/>
      <c r="BJ217" s="147"/>
      <c r="BK217" s="147"/>
      <c r="BL217" s="147"/>
      <c r="BM217" s="147"/>
      <c r="BN217" s="147"/>
      <c r="BO217" s="147"/>
      <c r="BP217" s="147"/>
      <c r="BQ217" s="147"/>
      <c r="BR217" s="147"/>
      <c r="BS217" s="147"/>
      <c r="BT217" s="147"/>
      <c r="BU217" s="147"/>
      <c r="BV217" s="147"/>
      <c r="BW217" s="147"/>
      <c r="BX217" s="147"/>
      <c r="BY217" s="147"/>
      <c r="BZ217" s="147"/>
      <c r="CA217" s="147"/>
      <c r="CB217" s="147"/>
      <c r="CC217" s="147"/>
      <c r="CD217" s="147"/>
      <c r="CE217" s="147"/>
      <c r="CF217" s="147"/>
      <c r="CG217" s="147"/>
      <c r="CH217" s="147"/>
      <c r="CI217" s="147"/>
      <c r="CJ217" s="147"/>
      <c r="CK217" s="147"/>
    </row>
    <row r="218" spans="1:89">
      <c r="A218" s="153" t="s">
        <v>683</v>
      </c>
      <c r="B218" s="154" t="s">
        <v>684</v>
      </c>
      <c r="C218" s="155" t="s">
        <v>72</v>
      </c>
      <c r="D218" s="155" t="s">
        <v>865</v>
      </c>
      <c r="E218" s="154" t="s">
        <v>22</v>
      </c>
      <c r="F218" s="3" t="s">
        <v>917</v>
      </c>
      <c r="G218" s="3" t="s">
        <v>934</v>
      </c>
      <c r="H218" s="156" t="str">
        <f ca="1">IFERROR(
  _xludf.MINIFS(ATTENDANCE_LOG!$F:$F,
         ATTENDANCE_LOG!$A:$A, C218,
         ATTENDANCE_LOG!$B:$B, E218),
"")</f>
        <v/>
      </c>
      <c r="I218" s="156" t="str">
        <f t="shared" ca="1" si="0"/>
        <v/>
      </c>
      <c r="J218" s="3">
        <f>IFERROR(VLOOKUP(F218, LEVEL_HELPER!$A:$B, 2, 0), "")</f>
        <v>3</v>
      </c>
      <c r="K218" s="3">
        <f>IFERROR(VLOOKUP(G218, LEVEL_HELPER!$A:$B, 2, 0), "")</f>
        <v>3.5</v>
      </c>
      <c r="L218" s="157" t="s">
        <v>942</v>
      </c>
      <c r="M218" s="157" t="s">
        <v>919</v>
      </c>
      <c r="N218" s="3">
        <f t="array" aca="1" ref="N218" ca="1">IFERROR(
  INDEX($J$2:$J$543,
    MATCH(A218&amp;TEXT(I218,"yyyy-mm-dd"),
          $A$2:$A$543&amp;TEXT($H$2:$H$543,"yyyy-mm-dd"),
          0)),
"")</f>
        <v>1</v>
      </c>
      <c r="O218" s="147" t="str">
        <f t="shared" ca="1" si="1"/>
        <v/>
      </c>
      <c r="P218" s="147">
        <f t="shared" ref="P218:Q218" ca="1" si="227">IF(N218="",0,IF(N218&lt;=2,1,IF(N218&lt;=4,2,IF(N218&lt;=5.5,3,4))))</f>
        <v>1</v>
      </c>
      <c r="Q218" s="147">
        <f t="shared" ca="1" si="227"/>
        <v>0</v>
      </c>
      <c r="R218" s="147" t="str">
        <f t="shared" ca="1" si="3"/>
        <v>Not tested yet</v>
      </c>
      <c r="S218" s="147">
        <f t="shared" si="4"/>
        <v>0</v>
      </c>
      <c r="T218" s="147"/>
      <c r="U218" s="147"/>
      <c r="V218" s="148" t="e">
        <f ca="1"/>
        <v>#NAME?</v>
      </c>
      <c r="W218" s="147" t="e">
        <f t="shared" ca="1" si="5"/>
        <v>#NAME?</v>
      </c>
      <c r="X218" s="147" t="e">
        <f t="shared" ca="1" si="6"/>
        <v>#NAME?</v>
      </c>
      <c r="Y218" s="147" t="e">
        <f t="shared" ca="1" si="7"/>
        <v>#NAME?</v>
      </c>
      <c r="Z218" s="147"/>
      <c r="AA218" s="147"/>
      <c r="AB218" s="147"/>
      <c r="AC218" s="147"/>
      <c r="AD218" s="147"/>
      <c r="AE218" s="147"/>
      <c r="AF218" s="147"/>
      <c r="AG218" s="147"/>
      <c r="AH218" s="147"/>
      <c r="AI218" s="147"/>
      <c r="AJ218" s="147"/>
      <c r="AK218" s="147"/>
      <c r="AL218" s="147"/>
      <c r="AM218" s="151"/>
      <c r="AN218" s="147"/>
      <c r="AO218" s="147" t="e">
        <f t="shared" si="8"/>
        <v>#N/A</v>
      </c>
      <c r="AP218" s="147" t="e">
        <f t="shared" ca="1" si="9"/>
        <v>#NAME?</v>
      </c>
      <c r="AQ218" s="147" t="e">
        <f t="shared" si="10"/>
        <v>#N/A</v>
      </c>
      <c r="AR218" s="147"/>
      <c r="AS218" s="147"/>
      <c r="AT218" s="147"/>
      <c r="AU218" s="147"/>
      <c r="AV218" s="147"/>
      <c r="AW218" s="147"/>
      <c r="AX218" s="147"/>
      <c r="AY218" s="147"/>
      <c r="AZ218" s="147"/>
      <c r="BA218" s="147"/>
      <c r="BB218" s="147"/>
      <c r="BC218" s="147"/>
      <c r="BD218" s="147"/>
      <c r="BE218" s="147"/>
      <c r="BF218" s="147"/>
      <c r="BG218" s="147"/>
      <c r="BH218" s="147"/>
      <c r="BI218" s="147"/>
      <c r="BJ218" s="147"/>
      <c r="BK218" s="147"/>
      <c r="BL218" s="147"/>
      <c r="BM218" s="147"/>
      <c r="BN218" s="147"/>
      <c r="BO218" s="147"/>
      <c r="BP218" s="147"/>
      <c r="BQ218" s="147"/>
      <c r="BR218" s="147"/>
      <c r="BS218" s="147"/>
      <c r="BT218" s="147"/>
      <c r="BU218" s="147"/>
      <c r="BV218" s="147"/>
      <c r="BW218" s="147"/>
      <c r="BX218" s="147"/>
      <c r="BY218" s="147"/>
      <c r="BZ218" s="147"/>
      <c r="CA218" s="147"/>
      <c r="CB218" s="147"/>
      <c r="CC218" s="147"/>
      <c r="CD218" s="147"/>
      <c r="CE218" s="147"/>
      <c r="CF218" s="147"/>
      <c r="CG218" s="147"/>
      <c r="CH218" s="147"/>
      <c r="CI218" s="147"/>
      <c r="CJ218" s="147"/>
      <c r="CK218" s="147"/>
    </row>
    <row r="219" spans="1:89">
      <c r="A219" s="159" t="s">
        <v>265</v>
      </c>
      <c r="B219" s="3" t="s">
        <v>266</v>
      </c>
      <c r="C219" s="160" t="s">
        <v>72</v>
      </c>
      <c r="D219" s="160" t="s">
        <v>865</v>
      </c>
      <c r="E219" s="3" t="s">
        <v>22</v>
      </c>
      <c r="F219" s="3" t="s">
        <v>917</v>
      </c>
      <c r="G219" s="3" t="s">
        <v>934</v>
      </c>
      <c r="H219" s="156" t="str">
        <f ca="1">IFERROR(
  _xludf.MINIFS(ATTENDANCE_LOG!$F:$F,
         ATTENDANCE_LOG!$A:$A, C219,
         ATTENDANCE_LOG!$B:$B, E219),
"")</f>
        <v/>
      </c>
      <c r="I219" s="156" t="str">
        <f t="shared" ca="1" si="0"/>
        <v/>
      </c>
      <c r="J219" s="3">
        <f>IFERROR(VLOOKUP(F219, LEVEL_HELPER!$A:$B, 2, 0), "")</f>
        <v>3</v>
      </c>
      <c r="K219" s="3">
        <f>IFERROR(VLOOKUP(G219, LEVEL_HELPER!$A:$B, 2, 0), "")</f>
        <v>3.5</v>
      </c>
      <c r="L219" s="157" t="s">
        <v>942</v>
      </c>
      <c r="M219" s="157" t="s">
        <v>919</v>
      </c>
      <c r="N219" s="3">
        <f t="array" aca="1" ref="N219" ca="1">IFERROR(
  INDEX($J$2:$J$543,
    MATCH(A219&amp;TEXT(I219,"yyyy-mm-dd"),
          $A$2:$A$543&amp;TEXT($H$2:$H$543,"yyyy-mm-dd"),
          0)),
"")</f>
        <v>1</v>
      </c>
      <c r="O219" s="147" t="str">
        <f t="shared" ca="1" si="1"/>
        <v/>
      </c>
      <c r="P219" s="147">
        <f t="shared" ref="P219:Q219" ca="1" si="228">IF(N219="",0,IF(N219&lt;=2,1,IF(N219&lt;=4,2,IF(N219&lt;=5.5,3,4))))</f>
        <v>1</v>
      </c>
      <c r="Q219" s="147">
        <f t="shared" ca="1" si="228"/>
        <v>0</v>
      </c>
      <c r="R219" s="147" t="str">
        <f t="shared" ca="1" si="3"/>
        <v>Not tested yet</v>
      </c>
      <c r="S219" s="147">
        <f t="shared" si="4"/>
        <v>0</v>
      </c>
      <c r="T219" s="147"/>
      <c r="U219" s="147"/>
      <c r="V219" s="148" t="e">
        <f ca="1"/>
        <v>#NAME?</v>
      </c>
      <c r="W219" s="147" t="e">
        <f t="shared" ca="1" si="5"/>
        <v>#NAME?</v>
      </c>
      <c r="X219" s="147" t="e">
        <f t="shared" ca="1" si="6"/>
        <v>#NAME?</v>
      </c>
      <c r="Y219" s="147" t="e">
        <f t="shared" ca="1" si="7"/>
        <v>#NAME?</v>
      </c>
      <c r="Z219" s="147"/>
      <c r="AA219" s="147"/>
      <c r="AB219" s="147"/>
      <c r="AC219" s="147"/>
      <c r="AD219" s="147"/>
      <c r="AE219" s="147"/>
      <c r="AF219" s="147"/>
      <c r="AG219" s="147"/>
      <c r="AH219" s="147"/>
      <c r="AI219" s="147"/>
      <c r="AJ219" s="147"/>
      <c r="AK219" s="147"/>
      <c r="AL219" s="147"/>
      <c r="AM219" s="151"/>
      <c r="AN219" s="147"/>
      <c r="AO219" s="147" t="e">
        <f t="shared" si="8"/>
        <v>#N/A</v>
      </c>
      <c r="AP219" s="147" t="e">
        <f t="shared" ca="1" si="9"/>
        <v>#NAME?</v>
      </c>
      <c r="AQ219" s="147" t="e">
        <f t="shared" si="10"/>
        <v>#N/A</v>
      </c>
      <c r="AR219" s="147"/>
      <c r="AS219" s="147"/>
      <c r="AT219" s="147"/>
      <c r="AU219" s="147"/>
      <c r="AV219" s="147"/>
      <c r="AW219" s="147"/>
      <c r="AX219" s="147"/>
      <c r="AY219" s="147"/>
      <c r="AZ219" s="147"/>
      <c r="BA219" s="147"/>
      <c r="BB219" s="147"/>
      <c r="BC219" s="147"/>
      <c r="BD219" s="147"/>
      <c r="BE219" s="147"/>
      <c r="BF219" s="147"/>
      <c r="BG219" s="147"/>
      <c r="BH219" s="147"/>
      <c r="BI219" s="147"/>
      <c r="BJ219" s="147"/>
      <c r="BK219" s="147"/>
      <c r="BL219" s="147"/>
      <c r="BM219" s="147"/>
      <c r="BN219" s="147"/>
      <c r="BO219" s="147"/>
      <c r="BP219" s="147"/>
      <c r="BQ219" s="147"/>
      <c r="BR219" s="147"/>
      <c r="BS219" s="147"/>
      <c r="BT219" s="147"/>
      <c r="BU219" s="147"/>
      <c r="BV219" s="147"/>
      <c r="BW219" s="147"/>
      <c r="BX219" s="147"/>
      <c r="BY219" s="147"/>
      <c r="BZ219" s="147"/>
      <c r="CA219" s="147"/>
      <c r="CB219" s="147"/>
      <c r="CC219" s="147"/>
      <c r="CD219" s="147"/>
      <c r="CE219" s="147"/>
      <c r="CF219" s="147"/>
      <c r="CG219" s="147"/>
      <c r="CH219" s="147"/>
      <c r="CI219" s="147"/>
      <c r="CJ219" s="147"/>
      <c r="CK219" s="147"/>
    </row>
    <row r="220" spans="1:89">
      <c r="A220" s="159" t="s">
        <v>108</v>
      </c>
      <c r="B220" s="3" t="s">
        <v>283</v>
      </c>
      <c r="C220" s="160" t="s">
        <v>72</v>
      </c>
      <c r="D220" s="160" t="s">
        <v>865</v>
      </c>
      <c r="E220" s="3" t="s">
        <v>22</v>
      </c>
      <c r="F220" s="3" t="s">
        <v>917</v>
      </c>
      <c r="G220" s="3" t="s">
        <v>934</v>
      </c>
      <c r="H220" s="156" t="str">
        <f ca="1">IFERROR(
  _xludf.MINIFS(ATTENDANCE_LOG!$F:$F,
         ATTENDANCE_LOG!$A:$A, C220,
         ATTENDANCE_LOG!$B:$B, E220),
"")</f>
        <v/>
      </c>
      <c r="I220" s="156" t="str">
        <f t="shared" ca="1" si="0"/>
        <v/>
      </c>
      <c r="J220" s="3">
        <f>IFERROR(VLOOKUP(F220, LEVEL_HELPER!$A:$B, 2, 0), "")</f>
        <v>3</v>
      </c>
      <c r="K220" s="3">
        <f>IFERROR(VLOOKUP(G220, LEVEL_HELPER!$A:$B, 2, 0), "")</f>
        <v>3.5</v>
      </c>
      <c r="L220" s="157" t="s">
        <v>942</v>
      </c>
      <c r="M220" s="157" t="s">
        <v>919</v>
      </c>
      <c r="N220" s="3">
        <f t="array" aca="1" ref="N220" ca="1">IFERROR(
  INDEX($J$2:$J$543,
    MATCH(A220&amp;TEXT(I220,"yyyy-mm-dd"),
          $A$2:$A$543&amp;TEXT($H$2:$H$543,"yyyy-mm-dd"),
          0)),
"")</f>
        <v>1</v>
      </c>
      <c r="O220" s="147" t="str">
        <f t="shared" ca="1" si="1"/>
        <v/>
      </c>
      <c r="P220" s="147">
        <f t="shared" ref="P220:Q220" ca="1" si="229">IF(N220="",0,IF(N220&lt;=2,1,IF(N220&lt;=4,2,IF(N220&lt;=5.5,3,4))))</f>
        <v>1</v>
      </c>
      <c r="Q220" s="147">
        <f t="shared" ca="1" si="229"/>
        <v>0</v>
      </c>
      <c r="R220" s="147" t="str">
        <f t="shared" ca="1" si="3"/>
        <v>Not tested yet</v>
      </c>
      <c r="S220" s="147">
        <f t="shared" si="4"/>
        <v>0</v>
      </c>
      <c r="T220" s="147"/>
      <c r="U220" s="147"/>
      <c r="V220" s="148" t="e">
        <f ca="1"/>
        <v>#NAME?</v>
      </c>
      <c r="W220" s="147" t="e">
        <f t="shared" ca="1" si="5"/>
        <v>#NAME?</v>
      </c>
      <c r="X220" s="147" t="e">
        <f t="shared" ca="1" si="6"/>
        <v>#NAME?</v>
      </c>
      <c r="Y220" s="147" t="e">
        <f t="shared" ca="1" si="7"/>
        <v>#NAME?</v>
      </c>
      <c r="Z220" s="147"/>
      <c r="AA220" s="147"/>
      <c r="AB220" s="147"/>
      <c r="AC220" s="147"/>
      <c r="AD220" s="147"/>
      <c r="AE220" s="147"/>
      <c r="AF220" s="147"/>
      <c r="AG220" s="147"/>
      <c r="AH220" s="147"/>
      <c r="AI220" s="147"/>
      <c r="AJ220" s="147"/>
      <c r="AK220" s="147"/>
      <c r="AL220" s="147"/>
      <c r="AM220" s="151"/>
      <c r="AN220" s="147"/>
      <c r="AO220" s="147" t="e">
        <f t="shared" si="8"/>
        <v>#N/A</v>
      </c>
      <c r="AP220" s="147" t="e">
        <f t="shared" ca="1" si="9"/>
        <v>#NAME?</v>
      </c>
      <c r="AQ220" s="147" t="e">
        <f t="shared" si="10"/>
        <v>#N/A</v>
      </c>
      <c r="AR220" s="147"/>
      <c r="AS220" s="147"/>
      <c r="AT220" s="147"/>
      <c r="AU220" s="147"/>
      <c r="AV220" s="147"/>
      <c r="AW220" s="147"/>
      <c r="AX220" s="147"/>
      <c r="AY220" s="147"/>
      <c r="AZ220" s="147"/>
      <c r="BA220" s="147"/>
      <c r="BB220" s="147"/>
      <c r="BC220" s="147"/>
      <c r="BD220" s="147"/>
      <c r="BE220" s="147"/>
      <c r="BF220" s="147"/>
      <c r="BG220" s="147"/>
      <c r="BH220" s="147"/>
      <c r="BI220" s="147"/>
      <c r="BJ220" s="147"/>
      <c r="BK220" s="147"/>
      <c r="BL220" s="147"/>
      <c r="BM220" s="147"/>
      <c r="BN220" s="147"/>
      <c r="BO220" s="147"/>
      <c r="BP220" s="147"/>
      <c r="BQ220" s="147"/>
      <c r="BR220" s="147"/>
      <c r="BS220" s="147"/>
      <c r="BT220" s="147"/>
      <c r="BU220" s="147"/>
      <c r="BV220" s="147"/>
      <c r="BW220" s="147"/>
      <c r="BX220" s="147"/>
      <c r="BY220" s="147"/>
      <c r="BZ220" s="147"/>
      <c r="CA220" s="147"/>
      <c r="CB220" s="147"/>
      <c r="CC220" s="147"/>
      <c r="CD220" s="147"/>
      <c r="CE220" s="147"/>
      <c r="CF220" s="147"/>
      <c r="CG220" s="147"/>
      <c r="CH220" s="147"/>
      <c r="CI220" s="147"/>
      <c r="CJ220" s="147"/>
      <c r="CK220" s="147"/>
    </row>
    <row r="221" spans="1:89">
      <c r="A221" s="159" t="s">
        <v>315</v>
      </c>
      <c r="B221" s="3" t="s">
        <v>316</v>
      </c>
      <c r="C221" s="160" t="s">
        <v>72</v>
      </c>
      <c r="D221" s="160" t="s">
        <v>865</v>
      </c>
      <c r="E221" s="3" t="s">
        <v>22</v>
      </c>
      <c r="F221" s="3" t="s">
        <v>928</v>
      </c>
      <c r="G221" s="3" t="s">
        <v>928</v>
      </c>
      <c r="H221" s="156" t="str">
        <f ca="1">IFERROR(
  _xludf.MINIFS(ATTENDANCE_LOG!$F:$F,
         ATTENDANCE_LOG!$A:$A, C221,
         ATTENDANCE_LOG!$B:$B, E221),
"")</f>
        <v/>
      </c>
      <c r="I221" s="156" t="str">
        <f t="shared" ca="1" si="0"/>
        <v/>
      </c>
      <c r="J221" s="3">
        <f>IFERROR(VLOOKUP(F221, LEVEL_HELPER!$A:$B, 2, 0), "")</f>
        <v>1.5</v>
      </c>
      <c r="K221" s="3">
        <f>IFERROR(VLOOKUP(G221, LEVEL_HELPER!$A:$B, 2, 0), "")</f>
        <v>1.5</v>
      </c>
      <c r="L221" s="157" t="s">
        <v>942</v>
      </c>
      <c r="M221" s="157" t="s">
        <v>925</v>
      </c>
      <c r="N221" s="3">
        <f t="array" aca="1" ref="N221" ca="1">IFERROR(
  INDEX($J$2:$J$543,
    MATCH(A221&amp;TEXT(I221,"yyyy-mm-dd"),
          $A$2:$A$543&amp;TEXT($H$2:$H$543,"yyyy-mm-dd"),
          0)),
"")</f>
        <v>1</v>
      </c>
      <c r="O221" s="147" t="str">
        <f t="shared" ca="1" si="1"/>
        <v/>
      </c>
      <c r="P221" s="147">
        <f t="shared" ref="P221:Q221" ca="1" si="230">IF(N221="",0,IF(N221&lt;=2,1,IF(N221&lt;=4,2,IF(N221&lt;=5.5,3,4))))</f>
        <v>1</v>
      </c>
      <c r="Q221" s="147">
        <f t="shared" ca="1" si="230"/>
        <v>0</v>
      </c>
      <c r="R221" s="147" t="str">
        <f t="shared" ca="1" si="3"/>
        <v>Not tested yet</v>
      </c>
      <c r="S221" s="147">
        <f t="shared" si="4"/>
        <v>0</v>
      </c>
      <c r="T221" s="147"/>
      <c r="U221" s="147"/>
      <c r="V221" s="148" t="e">
        <f ca="1"/>
        <v>#NAME?</v>
      </c>
      <c r="W221" s="147" t="e">
        <f t="shared" ca="1" si="5"/>
        <v>#NAME?</v>
      </c>
      <c r="X221" s="147" t="e">
        <f t="shared" ca="1" si="6"/>
        <v>#NAME?</v>
      </c>
      <c r="Y221" s="147" t="e">
        <f t="shared" ca="1" si="7"/>
        <v>#NAME?</v>
      </c>
      <c r="Z221" s="147"/>
      <c r="AA221" s="147"/>
      <c r="AB221" s="147"/>
      <c r="AC221" s="147"/>
      <c r="AD221" s="147"/>
      <c r="AE221" s="147"/>
      <c r="AF221" s="147"/>
      <c r="AG221" s="147"/>
      <c r="AH221" s="147"/>
      <c r="AI221" s="147"/>
      <c r="AJ221" s="147"/>
      <c r="AK221" s="147"/>
      <c r="AL221" s="147"/>
      <c r="AM221" s="151"/>
      <c r="AN221" s="147"/>
      <c r="AO221" s="147" t="e">
        <f t="shared" si="8"/>
        <v>#N/A</v>
      </c>
      <c r="AP221" s="147" t="e">
        <f t="shared" ca="1" si="9"/>
        <v>#NAME?</v>
      </c>
      <c r="AQ221" s="147" t="e">
        <f t="shared" si="10"/>
        <v>#N/A</v>
      </c>
      <c r="AR221" s="147"/>
      <c r="AS221" s="147"/>
      <c r="AT221" s="147"/>
      <c r="AU221" s="147"/>
      <c r="AV221" s="147"/>
      <c r="AW221" s="147"/>
      <c r="AX221" s="147"/>
      <c r="AY221" s="147"/>
      <c r="AZ221" s="147"/>
      <c r="BA221" s="147"/>
      <c r="BB221" s="147"/>
      <c r="BC221" s="147"/>
      <c r="BD221" s="147"/>
      <c r="BE221" s="147"/>
      <c r="BF221" s="147"/>
      <c r="BG221" s="147"/>
      <c r="BH221" s="147"/>
      <c r="BI221" s="147"/>
      <c r="BJ221" s="147"/>
      <c r="BK221" s="147"/>
      <c r="BL221" s="147"/>
      <c r="BM221" s="147"/>
      <c r="BN221" s="147"/>
      <c r="BO221" s="147"/>
      <c r="BP221" s="147"/>
      <c r="BQ221" s="147"/>
      <c r="BR221" s="147"/>
      <c r="BS221" s="147"/>
      <c r="BT221" s="147"/>
      <c r="BU221" s="147"/>
      <c r="BV221" s="147"/>
      <c r="BW221" s="147"/>
      <c r="BX221" s="147"/>
      <c r="BY221" s="147"/>
      <c r="BZ221" s="147"/>
      <c r="CA221" s="147"/>
      <c r="CB221" s="147"/>
      <c r="CC221" s="147"/>
      <c r="CD221" s="147"/>
      <c r="CE221" s="147"/>
      <c r="CF221" s="147"/>
      <c r="CG221" s="147"/>
      <c r="CH221" s="147"/>
      <c r="CI221" s="147"/>
      <c r="CJ221" s="147"/>
      <c r="CK221" s="147"/>
    </row>
    <row r="222" spans="1:89">
      <c r="A222" s="159" t="s">
        <v>334</v>
      </c>
      <c r="B222" s="3" t="s">
        <v>335</v>
      </c>
      <c r="C222" s="160" t="s">
        <v>72</v>
      </c>
      <c r="D222" s="160" t="s">
        <v>865</v>
      </c>
      <c r="E222" s="3" t="s">
        <v>22</v>
      </c>
      <c r="F222" s="3" t="s">
        <v>931</v>
      </c>
      <c r="G222" s="3"/>
      <c r="H222" s="156" t="str">
        <f ca="1">IFERROR(
  _xludf.MINIFS(ATTENDANCE_LOG!$F:$F,
         ATTENDANCE_LOG!$A:$A, C222,
         ATTENDANCE_LOG!$B:$B, E222),
"")</f>
        <v/>
      </c>
      <c r="I222" s="156" t="str">
        <f t="shared" ca="1" si="0"/>
        <v/>
      </c>
      <c r="J222" s="3">
        <f>IFERROR(VLOOKUP(F222, LEVEL_HELPER!$A:$B, 2, 0), "")</f>
        <v>4.5</v>
      </c>
      <c r="K222" s="3" t="str">
        <f>IFERROR(VLOOKUP(G222, LEVEL_HELPER!$A:$B, 2, 0), "")</f>
        <v/>
      </c>
      <c r="L222" s="157" t="s">
        <v>942</v>
      </c>
      <c r="M222" s="157" t="s">
        <v>925</v>
      </c>
      <c r="N222" s="3">
        <f t="array" aca="1" ref="N222" ca="1">IFERROR(
  INDEX($J$2:$J$543,
    MATCH(A222&amp;TEXT(I222,"yyyy-mm-dd"),
          $A$2:$A$543&amp;TEXT($H$2:$H$543,"yyyy-mm-dd"),
          0)),
"")</f>
        <v>2.5</v>
      </c>
      <c r="O222" s="147" t="str">
        <f t="shared" ca="1" si="1"/>
        <v/>
      </c>
      <c r="P222" s="147">
        <f t="shared" ref="P222:Q222" ca="1" si="231">IF(N222="",0,IF(N222&lt;=2,1,IF(N222&lt;=4,2,IF(N222&lt;=5.5,3,4))))</f>
        <v>2</v>
      </c>
      <c r="Q222" s="147">
        <f t="shared" ca="1" si="231"/>
        <v>0</v>
      </c>
      <c r="R222" s="147" t="str">
        <f t="shared" ca="1" si="3"/>
        <v>Not tested yet</v>
      </c>
      <c r="S222" s="147">
        <f t="shared" si="4"/>
        <v>0</v>
      </c>
      <c r="T222" s="147"/>
      <c r="U222" s="147"/>
      <c r="V222" s="148" t="e">
        <f ca="1"/>
        <v>#NAME?</v>
      </c>
      <c r="W222" s="147" t="e">
        <f t="shared" ca="1" si="5"/>
        <v>#NAME?</v>
      </c>
      <c r="X222" s="147" t="e">
        <f t="shared" ca="1" si="6"/>
        <v>#NAME?</v>
      </c>
      <c r="Y222" s="147" t="e">
        <f t="shared" ca="1" si="7"/>
        <v>#NAME?</v>
      </c>
      <c r="Z222" s="147"/>
      <c r="AA222" s="147"/>
      <c r="AB222" s="147"/>
      <c r="AC222" s="147"/>
      <c r="AD222" s="147"/>
      <c r="AE222" s="147"/>
      <c r="AF222" s="147"/>
      <c r="AG222" s="147"/>
      <c r="AH222" s="147"/>
      <c r="AI222" s="147"/>
      <c r="AJ222" s="147"/>
      <c r="AK222" s="147"/>
      <c r="AL222" s="147"/>
      <c r="AM222" s="151"/>
      <c r="AN222" s="147"/>
      <c r="AO222" s="147" t="e">
        <f t="shared" si="8"/>
        <v>#N/A</v>
      </c>
      <c r="AP222" s="147" t="e">
        <f t="shared" ca="1" si="9"/>
        <v>#NAME?</v>
      </c>
      <c r="AQ222" s="147" t="e">
        <f t="shared" si="10"/>
        <v>#N/A</v>
      </c>
      <c r="AR222" s="147"/>
      <c r="AS222" s="147"/>
      <c r="AT222" s="147"/>
      <c r="AU222" s="147"/>
      <c r="AV222" s="147"/>
      <c r="AW222" s="147"/>
      <c r="AX222" s="147"/>
      <c r="AY222" s="147"/>
      <c r="AZ222" s="147"/>
      <c r="BA222" s="147"/>
      <c r="BB222" s="147"/>
      <c r="BC222" s="147"/>
      <c r="BD222" s="147"/>
      <c r="BE222" s="147"/>
      <c r="BF222" s="147"/>
      <c r="BG222" s="147"/>
      <c r="BH222" s="147"/>
      <c r="BI222" s="147"/>
      <c r="BJ222" s="147"/>
      <c r="BK222" s="147"/>
      <c r="BL222" s="147"/>
      <c r="BM222" s="147"/>
      <c r="BN222" s="147"/>
      <c r="BO222" s="147"/>
      <c r="BP222" s="147"/>
      <c r="BQ222" s="147"/>
      <c r="BR222" s="147"/>
      <c r="BS222" s="147"/>
      <c r="BT222" s="147"/>
      <c r="BU222" s="147"/>
      <c r="BV222" s="147"/>
      <c r="BW222" s="147"/>
      <c r="BX222" s="147"/>
      <c r="BY222" s="147"/>
      <c r="BZ222" s="147"/>
      <c r="CA222" s="147"/>
      <c r="CB222" s="147"/>
      <c r="CC222" s="147"/>
      <c r="CD222" s="147"/>
      <c r="CE222" s="147"/>
      <c r="CF222" s="147"/>
      <c r="CG222" s="147"/>
      <c r="CH222" s="147"/>
      <c r="CI222" s="147"/>
      <c r="CJ222" s="147"/>
      <c r="CK222" s="147"/>
    </row>
    <row r="223" spans="1:89">
      <c r="A223" s="159" t="s">
        <v>401</v>
      </c>
      <c r="B223" s="3" t="s">
        <v>402</v>
      </c>
      <c r="C223" s="160" t="s">
        <v>72</v>
      </c>
      <c r="D223" s="160" t="s">
        <v>865</v>
      </c>
      <c r="E223" s="3" t="s">
        <v>22</v>
      </c>
      <c r="F223" s="3" t="s">
        <v>934</v>
      </c>
      <c r="G223" s="3" t="s">
        <v>952</v>
      </c>
      <c r="H223" s="156" t="str">
        <f ca="1">IFERROR(
  _xludf.MINIFS(ATTENDANCE_LOG!$F:$F,
         ATTENDANCE_LOG!$A:$A, C223,
         ATTENDANCE_LOG!$B:$B, E223),
"")</f>
        <v/>
      </c>
      <c r="I223" s="156" t="str">
        <f t="shared" ca="1" si="0"/>
        <v/>
      </c>
      <c r="J223" s="3">
        <f>IFERROR(VLOOKUP(F223, LEVEL_HELPER!$A:$B, 2, 0), "")</f>
        <v>3.5</v>
      </c>
      <c r="K223" s="3">
        <f>IFERROR(VLOOKUP(G223, LEVEL_HELPER!$A:$B, 2, 0), "")</f>
        <v>4</v>
      </c>
      <c r="L223" s="157" t="s">
        <v>942</v>
      </c>
      <c r="M223" s="157" t="s">
        <v>919</v>
      </c>
      <c r="N223" s="3">
        <f t="array" aca="1" ref="N223" ca="1">IFERROR(
  INDEX($J$2:$J$543,
    MATCH(A223&amp;TEXT(I223,"yyyy-mm-dd"),
          $A$2:$A$543&amp;TEXT($H$2:$H$543,"yyyy-mm-dd"),
          0)),
"")</f>
        <v>1</v>
      </c>
      <c r="O223" s="147" t="str">
        <f t="shared" ca="1" si="1"/>
        <v/>
      </c>
      <c r="P223" s="147">
        <f t="shared" ref="P223:Q223" ca="1" si="232">IF(N223="",0,IF(N223&lt;=2,1,IF(N223&lt;=4,2,IF(N223&lt;=5.5,3,4))))</f>
        <v>1</v>
      </c>
      <c r="Q223" s="147">
        <f t="shared" ca="1" si="232"/>
        <v>0</v>
      </c>
      <c r="R223" s="147" t="str">
        <f t="shared" ca="1" si="3"/>
        <v>Not tested yet</v>
      </c>
      <c r="S223" s="147">
        <f t="shared" si="4"/>
        <v>0</v>
      </c>
      <c r="T223" s="147"/>
      <c r="U223" s="147"/>
      <c r="V223" s="148" t="e">
        <f ca="1"/>
        <v>#NAME?</v>
      </c>
      <c r="W223" s="147" t="e">
        <f t="shared" ca="1" si="5"/>
        <v>#NAME?</v>
      </c>
      <c r="X223" s="147" t="e">
        <f t="shared" ca="1" si="6"/>
        <v>#NAME?</v>
      </c>
      <c r="Y223" s="147" t="e">
        <f t="shared" ca="1" si="7"/>
        <v>#NAME?</v>
      </c>
      <c r="Z223" s="147"/>
      <c r="AA223" s="147"/>
      <c r="AB223" s="147"/>
      <c r="AC223" s="147"/>
      <c r="AD223" s="147"/>
      <c r="AE223" s="147"/>
      <c r="AF223" s="147"/>
      <c r="AG223" s="147"/>
      <c r="AH223" s="147"/>
      <c r="AI223" s="147"/>
      <c r="AJ223" s="147"/>
      <c r="AK223" s="147"/>
      <c r="AL223" s="147"/>
      <c r="AM223" s="151"/>
      <c r="AN223" s="147"/>
      <c r="AO223" s="147" t="e">
        <f t="shared" si="8"/>
        <v>#N/A</v>
      </c>
      <c r="AP223" s="147" t="e">
        <f t="shared" ca="1" si="9"/>
        <v>#NAME?</v>
      </c>
      <c r="AQ223" s="147" t="e">
        <f t="shared" si="10"/>
        <v>#N/A</v>
      </c>
      <c r="AR223" s="147"/>
      <c r="AS223" s="147"/>
      <c r="AT223" s="147"/>
      <c r="AU223" s="147"/>
      <c r="AV223" s="147"/>
      <c r="AW223" s="147"/>
      <c r="AX223" s="147"/>
      <c r="AY223" s="147"/>
      <c r="AZ223" s="147"/>
      <c r="BA223" s="147"/>
      <c r="BB223" s="147"/>
      <c r="BC223" s="147"/>
      <c r="BD223" s="147"/>
      <c r="BE223" s="147"/>
      <c r="BF223" s="147"/>
      <c r="BG223" s="147"/>
      <c r="BH223" s="147"/>
      <c r="BI223" s="147"/>
      <c r="BJ223" s="147"/>
      <c r="BK223" s="147"/>
      <c r="BL223" s="147"/>
      <c r="BM223" s="147"/>
      <c r="BN223" s="147"/>
      <c r="BO223" s="147"/>
      <c r="BP223" s="147"/>
      <c r="BQ223" s="147"/>
      <c r="BR223" s="147"/>
      <c r="BS223" s="147"/>
      <c r="BT223" s="147"/>
      <c r="BU223" s="147"/>
      <c r="BV223" s="147"/>
      <c r="BW223" s="147"/>
      <c r="BX223" s="147"/>
      <c r="BY223" s="147"/>
      <c r="BZ223" s="147"/>
      <c r="CA223" s="147"/>
      <c r="CB223" s="147"/>
      <c r="CC223" s="147"/>
      <c r="CD223" s="147"/>
      <c r="CE223" s="147"/>
      <c r="CF223" s="147"/>
      <c r="CG223" s="147"/>
      <c r="CH223" s="147"/>
      <c r="CI223" s="147"/>
      <c r="CJ223" s="147"/>
      <c r="CK223" s="147"/>
    </row>
    <row r="224" spans="1:89">
      <c r="A224" s="159" t="s">
        <v>572</v>
      </c>
      <c r="B224" s="3" t="s">
        <v>573</v>
      </c>
      <c r="C224" s="160" t="s">
        <v>72</v>
      </c>
      <c r="D224" s="160" t="s">
        <v>865</v>
      </c>
      <c r="E224" s="3" t="s">
        <v>22</v>
      </c>
      <c r="F224" s="3" t="s">
        <v>917</v>
      </c>
      <c r="G224" s="3" t="s">
        <v>917</v>
      </c>
      <c r="H224" s="156" t="str">
        <f ca="1">IFERROR(
  _xludf.MINIFS(ATTENDANCE_LOG!$F:$F,
         ATTENDANCE_LOG!$A:$A, C224,
         ATTENDANCE_LOG!$B:$B, E224),
"")</f>
        <v/>
      </c>
      <c r="I224" s="156" t="str">
        <f t="shared" ca="1" si="0"/>
        <v/>
      </c>
      <c r="J224" s="3">
        <f>IFERROR(VLOOKUP(F224, LEVEL_HELPER!$A:$B, 2, 0), "")</f>
        <v>3</v>
      </c>
      <c r="K224" s="3">
        <f>IFERROR(VLOOKUP(G224, LEVEL_HELPER!$A:$B, 2, 0), "")</f>
        <v>3</v>
      </c>
      <c r="L224" s="157" t="s">
        <v>942</v>
      </c>
      <c r="M224" s="157" t="s">
        <v>925</v>
      </c>
      <c r="N224" s="3">
        <f t="array" aca="1" ref="N224" ca="1">IFERROR(
  INDEX($J$2:$J$543,
    MATCH(A224&amp;TEXT(I224,"yyyy-mm-dd"),
          $A$2:$A$543&amp;TEXT($H$2:$H$543,"yyyy-mm-dd"),
          0)),
"")</f>
        <v>1</v>
      </c>
      <c r="O224" s="147" t="str">
        <f t="shared" ca="1" si="1"/>
        <v/>
      </c>
      <c r="P224" s="147">
        <f t="shared" ref="P224:Q224" ca="1" si="233">IF(N224="",0,IF(N224&lt;=2,1,IF(N224&lt;=4,2,IF(N224&lt;=5.5,3,4))))</f>
        <v>1</v>
      </c>
      <c r="Q224" s="147">
        <f t="shared" ca="1" si="233"/>
        <v>0</v>
      </c>
      <c r="R224" s="147" t="str">
        <f t="shared" ca="1" si="3"/>
        <v>Not tested yet</v>
      </c>
      <c r="S224" s="147">
        <f t="shared" si="4"/>
        <v>0</v>
      </c>
      <c r="T224" s="147"/>
      <c r="U224" s="147"/>
      <c r="V224" s="148" t="e">
        <f ca="1"/>
        <v>#NAME?</v>
      </c>
      <c r="W224" s="147" t="e">
        <f t="shared" ca="1" si="5"/>
        <v>#NAME?</v>
      </c>
      <c r="X224" s="147" t="e">
        <f t="shared" ca="1" si="6"/>
        <v>#NAME?</v>
      </c>
      <c r="Y224" s="147" t="e">
        <f t="shared" ca="1" si="7"/>
        <v>#NAME?</v>
      </c>
      <c r="Z224" s="147"/>
      <c r="AA224" s="147"/>
      <c r="AB224" s="147"/>
      <c r="AC224" s="147"/>
      <c r="AD224" s="147"/>
      <c r="AE224" s="147"/>
      <c r="AF224" s="147"/>
      <c r="AG224" s="147"/>
      <c r="AH224" s="147"/>
      <c r="AI224" s="147"/>
      <c r="AJ224" s="147"/>
      <c r="AK224" s="147"/>
      <c r="AL224" s="147"/>
      <c r="AM224" s="151"/>
      <c r="AN224" s="147"/>
      <c r="AO224" s="147" t="e">
        <f t="shared" si="8"/>
        <v>#N/A</v>
      </c>
      <c r="AP224" s="147" t="e">
        <f t="shared" ca="1" si="9"/>
        <v>#NAME?</v>
      </c>
      <c r="AQ224" s="147" t="e">
        <f t="shared" si="10"/>
        <v>#N/A</v>
      </c>
      <c r="AR224" s="147"/>
      <c r="AS224" s="147"/>
      <c r="AT224" s="147"/>
      <c r="AU224" s="147"/>
      <c r="AV224" s="147"/>
      <c r="AW224" s="147"/>
      <c r="AX224" s="147"/>
      <c r="AY224" s="147"/>
      <c r="AZ224" s="147"/>
      <c r="BA224" s="147"/>
      <c r="BB224" s="147"/>
      <c r="BC224" s="147"/>
      <c r="BD224" s="147"/>
      <c r="BE224" s="147"/>
      <c r="BF224" s="147"/>
      <c r="BG224" s="147"/>
      <c r="BH224" s="147"/>
      <c r="BI224" s="147"/>
      <c r="BJ224" s="147"/>
      <c r="BK224" s="147"/>
      <c r="BL224" s="147"/>
      <c r="BM224" s="147"/>
      <c r="BN224" s="147"/>
      <c r="BO224" s="147"/>
      <c r="BP224" s="147"/>
      <c r="BQ224" s="147"/>
      <c r="BR224" s="147"/>
      <c r="BS224" s="147"/>
      <c r="BT224" s="147"/>
      <c r="BU224" s="147"/>
      <c r="BV224" s="147"/>
      <c r="BW224" s="147"/>
      <c r="BX224" s="147"/>
      <c r="BY224" s="147"/>
      <c r="BZ224" s="147"/>
      <c r="CA224" s="147"/>
      <c r="CB224" s="147"/>
      <c r="CC224" s="147"/>
      <c r="CD224" s="147"/>
      <c r="CE224" s="147"/>
      <c r="CF224" s="147"/>
      <c r="CG224" s="147"/>
      <c r="CH224" s="147"/>
      <c r="CI224" s="147"/>
      <c r="CJ224" s="147"/>
      <c r="CK224" s="147"/>
    </row>
    <row r="225" spans="1:89">
      <c r="A225" s="159" t="s">
        <v>576</v>
      </c>
      <c r="B225" s="3" t="s">
        <v>577</v>
      </c>
      <c r="C225" s="160" t="s">
        <v>72</v>
      </c>
      <c r="D225" s="160" t="s">
        <v>865</v>
      </c>
      <c r="E225" s="3" t="s">
        <v>22</v>
      </c>
      <c r="F225" s="3" t="s">
        <v>934</v>
      </c>
      <c r="G225" s="3" t="s">
        <v>934</v>
      </c>
      <c r="H225" s="156" t="str">
        <f ca="1">IFERROR(
  _xludf.MINIFS(ATTENDANCE_LOG!$F:$F,
         ATTENDANCE_LOG!$A:$A, C225,
         ATTENDANCE_LOG!$B:$B, E225),
"")</f>
        <v/>
      </c>
      <c r="I225" s="156" t="str">
        <f t="shared" ca="1" si="0"/>
        <v/>
      </c>
      <c r="J225" s="3">
        <f>IFERROR(VLOOKUP(F225, LEVEL_HELPER!$A:$B, 2, 0), "")</f>
        <v>3.5</v>
      </c>
      <c r="K225" s="3">
        <f>IFERROR(VLOOKUP(G225, LEVEL_HELPER!$A:$B, 2, 0), "")</f>
        <v>3.5</v>
      </c>
      <c r="L225" s="157" t="s">
        <v>942</v>
      </c>
      <c r="M225" s="157" t="s">
        <v>919</v>
      </c>
      <c r="N225" s="3">
        <f t="array" aca="1" ref="N225" ca="1">IFERROR(
  INDEX($J$2:$J$543,
    MATCH(A225&amp;TEXT(I225,"yyyy-mm-dd"),
          $A$2:$A$543&amp;TEXT($H$2:$H$543,"yyyy-mm-dd"),
          0)),
"")</f>
        <v>2.5</v>
      </c>
      <c r="O225" s="147" t="str">
        <f t="shared" ca="1" si="1"/>
        <v/>
      </c>
      <c r="P225" s="147">
        <f t="shared" ref="P225:Q225" ca="1" si="234">IF(N225="",0,IF(N225&lt;=2,1,IF(N225&lt;=4,2,IF(N225&lt;=5.5,3,4))))</f>
        <v>2</v>
      </c>
      <c r="Q225" s="147">
        <f t="shared" ca="1" si="234"/>
        <v>0</v>
      </c>
      <c r="R225" s="147" t="str">
        <f t="shared" ca="1" si="3"/>
        <v>Not tested yet</v>
      </c>
      <c r="S225" s="147">
        <f t="shared" si="4"/>
        <v>0</v>
      </c>
      <c r="T225" s="147"/>
      <c r="U225" s="147"/>
      <c r="V225" s="148" t="e">
        <f ca="1"/>
        <v>#NAME?</v>
      </c>
      <c r="W225" s="147" t="e">
        <f t="shared" ca="1" si="5"/>
        <v>#NAME?</v>
      </c>
      <c r="X225" s="147" t="e">
        <f t="shared" ca="1" si="6"/>
        <v>#NAME?</v>
      </c>
      <c r="Y225" s="147" t="e">
        <f t="shared" ca="1" si="7"/>
        <v>#NAME?</v>
      </c>
      <c r="Z225" s="147"/>
      <c r="AA225" s="147"/>
      <c r="AB225" s="147"/>
      <c r="AC225" s="147"/>
      <c r="AD225" s="147"/>
      <c r="AE225" s="147"/>
      <c r="AF225" s="147"/>
      <c r="AG225" s="147"/>
      <c r="AH225" s="147"/>
      <c r="AI225" s="147"/>
      <c r="AJ225" s="147"/>
      <c r="AK225" s="147"/>
      <c r="AL225" s="147"/>
      <c r="AM225" s="151"/>
      <c r="AN225" s="147"/>
      <c r="AO225" s="147" t="e">
        <f t="shared" si="8"/>
        <v>#N/A</v>
      </c>
      <c r="AP225" s="147" t="e">
        <f t="shared" ca="1" si="9"/>
        <v>#NAME?</v>
      </c>
      <c r="AQ225" s="147" t="e">
        <f t="shared" si="10"/>
        <v>#N/A</v>
      </c>
      <c r="AR225" s="147"/>
      <c r="AS225" s="147"/>
      <c r="AT225" s="147"/>
      <c r="AU225" s="147"/>
      <c r="AV225" s="147"/>
      <c r="AW225" s="147"/>
      <c r="AX225" s="147"/>
      <c r="AY225" s="147"/>
      <c r="AZ225" s="147"/>
      <c r="BA225" s="147"/>
      <c r="BB225" s="147"/>
      <c r="BC225" s="147"/>
      <c r="BD225" s="147"/>
      <c r="BE225" s="147"/>
      <c r="BF225" s="147"/>
      <c r="BG225" s="147"/>
      <c r="BH225" s="147"/>
      <c r="BI225" s="147"/>
      <c r="BJ225" s="147"/>
      <c r="BK225" s="147"/>
      <c r="BL225" s="147"/>
      <c r="BM225" s="147"/>
      <c r="BN225" s="147"/>
      <c r="BO225" s="147"/>
      <c r="BP225" s="147"/>
      <c r="BQ225" s="147"/>
      <c r="BR225" s="147"/>
      <c r="BS225" s="147"/>
      <c r="BT225" s="147"/>
      <c r="BU225" s="147"/>
      <c r="BV225" s="147"/>
      <c r="BW225" s="147"/>
      <c r="BX225" s="147"/>
      <c r="BY225" s="147"/>
      <c r="BZ225" s="147"/>
      <c r="CA225" s="147"/>
      <c r="CB225" s="147"/>
      <c r="CC225" s="147"/>
      <c r="CD225" s="147"/>
      <c r="CE225" s="147"/>
      <c r="CF225" s="147"/>
      <c r="CG225" s="147"/>
      <c r="CH225" s="147"/>
      <c r="CI225" s="147"/>
      <c r="CJ225" s="147"/>
      <c r="CK225" s="147"/>
    </row>
    <row r="226" spans="1:89">
      <c r="A226" s="153" t="s">
        <v>683</v>
      </c>
      <c r="B226" s="154" t="s">
        <v>684</v>
      </c>
      <c r="C226" s="155" t="s">
        <v>72</v>
      </c>
      <c r="D226" s="155" t="s">
        <v>865</v>
      </c>
      <c r="E226" s="154" t="s">
        <v>23</v>
      </c>
      <c r="F226" s="3"/>
      <c r="G226" s="3"/>
      <c r="H226" s="156" t="str">
        <f ca="1">IFERROR(
  _xludf.MINIFS(ATTENDANCE_LOG!$F:$F,
         ATTENDANCE_LOG!$A:$A, C226,
         ATTENDANCE_LOG!$B:$B, E226),
"")</f>
        <v/>
      </c>
      <c r="I226" s="156" t="str">
        <f t="shared" ca="1" si="0"/>
        <v/>
      </c>
      <c r="J226" s="3" t="str">
        <f>IFERROR(VLOOKUP(F226, LEVEL_HELPER!$A:$B, 2, 0), "")</f>
        <v/>
      </c>
      <c r="K226" s="3" t="str">
        <f>IFERROR(VLOOKUP(G226, LEVEL_HELPER!$A:$B, 2, 0), "")</f>
        <v/>
      </c>
      <c r="L226" s="157" t="s">
        <v>942</v>
      </c>
      <c r="M226" s="157" t="s">
        <v>919</v>
      </c>
      <c r="N226" s="3">
        <f t="array" aca="1" ref="N226" ca="1">IFERROR(
  INDEX($J$2:$J$543,
    MATCH(A226&amp;TEXT(I226,"yyyy-mm-dd"),
          $A$2:$A$543&amp;TEXT($H$2:$H$543,"yyyy-mm-dd"),
          0)),
"")</f>
        <v>1</v>
      </c>
      <c r="O226" s="147" t="str">
        <f t="shared" ca="1" si="1"/>
        <v/>
      </c>
      <c r="P226" s="147">
        <f t="shared" ref="P226:Q226" ca="1" si="235">IF(N226="",0,IF(N226&lt;=2,1,IF(N226&lt;=4,2,IF(N226&lt;=5.5,3,4))))</f>
        <v>1</v>
      </c>
      <c r="Q226" s="147">
        <f t="shared" ca="1" si="235"/>
        <v>0</v>
      </c>
      <c r="R226" s="147" t="str">
        <f t="shared" ca="1" si="3"/>
        <v>Not tested yet</v>
      </c>
      <c r="S226" s="147">
        <f t="shared" si="4"/>
        <v>0</v>
      </c>
      <c r="T226" s="147"/>
      <c r="U226" s="147"/>
      <c r="V226" s="148" t="e">
        <f ca="1"/>
        <v>#NAME?</v>
      </c>
      <c r="W226" s="147" t="e">
        <f t="shared" ca="1" si="5"/>
        <v>#NAME?</v>
      </c>
      <c r="X226" s="147" t="e">
        <f t="shared" ca="1" si="6"/>
        <v>#NAME?</v>
      </c>
      <c r="Y226" s="147" t="e">
        <f t="shared" ca="1" si="7"/>
        <v>#NAME?</v>
      </c>
      <c r="Z226" s="147"/>
      <c r="AA226" s="147"/>
      <c r="AB226" s="147"/>
      <c r="AC226" s="147"/>
      <c r="AD226" s="147"/>
      <c r="AE226" s="147"/>
      <c r="AF226" s="147"/>
      <c r="AG226" s="147"/>
      <c r="AH226" s="147"/>
      <c r="AI226" s="147"/>
      <c r="AJ226" s="147"/>
      <c r="AK226" s="147"/>
      <c r="AL226" s="147"/>
      <c r="AM226" s="151"/>
      <c r="AN226" s="147"/>
      <c r="AO226" s="147" t="e">
        <f t="shared" si="8"/>
        <v>#N/A</v>
      </c>
      <c r="AP226" s="147" t="e">
        <f t="shared" ca="1" si="9"/>
        <v>#NAME?</v>
      </c>
      <c r="AQ226" s="147" t="e">
        <f t="shared" si="10"/>
        <v>#N/A</v>
      </c>
      <c r="AR226" s="147"/>
      <c r="AS226" s="147"/>
      <c r="AT226" s="147"/>
      <c r="AU226" s="147"/>
      <c r="AV226" s="147"/>
      <c r="AW226" s="147"/>
      <c r="AX226" s="147"/>
      <c r="AY226" s="147"/>
      <c r="AZ226" s="147"/>
      <c r="BA226" s="147"/>
      <c r="BB226" s="147"/>
      <c r="BC226" s="147"/>
      <c r="BD226" s="147"/>
      <c r="BE226" s="147"/>
      <c r="BF226" s="147"/>
      <c r="BG226" s="147"/>
      <c r="BH226" s="147"/>
      <c r="BI226" s="147"/>
      <c r="BJ226" s="147"/>
      <c r="BK226" s="147"/>
      <c r="BL226" s="147"/>
      <c r="BM226" s="147"/>
      <c r="BN226" s="147"/>
      <c r="BO226" s="147"/>
      <c r="BP226" s="147"/>
      <c r="BQ226" s="147"/>
      <c r="BR226" s="147"/>
      <c r="BS226" s="147"/>
      <c r="BT226" s="147"/>
      <c r="BU226" s="147"/>
      <c r="BV226" s="147"/>
      <c r="BW226" s="147"/>
      <c r="BX226" s="147"/>
      <c r="BY226" s="147"/>
      <c r="BZ226" s="147"/>
      <c r="CA226" s="147"/>
      <c r="CB226" s="147"/>
      <c r="CC226" s="147"/>
      <c r="CD226" s="147"/>
      <c r="CE226" s="147"/>
      <c r="CF226" s="147"/>
      <c r="CG226" s="147"/>
      <c r="CH226" s="147"/>
      <c r="CI226" s="147"/>
      <c r="CJ226" s="147"/>
      <c r="CK226" s="147"/>
    </row>
    <row r="227" spans="1:89">
      <c r="A227" s="159" t="s">
        <v>265</v>
      </c>
      <c r="B227" s="3" t="s">
        <v>266</v>
      </c>
      <c r="C227" s="160" t="s">
        <v>72</v>
      </c>
      <c r="D227" s="160" t="s">
        <v>865</v>
      </c>
      <c r="E227" s="3" t="s">
        <v>23</v>
      </c>
      <c r="F227" s="3"/>
      <c r="G227" s="3"/>
      <c r="H227" s="156" t="str">
        <f ca="1">IFERROR(
  _xludf.MINIFS(ATTENDANCE_LOG!$F:$F,
         ATTENDANCE_LOG!$A:$A, C227,
         ATTENDANCE_LOG!$B:$B, E227),
"")</f>
        <v/>
      </c>
      <c r="I227" s="156" t="str">
        <f t="shared" ca="1" si="0"/>
        <v/>
      </c>
      <c r="J227" s="3" t="str">
        <f>IFERROR(VLOOKUP(F227, LEVEL_HELPER!$A:$B, 2, 0), "")</f>
        <v/>
      </c>
      <c r="K227" s="3" t="str">
        <f>IFERROR(VLOOKUP(G227, LEVEL_HELPER!$A:$B, 2, 0), "")</f>
        <v/>
      </c>
      <c r="L227" s="157" t="s">
        <v>942</v>
      </c>
      <c r="M227" s="157" t="s">
        <v>919</v>
      </c>
      <c r="N227" s="3">
        <f t="array" aca="1" ref="N227" ca="1">IFERROR(
  INDEX($J$2:$J$543,
    MATCH(A227&amp;TEXT(I227,"yyyy-mm-dd"),
          $A$2:$A$543&amp;TEXT($H$2:$H$543,"yyyy-mm-dd"),
          0)),
"")</f>
        <v>1</v>
      </c>
      <c r="O227" s="147" t="str">
        <f t="shared" ca="1" si="1"/>
        <v/>
      </c>
      <c r="P227" s="147">
        <f t="shared" ref="P227:Q227" ca="1" si="236">IF(N227="",0,IF(N227&lt;=2,1,IF(N227&lt;=4,2,IF(N227&lt;=5.5,3,4))))</f>
        <v>1</v>
      </c>
      <c r="Q227" s="147">
        <f t="shared" ca="1" si="236"/>
        <v>0</v>
      </c>
      <c r="R227" s="147" t="str">
        <f t="shared" ca="1" si="3"/>
        <v>Not tested yet</v>
      </c>
      <c r="S227" s="147">
        <f t="shared" si="4"/>
        <v>0</v>
      </c>
      <c r="T227" s="147"/>
      <c r="U227" s="147"/>
      <c r="V227" s="148" t="e">
        <f ca="1"/>
        <v>#NAME?</v>
      </c>
      <c r="W227" s="147" t="e">
        <f t="shared" ca="1" si="5"/>
        <v>#NAME?</v>
      </c>
      <c r="X227" s="147" t="e">
        <f t="shared" ca="1" si="6"/>
        <v>#NAME?</v>
      </c>
      <c r="Y227" s="147" t="e">
        <f t="shared" ca="1" si="7"/>
        <v>#NAME?</v>
      </c>
      <c r="Z227" s="147"/>
      <c r="AA227" s="147"/>
      <c r="AB227" s="147"/>
      <c r="AC227" s="147"/>
      <c r="AD227" s="147"/>
      <c r="AE227" s="147"/>
      <c r="AF227" s="147"/>
      <c r="AG227" s="147"/>
      <c r="AH227" s="147"/>
      <c r="AI227" s="147"/>
      <c r="AJ227" s="147"/>
      <c r="AK227" s="147"/>
      <c r="AL227" s="147"/>
      <c r="AM227" s="151"/>
      <c r="AN227" s="147"/>
      <c r="AO227" s="147" t="e">
        <f t="shared" si="8"/>
        <v>#N/A</v>
      </c>
      <c r="AP227" s="147" t="e">
        <f t="shared" ca="1" si="9"/>
        <v>#NAME?</v>
      </c>
      <c r="AQ227" s="147" t="e">
        <f t="shared" si="10"/>
        <v>#N/A</v>
      </c>
      <c r="AR227" s="147"/>
      <c r="AS227" s="147"/>
      <c r="AT227" s="147"/>
      <c r="AU227" s="147"/>
      <c r="AV227" s="147"/>
      <c r="AW227" s="147"/>
      <c r="AX227" s="147"/>
      <c r="AY227" s="147"/>
      <c r="AZ227" s="147"/>
      <c r="BA227" s="147"/>
      <c r="BB227" s="147"/>
      <c r="BC227" s="147"/>
      <c r="BD227" s="147"/>
      <c r="BE227" s="147"/>
      <c r="BF227" s="147"/>
      <c r="BG227" s="147"/>
      <c r="BH227" s="147"/>
      <c r="BI227" s="147"/>
      <c r="BJ227" s="147"/>
      <c r="BK227" s="147"/>
      <c r="BL227" s="147"/>
      <c r="BM227" s="147"/>
      <c r="BN227" s="147"/>
      <c r="BO227" s="147"/>
      <c r="BP227" s="147"/>
      <c r="BQ227" s="147"/>
      <c r="BR227" s="147"/>
      <c r="BS227" s="147"/>
      <c r="BT227" s="147"/>
      <c r="BU227" s="147"/>
      <c r="BV227" s="147"/>
      <c r="BW227" s="147"/>
      <c r="BX227" s="147"/>
      <c r="BY227" s="147"/>
      <c r="BZ227" s="147"/>
      <c r="CA227" s="147"/>
      <c r="CB227" s="147"/>
      <c r="CC227" s="147"/>
      <c r="CD227" s="147"/>
      <c r="CE227" s="147"/>
      <c r="CF227" s="147"/>
      <c r="CG227" s="147"/>
      <c r="CH227" s="147"/>
      <c r="CI227" s="147"/>
      <c r="CJ227" s="147"/>
      <c r="CK227" s="147"/>
    </row>
    <row r="228" spans="1:89">
      <c r="A228" s="159" t="s">
        <v>108</v>
      </c>
      <c r="B228" s="3" t="s">
        <v>283</v>
      </c>
      <c r="C228" s="160" t="s">
        <v>72</v>
      </c>
      <c r="D228" s="160" t="s">
        <v>865</v>
      </c>
      <c r="E228" s="3" t="s">
        <v>23</v>
      </c>
      <c r="F228" s="3"/>
      <c r="G228" s="3"/>
      <c r="H228" s="156" t="str">
        <f ca="1">IFERROR(
  _xludf.MINIFS(ATTENDANCE_LOG!$F:$F,
         ATTENDANCE_LOG!$A:$A, C228,
         ATTENDANCE_LOG!$B:$B, E228),
"")</f>
        <v/>
      </c>
      <c r="I228" s="156" t="str">
        <f t="shared" ca="1" si="0"/>
        <v/>
      </c>
      <c r="J228" s="3" t="str">
        <f>IFERROR(VLOOKUP(F228, LEVEL_HELPER!$A:$B, 2, 0), "")</f>
        <v/>
      </c>
      <c r="K228" s="3" t="str">
        <f>IFERROR(VLOOKUP(G228, LEVEL_HELPER!$A:$B, 2, 0), "")</f>
        <v/>
      </c>
      <c r="L228" s="157" t="s">
        <v>942</v>
      </c>
      <c r="M228" s="157" t="s">
        <v>919</v>
      </c>
      <c r="N228" s="3">
        <f t="array" aca="1" ref="N228" ca="1">IFERROR(
  INDEX($J$2:$J$543,
    MATCH(A228&amp;TEXT(I228,"yyyy-mm-dd"),
          $A$2:$A$543&amp;TEXT($H$2:$H$543,"yyyy-mm-dd"),
          0)),
"")</f>
        <v>1</v>
      </c>
      <c r="O228" s="147" t="str">
        <f t="shared" ca="1" si="1"/>
        <v/>
      </c>
      <c r="P228" s="147">
        <f t="shared" ref="P228:Q228" ca="1" si="237">IF(N228="",0,IF(N228&lt;=2,1,IF(N228&lt;=4,2,IF(N228&lt;=5.5,3,4))))</f>
        <v>1</v>
      </c>
      <c r="Q228" s="147">
        <f t="shared" ca="1" si="237"/>
        <v>0</v>
      </c>
      <c r="R228" s="147" t="str">
        <f t="shared" ca="1" si="3"/>
        <v>Not tested yet</v>
      </c>
      <c r="S228" s="147">
        <f t="shared" si="4"/>
        <v>0</v>
      </c>
      <c r="T228" s="147"/>
      <c r="U228" s="147"/>
      <c r="V228" s="148" t="e">
        <f ca="1"/>
        <v>#NAME?</v>
      </c>
      <c r="W228" s="147" t="e">
        <f t="shared" ca="1" si="5"/>
        <v>#NAME?</v>
      </c>
      <c r="X228" s="147" t="e">
        <f t="shared" ca="1" si="6"/>
        <v>#NAME?</v>
      </c>
      <c r="Y228" s="147" t="e">
        <f t="shared" ca="1" si="7"/>
        <v>#NAME?</v>
      </c>
      <c r="Z228" s="147"/>
      <c r="AA228" s="147"/>
      <c r="AB228" s="147"/>
      <c r="AC228" s="147"/>
      <c r="AD228" s="147"/>
      <c r="AE228" s="147"/>
      <c r="AF228" s="147"/>
      <c r="AG228" s="147"/>
      <c r="AH228" s="147"/>
      <c r="AI228" s="147"/>
      <c r="AJ228" s="147"/>
      <c r="AK228" s="147"/>
      <c r="AL228" s="147"/>
      <c r="AM228" s="151"/>
      <c r="AN228" s="147"/>
      <c r="AO228" s="147" t="e">
        <f t="shared" si="8"/>
        <v>#N/A</v>
      </c>
      <c r="AP228" s="147" t="e">
        <f t="shared" ca="1" si="9"/>
        <v>#NAME?</v>
      </c>
      <c r="AQ228" s="147" t="e">
        <f t="shared" si="10"/>
        <v>#N/A</v>
      </c>
      <c r="AR228" s="147"/>
      <c r="AS228" s="147"/>
      <c r="AT228" s="147"/>
      <c r="AU228" s="147"/>
      <c r="AV228" s="147"/>
      <c r="AW228" s="147"/>
      <c r="AX228" s="147"/>
      <c r="AY228" s="147"/>
      <c r="AZ228" s="147"/>
      <c r="BA228" s="147"/>
      <c r="BB228" s="147"/>
      <c r="BC228" s="147"/>
      <c r="BD228" s="147"/>
      <c r="BE228" s="147"/>
      <c r="BF228" s="147"/>
      <c r="BG228" s="147"/>
      <c r="BH228" s="147"/>
      <c r="BI228" s="147"/>
      <c r="BJ228" s="147"/>
      <c r="BK228" s="147"/>
      <c r="BL228" s="147"/>
      <c r="BM228" s="147"/>
      <c r="BN228" s="147"/>
      <c r="BO228" s="147"/>
      <c r="BP228" s="147"/>
      <c r="BQ228" s="147"/>
      <c r="BR228" s="147"/>
      <c r="BS228" s="147"/>
      <c r="BT228" s="147"/>
      <c r="BU228" s="147"/>
      <c r="BV228" s="147"/>
      <c r="BW228" s="147"/>
      <c r="BX228" s="147"/>
      <c r="BY228" s="147"/>
      <c r="BZ228" s="147"/>
      <c r="CA228" s="147"/>
      <c r="CB228" s="147"/>
      <c r="CC228" s="147"/>
      <c r="CD228" s="147"/>
      <c r="CE228" s="147"/>
      <c r="CF228" s="147"/>
      <c r="CG228" s="147"/>
      <c r="CH228" s="147"/>
      <c r="CI228" s="147"/>
      <c r="CJ228" s="147"/>
      <c r="CK228" s="147"/>
    </row>
    <row r="229" spans="1:89">
      <c r="A229" s="159" t="s">
        <v>296</v>
      </c>
      <c r="B229" s="3" t="s">
        <v>297</v>
      </c>
      <c r="C229" s="160" t="s">
        <v>72</v>
      </c>
      <c r="D229" s="160" t="s">
        <v>865</v>
      </c>
      <c r="E229" s="3" t="s">
        <v>23</v>
      </c>
      <c r="F229" s="3"/>
      <c r="G229" s="3"/>
      <c r="H229" s="156" t="str">
        <f ca="1">IFERROR(
  _xludf.MINIFS(ATTENDANCE_LOG!$F:$F,
         ATTENDANCE_LOG!$A:$A, C229,
         ATTENDANCE_LOG!$B:$B, E229),
"")</f>
        <v/>
      </c>
      <c r="I229" s="156" t="str">
        <f t="shared" ca="1" si="0"/>
        <v/>
      </c>
      <c r="J229" s="3" t="str">
        <f>IFERROR(VLOOKUP(F229, LEVEL_HELPER!$A:$B, 2, 0), "")</f>
        <v/>
      </c>
      <c r="K229" s="3" t="str">
        <f>IFERROR(VLOOKUP(G229, LEVEL_HELPER!$A:$B, 2, 0), "")</f>
        <v/>
      </c>
      <c r="L229" s="157" t="s">
        <v>918</v>
      </c>
      <c r="M229" s="157" t="s">
        <v>919</v>
      </c>
      <c r="N229" s="3">
        <f t="array" aca="1" ref="N229" ca="1">IFERROR(
  INDEX($J$2:$J$543,
    MATCH(A229&amp;TEXT(I229,"yyyy-mm-dd"),
          $A$2:$A$543&amp;TEXT($H$2:$H$543,"yyyy-mm-dd"),
          0)),
"")</f>
        <v>1</v>
      </c>
      <c r="O229" s="147" t="str">
        <f t="shared" ca="1" si="1"/>
        <v/>
      </c>
      <c r="P229" s="147">
        <f t="shared" ref="P229:Q229" ca="1" si="238">IF(N229="",0,IF(N229&lt;=2,1,IF(N229&lt;=4,2,IF(N229&lt;=5.5,3,4))))</f>
        <v>1</v>
      </c>
      <c r="Q229" s="147">
        <f t="shared" ca="1" si="238"/>
        <v>0</v>
      </c>
      <c r="R229" s="147" t="str">
        <f t="shared" ca="1" si="3"/>
        <v>Not tested yet</v>
      </c>
      <c r="S229" s="147">
        <f t="shared" si="4"/>
        <v>0</v>
      </c>
      <c r="T229" s="147"/>
      <c r="U229" s="147"/>
      <c r="V229" s="148" t="e">
        <f ca="1"/>
        <v>#NAME?</v>
      </c>
      <c r="W229" s="147" t="e">
        <f t="shared" ca="1" si="5"/>
        <v>#NAME?</v>
      </c>
      <c r="X229" s="147" t="e">
        <f t="shared" ca="1" si="6"/>
        <v>#NAME?</v>
      </c>
      <c r="Y229" s="147" t="e">
        <f t="shared" ca="1" si="7"/>
        <v>#NAME?</v>
      </c>
      <c r="Z229" s="147"/>
      <c r="AA229" s="147"/>
      <c r="AB229" s="147"/>
      <c r="AC229" s="147"/>
      <c r="AD229" s="147"/>
      <c r="AE229" s="147"/>
      <c r="AF229" s="147"/>
      <c r="AG229" s="147"/>
      <c r="AH229" s="147"/>
      <c r="AI229" s="147"/>
      <c r="AJ229" s="147"/>
      <c r="AK229" s="147"/>
      <c r="AL229" s="147"/>
      <c r="AM229" s="151"/>
      <c r="AN229" s="147"/>
      <c r="AO229" s="147" t="e">
        <f t="shared" si="8"/>
        <v>#N/A</v>
      </c>
      <c r="AP229" s="147" t="e">
        <f t="shared" ca="1" si="9"/>
        <v>#NAME?</v>
      </c>
      <c r="AQ229" s="147" t="e">
        <f t="shared" si="10"/>
        <v>#N/A</v>
      </c>
      <c r="AR229" s="147"/>
      <c r="AS229" s="147"/>
      <c r="AT229" s="147"/>
      <c r="AU229" s="147"/>
      <c r="AV229" s="147"/>
      <c r="AW229" s="147"/>
      <c r="AX229" s="147"/>
      <c r="AY229" s="147"/>
      <c r="AZ229" s="147"/>
      <c r="BA229" s="147"/>
      <c r="BB229" s="147"/>
      <c r="BC229" s="147"/>
      <c r="BD229" s="147"/>
      <c r="BE229" s="147"/>
      <c r="BF229" s="147"/>
      <c r="BG229" s="147"/>
      <c r="BH229" s="147"/>
      <c r="BI229" s="147"/>
      <c r="BJ229" s="147"/>
      <c r="BK229" s="147"/>
      <c r="BL229" s="147"/>
      <c r="BM229" s="147"/>
      <c r="BN229" s="147"/>
      <c r="BO229" s="147"/>
      <c r="BP229" s="147"/>
      <c r="BQ229" s="147"/>
      <c r="BR229" s="147"/>
      <c r="BS229" s="147"/>
      <c r="BT229" s="147"/>
      <c r="BU229" s="147"/>
      <c r="BV229" s="147"/>
      <c r="BW229" s="147"/>
      <c r="BX229" s="147"/>
      <c r="BY229" s="147"/>
      <c r="BZ229" s="147"/>
      <c r="CA229" s="147"/>
      <c r="CB229" s="147"/>
      <c r="CC229" s="147"/>
      <c r="CD229" s="147"/>
      <c r="CE229" s="147"/>
      <c r="CF229" s="147"/>
      <c r="CG229" s="147"/>
      <c r="CH229" s="147"/>
      <c r="CI229" s="147"/>
      <c r="CJ229" s="147"/>
      <c r="CK229" s="147"/>
    </row>
    <row r="230" spans="1:89">
      <c r="A230" s="159" t="s">
        <v>315</v>
      </c>
      <c r="B230" s="3" t="s">
        <v>316</v>
      </c>
      <c r="C230" s="160" t="s">
        <v>72</v>
      </c>
      <c r="D230" s="160" t="s">
        <v>865</v>
      </c>
      <c r="E230" s="3" t="s">
        <v>23</v>
      </c>
      <c r="F230" s="3"/>
      <c r="G230" s="3"/>
      <c r="H230" s="156" t="str">
        <f ca="1">IFERROR(
  _xludf.MINIFS(ATTENDANCE_LOG!$F:$F,
         ATTENDANCE_LOG!$A:$A, C230,
         ATTENDANCE_LOG!$B:$B, E230),
"")</f>
        <v/>
      </c>
      <c r="I230" s="156" t="str">
        <f t="shared" ca="1" si="0"/>
        <v/>
      </c>
      <c r="J230" s="3" t="str">
        <f>IFERROR(VLOOKUP(F230, LEVEL_HELPER!$A:$B, 2, 0), "")</f>
        <v/>
      </c>
      <c r="K230" s="3" t="str">
        <f>IFERROR(VLOOKUP(G230, LEVEL_HELPER!$A:$B, 2, 0), "")</f>
        <v/>
      </c>
      <c r="L230" s="157" t="s">
        <v>942</v>
      </c>
      <c r="M230" s="157" t="s">
        <v>925</v>
      </c>
      <c r="N230" s="3">
        <f t="array" aca="1" ref="N230" ca="1">IFERROR(
  INDEX($J$2:$J$543,
    MATCH(A230&amp;TEXT(I230,"yyyy-mm-dd"),
          $A$2:$A$543&amp;TEXT($H$2:$H$543,"yyyy-mm-dd"),
          0)),
"")</f>
        <v>1</v>
      </c>
      <c r="O230" s="147" t="str">
        <f t="shared" ca="1" si="1"/>
        <v/>
      </c>
      <c r="P230" s="147">
        <f t="shared" ref="P230:Q230" ca="1" si="239">IF(N230="",0,IF(N230&lt;=2,1,IF(N230&lt;=4,2,IF(N230&lt;=5.5,3,4))))</f>
        <v>1</v>
      </c>
      <c r="Q230" s="147">
        <f t="shared" ca="1" si="239"/>
        <v>0</v>
      </c>
      <c r="R230" s="147" t="str">
        <f t="shared" ca="1" si="3"/>
        <v>Not tested yet</v>
      </c>
      <c r="S230" s="147">
        <f t="shared" si="4"/>
        <v>0</v>
      </c>
      <c r="T230" s="147"/>
      <c r="U230" s="147"/>
      <c r="V230" s="148" t="e">
        <f ca="1"/>
        <v>#NAME?</v>
      </c>
      <c r="W230" s="147" t="e">
        <f t="shared" ca="1" si="5"/>
        <v>#NAME?</v>
      </c>
      <c r="X230" s="147" t="e">
        <f t="shared" ca="1" si="6"/>
        <v>#NAME?</v>
      </c>
      <c r="Y230" s="147" t="e">
        <f t="shared" ca="1" si="7"/>
        <v>#NAME?</v>
      </c>
      <c r="Z230" s="147"/>
      <c r="AA230" s="147"/>
      <c r="AB230" s="147"/>
      <c r="AC230" s="147"/>
      <c r="AD230" s="147"/>
      <c r="AE230" s="147"/>
      <c r="AF230" s="147"/>
      <c r="AG230" s="147"/>
      <c r="AH230" s="147"/>
      <c r="AI230" s="147"/>
      <c r="AJ230" s="147"/>
      <c r="AK230" s="147"/>
      <c r="AL230" s="147"/>
      <c r="AM230" s="151"/>
      <c r="AN230" s="147"/>
      <c r="AO230" s="147" t="e">
        <f t="shared" si="8"/>
        <v>#N/A</v>
      </c>
      <c r="AP230" s="147" t="e">
        <f t="shared" ca="1" si="9"/>
        <v>#NAME?</v>
      </c>
      <c r="AQ230" s="147" t="e">
        <f t="shared" si="10"/>
        <v>#N/A</v>
      </c>
      <c r="AR230" s="147"/>
      <c r="AS230" s="147"/>
      <c r="AT230" s="147"/>
      <c r="AU230" s="147"/>
      <c r="AV230" s="147"/>
      <c r="AW230" s="147"/>
      <c r="AX230" s="147"/>
      <c r="AY230" s="147"/>
      <c r="AZ230" s="147"/>
      <c r="BA230" s="147"/>
      <c r="BB230" s="147"/>
      <c r="BC230" s="147"/>
      <c r="BD230" s="147"/>
      <c r="BE230" s="147"/>
      <c r="BF230" s="147"/>
      <c r="BG230" s="147"/>
      <c r="BH230" s="147"/>
      <c r="BI230" s="147"/>
      <c r="BJ230" s="147"/>
      <c r="BK230" s="147"/>
      <c r="BL230" s="147"/>
      <c r="BM230" s="147"/>
      <c r="BN230" s="147"/>
      <c r="BO230" s="147"/>
      <c r="BP230" s="147"/>
      <c r="BQ230" s="147"/>
      <c r="BR230" s="147"/>
      <c r="BS230" s="147"/>
      <c r="BT230" s="147"/>
      <c r="BU230" s="147"/>
      <c r="BV230" s="147"/>
      <c r="BW230" s="147"/>
      <c r="BX230" s="147"/>
      <c r="BY230" s="147"/>
      <c r="BZ230" s="147"/>
      <c r="CA230" s="147"/>
      <c r="CB230" s="147"/>
      <c r="CC230" s="147"/>
      <c r="CD230" s="147"/>
      <c r="CE230" s="147"/>
      <c r="CF230" s="147"/>
      <c r="CG230" s="147"/>
      <c r="CH230" s="147"/>
      <c r="CI230" s="147"/>
      <c r="CJ230" s="147"/>
      <c r="CK230" s="147"/>
    </row>
    <row r="231" spans="1:89">
      <c r="A231" s="159" t="s">
        <v>319</v>
      </c>
      <c r="B231" s="3" t="s">
        <v>320</v>
      </c>
      <c r="C231" s="160" t="s">
        <v>72</v>
      </c>
      <c r="D231" s="160" t="s">
        <v>865</v>
      </c>
      <c r="E231" s="3" t="s">
        <v>23</v>
      </c>
      <c r="F231" s="3"/>
      <c r="G231" s="3"/>
      <c r="H231" s="156" t="str">
        <f ca="1">IFERROR(
  _xludf.MINIFS(ATTENDANCE_LOG!$F:$F,
         ATTENDANCE_LOG!$A:$A, C231,
         ATTENDANCE_LOG!$B:$B, E231),
"")</f>
        <v/>
      </c>
      <c r="I231" s="156" t="str">
        <f t="shared" ca="1" si="0"/>
        <v/>
      </c>
      <c r="J231" s="3" t="str">
        <f>IFERROR(VLOOKUP(F231, LEVEL_HELPER!$A:$B, 2, 0), "")</f>
        <v/>
      </c>
      <c r="K231" s="3" t="str">
        <f>IFERROR(VLOOKUP(G231, LEVEL_HELPER!$A:$B, 2, 0), "")</f>
        <v/>
      </c>
      <c r="L231" s="157" t="s">
        <v>918</v>
      </c>
      <c r="M231" s="157" t="s">
        <v>919</v>
      </c>
      <c r="N231" s="3">
        <f t="array" aca="1" ref="N231" ca="1">IFERROR(
  INDEX($J$2:$J$543,
    MATCH(A231&amp;TEXT(I231,"yyyy-mm-dd"),
          $A$2:$A$543&amp;TEXT($H$2:$H$543,"yyyy-mm-dd"),
          0)),
"")</f>
        <v>1</v>
      </c>
      <c r="O231" s="147" t="str">
        <f t="shared" ca="1" si="1"/>
        <v/>
      </c>
      <c r="P231" s="147">
        <f t="shared" ref="P231:Q231" ca="1" si="240">IF(N231="",0,IF(N231&lt;=2,1,IF(N231&lt;=4,2,IF(N231&lt;=5.5,3,4))))</f>
        <v>1</v>
      </c>
      <c r="Q231" s="147">
        <f t="shared" ca="1" si="240"/>
        <v>0</v>
      </c>
      <c r="R231" s="147" t="str">
        <f t="shared" ca="1" si="3"/>
        <v>Not tested yet</v>
      </c>
      <c r="S231" s="147">
        <f t="shared" si="4"/>
        <v>0</v>
      </c>
      <c r="T231" s="147"/>
      <c r="U231" s="147"/>
      <c r="V231" s="148" t="e">
        <f ca="1"/>
        <v>#NAME?</v>
      </c>
      <c r="W231" s="147" t="e">
        <f t="shared" ca="1" si="5"/>
        <v>#NAME?</v>
      </c>
      <c r="X231" s="147" t="e">
        <f t="shared" ca="1" si="6"/>
        <v>#NAME?</v>
      </c>
      <c r="Y231" s="147" t="e">
        <f t="shared" ca="1" si="7"/>
        <v>#NAME?</v>
      </c>
      <c r="Z231" s="147"/>
      <c r="AA231" s="147"/>
      <c r="AB231" s="147"/>
      <c r="AC231" s="147"/>
      <c r="AD231" s="147"/>
      <c r="AE231" s="147"/>
      <c r="AF231" s="147"/>
      <c r="AG231" s="147"/>
      <c r="AH231" s="147"/>
      <c r="AI231" s="147"/>
      <c r="AJ231" s="147"/>
      <c r="AK231" s="147"/>
      <c r="AL231" s="147"/>
      <c r="AM231" s="151"/>
      <c r="AN231" s="147"/>
      <c r="AO231" s="147" t="e">
        <f t="shared" si="8"/>
        <v>#N/A</v>
      </c>
      <c r="AP231" s="147" t="e">
        <f t="shared" ca="1" si="9"/>
        <v>#NAME?</v>
      </c>
      <c r="AQ231" s="147" t="e">
        <f t="shared" si="10"/>
        <v>#N/A</v>
      </c>
      <c r="AR231" s="147"/>
      <c r="AS231" s="147"/>
      <c r="AT231" s="147"/>
      <c r="AU231" s="147"/>
      <c r="AV231" s="147"/>
      <c r="AW231" s="147"/>
      <c r="AX231" s="147"/>
      <c r="AY231" s="147"/>
      <c r="AZ231" s="147"/>
      <c r="BA231" s="147"/>
      <c r="BB231" s="147"/>
      <c r="BC231" s="147"/>
      <c r="BD231" s="147"/>
      <c r="BE231" s="147"/>
      <c r="BF231" s="147"/>
      <c r="BG231" s="147"/>
      <c r="BH231" s="147"/>
      <c r="BI231" s="147"/>
      <c r="BJ231" s="147"/>
      <c r="BK231" s="147"/>
      <c r="BL231" s="147"/>
      <c r="BM231" s="147"/>
      <c r="BN231" s="147"/>
      <c r="BO231" s="147"/>
      <c r="BP231" s="147"/>
      <c r="BQ231" s="147"/>
      <c r="BR231" s="147"/>
      <c r="BS231" s="147"/>
      <c r="BT231" s="147"/>
      <c r="BU231" s="147"/>
      <c r="BV231" s="147"/>
      <c r="BW231" s="147"/>
      <c r="BX231" s="147"/>
      <c r="BY231" s="147"/>
      <c r="BZ231" s="147"/>
      <c r="CA231" s="147"/>
      <c r="CB231" s="147"/>
      <c r="CC231" s="147"/>
      <c r="CD231" s="147"/>
      <c r="CE231" s="147"/>
      <c r="CF231" s="147"/>
      <c r="CG231" s="147"/>
      <c r="CH231" s="147"/>
      <c r="CI231" s="147"/>
      <c r="CJ231" s="147"/>
      <c r="CK231" s="147"/>
    </row>
    <row r="232" spans="1:89">
      <c r="A232" s="159" t="s">
        <v>401</v>
      </c>
      <c r="B232" s="3" t="s">
        <v>402</v>
      </c>
      <c r="C232" s="160" t="s">
        <v>72</v>
      </c>
      <c r="D232" s="160" t="s">
        <v>865</v>
      </c>
      <c r="E232" s="3" t="s">
        <v>23</v>
      </c>
      <c r="F232" s="3"/>
      <c r="G232" s="3"/>
      <c r="H232" s="156" t="str">
        <f ca="1">IFERROR(
  _xludf.MINIFS(ATTENDANCE_LOG!$F:$F,
         ATTENDANCE_LOG!$A:$A, C232,
         ATTENDANCE_LOG!$B:$B, E232),
"")</f>
        <v/>
      </c>
      <c r="I232" s="156" t="str">
        <f t="shared" ca="1" si="0"/>
        <v/>
      </c>
      <c r="J232" s="3" t="str">
        <f>IFERROR(VLOOKUP(F232, LEVEL_HELPER!$A:$B, 2, 0), "")</f>
        <v/>
      </c>
      <c r="K232" s="3" t="str">
        <f>IFERROR(VLOOKUP(G232, LEVEL_HELPER!$A:$B, 2, 0), "")</f>
        <v/>
      </c>
      <c r="L232" s="157" t="s">
        <v>942</v>
      </c>
      <c r="M232" s="157" t="s">
        <v>919</v>
      </c>
      <c r="N232" s="3">
        <f t="array" aca="1" ref="N232" ca="1">IFERROR(
  INDEX($J$2:$J$543,
    MATCH(A232&amp;TEXT(I232,"yyyy-mm-dd"),
          $A$2:$A$543&amp;TEXT($H$2:$H$543,"yyyy-mm-dd"),
          0)),
"")</f>
        <v>1</v>
      </c>
      <c r="O232" s="147" t="str">
        <f t="shared" ca="1" si="1"/>
        <v/>
      </c>
      <c r="P232" s="147">
        <f t="shared" ref="P232:Q232" ca="1" si="241">IF(N232="",0,IF(N232&lt;=2,1,IF(N232&lt;=4,2,IF(N232&lt;=5.5,3,4))))</f>
        <v>1</v>
      </c>
      <c r="Q232" s="147">
        <f t="shared" ca="1" si="241"/>
        <v>0</v>
      </c>
      <c r="R232" s="147" t="str">
        <f t="shared" ca="1" si="3"/>
        <v>Not tested yet</v>
      </c>
      <c r="S232" s="147">
        <f t="shared" si="4"/>
        <v>0</v>
      </c>
      <c r="T232" s="147"/>
      <c r="U232" s="147"/>
      <c r="V232" s="148" t="e">
        <f ca="1"/>
        <v>#NAME?</v>
      </c>
      <c r="W232" s="147" t="e">
        <f t="shared" ca="1" si="5"/>
        <v>#NAME?</v>
      </c>
      <c r="X232" s="147" t="e">
        <f t="shared" ca="1" si="6"/>
        <v>#NAME?</v>
      </c>
      <c r="Y232" s="147" t="e">
        <f t="shared" ca="1" si="7"/>
        <v>#NAME?</v>
      </c>
      <c r="Z232" s="147"/>
      <c r="AA232" s="147"/>
      <c r="AB232" s="147"/>
      <c r="AC232" s="147"/>
      <c r="AD232" s="147"/>
      <c r="AE232" s="147"/>
      <c r="AF232" s="147"/>
      <c r="AG232" s="147"/>
      <c r="AH232" s="147"/>
      <c r="AI232" s="147"/>
      <c r="AJ232" s="147"/>
      <c r="AK232" s="147"/>
      <c r="AL232" s="147"/>
      <c r="AM232" s="151"/>
      <c r="AN232" s="147"/>
      <c r="AO232" s="147" t="e">
        <f t="shared" si="8"/>
        <v>#N/A</v>
      </c>
      <c r="AP232" s="147" t="e">
        <f t="shared" ca="1" si="9"/>
        <v>#NAME?</v>
      </c>
      <c r="AQ232" s="147" t="e">
        <f t="shared" si="10"/>
        <v>#N/A</v>
      </c>
      <c r="AR232" s="147"/>
      <c r="AS232" s="147"/>
      <c r="AT232" s="147"/>
      <c r="AU232" s="147"/>
      <c r="AV232" s="147"/>
      <c r="AW232" s="147"/>
      <c r="AX232" s="147"/>
      <c r="AY232" s="147"/>
      <c r="AZ232" s="147"/>
      <c r="BA232" s="147"/>
      <c r="BB232" s="147"/>
      <c r="BC232" s="147"/>
      <c r="BD232" s="147"/>
      <c r="BE232" s="147"/>
      <c r="BF232" s="147"/>
      <c r="BG232" s="147"/>
      <c r="BH232" s="147"/>
      <c r="BI232" s="147"/>
      <c r="BJ232" s="147"/>
      <c r="BK232" s="147"/>
      <c r="BL232" s="147"/>
      <c r="BM232" s="147"/>
      <c r="BN232" s="147"/>
      <c r="BO232" s="147"/>
      <c r="BP232" s="147"/>
      <c r="BQ232" s="147"/>
      <c r="BR232" s="147"/>
      <c r="BS232" s="147"/>
      <c r="BT232" s="147"/>
      <c r="BU232" s="147"/>
      <c r="BV232" s="147"/>
      <c r="BW232" s="147"/>
      <c r="BX232" s="147"/>
      <c r="BY232" s="147"/>
      <c r="BZ232" s="147"/>
      <c r="CA232" s="147"/>
      <c r="CB232" s="147"/>
      <c r="CC232" s="147"/>
      <c r="CD232" s="147"/>
      <c r="CE232" s="147"/>
      <c r="CF232" s="147"/>
      <c r="CG232" s="147"/>
      <c r="CH232" s="147"/>
      <c r="CI232" s="147"/>
      <c r="CJ232" s="147"/>
      <c r="CK232" s="147"/>
    </row>
    <row r="233" spans="1:89">
      <c r="A233" s="159" t="s">
        <v>474</v>
      </c>
      <c r="B233" s="3" t="s">
        <v>475</v>
      </c>
      <c r="C233" s="160" t="s">
        <v>72</v>
      </c>
      <c r="D233" s="160" t="s">
        <v>865</v>
      </c>
      <c r="E233" s="3" t="s">
        <v>23</v>
      </c>
      <c r="F233" s="3"/>
      <c r="G233" s="3"/>
      <c r="H233" s="156" t="str">
        <f ca="1">IFERROR(
  _xludf.MINIFS(ATTENDANCE_LOG!$F:$F,
         ATTENDANCE_LOG!$A:$A, C233,
         ATTENDANCE_LOG!$B:$B, E233),
"")</f>
        <v/>
      </c>
      <c r="I233" s="156" t="str">
        <f t="shared" ca="1" si="0"/>
        <v/>
      </c>
      <c r="J233" s="3" t="str">
        <f>IFERROR(VLOOKUP(F233, LEVEL_HELPER!$A:$B, 2, 0), "")</f>
        <v/>
      </c>
      <c r="K233" s="3" t="str">
        <f>IFERROR(VLOOKUP(G233, LEVEL_HELPER!$A:$B, 2, 0), "")</f>
        <v/>
      </c>
      <c r="L233" s="157" t="s">
        <v>918</v>
      </c>
      <c r="M233" s="157" t="s">
        <v>919</v>
      </c>
      <c r="N233" s="3">
        <f t="array" aca="1" ref="N233" ca="1">IFERROR(
  INDEX($J$2:$J$543,
    MATCH(A233&amp;TEXT(I233,"yyyy-mm-dd"),
          $A$2:$A$543&amp;TEXT($H$2:$H$543,"yyyy-mm-dd"),
          0)),
"")</f>
        <v>1</v>
      </c>
      <c r="O233" s="147" t="str">
        <f t="shared" ca="1" si="1"/>
        <v/>
      </c>
      <c r="P233" s="147">
        <f t="shared" ref="P233:Q233" ca="1" si="242">IF(N233="",0,IF(N233&lt;=2,1,IF(N233&lt;=4,2,IF(N233&lt;=5.5,3,4))))</f>
        <v>1</v>
      </c>
      <c r="Q233" s="147">
        <f t="shared" ca="1" si="242"/>
        <v>0</v>
      </c>
      <c r="R233" s="147" t="str">
        <f t="shared" ca="1" si="3"/>
        <v>Not tested yet</v>
      </c>
      <c r="S233" s="147">
        <f t="shared" si="4"/>
        <v>0</v>
      </c>
      <c r="T233" s="147"/>
      <c r="U233" s="147"/>
      <c r="V233" s="148" t="e">
        <f ca="1"/>
        <v>#NAME?</v>
      </c>
      <c r="W233" s="147" t="e">
        <f t="shared" ca="1" si="5"/>
        <v>#NAME?</v>
      </c>
      <c r="X233" s="147" t="e">
        <f t="shared" ca="1" si="6"/>
        <v>#NAME?</v>
      </c>
      <c r="Y233" s="147" t="e">
        <f t="shared" ca="1" si="7"/>
        <v>#NAME?</v>
      </c>
      <c r="Z233" s="147"/>
      <c r="AA233" s="147"/>
      <c r="AB233" s="147"/>
      <c r="AC233" s="147"/>
      <c r="AD233" s="147"/>
      <c r="AE233" s="147"/>
      <c r="AF233" s="147"/>
      <c r="AG233" s="147"/>
      <c r="AH233" s="147"/>
      <c r="AI233" s="147"/>
      <c r="AJ233" s="147"/>
      <c r="AK233" s="147"/>
      <c r="AL233" s="147"/>
      <c r="AM233" s="151"/>
      <c r="AN233" s="147"/>
      <c r="AO233" s="147" t="e">
        <f t="shared" si="8"/>
        <v>#N/A</v>
      </c>
      <c r="AP233" s="147" t="e">
        <f t="shared" ca="1" si="9"/>
        <v>#NAME?</v>
      </c>
      <c r="AQ233" s="147" t="e">
        <f t="shared" si="10"/>
        <v>#N/A</v>
      </c>
      <c r="AR233" s="147"/>
      <c r="AS233" s="147"/>
      <c r="AT233" s="147"/>
      <c r="AU233" s="147"/>
      <c r="AV233" s="147"/>
      <c r="AW233" s="147"/>
      <c r="AX233" s="147"/>
      <c r="AY233" s="147"/>
      <c r="AZ233" s="147"/>
      <c r="BA233" s="147"/>
      <c r="BB233" s="147"/>
      <c r="BC233" s="147"/>
      <c r="BD233" s="147"/>
      <c r="BE233" s="147"/>
      <c r="BF233" s="147"/>
      <c r="BG233" s="147"/>
      <c r="BH233" s="147"/>
      <c r="BI233" s="147"/>
      <c r="BJ233" s="147"/>
      <c r="BK233" s="147"/>
      <c r="BL233" s="147"/>
      <c r="BM233" s="147"/>
      <c r="BN233" s="147"/>
      <c r="BO233" s="147"/>
      <c r="BP233" s="147"/>
      <c r="BQ233" s="147"/>
      <c r="BR233" s="147"/>
      <c r="BS233" s="147"/>
      <c r="BT233" s="147"/>
      <c r="BU233" s="147"/>
      <c r="BV233" s="147"/>
      <c r="BW233" s="147"/>
      <c r="BX233" s="147"/>
      <c r="BY233" s="147"/>
      <c r="BZ233" s="147"/>
      <c r="CA233" s="147"/>
      <c r="CB233" s="147"/>
      <c r="CC233" s="147"/>
      <c r="CD233" s="147"/>
      <c r="CE233" s="147"/>
      <c r="CF233" s="147"/>
      <c r="CG233" s="147"/>
      <c r="CH233" s="147"/>
      <c r="CI233" s="147"/>
      <c r="CJ233" s="147"/>
      <c r="CK233" s="147"/>
    </row>
    <row r="234" spans="1:89">
      <c r="A234" s="153" t="s">
        <v>309</v>
      </c>
      <c r="B234" s="154" t="s">
        <v>310</v>
      </c>
      <c r="C234" s="155" t="s">
        <v>73</v>
      </c>
      <c r="D234" s="155" t="s">
        <v>866</v>
      </c>
      <c r="E234" s="154" t="s">
        <v>21</v>
      </c>
      <c r="F234" s="3" t="s">
        <v>926</v>
      </c>
      <c r="G234" s="3" t="s">
        <v>928</v>
      </c>
      <c r="H234" s="156" t="str">
        <f ca="1">IFERROR(
  _xludf.MINIFS(ATTENDANCE_LOG!$F:$F,
         ATTENDANCE_LOG!$A:$A, C234,
         ATTENDANCE_LOG!$B:$B, E234),
"")</f>
        <v/>
      </c>
      <c r="I234" s="156" t="str">
        <f t="shared" ca="1" si="0"/>
        <v/>
      </c>
      <c r="J234" s="3">
        <f>IFERROR(VLOOKUP(F234, LEVEL_HELPER!$A:$B, 2, 0), "")</f>
        <v>1</v>
      </c>
      <c r="K234" s="3">
        <f>IFERROR(VLOOKUP(G234, LEVEL_HELPER!$A:$B, 2, 0), "")</f>
        <v>1.5</v>
      </c>
      <c r="L234" s="157" t="s">
        <v>942</v>
      </c>
      <c r="M234" s="157" t="s">
        <v>923</v>
      </c>
      <c r="N234" s="3">
        <f t="array" aca="1" ref="N234" ca="1">IFERROR(
  INDEX($J$2:$J$543,
    MATCH(A234&amp;TEXT(I234,"yyyy-mm-dd"),
          $A$2:$A$543&amp;TEXT($H$2:$H$543,"yyyy-mm-dd"),
          0)),
"")</f>
        <v>1</v>
      </c>
      <c r="O234" s="147" t="str">
        <f t="shared" ca="1" si="1"/>
        <v/>
      </c>
      <c r="P234" s="147">
        <f t="shared" ref="P234:Q234" ca="1" si="243">IF(N234="",0,IF(N234&lt;=2,1,IF(N234&lt;=4,2,IF(N234&lt;=5.5,3,4))))</f>
        <v>1</v>
      </c>
      <c r="Q234" s="147">
        <f t="shared" ca="1" si="243"/>
        <v>0</v>
      </c>
      <c r="R234" s="147" t="str">
        <f t="shared" ca="1" si="3"/>
        <v>Not tested yet</v>
      </c>
      <c r="S234" s="147">
        <f t="shared" si="4"/>
        <v>1</v>
      </c>
      <c r="T234" s="147"/>
      <c r="U234" s="147"/>
      <c r="V234" s="148" t="e">
        <f ca="1"/>
        <v>#NAME?</v>
      </c>
      <c r="W234" s="147" t="e">
        <f t="shared" ca="1" si="5"/>
        <v>#NAME?</v>
      </c>
      <c r="X234" s="147" t="e">
        <f t="shared" ca="1" si="6"/>
        <v>#NAME?</v>
      </c>
      <c r="Y234" s="147" t="e">
        <f t="shared" ca="1" si="7"/>
        <v>#NAME?</v>
      </c>
      <c r="Z234" s="147"/>
      <c r="AA234" s="147"/>
      <c r="AB234" s="147"/>
      <c r="AC234" s="147"/>
      <c r="AD234" s="147"/>
      <c r="AE234" s="147"/>
      <c r="AF234" s="147"/>
      <c r="AG234" s="147"/>
      <c r="AH234" s="147"/>
      <c r="AI234" s="147"/>
      <c r="AJ234" s="147"/>
      <c r="AK234" s="147"/>
      <c r="AL234" s="147"/>
      <c r="AM234" s="151"/>
      <c r="AN234" s="147"/>
      <c r="AO234" s="147" t="e">
        <f t="shared" si="8"/>
        <v>#N/A</v>
      </c>
      <c r="AP234" s="147" t="e">
        <f t="shared" ca="1" si="9"/>
        <v>#NAME?</v>
      </c>
      <c r="AQ234" s="147" t="e">
        <f t="shared" si="10"/>
        <v>#N/A</v>
      </c>
      <c r="AR234" s="147"/>
      <c r="AS234" s="147"/>
      <c r="AT234" s="147"/>
      <c r="AU234" s="147"/>
      <c r="AV234" s="147"/>
      <c r="AW234" s="147"/>
      <c r="AX234" s="147"/>
      <c r="AY234" s="147"/>
      <c r="AZ234" s="147"/>
      <c r="BA234" s="147"/>
      <c r="BB234" s="147"/>
      <c r="BC234" s="147"/>
      <c r="BD234" s="147"/>
      <c r="BE234" s="147"/>
      <c r="BF234" s="147"/>
      <c r="BG234" s="147"/>
      <c r="BH234" s="147"/>
      <c r="BI234" s="147"/>
      <c r="BJ234" s="147"/>
      <c r="BK234" s="147"/>
      <c r="BL234" s="147"/>
      <c r="BM234" s="147"/>
      <c r="BN234" s="147"/>
      <c r="BO234" s="147"/>
      <c r="BP234" s="147"/>
      <c r="BQ234" s="147"/>
      <c r="BR234" s="147"/>
      <c r="BS234" s="147"/>
      <c r="BT234" s="147"/>
      <c r="BU234" s="147"/>
      <c r="BV234" s="147"/>
      <c r="BW234" s="147"/>
      <c r="BX234" s="147"/>
      <c r="BY234" s="147"/>
      <c r="BZ234" s="147"/>
      <c r="CA234" s="147"/>
      <c r="CB234" s="147"/>
      <c r="CC234" s="147"/>
      <c r="CD234" s="147"/>
      <c r="CE234" s="147"/>
      <c r="CF234" s="147"/>
      <c r="CG234" s="147"/>
      <c r="CH234" s="147"/>
      <c r="CI234" s="147"/>
      <c r="CJ234" s="147"/>
      <c r="CK234" s="147"/>
    </row>
    <row r="235" spans="1:89">
      <c r="A235" s="159" t="s">
        <v>332</v>
      </c>
      <c r="B235" s="3" t="s">
        <v>333</v>
      </c>
      <c r="C235" s="160" t="s">
        <v>73</v>
      </c>
      <c r="D235" s="160" t="s">
        <v>866</v>
      </c>
      <c r="E235" s="3" t="s">
        <v>21</v>
      </c>
      <c r="F235" s="3" t="s">
        <v>926</v>
      </c>
      <c r="G235" s="3" t="s">
        <v>917</v>
      </c>
      <c r="H235" s="156" t="str">
        <f ca="1">IFERROR(
  _xludf.MINIFS(ATTENDANCE_LOG!$F:$F,
         ATTENDANCE_LOG!$A:$A, C235,
         ATTENDANCE_LOG!$B:$B, E235),
"")</f>
        <v/>
      </c>
      <c r="I235" s="156" t="str">
        <f t="shared" ca="1" si="0"/>
        <v/>
      </c>
      <c r="J235" s="3">
        <f>IFERROR(VLOOKUP(F235, LEVEL_HELPER!$A:$B, 2, 0), "")</f>
        <v>1</v>
      </c>
      <c r="K235" s="3">
        <f>IFERROR(VLOOKUP(G235, LEVEL_HELPER!$A:$B, 2, 0), "")</f>
        <v>3</v>
      </c>
      <c r="L235" s="157" t="s">
        <v>942</v>
      </c>
      <c r="M235" s="157" t="s">
        <v>923</v>
      </c>
      <c r="N235" s="3">
        <f t="array" aca="1" ref="N235" ca="1">IFERROR(
  INDEX($J$2:$J$543,
    MATCH(A235&amp;TEXT(I235,"yyyy-mm-dd"),
          $A$2:$A$543&amp;TEXT($H$2:$H$543,"yyyy-mm-dd"),
          0)),
"")</f>
        <v>1</v>
      </c>
      <c r="O235" s="147" t="str">
        <f t="shared" ca="1" si="1"/>
        <v/>
      </c>
      <c r="P235" s="147">
        <f t="shared" ref="P235:Q235" ca="1" si="244">IF(N235="",0,IF(N235&lt;=2,1,IF(N235&lt;=4,2,IF(N235&lt;=5.5,3,4))))</f>
        <v>1</v>
      </c>
      <c r="Q235" s="147">
        <f t="shared" ca="1" si="244"/>
        <v>0</v>
      </c>
      <c r="R235" s="147" t="str">
        <f t="shared" ca="1" si="3"/>
        <v>Not tested yet</v>
      </c>
      <c r="S235" s="147">
        <f t="shared" si="4"/>
        <v>1</v>
      </c>
      <c r="T235" s="147"/>
      <c r="U235" s="147"/>
      <c r="V235" s="148" t="e">
        <f ca="1"/>
        <v>#NAME?</v>
      </c>
      <c r="W235" s="147" t="e">
        <f t="shared" ca="1" si="5"/>
        <v>#NAME?</v>
      </c>
      <c r="X235" s="147" t="e">
        <f t="shared" ca="1" si="6"/>
        <v>#NAME?</v>
      </c>
      <c r="Y235" s="147" t="e">
        <f t="shared" ca="1" si="7"/>
        <v>#NAME?</v>
      </c>
      <c r="Z235" s="147"/>
      <c r="AA235" s="147"/>
      <c r="AB235" s="147"/>
      <c r="AC235" s="147"/>
      <c r="AD235" s="147"/>
      <c r="AE235" s="147"/>
      <c r="AF235" s="147"/>
      <c r="AG235" s="147"/>
      <c r="AH235" s="147"/>
      <c r="AI235" s="147"/>
      <c r="AJ235" s="147"/>
      <c r="AK235" s="147"/>
      <c r="AL235" s="147"/>
      <c r="AM235" s="151"/>
      <c r="AN235" s="147"/>
      <c r="AO235" s="147" t="e">
        <f t="shared" si="8"/>
        <v>#N/A</v>
      </c>
      <c r="AP235" s="147" t="e">
        <f t="shared" ca="1" si="9"/>
        <v>#NAME?</v>
      </c>
      <c r="AQ235" s="147" t="e">
        <f t="shared" si="10"/>
        <v>#N/A</v>
      </c>
      <c r="AR235" s="147"/>
      <c r="AS235" s="147"/>
      <c r="AT235" s="147"/>
      <c r="AU235" s="147"/>
      <c r="AV235" s="147"/>
      <c r="AW235" s="147"/>
      <c r="AX235" s="147"/>
      <c r="AY235" s="147"/>
      <c r="AZ235" s="147"/>
      <c r="BA235" s="147"/>
      <c r="BB235" s="147"/>
      <c r="BC235" s="147"/>
      <c r="BD235" s="147"/>
      <c r="BE235" s="147"/>
      <c r="BF235" s="147"/>
      <c r="BG235" s="147"/>
      <c r="BH235" s="147"/>
      <c r="BI235" s="147"/>
      <c r="BJ235" s="147"/>
      <c r="BK235" s="147"/>
      <c r="BL235" s="147"/>
      <c r="BM235" s="147"/>
      <c r="BN235" s="147"/>
      <c r="BO235" s="147"/>
      <c r="BP235" s="147"/>
      <c r="BQ235" s="147"/>
      <c r="BR235" s="147"/>
      <c r="BS235" s="147"/>
      <c r="BT235" s="147"/>
      <c r="BU235" s="147"/>
      <c r="BV235" s="147"/>
      <c r="BW235" s="147"/>
      <c r="BX235" s="147"/>
      <c r="BY235" s="147"/>
      <c r="BZ235" s="147"/>
      <c r="CA235" s="147"/>
      <c r="CB235" s="147"/>
      <c r="CC235" s="147"/>
      <c r="CD235" s="147"/>
      <c r="CE235" s="147"/>
      <c r="CF235" s="147"/>
      <c r="CG235" s="147"/>
      <c r="CH235" s="147"/>
      <c r="CI235" s="147"/>
      <c r="CJ235" s="147"/>
      <c r="CK235" s="147"/>
    </row>
    <row r="236" spans="1:89">
      <c r="A236" s="159" t="s">
        <v>419</v>
      </c>
      <c r="B236" s="3" t="s">
        <v>420</v>
      </c>
      <c r="C236" s="160" t="s">
        <v>73</v>
      </c>
      <c r="D236" s="160" t="s">
        <v>866</v>
      </c>
      <c r="E236" s="3" t="s">
        <v>21</v>
      </c>
      <c r="F236" s="3" t="s">
        <v>926</v>
      </c>
      <c r="G236" s="3" t="s">
        <v>926</v>
      </c>
      <c r="H236" s="156" t="str">
        <f ca="1">IFERROR(
  _xludf.MINIFS(ATTENDANCE_LOG!$F:$F,
         ATTENDANCE_LOG!$A:$A, C236,
         ATTENDANCE_LOG!$B:$B, E236),
"")</f>
        <v/>
      </c>
      <c r="I236" s="156" t="str">
        <f t="shared" ca="1" si="0"/>
        <v/>
      </c>
      <c r="J236" s="3">
        <f>IFERROR(VLOOKUP(F236, LEVEL_HELPER!$A:$B, 2, 0), "")</f>
        <v>1</v>
      </c>
      <c r="K236" s="3">
        <f>IFERROR(VLOOKUP(G236, LEVEL_HELPER!$A:$B, 2, 0), "")</f>
        <v>1</v>
      </c>
      <c r="L236" s="157" t="s">
        <v>942</v>
      </c>
      <c r="M236" s="157" t="s">
        <v>922</v>
      </c>
      <c r="N236" s="3">
        <f t="array" aca="1" ref="N236" ca="1">IFERROR(
  INDEX($J$2:$J$543,
    MATCH(A236&amp;TEXT(I236,"yyyy-mm-dd"),
          $A$2:$A$543&amp;TEXT($H$2:$H$543,"yyyy-mm-dd"),
          0)),
"")</f>
        <v>1</v>
      </c>
      <c r="O236" s="147" t="str">
        <f t="shared" ca="1" si="1"/>
        <v/>
      </c>
      <c r="P236" s="147">
        <f t="shared" ref="P236:Q236" ca="1" si="245">IF(N236="",0,IF(N236&lt;=2,1,IF(N236&lt;=4,2,IF(N236&lt;=5.5,3,4))))</f>
        <v>1</v>
      </c>
      <c r="Q236" s="147">
        <f t="shared" ca="1" si="245"/>
        <v>0</v>
      </c>
      <c r="R236" s="147" t="str">
        <f t="shared" ca="1" si="3"/>
        <v>Not tested yet</v>
      </c>
      <c r="S236" s="147">
        <f t="shared" si="4"/>
        <v>1</v>
      </c>
      <c r="T236" s="147"/>
      <c r="U236" s="147"/>
      <c r="V236" s="148" t="e">
        <f ca="1"/>
        <v>#NAME?</v>
      </c>
      <c r="W236" s="147" t="e">
        <f t="shared" ca="1" si="5"/>
        <v>#NAME?</v>
      </c>
      <c r="X236" s="147" t="e">
        <f t="shared" ca="1" si="6"/>
        <v>#NAME?</v>
      </c>
      <c r="Y236" s="147" t="e">
        <f t="shared" ca="1" si="7"/>
        <v>#NAME?</v>
      </c>
      <c r="Z236" s="147"/>
      <c r="AA236" s="147"/>
      <c r="AB236" s="147"/>
      <c r="AC236" s="147"/>
      <c r="AD236" s="147"/>
      <c r="AE236" s="147"/>
      <c r="AF236" s="147"/>
      <c r="AG236" s="147"/>
      <c r="AH236" s="147"/>
      <c r="AI236" s="147"/>
      <c r="AJ236" s="147"/>
      <c r="AK236" s="147"/>
      <c r="AL236" s="147"/>
      <c r="AM236" s="151"/>
      <c r="AN236" s="147"/>
      <c r="AO236" s="147" t="e">
        <f t="shared" si="8"/>
        <v>#N/A</v>
      </c>
      <c r="AP236" s="147" t="e">
        <f t="shared" ca="1" si="9"/>
        <v>#NAME?</v>
      </c>
      <c r="AQ236" s="147" t="e">
        <f t="shared" si="10"/>
        <v>#N/A</v>
      </c>
      <c r="AR236" s="147"/>
      <c r="AS236" s="147"/>
      <c r="AT236" s="147"/>
      <c r="AU236" s="147"/>
      <c r="AV236" s="147"/>
      <c r="AW236" s="147"/>
      <c r="AX236" s="147"/>
      <c r="AY236" s="147"/>
      <c r="AZ236" s="147"/>
      <c r="BA236" s="147"/>
      <c r="BB236" s="147"/>
      <c r="BC236" s="147"/>
      <c r="BD236" s="147"/>
      <c r="BE236" s="147"/>
      <c r="BF236" s="147"/>
      <c r="BG236" s="147"/>
      <c r="BH236" s="147"/>
      <c r="BI236" s="147"/>
      <c r="BJ236" s="147"/>
      <c r="BK236" s="147"/>
      <c r="BL236" s="147"/>
      <c r="BM236" s="147"/>
      <c r="BN236" s="147"/>
      <c r="BO236" s="147"/>
      <c r="BP236" s="147"/>
      <c r="BQ236" s="147"/>
      <c r="BR236" s="147"/>
      <c r="BS236" s="147"/>
      <c r="BT236" s="147"/>
      <c r="BU236" s="147"/>
      <c r="BV236" s="147"/>
      <c r="BW236" s="147"/>
      <c r="BX236" s="147"/>
      <c r="BY236" s="147"/>
      <c r="BZ236" s="147"/>
      <c r="CA236" s="147"/>
      <c r="CB236" s="147"/>
      <c r="CC236" s="147"/>
      <c r="CD236" s="147"/>
      <c r="CE236" s="147"/>
      <c r="CF236" s="147"/>
      <c r="CG236" s="147"/>
      <c r="CH236" s="147"/>
      <c r="CI236" s="147"/>
      <c r="CJ236" s="147"/>
      <c r="CK236" s="147"/>
    </row>
    <row r="237" spans="1:89">
      <c r="A237" s="159" t="s">
        <v>562</v>
      </c>
      <c r="B237" s="3" t="s">
        <v>563</v>
      </c>
      <c r="C237" s="160" t="s">
        <v>73</v>
      </c>
      <c r="D237" s="160" t="s">
        <v>866</v>
      </c>
      <c r="E237" s="3" t="s">
        <v>21</v>
      </c>
      <c r="F237" s="3" t="s">
        <v>926</v>
      </c>
      <c r="G237" s="3" t="s">
        <v>917</v>
      </c>
      <c r="H237" s="156" t="str">
        <f ca="1">IFERROR(
  _xludf.MINIFS(ATTENDANCE_LOG!$F:$F,
         ATTENDANCE_LOG!$A:$A, C237,
         ATTENDANCE_LOG!$B:$B, E237),
"")</f>
        <v/>
      </c>
      <c r="I237" s="156" t="str">
        <f t="shared" ca="1" si="0"/>
        <v/>
      </c>
      <c r="J237" s="3">
        <f>IFERROR(VLOOKUP(F237, LEVEL_HELPER!$A:$B, 2, 0), "")</f>
        <v>1</v>
      </c>
      <c r="K237" s="3">
        <f>IFERROR(VLOOKUP(G237, LEVEL_HELPER!$A:$B, 2, 0), "")</f>
        <v>3</v>
      </c>
      <c r="L237" s="157" t="s">
        <v>942</v>
      </c>
      <c r="M237" s="157" t="s">
        <v>923</v>
      </c>
      <c r="N237" s="3">
        <f t="array" aca="1" ref="N237" ca="1">IFERROR(
  INDEX($J$2:$J$543,
    MATCH(A237&amp;TEXT(I237,"yyyy-mm-dd"),
          $A$2:$A$543&amp;TEXT($H$2:$H$543,"yyyy-mm-dd"),
          0)),
"")</f>
        <v>1</v>
      </c>
      <c r="O237" s="147" t="str">
        <f t="shared" ca="1" si="1"/>
        <v/>
      </c>
      <c r="P237" s="147">
        <f t="shared" ref="P237:Q237" ca="1" si="246">IF(N237="",0,IF(N237&lt;=2,1,IF(N237&lt;=4,2,IF(N237&lt;=5.5,3,4))))</f>
        <v>1</v>
      </c>
      <c r="Q237" s="147">
        <f t="shared" ca="1" si="246"/>
        <v>0</v>
      </c>
      <c r="R237" s="147" t="str">
        <f t="shared" ca="1" si="3"/>
        <v>Not tested yet</v>
      </c>
      <c r="S237" s="147">
        <f t="shared" si="4"/>
        <v>1</v>
      </c>
      <c r="T237" s="147"/>
      <c r="U237" s="147"/>
      <c r="V237" s="148" t="e">
        <f ca="1"/>
        <v>#NAME?</v>
      </c>
      <c r="W237" s="147" t="e">
        <f t="shared" ca="1" si="5"/>
        <v>#NAME?</v>
      </c>
      <c r="X237" s="147" t="e">
        <f t="shared" ca="1" si="6"/>
        <v>#NAME?</v>
      </c>
      <c r="Y237" s="147" t="e">
        <f t="shared" ca="1" si="7"/>
        <v>#NAME?</v>
      </c>
      <c r="Z237" s="147"/>
      <c r="AA237" s="147"/>
      <c r="AB237" s="147"/>
      <c r="AC237" s="147"/>
      <c r="AD237" s="147"/>
      <c r="AE237" s="147"/>
      <c r="AF237" s="147"/>
      <c r="AG237" s="147"/>
      <c r="AH237" s="147"/>
      <c r="AI237" s="147"/>
      <c r="AJ237" s="147"/>
      <c r="AK237" s="147"/>
      <c r="AL237" s="147"/>
      <c r="AM237" s="151"/>
      <c r="AN237" s="147"/>
      <c r="AO237" s="147" t="e">
        <f t="shared" si="8"/>
        <v>#N/A</v>
      </c>
      <c r="AP237" s="147" t="e">
        <f t="shared" ca="1" si="9"/>
        <v>#NAME?</v>
      </c>
      <c r="AQ237" s="147" t="e">
        <f t="shared" si="10"/>
        <v>#N/A</v>
      </c>
      <c r="AR237" s="147"/>
      <c r="AS237" s="147"/>
      <c r="AT237" s="147"/>
      <c r="AU237" s="147"/>
      <c r="AV237" s="147"/>
      <c r="AW237" s="147"/>
      <c r="AX237" s="147"/>
      <c r="AY237" s="147"/>
      <c r="AZ237" s="147"/>
      <c r="BA237" s="147"/>
      <c r="BB237" s="147"/>
      <c r="BC237" s="147"/>
      <c r="BD237" s="147"/>
      <c r="BE237" s="147"/>
      <c r="BF237" s="147"/>
      <c r="BG237" s="147"/>
      <c r="BH237" s="147"/>
      <c r="BI237" s="147"/>
      <c r="BJ237" s="147"/>
      <c r="BK237" s="147"/>
      <c r="BL237" s="147"/>
      <c r="BM237" s="147"/>
      <c r="BN237" s="147"/>
      <c r="BO237" s="147"/>
      <c r="BP237" s="147"/>
      <c r="BQ237" s="147"/>
      <c r="BR237" s="147"/>
      <c r="BS237" s="147"/>
      <c r="BT237" s="147"/>
      <c r="BU237" s="147"/>
      <c r="BV237" s="147"/>
      <c r="BW237" s="147"/>
      <c r="BX237" s="147"/>
      <c r="BY237" s="147"/>
      <c r="BZ237" s="147"/>
      <c r="CA237" s="147"/>
      <c r="CB237" s="147"/>
      <c r="CC237" s="147"/>
      <c r="CD237" s="147"/>
      <c r="CE237" s="147"/>
      <c r="CF237" s="147"/>
      <c r="CG237" s="147"/>
      <c r="CH237" s="147"/>
      <c r="CI237" s="147"/>
      <c r="CJ237" s="147"/>
      <c r="CK237" s="147"/>
    </row>
    <row r="238" spans="1:89">
      <c r="A238" s="159" t="s">
        <v>693</v>
      </c>
      <c r="B238" s="3" t="s">
        <v>694</v>
      </c>
      <c r="C238" s="160" t="s">
        <v>73</v>
      </c>
      <c r="D238" s="160" t="s">
        <v>866</v>
      </c>
      <c r="E238" s="3" t="s">
        <v>21</v>
      </c>
      <c r="F238" s="3" t="s">
        <v>926</v>
      </c>
      <c r="G238" s="3" t="s">
        <v>917</v>
      </c>
      <c r="H238" s="156" t="str">
        <f ca="1">IFERROR(
  _xludf.MINIFS(ATTENDANCE_LOG!$F:$F,
         ATTENDANCE_LOG!$A:$A, C238,
         ATTENDANCE_LOG!$B:$B, E238),
"")</f>
        <v/>
      </c>
      <c r="I238" s="156" t="str">
        <f t="shared" ca="1" si="0"/>
        <v/>
      </c>
      <c r="J238" s="3">
        <f>IFERROR(VLOOKUP(F238, LEVEL_HELPER!$A:$B, 2, 0), "")</f>
        <v>1</v>
      </c>
      <c r="K238" s="3">
        <f>IFERROR(VLOOKUP(G238, LEVEL_HELPER!$A:$B, 2, 0), "")</f>
        <v>3</v>
      </c>
      <c r="L238" s="157" t="s">
        <v>942</v>
      </c>
      <c r="M238" s="157" t="s">
        <v>923</v>
      </c>
      <c r="N238" s="3">
        <f t="array" aca="1" ref="N238" ca="1">IFERROR(
  INDEX($J$2:$J$543,
    MATCH(A238&amp;TEXT(I238,"yyyy-mm-dd"),
          $A$2:$A$543&amp;TEXT($H$2:$H$543,"yyyy-mm-dd"),
          0)),
"")</f>
        <v>1</v>
      </c>
      <c r="O238" s="147" t="str">
        <f t="shared" ca="1" si="1"/>
        <v/>
      </c>
      <c r="P238" s="147">
        <f t="shared" ref="P238:Q238" ca="1" si="247">IF(N238="",0,IF(N238&lt;=2,1,IF(N238&lt;=4,2,IF(N238&lt;=5.5,3,4))))</f>
        <v>1</v>
      </c>
      <c r="Q238" s="147">
        <f t="shared" ca="1" si="247"/>
        <v>0</v>
      </c>
      <c r="R238" s="147" t="str">
        <f t="shared" ca="1" si="3"/>
        <v>Not tested yet</v>
      </c>
      <c r="S238" s="147">
        <f t="shared" si="4"/>
        <v>1</v>
      </c>
      <c r="T238" s="147"/>
      <c r="U238" s="147"/>
      <c r="V238" s="148" t="e">
        <f ca="1"/>
        <v>#NAME?</v>
      </c>
      <c r="W238" s="147" t="e">
        <f t="shared" ca="1" si="5"/>
        <v>#NAME?</v>
      </c>
      <c r="X238" s="147" t="e">
        <f t="shared" ca="1" si="6"/>
        <v>#NAME?</v>
      </c>
      <c r="Y238" s="147" t="e">
        <f t="shared" ca="1" si="7"/>
        <v>#NAME?</v>
      </c>
      <c r="Z238" s="147"/>
      <c r="AA238" s="147"/>
      <c r="AB238" s="147"/>
      <c r="AC238" s="147"/>
      <c r="AD238" s="147"/>
      <c r="AE238" s="147"/>
      <c r="AF238" s="147"/>
      <c r="AG238" s="147"/>
      <c r="AH238" s="147"/>
      <c r="AI238" s="147"/>
      <c r="AJ238" s="147"/>
      <c r="AK238" s="147"/>
      <c r="AL238" s="147"/>
      <c r="AM238" s="151"/>
      <c r="AN238" s="147"/>
      <c r="AO238" s="147" t="e">
        <f t="shared" si="8"/>
        <v>#N/A</v>
      </c>
      <c r="AP238" s="147" t="e">
        <f t="shared" ca="1" si="9"/>
        <v>#NAME?</v>
      </c>
      <c r="AQ238" s="147" t="e">
        <f t="shared" si="10"/>
        <v>#N/A</v>
      </c>
      <c r="AR238" s="147"/>
      <c r="AS238" s="147"/>
      <c r="AT238" s="147"/>
      <c r="AU238" s="147"/>
      <c r="AV238" s="147"/>
      <c r="AW238" s="147"/>
      <c r="AX238" s="147"/>
      <c r="AY238" s="147"/>
      <c r="AZ238" s="147"/>
      <c r="BA238" s="147"/>
      <c r="BB238" s="147"/>
      <c r="BC238" s="147"/>
      <c r="BD238" s="147"/>
      <c r="BE238" s="147"/>
      <c r="BF238" s="147"/>
      <c r="BG238" s="147"/>
      <c r="BH238" s="147"/>
      <c r="BI238" s="147"/>
      <c r="BJ238" s="147"/>
      <c r="BK238" s="147"/>
      <c r="BL238" s="147"/>
      <c r="BM238" s="147"/>
      <c r="BN238" s="147"/>
      <c r="BO238" s="147"/>
      <c r="BP238" s="147"/>
      <c r="BQ238" s="147"/>
      <c r="BR238" s="147"/>
      <c r="BS238" s="147"/>
      <c r="BT238" s="147"/>
      <c r="BU238" s="147"/>
      <c r="BV238" s="147"/>
      <c r="BW238" s="147"/>
      <c r="BX238" s="147"/>
      <c r="BY238" s="147"/>
      <c r="BZ238" s="147"/>
      <c r="CA238" s="147"/>
      <c r="CB238" s="147"/>
      <c r="CC238" s="147"/>
      <c r="CD238" s="147"/>
      <c r="CE238" s="147"/>
      <c r="CF238" s="147"/>
      <c r="CG238" s="147"/>
      <c r="CH238" s="147"/>
      <c r="CI238" s="147"/>
      <c r="CJ238" s="147"/>
      <c r="CK238" s="147"/>
    </row>
    <row r="239" spans="1:89">
      <c r="A239" s="153" t="s">
        <v>224</v>
      </c>
      <c r="B239" s="154" t="s">
        <v>225</v>
      </c>
      <c r="C239" s="155" t="s">
        <v>74</v>
      </c>
      <c r="D239" s="155" t="s">
        <v>867</v>
      </c>
      <c r="E239" s="154" t="s">
        <v>25</v>
      </c>
      <c r="F239" s="3" t="s">
        <v>926</v>
      </c>
      <c r="G239" s="3" t="s">
        <v>926</v>
      </c>
      <c r="H239" s="156" t="str">
        <f ca="1">IFERROR(
  _xludf.MINIFS(ATTENDANCE_LOG!$F:$F,
         ATTENDANCE_LOG!$A:$A, C239,
         ATTENDANCE_LOG!$B:$B, E239),
"")</f>
        <v/>
      </c>
      <c r="I239" s="156" t="str">
        <f t="shared" ca="1" si="0"/>
        <v/>
      </c>
      <c r="J239" s="3">
        <f>IFERROR(VLOOKUP(F239, LEVEL_HELPER!$A:$B, 2, 0), "")</f>
        <v>1</v>
      </c>
      <c r="K239" s="3">
        <f>IFERROR(VLOOKUP(G239, LEVEL_HELPER!$A:$B, 2, 0), "")</f>
        <v>1</v>
      </c>
      <c r="L239" s="157" t="s">
        <v>942</v>
      </c>
      <c r="M239" s="157" t="s">
        <v>922</v>
      </c>
      <c r="N239" s="3">
        <f t="array" aca="1" ref="N239" ca="1">IFERROR(
  INDEX($J$2:$J$543,
    MATCH(A239&amp;TEXT(I239,"yyyy-mm-dd"),
          $A$2:$A$543&amp;TEXT($H$2:$H$543,"yyyy-mm-dd"),
          0)),
"")</f>
        <v>1</v>
      </c>
      <c r="O239" s="147" t="str">
        <f t="shared" ca="1" si="1"/>
        <v/>
      </c>
      <c r="P239" s="147">
        <f t="shared" ref="P239:Q239" ca="1" si="248">IF(N239="",0,IF(N239&lt;=2,1,IF(N239&lt;=4,2,IF(N239&lt;=5.5,3,4))))</f>
        <v>1</v>
      </c>
      <c r="Q239" s="147">
        <f t="shared" ca="1" si="248"/>
        <v>0</v>
      </c>
      <c r="R239" s="147" t="str">
        <f t="shared" ca="1" si="3"/>
        <v>Not tested yet</v>
      </c>
      <c r="S239" s="147">
        <f t="shared" si="4"/>
        <v>1</v>
      </c>
      <c r="T239" s="147"/>
      <c r="U239" s="147"/>
      <c r="V239" s="148" t="e">
        <f ca="1"/>
        <v>#NAME?</v>
      </c>
      <c r="W239" s="147" t="e">
        <f t="shared" ca="1" si="5"/>
        <v>#NAME?</v>
      </c>
      <c r="X239" s="147" t="e">
        <f t="shared" ca="1" si="6"/>
        <v>#NAME?</v>
      </c>
      <c r="Y239" s="147" t="e">
        <f t="shared" ca="1" si="7"/>
        <v>#NAME?</v>
      </c>
      <c r="Z239" s="147"/>
      <c r="AA239" s="147"/>
      <c r="AB239" s="147"/>
      <c r="AC239" s="147"/>
      <c r="AD239" s="147"/>
      <c r="AE239" s="147"/>
      <c r="AF239" s="147"/>
      <c r="AG239" s="147"/>
      <c r="AH239" s="147"/>
      <c r="AI239" s="147"/>
      <c r="AJ239" s="147"/>
      <c r="AK239" s="147"/>
      <c r="AL239" s="147"/>
      <c r="AM239" s="151"/>
      <c r="AN239" s="147"/>
      <c r="AO239" s="147" t="e">
        <f t="shared" si="8"/>
        <v>#N/A</v>
      </c>
      <c r="AP239" s="147" t="e">
        <f t="shared" ca="1" si="9"/>
        <v>#NAME?</v>
      </c>
      <c r="AQ239" s="147" t="e">
        <f t="shared" si="10"/>
        <v>#N/A</v>
      </c>
      <c r="AR239" s="147"/>
      <c r="AS239" s="147"/>
      <c r="AT239" s="147"/>
      <c r="AU239" s="147"/>
      <c r="AV239" s="147"/>
      <c r="AW239" s="147"/>
      <c r="AX239" s="147"/>
      <c r="AY239" s="147"/>
      <c r="AZ239" s="147"/>
      <c r="BA239" s="147"/>
      <c r="BB239" s="147"/>
      <c r="BC239" s="147"/>
      <c r="BD239" s="147"/>
      <c r="BE239" s="147"/>
      <c r="BF239" s="147"/>
      <c r="BG239" s="147"/>
      <c r="BH239" s="147"/>
      <c r="BI239" s="147"/>
      <c r="BJ239" s="147"/>
      <c r="BK239" s="147"/>
      <c r="BL239" s="147"/>
      <c r="BM239" s="147"/>
      <c r="BN239" s="147"/>
      <c r="BO239" s="147"/>
      <c r="BP239" s="147"/>
      <c r="BQ239" s="147"/>
      <c r="BR239" s="147"/>
      <c r="BS239" s="147"/>
      <c r="BT239" s="147"/>
      <c r="BU239" s="147"/>
      <c r="BV239" s="147"/>
      <c r="BW239" s="147"/>
      <c r="BX239" s="147"/>
      <c r="BY239" s="147"/>
      <c r="BZ239" s="147"/>
      <c r="CA239" s="147"/>
      <c r="CB239" s="147"/>
      <c r="CC239" s="147"/>
      <c r="CD239" s="147"/>
      <c r="CE239" s="147"/>
      <c r="CF239" s="147"/>
      <c r="CG239" s="147"/>
      <c r="CH239" s="147"/>
      <c r="CI239" s="147"/>
      <c r="CJ239" s="147"/>
      <c r="CK239" s="147"/>
    </row>
    <row r="240" spans="1:89">
      <c r="A240" s="159" t="s">
        <v>186</v>
      </c>
      <c r="B240" s="3" t="s">
        <v>187</v>
      </c>
      <c r="C240" s="160" t="s">
        <v>74</v>
      </c>
      <c r="D240" s="160" t="s">
        <v>867</v>
      </c>
      <c r="E240" s="3" t="s">
        <v>25</v>
      </c>
      <c r="F240" s="3" t="s">
        <v>926</v>
      </c>
      <c r="G240" s="3" t="s">
        <v>926</v>
      </c>
      <c r="H240" s="156" t="str">
        <f ca="1">IFERROR(
  _xludf.MINIFS(ATTENDANCE_LOG!$F:$F,
         ATTENDANCE_LOG!$A:$A, C240,
         ATTENDANCE_LOG!$B:$B, E240),
"")</f>
        <v/>
      </c>
      <c r="I240" s="156" t="str">
        <f t="shared" ca="1" si="0"/>
        <v/>
      </c>
      <c r="J240" s="3">
        <f>IFERROR(VLOOKUP(F240, LEVEL_HELPER!$A:$B, 2, 0), "")</f>
        <v>1</v>
      </c>
      <c r="K240" s="3">
        <f>IFERROR(VLOOKUP(G240, LEVEL_HELPER!$A:$B, 2, 0), "")</f>
        <v>1</v>
      </c>
      <c r="L240" s="157" t="s">
        <v>942</v>
      </c>
      <c r="M240" s="157" t="s">
        <v>923</v>
      </c>
      <c r="N240" s="3">
        <f t="array" aca="1" ref="N240" ca="1">IFERROR(
  INDEX($J$2:$J$543,
    MATCH(A240&amp;TEXT(I240,"yyyy-mm-dd"),
          $A$2:$A$543&amp;TEXT($H$2:$H$543,"yyyy-mm-dd"),
          0)),
"")</f>
        <v>1</v>
      </c>
      <c r="O240" s="147" t="str">
        <f t="shared" ca="1" si="1"/>
        <v/>
      </c>
      <c r="P240" s="147">
        <f t="shared" ref="P240:Q240" ca="1" si="249">IF(N240="",0,IF(N240&lt;=2,1,IF(N240&lt;=4,2,IF(N240&lt;=5.5,3,4))))</f>
        <v>1</v>
      </c>
      <c r="Q240" s="147">
        <f t="shared" ca="1" si="249"/>
        <v>0</v>
      </c>
      <c r="R240" s="147" t="str">
        <f t="shared" ca="1" si="3"/>
        <v>Not tested yet</v>
      </c>
      <c r="S240" s="147">
        <f t="shared" si="4"/>
        <v>1</v>
      </c>
      <c r="T240" s="147"/>
      <c r="U240" s="147"/>
      <c r="V240" s="148" t="e">
        <f ca="1"/>
        <v>#NAME?</v>
      </c>
      <c r="W240" s="147" t="e">
        <f t="shared" ca="1" si="5"/>
        <v>#NAME?</v>
      </c>
      <c r="X240" s="147" t="e">
        <f t="shared" ca="1" si="6"/>
        <v>#NAME?</v>
      </c>
      <c r="Y240" s="147" t="e">
        <f t="shared" ca="1" si="7"/>
        <v>#NAME?</v>
      </c>
      <c r="Z240" s="147"/>
      <c r="AA240" s="147"/>
      <c r="AB240" s="147"/>
      <c r="AC240" s="147"/>
      <c r="AD240" s="147"/>
      <c r="AE240" s="147"/>
      <c r="AF240" s="147"/>
      <c r="AG240" s="147"/>
      <c r="AH240" s="147"/>
      <c r="AI240" s="147"/>
      <c r="AJ240" s="147"/>
      <c r="AK240" s="147"/>
      <c r="AL240" s="147"/>
      <c r="AM240" s="151"/>
      <c r="AN240" s="147"/>
      <c r="AO240" s="147" t="e">
        <f t="shared" si="8"/>
        <v>#N/A</v>
      </c>
      <c r="AP240" s="147" t="e">
        <f t="shared" ca="1" si="9"/>
        <v>#NAME?</v>
      </c>
      <c r="AQ240" s="147" t="e">
        <f t="shared" si="10"/>
        <v>#N/A</v>
      </c>
      <c r="AR240" s="147"/>
      <c r="AS240" s="147"/>
      <c r="AT240" s="147"/>
      <c r="AU240" s="147"/>
      <c r="AV240" s="147"/>
      <c r="AW240" s="147"/>
      <c r="AX240" s="147"/>
      <c r="AY240" s="147"/>
      <c r="AZ240" s="147"/>
      <c r="BA240" s="147"/>
      <c r="BB240" s="147"/>
      <c r="BC240" s="147"/>
      <c r="BD240" s="147"/>
      <c r="BE240" s="147"/>
      <c r="BF240" s="147"/>
      <c r="BG240" s="147"/>
      <c r="BH240" s="147"/>
      <c r="BI240" s="147"/>
      <c r="BJ240" s="147"/>
      <c r="BK240" s="147"/>
      <c r="BL240" s="147"/>
      <c r="BM240" s="147"/>
      <c r="BN240" s="147"/>
      <c r="BO240" s="147"/>
      <c r="BP240" s="147"/>
      <c r="BQ240" s="147"/>
      <c r="BR240" s="147"/>
      <c r="BS240" s="147"/>
      <c r="BT240" s="147"/>
      <c r="BU240" s="147"/>
      <c r="BV240" s="147"/>
      <c r="BW240" s="147"/>
      <c r="BX240" s="147"/>
      <c r="BY240" s="147"/>
      <c r="BZ240" s="147"/>
      <c r="CA240" s="147"/>
      <c r="CB240" s="147"/>
      <c r="CC240" s="147"/>
      <c r="CD240" s="147"/>
      <c r="CE240" s="147"/>
      <c r="CF240" s="147"/>
      <c r="CG240" s="147"/>
      <c r="CH240" s="147"/>
      <c r="CI240" s="147"/>
      <c r="CJ240" s="147"/>
      <c r="CK240" s="147"/>
    </row>
    <row r="241" spans="1:89">
      <c r="A241" s="159" t="s">
        <v>382</v>
      </c>
      <c r="B241" s="3" t="s">
        <v>380</v>
      </c>
      <c r="C241" s="160" t="s">
        <v>74</v>
      </c>
      <c r="D241" s="160" t="s">
        <v>867</v>
      </c>
      <c r="E241" s="3" t="s">
        <v>25</v>
      </c>
      <c r="F241" s="3" t="s">
        <v>926</v>
      </c>
      <c r="G241" s="3" t="s">
        <v>926</v>
      </c>
      <c r="H241" s="156" t="str">
        <f ca="1">IFERROR(
  _xludf.MINIFS(ATTENDANCE_LOG!$F:$F,
         ATTENDANCE_LOG!$A:$A, C241,
         ATTENDANCE_LOG!$B:$B, E241),
"")</f>
        <v/>
      </c>
      <c r="I241" s="156" t="str">
        <f t="shared" ca="1" si="0"/>
        <v/>
      </c>
      <c r="J241" s="3">
        <f>IFERROR(VLOOKUP(F241, LEVEL_HELPER!$A:$B, 2, 0), "")</f>
        <v>1</v>
      </c>
      <c r="K241" s="3">
        <f>IFERROR(VLOOKUP(G241, LEVEL_HELPER!$A:$B, 2, 0), "")</f>
        <v>1</v>
      </c>
      <c r="L241" s="157" t="s">
        <v>942</v>
      </c>
      <c r="M241" s="157" t="s">
        <v>923</v>
      </c>
      <c r="N241" s="3">
        <f t="array" aca="1" ref="N241" ca="1">IFERROR(
  INDEX($J$2:$J$543,
    MATCH(A241&amp;TEXT(I241,"yyyy-mm-dd"),
          $A$2:$A$543&amp;TEXT($H$2:$H$543,"yyyy-mm-dd"),
          0)),
"")</f>
        <v>1</v>
      </c>
      <c r="O241" s="147" t="str">
        <f t="shared" ca="1" si="1"/>
        <v/>
      </c>
      <c r="P241" s="147">
        <f t="shared" ref="P241:Q241" ca="1" si="250">IF(N241="",0,IF(N241&lt;=2,1,IF(N241&lt;=4,2,IF(N241&lt;=5.5,3,4))))</f>
        <v>1</v>
      </c>
      <c r="Q241" s="147">
        <f t="shared" ca="1" si="250"/>
        <v>0</v>
      </c>
      <c r="R241" s="147" t="str">
        <f t="shared" ca="1" si="3"/>
        <v>Not tested yet</v>
      </c>
      <c r="S241" s="147">
        <f t="shared" si="4"/>
        <v>1</v>
      </c>
      <c r="T241" s="147"/>
      <c r="U241" s="147"/>
      <c r="V241" s="148" t="e">
        <f ca="1"/>
        <v>#NAME?</v>
      </c>
      <c r="W241" s="147" t="e">
        <f t="shared" ca="1" si="5"/>
        <v>#NAME?</v>
      </c>
      <c r="X241" s="147" t="e">
        <f t="shared" ca="1" si="6"/>
        <v>#NAME?</v>
      </c>
      <c r="Y241" s="147" t="e">
        <f t="shared" ca="1" si="7"/>
        <v>#NAME?</v>
      </c>
      <c r="Z241" s="147"/>
      <c r="AA241" s="147"/>
      <c r="AB241" s="147"/>
      <c r="AC241" s="147"/>
      <c r="AD241" s="147"/>
      <c r="AE241" s="147"/>
      <c r="AF241" s="147"/>
      <c r="AG241" s="147"/>
      <c r="AH241" s="147"/>
      <c r="AI241" s="147"/>
      <c r="AJ241" s="147"/>
      <c r="AK241" s="147"/>
      <c r="AL241" s="147"/>
      <c r="AM241" s="151"/>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c r="BI241" s="147"/>
      <c r="BJ241" s="147"/>
      <c r="BK241" s="147"/>
      <c r="BL241" s="147"/>
      <c r="BM241" s="147"/>
      <c r="BN241" s="147"/>
      <c r="BO241" s="147"/>
      <c r="BP241" s="147"/>
      <c r="BQ241" s="147"/>
      <c r="BR241" s="147"/>
      <c r="BS241" s="147"/>
      <c r="BT241" s="147"/>
      <c r="BU241" s="147"/>
      <c r="BV241" s="147"/>
      <c r="BW241" s="147"/>
      <c r="BX241" s="147"/>
      <c r="BY241" s="147"/>
      <c r="BZ241" s="147"/>
      <c r="CA241" s="147"/>
      <c r="CB241" s="147"/>
      <c r="CC241" s="147"/>
      <c r="CD241" s="147"/>
      <c r="CE241" s="147"/>
      <c r="CF241" s="147"/>
      <c r="CG241" s="147"/>
      <c r="CH241" s="147"/>
      <c r="CI241" s="147"/>
      <c r="CJ241" s="147"/>
      <c r="CK241" s="147"/>
    </row>
    <row r="242" spans="1:89">
      <c r="A242" s="159" t="s">
        <v>425</v>
      </c>
      <c r="B242" s="3" t="s">
        <v>426</v>
      </c>
      <c r="C242" s="160" t="s">
        <v>74</v>
      </c>
      <c r="D242" s="160" t="s">
        <v>867</v>
      </c>
      <c r="E242" s="3" t="s">
        <v>25</v>
      </c>
      <c r="F242" s="3" t="s">
        <v>926</v>
      </c>
      <c r="G242" s="3" t="s">
        <v>926</v>
      </c>
      <c r="H242" s="156" t="str">
        <f ca="1">IFERROR(
  _xludf.MINIFS(ATTENDANCE_LOG!$F:$F,
         ATTENDANCE_LOG!$A:$A, C242,
         ATTENDANCE_LOG!$B:$B, E242),
"")</f>
        <v/>
      </c>
      <c r="I242" s="156" t="str">
        <f t="shared" ca="1" si="0"/>
        <v/>
      </c>
      <c r="J242" s="3">
        <f>IFERROR(VLOOKUP(F242, LEVEL_HELPER!$A:$B, 2, 0), "")</f>
        <v>1</v>
      </c>
      <c r="K242" s="3">
        <f>IFERROR(VLOOKUP(G242, LEVEL_HELPER!$A:$B, 2, 0), "")</f>
        <v>1</v>
      </c>
      <c r="L242" s="157" t="s">
        <v>942</v>
      </c>
      <c r="M242" s="157" t="s">
        <v>922</v>
      </c>
      <c r="N242" s="3">
        <f t="array" aca="1" ref="N242" ca="1">IFERROR(
  INDEX($J$2:$J$543,
    MATCH(A242&amp;TEXT(I242,"yyyy-mm-dd"),
          $A$2:$A$543&amp;TEXT($H$2:$H$543,"yyyy-mm-dd"),
          0)),
"")</f>
        <v>1</v>
      </c>
      <c r="O242" s="147" t="str">
        <f t="shared" ca="1" si="1"/>
        <v/>
      </c>
      <c r="P242" s="147">
        <f t="shared" ref="P242:Q242" ca="1" si="251">IF(N242="",0,IF(N242&lt;=2,1,IF(N242&lt;=4,2,IF(N242&lt;=5.5,3,4))))</f>
        <v>1</v>
      </c>
      <c r="Q242" s="147">
        <f t="shared" ca="1" si="251"/>
        <v>0</v>
      </c>
      <c r="R242" s="147" t="str">
        <f t="shared" ca="1" si="3"/>
        <v>Not tested yet</v>
      </c>
      <c r="S242" s="147">
        <f t="shared" si="4"/>
        <v>1</v>
      </c>
      <c r="T242" s="147"/>
      <c r="U242" s="147"/>
      <c r="V242" s="148" t="e">
        <f ca="1"/>
        <v>#NAME?</v>
      </c>
      <c r="W242" s="147" t="e">
        <f t="shared" ca="1" si="5"/>
        <v>#NAME?</v>
      </c>
      <c r="X242" s="147" t="e">
        <f t="shared" ca="1" si="6"/>
        <v>#NAME?</v>
      </c>
      <c r="Y242" s="147" t="e">
        <f t="shared" ca="1" si="7"/>
        <v>#NAME?</v>
      </c>
      <c r="Z242" s="147"/>
      <c r="AA242" s="147"/>
      <c r="AB242" s="147"/>
      <c r="AC242" s="147"/>
      <c r="AD242" s="147"/>
      <c r="AE242" s="147"/>
      <c r="AF242" s="147"/>
      <c r="AG242" s="147"/>
      <c r="AH242" s="147"/>
      <c r="AI242" s="147"/>
      <c r="AJ242" s="147"/>
      <c r="AK242" s="147"/>
      <c r="AL242" s="147"/>
      <c r="AM242" s="151"/>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c r="BI242" s="147"/>
      <c r="BJ242" s="147"/>
      <c r="BK242" s="147"/>
      <c r="BL242" s="147"/>
      <c r="BM242" s="147"/>
      <c r="BN242" s="147"/>
      <c r="BO242" s="147"/>
      <c r="BP242" s="147"/>
      <c r="BQ242" s="147"/>
      <c r="BR242" s="147"/>
      <c r="BS242" s="147"/>
      <c r="BT242" s="147"/>
      <c r="BU242" s="147"/>
      <c r="BV242" s="147"/>
      <c r="BW242" s="147"/>
      <c r="BX242" s="147"/>
      <c r="BY242" s="147"/>
      <c r="BZ242" s="147"/>
      <c r="CA242" s="147"/>
      <c r="CB242" s="147"/>
      <c r="CC242" s="147"/>
      <c r="CD242" s="147"/>
      <c r="CE242" s="147"/>
      <c r="CF242" s="147"/>
      <c r="CG242" s="147"/>
      <c r="CH242" s="147"/>
      <c r="CI242" s="147"/>
      <c r="CJ242" s="147"/>
      <c r="CK242" s="147"/>
    </row>
    <row r="243" spans="1:89">
      <c r="A243" s="159" t="s">
        <v>431</v>
      </c>
      <c r="B243" s="3" t="s">
        <v>432</v>
      </c>
      <c r="C243" s="160" t="s">
        <v>74</v>
      </c>
      <c r="D243" s="160" t="s">
        <v>867</v>
      </c>
      <c r="E243" s="3" t="s">
        <v>25</v>
      </c>
      <c r="F243" s="3" t="s">
        <v>926</v>
      </c>
      <c r="G243" s="3" t="s">
        <v>926</v>
      </c>
      <c r="H243" s="156" t="str">
        <f ca="1">IFERROR(
  _xludf.MINIFS(ATTENDANCE_LOG!$F:$F,
         ATTENDANCE_LOG!$A:$A, C243,
         ATTENDANCE_LOG!$B:$B, E243),
"")</f>
        <v/>
      </c>
      <c r="I243" s="156" t="str">
        <f t="shared" ca="1" si="0"/>
        <v/>
      </c>
      <c r="J243" s="3">
        <f>IFERROR(VLOOKUP(F243, LEVEL_HELPER!$A:$B, 2, 0), "")</f>
        <v>1</v>
      </c>
      <c r="K243" s="3">
        <f>IFERROR(VLOOKUP(G243, LEVEL_HELPER!$A:$B, 2, 0), "")</f>
        <v>1</v>
      </c>
      <c r="L243" s="157" t="s">
        <v>942</v>
      </c>
      <c r="M243" s="157" t="s">
        <v>923</v>
      </c>
      <c r="N243" s="3">
        <f t="array" aca="1" ref="N243" ca="1">IFERROR(
  INDEX($J$2:$J$543,
    MATCH(A243&amp;TEXT(I243,"yyyy-mm-dd"),
          $A$2:$A$543&amp;TEXT($H$2:$H$543,"yyyy-mm-dd"),
          0)),
"")</f>
        <v>1</v>
      </c>
      <c r="O243" s="147" t="str">
        <f t="shared" ca="1" si="1"/>
        <v/>
      </c>
      <c r="P243" s="147">
        <f t="shared" ref="P243:Q243" ca="1" si="252">IF(N243="",0,IF(N243&lt;=2,1,IF(N243&lt;=4,2,IF(N243&lt;=5.5,3,4))))</f>
        <v>1</v>
      </c>
      <c r="Q243" s="147">
        <f t="shared" ca="1" si="252"/>
        <v>0</v>
      </c>
      <c r="R243" s="147" t="str">
        <f t="shared" ca="1" si="3"/>
        <v>Not tested yet</v>
      </c>
      <c r="S243" s="147">
        <f t="shared" si="4"/>
        <v>1</v>
      </c>
      <c r="T243" s="147"/>
      <c r="U243" s="147"/>
      <c r="V243" s="148" t="e">
        <f ca="1"/>
        <v>#NAME?</v>
      </c>
      <c r="W243" s="147" t="e">
        <f t="shared" ca="1" si="5"/>
        <v>#NAME?</v>
      </c>
      <c r="X243" s="147" t="e">
        <f t="shared" ca="1" si="6"/>
        <v>#NAME?</v>
      </c>
      <c r="Y243" s="147" t="e">
        <f t="shared" ca="1" si="7"/>
        <v>#NAME?</v>
      </c>
      <c r="Z243" s="147"/>
      <c r="AA243" s="147"/>
      <c r="AB243" s="147"/>
      <c r="AC243" s="147"/>
      <c r="AD243" s="147"/>
      <c r="AE243" s="147"/>
      <c r="AF243" s="147"/>
      <c r="AG243" s="147"/>
      <c r="AH243" s="147"/>
      <c r="AI243" s="147"/>
      <c r="AJ243" s="147"/>
      <c r="AK243" s="147"/>
      <c r="AL243" s="147"/>
      <c r="AM243" s="151"/>
      <c r="AN243" s="147"/>
      <c r="AO243" s="147"/>
      <c r="AP243" s="147"/>
      <c r="AQ243" s="147"/>
      <c r="AR243" s="147"/>
      <c r="AS243" s="147"/>
      <c r="AT243" s="147"/>
      <c r="AU243" s="147"/>
      <c r="AV243" s="147"/>
      <c r="AW243" s="147"/>
      <c r="AX243" s="147"/>
      <c r="AY243" s="147"/>
      <c r="AZ243" s="147"/>
      <c r="BA243" s="147"/>
      <c r="BB243" s="147"/>
      <c r="BC243" s="147"/>
      <c r="BD243" s="147"/>
      <c r="BE243" s="147"/>
      <c r="BF243" s="147"/>
      <c r="BG243" s="147"/>
      <c r="BH243" s="147"/>
      <c r="BI243" s="147"/>
      <c r="BJ243" s="147"/>
      <c r="BK243" s="147"/>
      <c r="BL243" s="147"/>
      <c r="BM243" s="147"/>
      <c r="BN243" s="147"/>
      <c r="BO243" s="147"/>
      <c r="BP243" s="147"/>
      <c r="BQ243" s="147"/>
      <c r="BR243" s="147"/>
      <c r="BS243" s="147"/>
      <c r="BT243" s="147"/>
      <c r="BU243" s="147"/>
      <c r="BV243" s="147"/>
      <c r="BW243" s="147"/>
      <c r="BX243" s="147"/>
      <c r="BY243" s="147"/>
      <c r="BZ243" s="147"/>
      <c r="CA243" s="147"/>
      <c r="CB243" s="147"/>
      <c r="CC243" s="147"/>
      <c r="CD243" s="147"/>
      <c r="CE243" s="147"/>
      <c r="CF243" s="147"/>
      <c r="CG243" s="147"/>
      <c r="CH243" s="147"/>
      <c r="CI243" s="147"/>
      <c r="CJ243" s="147"/>
      <c r="CK243" s="147"/>
    </row>
    <row r="244" spans="1:89">
      <c r="A244" s="159" t="s">
        <v>453</v>
      </c>
      <c r="B244" s="3" t="s">
        <v>454</v>
      </c>
      <c r="C244" s="160" t="s">
        <v>74</v>
      </c>
      <c r="D244" s="160" t="s">
        <v>867</v>
      </c>
      <c r="E244" s="3" t="s">
        <v>25</v>
      </c>
      <c r="F244" s="3" t="s">
        <v>926</v>
      </c>
      <c r="G244" s="3" t="s">
        <v>926</v>
      </c>
      <c r="H244" s="156" t="str">
        <f ca="1">IFERROR(
  _xludf.MINIFS(ATTENDANCE_LOG!$F:$F,
         ATTENDANCE_LOG!$A:$A, C244,
         ATTENDANCE_LOG!$B:$B, E244),
"")</f>
        <v/>
      </c>
      <c r="I244" s="156" t="str">
        <f t="shared" ca="1" si="0"/>
        <v/>
      </c>
      <c r="J244" s="3">
        <f>IFERROR(VLOOKUP(F244, LEVEL_HELPER!$A:$B, 2, 0), "")</f>
        <v>1</v>
      </c>
      <c r="K244" s="3">
        <f>IFERROR(VLOOKUP(G244, LEVEL_HELPER!$A:$B, 2, 0), "")</f>
        <v>1</v>
      </c>
      <c r="L244" s="157" t="s">
        <v>942</v>
      </c>
      <c r="M244" s="157" t="s">
        <v>923</v>
      </c>
      <c r="N244" s="3">
        <f t="array" aca="1" ref="N244" ca="1">IFERROR(
  INDEX($J$2:$J$543,
    MATCH(A244&amp;TEXT(I244,"yyyy-mm-dd"),
          $A$2:$A$543&amp;TEXT($H$2:$H$543,"yyyy-mm-dd"),
          0)),
"")</f>
        <v>1</v>
      </c>
      <c r="O244" s="147" t="str">
        <f t="shared" ca="1" si="1"/>
        <v/>
      </c>
      <c r="P244" s="147">
        <f t="shared" ref="P244:Q244" ca="1" si="253">IF(N244="",0,IF(N244&lt;=2,1,IF(N244&lt;=4,2,IF(N244&lt;=5.5,3,4))))</f>
        <v>1</v>
      </c>
      <c r="Q244" s="147">
        <f t="shared" ca="1" si="253"/>
        <v>0</v>
      </c>
      <c r="R244" s="147" t="str">
        <f t="shared" ca="1" si="3"/>
        <v>Not tested yet</v>
      </c>
      <c r="S244" s="147">
        <f t="shared" si="4"/>
        <v>1</v>
      </c>
      <c r="T244" s="147"/>
      <c r="U244" s="147"/>
      <c r="V244" s="148" t="e">
        <f ca="1"/>
        <v>#NAME?</v>
      </c>
      <c r="W244" s="147" t="e">
        <f t="shared" ca="1" si="5"/>
        <v>#NAME?</v>
      </c>
      <c r="X244" s="147" t="e">
        <f t="shared" ca="1" si="6"/>
        <v>#NAME?</v>
      </c>
      <c r="Y244" s="147" t="e">
        <f t="shared" ca="1" si="7"/>
        <v>#NAME?</v>
      </c>
      <c r="Z244" s="147"/>
      <c r="AA244" s="147"/>
      <c r="AB244" s="147"/>
      <c r="AC244" s="147"/>
      <c r="AD244" s="147"/>
      <c r="AE244" s="147"/>
      <c r="AF244" s="147"/>
      <c r="AG244" s="147"/>
      <c r="AH244" s="147"/>
      <c r="AI244" s="147"/>
      <c r="AJ244" s="147"/>
      <c r="AK244" s="147"/>
      <c r="AL244" s="147"/>
      <c r="AM244" s="151"/>
      <c r="AN244" s="147"/>
      <c r="AO244" s="147"/>
      <c r="AP244" s="147"/>
      <c r="AQ244" s="147"/>
      <c r="AR244" s="147"/>
      <c r="AS244" s="147"/>
      <c r="AT244" s="147"/>
      <c r="AU244" s="147"/>
      <c r="AV244" s="147"/>
      <c r="AW244" s="147"/>
      <c r="AX244" s="147"/>
      <c r="AY244" s="147"/>
      <c r="AZ244" s="147"/>
      <c r="BA244" s="147"/>
      <c r="BB244" s="147"/>
      <c r="BC244" s="147"/>
      <c r="BD244" s="147"/>
      <c r="BE244" s="147"/>
      <c r="BF244" s="147"/>
      <c r="BG244" s="147"/>
      <c r="BH244" s="147"/>
      <c r="BI244" s="147"/>
      <c r="BJ244" s="147"/>
      <c r="BK244" s="147"/>
      <c r="BL244" s="147"/>
      <c r="BM244" s="147"/>
      <c r="BN244" s="147"/>
      <c r="BO244" s="147"/>
      <c r="BP244" s="147"/>
      <c r="BQ244" s="147"/>
      <c r="BR244" s="147"/>
      <c r="BS244" s="147"/>
      <c r="BT244" s="147"/>
      <c r="BU244" s="147"/>
      <c r="BV244" s="147"/>
      <c r="BW244" s="147"/>
      <c r="BX244" s="147"/>
      <c r="BY244" s="147"/>
      <c r="BZ244" s="147"/>
      <c r="CA244" s="147"/>
      <c r="CB244" s="147"/>
      <c r="CC244" s="147"/>
      <c r="CD244" s="147"/>
      <c r="CE244" s="147"/>
      <c r="CF244" s="147"/>
      <c r="CG244" s="147"/>
      <c r="CH244" s="147"/>
      <c r="CI244" s="147"/>
      <c r="CJ244" s="147"/>
      <c r="CK244" s="147"/>
    </row>
    <row r="245" spans="1:89">
      <c r="A245" s="153" t="s">
        <v>224</v>
      </c>
      <c r="B245" s="154" t="s">
        <v>225</v>
      </c>
      <c r="C245" s="155" t="s">
        <v>74</v>
      </c>
      <c r="D245" s="155" t="s">
        <v>867</v>
      </c>
      <c r="E245" s="154" t="s">
        <v>21</v>
      </c>
      <c r="F245" s="3" t="s">
        <v>926</v>
      </c>
      <c r="G245" s="3" t="s">
        <v>917</v>
      </c>
      <c r="H245" s="156" t="str">
        <f ca="1">IFERROR(
  _xludf.MINIFS(ATTENDANCE_LOG!$F:$F,
         ATTENDANCE_LOG!$A:$A, C245,
         ATTENDANCE_LOG!$B:$B, E245),
"")</f>
        <v/>
      </c>
      <c r="I245" s="156" t="str">
        <f t="shared" ca="1" si="0"/>
        <v/>
      </c>
      <c r="J245" s="3">
        <f>IFERROR(VLOOKUP(F245, LEVEL_HELPER!$A:$B, 2, 0), "")</f>
        <v>1</v>
      </c>
      <c r="K245" s="3">
        <f>IFERROR(VLOOKUP(G245, LEVEL_HELPER!$A:$B, 2, 0), "")</f>
        <v>3</v>
      </c>
      <c r="L245" s="157" t="s">
        <v>942</v>
      </c>
      <c r="M245" s="157" t="s">
        <v>922</v>
      </c>
      <c r="N245" s="3">
        <f t="array" aca="1" ref="N245" ca="1">IFERROR(
  INDEX($J$2:$J$543,
    MATCH(A245&amp;TEXT(I245,"yyyy-mm-dd"),
          $A$2:$A$543&amp;TEXT($H$2:$H$543,"yyyy-mm-dd"),
          0)),
"")</f>
        <v>1</v>
      </c>
      <c r="O245" s="147" t="str">
        <f t="shared" ca="1" si="1"/>
        <v/>
      </c>
      <c r="P245" s="147">
        <f t="shared" ref="P245:Q245" ca="1" si="254">IF(N245="",0,IF(N245&lt;=2,1,IF(N245&lt;=4,2,IF(N245&lt;=5.5,3,4))))</f>
        <v>1</v>
      </c>
      <c r="Q245" s="147">
        <f t="shared" ca="1" si="254"/>
        <v>0</v>
      </c>
      <c r="R245" s="147" t="str">
        <f t="shared" ca="1" si="3"/>
        <v>Not tested yet</v>
      </c>
      <c r="S245" s="147">
        <f t="shared" si="4"/>
        <v>0</v>
      </c>
      <c r="T245" s="147"/>
      <c r="U245" s="147"/>
      <c r="V245" s="148" t="e">
        <f ca="1"/>
        <v>#NAME?</v>
      </c>
      <c r="W245" s="147" t="e">
        <f t="shared" ca="1" si="5"/>
        <v>#NAME?</v>
      </c>
      <c r="X245" s="147" t="e">
        <f t="shared" ca="1" si="6"/>
        <v>#NAME?</v>
      </c>
      <c r="Y245" s="147" t="e">
        <f t="shared" ca="1" si="7"/>
        <v>#NAME?</v>
      </c>
      <c r="Z245" s="147"/>
      <c r="AA245" s="147"/>
      <c r="AB245" s="147"/>
      <c r="AC245" s="147"/>
      <c r="AD245" s="147"/>
      <c r="AE245" s="147"/>
      <c r="AF245" s="147"/>
      <c r="AG245" s="147"/>
      <c r="AH245" s="147"/>
      <c r="AI245" s="147"/>
      <c r="AJ245" s="147"/>
      <c r="AK245" s="147"/>
      <c r="AL245" s="147"/>
      <c r="AM245" s="151"/>
      <c r="AN245" s="147"/>
      <c r="AO245" s="147"/>
      <c r="AP245" s="147"/>
      <c r="AQ245" s="147"/>
      <c r="AR245" s="147"/>
      <c r="AS245" s="147"/>
      <c r="AT245" s="147"/>
      <c r="AU245" s="147"/>
      <c r="AV245" s="147"/>
      <c r="AW245" s="147"/>
      <c r="AX245" s="147"/>
      <c r="AY245" s="147"/>
      <c r="AZ245" s="147"/>
      <c r="BA245" s="147"/>
      <c r="BB245" s="147"/>
      <c r="BC245" s="147"/>
      <c r="BD245" s="147"/>
      <c r="BE245" s="147"/>
      <c r="BF245" s="147"/>
      <c r="BG245" s="147"/>
      <c r="BH245" s="147"/>
      <c r="BI245" s="147"/>
      <c r="BJ245" s="147"/>
      <c r="BK245" s="147"/>
      <c r="BL245" s="147"/>
      <c r="BM245" s="147"/>
      <c r="BN245" s="147"/>
      <c r="BO245" s="147"/>
      <c r="BP245" s="147"/>
      <c r="BQ245" s="147"/>
      <c r="BR245" s="147"/>
      <c r="BS245" s="147"/>
      <c r="BT245" s="147"/>
      <c r="BU245" s="147"/>
      <c r="BV245" s="147"/>
      <c r="BW245" s="147"/>
      <c r="BX245" s="147"/>
      <c r="BY245" s="147"/>
      <c r="BZ245" s="147"/>
      <c r="CA245" s="147"/>
      <c r="CB245" s="147"/>
      <c r="CC245" s="147"/>
      <c r="CD245" s="147"/>
      <c r="CE245" s="147"/>
      <c r="CF245" s="147"/>
      <c r="CG245" s="147"/>
      <c r="CH245" s="147"/>
      <c r="CI245" s="147"/>
      <c r="CJ245" s="147"/>
      <c r="CK245" s="147"/>
    </row>
    <row r="246" spans="1:89">
      <c r="A246" s="159" t="s">
        <v>186</v>
      </c>
      <c r="B246" s="3" t="s">
        <v>187</v>
      </c>
      <c r="C246" s="160" t="s">
        <v>74</v>
      </c>
      <c r="D246" s="160" t="s">
        <v>867</v>
      </c>
      <c r="E246" s="3" t="s">
        <v>21</v>
      </c>
      <c r="F246" s="3" t="s">
        <v>926</v>
      </c>
      <c r="G246" s="3" t="s">
        <v>934</v>
      </c>
      <c r="H246" s="156" t="str">
        <f ca="1">IFERROR(
  _xludf.MINIFS(ATTENDANCE_LOG!$F:$F,
         ATTENDANCE_LOG!$A:$A, C246,
         ATTENDANCE_LOG!$B:$B, E246),
"")</f>
        <v/>
      </c>
      <c r="I246" s="156" t="str">
        <f t="shared" ca="1" si="0"/>
        <v/>
      </c>
      <c r="J246" s="3">
        <f>IFERROR(VLOOKUP(F246, LEVEL_HELPER!$A:$B, 2, 0), "")</f>
        <v>1</v>
      </c>
      <c r="K246" s="3">
        <f>IFERROR(VLOOKUP(G246, LEVEL_HELPER!$A:$B, 2, 0), "")</f>
        <v>3.5</v>
      </c>
      <c r="L246" s="157" t="s">
        <v>942</v>
      </c>
      <c r="M246" s="157" t="s">
        <v>923</v>
      </c>
      <c r="N246" s="3">
        <f t="array" aca="1" ref="N246" ca="1">IFERROR(
  INDEX($J$2:$J$543,
    MATCH(A246&amp;TEXT(I246,"yyyy-mm-dd"),
          $A$2:$A$543&amp;TEXT($H$2:$H$543,"yyyy-mm-dd"),
          0)),
"")</f>
        <v>1</v>
      </c>
      <c r="O246" s="147" t="str">
        <f t="shared" ca="1" si="1"/>
        <v/>
      </c>
      <c r="P246" s="147">
        <f t="shared" ref="P246:Q246" ca="1" si="255">IF(N246="",0,IF(N246&lt;=2,1,IF(N246&lt;=4,2,IF(N246&lt;=5.5,3,4))))</f>
        <v>1</v>
      </c>
      <c r="Q246" s="147">
        <f t="shared" ca="1" si="255"/>
        <v>0</v>
      </c>
      <c r="R246" s="147" t="str">
        <f t="shared" ca="1" si="3"/>
        <v>Not tested yet</v>
      </c>
      <c r="S246" s="147">
        <f t="shared" si="4"/>
        <v>0</v>
      </c>
      <c r="T246" s="147"/>
      <c r="U246" s="147"/>
      <c r="V246" s="148" t="e">
        <f ca="1"/>
        <v>#NAME?</v>
      </c>
      <c r="W246" s="147" t="e">
        <f t="shared" ca="1" si="5"/>
        <v>#NAME?</v>
      </c>
      <c r="X246" s="147" t="e">
        <f t="shared" ca="1" si="6"/>
        <v>#NAME?</v>
      </c>
      <c r="Y246" s="147" t="e">
        <f t="shared" ca="1" si="7"/>
        <v>#NAME?</v>
      </c>
      <c r="Z246" s="147"/>
      <c r="AA246" s="147"/>
      <c r="AB246" s="147"/>
      <c r="AC246" s="147"/>
      <c r="AD246" s="147"/>
      <c r="AE246" s="147"/>
      <c r="AF246" s="147"/>
      <c r="AG246" s="147"/>
      <c r="AH246" s="147"/>
      <c r="AI246" s="147"/>
      <c r="AJ246" s="147"/>
      <c r="AK246" s="147"/>
      <c r="AL246" s="147"/>
      <c r="AM246" s="151"/>
      <c r="AN246" s="147"/>
      <c r="AO246" s="147"/>
      <c r="AP246" s="147"/>
      <c r="AQ246" s="147"/>
      <c r="AR246" s="147"/>
      <c r="AS246" s="147"/>
      <c r="AT246" s="147"/>
      <c r="AU246" s="147"/>
      <c r="AV246" s="147"/>
      <c r="AW246" s="147"/>
      <c r="AX246" s="147"/>
      <c r="AY246" s="147"/>
      <c r="AZ246" s="147"/>
      <c r="BA246" s="147"/>
      <c r="BB246" s="147"/>
      <c r="BC246" s="147"/>
      <c r="BD246" s="147"/>
      <c r="BE246" s="147"/>
      <c r="BF246" s="147"/>
      <c r="BG246" s="147"/>
      <c r="BH246" s="147"/>
      <c r="BI246" s="147"/>
      <c r="BJ246" s="147"/>
      <c r="BK246" s="147"/>
      <c r="BL246" s="147"/>
      <c r="BM246" s="147"/>
      <c r="BN246" s="147"/>
      <c r="BO246" s="147"/>
      <c r="BP246" s="147"/>
      <c r="BQ246" s="147"/>
      <c r="BR246" s="147"/>
      <c r="BS246" s="147"/>
      <c r="BT246" s="147"/>
      <c r="BU246" s="147"/>
      <c r="BV246" s="147"/>
      <c r="BW246" s="147"/>
      <c r="BX246" s="147"/>
      <c r="BY246" s="147"/>
      <c r="BZ246" s="147"/>
      <c r="CA246" s="147"/>
      <c r="CB246" s="147"/>
      <c r="CC246" s="147"/>
      <c r="CD246" s="147"/>
      <c r="CE246" s="147"/>
      <c r="CF246" s="147"/>
      <c r="CG246" s="147"/>
      <c r="CH246" s="147"/>
      <c r="CI246" s="147"/>
      <c r="CJ246" s="147"/>
      <c r="CK246" s="147"/>
    </row>
    <row r="247" spans="1:89">
      <c r="A247" s="159" t="s">
        <v>382</v>
      </c>
      <c r="B247" s="3" t="s">
        <v>380</v>
      </c>
      <c r="C247" s="160" t="s">
        <v>74</v>
      </c>
      <c r="D247" s="160" t="s">
        <v>867</v>
      </c>
      <c r="E247" s="3" t="s">
        <v>21</v>
      </c>
      <c r="F247" s="3" t="s">
        <v>926</v>
      </c>
      <c r="G247" s="3" t="s">
        <v>917</v>
      </c>
      <c r="H247" s="156" t="str">
        <f ca="1">IFERROR(
  _xludf.MINIFS(ATTENDANCE_LOG!$F:$F,
         ATTENDANCE_LOG!$A:$A, C247,
         ATTENDANCE_LOG!$B:$B, E247),
"")</f>
        <v/>
      </c>
      <c r="I247" s="156" t="str">
        <f t="shared" ca="1" si="0"/>
        <v/>
      </c>
      <c r="J247" s="3">
        <f>IFERROR(VLOOKUP(F247, LEVEL_HELPER!$A:$B, 2, 0), "")</f>
        <v>1</v>
      </c>
      <c r="K247" s="3">
        <f>IFERROR(VLOOKUP(G247, LEVEL_HELPER!$A:$B, 2, 0), "")</f>
        <v>3</v>
      </c>
      <c r="L247" s="157" t="s">
        <v>942</v>
      </c>
      <c r="M247" s="157" t="s">
        <v>923</v>
      </c>
      <c r="N247" s="3">
        <f t="array" aca="1" ref="N247" ca="1">IFERROR(
  INDEX($J$2:$J$543,
    MATCH(A247&amp;TEXT(I247,"yyyy-mm-dd"),
          $A$2:$A$543&amp;TEXT($H$2:$H$543,"yyyy-mm-dd"),
          0)),
"")</f>
        <v>1</v>
      </c>
      <c r="O247" s="147" t="str">
        <f t="shared" ca="1" si="1"/>
        <v/>
      </c>
      <c r="P247" s="147">
        <f t="shared" ref="P247:Q247" ca="1" si="256">IF(N247="",0,IF(N247&lt;=2,1,IF(N247&lt;=4,2,IF(N247&lt;=5.5,3,4))))</f>
        <v>1</v>
      </c>
      <c r="Q247" s="147">
        <f t="shared" ca="1" si="256"/>
        <v>0</v>
      </c>
      <c r="R247" s="147" t="str">
        <f t="shared" ca="1" si="3"/>
        <v>Not tested yet</v>
      </c>
      <c r="S247" s="147">
        <f t="shared" si="4"/>
        <v>0</v>
      </c>
      <c r="T247" s="147"/>
      <c r="U247" s="147"/>
      <c r="V247" s="148" t="e">
        <f ca="1"/>
        <v>#NAME?</v>
      </c>
      <c r="W247" s="147" t="e">
        <f t="shared" ca="1" si="5"/>
        <v>#NAME?</v>
      </c>
      <c r="X247" s="147" t="e">
        <f t="shared" ca="1" si="6"/>
        <v>#NAME?</v>
      </c>
      <c r="Y247" s="147" t="e">
        <f t="shared" ca="1" si="7"/>
        <v>#NAME?</v>
      </c>
      <c r="Z247" s="147"/>
      <c r="AA247" s="147"/>
      <c r="AB247" s="147"/>
      <c r="AC247" s="147"/>
      <c r="AD247" s="147"/>
      <c r="AE247" s="147"/>
      <c r="AF247" s="147"/>
      <c r="AG247" s="147"/>
      <c r="AH247" s="147"/>
      <c r="AI247" s="147"/>
      <c r="AJ247" s="147"/>
      <c r="AK247" s="147"/>
      <c r="AL247" s="147"/>
      <c r="AM247" s="151"/>
      <c r="AN247" s="147"/>
      <c r="AO247" s="147"/>
      <c r="AP247" s="147"/>
      <c r="AQ247" s="147"/>
      <c r="AR247" s="147"/>
      <c r="AS247" s="147"/>
      <c r="AT247" s="147"/>
      <c r="AU247" s="147"/>
      <c r="AV247" s="147"/>
      <c r="AW247" s="147"/>
      <c r="AX247" s="147"/>
      <c r="AY247" s="147"/>
      <c r="AZ247" s="147"/>
      <c r="BA247" s="147"/>
      <c r="BB247" s="147"/>
      <c r="BC247" s="147"/>
      <c r="BD247" s="147"/>
      <c r="BE247" s="147"/>
      <c r="BF247" s="147"/>
      <c r="BG247" s="147"/>
      <c r="BH247" s="147"/>
      <c r="BI247" s="147"/>
      <c r="BJ247" s="147"/>
      <c r="BK247" s="147"/>
      <c r="BL247" s="147"/>
      <c r="BM247" s="147"/>
      <c r="BN247" s="147"/>
      <c r="BO247" s="147"/>
      <c r="BP247" s="147"/>
      <c r="BQ247" s="147"/>
      <c r="BR247" s="147"/>
      <c r="BS247" s="147"/>
      <c r="BT247" s="147"/>
      <c r="BU247" s="147"/>
      <c r="BV247" s="147"/>
      <c r="BW247" s="147"/>
      <c r="BX247" s="147"/>
      <c r="BY247" s="147"/>
      <c r="BZ247" s="147"/>
      <c r="CA247" s="147"/>
      <c r="CB247" s="147"/>
      <c r="CC247" s="147"/>
      <c r="CD247" s="147"/>
      <c r="CE247" s="147"/>
      <c r="CF247" s="147"/>
      <c r="CG247" s="147"/>
      <c r="CH247" s="147"/>
      <c r="CI247" s="147"/>
      <c r="CJ247" s="147"/>
      <c r="CK247" s="147"/>
    </row>
    <row r="248" spans="1:89">
      <c r="A248" s="159" t="s">
        <v>425</v>
      </c>
      <c r="B248" s="3" t="s">
        <v>426</v>
      </c>
      <c r="C248" s="160" t="s">
        <v>74</v>
      </c>
      <c r="D248" s="160" t="s">
        <v>867</v>
      </c>
      <c r="E248" s="3" t="s">
        <v>21</v>
      </c>
      <c r="F248" s="3" t="s">
        <v>926</v>
      </c>
      <c r="G248" s="3" t="s">
        <v>934</v>
      </c>
      <c r="H248" s="156" t="str">
        <f ca="1">IFERROR(
  _xludf.MINIFS(ATTENDANCE_LOG!$F:$F,
         ATTENDANCE_LOG!$A:$A, C248,
         ATTENDANCE_LOG!$B:$B, E248),
"")</f>
        <v/>
      </c>
      <c r="I248" s="156" t="str">
        <f t="shared" ca="1" si="0"/>
        <v/>
      </c>
      <c r="J248" s="3">
        <f>IFERROR(VLOOKUP(F248, LEVEL_HELPER!$A:$B, 2, 0), "")</f>
        <v>1</v>
      </c>
      <c r="K248" s="3">
        <f>IFERROR(VLOOKUP(G248, LEVEL_HELPER!$A:$B, 2, 0), "")</f>
        <v>3.5</v>
      </c>
      <c r="L248" s="157" t="s">
        <v>942</v>
      </c>
      <c r="M248" s="157" t="s">
        <v>922</v>
      </c>
      <c r="N248" s="3">
        <f t="array" aca="1" ref="N248" ca="1">IFERROR(
  INDEX($J$2:$J$543,
    MATCH(A248&amp;TEXT(I248,"yyyy-mm-dd"),
          $A$2:$A$543&amp;TEXT($H$2:$H$543,"yyyy-mm-dd"),
          0)),
"")</f>
        <v>1</v>
      </c>
      <c r="O248" s="147" t="str">
        <f t="shared" ca="1" si="1"/>
        <v/>
      </c>
      <c r="P248" s="147">
        <f t="shared" ref="P248:Q248" ca="1" si="257">IF(N248="",0,IF(N248&lt;=2,1,IF(N248&lt;=4,2,IF(N248&lt;=5.5,3,4))))</f>
        <v>1</v>
      </c>
      <c r="Q248" s="147">
        <f t="shared" ca="1" si="257"/>
        <v>0</v>
      </c>
      <c r="R248" s="147" t="str">
        <f t="shared" ca="1" si="3"/>
        <v>Not tested yet</v>
      </c>
      <c r="S248" s="147">
        <f t="shared" si="4"/>
        <v>0</v>
      </c>
      <c r="T248" s="147"/>
      <c r="U248" s="147"/>
      <c r="V248" s="148" t="e">
        <f ca="1"/>
        <v>#NAME?</v>
      </c>
      <c r="W248" s="147" t="e">
        <f t="shared" ca="1" si="5"/>
        <v>#NAME?</v>
      </c>
      <c r="X248" s="147" t="e">
        <f t="shared" ca="1" si="6"/>
        <v>#NAME?</v>
      </c>
      <c r="Y248" s="147" t="e">
        <f t="shared" ca="1" si="7"/>
        <v>#NAME?</v>
      </c>
      <c r="Z248" s="147"/>
      <c r="AA248" s="147"/>
      <c r="AB248" s="147"/>
      <c r="AC248" s="147"/>
      <c r="AD248" s="147"/>
      <c r="AE248" s="147"/>
      <c r="AF248" s="147"/>
      <c r="AG248" s="147"/>
      <c r="AH248" s="147"/>
      <c r="AI248" s="147"/>
      <c r="AJ248" s="147"/>
      <c r="AK248" s="147"/>
      <c r="AL248" s="147"/>
      <c r="AM248" s="151"/>
      <c r="AN248" s="147"/>
      <c r="AO248" s="147"/>
      <c r="AP248" s="147"/>
      <c r="AQ248" s="147"/>
      <c r="AR248" s="147"/>
      <c r="AS248" s="147"/>
      <c r="AT248" s="147"/>
      <c r="AU248" s="147"/>
      <c r="AV248" s="147"/>
      <c r="AW248" s="147"/>
      <c r="AX248" s="147"/>
      <c r="AY248" s="147"/>
      <c r="AZ248" s="147"/>
      <c r="BA248" s="147"/>
      <c r="BB248" s="147"/>
      <c r="BC248" s="147"/>
      <c r="BD248" s="147"/>
      <c r="BE248" s="147"/>
      <c r="BF248" s="147"/>
      <c r="BG248" s="147"/>
      <c r="BH248" s="147"/>
      <c r="BI248" s="147"/>
      <c r="BJ248" s="147"/>
      <c r="BK248" s="147"/>
      <c r="BL248" s="147"/>
      <c r="BM248" s="147"/>
      <c r="BN248" s="147"/>
      <c r="BO248" s="147"/>
      <c r="BP248" s="147"/>
      <c r="BQ248" s="147"/>
      <c r="BR248" s="147"/>
      <c r="BS248" s="147"/>
      <c r="BT248" s="147"/>
      <c r="BU248" s="147"/>
      <c r="BV248" s="147"/>
      <c r="BW248" s="147"/>
      <c r="BX248" s="147"/>
      <c r="BY248" s="147"/>
      <c r="BZ248" s="147"/>
      <c r="CA248" s="147"/>
      <c r="CB248" s="147"/>
      <c r="CC248" s="147"/>
      <c r="CD248" s="147"/>
      <c r="CE248" s="147"/>
      <c r="CF248" s="147"/>
      <c r="CG248" s="147"/>
      <c r="CH248" s="147"/>
      <c r="CI248" s="147"/>
      <c r="CJ248" s="147"/>
      <c r="CK248" s="147"/>
    </row>
    <row r="249" spans="1:89">
      <c r="A249" s="159" t="s">
        <v>431</v>
      </c>
      <c r="B249" s="3" t="s">
        <v>432</v>
      </c>
      <c r="C249" s="160" t="s">
        <v>74</v>
      </c>
      <c r="D249" s="160" t="s">
        <v>867</v>
      </c>
      <c r="E249" s="3" t="s">
        <v>21</v>
      </c>
      <c r="F249" s="3" t="s">
        <v>926</v>
      </c>
      <c r="G249" s="3" t="s">
        <v>940</v>
      </c>
      <c r="H249" s="156" t="str">
        <f ca="1">IFERROR(
  _xludf.MINIFS(ATTENDANCE_LOG!$F:$F,
         ATTENDANCE_LOG!$A:$A, C249,
         ATTENDANCE_LOG!$B:$B, E249),
"")</f>
        <v/>
      </c>
      <c r="I249" s="156" t="str">
        <f t="shared" ca="1" si="0"/>
        <v/>
      </c>
      <c r="J249" s="3">
        <f>IFERROR(VLOOKUP(F249, LEVEL_HELPER!$A:$B, 2, 0), "")</f>
        <v>1</v>
      </c>
      <c r="K249" s="3">
        <f>IFERROR(VLOOKUP(G249, LEVEL_HELPER!$A:$B, 2, 0), "")</f>
        <v>5</v>
      </c>
      <c r="L249" s="157" t="s">
        <v>942</v>
      </c>
      <c r="M249" s="157" t="s">
        <v>923</v>
      </c>
      <c r="N249" s="3">
        <f t="array" aca="1" ref="N249" ca="1">IFERROR(
  INDEX($J$2:$J$543,
    MATCH(A249&amp;TEXT(I249,"yyyy-mm-dd"),
          $A$2:$A$543&amp;TEXT($H$2:$H$543,"yyyy-mm-dd"),
          0)),
"")</f>
        <v>1</v>
      </c>
      <c r="O249" s="147" t="str">
        <f t="shared" ca="1" si="1"/>
        <v/>
      </c>
      <c r="P249" s="147">
        <f t="shared" ref="P249:Q249" ca="1" si="258">IF(N249="",0,IF(N249&lt;=2,1,IF(N249&lt;=4,2,IF(N249&lt;=5.5,3,4))))</f>
        <v>1</v>
      </c>
      <c r="Q249" s="147">
        <f t="shared" ca="1" si="258"/>
        <v>0</v>
      </c>
      <c r="R249" s="147" t="str">
        <f t="shared" ca="1" si="3"/>
        <v>Not tested yet</v>
      </c>
      <c r="S249" s="147">
        <f t="shared" si="4"/>
        <v>0</v>
      </c>
      <c r="T249" s="147"/>
      <c r="U249" s="147"/>
      <c r="V249" s="148" t="e">
        <f ca="1"/>
        <v>#NAME?</v>
      </c>
      <c r="W249" s="147" t="e">
        <f t="shared" ca="1" si="5"/>
        <v>#NAME?</v>
      </c>
      <c r="X249" s="147" t="e">
        <f t="shared" ca="1" si="6"/>
        <v>#NAME?</v>
      </c>
      <c r="Y249" s="147" t="e">
        <f t="shared" ca="1" si="7"/>
        <v>#NAME?</v>
      </c>
      <c r="Z249" s="147"/>
      <c r="AA249" s="147"/>
      <c r="AB249" s="147"/>
      <c r="AC249" s="147"/>
      <c r="AD249" s="147"/>
      <c r="AE249" s="147"/>
      <c r="AF249" s="147"/>
      <c r="AG249" s="147"/>
      <c r="AH249" s="147"/>
      <c r="AI249" s="147"/>
      <c r="AJ249" s="147"/>
      <c r="AK249" s="147"/>
      <c r="AL249" s="147"/>
      <c r="AM249" s="151"/>
      <c r="AN249" s="147"/>
      <c r="AO249" s="147"/>
      <c r="AP249" s="147"/>
      <c r="AQ249" s="147"/>
      <c r="AR249" s="147"/>
      <c r="AS249" s="147"/>
      <c r="AT249" s="147"/>
      <c r="AU249" s="147"/>
      <c r="AV249" s="147"/>
      <c r="AW249" s="147"/>
      <c r="AX249" s="147"/>
      <c r="AY249" s="147"/>
      <c r="AZ249" s="147"/>
      <c r="BA249" s="147"/>
      <c r="BB249" s="147"/>
      <c r="BC249" s="147"/>
      <c r="BD249" s="147"/>
      <c r="BE249" s="147"/>
      <c r="BF249" s="147"/>
      <c r="BG249" s="147"/>
      <c r="BH249" s="147"/>
      <c r="BI249" s="147"/>
      <c r="BJ249" s="147"/>
      <c r="BK249" s="147"/>
      <c r="BL249" s="147"/>
      <c r="BM249" s="147"/>
      <c r="BN249" s="147"/>
      <c r="BO249" s="147"/>
      <c r="BP249" s="147"/>
      <c r="BQ249" s="147"/>
      <c r="BR249" s="147"/>
      <c r="BS249" s="147"/>
      <c r="BT249" s="147"/>
      <c r="BU249" s="147"/>
      <c r="BV249" s="147"/>
      <c r="BW249" s="147"/>
      <c r="BX249" s="147"/>
      <c r="BY249" s="147"/>
      <c r="BZ249" s="147"/>
      <c r="CA249" s="147"/>
      <c r="CB249" s="147"/>
      <c r="CC249" s="147"/>
      <c r="CD249" s="147"/>
      <c r="CE249" s="147"/>
      <c r="CF249" s="147"/>
      <c r="CG249" s="147"/>
      <c r="CH249" s="147"/>
      <c r="CI249" s="147"/>
      <c r="CJ249" s="147"/>
      <c r="CK249" s="147"/>
    </row>
    <row r="250" spans="1:89">
      <c r="A250" s="159" t="s">
        <v>453</v>
      </c>
      <c r="B250" s="3" t="s">
        <v>454</v>
      </c>
      <c r="C250" s="160" t="s">
        <v>74</v>
      </c>
      <c r="D250" s="160" t="s">
        <v>867</v>
      </c>
      <c r="E250" s="3" t="s">
        <v>21</v>
      </c>
      <c r="F250" s="3" t="s">
        <v>926</v>
      </c>
      <c r="G250" s="3" t="s">
        <v>917</v>
      </c>
      <c r="H250" s="156" t="str">
        <f ca="1">IFERROR(
  _xludf.MINIFS(ATTENDANCE_LOG!$F:$F,
         ATTENDANCE_LOG!$A:$A, C250,
         ATTENDANCE_LOG!$B:$B, E250),
"")</f>
        <v/>
      </c>
      <c r="I250" s="156" t="str">
        <f t="shared" ca="1" si="0"/>
        <v/>
      </c>
      <c r="J250" s="3">
        <f>IFERROR(VLOOKUP(F250, LEVEL_HELPER!$A:$B, 2, 0), "")</f>
        <v>1</v>
      </c>
      <c r="K250" s="3">
        <f>IFERROR(VLOOKUP(G250, LEVEL_HELPER!$A:$B, 2, 0), "")</f>
        <v>3</v>
      </c>
      <c r="L250" s="157" t="s">
        <v>942</v>
      </c>
      <c r="M250" s="157" t="s">
        <v>923</v>
      </c>
      <c r="N250" s="3">
        <f t="array" aca="1" ref="N250" ca="1">IFERROR(
  INDEX($J$2:$J$543,
    MATCH(A250&amp;TEXT(I250,"yyyy-mm-dd"),
          $A$2:$A$543&amp;TEXT($H$2:$H$543,"yyyy-mm-dd"),
          0)),
"")</f>
        <v>1</v>
      </c>
      <c r="O250" s="147" t="str">
        <f t="shared" ca="1" si="1"/>
        <v/>
      </c>
      <c r="P250" s="147">
        <f t="shared" ref="P250:Q250" ca="1" si="259">IF(N250="",0,IF(N250&lt;=2,1,IF(N250&lt;=4,2,IF(N250&lt;=5.5,3,4))))</f>
        <v>1</v>
      </c>
      <c r="Q250" s="147">
        <f t="shared" ca="1" si="259"/>
        <v>0</v>
      </c>
      <c r="R250" s="147" t="str">
        <f t="shared" ca="1" si="3"/>
        <v>Not tested yet</v>
      </c>
      <c r="S250" s="147">
        <f t="shared" si="4"/>
        <v>0</v>
      </c>
      <c r="T250" s="147"/>
      <c r="U250" s="147"/>
      <c r="V250" s="148" t="e">
        <f ca="1"/>
        <v>#NAME?</v>
      </c>
      <c r="W250" s="147" t="e">
        <f t="shared" ca="1" si="5"/>
        <v>#NAME?</v>
      </c>
      <c r="X250" s="147" t="e">
        <f t="shared" ca="1" si="6"/>
        <v>#NAME?</v>
      </c>
      <c r="Y250" s="147" t="e">
        <f t="shared" ca="1" si="7"/>
        <v>#NAME?</v>
      </c>
      <c r="Z250" s="147"/>
      <c r="AA250" s="147"/>
      <c r="AB250" s="147"/>
      <c r="AC250" s="147"/>
      <c r="AD250" s="147"/>
      <c r="AE250" s="147"/>
      <c r="AF250" s="147"/>
      <c r="AG250" s="147"/>
      <c r="AH250" s="147"/>
      <c r="AI250" s="147"/>
      <c r="AJ250" s="147"/>
      <c r="AK250" s="147"/>
      <c r="AL250" s="147"/>
      <c r="AM250" s="151"/>
      <c r="AN250" s="147"/>
      <c r="AO250" s="147"/>
      <c r="AP250" s="147"/>
      <c r="AQ250" s="147"/>
      <c r="AR250" s="147"/>
      <c r="AS250" s="147"/>
      <c r="AT250" s="147"/>
      <c r="AU250" s="147"/>
      <c r="AV250" s="147"/>
      <c r="AW250" s="147"/>
      <c r="AX250" s="147"/>
      <c r="AY250" s="147"/>
      <c r="AZ250" s="147"/>
      <c r="BA250" s="147"/>
      <c r="BB250" s="147"/>
      <c r="BC250" s="147"/>
      <c r="BD250" s="147"/>
      <c r="BE250" s="147"/>
      <c r="BF250" s="147"/>
      <c r="BG250" s="147"/>
      <c r="BH250" s="147"/>
      <c r="BI250" s="147"/>
      <c r="BJ250" s="147"/>
      <c r="BK250" s="147"/>
      <c r="BL250" s="147"/>
      <c r="BM250" s="147"/>
      <c r="BN250" s="147"/>
      <c r="BO250" s="147"/>
      <c r="BP250" s="147"/>
      <c r="BQ250" s="147"/>
      <c r="BR250" s="147"/>
      <c r="BS250" s="147"/>
      <c r="BT250" s="147"/>
      <c r="BU250" s="147"/>
      <c r="BV250" s="147"/>
      <c r="BW250" s="147"/>
      <c r="BX250" s="147"/>
      <c r="BY250" s="147"/>
      <c r="BZ250" s="147"/>
      <c r="CA250" s="147"/>
      <c r="CB250" s="147"/>
      <c r="CC250" s="147"/>
      <c r="CD250" s="147"/>
      <c r="CE250" s="147"/>
      <c r="CF250" s="147"/>
      <c r="CG250" s="147"/>
      <c r="CH250" s="147"/>
      <c r="CI250" s="147"/>
      <c r="CJ250" s="147"/>
      <c r="CK250" s="147"/>
    </row>
    <row r="251" spans="1:89">
      <c r="A251" s="159" t="s">
        <v>492</v>
      </c>
      <c r="B251" s="3" t="s">
        <v>493</v>
      </c>
      <c r="C251" s="160" t="s">
        <v>74</v>
      </c>
      <c r="D251" s="160" t="s">
        <v>867</v>
      </c>
      <c r="E251" s="3" t="s">
        <v>21</v>
      </c>
      <c r="F251" s="3"/>
      <c r="G251" s="3"/>
      <c r="H251" s="156" t="str">
        <f ca="1">IFERROR(
  _xludf.MINIFS(ATTENDANCE_LOG!$F:$F,
         ATTENDANCE_LOG!$A:$A, C251,
         ATTENDANCE_LOG!$B:$B, E251),
"")</f>
        <v/>
      </c>
      <c r="I251" s="156" t="str">
        <f t="shared" ca="1" si="0"/>
        <v/>
      </c>
      <c r="J251" s="3" t="str">
        <f>IFERROR(VLOOKUP(F251, LEVEL_HELPER!$A:$B, 2, 0), "")</f>
        <v/>
      </c>
      <c r="K251" s="3" t="str">
        <f>IFERROR(VLOOKUP(G251, LEVEL_HELPER!$A:$B, 2, 0), "")</f>
        <v/>
      </c>
      <c r="L251" s="157" t="s">
        <v>942</v>
      </c>
      <c r="M251" s="157" t="s">
        <v>922</v>
      </c>
      <c r="N251" s="3" t="str">
        <f t="array" aca="1" ref="N251" ca="1">IFERROR(
  INDEX($J$2:$J$543,
    MATCH(A251&amp;TEXT(I251,"yyyy-mm-dd"),
          $A$2:$A$543&amp;TEXT($H$2:$H$543,"yyyy-mm-dd"),
          0)),
"")</f>
        <v/>
      </c>
      <c r="O251" s="147" t="str">
        <f t="shared" ca="1" si="1"/>
        <v/>
      </c>
      <c r="P251" s="147">
        <f t="shared" ref="P251:Q251" ca="1" si="260">IF(N251="",0,IF(N251&lt;=2,1,IF(N251&lt;=4,2,IF(N251&lt;=5.5,3,4))))</f>
        <v>0</v>
      </c>
      <c r="Q251" s="147">
        <f t="shared" ca="1" si="260"/>
        <v>0</v>
      </c>
      <c r="R251" s="147" t="str">
        <f t="shared" ca="1" si="3"/>
        <v>Not tested yet</v>
      </c>
      <c r="S251" s="147">
        <f t="shared" si="4"/>
        <v>1</v>
      </c>
      <c r="T251" s="147"/>
      <c r="U251" s="147"/>
      <c r="V251" s="148" t="e">
        <f ca="1"/>
        <v>#NAME?</v>
      </c>
      <c r="W251" s="147" t="e">
        <f t="shared" ca="1" si="5"/>
        <v>#NAME?</v>
      </c>
      <c r="X251" s="147" t="e">
        <f t="shared" ca="1" si="6"/>
        <v>#NAME?</v>
      </c>
      <c r="Y251" s="147" t="e">
        <f t="shared" ca="1" si="7"/>
        <v>#NAME?</v>
      </c>
      <c r="Z251" s="147"/>
      <c r="AA251" s="147"/>
      <c r="AB251" s="147"/>
      <c r="AC251" s="147"/>
      <c r="AD251" s="147"/>
      <c r="AE251" s="147"/>
      <c r="AF251" s="147"/>
      <c r="AG251" s="147"/>
      <c r="AH251" s="147"/>
      <c r="AI251" s="147"/>
      <c r="AJ251" s="147"/>
      <c r="AK251" s="147"/>
      <c r="AL251" s="147"/>
      <c r="AM251" s="151"/>
      <c r="AN251" s="147"/>
      <c r="AO251" s="147"/>
      <c r="AP251" s="147"/>
      <c r="AQ251" s="147"/>
      <c r="AR251" s="147"/>
      <c r="AS251" s="147"/>
      <c r="AT251" s="147"/>
      <c r="AU251" s="147"/>
      <c r="AV251" s="147"/>
      <c r="AW251" s="147"/>
      <c r="AX251" s="147"/>
      <c r="AY251" s="147"/>
      <c r="AZ251" s="147"/>
      <c r="BA251" s="147"/>
      <c r="BB251" s="147"/>
      <c r="BC251" s="147"/>
      <c r="BD251" s="147"/>
      <c r="BE251" s="147"/>
      <c r="BF251" s="147"/>
      <c r="BG251" s="147"/>
      <c r="BH251" s="147"/>
      <c r="BI251" s="147"/>
      <c r="BJ251" s="147"/>
      <c r="BK251" s="147"/>
      <c r="BL251" s="147"/>
      <c r="BM251" s="147"/>
      <c r="BN251" s="147"/>
      <c r="BO251" s="147"/>
      <c r="BP251" s="147"/>
      <c r="BQ251" s="147"/>
      <c r="BR251" s="147"/>
      <c r="BS251" s="147"/>
      <c r="BT251" s="147"/>
      <c r="BU251" s="147"/>
      <c r="BV251" s="147"/>
      <c r="BW251" s="147"/>
      <c r="BX251" s="147"/>
      <c r="BY251" s="147"/>
      <c r="BZ251" s="147"/>
      <c r="CA251" s="147"/>
      <c r="CB251" s="147"/>
      <c r="CC251" s="147"/>
      <c r="CD251" s="147"/>
      <c r="CE251" s="147"/>
      <c r="CF251" s="147"/>
      <c r="CG251" s="147"/>
      <c r="CH251" s="147"/>
      <c r="CI251" s="147"/>
      <c r="CJ251" s="147"/>
      <c r="CK251" s="147"/>
    </row>
    <row r="252" spans="1:89">
      <c r="A252" s="159" t="s">
        <v>591</v>
      </c>
      <c r="B252" s="3" t="s">
        <v>592</v>
      </c>
      <c r="C252" s="160" t="s">
        <v>74</v>
      </c>
      <c r="D252" s="160" t="s">
        <v>867</v>
      </c>
      <c r="E252" s="3" t="s">
        <v>21</v>
      </c>
      <c r="F252" s="3"/>
      <c r="G252" s="3"/>
      <c r="H252" s="156" t="str">
        <f ca="1">IFERROR(
  _xludf.MINIFS(ATTENDANCE_LOG!$F:$F,
         ATTENDANCE_LOG!$A:$A, C252,
         ATTENDANCE_LOG!$B:$B, E252),
"")</f>
        <v/>
      </c>
      <c r="I252" s="156" t="str">
        <f t="shared" ca="1" si="0"/>
        <v/>
      </c>
      <c r="J252" s="3" t="str">
        <f>IFERROR(VLOOKUP(F252, LEVEL_HELPER!$A:$B, 2, 0), "")</f>
        <v/>
      </c>
      <c r="K252" s="3" t="str">
        <f>IFERROR(VLOOKUP(G252, LEVEL_HELPER!$A:$B, 2, 0), "")</f>
        <v/>
      </c>
      <c r="L252" s="157" t="s">
        <v>942</v>
      </c>
      <c r="M252" s="157" t="s">
        <v>922</v>
      </c>
      <c r="N252" s="3" t="str">
        <f t="array" aca="1" ref="N252" ca="1">IFERROR(
  INDEX($J$2:$J$543,
    MATCH(A252&amp;TEXT(I252,"yyyy-mm-dd"),
          $A$2:$A$543&amp;TEXT($H$2:$H$543,"yyyy-mm-dd"),
          0)),
"")</f>
        <v/>
      </c>
      <c r="O252" s="147" t="str">
        <f t="shared" ca="1" si="1"/>
        <v/>
      </c>
      <c r="P252" s="147">
        <f t="shared" ref="P252:Q252" ca="1" si="261">IF(N252="",0,IF(N252&lt;=2,1,IF(N252&lt;=4,2,IF(N252&lt;=5.5,3,4))))</f>
        <v>0</v>
      </c>
      <c r="Q252" s="147">
        <f t="shared" ca="1" si="261"/>
        <v>0</v>
      </c>
      <c r="R252" s="147" t="str">
        <f t="shared" ca="1" si="3"/>
        <v>Not tested yet</v>
      </c>
      <c r="S252" s="147">
        <f t="shared" si="4"/>
        <v>1</v>
      </c>
      <c r="T252" s="147"/>
      <c r="U252" s="147"/>
      <c r="V252" s="148" t="e">
        <f ca="1"/>
        <v>#NAME?</v>
      </c>
      <c r="W252" s="147" t="e">
        <f t="shared" ca="1" si="5"/>
        <v>#NAME?</v>
      </c>
      <c r="X252" s="147" t="e">
        <f t="shared" ca="1" si="6"/>
        <v>#NAME?</v>
      </c>
      <c r="Y252" s="147" t="e">
        <f t="shared" ca="1" si="7"/>
        <v>#NAME?</v>
      </c>
      <c r="Z252" s="147"/>
      <c r="AA252" s="147"/>
      <c r="AB252" s="147"/>
      <c r="AC252" s="147"/>
      <c r="AD252" s="147"/>
      <c r="AE252" s="147"/>
      <c r="AF252" s="147"/>
      <c r="AG252" s="147"/>
      <c r="AH252" s="147"/>
      <c r="AI252" s="147"/>
      <c r="AJ252" s="147"/>
      <c r="AK252" s="147"/>
      <c r="AL252" s="147"/>
      <c r="AM252" s="151"/>
      <c r="AN252" s="147"/>
      <c r="AO252" s="147"/>
      <c r="AP252" s="147"/>
      <c r="AQ252" s="147"/>
      <c r="AR252" s="147"/>
      <c r="AS252" s="147"/>
      <c r="AT252" s="147"/>
      <c r="AU252" s="147"/>
      <c r="AV252" s="147"/>
      <c r="AW252" s="147"/>
      <c r="AX252" s="147"/>
      <c r="AY252" s="147"/>
      <c r="AZ252" s="147"/>
      <c r="BA252" s="147"/>
      <c r="BB252" s="147"/>
      <c r="BC252" s="147"/>
      <c r="BD252" s="147"/>
      <c r="BE252" s="147"/>
      <c r="BF252" s="147"/>
      <c r="BG252" s="147"/>
      <c r="BH252" s="147"/>
      <c r="BI252" s="147"/>
      <c r="BJ252" s="147"/>
      <c r="BK252" s="147"/>
      <c r="BL252" s="147"/>
      <c r="BM252" s="147"/>
      <c r="BN252" s="147"/>
      <c r="BO252" s="147"/>
      <c r="BP252" s="147"/>
      <c r="BQ252" s="147"/>
      <c r="BR252" s="147"/>
      <c r="BS252" s="147"/>
      <c r="BT252" s="147"/>
      <c r="BU252" s="147"/>
      <c r="BV252" s="147"/>
      <c r="BW252" s="147"/>
      <c r="BX252" s="147"/>
      <c r="BY252" s="147"/>
      <c r="BZ252" s="147"/>
      <c r="CA252" s="147"/>
      <c r="CB252" s="147"/>
      <c r="CC252" s="147"/>
      <c r="CD252" s="147"/>
      <c r="CE252" s="147"/>
      <c r="CF252" s="147"/>
      <c r="CG252" s="147"/>
      <c r="CH252" s="147"/>
      <c r="CI252" s="147"/>
      <c r="CJ252" s="147"/>
      <c r="CK252" s="147"/>
    </row>
    <row r="253" spans="1:89">
      <c r="A253" s="153" t="s">
        <v>224</v>
      </c>
      <c r="B253" s="154" t="s">
        <v>225</v>
      </c>
      <c r="C253" s="155" t="s">
        <v>74</v>
      </c>
      <c r="D253" s="155" t="s">
        <v>867</v>
      </c>
      <c r="E253" s="154" t="s">
        <v>22</v>
      </c>
      <c r="F253" s="3"/>
      <c r="G253" s="3"/>
      <c r="H253" s="156" t="str">
        <f ca="1">IFERROR(
  _xludf.MINIFS(ATTENDANCE_LOG!$F:$F,
         ATTENDANCE_LOG!$A:$A, C253,
         ATTENDANCE_LOG!$B:$B, E253),
"")</f>
        <v/>
      </c>
      <c r="I253" s="156" t="str">
        <f t="shared" ca="1" si="0"/>
        <v/>
      </c>
      <c r="J253" s="3" t="str">
        <f>IFERROR(VLOOKUP(F253, LEVEL_HELPER!$A:$B, 2, 0), "")</f>
        <v/>
      </c>
      <c r="K253" s="3" t="str">
        <f>IFERROR(VLOOKUP(G253, LEVEL_HELPER!$A:$B, 2, 0), "")</f>
        <v/>
      </c>
      <c r="L253" s="157" t="s">
        <v>942</v>
      </c>
      <c r="M253" s="157" t="s">
        <v>922</v>
      </c>
      <c r="N253" s="3">
        <f t="array" aca="1" ref="N253" ca="1">IFERROR(
  INDEX($J$2:$J$543,
    MATCH(A253&amp;TEXT(I253,"yyyy-mm-dd"),
          $A$2:$A$543&amp;TEXT($H$2:$H$543,"yyyy-mm-dd"),
          0)),
"")</f>
        <v>1</v>
      </c>
      <c r="O253" s="147" t="str">
        <f t="shared" ca="1" si="1"/>
        <v/>
      </c>
      <c r="P253" s="147">
        <f t="shared" ref="P253:Q253" ca="1" si="262">IF(N253="",0,IF(N253&lt;=2,1,IF(N253&lt;=4,2,IF(N253&lt;=5.5,3,4))))</f>
        <v>1</v>
      </c>
      <c r="Q253" s="147">
        <f t="shared" ca="1" si="262"/>
        <v>0</v>
      </c>
      <c r="R253" s="147" t="str">
        <f t="shared" ca="1" si="3"/>
        <v>Not tested yet</v>
      </c>
      <c r="S253" s="147">
        <f t="shared" si="4"/>
        <v>0</v>
      </c>
      <c r="T253" s="147"/>
      <c r="U253" s="147"/>
      <c r="V253" s="148" t="e">
        <f ca="1"/>
        <v>#NAME?</v>
      </c>
      <c r="W253" s="147" t="e">
        <f t="shared" ca="1" si="5"/>
        <v>#NAME?</v>
      </c>
      <c r="X253" s="147" t="e">
        <f t="shared" ca="1" si="6"/>
        <v>#NAME?</v>
      </c>
      <c r="Y253" s="147" t="e">
        <f t="shared" ca="1" si="7"/>
        <v>#NAME?</v>
      </c>
      <c r="Z253" s="147"/>
      <c r="AA253" s="147"/>
      <c r="AB253" s="147"/>
      <c r="AC253" s="147"/>
      <c r="AD253" s="147"/>
      <c r="AE253" s="147"/>
      <c r="AF253" s="147"/>
      <c r="AG253" s="147"/>
      <c r="AH253" s="147"/>
      <c r="AI253" s="147"/>
      <c r="AJ253" s="147"/>
      <c r="AK253" s="147"/>
      <c r="AL253" s="147"/>
      <c r="AM253" s="151"/>
      <c r="AN253" s="147"/>
      <c r="AO253" s="147"/>
      <c r="AP253" s="147"/>
      <c r="AQ253" s="147"/>
      <c r="AR253" s="147"/>
      <c r="AS253" s="147"/>
      <c r="AT253" s="147"/>
      <c r="AU253" s="147"/>
      <c r="AV253" s="147"/>
      <c r="AW253" s="147"/>
      <c r="AX253" s="147"/>
      <c r="AY253" s="147"/>
      <c r="AZ253" s="147"/>
      <c r="BA253" s="147"/>
      <c r="BB253" s="147"/>
      <c r="BC253" s="147"/>
      <c r="BD253" s="147"/>
      <c r="BE253" s="147"/>
      <c r="BF253" s="147"/>
      <c r="BG253" s="147"/>
      <c r="BH253" s="147"/>
      <c r="BI253" s="147"/>
      <c r="BJ253" s="147"/>
      <c r="BK253" s="147"/>
      <c r="BL253" s="147"/>
      <c r="BM253" s="147"/>
      <c r="BN253" s="147"/>
      <c r="BO253" s="147"/>
      <c r="BP253" s="147"/>
      <c r="BQ253" s="147"/>
      <c r="BR253" s="147"/>
      <c r="BS253" s="147"/>
      <c r="BT253" s="147"/>
      <c r="BU253" s="147"/>
      <c r="BV253" s="147"/>
      <c r="BW253" s="147"/>
      <c r="BX253" s="147"/>
      <c r="BY253" s="147"/>
      <c r="BZ253" s="147"/>
      <c r="CA253" s="147"/>
      <c r="CB253" s="147"/>
      <c r="CC253" s="147"/>
      <c r="CD253" s="147"/>
      <c r="CE253" s="147"/>
      <c r="CF253" s="147"/>
      <c r="CG253" s="147"/>
      <c r="CH253" s="147"/>
      <c r="CI253" s="147"/>
      <c r="CJ253" s="147"/>
      <c r="CK253" s="147"/>
    </row>
    <row r="254" spans="1:89">
      <c r="A254" s="159" t="s">
        <v>186</v>
      </c>
      <c r="B254" s="3" t="s">
        <v>187</v>
      </c>
      <c r="C254" s="160" t="s">
        <v>74</v>
      </c>
      <c r="D254" s="160" t="s">
        <v>867</v>
      </c>
      <c r="E254" s="3" t="s">
        <v>22</v>
      </c>
      <c r="F254" s="3"/>
      <c r="G254" s="3"/>
      <c r="H254" s="156" t="str">
        <f ca="1">IFERROR(
  _xludf.MINIFS(ATTENDANCE_LOG!$F:$F,
         ATTENDANCE_LOG!$A:$A, C254,
         ATTENDANCE_LOG!$B:$B, E254),
"")</f>
        <v/>
      </c>
      <c r="I254" s="156" t="str">
        <f t="shared" ca="1" si="0"/>
        <v/>
      </c>
      <c r="J254" s="3" t="str">
        <f>IFERROR(VLOOKUP(F254, LEVEL_HELPER!$A:$B, 2, 0), "")</f>
        <v/>
      </c>
      <c r="K254" s="3" t="str">
        <f>IFERROR(VLOOKUP(G254, LEVEL_HELPER!$A:$B, 2, 0), "")</f>
        <v/>
      </c>
      <c r="L254" s="157" t="s">
        <v>942</v>
      </c>
      <c r="M254" s="157" t="s">
        <v>923</v>
      </c>
      <c r="N254" s="3">
        <f t="array" aca="1" ref="N254" ca="1">IFERROR(
  INDEX($J$2:$J$543,
    MATCH(A254&amp;TEXT(I254,"yyyy-mm-dd"),
          $A$2:$A$543&amp;TEXT($H$2:$H$543,"yyyy-mm-dd"),
          0)),
"")</f>
        <v>1</v>
      </c>
      <c r="O254" s="147" t="str">
        <f t="shared" ca="1" si="1"/>
        <v/>
      </c>
      <c r="P254" s="147">
        <f t="shared" ref="P254:Q254" ca="1" si="263">IF(N254="",0,IF(N254&lt;=2,1,IF(N254&lt;=4,2,IF(N254&lt;=5.5,3,4))))</f>
        <v>1</v>
      </c>
      <c r="Q254" s="147">
        <f t="shared" ca="1" si="263"/>
        <v>0</v>
      </c>
      <c r="R254" s="147" t="str">
        <f t="shared" ca="1" si="3"/>
        <v>Not tested yet</v>
      </c>
      <c r="S254" s="147">
        <f t="shared" si="4"/>
        <v>0</v>
      </c>
      <c r="T254" s="147"/>
      <c r="U254" s="147"/>
      <c r="V254" s="148" t="e">
        <f ca="1"/>
        <v>#NAME?</v>
      </c>
      <c r="W254" s="147" t="e">
        <f t="shared" ca="1" si="5"/>
        <v>#NAME?</v>
      </c>
      <c r="X254" s="147" t="e">
        <f t="shared" ca="1" si="6"/>
        <v>#NAME?</v>
      </c>
      <c r="Y254" s="147" t="e">
        <f t="shared" ca="1" si="7"/>
        <v>#NAME?</v>
      </c>
      <c r="Z254" s="147"/>
      <c r="AA254" s="147"/>
      <c r="AB254" s="147"/>
      <c r="AC254" s="147"/>
      <c r="AD254" s="147"/>
      <c r="AE254" s="147"/>
      <c r="AF254" s="147"/>
      <c r="AG254" s="147"/>
      <c r="AH254" s="147"/>
      <c r="AI254" s="147"/>
      <c r="AJ254" s="147"/>
      <c r="AK254" s="147"/>
      <c r="AL254" s="147"/>
      <c r="AM254" s="151"/>
      <c r="AN254" s="147"/>
      <c r="AO254" s="147"/>
      <c r="AP254" s="147"/>
      <c r="AQ254" s="147"/>
      <c r="AR254" s="147"/>
      <c r="AS254" s="147"/>
      <c r="AT254" s="147"/>
      <c r="AU254" s="147"/>
      <c r="AV254" s="147"/>
      <c r="AW254" s="147"/>
      <c r="AX254" s="147"/>
      <c r="AY254" s="147"/>
      <c r="AZ254" s="147"/>
      <c r="BA254" s="147"/>
      <c r="BB254" s="147"/>
      <c r="BC254" s="147"/>
      <c r="BD254" s="147"/>
      <c r="BE254" s="147"/>
      <c r="BF254" s="147"/>
      <c r="BG254" s="147"/>
      <c r="BH254" s="147"/>
      <c r="BI254" s="147"/>
      <c r="BJ254" s="147"/>
      <c r="BK254" s="147"/>
      <c r="BL254" s="147"/>
      <c r="BM254" s="147"/>
      <c r="BN254" s="147"/>
      <c r="BO254" s="147"/>
      <c r="BP254" s="147"/>
      <c r="BQ254" s="147"/>
      <c r="BR254" s="147"/>
      <c r="BS254" s="147"/>
      <c r="BT254" s="147"/>
      <c r="BU254" s="147"/>
      <c r="BV254" s="147"/>
      <c r="BW254" s="147"/>
      <c r="BX254" s="147"/>
      <c r="BY254" s="147"/>
      <c r="BZ254" s="147"/>
      <c r="CA254" s="147"/>
      <c r="CB254" s="147"/>
      <c r="CC254" s="147"/>
      <c r="CD254" s="147"/>
      <c r="CE254" s="147"/>
      <c r="CF254" s="147"/>
      <c r="CG254" s="147"/>
      <c r="CH254" s="147"/>
      <c r="CI254" s="147"/>
      <c r="CJ254" s="147"/>
      <c r="CK254" s="147"/>
    </row>
    <row r="255" spans="1:89">
      <c r="A255" s="159" t="s">
        <v>382</v>
      </c>
      <c r="B255" s="3" t="s">
        <v>380</v>
      </c>
      <c r="C255" s="160" t="s">
        <v>74</v>
      </c>
      <c r="D255" s="160" t="s">
        <v>867</v>
      </c>
      <c r="E255" s="3" t="s">
        <v>22</v>
      </c>
      <c r="F255" s="3"/>
      <c r="G255" s="3"/>
      <c r="H255" s="156" t="str">
        <f ca="1">IFERROR(
  _xludf.MINIFS(ATTENDANCE_LOG!$F:$F,
         ATTENDANCE_LOG!$A:$A, C255,
         ATTENDANCE_LOG!$B:$B, E255),
"")</f>
        <v/>
      </c>
      <c r="I255" s="156" t="str">
        <f t="shared" ca="1" si="0"/>
        <v/>
      </c>
      <c r="J255" s="3" t="str">
        <f>IFERROR(VLOOKUP(F255, LEVEL_HELPER!$A:$B, 2, 0), "")</f>
        <v/>
      </c>
      <c r="K255" s="3" t="str">
        <f>IFERROR(VLOOKUP(G255, LEVEL_HELPER!$A:$B, 2, 0), "")</f>
        <v/>
      </c>
      <c r="L255" s="157" t="s">
        <v>942</v>
      </c>
      <c r="M255" s="157" t="s">
        <v>923</v>
      </c>
      <c r="N255" s="3">
        <f t="array" aca="1" ref="N255" ca="1">IFERROR(
  INDEX($J$2:$J$543,
    MATCH(A255&amp;TEXT(I255,"yyyy-mm-dd"),
          $A$2:$A$543&amp;TEXT($H$2:$H$543,"yyyy-mm-dd"),
          0)),
"")</f>
        <v>1</v>
      </c>
      <c r="O255" s="147" t="str">
        <f t="shared" ca="1" si="1"/>
        <v/>
      </c>
      <c r="P255" s="147">
        <f t="shared" ref="P255:Q255" ca="1" si="264">IF(N255="",0,IF(N255&lt;=2,1,IF(N255&lt;=4,2,IF(N255&lt;=5.5,3,4))))</f>
        <v>1</v>
      </c>
      <c r="Q255" s="147">
        <f t="shared" ca="1" si="264"/>
        <v>0</v>
      </c>
      <c r="R255" s="147" t="str">
        <f t="shared" ca="1" si="3"/>
        <v>Not tested yet</v>
      </c>
      <c r="S255" s="147">
        <f t="shared" si="4"/>
        <v>0</v>
      </c>
      <c r="T255" s="147"/>
      <c r="U255" s="147"/>
      <c r="V255" s="148" t="e">
        <f ca="1"/>
        <v>#NAME?</v>
      </c>
      <c r="W255" s="147" t="e">
        <f t="shared" ca="1" si="5"/>
        <v>#NAME?</v>
      </c>
      <c r="X255" s="147" t="e">
        <f t="shared" ca="1" si="6"/>
        <v>#NAME?</v>
      </c>
      <c r="Y255" s="147" t="e">
        <f t="shared" ca="1" si="7"/>
        <v>#NAME?</v>
      </c>
      <c r="Z255" s="147"/>
      <c r="AA255" s="147"/>
      <c r="AB255" s="147"/>
      <c r="AC255" s="147"/>
      <c r="AD255" s="147"/>
      <c r="AE255" s="147"/>
      <c r="AF255" s="147"/>
      <c r="AG255" s="147"/>
      <c r="AH255" s="147"/>
      <c r="AI255" s="147"/>
      <c r="AJ255" s="147"/>
      <c r="AK255" s="147"/>
      <c r="AL255" s="147"/>
      <c r="AM255" s="151"/>
      <c r="AN255" s="147"/>
      <c r="AO255" s="147"/>
      <c r="AP255" s="147"/>
      <c r="AQ255" s="147"/>
      <c r="AR255" s="147"/>
      <c r="AS255" s="147"/>
      <c r="AT255" s="147"/>
      <c r="AU255" s="147"/>
      <c r="AV255" s="147"/>
      <c r="AW255" s="147"/>
      <c r="AX255" s="147"/>
      <c r="AY255" s="147"/>
      <c r="AZ255" s="147"/>
      <c r="BA255" s="147"/>
      <c r="BB255" s="147"/>
      <c r="BC255" s="147"/>
      <c r="BD255" s="147"/>
      <c r="BE255" s="147"/>
      <c r="BF255" s="147"/>
      <c r="BG255" s="147"/>
      <c r="BH255" s="147"/>
      <c r="BI255" s="147"/>
      <c r="BJ255" s="147"/>
      <c r="BK255" s="147"/>
      <c r="BL255" s="147"/>
      <c r="BM255" s="147"/>
      <c r="BN255" s="147"/>
      <c r="BO255" s="147"/>
      <c r="BP255" s="147"/>
      <c r="BQ255" s="147"/>
      <c r="BR255" s="147"/>
      <c r="BS255" s="147"/>
      <c r="BT255" s="147"/>
      <c r="BU255" s="147"/>
      <c r="BV255" s="147"/>
      <c r="BW255" s="147"/>
      <c r="BX255" s="147"/>
      <c r="BY255" s="147"/>
      <c r="BZ255" s="147"/>
      <c r="CA255" s="147"/>
      <c r="CB255" s="147"/>
      <c r="CC255" s="147"/>
      <c r="CD255" s="147"/>
      <c r="CE255" s="147"/>
      <c r="CF255" s="147"/>
      <c r="CG255" s="147"/>
      <c r="CH255" s="147"/>
      <c r="CI255" s="147"/>
      <c r="CJ255" s="147"/>
      <c r="CK255" s="147"/>
    </row>
    <row r="256" spans="1:89">
      <c r="A256" s="159" t="s">
        <v>425</v>
      </c>
      <c r="B256" s="3" t="s">
        <v>426</v>
      </c>
      <c r="C256" s="160" t="s">
        <v>74</v>
      </c>
      <c r="D256" s="160" t="s">
        <v>867</v>
      </c>
      <c r="E256" s="3" t="s">
        <v>22</v>
      </c>
      <c r="F256" s="3"/>
      <c r="G256" s="3"/>
      <c r="H256" s="156" t="str">
        <f ca="1">IFERROR(
  _xludf.MINIFS(ATTENDANCE_LOG!$F:$F,
         ATTENDANCE_LOG!$A:$A, C256,
         ATTENDANCE_LOG!$B:$B, E256),
"")</f>
        <v/>
      </c>
      <c r="I256" s="156" t="str">
        <f t="shared" ca="1" si="0"/>
        <v/>
      </c>
      <c r="J256" s="3" t="str">
        <f>IFERROR(VLOOKUP(F256, LEVEL_HELPER!$A:$B, 2, 0), "")</f>
        <v/>
      </c>
      <c r="K256" s="3" t="str">
        <f>IFERROR(VLOOKUP(G256, LEVEL_HELPER!$A:$B, 2, 0), "")</f>
        <v/>
      </c>
      <c r="L256" s="157" t="s">
        <v>942</v>
      </c>
      <c r="M256" s="157" t="s">
        <v>922</v>
      </c>
      <c r="N256" s="3">
        <f t="array" aca="1" ref="N256" ca="1">IFERROR(
  INDEX($J$2:$J$543,
    MATCH(A256&amp;TEXT(I256,"yyyy-mm-dd"),
          $A$2:$A$543&amp;TEXT($H$2:$H$543,"yyyy-mm-dd"),
          0)),
"")</f>
        <v>1</v>
      </c>
      <c r="O256" s="147" t="str">
        <f t="shared" ca="1" si="1"/>
        <v/>
      </c>
      <c r="P256" s="147">
        <f t="shared" ref="P256:Q256" ca="1" si="265">IF(N256="",0,IF(N256&lt;=2,1,IF(N256&lt;=4,2,IF(N256&lt;=5.5,3,4))))</f>
        <v>1</v>
      </c>
      <c r="Q256" s="147">
        <f t="shared" ca="1" si="265"/>
        <v>0</v>
      </c>
      <c r="R256" s="147" t="str">
        <f t="shared" ca="1" si="3"/>
        <v>Not tested yet</v>
      </c>
      <c r="S256" s="147">
        <f t="shared" si="4"/>
        <v>0</v>
      </c>
      <c r="T256" s="147"/>
      <c r="U256" s="147"/>
      <c r="V256" s="148" t="e">
        <f ca="1"/>
        <v>#NAME?</v>
      </c>
      <c r="W256" s="147" t="e">
        <f t="shared" ca="1" si="5"/>
        <v>#NAME?</v>
      </c>
      <c r="X256" s="147" t="e">
        <f t="shared" ca="1" si="6"/>
        <v>#NAME?</v>
      </c>
      <c r="Y256" s="147" t="e">
        <f t="shared" ca="1" si="7"/>
        <v>#NAME?</v>
      </c>
      <c r="Z256" s="147"/>
      <c r="AA256" s="147"/>
      <c r="AB256" s="147"/>
      <c r="AC256" s="147"/>
      <c r="AD256" s="147"/>
      <c r="AE256" s="147"/>
      <c r="AF256" s="147"/>
      <c r="AG256" s="147"/>
      <c r="AH256" s="147"/>
      <c r="AI256" s="147"/>
      <c r="AJ256" s="147"/>
      <c r="AK256" s="147"/>
      <c r="AL256" s="147"/>
      <c r="AM256" s="151"/>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c r="BI256" s="147"/>
      <c r="BJ256" s="147"/>
      <c r="BK256" s="147"/>
      <c r="BL256" s="147"/>
      <c r="BM256" s="147"/>
      <c r="BN256" s="147"/>
      <c r="BO256" s="147"/>
      <c r="BP256" s="147"/>
      <c r="BQ256" s="147"/>
      <c r="BR256" s="147"/>
      <c r="BS256" s="147"/>
      <c r="BT256" s="147"/>
      <c r="BU256" s="147"/>
      <c r="BV256" s="147"/>
      <c r="BW256" s="147"/>
      <c r="BX256" s="147"/>
      <c r="BY256" s="147"/>
      <c r="BZ256" s="147"/>
      <c r="CA256" s="147"/>
      <c r="CB256" s="147"/>
      <c r="CC256" s="147"/>
      <c r="CD256" s="147"/>
      <c r="CE256" s="147"/>
      <c r="CF256" s="147"/>
      <c r="CG256" s="147"/>
      <c r="CH256" s="147"/>
      <c r="CI256" s="147"/>
      <c r="CJ256" s="147"/>
      <c r="CK256" s="147"/>
    </row>
    <row r="257" spans="1:89">
      <c r="A257" s="159" t="s">
        <v>431</v>
      </c>
      <c r="B257" s="3" t="s">
        <v>432</v>
      </c>
      <c r="C257" s="160" t="s">
        <v>74</v>
      </c>
      <c r="D257" s="160" t="s">
        <v>867</v>
      </c>
      <c r="E257" s="3" t="s">
        <v>22</v>
      </c>
      <c r="F257" s="3"/>
      <c r="G257" s="3"/>
      <c r="H257" s="156" t="str">
        <f ca="1">IFERROR(
  _xludf.MINIFS(ATTENDANCE_LOG!$F:$F,
         ATTENDANCE_LOG!$A:$A, C257,
         ATTENDANCE_LOG!$B:$B, E257),
"")</f>
        <v/>
      </c>
      <c r="I257" s="156" t="str">
        <f t="shared" ref="I257:I511" ca="1" si="266">IFERROR(
  _xludf.MINIFS($H:$H, $A:$A, A257, $H:$H, "&gt;"&amp;0),
"")</f>
        <v/>
      </c>
      <c r="J257" s="3" t="str">
        <f>IFERROR(VLOOKUP(F257, LEVEL_HELPER!$A:$B, 2, 0), "")</f>
        <v/>
      </c>
      <c r="K257" s="3" t="str">
        <f>IFERROR(VLOOKUP(G257, LEVEL_HELPER!$A:$B, 2, 0), "")</f>
        <v/>
      </c>
      <c r="L257" s="157" t="s">
        <v>942</v>
      </c>
      <c r="M257" s="157" t="s">
        <v>923</v>
      </c>
      <c r="N257" s="3">
        <f t="array" aca="1" ref="N257" ca="1">IFERROR(
  INDEX($J$2:$J$543,
    MATCH(A257&amp;TEXT(I257,"yyyy-mm-dd"),
          $A$2:$A$543&amp;TEXT($H$2:$H$543,"yyyy-mm-dd"),
          0)),
"")</f>
        <v>1</v>
      </c>
      <c r="O257" s="147" t="str">
        <f t="shared" ref="O257:O511" ca="1" si="267">IFERROR(_xludf.MAXIFS($K:$K, $A:$A, A257), "")</f>
        <v/>
      </c>
      <c r="P257" s="147">
        <f t="shared" ref="P257:Q257" ca="1" si="268">IF(N257="",0,IF(N257&lt;=2,1,IF(N257&lt;=4,2,IF(N257&lt;=5.5,3,4))))</f>
        <v>1</v>
      </c>
      <c r="Q257" s="147">
        <f t="shared" ca="1" si="268"/>
        <v>0</v>
      </c>
      <c r="R257" s="147" t="str">
        <f t="shared" ref="R257:R511" ca="1" si="269">IF(OR(O257=0, O257=""), "Not tested yet", IF(P257=0, "No Data", IF(Q257&lt;P257, "Regressed", IF(Q257=P257, IF(O257&gt;N257, "Progress within level", "No Progress"), IF(Q257-P257=1, "Lv"&amp;P257&amp;" → Lv"&amp;Q257, "Lv"&amp;P257&amp;" → Lv"&amp;Q257&amp;" (multi)")))))</f>
        <v>Not tested yet</v>
      </c>
      <c r="S257" s="147">
        <f t="shared" ref="S257:S511" si="270">IF(COUNTIF($A$2:A257,A257)=1,1,0)</f>
        <v>0</v>
      </c>
      <c r="T257" s="147"/>
      <c r="U257" s="147"/>
      <c r="V257" s="148" t="e">
        <f ca="1"/>
        <v>#NAME?</v>
      </c>
      <c r="W257" s="147" t="e">
        <f t="shared" ref="W257:W305" ca="1" si="271">VLOOKUP(V257,$A$2:$P1854,12,0)</f>
        <v>#NAME?</v>
      </c>
      <c r="X257" s="147" t="e">
        <f t="shared" ref="X257:X305" ca="1" si="272">_xludf.IFS(W257="QC","QC",OR(W257="BA",W257="BC"),"BA, BC",OR(W257="DEV",W257="TA"),"DEV, TA",OR(W257="HR",W257="Admin",W257="Management"),"HR, GA, Mgt",W257="GSD","GSD",OR(W257="PPO",W257="SM",W257="IM"),"PPO, SM, IM ",OR(W257="UI/UX",W257="Designer"),"UI/UX, Des")</f>
        <v>#NAME?</v>
      </c>
      <c r="Y257" s="147" t="e">
        <f t="shared" ref="Y257:Y305" ca="1" si="273">VLOOKUP(V257,$A$2:$P1854,13,0)</f>
        <v>#NAME?</v>
      </c>
      <c r="Z257" s="147"/>
      <c r="AA257" s="147"/>
      <c r="AB257" s="147"/>
      <c r="AC257" s="147"/>
      <c r="AD257" s="147"/>
      <c r="AE257" s="147"/>
      <c r="AF257" s="147"/>
      <c r="AG257" s="147"/>
      <c r="AH257" s="147"/>
      <c r="AI257" s="147"/>
      <c r="AJ257" s="147"/>
      <c r="AK257" s="147"/>
      <c r="AL257" s="147"/>
      <c r="AM257" s="151"/>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c r="BI257" s="147"/>
      <c r="BJ257" s="147"/>
      <c r="BK257" s="147"/>
      <c r="BL257" s="147"/>
      <c r="BM257" s="147"/>
      <c r="BN257" s="147"/>
      <c r="BO257" s="147"/>
      <c r="BP257" s="147"/>
      <c r="BQ257" s="147"/>
      <c r="BR257" s="147"/>
      <c r="BS257" s="147"/>
      <c r="BT257" s="147"/>
      <c r="BU257" s="147"/>
      <c r="BV257" s="147"/>
      <c r="BW257" s="147"/>
      <c r="BX257" s="147"/>
      <c r="BY257" s="147"/>
      <c r="BZ257" s="147"/>
      <c r="CA257" s="147"/>
      <c r="CB257" s="147"/>
      <c r="CC257" s="147"/>
      <c r="CD257" s="147"/>
      <c r="CE257" s="147"/>
      <c r="CF257" s="147"/>
      <c r="CG257" s="147"/>
      <c r="CH257" s="147"/>
      <c r="CI257" s="147"/>
      <c r="CJ257" s="147"/>
      <c r="CK257" s="147"/>
    </row>
    <row r="258" spans="1:89">
      <c r="A258" s="159" t="s">
        <v>453</v>
      </c>
      <c r="B258" s="3" t="s">
        <v>454</v>
      </c>
      <c r="C258" s="160" t="s">
        <v>74</v>
      </c>
      <c r="D258" s="160" t="s">
        <v>867</v>
      </c>
      <c r="E258" s="3" t="s">
        <v>22</v>
      </c>
      <c r="F258" s="3"/>
      <c r="G258" s="3"/>
      <c r="H258" s="156" t="str">
        <f ca="1">IFERROR(
  _xludf.MINIFS(ATTENDANCE_LOG!$F:$F,
         ATTENDANCE_LOG!$A:$A, C258,
         ATTENDANCE_LOG!$B:$B, E258),
"")</f>
        <v/>
      </c>
      <c r="I258" s="156" t="str">
        <f t="shared" ca="1" si="266"/>
        <v/>
      </c>
      <c r="J258" s="3" t="str">
        <f>IFERROR(VLOOKUP(F258, LEVEL_HELPER!$A:$B, 2, 0), "")</f>
        <v/>
      </c>
      <c r="K258" s="3" t="str">
        <f>IFERROR(VLOOKUP(G258, LEVEL_HELPER!$A:$B, 2, 0), "")</f>
        <v/>
      </c>
      <c r="L258" s="157" t="s">
        <v>942</v>
      </c>
      <c r="M258" s="157" t="s">
        <v>923</v>
      </c>
      <c r="N258" s="3">
        <f t="array" aca="1" ref="N258" ca="1">IFERROR(
  INDEX($J$2:$J$543,
    MATCH(A258&amp;TEXT(I258,"yyyy-mm-dd"),
          $A$2:$A$543&amp;TEXT($H$2:$H$543,"yyyy-mm-dd"),
          0)),
"")</f>
        <v>1</v>
      </c>
      <c r="O258" s="147" t="str">
        <f t="shared" ca="1" si="267"/>
        <v/>
      </c>
      <c r="P258" s="147">
        <f t="shared" ref="P258:Q258" ca="1" si="274">IF(N258="",0,IF(N258&lt;=2,1,IF(N258&lt;=4,2,IF(N258&lt;=5.5,3,4))))</f>
        <v>1</v>
      </c>
      <c r="Q258" s="147">
        <f t="shared" ca="1" si="274"/>
        <v>0</v>
      </c>
      <c r="R258" s="147" t="str">
        <f t="shared" ca="1" si="269"/>
        <v>Not tested yet</v>
      </c>
      <c r="S258" s="147">
        <f t="shared" si="270"/>
        <v>0</v>
      </c>
      <c r="T258" s="147"/>
      <c r="U258" s="147"/>
      <c r="V258" s="148" t="e">
        <f ca="1"/>
        <v>#NAME?</v>
      </c>
      <c r="W258" s="147" t="e">
        <f t="shared" ca="1" si="271"/>
        <v>#NAME?</v>
      </c>
      <c r="X258" s="147" t="e">
        <f t="shared" ca="1" si="272"/>
        <v>#NAME?</v>
      </c>
      <c r="Y258" s="147" t="e">
        <f t="shared" ca="1" si="273"/>
        <v>#NAME?</v>
      </c>
      <c r="Z258" s="147"/>
      <c r="AA258" s="147"/>
      <c r="AB258" s="147"/>
      <c r="AC258" s="147"/>
      <c r="AD258" s="147"/>
      <c r="AE258" s="147"/>
      <c r="AF258" s="147"/>
      <c r="AG258" s="147"/>
      <c r="AH258" s="147"/>
      <c r="AI258" s="147"/>
      <c r="AJ258" s="147"/>
      <c r="AK258" s="147"/>
      <c r="AL258" s="147"/>
      <c r="AM258" s="151"/>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c r="BI258" s="147"/>
      <c r="BJ258" s="147"/>
      <c r="BK258" s="147"/>
      <c r="BL258" s="147"/>
      <c r="BM258" s="147"/>
      <c r="BN258" s="147"/>
      <c r="BO258" s="147"/>
      <c r="BP258" s="147"/>
      <c r="BQ258" s="147"/>
      <c r="BR258" s="147"/>
      <c r="BS258" s="147"/>
      <c r="BT258" s="147"/>
      <c r="BU258" s="147"/>
      <c r="BV258" s="147"/>
      <c r="BW258" s="147"/>
      <c r="BX258" s="147"/>
      <c r="BY258" s="147"/>
      <c r="BZ258" s="147"/>
      <c r="CA258" s="147"/>
      <c r="CB258" s="147"/>
      <c r="CC258" s="147"/>
      <c r="CD258" s="147"/>
      <c r="CE258" s="147"/>
      <c r="CF258" s="147"/>
      <c r="CG258" s="147"/>
      <c r="CH258" s="147"/>
      <c r="CI258" s="147"/>
      <c r="CJ258" s="147"/>
      <c r="CK258" s="147"/>
    </row>
    <row r="259" spans="1:89">
      <c r="A259" s="159" t="s">
        <v>492</v>
      </c>
      <c r="B259" s="3" t="s">
        <v>493</v>
      </c>
      <c r="C259" s="160" t="s">
        <v>74</v>
      </c>
      <c r="D259" s="160" t="s">
        <v>867</v>
      </c>
      <c r="E259" s="3" t="s">
        <v>22</v>
      </c>
      <c r="F259" s="3"/>
      <c r="G259" s="3"/>
      <c r="H259" s="156" t="str">
        <f ca="1">IFERROR(
  _xludf.MINIFS(ATTENDANCE_LOG!$F:$F,
         ATTENDANCE_LOG!$A:$A, C259,
         ATTENDANCE_LOG!$B:$B, E259),
"")</f>
        <v/>
      </c>
      <c r="I259" s="156" t="str">
        <f t="shared" ca="1" si="266"/>
        <v/>
      </c>
      <c r="J259" s="3" t="str">
        <f>IFERROR(VLOOKUP(F259, LEVEL_HELPER!$A:$B, 2, 0), "")</f>
        <v/>
      </c>
      <c r="K259" s="3" t="str">
        <f>IFERROR(VLOOKUP(G259, LEVEL_HELPER!$A:$B, 2, 0), "")</f>
        <v/>
      </c>
      <c r="L259" s="157" t="s">
        <v>942</v>
      </c>
      <c r="M259" s="157" t="s">
        <v>922</v>
      </c>
      <c r="N259" s="3" t="str">
        <f t="array" aca="1" ref="N259" ca="1">IFERROR(
  INDEX($J$2:$J$543,
    MATCH(A259&amp;TEXT(I259,"yyyy-mm-dd"),
          $A$2:$A$543&amp;TEXT($H$2:$H$543,"yyyy-mm-dd"),
          0)),
"")</f>
        <v/>
      </c>
      <c r="O259" s="147" t="str">
        <f t="shared" ca="1" si="267"/>
        <v/>
      </c>
      <c r="P259" s="147">
        <f t="shared" ref="P259:Q259" ca="1" si="275">IF(N259="",0,IF(N259&lt;=2,1,IF(N259&lt;=4,2,IF(N259&lt;=5.5,3,4))))</f>
        <v>0</v>
      </c>
      <c r="Q259" s="147">
        <f t="shared" ca="1" si="275"/>
        <v>0</v>
      </c>
      <c r="R259" s="147" t="str">
        <f t="shared" ca="1" si="269"/>
        <v>Not tested yet</v>
      </c>
      <c r="S259" s="147">
        <f t="shared" si="270"/>
        <v>0</v>
      </c>
      <c r="T259" s="147"/>
      <c r="U259" s="147"/>
      <c r="V259" s="148" t="e">
        <f ca="1"/>
        <v>#NAME?</v>
      </c>
      <c r="W259" s="147" t="e">
        <f t="shared" ca="1" si="271"/>
        <v>#NAME?</v>
      </c>
      <c r="X259" s="147" t="e">
        <f t="shared" ca="1" si="272"/>
        <v>#NAME?</v>
      </c>
      <c r="Y259" s="147" t="e">
        <f t="shared" ca="1" si="273"/>
        <v>#NAME?</v>
      </c>
      <c r="Z259" s="147"/>
      <c r="AA259" s="147"/>
      <c r="AB259" s="147"/>
      <c r="AC259" s="147"/>
      <c r="AD259" s="147"/>
      <c r="AE259" s="147"/>
      <c r="AF259" s="147"/>
      <c r="AG259" s="147"/>
      <c r="AH259" s="147"/>
      <c r="AI259" s="147"/>
      <c r="AJ259" s="147"/>
      <c r="AK259" s="147"/>
      <c r="AL259" s="147"/>
      <c r="AM259" s="151"/>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c r="BI259" s="147"/>
      <c r="BJ259" s="147"/>
      <c r="BK259" s="147"/>
      <c r="BL259" s="147"/>
      <c r="BM259" s="147"/>
      <c r="BN259" s="147"/>
      <c r="BO259" s="147"/>
      <c r="BP259" s="147"/>
      <c r="BQ259" s="147"/>
      <c r="BR259" s="147"/>
      <c r="BS259" s="147"/>
      <c r="BT259" s="147"/>
      <c r="BU259" s="147"/>
      <c r="BV259" s="147"/>
      <c r="BW259" s="147"/>
      <c r="BX259" s="147"/>
      <c r="BY259" s="147"/>
      <c r="BZ259" s="147"/>
      <c r="CA259" s="147"/>
      <c r="CB259" s="147"/>
      <c r="CC259" s="147"/>
      <c r="CD259" s="147"/>
      <c r="CE259" s="147"/>
      <c r="CF259" s="147"/>
      <c r="CG259" s="147"/>
      <c r="CH259" s="147"/>
      <c r="CI259" s="147"/>
      <c r="CJ259" s="147"/>
      <c r="CK259" s="147"/>
    </row>
    <row r="260" spans="1:89">
      <c r="A260" s="159" t="s">
        <v>591</v>
      </c>
      <c r="B260" s="3" t="s">
        <v>592</v>
      </c>
      <c r="C260" s="160" t="s">
        <v>74</v>
      </c>
      <c r="D260" s="160" t="s">
        <v>867</v>
      </c>
      <c r="E260" s="3" t="s">
        <v>22</v>
      </c>
      <c r="F260" s="3"/>
      <c r="G260" s="3"/>
      <c r="H260" s="156" t="str">
        <f ca="1">IFERROR(
  _xludf.MINIFS(ATTENDANCE_LOG!$F:$F,
         ATTENDANCE_LOG!$A:$A, C260,
         ATTENDANCE_LOG!$B:$B, E260),
"")</f>
        <v/>
      </c>
      <c r="I260" s="156" t="str">
        <f t="shared" ca="1" si="266"/>
        <v/>
      </c>
      <c r="J260" s="3" t="str">
        <f>IFERROR(VLOOKUP(F260, LEVEL_HELPER!$A:$B, 2, 0), "")</f>
        <v/>
      </c>
      <c r="K260" s="3" t="str">
        <f>IFERROR(VLOOKUP(G260, LEVEL_HELPER!$A:$B, 2, 0), "")</f>
        <v/>
      </c>
      <c r="L260" s="157" t="s">
        <v>942</v>
      </c>
      <c r="M260" s="157" t="s">
        <v>922</v>
      </c>
      <c r="N260" s="3" t="str">
        <f t="array" aca="1" ref="N260" ca="1">IFERROR(
  INDEX($J$2:$J$543,
    MATCH(A260&amp;TEXT(I260,"yyyy-mm-dd"),
          $A$2:$A$543&amp;TEXT($H$2:$H$543,"yyyy-mm-dd"),
          0)),
"")</f>
        <v/>
      </c>
      <c r="O260" s="147" t="str">
        <f t="shared" ca="1" si="267"/>
        <v/>
      </c>
      <c r="P260" s="147">
        <f t="shared" ref="P260:Q260" ca="1" si="276">IF(N260="",0,IF(N260&lt;=2,1,IF(N260&lt;=4,2,IF(N260&lt;=5.5,3,4))))</f>
        <v>0</v>
      </c>
      <c r="Q260" s="147">
        <f t="shared" ca="1" si="276"/>
        <v>0</v>
      </c>
      <c r="R260" s="147" t="str">
        <f t="shared" ca="1" si="269"/>
        <v>Not tested yet</v>
      </c>
      <c r="S260" s="147">
        <f t="shared" si="270"/>
        <v>0</v>
      </c>
      <c r="T260" s="147"/>
      <c r="U260" s="147"/>
      <c r="V260" s="148" t="e">
        <f ca="1"/>
        <v>#NAME?</v>
      </c>
      <c r="W260" s="147" t="e">
        <f t="shared" ca="1" si="271"/>
        <v>#NAME?</v>
      </c>
      <c r="X260" s="147" t="e">
        <f t="shared" ca="1" si="272"/>
        <v>#NAME?</v>
      </c>
      <c r="Y260" s="147" t="e">
        <f t="shared" ca="1" si="273"/>
        <v>#NAME?</v>
      </c>
      <c r="Z260" s="147"/>
      <c r="AA260" s="147"/>
      <c r="AB260" s="147"/>
      <c r="AC260" s="147"/>
      <c r="AD260" s="147"/>
      <c r="AE260" s="147"/>
      <c r="AF260" s="147"/>
      <c r="AG260" s="147"/>
      <c r="AH260" s="147"/>
      <c r="AI260" s="147"/>
      <c r="AJ260" s="147"/>
      <c r="AK260" s="147"/>
      <c r="AL260" s="147"/>
      <c r="AM260" s="151"/>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c r="BI260" s="147"/>
      <c r="BJ260" s="147"/>
      <c r="BK260" s="147"/>
      <c r="BL260" s="147"/>
      <c r="BM260" s="147"/>
      <c r="BN260" s="147"/>
      <c r="BO260" s="147"/>
      <c r="BP260" s="147"/>
      <c r="BQ260" s="147"/>
      <c r="BR260" s="147"/>
      <c r="BS260" s="147"/>
      <c r="BT260" s="147"/>
      <c r="BU260" s="147"/>
      <c r="BV260" s="147"/>
      <c r="BW260" s="147"/>
      <c r="BX260" s="147"/>
      <c r="BY260" s="147"/>
      <c r="BZ260" s="147"/>
      <c r="CA260" s="147"/>
      <c r="CB260" s="147"/>
      <c r="CC260" s="147"/>
      <c r="CD260" s="147"/>
      <c r="CE260" s="147"/>
      <c r="CF260" s="147"/>
      <c r="CG260" s="147"/>
      <c r="CH260" s="147"/>
      <c r="CI260" s="147"/>
      <c r="CJ260" s="147"/>
      <c r="CK260" s="147"/>
    </row>
    <row r="261" spans="1:89">
      <c r="A261" s="159" t="s">
        <v>593</v>
      </c>
      <c r="B261" s="154" t="s">
        <v>594</v>
      </c>
      <c r="C261" s="155" t="s">
        <v>75</v>
      </c>
      <c r="D261" s="155" t="s">
        <v>868</v>
      </c>
      <c r="E261" s="154" t="s">
        <v>21</v>
      </c>
      <c r="F261" s="3" t="s">
        <v>926</v>
      </c>
      <c r="G261" s="3" t="s">
        <v>928</v>
      </c>
      <c r="H261" s="156" t="str">
        <f ca="1">IFERROR(
  _xludf.MINIFS(ATTENDANCE_LOG!$F:$F,
         ATTENDANCE_LOG!$A:$A, C261,
         ATTENDANCE_LOG!$B:$B, E261),
"")</f>
        <v/>
      </c>
      <c r="I261" s="156" t="str">
        <f t="shared" ca="1" si="266"/>
        <v/>
      </c>
      <c r="J261" s="3">
        <f>IFERROR(VLOOKUP(F261, LEVEL_HELPER!$A:$B, 2, 0), "")</f>
        <v>1</v>
      </c>
      <c r="K261" s="3">
        <f>IFERROR(VLOOKUP(G261, LEVEL_HELPER!$A:$B, 2, 0), "")</f>
        <v>1.5</v>
      </c>
      <c r="L261" s="157" t="s">
        <v>942</v>
      </c>
      <c r="M261" s="157" t="s">
        <v>923</v>
      </c>
      <c r="N261" s="3">
        <f t="array" aca="1" ref="N261" ca="1">IFERROR(
  INDEX($J$2:$J$543,
    MATCH(A261&amp;TEXT(I261,"yyyy-mm-dd"),
          $A$2:$A$543&amp;TEXT($H$2:$H$543,"yyyy-mm-dd"),
          0)),
"")</f>
        <v>1</v>
      </c>
      <c r="O261" s="147" t="str">
        <f t="shared" ca="1" si="267"/>
        <v/>
      </c>
      <c r="P261" s="147">
        <f t="shared" ref="P261:Q261" ca="1" si="277">IF(N261="",0,IF(N261&lt;=2,1,IF(N261&lt;=4,2,IF(N261&lt;=5.5,3,4))))</f>
        <v>1</v>
      </c>
      <c r="Q261" s="147">
        <f t="shared" ca="1" si="277"/>
        <v>0</v>
      </c>
      <c r="R261" s="147" t="str">
        <f t="shared" ca="1" si="269"/>
        <v>Not tested yet</v>
      </c>
      <c r="S261" s="147">
        <f t="shared" si="270"/>
        <v>1</v>
      </c>
      <c r="T261" s="147"/>
      <c r="U261" s="147"/>
      <c r="V261" s="148" t="e">
        <f ca="1"/>
        <v>#NAME?</v>
      </c>
      <c r="W261" s="147" t="e">
        <f t="shared" ca="1" si="271"/>
        <v>#NAME?</v>
      </c>
      <c r="X261" s="147" t="e">
        <f t="shared" ca="1" si="272"/>
        <v>#NAME?</v>
      </c>
      <c r="Y261" s="147" t="e">
        <f t="shared" ca="1" si="273"/>
        <v>#NAME?</v>
      </c>
      <c r="Z261" s="147"/>
      <c r="AA261" s="147"/>
      <c r="AB261" s="147"/>
      <c r="AC261" s="147"/>
      <c r="AD261" s="147"/>
      <c r="AE261" s="147"/>
      <c r="AF261" s="147"/>
      <c r="AG261" s="147"/>
      <c r="AH261" s="147"/>
      <c r="AI261" s="147"/>
      <c r="AJ261" s="147"/>
      <c r="AK261" s="147"/>
      <c r="AL261" s="147"/>
      <c r="AM261" s="151"/>
      <c r="AN261" s="147"/>
      <c r="AO261" s="147"/>
      <c r="AP261" s="147"/>
      <c r="AQ261" s="147"/>
      <c r="AR261" s="147"/>
      <c r="AS261" s="147"/>
      <c r="AT261" s="147"/>
      <c r="AU261" s="147"/>
      <c r="AV261" s="147"/>
      <c r="AW261" s="147"/>
      <c r="AX261" s="147"/>
      <c r="AY261" s="147"/>
      <c r="AZ261" s="147"/>
      <c r="BA261" s="147"/>
      <c r="BB261" s="147"/>
      <c r="BC261" s="147"/>
      <c r="BD261" s="147"/>
      <c r="BE261" s="147"/>
      <c r="BF261" s="147"/>
      <c r="BG261" s="147"/>
      <c r="BH261" s="147"/>
      <c r="BI261" s="147"/>
      <c r="BJ261" s="147"/>
      <c r="BK261" s="147"/>
      <c r="BL261" s="147"/>
      <c r="BM261" s="147"/>
      <c r="BN261" s="147"/>
      <c r="BO261" s="147"/>
      <c r="BP261" s="147"/>
      <c r="BQ261" s="147"/>
      <c r="BR261" s="147"/>
      <c r="BS261" s="147"/>
      <c r="BT261" s="147"/>
      <c r="BU261" s="147"/>
      <c r="BV261" s="147"/>
      <c r="BW261" s="147"/>
      <c r="BX261" s="147"/>
      <c r="BY261" s="147"/>
      <c r="BZ261" s="147"/>
      <c r="CA261" s="147"/>
      <c r="CB261" s="147"/>
      <c r="CC261" s="147"/>
      <c r="CD261" s="147"/>
      <c r="CE261" s="147"/>
      <c r="CF261" s="147"/>
      <c r="CG261" s="147"/>
      <c r="CH261" s="147"/>
      <c r="CI261" s="147"/>
      <c r="CJ261" s="147"/>
      <c r="CK261" s="147"/>
    </row>
    <row r="262" spans="1:89">
      <c r="A262" s="159" t="s">
        <v>173</v>
      </c>
      <c r="B262" s="3" t="s">
        <v>174</v>
      </c>
      <c r="C262" s="160" t="s">
        <v>75</v>
      </c>
      <c r="D262" s="160" t="s">
        <v>868</v>
      </c>
      <c r="E262" s="3" t="s">
        <v>21</v>
      </c>
      <c r="F262" s="3" t="s">
        <v>926</v>
      </c>
      <c r="G262" s="3" t="s">
        <v>917</v>
      </c>
      <c r="H262" s="156" t="str">
        <f ca="1">IFERROR(
  _xludf.MINIFS(ATTENDANCE_LOG!$F:$F,
         ATTENDANCE_LOG!$A:$A, C262,
         ATTENDANCE_LOG!$B:$B, E262),
"")</f>
        <v/>
      </c>
      <c r="I262" s="156" t="str">
        <f t="shared" ca="1" si="266"/>
        <v/>
      </c>
      <c r="J262" s="3">
        <f>IFERROR(VLOOKUP(F262, LEVEL_HELPER!$A:$B, 2, 0), "")</f>
        <v>1</v>
      </c>
      <c r="K262" s="3">
        <f>IFERROR(VLOOKUP(G262, LEVEL_HELPER!$A:$B, 2, 0), "")</f>
        <v>3</v>
      </c>
      <c r="L262" s="157" t="s">
        <v>942</v>
      </c>
      <c r="M262" s="157" t="s">
        <v>923</v>
      </c>
      <c r="N262" s="3">
        <f t="array" aca="1" ref="N262" ca="1">IFERROR(
  INDEX($J$2:$J$543,
    MATCH(A262&amp;TEXT(I262,"yyyy-mm-dd"),
          $A$2:$A$543&amp;TEXT($H$2:$H$543,"yyyy-mm-dd"),
          0)),
"")</f>
        <v>1</v>
      </c>
      <c r="O262" s="147" t="str">
        <f t="shared" ca="1" si="267"/>
        <v/>
      </c>
      <c r="P262" s="147">
        <f t="shared" ref="P262:Q262" ca="1" si="278">IF(N262="",0,IF(N262&lt;=2,1,IF(N262&lt;=4,2,IF(N262&lt;=5.5,3,4))))</f>
        <v>1</v>
      </c>
      <c r="Q262" s="147">
        <f t="shared" ca="1" si="278"/>
        <v>0</v>
      </c>
      <c r="R262" s="147" t="str">
        <f t="shared" ca="1" si="269"/>
        <v>Not tested yet</v>
      </c>
      <c r="S262" s="147">
        <f t="shared" si="270"/>
        <v>1</v>
      </c>
      <c r="T262" s="147"/>
      <c r="U262" s="147"/>
      <c r="V262" s="148" t="e">
        <f ca="1"/>
        <v>#NAME?</v>
      </c>
      <c r="W262" s="147" t="e">
        <f t="shared" ca="1" si="271"/>
        <v>#NAME?</v>
      </c>
      <c r="X262" s="147" t="e">
        <f t="shared" ca="1" si="272"/>
        <v>#NAME?</v>
      </c>
      <c r="Y262" s="147" t="e">
        <f t="shared" ca="1" si="273"/>
        <v>#NAME?</v>
      </c>
      <c r="Z262" s="147"/>
      <c r="AA262" s="147"/>
      <c r="AB262" s="147"/>
      <c r="AC262" s="147"/>
      <c r="AD262" s="147"/>
      <c r="AE262" s="147"/>
      <c r="AF262" s="147"/>
      <c r="AG262" s="147"/>
      <c r="AH262" s="147"/>
      <c r="AI262" s="147"/>
      <c r="AJ262" s="147"/>
      <c r="AK262" s="147"/>
      <c r="AL262" s="147"/>
      <c r="AM262" s="151"/>
      <c r="AN262" s="147"/>
      <c r="AO262" s="147"/>
      <c r="AP262" s="147"/>
      <c r="AQ262" s="147"/>
      <c r="AR262" s="147"/>
      <c r="AS262" s="147"/>
      <c r="AT262" s="147"/>
      <c r="AU262" s="147"/>
      <c r="AV262" s="147"/>
      <c r="AW262" s="147"/>
      <c r="AX262" s="147"/>
      <c r="AY262" s="147"/>
      <c r="AZ262" s="147"/>
      <c r="BA262" s="147"/>
      <c r="BB262" s="147"/>
      <c r="BC262" s="147"/>
      <c r="BD262" s="147"/>
      <c r="BE262" s="147"/>
      <c r="BF262" s="147"/>
      <c r="BG262" s="147"/>
      <c r="BH262" s="147"/>
      <c r="BI262" s="147"/>
      <c r="BJ262" s="147"/>
      <c r="BK262" s="147"/>
      <c r="BL262" s="147"/>
      <c r="BM262" s="147"/>
      <c r="BN262" s="147"/>
      <c r="BO262" s="147"/>
      <c r="BP262" s="147"/>
      <c r="BQ262" s="147"/>
      <c r="BR262" s="147"/>
      <c r="BS262" s="147"/>
      <c r="BT262" s="147"/>
      <c r="BU262" s="147"/>
      <c r="BV262" s="147"/>
      <c r="BW262" s="147"/>
      <c r="BX262" s="147"/>
      <c r="BY262" s="147"/>
      <c r="BZ262" s="147"/>
      <c r="CA262" s="147"/>
      <c r="CB262" s="147"/>
      <c r="CC262" s="147"/>
      <c r="CD262" s="147"/>
      <c r="CE262" s="147"/>
      <c r="CF262" s="147"/>
      <c r="CG262" s="147"/>
      <c r="CH262" s="147"/>
      <c r="CI262" s="147"/>
      <c r="CJ262" s="147"/>
      <c r="CK262" s="147"/>
    </row>
    <row r="263" spans="1:89">
      <c r="A263" s="159" t="s">
        <v>281</v>
      </c>
      <c r="B263" s="3" t="s">
        <v>282</v>
      </c>
      <c r="C263" s="160" t="s">
        <v>75</v>
      </c>
      <c r="D263" s="160" t="s">
        <v>868</v>
      </c>
      <c r="E263" s="3" t="s">
        <v>21</v>
      </c>
      <c r="F263" s="3" t="s">
        <v>926</v>
      </c>
      <c r="G263" s="3" t="s">
        <v>917</v>
      </c>
      <c r="H263" s="156" t="str">
        <f ca="1">IFERROR(
  _xludf.MINIFS(ATTENDANCE_LOG!$F:$F,
         ATTENDANCE_LOG!$A:$A, C263,
         ATTENDANCE_LOG!$B:$B, E263),
"")</f>
        <v/>
      </c>
      <c r="I263" s="156" t="str">
        <f t="shared" ca="1" si="266"/>
        <v/>
      </c>
      <c r="J263" s="3">
        <f>IFERROR(VLOOKUP(F263, LEVEL_HELPER!$A:$B, 2, 0), "")</f>
        <v>1</v>
      </c>
      <c r="K263" s="3">
        <f>IFERROR(VLOOKUP(G263, LEVEL_HELPER!$A:$B, 2, 0), "")</f>
        <v>3</v>
      </c>
      <c r="L263" s="157" t="s">
        <v>942</v>
      </c>
      <c r="M263" s="157" t="s">
        <v>923</v>
      </c>
      <c r="N263" s="3">
        <f t="array" aca="1" ref="N263" ca="1">IFERROR(
  INDEX($J$2:$J$543,
    MATCH(A263&amp;TEXT(I263,"yyyy-mm-dd"),
          $A$2:$A$543&amp;TEXT($H$2:$H$543,"yyyy-mm-dd"),
          0)),
"")</f>
        <v>1</v>
      </c>
      <c r="O263" s="147" t="str">
        <f t="shared" ca="1" si="267"/>
        <v/>
      </c>
      <c r="P263" s="147">
        <f t="shared" ref="P263:Q263" ca="1" si="279">IF(N263="",0,IF(N263&lt;=2,1,IF(N263&lt;=4,2,IF(N263&lt;=5.5,3,4))))</f>
        <v>1</v>
      </c>
      <c r="Q263" s="147">
        <f t="shared" ca="1" si="279"/>
        <v>0</v>
      </c>
      <c r="R263" s="147" t="str">
        <f t="shared" ca="1" si="269"/>
        <v>Not tested yet</v>
      </c>
      <c r="S263" s="147">
        <f t="shared" si="270"/>
        <v>1</v>
      </c>
      <c r="T263" s="147"/>
      <c r="U263" s="147"/>
      <c r="V263" s="148" t="e">
        <f ca="1"/>
        <v>#NAME?</v>
      </c>
      <c r="W263" s="147" t="e">
        <f t="shared" ca="1" si="271"/>
        <v>#NAME?</v>
      </c>
      <c r="X263" s="147" t="e">
        <f t="shared" ca="1" si="272"/>
        <v>#NAME?</v>
      </c>
      <c r="Y263" s="147" t="e">
        <f t="shared" ca="1" si="273"/>
        <v>#NAME?</v>
      </c>
      <c r="Z263" s="147"/>
      <c r="AA263" s="147"/>
      <c r="AB263" s="147"/>
      <c r="AC263" s="147"/>
      <c r="AD263" s="147"/>
      <c r="AE263" s="147"/>
      <c r="AF263" s="147"/>
      <c r="AG263" s="147"/>
      <c r="AH263" s="147"/>
      <c r="AI263" s="147"/>
      <c r="AJ263" s="147"/>
      <c r="AK263" s="147"/>
      <c r="AL263" s="147"/>
      <c r="AM263" s="151"/>
      <c r="AN263" s="147"/>
      <c r="AO263" s="147"/>
      <c r="AP263" s="147"/>
      <c r="AQ263" s="147"/>
      <c r="AR263" s="147"/>
      <c r="AS263" s="147"/>
      <c r="AT263" s="147"/>
      <c r="AU263" s="147"/>
      <c r="AV263" s="147"/>
      <c r="AW263" s="147"/>
      <c r="AX263" s="147"/>
      <c r="AY263" s="147"/>
      <c r="AZ263" s="147"/>
      <c r="BA263" s="147"/>
      <c r="BB263" s="147"/>
      <c r="BC263" s="147"/>
      <c r="BD263" s="147"/>
      <c r="BE263" s="147"/>
      <c r="BF263" s="147"/>
      <c r="BG263" s="147"/>
      <c r="BH263" s="147"/>
      <c r="BI263" s="147"/>
      <c r="BJ263" s="147"/>
      <c r="BK263" s="147"/>
      <c r="BL263" s="147"/>
      <c r="BM263" s="147"/>
      <c r="BN263" s="147"/>
      <c r="BO263" s="147"/>
      <c r="BP263" s="147"/>
      <c r="BQ263" s="147"/>
      <c r="BR263" s="147"/>
      <c r="BS263" s="147"/>
      <c r="BT263" s="147"/>
      <c r="BU263" s="147"/>
      <c r="BV263" s="147"/>
      <c r="BW263" s="147"/>
      <c r="BX263" s="147"/>
      <c r="BY263" s="147"/>
      <c r="BZ263" s="147"/>
      <c r="CA263" s="147"/>
      <c r="CB263" s="147"/>
      <c r="CC263" s="147"/>
      <c r="CD263" s="147"/>
      <c r="CE263" s="147"/>
      <c r="CF263" s="147"/>
      <c r="CG263" s="147"/>
      <c r="CH263" s="147"/>
      <c r="CI263" s="147"/>
      <c r="CJ263" s="147"/>
      <c r="CK263" s="147"/>
    </row>
    <row r="264" spans="1:89">
      <c r="A264" s="159" t="s">
        <v>336</v>
      </c>
      <c r="B264" s="3" t="s">
        <v>337</v>
      </c>
      <c r="C264" s="160" t="s">
        <v>75</v>
      </c>
      <c r="D264" s="160" t="s">
        <v>868</v>
      </c>
      <c r="E264" s="3" t="s">
        <v>21</v>
      </c>
      <c r="F264" s="3" t="s">
        <v>926</v>
      </c>
      <c r="G264" s="3" t="s">
        <v>934</v>
      </c>
      <c r="H264" s="156" t="str">
        <f ca="1">IFERROR(
  _xludf.MINIFS(ATTENDANCE_LOG!$F:$F,
         ATTENDANCE_LOG!$A:$A, C264,
         ATTENDANCE_LOG!$B:$B, E264),
"")</f>
        <v/>
      </c>
      <c r="I264" s="156" t="str">
        <f t="shared" ca="1" si="266"/>
        <v/>
      </c>
      <c r="J264" s="3">
        <f>IFERROR(VLOOKUP(F264, LEVEL_HELPER!$A:$B, 2, 0), "")</f>
        <v>1</v>
      </c>
      <c r="K264" s="3">
        <f>IFERROR(VLOOKUP(G264, LEVEL_HELPER!$A:$B, 2, 0), "")</f>
        <v>3.5</v>
      </c>
      <c r="L264" s="157" t="s">
        <v>918</v>
      </c>
      <c r="M264" s="157" t="s">
        <v>923</v>
      </c>
      <c r="N264" s="3">
        <f t="array" aca="1" ref="N264" ca="1">IFERROR(
  INDEX($J$2:$J$543,
    MATCH(A264&amp;TEXT(I264,"yyyy-mm-dd"),
          $A$2:$A$543&amp;TEXT($H$2:$H$543,"yyyy-mm-dd"),
          0)),
"")</f>
        <v>1</v>
      </c>
      <c r="O264" s="147" t="str">
        <f t="shared" ca="1" si="267"/>
        <v/>
      </c>
      <c r="P264" s="147">
        <f t="shared" ref="P264:Q264" ca="1" si="280">IF(N264="",0,IF(N264&lt;=2,1,IF(N264&lt;=4,2,IF(N264&lt;=5.5,3,4))))</f>
        <v>1</v>
      </c>
      <c r="Q264" s="147">
        <f t="shared" ca="1" si="280"/>
        <v>0</v>
      </c>
      <c r="R264" s="147" t="str">
        <f t="shared" ca="1" si="269"/>
        <v>Not tested yet</v>
      </c>
      <c r="S264" s="147">
        <f t="shared" si="270"/>
        <v>1</v>
      </c>
      <c r="T264" s="147"/>
      <c r="U264" s="147"/>
      <c r="V264" s="148" t="e">
        <f ca="1"/>
        <v>#NAME?</v>
      </c>
      <c r="W264" s="147" t="e">
        <f t="shared" ca="1" si="271"/>
        <v>#NAME?</v>
      </c>
      <c r="X264" s="147" t="e">
        <f t="shared" ca="1" si="272"/>
        <v>#NAME?</v>
      </c>
      <c r="Y264" s="147" t="e">
        <f t="shared" ca="1" si="273"/>
        <v>#NAME?</v>
      </c>
      <c r="Z264" s="147"/>
      <c r="AA264" s="147"/>
      <c r="AB264" s="147"/>
      <c r="AC264" s="147"/>
      <c r="AD264" s="147"/>
      <c r="AE264" s="147"/>
      <c r="AF264" s="147"/>
      <c r="AG264" s="147"/>
      <c r="AH264" s="147"/>
      <c r="AI264" s="147"/>
      <c r="AJ264" s="147"/>
      <c r="AK264" s="147"/>
      <c r="AL264" s="147"/>
      <c r="AM264" s="151"/>
      <c r="AN264" s="147"/>
      <c r="AO264" s="147"/>
      <c r="AP264" s="147"/>
      <c r="AQ264" s="147"/>
      <c r="AR264" s="147"/>
      <c r="AS264" s="147"/>
      <c r="AT264" s="147"/>
      <c r="AU264" s="147"/>
      <c r="AV264" s="147"/>
      <c r="AW264" s="147"/>
      <c r="AX264" s="147"/>
      <c r="AY264" s="147"/>
      <c r="AZ264" s="147"/>
      <c r="BA264" s="147"/>
      <c r="BB264" s="147"/>
      <c r="BC264" s="147"/>
      <c r="BD264" s="147"/>
      <c r="BE264" s="147"/>
      <c r="BF264" s="147"/>
      <c r="BG264" s="147"/>
      <c r="BH264" s="147"/>
      <c r="BI264" s="147"/>
      <c r="BJ264" s="147"/>
      <c r="BK264" s="147"/>
      <c r="BL264" s="147"/>
      <c r="BM264" s="147"/>
      <c r="BN264" s="147"/>
      <c r="BO264" s="147"/>
      <c r="BP264" s="147"/>
      <c r="BQ264" s="147"/>
      <c r="BR264" s="147"/>
      <c r="BS264" s="147"/>
      <c r="BT264" s="147"/>
      <c r="BU264" s="147"/>
      <c r="BV264" s="147"/>
      <c r="BW264" s="147"/>
      <c r="BX264" s="147"/>
      <c r="BY264" s="147"/>
      <c r="BZ264" s="147"/>
      <c r="CA264" s="147"/>
      <c r="CB264" s="147"/>
      <c r="CC264" s="147"/>
      <c r="CD264" s="147"/>
      <c r="CE264" s="147"/>
      <c r="CF264" s="147"/>
      <c r="CG264" s="147"/>
      <c r="CH264" s="147"/>
      <c r="CI264" s="147"/>
      <c r="CJ264" s="147"/>
      <c r="CK264" s="147"/>
    </row>
    <row r="265" spans="1:89">
      <c r="A265" s="159" t="s">
        <v>417</v>
      </c>
      <c r="B265" s="3" t="s">
        <v>418</v>
      </c>
      <c r="C265" s="160" t="s">
        <v>75</v>
      </c>
      <c r="D265" s="160" t="s">
        <v>868</v>
      </c>
      <c r="E265" s="3" t="s">
        <v>21</v>
      </c>
      <c r="F265" s="3" t="s">
        <v>926</v>
      </c>
      <c r="G265" s="3" t="s">
        <v>928</v>
      </c>
      <c r="H265" s="156" t="str">
        <f ca="1">IFERROR(
  _xludf.MINIFS(ATTENDANCE_LOG!$F:$F,
         ATTENDANCE_LOG!$A:$A, C265,
         ATTENDANCE_LOG!$B:$B, E265),
"")</f>
        <v/>
      </c>
      <c r="I265" s="156" t="str">
        <f t="shared" ca="1" si="266"/>
        <v/>
      </c>
      <c r="J265" s="3">
        <f>IFERROR(VLOOKUP(F265, LEVEL_HELPER!$A:$B, 2, 0), "")</f>
        <v>1</v>
      </c>
      <c r="K265" s="3">
        <f>IFERROR(VLOOKUP(G265, LEVEL_HELPER!$A:$B, 2, 0), "")</f>
        <v>1.5</v>
      </c>
      <c r="L265" s="157" t="s">
        <v>918</v>
      </c>
      <c r="M265" s="157" t="s">
        <v>923</v>
      </c>
      <c r="N265" s="3">
        <f t="array" aca="1" ref="N265" ca="1">IFERROR(
  INDEX($J$2:$J$543,
    MATCH(A265&amp;TEXT(I265,"yyyy-mm-dd"),
          $A$2:$A$543&amp;TEXT($H$2:$H$543,"yyyy-mm-dd"),
          0)),
"")</f>
        <v>1</v>
      </c>
      <c r="O265" s="147" t="str">
        <f t="shared" ca="1" si="267"/>
        <v/>
      </c>
      <c r="P265" s="147">
        <f t="shared" ref="P265:Q265" ca="1" si="281">IF(N265="",0,IF(N265&lt;=2,1,IF(N265&lt;=4,2,IF(N265&lt;=5.5,3,4))))</f>
        <v>1</v>
      </c>
      <c r="Q265" s="147">
        <f t="shared" ca="1" si="281"/>
        <v>0</v>
      </c>
      <c r="R265" s="147" t="str">
        <f t="shared" ca="1" si="269"/>
        <v>Not tested yet</v>
      </c>
      <c r="S265" s="147">
        <f t="shared" si="270"/>
        <v>1</v>
      </c>
      <c r="T265" s="147"/>
      <c r="U265" s="147"/>
      <c r="V265" s="148" t="e">
        <f ca="1"/>
        <v>#NAME?</v>
      </c>
      <c r="W265" s="147" t="e">
        <f t="shared" ca="1" si="271"/>
        <v>#NAME?</v>
      </c>
      <c r="X265" s="147" t="e">
        <f t="shared" ca="1" si="272"/>
        <v>#NAME?</v>
      </c>
      <c r="Y265" s="147" t="e">
        <f t="shared" ca="1" si="273"/>
        <v>#NAME?</v>
      </c>
      <c r="Z265" s="147"/>
      <c r="AA265" s="147"/>
      <c r="AB265" s="147"/>
      <c r="AC265" s="147"/>
      <c r="AD265" s="147"/>
      <c r="AE265" s="147"/>
      <c r="AF265" s="147"/>
      <c r="AG265" s="147"/>
      <c r="AH265" s="147"/>
      <c r="AI265" s="147"/>
      <c r="AJ265" s="147"/>
      <c r="AK265" s="147"/>
      <c r="AL265" s="147"/>
      <c r="AM265" s="151"/>
      <c r="AN265" s="147"/>
      <c r="AO265" s="147"/>
      <c r="AP265" s="147"/>
      <c r="AQ265" s="147"/>
      <c r="AR265" s="147"/>
      <c r="AS265" s="147"/>
      <c r="AT265" s="147"/>
      <c r="AU265" s="147"/>
      <c r="AV265" s="147"/>
      <c r="AW265" s="147"/>
      <c r="AX265" s="147"/>
      <c r="AY265" s="147"/>
      <c r="AZ265" s="147"/>
      <c r="BA265" s="147"/>
      <c r="BB265" s="147"/>
      <c r="BC265" s="147"/>
      <c r="BD265" s="147"/>
      <c r="BE265" s="147"/>
      <c r="BF265" s="147"/>
      <c r="BG265" s="147"/>
      <c r="BH265" s="147"/>
      <c r="BI265" s="147"/>
      <c r="BJ265" s="147"/>
      <c r="BK265" s="147"/>
      <c r="BL265" s="147"/>
      <c r="BM265" s="147"/>
      <c r="BN265" s="147"/>
      <c r="BO265" s="147"/>
      <c r="BP265" s="147"/>
      <c r="BQ265" s="147"/>
      <c r="BR265" s="147"/>
      <c r="BS265" s="147"/>
      <c r="BT265" s="147"/>
      <c r="BU265" s="147"/>
      <c r="BV265" s="147"/>
      <c r="BW265" s="147"/>
      <c r="BX265" s="147"/>
      <c r="BY265" s="147"/>
      <c r="BZ265" s="147"/>
      <c r="CA265" s="147"/>
      <c r="CB265" s="147"/>
      <c r="CC265" s="147"/>
      <c r="CD265" s="147"/>
      <c r="CE265" s="147"/>
      <c r="CF265" s="147"/>
      <c r="CG265" s="147"/>
      <c r="CH265" s="147"/>
      <c r="CI265" s="147"/>
      <c r="CJ265" s="147"/>
      <c r="CK265" s="147"/>
    </row>
    <row r="266" spans="1:89">
      <c r="A266" s="159" t="s">
        <v>587</v>
      </c>
      <c r="B266" s="3" t="s">
        <v>588</v>
      </c>
      <c r="C266" s="160" t="s">
        <v>75</v>
      </c>
      <c r="D266" s="160" t="s">
        <v>868</v>
      </c>
      <c r="E266" s="3" t="s">
        <v>21</v>
      </c>
      <c r="F266" s="3" t="s">
        <v>926</v>
      </c>
      <c r="G266" s="3" t="s">
        <v>917</v>
      </c>
      <c r="H266" s="156" t="str">
        <f ca="1">IFERROR(
  _xludf.MINIFS(ATTENDANCE_LOG!$F:$F,
         ATTENDANCE_LOG!$A:$A, C266,
         ATTENDANCE_LOG!$B:$B, E266),
"")</f>
        <v/>
      </c>
      <c r="I266" s="156" t="str">
        <f t="shared" ca="1" si="266"/>
        <v/>
      </c>
      <c r="J266" s="3">
        <f>IFERROR(VLOOKUP(F266, LEVEL_HELPER!$A:$B, 2, 0), "")</f>
        <v>1</v>
      </c>
      <c r="K266" s="3">
        <f>IFERROR(VLOOKUP(G266, LEVEL_HELPER!$A:$B, 2, 0), "")</f>
        <v>3</v>
      </c>
      <c r="L266" s="157" t="s">
        <v>942</v>
      </c>
      <c r="M266" s="157" t="s">
        <v>922</v>
      </c>
      <c r="N266" s="3">
        <f t="array" aca="1" ref="N266" ca="1">IFERROR(
  INDEX($J$2:$J$543,
    MATCH(A266&amp;TEXT(I266,"yyyy-mm-dd"),
          $A$2:$A$543&amp;TEXT($H$2:$H$543,"yyyy-mm-dd"),
          0)),
"")</f>
        <v>1</v>
      </c>
      <c r="O266" s="147" t="str">
        <f t="shared" ca="1" si="267"/>
        <v/>
      </c>
      <c r="P266" s="147">
        <f t="shared" ref="P266:Q266" ca="1" si="282">IF(N266="",0,IF(N266&lt;=2,1,IF(N266&lt;=4,2,IF(N266&lt;=5.5,3,4))))</f>
        <v>1</v>
      </c>
      <c r="Q266" s="147">
        <f t="shared" ca="1" si="282"/>
        <v>0</v>
      </c>
      <c r="R266" s="147" t="str">
        <f t="shared" ca="1" si="269"/>
        <v>Not tested yet</v>
      </c>
      <c r="S266" s="147">
        <f t="shared" si="270"/>
        <v>1</v>
      </c>
      <c r="T266" s="147"/>
      <c r="U266" s="147"/>
      <c r="V266" s="148" t="e">
        <f ca="1"/>
        <v>#NAME?</v>
      </c>
      <c r="W266" s="147" t="e">
        <f t="shared" ca="1" si="271"/>
        <v>#NAME?</v>
      </c>
      <c r="X266" s="147" t="e">
        <f t="shared" ca="1" si="272"/>
        <v>#NAME?</v>
      </c>
      <c r="Y266" s="147" t="e">
        <f t="shared" ca="1" si="273"/>
        <v>#NAME?</v>
      </c>
      <c r="Z266" s="147"/>
      <c r="AA266" s="147"/>
      <c r="AB266" s="147"/>
      <c r="AC266" s="147"/>
      <c r="AD266" s="147"/>
      <c r="AE266" s="147"/>
      <c r="AF266" s="147"/>
      <c r="AG266" s="147"/>
      <c r="AH266" s="147"/>
      <c r="AI266" s="147"/>
      <c r="AJ266" s="147"/>
      <c r="AK266" s="147"/>
      <c r="AL266" s="147"/>
      <c r="AM266" s="151"/>
      <c r="AN266" s="147"/>
      <c r="AO266" s="147"/>
      <c r="AP266" s="147"/>
      <c r="AQ266" s="147"/>
      <c r="AR266" s="147"/>
      <c r="AS266" s="147"/>
      <c r="AT266" s="147"/>
      <c r="AU266" s="147"/>
      <c r="AV266" s="147"/>
      <c r="AW266" s="147"/>
      <c r="AX266" s="147"/>
      <c r="AY266" s="147"/>
      <c r="AZ266" s="147"/>
      <c r="BA266" s="147"/>
      <c r="BB266" s="147"/>
      <c r="BC266" s="147"/>
      <c r="BD266" s="147"/>
      <c r="BE266" s="147"/>
      <c r="BF266" s="147"/>
      <c r="BG266" s="147"/>
      <c r="BH266" s="147"/>
      <c r="BI266" s="147"/>
      <c r="BJ266" s="147"/>
      <c r="BK266" s="147"/>
      <c r="BL266" s="147"/>
      <c r="BM266" s="147"/>
      <c r="BN266" s="147"/>
      <c r="BO266" s="147"/>
      <c r="BP266" s="147"/>
      <c r="BQ266" s="147"/>
      <c r="BR266" s="147"/>
      <c r="BS266" s="147"/>
      <c r="BT266" s="147"/>
      <c r="BU266" s="147"/>
      <c r="BV266" s="147"/>
      <c r="BW266" s="147"/>
      <c r="BX266" s="147"/>
      <c r="BY266" s="147"/>
      <c r="BZ266" s="147"/>
      <c r="CA266" s="147"/>
      <c r="CB266" s="147"/>
      <c r="CC266" s="147"/>
      <c r="CD266" s="147"/>
      <c r="CE266" s="147"/>
      <c r="CF266" s="147"/>
      <c r="CG266" s="147"/>
      <c r="CH266" s="147"/>
      <c r="CI266" s="147"/>
      <c r="CJ266" s="147"/>
      <c r="CK266" s="147"/>
    </row>
    <row r="267" spans="1:89">
      <c r="A267" s="159" t="s">
        <v>593</v>
      </c>
      <c r="B267" s="154" t="s">
        <v>594</v>
      </c>
      <c r="C267" s="155" t="s">
        <v>75</v>
      </c>
      <c r="D267" s="155" t="s">
        <v>868</v>
      </c>
      <c r="E267" s="154" t="s">
        <v>22</v>
      </c>
      <c r="F267" s="3" t="s">
        <v>928</v>
      </c>
      <c r="G267" s="3"/>
      <c r="H267" s="156" t="str">
        <f ca="1">IFERROR(
  _xludf.MINIFS(ATTENDANCE_LOG!$F:$F,
         ATTENDANCE_LOG!$A:$A, C267,
         ATTENDANCE_LOG!$B:$B, E267),
"")</f>
        <v/>
      </c>
      <c r="I267" s="156" t="str">
        <f t="shared" ca="1" si="266"/>
        <v/>
      </c>
      <c r="J267" s="3">
        <f>IFERROR(VLOOKUP(F267, LEVEL_HELPER!$A:$B, 2, 0), "")</f>
        <v>1.5</v>
      </c>
      <c r="K267" s="3" t="str">
        <f>IFERROR(VLOOKUP(G267, LEVEL_HELPER!$A:$B, 2, 0), "")</f>
        <v/>
      </c>
      <c r="L267" s="157" t="s">
        <v>942</v>
      </c>
      <c r="M267" s="157" t="s">
        <v>923</v>
      </c>
      <c r="N267" s="3">
        <f t="array" aca="1" ref="N267" ca="1">IFERROR(
  INDEX($J$2:$J$543,
    MATCH(A267&amp;TEXT(I267,"yyyy-mm-dd"),
          $A$2:$A$543&amp;TEXT($H$2:$H$543,"yyyy-mm-dd"),
          0)),
"")</f>
        <v>1</v>
      </c>
      <c r="O267" s="147" t="str">
        <f t="shared" ca="1" si="267"/>
        <v/>
      </c>
      <c r="P267" s="147">
        <f t="shared" ref="P267:Q267" ca="1" si="283">IF(N267="",0,IF(N267&lt;=2,1,IF(N267&lt;=4,2,IF(N267&lt;=5.5,3,4))))</f>
        <v>1</v>
      </c>
      <c r="Q267" s="147">
        <f t="shared" ca="1" si="283"/>
        <v>0</v>
      </c>
      <c r="R267" s="147" t="str">
        <f t="shared" ca="1" si="269"/>
        <v>Not tested yet</v>
      </c>
      <c r="S267" s="147">
        <f t="shared" si="270"/>
        <v>0</v>
      </c>
      <c r="T267" s="147"/>
      <c r="U267" s="147"/>
      <c r="V267" s="148" t="e">
        <f ca="1"/>
        <v>#NAME?</v>
      </c>
      <c r="W267" s="147" t="e">
        <f t="shared" ca="1" si="271"/>
        <v>#NAME?</v>
      </c>
      <c r="X267" s="147" t="e">
        <f t="shared" ca="1" si="272"/>
        <v>#NAME?</v>
      </c>
      <c r="Y267" s="147" t="e">
        <f t="shared" ca="1" si="273"/>
        <v>#NAME?</v>
      </c>
      <c r="Z267" s="147"/>
      <c r="AA267" s="147"/>
      <c r="AB267" s="147"/>
      <c r="AC267" s="147"/>
      <c r="AD267" s="147"/>
      <c r="AE267" s="147"/>
      <c r="AF267" s="147"/>
      <c r="AG267" s="147"/>
      <c r="AH267" s="147"/>
      <c r="AI267" s="147"/>
      <c r="AJ267" s="147"/>
      <c r="AK267" s="147"/>
      <c r="AL267" s="147"/>
      <c r="AM267" s="151"/>
      <c r="AN267" s="147"/>
      <c r="AO267" s="147"/>
      <c r="AP267" s="147"/>
      <c r="AQ267" s="147"/>
      <c r="AR267" s="147"/>
      <c r="AS267" s="147"/>
      <c r="AT267" s="147"/>
      <c r="AU267" s="147"/>
      <c r="AV267" s="147"/>
      <c r="AW267" s="147"/>
      <c r="AX267" s="147"/>
      <c r="AY267" s="147"/>
      <c r="AZ267" s="147"/>
      <c r="BA267" s="147"/>
      <c r="BB267" s="147"/>
      <c r="BC267" s="147"/>
      <c r="BD267" s="147"/>
      <c r="BE267" s="147"/>
      <c r="BF267" s="147"/>
      <c r="BG267" s="147"/>
      <c r="BH267" s="147"/>
      <c r="BI267" s="147"/>
      <c r="BJ267" s="147"/>
      <c r="BK267" s="147"/>
      <c r="BL267" s="147"/>
      <c r="BM267" s="147"/>
      <c r="BN267" s="147"/>
      <c r="BO267" s="147"/>
      <c r="BP267" s="147"/>
      <c r="BQ267" s="147"/>
      <c r="BR267" s="147"/>
      <c r="BS267" s="147"/>
      <c r="BT267" s="147"/>
      <c r="BU267" s="147"/>
      <c r="BV267" s="147"/>
      <c r="BW267" s="147"/>
      <c r="BX267" s="147"/>
      <c r="BY267" s="147"/>
      <c r="BZ267" s="147"/>
      <c r="CA267" s="147"/>
      <c r="CB267" s="147"/>
      <c r="CC267" s="147"/>
      <c r="CD267" s="147"/>
      <c r="CE267" s="147"/>
      <c r="CF267" s="147"/>
      <c r="CG267" s="147"/>
      <c r="CH267" s="147"/>
      <c r="CI267" s="147"/>
      <c r="CJ267" s="147"/>
      <c r="CK267" s="147"/>
    </row>
    <row r="268" spans="1:89">
      <c r="A268" s="159" t="s">
        <v>173</v>
      </c>
      <c r="B268" s="3" t="s">
        <v>174</v>
      </c>
      <c r="C268" s="160" t="s">
        <v>75</v>
      </c>
      <c r="D268" s="160" t="s">
        <v>868</v>
      </c>
      <c r="E268" s="3" t="s">
        <v>22</v>
      </c>
      <c r="F268" s="3" t="s">
        <v>917</v>
      </c>
      <c r="G268" s="3"/>
      <c r="H268" s="156" t="str">
        <f ca="1">IFERROR(
  _xludf.MINIFS(ATTENDANCE_LOG!$F:$F,
         ATTENDANCE_LOG!$A:$A, C268,
         ATTENDANCE_LOG!$B:$B, E268),
"")</f>
        <v/>
      </c>
      <c r="I268" s="156" t="str">
        <f t="shared" ca="1" si="266"/>
        <v/>
      </c>
      <c r="J268" s="3">
        <f>IFERROR(VLOOKUP(F268, LEVEL_HELPER!$A:$B, 2, 0), "")</f>
        <v>3</v>
      </c>
      <c r="K268" s="3" t="str">
        <f>IFERROR(VLOOKUP(G268, LEVEL_HELPER!$A:$B, 2, 0), "")</f>
        <v/>
      </c>
      <c r="L268" s="157" t="s">
        <v>942</v>
      </c>
      <c r="M268" s="157" t="s">
        <v>923</v>
      </c>
      <c r="N268" s="3">
        <f t="array" aca="1" ref="N268" ca="1">IFERROR(
  INDEX($J$2:$J$543,
    MATCH(A268&amp;TEXT(I268,"yyyy-mm-dd"),
          $A$2:$A$543&amp;TEXT($H$2:$H$543,"yyyy-mm-dd"),
          0)),
"")</f>
        <v>1</v>
      </c>
      <c r="O268" s="147" t="str">
        <f t="shared" ca="1" si="267"/>
        <v/>
      </c>
      <c r="P268" s="147">
        <f t="shared" ref="P268:Q268" ca="1" si="284">IF(N268="",0,IF(N268&lt;=2,1,IF(N268&lt;=4,2,IF(N268&lt;=5.5,3,4))))</f>
        <v>1</v>
      </c>
      <c r="Q268" s="147">
        <f t="shared" ca="1" si="284"/>
        <v>0</v>
      </c>
      <c r="R268" s="147" t="str">
        <f t="shared" ca="1" si="269"/>
        <v>Not tested yet</v>
      </c>
      <c r="S268" s="147">
        <f t="shared" si="270"/>
        <v>0</v>
      </c>
      <c r="T268" s="147"/>
      <c r="U268" s="147"/>
      <c r="V268" s="148" t="e">
        <f ca="1"/>
        <v>#NAME?</v>
      </c>
      <c r="W268" s="147" t="e">
        <f t="shared" ca="1" si="271"/>
        <v>#NAME?</v>
      </c>
      <c r="X268" s="147" t="e">
        <f t="shared" ca="1" si="272"/>
        <v>#NAME?</v>
      </c>
      <c r="Y268" s="147" t="e">
        <f t="shared" ca="1" si="273"/>
        <v>#NAME?</v>
      </c>
      <c r="Z268" s="147"/>
      <c r="AA268" s="147"/>
      <c r="AB268" s="147"/>
      <c r="AC268" s="147"/>
      <c r="AD268" s="147"/>
      <c r="AE268" s="147"/>
      <c r="AF268" s="147"/>
      <c r="AG268" s="147"/>
      <c r="AH268" s="147"/>
      <c r="AI268" s="147"/>
      <c r="AJ268" s="147"/>
      <c r="AK268" s="147"/>
      <c r="AL268" s="147"/>
      <c r="AM268" s="151"/>
      <c r="AN268" s="147"/>
      <c r="AO268" s="147"/>
      <c r="AP268" s="147"/>
      <c r="AQ268" s="147"/>
      <c r="AR268" s="147"/>
      <c r="AS268" s="147"/>
      <c r="AT268" s="147"/>
      <c r="AU268" s="147"/>
      <c r="AV268" s="147"/>
      <c r="AW268" s="147"/>
      <c r="AX268" s="147"/>
      <c r="AY268" s="147"/>
      <c r="AZ268" s="147"/>
      <c r="BA268" s="147"/>
      <c r="BB268" s="147"/>
      <c r="BC268" s="147"/>
      <c r="BD268" s="147"/>
      <c r="BE268" s="147"/>
      <c r="BF268" s="147"/>
      <c r="BG268" s="147"/>
      <c r="BH268" s="147"/>
      <c r="BI268" s="147"/>
      <c r="BJ268" s="147"/>
      <c r="BK268" s="147"/>
      <c r="BL268" s="147"/>
      <c r="BM268" s="147"/>
      <c r="BN268" s="147"/>
      <c r="BO268" s="147"/>
      <c r="BP268" s="147"/>
      <c r="BQ268" s="147"/>
      <c r="BR268" s="147"/>
      <c r="BS268" s="147"/>
      <c r="BT268" s="147"/>
      <c r="BU268" s="147"/>
      <c r="BV268" s="147"/>
      <c r="BW268" s="147"/>
      <c r="BX268" s="147"/>
      <c r="BY268" s="147"/>
      <c r="BZ268" s="147"/>
      <c r="CA268" s="147"/>
      <c r="CB268" s="147"/>
      <c r="CC268" s="147"/>
      <c r="CD268" s="147"/>
      <c r="CE268" s="147"/>
      <c r="CF268" s="147"/>
      <c r="CG268" s="147"/>
      <c r="CH268" s="147"/>
      <c r="CI268" s="147"/>
      <c r="CJ268" s="147"/>
      <c r="CK268" s="147"/>
    </row>
    <row r="269" spans="1:89">
      <c r="A269" s="159" t="s">
        <v>281</v>
      </c>
      <c r="B269" s="3" t="s">
        <v>282</v>
      </c>
      <c r="C269" s="160" t="s">
        <v>75</v>
      </c>
      <c r="D269" s="160" t="s">
        <v>868</v>
      </c>
      <c r="E269" s="3" t="s">
        <v>22</v>
      </c>
      <c r="F269" s="3" t="s">
        <v>917</v>
      </c>
      <c r="G269" s="3"/>
      <c r="H269" s="156" t="str">
        <f ca="1">IFERROR(
  _xludf.MINIFS(ATTENDANCE_LOG!$F:$F,
         ATTENDANCE_LOG!$A:$A, C269,
         ATTENDANCE_LOG!$B:$B, E269),
"")</f>
        <v/>
      </c>
      <c r="I269" s="156" t="str">
        <f t="shared" ca="1" si="266"/>
        <v/>
      </c>
      <c r="J269" s="3">
        <f>IFERROR(VLOOKUP(F269, LEVEL_HELPER!$A:$B, 2, 0), "")</f>
        <v>3</v>
      </c>
      <c r="K269" s="3" t="str">
        <f>IFERROR(VLOOKUP(G269, LEVEL_HELPER!$A:$B, 2, 0), "")</f>
        <v/>
      </c>
      <c r="L269" s="157" t="s">
        <v>942</v>
      </c>
      <c r="M269" s="157" t="s">
        <v>923</v>
      </c>
      <c r="N269" s="3">
        <f t="array" aca="1" ref="N269" ca="1">IFERROR(
  INDEX($J$2:$J$543,
    MATCH(A269&amp;TEXT(I269,"yyyy-mm-dd"),
          $A$2:$A$543&amp;TEXT($H$2:$H$543,"yyyy-mm-dd"),
          0)),
"")</f>
        <v>1</v>
      </c>
      <c r="O269" s="147" t="str">
        <f t="shared" ca="1" si="267"/>
        <v/>
      </c>
      <c r="P269" s="147">
        <f t="shared" ref="P269:Q269" ca="1" si="285">IF(N269="",0,IF(N269&lt;=2,1,IF(N269&lt;=4,2,IF(N269&lt;=5.5,3,4))))</f>
        <v>1</v>
      </c>
      <c r="Q269" s="147">
        <f t="shared" ca="1" si="285"/>
        <v>0</v>
      </c>
      <c r="R269" s="147" t="str">
        <f t="shared" ca="1" si="269"/>
        <v>Not tested yet</v>
      </c>
      <c r="S269" s="147">
        <f t="shared" si="270"/>
        <v>0</v>
      </c>
      <c r="T269" s="147"/>
      <c r="U269" s="147"/>
      <c r="V269" s="148" t="e">
        <f ca="1"/>
        <v>#NAME?</v>
      </c>
      <c r="W269" s="147" t="e">
        <f t="shared" ca="1" si="271"/>
        <v>#NAME?</v>
      </c>
      <c r="X269" s="147" t="e">
        <f t="shared" ca="1" si="272"/>
        <v>#NAME?</v>
      </c>
      <c r="Y269" s="147" t="e">
        <f t="shared" ca="1" si="273"/>
        <v>#NAME?</v>
      </c>
      <c r="Z269" s="147"/>
      <c r="AA269" s="147"/>
      <c r="AB269" s="147"/>
      <c r="AC269" s="147"/>
      <c r="AD269" s="147"/>
      <c r="AE269" s="147"/>
      <c r="AF269" s="147"/>
      <c r="AG269" s="147"/>
      <c r="AH269" s="147"/>
      <c r="AI269" s="147"/>
      <c r="AJ269" s="147"/>
      <c r="AK269" s="147"/>
      <c r="AL269" s="147"/>
      <c r="AM269" s="151"/>
      <c r="AN269" s="147"/>
      <c r="AO269" s="147"/>
      <c r="AP269" s="147"/>
      <c r="AQ269" s="147"/>
      <c r="AR269" s="147"/>
      <c r="AS269" s="147"/>
      <c r="AT269" s="147"/>
      <c r="AU269" s="147"/>
      <c r="AV269" s="147"/>
      <c r="AW269" s="147"/>
      <c r="AX269" s="147"/>
      <c r="AY269" s="147"/>
      <c r="AZ269" s="147"/>
      <c r="BA269" s="147"/>
      <c r="BB269" s="147"/>
      <c r="BC269" s="147"/>
      <c r="BD269" s="147"/>
      <c r="BE269" s="147"/>
      <c r="BF269" s="147"/>
      <c r="BG269" s="147"/>
      <c r="BH269" s="147"/>
      <c r="BI269" s="147"/>
      <c r="BJ269" s="147"/>
      <c r="BK269" s="147"/>
      <c r="BL269" s="147"/>
      <c r="BM269" s="147"/>
      <c r="BN269" s="147"/>
      <c r="BO269" s="147"/>
      <c r="BP269" s="147"/>
      <c r="BQ269" s="147"/>
      <c r="BR269" s="147"/>
      <c r="BS269" s="147"/>
      <c r="BT269" s="147"/>
      <c r="BU269" s="147"/>
      <c r="BV269" s="147"/>
      <c r="BW269" s="147"/>
      <c r="BX269" s="147"/>
      <c r="BY269" s="147"/>
      <c r="BZ269" s="147"/>
      <c r="CA269" s="147"/>
      <c r="CB269" s="147"/>
      <c r="CC269" s="147"/>
      <c r="CD269" s="147"/>
      <c r="CE269" s="147"/>
      <c r="CF269" s="147"/>
      <c r="CG269" s="147"/>
      <c r="CH269" s="147"/>
      <c r="CI269" s="147"/>
      <c r="CJ269" s="147"/>
      <c r="CK269" s="147"/>
    </row>
    <row r="270" spans="1:89">
      <c r="A270" s="159" t="s">
        <v>336</v>
      </c>
      <c r="B270" s="3" t="s">
        <v>337</v>
      </c>
      <c r="C270" s="160" t="s">
        <v>75</v>
      </c>
      <c r="D270" s="160" t="s">
        <v>868</v>
      </c>
      <c r="E270" s="3" t="s">
        <v>22</v>
      </c>
      <c r="F270" s="3" t="s">
        <v>934</v>
      </c>
      <c r="G270" s="3"/>
      <c r="H270" s="156" t="str">
        <f ca="1">IFERROR(
  _xludf.MINIFS(ATTENDANCE_LOG!$F:$F,
         ATTENDANCE_LOG!$A:$A, C270,
         ATTENDANCE_LOG!$B:$B, E270),
"")</f>
        <v/>
      </c>
      <c r="I270" s="156" t="str">
        <f t="shared" ca="1" si="266"/>
        <v/>
      </c>
      <c r="J270" s="3">
        <f>IFERROR(VLOOKUP(F270, LEVEL_HELPER!$A:$B, 2, 0), "")</f>
        <v>3.5</v>
      </c>
      <c r="K270" s="3" t="str">
        <f>IFERROR(VLOOKUP(G270, LEVEL_HELPER!$A:$B, 2, 0), "")</f>
        <v/>
      </c>
      <c r="L270" s="157" t="s">
        <v>918</v>
      </c>
      <c r="M270" s="157" t="s">
        <v>923</v>
      </c>
      <c r="N270" s="3">
        <f t="array" aca="1" ref="N270" ca="1">IFERROR(
  INDEX($J$2:$J$543,
    MATCH(A270&amp;TEXT(I270,"yyyy-mm-dd"),
          $A$2:$A$543&amp;TEXT($H$2:$H$543,"yyyy-mm-dd"),
          0)),
"")</f>
        <v>1</v>
      </c>
      <c r="O270" s="147" t="str">
        <f t="shared" ca="1" si="267"/>
        <v/>
      </c>
      <c r="P270" s="147">
        <f t="shared" ref="P270:Q270" ca="1" si="286">IF(N270="",0,IF(N270&lt;=2,1,IF(N270&lt;=4,2,IF(N270&lt;=5.5,3,4))))</f>
        <v>1</v>
      </c>
      <c r="Q270" s="147">
        <f t="shared" ca="1" si="286"/>
        <v>0</v>
      </c>
      <c r="R270" s="147" t="str">
        <f t="shared" ca="1" si="269"/>
        <v>Not tested yet</v>
      </c>
      <c r="S270" s="147">
        <f t="shared" si="270"/>
        <v>0</v>
      </c>
      <c r="T270" s="147"/>
      <c r="U270" s="147"/>
      <c r="V270" s="148" t="e">
        <f ca="1"/>
        <v>#NAME?</v>
      </c>
      <c r="W270" s="147" t="e">
        <f t="shared" ca="1" si="271"/>
        <v>#NAME?</v>
      </c>
      <c r="X270" s="147" t="e">
        <f t="shared" ca="1" si="272"/>
        <v>#NAME?</v>
      </c>
      <c r="Y270" s="147" t="e">
        <f t="shared" ca="1" si="273"/>
        <v>#NAME?</v>
      </c>
      <c r="Z270" s="147"/>
      <c r="AA270" s="147"/>
      <c r="AB270" s="147"/>
      <c r="AC270" s="147"/>
      <c r="AD270" s="147"/>
      <c r="AE270" s="147"/>
      <c r="AF270" s="147"/>
      <c r="AG270" s="147"/>
      <c r="AH270" s="147"/>
      <c r="AI270" s="147"/>
      <c r="AJ270" s="147"/>
      <c r="AK270" s="147"/>
      <c r="AL270" s="147"/>
      <c r="AM270" s="151"/>
      <c r="AN270" s="147"/>
      <c r="AO270" s="147"/>
      <c r="AP270" s="147"/>
      <c r="AQ270" s="147"/>
      <c r="AR270" s="147"/>
      <c r="AS270" s="147"/>
      <c r="AT270" s="147"/>
      <c r="AU270" s="147"/>
      <c r="AV270" s="147"/>
      <c r="AW270" s="147"/>
      <c r="AX270" s="147"/>
      <c r="AY270" s="147"/>
      <c r="AZ270" s="147"/>
      <c r="BA270" s="147"/>
      <c r="BB270" s="147"/>
      <c r="BC270" s="147"/>
      <c r="BD270" s="147"/>
      <c r="BE270" s="147"/>
      <c r="BF270" s="147"/>
      <c r="BG270" s="147"/>
      <c r="BH270" s="147"/>
      <c r="BI270" s="147"/>
      <c r="BJ270" s="147"/>
      <c r="BK270" s="147"/>
      <c r="BL270" s="147"/>
      <c r="BM270" s="147"/>
      <c r="BN270" s="147"/>
      <c r="BO270" s="147"/>
      <c r="BP270" s="147"/>
      <c r="BQ270" s="147"/>
      <c r="BR270" s="147"/>
      <c r="BS270" s="147"/>
      <c r="BT270" s="147"/>
      <c r="BU270" s="147"/>
      <c r="BV270" s="147"/>
      <c r="BW270" s="147"/>
      <c r="BX270" s="147"/>
      <c r="BY270" s="147"/>
      <c r="BZ270" s="147"/>
      <c r="CA270" s="147"/>
      <c r="CB270" s="147"/>
      <c r="CC270" s="147"/>
      <c r="CD270" s="147"/>
      <c r="CE270" s="147"/>
      <c r="CF270" s="147"/>
      <c r="CG270" s="147"/>
      <c r="CH270" s="147"/>
      <c r="CI270" s="147"/>
      <c r="CJ270" s="147"/>
      <c r="CK270" s="147"/>
    </row>
    <row r="271" spans="1:89">
      <c r="A271" s="159" t="s">
        <v>417</v>
      </c>
      <c r="B271" s="3" t="s">
        <v>418</v>
      </c>
      <c r="C271" s="160" t="s">
        <v>75</v>
      </c>
      <c r="D271" s="160" t="s">
        <v>868</v>
      </c>
      <c r="E271" s="3" t="s">
        <v>22</v>
      </c>
      <c r="F271" s="3" t="s">
        <v>928</v>
      </c>
      <c r="G271" s="3"/>
      <c r="H271" s="156" t="str">
        <f ca="1">IFERROR(
  _xludf.MINIFS(ATTENDANCE_LOG!$F:$F,
         ATTENDANCE_LOG!$A:$A, C271,
         ATTENDANCE_LOG!$B:$B, E271),
"")</f>
        <v/>
      </c>
      <c r="I271" s="156" t="str">
        <f t="shared" ca="1" si="266"/>
        <v/>
      </c>
      <c r="J271" s="3">
        <f>IFERROR(VLOOKUP(F271, LEVEL_HELPER!$A:$B, 2, 0), "")</f>
        <v>1.5</v>
      </c>
      <c r="K271" s="3" t="str">
        <f>IFERROR(VLOOKUP(G271, LEVEL_HELPER!$A:$B, 2, 0), "")</f>
        <v/>
      </c>
      <c r="L271" s="157" t="s">
        <v>918</v>
      </c>
      <c r="M271" s="157" t="s">
        <v>923</v>
      </c>
      <c r="N271" s="3">
        <f t="array" aca="1" ref="N271" ca="1">IFERROR(
  INDEX($J$2:$J$543,
    MATCH(A271&amp;TEXT(I271,"yyyy-mm-dd"),
          $A$2:$A$543&amp;TEXT($H$2:$H$543,"yyyy-mm-dd"),
          0)),
"")</f>
        <v>1</v>
      </c>
      <c r="O271" s="147" t="str">
        <f t="shared" ca="1" si="267"/>
        <v/>
      </c>
      <c r="P271" s="147">
        <f t="shared" ref="P271:Q271" ca="1" si="287">IF(N271="",0,IF(N271&lt;=2,1,IF(N271&lt;=4,2,IF(N271&lt;=5.5,3,4))))</f>
        <v>1</v>
      </c>
      <c r="Q271" s="147">
        <f t="shared" ca="1" si="287"/>
        <v>0</v>
      </c>
      <c r="R271" s="147" t="str">
        <f t="shared" ca="1" si="269"/>
        <v>Not tested yet</v>
      </c>
      <c r="S271" s="147">
        <f t="shared" si="270"/>
        <v>0</v>
      </c>
      <c r="T271" s="147"/>
      <c r="U271" s="147"/>
      <c r="V271" s="148" t="e">
        <f ca="1"/>
        <v>#NAME?</v>
      </c>
      <c r="W271" s="147" t="e">
        <f t="shared" ca="1" si="271"/>
        <v>#NAME?</v>
      </c>
      <c r="X271" s="147" t="e">
        <f t="shared" ca="1" si="272"/>
        <v>#NAME?</v>
      </c>
      <c r="Y271" s="147" t="e">
        <f t="shared" ca="1" si="273"/>
        <v>#NAME?</v>
      </c>
      <c r="Z271" s="147"/>
      <c r="AA271" s="147"/>
      <c r="AB271" s="147"/>
      <c r="AC271" s="147"/>
      <c r="AD271" s="147"/>
      <c r="AE271" s="147"/>
      <c r="AF271" s="147"/>
      <c r="AG271" s="147"/>
      <c r="AH271" s="147"/>
      <c r="AI271" s="147"/>
      <c r="AJ271" s="147"/>
      <c r="AK271" s="147"/>
      <c r="AL271" s="147"/>
      <c r="AM271" s="151"/>
      <c r="AN271" s="147"/>
      <c r="AO271" s="147"/>
      <c r="AP271" s="147"/>
      <c r="AQ271" s="147"/>
      <c r="AR271" s="147"/>
      <c r="AS271" s="147"/>
      <c r="AT271" s="147"/>
      <c r="AU271" s="147"/>
      <c r="AV271" s="147"/>
      <c r="AW271" s="147"/>
      <c r="AX271" s="147"/>
      <c r="AY271" s="147"/>
      <c r="AZ271" s="147"/>
      <c r="BA271" s="147"/>
      <c r="BB271" s="147"/>
      <c r="BC271" s="147"/>
      <c r="BD271" s="147"/>
      <c r="BE271" s="147"/>
      <c r="BF271" s="147"/>
      <c r="BG271" s="147"/>
      <c r="BH271" s="147"/>
      <c r="BI271" s="147"/>
      <c r="BJ271" s="147"/>
      <c r="BK271" s="147"/>
      <c r="BL271" s="147"/>
      <c r="BM271" s="147"/>
      <c r="BN271" s="147"/>
      <c r="BO271" s="147"/>
      <c r="BP271" s="147"/>
      <c r="BQ271" s="147"/>
      <c r="BR271" s="147"/>
      <c r="BS271" s="147"/>
      <c r="BT271" s="147"/>
      <c r="BU271" s="147"/>
      <c r="BV271" s="147"/>
      <c r="BW271" s="147"/>
      <c r="BX271" s="147"/>
      <c r="BY271" s="147"/>
      <c r="BZ271" s="147"/>
      <c r="CA271" s="147"/>
      <c r="CB271" s="147"/>
      <c r="CC271" s="147"/>
      <c r="CD271" s="147"/>
      <c r="CE271" s="147"/>
      <c r="CF271" s="147"/>
      <c r="CG271" s="147"/>
      <c r="CH271" s="147"/>
      <c r="CI271" s="147"/>
      <c r="CJ271" s="147"/>
      <c r="CK271" s="147"/>
    </row>
    <row r="272" spans="1:89">
      <c r="A272" s="159" t="s">
        <v>587</v>
      </c>
      <c r="B272" s="3" t="s">
        <v>588</v>
      </c>
      <c r="C272" s="160" t="s">
        <v>75</v>
      </c>
      <c r="D272" s="160" t="s">
        <v>868</v>
      </c>
      <c r="E272" s="3" t="s">
        <v>22</v>
      </c>
      <c r="F272" s="3" t="s">
        <v>917</v>
      </c>
      <c r="G272" s="3"/>
      <c r="H272" s="156" t="str">
        <f ca="1">IFERROR(
  _xludf.MINIFS(ATTENDANCE_LOG!$F:$F,
         ATTENDANCE_LOG!$A:$A, C272,
         ATTENDANCE_LOG!$B:$B, E272),
"")</f>
        <v/>
      </c>
      <c r="I272" s="156" t="str">
        <f t="shared" ca="1" si="266"/>
        <v/>
      </c>
      <c r="J272" s="3">
        <f>IFERROR(VLOOKUP(F272, LEVEL_HELPER!$A:$B, 2, 0), "")</f>
        <v>3</v>
      </c>
      <c r="K272" s="3" t="str">
        <f>IFERROR(VLOOKUP(G272, LEVEL_HELPER!$A:$B, 2, 0), "")</f>
        <v/>
      </c>
      <c r="L272" s="157" t="s">
        <v>942</v>
      </c>
      <c r="M272" s="157" t="s">
        <v>922</v>
      </c>
      <c r="N272" s="3">
        <f t="array" aca="1" ref="N272" ca="1">IFERROR(
  INDEX($J$2:$J$543,
    MATCH(A272&amp;TEXT(I272,"yyyy-mm-dd"),
          $A$2:$A$543&amp;TEXT($H$2:$H$543,"yyyy-mm-dd"),
          0)),
"")</f>
        <v>1</v>
      </c>
      <c r="O272" s="147" t="str">
        <f t="shared" ca="1" si="267"/>
        <v/>
      </c>
      <c r="P272" s="147">
        <f t="shared" ref="P272:Q272" ca="1" si="288">IF(N272="",0,IF(N272&lt;=2,1,IF(N272&lt;=4,2,IF(N272&lt;=5.5,3,4))))</f>
        <v>1</v>
      </c>
      <c r="Q272" s="147">
        <f t="shared" ca="1" si="288"/>
        <v>0</v>
      </c>
      <c r="R272" s="147" t="str">
        <f t="shared" ca="1" si="269"/>
        <v>Not tested yet</v>
      </c>
      <c r="S272" s="147">
        <f t="shared" si="270"/>
        <v>0</v>
      </c>
      <c r="T272" s="147"/>
      <c r="U272" s="147"/>
      <c r="V272" s="148" t="e">
        <f ca="1"/>
        <v>#NAME?</v>
      </c>
      <c r="W272" s="147" t="e">
        <f t="shared" ca="1" si="271"/>
        <v>#NAME?</v>
      </c>
      <c r="X272" s="147" t="e">
        <f t="shared" ca="1" si="272"/>
        <v>#NAME?</v>
      </c>
      <c r="Y272" s="147" t="e">
        <f t="shared" ca="1" si="273"/>
        <v>#NAME?</v>
      </c>
      <c r="Z272" s="147"/>
      <c r="AA272" s="147"/>
      <c r="AB272" s="147"/>
      <c r="AC272" s="147"/>
      <c r="AD272" s="147"/>
      <c r="AE272" s="147"/>
      <c r="AF272" s="147"/>
      <c r="AG272" s="147"/>
      <c r="AH272" s="147"/>
      <c r="AI272" s="147"/>
      <c r="AJ272" s="147"/>
      <c r="AK272" s="147"/>
      <c r="AL272" s="147"/>
      <c r="AM272" s="151"/>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c r="BI272" s="147"/>
      <c r="BJ272" s="147"/>
      <c r="BK272" s="147"/>
      <c r="BL272" s="147"/>
      <c r="BM272" s="147"/>
      <c r="BN272" s="147"/>
      <c r="BO272" s="147"/>
      <c r="BP272" s="147"/>
      <c r="BQ272" s="147"/>
      <c r="BR272" s="147"/>
      <c r="BS272" s="147"/>
      <c r="BT272" s="147"/>
      <c r="BU272" s="147"/>
      <c r="BV272" s="147"/>
      <c r="BW272" s="147"/>
      <c r="BX272" s="147"/>
      <c r="BY272" s="147"/>
      <c r="BZ272" s="147"/>
      <c r="CA272" s="147"/>
      <c r="CB272" s="147"/>
      <c r="CC272" s="147"/>
      <c r="CD272" s="147"/>
      <c r="CE272" s="147"/>
      <c r="CF272" s="147"/>
      <c r="CG272" s="147"/>
      <c r="CH272" s="147"/>
      <c r="CI272" s="147"/>
      <c r="CJ272" s="147"/>
      <c r="CK272" s="147"/>
    </row>
    <row r="273" spans="1:89">
      <c r="A273" s="153" t="s">
        <v>651</v>
      </c>
      <c r="B273" s="154" t="s">
        <v>652</v>
      </c>
      <c r="C273" s="155" t="s">
        <v>76</v>
      </c>
      <c r="D273" s="155" t="s">
        <v>869</v>
      </c>
      <c r="E273" s="154" t="s">
        <v>21</v>
      </c>
      <c r="F273" s="3" t="s">
        <v>926</v>
      </c>
      <c r="G273" s="3" t="s">
        <v>917</v>
      </c>
      <c r="H273" s="156" t="str">
        <f ca="1">IFERROR(
  _xludf.MINIFS(ATTENDANCE_LOG!$F:$F,
         ATTENDANCE_LOG!$A:$A, C273,
         ATTENDANCE_LOG!$B:$B, E273),
"")</f>
        <v/>
      </c>
      <c r="I273" s="156" t="str">
        <f t="shared" ca="1" si="266"/>
        <v/>
      </c>
      <c r="J273" s="3">
        <f>IFERROR(VLOOKUP(F273, LEVEL_HELPER!$A:$B, 2, 0), "")</f>
        <v>1</v>
      </c>
      <c r="K273" s="3">
        <f>IFERROR(VLOOKUP(G273, LEVEL_HELPER!$A:$B, 2, 0), "")</f>
        <v>3</v>
      </c>
      <c r="L273" s="157" t="s">
        <v>918</v>
      </c>
      <c r="M273" s="157" t="s">
        <v>922</v>
      </c>
      <c r="N273" s="3">
        <f t="array" aca="1" ref="N273" ca="1">IFERROR(
  INDEX($J$2:$J$543,
    MATCH(A273&amp;TEXT(I273,"yyyy-mm-dd"),
          $A$2:$A$543&amp;TEXT($H$2:$H$543,"yyyy-mm-dd"),
          0)),
"")</f>
        <v>1</v>
      </c>
      <c r="O273" s="147" t="str">
        <f t="shared" ca="1" si="267"/>
        <v/>
      </c>
      <c r="P273" s="147">
        <f t="shared" ref="P273:Q273" ca="1" si="289">IF(N273="",0,IF(N273&lt;=2,1,IF(N273&lt;=4,2,IF(N273&lt;=5.5,3,4))))</f>
        <v>1</v>
      </c>
      <c r="Q273" s="147">
        <f t="shared" ca="1" si="289"/>
        <v>0</v>
      </c>
      <c r="R273" s="147" t="str">
        <f t="shared" ca="1" si="269"/>
        <v>Not tested yet</v>
      </c>
      <c r="S273" s="147">
        <f t="shared" si="270"/>
        <v>1</v>
      </c>
      <c r="T273" s="147"/>
      <c r="U273" s="147"/>
      <c r="V273" s="148" t="e">
        <f ca="1"/>
        <v>#NAME?</v>
      </c>
      <c r="W273" s="147" t="e">
        <f t="shared" ca="1" si="271"/>
        <v>#NAME?</v>
      </c>
      <c r="X273" s="147" t="e">
        <f t="shared" ca="1" si="272"/>
        <v>#NAME?</v>
      </c>
      <c r="Y273" s="147" t="e">
        <f t="shared" ca="1" si="273"/>
        <v>#NAME?</v>
      </c>
      <c r="Z273" s="147"/>
      <c r="AA273" s="147"/>
      <c r="AB273" s="147"/>
      <c r="AC273" s="147"/>
      <c r="AD273" s="147"/>
      <c r="AE273" s="147"/>
      <c r="AF273" s="147"/>
      <c r="AG273" s="147"/>
      <c r="AH273" s="147"/>
      <c r="AI273" s="147"/>
      <c r="AJ273" s="147"/>
      <c r="AK273" s="147"/>
      <c r="AL273" s="147"/>
      <c r="AM273" s="151"/>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c r="BI273" s="147"/>
      <c r="BJ273" s="147"/>
      <c r="BK273" s="147"/>
      <c r="BL273" s="147"/>
      <c r="BM273" s="147"/>
      <c r="BN273" s="147"/>
      <c r="BO273" s="147"/>
      <c r="BP273" s="147"/>
      <c r="BQ273" s="147"/>
      <c r="BR273" s="147"/>
      <c r="BS273" s="147"/>
      <c r="BT273" s="147"/>
      <c r="BU273" s="147"/>
      <c r="BV273" s="147"/>
      <c r="BW273" s="147"/>
      <c r="BX273" s="147"/>
      <c r="BY273" s="147"/>
      <c r="BZ273" s="147"/>
      <c r="CA273" s="147"/>
      <c r="CB273" s="147"/>
      <c r="CC273" s="147"/>
      <c r="CD273" s="147"/>
      <c r="CE273" s="147"/>
      <c r="CF273" s="147"/>
      <c r="CG273" s="147"/>
      <c r="CH273" s="147"/>
      <c r="CI273" s="147"/>
      <c r="CJ273" s="147"/>
      <c r="CK273" s="147"/>
    </row>
    <row r="274" spans="1:89">
      <c r="A274" s="159" t="s">
        <v>210</v>
      </c>
      <c r="B274" s="3" t="s">
        <v>211</v>
      </c>
      <c r="C274" s="160" t="s">
        <v>76</v>
      </c>
      <c r="D274" s="160" t="s">
        <v>869</v>
      </c>
      <c r="E274" s="3" t="s">
        <v>21</v>
      </c>
      <c r="F274" s="3" t="s">
        <v>916</v>
      </c>
      <c r="G274" s="3" t="s">
        <v>917</v>
      </c>
      <c r="H274" s="156" t="str">
        <f ca="1">IFERROR(
  _xludf.MINIFS(ATTENDANCE_LOG!$F:$F,
         ATTENDANCE_LOG!$A:$A, C274,
         ATTENDANCE_LOG!$B:$B, E274),
"")</f>
        <v/>
      </c>
      <c r="I274" s="156" t="str">
        <f t="shared" ca="1" si="266"/>
        <v/>
      </c>
      <c r="J274" s="3">
        <f>IFERROR(VLOOKUP(F274, LEVEL_HELPER!$A:$B, 2, 0), "")</f>
        <v>2.5</v>
      </c>
      <c r="K274" s="3">
        <f>IFERROR(VLOOKUP(G274, LEVEL_HELPER!$A:$B, 2, 0), "")</f>
        <v>3</v>
      </c>
      <c r="L274" s="157" t="s">
        <v>942</v>
      </c>
      <c r="M274" s="157" t="s">
        <v>922</v>
      </c>
      <c r="N274" s="3">
        <f t="array" aca="1" ref="N274" ca="1">IFERROR(
  INDEX($J$2:$J$543,
    MATCH(A274&amp;TEXT(I274,"yyyy-mm-dd"),
          $A$2:$A$543&amp;TEXT($H$2:$H$543,"yyyy-mm-dd"),
          0)),
"")</f>
        <v>2.5</v>
      </c>
      <c r="O274" s="147" t="str">
        <f t="shared" ca="1" si="267"/>
        <v/>
      </c>
      <c r="P274" s="147">
        <f t="shared" ref="P274:Q274" ca="1" si="290">IF(N274="",0,IF(N274&lt;=2,1,IF(N274&lt;=4,2,IF(N274&lt;=5.5,3,4))))</f>
        <v>2</v>
      </c>
      <c r="Q274" s="147">
        <f t="shared" ca="1" si="290"/>
        <v>0</v>
      </c>
      <c r="R274" s="147" t="str">
        <f t="shared" ca="1" si="269"/>
        <v>Not tested yet</v>
      </c>
      <c r="S274" s="147">
        <f t="shared" si="270"/>
        <v>1</v>
      </c>
      <c r="T274" s="147"/>
      <c r="U274" s="147"/>
      <c r="V274" s="148" t="e">
        <f ca="1"/>
        <v>#NAME?</v>
      </c>
      <c r="W274" s="147" t="e">
        <f t="shared" ca="1" si="271"/>
        <v>#NAME?</v>
      </c>
      <c r="X274" s="147" t="e">
        <f t="shared" ca="1" si="272"/>
        <v>#NAME?</v>
      </c>
      <c r="Y274" s="147" t="e">
        <f t="shared" ca="1" si="273"/>
        <v>#NAME?</v>
      </c>
      <c r="Z274" s="147"/>
      <c r="AA274" s="147"/>
      <c r="AB274" s="147"/>
      <c r="AC274" s="147"/>
      <c r="AD274" s="147"/>
      <c r="AE274" s="147"/>
      <c r="AF274" s="147"/>
      <c r="AG274" s="147"/>
      <c r="AH274" s="147"/>
      <c r="AI274" s="147"/>
      <c r="AJ274" s="147"/>
      <c r="AK274" s="147"/>
      <c r="AL274" s="147"/>
      <c r="AM274" s="151"/>
      <c r="AN274" s="147"/>
      <c r="AO274" s="147"/>
      <c r="AP274" s="147"/>
      <c r="AQ274" s="147"/>
      <c r="AR274" s="147"/>
      <c r="AS274" s="147"/>
      <c r="AT274" s="147"/>
      <c r="AU274" s="147"/>
      <c r="AV274" s="147"/>
      <c r="AW274" s="147"/>
      <c r="AX274" s="147"/>
      <c r="AY274" s="147"/>
      <c r="AZ274" s="147"/>
      <c r="BA274" s="147"/>
      <c r="BB274" s="147"/>
      <c r="BC274" s="147"/>
      <c r="BD274" s="147"/>
      <c r="BE274" s="147"/>
      <c r="BF274" s="147"/>
      <c r="BG274" s="147"/>
      <c r="BH274" s="147"/>
      <c r="BI274" s="147"/>
      <c r="BJ274" s="147"/>
      <c r="BK274" s="147"/>
      <c r="BL274" s="147"/>
      <c r="BM274" s="147"/>
      <c r="BN274" s="147"/>
      <c r="BO274" s="147"/>
      <c r="BP274" s="147"/>
      <c r="BQ274" s="147"/>
      <c r="BR274" s="147"/>
      <c r="BS274" s="147"/>
      <c r="BT274" s="147"/>
      <c r="BU274" s="147"/>
      <c r="BV274" s="147"/>
      <c r="BW274" s="147"/>
      <c r="BX274" s="147"/>
      <c r="BY274" s="147"/>
      <c r="BZ274" s="147"/>
      <c r="CA274" s="147"/>
      <c r="CB274" s="147"/>
      <c r="CC274" s="147"/>
      <c r="CD274" s="147"/>
      <c r="CE274" s="147"/>
      <c r="CF274" s="147"/>
      <c r="CG274" s="147"/>
      <c r="CH274" s="147"/>
      <c r="CI274" s="147"/>
      <c r="CJ274" s="147"/>
      <c r="CK274" s="147"/>
    </row>
    <row r="275" spans="1:89">
      <c r="A275" s="159" t="s">
        <v>440</v>
      </c>
      <c r="B275" s="3" t="s">
        <v>441</v>
      </c>
      <c r="C275" s="160" t="s">
        <v>76</v>
      </c>
      <c r="D275" s="160" t="s">
        <v>869</v>
      </c>
      <c r="E275" s="3" t="s">
        <v>21</v>
      </c>
      <c r="F275" s="3" t="s">
        <v>926</v>
      </c>
      <c r="G275" s="3" t="s">
        <v>926</v>
      </c>
      <c r="H275" s="156" t="str">
        <f ca="1">IFERROR(
  _xludf.MINIFS(ATTENDANCE_LOG!$F:$F,
         ATTENDANCE_LOG!$A:$A, C275,
         ATTENDANCE_LOG!$B:$B, E275),
"")</f>
        <v/>
      </c>
      <c r="I275" s="156" t="str">
        <f t="shared" ca="1" si="266"/>
        <v/>
      </c>
      <c r="J275" s="3">
        <f>IFERROR(VLOOKUP(F275, LEVEL_HELPER!$A:$B, 2, 0), "")</f>
        <v>1</v>
      </c>
      <c r="K275" s="3">
        <f>IFERROR(VLOOKUP(G275, LEVEL_HELPER!$A:$B, 2, 0), "")</f>
        <v>1</v>
      </c>
      <c r="L275" s="157" t="s">
        <v>942</v>
      </c>
      <c r="M275" s="157" t="s">
        <v>922</v>
      </c>
      <c r="N275" s="3">
        <f t="array" aca="1" ref="N275" ca="1">IFERROR(
  INDEX($J$2:$J$543,
    MATCH(A275&amp;TEXT(I275,"yyyy-mm-dd"),
          $A$2:$A$543&amp;TEXT($H$2:$H$543,"yyyy-mm-dd"),
          0)),
"")</f>
        <v>1</v>
      </c>
      <c r="O275" s="147" t="str">
        <f t="shared" ca="1" si="267"/>
        <v/>
      </c>
      <c r="P275" s="147">
        <f t="shared" ref="P275:Q275" ca="1" si="291">IF(N275="",0,IF(N275&lt;=2,1,IF(N275&lt;=4,2,IF(N275&lt;=5.5,3,4))))</f>
        <v>1</v>
      </c>
      <c r="Q275" s="147">
        <f t="shared" ca="1" si="291"/>
        <v>0</v>
      </c>
      <c r="R275" s="147" t="str">
        <f t="shared" ca="1" si="269"/>
        <v>Not tested yet</v>
      </c>
      <c r="S275" s="147">
        <f t="shared" si="270"/>
        <v>1</v>
      </c>
      <c r="T275" s="147"/>
      <c r="U275" s="147"/>
      <c r="V275" s="148" t="e">
        <f ca="1"/>
        <v>#NAME?</v>
      </c>
      <c r="W275" s="147" t="e">
        <f t="shared" ca="1" si="271"/>
        <v>#NAME?</v>
      </c>
      <c r="X275" s="147" t="e">
        <f t="shared" ca="1" si="272"/>
        <v>#NAME?</v>
      </c>
      <c r="Y275" s="147" t="e">
        <f t="shared" ca="1" si="273"/>
        <v>#NAME?</v>
      </c>
      <c r="Z275" s="147"/>
      <c r="AA275" s="147"/>
      <c r="AB275" s="147"/>
      <c r="AC275" s="147"/>
      <c r="AD275" s="147"/>
      <c r="AE275" s="147"/>
      <c r="AF275" s="147"/>
      <c r="AG275" s="147"/>
      <c r="AH275" s="147"/>
      <c r="AI275" s="147"/>
      <c r="AJ275" s="147"/>
      <c r="AK275" s="147"/>
      <c r="AL275" s="147"/>
      <c r="AM275" s="151"/>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c r="BI275" s="147"/>
      <c r="BJ275" s="147"/>
      <c r="BK275" s="147"/>
      <c r="BL275" s="147"/>
      <c r="BM275" s="147"/>
      <c r="BN275" s="147"/>
      <c r="BO275" s="147"/>
      <c r="BP275" s="147"/>
      <c r="BQ275" s="147"/>
      <c r="BR275" s="147"/>
      <c r="BS275" s="147"/>
      <c r="BT275" s="147"/>
      <c r="BU275" s="147"/>
      <c r="BV275" s="147"/>
      <c r="BW275" s="147"/>
      <c r="BX275" s="147"/>
      <c r="BY275" s="147"/>
      <c r="BZ275" s="147"/>
      <c r="CA275" s="147"/>
      <c r="CB275" s="147"/>
      <c r="CC275" s="147"/>
      <c r="CD275" s="147"/>
      <c r="CE275" s="147"/>
      <c r="CF275" s="147"/>
      <c r="CG275" s="147"/>
      <c r="CH275" s="147"/>
      <c r="CI275" s="147"/>
      <c r="CJ275" s="147"/>
      <c r="CK275" s="147"/>
    </row>
    <row r="276" spans="1:89">
      <c r="A276" s="159" t="s">
        <v>520</v>
      </c>
      <c r="B276" s="3" t="s">
        <v>521</v>
      </c>
      <c r="C276" s="160" t="s">
        <v>76</v>
      </c>
      <c r="D276" s="160" t="s">
        <v>869</v>
      </c>
      <c r="E276" s="3" t="s">
        <v>21</v>
      </c>
      <c r="F276" s="3" t="s">
        <v>926</v>
      </c>
      <c r="G276" s="3" t="s">
        <v>926</v>
      </c>
      <c r="H276" s="156" t="str">
        <f ca="1">IFERROR(
  _xludf.MINIFS(ATTENDANCE_LOG!$F:$F,
         ATTENDANCE_LOG!$A:$A, C276,
         ATTENDANCE_LOG!$B:$B, E276),
"")</f>
        <v/>
      </c>
      <c r="I276" s="156" t="str">
        <f t="shared" ca="1" si="266"/>
        <v/>
      </c>
      <c r="J276" s="3">
        <f>IFERROR(VLOOKUP(F276, LEVEL_HELPER!$A:$B, 2, 0), "")</f>
        <v>1</v>
      </c>
      <c r="K276" s="3">
        <f>IFERROR(VLOOKUP(G276, LEVEL_HELPER!$A:$B, 2, 0), "")</f>
        <v>1</v>
      </c>
      <c r="L276" s="157" t="s">
        <v>942</v>
      </c>
      <c r="M276" s="157" t="s">
        <v>922</v>
      </c>
      <c r="N276" s="3">
        <f t="array" aca="1" ref="N276" ca="1">IFERROR(
  INDEX($J$2:$J$543,
    MATCH(A276&amp;TEXT(I276,"yyyy-mm-dd"),
          $A$2:$A$543&amp;TEXT($H$2:$H$543,"yyyy-mm-dd"),
          0)),
"")</f>
        <v>1</v>
      </c>
      <c r="O276" s="147" t="str">
        <f t="shared" ca="1" si="267"/>
        <v/>
      </c>
      <c r="P276" s="147">
        <f t="shared" ref="P276:Q276" ca="1" si="292">IF(N276="",0,IF(N276&lt;=2,1,IF(N276&lt;=4,2,IF(N276&lt;=5.5,3,4))))</f>
        <v>1</v>
      </c>
      <c r="Q276" s="147">
        <f t="shared" ca="1" si="292"/>
        <v>0</v>
      </c>
      <c r="R276" s="147" t="str">
        <f t="shared" ca="1" si="269"/>
        <v>Not tested yet</v>
      </c>
      <c r="S276" s="147">
        <f t="shared" si="270"/>
        <v>1</v>
      </c>
      <c r="T276" s="147"/>
      <c r="U276" s="147"/>
      <c r="V276" s="148" t="e">
        <f ca="1"/>
        <v>#NAME?</v>
      </c>
      <c r="W276" s="147" t="e">
        <f t="shared" ca="1" si="271"/>
        <v>#NAME?</v>
      </c>
      <c r="X276" s="147" t="e">
        <f t="shared" ca="1" si="272"/>
        <v>#NAME?</v>
      </c>
      <c r="Y276" s="147" t="e">
        <f t="shared" ca="1" si="273"/>
        <v>#NAME?</v>
      </c>
      <c r="Z276" s="147"/>
      <c r="AA276" s="147"/>
      <c r="AB276" s="147"/>
      <c r="AC276" s="147"/>
      <c r="AD276" s="147"/>
      <c r="AE276" s="147"/>
      <c r="AF276" s="147"/>
      <c r="AG276" s="147"/>
      <c r="AH276" s="147"/>
      <c r="AI276" s="147"/>
      <c r="AJ276" s="147"/>
      <c r="AK276" s="147"/>
      <c r="AL276" s="147"/>
      <c r="AM276" s="151"/>
      <c r="AN276" s="147"/>
      <c r="AO276" s="147"/>
      <c r="AP276" s="147"/>
      <c r="AQ276" s="147"/>
      <c r="AR276" s="147"/>
      <c r="AS276" s="147"/>
      <c r="AT276" s="147"/>
      <c r="AU276" s="147"/>
      <c r="AV276" s="147"/>
      <c r="AW276" s="147"/>
      <c r="AX276" s="147"/>
      <c r="AY276" s="147"/>
      <c r="AZ276" s="147"/>
      <c r="BA276" s="147"/>
      <c r="BB276" s="147"/>
      <c r="BC276" s="147"/>
      <c r="BD276" s="147"/>
      <c r="BE276" s="147"/>
      <c r="BF276" s="147"/>
      <c r="BG276" s="147"/>
      <c r="BH276" s="147"/>
      <c r="BI276" s="147"/>
      <c r="BJ276" s="147"/>
      <c r="BK276" s="147"/>
      <c r="BL276" s="147"/>
      <c r="BM276" s="147"/>
      <c r="BN276" s="147"/>
      <c r="BO276" s="147"/>
      <c r="BP276" s="147"/>
      <c r="BQ276" s="147"/>
      <c r="BR276" s="147"/>
      <c r="BS276" s="147"/>
      <c r="BT276" s="147"/>
      <c r="BU276" s="147"/>
      <c r="BV276" s="147"/>
      <c r="BW276" s="147"/>
      <c r="BX276" s="147"/>
      <c r="BY276" s="147"/>
      <c r="BZ276" s="147"/>
      <c r="CA276" s="147"/>
      <c r="CB276" s="147"/>
      <c r="CC276" s="147"/>
      <c r="CD276" s="147"/>
      <c r="CE276" s="147"/>
      <c r="CF276" s="147"/>
      <c r="CG276" s="147"/>
      <c r="CH276" s="147"/>
      <c r="CI276" s="147"/>
      <c r="CJ276" s="147"/>
      <c r="CK276" s="147"/>
    </row>
    <row r="277" spans="1:89">
      <c r="A277" s="159" t="s">
        <v>595</v>
      </c>
      <c r="B277" s="3" t="s">
        <v>596</v>
      </c>
      <c r="C277" s="160" t="s">
        <v>76</v>
      </c>
      <c r="D277" s="160" t="s">
        <v>869</v>
      </c>
      <c r="E277" s="3" t="s">
        <v>21</v>
      </c>
      <c r="F277" s="3" t="s">
        <v>926</v>
      </c>
      <c r="G277" s="3" t="s">
        <v>926</v>
      </c>
      <c r="H277" s="156" t="str">
        <f ca="1">IFERROR(
  _xludf.MINIFS(ATTENDANCE_LOG!$F:$F,
         ATTENDANCE_LOG!$A:$A, C277,
         ATTENDANCE_LOG!$B:$B, E277),
"")</f>
        <v/>
      </c>
      <c r="I277" s="156" t="str">
        <f t="shared" ca="1" si="266"/>
        <v/>
      </c>
      <c r="J277" s="3">
        <f>IFERROR(VLOOKUP(F277, LEVEL_HELPER!$A:$B, 2, 0), "")</f>
        <v>1</v>
      </c>
      <c r="K277" s="3">
        <f>IFERROR(VLOOKUP(G277, LEVEL_HELPER!$A:$B, 2, 0), "")</f>
        <v>1</v>
      </c>
      <c r="L277" s="157" t="s">
        <v>942</v>
      </c>
      <c r="M277" s="157" t="s">
        <v>922</v>
      </c>
      <c r="N277" s="3">
        <f t="array" aca="1" ref="N277" ca="1">IFERROR(
  INDEX($J$2:$J$543,
    MATCH(A277&amp;TEXT(I277,"yyyy-mm-dd"),
          $A$2:$A$543&amp;TEXT($H$2:$H$543,"yyyy-mm-dd"),
          0)),
"")</f>
        <v>1</v>
      </c>
      <c r="O277" s="147" t="str">
        <f t="shared" ca="1" si="267"/>
        <v/>
      </c>
      <c r="P277" s="147">
        <f t="shared" ref="P277:Q277" ca="1" si="293">IF(N277="",0,IF(N277&lt;=2,1,IF(N277&lt;=4,2,IF(N277&lt;=5.5,3,4))))</f>
        <v>1</v>
      </c>
      <c r="Q277" s="147">
        <f t="shared" ca="1" si="293"/>
        <v>0</v>
      </c>
      <c r="R277" s="147" t="str">
        <f t="shared" ca="1" si="269"/>
        <v>Not tested yet</v>
      </c>
      <c r="S277" s="147">
        <f t="shared" si="270"/>
        <v>1</v>
      </c>
      <c r="T277" s="147"/>
      <c r="U277" s="147"/>
      <c r="V277" s="148" t="e">
        <f ca="1"/>
        <v>#NAME?</v>
      </c>
      <c r="W277" s="147" t="e">
        <f t="shared" ca="1" si="271"/>
        <v>#NAME?</v>
      </c>
      <c r="X277" s="147" t="e">
        <f t="shared" ca="1" si="272"/>
        <v>#NAME?</v>
      </c>
      <c r="Y277" s="147" t="e">
        <f t="shared" ca="1" si="273"/>
        <v>#NAME?</v>
      </c>
      <c r="Z277" s="147"/>
      <c r="AA277" s="147"/>
      <c r="AB277" s="147"/>
      <c r="AC277" s="147"/>
      <c r="AD277" s="147"/>
      <c r="AE277" s="147"/>
      <c r="AF277" s="147"/>
      <c r="AG277" s="147"/>
      <c r="AH277" s="147"/>
      <c r="AI277" s="147"/>
      <c r="AJ277" s="147"/>
      <c r="AK277" s="147"/>
      <c r="AL277" s="147"/>
      <c r="AM277" s="151"/>
      <c r="AN277" s="147"/>
      <c r="AO277" s="147"/>
      <c r="AP277" s="147"/>
      <c r="AQ277" s="147"/>
      <c r="AR277" s="147"/>
      <c r="AS277" s="147"/>
      <c r="AT277" s="147"/>
      <c r="AU277" s="147"/>
      <c r="AV277" s="147"/>
      <c r="AW277" s="147"/>
      <c r="AX277" s="147"/>
      <c r="AY277" s="147"/>
      <c r="AZ277" s="147"/>
      <c r="BA277" s="147"/>
      <c r="BB277" s="147"/>
      <c r="BC277" s="147"/>
      <c r="BD277" s="147"/>
      <c r="BE277" s="147"/>
      <c r="BF277" s="147"/>
      <c r="BG277" s="147"/>
      <c r="BH277" s="147"/>
      <c r="BI277" s="147"/>
      <c r="BJ277" s="147"/>
      <c r="BK277" s="147"/>
      <c r="BL277" s="147"/>
      <c r="BM277" s="147"/>
      <c r="BN277" s="147"/>
      <c r="BO277" s="147"/>
      <c r="BP277" s="147"/>
      <c r="BQ277" s="147"/>
      <c r="BR277" s="147"/>
      <c r="BS277" s="147"/>
      <c r="BT277" s="147"/>
      <c r="BU277" s="147"/>
      <c r="BV277" s="147"/>
      <c r="BW277" s="147"/>
      <c r="BX277" s="147"/>
      <c r="BY277" s="147"/>
      <c r="BZ277" s="147"/>
      <c r="CA277" s="147"/>
      <c r="CB277" s="147"/>
      <c r="CC277" s="147"/>
      <c r="CD277" s="147"/>
      <c r="CE277" s="147"/>
      <c r="CF277" s="147"/>
      <c r="CG277" s="147"/>
      <c r="CH277" s="147"/>
      <c r="CI277" s="147"/>
      <c r="CJ277" s="147"/>
      <c r="CK277" s="147"/>
    </row>
    <row r="278" spans="1:89">
      <c r="A278" s="159" t="s">
        <v>615</v>
      </c>
      <c r="B278" s="3" t="s">
        <v>616</v>
      </c>
      <c r="C278" s="160" t="s">
        <v>76</v>
      </c>
      <c r="D278" s="160" t="s">
        <v>869</v>
      </c>
      <c r="E278" s="3" t="s">
        <v>21</v>
      </c>
      <c r="F278" s="3" t="s">
        <v>926</v>
      </c>
      <c r="G278" s="3" t="s">
        <v>934</v>
      </c>
      <c r="H278" s="156" t="str">
        <f ca="1">IFERROR(
  _xludf.MINIFS(ATTENDANCE_LOG!$F:$F,
         ATTENDANCE_LOG!$A:$A, C278,
         ATTENDANCE_LOG!$B:$B, E278),
"")</f>
        <v/>
      </c>
      <c r="I278" s="156" t="str">
        <f t="shared" ca="1" si="266"/>
        <v/>
      </c>
      <c r="J278" s="3">
        <f>IFERROR(VLOOKUP(F278, LEVEL_HELPER!$A:$B, 2, 0), "")</f>
        <v>1</v>
      </c>
      <c r="K278" s="3">
        <f>IFERROR(VLOOKUP(G278, LEVEL_HELPER!$A:$B, 2, 0), "")</f>
        <v>3.5</v>
      </c>
      <c r="L278" s="157" t="s">
        <v>918</v>
      </c>
      <c r="M278" s="157" t="s">
        <v>922</v>
      </c>
      <c r="N278" s="3">
        <f t="array" aca="1" ref="N278" ca="1">IFERROR(
  INDEX($J$2:$J$543,
    MATCH(A278&amp;TEXT(I278,"yyyy-mm-dd"),
          $A$2:$A$543&amp;TEXT($H$2:$H$543,"yyyy-mm-dd"),
          0)),
"")</f>
        <v>1</v>
      </c>
      <c r="O278" s="147" t="str">
        <f t="shared" ca="1" si="267"/>
        <v/>
      </c>
      <c r="P278" s="147">
        <f t="shared" ref="P278:Q278" ca="1" si="294">IF(N278="",0,IF(N278&lt;=2,1,IF(N278&lt;=4,2,IF(N278&lt;=5.5,3,4))))</f>
        <v>1</v>
      </c>
      <c r="Q278" s="147">
        <f t="shared" ca="1" si="294"/>
        <v>0</v>
      </c>
      <c r="R278" s="147" t="str">
        <f t="shared" ca="1" si="269"/>
        <v>Not tested yet</v>
      </c>
      <c r="S278" s="147">
        <f t="shared" si="270"/>
        <v>1</v>
      </c>
      <c r="T278" s="147"/>
      <c r="U278" s="147"/>
      <c r="V278" s="148" t="e">
        <f ca="1"/>
        <v>#NAME?</v>
      </c>
      <c r="W278" s="147" t="e">
        <f t="shared" ca="1" si="271"/>
        <v>#NAME?</v>
      </c>
      <c r="X278" s="147" t="e">
        <f t="shared" ca="1" si="272"/>
        <v>#NAME?</v>
      </c>
      <c r="Y278" s="147" t="e">
        <f t="shared" ca="1" si="273"/>
        <v>#NAME?</v>
      </c>
      <c r="Z278" s="147"/>
      <c r="AA278" s="147"/>
      <c r="AB278" s="147"/>
      <c r="AC278" s="147"/>
      <c r="AD278" s="147"/>
      <c r="AE278" s="147"/>
      <c r="AF278" s="147"/>
      <c r="AG278" s="147"/>
      <c r="AH278" s="147"/>
      <c r="AI278" s="147"/>
      <c r="AJ278" s="147"/>
      <c r="AK278" s="147"/>
      <c r="AL278" s="147"/>
      <c r="AM278" s="151"/>
      <c r="AN278" s="147"/>
      <c r="AO278" s="147"/>
      <c r="AP278" s="147"/>
      <c r="AQ278" s="147"/>
      <c r="AR278" s="147"/>
      <c r="AS278" s="147"/>
      <c r="AT278" s="147"/>
      <c r="AU278" s="147"/>
      <c r="AV278" s="147"/>
      <c r="AW278" s="147"/>
      <c r="AX278" s="147"/>
      <c r="AY278" s="147"/>
      <c r="AZ278" s="147"/>
      <c r="BA278" s="147"/>
      <c r="BB278" s="147"/>
      <c r="BC278" s="147"/>
      <c r="BD278" s="147"/>
      <c r="BE278" s="147"/>
      <c r="BF278" s="147"/>
      <c r="BG278" s="147"/>
      <c r="BH278" s="147"/>
      <c r="BI278" s="147"/>
      <c r="BJ278" s="147"/>
      <c r="BK278" s="147"/>
      <c r="BL278" s="147"/>
      <c r="BM278" s="147"/>
      <c r="BN278" s="147"/>
      <c r="BO278" s="147"/>
      <c r="BP278" s="147"/>
      <c r="BQ278" s="147"/>
      <c r="BR278" s="147"/>
      <c r="BS278" s="147"/>
      <c r="BT278" s="147"/>
      <c r="BU278" s="147"/>
      <c r="BV278" s="147"/>
      <c r="BW278" s="147"/>
      <c r="BX278" s="147"/>
      <c r="BY278" s="147"/>
      <c r="BZ278" s="147"/>
      <c r="CA278" s="147"/>
      <c r="CB278" s="147"/>
      <c r="CC278" s="147"/>
      <c r="CD278" s="147"/>
      <c r="CE278" s="147"/>
      <c r="CF278" s="147"/>
      <c r="CG278" s="147"/>
      <c r="CH278" s="147"/>
      <c r="CI278" s="147"/>
      <c r="CJ278" s="147"/>
      <c r="CK278" s="147"/>
    </row>
    <row r="279" spans="1:89">
      <c r="A279" s="159" t="s">
        <v>685</v>
      </c>
      <c r="B279" s="3" t="s">
        <v>686</v>
      </c>
      <c r="C279" s="160" t="s">
        <v>76</v>
      </c>
      <c r="D279" s="160" t="s">
        <v>869</v>
      </c>
      <c r="E279" s="3" t="s">
        <v>21</v>
      </c>
      <c r="F279" s="3" t="s">
        <v>926</v>
      </c>
      <c r="G279" s="3" t="s">
        <v>926</v>
      </c>
      <c r="H279" s="156" t="str">
        <f ca="1">IFERROR(
  _xludf.MINIFS(ATTENDANCE_LOG!$F:$F,
         ATTENDANCE_LOG!$A:$A, C279,
         ATTENDANCE_LOG!$B:$B, E279),
"")</f>
        <v/>
      </c>
      <c r="I279" s="156" t="str">
        <f t="shared" ca="1" si="266"/>
        <v/>
      </c>
      <c r="J279" s="3">
        <f>IFERROR(VLOOKUP(F279, LEVEL_HELPER!$A:$B, 2, 0), "")</f>
        <v>1</v>
      </c>
      <c r="K279" s="3">
        <f>IFERROR(VLOOKUP(G279, LEVEL_HELPER!$A:$B, 2, 0), "")</f>
        <v>1</v>
      </c>
      <c r="L279" s="157" t="s">
        <v>942</v>
      </c>
      <c r="M279" s="157" t="s">
        <v>922</v>
      </c>
      <c r="N279" s="3">
        <f t="array" aca="1" ref="N279" ca="1">IFERROR(
  INDEX($J$2:$J$543,
    MATCH(A279&amp;TEXT(I279,"yyyy-mm-dd"),
          $A$2:$A$543&amp;TEXT($H$2:$H$543,"yyyy-mm-dd"),
          0)),
"")</f>
        <v>1</v>
      </c>
      <c r="O279" s="147" t="str">
        <f t="shared" ca="1" si="267"/>
        <v/>
      </c>
      <c r="P279" s="147">
        <f t="shared" ref="P279:Q279" ca="1" si="295">IF(N279="",0,IF(N279&lt;=2,1,IF(N279&lt;=4,2,IF(N279&lt;=5.5,3,4))))</f>
        <v>1</v>
      </c>
      <c r="Q279" s="147">
        <f t="shared" ca="1" si="295"/>
        <v>0</v>
      </c>
      <c r="R279" s="147" t="str">
        <f t="shared" ca="1" si="269"/>
        <v>Not tested yet</v>
      </c>
      <c r="S279" s="147">
        <f t="shared" si="270"/>
        <v>1</v>
      </c>
      <c r="T279" s="147"/>
      <c r="U279" s="147"/>
      <c r="V279" s="148" t="e">
        <f ca="1"/>
        <v>#NAME?</v>
      </c>
      <c r="W279" s="147" t="e">
        <f t="shared" ca="1" si="271"/>
        <v>#NAME?</v>
      </c>
      <c r="X279" s="147" t="e">
        <f t="shared" ca="1" si="272"/>
        <v>#NAME?</v>
      </c>
      <c r="Y279" s="147" t="e">
        <f t="shared" ca="1" si="273"/>
        <v>#NAME?</v>
      </c>
      <c r="Z279" s="147"/>
      <c r="AA279" s="147"/>
      <c r="AB279" s="147"/>
      <c r="AC279" s="147"/>
      <c r="AD279" s="147"/>
      <c r="AE279" s="147"/>
      <c r="AF279" s="147"/>
      <c r="AG279" s="147"/>
      <c r="AH279" s="147"/>
      <c r="AI279" s="147"/>
      <c r="AJ279" s="147"/>
      <c r="AK279" s="147"/>
      <c r="AL279" s="147"/>
      <c r="AM279" s="151"/>
      <c r="AN279" s="147"/>
      <c r="AO279" s="147"/>
      <c r="AP279" s="147"/>
      <c r="AQ279" s="147"/>
      <c r="AR279" s="147"/>
      <c r="AS279" s="147"/>
      <c r="AT279" s="147"/>
      <c r="AU279" s="147"/>
      <c r="AV279" s="147"/>
      <c r="AW279" s="147"/>
      <c r="AX279" s="147"/>
      <c r="AY279" s="147"/>
      <c r="AZ279" s="147"/>
      <c r="BA279" s="147"/>
      <c r="BB279" s="147"/>
      <c r="BC279" s="147"/>
      <c r="BD279" s="147"/>
      <c r="BE279" s="147"/>
      <c r="BF279" s="147"/>
      <c r="BG279" s="147"/>
      <c r="BH279" s="147"/>
      <c r="BI279" s="147"/>
      <c r="BJ279" s="147"/>
      <c r="BK279" s="147"/>
      <c r="BL279" s="147"/>
      <c r="BM279" s="147"/>
      <c r="BN279" s="147"/>
      <c r="BO279" s="147"/>
      <c r="BP279" s="147"/>
      <c r="BQ279" s="147"/>
      <c r="BR279" s="147"/>
      <c r="BS279" s="147"/>
      <c r="BT279" s="147"/>
      <c r="BU279" s="147"/>
      <c r="BV279" s="147"/>
      <c r="BW279" s="147"/>
      <c r="BX279" s="147"/>
      <c r="BY279" s="147"/>
      <c r="BZ279" s="147"/>
      <c r="CA279" s="147"/>
      <c r="CB279" s="147"/>
      <c r="CC279" s="147"/>
      <c r="CD279" s="147"/>
      <c r="CE279" s="147"/>
      <c r="CF279" s="147"/>
      <c r="CG279" s="147"/>
      <c r="CH279" s="147"/>
      <c r="CI279" s="147"/>
      <c r="CJ279" s="147"/>
      <c r="CK279" s="147"/>
    </row>
    <row r="280" spans="1:89">
      <c r="A280" s="159" t="s">
        <v>709</v>
      </c>
      <c r="B280" s="3" t="s">
        <v>710</v>
      </c>
      <c r="C280" s="160" t="s">
        <v>76</v>
      </c>
      <c r="D280" s="160" t="s">
        <v>869</v>
      </c>
      <c r="E280" s="3" t="s">
        <v>21</v>
      </c>
      <c r="F280" s="3" t="s">
        <v>926</v>
      </c>
      <c r="G280" s="3" t="s">
        <v>926</v>
      </c>
      <c r="H280" s="156" t="str">
        <f ca="1">IFERROR(
  _xludf.MINIFS(ATTENDANCE_LOG!$F:$F,
         ATTENDANCE_LOG!$A:$A, C280,
         ATTENDANCE_LOG!$B:$B, E280),
"")</f>
        <v/>
      </c>
      <c r="I280" s="156" t="str">
        <f t="shared" ca="1" si="266"/>
        <v/>
      </c>
      <c r="J280" s="3">
        <f>IFERROR(VLOOKUP(F280, LEVEL_HELPER!$A:$B, 2, 0), "")</f>
        <v>1</v>
      </c>
      <c r="K280" s="3">
        <f>IFERROR(VLOOKUP(G280, LEVEL_HELPER!$A:$B, 2, 0), "")</f>
        <v>1</v>
      </c>
      <c r="L280" s="157" t="s">
        <v>942</v>
      </c>
      <c r="M280" s="157" t="s">
        <v>922</v>
      </c>
      <c r="N280" s="3">
        <f t="array" aca="1" ref="N280" ca="1">IFERROR(
  INDEX($J$2:$J$543,
    MATCH(A280&amp;TEXT(I280,"yyyy-mm-dd"),
          $A$2:$A$543&amp;TEXT($H$2:$H$543,"yyyy-mm-dd"),
          0)),
"")</f>
        <v>1</v>
      </c>
      <c r="O280" s="147" t="str">
        <f t="shared" ca="1" si="267"/>
        <v/>
      </c>
      <c r="P280" s="147">
        <f t="shared" ref="P280:Q280" ca="1" si="296">IF(N280="",0,IF(N280&lt;=2,1,IF(N280&lt;=4,2,IF(N280&lt;=5.5,3,4))))</f>
        <v>1</v>
      </c>
      <c r="Q280" s="147">
        <f t="shared" ca="1" si="296"/>
        <v>0</v>
      </c>
      <c r="R280" s="147" t="str">
        <f t="shared" ca="1" si="269"/>
        <v>Not tested yet</v>
      </c>
      <c r="S280" s="147">
        <f t="shared" si="270"/>
        <v>1</v>
      </c>
      <c r="T280" s="147"/>
      <c r="U280" s="147"/>
      <c r="V280" s="148" t="e">
        <f ca="1"/>
        <v>#NAME?</v>
      </c>
      <c r="W280" s="147" t="e">
        <f t="shared" ca="1" si="271"/>
        <v>#NAME?</v>
      </c>
      <c r="X280" s="147" t="e">
        <f t="shared" ca="1" si="272"/>
        <v>#NAME?</v>
      </c>
      <c r="Y280" s="147" t="e">
        <f t="shared" ca="1" si="273"/>
        <v>#NAME?</v>
      </c>
      <c r="Z280" s="147"/>
      <c r="AA280" s="147"/>
      <c r="AB280" s="147"/>
      <c r="AC280" s="147"/>
      <c r="AD280" s="147"/>
      <c r="AE280" s="147"/>
      <c r="AF280" s="147"/>
      <c r="AG280" s="147"/>
      <c r="AH280" s="147"/>
      <c r="AI280" s="147"/>
      <c r="AJ280" s="147"/>
      <c r="AK280" s="147"/>
      <c r="AL280" s="147"/>
      <c r="AM280" s="151"/>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c r="BI280" s="147"/>
      <c r="BJ280" s="147"/>
      <c r="BK280" s="147"/>
      <c r="BL280" s="147"/>
      <c r="BM280" s="147"/>
      <c r="BN280" s="147"/>
      <c r="BO280" s="147"/>
      <c r="BP280" s="147"/>
      <c r="BQ280" s="147"/>
      <c r="BR280" s="147"/>
      <c r="BS280" s="147"/>
      <c r="BT280" s="147"/>
      <c r="BU280" s="147"/>
      <c r="BV280" s="147"/>
      <c r="BW280" s="147"/>
      <c r="BX280" s="147"/>
      <c r="BY280" s="147"/>
      <c r="BZ280" s="147"/>
      <c r="CA280" s="147"/>
      <c r="CB280" s="147"/>
      <c r="CC280" s="147"/>
      <c r="CD280" s="147"/>
      <c r="CE280" s="147"/>
      <c r="CF280" s="147"/>
      <c r="CG280" s="147"/>
      <c r="CH280" s="147"/>
      <c r="CI280" s="147"/>
      <c r="CJ280" s="147"/>
      <c r="CK280" s="147"/>
    </row>
    <row r="281" spans="1:89">
      <c r="A281" s="159" t="s">
        <v>210</v>
      </c>
      <c r="B281" s="3" t="s">
        <v>211</v>
      </c>
      <c r="C281" s="160" t="s">
        <v>76</v>
      </c>
      <c r="D281" s="160" t="s">
        <v>869</v>
      </c>
      <c r="E281" s="3" t="s">
        <v>22</v>
      </c>
      <c r="F281" s="3" t="s">
        <v>916</v>
      </c>
      <c r="G281" s="3" t="s">
        <v>917</v>
      </c>
      <c r="H281" s="156" t="str">
        <f ca="1">IFERROR(
  _xludf.MINIFS(ATTENDANCE_LOG!$F:$F,
         ATTENDANCE_LOG!$A:$A, C281,
         ATTENDANCE_LOG!$B:$B, E281),
"")</f>
        <v/>
      </c>
      <c r="I281" s="156" t="str">
        <f t="shared" ca="1" si="266"/>
        <v/>
      </c>
      <c r="J281" s="3">
        <f>IFERROR(VLOOKUP(F281, LEVEL_HELPER!$A:$B, 2, 0), "")</f>
        <v>2.5</v>
      </c>
      <c r="K281" s="3">
        <f>IFERROR(VLOOKUP(G281, LEVEL_HELPER!$A:$B, 2, 0), "")</f>
        <v>3</v>
      </c>
      <c r="L281" s="157" t="s">
        <v>942</v>
      </c>
      <c r="M281" s="157" t="s">
        <v>922</v>
      </c>
      <c r="N281" s="3">
        <f t="array" aca="1" ref="N281" ca="1">IFERROR(
  INDEX($J$2:$J$543,
    MATCH(A281&amp;TEXT(I281,"yyyy-mm-dd"),
          $A$2:$A$543&amp;TEXT($H$2:$H$543,"yyyy-mm-dd"),
          0)),
"")</f>
        <v>2.5</v>
      </c>
      <c r="O281" s="147" t="str">
        <f t="shared" ca="1" si="267"/>
        <v/>
      </c>
      <c r="P281" s="147">
        <f t="shared" ref="P281:Q281" ca="1" si="297">IF(N281="",0,IF(N281&lt;=2,1,IF(N281&lt;=4,2,IF(N281&lt;=5.5,3,4))))</f>
        <v>2</v>
      </c>
      <c r="Q281" s="147">
        <f t="shared" ca="1" si="297"/>
        <v>0</v>
      </c>
      <c r="R281" s="147" t="str">
        <f t="shared" ca="1" si="269"/>
        <v>Not tested yet</v>
      </c>
      <c r="S281" s="147">
        <f t="shared" si="270"/>
        <v>0</v>
      </c>
      <c r="T281" s="147"/>
      <c r="U281" s="147"/>
      <c r="V281" s="148" t="e">
        <f ca="1"/>
        <v>#NAME?</v>
      </c>
      <c r="W281" s="147" t="e">
        <f t="shared" ca="1" si="271"/>
        <v>#NAME?</v>
      </c>
      <c r="X281" s="147" t="e">
        <f t="shared" ca="1" si="272"/>
        <v>#NAME?</v>
      </c>
      <c r="Y281" s="147" t="e">
        <f t="shared" ca="1" si="273"/>
        <v>#NAME?</v>
      </c>
      <c r="Z281" s="147"/>
      <c r="AA281" s="147"/>
      <c r="AB281" s="147"/>
      <c r="AC281" s="147"/>
      <c r="AD281" s="147"/>
      <c r="AE281" s="147"/>
      <c r="AF281" s="147"/>
      <c r="AG281" s="147"/>
      <c r="AH281" s="147"/>
      <c r="AI281" s="147"/>
      <c r="AJ281" s="147"/>
      <c r="AK281" s="147"/>
      <c r="AL281" s="147"/>
      <c r="AM281" s="151"/>
      <c r="AN281" s="147"/>
      <c r="AO281" s="147"/>
      <c r="AP281" s="147"/>
      <c r="AQ281" s="147"/>
      <c r="AR281" s="147"/>
      <c r="AS281" s="147"/>
      <c r="AT281" s="147"/>
      <c r="AU281" s="147"/>
      <c r="AV281" s="147"/>
      <c r="AW281" s="147"/>
      <c r="AX281" s="147"/>
      <c r="AY281" s="147"/>
      <c r="AZ281" s="147"/>
      <c r="BA281" s="147"/>
      <c r="BB281" s="147"/>
      <c r="BC281" s="147"/>
      <c r="BD281" s="147"/>
      <c r="BE281" s="147"/>
      <c r="BF281" s="147"/>
      <c r="BG281" s="147"/>
      <c r="BH281" s="147"/>
      <c r="BI281" s="147"/>
      <c r="BJ281" s="147"/>
      <c r="BK281" s="147"/>
      <c r="BL281" s="147"/>
      <c r="BM281" s="147"/>
      <c r="BN281" s="147"/>
      <c r="BO281" s="147"/>
      <c r="BP281" s="147"/>
      <c r="BQ281" s="147"/>
      <c r="BR281" s="147"/>
      <c r="BS281" s="147"/>
      <c r="BT281" s="147"/>
      <c r="BU281" s="147"/>
      <c r="BV281" s="147"/>
      <c r="BW281" s="147"/>
      <c r="BX281" s="147"/>
      <c r="BY281" s="147"/>
      <c r="BZ281" s="147"/>
      <c r="CA281" s="147"/>
      <c r="CB281" s="147"/>
      <c r="CC281" s="147"/>
      <c r="CD281" s="147"/>
      <c r="CE281" s="147"/>
      <c r="CF281" s="147"/>
      <c r="CG281" s="147"/>
      <c r="CH281" s="147"/>
      <c r="CI281" s="147"/>
      <c r="CJ281" s="147"/>
      <c r="CK281" s="147"/>
    </row>
    <row r="282" spans="1:89">
      <c r="A282" s="153" t="s">
        <v>651</v>
      </c>
      <c r="B282" s="154" t="s">
        <v>652</v>
      </c>
      <c r="C282" s="155" t="s">
        <v>76</v>
      </c>
      <c r="D282" s="155" t="s">
        <v>869</v>
      </c>
      <c r="E282" s="154" t="s">
        <v>22</v>
      </c>
      <c r="F282" s="3" t="s">
        <v>917</v>
      </c>
      <c r="G282" s="3"/>
      <c r="H282" s="156" t="str">
        <f ca="1">IFERROR(
  _xludf.MINIFS(ATTENDANCE_LOG!$F:$F,
         ATTENDANCE_LOG!$A:$A, C282,
         ATTENDANCE_LOG!$B:$B, E282),
"")</f>
        <v/>
      </c>
      <c r="I282" s="156" t="str">
        <f t="shared" ca="1" si="266"/>
        <v/>
      </c>
      <c r="J282" s="3">
        <f>IFERROR(VLOOKUP(F282, LEVEL_HELPER!$A:$B, 2, 0), "")</f>
        <v>3</v>
      </c>
      <c r="K282" s="3" t="str">
        <f>IFERROR(VLOOKUP(G282, LEVEL_HELPER!$A:$B, 2, 0), "")</f>
        <v/>
      </c>
      <c r="L282" s="157" t="s">
        <v>918</v>
      </c>
      <c r="M282" s="157" t="s">
        <v>922</v>
      </c>
      <c r="N282" s="3">
        <f t="array" aca="1" ref="N282" ca="1">IFERROR(
  INDEX($J$2:$J$543,
    MATCH(A282&amp;TEXT(I282,"yyyy-mm-dd"),
          $A$2:$A$543&amp;TEXT($H$2:$H$543,"yyyy-mm-dd"),
          0)),
"")</f>
        <v>1</v>
      </c>
      <c r="O282" s="147" t="str">
        <f t="shared" ca="1" si="267"/>
        <v/>
      </c>
      <c r="P282" s="147">
        <f t="shared" ref="P282:Q282" ca="1" si="298">IF(N282="",0,IF(N282&lt;=2,1,IF(N282&lt;=4,2,IF(N282&lt;=5.5,3,4))))</f>
        <v>1</v>
      </c>
      <c r="Q282" s="147">
        <f t="shared" ca="1" si="298"/>
        <v>0</v>
      </c>
      <c r="R282" s="147" t="str">
        <f t="shared" ca="1" si="269"/>
        <v>Not tested yet</v>
      </c>
      <c r="S282" s="147">
        <f t="shared" si="270"/>
        <v>0</v>
      </c>
      <c r="T282" s="147"/>
      <c r="U282" s="147"/>
      <c r="V282" s="148" t="e">
        <f ca="1"/>
        <v>#NAME?</v>
      </c>
      <c r="W282" s="147" t="e">
        <f t="shared" ca="1" si="271"/>
        <v>#NAME?</v>
      </c>
      <c r="X282" s="147" t="e">
        <f t="shared" ca="1" si="272"/>
        <v>#NAME?</v>
      </c>
      <c r="Y282" s="147" t="e">
        <f t="shared" ca="1" si="273"/>
        <v>#NAME?</v>
      </c>
      <c r="Z282" s="147"/>
      <c r="AA282" s="147"/>
      <c r="AB282" s="147"/>
      <c r="AC282" s="147"/>
      <c r="AD282" s="147"/>
      <c r="AE282" s="147"/>
      <c r="AF282" s="147"/>
      <c r="AG282" s="147"/>
      <c r="AH282" s="147"/>
      <c r="AI282" s="147"/>
      <c r="AJ282" s="147"/>
      <c r="AK282" s="147"/>
      <c r="AL282" s="147"/>
      <c r="AM282" s="151"/>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c r="BI282" s="147"/>
      <c r="BJ282" s="147"/>
      <c r="BK282" s="147"/>
      <c r="BL282" s="147"/>
      <c r="BM282" s="147"/>
      <c r="BN282" s="147"/>
      <c r="BO282" s="147"/>
      <c r="BP282" s="147"/>
      <c r="BQ282" s="147"/>
      <c r="BR282" s="147"/>
      <c r="BS282" s="147"/>
      <c r="BT282" s="147"/>
      <c r="BU282" s="147"/>
      <c r="BV282" s="147"/>
      <c r="BW282" s="147"/>
      <c r="BX282" s="147"/>
      <c r="BY282" s="147"/>
      <c r="BZ282" s="147"/>
      <c r="CA282" s="147"/>
      <c r="CB282" s="147"/>
      <c r="CC282" s="147"/>
      <c r="CD282" s="147"/>
      <c r="CE282" s="147"/>
      <c r="CF282" s="147"/>
      <c r="CG282" s="147"/>
      <c r="CH282" s="147"/>
      <c r="CI282" s="147"/>
      <c r="CJ282" s="147"/>
      <c r="CK282" s="147"/>
    </row>
    <row r="283" spans="1:89">
      <c r="A283" s="159" t="s">
        <v>228</v>
      </c>
      <c r="B283" s="3" t="s">
        <v>229</v>
      </c>
      <c r="C283" s="160" t="s">
        <v>76</v>
      </c>
      <c r="D283" s="160" t="s">
        <v>869</v>
      </c>
      <c r="E283" s="3" t="s">
        <v>22</v>
      </c>
      <c r="F283" s="3" t="s">
        <v>917</v>
      </c>
      <c r="G283" s="3"/>
      <c r="H283" s="156" t="str">
        <f ca="1">IFERROR(
  _xludf.MINIFS(ATTENDANCE_LOG!$F:$F,
         ATTENDANCE_LOG!$A:$A, C283,
         ATTENDANCE_LOG!$B:$B, E283),
"")</f>
        <v/>
      </c>
      <c r="I283" s="156" t="str">
        <f t="shared" ca="1" si="266"/>
        <v/>
      </c>
      <c r="J283" s="3">
        <f>IFERROR(VLOOKUP(F283, LEVEL_HELPER!$A:$B, 2, 0), "")</f>
        <v>3</v>
      </c>
      <c r="K283" s="3" t="str">
        <f>IFERROR(VLOOKUP(G283, LEVEL_HELPER!$A:$B, 2, 0), "")</f>
        <v/>
      </c>
      <c r="L283" s="157" t="s">
        <v>942</v>
      </c>
      <c r="M283" s="157" t="s">
        <v>922</v>
      </c>
      <c r="N283" s="3">
        <f t="array" aca="1" ref="N283" ca="1">IFERROR(
  INDEX($J$2:$J$543,
    MATCH(A283&amp;TEXT(I283,"yyyy-mm-dd"),
          $A$2:$A$543&amp;TEXT($H$2:$H$543,"yyyy-mm-dd"),
          0)),
"")</f>
        <v>1</v>
      </c>
      <c r="O283" s="147" t="str">
        <f t="shared" ca="1" si="267"/>
        <v/>
      </c>
      <c r="P283" s="147">
        <f t="shared" ref="P283:Q283" ca="1" si="299">IF(N283="",0,IF(N283&lt;=2,1,IF(N283&lt;=4,2,IF(N283&lt;=5.5,3,4))))</f>
        <v>1</v>
      </c>
      <c r="Q283" s="147">
        <f t="shared" ca="1" si="299"/>
        <v>0</v>
      </c>
      <c r="R283" s="147" t="str">
        <f t="shared" ca="1" si="269"/>
        <v>Not tested yet</v>
      </c>
      <c r="S283" s="147">
        <f t="shared" si="270"/>
        <v>0</v>
      </c>
      <c r="T283" s="147"/>
      <c r="U283" s="147"/>
      <c r="V283" s="148" t="e">
        <f ca="1"/>
        <v>#NAME?</v>
      </c>
      <c r="W283" s="147" t="e">
        <f t="shared" ca="1" si="271"/>
        <v>#NAME?</v>
      </c>
      <c r="X283" s="147" t="e">
        <f t="shared" ca="1" si="272"/>
        <v>#NAME?</v>
      </c>
      <c r="Y283" s="147" t="e">
        <f t="shared" ca="1" si="273"/>
        <v>#NAME?</v>
      </c>
      <c r="Z283" s="147"/>
      <c r="AA283" s="147"/>
      <c r="AB283" s="147"/>
      <c r="AC283" s="147"/>
      <c r="AD283" s="147"/>
      <c r="AE283" s="147"/>
      <c r="AF283" s="147"/>
      <c r="AG283" s="147"/>
      <c r="AH283" s="147"/>
      <c r="AI283" s="147"/>
      <c r="AJ283" s="147"/>
      <c r="AK283" s="147"/>
      <c r="AL283" s="147"/>
      <c r="AM283" s="151"/>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c r="BI283" s="147"/>
      <c r="BJ283" s="147"/>
      <c r="BK283" s="147"/>
      <c r="BL283" s="147"/>
      <c r="BM283" s="147"/>
      <c r="BN283" s="147"/>
      <c r="BO283" s="147"/>
      <c r="BP283" s="147"/>
      <c r="BQ283" s="147"/>
      <c r="BR283" s="147"/>
      <c r="BS283" s="147"/>
      <c r="BT283" s="147"/>
      <c r="BU283" s="147"/>
      <c r="BV283" s="147"/>
      <c r="BW283" s="147"/>
      <c r="BX283" s="147"/>
      <c r="BY283" s="147"/>
      <c r="BZ283" s="147"/>
      <c r="CA283" s="147"/>
      <c r="CB283" s="147"/>
      <c r="CC283" s="147"/>
      <c r="CD283" s="147"/>
      <c r="CE283" s="147"/>
      <c r="CF283" s="147"/>
      <c r="CG283" s="147"/>
      <c r="CH283" s="147"/>
      <c r="CI283" s="147"/>
      <c r="CJ283" s="147"/>
      <c r="CK283" s="147"/>
    </row>
    <row r="284" spans="1:89">
      <c r="A284" s="159" t="s">
        <v>399</v>
      </c>
      <c r="B284" s="3" t="s">
        <v>400</v>
      </c>
      <c r="C284" s="160" t="s">
        <v>76</v>
      </c>
      <c r="D284" s="160" t="s">
        <v>869</v>
      </c>
      <c r="E284" s="3" t="s">
        <v>22</v>
      </c>
      <c r="F284" s="3" t="s">
        <v>934</v>
      </c>
      <c r="G284" s="3"/>
      <c r="H284" s="156" t="str">
        <f ca="1">IFERROR(
  _xludf.MINIFS(ATTENDANCE_LOG!$F:$F,
         ATTENDANCE_LOG!$A:$A, C284,
         ATTENDANCE_LOG!$B:$B, E284),
"")</f>
        <v/>
      </c>
      <c r="I284" s="156" t="str">
        <f t="shared" ca="1" si="266"/>
        <v/>
      </c>
      <c r="J284" s="3">
        <f>IFERROR(VLOOKUP(F284, LEVEL_HELPER!$A:$B, 2, 0), "")</f>
        <v>3.5</v>
      </c>
      <c r="K284" s="3" t="str">
        <f>IFERROR(VLOOKUP(G284, LEVEL_HELPER!$A:$B, 2, 0), "")</f>
        <v/>
      </c>
      <c r="L284" s="157" t="s">
        <v>944</v>
      </c>
      <c r="M284" s="157" t="s">
        <v>922</v>
      </c>
      <c r="N284" s="3">
        <f t="array" aca="1" ref="N284" ca="1">IFERROR(
  INDEX($J$2:$J$543,
    MATCH(A284&amp;TEXT(I284,"yyyy-mm-dd"),
          $A$2:$A$543&amp;TEXT($H$2:$H$543,"yyyy-mm-dd"),
          0)),
"")</f>
        <v>2.5</v>
      </c>
      <c r="O284" s="147" t="str">
        <f t="shared" ca="1" si="267"/>
        <v/>
      </c>
      <c r="P284" s="147">
        <f t="shared" ref="P284:Q284" ca="1" si="300">IF(N284="",0,IF(N284&lt;=2,1,IF(N284&lt;=4,2,IF(N284&lt;=5.5,3,4))))</f>
        <v>2</v>
      </c>
      <c r="Q284" s="147">
        <f t="shared" ca="1" si="300"/>
        <v>0</v>
      </c>
      <c r="R284" s="147" t="str">
        <f t="shared" ca="1" si="269"/>
        <v>Not tested yet</v>
      </c>
      <c r="S284" s="147">
        <f t="shared" si="270"/>
        <v>0</v>
      </c>
      <c r="T284" s="147"/>
      <c r="U284" s="147"/>
      <c r="V284" s="148" t="e">
        <f ca="1"/>
        <v>#NAME?</v>
      </c>
      <c r="W284" s="147" t="e">
        <f t="shared" ca="1" si="271"/>
        <v>#NAME?</v>
      </c>
      <c r="X284" s="147" t="e">
        <f t="shared" ca="1" si="272"/>
        <v>#NAME?</v>
      </c>
      <c r="Y284" s="147" t="e">
        <f t="shared" ca="1" si="273"/>
        <v>#NAME?</v>
      </c>
      <c r="Z284" s="147"/>
      <c r="AA284" s="147"/>
      <c r="AB284" s="147"/>
      <c r="AC284" s="147"/>
      <c r="AD284" s="147"/>
      <c r="AE284" s="147"/>
      <c r="AF284" s="147"/>
      <c r="AG284" s="147"/>
      <c r="AH284" s="147"/>
      <c r="AI284" s="147"/>
      <c r="AJ284" s="147"/>
      <c r="AK284" s="147"/>
      <c r="AL284" s="147"/>
      <c r="AM284" s="151"/>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c r="BI284" s="147"/>
      <c r="BJ284" s="147"/>
      <c r="BK284" s="147"/>
      <c r="BL284" s="147"/>
      <c r="BM284" s="147"/>
      <c r="BN284" s="147"/>
      <c r="BO284" s="147"/>
      <c r="BP284" s="147"/>
      <c r="BQ284" s="147"/>
      <c r="BR284" s="147"/>
      <c r="BS284" s="147"/>
      <c r="BT284" s="147"/>
      <c r="BU284" s="147"/>
      <c r="BV284" s="147"/>
      <c r="BW284" s="147"/>
      <c r="BX284" s="147"/>
      <c r="BY284" s="147"/>
      <c r="BZ284" s="147"/>
      <c r="CA284" s="147"/>
      <c r="CB284" s="147"/>
      <c r="CC284" s="147"/>
      <c r="CD284" s="147"/>
      <c r="CE284" s="147"/>
      <c r="CF284" s="147"/>
      <c r="CG284" s="147"/>
      <c r="CH284" s="147"/>
      <c r="CI284" s="147"/>
      <c r="CJ284" s="147"/>
      <c r="CK284" s="147"/>
    </row>
    <row r="285" spans="1:89" ht="14.25" customHeight="1">
      <c r="A285" s="159" t="s">
        <v>534</v>
      </c>
      <c r="B285" s="3" t="s">
        <v>535</v>
      </c>
      <c r="C285" s="160" t="s">
        <v>76</v>
      </c>
      <c r="D285" s="160" t="s">
        <v>869</v>
      </c>
      <c r="E285" s="3" t="s">
        <v>22</v>
      </c>
      <c r="F285" s="3" t="s">
        <v>917</v>
      </c>
      <c r="G285" s="3"/>
      <c r="H285" s="156" t="str">
        <f ca="1">IFERROR(
  _xludf.MINIFS(ATTENDANCE_LOG!$F:$F,
         ATTENDANCE_LOG!$A:$A, C285,
         ATTENDANCE_LOG!$B:$B, E285),
"")</f>
        <v/>
      </c>
      <c r="I285" s="156" t="str">
        <f t="shared" ca="1" si="266"/>
        <v/>
      </c>
      <c r="J285" s="3">
        <f>IFERROR(VLOOKUP(F285, LEVEL_HELPER!$A:$B, 2, 0), "")</f>
        <v>3</v>
      </c>
      <c r="K285" s="3" t="str">
        <f>IFERROR(VLOOKUP(G285, LEVEL_HELPER!$A:$B, 2, 0), "")</f>
        <v/>
      </c>
      <c r="L285" s="157" t="s">
        <v>918</v>
      </c>
      <c r="M285" s="157" t="s">
        <v>922</v>
      </c>
      <c r="N285" s="3">
        <f t="array" aca="1" ref="N285" ca="1">IFERROR(
  INDEX($J$2:$J$543,
    MATCH(A285&amp;TEXT(I285,"yyyy-mm-dd"),
          $A$2:$A$543&amp;TEXT($H$2:$H$543,"yyyy-mm-dd"),
          0)),
"")</f>
        <v>1</v>
      </c>
      <c r="O285" s="147" t="str">
        <f t="shared" ca="1" si="267"/>
        <v/>
      </c>
      <c r="P285" s="147">
        <f t="shared" ref="P285:Q285" ca="1" si="301">IF(N285="",0,IF(N285&lt;=2,1,IF(N285&lt;=4,2,IF(N285&lt;=5.5,3,4))))</f>
        <v>1</v>
      </c>
      <c r="Q285" s="147">
        <f t="shared" ca="1" si="301"/>
        <v>0</v>
      </c>
      <c r="R285" s="147" t="str">
        <f t="shared" ca="1" si="269"/>
        <v>Not tested yet</v>
      </c>
      <c r="S285" s="147">
        <f t="shared" si="270"/>
        <v>0</v>
      </c>
      <c r="T285" s="147"/>
      <c r="U285" s="147"/>
      <c r="V285" s="148" t="e">
        <f ca="1"/>
        <v>#NAME?</v>
      </c>
      <c r="W285" s="147" t="e">
        <f t="shared" ca="1" si="271"/>
        <v>#NAME?</v>
      </c>
      <c r="X285" s="147" t="e">
        <f t="shared" ca="1" si="272"/>
        <v>#NAME?</v>
      </c>
      <c r="Y285" s="147" t="e">
        <f t="shared" ca="1" si="273"/>
        <v>#NAME?</v>
      </c>
      <c r="Z285" s="147"/>
      <c r="AA285" s="147"/>
      <c r="AB285" s="147"/>
      <c r="AC285" s="147"/>
      <c r="AD285" s="147"/>
      <c r="AE285" s="147"/>
      <c r="AF285" s="147"/>
      <c r="AG285" s="147"/>
      <c r="AH285" s="147"/>
      <c r="AI285" s="147"/>
      <c r="AJ285" s="147"/>
      <c r="AK285" s="147"/>
      <c r="AL285" s="147"/>
      <c r="AM285" s="151"/>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c r="BI285" s="147"/>
      <c r="BJ285" s="147"/>
      <c r="BK285" s="147"/>
      <c r="BL285" s="147"/>
      <c r="BM285" s="147"/>
      <c r="BN285" s="147"/>
      <c r="BO285" s="147"/>
      <c r="BP285" s="147"/>
      <c r="BQ285" s="147"/>
      <c r="BR285" s="147"/>
      <c r="BS285" s="147"/>
      <c r="BT285" s="147"/>
      <c r="BU285" s="147"/>
      <c r="BV285" s="147"/>
      <c r="BW285" s="147"/>
      <c r="BX285" s="147"/>
      <c r="BY285" s="147"/>
      <c r="BZ285" s="147"/>
      <c r="CA285" s="147"/>
      <c r="CB285" s="147"/>
      <c r="CC285" s="147"/>
      <c r="CD285" s="147"/>
      <c r="CE285" s="147"/>
      <c r="CF285" s="147"/>
      <c r="CG285" s="147"/>
      <c r="CH285" s="147"/>
      <c r="CI285" s="147"/>
      <c r="CJ285" s="147"/>
      <c r="CK285" s="147"/>
    </row>
    <row r="286" spans="1:89">
      <c r="A286" s="159" t="s">
        <v>595</v>
      </c>
      <c r="B286" s="3" t="s">
        <v>596</v>
      </c>
      <c r="C286" s="160" t="s">
        <v>76</v>
      </c>
      <c r="D286" s="160" t="s">
        <v>869</v>
      </c>
      <c r="E286" s="3" t="s">
        <v>22</v>
      </c>
      <c r="F286" s="3" t="s">
        <v>926</v>
      </c>
      <c r="G286" s="3"/>
      <c r="H286" s="156" t="str">
        <f ca="1">IFERROR(
  _xludf.MINIFS(ATTENDANCE_LOG!$F:$F,
         ATTENDANCE_LOG!$A:$A, C286,
         ATTENDANCE_LOG!$B:$B, E286),
"")</f>
        <v/>
      </c>
      <c r="I286" s="156" t="str">
        <f t="shared" ca="1" si="266"/>
        <v/>
      </c>
      <c r="J286" s="3">
        <f>IFERROR(VLOOKUP(F286, LEVEL_HELPER!$A:$B, 2, 0), "")</f>
        <v>1</v>
      </c>
      <c r="K286" s="3" t="str">
        <f>IFERROR(VLOOKUP(G286, LEVEL_HELPER!$A:$B, 2, 0), "")</f>
        <v/>
      </c>
      <c r="L286" s="157" t="s">
        <v>942</v>
      </c>
      <c r="M286" s="157" t="s">
        <v>922</v>
      </c>
      <c r="N286" s="3">
        <f t="array" aca="1" ref="N286" ca="1">IFERROR(
  INDEX($J$2:$J$543,
    MATCH(A286&amp;TEXT(I286,"yyyy-mm-dd"),
          $A$2:$A$543&amp;TEXT($H$2:$H$543,"yyyy-mm-dd"),
          0)),
"")</f>
        <v>1</v>
      </c>
      <c r="O286" s="147" t="str">
        <f t="shared" ca="1" si="267"/>
        <v/>
      </c>
      <c r="P286" s="147">
        <f t="shared" ref="P286:Q286" ca="1" si="302">IF(N286="",0,IF(N286&lt;=2,1,IF(N286&lt;=4,2,IF(N286&lt;=5.5,3,4))))</f>
        <v>1</v>
      </c>
      <c r="Q286" s="147">
        <f t="shared" ca="1" si="302"/>
        <v>0</v>
      </c>
      <c r="R286" s="147" t="str">
        <f t="shared" ca="1" si="269"/>
        <v>Not tested yet</v>
      </c>
      <c r="S286" s="147">
        <f t="shared" si="270"/>
        <v>0</v>
      </c>
      <c r="T286" s="147"/>
      <c r="U286" s="147"/>
      <c r="V286" s="148" t="e">
        <f ca="1"/>
        <v>#NAME?</v>
      </c>
      <c r="W286" s="147" t="e">
        <f t="shared" ca="1" si="271"/>
        <v>#NAME?</v>
      </c>
      <c r="X286" s="147" t="e">
        <f t="shared" ca="1" si="272"/>
        <v>#NAME?</v>
      </c>
      <c r="Y286" s="147" t="e">
        <f t="shared" ca="1" si="273"/>
        <v>#NAME?</v>
      </c>
      <c r="Z286" s="147"/>
      <c r="AA286" s="147"/>
      <c r="AB286" s="147"/>
      <c r="AC286" s="147"/>
      <c r="AD286" s="147"/>
      <c r="AE286" s="147"/>
      <c r="AF286" s="147"/>
      <c r="AG286" s="147"/>
      <c r="AH286" s="147"/>
      <c r="AI286" s="147"/>
      <c r="AJ286" s="147"/>
      <c r="AK286" s="147"/>
      <c r="AL286" s="147"/>
      <c r="AM286" s="151"/>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c r="BI286" s="147"/>
      <c r="BJ286" s="147"/>
      <c r="BK286" s="147"/>
      <c r="BL286" s="147"/>
      <c r="BM286" s="147"/>
      <c r="BN286" s="147"/>
      <c r="BO286" s="147"/>
      <c r="BP286" s="147"/>
      <c r="BQ286" s="147"/>
      <c r="BR286" s="147"/>
      <c r="BS286" s="147"/>
      <c r="BT286" s="147"/>
      <c r="BU286" s="147"/>
      <c r="BV286" s="147"/>
      <c r="BW286" s="147"/>
      <c r="BX286" s="147"/>
      <c r="BY286" s="147"/>
      <c r="BZ286" s="147"/>
      <c r="CA286" s="147"/>
      <c r="CB286" s="147"/>
      <c r="CC286" s="147"/>
      <c r="CD286" s="147"/>
      <c r="CE286" s="147"/>
      <c r="CF286" s="147"/>
      <c r="CG286" s="147"/>
      <c r="CH286" s="147"/>
      <c r="CI286" s="147"/>
      <c r="CJ286" s="147"/>
      <c r="CK286" s="147"/>
    </row>
    <row r="287" spans="1:89">
      <c r="A287" s="159" t="s">
        <v>615</v>
      </c>
      <c r="B287" s="3" t="s">
        <v>616</v>
      </c>
      <c r="C287" s="160" t="s">
        <v>76</v>
      </c>
      <c r="D287" s="160" t="s">
        <v>869</v>
      </c>
      <c r="E287" s="3" t="s">
        <v>22</v>
      </c>
      <c r="F287" s="3" t="s">
        <v>934</v>
      </c>
      <c r="G287" s="3"/>
      <c r="H287" s="156" t="str">
        <f ca="1">IFERROR(
  _xludf.MINIFS(ATTENDANCE_LOG!$F:$F,
         ATTENDANCE_LOG!$A:$A, C287,
         ATTENDANCE_LOG!$B:$B, E287),
"")</f>
        <v/>
      </c>
      <c r="I287" s="156" t="str">
        <f t="shared" ca="1" si="266"/>
        <v/>
      </c>
      <c r="J287" s="3">
        <f>IFERROR(VLOOKUP(F287, LEVEL_HELPER!$A:$B, 2, 0), "")</f>
        <v>3.5</v>
      </c>
      <c r="K287" s="3" t="str">
        <f>IFERROR(VLOOKUP(G287, LEVEL_HELPER!$A:$B, 2, 0), "")</f>
        <v/>
      </c>
      <c r="L287" s="157" t="s">
        <v>918</v>
      </c>
      <c r="M287" s="157" t="s">
        <v>922</v>
      </c>
      <c r="N287" s="3">
        <f t="array" aca="1" ref="N287" ca="1">IFERROR(
  INDEX($J$2:$J$543,
    MATCH(A287&amp;TEXT(I287,"yyyy-mm-dd"),
          $A$2:$A$543&amp;TEXT($H$2:$H$543,"yyyy-mm-dd"),
          0)),
"")</f>
        <v>1</v>
      </c>
      <c r="O287" s="147" t="str">
        <f t="shared" ca="1" si="267"/>
        <v/>
      </c>
      <c r="P287" s="147">
        <f t="shared" ref="P287:Q287" ca="1" si="303">IF(N287="",0,IF(N287&lt;=2,1,IF(N287&lt;=4,2,IF(N287&lt;=5.5,3,4))))</f>
        <v>1</v>
      </c>
      <c r="Q287" s="147">
        <f t="shared" ca="1" si="303"/>
        <v>0</v>
      </c>
      <c r="R287" s="147" t="str">
        <f t="shared" ca="1" si="269"/>
        <v>Not tested yet</v>
      </c>
      <c r="S287" s="147">
        <f t="shared" si="270"/>
        <v>0</v>
      </c>
      <c r="T287" s="147"/>
      <c r="U287" s="147"/>
      <c r="V287" s="148" t="e">
        <f ca="1"/>
        <v>#NAME?</v>
      </c>
      <c r="W287" s="147" t="e">
        <f t="shared" ca="1" si="271"/>
        <v>#NAME?</v>
      </c>
      <c r="X287" s="147" t="e">
        <f t="shared" ca="1" si="272"/>
        <v>#NAME?</v>
      </c>
      <c r="Y287" s="147" t="e">
        <f t="shared" ca="1" si="273"/>
        <v>#NAME?</v>
      </c>
      <c r="Z287" s="147"/>
      <c r="AA287" s="147"/>
      <c r="AB287" s="147"/>
      <c r="AC287" s="147"/>
      <c r="AD287" s="147"/>
      <c r="AE287" s="147"/>
      <c r="AF287" s="147"/>
      <c r="AG287" s="147"/>
      <c r="AH287" s="147"/>
      <c r="AI287" s="147"/>
      <c r="AJ287" s="147"/>
      <c r="AK287" s="147"/>
      <c r="AL287" s="147"/>
      <c r="AM287" s="151"/>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c r="BI287" s="147"/>
      <c r="BJ287" s="147"/>
      <c r="BK287" s="147"/>
      <c r="BL287" s="147"/>
      <c r="BM287" s="147"/>
      <c r="BN287" s="147"/>
      <c r="BO287" s="147"/>
      <c r="BP287" s="147"/>
      <c r="BQ287" s="147"/>
      <c r="BR287" s="147"/>
      <c r="BS287" s="147"/>
      <c r="BT287" s="147"/>
      <c r="BU287" s="147"/>
      <c r="BV287" s="147"/>
      <c r="BW287" s="147"/>
      <c r="BX287" s="147"/>
      <c r="BY287" s="147"/>
      <c r="BZ287" s="147"/>
      <c r="CA287" s="147"/>
      <c r="CB287" s="147"/>
      <c r="CC287" s="147"/>
      <c r="CD287" s="147"/>
      <c r="CE287" s="147"/>
      <c r="CF287" s="147"/>
      <c r="CG287" s="147"/>
      <c r="CH287" s="147"/>
      <c r="CI287" s="147"/>
      <c r="CJ287" s="147"/>
      <c r="CK287" s="147"/>
    </row>
    <row r="288" spans="1:89">
      <c r="A288" s="153" t="s">
        <v>421</v>
      </c>
      <c r="B288" s="154" t="s">
        <v>422</v>
      </c>
      <c r="C288" s="155" t="s">
        <v>77</v>
      </c>
      <c r="D288" s="155" t="s">
        <v>870</v>
      </c>
      <c r="E288" s="154" t="s">
        <v>21</v>
      </c>
      <c r="F288" s="3" t="s">
        <v>926</v>
      </c>
      <c r="G288" s="3" t="s">
        <v>917</v>
      </c>
      <c r="H288" s="156" t="str">
        <f ca="1">IFERROR(
  _xludf.MINIFS(ATTENDANCE_LOG!$F:$F,
         ATTENDANCE_LOG!$A:$A, C288,
         ATTENDANCE_LOG!$B:$B, E288),
"")</f>
        <v/>
      </c>
      <c r="I288" s="156" t="str">
        <f t="shared" ca="1" si="266"/>
        <v/>
      </c>
      <c r="J288" s="3">
        <f>IFERROR(VLOOKUP(F288, LEVEL_HELPER!$A:$B, 2, 0), "")</f>
        <v>1</v>
      </c>
      <c r="K288" s="3">
        <f>IFERROR(VLOOKUP(G288, LEVEL_HELPER!$A:$B, 2, 0), "")</f>
        <v>3</v>
      </c>
      <c r="L288" s="157" t="s">
        <v>930</v>
      </c>
      <c r="M288" s="157" t="s">
        <v>922</v>
      </c>
      <c r="N288" s="3">
        <f t="array" aca="1" ref="N288" ca="1">IFERROR(
  INDEX($J$2:$J$543,
    MATCH(A288&amp;TEXT(I288,"yyyy-mm-dd"),
          $A$2:$A$543&amp;TEXT($H$2:$H$543,"yyyy-mm-dd"),
          0)),
"")</f>
        <v>1</v>
      </c>
      <c r="O288" s="147" t="str">
        <f t="shared" ca="1" si="267"/>
        <v/>
      </c>
      <c r="P288" s="147">
        <f t="shared" ref="P288:Q288" ca="1" si="304">IF(N288="",0,IF(N288&lt;=2,1,IF(N288&lt;=4,2,IF(N288&lt;=5.5,3,4))))</f>
        <v>1</v>
      </c>
      <c r="Q288" s="147">
        <f t="shared" ca="1" si="304"/>
        <v>0</v>
      </c>
      <c r="R288" s="147" t="str">
        <f t="shared" ca="1" si="269"/>
        <v>Not tested yet</v>
      </c>
      <c r="S288" s="147">
        <f t="shared" si="270"/>
        <v>1</v>
      </c>
      <c r="T288" s="147"/>
      <c r="U288" s="147"/>
      <c r="V288" s="148" t="e">
        <f ca="1"/>
        <v>#NAME?</v>
      </c>
      <c r="W288" s="147" t="e">
        <f t="shared" ca="1" si="271"/>
        <v>#NAME?</v>
      </c>
      <c r="X288" s="147" t="e">
        <f t="shared" ca="1" si="272"/>
        <v>#NAME?</v>
      </c>
      <c r="Y288" s="147" t="e">
        <f t="shared" ca="1" si="273"/>
        <v>#NAME?</v>
      </c>
      <c r="Z288" s="147"/>
      <c r="AA288" s="147"/>
      <c r="AB288" s="147"/>
      <c r="AC288" s="147"/>
      <c r="AD288" s="147"/>
      <c r="AE288" s="147"/>
      <c r="AF288" s="147"/>
      <c r="AG288" s="147"/>
      <c r="AH288" s="147"/>
      <c r="AI288" s="147"/>
      <c r="AJ288" s="147"/>
      <c r="AK288" s="147"/>
      <c r="AL288" s="147"/>
      <c r="AM288" s="151"/>
      <c r="AN288" s="147"/>
      <c r="AO288" s="147"/>
      <c r="AP288" s="147"/>
      <c r="AQ288" s="147"/>
      <c r="AR288" s="147"/>
      <c r="AS288" s="147"/>
      <c r="AT288" s="147"/>
      <c r="AU288" s="147"/>
      <c r="AV288" s="147"/>
      <c r="AW288" s="147"/>
      <c r="AX288" s="147"/>
      <c r="AY288" s="147"/>
      <c r="AZ288" s="147"/>
      <c r="BA288" s="147"/>
      <c r="BB288" s="147"/>
      <c r="BC288" s="147"/>
      <c r="BD288" s="147"/>
      <c r="BE288" s="147"/>
      <c r="BF288" s="147"/>
      <c r="BG288" s="147"/>
      <c r="BH288" s="147"/>
      <c r="BI288" s="147"/>
      <c r="BJ288" s="147"/>
      <c r="BK288" s="147"/>
      <c r="BL288" s="147"/>
      <c r="BM288" s="147"/>
      <c r="BN288" s="147"/>
      <c r="BO288" s="147"/>
      <c r="BP288" s="147"/>
      <c r="BQ288" s="147"/>
      <c r="BR288" s="147"/>
      <c r="BS288" s="147"/>
      <c r="BT288" s="147"/>
      <c r="BU288" s="147"/>
      <c r="BV288" s="147"/>
      <c r="BW288" s="147"/>
      <c r="BX288" s="147"/>
      <c r="BY288" s="147"/>
      <c r="BZ288" s="147"/>
      <c r="CA288" s="147"/>
      <c r="CB288" s="147"/>
      <c r="CC288" s="147"/>
      <c r="CD288" s="147"/>
      <c r="CE288" s="147"/>
      <c r="CF288" s="147"/>
      <c r="CG288" s="147"/>
      <c r="CH288" s="147"/>
      <c r="CI288" s="147"/>
      <c r="CJ288" s="147"/>
      <c r="CK288" s="147"/>
    </row>
    <row r="289" spans="1:89">
      <c r="A289" s="159" t="s">
        <v>147</v>
      </c>
      <c r="B289" s="3" t="s">
        <v>148</v>
      </c>
      <c r="C289" s="160" t="s">
        <v>77</v>
      </c>
      <c r="D289" s="160" t="s">
        <v>870</v>
      </c>
      <c r="E289" s="3" t="s">
        <v>21</v>
      </c>
      <c r="F289" s="3" t="s">
        <v>926</v>
      </c>
      <c r="G289" s="3" t="s">
        <v>917</v>
      </c>
      <c r="H289" s="156" t="str">
        <f ca="1">IFERROR(
  _xludf.MINIFS(ATTENDANCE_LOG!$F:$F,
         ATTENDANCE_LOG!$A:$A, C289,
         ATTENDANCE_LOG!$B:$B, E289),
"")</f>
        <v/>
      </c>
      <c r="I289" s="156" t="str">
        <f t="shared" ca="1" si="266"/>
        <v/>
      </c>
      <c r="J289" s="3">
        <f>IFERROR(VLOOKUP(F289, LEVEL_HELPER!$A:$B, 2, 0), "")</f>
        <v>1</v>
      </c>
      <c r="K289" s="3">
        <f>IFERROR(VLOOKUP(G289, LEVEL_HELPER!$A:$B, 2, 0), "")</f>
        <v>3</v>
      </c>
      <c r="L289" s="157" t="s">
        <v>930</v>
      </c>
      <c r="M289" s="157" t="s">
        <v>922</v>
      </c>
      <c r="N289" s="3">
        <f t="array" aca="1" ref="N289" ca="1">IFERROR(
  INDEX($J$2:$J$543,
    MATCH(A289&amp;TEXT(I289,"yyyy-mm-dd"),
          $A$2:$A$543&amp;TEXT($H$2:$H$543,"yyyy-mm-dd"),
          0)),
"")</f>
        <v>1</v>
      </c>
      <c r="O289" s="147" t="str">
        <f t="shared" ca="1" si="267"/>
        <v/>
      </c>
      <c r="P289" s="147">
        <f t="shared" ref="P289:Q289" ca="1" si="305">IF(N289="",0,IF(N289&lt;=2,1,IF(N289&lt;=4,2,IF(N289&lt;=5.5,3,4))))</f>
        <v>1</v>
      </c>
      <c r="Q289" s="147">
        <f t="shared" ca="1" si="305"/>
        <v>0</v>
      </c>
      <c r="R289" s="147" t="str">
        <f t="shared" ca="1" si="269"/>
        <v>Not tested yet</v>
      </c>
      <c r="S289" s="147">
        <f t="shared" si="270"/>
        <v>1</v>
      </c>
      <c r="T289" s="147"/>
      <c r="U289" s="147"/>
      <c r="V289" s="148" t="e">
        <f ca="1"/>
        <v>#NAME?</v>
      </c>
      <c r="W289" s="147" t="e">
        <f t="shared" ca="1" si="271"/>
        <v>#NAME?</v>
      </c>
      <c r="X289" s="147" t="e">
        <f t="shared" ca="1" si="272"/>
        <v>#NAME?</v>
      </c>
      <c r="Y289" s="147" t="e">
        <f t="shared" ca="1" si="273"/>
        <v>#NAME?</v>
      </c>
      <c r="Z289" s="147"/>
      <c r="AA289" s="147"/>
      <c r="AB289" s="147"/>
      <c r="AC289" s="147"/>
      <c r="AD289" s="147"/>
      <c r="AE289" s="147"/>
      <c r="AF289" s="147"/>
      <c r="AG289" s="147"/>
      <c r="AH289" s="147"/>
      <c r="AI289" s="147"/>
      <c r="AJ289" s="147"/>
      <c r="AK289" s="147"/>
      <c r="AL289" s="147"/>
      <c r="AM289" s="151"/>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c r="BI289" s="147"/>
      <c r="BJ289" s="147"/>
      <c r="BK289" s="147"/>
      <c r="BL289" s="147"/>
      <c r="BM289" s="147"/>
      <c r="BN289" s="147"/>
      <c r="BO289" s="147"/>
      <c r="BP289" s="147"/>
      <c r="BQ289" s="147"/>
      <c r="BR289" s="147"/>
      <c r="BS289" s="147"/>
      <c r="BT289" s="147"/>
      <c r="BU289" s="147"/>
      <c r="BV289" s="147"/>
      <c r="BW289" s="147"/>
      <c r="BX289" s="147"/>
      <c r="BY289" s="147"/>
      <c r="BZ289" s="147"/>
      <c r="CA289" s="147"/>
      <c r="CB289" s="147"/>
      <c r="CC289" s="147"/>
      <c r="CD289" s="147"/>
      <c r="CE289" s="147"/>
      <c r="CF289" s="147"/>
      <c r="CG289" s="147"/>
      <c r="CH289" s="147"/>
      <c r="CI289" s="147"/>
      <c r="CJ289" s="147"/>
      <c r="CK289" s="147"/>
    </row>
    <row r="290" spans="1:89">
      <c r="A290" s="159" t="s">
        <v>247</v>
      </c>
      <c r="B290" s="3" t="s">
        <v>248</v>
      </c>
      <c r="C290" s="160" t="s">
        <v>77</v>
      </c>
      <c r="D290" s="160" t="s">
        <v>870</v>
      </c>
      <c r="E290" s="3" t="s">
        <v>21</v>
      </c>
      <c r="F290" s="3" t="s">
        <v>926</v>
      </c>
      <c r="G290" s="3" t="s">
        <v>928</v>
      </c>
      <c r="H290" s="156" t="str">
        <f ca="1">IFERROR(
  _xludf.MINIFS(ATTENDANCE_LOG!$F:$F,
         ATTENDANCE_LOG!$A:$A, C290,
         ATTENDANCE_LOG!$B:$B, E290),
"")</f>
        <v/>
      </c>
      <c r="I290" s="156" t="str">
        <f t="shared" ca="1" si="266"/>
        <v/>
      </c>
      <c r="J290" s="3">
        <f>IFERROR(VLOOKUP(F290, LEVEL_HELPER!$A:$B, 2, 0), "")</f>
        <v>1</v>
      </c>
      <c r="K290" s="3">
        <f>IFERROR(VLOOKUP(G290, LEVEL_HELPER!$A:$B, 2, 0), "")</f>
        <v>1.5</v>
      </c>
      <c r="L290" s="157" t="s">
        <v>930</v>
      </c>
      <c r="M290" s="157" t="s">
        <v>922</v>
      </c>
      <c r="N290" s="3">
        <f t="array" aca="1" ref="N290" ca="1">IFERROR(
  INDEX($J$2:$J$543,
    MATCH(A290&amp;TEXT(I290,"yyyy-mm-dd"),
          $A$2:$A$543&amp;TEXT($H$2:$H$543,"yyyy-mm-dd"),
          0)),
"")</f>
        <v>1.5</v>
      </c>
      <c r="O290" s="147" t="str">
        <f t="shared" ca="1" si="267"/>
        <v/>
      </c>
      <c r="P290" s="147">
        <f t="shared" ref="P290:Q290" ca="1" si="306">IF(N290="",0,IF(N290&lt;=2,1,IF(N290&lt;=4,2,IF(N290&lt;=5.5,3,4))))</f>
        <v>1</v>
      </c>
      <c r="Q290" s="147">
        <f t="shared" ca="1" si="306"/>
        <v>0</v>
      </c>
      <c r="R290" s="147" t="str">
        <f t="shared" ca="1" si="269"/>
        <v>Not tested yet</v>
      </c>
      <c r="S290" s="147">
        <f t="shared" si="270"/>
        <v>0</v>
      </c>
      <c r="T290" s="147"/>
      <c r="U290" s="147"/>
      <c r="V290" s="148" t="e">
        <f ca="1"/>
        <v>#NAME?</v>
      </c>
      <c r="W290" s="147" t="e">
        <f t="shared" ca="1" si="271"/>
        <v>#NAME?</v>
      </c>
      <c r="X290" s="147" t="e">
        <f t="shared" ca="1" si="272"/>
        <v>#NAME?</v>
      </c>
      <c r="Y290" s="147" t="e">
        <f t="shared" ca="1" si="273"/>
        <v>#NAME?</v>
      </c>
      <c r="Z290" s="147"/>
      <c r="AA290" s="147"/>
      <c r="AB290" s="147"/>
      <c r="AC290" s="147"/>
      <c r="AD290" s="147"/>
      <c r="AE290" s="147"/>
      <c r="AF290" s="147"/>
      <c r="AG290" s="147"/>
      <c r="AH290" s="147"/>
      <c r="AI290" s="147"/>
      <c r="AJ290" s="147"/>
      <c r="AK290" s="147"/>
      <c r="AL290" s="147"/>
      <c r="AM290" s="151"/>
      <c r="AN290" s="147"/>
      <c r="AO290" s="147"/>
      <c r="AP290" s="147"/>
      <c r="AQ290" s="147"/>
      <c r="AR290" s="147"/>
      <c r="AS290" s="147"/>
      <c r="AT290" s="147"/>
      <c r="AU290" s="147"/>
      <c r="AV290" s="147"/>
      <c r="AW290" s="147"/>
      <c r="AX290" s="147"/>
      <c r="AY290" s="147"/>
      <c r="AZ290" s="147"/>
      <c r="BA290" s="147"/>
      <c r="BB290" s="147"/>
      <c r="BC290" s="147"/>
      <c r="BD290" s="147"/>
      <c r="BE290" s="147"/>
      <c r="BF290" s="147"/>
      <c r="BG290" s="147"/>
      <c r="BH290" s="147"/>
      <c r="BI290" s="147"/>
      <c r="BJ290" s="147"/>
      <c r="BK290" s="147"/>
      <c r="BL290" s="147"/>
      <c r="BM290" s="147"/>
      <c r="BN290" s="147"/>
      <c r="BO290" s="147"/>
      <c r="BP290" s="147"/>
      <c r="BQ290" s="147"/>
      <c r="BR290" s="147"/>
      <c r="BS290" s="147"/>
      <c r="BT290" s="147"/>
      <c r="BU290" s="147"/>
      <c r="BV290" s="147"/>
      <c r="BW290" s="147"/>
      <c r="BX290" s="147"/>
      <c r="BY290" s="147"/>
      <c r="BZ290" s="147"/>
      <c r="CA290" s="147"/>
      <c r="CB290" s="147"/>
      <c r="CC290" s="147"/>
      <c r="CD290" s="147"/>
      <c r="CE290" s="147"/>
      <c r="CF290" s="147"/>
      <c r="CG290" s="147"/>
      <c r="CH290" s="147"/>
      <c r="CI290" s="147"/>
      <c r="CJ290" s="147"/>
      <c r="CK290" s="147"/>
    </row>
    <row r="291" spans="1:89">
      <c r="A291" s="159" t="s">
        <v>255</v>
      </c>
      <c r="B291" s="3" t="s">
        <v>256</v>
      </c>
      <c r="C291" s="160" t="s">
        <v>77</v>
      </c>
      <c r="D291" s="160" t="s">
        <v>870</v>
      </c>
      <c r="E291" s="3" t="s">
        <v>21</v>
      </c>
      <c r="F291" s="3" t="s">
        <v>926</v>
      </c>
      <c r="G291" s="3" t="s">
        <v>917</v>
      </c>
      <c r="H291" s="156" t="str">
        <f ca="1">IFERROR(
  _xludf.MINIFS(ATTENDANCE_LOG!$F:$F,
         ATTENDANCE_LOG!$A:$A, C291,
         ATTENDANCE_LOG!$B:$B, E291),
"")</f>
        <v/>
      </c>
      <c r="I291" s="156" t="str">
        <f t="shared" ca="1" si="266"/>
        <v/>
      </c>
      <c r="J291" s="3">
        <f>IFERROR(VLOOKUP(F291, LEVEL_HELPER!$A:$B, 2, 0), "")</f>
        <v>1</v>
      </c>
      <c r="K291" s="3">
        <f>IFERROR(VLOOKUP(G291, LEVEL_HELPER!$A:$B, 2, 0), "")</f>
        <v>3</v>
      </c>
      <c r="L291" s="157" t="s">
        <v>930</v>
      </c>
      <c r="M291" s="157" t="s">
        <v>922</v>
      </c>
      <c r="N291" s="3">
        <f t="array" aca="1" ref="N291" ca="1">IFERROR(
  INDEX($J$2:$J$543,
    MATCH(A291&amp;TEXT(I291,"yyyy-mm-dd"),
          $A$2:$A$543&amp;TEXT($H$2:$H$543,"yyyy-mm-dd"),
          0)),
"")</f>
        <v>1</v>
      </c>
      <c r="O291" s="147" t="str">
        <f t="shared" ca="1" si="267"/>
        <v/>
      </c>
      <c r="P291" s="147">
        <f t="shared" ref="P291:Q291" ca="1" si="307">IF(N291="",0,IF(N291&lt;=2,1,IF(N291&lt;=4,2,IF(N291&lt;=5.5,3,4))))</f>
        <v>1</v>
      </c>
      <c r="Q291" s="147">
        <f t="shared" ca="1" si="307"/>
        <v>0</v>
      </c>
      <c r="R291" s="147" t="str">
        <f t="shared" ca="1" si="269"/>
        <v>Not tested yet</v>
      </c>
      <c r="S291" s="147">
        <f t="shared" si="270"/>
        <v>1</v>
      </c>
      <c r="T291" s="147"/>
      <c r="U291" s="147"/>
      <c r="V291" s="148" t="e">
        <f ca="1"/>
        <v>#NAME?</v>
      </c>
      <c r="W291" s="147" t="e">
        <f t="shared" ca="1" si="271"/>
        <v>#NAME?</v>
      </c>
      <c r="X291" s="147" t="e">
        <f t="shared" ca="1" si="272"/>
        <v>#NAME?</v>
      </c>
      <c r="Y291" s="147" t="e">
        <f t="shared" ca="1" si="273"/>
        <v>#NAME?</v>
      </c>
      <c r="Z291" s="147"/>
      <c r="AA291" s="147"/>
      <c r="AB291" s="147"/>
      <c r="AC291" s="147"/>
      <c r="AD291" s="147"/>
      <c r="AE291" s="147"/>
      <c r="AF291" s="147"/>
      <c r="AG291" s="147"/>
      <c r="AH291" s="147"/>
      <c r="AI291" s="147"/>
      <c r="AJ291" s="147"/>
      <c r="AK291" s="147"/>
      <c r="AL291" s="147"/>
      <c r="AM291" s="151"/>
      <c r="AN291" s="147"/>
      <c r="AO291" s="147"/>
      <c r="AP291" s="147"/>
      <c r="AQ291" s="147"/>
      <c r="AR291" s="147"/>
      <c r="AS291" s="147"/>
      <c r="AT291" s="147"/>
      <c r="AU291" s="147"/>
      <c r="AV291" s="147"/>
      <c r="AW291" s="147"/>
      <c r="AX291" s="147"/>
      <c r="AY291" s="147"/>
      <c r="AZ291" s="147"/>
      <c r="BA291" s="147"/>
      <c r="BB291" s="147"/>
      <c r="BC291" s="147"/>
      <c r="BD291" s="147"/>
      <c r="BE291" s="147"/>
      <c r="BF291" s="147"/>
      <c r="BG291" s="147"/>
      <c r="BH291" s="147"/>
      <c r="BI291" s="147"/>
      <c r="BJ291" s="147"/>
      <c r="BK291" s="147"/>
      <c r="BL291" s="147"/>
      <c r="BM291" s="147"/>
      <c r="BN291" s="147"/>
      <c r="BO291" s="147"/>
      <c r="BP291" s="147"/>
      <c r="BQ291" s="147"/>
      <c r="BR291" s="147"/>
      <c r="BS291" s="147"/>
      <c r="BT291" s="147"/>
      <c r="BU291" s="147"/>
      <c r="BV291" s="147"/>
      <c r="BW291" s="147"/>
      <c r="BX291" s="147"/>
      <c r="BY291" s="147"/>
      <c r="BZ291" s="147"/>
      <c r="CA291" s="147"/>
      <c r="CB291" s="147"/>
      <c r="CC291" s="147"/>
      <c r="CD291" s="147"/>
      <c r="CE291" s="147"/>
      <c r="CF291" s="147"/>
      <c r="CG291" s="147"/>
      <c r="CH291" s="147"/>
      <c r="CI291" s="147"/>
      <c r="CJ291" s="147"/>
      <c r="CK291" s="147"/>
    </row>
    <row r="292" spans="1:89">
      <c r="A292" s="165" t="s">
        <v>273</v>
      </c>
      <c r="B292" s="166" t="s">
        <v>274</v>
      </c>
      <c r="C292" s="167" t="s">
        <v>77</v>
      </c>
      <c r="D292" s="167" t="s">
        <v>870</v>
      </c>
      <c r="E292" s="166" t="s">
        <v>21</v>
      </c>
      <c r="F292" s="166" t="s">
        <v>25</v>
      </c>
      <c r="G292" s="166" t="s">
        <v>25</v>
      </c>
      <c r="H292" s="168" t="str">
        <f ca="1">IFERROR(
  _xludf.MINIFS(ATTENDANCE_LOG!$F:$F,
         ATTENDANCE_LOG!$A:$A, C292,
         ATTENDANCE_LOG!$B:$B, E292),
"")</f>
        <v/>
      </c>
      <c r="I292" s="168" t="str">
        <f t="shared" ca="1" si="266"/>
        <v/>
      </c>
      <c r="J292" s="166">
        <f>IFERROR(VLOOKUP(F292, LEVEL_HELPER!$A:$B, 2, 0), "")</f>
        <v>0.5</v>
      </c>
      <c r="K292" s="166">
        <f>IFERROR(VLOOKUP(G292, LEVEL_HELPER!$A:$B, 2, 0), "")</f>
        <v>0.5</v>
      </c>
      <c r="L292" s="169" t="s">
        <v>930</v>
      </c>
      <c r="M292" s="169" t="s">
        <v>922</v>
      </c>
      <c r="N292" s="166">
        <f t="array" aca="1" ref="N292" ca="1">IFERROR(
  INDEX($J$2:$J$543,
    MATCH(A292&amp;TEXT(I292,"yyyy-mm-dd"),
          $A$2:$A$543&amp;TEXT($H$2:$H$543,"yyyy-mm-dd"),
          0)),
"")</f>
        <v>0.5</v>
      </c>
      <c r="O292" s="170" t="str">
        <f t="shared" ca="1" si="267"/>
        <v/>
      </c>
      <c r="P292" s="170">
        <f t="shared" ref="P292:Q292" ca="1" si="308">IF(N292="",0,IF(N292&lt;=2,1,IF(N292&lt;=4,2,IF(N292&lt;=5.5,3,4))))</f>
        <v>1</v>
      </c>
      <c r="Q292" s="170">
        <f t="shared" ca="1" si="308"/>
        <v>0</v>
      </c>
      <c r="R292" s="170" t="str">
        <f t="shared" ca="1" si="269"/>
        <v>Not tested yet</v>
      </c>
      <c r="S292" s="170">
        <f t="shared" si="270"/>
        <v>1</v>
      </c>
      <c r="T292" s="170"/>
      <c r="U292" s="170"/>
      <c r="V292" s="171" t="e">
        <f ca="1"/>
        <v>#NAME?</v>
      </c>
      <c r="W292" s="170" t="e">
        <f t="shared" ca="1" si="271"/>
        <v>#NAME?</v>
      </c>
      <c r="X292" s="170" t="e">
        <f t="shared" ca="1" si="272"/>
        <v>#NAME?</v>
      </c>
      <c r="Y292" s="170" t="e">
        <f t="shared" ca="1" si="273"/>
        <v>#NAME?</v>
      </c>
      <c r="Z292" s="170"/>
      <c r="AA292" s="170"/>
      <c r="AB292" s="170"/>
      <c r="AC292" s="170"/>
      <c r="AD292" s="170"/>
      <c r="AE292" s="170"/>
      <c r="AF292" s="170"/>
      <c r="AG292" s="170"/>
      <c r="AH292" s="170"/>
      <c r="AI292" s="170"/>
      <c r="AJ292" s="170"/>
      <c r="AK292" s="170"/>
      <c r="AL292" s="170"/>
      <c r="AM292" s="172"/>
      <c r="AN292" s="170"/>
      <c r="AO292" s="170"/>
      <c r="AP292" s="170"/>
      <c r="AQ292" s="170"/>
      <c r="AR292" s="170"/>
      <c r="AS292" s="170"/>
      <c r="AT292" s="170"/>
      <c r="AU292" s="170"/>
      <c r="AV292" s="170"/>
      <c r="AW292" s="170"/>
      <c r="AX292" s="170"/>
      <c r="AY292" s="170"/>
      <c r="AZ292" s="170"/>
      <c r="BA292" s="170"/>
      <c r="BB292" s="170"/>
      <c r="BC292" s="170"/>
      <c r="BD292" s="170"/>
      <c r="BE292" s="170"/>
      <c r="BF292" s="170"/>
      <c r="BG292" s="170"/>
      <c r="BH292" s="170"/>
      <c r="BI292" s="170"/>
      <c r="BJ292" s="170"/>
      <c r="BK292" s="170"/>
      <c r="BL292" s="170"/>
      <c r="BM292" s="170"/>
      <c r="BN292" s="170"/>
      <c r="BO292" s="170"/>
      <c r="BP292" s="170"/>
      <c r="BQ292" s="170"/>
      <c r="BR292" s="170"/>
      <c r="BS292" s="170"/>
      <c r="BT292" s="170"/>
      <c r="BU292" s="170"/>
      <c r="BV292" s="170"/>
      <c r="BW292" s="170"/>
      <c r="BX292" s="170"/>
      <c r="BY292" s="170"/>
      <c r="BZ292" s="170"/>
      <c r="CA292" s="170"/>
      <c r="CB292" s="170"/>
      <c r="CC292" s="170"/>
      <c r="CD292" s="170"/>
      <c r="CE292" s="170"/>
      <c r="CF292" s="170"/>
      <c r="CG292" s="170"/>
      <c r="CH292" s="170"/>
      <c r="CI292" s="170"/>
      <c r="CJ292" s="170"/>
      <c r="CK292" s="170"/>
    </row>
    <row r="293" spans="1:89">
      <c r="A293" s="165" t="s">
        <v>302</v>
      </c>
      <c r="B293" s="166" t="s">
        <v>303</v>
      </c>
      <c r="C293" s="167" t="s">
        <v>77</v>
      </c>
      <c r="D293" s="167" t="s">
        <v>870</v>
      </c>
      <c r="E293" s="166" t="s">
        <v>21</v>
      </c>
      <c r="F293" s="166" t="s">
        <v>25</v>
      </c>
      <c r="G293" s="166" t="s">
        <v>25</v>
      </c>
      <c r="H293" s="168" t="str">
        <f ca="1">IFERROR(
  _xludf.MINIFS(ATTENDANCE_LOG!$F:$F,
         ATTENDANCE_LOG!$A:$A, C293,
         ATTENDANCE_LOG!$B:$B, E293),
"")</f>
        <v/>
      </c>
      <c r="I293" s="168" t="str">
        <f t="shared" ca="1" si="266"/>
        <v/>
      </c>
      <c r="J293" s="166">
        <f>IFERROR(VLOOKUP(F293, LEVEL_HELPER!$A:$B, 2, 0), "")</f>
        <v>0.5</v>
      </c>
      <c r="K293" s="166">
        <f>IFERROR(VLOOKUP(G293, LEVEL_HELPER!$A:$B, 2, 0), "")</f>
        <v>0.5</v>
      </c>
      <c r="L293" s="169" t="s">
        <v>946</v>
      </c>
      <c r="M293" s="169" t="s">
        <v>922</v>
      </c>
      <c r="N293" s="166">
        <f t="array" aca="1" ref="N293" ca="1">IFERROR(
  INDEX($J$2:$J$543,
    MATCH(A293&amp;TEXT(I293,"yyyy-mm-dd"),
          $A$2:$A$543&amp;TEXT($H$2:$H$543,"yyyy-mm-dd"),
          0)),
"")</f>
        <v>0.5</v>
      </c>
      <c r="O293" s="170" t="str">
        <f t="shared" ca="1" si="267"/>
        <v/>
      </c>
      <c r="P293" s="170">
        <f t="shared" ref="P293:Q293" ca="1" si="309">IF(N293="",0,IF(N293&lt;=2,1,IF(N293&lt;=4,2,IF(N293&lt;=5.5,3,4))))</f>
        <v>1</v>
      </c>
      <c r="Q293" s="170">
        <f t="shared" ca="1" si="309"/>
        <v>0</v>
      </c>
      <c r="R293" s="170" t="str">
        <f t="shared" ca="1" si="269"/>
        <v>Not tested yet</v>
      </c>
      <c r="S293" s="170">
        <f t="shared" si="270"/>
        <v>1</v>
      </c>
      <c r="T293" s="170"/>
      <c r="U293" s="170"/>
      <c r="V293" s="171" t="e">
        <f ca="1"/>
        <v>#NAME?</v>
      </c>
      <c r="W293" s="170" t="e">
        <f t="shared" ca="1" si="271"/>
        <v>#NAME?</v>
      </c>
      <c r="X293" s="170" t="e">
        <f t="shared" ca="1" si="272"/>
        <v>#NAME?</v>
      </c>
      <c r="Y293" s="170" t="e">
        <f t="shared" ca="1" si="273"/>
        <v>#NAME?</v>
      </c>
      <c r="Z293" s="170"/>
      <c r="AA293" s="170"/>
      <c r="AB293" s="170"/>
      <c r="AC293" s="170"/>
      <c r="AD293" s="170"/>
      <c r="AE293" s="170"/>
      <c r="AF293" s="170"/>
      <c r="AG293" s="170"/>
      <c r="AH293" s="170"/>
      <c r="AI293" s="170"/>
      <c r="AJ293" s="170"/>
      <c r="AK293" s="170"/>
      <c r="AL293" s="170"/>
      <c r="AM293" s="172"/>
      <c r="AN293" s="170"/>
      <c r="AO293" s="170"/>
      <c r="AP293" s="170"/>
      <c r="AQ293" s="170"/>
      <c r="AR293" s="170"/>
      <c r="AS293" s="170"/>
      <c r="AT293" s="170"/>
      <c r="AU293" s="170"/>
      <c r="AV293" s="170"/>
      <c r="AW293" s="170"/>
      <c r="AX293" s="170"/>
      <c r="AY293" s="170"/>
      <c r="AZ293" s="170"/>
      <c r="BA293" s="170"/>
      <c r="BB293" s="170"/>
      <c r="BC293" s="170"/>
      <c r="BD293" s="170"/>
      <c r="BE293" s="170"/>
      <c r="BF293" s="170"/>
      <c r="BG293" s="170"/>
      <c r="BH293" s="170"/>
      <c r="BI293" s="170"/>
      <c r="BJ293" s="170"/>
      <c r="BK293" s="170"/>
      <c r="BL293" s="170"/>
      <c r="BM293" s="170"/>
      <c r="BN293" s="170"/>
      <c r="BO293" s="170"/>
      <c r="BP293" s="170"/>
      <c r="BQ293" s="170"/>
      <c r="BR293" s="170"/>
      <c r="BS293" s="170"/>
      <c r="BT293" s="170"/>
      <c r="BU293" s="170"/>
      <c r="BV293" s="170"/>
      <c r="BW293" s="170"/>
      <c r="BX293" s="170"/>
      <c r="BY293" s="170"/>
      <c r="BZ293" s="170"/>
      <c r="CA293" s="170"/>
      <c r="CB293" s="170"/>
      <c r="CC293" s="170"/>
      <c r="CD293" s="170"/>
      <c r="CE293" s="170"/>
      <c r="CF293" s="170"/>
      <c r="CG293" s="170"/>
      <c r="CH293" s="170"/>
      <c r="CI293" s="170"/>
      <c r="CJ293" s="170"/>
      <c r="CK293" s="170"/>
    </row>
    <row r="294" spans="1:89">
      <c r="A294" s="159" t="s">
        <v>494</v>
      </c>
      <c r="B294" s="3" t="s">
        <v>495</v>
      </c>
      <c r="C294" s="160" t="s">
        <v>77</v>
      </c>
      <c r="D294" s="160" t="s">
        <v>870</v>
      </c>
      <c r="E294" s="3" t="s">
        <v>21</v>
      </c>
      <c r="F294" s="3" t="s">
        <v>926</v>
      </c>
      <c r="G294" s="3" t="s">
        <v>917</v>
      </c>
      <c r="H294" s="156" t="str">
        <f ca="1">IFERROR(
  _xludf.MINIFS(ATTENDANCE_LOG!$F:$F,
         ATTENDANCE_LOG!$A:$A, C294,
         ATTENDANCE_LOG!$B:$B, E294),
"")</f>
        <v/>
      </c>
      <c r="I294" s="156" t="str">
        <f t="shared" ca="1" si="266"/>
        <v/>
      </c>
      <c r="J294" s="3">
        <f>IFERROR(VLOOKUP(F294, LEVEL_HELPER!$A:$B, 2, 0), "")</f>
        <v>1</v>
      </c>
      <c r="K294" s="3">
        <f>IFERROR(VLOOKUP(G294, LEVEL_HELPER!$A:$B, 2, 0), "")</f>
        <v>3</v>
      </c>
      <c r="L294" s="157" t="s">
        <v>930</v>
      </c>
      <c r="M294" s="157" t="s">
        <v>922</v>
      </c>
      <c r="N294" s="3">
        <f t="array" aca="1" ref="N294" ca="1">IFERROR(
  INDEX($J$2:$J$543,
    MATCH(A294&amp;TEXT(I294,"yyyy-mm-dd"),
          $A$2:$A$543&amp;TEXT($H$2:$H$543,"yyyy-mm-dd"),
          0)),
"")</f>
        <v>1</v>
      </c>
      <c r="O294" s="147" t="str">
        <f t="shared" ca="1" si="267"/>
        <v/>
      </c>
      <c r="P294" s="147">
        <f t="shared" ref="P294:Q294" ca="1" si="310">IF(N294="",0,IF(N294&lt;=2,1,IF(N294&lt;=4,2,IF(N294&lt;=5.5,3,4))))</f>
        <v>1</v>
      </c>
      <c r="Q294" s="147">
        <f t="shared" ca="1" si="310"/>
        <v>0</v>
      </c>
      <c r="R294" s="147" t="str">
        <f t="shared" ca="1" si="269"/>
        <v>Not tested yet</v>
      </c>
      <c r="S294" s="147">
        <f t="shared" si="270"/>
        <v>1</v>
      </c>
      <c r="T294" s="147"/>
      <c r="U294" s="147"/>
      <c r="V294" s="148" t="e">
        <f ca="1"/>
        <v>#NAME?</v>
      </c>
      <c r="W294" s="147" t="e">
        <f t="shared" ca="1" si="271"/>
        <v>#NAME?</v>
      </c>
      <c r="X294" s="147" t="e">
        <f t="shared" ca="1" si="272"/>
        <v>#NAME?</v>
      </c>
      <c r="Y294" s="147" t="e">
        <f t="shared" ca="1" si="273"/>
        <v>#NAME?</v>
      </c>
      <c r="Z294" s="147"/>
      <c r="AA294" s="147"/>
      <c r="AB294" s="147"/>
      <c r="AC294" s="147"/>
      <c r="AD294" s="147"/>
      <c r="AE294" s="147"/>
      <c r="AF294" s="147"/>
      <c r="AG294" s="147"/>
      <c r="AH294" s="147"/>
      <c r="AI294" s="147"/>
      <c r="AJ294" s="147"/>
      <c r="AK294" s="147"/>
      <c r="AL294" s="147"/>
      <c r="AM294" s="151"/>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c r="BI294" s="147"/>
      <c r="BJ294" s="147"/>
      <c r="BK294" s="147"/>
      <c r="BL294" s="147"/>
      <c r="BM294" s="147"/>
      <c r="BN294" s="147"/>
      <c r="BO294" s="147"/>
      <c r="BP294" s="147"/>
      <c r="BQ294" s="147"/>
      <c r="BR294" s="147"/>
      <c r="BS294" s="147"/>
      <c r="BT294" s="147"/>
      <c r="BU294" s="147"/>
      <c r="BV294" s="147"/>
      <c r="BW294" s="147"/>
      <c r="BX294" s="147"/>
      <c r="BY294" s="147"/>
      <c r="BZ294" s="147"/>
      <c r="CA294" s="147"/>
      <c r="CB294" s="147"/>
      <c r="CC294" s="147"/>
      <c r="CD294" s="147"/>
      <c r="CE294" s="147"/>
      <c r="CF294" s="147"/>
      <c r="CG294" s="147"/>
      <c r="CH294" s="147"/>
      <c r="CI294" s="147"/>
      <c r="CJ294" s="147"/>
      <c r="CK294" s="147"/>
    </row>
    <row r="295" spans="1:89">
      <c r="A295" s="159" t="s">
        <v>498</v>
      </c>
      <c r="B295" s="3" t="s">
        <v>499</v>
      </c>
      <c r="C295" s="160" t="s">
        <v>77</v>
      </c>
      <c r="D295" s="160" t="s">
        <v>870</v>
      </c>
      <c r="E295" s="3" t="s">
        <v>21</v>
      </c>
      <c r="F295" s="3" t="s">
        <v>926</v>
      </c>
      <c r="G295" s="3" t="s">
        <v>928</v>
      </c>
      <c r="H295" s="156" t="str">
        <f ca="1">IFERROR(
  _xludf.MINIFS(ATTENDANCE_LOG!$F:$F,
         ATTENDANCE_LOG!$A:$A, C295,
         ATTENDANCE_LOG!$B:$B, E295),
"")</f>
        <v/>
      </c>
      <c r="I295" s="156" t="str">
        <f t="shared" ca="1" si="266"/>
        <v/>
      </c>
      <c r="J295" s="3">
        <f>IFERROR(VLOOKUP(F295, LEVEL_HELPER!$A:$B, 2, 0), "")</f>
        <v>1</v>
      </c>
      <c r="K295" s="3">
        <f>IFERROR(VLOOKUP(G295, LEVEL_HELPER!$A:$B, 2, 0), "")</f>
        <v>1.5</v>
      </c>
      <c r="L295" s="157" t="s">
        <v>930</v>
      </c>
      <c r="M295" s="157" t="s">
        <v>922</v>
      </c>
      <c r="N295" s="3">
        <f t="array" aca="1" ref="N295" ca="1">IFERROR(
  INDEX($J$2:$J$543,
    MATCH(A295&amp;TEXT(I295,"yyyy-mm-dd"),
          $A$2:$A$543&amp;TEXT($H$2:$H$543,"yyyy-mm-dd"),
          0)),
"")</f>
        <v>1</v>
      </c>
      <c r="O295" s="147" t="str">
        <f t="shared" ca="1" si="267"/>
        <v/>
      </c>
      <c r="P295" s="147">
        <f t="shared" ref="P295:Q295" ca="1" si="311">IF(N295="",0,IF(N295&lt;=2,1,IF(N295&lt;=4,2,IF(N295&lt;=5.5,3,4))))</f>
        <v>1</v>
      </c>
      <c r="Q295" s="147">
        <f t="shared" ca="1" si="311"/>
        <v>0</v>
      </c>
      <c r="R295" s="147" t="str">
        <f t="shared" ca="1" si="269"/>
        <v>Not tested yet</v>
      </c>
      <c r="S295" s="147">
        <f t="shared" si="270"/>
        <v>1</v>
      </c>
      <c r="T295" s="147"/>
      <c r="U295" s="147"/>
      <c r="V295" s="148" t="e">
        <f ca="1"/>
        <v>#NAME?</v>
      </c>
      <c r="W295" s="147" t="e">
        <f t="shared" ca="1" si="271"/>
        <v>#NAME?</v>
      </c>
      <c r="X295" s="147" t="e">
        <f t="shared" ca="1" si="272"/>
        <v>#NAME?</v>
      </c>
      <c r="Y295" s="147" t="e">
        <f t="shared" ca="1" si="273"/>
        <v>#NAME?</v>
      </c>
      <c r="Z295" s="147"/>
      <c r="AA295" s="147"/>
      <c r="AB295" s="147"/>
      <c r="AC295" s="147"/>
      <c r="AD295" s="147"/>
      <c r="AE295" s="147"/>
      <c r="AF295" s="147"/>
      <c r="AG295" s="147"/>
      <c r="AH295" s="147"/>
      <c r="AI295" s="147"/>
      <c r="AJ295" s="147"/>
      <c r="AK295" s="147"/>
      <c r="AL295" s="147"/>
      <c r="AM295" s="151"/>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c r="BI295" s="147"/>
      <c r="BJ295" s="147"/>
      <c r="BK295" s="147"/>
      <c r="BL295" s="147"/>
      <c r="BM295" s="147"/>
      <c r="BN295" s="147"/>
      <c r="BO295" s="147"/>
      <c r="BP295" s="147"/>
      <c r="BQ295" s="147"/>
      <c r="BR295" s="147"/>
      <c r="BS295" s="147"/>
      <c r="BT295" s="147"/>
      <c r="BU295" s="147"/>
      <c r="BV295" s="147"/>
      <c r="BW295" s="147"/>
      <c r="BX295" s="147"/>
      <c r="BY295" s="147"/>
      <c r="BZ295" s="147"/>
      <c r="CA295" s="147"/>
      <c r="CB295" s="147"/>
      <c r="CC295" s="147"/>
      <c r="CD295" s="147"/>
      <c r="CE295" s="147"/>
      <c r="CF295" s="147"/>
      <c r="CG295" s="147"/>
      <c r="CH295" s="147"/>
      <c r="CI295" s="147"/>
      <c r="CJ295" s="147"/>
      <c r="CK295" s="147"/>
    </row>
    <row r="296" spans="1:89">
      <c r="A296" s="159" t="s">
        <v>566</v>
      </c>
      <c r="B296" s="3" t="s">
        <v>567</v>
      </c>
      <c r="C296" s="160" t="s">
        <v>77</v>
      </c>
      <c r="D296" s="160" t="s">
        <v>870</v>
      </c>
      <c r="E296" s="3" t="s">
        <v>21</v>
      </c>
      <c r="F296" s="3" t="s">
        <v>926</v>
      </c>
      <c r="G296" s="3" t="s">
        <v>928</v>
      </c>
      <c r="H296" s="156" t="str">
        <f ca="1">IFERROR(
  _xludf.MINIFS(ATTENDANCE_LOG!$F:$F,
         ATTENDANCE_LOG!$A:$A, C296,
         ATTENDANCE_LOG!$B:$B, E296),
"")</f>
        <v/>
      </c>
      <c r="I296" s="156" t="str">
        <f t="shared" ca="1" si="266"/>
        <v/>
      </c>
      <c r="J296" s="3">
        <f>IFERROR(VLOOKUP(F296, LEVEL_HELPER!$A:$B, 2, 0), "")</f>
        <v>1</v>
      </c>
      <c r="K296" s="3">
        <f>IFERROR(VLOOKUP(G296, LEVEL_HELPER!$A:$B, 2, 0), "")</f>
        <v>1.5</v>
      </c>
      <c r="L296" s="157" t="s">
        <v>946</v>
      </c>
      <c r="M296" s="157" t="s">
        <v>922</v>
      </c>
      <c r="N296" s="3">
        <f t="array" aca="1" ref="N296" ca="1">IFERROR(
  INDEX($J$2:$J$543,
    MATCH(A296&amp;TEXT(I296,"yyyy-mm-dd"),
          $A$2:$A$543&amp;TEXT($H$2:$H$543,"yyyy-mm-dd"),
          0)),
"")</f>
        <v>1</v>
      </c>
      <c r="O296" s="147" t="str">
        <f t="shared" ca="1" si="267"/>
        <v/>
      </c>
      <c r="P296" s="147">
        <f t="shared" ref="P296:Q296" ca="1" si="312">IF(N296="",0,IF(N296&lt;=2,1,IF(N296&lt;=4,2,IF(N296&lt;=5.5,3,4))))</f>
        <v>1</v>
      </c>
      <c r="Q296" s="147">
        <f t="shared" ca="1" si="312"/>
        <v>0</v>
      </c>
      <c r="R296" s="147" t="str">
        <f t="shared" ca="1" si="269"/>
        <v>Not tested yet</v>
      </c>
      <c r="S296" s="147">
        <f t="shared" si="270"/>
        <v>1</v>
      </c>
      <c r="T296" s="147"/>
      <c r="U296" s="147"/>
      <c r="V296" s="148" t="e">
        <f ca="1"/>
        <v>#NAME?</v>
      </c>
      <c r="W296" s="147" t="e">
        <f t="shared" ca="1" si="271"/>
        <v>#NAME?</v>
      </c>
      <c r="X296" s="147" t="e">
        <f t="shared" ca="1" si="272"/>
        <v>#NAME?</v>
      </c>
      <c r="Y296" s="147" t="e">
        <f t="shared" ca="1" si="273"/>
        <v>#NAME?</v>
      </c>
      <c r="Z296" s="147"/>
      <c r="AA296" s="147"/>
      <c r="AB296" s="147"/>
      <c r="AC296" s="147"/>
      <c r="AD296" s="147"/>
      <c r="AE296" s="147"/>
      <c r="AF296" s="147"/>
      <c r="AG296" s="147"/>
      <c r="AH296" s="147"/>
      <c r="AI296" s="147"/>
      <c r="AJ296" s="147"/>
      <c r="AK296" s="147"/>
      <c r="AL296" s="147"/>
      <c r="AM296" s="151"/>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c r="BI296" s="147"/>
      <c r="BJ296" s="147"/>
      <c r="BK296" s="147"/>
      <c r="BL296" s="147"/>
      <c r="BM296" s="147"/>
      <c r="BN296" s="147"/>
      <c r="BO296" s="147"/>
      <c r="BP296" s="147"/>
      <c r="BQ296" s="147"/>
      <c r="BR296" s="147"/>
      <c r="BS296" s="147"/>
      <c r="BT296" s="147"/>
      <c r="BU296" s="147"/>
      <c r="BV296" s="147"/>
      <c r="BW296" s="147"/>
      <c r="BX296" s="147"/>
      <c r="BY296" s="147"/>
      <c r="BZ296" s="147"/>
      <c r="CA296" s="147"/>
      <c r="CB296" s="147"/>
      <c r="CC296" s="147"/>
      <c r="CD296" s="147"/>
      <c r="CE296" s="147"/>
      <c r="CF296" s="147"/>
      <c r="CG296" s="147"/>
      <c r="CH296" s="147"/>
      <c r="CI296" s="147"/>
      <c r="CJ296" s="147"/>
      <c r="CK296" s="147"/>
    </row>
    <row r="297" spans="1:89">
      <c r="A297" s="153" t="s">
        <v>421</v>
      </c>
      <c r="B297" s="154" t="s">
        <v>422</v>
      </c>
      <c r="C297" s="155" t="s">
        <v>77</v>
      </c>
      <c r="D297" s="155" t="s">
        <v>870</v>
      </c>
      <c r="E297" s="154" t="s">
        <v>22</v>
      </c>
      <c r="F297" s="3" t="s">
        <v>917</v>
      </c>
      <c r="G297" s="3" t="s">
        <v>934</v>
      </c>
      <c r="H297" s="156" t="str">
        <f ca="1">IFERROR(
  _xludf.MINIFS(ATTENDANCE_LOG!$F:$F,
         ATTENDANCE_LOG!$A:$A, C297,
         ATTENDANCE_LOG!$B:$B, E297),
"")</f>
        <v/>
      </c>
      <c r="I297" s="156" t="str">
        <f t="shared" ca="1" si="266"/>
        <v/>
      </c>
      <c r="J297" s="3">
        <f>IFERROR(VLOOKUP(F297, LEVEL_HELPER!$A:$B, 2, 0), "")</f>
        <v>3</v>
      </c>
      <c r="K297" s="3">
        <f>IFERROR(VLOOKUP(G297, LEVEL_HELPER!$A:$B, 2, 0), "")</f>
        <v>3.5</v>
      </c>
      <c r="L297" s="157" t="s">
        <v>930</v>
      </c>
      <c r="M297" s="157" t="s">
        <v>922</v>
      </c>
      <c r="N297" s="3">
        <f t="array" aca="1" ref="N297" ca="1">IFERROR(
  INDEX($J$2:$J$543,
    MATCH(A297&amp;TEXT(I297,"yyyy-mm-dd"),
          $A$2:$A$543&amp;TEXT($H$2:$H$543,"yyyy-mm-dd"),
          0)),
"")</f>
        <v>1</v>
      </c>
      <c r="O297" s="147" t="str">
        <f t="shared" ca="1" si="267"/>
        <v/>
      </c>
      <c r="P297" s="147">
        <f t="shared" ref="P297:Q297" ca="1" si="313">IF(N297="",0,IF(N297&lt;=2,1,IF(N297&lt;=4,2,IF(N297&lt;=5.5,3,4))))</f>
        <v>1</v>
      </c>
      <c r="Q297" s="147">
        <f t="shared" ca="1" si="313"/>
        <v>0</v>
      </c>
      <c r="R297" s="147" t="str">
        <f t="shared" ca="1" si="269"/>
        <v>Not tested yet</v>
      </c>
      <c r="S297" s="147">
        <f t="shared" si="270"/>
        <v>0</v>
      </c>
      <c r="T297" s="147"/>
      <c r="U297" s="147"/>
      <c r="V297" s="148" t="e">
        <f ca="1"/>
        <v>#NAME?</v>
      </c>
      <c r="W297" s="147" t="e">
        <f t="shared" ca="1" si="271"/>
        <v>#NAME?</v>
      </c>
      <c r="X297" s="147" t="e">
        <f t="shared" ca="1" si="272"/>
        <v>#NAME?</v>
      </c>
      <c r="Y297" s="147" t="e">
        <f t="shared" ca="1" si="273"/>
        <v>#NAME?</v>
      </c>
      <c r="Z297" s="147"/>
      <c r="AA297" s="147"/>
      <c r="AB297" s="147"/>
      <c r="AC297" s="147"/>
      <c r="AD297" s="147"/>
      <c r="AE297" s="147"/>
      <c r="AF297" s="147"/>
      <c r="AG297" s="147"/>
      <c r="AH297" s="147"/>
      <c r="AI297" s="147"/>
      <c r="AJ297" s="147"/>
      <c r="AK297" s="147"/>
      <c r="AL297" s="147"/>
      <c r="AM297" s="151"/>
      <c r="AN297" s="147"/>
      <c r="AO297" s="147"/>
      <c r="AP297" s="147"/>
      <c r="AQ297" s="147"/>
      <c r="AR297" s="147"/>
      <c r="AS297" s="147"/>
      <c r="AT297" s="147"/>
      <c r="AU297" s="147"/>
      <c r="AV297" s="147"/>
      <c r="AW297" s="147"/>
      <c r="AX297" s="147"/>
      <c r="AY297" s="147"/>
      <c r="AZ297" s="147"/>
      <c r="BA297" s="147"/>
      <c r="BB297" s="147"/>
      <c r="BC297" s="147"/>
      <c r="BD297" s="147"/>
      <c r="BE297" s="147"/>
      <c r="BF297" s="147"/>
      <c r="BG297" s="147"/>
      <c r="BH297" s="147"/>
      <c r="BI297" s="147"/>
      <c r="BJ297" s="147"/>
      <c r="BK297" s="147"/>
      <c r="BL297" s="147"/>
      <c r="BM297" s="147"/>
      <c r="BN297" s="147"/>
      <c r="BO297" s="147"/>
      <c r="BP297" s="147"/>
      <c r="BQ297" s="147"/>
      <c r="BR297" s="147"/>
      <c r="BS297" s="147"/>
      <c r="BT297" s="147"/>
      <c r="BU297" s="147"/>
      <c r="BV297" s="147"/>
      <c r="BW297" s="147"/>
      <c r="BX297" s="147"/>
      <c r="BY297" s="147"/>
      <c r="BZ297" s="147"/>
      <c r="CA297" s="147"/>
      <c r="CB297" s="147"/>
      <c r="CC297" s="147"/>
      <c r="CD297" s="147"/>
      <c r="CE297" s="147"/>
      <c r="CF297" s="147"/>
      <c r="CG297" s="147"/>
      <c r="CH297" s="147"/>
      <c r="CI297" s="147"/>
      <c r="CJ297" s="147"/>
      <c r="CK297" s="147"/>
    </row>
    <row r="298" spans="1:89">
      <c r="A298" s="159" t="s">
        <v>147</v>
      </c>
      <c r="B298" s="3" t="s">
        <v>148</v>
      </c>
      <c r="C298" s="160" t="s">
        <v>77</v>
      </c>
      <c r="D298" s="160" t="s">
        <v>870</v>
      </c>
      <c r="E298" s="3" t="s">
        <v>22</v>
      </c>
      <c r="F298" s="3" t="s">
        <v>917</v>
      </c>
      <c r="G298" s="3" t="s">
        <v>934</v>
      </c>
      <c r="H298" s="156" t="str">
        <f ca="1">IFERROR(
  _xludf.MINIFS(ATTENDANCE_LOG!$F:$F,
         ATTENDANCE_LOG!$A:$A, C298,
         ATTENDANCE_LOG!$B:$B, E298),
"")</f>
        <v/>
      </c>
      <c r="I298" s="156" t="str">
        <f t="shared" ca="1" si="266"/>
        <v/>
      </c>
      <c r="J298" s="3">
        <f>IFERROR(VLOOKUP(F298, LEVEL_HELPER!$A:$B, 2, 0), "")</f>
        <v>3</v>
      </c>
      <c r="K298" s="3">
        <f>IFERROR(VLOOKUP(G298, LEVEL_HELPER!$A:$B, 2, 0), "")</f>
        <v>3.5</v>
      </c>
      <c r="L298" s="157" t="s">
        <v>930</v>
      </c>
      <c r="M298" s="157" t="s">
        <v>922</v>
      </c>
      <c r="N298" s="3">
        <f t="array" aca="1" ref="N298" ca="1">IFERROR(
  INDEX($J$2:$J$543,
    MATCH(A298&amp;TEXT(I298,"yyyy-mm-dd"),
          $A$2:$A$543&amp;TEXT($H$2:$H$543,"yyyy-mm-dd"),
          0)),
"")</f>
        <v>1</v>
      </c>
      <c r="O298" s="147" t="str">
        <f t="shared" ca="1" si="267"/>
        <v/>
      </c>
      <c r="P298" s="147">
        <f t="shared" ref="P298:Q298" ca="1" si="314">IF(N298="",0,IF(N298&lt;=2,1,IF(N298&lt;=4,2,IF(N298&lt;=5.5,3,4))))</f>
        <v>1</v>
      </c>
      <c r="Q298" s="147">
        <f t="shared" ca="1" si="314"/>
        <v>0</v>
      </c>
      <c r="R298" s="147" t="str">
        <f t="shared" ca="1" si="269"/>
        <v>Not tested yet</v>
      </c>
      <c r="S298" s="147">
        <f t="shared" si="270"/>
        <v>0</v>
      </c>
      <c r="T298" s="147"/>
      <c r="U298" s="147"/>
      <c r="V298" s="148" t="e">
        <f ca="1"/>
        <v>#NAME?</v>
      </c>
      <c r="W298" s="147" t="e">
        <f t="shared" ca="1" si="271"/>
        <v>#NAME?</v>
      </c>
      <c r="X298" s="147" t="e">
        <f t="shared" ca="1" si="272"/>
        <v>#NAME?</v>
      </c>
      <c r="Y298" s="147" t="e">
        <f t="shared" ca="1" si="273"/>
        <v>#NAME?</v>
      </c>
      <c r="Z298" s="147"/>
      <c r="AA298" s="147"/>
      <c r="AB298" s="147"/>
      <c r="AC298" s="147"/>
      <c r="AD298" s="147"/>
      <c r="AE298" s="147"/>
      <c r="AF298" s="147"/>
      <c r="AG298" s="147"/>
      <c r="AH298" s="147"/>
      <c r="AI298" s="147"/>
      <c r="AJ298" s="147"/>
      <c r="AK298" s="147"/>
      <c r="AL298" s="147"/>
      <c r="AM298" s="151"/>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c r="BI298" s="147"/>
      <c r="BJ298" s="147"/>
      <c r="BK298" s="147"/>
      <c r="BL298" s="147"/>
      <c r="BM298" s="147"/>
      <c r="BN298" s="147"/>
      <c r="BO298" s="147"/>
      <c r="BP298" s="147"/>
      <c r="BQ298" s="147"/>
      <c r="BR298" s="147"/>
      <c r="BS298" s="147"/>
      <c r="BT298" s="147"/>
      <c r="BU298" s="147"/>
      <c r="BV298" s="147"/>
      <c r="BW298" s="147"/>
      <c r="BX298" s="147"/>
      <c r="BY298" s="147"/>
      <c r="BZ298" s="147"/>
      <c r="CA298" s="147"/>
      <c r="CB298" s="147"/>
      <c r="CC298" s="147"/>
      <c r="CD298" s="147"/>
      <c r="CE298" s="147"/>
      <c r="CF298" s="147"/>
      <c r="CG298" s="147"/>
      <c r="CH298" s="147"/>
      <c r="CI298" s="147"/>
      <c r="CJ298" s="147"/>
      <c r="CK298" s="147"/>
    </row>
    <row r="299" spans="1:89">
      <c r="A299" s="159" t="s">
        <v>159</v>
      </c>
      <c r="B299" s="3" t="s">
        <v>160</v>
      </c>
      <c r="C299" s="160" t="s">
        <v>77</v>
      </c>
      <c r="D299" s="160" t="s">
        <v>870</v>
      </c>
      <c r="E299" s="3" t="s">
        <v>22</v>
      </c>
      <c r="F299" s="3" t="s">
        <v>917</v>
      </c>
      <c r="G299" s="3" t="s">
        <v>917</v>
      </c>
      <c r="H299" s="156" t="str">
        <f ca="1">IFERROR(
  _xludf.MINIFS(ATTENDANCE_LOG!$F:$F,
         ATTENDANCE_LOG!$A:$A, C299,
         ATTENDANCE_LOG!$B:$B, E299),
"")</f>
        <v/>
      </c>
      <c r="I299" s="156" t="str">
        <f t="shared" ca="1" si="266"/>
        <v/>
      </c>
      <c r="J299" s="3">
        <f>IFERROR(VLOOKUP(F299, LEVEL_HELPER!$A:$B, 2, 0), "")</f>
        <v>3</v>
      </c>
      <c r="K299" s="3">
        <f>IFERROR(VLOOKUP(G299, LEVEL_HELPER!$A:$B, 2, 0), "")</f>
        <v>3</v>
      </c>
      <c r="L299" s="157" t="s">
        <v>930</v>
      </c>
      <c r="M299" s="157" t="s">
        <v>922</v>
      </c>
      <c r="N299" s="3">
        <f t="array" aca="1" ref="N299" ca="1">IFERROR(
  INDEX($J$2:$J$543,
    MATCH(A299&amp;TEXT(I299,"yyyy-mm-dd"),
          $A$2:$A$543&amp;TEXT($H$2:$H$543,"yyyy-mm-dd"),
          0)),
"")</f>
        <v>1</v>
      </c>
      <c r="O299" s="147" t="str">
        <f t="shared" ca="1" si="267"/>
        <v/>
      </c>
      <c r="P299" s="147">
        <f t="shared" ref="P299:Q299" ca="1" si="315">IF(N299="",0,IF(N299&lt;=2,1,IF(N299&lt;=4,2,IF(N299&lt;=5.5,3,4))))</f>
        <v>1</v>
      </c>
      <c r="Q299" s="147">
        <f t="shared" ca="1" si="315"/>
        <v>0</v>
      </c>
      <c r="R299" s="147" t="str">
        <f t="shared" ca="1" si="269"/>
        <v>Not tested yet</v>
      </c>
      <c r="S299" s="147">
        <f t="shared" si="270"/>
        <v>0</v>
      </c>
      <c r="T299" s="147"/>
      <c r="U299" s="147"/>
      <c r="V299" s="148" t="e">
        <f ca="1"/>
        <v>#NAME?</v>
      </c>
      <c r="W299" s="147" t="e">
        <f t="shared" ca="1" si="271"/>
        <v>#NAME?</v>
      </c>
      <c r="X299" s="147" t="e">
        <f t="shared" ca="1" si="272"/>
        <v>#NAME?</v>
      </c>
      <c r="Y299" s="147" t="e">
        <f t="shared" ca="1" si="273"/>
        <v>#NAME?</v>
      </c>
      <c r="Z299" s="147"/>
      <c r="AA299" s="147"/>
      <c r="AB299" s="147"/>
      <c r="AC299" s="147"/>
      <c r="AD299" s="147"/>
      <c r="AE299" s="147"/>
      <c r="AF299" s="147"/>
      <c r="AG299" s="147"/>
      <c r="AH299" s="147"/>
      <c r="AI299" s="147"/>
      <c r="AJ299" s="147"/>
      <c r="AK299" s="147"/>
      <c r="AL299" s="147"/>
      <c r="AM299" s="151"/>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c r="BI299" s="147"/>
      <c r="BJ299" s="147"/>
      <c r="BK299" s="147"/>
      <c r="BL299" s="147"/>
      <c r="BM299" s="147"/>
      <c r="BN299" s="147"/>
      <c r="BO299" s="147"/>
      <c r="BP299" s="147"/>
      <c r="BQ299" s="147"/>
      <c r="BR299" s="147"/>
      <c r="BS299" s="147"/>
      <c r="BT299" s="147"/>
      <c r="BU299" s="147"/>
      <c r="BV299" s="147"/>
      <c r="BW299" s="147"/>
      <c r="BX299" s="147"/>
      <c r="BY299" s="147"/>
      <c r="BZ299" s="147"/>
      <c r="CA299" s="147"/>
      <c r="CB299" s="147"/>
      <c r="CC299" s="147"/>
      <c r="CD299" s="147"/>
      <c r="CE299" s="147"/>
      <c r="CF299" s="147"/>
      <c r="CG299" s="147"/>
      <c r="CH299" s="147"/>
      <c r="CI299" s="147"/>
      <c r="CJ299" s="147"/>
      <c r="CK299" s="147"/>
    </row>
    <row r="300" spans="1:89">
      <c r="A300" s="159" t="s">
        <v>255</v>
      </c>
      <c r="B300" s="3" t="s">
        <v>256</v>
      </c>
      <c r="C300" s="160" t="s">
        <v>77</v>
      </c>
      <c r="D300" s="160" t="s">
        <v>870</v>
      </c>
      <c r="E300" s="3" t="s">
        <v>22</v>
      </c>
      <c r="F300" s="3" t="s">
        <v>917</v>
      </c>
      <c r="G300" s="3" t="s">
        <v>934</v>
      </c>
      <c r="H300" s="156" t="str">
        <f ca="1">IFERROR(
  _xludf.MINIFS(ATTENDANCE_LOG!$F:$F,
         ATTENDANCE_LOG!$A:$A, C300,
         ATTENDANCE_LOG!$B:$B, E300),
"")</f>
        <v/>
      </c>
      <c r="I300" s="156" t="str">
        <f t="shared" ca="1" si="266"/>
        <v/>
      </c>
      <c r="J300" s="3">
        <f>IFERROR(VLOOKUP(F300, LEVEL_HELPER!$A:$B, 2, 0), "")</f>
        <v>3</v>
      </c>
      <c r="K300" s="3">
        <f>IFERROR(VLOOKUP(G300, LEVEL_HELPER!$A:$B, 2, 0), "")</f>
        <v>3.5</v>
      </c>
      <c r="L300" s="157" t="s">
        <v>930</v>
      </c>
      <c r="M300" s="157" t="s">
        <v>922</v>
      </c>
      <c r="N300" s="3">
        <f t="array" aca="1" ref="N300" ca="1">IFERROR(
  INDEX($J$2:$J$543,
    MATCH(A300&amp;TEXT(I300,"yyyy-mm-dd"),
          $A$2:$A$543&amp;TEXT($H$2:$H$543,"yyyy-mm-dd"),
          0)),
"")</f>
        <v>1</v>
      </c>
      <c r="O300" s="147" t="str">
        <f t="shared" ca="1" si="267"/>
        <v/>
      </c>
      <c r="P300" s="147">
        <f t="shared" ref="P300:Q300" ca="1" si="316">IF(N300="",0,IF(N300&lt;=2,1,IF(N300&lt;=4,2,IF(N300&lt;=5.5,3,4))))</f>
        <v>1</v>
      </c>
      <c r="Q300" s="147">
        <f t="shared" ca="1" si="316"/>
        <v>0</v>
      </c>
      <c r="R300" s="147" t="str">
        <f t="shared" ca="1" si="269"/>
        <v>Not tested yet</v>
      </c>
      <c r="S300" s="147">
        <f t="shared" si="270"/>
        <v>0</v>
      </c>
      <c r="T300" s="147"/>
      <c r="U300" s="147"/>
      <c r="V300" s="148" t="e">
        <f ca="1"/>
        <v>#NAME?</v>
      </c>
      <c r="W300" s="147" t="e">
        <f t="shared" ca="1" si="271"/>
        <v>#NAME?</v>
      </c>
      <c r="X300" s="147" t="e">
        <f t="shared" ca="1" si="272"/>
        <v>#NAME?</v>
      </c>
      <c r="Y300" s="147" t="e">
        <f t="shared" ca="1" si="273"/>
        <v>#NAME?</v>
      </c>
      <c r="Z300" s="147"/>
      <c r="AA300" s="147"/>
      <c r="AB300" s="147"/>
      <c r="AC300" s="147"/>
      <c r="AD300" s="147"/>
      <c r="AE300" s="147"/>
      <c r="AF300" s="147"/>
      <c r="AG300" s="147"/>
      <c r="AH300" s="147"/>
      <c r="AI300" s="147"/>
      <c r="AJ300" s="147"/>
      <c r="AK300" s="147"/>
      <c r="AL300" s="147"/>
      <c r="AM300" s="151"/>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c r="BI300" s="147"/>
      <c r="BJ300" s="147"/>
      <c r="BK300" s="147"/>
      <c r="BL300" s="147"/>
      <c r="BM300" s="147"/>
      <c r="BN300" s="147"/>
      <c r="BO300" s="147"/>
      <c r="BP300" s="147"/>
      <c r="BQ300" s="147"/>
      <c r="BR300" s="147"/>
      <c r="BS300" s="147"/>
      <c r="BT300" s="147"/>
      <c r="BU300" s="147"/>
      <c r="BV300" s="147"/>
      <c r="BW300" s="147"/>
      <c r="BX300" s="147"/>
      <c r="BY300" s="147"/>
      <c r="BZ300" s="147"/>
      <c r="CA300" s="147"/>
      <c r="CB300" s="147"/>
      <c r="CC300" s="147"/>
      <c r="CD300" s="147"/>
      <c r="CE300" s="147"/>
      <c r="CF300" s="147"/>
      <c r="CG300" s="147"/>
      <c r="CH300" s="147"/>
      <c r="CI300" s="147"/>
      <c r="CJ300" s="147"/>
      <c r="CK300" s="147"/>
    </row>
    <row r="301" spans="1:89">
      <c r="A301" s="159" t="s">
        <v>433</v>
      </c>
      <c r="B301" s="3" t="s">
        <v>432</v>
      </c>
      <c r="C301" s="160" t="s">
        <v>77</v>
      </c>
      <c r="D301" s="160" t="s">
        <v>870</v>
      </c>
      <c r="E301" s="3" t="s">
        <v>22</v>
      </c>
      <c r="F301" s="3" t="s">
        <v>917</v>
      </c>
      <c r="G301" s="3" t="s">
        <v>934</v>
      </c>
      <c r="H301" s="156" t="str">
        <f ca="1">IFERROR(
  _xludf.MINIFS(ATTENDANCE_LOG!$F:$F,
         ATTENDANCE_LOG!$A:$A, C301,
         ATTENDANCE_LOG!$B:$B, E301),
"")</f>
        <v/>
      </c>
      <c r="I301" s="156" t="str">
        <f t="shared" ca="1" si="266"/>
        <v/>
      </c>
      <c r="J301" s="3">
        <f>IFERROR(VLOOKUP(F301, LEVEL_HELPER!$A:$B, 2, 0), "")</f>
        <v>3</v>
      </c>
      <c r="K301" s="3">
        <f>IFERROR(VLOOKUP(G301, LEVEL_HELPER!$A:$B, 2, 0), "")</f>
        <v>3.5</v>
      </c>
      <c r="L301" s="157" t="s">
        <v>930</v>
      </c>
      <c r="M301" s="157" t="s">
        <v>922</v>
      </c>
      <c r="N301" s="3">
        <f t="array" aca="1" ref="N301" ca="1">IFERROR(
  INDEX($J$2:$J$543,
    MATCH(A301&amp;TEXT(I301,"yyyy-mm-dd"),
          $A$2:$A$543&amp;TEXT($H$2:$H$543,"yyyy-mm-dd"),
          0)),
"")</f>
        <v>2.5</v>
      </c>
      <c r="O301" s="147" t="str">
        <f t="shared" ca="1" si="267"/>
        <v/>
      </c>
      <c r="P301" s="147">
        <f t="shared" ref="P301:Q301" ca="1" si="317">IF(N301="",0,IF(N301&lt;=2,1,IF(N301&lt;=4,2,IF(N301&lt;=5.5,3,4))))</f>
        <v>2</v>
      </c>
      <c r="Q301" s="147">
        <f t="shared" ca="1" si="317"/>
        <v>0</v>
      </c>
      <c r="R301" s="147" t="str">
        <f t="shared" ca="1" si="269"/>
        <v>Not tested yet</v>
      </c>
      <c r="S301" s="147">
        <f t="shared" si="270"/>
        <v>0</v>
      </c>
      <c r="T301" s="147"/>
      <c r="U301" s="147"/>
      <c r="V301" s="148" t="e">
        <f ca="1"/>
        <v>#NAME?</v>
      </c>
      <c r="W301" s="147" t="e">
        <f t="shared" ca="1" si="271"/>
        <v>#NAME?</v>
      </c>
      <c r="X301" s="147" t="e">
        <f t="shared" ca="1" si="272"/>
        <v>#NAME?</v>
      </c>
      <c r="Y301" s="147" t="e">
        <f t="shared" ca="1" si="273"/>
        <v>#NAME?</v>
      </c>
      <c r="Z301" s="147"/>
      <c r="AA301" s="147"/>
      <c r="AB301" s="147"/>
      <c r="AC301" s="147"/>
      <c r="AD301" s="147"/>
      <c r="AE301" s="147"/>
      <c r="AF301" s="147"/>
      <c r="AG301" s="147"/>
      <c r="AH301" s="147"/>
      <c r="AI301" s="147"/>
      <c r="AJ301" s="147"/>
      <c r="AK301" s="147"/>
      <c r="AL301" s="147"/>
      <c r="AM301" s="151"/>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c r="BI301" s="147"/>
      <c r="BJ301" s="147"/>
      <c r="BK301" s="147"/>
      <c r="BL301" s="147"/>
      <c r="BM301" s="147"/>
      <c r="BN301" s="147"/>
      <c r="BO301" s="147"/>
      <c r="BP301" s="147"/>
      <c r="BQ301" s="147"/>
      <c r="BR301" s="147"/>
      <c r="BS301" s="147"/>
      <c r="BT301" s="147"/>
      <c r="BU301" s="147"/>
      <c r="BV301" s="147"/>
      <c r="BW301" s="147"/>
      <c r="BX301" s="147"/>
      <c r="BY301" s="147"/>
      <c r="BZ301" s="147"/>
      <c r="CA301" s="147"/>
      <c r="CB301" s="147"/>
      <c r="CC301" s="147"/>
      <c r="CD301" s="147"/>
      <c r="CE301" s="147"/>
      <c r="CF301" s="147"/>
      <c r="CG301" s="147"/>
      <c r="CH301" s="147"/>
      <c r="CI301" s="147"/>
      <c r="CJ301" s="147"/>
      <c r="CK301" s="147"/>
    </row>
    <row r="302" spans="1:89">
      <c r="A302" s="159" t="s">
        <v>494</v>
      </c>
      <c r="B302" s="3" t="s">
        <v>495</v>
      </c>
      <c r="C302" s="160" t="s">
        <v>77</v>
      </c>
      <c r="D302" s="160" t="s">
        <v>870</v>
      </c>
      <c r="E302" s="3" t="s">
        <v>22</v>
      </c>
      <c r="F302" s="3" t="s">
        <v>917</v>
      </c>
      <c r="G302" s="3" t="s">
        <v>934</v>
      </c>
      <c r="H302" s="156" t="str">
        <f ca="1">IFERROR(
  _xludf.MINIFS(ATTENDANCE_LOG!$F:$F,
         ATTENDANCE_LOG!$A:$A, C302,
         ATTENDANCE_LOG!$B:$B, E302),
"")</f>
        <v/>
      </c>
      <c r="I302" s="156" t="str">
        <f t="shared" ca="1" si="266"/>
        <v/>
      </c>
      <c r="J302" s="3">
        <f>IFERROR(VLOOKUP(F302, LEVEL_HELPER!$A:$B, 2, 0), "")</f>
        <v>3</v>
      </c>
      <c r="K302" s="3">
        <f>IFERROR(VLOOKUP(G302, LEVEL_HELPER!$A:$B, 2, 0), "")</f>
        <v>3.5</v>
      </c>
      <c r="L302" s="157" t="s">
        <v>930</v>
      </c>
      <c r="M302" s="157" t="s">
        <v>922</v>
      </c>
      <c r="N302" s="3">
        <f t="array" aca="1" ref="N302" ca="1">IFERROR(
  INDEX($J$2:$J$543,
    MATCH(A302&amp;TEXT(I302,"yyyy-mm-dd"),
          $A$2:$A$543&amp;TEXT($H$2:$H$543,"yyyy-mm-dd"),
          0)),
"")</f>
        <v>1</v>
      </c>
      <c r="O302" s="147" t="str">
        <f t="shared" ca="1" si="267"/>
        <v/>
      </c>
      <c r="P302" s="147">
        <f t="shared" ref="P302:Q302" ca="1" si="318">IF(N302="",0,IF(N302&lt;=2,1,IF(N302&lt;=4,2,IF(N302&lt;=5.5,3,4))))</f>
        <v>1</v>
      </c>
      <c r="Q302" s="147">
        <f t="shared" ca="1" si="318"/>
        <v>0</v>
      </c>
      <c r="R302" s="147" t="str">
        <f t="shared" ca="1" si="269"/>
        <v>Not tested yet</v>
      </c>
      <c r="S302" s="147">
        <f t="shared" si="270"/>
        <v>0</v>
      </c>
      <c r="T302" s="147"/>
      <c r="U302" s="147"/>
      <c r="V302" s="148" t="e">
        <f ca="1"/>
        <v>#NAME?</v>
      </c>
      <c r="W302" s="147" t="e">
        <f t="shared" ca="1" si="271"/>
        <v>#NAME?</v>
      </c>
      <c r="X302" s="147" t="e">
        <f t="shared" ca="1" si="272"/>
        <v>#NAME?</v>
      </c>
      <c r="Y302" s="147" t="e">
        <f t="shared" ca="1" si="273"/>
        <v>#NAME?</v>
      </c>
      <c r="Z302" s="147"/>
      <c r="AA302" s="147"/>
      <c r="AB302" s="147"/>
      <c r="AC302" s="147"/>
      <c r="AD302" s="147"/>
      <c r="AE302" s="147"/>
      <c r="AF302" s="147"/>
      <c r="AG302" s="147"/>
      <c r="AH302" s="147"/>
      <c r="AI302" s="147"/>
      <c r="AJ302" s="147"/>
      <c r="AK302" s="147"/>
      <c r="AL302" s="147"/>
      <c r="AM302" s="151"/>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c r="BI302" s="147"/>
      <c r="BJ302" s="147"/>
      <c r="BK302" s="147"/>
      <c r="BL302" s="147"/>
      <c r="BM302" s="147"/>
      <c r="BN302" s="147"/>
      <c r="BO302" s="147"/>
      <c r="BP302" s="147"/>
      <c r="BQ302" s="147"/>
      <c r="BR302" s="147"/>
      <c r="BS302" s="147"/>
      <c r="BT302" s="147"/>
      <c r="BU302" s="147"/>
      <c r="BV302" s="147"/>
      <c r="BW302" s="147"/>
      <c r="BX302" s="147"/>
      <c r="BY302" s="147"/>
      <c r="BZ302" s="147"/>
      <c r="CA302" s="147"/>
      <c r="CB302" s="147"/>
      <c r="CC302" s="147"/>
      <c r="CD302" s="147"/>
      <c r="CE302" s="147"/>
      <c r="CF302" s="147"/>
      <c r="CG302" s="147"/>
      <c r="CH302" s="147"/>
      <c r="CI302" s="147"/>
      <c r="CJ302" s="147"/>
      <c r="CK302" s="147"/>
    </row>
    <row r="303" spans="1:89">
      <c r="A303" s="159" t="s">
        <v>498</v>
      </c>
      <c r="B303" s="3" t="s">
        <v>499</v>
      </c>
      <c r="C303" s="160" t="s">
        <v>77</v>
      </c>
      <c r="D303" s="160" t="s">
        <v>870</v>
      </c>
      <c r="E303" s="3" t="s">
        <v>22</v>
      </c>
      <c r="F303" s="3" t="s">
        <v>928</v>
      </c>
      <c r="G303" s="3" t="s">
        <v>917</v>
      </c>
      <c r="H303" s="156" t="str">
        <f ca="1">IFERROR(
  _xludf.MINIFS(ATTENDANCE_LOG!$F:$F,
         ATTENDANCE_LOG!$A:$A, C303,
         ATTENDANCE_LOG!$B:$B, E303),
"")</f>
        <v/>
      </c>
      <c r="I303" s="156" t="str">
        <f t="shared" ca="1" si="266"/>
        <v/>
      </c>
      <c r="J303" s="3">
        <f>IFERROR(VLOOKUP(F303, LEVEL_HELPER!$A:$B, 2, 0), "")</f>
        <v>1.5</v>
      </c>
      <c r="K303" s="3">
        <f>IFERROR(VLOOKUP(G303, LEVEL_HELPER!$A:$B, 2, 0), "")</f>
        <v>3</v>
      </c>
      <c r="L303" s="157" t="s">
        <v>930</v>
      </c>
      <c r="M303" s="157" t="s">
        <v>922</v>
      </c>
      <c r="N303" s="3">
        <f t="array" aca="1" ref="N303" ca="1">IFERROR(
  INDEX($J$2:$J$543,
    MATCH(A303&amp;TEXT(I303,"yyyy-mm-dd"),
          $A$2:$A$543&amp;TEXT($H$2:$H$543,"yyyy-mm-dd"),
          0)),
"")</f>
        <v>1</v>
      </c>
      <c r="O303" s="147" t="str">
        <f t="shared" ca="1" si="267"/>
        <v/>
      </c>
      <c r="P303" s="147">
        <f t="shared" ref="P303:Q303" ca="1" si="319">IF(N303="",0,IF(N303&lt;=2,1,IF(N303&lt;=4,2,IF(N303&lt;=5.5,3,4))))</f>
        <v>1</v>
      </c>
      <c r="Q303" s="147">
        <f t="shared" ca="1" si="319"/>
        <v>0</v>
      </c>
      <c r="R303" s="147" t="str">
        <f t="shared" ca="1" si="269"/>
        <v>Not tested yet</v>
      </c>
      <c r="S303" s="147">
        <f t="shared" si="270"/>
        <v>0</v>
      </c>
      <c r="T303" s="147"/>
      <c r="U303" s="147"/>
      <c r="V303" s="148" t="e">
        <f ca="1"/>
        <v>#NAME?</v>
      </c>
      <c r="W303" s="147" t="e">
        <f t="shared" ca="1" si="271"/>
        <v>#NAME?</v>
      </c>
      <c r="X303" s="147" t="e">
        <f t="shared" ca="1" si="272"/>
        <v>#NAME?</v>
      </c>
      <c r="Y303" s="147" t="e">
        <f t="shared" ca="1" si="273"/>
        <v>#NAME?</v>
      </c>
      <c r="Z303" s="147"/>
      <c r="AA303" s="147"/>
      <c r="AB303" s="147"/>
      <c r="AC303" s="147"/>
      <c r="AD303" s="147"/>
      <c r="AE303" s="147"/>
      <c r="AF303" s="147"/>
      <c r="AG303" s="147"/>
      <c r="AH303" s="147"/>
      <c r="AI303" s="147"/>
      <c r="AJ303" s="147"/>
      <c r="AK303" s="147"/>
      <c r="AL303" s="147"/>
      <c r="AM303" s="151"/>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c r="BI303" s="147"/>
      <c r="BJ303" s="147"/>
      <c r="BK303" s="147"/>
      <c r="BL303" s="147"/>
      <c r="BM303" s="147"/>
      <c r="BN303" s="147"/>
      <c r="BO303" s="147"/>
      <c r="BP303" s="147"/>
      <c r="BQ303" s="147"/>
      <c r="BR303" s="147"/>
      <c r="BS303" s="147"/>
      <c r="BT303" s="147"/>
      <c r="BU303" s="147"/>
      <c r="BV303" s="147"/>
      <c r="BW303" s="147"/>
      <c r="BX303" s="147"/>
      <c r="BY303" s="147"/>
      <c r="BZ303" s="147"/>
      <c r="CA303" s="147"/>
      <c r="CB303" s="147"/>
      <c r="CC303" s="147"/>
      <c r="CD303" s="147"/>
      <c r="CE303" s="147"/>
      <c r="CF303" s="147"/>
      <c r="CG303" s="147"/>
      <c r="CH303" s="147"/>
      <c r="CI303" s="147"/>
      <c r="CJ303" s="147"/>
      <c r="CK303" s="147"/>
    </row>
    <row r="304" spans="1:89">
      <c r="A304" s="153" t="s">
        <v>421</v>
      </c>
      <c r="B304" s="154" t="s">
        <v>422</v>
      </c>
      <c r="C304" s="155" t="s">
        <v>77</v>
      </c>
      <c r="D304" s="155" t="s">
        <v>870</v>
      </c>
      <c r="E304" s="154" t="s">
        <v>23</v>
      </c>
      <c r="F304" s="3"/>
      <c r="G304" s="3"/>
      <c r="H304" s="156" t="str">
        <f ca="1">IFERROR(
  _xludf.MINIFS(ATTENDANCE_LOG!$F:$F,
         ATTENDANCE_LOG!$A:$A, C304,
         ATTENDANCE_LOG!$B:$B, E304),
"")</f>
        <v/>
      </c>
      <c r="I304" s="156" t="str">
        <f t="shared" ca="1" si="266"/>
        <v/>
      </c>
      <c r="J304" s="3" t="str">
        <f>IFERROR(VLOOKUP(F304, LEVEL_HELPER!$A:$B, 2, 0), "")</f>
        <v/>
      </c>
      <c r="K304" s="3" t="str">
        <f>IFERROR(VLOOKUP(G304, LEVEL_HELPER!$A:$B, 2, 0), "")</f>
        <v/>
      </c>
      <c r="L304" s="157" t="s">
        <v>930</v>
      </c>
      <c r="M304" s="157" t="s">
        <v>922</v>
      </c>
      <c r="N304" s="3">
        <f t="array" aca="1" ref="N304" ca="1">IFERROR(
  INDEX($J$2:$J$543,
    MATCH(A304&amp;TEXT(I304,"yyyy-mm-dd"),
          $A$2:$A$543&amp;TEXT($H$2:$H$543,"yyyy-mm-dd"),
          0)),
"")</f>
        <v>1</v>
      </c>
      <c r="O304" s="147" t="str">
        <f t="shared" ca="1" si="267"/>
        <v/>
      </c>
      <c r="P304" s="147">
        <f t="shared" ref="P304:Q304" ca="1" si="320">IF(N304="",0,IF(N304&lt;=2,1,IF(N304&lt;=4,2,IF(N304&lt;=5.5,3,4))))</f>
        <v>1</v>
      </c>
      <c r="Q304" s="147">
        <f t="shared" ca="1" si="320"/>
        <v>0</v>
      </c>
      <c r="R304" s="147" t="str">
        <f t="shared" ca="1" si="269"/>
        <v>Not tested yet</v>
      </c>
      <c r="S304" s="147">
        <f t="shared" si="270"/>
        <v>0</v>
      </c>
      <c r="T304" s="147"/>
      <c r="U304" s="147"/>
      <c r="V304" s="148" t="e">
        <f ca="1"/>
        <v>#NAME?</v>
      </c>
      <c r="W304" s="147" t="e">
        <f t="shared" ca="1" si="271"/>
        <v>#NAME?</v>
      </c>
      <c r="X304" s="147" t="e">
        <f t="shared" ca="1" si="272"/>
        <v>#NAME?</v>
      </c>
      <c r="Y304" s="147" t="e">
        <f t="shared" ca="1" si="273"/>
        <v>#NAME?</v>
      </c>
      <c r="Z304" s="147"/>
      <c r="AA304" s="147"/>
      <c r="AB304" s="147"/>
      <c r="AC304" s="147"/>
      <c r="AD304" s="147"/>
      <c r="AE304" s="147"/>
      <c r="AF304" s="147"/>
      <c r="AG304" s="147"/>
      <c r="AH304" s="147"/>
      <c r="AI304" s="147"/>
      <c r="AJ304" s="147"/>
      <c r="AK304" s="147"/>
      <c r="AL304" s="147"/>
      <c r="AM304" s="151"/>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c r="BI304" s="147"/>
      <c r="BJ304" s="147"/>
      <c r="BK304" s="147"/>
      <c r="BL304" s="147"/>
      <c r="BM304" s="147"/>
      <c r="BN304" s="147"/>
      <c r="BO304" s="147"/>
      <c r="BP304" s="147"/>
      <c r="BQ304" s="147"/>
      <c r="BR304" s="147"/>
      <c r="BS304" s="147"/>
      <c r="BT304" s="147"/>
      <c r="BU304" s="147"/>
      <c r="BV304" s="147"/>
      <c r="BW304" s="147"/>
      <c r="BX304" s="147"/>
      <c r="BY304" s="147"/>
      <c r="BZ304" s="147"/>
      <c r="CA304" s="147"/>
      <c r="CB304" s="147"/>
      <c r="CC304" s="147"/>
      <c r="CD304" s="147"/>
      <c r="CE304" s="147"/>
      <c r="CF304" s="147"/>
      <c r="CG304" s="147"/>
      <c r="CH304" s="147"/>
      <c r="CI304" s="147"/>
      <c r="CJ304" s="147"/>
      <c r="CK304" s="147"/>
    </row>
    <row r="305" spans="1:89">
      <c r="A305" s="159" t="s">
        <v>566</v>
      </c>
      <c r="B305" s="3" t="s">
        <v>567</v>
      </c>
      <c r="C305" s="160" t="s">
        <v>77</v>
      </c>
      <c r="D305" s="160" t="s">
        <v>870</v>
      </c>
      <c r="E305" s="3" t="s">
        <v>22</v>
      </c>
      <c r="F305" s="3"/>
      <c r="G305" s="3"/>
      <c r="H305" s="156" t="str">
        <f ca="1">IFERROR(
  _xludf.MINIFS(ATTENDANCE_LOG!$F:$F,
         ATTENDANCE_LOG!$A:$A, C305,
         ATTENDANCE_LOG!$B:$B, E305),
"")</f>
        <v/>
      </c>
      <c r="I305" s="156" t="str">
        <f t="shared" ca="1" si="266"/>
        <v/>
      </c>
      <c r="J305" s="3" t="str">
        <f>IFERROR(VLOOKUP(F305, LEVEL_HELPER!$A:$B, 2, 0), "")</f>
        <v/>
      </c>
      <c r="K305" s="3" t="str">
        <f>IFERROR(VLOOKUP(G305, LEVEL_HELPER!$A:$B, 2, 0), "")</f>
        <v/>
      </c>
      <c r="L305" s="157" t="s">
        <v>946</v>
      </c>
      <c r="M305" s="157" t="s">
        <v>922</v>
      </c>
      <c r="N305" s="3">
        <f t="array" aca="1" ref="N305" ca="1">IFERROR(
  INDEX($J$2:$J$543,
    MATCH(A305&amp;TEXT(I305,"yyyy-mm-dd"),
          $A$2:$A$543&amp;TEXT($H$2:$H$543,"yyyy-mm-dd"),
          0)),
"")</f>
        <v>1</v>
      </c>
      <c r="O305" s="147" t="str">
        <f t="shared" ca="1" si="267"/>
        <v/>
      </c>
      <c r="P305" s="147">
        <f t="shared" ref="P305:Q305" ca="1" si="321">IF(N305="",0,IF(N305&lt;=2,1,IF(N305&lt;=4,2,IF(N305&lt;=5.5,3,4))))</f>
        <v>1</v>
      </c>
      <c r="Q305" s="147">
        <f t="shared" ca="1" si="321"/>
        <v>0</v>
      </c>
      <c r="R305" s="147" t="str">
        <f t="shared" ca="1" si="269"/>
        <v>Not tested yet</v>
      </c>
      <c r="S305" s="147">
        <f t="shared" si="270"/>
        <v>0</v>
      </c>
      <c r="T305" s="147"/>
      <c r="U305" s="147"/>
      <c r="V305" s="148" t="e">
        <f ca="1"/>
        <v>#NAME?</v>
      </c>
      <c r="W305" s="147" t="e">
        <f t="shared" ca="1" si="271"/>
        <v>#NAME?</v>
      </c>
      <c r="X305" s="147" t="e">
        <f t="shared" ca="1" si="272"/>
        <v>#NAME?</v>
      </c>
      <c r="Y305" s="147" t="e">
        <f t="shared" ca="1" si="273"/>
        <v>#NAME?</v>
      </c>
      <c r="Z305" s="147"/>
      <c r="AA305" s="147"/>
      <c r="AB305" s="147"/>
      <c r="AC305" s="147"/>
      <c r="AD305" s="147"/>
      <c r="AE305" s="147"/>
      <c r="AF305" s="147"/>
      <c r="AG305" s="147"/>
      <c r="AH305" s="147"/>
      <c r="AI305" s="147"/>
      <c r="AJ305" s="147"/>
      <c r="AK305" s="147"/>
      <c r="AL305" s="147"/>
      <c r="AM305" s="151"/>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c r="BI305" s="147"/>
      <c r="BJ305" s="147"/>
      <c r="BK305" s="147"/>
      <c r="BL305" s="147"/>
      <c r="BM305" s="147"/>
      <c r="BN305" s="147"/>
      <c r="BO305" s="147"/>
      <c r="BP305" s="147"/>
      <c r="BQ305" s="147"/>
      <c r="BR305" s="147"/>
      <c r="BS305" s="147"/>
      <c r="BT305" s="147"/>
      <c r="BU305" s="147"/>
      <c r="BV305" s="147"/>
      <c r="BW305" s="147"/>
      <c r="BX305" s="147"/>
      <c r="BY305" s="147"/>
      <c r="BZ305" s="147"/>
      <c r="CA305" s="147"/>
      <c r="CB305" s="147"/>
      <c r="CC305" s="147"/>
      <c r="CD305" s="147"/>
      <c r="CE305" s="147"/>
      <c r="CF305" s="147"/>
      <c r="CG305" s="147"/>
      <c r="CH305" s="147"/>
      <c r="CI305" s="147"/>
      <c r="CJ305" s="147"/>
      <c r="CK305" s="147"/>
    </row>
    <row r="306" spans="1:89">
      <c r="A306" s="159" t="s">
        <v>147</v>
      </c>
      <c r="B306" s="3" t="s">
        <v>148</v>
      </c>
      <c r="C306" s="160" t="s">
        <v>77</v>
      </c>
      <c r="D306" s="160" t="s">
        <v>870</v>
      </c>
      <c r="E306" s="3" t="s">
        <v>23</v>
      </c>
      <c r="F306" s="3"/>
      <c r="G306" s="3"/>
      <c r="H306" s="156" t="str">
        <f ca="1">IFERROR(
  _xludf.MINIFS(ATTENDANCE_LOG!$F:$F,
         ATTENDANCE_LOG!$A:$A, C306,
         ATTENDANCE_LOG!$B:$B, E306),
"")</f>
        <v/>
      </c>
      <c r="I306" s="156" t="str">
        <f t="shared" ca="1" si="266"/>
        <v/>
      </c>
      <c r="J306" s="3" t="str">
        <f>IFERROR(VLOOKUP(F306, LEVEL_HELPER!$A:$B, 2, 0), "")</f>
        <v/>
      </c>
      <c r="K306" s="3" t="str">
        <f>IFERROR(VLOOKUP(G306, LEVEL_HELPER!$A:$B, 2, 0), "")</f>
        <v/>
      </c>
      <c r="L306" s="157" t="s">
        <v>930</v>
      </c>
      <c r="M306" s="157" t="s">
        <v>922</v>
      </c>
      <c r="N306" s="3">
        <f t="array" aca="1" ref="N306" ca="1">IFERROR(
  INDEX($J$2:$J$543,
    MATCH(A306&amp;TEXT(I306,"yyyy-mm-dd"),
          $A$2:$A$543&amp;TEXT($H$2:$H$543,"yyyy-mm-dd"),
          0)),
"")</f>
        <v>1</v>
      </c>
      <c r="O306" s="147" t="str">
        <f t="shared" ca="1" si="267"/>
        <v/>
      </c>
      <c r="P306" s="147">
        <f t="shared" ref="P306:Q306" ca="1" si="322">IF(N306="",0,IF(N306&lt;=2,1,IF(N306&lt;=4,2,IF(N306&lt;=5.5,3,4))))</f>
        <v>1</v>
      </c>
      <c r="Q306" s="147">
        <f t="shared" ca="1" si="322"/>
        <v>0</v>
      </c>
      <c r="R306" s="147" t="str">
        <f t="shared" ca="1" si="269"/>
        <v>Not tested yet</v>
      </c>
      <c r="S306" s="147">
        <f t="shared" si="270"/>
        <v>0</v>
      </c>
      <c r="T306" s="147"/>
      <c r="U306" s="147"/>
      <c r="V306" s="148" t="e">
        <f ca="1"/>
        <v>#NAME?</v>
      </c>
      <c r="W306" s="147"/>
      <c r="X306" s="147"/>
      <c r="Y306" s="147"/>
      <c r="Z306" s="147"/>
      <c r="AA306" s="147"/>
      <c r="AB306" s="147"/>
      <c r="AC306" s="147"/>
      <c r="AD306" s="147"/>
      <c r="AE306" s="147"/>
      <c r="AF306" s="147"/>
      <c r="AG306" s="147"/>
      <c r="AH306" s="147"/>
      <c r="AI306" s="147"/>
      <c r="AJ306" s="147"/>
      <c r="AK306" s="147"/>
      <c r="AL306" s="147"/>
      <c r="AM306" s="151"/>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c r="BI306" s="147"/>
      <c r="BJ306" s="147"/>
      <c r="BK306" s="147"/>
      <c r="BL306" s="147"/>
      <c r="BM306" s="147"/>
      <c r="BN306" s="147"/>
      <c r="BO306" s="147"/>
      <c r="BP306" s="147"/>
      <c r="BQ306" s="147"/>
      <c r="BR306" s="147"/>
      <c r="BS306" s="147"/>
      <c r="BT306" s="147"/>
      <c r="BU306" s="147"/>
      <c r="BV306" s="147"/>
      <c r="BW306" s="147"/>
      <c r="BX306" s="147"/>
      <c r="BY306" s="147"/>
      <c r="BZ306" s="147"/>
      <c r="CA306" s="147"/>
      <c r="CB306" s="147"/>
      <c r="CC306" s="147"/>
      <c r="CD306" s="147"/>
      <c r="CE306" s="147"/>
      <c r="CF306" s="147"/>
      <c r="CG306" s="147"/>
      <c r="CH306" s="147"/>
      <c r="CI306" s="147"/>
      <c r="CJ306" s="147"/>
      <c r="CK306" s="147"/>
    </row>
    <row r="307" spans="1:89">
      <c r="A307" s="159" t="s">
        <v>159</v>
      </c>
      <c r="B307" s="3" t="s">
        <v>160</v>
      </c>
      <c r="C307" s="160" t="s">
        <v>77</v>
      </c>
      <c r="D307" s="160" t="s">
        <v>870</v>
      </c>
      <c r="E307" s="3" t="s">
        <v>23</v>
      </c>
      <c r="F307" s="3"/>
      <c r="G307" s="3"/>
      <c r="H307" s="156" t="str">
        <f ca="1">IFERROR(
  _xludf.MINIFS(ATTENDANCE_LOG!$F:$F,
         ATTENDANCE_LOG!$A:$A, C307,
         ATTENDANCE_LOG!$B:$B, E307),
"")</f>
        <v/>
      </c>
      <c r="I307" s="156" t="str">
        <f t="shared" ca="1" si="266"/>
        <v/>
      </c>
      <c r="J307" s="3" t="str">
        <f>IFERROR(VLOOKUP(F307, LEVEL_HELPER!$A:$B, 2, 0), "")</f>
        <v/>
      </c>
      <c r="K307" s="3" t="str">
        <f>IFERROR(VLOOKUP(G307, LEVEL_HELPER!$A:$B, 2, 0), "")</f>
        <v/>
      </c>
      <c r="L307" s="157" t="s">
        <v>930</v>
      </c>
      <c r="M307" s="157" t="s">
        <v>922</v>
      </c>
      <c r="N307" s="3">
        <f t="array" aca="1" ref="N307" ca="1">IFERROR(
  INDEX($J$2:$J$543,
    MATCH(A307&amp;TEXT(I307,"yyyy-mm-dd"),
          $A$2:$A$543&amp;TEXT($H$2:$H$543,"yyyy-mm-dd"),
          0)),
"")</f>
        <v>1</v>
      </c>
      <c r="O307" s="147" t="str">
        <f t="shared" ca="1" si="267"/>
        <v/>
      </c>
      <c r="P307" s="147">
        <f t="shared" ref="P307:Q307" ca="1" si="323">IF(N307="",0,IF(N307&lt;=2,1,IF(N307&lt;=4,2,IF(N307&lt;=5.5,3,4))))</f>
        <v>1</v>
      </c>
      <c r="Q307" s="147">
        <f t="shared" ca="1" si="323"/>
        <v>0</v>
      </c>
      <c r="R307" s="147" t="str">
        <f t="shared" ca="1" si="269"/>
        <v>Not tested yet</v>
      </c>
      <c r="S307" s="147">
        <f t="shared" si="270"/>
        <v>0</v>
      </c>
      <c r="T307" s="147"/>
      <c r="U307" s="147"/>
      <c r="V307" s="147"/>
      <c r="W307" s="147"/>
      <c r="X307" s="147"/>
      <c r="Y307" s="147"/>
      <c r="Z307" s="147"/>
      <c r="AA307" s="147"/>
      <c r="AB307" s="147"/>
      <c r="AC307" s="147"/>
      <c r="AD307" s="147"/>
      <c r="AE307" s="147"/>
      <c r="AF307" s="147"/>
      <c r="AG307" s="147"/>
      <c r="AH307" s="147"/>
      <c r="AI307" s="147"/>
      <c r="AJ307" s="147"/>
      <c r="AK307" s="147"/>
      <c r="AL307" s="147"/>
      <c r="AM307" s="151"/>
      <c r="AN307" s="147"/>
      <c r="AO307" s="147"/>
      <c r="AP307" s="147"/>
      <c r="AQ307" s="147"/>
      <c r="AR307" s="147"/>
      <c r="AS307" s="147"/>
      <c r="AT307" s="147"/>
      <c r="AU307" s="147"/>
      <c r="AV307" s="147"/>
      <c r="AW307" s="147"/>
      <c r="AX307" s="147"/>
      <c r="AY307" s="147"/>
      <c r="AZ307" s="147"/>
      <c r="BA307" s="147"/>
      <c r="BB307" s="147"/>
      <c r="BC307" s="147"/>
      <c r="BD307" s="147"/>
      <c r="BE307" s="147"/>
      <c r="BF307" s="147"/>
      <c r="BG307" s="147"/>
      <c r="BH307" s="147"/>
      <c r="BI307" s="147"/>
      <c r="BJ307" s="147"/>
      <c r="BK307" s="147"/>
      <c r="BL307" s="147"/>
      <c r="BM307" s="147"/>
      <c r="BN307" s="147"/>
      <c r="BO307" s="147"/>
      <c r="BP307" s="147"/>
      <c r="BQ307" s="147"/>
      <c r="BR307" s="147"/>
      <c r="BS307" s="147"/>
      <c r="BT307" s="147"/>
      <c r="BU307" s="147"/>
      <c r="BV307" s="147"/>
      <c r="BW307" s="147"/>
      <c r="BX307" s="147"/>
      <c r="BY307" s="147"/>
      <c r="BZ307" s="147"/>
      <c r="CA307" s="147"/>
      <c r="CB307" s="147"/>
      <c r="CC307" s="147"/>
      <c r="CD307" s="147"/>
      <c r="CE307" s="147"/>
      <c r="CF307" s="147"/>
      <c r="CG307" s="147"/>
      <c r="CH307" s="147"/>
      <c r="CI307" s="147"/>
      <c r="CJ307" s="147"/>
      <c r="CK307" s="147"/>
    </row>
    <row r="308" spans="1:89">
      <c r="A308" s="159" t="s">
        <v>255</v>
      </c>
      <c r="B308" s="3" t="s">
        <v>256</v>
      </c>
      <c r="C308" s="160" t="s">
        <v>77</v>
      </c>
      <c r="D308" s="160" t="s">
        <v>870</v>
      </c>
      <c r="E308" s="3" t="s">
        <v>23</v>
      </c>
      <c r="F308" s="3"/>
      <c r="G308" s="3"/>
      <c r="H308" s="156" t="str">
        <f ca="1">IFERROR(
  _xludf.MINIFS(ATTENDANCE_LOG!$F:$F,
         ATTENDANCE_LOG!$A:$A, C308,
         ATTENDANCE_LOG!$B:$B, E308),
"")</f>
        <v/>
      </c>
      <c r="I308" s="156" t="str">
        <f t="shared" ca="1" si="266"/>
        <v/>
      </c>
      <c r="J308" s="3" t="str">
        <f>IFERROR(VLOOKUP(F308, LEVEL_HELPER!$A:$B, 2, 0), "")</f>
        <v/>
      </c>
      <c r="K308" s="3" t="str">
        <f>IFERROR(VLOOKUP(G308, LEVEL_HELPER!$A:$B, 2, 0), "")</f>
        <v/>
      </c>
      <c r="L308" s="157" t="s">
        <v>930</v>
      </c>
      <c r="M308" s="157" t="s">
        <v>922</v>
      </c>
      <c r="N308" s="3">
        <f t="array" aca="1" ref="N308" ca="1">IFERROR(
  INDEX($J$2:$J$543,
    MATCH(A308&amp;TEXT(I308,"yyyy-mm-dd"),
          $A$2:$A$543&amp;TEXT($H$2:$H$543,"yyyy-mm-dd"),
          0)),
"")</f>
        <v>1</v>
      </c>
      <c r="O308" s="147" t="str">
        <f t="shared" ca="1" si="267"/>
        <v/>
      </c>
      <c r="P308" s="147">
        <f t="shared" ref="P308:Q308" ca="1" si="324">IF(N308="",0,IF(N308&lt;=2,1,IF(N308&lt;=4,2,IF(N308&lt;=5.5,3,4))))</f>
        <v>1</v>
      </c>
      <c r="Q308" s="147">
        <f t="shared" ca="1" si="324"/>
        <v>0</v>
      </c>
      <c r="R308" s="147" t="str">
        <f t="shared" ca="1" si="269"/>
        <v>Not tested yet</v>
      </c>
      <c r="S308" s="147">
        <f t="shared" si="270"/>
        <v>0</v>
      </c>
      <c r="T308" s="147"/>
      <c r="U308" s="147"/>
      <c r="V308" s="147"/>
      <c r="W308" s="147"/>
      <c r="X308" s="147"/>
      <c r="Y308" s="147"/>
      <c r="Z308" s="147"/>
      <c r="AA308" s="147"/>
      <c r="AB308" s="147"/>
      <c r="AC308" s="147"/>
      <c r="AD308" s="147"/>
      <c r="AE308" s="147"/>
      <c r="AF308" s="147"/>
      <c r="AG308" s="147"/>
      <c r="AH308" s="147"/>
      <c r="AI308" s="147"/>
      <c r="AJ308" s="147"/>
      <c r="AK308" s="147"/>
      <c r="AL308" s="147"/>
      <c r="AM308" s="151"/>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c r="BI308" s="147"/>
      <c r="BJ308" s="147"/>
      <c r="BK308" s="147"/>
      <c r="BL308" s="147"/>
      <c r="BM308" s="147"/>
      <c r="BN308" s="147"/>
      <c r="BO308" s="147"/>
      <c r="BP308" s="147"/>
      <c r="BQ308" s="147"/>
      <c r="BR308" s="147"/>
      <c r="BS308" s="147"/>
      <c r="BT308" s="147"/>
      <c r="BU308" s="147"/>
      <c r="BV308" s="147"/>
      <c r="BW308" s="147"/>
      <c r="BX308" s="147"/>
      <c r="BY308" s="147"/>
      <c r="BZ308" s="147"/>
      <c r="CA308" s="147"/>
      <c r="CB308" s="147"/>
      <c r="CC308" s="147"/>
      <c r="CD308" s="147"/>
      <c r="CE308" s="147"/>
      <c r="CF308" s="147"/>
      <c r="CG308" s="147"/>
      <c r="CH308" s="147"/>
      <c r="CI308" s="147"/>
      <c r="CJ308" s="147"/>
      <c r="CK308" s="147"/>
    </row>
    <row r="309" spans="1:89">
      <c r="A309" s="159" t="s">
        <v>433</v>
      </c>
      <c r="B309" s="3" t="s">
        <v>432</v>
      </c>
      <c r="C309" s="160" t="s">
        <v>77</v>
      </c>
      <c r="D309" s="160" t="s">
        <v>870</v>
      </c>
      <c r="E309" s="3" t="s">
        <v>23</v>
      </c>
      <c r="F309" s="3"/>
      <c r="G309" s="3"/>
      <c r="H309" s="156" t="str">
        <f ca="1">IFERROR(
  _xludf.MINIFS(ATTENDANCE_LOG!$F:$F,
         ATTENDANCE_LOG!$A:$A, C309,
         ATTENDANCE_LOG!$B:$B, E309),
"")</f>
        <v/>
      </c>
      <c r="I309" s="156" t="str">
        <f t="shared" ca="1" si="266"/>
        <v/>
      </c>
      <c r="J309" s="3" t="str">
        <f>IFERROR(VLOOKUP(F309, LEVEL_HELPER!$A:$B, 2, 0), "")</f>
        <v/>
      </c>
      <c r="K309" s="3" t="str">
        <f>IFERROR(VLOOKUP(G309, LEVEL_HELPER!$A:$B, 2, 0), "")</f>
        <v/>
      </c>
      <c r="L309" s="157" t="s">
        <v>930</v>
      </c>
      <c r="M309" s="157" t="s">
        <v>922</v>
      </c>
      <c r="N309" s="3">
        <f t="array" aca="1" ref="N309" ca="1">IFERROR(
  INDEX($J$2:$J$543,
    MATCH(A309&amp;TEXT(I309,"yyyy-mm-dd"),
          $A$2:$A$543&amp;TEXT($H$2:$H$543,"yyyy-mm-dd"),
          0)),
"")</f>
        <v>2.5</v>
      </c>
      <c r="O309" s="147" t="str">
        <f t="shared" ca="1" si="267"/>
        <v/>
      </c>
      <c r="P309" s="147">
        <f t="shared" ref="P309:Q309" ca="1" si="325">IF(N309="",0,IF(N309&lt;=2,1,IF(N309&lt;=4,2,IF(N309&lt;=5.5,3,4))))</f>
        <v>2</v>
      </c>
      <c r="Q309" s="147">
        <f t="shared" ca="1" si="325"/>
        <v>0</v>
      </c>
      <c r="R309" s="147" t="str">
        <f t="shared" ca="1" si="269"/>
        <v>Not tested yet</v>
      </c>
      <c r="S309" s="147">
        <f t="shared" si="270"/>
        <v>0</v>
      </c>
      <c r="T309" s="147"/>
      <c r="U309" s="147"/>
      <c r="V309" s="147"/>
      <c r="W309" s="147"/>
      <c r="X309" s="147"/>
      <c r="Y309" s="147"/>
      <c r="Z309" s="147"/>
      <c r="AA309" s="147"/>
      <c r="AB309" s="147"/>
      <c r="AC309" s="147"/>
      <c r="AD309" s="147"/>
      <c r="AE309" s="147"/>
      <c r="AF309" s="147"/>
      <c r="AG309" s="147"/>
      <c r="AH309" s="147"/>
      <c r="AI309" s="147"/>
      <c r="AJ309" s="147"/>
      <c r="AK309" s="147"/>
      <c r="AL309" s="147"/>
      <c r="AM309" s="151"/>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c r="BI309" s="147"/>
      <c r="BJ309" s="147"/>
      <c r="BK309" s="147"/>
      <c r="BL309" s="147"/>
      <c r="BM309" s="147"/>
      <c r="BN309" s="147"/>
      <c r="BO309" s="147"/>
      <c r="BP309" s="147"/>
      <c r="BQ309" s="147"/>
      <c r="BR309" s="147"/>
      <c r="BS309" s="147"/>
      <c r="BT309" s="147"/>
      <c r="BU309" s="147"/>
      <c r="BV309" s="147"/>
      <c r="BW309" s="147"/>
      <c r="BX309" s="147"/>
      <c r="BY309" s="147"/>
      <c r="BZ309" s="147"/>
      <c r="CA309" s="147"/>
      <c r="CB309" s="147"/>
      <c r="CC309" s="147"/>
      <c r="CD309" s="147"/>
      <c r="CE309" s="147"/>
      <c r="CF309" s="147"/>
      <c r="CG309" s="147"/>
      <c r="CH309" s="147"/>
      <c r="CI309" s="147"/>
      <c r="CJ309" s="147"/>
      <c r="CK309" s="147"/>
    </row>
    <row r="310" spans="1:89">
      <c r="A310" s="159" t="s">
        <v>494</v>
      </c>
      <c r="B310" s="3" t="s">
        <v>495</v>
      </c>
      <c r="C310" s="160" t="s">
        <v>77</v>
      </c>
      <c r="D310" s="160" t="s">
        <v>870</v>
      </c>
      <c r="E310" s="3" t="s">
        <v>23</v>
      </c>
      <c r="F310" s="3"/>
      <c r="G310" s="3"/>
      <c r="H310" s="156" t="str">
        <f ca="1">IFERROR(
  _xludf.MINIFS(ATTENDANCE_LOG!$F:$F,
         ATTENDANCE_LOG!$A:$A, C310,
         ATTENDANCE_LOG!$B:$B, E310),
"")</f>
        <v/>
      </c>
      <c r="I310" s="156" t="str">
        <f t="shared" ca="1" si="266"/>
        <v/>
      </c>
      <c r="J310" s="3" t="str">
        <f>IFERROR(VLOOKUP(F310, LEVEL_HELPER!$A:$B, 2, 0), "")</f>
        <v/>
      </c>
      <c r="K310" s="3" t="str">
        <f>IFERROR(VLOOKUP(G310, LEVEL_HELPER!$A:$B, 2, 0), "")</f>
        <v/>
      </c>
      <c r="L310" s="157" t="s">
        <v>930</v>
      </c>
      <c r="M310" s="157" t="s">
        <v>922</v>
      </c>
      <c r="N310" s="3">
        <f t="array" aca="1" ref="N310" ca="1">IFERROR(
  INDEX($J$2:$J$543,
    MATCH(A310&amp;TEXT(I310,"yyyy-mm-dd"),
          $A$2:$A$543&amp;TEXT($H$2:$H$543,"yyyy-mm-dd"),
          0)),
"")</f>
        <v>1</v>
      </c>
      <c r="O310" s="147" t="str">
        <f t="shared" ca="1" si="267"/>
        <v/>
      </c>
      <c r="P310" s="147">
        <f t="shared" ref="P310:Q310" ca="1" si="326">IF(N310="",0,IF(N310&lt;=2,1,IF(N310&lt;=4,2,IF(N310&lt;=5.5,3,4))))</f>
        <v>1</v>
      </c>
      <c r="Q310" s="147">
        <f t="shared" ca="1" si="326"/>
        <v>0</v>
      </c>
      <c r="R310" s="147" t="str">
        <f t="shared" ca="1" si="269"/>
        <v>Not tested yet</v>
      </c>
      <c r="S310" s="147">
        <f t="shared" si="270"/>
        <v>0</v>
      </c>
      <c r="T310" s="147"/>
      <c r="U310" s="147"/>
      <c r="V310" s="147"/>
      <c r="W310" s="147"/>
      <c r="X310" s="147"/>
      <c r="Y310" s="147"/>
      <c r="Z310" s="147"/>
      <c r="AA310" s="147"/>
      <c r="AB310" s="147"/>
      <c r="AC310" s="147"/>
      <c r="AD310" s="147"/>
      <c r="AE310" s="147"/>
      <c r="AF310" s="147"/>
      <c r="AG310" s="147"/>
      <c r="AH310" s="147"/>
      <c r="AI310" s="147"/>
      <c r="AJ310" s="147"/>
      <c r="AK310" s="147"/>
      <c r="AL310" s="147"/>
      <c r="AM310" s="151"/>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c r="BI310" s="147"/>
      <c r="BJ310" s="147"/>
      <c r="BK310" s="147"/>
      <c r="BL310" s="147"/>
      <c r="BM310" s="147"/>
      <c r="BN310" s="147"/>
      <c r="BO310" s="147"/>
      <c r="BP310" s="147"/>
      <c r="BQ310" s="147"/>
      <c r="BR310" s="147"/>
      <c r="BS310" s="147"/>
      <c r="BT310" s="147"/>
      <c r="BU310" s="147"/>
      <c r="BV310" s="147"/>
      <c r="BW310" s="147"/>
      <c r="BX310" s="147"/>
      <c r="BY310" s="147"/>
      <c r="BZ310" s="147"/>
      <c r="CA310" s="147"/>
      <c r="CB310" s="147"/>
      <c r="CC310" s="147"/>
      <c r="CD310" s="147"/>
      <c r="CE310" s="147"/>
      <c r="CF310" s="147"/>
      <c r="CG310" s="147"/>
      <c r="CH310" s="147"/>
      <c r="CI310" s="147"/>
      <c r="CJ310" s="147"/>
      <c r="CK310" s="147"/>
    </row>
    <row r="311" spans="1:89">
      <c r="A311" s="159" t="s">
        <v>498</v>
      </c>
      <c r="B311" s="3" t="s">
        <v>499</v>
      </c>
      <c r="C311" s="160" t="s">
        <v>77</v>
      </c>
      <c r="D311" s="160" t="s">
        <v>870</v>
      </c>
      <c r="E311" s="3" t="s">
        <v>23</v>
      </c>
      <c r="F311" s="3"/>
      <c r="G311" s="3"/>
      <c r="H311" s="156" t="str">
        <f ca="1">IFERROR(
  _xludf.MINIFS(ATTENDANCE_LOG!$F:$F,
         ATTENDANCE_LOG!$A:$A, C311,
         ATTENDANCE_LOG!$B:$B, E311),
"")</f>
        <v/>
      </c>
      <c r="I311" s="156" t="str">
        <f t="shared" ca="1" si="266"/>
        <v/>
      </c>
      <c r="J311" s="3" t="str">
        <f>IFERROR(VLOOKUP(F311, LEVEL_HELPER!$A:$B, 2, 0), "")</f>
        <v/>
      </c>
      <c r="K311" s="3" t="str">
        <f>IFERROR(VLOOKUP(G311, LEVEL_HELPER!$A:$B, 2, 0), "")</f>
        <v/>
      </c>
      <c r="L311" s="157" t="s">
        <v>930</v>
      </c>
      <c r="M311" s="157" t="s">
        <v>922</v>
      </c>
      <c r="N311" s="3">
        <f t="array" aca="1" ref="N311" ca="1">IFERROR(
  INDEX($J$2:$J$543,
    MATCH(A311&amp;TEXT(I311,"yyyy-mm-dd"),
          $A$2:$A$543&amp;TEXT($H$2:$H$543,"yyyy-mm-dd"),
          0)),
"")</f>
        <v>1</v>
      </c>
      <c r="O311" s="147" t="str">
        <f t="shared" ca="1" si="267"/>
        <v/>
      </c>
      <c r="P311" s="147">
        <f t="shared" ref="P311:Q311" ca="1" si="327">IF(N311="",0,IF(N311&lt;=2,1,IF(N311&lt;=4,2,IF(N311&lt;=5.5,3,4))))</f>
        <v>1</v>
      </c>
      <c r="Q311" s="147">
        <f t="shared" ca="1" si="327"/>
        <v>0</v>
      </c>
      <c r="R311" s="147" t="str">
        <f t="shared" ca="1" si="269"/>
        <v>Not tested yet</v>
      </c>
      <c r="S311" s="147">
        <f t="shared" si="270"/>
        <v>0</v>
      </c>
      <c r="T311" s="147"/>
      <c r="U311" s="147"/>
      <c r="V311" s="147"/>
      <c r="W311" s="147"/>
      <c r="X311" s="147"/>
      <c r="Y311" s="147"/>
      <c r="Z311" s="147"/>
      <c r="AA311" s="147"/>
      <c r="AB311" s="147"/>
      <c r="AC311" s="147"/>
      <c r="AD311" s="147"/>
      <c r="AE311" s="147"/>
      <c r="AF311" s="147"/>
      <c r="AG311" s="147"/>
      <c r="AH311" s="147"/>
      <c r="AI311" s="147"/>
      <c r="AJ311" s="147"/>
      <c r="AK311" s="147"/>
      <c r="AL311" s="147"/>
      <c r="AM311" s="151"/>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c r="BI311" s="147"/>
      <c r="BJ311" s="147"/>
      <c r="BK311" s="147"/>
      <c r="BL311" s="147"/>
      <c r="BM311" s="147"/>
      <c r="BN311" s="147"/>
      <c r="BO311" s="147"/>
      <c r="BP311" s="147"/>
      <c r="BQ311" s="147"/>
      <c r="BR311" s="147"/>
      <c r="BS311" s="147"/>
      <c r="BT311" s="147"/>
      <c r="BU311" s="147"/>
      <c r="BV311" s="147"/>
      <c r="BW311" s="147"/>
      <c r="BX311" s="147"/>
      <c r="BY311" s="147"/>
      <c r="BZ311" s="147"/>
      <c r="CA311" s="147"/>
      <c r="CB311" s="147"/>
      <c r="CC311" s="147"/>
      <c r="CD311" s="147"/>
      <c r="CE311" s="147"/>
      <c r="CF311" s="147"/>
      <c r="CG311" s="147"/>
      <c r="CH311" s="147"/>
      <c r="CI311" s="147"/>
      <c r="CJ311" s="147"/>
      <c r="CK311" s="147"/>
    </row>
    <row r="312" spans="1:89">
      <c r="A312" s="159" t="s">
        <v>566</v>
      </c>
      <c r="B312" s="3" t="s">
        <v>567</v>
      </c>
      <c r="C312" s="160" t="s">
        <v>77</v>
      </c>
      <c r="D312" s="160" t="s">
        <v>870</v>
      </c>
      <c r="E312" s="3" t="s">
        <v>23</v>
      </c>
      <c r="F312" s="3"/>
      <c r="G312" s="3"/>
      <c r="H312" s="156" t="str">
        <f ca="1">IFERROR(
  _xludf.MINIFS(ATTENDANCE_LOG!$F:$F,
         ATTENDANCE_LOG!$A:$A, C312,
         ATTENDANCE_LOG!$B:$B, E312),
"")</f>
        <v/>
      </c>
      <c r="I312" s="156" t="str">
        <f t="shared" ca="1" si="266"/>
        <v/>
      </c>
      <c r="J312" s="3" t="str">
        <f>IFERROR(VLOOKUP(F312, LEVEL_HELPER!$A:$B, 2, 0), "")</f>
        <v/>
      </c>
      <c r="K312" s="3" t="str">
        <f>IFERROR(VLOOKUP(G312, LEVEL_HELPER!$A:$B, 2, 0), "")</f>
        <v/>
      </c>
      <c r="L312" s="157" t="s">
        <v>946</v>
      </c>
      <c r="M312" s="157" t="s">
        <v>922</v>
      </c>
      <c r="N312" s="3">
        <f t="array" aca="1" ref="N312" ca="1">IFERROR(
  INDEX($J$2:$J$543,
    MATCH(A312&amp;TEXT(I312,"yyyy-mm-dd"),
          $A$2:$A$543&amp;TEXT($H$2:$H$543,"yyyy-mm-dd"),
          0)),
"")</f>
        <v>1</v>
      </c>
      <c r="O312" s="147" t="str">
        <f t="shared" ca="1" si="267"/>
        <v/>
      </c>
      <c r="P312" s="147">
        <f t="shared" ref="P312:Q312" ca="1" si="328">IF(N312="",0,IF(N312&lt;=2,1,IF(N312&lt;=4,2,IF(N312&lt;=5.5,3,4))))</f>
        <v>1</v>
      </c>
      <c r="Q312" s="147">
        <f t="shared" ca="1" si="328"/>
        <v>0</v>
      </c>
      <c r="R312" s="147" t="str">
        <f t="shared" ca="1" si="269"/>
        <v>Not tested yet</v>
      </c>
      <c r="S312" s="147">
        <f t="shared" si="270"/>
        <v>0</v>
      </c>
      <c r="T312" s="147"/>
      <c r="U312" s="147"/>
      <c r="V312" s="147"/>
      <c r="W312" s="147"/>
      <c r="X312" s="147"/>
      <c r="Y312" s="147"/>
      <c r="Z312" s="147"/>
      <c r="AA312" s="147"/>
      <c r="AB312" s="147"/>
      <c r="AC312" s="147"/>
      <c r="AD312" s="147"/>
      <c r="AE312" s="147"/>
      <c r="AF312" s="147"/>
      <c r="AG312" s="147"/>
      <c r="AH312" s="147"/>
      <c r="AI312" s="147"/>
      <c r="AJ312" s="147"/>
      <c r="AK312" s="147"/>
      <c r="AL312" s="147"/>
      <c r="AM312" s="151"/>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c r="BI312" s="147"/>
      <c r="BJ312" s="147"/>
      <c r="BK312" s="147"/>
      <c r="BL312" s="147"/>
      <c r="BM312" s="147"/>
      <c r="BN312" s="147"/>
      <c r="BO312" s="147"/>
      <c r="BP312" s="147"/>
      <c r="BQ312" s="147"/>
      <c r="BR312" s="147"/>
      <c r="BS312" s="147"/>
      <c r="BT312" s="147"/>
      <c r="BU312" s="147"/>
      <c r="BV312" s="147"/>
      <c r="BW312" s="147"/>
      <c r="BX312" s="147"/>
      <c r="BY312" s="147"/>
      <c r="BZ312" s="147"/>
      <c r="CA312" s="147"/>
      <c r="CB312" s="147"/>
      <c r="CC312" s="147"/>
      <c r="CD312" s="147"/>
      <c r="CE312" s="147"/>
      <c r="CF312" s="147"/>
      <c r="CG312" s="147"/>
      <c r="CH312" s="147"/>
      <c r="CI312" s="147"/>
      <c r="CJ312" s="147"/>
      <c r="CK312" s="147"/>
    </row>
    <row r="313" spans="1:89">
      <c r="A313" s="159" t="s">
        <v>261</v>
      </c>
      <c r="B313" s="154" t="s">
        <v>262</v>
      </c>
      <c r="C313" s="155" t="s">
        <v>78</v>
      </c>
      <c r="D313" s="155" t="s">
        <v>871</v>
      </c>
      <c r="E313" s="154" t="s">
        <v>21</v>
      </c>
      <c r="F313" s="3" t="s">
        <v>931</v>
      </c>
      <c r="G313" s="3"/>
      <c r="H313" s="156" t="str">
        <f ca="1">IFERROR(
  _xludf.MINIFS(ATTENDANCE_LOG!$F:$F,
         ATTENDANCE_LOG!$A:$A, C313,
         ATTENDANCE_LOG!$B:$B, E313),
"")</f>
        <v/>
      </c>
      <c r="I313" s="156" t="str">
        <f t="shared" ca="1" si="266"/>
        <v/>
      </c>
      <c r="J313" s="3">
        <f>IFERROR(VLOOKUP(F313, LEVEL_HELPER!$A:$B, 2, 0), "")</f>
        <v>4.5</v>
      </c>
      <c r="K313" s="3" t="str">
        <f>IFERROR(VLOOKUP(G313, LEVEL_HELPER!$A:$B, 2, 0), "")</f>
        <v/>
      </c>
      <c r="L313" s="157" t="s">
        <v>954</v>
      </c>
      <c r="M313" s="157" t="s">
        <v>921</v>
      </c>
      <c r="N313" s="3">
        <f t="array" aca="1" ref="N313" ca="1">IFERROR(
  INDEX($J$2:$J$543,
    MATCH(A313&amp;TEXT(I313,"yyyy-mm-dd"),
          $A$2:$A$543&amp;TEXT($H$2:$H$543,"yyyy-mm-dd"),
          0)),
"")</f>
        <v>4.5</v>
      </c>
      <c r="O313" s="147" t="str">
        <f t="shared" ca="1" si="267"/>
        <v/>
      </c>
      <c r="P313" s="147">
        <f t="shared" ref="P313:Q313" ca="1" si="329">IF(N313="",0,IF(N313&lt;=2,1,IF(N313&lt;=4,2,IF(N313&lt;=5.5,3,4))))</f>
        <v>3</v>
      </c>
      <c r="Q313" s="147">
        <f t="shared" ca="1" si="329"/>
        <v>0</v>
      </c>
      <c r="R313" s="147" t="str">
        <f t="shared" ca="1" si="269"/>
        <v>Not tested yet</v>
      </c>
      <c r="S313" s="147">
        <f t="shared" si="270"/>
        <v>1</v>
      </c>
      <c r="T313" s="147"/>
      <c r="U313" s="147"/>
      <c r="V313" s="147"/>
      <c r="W313" s="147"/>
      <c r="X313" s="147"/>
      <c r="Y313" s="147"/>
      <c r="Z313" s="147"/>
      <c r="AA313" s="147"/>
      <c r="AB313" s="147"/>
      <c r="AC313" s="147"/>
      <c r="AD313" s="147"/>
      <c r="AE313" s="147"/>
      <c r="AF313" s="147"/>
      <c r="AG313" s="147"/>
      <c r="AH313" s="147"/>
      <c r="AI313" s="147"/>
      <c r="AJ313" s="147"/>
      <c r="AK313" s="147"/>
      <c r="AL313" s="147"/>
      <c r="AM313" s="151"/>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c r="BI313" s="147"/>
      <c r="BJ313" s="147"/>
      <c r="BK313" s="147"/>
      <c r="BL313" s="147"/>
      <c r="BM313" s="147"/>
      <c r="BN313" s="147"/>
      <c r="BO313" s="147"/>
      <c r="BP313" s="147"/>
      <c r="BQ313" s="147"/>
      <c r="BR313" s="147"/>
      <c r="BS313" s="147"/>
      <c r="BT313" s="147"/>
      <c r="BU313" s="147"/>
      <c r="BV313" s="147"/>
      <c r="BW313" s="147"/>
      <c r="BX313" s="147"/>
      <c r="BY313" s="147"/>
      <c r="BZ313" s="147"/>
      <c r="CA313" s="147"/>
      <c r="CB313" s="147"/>
      <c r="CC313" s="147"/>
      <c r="CD313" s="147"/>
      <c r="CE313" s="147"/>
      <c r="CF313" s="147"/>
      <c r="CG313" s="147"/>
      <c r="CH313" s="147"/>
      <c r="CI313" s="147"/>
      <c r="CJ313" s="147"/>
      <c r="CK313" s="147"/>
    </row>
    <row r="314" spans="1:89">
      <c r="A314" s="159" t="s">
        <v>182</v>
      </c>
      <c r="B314" s="3" t="s">
        <v>183</v>
      </c>
      <c r="C314" s="160" t="s">
        <v>78</v>
      </c>
      <c r="D314" s="160" t="s">
        <v>871</v>
      </c>
      <c r="E314" s="3" t="s">
        <v>21</v>
      </c>
      <c r="F314" s="3" t="s">
        <v>926</v>
      </c>
      <c r="G314" s="3" t="s">
        <v>926</v>
      </c>
      <c r="H314" s="156" t="str">
        <f ca="1">IFERROR(
  _xludf.MINIFS(ATTENDANCE_LOG!$F:$F,
         ATTENDANCE_LOG!$A:$A, C314,
         ATTENDANCE_LOG!$B:$B, E314),
"")</f>
        <v/>
      </c>
      <c r="I314" s="156" t="str">
        <f t="shared" ca="1" si="266"/>
        <v/>
      </c>
      <c r="J314" s="3">
        <f>IFERROR(VLOOKUP(F314, LEVEL_HELPER!$A:$B, 2, 0), "")</f>
        <v>1</v>
      </c>
      <c r="K314" s="3">
        <f>IFERROR(VLOOKUP(G314, LEVEL_HELPER!$A:$B, 2, 0), "")</f>
        <v>1</v>
      </c>
      <c r="L314" s="157" t="s">
        <v>918</v>
      </c>
      <c r="M314" s="157" t="s">
        <v>921</v>
      </c>
      <c r="N314" s="3">
        <f t="array" aca="1" ref="N314" ca="1">IFERROR(
  INDEX($J$2:$J$543,
    MATCH(A314&amp;TEXT(I314,"yyyy-mm-dd"),
          $A$2:$A$543&amp;TEXT($H$2:$H$543,"yyyy-mm-dd"),
          0)),
"")</f>
        <v>1</v>
      </c>
      <c r="O314" s="147" t="str">
        <f t="shared" ca="1" si="267"/>
        <v/>
      </c>
      <c r="P314" s="147">
        <f t="shared" ref="P314:Q314" ca="1" si="330">IF(N314="",0,IF(N314&lt;=2,1,IF(N314&lt;=4,2,IF(N314&lt;=5.5,3,4))))</f>
        <v>1</v>
      </c>
      <c r="Q314" s="147">
        <f t="shared" ca="1" si="330"/>
        <v>0</v>
      </c>
      <c r="R314" s="147" t="str">
        <f t="shared" ca="1" si="269"/>
        <v>Not tested yet</v>
      </c>
      <c r="S314" s="147">
        <f t="shared" si="270"/>
        <v>1</v>
      </c>
      <c r="T314" s="147"/>
      <c r="U314" s="147"/>
      <c r="V314" s="147"/>
      <c r="W314" s="147"/>
      <c r="X314" s="147"/>
      <c r="Y314" s="147"/>
      <c r="Z314" s="147"/>
      <c r="AA314" s="147"/>
      <c r="AB314" s="147"/>
      <c r="AC314" s="147"/>
      <c r="AD314" s="147"/>
      <c r="AE314" s="147"/>
      <c r="AF314" s="147"/>
      <c r="AG314" s="147"/>
      <c r="AH314" s="147"/>
      <c r="AI314" s="147"/>
      <c r="AJ314" s="147"/>
      <c r="AK314" s="147"/>
      <c r="AL314" s="147"/>
      <c r="AM314" s="151"/>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c r="BI314" s="147"/>
      <c r="BJ314" s="147"/>
      <c r="BK314" s="147"/>
      <c r="BL314" s="147"/>
      <c r="BM314" s="147"/>
      <c r="BN314" s="147"/>
      <c r="BO314" s="147"/>
      <c r="BP314" s="147"/>
      <c r="BQ314" s="147"/>
      <c r="BR314" s="147"/>
      <c r="BS314" s="147"/>
      <c r="BT314" s="147"/>
      <c r="BU314" s="147"/>
      <c r="BV314" s="147"/>
      <c r="BW314" s="147"/>
      <c r="BX314" s="147"/>
      <c r="BY314" s="147"/>
      <c r="BZ314" s="147"/>
      <c r="CA314" s="147"/>
      <c r="CB314" s="147"/>
      <c r="CC314" s="147"/>
      <c r="CD314" s="147"/>
      <c r="CE314" s="147"/>
      <c r="CF314" s="147"/>
      <c r="CG314" s="147"/>
      <c r="CH314" s="147"/>
      <c r="CI314" s="147"/>
      <c r="CJ314" s="147"/>
      <c r="CK314" s="147"/>
    </row>
    <row r="315" spans="1:89">
      <c r="A315" s="159" t="s">
        <v>259</v>
      </c>
      <c r="B315" s="3" t="s">
        <v>260</v>
      </c>
      <c r="C315" s="160" t="s">
        <v>78</v>
      </c>
      <c r="D315" s="160" t="s">
        <v>871</v>
      </c>
      <c r="E315" s="3" t="s">
        <v>21</v>
      </c>
      <c r="F315" s="3" t="s">
        <v>926</v>
      </c>
      <c r="G315" s="3" t="s">
        <v>926</v>
      </c>
      <c r="H315" s="156" t="str">
        <f ca="1">IFERROR(
  _xludf.MINIFS(ATTENDANCE_LOG!$F:$F,
         ATTENDANCE_LOG!$A:$A, C315,
         ATTENDANCE_LOG!$B:$B, E315),
"")</f>
        <v/>
      </c>
      <c r="I315" s="156" t="str">
        <f t="shared" ca="1" si="266"/>
        <v/>
      </c>
      <c r="J315" s="3">
        <f>IFERROR(VLOOKUP(F315, LEVEL_HELPER!$A:$B, 2, 0), "")</f>
        <v>1</v>
      </c>
      <c r="K315" s="3">
        <f>IFERROR(VLOOKUP(G315, LEVEL_HELPER!$A:$B, 2, 0), "")</f>
        <v>1</v>
      </c>
      <c r="L315" s="157" t="s">
        <v>944</v>
      </c>
      <c r="M315" s="157" t="s">
        <v>921</v>
      </c>
      <c r="N315" s="3">
        <f t="array" aca="1" ref="N315" ca="1">IFERROR(
  INDEX($J$2:$J$543,
    MATCH(A315&amp;TEXT(I315,"yyyy-mm-dd"),
          $A$2:$A$543&amp;TEXT($H$2:$H$543,"yyyy-mm-dd"),
          0)),
"")</f>
        <v>1</v>
      </c>
      <c r="O315" s="147" t="str">
        <f t="shared" ca="1" si="267"/>
        <v/>
      </c>
      <c r="P315" s="147">
        <f t="shared" ref="P315:Q315" ca="1" si="331">IF(N315="",0,IF(N315&lt;=2,1,IF(N315&lt;=4,2,IF(N315&lt;=5.5,3,4))))</f>
        <v>1</v>
      </c>
      <c r="Q315" s="147">
        <f t="shared" ca="1" si="331"/>
        <v>0</v>
      </c>
      <c r="R315" s="147" t="str">
        <f t="shared" ca="1" si="269"/>
        <v>Not tested yet</v>
      </c>
      <c r="S315" s="147">
        <f t="shared" si="270"/>
        <v>1</v>
      </c>
      <c r="T315" s="147"/>
      <c r="U315" s="147"/>
      <c r="V315" s="147"/>
      <c r="W315" s="147"/>
      <c r="X315" s="147"/>
      <c r="Y315" s="147"/>
      <c r="Z315" s="147"/>
      <c r="AA315" s="147"/>
      <c r="AB315" s="147"/>
      <c r="AC315" s="147"/>
      <c r="AD315" s="147"/>
      <c r="AE315" s="147"/>
      <c r="AF315" s="147"/>
      <c r="AG315" s="147"/>
      <c r="AH315" s="147"/>
      <c r="AI315" s="147"/>
      <c r="AJ315" s="147"/>
      <c r="AK315" s="147"/>
      <c r="AL315" s="147"/>
      <c r="AM315" s="151"/>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c r="BI315" s="147"/>
      <c r="BJ315" s="147"/>
      <c r="BK315" s="147"/>
      <c r="BL315" s="147"/>
      <c r="BM315" s="147"/>
      <c r="BN315" s="147"/>
      <c r="BO315" s="147"/>
      <c r="BP315" s="147"/>
      <c r="BQ315" s="147"/>
      <c r="BR315" s="147"/>
      <c r="BS315" s="147"/>
      <c r="BT315" s="147"/>
      <c r="BU315" s="147"/>
      <c r="BV315" s="147"/>
      <c r="BW315" s="147"/>
      <c r="BX315" s="147"/>
      <c r="BY315" s="147"/>
      <c r="BZ315" s="147"/>
      <c r="CA315" s="147"/>
      <c r="CB315" s="147"/>
      <c r="CC315" s="147"/>
      <c r="CD315" s="147"/>
      <c r="CE315" s="147"/>
      <c r="CF315" s="147"/>
      <c r="CG315" s="147"/>
      <c r="CH315" s="147"/>
      <c r="CI315" s="147"/>
      <c r="CJ315" s="147"/>
      <c r="CK315" s="147"/>
    </row>
    <row r="316" spans="1:89">
      <c r="A316" s="159" t="s">
        <v>423</v>
      </c>
      <c r="B316" s="3" t="s">
        <v>424</v>
      </c>
      <c r="C316" s="160" t="s">
        <v>78</v>
      </c>
      <c r="D316" s="160" t="s">
        <v>871</v>
      </c>
      <c r="E316" s="3" t="s">
        <v>21</v>
      </c>
      <c r="F316" s="3" t="s">
        <v>926</v>
      </c>
      <c r="G316" s="3" t="s">
        <v>917</v>
      </c>
      <c r="H316" s="156" t="str">
        <f ca="1">IFERROR(
  _xludf.MINIFS(ATTENDANCE_LOG!$F:$F,
         ATTENDANCE_LOG!$A:$A, C316,
         ATTENDANCE_LOG!$B:$B, E316),
"")</f>
        <v/>
      </c>
      <c r="I316" s="156" t="str">
        <f t="shared" ca="1" si="266"/>
        <v/>
      </c>
      <c r="J316" s="3">
        <f>IFERROR(VLOOKUP(F316, LEVEL_HELPER!$A:$B, 2, 0), "")</f>
        <v>1</v>
      </c>
      <c r="K316" s="3">
        <f>IFERROR(VLOOKUP(G316, LEVEL_HELPER!$A:$B, 2, 0), "")</f>
        <v>3</v>
      </c>
      <c r="L316" s="157" t="s">
        <v>942</v>
      </c>
      <c r="M316" s="157" t="s">
        <v>921</v>
      </c>
      <c r="N316" s="3">
        <f t="array" aca="1" ref="N316" ca="1">IFERROR(
  INDEX($J$2:$J$543,
    MATCH(A316&amp;TEXT(I316,"yyyy-mm-dd"),
          $A$2:$A$543&amp;TEXT($H$2:$H$543,"yyyy-mm-dd"),
          0)),
"")</f>
        <v>1</v>
      </c>
      <c r="O316" s="147" t="str">
        <f t="shared" ca="1" si="267"/>
        <v/>
      </c>
      <c r="P316" s="147">
        <f t="shared" ref="P316:Q316" ca="1" si="332">IF(N316="",0,IF(N316&lt;=2,1,IF(N316&lt;=4,2,IF(N316&lt;=5.5,3,4))))</f>
        <v>1</v>
      </c>
      <c r="Q316" s="147">
        <f t="shared" ca="1" si="332"/>
        <v>0</v>
      </c>
      <c r="R316" s="147" t="str">
        <f t="shared" ca="1" si="269"/>
        <v>Not tested yet</v>
      </c>
      <c r="S316" s="147">
        <f t="shared" si="270"/>
        <v>1</v>
      </c>
      <c r="T316" s="147"/>
      <c r="U316" s="147"/>
      <c r="V316" s="147"/>
      <c r="W316" s="147"/>
      <c r="X316" s="147"/>
      <c r="Y316" s="147"/>
      <c r="Z316" s="147"/>
      <c r="AA316" s="147"/>
      <c r="AB316" s="147"/>
      <c r="AC316" s="147"/>
      <c r="AD316" s="147"/>
      <c r="AE316" s="147"/>
      <c r="AF316" s="147"/>
      <c r="AG316" s="147"/>
      <c r="AH316" s="147"/>
      <c r="AI316" s="147"/>
      <c r="AJ316" s="147"/>
      <c r="AK316" s="147"/>
      <c r="AL316" s="147"/>
      <c r="AM316" s="151"/>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c r="BI316" s="147"/>
      <c r="BJ316" s="147"/>
      <c r="BK316" s="147"/>
      <c r="BL316" s="147"/>
      <c r="BM316" s="147"/>
      <c r="BN316" s="147"/>
      <c r="BO316" s="147"/>
      <c r="BP316" s="147"/>
      <c r="BQ316" s="147"/>
      <c r="BR316" s="147"/>
      <c r="BS316" s="147"/>
      <c r="BT316" s="147"/>
      <c r="BU316" s="147"/>
      <c r="BV316" s="147"/>
      <c r="BW316" s="147"/>
      <c r="BX316" s="147"/>
      <c r="BY316" s="147"/>
      <c r="BZ316" s="147"/>
      <c r="CA316" s="147"/>
      <c r="CB316" s="147"/>
      <c r="CC316" s="147"/>
      <c r="CD316" s="147"/>
      <c r="CE316" s="147"/>
      <c r="CF316" s="147"/>
      <c r="CG316" s="147"/>
      <c r="CH316" s="147"/>
      <c r="CI316" s="147"/>
      <c r="CJ316" s="147"/>
      <c r="CK316" s="147"/>
    </row>
    <row r="317" spans="1:89">
      <c r="A317" s="159" t="s">
        <v>711</v>
      </c>
      <c r="B317" s="3" t="s">
        <v>712</v>
      </c>
      <c r="C317" s="160" t="s">
        <v>78</v>
      </c>
      <c r="D317" s="160" t="s">
        <v>871</v>
      </c>
      <c r="E317" s="3" t="s">
        <v>21</v>
      </c>
      <c r="F317" s="3" t="s">
        <v>916</v>
      </c>
      <c r="G317" s="3" t="s">
        <v>931</v>
      </c>
      <c r="H317" s="156" t="str">
        <f ca="1">IFERROR(
  _xludf.MINIFS(ATTENDANCE_LOG!$F:$F,
         ATTENDANCE_LOG!$A:$A, C317,
         ATTENDANCE_LOG!$B:$B, E317),
"")</f>
        <v/>
      </c>
      <c r="I317" s="156" t="str">
        <f t="shared" ca="1" si="266"/>
        <v/>
      </c>
      <c r="J317" s="3">
        <f>IFERROR(VLOOKUP(F317, LEVEL_HELPER!$A:$B, 2, 0), "")</f>
        <v>2.5</v>
      </c>
      <c r="K317" s="3">
        <f>IFERROR(VLOOKUP(G317, LEVEL_HELPER!$A:$B, 2, 0), "")</f>
        <v>4.5</v>
      </c>
      <c r="L317" s="157" t="s">
        <v>955</v>
      </c>
      <c r="M317" s="157" t="s">
        <v>921</v>
      </c>
      <c r="N317" s="3">
        <f t="array" aca="1" ref="N317" ca="1">IFERROR(
  INDEX($J$2:$J$543,
    MATCH(A317&amp;TEXT(I317,"yyyy-mm-dd"),
          $A$2:$A$543&amp;TEXT($H$2:$H$543,"yyyy-mm-dd"),
          0)),
"")</f>
        <v>2.5</v>
      </c>
      <c r="O317" s="147" t="str">
        <f t="shared" ca="1" si="267"/>
        <v/>
      </c>
      <c r="P317" s="147">
        <f t="shared" ref="P317:Q317" ca="1" si="333">IF(N317="",0,IF(N317&lt;=2,1,IF(N317&lt;=4,2,IF(N317&lt;=5.5,3,4))))</f>
        <v>2</v>
      </c>
      <c r="Q317" s="147">
        <f t="shared" ca="1" si="333"/>
        <v>0</v>
      </c>
      <c r="R317" s="147" t="str">
        <f t="shared" ca="1" si="269"/>
        <v>Not tested yet</v>
      </c>
      <c r="S317" s="147">
        <f t="shared" si="270"/>
        <v>1</v>
      </c>
      <c r="T317" s="147"/>
      <c r="U317" s="147"/>
      <c r="V317" s="147"/>
      <c r="W317" s="147"/>
      <c r="X317" s="147"/>
      <c r="Y317" s="147"/>
      <c r="Z317" s="147"/>
      <c r="AA317" s="147"/>
      <c r="AB317" s="147"/>
      <c r="AC317" s="147"/>
      <c r="AD317" s="147"/>
      <c r="AE317" s="147"/>
      <c r="AF317" s="147"/>
      <c r="AG317" s="147"/>
      <c r="AH317" s="147"/>
      <c r="AI317" s="147"/>
      <c r="AJ317" s="147"/>
      <c r="AK317" s="147"/>
      <c r="AL317" s="147"/>
      <c r="AM317" s="151"/>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c r="BL317" s="147"/>
      <c r="BM317" s="147"/>
      <c r="BN317" s="147"/>
      <c r="BO317" s="147"/>
      <c r="BP317" s="147"/>
      <c r="BQ317" s="147"/>
      <c r="BR317" s="147"/>
      <c r="BS317" s="147"/>
      <c r="BT317" s="147"/>
      <c r="BU317" s="147"/>
      <c r="BV317" s="147"/>
      <c r="BW317" s="147"/>
      <c r="BX317" s="147"/>
      <c r="BY317" s="147"/>
      <c r="BZ317" s="147"/>
      <c r="CA317" s="147"/>
      <c r="CB317" s="147"/>
      <c r="CC317" s="147"/>
      <c r="CD317" s="147"/>
      <c r="CE317" s="147"/>
      <c r="CF317" s="147"/>
      <c r="CG317" s="147"/>
      <c r="CH317" s="147"/>
      <c r="CI317" s="147"/>
      <c r="CJ317" s="147"/>
      <c r="CK317" s="147"/>
    </row>
    <row r="318" spans="1:89">
      <c r="A318" s="159" t="s">
        <v>713</v>
      </c>
      <c r="B318" s="3" t="s">
        <v>714</v>
      </c>
      <c r="C318" s="160" t="s">
        <v>78</v>
      </c>
      <c r="D318" s="160" t="s">
        <v>871</v>
      </c>
      <c r="E318" s="3" t="s">
        <v>21</v>
      </c>
      <c r="F318" s="3" t="s">
        <v>926</v>
      </c>
      <c r="G318" s="3"/>
      <c r="H318" s="156" t="str">
        <f ca="1">IFERROR(
  _xludf.MINIFS(ATTENDANCE_LOG!$F:$F,
         ATTENDANCE_LOG!$A:$A, C318,
         ATTENDANCE_LOG!$B:$B, E318),
"")</f>
        <v/>
      </c>
      <c r="I318" s="156" t="str">
        <f t="shared" ca="1" si="266"/>
        <v/>
      </c>
      <c r="J318" s="3">
        <f>IFERROR(VLOOKUP(F318, LEVEL_HELPER!$A:$B, 2, 0), "")</f>
        <v>1</v>
      </c>
      <c r="K318" s="3" t="str">
        <f>IFERROR(VLOOKUP(G318, LEVEL_HELPER!$A:$B, 2, 0), "")</f>
        <v/>
      </c>
      <c r="L318" s="157" t="s">
        <v>942</v>
      </c>
      <c r="M318" s="157" t="s">
        <v>921</v>
      </c>
      <c r="N318" s="3">
        <f t="array" aca="1" ref="N318" ca="1">IFERROR(
  INDEX($J$2:$J$543,
    MATCH(A318&amp;TEXT(I318,"yyyy-mm-dd"),
          $A$2:$A$543&amp;TEXT($H$2:$H$543,"yyyy-mm-dd"),
          0)),
"")</f>
        <v>1</v>
      </c>
      <c r="O318" s="147" t="str">
        <f t="shared" ca="1" si="267"/>
        <v/>
      </c>
      <c r="P318" s="147">
        <f t="shared" ref="P318:Q318" ca="1" si="334">IF(N318="",0,IF(N318&lt;=2,1,IF(N318&lt;=4,2,IF(N318&lt;=5.5,3,4))))</f>
        <v>1</v>
      </c>
      <c r="Q318" s="147">
        <f t="shared" ca="1" si="334"/>
        <v>0</v>
      </c>
      <c r="R318" s="147" t="str">
        <f t="shared" ca="1" si="269"/>
        <v>Not tested yet</v>
      </c>
      <c r="S318" s="147">
        <f t="shared" si="270"/>
        <v>1</v>
      </c>
      <c r="T318" s="147"/>
      <c r="U318" s="147"/>
      <c r="V318" s="147"/>
      <c r="W318" s="147"/>
      <c r="X318" s="147"/>
      <c r="Y318" s="147"/>
      <c r="Z318" s="147"/>
      <c r="AA318" s="147"/>
      <c r="AB318" s="147"/>
      <c r="AC318" s="147"/>
      <c r="AD318" s="147"/>
      <c r="AE318" s="147"/>
      <c r="AF318" s="147"/>
      <c r="AG318" s="147"/>
      <c r="AH318" s="147"/>
      <c r="AI318" s="147"/>
      <c r="AJ318" s="147"/>
      <c r="AK318" s="147"/>
      <c r="AL318" s="147"/>
      <c r="AM318" s="151"/>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c r="BL318" s="147"/>
      <c r="BM318" s="147"/>
      <c r="BN318" s="147"/>
      <c r="BO318" s="147"/>
      <c r="BP318" s="147"/>
      <c r="BQ318" s="147"/>
      <c r="BR318" s="147"/>
      <c r="BS318" s="147"/>
      <c r="BT318" s="147"/>
      <c r="BU318" s="147"/>
      <c r="BV318" s="147"/>
      <c r="BW318" s="147"/>
      <c r="BX318" s="147"/>
      <c r="BY318" s="147"/>
      <c r="BZ318" s="147"/>
      <c r="CA318" s="147"/>
      <c r="CB318" s="147"/>
      <c r="CC318" s="147"/>
      <c r="CD318" s="147"/>
      <c r="CE318" s="147"/>
      <c r="CF318" s="147"/>
      <c r="CG318" s="147"/>
      <c r="CH318" s="147"/>
      <c r="CI318" s="147"/>
      <c r="CJ318" s="147"/>
      <c r="CK318" s="147"/>
    </row>
    <row r="319" spans="1:89">
      <c r="A319" s="159" t="s">
        <v>182</v>
      </c>
      <c r="B319" s="3" t="s">
        <v>183</v>
      </c>
      <c r="C319" s="160" t="s">
        <v>78</v>
      </c>
      <c r="D319" s="160" t="s">
        <v>871</v>
      </c>
      <c r="E319" s="3" t="s">
        <v>22</v>
      </c>
      <c r="F319" s="3" t="s">
        <v>926</v>
      </c>
      <c r="G319" s="3" t="s">
        <v>926</v>
      </c>
      <c r="H319" s="156" t="str">
        <f ca="1">IFERROR(
  _xludf.MINIFS(ATTENDANCE_LOG!$F:$F,
         ATTENDANCE_LOG!$A:$A, C319,
         ATTENDANCE_LOG!$B:$B, E319),
"")</f>
        <v/>
      </c>
      <c r="I319" s="156" t="str">
        <f t="shared" ca="1" si="266"/>
        <v/>
      </c>
      <c r="J319" s="3">
        <f>IFERROR(VLOOKUP(F319, LEVEL_HELPER!$A:$B, 2, 0), "")</f>
        <v>1</v>
      </c>
      <c r="K319" s="3">
        <f>IFERROR(VLOOKUP(G319, LEVEL_HELPER!$A:$B, 2, 0), "")</f>
        <v>1</v>
      </c>
      <c r="L319" s="157" t="s">
        <v>918</v>
      </c>
      <c r="M319" s="157" t="s">
        <v>921</v>
      </c>
      <c r="N319" s="3">
        <f t="array" aca="1" ref="N319" ca="1">IFERROR(
  INDEX($J$2:$J$543,
    MATCH(A319&amp;TEXT(I319,"yyyy-mm-dd"),
          $A$2:$A$543&amp;TEXT($H$2:$H$543,"yyyy-mm-dd"),
          0)),
"")</f>
        <v>1</v>
      </c>
      <c r="O319" s="147" t="str">
        <f t="shared" ca="1" si="267"/>
        <v/>
      </c>
      <c r="P319" s="147">
        <f t="shared" ref="P319:Q319" ca="1" si="335">IF(N319="",0,IF(N319&lt;=2,1,IF(N319&lt;=4,2,IF(N319&lt;=5.5,3,4))))</f>
        <v>1</v>
      </c>
      <c r="Q319" s="147">
        <f t="shared" ca="1" si="335"/>
        <v>0</v>
      </c>
      <c r="R319" s="147" t="str">
        <f t="shared" ca="1" si="269"/>
        <v>Not tested yet</v>
      </c>
      <c r="S319" s="147">
        <f t="shared" si="270"/>
        <v>0</v>
      </c>
      <c r="T319" s="147"/>
      <c r="U319" s="147"/>
      <c r="V319" s="147"/>
      <c r="W319" s="147"/>
      <c r="X319" s="147"/>
      <c r="Y319" s="147"/>
      <c r="Z319" s="147"/>
      <c r="AA319" s="147"/>
      <c r="AB319" s="147"/>
      <c r="AC319" s="147"/>
      <c r="AD319" s="147"/>
      <c r="AE319" s="147"/>
      <c r="AF319" s="147"/>
      <c r="AG319" s="147"/>
      <c r="AH319" s="147"/>
      <c r="AI319" s="147"/>
      <c r="AJ319" s="147"/>
      <c r="AK319" s="147"/>
      <c r="AL319" s="147"/>
      <c r="AM319" s="151"/>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c r="BL319" s="147"/>
      <c r="BM319" s="147"/>
      <c r="BN319" s="147"/>
      <c r="BO319" s="147"/>
      <c r="BP319" s="147"/>
      <c r="BQ319" s="147"/>
      <c r="BR319" s="147"/>
      <c r="BS319" s="147"/>
      <c r="BT319" s="147"/>
      <c r="BU319" s="147"/>
      <c r="BV319" s="147"/>
      <c r="BW319" s="147"/>
      <c r="BX319" s="147"/>
      <c r="BY319" s="147"/>
      <c r="BZ319" s="147"/>
      <c r="CA319" s="147"/>
      <c r="CB319" s="147"/>
      <c r="CC319" s="147"/>
      <c r="CD319" s="147"/>
      <c r="CE319" s="147"/>
      <c r="CF319" s="147"/>
      <c r="CG319" s="147"/>
      <c r="CH319" s="147"/>
      <c r="CI319" s="147"/>
      <c r="CJ319" s="147"/>
      <c r="CK319" s="147"/>
    </row>
    <row r="320" spans="1:89">
      <c r="A320" s="159" t="s">
        <v>549</v>
      </c>
      <c r="B320" s="154" t="s">
        <v>550</v>
      </c>
      <c r="C320" s="155" t="s">
        <v>79</v>
      </c>
      <c r="D320" s="155" t="s">
        <v>872</v>
      </c>
      <c r="E320" s="154" t="s">
        <v>21</v>
      </c>
      <c r="F320" s="3" t="s">
        <v>916</v>
      </c>
      <c r="G320" s="3" t="s">
        <v>917</v>
      </c>
      <c r="H320" s="156" t="str">
        <f ca="1">IFERROR(
  _xludf.MINIFS(ATTENDANCE_LOG!$F:$F,
         ATTENDANCE_LOG!$A:$A, C320,
         ATTENDANCE_LOG!$B:$B, E320),
"")</f>
        <v/>
      </c>
      <c r="I320" s="156" t="str">
        <f t="shared" ca="1" si="266"/>
        <v/>
      </c>
      <c r="J320" s="3">
        <f>IFERROR(VLOOKUP(F320, LEVEL_HELPER!$A:$B, 2, 0), "")</f>
        <v>2.5</v>
      </c>
      <c r="K320" s="3">
        <f>IFERROR(VLOOKUP(G320, LEVEL_HELPER!$A:$B, 2, 0), "")</f>
        <v>3</v>
      </c>
      <c r="L320" s="157" t="s">
        <v>942</v>
      </c>
      <c r="M320" s="157" t="s">
        <v>921</v>
      </c>
      <c r="N320" s="3">
        <f t="array" aca="1" ref="N320" ca="1">IFERROR(
  INDEX($J$2:$J$543,
    MATCH(A320&amp;TEXT(I320,"yyyy-mm-dd"),
          $A$2:$A$543&amp;TEXT($H$2:$H$543,"yyyy-mm-dd"),
          0)),
"")</f>
        <v>2.5</v>
      </c>
      <c r="O320" s="147" t="str">
        <f t="shared" ca="1" si="267"/>
        <v/>
      </c>
      <c r="P320" s="147">
        <f t="shared" ref="P320:Q320" ca="1" si="336">IF(N320="",0,IF(N320&lt;=2,1,IF(N320&lt;=4,2,IF(N320&lt;=5.5,3,4))))</f>
        <v>2</v>
      </c>
      <c r="Q320" s="147">
        <f t="shared" ca="1" si="336"/>
        <v>0</v>
      </c>
      <c r="R320" s="147" t="str">
        <f t="shared" ca="1" si="269"/>
        <v>Not tested yet</v>
      </c>
      <c r="S320" s="147">
        <f t="shared" si="270"/>
        <v>1</v>
      </c>
      <c r="T320" s="147"/>
      <c r="U320" s="147"/>
      <c r="V320" s="147"/>
      <c r="W320" s="147"/>
      <c r="X320" s="147"/>
      <c r="Y320" s="147"/>
      <c r="Z320" s="147"/>
      <c r="AA320" s="147"/>
      <c r="AB320" s="147"/>
      <c r="AC320" s="147"/>
      <c r="AD320" s="147"/>
      <c r="AE320" s="147"/>
      <c r="AF320" s="147"/>
      <c r="AG320" s="147"/>
      <c r="AH320" s="147"/>
      <c r="AI320" s="147"/>
      <c r="AJ320" s="147"/>
      <c r="AK320" s="147"/>
      <c r="AL320" s="147"/>
      <c r="AM320" s="151"/>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c r="BL320" s="147"/>
      <c r="BM320" s="147"/>
      <c r="BN320" s="147"/>
      <c r="BO320" s="147"/>
      <c r="BP320" s="147"/>
      <c r="BQ320" s="147"/>
      <c r="BR320" s="147"/>
      <c r="BS320" s="147"/>
      <c r="BT320" s="147"/>
      <c r="BU320" s="147"/>
      <c r="BV320" s="147"/>
      <c r="BW320" s="147"/>
      <c r="BX320" s="147"/>
      <c r="BY320" s="147"/>
      <c r="BZ320" s="147"/>
      <c r="CA320" s="147"/>
      <c r="CB320" s="147"/>
      <c r="CC320" s="147"/>
      <c r="CD320" s="147"/>
      <c r="CE320" s="147"/>
      <c r="CF320" s="147"/>
      <c r="CG320" s="147"/>
      <c r="CH320" s="147"/>
      <c r="CI320" s="147"/>
      <c r="CJ320" s="147"/>
      <c r="CK320" s="147"/>
    </row>
    <row r="321" spans="1:89">
      <c r="A321" s="159" t="s">
        <v>200</v>
      </c>
      <c r="B321" s="3" t="s">
        <v>201</v>
      </c>
      <c r="C321" s="160" t="s">
        <v>79</v>
      </c>
      <c r="D321" s="160" t="s">
        <v>872</v>
      </c>
      <c r="E321" s="3" t="s">
        <v>21</v>
      </c>
      <c r="F321" s="3" t="s">
        <v>916</v>
      </c>
      <c r="G321" s="3" t="s">
        <v>931</v>
      </c>
      <c r="H321" s="156" t="str">
        <f ca="1">IFERROR(
  _xludf.MINIFS(ATTENDANCE_LOG!$F:$F,
         ATTENDANCE_LOG!$A:$A, C321,
         ATTENDANCE_LOG!$B:$B, E321),
"")</f>
        <v/>
      </c>
      <c r="I321" s="156" t="str">
        <f t="shared" ca="1" si="266"/>
        <v/>
      </c>
      <c r="J321" s="3">
        <f>IFERROR(VLOOKUP(F321, LEVEL_HELPER!$A:$B, 2, 0), "")</f>
        <v>2.5</v>
      </c>
      <c r="K321" s="3">
        <f>IFERROR(VLOOKUP(G321, LEVEL_HELPER!$A:$B, 2, 0), "")</f>
        <v>4.5</v>
      </c>
      <c r="L321" s="157" t="s">
        <v>942</v>
      </c>
      <c r="M321" s="157" t="s">
        <v>921</v>
      </c>
      <c r="N321" s="3">
        <f t="array" aca="1" ref="N321" ca="1">IFERROR(
  INDEX($J$2:$J$543,
    MATCH(A321&amp;TEXT(I321,"yyyy-mm-dd"),
          $A$2:$A$543&amp;TEXT($H$2:$H$543,"yyyy-mm-dd"),
          0)),
"")</f>
        <v>2.5</v>
      </c>
      <c r="O321" s="147" t="str">
        <f t="shared" ca="1" si="267"/>
        <v/>
      </c>
      <c r="P321" s="147">
        <f t="shared" ref="P321:Q321" ca="1" si="337">IF(N321="",0,IF(N321&lt;=2,1,IF(N321&lt;=4,2,IF(N321&lt;=5.5,3,4))))</f>
        <v>2</v>
      </c>
      <c r="Q321" s="147">
        <f t="shared" ca="1" si="337"/>
        <v>0</v>
      </c>
      <c r="R321" s="147" t="str">
        <f t="shared" ca="1" si="269"/>
        <v>Not tested yet</v>
      </c>
      <c r="S321" s="147">
        <f t="shared" si="270"/>
        <v>1</v>
      </c>
      <c r="T321" s="147"/>
      <c r="U321" s="147"/>
      <c r="V321" s="147"/>
      <c r="W321" s="147"/>
      <c r="X321" s="147"/>
      <c r="Y321" s="147"/>
      <c r="Z321" s="147"/>
      <c r="AA321" s="147"/>
      <c r="AB321" s="147"/>
      <c r="AC321" s="147"/>
      <c r="AD321" s="147"/>
      <c r="AE321" s="147"/>
      <c r="AF321" s="147"/>
      <c r="AG321" s="147"/>
      <c r="AH321" s="147"/>
      <c r="AI321" s="147"/>
      <c r="AJ321" s="147"/>
      <c r="AK321" s="147"/>
      <c r="AL321" s="147"/>
      <c r="AM321" s="151"/>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c r="BI321" s="147"/>
      <c r="BJ321" s="147"/>
      <c r="BK321" s="147"/>
      <c r="BL321" s="147"/>
      <c r="BM321" s="147"/>
      <c r="BN321" s="147"/>
      <c r="BO321" s="147"/>
      <c r="BP321" s="147"/>
      <c r="BQ321" s="147"/>
      <c r="BR321" s="147"/>
      <c r="BS321" s="147"/>
      <c r="BT321" s="147"/>
      <c r="BU321" s="147"/>
      <c r="BV321" s="147"/>
      <c r="BW321" s="147"/>
      <c r="BX321" s="147"/>
      <c r="BY321" s="147"/>
      <c r="BZ321" s="147"/>
      <c r="CA321" s="147"/>
      <c r="CB321" s="147"/>
      <c r="CC321" s="147"/>
      <c r="CD321" s="147"/>
      <c r="CE321" s="147"/>
      <c r="CF321" s="147"/>
      <c r="CG321" s="147"/>
      <c r="CH321" s="147"/>
      <c r="CI321" s="147"/>
      <c r="CJ321" s="147"/>
      <c r="CK321" s="147"/>
    </row>
    <row r="322" spans="1:89">
      <c r="A322" s="159" t="s">
        <v>214</v>
      </c>
      <c r="B322" s="3" t="s">
        <v>215</v>
      </c>
      <c r="C322" s="160" t="s">
        <v>79</v>
      </c>
      <c r="D322" s="160" t="s">
        <v>872</v>
      </c>
      <c r="E322" s="3" t="s">
        <v>21</v>
      </c>
      <c r="F322" s="3" t="s">
        <v>926</v>
      </c>
      <c r="G322" s="3" t="s">
        <v>928</v>
      </c>
      <c r="H322" s="156" t="str">
        <f ca="1">IFERROR(
  _xludf.MINIFS(ATTENDANCE_LOG!$F:$F,
         ATTENDANCE_LOG!$A:$A, C322,
         ATTENDANCE_LOG!$B:$B, E322),
"")</f>
        <v/>
      </c>
      <c r="I322" s="156" t="str">
        <f t="shared" ca="1" si="266"/>
        <v/>
      </c>
      <c r="J322" s="3">
        <f>IFERROR(VLOOKUP(F322, LEVEL_HELPER!$A:$B, 2, 0), "")</f>
        <v>1</v>
      </c>
      <c r="K322" s="3">
        <f>IFERROR(VLOOKUP(G322, LEVEL_HELPER!$A:$B, 2, 0), "")</f>
        <v>1.5</v>
      </c>
      <c r="L322" s="157" t="s">
        <v>942</v>
      </c>
      <c r="M322" s="157" t="s">
        <v>921</v>
      </c>
      <c r="N322" s="3">
        <f t="array" aca="1" ref="N322" ca="1">IFERROR(
  INDEX($J$2:$J$543,
    MATCH(A322&amp;TEXT(I322,"yyyy-mm-dd"),
          $A$2:$A$543&amp;TEXT($H$2:$H$543,"yyyy-mm-dd"),
          0)),
"")</f>
        <v>1</v>
      </c>
      <c r="O322" s="147" t="str">
        <f t="shared" ca="1" si="267"/>
        <v/>
      </c>
      <c r="P322" s="147">
        <f t="shared" ref="P322:Q322" ca="1" si="338">IF(N322="",0,IF(N322&lt;=2,1,IF(N322&lt;=4,2,IF(N322&lt;=5.5,3,4))))</f>
        <v>1</v>
      </c>
      <c r="Q322" s="147">
        <f t="shared" ca="1" si="338"/>
        <v>0</v>
      </c>
      <c r="R322" s="147" t="str">
        <f t="shared" ca="1" si="269"/>
        <v>Not tested yet</v>
      </c>
      <c r="S322" s="147">
        <f t="shared" si="270"/>
        <v>1</v>
      </c>
      <c r="T322" s="147"/>
      <c r="U322" s="147"/>
      <c r="V322" s="147"/>
      <c r="W322" s="147"/>
      <c r="X322" s="147"/>
      <c r="Y322" s="147"/>
      <c r="Z322" s="147"/>
      <c r="AA322" s="147"/>
      <c r="AB322" s="147"/>
      <c r="AC322" s="147"/>
      <c r="AD322" s="147"/>
      <c r="AE322" s="147"/>
      <c r="AF322" s="147"/>
      <c r="AG322" s="147"/>
      <c r="AH322" s="147"/>
      <c r="AI322" s="147"/>
      <c r="AJ322" s="147"/>
      <c r="AK322" s="147"/>
      <c r="AL322" s="147"/>
      <c r="AM322" s="151"/>
      <c r="AN322" s="147"/>
      <c r="AO322" s="147"/>
      <c r="AP322" s="147"/>
      <c r="AQ322" s="147"/>
      <c r="AR322" s="147"/>
      <c r="AS322" s="147"/>
      <c r="AT322" s="147"/>
      <c r="AU322" s="147"/>
      <c r="AV322" s="147"/>
      <c r="AW322" s="147"/>
      <c r="AX322" s="147"/>
      <c r="AY322" s="147"/>
      <c r="AZ322" s="147"/>
      <c r="BA322" s="147"/>
      <c r="BB322" s="147"/>
      <c r="BC322" s="147"/>
      <c r="BD322" s="147"/>
      <c r="BE322" s="147"/>
      <c r="BF322" s="147"/>
      <c r="BG322" s="147"/>
      <c r="BH322" s="147"/>
      <c r="BI322" s="147"/>
      <c r="BJ322" s="147"/>
      <c r="BK322" s="147"/>
      <c r="BL322" s="147"/>
      <c r="BM322" s="147"/>
      <c r="BN322" s="147"/>
      <c r="BO322" s="147"/>
      <c r="BP322" s="147"/>
      <c r="BQ322" s="147"/>
      <c r="BR322" s="147"/>
      <c r="BS322" s="147"/>
      <c r="BT322" s="147"/>
      <c r="BU322" s="147"/>
      <c r="BV322" s="147"/>
      <c r="BW322" s="147"/>
      <c r="BX322" s="147"/>
      <c r="BY322" s="147"/>
      <c r="BZ322" s="147"/>
      <c r="CA322" s="147"/>
      <c r="CB322" s="147"/>
      <c r="CC322" s="147"/>
      <c r="CD322" s="147"/>
      <c r="CE322" s="147"/>
      <c r="CF322" s="147"/>
      <c r="CG322" s="147"/>
      <c r="CH322" s="147"/>
      <c r="CI322" s="147"/>
      <c r="CJ322" s="147"/>
      <c r="CK322" s="147"/>
    </row>
    <row r="323" spans="1:89">
      <c r="A323" s="159" t="s">
        <v>436</v>
      </c>
      <c r="B323" s="3" t="s">
        <v>437</v>
      </c>
      <c r="C323" s="160" t="s">
        <v>79</v>
      </c>
      <c r="D323" s="160" t="s">
        <v>872</v>
      </c>
      <c r="E323" s="3" t="s">
        <v>21</v>
      </c>
      <c r="F323" s="3" t="s">
        <v>926</v>
      </c>
      <c r="G323" s="3" t="s">
        <v>934</v>
      </c>
      <c r="H323" s="156" t="str">
        <f ca="1">IFERROR(
  _xludf.MINIFS(ATTENDANCE_LOG!$F:$F,
         ATTENDANCE_LOG!$A:$A, C323,
         ATTENDANCE_LOG!$B:$B, E323),
"")</f>
        <v/>
      </c>
      <c r="I323" s="156" t="str">
        <f t="shared" ca="1" si="266"/>
        <v/>
      </c>
      <c r="J323" s="3">
        <f>IFERROR(VLOOKUP(F323, LEVEL_HELPER!$A:$B, 2, 0), "")</f>
        <v>1</v>
      </c>
      <c r="K323" s="3">
        <f>IFERROR(VLOOKUP(G323, LEVEL_HELPER!$A:$B, 2, 0), "")</f>
        <v>3.5</v>
      </c>
      <c r="L323" s="157" t="s">
        <v>942</v>
      </c>
      <c r="M323" s="157" t="s">
        <v>921</v>
      </c>
      <c r="N323" s="3">
        <f t="array" aca="1" ref="N323" ca="1">IFERROR(
  INDEX($J$2:$J$543,
    MATCH(A323&amp;TEXT(I323,"yyyy-mm-dd"),
          $A$2:$A$543&amp;TEXT($H$2:$H$543,"yyyy-mm-dd"),
          0)),
"")</f>
        <v>1</v>
      </c>
      <c r="O323" s="147" t="str">
        <f t="shared" ca="1" si="267"/>
        <v/>
      </c>
      <c r="P323" s="147">
        <f t="shared" ref="P323:Q323" ca="1" si="339">IF(N323="",0,IF(N323&lt;=2,1,IF(N323&lt;=4,2,IF(N323&lt;=5.5,3,4))))</f>
        <v>1</v>
      </c>
      <c r="Q323" s="147">
        <f t="shared" ca="1" si="339"/>
        <v>0</v>
      </c>
      <c r="R323" s="147" t="str">
        <f t="shared" ca="1" si="269"/>
        <v>Not tested yet</v>
      </c>
      <c r="S323" s="147">
        <f t="shared" si="270"/>
        <v>1</v>
      </c>
      <c r="T323" s="147"/>
      <c r="U323" s="147"/>
      <c r="V323" s="147"/>
      <c r="W323" s="147"/>
      <c r="X323" s="147"/>
      <c r="Y323" s="147"/>
      <c r="Z323" s="147"/>
      <c r="AA323" s="147"/>
      <c r="AB323" s="147"/>
      <c r="AC323" s="147"/>
      <c r="AD323" s="147"/>
      <c r="AE323" s="147"/>
      <c r="AF323" s="147"/>
      <c r="AG323" s="147"/>
      <c r="AH323" s="147"/>
      <c r="AI323" s="147"/>
      <c r="AJ323" s="147"/>
      <c r="AK323" s="147"/>
      <c r="AL323" s="147"/>
      <c r="AM323" s="151"/>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c r="BI323" s="147"/>
      <c r="BJ323" s="147"/>
      <c r="BK323" s="147"/>
      <c r="BL323" s="147"/>
      <c r="BM323" s="147"/>
      <c r="BN323" s="147"/>
      <c r="BO323" s="147"/>
      <c r="BP323" s="147"/>
      <c r="BQ323" s="147"/>
      <c r="BR323" s="147"/>
      <c r="BS323" s="147"/>
      <c r="BT323" s="147"/>
      <c r="BU323" s="147"/>
      <c r="BV323" s="147"/>
      <c r="BW323" s="147"/>
      <c r="BX323" s="147"/>
      <c r="BY323" s="147"/>
      <c r="BZ323" s="147"/>
      <c r="CA323" s="147"/>
      <c r="CB323" s="147"/>
      <c r="CC323" s="147"/>
      <c r="CD323" s="147"/>
      <c r="CE323" s="147"/>
      <c r="CF323" s="147"/>
      <c r="CG323" s="147"/>
      <c r="CH323" s="147"/>
      <c r="CI323" s="147"/>
      <c r="CJ323" s="147"/>
      <c r="CK323" s="147"/>
    </row>
    <row r="324" spans="1:89">
      <c r="A324" s="159" t="s">
        <v>476</v>
      </c>
      <c r="B324" s="3" t="s">
        <v>477</v>
      </c>
      <c r="C324" s="160" t="s">
        <v>79</v>
      </c>
      <c r="D324" s="160" t="s">
        <v>872</v>
      </c>
      <c r="E324" s="3" t="s">
        <v>21</v>
      </c>
      <c r="F324" s="3" t="s">
        <v>926</v>
      </c>
      <c r="G324" s="3" t="s">
        <v>926</v>
      </c>
      <c r="H324" s="156" t="str">
        <f ca="1">IFERROR(
  _xludf.MINIFS(ATTENDANCE_LOG!$F:$F,
         ATTENDANCE_LOG!$A:$A, C324,
         ATTENDANCE_LOG!$B:$B, E324),
"")</f>
        <v/>
      </c>
      <c r="I324" s="156" t="str">
        <f t="shared" ca="1" si="266"/>
        <v/>
      </c>
      <c r="J324" s="3">
        <f>IFERROR(VLOOKUP(F324, LEVEL_HELPER!$A:$B, 2, 0), "")</f>
        <v>1</v>
      </c>
      <c r="K324" s="3">
        <f>IFERROR(VLOOKUP(G324, LEVEL_HELPER!$A:$B, 2, 0), "")</f>
        <v>1</v>
      </c>
      <c r="L324" s="157" t="s">
        <v>942</v>
      </c>
      <c r="M324" s="157" t="s">
        <v>921</v>
      </c>
      <c r="N324" s="3">
        <f t="array" aca="1" ref="N324" ca="1">IFERROR(
  INDEX($J$2:$J$543,
    MATCH(A324&amp;TEXT(I324,"yyyy-mm-dd"),
          $A$2:$A$543&amp;TEXT($H$2:$H$543,"yyyy-mm-dd"),
          0)),
"")</f>
        <v>1</v>
      </c>
      <c r="O324" s="147" t="str">
        <f t="shared" ca="1" si="267"/>
        <v/>
      </c>
      <c r="P324" s="147">
        <f t="shared" ref="P324:Q324" ca="1" si="340">IF(N324="",0,IF(N324&lt;=2,1,IF(N324&lt;=4,2,IF(N324&lt;=5.5,3,4))))</f>
        <v>1</v>
      </c>
      <c r="Q324" s="147">
        <f t="shared" ca="1" si="340"/>
        <v>0</v>
      </c>
      <c r="R324" s="147" t="str">
        <f t="shared" ca="1" si="269"/>
        <v>Not tested yet</v>
      </c>
      <c r="S324" s="147">
        <f t="shared" si="270"/>
        <v>1</v>
      </c>
      <c r="T324" s="147"/>
      <c r="U324" s="147"/>
      <c r="V324" s="147"/>
      <c r="W324" s="147"/>
      <c r="X324" s="147"/>
      <c r="Y324" s="147"/>
      <c r="Z324" s="147"/>
      <c r="AA324" s="147"/>
      <c r="AB324" s="147"/>
      <c r="AC324" s="147"/>
      <c r="AD324" s="147"/>
      <c r="AE324" s="147"/>
      <c r="AF324" s="147"/>
      <c r="AG324" s="147"/>
      <c r="AH324" s="147"/>
      <c r="AI324" s="147"/>
      <c r="AJ324" s="147"/>
      <c r="AK324" s="147"/>
      <c r="AL324" s="147"/>
      <c r="AM324" s="151"/>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c r="BI324" s="147"/>
      <c r="BJ324" s="147"/>
      <c r="BK324" s="147"/>
      <c r="BL324" s="147"/>
      <c r="BM324" s="147"/>
      <c r="BN324" s="147"/>
      <c r="BO324" s="147"/>
      <c r="BP324" s="147"/>
      <c r="BQ324" s="147"/>
      <c r="BR324" s="147"/>
      <c r="BS324" s="147"/>
      <c r="BT324" s="147"/>
      <c r="BU324" s="147"/>
      <c r="BV324" s="147"/>
      <c r="BW324" s="147"/>
      <c r="BX324" s="147"/>
      <c r="BY324" s="147"/>
      <c r="BZ324" s="147"/>
      <c r="CA324" s="147"/>
      <c r="CB324" s="147"/>
      <c r="CC324" s="147"/>
      <c r="CD324" s="147"/>
      <c r="CE324" s="147"/>
      <c r="CF324" s="147"/>
      <c r="CG324" s="147"/>
      <c r="CH324" s="147"/>
      <c r="CI324" s="147"/>
      <c r="CJ324" s="147"/>
      <c r="CK324" s="147"/>
    </row>
    <row r="325" spans="1:89">
      <c r="A325" s="159" t="s">
        <v>488</v>
      </c>
      <c r="B325" s="3" t="s">
        <v>489</v>
      </c>
      <c r="C325" s="160" t="s">
        <v>79</v>
      </c>
      <c r="D325" s="160" t="s">
        <v>872</v>
      </c>
      <c r="E325" s="3" t="s">
        <v>21</v>
      </c>
      <c r="F325" s="3" t="s">
        <v>916</v>
      </c>
      <c r="G325" s="3" t="s">
        <v>928</v>
      </c>
      <c r="H325" s="156" t="str">
        <f ca="1">IFERROR(
  _xludf.MINIFS(ATTENDANCE_LOG!$F:$F,
         ATTENDANCE_LOG!$A:$A, C325,
         ATTENDANCE_LOG!$B:$B, E325),
"")</f>
        <v/>
      </c>
      <c r="I325" s="156" t="str">
        <f t="shared" ca="1" si="266"/>
        <v/>
      </c>
      <c r="J325" s="3">
        <f>IFERROR(VLOOKUP(F325, LEVEL_HELPER!$A:$B, 2, 0), "")</f>
        <v>2.5</v>
      </c>
      <c r="K325" s="3">
        <f>IFERROR(VLOOKUP(G325, LEVEL_HELPER!$A:$B, 2, 0), "")</f>
        <v>1.5</v>
      </c>
      <c r="L325" s="157" t="s">
        <v>918</v>
      </c>
      <c r="M325" s="157" t="s">
        <v>921</v>
      </c>
      <c r="N325" s="3">
        <f t="array" aca="1" ref="N325" ca="1">IFERROR(
  INDEX($J$2:$J$543,
    MATCH(A325&amp;TEXT(I325,"yyyy-mm-dd"),
          $A$2:$A$543&amp;TEXT($H$2:$H$543,"yyyy-mm-dd"),
          0)),
"")</f>
        <v>2.5</v>
      </c>
      <c r="O325" s="147" t="str">
        <f t="shared" ca="1" si="267"/>
        <v/>
      </c>
      <c r="P325" s="147">
        <f t="shared" ref="P325:Q325" ca="1" si="341">IF(N325="",0,IF(N325&lt;=2,1,IF(N325&lt;=4,2,IF(N325&lt;=5.5,3,4))))</f>
        <v>2</v>
      </c>
      <c r="Q325" s="147">
        <f t="shared" ca="1" si="341"/>
        <v>0</v>
      </c>
      <c r="R325" s="147" t="str">
        <f t="shared" ca="1" si="269"/>
        <v>Not tested yet</v>
      </c>
      <c r="S325" s="147">
        <f t="shared" si="270"/>
        <v>1</v>
      </c>
      <c r="T325" s="147"/>
      <c r="U325" s="147"/>
      <c r="V325" s="147"/>
      <c r="W325" s="147"/>
      <c r="X325" s="147"/>
      <c r="Y325" s="147"/>
      <c r="Z325" s="147"/>
      <c r="AA325" s="147"/>
      <c r="AB325" s="147"/>
      <c r="AC325" s="147"/>
      <c r="AD325" s="147"/>
      <c r="AE325" s="147"/>
      <c r="AF325" s="147"/>
      <c r="AG325" s="147"/>
      <c r="AH325" s="147"/>
      <c r="AI325" s="147"/>
      <c r="AJ325" s="147"/>
      <c r="AK325" s="147"/>
      <c r="AL325" s="147"/>
      <c r="AM325" s="151"/>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c r="BI325" s="147"/>
      <c r="BJ325" s="147"/>
      <c r="BK325" s="147"/>
      <c r="BL325" s="147"/>
      <c r="BM325" s="147"/>
      <c r="BN325" s="147"/>
      <c r="BO325" s="147"/>
      <c r="BP325" s="147"/>
      <c r="BQ325" s="147"/>
      <c r="BR325" s="147"/>
      <c r="BS325" s="147"/>
      <c r="BT325" s="147"/>
      <c r="BU325" s="147"/>
      <c r="BV325" s="147"/>
      <c r="BW325" s="147"/>
      <c r="BX325" s="147"/>
      <c r="BY325" s="147"/>
      <c r="BZ325" s="147"/>
      <c r="CA325" s="147"/>
      <c r="CB325" s="147"/>
      <c r="CC325" s="147"/>
      <c r="CD325" s="147"/>
      <c r="CE325" s="147"/>
      <c r="CF325" s="147"/>
      <c r="CG325" s="147"/>
      <c r="CH325" s="147"/>
      <c r="CI325" s="147"/>
      <c r="CJ325" s="147"/>
      <c r="CK325" s="147"/>
    </row>
    <row r="326" spans="1:89">
      <c r="A326" s="159" t="s">
        <v>661</v>
      </c>
      <c r="B326" s="154" t="s">
        <v>662</v>
      </c>
      <c r="C326" s="155" t="s">
        <v>80</v>
      </c>
      <c r="D326" s="155" t="s">
        <v>873</v>
      </c>
      <c r="E326" s="154" t="s">
        <v>21</v>
      </c>
      <c r="F326" s="3" t="s">
        <v>916</v>
      </c>
      <c r="G326" s="3"/>
      <c r="H326" s="156" t="str">
        <f ca="1">IFERROR(
  _xludf.MINIFS(ATTENDANCE_LOG!$F:$F,
         ATTENDANCE_LOG!$A:$A, C326,
         ATTENDANCE_LOG!$B:$B, E326),
"")</f>
        <v/>
      </c>
      <c r="I326" s="156" t="str">
        <f t="shared" ca="1" si="266"/>
        <v/>
      </c>
      <c r="J326" s="3">
        <f>IFERROR(VLOOKUP(F326, LEVEL_HELPER!$A:$B, 2, 0), "")</f>
        <v>2.5</v>
      </c>
      <c r="K326" s="3" t="str">
        <f>IFERROR(VLOOKUP(G326, LEVEL_HELPER!$A:$B, 2, 0), "")</f>
        <v/>
      </c>
      <c r="L326" s="157" t="s">
        <v>941</v>
      </c>
      <c r="M326" s="157" t="s">
        <v>921</v>
      </c>
      <c r="N326" s="3">
        <f t="array" aca="1" ref="N326" ca="1">IFERROR(
  INDEX($J$2:$J$543,
    MATCH(A326&amp;TEXT(I326,"yyyy-mm-dd"),
          $A$2:$A$543&amp;TEXT($H$2:$H$543,"yyyy-mm-dd"),
          0)),
"")</f>
        <v>2.5</v>
      </c>
      <c r="O326" s="147" t="str">
        <f t="shared" ca="1" si="267"/>
        <v/>
      </c>
      <c r="P326" s="147">
        <f t="shared" ref="P326:Q326" ca="1" si="342">IF(N326="",0,IF(N326&lt;=2,1,IF(N326&lt;=4,2,IF(N326&lt;=5.5,3,4))))</f>
        <v>2</v>
      </c>
      <c r="Q326" s="147">
        <f t="shared" ca="1" si="342"/>
        <v>0</v>
      </c>
      <c r="R326" s="147" t="str">
        <f t="shared" ca="1" si="269"/>
        <v>Not tested yet</v>
      </c>
      <c r="S326" s="147">
        <f t="shared" si="270"/>
        <v>1</v>
      </c>
      <c r="T326" s="147"/>
      <c r="U326" s="147"/>
      <c r="V326" s="147"/>
      <c r="W326" s="147"/>
      <c r="X326" s="147"/>
      <c r="Y326" s="147"/>
      <c r="Z326" s="147"/>
      <c r="AA326" s="147"/>
      <c r="AB326" s="147"/>
      <c r="AC326" s="147"/>
      <c r="AD326" s="147"/>
      <c r="AE326" s="147"/>
      <c r="AF326" s="147"/>
      <c r="AG326" s="147"/>
      <c r="AH326" s="147"/>
      <c r="AI326" s="147"/>
      <c r="AJ326" s="147"/>
      <c r="AK326" s="147"/>
      <c r="AL326" s="147"/>
      <c r="AM326" s="151"/>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c r="BI326" s="147"/>
      <c r="BJ326" s="147"/>
      <c r="BK326" s="147"/>
      <c r="BL326" s="147"/>
      <c r="BM326" s="147"/>
      <c r="BN326" s="147"/>
      <c r="BO326" s="147"/>
      <c r="BP326" s="147"/>
      <c r="BQ326" s="147"/>
      <c r="BR326" s="147"/>
      <c r="BS326" s="147"/>
      <c r="BT326" s="147"/>
      <c r="BU326" s="147"/>
      <c r="BV326" s="147"/>
      <c r="BW326" s="147"/>
      <c r="BX326" s="147"/>
      <c r="BY326" s="147"/>
      <c r="BZ326" s="147"/>
      <c r="CA326" s="147"/>
      <c r="CB326" s="147"/>
      <c r="CC326" s="147"/>
      <c r="CD326" s="147"/>
      <c r="CE326" s="147"/>
      <c r="CF326" s="147"/>
      <c r="CG326" s="147"/>
      <c r="CH326" s="147"/>
      <c r="CI326" s="147"/>
      <c r="CJ326" s="147"/>
      <c r="CK326" s="147"/>
    </row>
    <row r="327" spans="1:89">
      <c r="A327" s="159" t="s">
        <v>157</v>
      </c>
      <c r="B327" s="3" t="s">
        <v>158</v>
      </c>
      <c r="C327" s="160" t="s">
        <v>80</v>
      </c>
      <c r="D327" s="160" t="s">
        <v>873</v>
      </c>
      <c r="E327" s="3" t="s">
        <v>21</v>
      </c>
      <c r="F327" s="3" t="s">
        <v>926</v>
      </c>
      <c r="G327" s="3"/>
      <c r="H327" s="156" t="str">
        <f ca="1">IFERROR(
  _xludf.MINIFS(ATTENDANCE_LOG!$F:$F,
         ATTENDANCE_LOG!$A:$A, C327,
         ATTENDANCE_LOG!$B:$B, E327),
"")</f>
        <v/>
      </c>
      <c r="I327" s="156" t="str">
        <f t="shared" ca="1" si="266"/>
        <v/>
      </c>
      <c r="J327" s="3">
        <f>IFERROR(VLOOKUP(F327, LEVEL_HELPER!$A:$B, 2, 0), "")</f>
        <v>1</v>
      </c>
      <c r="K327" s="3" t="str">
        <f>IFERROR(VLOOKUP(G327, LEVEL_HELPER!$A:$B, 2, 0), "")</f>
        <v/>
      </c>
      <c r="L327" s="157" t="s">
        <v>918</v>
      </c>
      <c r="M327" s="157" t="s">
        <v>921</v>
      </c>
      <c r="N327" s="3">
        <f t="array" aca="1" ref="N327" ca="1">IFERROR(
  INDEX($J$2:$J$543,
    MATCH(A327&amp;TEXT(I327,"yyyy-mm-dd"),
          $A$2:$A$543&amp;TEXT($H$2:$H$543,"yyyy-mm-dd"),
          0)),
"")</f>
        <v>1</v>
      </c>
      <c r="O327" s="147" t="str">
        <f t="shared" ca="1" si="267"/>
        <v/>
      </c>
      <c r="P327" s="147">
        <f t="shared" ref="P327:Q327" ca="1" si="343">IF(N327="",0,IF(N327&lt;=2,1,IF(N327&lt;=4,2,IF(N327&lt;=5.5,3,4))))</f>
        <v>1</v>
      </c>
      <c r="Q327" s="147">
        <f t="shared" ca="1" si="343"/>
        <v>0</v>
      </c>
      <c r="R327" s="147" t="str">
        <f t="shared" ca="1" si="269"/>
        <v>Not tested yet</v>
      </c>
      <c r="S327" s="147">
        <f t="shared" si="270"/>
        <v>1</v>
      </c>
      <c r="T327" s="147"/>
      <c r="U327" s="147"/>
      <c r="V327" s="147"/>
      <c r="W327" s="147"/>
      <c r="X327" s="147"/>
      <c r="Y327" s="147"/>
      <c r="Z327" s="147"/>
      <c r="AA327" s="147"/>
      <c r="AB327" s="147"/>
      <c r="AC327" s="147"/>
      <c r="AD327" s="147"/>
      <c r="AE327" s="147"/>
      <c r="AF327" s="147"/>
      <c r="AG327" s="147"/>
      <c r="AH327" s="147"/>
      <c r="AI327" s="147"/>
      <c r="AJ327" s="147"/>
      <c r="AK327" s="147"/>
      <c r="AL327" s="147"/>
      <c r="AM327" s="151"/>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c r="BI327" s="147"/>
      <c r="BJ327" s="147"/>
      <c r="BK327" s="147"/>
      <c r="BL327" s="147"/>
      <c r="BM327" s="147"/>
      <c r="BN327" s="147"/>
      <c r="BO327" s="147"/>
      <c r="BP327" s="147"/>
      <c r="BQ327" s="147"/>
      <c r="BR327" s="147"/>
      <c r="BS327" s="147"/>
      <c r="BT327" s="147"/>
      <c r="BU327" s="147"/>
      <c r="BV327" s="147"/>
      <c r="BW327" s="147"/>
      <c r="BX327" s="147"/>
      <c r="BY327" s="147"/>
      <c r="BZ327" s="147"/>
      <c r="CA327" s="147"/>
      <c r="CB327" s="147"/>
      <c r="CC327" s="147"/>
      <c r="CD327" s="147"/>
      <c r="CE327" s="147"/>
      <c r="CF327" s="147"/>
      <c r="CG327" s="147"/>
      <c r="CH327" s="147"/>
      <c r="CI327" s="147"/>
      <c r="CJ327" s="147"/>
      <c r="CK327" s="147"/>
    </row>
    <row r="328" spans="1:89">
      <c r="A328" s="159" t="s">
        <v>194</v>
      </c>
      <c r="B328" s="3" t="s">
        <v>195</v>
      </c>
      <c r="C328" s="160" t="s">
        <v>80</v>
      </c>
      <c r="D328" s="160" t="s">
        <v>873</v>
      </c>
      <c r="E328" s="3" t="s">
        <v>21</v>
      </c>
      <c r="F328" s="3" t="s">
        <v>926</v>
      </c>
      <c r="G328" s="3"/>
      <c r="H328" s="156" t="str">
        <f ca="1">IFERROR(
  _xludf.MINIFS(ATTENDANCE_LOG!$F:$F,
         ATTENDANCE_LOG!$A:$A, C328,
         ATTENDANCE_LOG!$B:$B, E328),
"")</f>
        <v/>
      </c>
      <c r="I328" s="156" t="str">
        <f t="shared" ca="1" si="266"/>
        <v/>
      </c>
      <c r="J328" s="3">
        <f>IFERROR(VLOOKUP(F328, LEVEL_HELPER!$A:$B, 2, 0), "")</f>
        <v>1</v>
      </c>
      <c r="K328" s="3" t="str">
        <f>IFERROR(VLOOKUP(G328, LEVEL_HELPER!$A:$B, 2, 0), "")</f>
        <v/>
      </c>
      <c r="L328" s="157" t="s">
        <v>942</v>
      </c>
      <c r="M328" s="157" t="s">
        <v>921</v>
      </c>
      <c r="N328" s="3">
        <f t="array" aca="1" ref="N328" ca="1">IFERROR(
  INDEX($J$2:$J$543,
    MATCH(A328&amp;TEXT(I328,"yyyy-mm-dd"),
          $A$2:$A$543&amp;TEXT($H$2:$H$543,"yyyy-mm-dd"),
          0)),
"")</f>
        <v>1</v>
      </c>
      <c r="O328" s="147" t="str">
        <f t="shared" ca="1" si="267"/>
        <v/>
      </c>
      <c r="P328" s="147">
        <f t="shared" ref="P328:Q328" ca="1" si="344">IF(N328="",0,IF(N328&lt;=2,1,IF(N328&lt;=4,2,IF(N328&lt;=5.5,3,4))))</f>
        <v>1</v>
      </c>
      <c r="Q328" s="147">
        <f t="shared" ca="1" si="344"/>
        <v>0</v>
      </c>
      <c r="R328" s="147" t="str">
        <f t="shared" ca="1" si="269"/>
        <v>Not tested yet</v>
      </c>
      <c r="S328" s="147">
        <f t="shared" si="270"/>
        <v>1</v>
      </c>
      <c r="T328" s="147"/>
      <c r="U328" s="147"/>
      <c r="V328" s="147"/>
      <c r="W328" s="147"/>
      <c r="X328" s="147"/>
      <c r="Y328" s="147"/>
      <c r="Z328" s="147"/>
      <c r="AA328" s="147"/>
      <c r="AB328" s="147"/>
      <c r="AC328" s="147"/>
      <c r="AD328" s="147"/>
      <c r="AE328" s="147"/>
      <c r="AF328" s="147"/>
      <c r="AG328" s="147"/>
      <c r="AH328" s="147"/>
      <c r="AI328" s="147"/>
      <c r="AJ328" s="147"/>
      <c r="AK328" s="147"/>
      <c r="AL328" s="147"/>
      <c r="AM328" s="151"/>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c r="BI328" s="147"/>
      <c r="BJ328" s="147"/>
      <c r="BK328" s="147"/>
      <c r="BL328" s="147"/>
      <c r="BM328" s="147"/>
      <c r="BN328" s="147"/>
      <c r="BO328" s="147"/>
      <c r="BP328" s="147"/>
      <c r="BQ328" s="147"/>
      <c r="BR328" s="147"/>
      <c r="BS328" s="147"/>
      <c r="BT328" s="147"/>
      <c r="BU328" s="147"/>
      <c r="BV328" s="147"/>
      <c r="BW328" s="147"/>
      <c r="BX328" s="147"/>
      <c r="BY328" s="147"/>
      <c r="BZ328" s="147"/>
      <c r="CA328" s="147"/>
      <c r="CB328" s="147"/>
      <c r="CC328" s="147"/>
      <c r="CD328" s="147"/>
      <c r="CE328" s="147"/>
      <c r="CF328" s="147"/>
      <c r="CG328" s="147"/>
      <c r="CH328" s="147"/>
      <c r="CI328" s="147"/>
      <c r="CJ328" s="147"/>
      <c r="CK328" s="147"/>
    </row>
    <row r="329" spans="1:89">
      <c r="A329" s="159" t="s">
        <v>457</v>
      </c>
      <c r="B329" s="3" t="s">
        <v>458</v>
      </c>
      <c r="C329" s="160" t="s">
        <v>80</v>
      </c>
      <c r="D329" s="160" t="s">
        <v>873</v>
      </c>
      <c r="E329" s="3" t="s">
        <v>21</v>
      </c>
      <c r="F329" s="3" t="s">
        <v>916</v>
      </c>
      <c r="G329" s="3"/>
      <c r="H329" s="156" t="str">
        <f ca="1">IFERROR(
  _xludf.MINIFS(ATTENDANCE_LOG!$F:$F,
         ATTENDANCE_LOG!$A:$A, C329,
         ATTENDANCE_LOG!$B:$B, E329),
"")</f>
        <v/>
      </c>
      <c r="I329" s="156" t="str">
        <f t="shared" ca="1" si="266"/>
        <v/>
      </c>
      <c r="J329" s="3">
        <f>IFERROR(VLOOKUP(F329, LEVEL_HELPER!$A:$B, 2, 0), "")</f>
        <v>2.5</v>
      </c>
      <c r="K329" s="3" t="str">
        <f>IFERROR(VLOOKUP(G329, LEVEL_HELPER!$A:$B, 2, 0), "")</f>
        <v/>
      </c>
      <c r="L329" s="157" t="s">
        <v>918</v>
      </c>
      <c r="M329" s="157" t="s">
        <v>921</v>
      </c>
      <c r="N329" s="3">
        <f t="array" aca="1" ref="N329" ca="1">IFERROR(
  INDEX($J$2:$J$543,
    MATCH(A329&amp;TEXT(I329,"yyyy-mm-dd"),
          $A$2:$A$543&amp;TEXT($H$2:$H$543,"yyyy-mm-dd"),
          0)),
"")</f>
        <v>2.5</v>
      </c>
      <c r="O329" s="147" t="str">
        <f t="shared" ca="1" si="267"/>
        <v/>
      </c>
      <c r="P329" s="147">
        <f t="shared" ref="P329:Q329" ca="1" si="345">IF(N329="",0,IF(N329&lt;=2,1,IF(N329&lt;=4,2,IF(N329&lt;=5.5,3,4))))</f>
        <v>2</v>
      </c>
      <c r="Q329" s="147">
        <f t="shared" ca="1" si="345"/>
        <v>0</v>
      </c>
      <c r="R329" s="147" t="str">
        <f t="shared" ca="1" si="269"/>
        <v>Not tested yet</v>
      </c>
      <c r="S329" s="147">
        <f t="shared" si="270"/>
        <v>1</v>
      </c>
      <c r="T329" s="147"/>
      <c r="U329" s="147"/>
      <c r="V329" s="147"/>
      <c r="W329" s="147"/>
      <c r="X329" s="147"/>
      <c r="Y329" s="147"/>
      <c r="Z329" s="147"/>
      <c r="AA329" s="147"/>
      <c r="AB329" s="147"/>
      <c r="AC329" s="147"/>
      <c r="AD329" s="147"/>
      <c r="AE329" s="147"/>
      <c r="AF329" s="147"/>
      <c r="AG329" s="147"/>
      <c r="AH329" s="147"/>
      <c r="AI329" s="147"/>
      <c r="AJ329" s="147"/>
      <c r="AK329" s="147"/>
      <c r="AL329" s="147"/>
      <c r="AM329" s="151"/>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c r="BI329" s="147"/>
      <c r="BJ329" s="147"/>
      <c r="BK329" s="147"/>
      <c r="BL329" s="147"/>
      <c r="BM329" s="147"/>
      <c r="BN329" s="147"/>
      <c r="BO329" s="147"/>
      <c r="BP329" s="147"/>
      <c r="BQ329" s="147"/>
      <c r="BR329" s="147"/>
      <c r="BS329" s="147"/>
      <c r="BT329" s="147"/>
      <c r="BU329" s="147"/>
      <c r="BV329" s="147"/>
      <c r="BW329" s="147"/>
      <c r="BX329" s="147"/>
      <c r="BY329" s="147"/>
      <c r="BZ329" s="147"/>
      <c r="CA329" s="147"/>
      <c r="CB329" s="147"/>
      <c r="CC329" s="147"/>
      <c r="CD329" s="147"/>
      <c r="CE329" s="147"/>
      <c r="CF329" s="147"/>
      <c r="CG329" s="147"/>
      <c r="CH329" s="147"/>
      <c r="CI329" s="147"/>
      <c r="CJ329" s="147"/>
      <c r="CK329" s="147"/>
    </row>
    <row r="330" spans="1:89">
      <c r="A330" s="159" t="s">
        <v>541</v>
      </c>
      <c r="B330" s="3" t="s">
        <v>542</v>
      </c>
      <c r="C330" s="160" t="s">
        <v>80</v>
      </c>
      <c r="D330" s="160" t="s">
        <v>873</v>
      </c>
      <c r="E330" s="3" t="s">
        <v>21</v>
      </c>
      <c r="F330" s="3" t="s">
        <v>926</v>
      </c>
      <c r="G330" s="3"/>
      <c r="H330" s="156" t="str">
        <f ca="1">IFERROR(
  _xludf.MINIFS(ATTENDANCE_LOG!$F:$F,
         ATTENDANCE_LOG!$A:$A, C330,
         ATTENDANCE_LOG!$B:$B, E330),
"")</f>
        <v/>
      </c>
      <c r="I330" s="156" t="str">
        <f t="shared" ca="1" si="266"/>
        <v/>
      </c>
      <c r="J330" s="3">
        <f>IFERROR(VLOOKUP(F330, LEVEL_HELPER!$A:$B, 2, 0), "")</f>
        <v>1</v>
      </c>
      <c r="K330" s="3" t="str">
        <f>IFERROR(VLOOKUP(G330, LEVEL_HELPER!$A:$B, 2, 0), "")</f>
        <v/>
      </c>
      <c r="L330" s="157" t="s">
        <v>941</v>
      </c>
      <c r="M330" s="157" t="s">
        <v>921</v>
      </c>
      <c r="N330" s="3">
        <f t="array" aca="1" ref="N330" ca="1">IFERROR(
  INDEX($J$2:$J$543,
    MATCH(A330&amp;TEXT(I330,"yyyy-mm-dd"),
          $A$2:$A$543&amp;TEXT($H$2:$H$543,"yyyy-mm-dd"),
          0)),
"")</f>
        <v>1</v>
      </c>
      <c r="O330" s="147" t="str">
        <f t="shared" ca="1" si="267"/>
        <v/>
      </c>
      <c r="P330" s="147">
        <f t="shared" ref="P330:Q330" ca="1" si="346">IF(N330="",0,IF(N330&lt;=2,1,IF(N330&lt;=4,2,IF(N330&lt;=5.5,3,4))))</f>
        <v>1</v>
      </c>
      <c r="Q330" s="147">
        <f t="shared" ca="1" si="346"/>
        <v>0</v>
      </c>
      <c r="R330" s="147" t="str">
        <f t="shared" ca="1" si="269"/>
        <v>Not tested yet</v>
      </c>
      <c r="S330" s="147">
        <f t="shared" si="270"/>
        <v>1</v>
      </c>
      <c r="T330" s="147"/>
      <c r="U330" s="147"/>
      <c r="V330" s="147"/>
      <c r="W330" s="147"/>
      <c r="X330" s="147"/>
      <c r="Y330" s="147"/>
      <c r="Z330" s="147"/>
      <c r="AA330" s="147"/>
      <c r="AB330" s="147"/>
      <c r="AC330" s="147"/>
      <c r="AD330" s="147"/>
      <c r="AE330" s="147"/>
      <c r="AF330" s="147"/>
      <c r="AG330" s="147"/>
      <c r="AH330" s="147"/>
      <c r="AI330" s="147"/>
      <c r="AJ330" s="147"/>
      <c r="AK330" s="147"/>
      <c r="AL330" s="147"/>
      <c r="AM330" s="151"/>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c r="BI330" s="147"/>
      <c r="BJ330" s="147"/>
      <c r="BK330" s="147"/>
      <c r="BL330" s="147"/>
      <c r="BM330" s="147"/>
      <c r="BN330" s="147"/>
      <c r="BO330" s="147"/>
      <c r="BP330" s="147"/>
      <c r="BQ330" s="147"/>
      <c r="BR330" s="147"/>
      <c r="BS330" s="147"/>
      <c r="BT330" s="147"/>
      <c r="BU330" s="147"/>
      <c r="BV330" s="147"/>
      <c r="BW330" s="147"/>
      <c r="BX330" s="147"/>
      <c r="BY330" s="147"/>
      <c r="BZ330" s="147"/>
      <c r="CA330" s="147"/>
      <c r="CB330" s="147"/>
      <c r="CC330" s="147"/>
      <c r="CD330" s="147"/>
      <c r="CE330" s="147"/>
      <c r="CF330" s="147"/>
      <c r="CG330" s="147"/>
      <c r="CH330" s="147"/>
      <c r="CI330" s="147"/>
      <c r="CJ330" s="147"/>
      <c r="CK330" s="147"/>
    </row>
    <row r="331" spans="1:89">
      <c r="A331" s="159" t="s">
        <v>703</v>
      </c>
      <c r="B331" s="3" t="s">
        <v>704</v>
      </c>
      <c r="C331" s="160" t="s">
        <v>80</v>
      </c>
      <c r="D331" s="160" t="s">
        <v>873</v>
      </c>
      <c r="E331" s="3" t="s">
        <v>21</v>
      </c>
      <c r="F331" s="3" t="s">
        <v>926</v>
      </c>
      <c r="G331" s="3"/>
      <c r="H331" s="156" t="str">
        <f ca="1">IFERROR(
  _xludf.MINIFS(ATTENDANCE_LOG!$F:$F,
         ATTENDANCE_LOG!$A:$A, C331,
         ATTENDANCE_LOG!$B:$B, E331),
"")</f>
        <v/>
      </c>
      <c r="I331" s="156" t="str">
        <f t="shared" ca="1" si="266"/>
        <v/>
      </c>
      <c r="J331" s="3">
        <f>IFERROR(VLOOKUP(F331, LEVEL_HELPER!$A:$B, 2, 0), "")</f>
        <v>1</v>
      </c>
      <c r="K331" s="3" t="str">
        <f>IFERROR(VLOOKUP(G331, LEVEL_HELPER!$A:$B, 2, 0), "")</f>
        <v/>
      </c>
      <c r="L331" s="157" t="s">
        <v>942</v>
      </c>
      <c r="M331" s="157" t="s">
        <v>921</v>
      </c>
      <c r="N331" s="3">
        <f t="array" aca="1" ref="N331" ca="1">IFERROR(
  INDEX($J$2:$J$543,
    MATCH(A331&amp;TEXT(I331,"yyyy-mm-dd"),
          $A$2:$A$543&amp;TEXT($H$2:$H$543,"yyyy-mm-dd"),
          0)),
"")</f>
        <v>1</v>
      </c>
      <c r="O331" s="147" t="str">
        <f t="shared" ca="1" si="267"/>
        <v/>
      </c>
      <c r="P331" s="147">
        <f t="shared" ref="P331:Q331" ca="1" si="347">IF(N331="",0,IF(N331&lt;=2,1,IF(N331&lt;=4,2,IF(N331&lt;=5.5,3,4))))</f>
        <v>1</v>
      </c>
      <c r="Q331" s="147">
        <f t="shared" ca="1" si="347"/>
        <v>0</v>
      </c>
      <c r="R331" s="147" t="str">
        <f t="shared" ca="1" si="269"/>
        <v>Not tested yet</v>
      </c>
      <c r="S331" s="147">
        <f t="shared" si="270"/>
        <v>1</v>
      </c>
      <c r="T331" s="147"/>
      <c r="U331" s="147"/>
      <c r="V331" s="147"/>
      <c r="W331" s="147"/>
      <c r="X331" s="147"/>
      <c r="Y331" s="147"/>
      <c r="Z331" s="147"/>
      <c r="AA331" s="147"/>
      <c r="AB331" s="147"/>
      <c r="AC331" s="147"/>
      <c r="AD331" s="147"/>
      <c r="AE331" s="147"/>
      <c r="AF331" s="147"/>
      <c r="AG331" s="147"/>
      <c r="AH331" s="147"/>
      <c r="AI331" s="147"/>
      <c r="AJ331" s="147"/>
      <c r="AK331" s="147"/>
      <c r="AL331" s="147"/>
      <c r="AM331" s="151"/>
      <c r="AN331" s="147"/>
      <c r="AO331" s="147"/>
      <c r="AP331" s="147"/>
      <c r="AQ331" s="147"/>
      <c r="AR331" s="147"/>
      <c r="AS331" s="147"/>
      <c r="AT331" s="147"/>
      <c r="AU331" s="147"/>
      <c r="AV331" s="147"/>
      <c r="AW331" s="147"/>
      <c r="AX331" s="147"/>
      <c r="AY331" s="147"/>
      <c r="AZ331" s="147"/>
      <c r="BA331" s="147"/>
      <c r="BB331" s="147"/>
      <c r="BC331" s="147"/>
      <c r="BD331" s="147"/>
      <c r="BE331" s="147"/>
      <c r="BF331" s="147"/>
      <c r="BG331" s="147"/>
      <c r="BH331" s="147"/>
      <c r="BI331" s="147"/>
      <c r="BJ331" s="147"/>
      <c r="BK331" s="147"/>
      <c r="BL331" s="147"/>
      <c r="BM331" s="147"/>
      <c r="BN331" s="147"/>
      <c r="BO331" s="147"/>
      <c r="BP331" s="147"/>
      <c r="BQ331" s="147"/>
      <c r="BR331" s="147"/>
      <c r="BS331" s="147"/>
      <c r="BT331" s="147"/>
      <c r="BU331" s="147"/>
      <c r="BV331" s="147"/>
      <c r="BW331" s="147"/>
      <c r="BX331" s="147"/>
      <c r="BY331" s="147"/>
      <c r="BZ331" s="147"/>
      <c r="CA331" s="147"/>
      <c r="CB331" s="147"/>
      <c r="CC331" s="147"/>
      <c r="CD331" s="147"/>
      <c r="CE331" s="147"/>
      <c r="CF331" s="147"/>
      <c r="CG331" s="147"/>
      <c r="CH331" s="147"/>
      <c r="CI331" s="147"/>
      <c r="CJ331" s="147"/>
      <c r="CK331" s="147"/>
    </row>
    <row r="332" spans="1:89">
      <c r="A332" s="159" t="s">
        <v>707</v>
      </c>
      <c r="B332" s="3" t="s">
        <v>708</v>
      </c>
      <c r="C332" s="160" t="s">
        <v>80</v>
      </c>
      <c r="D332" s="160" t="s">
        <v>873</v>
      </c>
      <c r="E332" s="3" t="s">
        <v>21</v>
      </c>
      <c r="F332" s="3" t="s">
        <v>926</v>
      </c>
      <c r="G332" s="3"/>
      <c r="H332" s="156" t="str">
        <f ca="1">IFERROR(
  _xludf.MINIFS(ATTENDANCE_LOG!$F:$F,
         ATTENDANCE_LOG!$A:$A, C332,
         ATTENDANCE_LOG!$B:$B, E332),
"")</f>
        <v/>
      </c>
      <c r="I332" s="156" t="str">
        <f t="shared" ca="1" si="266"/>
        <v/>
      </c>
      <c r="J332" s="3">
        <f>IFERROR(VLOOKUP(F332, LEVEL_HELPER!$A:$B, 2, 0), "")</f>
        <v>1</v>
      </c>
      <c r="K332" s="3" t="str">
        <f>IFERROR(VLOOKUP(G332, LEVEL_HELPER!$A:$B, 2, 0), "")</f>
        <v/>
      </c>
      <c r="L332" s="157" t="s">
        <v>941</v>
      </c>
      <c r="M332" s="157" t="s">
        <v>921</v>
      </c>
      <c r="N332" s="3">
        <f t="array" aca="1" ref="N332" ca="1">IFERROR(
  INDEX($J$2:$J$543,
    MATCH(A332&amp;TEXT(I332,"yyyy-mm-dd"),
          $A$2:$A$543&amp;TEXT($H$2:$H$543,"yyyy-mm-dd"),
          0)),
"")</f>
        <v>1</v>
      </c>
      <c r="O332" s="147" t="str">
        <f t="shared" ca="1" si="267"/>
        <v/>
      </c>
      <c r="P332" s="147">
        <f t="shared" ref="P332:Q332" ca="1" si="348">IF(N332="",0,IF(N332&lt;=2,1,IF(N332&lt;=4,2,IF(N332&lt;=5.5,3,4))))</f>
        <v>1</v>
      </c>
      <c r="Q332" s="147">
        <f t="shared" ca="1" si="348"/>
        <v>0</v>
      </c>
      <c r="R332" s="147" t="str">
        <f t="shared" ca="1" si="269"/>
        <v>Not tested yet</v>
      </c>
      <c r="S332" s="147">
        <f t="shared" si="270"/>
        <v>1</v>
      </c>
      <c r="T332" s="147"/>
      <c r="U332" s="147"/>
      <c r="V332" s="147"/>
      <c r="W332" s="147"/>
      <c r="X332" s="147"/>
      <c r="Y332" s="147"/>
      <c r="Z332" s="147"/>
      <c r="AA332" s="147"/>
      <c r="AB332" s="147"/>
      <c r="AC332" s="147"/>
      <c r="AD332" s="147"/>
      <c r="AE332" s="147"/>
      <c r="AF332" s="147"/>
      <c r="AG332" s="147"/>
      <c r="AH332" s="147"/>
      <c r="AI332" s="147"/>
      <c r="AJ332" s="147"/>
      <c r="AK332" s="147"/>
      <c r="AL332" s="147"/>
      <c r="AM332" s="151"/>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c r="BI332" s="147"/>
      <c r="BJ332" s="147"/>
      <c r="BK332" s="147"/>
      <c r="BL332" s="147"/>
      <c r="BM332" s="147"/>
      <c r="BN332" s="147"/>
      <c r="BO332" s="147"/>
      <c r="BP332" s="147"/>
      <c r="BQ332" s="147"/>
      <c r="BR332" s="147"/>
      <c r="BS332" s="147"/>
      <c r="BT332" s="147"/>
      <c r="BU332" s="147"/>
      <c r="BV332" s="147"/>
      <c r="BW332" s="147"/>
      <c r="BX332" s="147"/>
      <c r="BY332" s="147"/>
      <c r="BZ332" s="147"/>
      <c r="CA332" s="147"/>
      <c r="CB332" s="147"/>
      <c r="CC332" s="147"/>
      <c r="CD332" s="147"/>
      <c r="CE332" s="147"/>
      <c r="CF332" s="147"/>
      <c r="CG332" s="147"/>
      <c r="CH332" s="147"/>
      <c r="CI332" s="147"/>
      <c r="CJ332" s="147"/>
      <c r="CK332" s="147"/>
    </row>
    <row r="333" spans="1:89">
      <c r="A333" s="159" t="s">
        <v>512</v>
      </c>
      <c r="B333" s="154" t="s">
        <v>513</v>
      </c>
      <c r="C333" s="155" t="s">
        <v>81</v>
      </c>
      <c r="D333" s="155" t="s">
        <v>874</v>
      </c>
      <c r="E333" s="154" t="s">
        <v>21</v>
      </c>
      <c r="F333" s="3" t="s">
        <v>926</v>
      </c>
      <c r="G333" s="3" t="s">
        <v>916</v>
      </c>
      <c r="H333" s="156" t="str">
        <f ca="1">IFERROR(
  _xludf.MINIFS(ATTENDANCE_LOG!$F:$F,
         ATTENDANCE_LOG!$A:$A, C333,
         ATTENDANCE_LOG!$B:$B, E333),
"")</f>
        <v/>
      </c>
      <c r="I333" s="156" t="str">
        <f t="shared" ca="1" si="266"/>
        <v/>
      </c>
      <c r="J333" s="3">
        <f>IFERROR(VLOOKUP(F333, LEVEL_HELPER!$A:$B, 2, 0), "")</f>
        <v>1</v>
      </c>
      <c r="K333" s="3">
        <f>IFERROR(VLOOKUP(G333, LEVEL_HELPER!$A:$B, 2, 0), "")</f>
        <v>2.5</v>
      </c>
      <c r="L333" s="157" t="s">
        <v>942</v>
      </c>
      <c r="M333" s="157" t="s">
        <v>923</v>
      </c>
      <c r="N333" s="3">
        <f t="array" aca="1" ref="N333" ca="1">IFERROR(
  INDEX($J$2:$J$543,
    MATCH(A333&amp;TEXT(I333,"yyyy-mm-dd"),
          $A$2:$A$543&amp;TEXT($H$2:$H$543,"yyyy-mm-dd"),
          0)),
"")</f>
        <v>1</v>
      </c>
      <c r="O333" s="147" t="str">
        <f t="shared" ca="1" si="267"/>
        <v/>
      </c>
      <c r="P333" s="147">
        <f t="shared" ref="P333:Q333" ca="1" si="349">IF(N333="",0,IF(N333&lt;=2,1,IF(N333&lt;=4,2,IF(N333&lt;=5.5,3,4))))</f>
        <v>1</v>
      </c>
      <c r="Q333" s="147">
        <f t="shared" ca="1" si="349"/>
        <v>0</v>
      </c>
      <c r="R333" s="147" t="str">
        <f t="shared" ca="1" si="269"/>
        <v>Not tested yet</v>
      </c>
      <c r="S333" s="147">
        <f t="shared" si="270"/>
        <v>1</v>
      </c>
      <c r="T333" s="147"/>
      <c r="U333" s="147"/>
      <c r="V333" s="147"/>
      <c r="W333" s="147"/>
      <c r="X333" s="147"/>
      <c r="Y333" s="147"/>
      <c r="Z333" s="147"/>
      <c r="AA333" s="147"/>
      <c r="AB333" s="147"/>
      <c r="AC333" s="147"/>
      <c r="AD333" s="147"/>
      <c r="AE333" s="147"/>
      <c r="AF333" s="147"/>
      <c r="AG333" s="147"/>
      <c r="AH333" s="147"/>
      <c r="AI333" s="147"/>
      <c r="AJ333" s="147"/>
      <c r="AK333" s="147"/>
      <c r="AL333" s="147"/>
      <c r="AM333" s="151"/>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c r="BI333" s="147"/>
      <c r="BJ333" s="147"/>
      <c r="BK333" s="147"/>
      <c r="BL333" s="147"/>
      <c r="BM333" s="147"/>
      <c r="BN333" s="147"/>
      <c r="BO333" s="147"/>
      <c r="BP333" s="147"/>
      <c r="BQ333" s="147"/>
      <c r="BR333" s="147"/>
      <c r="BS333" s="147"/>
      <c r="BT333" s="147"/>
      <c r="BU333" s="147"/>
      <c r="BV333" s="147"/>
      <c r="BW333" s="147"/>
      <c r="BX333" s="147"/>
      <c r="BY333" s="147"/>
      <c r="BZ333" s="147"/>
      <c r="CA333" s="147"/>
      <c r="CB333" s="147"/>
      <c r="CC333" s="147"/>
      <c r="CD333" s="147"/>
      <c r="CE333" s="147"/>
      <c r="CF333" s="147"/>
      <c r="CG333" s="147"/>
      <c r="CH333" s="147"/>
      <c r="CI333" s="147"/>
      <c r="CJ333" s="147"/>
      <c r="CK333" s="147"/>
    </row>
    <row r="334" spans="1:89">
      <c r="A334" s="159" t="s">
        <v>524</v>
      </c>
      <c r="B334" s="3" t="s">
        <v>525</v>
      </c>
      <c r="C334" s="160" t="s">
        <v>81</v>
      </c>
      <c r="D334" s="160" t="s">
        <v>874</v>
      </c>
      <c r="E334" s="3" t="s">
        <v>21</v>
      </c>
      <c r="F334" s="3" t="s">
        <v>25</v>
      </c>
      <c r="G334" s="3" t="s">
        <v>928</v>
      </c>
      <c r="H334" s="156" t="str">
        <f ca="1">IFERROR(
  _xludf.MINIFS(ATTENDANCE_LOG!$F:$F,
         ATTENDANCE_LOG!$A:$A, C334,
         ATTENDANCE_LOG!$B:$B, E334),
"")</f>
        <v/>
      </c>
      <c r="I334" s="156" t="str">
        <f t="shared" ca="1" si="266"/>
        <v/>
      </c>
      <c r="J334" s="3">
        <f>IFERROR(VLOOKUP(F334, LEVEL_HELPER!$A:$B, 2, 0), "")</f>
        <v>0.5</v>
      </c>
      <c r="K334" s="3">
        <f>IFERROR(VLOOKUP(G334, LEVEL_HELPER!$A:$B, 2, 0), "")</f>
        <v>1.5</v>
      </c>
      <c r="L334" s="157" t="s">
        <v>942</v>
      </c>
      <c r="M334" s="157" t="s">
        <v>923</v>
      </c>
      <c r="N334" s="3">
        <f t="array" aca="1" ref="N334" ca="1">IFERROR(
  INDEX($J$2:$J$543,
    MATCH(A334&amp;TEXT(I334,"yyyy-mm-dd"),
          $A$2:$A$543&amp;TEXT($H$2:$H$543,"yyyy-mm-dd"),
          0)),
"")</f>
        <v>0.5</v>
      </c>
      <c r="O334" s="147" t="str">
        <f t="shared" ca="1" si="267"/>
        <v/>
      </c>
      <c r="P334" s="147">
        <f t="shared" ref="P334:Q334" ca="1" si="350">IF(N334="",0,IF(N334&lt;=2,1,IF(N334&lt;=4,2,IF(N334&lt;=5.5,3,4))))</f>
        <v>1</v>
      </c>
      <c r="Q334" s="147">
        <f t="shared" ca="1" si="350"/>
        <v>0</v>
      </c>
      <c r="R334" s="147" t="str">
        <f t="shared" ca="1" si="269"/>
        <v>Not tested yet</v>
      </c>
      <c r="S334" s="147">
        <f t="shared" si="270"/>
        <v>1</v>
      </c>
      <c r="T334" s="147"/>
      <c r="U334" s="147"/>
      <c r="V334" s="147"/>
      <c r="W334" s="147"/>
      <c r="X334" s="147"/>
      <c r="Y334" s="147"/>
      <c r="Z334" s="147"/>
      <c r="AA334" s="147"/>
      <c r="AB334" s="147"/>
      <c r="AC334" s="147"/>
      <c r="AD334" s="147"/>
      <c r="AE334" s="147"/>
      <c r="AF334" s="147"/>
      <c r="AG334" s="147"/>
      <c r="AH334" s="147"/>
      <c r="AI334" s="147"/>
      <c r="AJ334" s="147"/>
      <c r="AK334" s="147"/>
      <c r="AL334" s="147"/>
      <c r="AM334" s="151"/>
      <c r="AN334" s="147"/>
      <c r="AO334" s="147"/>
      <c r="AP334" s="147"/>
      <c r="AQ334" s="147"/>
      <c r="AR334" s="147"/>
      <c r="AS334" s="147"/>
      <c r="AT334" s="147"/>
      <c r="AU334" s="147"/>
      <c r="AV334" s="147"/>
      <c r="AW334" s="147"/>
      <c r="AX334" s="147"/>
      <c r="AY334" s="147"/>
      <c r="AZ334" s="147"/>
      <c r="BA334" s="147"/>
      <c r="BB334" s="147"/>
      <c r="BC334" s="147"/>
      <c r="BD334" s="147"/>
      <c r="BE334" s="147"/>
      <c r="BF334" s="147"/>
      <c r="BG334" s="147"/>
      <c r="BH334" s="147"/>
      <c r="BI334" s="147"/>
      <c r="BJ334" s="147"/>
      <c r="BK334" s="147"/>
      <c r="BL334" s="147"/>
      <c r="BM334" s="147"/>
      <c r="BN334" s="147"/>
      <c r="BO334" s="147"/>
      <c r="BP334" s="147"/>
      <c r="BQ334" s="147"/>
      <c r="BR334" s="147"/>
      <c r="BS334" s="147"/>
      <c r="BT334" s="147"/>
      <c r="BU334" s="147"/>
      <c r="BV334" s="147"/>
      <c r="BW334" s="147"/>
      <c r="BX334" s="147"/>
      <c r="BY334" s="147"/>
      <c r="BZ334" s="147"/>
      <c r="CA334" s="147"/>
      <c r="CB334" s="147"/>
      <c r="CC334" s="147"/>
      <c r="CD334" s="147"/>
      <c r="CE334" s="147"/>
      <c r="CF334" s="147"/>
      <c r="CG334" s="147"/>
      <c r="CH334" s="147"/>
      <c r="CI334" s="147"/>
      <c r="CJ334" s="147"/>
      <c r="CK334" s="147"/>
    </row>
    <row r="335" spans="1:89">
      <c r="A335" s="159" t="s">
        <v>530</v>
      </c>
      <c r="B335" s="3" t="s">
        <v>531</v>
      </c>
      <c r="C335" s="160" t="s">
        <v>81</v>
      </c>
      <c r="D335" s="160" t="s">
        <v>874</v>
      </c>
      <c r="E335" s="3" t="s">
        <v>21</v>
      </c>
      <c r="F335" s="3" t="s">
        <v>926</v>
      </c>
      <c r="G335" s="3" t="s">
        <v>917</v>
      </c>
      <c r="H335" s="156" t="str">
        <f ca="1">IFERROR(
  _xludf.MINIFS(ATTENDANCE_LOG!$F:$F,
         ATTENDANCE_LOG!$A:$A, C335,
         ATTENDANCE_LOG!$B:$B, E335),
"")</f>
        <v/>
      </c>
      <c r="I335" s="156" t="str">
        <f t="shared" ca="1" si="266"/>
        <v/>
      </c>
      <c r="J335" s="3">
        <f>IFERROR(VLOOKUP(F335, LEVEL_HELPER!$A:$B, 2, 0), "")</f>
        <v>1</v>
      </c>
      <c r="K335" s="3">
        <f>IFERROR(VLOOKUP(G335, LEVEL_HELPER!$A:$B, 2, 0), "")</f>
        <v>3</v>
      </c>
      <c r="L335" s="157" t="s">
        <v>942</v>
      </c>
      <c r="M335" s="157" t="s">
        <v>923</v>
      </c>
      <c r="N335" s="3">
        <f t="array" aca="1" ref="N335" ca="1">IFERROR(
  INDEX($J$2:$J$543,
    MATCH(A335&amp;TEXT(I335,"yyyy-mm-dd"),
          $A$2:$A$543&amp;TEXT($H$2:$H$543,"yyyy-mm-dd"),
          0)),
"")</f>
        <v>1</v>
      </c>
      <c r="O335" s="147" t="str">
        <f t="shared" ca="1" si="267"/>
        <v/>
      </c>
      <c r="P335" s="147">
        <f t="shared" ref="P335:Q335" ca="1" si="351">IF(N335="",0,IF(N335&lt;=2,1,IF(N335&lt;=4,2,IF(N335&lt;=5.5,3,4))))</f>
        <v>1</v>
      </c>
      <c r="Q335" s="147">
        <f t="shared" ca="1" si="351"/>
        <v>0</v>
      </c>
      <c r="R335" s="147" t="str">
        <f t="shared" ca="1" si="269"/>
        <v>Not tested yet</v>
      </c>
      <c r="S335" s="147">
        <f t="shared" si="270"/>
        <v>1</v>
      </c>
      <c r="T335" s="147"/>
      <c r="U335" s="147"/>
      <c r="V335" s="147"/>
      <c r="W335" s="147"/>
      <c r="X335" s="147"/>
      <c r="Y335" s="147"/>
      <c r="Z335" s="147"/>
      <c r="AA335" s="147"/>
      <c r="AB335" s="147"/>
      <c r="AC335" s="147"/>
      <c r="AD335" s="147"/>
      <c r="AE335" s="147"/>
      <c r="AF335" s="147"/>
      <c r="AG335" s="147"/>
      <c r="AH335" s="147"/>
      <c r="AI335" s="147"/>
      <c r="AJ335" s="147"/>
      <c r="AK335" s="147"/>
      <c r="AL335" s="147"/>
      <c r="AM335" s="151"/>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c r="BI335" s="147"/>
      <c r="BJ335" s="147"/>
      <c r="BK335" s="147"/>
      <c r="BL335" s="147"/>
      <c r="BM335" s="147"/>
      <c r="BN335" s="147"/>
      <c r="BO335" s="147"/>
      <c r="BP335" s="147"/>
      <c r="BQ335" s="147"/>
      <c r="BR335" s="147"/>
      <c r="BS335" s="147"/>
      <c r="BT335" s="147"/>
      <c r="BU335" s="147"/>
      <c r="BV335" s="147"/>
      <c r="BW335" s="147"/>
      <c r="BX335" s="147"/>
      <c r="BY335" s="147"/>
      <c r="BZ335" s="147"/>
      <c r="CA335" s="147"/>
      <c r="CB335" s="147"/>
      <c r="CC335" s="147"/>
      <c r="CD335" s="147"/>
      <c r="CE335" s="147"/>
      <c r="CF335" s="147"/>
      <c r="CG335" s="147"/>
      <c r="CH335" s="147"/>
      <c r="CI335" s="147"/>
      <c r="CJ335" s="147"/>
      <c r="CK335" s="147"/>
    </row>
    <row r="336" spans="1:89">
      <c r="A336" s="159" t="s">
        <v>621</v>
      </c>
      <c r="B336" s="3" t="s">
        <v>622</v>
      </c>
      <c r="C336" s="160" t="s">
        <v>81</v>
      </c>
      <c r="D336" s="160" t="s">
        <v>874</v>
      </c>
      <c r="E336" s="3" t="s">
        <v>21</v>
      </c>
      <c r="F336" s="3" t="s">
        <v>926</v>
      </c>
      <c r="G336" s="3" t="s">
        <v>934</v>
      </c>
      <c r="H336" s="156" t="str">
        <f ca="1">IFERROR(
  _xludf.MINIFS(ATTENDANCE_LOG!$F:$F,
         ATTENDANCE_LOG!$A:$A, C336,
         ATTENDANCE_LOG!$B:$B, E336),
"")</f>
        <v/>
      </c>
      <c r="I336" s="156" t="str">
        <f t="shared" ca="1" si="266"/>
        <v/>
      </c>
      <c r="J336" s="3">
        <f>IFERROR(VLOOKUP(F336, LEVEL_HELPER!$A:$B, 2, 0), "")</f>
        <v>1</v>
      </c>
      <c r="K336" s="3">
        <f>IFERROR(VLOOKUP(G336, LEVEL_HELPER!$A:$B, 2, 0), "")</f>
        <v>3.5</v>
      </c>
      <c r="L336" s="157" t="s">
        <v>942</v>
      </c>
      <c r="M336" s="157" t="s">
        <v>923</v>
      </c>
      <c r="N336" s="3">
        <f t="array" aca="1" ref="N336" ca="1">IFERROR(
  INDEX($J$2:$J$543,
    MATCH(A336&amp;TEXT(I336,"yyyy-mm-dd"),
          $A$2:$A$543&amp;TEXT($H$2:$H$543,"yyyy-mm-dd"),
          0)),
"")</f>
        <v>1</v>
      </c>
      <c r="O336" s="147" t="str">
        <f t="shared" ca="1" si="267"/>
        <v/>
      </c>
      <c r="P336" s="147">
        <f t="shared" ref="P336:Q336" ca="1" si="352">IF(N336="",0,IF(N336&lt;=2,1,IF(N336&lt;=4,2,IF(N336&lt;=5.5,3,4))))</f>
        <v>1</v>
      </c>
      <c r="Q336" s="147">
        <f t="shared" ca="1" si="352"/>
        <v>0</v>
      </c>
      <c r="R336" s="147" t="str">
        <f t="shared" ca="1" si="269"/>
        <v>Not tested yet</v>
      </c>
      <c r="S336" s="147">
        <f t="shared" si="270"/>
        <v>1</v>
      </c>
      <c r="T336" s="147"/>
      <c r="U336" s="147"/>
      <c r="V336" s="147"/>
      <c r="W336" s="147"/>
      <c r="X336" s="147"/>
      <c r="Y336" s="147"/>
      <c r="Z336" s="147"/>
      <c r="AA336" s="147"/>
      <c r="AB336" s="147"/>
      <c r="AC336" s="147"/>
      <c r="AD336" s="147"/>
      <c r="AE336" s="147"/>
      <c r="AF336" s="147"/>
      <c r="AG336" s="147"/>
      <c r="AH336" s="147"/>
      <c r="AI336" s="147"/>
      <c r="AJ336" s="147"/>
      <c r="AK336" s="147"/>
      <c r="AL336" s="147"/>
      <c r="AM336" s="151"/>
      <c r="AN336" s="147"/>
      <c r="AO336" s="147"/>
      <c r="AP336" s="147"/>
      <c r="AQ336" s="147"/>
      <c r="AR336" s="147"/>
      <c r="AS336" s="147"/>
      <c r="AT336" s="147"/>
      <c r="AU336" s="147"/>
      <c r="AV336" s="147"/>
      <c r="AW336" s="147"/>
      <c r="AX336" s="147"/>
      <c r="AY336" s="147"/>
      <c r="AZ336" s="147"/>
      <c r="BA336" s="147"/>
      <c r="BB336" s="147"/>
      <c r="BC336" s="147"/>
      <c r="BD336" s="147"/>
      <c r="BE336" s="147"/>
      <c r="BF336" s="147"/>
      <c r="BG336" s="147"/>
      <c r="BH336" s="147"/>
      <c r="BI336" s="147"/>
      <c r="BJ336" s="147"/>
      <c r="BK336" s="147"/>
      <c r="BL336" s="147"/>
      <c r="BM336" s="147"/>
      <c r="BN336" s="147"/>
      <c r="BO336" s="147"/>
      <c r="BP336" s="147"/>
      <c r="BQ336" s="147"/>
      <c r="BR336" s="147"/>
      <c r="BS336" s="147"/>
      <c r="BT336" s="147"/>
      <c r="BU336" s="147"/>
      <c r="BV336" s="147"/>
      <c r="BW336" s="147"/>
      <c r="BX336" s="147"/>
      <c r="BY336" s="147"/>
      <c r="BZ336" s="147"/>
      <c r="CA336" s="147"/>
      <c r="CB336" s="147"/>
      <c r="CC336" s="147"/>
      <c r="CD336" s="147"/>
      <c r="CE336" s="147"/>
      <c r="CF336" s="147"/>
      <c r="CG336" s="147"/>
      <c r="CH336" s="147"/>
      <c r="CI336" s="147"/>
      <c r="CJ336" s="147"/>
      <c r="CK336" s="147"/>
    </row>
    <row r="337" spans="1:89">
      <c r="A337" s="159" t="s">
        <v>526</v>
      </c>
      <c r="B337" s="154" t="s">
        <v>527</v>
      </c>
      <c r="C337" s="155" t="s">
        <v>82</v>
      </c>
      <c r="D337" s="155" t="s">
        <v>875</v>
      </c>
      <c r="E337" s="154" t="s">
        <v>21</v>
      </c>
      <c r="F337" s="3" t="s">
        <v>926</v>
      </c>
      <c r="G337" s="3" t="s">
        <v>926</v>
      </c>
      <c r="H337" s="156" t="str">
        <f ca="1">IFERROR(
  _xludf.MINIFS(ATTENDANCE_LOG!$F:$F,
         ATTENDANCE_LOG!$A:$A, C337,
         ATTENDANCE_LOG!$B:$B, E337),
"")</f>
        <v/>
      </c>
      <c r="I337" s="156" t="str">
        <f t="shared" ca="1" si="266"/>
        <v/>
      </c>
      <c r="J337" s="3">
        <f>IFERROR(VLOOKUP(F337, LEVEL_HELPER!$A:$B, 2, 0), "")</f>
        <v>1</v>
      </c>
      <c r="K337" s="3">
        <f>IFERROR(VLOOKUP(G337, LEVEL_HELPER!$A:$B, 2, 0), "")</f>
        <v>1</v>
      </c>
      <c r="L337" s="157" t="s">
        <v>942</v>
      </c>
      <c r="M337" s="157" t="s">
        <v>923</v>
      </c>
      <c r="N337" s="3">
        <f t="array" aca="1" ref="N337" ca="1">IFERROR(
  INDEX($J$2:$J$543,
    MATCH(A337&amp;TEXT(I337,"yyyy-mm-dd"),
          $A$2:$A$543&amp;TEXT($H$2:$H$543,"yyyy-mm-dd"),
          0)),
"")</f>
        <v>1</v>
      </c>
      <c r="O337" s="147" t="str">
        <f t="shared" ca="1" si="267"/>
        <v/>
      </c>
      <c r="P337" s="147">
        <f t="shared" ref="P337:Q337" ca="1" si="353">IF(N337="",0,IF(N337&lt;=2,1,IF(N337&lt;=4,2,IF(N337&lt;=5.5,3,4))))</f>
        <v>1</v>
      </c>
      <c r="Q337" s="147">
        <f t="shared" ca="1" si="353"/>
        <v>0</v>
      </c>
      <c r="R337" s="147" t="str">
        <f t="shared" ca="1" si="269"/>
        <v>Not tested yet</v>
      </c>
      <c r="S337" s="147">
        <f t="shared" si="270"/>
        <v>1</v>
      </c>
      <c r="T337" s="147"/>
      <c r="U337" s="147"/>
      <c r="V337" s="147"/>
      <c r="W337" s="147"/>
      <c r="X337" s="147"/>
      <c r="Y337" s="147"/>
      <c r="Z337" s="147"/>
      <c r="AA337" s="147"/>
      <c r="AB337" s="147"/>
      <c r="AC337" s="147"/>
      <c r="AD337" s="147"/>
      <c r="AE337" s="147"/>
      <c r="AF337" s="147"/>
      <c r="AG337" s="147"/>
      <c r="AH337" s="147"/>
      <c r="AI337" s="147"/>
      <c r="AJ337" s="147"/>
      <c r="AK337" s="147"/>
      <c r="AL337" s="147"/>
      <c r="AM337" s="151"/>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c r="BI337" s="147"/>
      <c r="BJ337" s="147"/>
      <c r="BK337" s="147"/>
      <c r="BL337" s="147"/>
      <c r="BM337" s="147"/>
      <c r="BN337" s="147"/>
      <c r="BO337" s="147"/>
      <c r="BP337" s="147"/>
      <c r="BQ337" s="147"/>
      <c r="BR337" s="147"/>
      <c r="BS337" s="147"/>
      <c r="BT337" s="147"/>
      <c r="BU337" s="147"/>
      <c r="BV337" s="147"/>
      <c r="BW337" s="147"/>
      <c r="BX337" s="147"/>
      <c r="BY337" s="147"/>
      <c r="BZ337" s="147"/>
      <c r="CA337" s="147"/>
      <c r="CB337" s="147"/>
      <c r="CC337" s="147"/>
      <c r="CD337" s="147"/>
      <c r="CE337" s="147"/>
      <c r="CF337" s="147"/>
      <c r="CG337" s="147"/>
      <c r="CH337" s="147"/>
      <c r="CI337" s="147"/>
      <c r="CJ337" s="147"/>
      <c r="CK337" s="147"/>
    </row>
    <row r="338" spans="1:89">
      <c r="A338" s="159" t="s">
        <v>271</v>
      </c>
      <c r="B338" s="3" t="s">
        <v>272</v>
      </c>
      <c r="C338" s="160" t="s">
        <v>82</v>
      </c>
      <c r="D338" s="160" t="s">
        <v>875</v>
      </c>
      <c r="E338" s="3" t="s">
        <v>21</v>
      </c>
      <c r="F338" s="3" t="s">
        <v>926</v>
      </c>
      <c r="G338" s="3" t="s">
        <v>926</v>
      </c>
      <c r="H338" s="156" t="str">
        <f ca="1">IFERROR(
  _xludf.MINIFS(ATTENDANCE_LOG!$F:$F,
         ATTENDANCE_LOG!$A:$A, C338,
         ATTENDANCE_LOG!$B:$B, E338),
"")</f>
        <v/>
      </c>
      <c r="I338" s="156" t="str">
        <f t="shared" ca="1" si="266"/>
        <v/>
      </c>
      <c r="J338" s="3">
        <f>IFERROR(VLOOKUP(F338, LEVEL_HELPER!$A:$B, 2, 0), "")</f>
        <v>1</v>
      </c>
      <c r="K338" s="3">
        <f>IFERROR(VLOOKUP(G338, LEVEL_HELPER!$A:$B, 2, 0), "")</f>
        <v>1</v>
      </c>
      <c r="L338" s="157" t="s">
        <v>942</v>
      </c>
      <c r="M338" s="157" t="s">
        <v>925</v>
      </c>
      <c r="N338" s="3">
        <f t="array" aca="1" ref="N338" ca="1">IFERROR(
  INDEX($J$2:$J$543,
    MATCH(A338&amp;TEXT(I338,"yyyy-mm-dd"),
          $A$2:$A$543&amp;TEXT($H$2:$H$543,"yyyy-mm-dd"),
          0)),
"")</f>
        <v>1</v>
      </c>
      <c r="O338" s="147" t="str">
        <f t="shared" ca="1" si="267"/>
        <v/>
      </c>
      <c r="P338" s="147">
        <f t="shared" ref="P338:Q338" ca="1" si="354">IF(N338="",0,IF(N338&lt;=2,1,IF(N338&lt;=4,2,IF(N338&lt;=5.5,3,4))))</f>
        <v>1</v>
      </c>
      <c r="Q338" s="147">
        <f t="shared" ca="1" si="354"/>
        <v>0</v>
      </c>
      <c r="R338" s="147" t="str">
        <f t="shared" ca="1" si="269"/>
        <v>Not tested yet</v>
      </c>
      <c r="S338" s="147">
        <f t="shared" si="270"/>
        <v>1</v>
      </c>
      <c r="T338" s="147"/>
      <c r="U338" s="147"/>
      <c r="V338" s="147"/>
      <c r="W338" s="147"/>
      <c r="X338" s="147"/>
      <c r="Y338" s="147"/>
      <c r="Z338" s="147"/>
      <c r="AA338" s="147"/>
      <c r="AB338" s="147"/>
      <c r="AC338" s="147"/>
      <c r="AD338" s="147"/>
      <c r="AE338" s="147"/>
      <c r="AF338" s="147"/>
      <c r="AG338" s="147"/>
      <c r="AH338" s="147"/>
      <c r="AI338" s="147"/>
      <c r="AJ338" s="147"/>
      <c r="AK338" s="147"/>
      <c r="AL338" s="147"/>
      <c r="AM338" s="151"/>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row>
    <row r="339" spans="1:89">
      <c r="A339" s="159" t="s">
        <v>279</v>
      </c>
      <c r="B339" s="3" t="s">
        <v>280</v>
      </c>
      <c r="C339" s="160" t="s">
        <v>82</v>
      </c>
      <c r="D339" s="160" t="s">
        <v>875</v>
      </c>
      <c r="E339" s="3" t="s">
        <v>21</v>
      </c>
      <c r="F339" s="3" t="s">
        <v>926</v>
      </c>
      <c r="G339" s="3" t="s">
        <v>917</v>
      </c>
      <c r="H339" s="156" t="str">
        <f ca="1">IFERROR(
  _xludf.MINIFS(ATTENDANCE_LOG!$F:$F,
         ATTENDANCE_LOG!$A:$A, C339,
         ATTENDANCE_LOG!$B:$B, E339),
"")</f>
        <v/>
      </c>
      <c r="I339" s="156" t="str">
        <f t="shared" ca="1" si="266"/>
        <v/>
      </c>
      <c r="J339" s="3">
        <f>IFERROR(VLOOKUP(F339, LEVEL_HELPER!$A:$B, 2, 0), "")</f>
        <v>1</v>
      </c>
      <c r="K339" s="3">
        <f>IFERROR(VLOOKUP(G339, LEVEL_HELPER!$A:$B, 2, 0), "")</f>
        <v>3</v>
      </c>
      <c r="L339" s="157" t="s">
        <v>942</v>
      </c>
      <c r="M339" s="157" t="s">
        <v>923</v>
      </c>
      <c r="N339" s="3">
        <f t="array" aca="1" ref="N339" ca="1">IFERROR(
  INDEX($J$2:$J$543,
    MATCH(A339&amp;TEXT(I339,"yyyy-mm-dd"),
          $A$2:$A$543&amp;TEXT($H$2:$H$543,"yyyy-mm-dd"),
          0)),
"")</f>
        <v>1</v>
      </c>
      <c r="O339" s="147" t="str">
        <f t="shared" ca="1" si="267"/>
        <v/>
      </c>
      <c r="P339" s="147">
        <f t="shared" ref="P339:Q339" ca="1" si="355">IF(N339="",0,IF(N339&lt;=2,1,IF(N339&lt;=4,2,IF(N339&lt;=5.5,3,4))))</f>
        <v>1</v>
      </c>
      <c r="Q339" s="147">
        <f t="shared" ca="1" si="355"/>
        <v>0</v>
      </c>
      <c r="R339" s="147" t="str">
        <f t="shared" ca="1" si="269"/>
        <v>Not tested yet</v>
      </c>
      <c r="S339" s="147">
        <f t="shared" si="270"/>
        <v>1</v>
      </c>
      <c r="T339" s="147"/>
      <c r="U339" s="147"/>
      <c r="V339" s="147"/>
      <c r="W339" s="147"/>
      <c r="X339" s="147"/>
      <c r="Y339" s="147"/>
      <c r="Z339" s="147"/>
      <c r="AA339" s="147"/>
      <c r="AB339" s="147"/>
      <c r="AC339" s="147"/>
      <c r="AD339" s="147"/>
      <c r="AE339" s="147"/>
      <c r="AF339" s="147"/>
      <c r="AG339" s="147"/>
      <c r="AH339" s="147"/>
      <c r="AI339" s="147"/>
      <c r="AJ339" s="147"/>
      <c r="AK339" s="147"/>
      <c r="AL339" s="147"/>
      <c r="AM339" s="151"/>
      <c r="AN339" s="147"/>
      <c r="AO339" s="147"/>
      <c r="AP339" s="147"/>
      <c r="AQ339" s="147"/>
      <c r="AR339" s="147"/>
      <c r="AS339" s="147"/>
      <c r="AT339" s="147"/>
      <c r="AU339" s="147"/>
      <c r="AV339" s="147"/>
      <c r="AW339" s="147"/>
      <c r="AX339" s="147"/>
      <c r="AY339" s="147"/>
      <c r="AZ339" s="147"/>
      <c r="BA339" s="147"/>
      <c r="BB339" s="147"/>
      <c r="BC339" s="147"/>
      <c r="BD339" s="147"/>
      <c r="BE339" s="147"/>
      <c r="BF339" s="147"/>
      <c r="BG339" s="147"/>
      <c r="BH339" s="147"/>
      <c r="BI339" s="147"/>
      <c r="BJ339" s="147"/>
      <c r="BK339" s="147"/>
      <c r="BL339" s="147"/>
      <c r="BM339" s="147"/>
      <c r="BN339" s="147"/>
      <c r="BO339" s="147"/>
      <c r="BP339" s="147"/>
      <c r="BQ339" s="147"/>
      <c r="BR339" s="147"/>
      <c r="BS339" s="147"/>
      <c r="BT339" s="147"/>
      <c r="BU339" s="147"/>
      <c r="BV339" s="147"/>
      <c r="BW339" s="147"/>
      <c r="BX339" s="147"/>
      <c r="BY339" s="147"/>
      <c r="BZ339" s="147"/>
      <c r="CA339" s="147"/>
      <c r="CB339" s="147"/>
      <c r="CC339" s="147"/>
      <c r="CD339" s="147"/>
      <c r="CE339" s="147"/>
      <c r="CF339" s="147"/>
      <c r="CG339" s="147"/>
      <c r="CH339" s="147"/>
      <c r="CI339" s="147"/>
      <c r="CJ339" s="147"/>
      <c r="CK339" s="147"/>
    </row>
    <row r="340" spans="1:89">
      <c r="A340" s="159" t="s">
        <v>300</v>
      </c>
      <c r="B340" s="3" t="s">
        <v>301</v>
      </c>
      <c r="C340" s="160" t="s">
        <v>82</v>
      </c>
      <c r="D340" s="160" t="s">
        <v>875</v>
      </c>
      <c r="E340" s="3" t="s">
        <v>21</v>
      </c>
      <c r="F340" s="3" t="s">
        <v>926</v>
      </c>
      <c r="G340" s="3" t="s">
        <v>917</v>
      </c>
      <c r="H340" s="156" t="str">
        <f ca="1">IFERROR(
  _xludf.MINIFS(ATTENDANCE_LOG!$F:$F,
         ATTENDANCE_LOG!$A:$A, C340,
         ATTENDANCE_LOG!$B:$B, E340),
"")</f>
        <v/>
      </c>
      <c r="I340" s="156" t="str">
        <f t="shared" ca="1" si="266"/>
        <v/>
      </c>
      <c r="J340" s="3">
        <f>IFERROR(VLOOKUP(F340, LEVEL_HELPER!$A:$B, 2, 0), "")</f>
        <v>1</v>
      </c>
      <c r="K340" s="3">
        <f>IFERROR(VLOOKUP(G340, LEVEL_HELPER!$A:$B, 2, 0), "")</f>
        <v>3</v>
      </c>
      <c r="L340" s="157" t="s">
        <v>942</v>
      </c>
      <c r="M340" s="157" t="s">
        <v>923</v>
      </c>
      <c r="N340" s="3">
        <f t="array" aca="1" ref="N340" ca="1">IFERROR(
  INDEX($J$2:$J$543,
    MATCH(A340&amp;TEXT(I340,"yyyy-mm-dd"),
          $A$2:$A$543&amp;TEXT($H$2:$H$543,"yyyy-mm-dd"),
          0)),
"")</f>
        <v>1</v>
      </c>
      <c r="O340" s="147" t="str">
        <f t="shared" ca="1" si="267"/>
        <v/>
      </c>
      <c r="P340" s="147">
        <f t="shared" ref="P340:Q340" ca="1" si="356">IF(N340="",0,IF(N340&lt;=2,1,IF(N340&lt;=4,2,IF(N340&lt;=5.5,3,4))))</f>
        <v>1</v>
      </c>
      <c r="Q340" s="147">
        <f t="shared" ca="1" si="356"/>
        <v>0</v>
      </c>
      <c r="R340" s="147" t="str">
        <f t="shared" ca="1" si="269"/>
        <v>Not tested yet</v>
      </c>
      <c r="S340" s="147">
        <f t="shared" si="270"/>
        <v>1</v>
      </c>
      <c r="T340" s="147"/>
      <c r="U340" s="147"/>
      <c r="V340" s="147"/>
      <c r="W340" s="147"/>
      <c r="X340" s="147"/>
      <c r="Y340" s="147"/>
      <c r="Z340" s="147"/>
      <c r="AA340" s="147"/>
      <c r="AB340" s="147"/>
      <c r="AC340" s="147"/>
      <c r="AD340" s="147"/>
      <c r="AE340" s="147"/>
      <c r="AF340" s="147"/>
      <c r="AG340" s="147"/>
      <c r="AH340" s="147"/>
      <c r="AI340" s="147"/>
      <c r="AJ340" s="147"/>
      <c r="AK340" s="147"/>
      <c r="AL340" s="147"/>
      <c r="AM340" s="151"/>
      <c r="AN340" s="147"/>
      <c r="AO340" s="147"/>
      <c r="AP340" s="147"/>
      <c r="AQ340" s="147"/>
      <c r="AR340" s="147"/>
      <c r="AS340" s="147"/>
      <c r="AT340" s="147"/>
      <c r="AU340" s="147"/>
      <c r="AV340" s="147"/>
      <c r="AW340" s="147"/>
      <c r="AX340" s="147"/>
      <c r="AY340" s="147"/>
      <c r="AZ340" s="147"/>
      <c r="BA340" s="147"/>
      <c r="BB340" s="147"/>
      <c r="BC340" s="147"/>
      <c r="BD340" s="147"/>
      <c r="BE340" s="147"/>
      <c r="BF340" s="147"/>
      <c r="BG340" s="147"/>
      <c r="BH340" s="147"/>
      <c r="BI340" s="147"/>
      <c r="BJ340" s="147"/>
      <c r="BK340" s="147"/>
      <c r="BL340" s="147"/>
      <c r="BM340" s="147"/>
      <c r="BN340" s="147"/>
      <c r="BO340" s="147"/>
      <c r="BP340" s="147"/>
      <c r="BQ340" s="147"/>
      <c r="BR340" s="147"/>
      <c r="BS340" s="147"/>
      <c r="BT340" s="147"/>
      <c r="BU340" s="147"/>
      <c r="BV340" s="147"/>
      <c r="BW340" s="147"/>
      <c r="BX340" s="147"/>
      <c r="BY340" s="147"/>
      <c r="BZ340" s="147"/>
      <c r="CA340" s="147"/>
      <c r="CB340" s="147"/>
      <c r="CC340" s="147"/>
      <c r="CD340" s="147"/>
      <c r="CE340" s="147"/>
      <c r="CF340" s="147"/>
      <c r="CG340" s="147"/>
      <c r="CH340" s="147"/>
      <c r="CI340" s="147"/>
      <c r="CJ340" s="147"/>
      <c r="CK340" s="147"/>
    </row>
    <row r="341" spans="1:89">
      <c r="A341" s="159" t="s">
        <v>350</v>
      </c>
      <c r="B341" s="3" t="s">
        <v>351</v>
      </c>
      <c r="C341" s="160" t="s">
        <v>82</v>
      </c>
      <c r="D341" s="160" t="s">
        <v>875</v>
      </c>
      <c r="E341" s="3" t="s">
        <v>21</v>
      </c>
      <c r="F341" s="3" t="s">
        <v>926</v>
      </c>
      <c r="G341" s="3" t="s">
        <v>926</v>
      </c>
      <c r="H341" s="156" t="str">
        <f ca="1">IFERROR(
  _xludf.MINIFS(ATTENDANCE_LOG!$F:$F,
         ATTENDANCE_LOG!$A:$A, C341,
         ATTENDANCE_LOG!$B:$B, E341),
"")</f>
        <v/>
      </c>
      <c r="I341" s="156" t="str">
        <f t="shared" ca="1" si="266"/>
        <v/>
      </c>
      <c r="J341" s="3">
        <f>IFERROR(VLOOKUP(F341, LEVEL_HELPER!$A:$B, 2, 0), "")</f>
        <v>1</v>
      </c>
      <c r="K341" s="3">
        <f>IFERROR(VLOOKUP(G341, LEVEL_HELPER!$A:$B, 2, 0), "")</f>
        <v>1</v>
      </c>
      <c r="L341" s="157" t="s">
        <v>942</v>
      </c>
      <c r="M341" s="157" t="s">
        <v>923</v>
      </c>
      <c r="N341" s="3">
        <f t="array" aca="1" ref="N341" ca="1">IFERROR(
  INDEX($J$2:$J$543,
    MATCH(A341&amp;TEXT(I341,"yyyy-mm-dd"),
          $A$2:$A$543&amp;TEXT($H$2:$H$543,"yyyy-mm-dd"),
          0)),
"")</f>
        <v>1</v>
      </c>
      <c r="O341" s="147" t="str">
        <f t="shared" ca="1" si="267"/>
        <v/>
      </c>
      <c r="P341" s="147">
        <f t="shared" ref="P341:Q341" ca="1" si="357">IF(N341="",0,IF(N341&lt;=2,1,IF(N341&lt;=4,2,IF(N341&lt;=5.5,3,4))))</f>
        <v>1</v>
      </c>
      <c r="Q341" s="147">
        <f t="shared" ca="1" si="357"/>
        <v>0</v>
      </c>
      <c r="R341" s="147" t="str">
        <f t="shared" ca="1" si="269"/>
        <v>Not tested yet</v>
      </c>
      <c r="S341" s="147">
        <f t="shared" si="270"/>
        <v>1</v>
      </c>
      <c r="T341" s="147"/>
      <c r="U341" s="147"/>
      <c r="V341" s="147"/>
      <c r="W341" s="147"/>
      <c r="X341" s="147"/>
      <c r="Y341" s="147"/>
      <c r="Z341" s="147"/>
      <c r="AA341" s="147"/>
      <c r="AB341" s="147"/>
      <c r="AC341" s="147"/>
      <c r="AD341" s="147"/>
      <c r="AE341" s="147"/>
      <c r="AF341" s="147"/>
      <c r="AG341" s="147"/>
      <c r="AH341" s="147"/>
      <c r="AI341" s="147"/>
      <c r="AJ341" s="147"/>
      <c r="AK341" s="147"/>
      <c r="AL341" s="147"/>
      <c r="AM341" s="151"/>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c r="BI341" s="147"/>
      <c r="BJ341" s="147"/>
      <c r="BK341" s="147"/>
      <c r="BL341" s="147"/>
      <c r="BM341" s="147"/>
      <c r="BN341" s="147"/>
      <c r="BO341" s="147"/>
      <c r="BP341" s="147"/>
      <c r="BQ341" s="147"/>
      <c r="BR341" s="147"/>
      <c r="BS341" s="147"/>
      <c r="BT341" s="147"/>
      <c r="BU341" s="147"/>
      <c r="BV341" s="147"/>
      <c r="BW341" s="147"/>
      <c r="BX341" s="147"/>
      <c r="BY341" s="147"/>
      <c r="BZ341" s="147"/>
      <c r="CA341" s="147"/>
      <c r="CB341" s="147"/>
      <c r="CC341" s="147"/>
      <c r="CD341" s="147"/>
      <c r="CE341" s="147"/>
      <c r="CF341" s="147"/>
      <c r="CG341" s="147"/>
      <c r="CH341" s="147"/>
      <c r="CI341" s="147"/>
      <c r="CJ341" s="147"/>
      <c r="CK341" s="147"/>
    </row>
    <row r="342" spans="1:89">
      <c r="A342" s="159" t="s">
        <v>526</v>
      </c>
      <c r="B342" s="154" t="s">
        <v>527</v>
      </c>
      <c r="C342" s="155" t="s">
        <v>82</v>
      </c>
      <c r="D342" s="155" t="s">
        <v>875</v>
      </c>
      <c r="E342" s="154" t="s">
        <v>22</v>
      </c>
      <c r="F342" s="3" t="s">
        <v>926</v>
      </c>
      <c r="G342" s="3" t="s">
        <v>917</v>
      </c>
      <c r="H342" s="156" t="str">
        <f ca="1">IFERROR(
  _xludf.MINIFS(ATTENDANCE_LOG!$F:$F,
         ATTENDANCE_LOG!$A:$A, C342,
         ATTENDANCE_LOG!$B:$B, E342),
"")</f>
        <v/>
      </c>
      <c r="I342" s="156" t="str">
        <f t="shared" ca="1" si="266"/>
        <v/>
      </c>
      <c r="J342" s="3">
        <f>IFERROR(VLOOKUP(F342, LEVEL_HELPER!$A:$B, 2, 0), "")</f>
        <v>1</v>
      </c>
      <c r="K342" s="3">
        <f>IFERROR(VLOOKUP(G342, LEVEL_HELPER!$A:$B, 2, 0), "")</f>
        <v>3</v>
      </c>
      <c r="L342" s="157" t="s">
        <v>942</v>
      </c>
      <c r="M342" s="157" t="s">
        <v>923</v>
      </c>
      <c r="N342" s="3">
        <f t="array" aca="1" ref="N342" ca="1">IFERROR(
  INDEX($J$2:$J$543,
    MATCH(A342&amp;TEXT(I342,"yyyy-mm-dd"),
          $A$2:$A$543&amp;TEXT($H$2:$H$543,"yyyy-mm-dd"),
          0)),
"")</f>
        <v>1</v>
      </c>
      <c r="O342" s="147" t="str">
        <f t="shared" ca="1" si="267"/>
        <v/>
      </c>
      <c r="P342" s="147">
        <f t="shared" ref="P342:Q342" ca="1" si="358">IF(N342="",0,IF(N342&lt;=2,1,IF(N342&lt;=4,2,IF(N342&lt;=5.5,3,4))))</f>
        <v>1</v>
      </c>
      <c r="Q342" s="147">
        <f t="shared" ca="1" si="358"/>
        <v>0</v>
      </c>
      <c r="R342" s="147" t="str">
        <f t="shared" ca="1" si="269"/>
        <v>Not tested yet</v>
      </c>
      <c r="S342" s="147">
        <f t="shared" si="270"/>
        <v>0</v>
      </c>
      <c r="T342" s="147"/>
      <c r="U342" s="147"/>
      <c r="V342" s="147"/>
      <c r="W342" s="147"/>
      <c r="X342" s="147"/>
      <c r="Y342" s="147"/>
      <c r="Z342" s="147"/>
      <c r="AA342" s="147"/>
      <c r="AB342" s="147"/>
      <c r="AC342" s="147"/>
      <c r="AD342" s="147"/>
      <c r="AE342" s="147"/>
      <c r="AF342" s="147"/>
      <c r="AG342" s="147"/>
      <c r="AH342" s="147"/>
      <c r="AI342" s="147"/>
      <c r="AJ342" s="147"/>
      <c r="AK342" s="147"/>
      <c r="AL342" s="147"/>
      <c r="AM342" s="151"/>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c r="BI342" s="147"/>
      <c r="BJ342" s="147"/>
      <c r="BK342" s="147"/>
      <c r="BL342" s="147"/>
      <c r="BM342" s="147"/>
      <c r="BN342" s="147"/>
      <c r="BO342" s="147"/>
      <c r="BP342" s="147"/>
      <c r="BQ342" s="147"/>
      <c r="BR342" s="147"/>
      <c r="BS342" s="147"/>
      <c r="BT342" s="147"/>
      <c r="BU342" s="147"/>
      <c r="BV342" s="147"/>
      <c r="BW342" s="147"/>
      <c r="BX342" s="147"/>
      <c r="BY342" s="147"/>
      <c r="BZ342" s="147"/>
      <c r="CA342" s="147"/>
      <c r="CB342" s="147"/>
      <c r="CC342" s="147"/>
      <c r="CD342" s="147"/>
      <c r="CE342" s="147"/>
      <c r="CF342" s="147"/>
      <c r="CG342" s="147"/>
      <c r="CH342" s="147"/>
      <c r="CI342" s="147"/>
      <c r="CJ342" s="147"/>
      <c r="CK342" s="147"/>
    </row>
    <row r="343" spans="1:89">
      <c r="A343" s="159" t="s">
        <v>271</v>
      </c>
      <c r="B343" s="3" t="s">
        <v>272</v>
      </c>
      <c r="C343" s="160" t="s">
        <v>82</v>
      </c>
      <c r="D343" s="160" t="s">
        <v>875</v>
      </c>
      <c r="E343" s="3" t="s">
        <v>22</v>
      </c>
      <c r="F343" s="3" t="s">
        <v>926</v>
      </c>
      <c r="G343" s="3"/>
      <c r="H343" s="156" t="str">
        <f ca="1">IFERROR(
  _xludf.MINIFS(ATTENDANCE_LOG!$F:$F,
         ATTENDANCE_LOG!$A:$A, C343,
         ATTENDANCE_LOG!$B:$B, E343),
"")</f>
        <v/>
      </c>
      <c r="I343" s="156" t="str">
        <f t="shared" ca="1" si="266"/>
        <v/>
      </c>
      <c r="J343" s="3">
        <f>IFERROR(VLOOKUP(F343, LEVEL_HELPER!$A:$B, 2, 0), "")</f>
        <v>1</v>
      </c>
      <c r="K343" s="3" t="str">
        <f>IFERROR(VLOOKUP(G343, LEVEL_HELPER!$A:$B, 2, 0), "")</f>
        <v/>
      </c>
      <c r="L343" s="157" t="s">
        <v>942</v>
      </c>
      <c r="M343" s="157" t="s">
        <v>925</v>
      </c>
      <c r="N343" s="3">
        <f t="array" aca="1" ref="N343" ca="1">IFERROR(
  INDEX($J$2:$J$543,
    MATCH(A343&amp;TEXT(I343,"yyyy-mm-dd"),
          $A$2:$A$543&amp;TEXT($H$2:$H$543,"yyyy-mm-dd"),
          0)),
"")</f>
        <v>1</v>
      </c>
      <c r="O343" s="147" t="str">
        <f t="shared" ca="1" si="267"/>
        <v/>
      </c>
      <c r="P343" s="147">
        <f t="shared" ref="P343:Q343" ca="1" si="359">IF(N343="",0,IF(N343&lt;=2,1,IF(N343&lt;=4,2,IF(N343&lt;=5.5,3,4))))</f>
        <v>1</v>
      </c>
      <c r="Q343" s="147">
        <f t="shared" ca="1" si="359"/>
        <v>0</v>
      </c>
      <c r="R343" s="147" t="str">
        <f t="shared" ca="1" si="269"/>
        <v>Not tested yet</v>
      </c>
      <c r="S343" s="147">
        <f t="shared" si="270"/>
        <v>0</v>
      </c>
      <c r="T343" s="147"/>
      <c r="U343" s="147"/>
      <c r="V343" s="147"/>
      <c r="W343" s="147"/>
      <c r="X343" s="147"/>
      <c r="Y343" s="147"/>
      <c r="Z343" s="147"/>
      <c r="AA343" s="147"/>
      <c r="AB343" s="147"/>
      <c r="AC343" s="147"/>
      <c r="AD343" s="147"/>
      <c r="AE343" s="147"/>
      <c r="AF343" s="147"/>
      <c r="AG343" s="147"/>
      <c r="AH343" s="147"/>
      <c r="AI343" s="147"/>
      <c r="AJ343" s="147"/>
      <c r="AK343" s="147"/>
      <c r="AL343" s="147"/>
      <c r="AM343" s="151"/>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c r="BI343" s="147"/>
      <c r="BJ343" s="147"/>
      <c r="BK343" s="147"/>
      <c r="BL343" s="147"/>
      <c r="BM343" s="147"/>
      <c r="BN343" s="147"/>
      <c r="BO343" s="147"/>
      <c r="BP343" s="147"/>
      <c r="BQ343" s="147"/>
      <c r="BR343" s="147"/>
      <c r="BS343" s="147"/>
      <c r="BT343" s="147"/>
      <c r="BU343" s="147"/>
      <c r="BV343" s="147"/>
      <c r="BW343" s="147"/>
      <c r="BX343" s="147"/>
      <c r="BY343" s="147"/>
      <c r="BZ343" s="147"/>
      <c r="CA343" s="147"/>
      <c r="CB343" s="147"/>
      <c r="CC343" s="147"/>
      <c r="CD343" s="147"/>
      <c r="CE343" s="147"/>
      <c r="CF343" s="147"/>
      <c r="CG343" s="147"/>
      <c r="CH343" s="147"/>
      <c r="CI343" s="147"/>
      <c r="CJ343" s="147"/>
      <c r="CK343" s="147"/>
    </row>
    <row r="344" spans="1:89">
      <c r="A344" s="159" t="s">
        <v>279</v>
      </c>
      <c r="B344" s="3" t="s">
        <v>280</v>
      </c>
      <c r="C344" s="160" t="s">
        <v>82</v>
      </c>
      <c r="D344" s="160" t="s">
        <v>875</v>
      </c>
      <c r="E344" s="3" t="s">
        <v>22</v>
      </c>
      <c r="F344" s="3" t="s">
        <v>917</v>
      </c>
      <c r="G344" s="3"/>
      <c r="H344" s="156" t="str">
        <f ca="1">IFERROR(
  _xludf.MINIFS(ATTENDANCE_LOG!$F:$F,
         ATTENDANCE_LOG!$A:$A, C344,
         ATTENDANCE_LOG!$B:$B, E344),
"")</f>
        <v/>
      </c>
      <c r="I344" s="156" t="str">
        <f t="shared" ca="1" si="266"/>
        <v/>
      </c>
      <c r="J344" s="3">
        <f>IFERROR(VLOOKUP(F344, LEVEL_HELPER!$A:$B, 2, 0), "")</f>
        <v>3</v>
      </c>
      <c r="K344" s="3" t="str">
        <f>IFERROR(VLOOKUP(G344, LEVEL_HELPER!$A:$B, 2, 0), "")</f>
        <v/>
      </c>
      <c r="L344" s="157" t="s">
        <v>942</v>
      </c>
      <c r="M344" s="157" t="s">
        <v>923</v>
      </c>
      <c r="N344" s="3">
        <f t="array" aca="1" ref="N344" ca="1">IFERROR(
  INDEX($J$2:$J$543,
    MATCH(A344&amp;TEXT(I344,"yyyy-mm-dd"),
          $A$2:$A$543&amp;TEXT($H$2:$H$543,"yyyy-mm-dd"),
          0)),
"")</f>
        <v>1</v>
      </c>
      <c r="O344" s="147" t="str">
        <f t="shared" ca="1" si="267"/>
        <v/>
      </c>
      <c r="P344" s="147">
        <f t="shared" ref="P344:Q344" ca="1" si="360">IF(N344="",0,IF(N344&lt;=2,1,IF(N344&lt;=4,2,IF(N344&lt;=5.5,3,4))))</f>
        <v>1</v>
      </c>
      <c r="Q344" s="147">
        <f t="shared" ca="1" si="360"/>
        <v>0</v>
      </c>
      <c r="R344" s="147" t="str">
        <f t="shared" ca="1" si="269"/>
        <v>Not tested yet</v>
      </c>
      <c r="S344" s="147">
        <f t="shared" si="270"/>
        <v>0</v>
      </c>
      <c r="T344" s="147"/>
      <c r="U344" s="147"/>
      <c r="V344" s="147"/>
      <c r="W344" s="147"/>
      <c r="X344" s="147"/>
      <c r="Y344" s="147"/>
      <c r="Z344" s="147"/>
      <c r="AA344" s="147"/>
      <c r="AB344" s="147"/>
      <c r="AC344" s="147"/>
      <c r="AD344" s="147"/>
      <c r="AE344" s="147"/>
      <c r="AF344" s="147"/>
      <c r="AG344" s="147"/>
      <c r="AH344" s="147"/>
      <c r="AI344" s="147"/>
      <c r="AJ344" s="147"/>
      <c r="AK344" s="147"/>
      <c r="AL344" s="147"/>
      <c r="AM344" s="151"/>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c r="BI344" s="147"/>
      <c r="BJ344" s="147"/>
      <c r="BK344" s="147"/>
      <c r="BL344" s="147"/>
      <c r="BM344" s="147"/>
      <c r="BN344" s="147"/>
      <c r="BO344" s="147"/>
      <c r="BP344" s="147"/>
      <c r="BQ344" s="147"/>
      <c r="BR344" s="147"/>
      <c r="BS344" s="147"/>
      <c r="BT344" s="147"/>
      <c r="BU344" s="147"/>
      <c r="BV344" s="147"/>
      <c r="BW344" s="147"/>
      <c r="BX344" s="147"/>
      <c r="BY344" s="147"/>
      <c r="BZ344" s="147"/>
      <c r="CA344" s="147"/>
      <c r="CB344" s="147"/>
      <c r="CC344" s="147"/>
      <c r="CD344" s="147"/>
      <c r="CE344" s="147"/>
      <c r="CF344" s="147"/>
      <c r="CG344" s="147"/>
      <c r="CH344" s="147"/>
      <c r="CI344" s="147"/>
      <c r="CJ344" s="147"/>
      <c r="CK344" s="147"/>
    </row>
    <row r="345" spans="1:89">
      <c r="A345" s="159" t="s">
        <v>300</v>
      </c>
      <c r="B345" s="3" t="s">
        <v>301</v>
      </c>
      <c r="C345" s="160" t="s">
        <v>82</v>
      </c>
      <c r="D345" s="160" t="s">
        <v>875</v>
      </c>
      <c r="E345" s="3" t="s">
        <v>22</v>
      </c>
      <c r="F345" s="3" t="s">
        <v>917</v>
      </c>
      <c r="G345" s="3" t="s">
        <v>940</v>
      </c>
      <c r="H345" s="156" t="str">
        <f ca="1">IFERROR(
  _xludf.MINIFS(ATTENDANCE_LOG!$F:$F,
         ATTENDANCE_LOG!$A:$A, C345,
         ATTENDANCE_LOG!$B:$B, E345),
"")</f>
        <v/>
      </c>
      <c r="I345" s="156" t="str">
        <f t="shared" ca="1" si="266"/>
        <v/>
      </c>
      <c r="J345" s="3">
        <f>IFERROR(VLOOKUP(F345, LEVEL_HELPER!$A:$B, 2, 0), "")</f>
        <v>3</v>
      </c>
      <c r="K345" s="3">
        <f>IFERROR(VLOOKUP(G345, LEVEL_HELPER!$A:$B, 2, 0), "")</f>
        <v>5</v>
      </c>
      <c r="L345" s="157" t="s">
        <v>942</v>
      </c>
      <c r="M345" s="157" t="s">
        <v>923</v>
      </c>
      <c r="N345" s="3">
        <f t="array" aca="1" ref="N345" ca="1">IFERROR(
  INDEX($J$2:$J$543,
    MATCH(A345&amp;TEXT(I345,"yyyy-mm-dd"),
          $A$2:$A$543&amp;TEXT($H$2:$H$543,"yyyy-mm-dd"),
          0)),
"")</f>
        <v>1</v>
      </c>
      <c r="O345" s="147" t="str">
        <f t="shared" ca="1" si="267"/>
        <v/>
      </c>
      <c r="P345" s="147">
        <f t="shared" ref="P345:Q345" ca="1" si="361">IF(N345="",0,IF(N345&lt;=2,1,IF(N345&lt;=4,2,IF(N345&lt;=5.5,3,4))))</f>
        <v>1</v>
      </c>
      <c r="Q345" s="147">
        <f t="shared" ca="1" si="361"/>
        <v>0</v>
      </c>
      <c r="R345" s="147" t="str">
        <f t="shared" ca="1" si="269"/>
        <v>Not tested yet</v>
      </c>
      <c r="S345" s="147">
        <f t="shared" si="270"/>
        <v>0</v>
      </c>
      <c r="T345" s="147"/>
      <c r="U345" s="147"/>
      <c r="V345" s="147"/>
      <c r="W345" s="147"/>
      <c r="X345" s="147"/>
      <c r="Y345" s="147"/>
      <c r="Z345" s="147"/>
      <c r="AA345" s="147"/>
      <c r="AB345" s="147"/>
      <c r="AC345" s="147"/>
      <c r="AD345" s="147"/>
      <c r="AE345" s="147"/>
      <c r="AF345" s="147"/>
      <c r="AG345" s="147"/>
      <c r="AH345" s="147"/>
      <c r="AI345" s="147"/>
      <c r="AJ345" s="147"/>
      <c r="AK345" s="147"/>
      <c r="AL345" s="147"/>
      <c r="AM345" s="151"/>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c r="BI345" s="147"/>
      <c r="BJ345" s="147"/>
      <c r="BK345" s="147"/>
      <c r="BL345" s="147"/>
      <c r="BM345" s="147"/>
      <c r="BN345" s="147"/>
      <c r="BO345" s="147"/>
      <c r="BP345" s="147"/>
      <c r="BQ345" s="147"/>
      <c r="BR345" s="147"/>
      <c r="BS345" s="147"/>
      <c r="BT345" s="147"/>
      <c r="BU345" s="147"/>
      <c r="BV345" s="147"/>
      <c r="BW345" s="147"/>
      <c r="BX345" s="147"/>
      <c r="BY345" s="147"/>
      <c r="BZ345" s="147"/>
      <c r="CA345" s="147"/>
      <c r="CB345" s="147"/>
      <c r="CC345" s="147"/>
      <c r="CD345" s="147"/>
      <c r="CE345" s="147"/>
      <c r="CF345" s="147"/>
      <c r="CG345" s="147"/>
      <c r="CH345" s="147"/>
      <c r="CI345" s="147"/>
      <c r="CJ345" s="147"/>
      <c r="CK345" s="147"/>
    </row>
    <row r="346" spans="1:89">
      <c r="A346" s="159" t="s">
        <v>309</v>
      </c>
      <c r="B346" s="3" t="s">
        <v>310</v>
      </c>
      <c r="C346" s="160" t="s">
        <v>82</v>
      </c>
      <c r="D346" s="160" t="s">
        <v>875</v>
      </c>
      <c r="E346" s="3" t="s">
        <v>22</v>
      </c>
      <c r="F346" s="3" t="s">
        <v>928</v>
      </c>
      <c r="G346" s="3" t="s">
        <v>940</v>
      </c>
      <c r="H346" s="156" t="str">
        <f ca="1">IFERROR(
  _xludf.MINIFS(ATTENDANCE_LOG!$F:$F,
         ATTENDANCE_LOG!$A:$A, C346,
         ATTENDANCE_LOG!$B:$B, E346),
"")</f>
        <v/>
      </c>
      <c r="I346" s="156" t="str">
        <f t="shared" ca="1" si="266"/>
        <v/>
      </c>
      <c r="J346" s="3">
        <f>IFERROR(VLOOKUP(F346, LEVEL_HELPER!$A:$B, 2, 0), "")</f>
        <v>1.5</v>
      </c>
      <c r="K346" s="3">
        <f>IFERROR(VLOOKUP(G346, LEVEL_HELPER!$A:$B, 2, 0), "")</f>
        <v>5</v>
      </c>
      <c r="L346" s="157" t="s">
        <v>942</v>
      </c>
      <c r="M346" s="157" t="s">
        <v>923</v>
      </c>
      <c r="N346" s="3">
        <f t="array" aca="1" ref="N346" ca="1">IFERROR(
  INDEX($J$2:$J$543,
    MATCH(A346&amp;TEXT(I346,"yyyy-mm-dd"),
          $A$2:$A$543&amp;TEXT($H$2:$H$543,"yyyy-mm-dd"),
          0)),
"")</f>
        <v>1</v>
      </c>
      <c r="O346" s="147" t="str">
        <f t="shared" ca="1" si="267"/>
        <v/>
      </c>
      <c r="P346" s="147">
        <f t="shared" ref="P346:Q346" ca="1" si="362">IF(N346="",0,IF(N346&lt;=2,1,IF(N346&lt;=4,2,IF(N346&lt;=5.5,3,4))))</f>
        <v>1</v>
      </c>
      <c r="Q346" s="147">
        <f t="shared" ca="1" si="362"/>
        <v>0</v>
      </c>
      <c r="R346" s="147" t="str">
        <f t="shared" ca="1" si="269"/>
        <v>Not tested yet</v>
      </c>
      <c r="S346" s="147">
        <f t="shared" si="270"/>
        <v>0</v>
      </c>
      <c r="T346" s="147"/>
      <c r="U346" s="147"/>
      <c r="V346" s="147"/>
      <c r="W346" s="147"/>
      <c r="X346" s="147"/>
      <c r="Y346" s="147"/>
      <c r="Z346" s="147"/>
      <c r="AA346" s="147"/>
      <c r="AB346" s="147"/>
      <c r="AC346" s="147"/>
      <c r="AD346" s="147"/>
      <c r="AE346" s="147"/>
      <c r="AF346" s="147"/>
      <c r="AG346" s="147"/>
      <c r="AH346" s="147"/>
      <c r="AI346" s="147"/>
      <c r="AJ346" s="147"/>
      <c r="AK346" s="147"/>
      <c r="AL346" s="147"/>
      <c r="AM346" s="151"/>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c r="BI346" s="147"/>
      <c r="BJ346" s="147"/>
      <c r="BK346" s="147"/>
      <c r="BL346" s="147"/>
      <c r="BM346" s="147"/>
      <c r="BN346" s="147"/>
      <c r="BO346" s="147"/>
      <c r="BP346" s="147"/>
      <c r="BQ346" s="147"/>
      <c r="BR346" s="147"/>
      <c r="BS346" s="147"/>
      <c r="BT346" s="147"/>
      <c r="BU346" s="147"/>
      <c r="BV346" s="147"/>
      <c r="BW346" s="147"/>
      <c r="BX346" s="147"/>
      <c r="BY346" s="147"/>
      <c r="BZ346" s="147"/>
      <c r="CA346" s="147"/>
      <c r="CB346" s="147"/>
      <c r="CC346" s="147"/>
      <c r="CD346" s="147"/>
      <c r="CE346" s="147"/>
      <c r="CF346" s="147"/>
      <c r="CG346" s="147"/>
      <c r="CH346" s="147"/>
      <c r="CI346" s="147"/>
      <c r="CJ346" s="147"/>
      <c r="CK346" s="147"/>
    </row>
    <row r="347" spans="1:89">
      <c r="A347" s="159" t="s">
        <v>332</v>
      </c>
      <c r="B347" s="3" t="s">
        <v>333</v>
      </c>
      <c r="C347" s="160" t="s">
        <v>82</v>
      </c>
      <c r="D347" s="160" t="s">
        <v>875</v>
      </c>
      <c r="E347" s="3" t="s">
        <v>22</v>
      </c>
      <c r="F347" s="3" t="s">
        <v>917</v>
      </c>
      <c r="G347" s="3" t="s">
        <v>940</v>
      </c>
      <c r="H347" s="156" t="str">
        <f ca="1">IFERROR(
  _xludf.MINIFS(ATTENDANCE_LOG!$F:$F,
         ATTENDANCE_LOG!$A:$A, C347,
         ATTENDANCE_LOG!$B:$B, E347),
"")</f>
        <v/>
      </c>
      <c r="I347" s="156" t="str">
        <f t="shared" ca="1" si="266"/>
        <v/>
      </c>
      <c r="J347" s="3">
        <f>IFERROR(VLOOKUP(F347, LEVEL_HELPER!$A:$B, 2, 0), "")</f>
        <v>3</v>
      </c>
      <c r="K347" s="3">
        <f>IFERROR(VLOOKUP(G347, LEVEL_HELPER!$A:$B, 2, 0), "")</f>
        <v>5</v>
      </c>
      <c r="L347" s="157" t="s">
        <v>942</v>
      </c>
      <c r="M347" s="157" t="s">
        <v>923</v>
      </c>
      <c r="N347" s="3">
        <f t="array" aca="1" ref="N347" ca="1">IFERROR(
  INDEX($J$2:$J$543,
    MATCH(A347&amp;TEXT(I347,"yyyy-mm-dd"),
          $A$2:$A$543&amp;TEXT($H$2:$H$543,"yyyy-mm-dd"),
          0)),
"")</f>
        <v>1</v>
      </c>
      <c r="O347" s="147" t="str">
        <f t="shared" ca="1" si="267"/>
        <v/>
      </c>
      <c r="P347" s="147">
        <f t="shared" ref="P347:Q347" ca="1" si="363">IF(N347="",0,IF(N347&lt;=2,1,IF(N347&lt;=4,2,IF(N347&lt;=5.5,3,4))))</f>
        <v>1</v>
      </c>
      <c r="Q347" s="147">
        <f t="shared" ca="1" si="363"/>
        <v>0</v>
      </c>
      <c r="R347" s="147" t="str">
        <f t="shared" ca="1" si="269"/>
        <v>Not tested yet</v>
      </c>
      <c r="S347" s="147">
        <f t="shared" si="270"/>
        <v>0</v>
      </c>
      <c r="T347" s="147"/>
      <c r="U347" s="147"/>
      <c r="V347" s="147"/>
      <c r="W347" s="147"/>
      <c r="X347" s="147"/>
      <c r="Y347" s="147"/>
      <c r="Z347" s="147"/>
      <c r="AA347" s="147"/>
      <c r="AB347" s="147"/>
      <c r="AC347" s="147"/>
      <c r="AD347" s="147"/>
      <c r="AE347" s="147"/>
      <c r="AF347" s="147"/>
      <c r="AG347" s="147"/>
      <c r="AH347" s="147"/>
      <c r="AI347" s="147"/>
      <c r="AJ347" s="147"/>
      <c r="AK347" s="147"/>
      <c r="AL347" s="147"/>
      <c r="AM347" s="151"/>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c r="BI347" s="147"/>
      <c r="BJ347" s="147"/>
      <c r="BK347" s="147"/>
      <c r="BL347" s="147"/>
      <c r="BM347" s="147"/>
      <c r="BN347" s="147"/>
      <c r="BO347" s="147"/>
      <c r="BP347" s="147"/>
      <c r="BQ347" s="147"/>
      <c r="BR347" s="147"/>
      <c r="BS347" s="147"/>
      <c r="BT347" s="147"/>
      <c r="BU347" s="147"/>
      <c r="BV347" s="147"/>
      <c r="BW347" s="147"/>
      <c r="BX347" s="147"/>
      <c r="BY347" s="147"/>
      <c r="BZ347" s="147"/>
      <c r="CA347" s="147"/>
      <c r="CB347" s="147"/>
      <c r="CC347" s="147"/>
      <c r="CD347" s="147"/>
      <c r="CE347" s="147"/>
      <c r="CF347" s="147"/>
      <c r="CG347" s="147"/>
      <c r="CH347" s="147"/>
      <c r="CI347" s="147"/>
      <c r="CJ347" s="147"/>
      <c r="CK347" s="147"/>
    </row>
    <row r="348" spans="1:89">
      <c r="A348" s="159" t="s">
        <v>562</v>
      </c>
      <c r="B348" s="3" t="s">
        <v>563</v>
      </c>
      <c r="C348" s="160" t="s">
        <v>82</v>
      </c>
      <c r="D348" s="160" t="s">
        <v>875</v>
      </c>
      <c r="E348" s="3" t="s">
        <v>22</v>
      </c>
      <c r="F348" s="3" t="s">
        <v>917</v>
      </c>
      <c r="G348" s="3" t="s">
        <v>934</v>
      </c>
      <c r="H348" s="156" t="str">
        <f ca="1">IFERROR(
  _xludf.MINIFS(ATTENDANCE_LOG!$F:$F,
         ATTENDANCE_LOG!$A:$A, C348,
         ATTENDANCE_LOG!$B:$B, E348),
"")</f>
        <v/>
      </c>
      <c r="I348" s="156" t="str">
        <f t="shared" ca="1" si="266"/>
        <v/>
      </c>
      <c r="J348" s="3">
        <f>IFERROR(VLOOKUP(F348, LEVEL_HELPER!$A:$B, 2, 0), "")</f>
        <v>3</v>
      </c>
      <c r="K348" s="3">
        <f>IFERROR(VLOOKUP(G348, LEVEL_HELPER!$A:$B, 2, 0), "")</f>
        <v>3.5</v>
      </c>
      <c r="L348" s="157" t="s">
        <v>942</v>
      </c>
      <c r="M348" s="157" t="s">
        <v>923</v>
      </c>
      <c r="N348" s="3">
        <f t="array" aca="1" ref="N348" ca="1">IFERROR(
  INDEX($J$2:$J$543,
    MATCH(A348&amp;TEXT(I348,"yyyy-mm-dd"),
          $A$2:$A$543&amp;TEXT($H$2:$H$543,"yyyy-mm-dd"),
          0)),
"")</f>
        <v>1</v>
      </c>
      <c r="O348" s="147" t="str">
        <f t="shared" ca="1" si="267"/>
        <v/>
      </c>
      <c r="P348" s="147">
        <f t="shared" ref="P348:Q348" ca="1" si="364">IF(N348="",0,IF(N348&lt;=2,1,IF(N348&lt;=4,2,IF(N348&lt;=5.5,3,4))))</f>
        <v>1</v>
      </c>
      <c r="Q348" s="147">
        <f t="shared" ca="1" si="364"/>
        <v>0</v>
      </c>
      <c r="R348" s="147" t="str">
        <f t="shared" ca="1" si="269"/>
        <v>Not tested yet</v>
      </c>
      <c r="S348" s="147">
        <f t="shared" si="270"/>
        <v>0</v>
      </c>
      <c r="T348" s="147"/>
      <c r="U348" s="147"/>
      <c r="V348" s="147"/>
      <c r="W348" s="147"/>
      <c r="X348" s="147"/>
      <c r="Y348" s="147"/>
      <c r="Z348" s="147"/>
      <c r="AA348" s="147"/>
      <c r="AB348" s="147"/>
      <c r="AC348" s="147"/>
      <c r="AD348" s="147"/>
      <c r="AE348" s="147"/>
      <c r="AF348" s="147"/>
      <c r="AG348" s="147"/>
      <c r="AH348" s="147"/>
      <c r="AI348" s="147"/>
      <c r="AJ348" s="147"/>
      <c r="AK348" s="147"/>
      <c r="AL348" s="147"/>
      <c r="AM348" s="151"/>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c r="BI348" s="147"/>
      <c r="BJ348" s="147"/>
      <c r="BK348" s="147"/>
      <c r="BL348" s="147"/>
      <c r="BM348" s="147"/>
      <c r="BN348" s="147"/>
      <c r="BO348" s="147"/>
      <c r="BP348" s="147"/>
      <c r="BQ348" s="147"/>
      <c r="BR348" s="147"/>
      <c r="BS348" s="147"/>
      <c r="BT348" s="147"/>
      <c r="BU348" s="147"/>
      <c r="BV348" s="147"/>
      <c r="BW348" s="147"/>
      <c r="BX348" s="147"/>
      <c r="BY348" s="147"/>
      <c r="BZ348" s="147"/>
      <c r="CA348" s="147"/>
      <c r="CB348" s="147"/>
      <c r="CC348" s="147"/>
      <c r="CD348" s="147"/>
      <c r="CE348" s="147"/>
      <c r="CF348" s="147"/>
      <c r="CG348" s="147"/>
      <c r="CH348" s="147"/>
      <c r="CI348" s="147"/>
      <c r="CJ348" s="147"/>
      <c r="CK348" s="147"/>
    </row>
    <row r="349" spans="1:89">
      <c r="A349" s="159" t="s">
        <v>693</v>
      </c>
      <c r="B349" s="3" t="s">
        <v>694</v>
      </c>
      <c r="C349" s="160" t="s">
        <v>82</v>
      </c>
      <c r="D349" s="160" t="s">
        <v>875</v>
      </c>
      <c r="E349" s="3" t="s">
        <v>22</v>
      </c>
      <c r="F349" s="3" t="s">
        <v>917</v>
      </c>
      <c r="G349" s="3" t="s">
        <v>934</v>
      </c>
      <c r="H349" s="156" t="str">
        <f ca="1">IFERROR(
  _xludf.MINIFS(ATTENDANCE_LOG!$F:$F,
         ATTENDANCE_LOG!$A:$A, C349,
         ATTENDANCE_LOG!$B:$B, E349),
"")</f>
        <v/>
      </c>
      <c r="I349" s="156" t="str">
        <f t="shared" ca="1" si="266"/>
        <v/>
      </c>
      <c r="J349" s="3">
        <f>IFERROR(VLOOKUP(F349, LEVEL_HELPER!$A:$B, 2, 0), "")</f>
        <v>3</v>
      </c>
      <c r="K349" s="3">
        <f>IFERROR(VLOOKUP(G349, LEVEL_HELPER!$A:$B, 2, 0), "")</f>
        <v>3.5</v>
      </c>
      <c r="L349" s="157" t="s">
        <v>942</v>
      </c>
      <c r="M349" s="157" t="s">
        <v>923</v>
      </c>
      <c r="N349" s="3">
        <f t="array" aca="1" ref="N349" ca="1">IFERROR(
  INDEX($J$2:$J$543,
    MATCH(A349&amp;TEXT(I349,"yyyy-mm-dd"),
          $A$2:$A$543&amp;TEXT($H$2:$H$543,"yyyy-mm-dd"),
          0)),
"")</f>
        <v>1</v>
      </c>
      <c r="O349" s="147" t="str">
        <f t="shared" ca="1" si="267"/>
        <v/>
      </c>
      <c r="P349" s="147">
        <f t="shared" ref="P349:Q349" ca="1" si="365">IF(N349="",0,IF(N349&lt;=2,1,IF(N349&lt;=4,2,IF(N349&lt;=5.5,3,4))))</f>
        <v>1</v>
      </c>
      <c r="Q349" s="147">
        <f t="shared" ca="1" si="365"/>
        <v>0</v>
      </c>
      <c r="R349" s="147" t="str">
        <f t="shared" ca="1" si="269"/>
        <v>Not tested yet</v>
      </c>
      <c r="S349" s="147">
        <f t="shared" si="270"/>
        <v>0</v>
      </c>
      <c r="T349" s="147"/>
      <c r="U349" s="147"/>
      <c r="V349" s="147"/>
      <c r="W349" s="147"/>
      <c r="X349" s="147"/>
      <c r="Y349" s="147"/>
      <c r="Z349" s="147"/>
      <c r="AA349" s="147"/>
      <c r="AB349" s="147"/>
      <c r="AC349" s="147"/>
      <c r="AD349" s="147"/>
      <c r="AE349" s="147"/>
      <c r="AF349" s="147"/>
      <c r="AG349" s="147"/>
      <c r="AH349" s="147"/>
      <c r="AI349" s="147"/>
      <c r="AJ349" s="147"/>
      <c r="AK349" s="147"/>
      <c r="AL349" s="147"/>
      <c r="AM349" s="151"/>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c r="BI349" s="147"/>
      <c r="BJ349" s="147"/>
      <c r="BK349" s="147"/>
      <c r="BL349" s="147"/>
      <c r="BM349" s="147"/>
      <c r="BN349" s="147"/>
      <c r="BO349" s="147"/>
      <c r="BP349" s="147"/>
      <c r="BQ349" s="147"/>
      <c r="BR349" s="147"/>
      <c r="BS349" s="147"/>
      <c r="BT349" s="147"/>
      <c r="BU349" s="147"/>
      <c r="BV349" s="147"/>
      <c r="BW349" s="147"/>
      <c r="BX349" s="147"/>
      <c r="BY349" s="147"/>
      <c r="BZ349" s="147"/>
      <c r="CA349" s="147"/>
      <c r="CB349" s="147"/>
      <c r="CC349" s="147"/>
      <c r="CD349" s="147"/>
      <c r="CE349" s="147"/>
      <c r="CF349" s="147"/>
      <c r="CG349" s="147"/>
      <c r="CH349" s="147"/>
      <c r="CI349" s="147"/>
      <c r="CJ349" s="147"/>
      <c r="CK349" s="147"/>
    </row>
    <row r="350" spans="1:89">
      <c r="A350" s="159" t="s">
        <v>208</v>
      </c>
      <c r="B350" s="154" t="s">
        <v>209</v>
      </c>
      <c r="C350" s="155" t="s">
        <v>83</v>
      </c>
      <c r="D350" s="155" t="s">
        <v>876</v>
      </c>
      <c r="E350" s="154" t="s">
        <v>21</v>
      </c>
      <c r="F350" s="3" t="s">
        <v>926</v>
      </c>
      <c r="G350" s="3" t="s">
        <v>934</v>
      </c>
      <c r="H350" s="156" t="str">
        <f ca="1">IFERROR(
  _xludf.MINIFS(ATTENDANCE_LOG!$F:$F,
         ATTENDANCE_LOG!$A:$A, C350,
         ATTENDANCE_LOG!$B:$B, E350),
"")</f>
        <v/>
      </c>
      <c r="I350" s="156" t="str">
        <f t="shared" ca="1" si="266"/>
        <v/>
      </c>
      <c r="J350" s="3">
        <f>IFERROR(VLOOKUP(F350, LEVEL_HELPER!$A:$B, 2, 0), "")</f>
        <v>1</v>
      </c>
      <c r="K350" s="3">
        <f>IFERROR(VLOOKUP(G350, LEVEL_HELPER!$A:$B, 2, 0), "")</f>
        <v>3.5</v>
      </c>
      <c r="L350" s="157" t="s">
        <v>942</v>
      </c>
      <c r="M350" s="157" t="s">
        <v>923</v>
      </c>
      <c r="N350" s="3">
        <f t="array" aca="1" ref="N350" ca="1">IFERROR(
  INDEX($J$2:$J$543,
    MATCH(A350&amp;TEXT(I350,"yyyy-mm-dd"),
          $A$2:$A$543&amp;TEXT($H$2:$H$543,"yyyy-mm-dd"),
          0)),
"")</f>
        <v>1</v>
      </c>
      <c r="O350" s="147" t="str">
        <f t="shared" ca="1" si="267"/>
        <v/>
      </c>
      <c r="P350" s="147">
        <f t="shared" ref="P350:Q350" ca="1" si="366">IF(N350="",0,IF(N350&lt;=2,1,IF(N350&lt;=4,2,IF(N350&lt;=5.5,3,4))))</f>
        <v>1</v>
      </c>
      <c r="Q350" s="147">
        <f t="shared" ca="1" si="366"/>
        <v>0</v>
      </c>
      <c r="R350" s="147" t="str">
        <f t="shared" ca="1" si="269"/>
        <v>Not tested yet</v>
      </c>
      <c r="S350" s="147">
        <f t="shared" si="270"/>
        <v>1</v>
      </c>
      <c r="T350" s="147"/>
      <c r="U350" s="147"/>
      <c r="V350" s="147"/>
      <c r="W350" s="147"/>
      <c r="X350" s="147"/>
      <c r="Y350" s="147"/>
      <c r="Z350" s="147"/>
      <c r="AA350" s="147"/>
      <c r="AB350" s="147"/>
      <c r="AC350" s="147"/>
      <c r="AD350" s="147"/>
      <c r="AE350" s="147"/>
      <c r="AF350" s="147"/>
      <c r="AG350" s="147"/>
      <c r="AH350" s="147"/>
      <c r="AI350" s="147"/>
      <c r="AJ350" s="147"/>
      <c r="AK350" s="147"/>
      <c r="AL350" s="147"/>
      <c r="AM350" s="151"/>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c r="BI350" s="147"/>
      <c r="BJ350" s="147"/>
      <c r="BK350" s="147"/>
      <c r="BL350" s="147"/>
      <c r="BM350" s="147"/>
      <c r="BN350" s="147"/>
      <c r="BO350" s="147"/>
      <c r="BP350" s="147"/>
      <c r="BQ350" s="147"/>
      <c r="BR350" s="147"/>
      <c r="BS350" s="147"/>
      <c r="BT350" s="147"/>
      <c r="BU350" s="147"/>
      <c r="BV350" s="147"/>
      <c r="BW350" s="147"/>
      <c r="BX350" s="147"/>
      <c r="BY350" s="147"/>
      <c r="BZ350" s="147"/>
      <c r="CA350" s="147"/>
      <c r="CB350" s="147"/>
      <c r="CC350" s="147"/>
      <c r="CD350" s="147"/>
      <c r="CE350" s="147"/>
      <c r="CF350" s="147"/>
      <c r="CG350" s="147"/>
      <c r="CH350" s="147"/>
      <c r="CI350" s="147"/>
      <c r="CJ350" s="147"/>
      <c r="CK350" s="147"/>
    </row>
    <row r="351" spans="1:89">
      <c r="A351" s="159" t="s">
        <v>243</v>
      </c>
      <c r="B351" s="3" t="s">
        <v>244</v>
      </c>
      <c r="C351" s="160" t="s">
        <v>83</v>
      </c>
      <c r="D351" s="160" t="s">
        <v>876</v>
      </c>
      <c r="E351" s="3" t="s">
        <v>21</v>
      </c>
      <c r="F351" s="3" t="s">
        <v>926</v>
      </c>
      <c r="G351" s="3" t="s">
        <v>917</v>
      </c>
      <c r="H351" s="156" t="str">
        <f ca="1">IFERROR(
  _xludf.MINIFS(ATTENDANCE_LOG!$F:$F,
         ATTENDANCE_LOG!$A:$A, C351,
         ATTENDANCE_LOG!$B:$B, E351),
"")</f>
        <v/>
      </c>
      <c r="I351" s="156" t="str">
        <f t="shared" ca="1" si="266"/>
        <v/>
      </c>
      <c r="J351" s="3">
        <f>IFERROR(VLOOKUP(F351, LEVEL_HELPER!$A:$B, 2, 0), "")</f>
        <v>1</v>
      </c>
      <c r="K351" s="3">
        <f>IFERROR(VLOOKUP(G351, LEVEL_HELPER!$A:$B, 2, 0), "")</f>
        <v>3</v>
      </c>
      <c r="L351" s="157" t="s">
        <v>942</v>
      </c>
      <c r="M351" s="157" t="s">
        <v>923</v>
      </c>
      <c r="N351" s="3">
        <f t="array" aca="1" ref="N351" ca="1">IFERROR(
  INDEX($J$2:$J$543,
    MATCH(A351&amp;TEXT(I351,"yyyy-mm-dd"),
          $A$2:$A$543&amp;TEXT($H$2:$H$543,"yyyy-mm-dd"),
          0)),
"")</f>
        <v>1</v>
      </c>
      <c r="O351" s="147" t="str">
        <f t="shared" ca="1" si="267"/>
        <v/>
      </c>
      <c r="P351" s="147">
        <f t="shared" ref="P351:Q351" ca="1" si="367">IF(N351="",0,IF(N351&lt;=2,1,IF(N351&lt;=4,2,IF(N351&lt;=5.5,3,4))))</f>
        <v>1</v>
      </c>
      <c r="Q351" s="147">
        <f t="shared" ca="1" si="367"/>
        <v>0</v>
      </c>
      <c r="R351" s="147" t="str">
        <f t="shared" ca="1" si="269"/>
        <v>Not tested yet</v>
      </c>
      <c r="S351" s="147">
        <f t="shared" si="270"/>
        <v>1</v>
      </c>
      <c r="T351" s="147"/>
      <c r="U351" s="147"/>
      <c r="V351" s="147"/>
      <c r="W351" s="147"/>
      <c r="X351" s="147"/>
      <c r="Y351" s="147"/>
      <c r="Z351" s="147"/>
      <c r="AA351" s="147"/>
      <c r="AB351" s="147"/>
      <c r="AC351" s="147"/>
      <c r="AD351" s="147"/>
      <c r="AE351" s="147"/>
      <c r="AF351" s="147"/>
      <c r="AG351" s="147"/>
      <c r="AH351" s="147"/>
      <c r="AI351" s="147"/>
      <c r="AJ351" s="147"/>
      <c r="AK351" s="147"/>
      <c r="AL351" s="147"/>
      <c r="AM351" s="151"/>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c r="BI351" s="147"/>
      <c r="BJ351" s="147"/>
      <c r="BK351" s="147"/>
      <c r="BL351" s="147"/>
      <c r="BM351" s="147"/>
      <c r="BN351" s="147"/>
      <c r="BO351" s="147"/>
      <c r="BP351" s="147"/>
      <c r="BQ351" s="147"/>
      <c r="BR351" s="147"/>
      <c r="BS351" s="147"/>
      <c r="BT351" s="147"/>
      <c r="BU351" s="147"/>
      <c r="BV351" s="147"/>
      <c r="BW351" s="147"/>
      <c r="BX351" s="147"/>
      <c r="BY351" s="147"/>
      <c r="BZ351" s="147"/>
      <c r="CA351" s="147"/>
      <c r="CB351" s="147"/>
      <c r="CC351" s="147"/>
      <c r="CD351" s="147"/>
      <c r="CE351" s="147"/>
      <c r="CF351" s="147"/>
      <c r="CG351" s="147"/>
      <c r="CH351" s="147"/>
      <c r="CI351" s="147"/>
      <c r="CJ351" s="147"/>
      <c r="CK351" s="147"/>
    </row>
    <row r="352" spans="1:89">
      <c r="A352" s="159" t="s">
        <v>305</v>
      </c>
      <c r="B352" s="3" t="s">
        <v>306</v>
      </c>
      <c r="C352" s="160" t="s">
        <v>83</v>
      </c>
      <c r="D352" s="160" t="s">
        <v>876</v>
      </c>
      <c r="E352" s="3" t="s">
        <v>21</v>
      </c>
      <c r="F352" s="3" t="s">
        <v>926</v>
      </c>
      <c r="G352" s="3" t="s">
        <v>928</v>
      </c>
      <c r="H352" s="156" t="str">
        <f ca="1">IFERROR(
  _xludf.MINIFS(ATTENDANCE_LOG!$F:$F,
         ATTENDANCE_LOG!$A:$A, C352,
         ATTENDANCE_LOG!$B:$B, E352),
"")</f>
        <v/>
      </c>
      <c r="I352" s="156" t="str">
        <f t="shared" ca="1" si="266"/>
        <v/>
      </c>
      <c r="J352" s="3">
        <f>IFERROR(VLOOKUP(F352, LEVEL_HELPER!$A:$B, 2, 0), "")</f>
        <v>1</v>
      </c>
      <c r="K352" s="3">
        <f>IFERROR(VLOOKUP(G352, LEVEL_HELPER!$A:$B, 2, 0), "")</f>
        <v>1.5</v>
      </c>
      <c r="L352" s="157" t="s">
        <v>942</v>
      </c>
      <c r="M352" s="157" t="s">
        <v>923</v>
      </c>
      <c r="N352" s="3">
        <f t="array" aca="1" ref="N352" ca="1">IFERROR(
  INDEX($J$2:$J$543,
    MATCH(A352&amp;TEXT(I352,"yyyy-mm-dd"),
          $A$2:$A$543&amp;TEXT($H$2:$H$543,"yyyy-mm-dd"),
          0)),
"")</f>
        <v>1</v>
      </c>
      <c r="O352" s="147" t="str">
        <f t="shared" ca="1" si="267"/>
        <v/>
      </c>
      <c r="P352" s="147">
        <f t="shared" ref="P352:Q352" ca="1" si="368">IF(N352="",0,IF(N352&lt;=2,1,IF(N352&lt;=4,2,IF(N352&lt;=5.5,3,4))))</f>
        <v>1</v>
      </c>
      <c r="Q352" s="147">
        <f t="shared" ca="1" si="368"/>
        <v>0</v>
      </c>
      <c r="R352" s="147" t="str">
        <f t="shared" ca="1" si="269"/>
        <v>Not tested yet</v>
      </c>
      <c r="S352" s="147">
        <f t="shared" si="270"/>
        <v>1</v>
      </c>
      <c r="T352" s="147"/>
      <c r="U352" s="147"/>
      <c r="V352" s="147"/>
      <c r="W352" s="147"/>
      <c r="X352" s="147"/>
      <c r="Y352" s="147"/>
      <c r="Z352" s="147"/>
      <c r="AA352" s="147"/>
      <c r="AB352" s="147"/>
      <c r="AC352" s="147"/>
      <c r="AD352" s="147"/>
      <c r="AE352" s="147"/>
      <c r="AF352" s="147"/>
      <c r="AG352" s="147"/>
      <c r="AH352" s="147"/>
      <c r="AI352" s="147"/>
      <c r="AJ352" s="147"/>
      <c r="AK352" s="147"/>
      <c r="AL352" s="147"/>
      <c r="AM352" s="151"/>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c r="BI352" s="147"/>
      <c r="BJ352" s="147"/>
      <c r="BK352" s="147"/>
      <c r="BL352" s="147"/>
      <c r="BM352" s="147"/>
      <c r="BN352" s="147"/>
      <c r="BO352" s="147"/>
      <c r="BP352" s="147"/>
      <c r="BQ352" s="147"/>
      <c r="BR352" s="147"/>
      <c r="BS352" s="147"/>
      <c r="BT352" s="147"/>
      <c r="BU352" s="147"/>
      <c r="BV352" s="147"/>
      <c r="BW352" s="147"/>
      <c r="BX352" s="147"/>
      <c r="BY352" s="147"/>
      <c r="BZ352" s="147"/>
      <c r="CA352" s="147"/>
      <c r="CB352" s="147"/>
      <c r="CC352" s="147"/>
      <c r="CD352" s="147"/>
      <c r="CE352" s="147"/>
      <c r="CF352" s="147"/>
      <c r="CG352" s="147"/>
      <c r="CH352" s="147"/>
      <c r="CI352" s="147"/>
      <c r="CJ352" s="147"/>
      <c r="CK352" s="147"/>
    </row>
    <row r="353" spans="1:89">
      <c r="A353" s="159" t="s">
        <v>442</v>
      </c>
      <c r="B353" s="3" t="s">
        <v>443</v>
      </c>
      <c r="C353" s="160" t="s">
        <v>83</v>
      </c>
      <c r="D353" s="160" t="s">
        <v>876</v>
      </c>
      <c r="E353" s="3" t="s">
        <v>21</v>
      </c>
      <c r="F353" s="3" t="s">
        <v>926</v>
      </c>
      <c r="G353" s="3" t="s">
        <v>917</v>
      </c>
      <c r="H353" s="156" t="str">
        <f ca="1">IFERROR(
  _xludf.MINIFS(ATTENDANCE_LOG!$F:$F,
         ATTENDANCE_LOG!$A:$A, C353,
         ATTENDANCE_LOG!$B:$B, E353),
"")</f>
        <v/>
      </c>
      <c r="I353" s="156" t="str">
        <f t="shared" ca="1" si="266"/>
        <v/>
      </c>
      <c r="J353" s="3">
        <f>IFERROR(VLOOKUP(F353, LEVEL_HELPER!$A:$B, 2, 0), "")</f>
        <v>1</v>
      </c>
      <c r="K353" s="3">
        <f>IFERROR(VLOOKUP(G353, LEVEL_HELPER!$A:$B, 2, 0), "")</f>
        <v>3</v>
      </c>
      <c r="L353" s="157" t="s">
        <v>942</v>
      </c>
      <c r="M353" s="157" t="s">
        <v>923</v>
      </c>
      <c r="N353" s="3">
        <f t="array" aca="1" ref="N353" ca="1">IFERROR(
  INDEX($J$2:$J$543,
    MATCH(A353&amp;TEXT(I353,"yyyy-mm-dd"),
          $A$2:$A$543&amp;TEXT($H$2:$H$543,"yyyy-mm-dd"),
          0)),
"")</f>
        <v>1</v>
      </c>
      <c r="O353" s="147" t="str">
        <f t="shared" ca="1" si="267"/>
        <v/>
      </c>
      <c r="P353" s="147">
        <f t="shared" ref="P353:Q353" ca="1" si="369">IF(N353="",0,IF(N353&lt;=2,1,IF(N353&lt;=4,2,IF(N353&lt;=5.5,3,4))))</f>
        <v>1</v>
      </c>
      <c r="Q353" s="147">
        <f t="shared" ca="1" si="369"/>
        <v>0</v>
      </c>
      <c r="R353" s="147" t="str">
        <f t="shared" ca="1" si="269"/>
        <v>Not tested yet</v>
      </c>
      <c r="S353" s="147">
        <f t="shared" si="270"/>
        <v>1</v>
      </c>
      <c r="T353" s="147"/>
      <c r="U353" s="147"/>
      <c r="V353" s="147"/>
      <c r="W353" s="147"/>
      <c r="X353" s="147"/>
      <c r="Y353" s="147"/>
      <c r="Z353" s="147"/>
      <c r="AA353" s="147"/>
      <c r="AB353" s="147"/>
      <c r="AC353" s="147"/>
      <c r="AD353" s="147"/>
      <c r="AE353" s="147"/>
      <c r="AF353" s="147"/>
      <c r="AG353" s="147"/>
      <c r="AH353" s="147"/>
      <c r="AI353" s="147"/>
      <c r="AJ353" s="147"/>
      <c r="AK353" s="147"/>
      <c r="AL353" s="147"/>
      <c r="AM353" s="151"/>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c r="BI353" s="147"/>
      <c r="BJ353" s="147"/>
      <c r="BK353" s="147"/>
      <c r="BL353" s="147"/>
      <c r="BM353" s="147"/>
      <c r="BN353" s="147"/>
      <c r="BO353" s="147"/>
      <c r="BP353" s="147"/>
      <c r="BQ353" s="147"/>
      <c r="BR353" s="147"/>
      <c r="BS353" s="147"/>
      <c r="BT353" s="147"/>
      <c r="BU353" s="147"/>
      <c r="BV353" s="147"/>
      <c r="BW353" s="147"/>
      <c r="BX353" s="147"/>
      <c r="BY353" s="147"/>
      <c r="BZ353" s="147"/>
      <c r="CA353" s="147"/>
      <c r="CB353" s="147"/>
      <c r="CC353" s="147"/>
      <c r="CD353" s="147"/>
      <c r="CE353" s="147"/>
      <c r="CF353" s="147"/>
      <c r="CG353" s="147"/>
      <c r="CH353" s="147"/>
      <c r="CI353" s="147"/>
      <c r="CJ353" s="147"/>
      <c r="CK353" s="147"/>
    </row>
    <row r="354" spans="1:89">
      <c r="A354" s="159" t="s">
        <v>633</v>
      </c>
      <c r="B354" s="3" t="s">
        <v>634</v>
      </c>
      <c r="C354" s="160" t="s">
        <v>83</v>
      </c>
      <c r="D354" s="160" t="s">
        <v>876</v>
      </c>
      <c r="E354" s="3" t="s">
        <v>21</v>
      </c>
      <c r="F354" s="3" t="s">
        <v>926</v>
      </c>
      <c r="G354" s="3" t="s">
        <v>917</v>
      </c>
      <c r="H354" s="156" t="str">
        <f ca="1">IFERROR(
  _xludf.MINIFS(ATTENDANCE_LOG!$F:$F,
         ATTENDANCE_LOG!$A:$A, C354,
         ATTENDANCE_LOG!$B:$B, E354),
"")</f>
        <v/>
      </c>
      <c r="I354" s="156" t="str">
        <f t="shared" ca="1" si="266"/>
        <v/>
      </c>
      <c r="J354" s="3">
        <f>IFERROR(VLOOKUP(F354, LEVEL_HELPER!$A:$B, 2, 0), "")</f>
        <v>1</v>
      </c>
      <c r="K354" s="3">
        <f>IFERROR(VLOOKUP(G354, LEVEL_HELPER!$A:$B, 2, 0), "")</f>
        <v>3</v>
      </c>
      <c r="L354" s="157" t="s">
        <v>942</v>
      </c>
      <c r="M354" s="157" t="s">
        <v>923</v>
      </c>
      <c r="N354" s="3">
        <f t="array" aca="1" ref="N354" ca="1">IFERROR(
  INDEX($J$2:$J$543,
    MATCH(A354&amp;TEXT(I354,"yyyy-mm-dd"),
          $A$2:$A$543&amp;TEXT($H$2:$H$543,"yyyy-mm-dd"),
          0)),
"")</f>
        <v>1</v>
      </c>
      <c r="O354" s="147" t="str">
        <f t="shared" ca="1" si="267"/>
        <v/>
      </c>
      <c r="P354" s="147">
        <f t="shared" ref="P354:Q354" ca="1" si="370">IF(N354="",0,IF(N354&lt;=2,1,IF(N354&lt;=4,2,IF(N354&lt;=5.5,3,4))))</f>
        <v>1</v>
      </c>
      <c r="Q354" s="147">
        <f t="shared" ca="1" si="370"/>
        <v>0</v>
      </c>
      <c r="R354" s="147" t="str">
        <f t="shared" ca="1" si="269"/>
        <v>Not tested yet</v>
      </c>
      <c r="S354" s="147">
        <f t="shared" si="270"/>
        <v>1</v>
      </c>
      <c r="T354" s="147"/>
      <c r="U354" s="147"/>
      <c r="V354" s="147"/>
      <c r="W354" s="147"/>
      <c r="X354" s="147"/>
      <c r="Y354" s="147"/>
      <c r="Z354" s="147"/>
      <c r="AA354" s="147"/>
      <c r="AB354" s="147"/>
      <c r="AC354" s="147"/>
      <c r="AD354" s="147"/>
      <c r="AE354" s="147"/>
      <c r="AF354" s="147"/>
      <c r="AG354" s="147"/>
      <c r="AH354" s="147"/>
      <c r="AI354" s="147"/>
      <c r="AJ354" s="147"/>
      <c r="AK354" s="147"/>
      <c r="AL354" s="147"/>
      <c r="AM354" s="151"/>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c r="BI354" s="147"/>
      <c r="BJ354" s="147"/>
      <c r="BK354" s="147"/>
      <c r="BL354" s="147"/>
      <c r="BM354" s="147"/>
      <c r="BN354" s="147"/>
      <c r="BO354" s="147"/>
      <c r="BP354" s="147"/>
      <c r="BQ354" s="147"/>
      <c r="BR354" s="147"/>
      <c r="BS354" s="147"/>
      <c r="BT354" s="147"/>
      <c r="BU354" s="147"/>
      <c r="BV354" s="147"/>
      <c r="BW354" s="147"/>
      <c r="BX354" s="147"/>
      <c r="BY354" s="147"/>
      <c r="BZ354" s="147"/>
      <c r="CA354" s="147"/>
      <c r="CB354" s="147"/>
      <c r="CC354" s="147"/>
      <c r="CD354" s="147"/>
      <c r="CE354" s="147"/>
      <c r="CF354" s="147"/>
      <c r="CG354" s="147"/>
      <c r="CH354" s="147"/>
      <c r="CI354" s="147"/>
      <c r="CJ354" s="147"/>
      <c r="CK354" s="147"/>
    </row>
    <row r="355" spans="1:89">
      <c r="A355" s="159" t="s">
        <v>641</v>
      </c>
      <c r="B355" s="3" t="s">
        <v>642</v>
      </c>
      <c r="C355" s="160" t="s">
        <v>83</v>
      </c>
      <c r="D355" s="160" t="s">
        <v>876</v>
      </c>
      <c r="E355" s="3" t="s">
        <v>21</v>
      </c>
      <c r="F355" s="3" t="s">
        <v>926</v>
      </c>
      <c r="G355" s="3" t="s">
        <v>934</v>
      </c>
      <c r="H355" s="156" t="str">
        <f ca="1">IFERROR(
  _xludf.MINIFS(ATTENDANCE_LOG!$F:$F,
         ATTENDANCE_LOG!$A:$A, C355,
         ATTENDANCE_LOG!$B:$B, E355),
"")</f>
        <v/>
      </c>
      <c r="I355" s="156" t="str">
        <f t="shared" ca="1" si="266"/>
        <v/>
      </c>
      <c r="J355" s="3">
        <f>IFERROR(VLOOKUP(F355, LEVEL_HELPER!$A:$B, 2, 0), "")</f>
        <v>1</v>
      </c>
      <c r="K355" s="3">
        <f>IFERROR(VLOOKUP(G355, LEVEL_HELPER!$A:$B, 2, 0), "")</f>
        <v>3.5</v>
      </c>
      <c r="L355" s="157" t="s">
        <v>942</v>
      </c>
      <c r="M355" s="157" t="s">
        <v>923</v>
      </c>
      <c r="N355" s="3">
        <f t="array" aca="1" ref="N355" ca="1">IFERROR(
  INDEX($J$2:$J$543,
    MATCH(A355&amp;TEXT(I355,"yyyy-mm-dd"),
          $A$2:$A$543&amp;TEXT($H$2:$H$543,"yyyy-mm-dd"),
          0)),
"")</f>
        <v>1</v>
      </c>
      <c r="O355" s="147" t="str">
        <f t="shared" ca="1" si="267"/>
        <v/>
      </c>
      <c r="P355" s="147">
        <f t="shared" ref="P355:Q355" ca="1" si="371">IF(N355="",0,IF(N355&lt;=2,1,IF(N355&lt;=4,2,IF(N355&lt;=5.5,3,4))))</f>
        <v>1</v>
      </c>
      <c r="Q355" s="147">
        <f t="shared" ca="1" si="371"/>
        <v>0</v>
      </c>
      <c r="R355" s="147" t="str">
        <f t="shared" ca="1" si="269"/>
        <v>Not tested yet</v>
      </c>
      <c r="S355" s="147">
        <f t="shared" si="270"/>
        <v>1</v>
      </c>
      <c r="T355" s="147"/>
      <c r="U355" s="147"/>
      <c r="V355" s="147"/>
      <c r="W355" s="147"/>
      <c r="X355" s="147"/>
      <c r="Y355" s="147"/>
      <c r="Z355" s="147"/>
      <c r="AA355" s="147"/>
      <c r="AB355" s="147"/>
      <c r="AC355" s="147"/>
      <c r="AD355" s="147"/>
      <c r="AE355" s="147"/>
      <c r="AF355" s="147"/>
      <c r="AG355" s="147"/>
      <c r="AH355" s="147"/>
      <c r="AI355" s="147"/>
      <c r="AJ355" s="147"/>
      <c r="AK355" s="147"/>
      <c r="AL355" s="147"/>
      <c r="AM355" s="151"/>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c r="BI355" s="147"/>
      <c r="BJ355" s="147"/>
      <c r="BK355" s="147"/>
      <c r="BL355" s="147"/>
      <c r="BM355" s="147"/>
      <c r="BN355" s="147"/>
      <c r="BO355" s="147"/>
      <c r="BP355" s="147"/>
      <c r="BQ355" s="147"/>
      <c r="BR355" s="147"/>
      <c r="BS355" s="147"/>
      <c r="BT355" s="147"/>
      <c r="BU355" s="147"/>
      <c r="BV355" s="147"/>
      <c r="BW355" s="147"/>
      <c r="BX355" s="147"/>
      <c r="BY355" s="147"/>
      <c r="BZ355" s="147"/>
      <c r="CA355" s="147"/>
      <c r="CB355" s="147"/>
      <c r="CC355" s="147"/>
      <c r="CD355" s="147"/>
      <c r="CE355" s="147"/>
      <c r="CF355" s="147"/>
      <c r="CG355" s="147"/>
      <c r="CH355" s="147"/>
      <c r="CI355" s="147"/>
      <c r="CJ355" s="147"/>
      <c r="CK355" s="147"/>
    </row>
    <row r="356" spans="1:89">
      <c r="A356" s="159" t="s">
        <v>671</v>
      </c>
      <c r="B356" s="3" t="s">
        <v>672</v>
      </c>
      <c r="C356" s="160" t="s">
        <v>83</v>
      </c>
      <c r="D356" s="160" t="s">
        <v>876</v>
      </c>
      <c r="E356" s="3" t="s">
        <v>21</v>
      </c>
      <c r="F356" s="3" t="s">
        <v>926</v>
      </c>
      <c r="G356" s="3" t="s">
        <v>934</v>
      </c>
      <c r="H356" s="156" t="str">
        <f ca="1">IFERROR(
  _xludf.MINIFS(ATTENDANCE_LOG!$F:$F,
         ATTENDANCE_LOG!$A:$A, C356,
         ATTENDANCE_LOG!$B:$B, E356),
"")</f>
        <v/>
      </c>
      <c r="I356" s="156" t="str">
        <f t="shared" ca="1" si="266"/>
        <v/>
      </c>
      <c r="J356" s="3">
        <f>IFERROR(VLOOKUP(F356, LEVEL_HELPER!$A:$B, 2, 0), "")</f>
        <v>1</v>
      </c>
      <c r="K356" s="3">
        <f>IFERROR(VLOOKUP(G356, LEVEL_HELPER!$A:$B, 2, 0), "")</f>
        <v>3.5</v>
      </c>
      <c r="L356" s="157" t="s">
        <v>942</v>
      </c>
      <c r="M356" s="157" t="s">
        <v>923</v>
      </c>
      <c r="N356" s="3">
        <f t="array" aca="1" ref="N356" ca="1">IFERROR(
  INDEX($J$2:$J$543,
    MATCH(A356&amp;TEXT(I356,"yyyy-mm-dd"),
          $A$2:$A$543&amp;TEXT($H$2:$H$543,"yyyy-mm-dd"),
          0)),
"")</f>
        <v>1</v>
      </c>
      <c r="O356" s="147" t="str">
        <f t="shared" ca="1" si="267"/>
        <v/>
      </c>
      <c r="P356" s="147">
        <f t="shared" ref="P356:Q356" ca="1" si="372">IF(N356="",0,IF(N356&lt;=2,1,IF(N356&lt;=4,2,IF(N356&lt;=5.5,3,4))))</f>
        <v>1</v>
      </c>
      <c r="Q356" s="147">
        <f t="shared" ca="1" si="372"/>
        <v>0</v>
      </c>
      <c r="R356" s="147" t="str">
        <f t="shared" ca="1" si="269"/>
        <v>Not tested yet</v>
      </c>
      <c r="S356" s="147">
        <f t="shared" si="270"/>
        <v>1</v>
      </c>
      <c r="T356" s="147"/>
      <c r="U356" s="147"/>
      <c r="V356" s="147"/>
      <c r="W356" s="147"/>
      <c r="X356" s="147"/>
      <c r="Y356" s="147"/>
      <c r="Z356" s="147"/>
      <c r="AA356" s="147"/>
      <c r="AB356" s="147"/>
      <c r="AC356" s="147"/>
      <c r="AD356" s="147"/>
      <c r="AE356" s="147"/>
      <c r="AF356" s="147"/>
      <c r="AG356" s="147"/>
      <c r="AH356" s="147"/>
      <c r="AI356" s="147"/>
      <c r="AJ356" s="147"/>
      <c r="AK356" s="147"/>
      <c r="AL356" s="147"/>
      <c r="AM356" s="151"/>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c r="BI356" s="147"/>
      <c r="BJ356" s="147"/>
      <c r="BK356" s="147"/>
      <c r="BL356" s="147"/>
      <c r="BM356" s="147"/>
      <c r="BN356" s="147"/>
      <c r="BO356" s="147"/>
      <c r="BP356" s="147"/>
      <c r="BQ356" s="147"/>
      <c r="BR356" s="147"/>
      <c r="BS356" s="147"/>
      <c r="BT356" s="147"/>
      <c r="BU356" s="147"/>
      <c r="BV356" s="147"/>
      <c r="BW356" s="147"/>
      <c r="BX356" s="147"/>
      <c r="BY356" s="147"/>
      <c r="BZ356" s="147"/>
      <c r="CA356" s="147"/>
      <c r="CB356" s="147"/>
      <c r="CC356" s="147"/>
      <c r="CD356" s="147"/>
      <c r="CE356" s="147"/>
      <c r="CF356" s="147"/>
      <c r="CG356" s="147"/>
      <c r="CH356" s="147"/>
      <c r="CI356" s="147"/>
      <c r="CJ356" s="147"/>
      <c r="CK356" s="147"/>
    </row>
    <row r="357" spans="1:89">
      <c r="A357" s="159" t="s">
        <v>208</v>
      </c>
      <c r="B357" s="154" t="s">
        <v>209</v>
      </c>
      <c r="C357" s="155" t="s">
        <v>83</v>
      </c>
      <c r="D357" s="155" t="s">
        <v>876</v>
      </c>
      <c r="E357" s="154" t="s">
        <v>22</v>
      </c>
      <c r="F357" s="3" t="s">
        <v>934</v>
      </c>
      <c r="G357" s="3" t="s">
        <v>940</v>
      </c>
      <c r="H357" s="156" t="str">
        <f ca="1">IFERROR(
  _xludf.MINIFS(ATTENDANCE_LOG!$F:$F,
         ATTENDANCE_LOG!$A:$A, C357,
         ATTENDANCE_LOG!$B:$B, E357),
"")</f>
        <v/>
      </c>
      <c r="I357" s="156" t="str">
        <f t="shared" ca="1" si="266"/>
        <v/>
      </c>
      <c r="J357" s="3">
        <f>IFERROR(VLOOKUP(F357, LEVEL_HELPER!$A:$B, 2, 0), "")</f>
        <v>3.5</v>
      </c>
      <c r="K357" s="3">
        <f>IFERROR(VLOOKUP(G357, LEVEL_HELPER!$A:$B, 2, 0), "")</f>
        <v>5</v>
      </c>
      <c r="L357" s="157" t="s">
        <v>942</v>
      </c>
      <c r="M357" s="157" t="s">
        <v>923</v>
      </c>
      <c r="N357" s="3">
        <f t="array" aca="1" ref="N357" ca="1">IFERROR(
  INDEX($J$2:$J$543,
    MATCH(A357&amp;TEXT(I357,"yyyy-mm-dd"),
          $A$2:$A$543&amp;TEXT($H$2:$H$543,"yyyy-mm-dd"),
          0)),
"")</f>
        <v>1</v>
      </c>
      <c r="O357" s="147" t="str">
        <f t="shared" ca="1" si="267"/>
        <v/>
      </c>
      <c r="P357" s="147">
        <f t="shared" ref="P357:Q357" ca="1" si="373">IF(N357="",0,IF(N357&lt;=2,1,IF(N357&lt;=4,2,IF(N357&lt;=5.5,3,4))))</f>
        <v>1</v>
      </c>
      <c r="Q357" s="147">
        <f t="shared" ca="1" si="373"/>
        <v>0</v>
      </c>
      <c r="R357" s="147" t="str">
        <f t="shared" ca="1" si="269"/>
        <v>Not tested yet</v>
      </c>
      <c r="S357" s="147">
        <f t="shared" si="270"/>
        <v>0</v>
      </c>
      <c r="T357" s="147"/>
      <c r="U357" s="147"/>
      <c r="V357" s="147"/>
      <c r="W357" s="147"/>
      <c r="X357" s="147"/>
      <c r="Y357" s="147"/>
      <c r="Z357" s="147"/>
      <c r="AA357" s="147"/>
      <c r="AB357" s="147"/>
      <c r="AC357" s="147"/>
      <c r="AD357" s="147"/>
      <c r="AE357" s="147"/>
      <c r="AF357" s="147"/>
      <c r="AG357" s="147"/>
      <c r="AH357" s="147"/>
      <c r="AI357" s="147"/>
      <c r="AJ357" s="147"/>
      <c r="AK357" s="147"/>
      <c r="AL357" s="147"/>
      <c r="AM357" s="151"/>
      <c r="AN357" s="147"/>
      <c r="AO357" s="147"/>
      <c r="AP357" s="147"/>
      <c r="AQ357" s="147"/>
      <c r="AR357" s="147"/>
      <c r="AS357" s="147"/>
      <c r="AT357" s="147"/>
      <c r="AU357" s="147"/>
      <c r="AV357" s="147"/>
      <c r="AW357" s="147"/>
      <c r="AX357" s="147"/>
      <c r="AY357" s="147"/>
      <c r="AZ357" s="147"/>
      <c r="BA357" s="147"/>
      <c r="BB357" s="147"/>
      <c r="BC357" s="147"/>
      <c r="BD357" s="147"/>
      <c r="BE357" s="147"/>
      <c r="BF357" s="147"/>
      <c r="BG357" s="147"/>
      <c r="BH357" s="147"/>
      <c r="BI357" s="147"/>
      <c r="BJ357" s="147"/>
      <c r="BK357" s="147"/>
      <c r="BL357" s="147"/>
      <c r="BM357" s="147"/>
      <c r="BN357" s="147"/>
      <c r="BO357" s="147"/>
      <c r="BP357" s="147"/>
      <c r="BQ357" s="147"/>
      <c r="BR357" s="147"/>
      <c r="BS357" s="147"/>
      <c r="BT357" s="147"/>
      <c r="BU357" s="147"/>
      <c r="BV357" s="147"/>
      <c r="BW357" s="147"/>
      <c r="BX357" s="147"/>
      <c r="BY357" s="147"/>
      <c r="BZ357" s="147"/>
      <c r="CA357" s="147"/>
      <c r="CB357" s="147"/>
      <c r="CC357" s="147"/>
      <c r="CD357" s="147"/>
      <c r="CE357" s="147"/>
      <c r="CF357" s="147"/>
      <c r="CG357" s="147"/>
      <c r="CH357" s="147"/>
      <c r="CI357" s="147"/>
      <c r="CJ357" s="147"/>
      <c r="CK357" s="147"/>
    </row>
    <row r="358" spans="1:89">
      <c r="A358" s="159" t="s">
        <v>241</v>
      </c>
      <c r="B358" s="3" t="s">
        <v>242</v>
      </c>
      <c r="C358" s="160" t="s">
        <v>83</v>
      </c>
      <c r="D358" s="160" t="s">
        <v>876</v>
      </c>
      <c r="E358" s="3" t="s">
        <v>22</v>
      </c>
      <c r="F358" s="3" t="s">
        <v>928</v>
      </c>
      <c r="G358" s="3" t="s">
        <v>917</v>
      </c>
      <c r="H358" s="156" t="str">
        <f ca="1">IFERROR(
  _xludf.MINIFS(ATTENDANCE_LOG!$F:$F,
         ATTENDANCE_LOG!$A:$A, C358,
         ATTENDANCE_LOG!$B:$B, E358),
"")</f>
        <v/>
      </c>
      <c r="I358" s="156" t="str">
        <f t="shared" ca="1" si="266"/>
        <v/>
      </c>
      <c r="J358" s="3">
        <f>IFERROR(VLOOKUP(F358, LEVEL_HELPER!$A:$B, 2, 0), "")</f>
        <v>1.5</v>
      </c>
      <c r="K358" s="3">
        <f>IFERROR(VLOOKUP(G358, LEVEL_HELPER!$A:$B, 2, 0), "")</f>
        <v>3</v>
      </c>
      <c r="L358" s="157" t="s">
        <v>918</v>
      </c>
      <c r="M358" s="157" t="s">
        <v>923</v>
      </c>
      <c r="N358" s="3">
        <f t="array" aca="1" ref="N358" ca="1">IFERROR(
  INDEX($J$2:$J$543,
    MATCH(A358&amp;TEXT(I358,"yyyy-mm-dd"),
          $A$2:$A$543&amp;TEXT($H$2:$H$543,"yyyy-mm-dd"),
          0)),
"")</f>
        <v>1.5</v>
      </c>
      <c r="O358" s="147" t="str">
        <f t="shared" ca="1" si="267"/>
        <v/>
      </c>
      <c r="P358" s="147">
        <f t="shared" ref="P358:Q358" ca="1" si="374">IF(N358="",0,IF(N358&lt;=2,1,IF(N358&lt;=4,2,IF(N358&lt;=5.5,3,4))))</f>
        <v>1</v>
      </c>
      <c r="Q358" s="147">
        <f t="shared" ca="1" si="374"/>
        <v>0</v>
      </c>
      <c r="R358" s="147" t="str">
        <f t="shared" ca="1" si="269"/>
        <v>Not tested yet</v>
      </c>
      <c r="S358" s="147">
        <f t="shared" si="270"/>
        <v>1</v>
      </c>
      <c r="T358" s="147"/>
      <c r="U358" s="147"/>
      <c r="V358" s="147"/>
      <c r="W358" s="147"/>
      <c r="X358" s="147"/>
      <c r="Y358" s="147"/>
      <c r="Z358" s="147"/>
      <c r="AA358" s="147"/>
      <c r="AB358" s="147"/>
      <c r="AC358" s="147"/>
      <c r="AD358" s="147"/>
      <c r="AE358" s="147"/>
      <c r="AF358" s="147"/>
      <c r="AG358" s="147"/>
      <c r="AH358" s="147"/>
      <c r="AI358" s="147"/>
      <c r="AJ358" s="147"/>
      <c r="AK358" s="147"/>
      <c r="AL358" s="147"/>
      <c r="AM358" s="151"/>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c r="BI358" s="147"/>
      <c r="BJ358" s="147"/>
      <c r="BK358" s="147"/>
      <c r="BL358" s="147"/>
      <c r="BM358" s="147"/>
      <c r="BN358" s="147"/>
      <c r="BO358" s="147"/>
      <c r="BP358" s="147"/>
      <c r="BQ358" s="147"/>
      <c r="BR358" s="147"/>
      <c r="BS358" s="147"/>
      <c r="BT358" s="147"/>
      <c r="BU358" s="147"/>
      <c r="BV358" s="147"/>
      <c r="BW358" s="147"/>
      <c r="BX358" s="147"/>
      <c r="BY358" s="147"/>
      <c r="BZ358" s="147"/>
      <c r="CA358" s="147"/>
      <c r="CB358" s="147"/>
      <c r="CC358" s="147"/>
      <c r="CD358" s="147"/>
      <c r="CE358" s="147"/>
      <c r="CF358" s="147"/>
      <c r="CG358" s="147"/>
      <c r="CH358" s="147"/>
      <c r="CI358" s="147"/>
      <c r="CJ358" s="147"/>
      <c r="CK358" s="147"/>
    </row>
    <row r="359" spans="1:89">
      <c r="A359" s="159" t="s">
        <v>243</v>
      </c>
      <c r="B359" s="3" t="s">
        <v>244</v>
      </c>
      <c r="C359" s="160" t="s">
        <v>83</v>
      </c>
      <c r="D359" s="160" t="s">
        <v>876</v>
      </c>
      <c r="E359" s="3" t="s">
        <v>22</v>
      </c>
      <c r="F359" s="3" t="s">
        <v>926</v>
      </c>
      <c r="G359" s="3" t="s">
        <v>917</v>
      </c>
      <c r="H359" s="156" t="str">
        <f ca="1">IFERROR(
  _xludf.MINIFS(ATTENDANCE_LOG!$F:$F,
         ATTENDANCE_LOG!$A:$A, C359,
         ATTENDANCE_LOG!$B:$B, E359),
"")</f>
        <v/>
      </c>
      <c r="I359" s="156" t="str">
        <f t="shared" ca="1" si="266"/>
        <v/>
      </c>
      <c r="J359" s="3">
        <f>IFERROR(VLOOKUP(F359, LEVEL_HELPER!$A:$B, 2, 0), "")</f>
        <v>1</v>
      </c>
      <c r="K359" s="3">
        <f>IFERROR(VLOOKUP(G359, LEVEL_HELPER!$A:$B, 2, 0), "")</f>
        <v>3</v>
      </c>
      <c r="L359" s="157" t="s">
        <v>942</v>
      </c>
      <c r="M359" s="157" t="s">
        <v>923</v>
      </c>
      <c r="N359" s="3">
        <f t="array" aca="1" ref="N359" ca="1">IFERROR(
  INDEX($J$2:$J$543,
    MATCH(A359&amp;TEXT(I359,"yyyy-mm-dd"),
          $A$2:$A$543&amp;TEXT($H$2:$H$543,"yyyy-mm-dd"),
          0)),
"")</f>
        <v>1</v>
      </c>
      <c r="O359" s="147" t="str">
        <f t="shared" ca="1" si="267"/>
        <v/>
      </c>
      <c r="P359" s="147">
        <f t="shared" ref="P359:Q359" ca="1" si="375">IF(N359="",0,IF(N359&lt;=2,1,IF(N359&lt;=4,2,IF(N359&lt;=5.5,3,4))))</f>
        <v>1</v>
      </c>
      <c r="Q359" s="147">
        <f t="shared" ca="1" si="375"/>
        <v>0</v>
      </c>
      <c r="R359" s="147" t="str">
        <f t="shared" ca="1" si="269"/>
        <v>Not tested yet</v>
      </c>
      <c r="S359" s="147">
        <f t="shared" si="270"/>
        <v>0</v>
      </c>
      <c r="T359" s="147"/>
      <c r="U359" s="147"/>
      <c r="V359" s="147"/>
      <c r="W359" s="147"/>
      <c r="X359" s="147"/>
      <c r="Y359" s="147"/>
      <c r="Z359" s="147"/>
      <c r="AA359" s="147"/>
      <c r="AB359" s="147"/>
      <c r="AC359" s="147"/>
      <c r="AD359" s="147"/>
      <c r="AE359" s="147"/>
      <c r="AF359" s="147"/>
      <c r="AG359" s="147"/>
      <c r="AH359" s="147"/>
      <c r="AI359" s="147"/>
      <c r="AJ359" s="147"/>
      <c r="AK359" s="147"/>
      <c r="AL359" s="147"/>
      <c r="AM359" s="151"/>
      <c r="AN359" s="147"/>
      <c r="AO359" s="147"/>
      <c r="AP359" s="147"/>
      <c r="AQ359" s="147"/>
      <c r="AR359" s="147"/>
      <c r="AS359" s="147"/>
      <c r="AT359" s="147"/>
      <c r="AU359" s="147"/>
      <c r="AV359" s="147"/>
      <c r="AW359" s="147"/>
      <c r="AX359" s="147"/>
      <c r="AY359" s="147"/>
      <c r="AZ359" s="147"/>
      <c r="BA359" s="147"/>
      <c r="BB359" s="147"/>
      <c r="BC359" s="147"/>
      <c r="BD359" s="147"/>
      <c r="BE359" s="147"/>
      <c r="BF359" s="147"/>
      <c r="BG359" s="147"/>
      <c r="BH359" s="147"/>
      <c r="BI359" s="147"/>
      <c r="BJ359" s="147"/>
      <c r="BK359" s="147"/>
      <c r="BL359" s="147"/>
      <c r="BM359" s="147"/>
      <c r="BN359" s="147"/>
      <c r="BO359" s="147"/>
      <c r="BP359" s="147"/>
      <c r="BQ359" s="147"/>
      <c r="BR359" s="147"/>
      <c r="BS359" s="147"/>
      <c r="BT359" s="147"/>
      <c r="BU359" s="147"/>
      <c r="BV359" s="147"/>
      <c r="BW359" s="147"/>
      <c r="BX359" s="147"/>
      <c r="BY359" s="147"/>
      <c r="BZ359" s="147"/>
      <c r="CA359" s="147"/>
      <c r="CB359" s="147"/>
      <c r="CC359" s="147"/>
      <c r="CD359" s="147"/>
      <c r="CE359" s="147"/>
      <c r="CF359" s="147"/>
      <c r="CG359" s="147"/>
      <c r="CH359" s="147"/>
      <c r="CI359" s="147"/>
      <c r="CJ359" s="147"/>
      <c r="CK359" s="147"/>
    </row>
    <row r="360" spans="1:89">
      <c r="A360" s="159" t="s">
        <v>305</v>
      </c>
      <c r="B360" s="3" t="s">
        <v>306</v>
      </c>
      <c r="C360" s="160" t="s">
        <v>83</v>
      </c>
      <c r="D360" s="160" t="s">
        <v>876</v>
      </c>
      <c r="E360" s="3" t="s">
        <v>22</v>
      </c>
      <c r="F360" s="3" t="s">
        <v>928</v>
      </c>
      <c r="G360" s="3" t="s">
        <v>917</v>
      </c>
      <c r="H360" s="156" t="str">
        <f ca="1">IFERROR(
  _xludf.MINIFS(ATTENDANCE_LOG!$F:$F,
         ATTENDANCE_LOG!$A:$A, C360,
         ATTENDANCE_LOG!$B:$B, E360),
"")</f>
        <v/>
      </c>
      <c r="I360" s="156" t="str">
        <f t="shared" ca="1" si="266"/>
        <v/>
      </c>
      <c r="J360" s="3">
        <f>IFERROR(VLOOKUP(F360, LEVEL_HELPER!$A:$B, 2, 0), "")</f>
        <v>1.5</v>
      </c>
      <c r="K360" s="3">
        <f>IFERROR(VLOOKUP(G360, LEVEL_HELPER!$A:$B, 2, 0), "")</f>
        <v>3</v>
      </c>
      <c r="L360" s="157" t="s">
        <v>942</v>
      </c>
      <c r="M360" s="157" t="s">
        <v>923</v>
      </c>
      <c r="N360" s="3">
        <f t="array" aca="1" ref="N360" ca="1">IFERROR(
  INDEX($J$2:$J$543,
    MATCH(A360&amp;TEXT(I360,"yyyy-mm-dd"),
          $A$2:$A$543&amp;TEXT($H$2:$H$543,"yyyy-mm-dd"),
          0)),
"")</f>
        <v>1</v>
      </c>
      <c r="O360" s="147" t="str">
        <f t="shared" ca="1" si="267"/>
        <v/>
      </c>
      <c r="P360" s="147">
        <f t="shared" ref="P360:Q360" ca="1" si="376">IF(N360="",0,IF(N360&lt;=2,1,IF(N360&lt;=4,2,IF(N360&lt;=5.5,3,4))))</f>
        <v>1</v>
      </c>
      <c r="Q360" s="147">
        <f t="shared" ca="1" si="376"/>
        <v>0</v>
      </c>
      <c r="R360" s="147" t="str">
        <f t="shared" ca="1" si="269"/>
        <v>Not tested yet</v>
      </c>
      <c r="S360" s="147">
        <f t="shared" si="270"/>
        <v>0</v>
      </c>
      <c r="T360" s="147"/>
      <c r="U360" s="147"/>
      <c r="V360" s="147"/>
      <c r="W360" s="147"/>
      <c r="X360" s="147"/>
      <c r="Y360" s="147"/>
      <c r="Z360" s="147"/>
      <c r="AA360" s="147"/>
      <c r="AB360" s="147"/>
      <c r="AC360" s="147"/>
      <c r="AD360" s="147"/>
      <c r="AE360" s="147"/>
      <c r="AF360" s="147"/>
      <c r="AG360" s="147"/>
      <c r="AH360" s="147"/>
      <c r="AI360" s="147"/>
      <c r="AJ360" s="147"/>
      <c r="AK360" s="147"/>
      <c r="AL360" s="147"/>
      <c r="AM360" s="151"/>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c r="BI360" s="147"/>
      <c r="BJ360" s="147"/>
      <c r="BK360" s="147"/>
      <c r="BL360" s="147"/>
      <c r="BM360" s="147"/>
      <c r="BN360" s="147"/>
      <c r="BO360" s="147"/>
      <c r="BP360" s="147"/>
      <c r="BQ360" s="147"/>
      <c r="BR360" s="147"/>
      <c r="BS360" s="147"/>
      <c r="BT360" s="147"/>
      <c r="BU360" s="147"/>
      <c r="BV360" s="147"/>
      <c r="BW360" s="147"/>
      <c r="BX360" s="147"/>
      <c r="BY360" s="147"/>
      <c r="BZ360" s="147"/>
      <c r="CA360" s="147"/>
      <c r="CB360" s="147"/>
      <c r="CC360" s="147"/>
      <c r="CD360" s="147"/>
      <c r="CE360" s="147"/>
      <c r="CF360" s="147"/>
      <c r="CG360" s="147"/>
      <c r="CH360" s="147"/>
      <c r="CI360" s="147"/>
      <c r="CJ360" s="147"/>
      <c r="CK360" s="147"/>
    </row>
    <row r="361" spans="1:89">
      <c r="A361" s="159" t="s">
        <v>442</v>
      </c>
      <c r="B361" s="3" t="s">
        <v>443</v>
      </c>
      <c r="C361" s="160" t="s">
        <v>83</v>
      </c>
      <c r="D361" s="160" t="s">
        <v>876</v>
      </c>
      <c r="E361" s="3" t="s">
        <v>22</v>
      </c>
      <c r="F361" s="3" t="s">
        <v>917</v>
      </c>
      <c r="G361" s="3" t="s">
        <v>934</v>
      </c>
      <c r="H361" s="156" t="str">
        <f ca="1">IFERROR(
  _xludf.MINIFS(ATTENDANCE_LOG!$F:$F,
         ATTENDANCE_LOG!$A:$A, C361,
         ATTENDANCE_LOG!$B:$B, E361),
"")</f>
        <v/>
      </c>
      <c r="I361" s="156" t="str">
        <f t="shared" ca="1" si="266"/>
        <v/>
      </c>
      <c r="J361" s="3">
        <f>IFERROR(VLOOKUP(F361, LEVEL_HELPER!$A:$B, 2, 0), "")</f>
        <v>3</v>
      </c>
      <c r="K361" s="3">
        <f>IFERROR(VLOOKUP(G361, LEVEL_HELPER!$A:$B, 2, 0), "")</f>
        <v>3.5</v>
      </c>
      <c r="L361" s="157" t="s">
        <v>942</v>
      </c>
      <c r="M361" s="157" t="s">
        <v>923</v>
      </c>
      <c r="N361" s="3">
        <f t="array" aca="1" ref="N361" ca="1">IFERROR(
  INDEX($J$2:$J$543,
    MATCH(A361&amp;TEXT(I361,"yyyy-mm-dd"),
          $A$2:$A$543&amp;TEXT($H$2:$H$543,"yyyy-mm-dd"),
          0)),
"")</f>
        <v>1</v>
      </c>
      <c r="O361" s="147" t="str">
        <f t="shared" ca="1" si="267"/>
        <v/>
      </c>
      <c r="P361" s="147">
        <f t="shared" ref="P361:Q361" ca="1" si="377">IF(N361="",0,IF(N361&lt;=2,1,IF(N361&lt;=4,2,IF(N361&lt;=5.5,3,4))))</f>
        <v>1</v>
      </c>
      <c r="Q361" s="147">
        <f t="shared" ca="1" si="377"/>
        <v>0</v>
      </c>
      <c r="R361" s="147" t="str">
        <f t="shared" ca="1" si="269"/>
        <v>Not tested yet</v>
      </c>
      <c r="S361" s="147">
        <f t="shared" si="270"/>
        <v>0</v>
      </c>
      <c r="T361" s="147"/>
      <c r="U361" s="147"/>
      <c r="V361" s="147"/>
      <c r="W361" s="147"/>
      <c r="X361" s="147"/>
      <c r="Y361" s="147"/>
      <c r="Z361" s="147"/>
      <c r="AA361" s="147"/>
      <c r="AB361" s="147"/>
      <c r="AC361" s="147"/>
      <c r="AD361" s="147"/>
      <c r="AE361" s="147"/>
      <c r="AF361" s="147"/>
      <c r="AG361" s="147"/>
      <c r="AH361" s="147"/>
      <c r="AI361" s="147"/>
      <c r="AJ361" s="147"/>
      <c r="AK361" s="147"/>
      <c r="AL361" s="147"/>
      <c r="AM361" s="151"/>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c r="BI361" s="147"/>
      <c r="BJ361" s="147"/>
      <c r="BK361" s="147"/>
      <c r="BL361" s="147"/>
      <c r="BM361" s="147"/>
      <c r="BN361" s="147"/>
      <c r="BO361" s="147"/>
      <c r="BP361" s="147"/>
      <c r="BQ361" s="147"/>
      <c r="BR361" s="147"/>
      <c r="BS361" s="147"/>
      <c r="BT361" s="147"/>
      <c r="BU361" s="147"/>
      <c r="BV361" s="147"/>
      <c r="BW361" s="147"/>
      <c r="BX361" s="147"/>
      <c r="BY361" s="147"/>
      <c r="BZ361" s="147"/>
      <c r="CA361" s="147"/>
      <c r="CB361" s="147"/>
      <c r="CC361" s="147"/>
      <c r="CD361" s="147"/>
      <c r="CE361" s="147"/>
      <c r="CF361" s="147"/>
      <c r="CG361" s="147"/>
      <c r="CH361" s="147"/>
      <c r="CI361" s="147"/>
      <c r="CJ361" s="147"/>
      <c r="CK361" s="147"/>
    </row>
    <row r="362" spans="1:89">
      <c r="A362" s="159" t="s">
        <v>463</v>
      </c>
      <c r="B362" s="3" t="s">
        <v>464</v>
      </c>
      <c r="C362" s="160" t="s">
        <v>83</v>
      </c>
      <c r="D362" s="160" t="s">
        <v>876</v>
      </c>
      <c r="E362" s="3" t="s">
        <v>22</v>
      </c>
      <c r="F362" s="3" t="s">
        <v>928</v>
      </c>
      <c r="G362" s="3"/>
      <c r="H362" s="156" t="str">
        <f ca="1">IFERROR(
  _xludf.MINIFS(ATTENDANCE_LOG!$F:$F,
         ATTENDANCE_LOG!$A:$A, C362,
         ATTENDANCE_LOG!$B:$B, E362),
"")</f>
        <v/>
      </c>
      <c r="I362" s="156" t="str">
        <f t="shared" ca="1" si="266"/>
        <v/>
      </c>
      <c r="J362" s="3">
        <f>IFERROR(VLOOKUP(F362, LEVEL_HELPER!$A:$B, 2, 0), "")</f>
        <v>1.5</v>
      </c>
      <c r="K362" s="3" t="str">
        <f>IFERROR(VLOOKUP(G362, LEVEL_HELPER!$A:$B, 2, 0), "")</f>
        <v/>
      </c>
      <c r="L362" s="157" t="s">
        <v>918</v>
      </c>
      <c r="M362" s="157" t="s">
        <v>923</v>
      </c>
      <c r="N362" s="3">
        <f t="array" aca="1" ref="N362" ca="1">IFERROR(
  INDEX($J$2:$J$543,
    MATCH(A362&amp;TEXT(I362,"yyyy-mm-dd"),
          $A$2:$A$543&amp;TEXT($H$2:$H$543,"yyyy-mm-dd"),
          0)),
"")</f>
        <v>1.5</v>
      </c>
      <c r="O362" s="147" t="str">
        <f t="shared" ca="1" si="267"/>
        <v/>
      </c>
      <c r="P362" s="147">
        <f t="shared" ref="P362:Q362" ca="1" si="378">IF(N362="",0,IF(N362&lt;=2,1,IF(N362&lt;=4,2,IF(N362&lt;=5.5,3,4))))</f>
        <v>1</v>
      </c>
      <c r="Q362" s="147">
        <f t="shared" ca="1" si="378"/>
        <v>0</v>
      </c>
      <c r="R362" s="147" t="str">
        <f t="shared" ca="1" si="269"/>
        <v>Not tested yet</v>
      </c>
      <c r="S362" s="147">
        <f t="shared" si="270"/>
        <v>1</v>
      </c>
      <c r="T362" s="147"/>
      <c r="U362" s="147"/>
      <c r="V362" s="147"/>
      <c r="W362" s="147"/>
      <c r="X362" s="147"/>
      <c r="Y362" s="147"/>
      <c r="Z362" s="147"/>
      <c r="AA362" s="147"/>
      <c r="AB362" s="147"/>
      <c r="AC362" s="147"/>
      <c r="AD362" s="147"/>
      <c r="AE362" s="147"/>
      <c r="AF362" s="147"/>
      <c r="AG362" s="147"/>
      <c r="AH362" s="147"/>
      <c r="AI362" s="147"/>
      <c r="AJ362" s="147"/>
      <c r="AK362" s="147"/>
      <c r="AL362" s="147"/>
      <c r="AM362" s="151"/>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c r="BI362" s="147"/>
      <c r="BJ362" s="147"/>
      <c r="BK362" s="147"/>
      <c r="BL362" s="147"/>
      <c r="BM362" s="147"/>
      <c r="BN362" s="147"/>
      <c r="BO362" s="147"/>
      <c r="BP362" s="147"/>
      <c r="BQ362" s="147"/>
      <c r="BR362" s="147"/>
      <c r="BS362" s="147"/>
      <c r="BT362" s="147"/>
      <c r="BU362" s="147"/>
      <c r="BV362" s="147"/>
      <c r="BW362" s="147"/>
      <c r="BX362" s="147"/>
      <c r="BY362" s="147"/>
      <c r="BZ362" s="147"/>
      <c r="CA362" s="147"/>
      <c r="CB362" s="147"/>
      <c r="CC362" s="147"/>
      <c r="CD362" s="147"/>
      <c r="CE362" s="147"/>
      <c r="CF362" s="147"/>
      <c r="CG362" s="147"/>
      <c r="CH362" s="147"/>
      <c r="CI362" s="147"/>
      <c r="CJ362" s="147"/>
      <c r="CK362" s="147"/>
    </row>
    <row r="363" spans="1:89">
      <c r="A363" s="159" t="s">
        <v>633</v>
      </c>
      <c r="B363" s="3" t="s">
        <v>634</v>
      </c>
      <c r="C363" s="160" t="s">
        <v>83</v>
      </c>
      <c r="D363" s="160" t="s">
        <v>876</v>
      </c>
      <c r="E363" s="3" t="s">
        <v>22</v>
      </c>
      <c r="F363" s="3" t="s">
        <v>917</v>
      </c>
      <c r="G363" s="3" t="s">
        <v>928</v>
      </c>
      <c r="H363" s="156" t="str">
        <f ca="1">IFERROR(
  _xludf.MINIFS(ATTENDANCE_LOG!$F:$F,
         ATTENDANCE_LOG!$A:$A, C363,
         ATTENDANCE_LOG!$B:$B, E363),
"")</f>
        <v/>
      </c>
      <c r="I363" s="156" t="str">
        <f t="shared" ca="1" si="266"/>
        <v/>
      </c>
      <c r="J363" s="3">
        <f>IFERROR(VLOOKUP(F363, LEVEL_HELPER!$A:$B, 2, 0), "")</f>
        <v>3</v>
      </c>
      <c r="K363" s="3">
        <f>IFERROR(VLOOKUP(G363, LEVEL_HELPER!$A:$B, 2, 0), "")</f>
        <v>1.5</v>
      </c>
      <c r="L363" s="157" t="s">
        <v>942</v>
      </c>
      <c r="M363" s="157" t="s">
        <v>923</v>
      </c>
      <c r="N363" s="3">
        <f t="array" aca="1" ref="N363" ca="1">IFERROR(
  INDEX($J$2:$J$543,
    MATCH(A363&amp;TEXT(I363,"yyyy-mm-dd"),
          $A$2:$A$543&amp;TEXT($H$2:$H$543,"yyyy-mm-dd"),
          0)),
"")</f>
        <v>1</v>
      </c>
      <c r="O363" s="147" t="str">
        <f t="shared" ca="1" si="267"/>
        <v/>
      </c>
      <c r="P363" s="147">
        <f t="shared" ref="P363:Q363" ca="1" si="379">IF(N363="",0,IF(N363&lt;=2,1,IF(N363&lt;=4,2,IF(N363&lt;=5.5,3,4))))</f>
        <v>1</v>
      </c>
      <c r="Q363" s="147">
        <f t="shared" ca="1" si="379"/>
        <v>0</v>
      </c>
      <c r="R363" s="147" t="str">
        <f t="shared" ca="1" si="269"/>
        <v>Not tested yet</v>
      </c>
      <c r="S363" s="147">
        <f t="shared" si="270"/>
        <v>0</v>
      </c>
      <c r="T363" s="147"/>
      <c r="U363" s="147"/>
      <c r="V363" s="147"/>
      <c r="W363" s="147"/>
      <c r="X363" s="147"/>
      <c r="Y363" s="147"/>
      <c r="Z363" s="147"/>
      <c r="AA363" s="147"/>
      <c r="AB363" s="147"/>
      <c r="AC363" s="147"/>
      <c r="AD363" s="147"/>
      <c r="AE363" s="147"/>
      <c r="AF363" s="147"/>
      <c r="AG363" s="147"/>
      <c r="AH363" s="147"/>
      <c r="AI363" s="147"/>
      <c r="AJ363" s="147"/>
      <c r="AK363" s="147"/>
      <c r="AL363" s="147"/>
      <c r="AM363" s="151"/>
      <c r="AN363" s="147"/>
      <c r="AO363" s="147"/>
      <c r="AP363" s="147"/>
      <c r="AQ363" s="147"/>
      <c r="AR363" s="147"/>
      <c r="AS363" s="147"/>
      <c r="AT363" s="147"/>
      <c r="AU363" s="147"/>
      <c r="AV363" s="147"/>
      <c r="AW363" s="147"/>
      <c r="AX363" s="147"/>
      <c r="AY363" s="147"/>
      <c r="AZ363" s="147"/>
      <c r="BA363" s="147"/>
      <c r="BB363" s="147"/>
      <c r="BC363" s="147"/>
      <c r="BD363" s="147"/>
      <c r="BE363" s="147"/>
      <c r="BF363" s="147"/>
      <c r="BG363" s="147"/>
      <c r="BH363" s="147"/>
      <c r="BI363" s="147"/>
      <c r="BJ363" s="147"/>
      <c r="BK363" s="147"/>
      <c r="BL363" s="147"/>
      <c r="BM363" s="147"/>
      <c r="BN363" s="147"/>
      <c r="BO363" s="147"/>
      <c r="BP363" s="147"/>
      <c r="BQ363" s="147"/>
      <c r="BR363" s="147"/>
      <c r="BS363" s="147"/>
      <c r="BT363" s="147"/>
      <c r="BU363" s="147"/>
      <c r="BV363" s="147"/>
      <c r="BW363" s="147"/>
      <c r="BX363" s="147"/>
      <c r="BY363" s="147"/>
      <c r="BZ363" s="147"/>
      <c r="CA363" s="147"/>
      <c r="CB363" s="147"/>
      <c r="CC363" s="147"/>
      <c r="CD363" s="147"/>
      <c r="CE363" s="147"/>
      <c r="CF363" s="147"/>
      <c r="CG363" s="147"/>
      <c r="CH363" s="147"/>
      <c r="CI363" s="147"/>
      <c r="CJ363" s="147"/>
      <c r="CK363" s="147"/>
    </row>
    <row r="364" spans="1:89">
      <c r="A364" s="159" t="s">
        <v>641</v>
      </c>
      <c r="B364" s="3" t="s">
        <v>642</v>
      </c>
      <c r="C364" s="160" t="s">
        <v>83</v>
      </c>
      <c r="D364" s="160" t="s">
        <v>876</v>
      </c>
      <c r="E364" s="3" t="s">
        <v>22</v>
      </c>
      <c r="F364" s="3" t="s">
        <v>934</v>
      </c>
      <c r="G364" s="3" t="s">
        <v>940</v>
      </c>
      <c r="H364" s="156" t="str">
        <f ca="1">IFERROR(
  _xludf.MINIFS(ATTENDANCE_LOG!$F:$F,
         ATTENDANCE_LOG!$A:$A, C364,
         ATTENDANCE_LOG!$B:$B, E364),
"")</f>
        <v/>
      </c>
      <c r="I364" s="156" t="str">
        <f t="shared" ca="1" si="266"/>
        <v/>
      </c>
      <c r="J364" s="3">
        <f>IFERROR(VLOOKUP(F364, LEVEL_HELPER!$A:$B, 2, 0), "")</f>
        <v>3.5</v>
      </c>
      <c r="K364" s="3">
        <f>IFERROR(VLOOKUP(G364, LEVEL_HELPER!$A:$B, 2, 0), "")</f>
        <v>5</v>
      </c>
      <c r="L364" s="157" t="s">
        <v>942</v>
      </c>
      <c r="M364" s="157" t="s">
        <v>923</v>
      </c>
      <c r="N364" s="3">
        <f t="array" aca="1" ref="N364" ca="1">IFERROR(
  INDEX($J$2:$J$543,
    MATCH(A364&amp;TEXT(I364,"yyyy-mm-dd"),
          $A$2:$A$543&amp;TEXT($H$2:$H$543,"yyyy-mm-dd"),
          0)),
"")</f>
        <v>1</v>
      </c>
      <c r="O364" s="147" t="str">
        <f t="shared" ca="1" si="267"/>
        <v/>
      </c>
      <c r="P364" s="147">
        <f t="shared" ref="P364:Q364" ca="1" si="380">IF(N364="",0,IF(N364&lt;=2,1,IF(N364&lt;=4,2,IF(N364&lt;=5.5,3,4))))</f>
        <v>1</v>
      </c>
      <c r="Q364" s="147">
        <f t="shared" ca="1" si="380"/>
        <v>0</v>
      </c>
      <c r="R364" s="147" t="str">
        <f t="shared" ca="1" si="269"/>
        <v>Not tested yet</v>
      </c>
      <c r="S364" s="147">
        <f t="shared" si="270"/>
        <v>0</v>
      </c>
      <c r="T364" s="147"/>
      <c r="U364" s="147"/>
      <c r="V364" s="147"/>
      <c r="W364" s="147"/>
      <c r="X364" s="147"/>
      <c r="Y364" s="147"/>
      <c r="Z364" s="147"/>
      <c r="AA364" s="147"/>
      <c r="AB364" s="147"/>
      <c r="AC364" s="147"/>
      <c r="AD364" s="147"/>
      <c r="AE364" s="147"/>
      <c r="AF364" s="147"/>
      <c r="AG364" s="147"/>
      <c r="AH364" s="147"/>
      <c r="AI364" s="147"/>
      <c r="AJ364" s="147"/>
      <c r="AK364" s="147"/>
      <c r="AL364" s="147"/>
      <c r="AM364" s="151"/>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c r="BI364" s="147"/>
      <c r="BJ364" s="147"/>
      <c r="BK364" s="147"/>
      <c r="BL364" s="147"/>
      <c r="BM364" s="147"/>
      <c r="BN364" s="147"/>
      <c r="BO364" s="147"/>
      <c r="BP364" s="147"/>
      <c r="BQ364" s="147"/>
      <c r="BR364" s="147"/>
      <c r="BS364" s="147"/>
      <c r="BT364" s="147"/>
      <c r="BU364" s="147"/>
      <c r="BV364" s="147"/>
      <c r="BW364" s="147"/>
      <c r="BX364" s="147"/>
      <c r="BY364" s="147"/>
      <c r="BZ364" s="147"/>
      <c r="CA364" s="147"/>
      <c r="CB364" s="147"/>
      <c r="CC364" s="147"/>
      <c r="CD364" s="147"/>
      <c r="CE364" s="147"/>
      <c r="CF364" s="147"/>
      <c r="CG364" s="147"/>
      <c r="CH364" s="147"/>
      <c r="CI364" s="147"/>
      <c r="CJ364" s="147"/>
      <c r="CK364" s="147"/>
    </row>
    <row r="365" spans="1:89">
      <c r="A365" s="159" t="s">
        <v>671</v>
      </c>
      <c r="B365" s="3" t="s">
        <v>672</v>
      </c>
      <c r="C365" s="160" t="s">
        <v>83</v>
      </c>
      <c r="D365" s="160" t="s">
        <v>876</v>
      </c>
      <c r="E365" s="3" t="s">
        <v>22</v>
      </c>
      <c r="F365" s="3" t="s">
        <v>934</v>
      </c>
      <c r="G365" s="3" t="s">
        <v>934</v>
      </c>
      <c r="H365" s="156" t="str">
        <f ca="1">IFERROR(
  _xludf.MINIFS(ATTENDANCE_LOG!$F:$F,
         ATTENDANCE_LOG!$A:$A, C365,
         ATTENDANCE_LOG!$B:$B, E365),
"")</f>
        <v/>
      </c>
      <c r="I365" s="156" t="str">
        <f t="shared" ca="1" si="266"/>
        <v/>
      </c>
      <c r="J365" s="3">
        <f>IFERROR(VLOOKUP(F365, LEVEL_HELPER!$A:$B, 2, 0), "")</f>
        <v>3.5</v>
      </c>
      <c r="K365" s="3">
        <f>IFERROR(VLOOKUP(G365, LEVEL_HELPER!$A:$B, 2, 0), "")</f>
        <v>3.5</v>
      </c>
      <c r="L365" s="157" t="s">
        <v>942</v>
      </c>
      <c r="M365" s="157" t="s">
        <v>923</v>
      </c>
      <c r="N365" s="3">
        <f t="array" aca="1" ref="N365" ca="1">IFERROR(
  INDEX($J$2:$J$543,
    MATCH(A365&amp;TEXT(I365,"yyyy-mm-dd"),
          $A$2:$A$543&amp;TEXT($H$2:$H$543,"yyyy-mm-dd"),
          0)),
"")</f>
        <v>1</v>
      </c>
      <c r="O365" s="147" t="str">
        <f t="shared" ca="1" si="267"/>
        <v/>
      </c>
      <c r="P365" s="147">
        <f t="shared" ref="P365:Q365" ca="1" si="381">IF(N365="",0,IF(N365&lt;=2,1,IF(N365&lt;=4,2,IF(N365&lt;=5.5,3,4))))</f>
        <v>1</v>
      </c>
      <c r="Q365" s="147">
        <f t="shared" ca="1" si="381"/>
        <v>0</v>
      </c>
      <c r="R365" s="147" t="str">
        <f t="shared" ca="1" si="269"/>
        <v>Not tested yet</v>
      </c>
      <c r="S365" s="147">
        <f t="shared" si="270"/>
        <v>0</v>
      </c>
      <c r="T365" s="147"/>
      <c r="U365" s="147"/>
      <c r="V365" s="147"/>
      <c r="W365" s="147"/>
      <c r="X365" s="147"/>
      <c r="Y365" s="147"/>
      <c r="Z365" s="147"/>
      <c r="AA365" s="147"/>
      <c r="AB365" s="147"/>
      <c r="AC365" s="147"/>
      <c r="AD365" s="147"/>
      <c r="AE365" s="147"/>
      <c r="AF365" s="147"/>
      <c r="AG365" s="147"/>
      <c r="AH365" s="147"/>
      <c r="AI365" s="147"/>
      <c r="AJ365" s="147"/>
      <c r="AK365" s="147"/>
      <c r="AL365" s="147"/>
      <c r="AM365" s="151"/>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c r="BI365" s="147"/>
      <c r="BJ365" s="147"/>
      <c r="BK365" s="147"/>
      <c r="BL365" s="147"/>
      <c r="BM365" s="147"/>
      <c r="BN365" s="147"/>
      <c r="BO365" s="147"/>
      <c r="BP365" s="147"/>
      <c r="BQ365" s="147"/>
      <c r="BR365" s="147"/>
      <c r="BS365" s="147"/>
      <c r="BT365" s="147"/>
      <c r="BU365" s="147"/>
      <c r="BV365" s="147"/>
      <c r="BW365" s="147"/>
      <c r="BX365" s="147"/>
      <c r="BY365" s="147"/>
      <c r="BZ365" s="147"/>
      <c r="CA365" s="147"/>
      <c r="CB365" s="147"/>
      <c r="CC365" s="147"/>
      <c r="CD365" s="147"/>
      <c r="CE365" s="147"/>
      <c r="CF365" s="147"/>
      <c r="CG365" s="147"/>
      <c r="CH365" s="147"/>
      <c r="CI365" s="147"/>
      <c r="CJ365" s="147"/>
      <c r="CK365" s="147"/>
    </row>
    <row r="366" spans="1:89">
      <c r="A366" s="153" t="s">
        <v>649</v>
      </c>
      <c r="B366" s="154" t="s">
        <v>650</v>
      </c>
      <c r="C366" s="155" t="s">
        <v>84</v>
      </c>
      <c r="D366" s="155" t="s">
        <v>877</v>
      </c>
      <c r="E366" s="154" t="s">
        <v>24</v>
      </c>
      <c r="F366" s="3"/>
      <c r="G366" s="3"/>
      <c r="H366" s="156" t="str">
        <f ca="1">IFERROR(
  _xludf.MINIFS(ATTENDANCE_LOG!$F:$F,
         ATTENDANCE_LOG!$A:$A, C366,
         ATTENDANCE_LOG!$B:$B, E366),
"")</f>
        <v/>
      </c>
      <c r="I366" s="156" t="str">
        <f t="shared" ca="1" si="266"/>
        <v/>
      </c>
      <c r="J366" s="3" t="str">
        <f>IFERROR(VLOOKUP(F366, LEVEL_HELPER!$A:$B, 2, 0), "")</f>
        <v/>
      </c>
      <c r="K366" s="3" t="str">
        <f>IFERROR(VLOOKUP(G366, LEVEL_HELPER!$A:$B, 2, 0), "")</f>
        <v/>
      </c>
      <c r="L366" s="157" t="s">
        <v>930</v>
      </c>
      <c r="M366" s="157" t="s">
        <v>923</v>
      </c>
      <c r="N366" s="3" t="str">
        <f t="array" aca="1" ref="N366" ca="1">IFERROR(
  INDEX($J$2:$J$543,
    MATCH(A366&amp;TEXT(I366,"yyyy-mm-dd"),
          $A$2:$A$543&amp;TEXT($H$2:$H$543,"yyyy-mm-dd"),
          0)),
"")</f>
        <v/>
      </c>
      <c r="O366" s="147" t="str">
        <f t="shared" ca="1" si="267"/>
        <v/>
      </c>
      <c r="P366" s="147">
        <f t="shared" ref="P366:Q366" ca="1" si="382">IF(N366="",0,IF(N366&lt;=2,1,IF(N366&lt;=4,2,IF(N366&lt;=5.5,3,4))))</f>
        <v>0</v>
      </c>
      <c r="Q366" s="147">
        <f t="shared" ca="1" si="382"/>
        <v>0</v>
      </c>
      <c r="R366" s="147" t="str">
        <f t="shared" ca="1" si="269"/>
        <v>Not tested yet</v>
      </c>
      <c r="S366" s="147">
        <f t="shared" si="270"/>
        <v>1</v>
      </c>
      <c r="T366" s="147"/>
      <c r="U366" s="147"/>
      <c r="V366" s="147"/>
      <c r="W366" s="147"/>
      <c r="X366" s="147"/>
      <c r="Y366" s="147"/>
      <c r="Z366" s="147"/>
      <c r="AA366" s="147"/>
      <c r="AB366" s="147"/>
      <c r="AC366" s="147"/>
      <c r="AD366" s="147"/>
      <c r="AE366" s="147"/>
      <c r="AF366" s="147"/>
      <c r="AG366" s="147"/>
      <c r="AH366" s="147"/>
      <c r="AI366" s="147"/>
      <c r="AJ366" s="147"/>
      <c r="AK366" s="147"/>
      <c r="AL366" s="147"/>
      <c r="AM366" s="151"/>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c r="BI366" s="147"/>
      <c r="BJ366" s="147"/>
      <c r="BK366" s="147"/>
      <c r="BL366" s="147"/>
      <c r="BM366" s="147"/>
      <c r="BN366" s="147"/>
      <c r="BO366" s="147"/>
      <c r="BP366" s="147"/>
      <c r="BQ366" s="147"/>
      <c r="BR366" s="147"/>
      <c r="BS366" s="147"/>
      <c r="BT366" s="147"/>
      <c r="BU366" s="147"/>
      <c r="BV366" s="147"/>
      <c r="BW366" s="147"/>
      <c r="BX366" s="147"/>
      <c r="BY366" s="147"/>
      <c r="BZ366" s="147"/>
      <c r="CA366" s="147"/>
      <c r="CB366" s="147"/>
      <c r="CC366" s="147"/>
      <c r="CD366" s="147"/>
      <c r="CE366" s="147"/>
      <c r="CF366" s="147"/>
      <c r="CG366" s="147"/>
      <c r="CH366" s="147"/>
      <c r="CI366" s="147"/>
      <c r="CJ366" s="147"/>
      <c r="CK366" s="147"/>
    </row>
    <row r="367" spans="1:89">
      <c r="A367" s="159" t="s">
        <v>253</v>
      </c>
      <c r="B367" s="3" t="s">
        <v>254</v>
      </c>
      <c r="C367" s="160" t="s">
        <v>84</v>
      </c>
      <c r="D367" s="160" t="s">
        <v>877</v>
      </c>
      <c r="E367" s="3" t="s">
        <v>24</v>
      </c>
      <c r="F367" s="3"/>
      <c r="G367" s="3"/>
      <c r="H367" s="156" t="str">
        <f ca="1">IFERROR(
  _xludf.MINIFS(ATTENDANCE_LOG!$F:$F,
         ATTENDANCE_LOG!$A:$A, C367,
         ATTENDANCE_LOG!$B:$B, E367),
"")</f>
        <v/>
      </c>
      <c r="I367" s="156" t="str">
        <f t="shared" ca="1" si="266"/>
        <v/>
      </c>
      <c r="J367" s="3" t="str">
        <f>IFERROR(VLOOKUP(F367, LEVEL_HELPER!$A:$B, 2, 0), "")</f>
        <v/>
      </c>
      <c r="K367" s="3" t="str">
        <f>IFERROR(VLOOKUP(G367, LEVEL_HELPER!$A:$B, 2, 0), "")</f>
        <v/>
      </c>
      <c r="L367" s="157" t="s">
        <v>930</v>
      </c>
      <c r="M367" s="157" t="s">
        <v>923</v>
      </c>
      <c r="N367" s="3" t="str">
        <f t="array" aca="1" ref="N367" ca="1">IFERROR(
  INDEX($J$2:$J$543,
    MATCH(A367&amp;TEXT(I367,"yyyy-mm-dd"),
          $A$2:$A$543&amp;TEXT($H$2:$H$543,"yyyy-mm-dd"),
          0)),
"")</f>
        <v/>
      </c>
      <c r="O367" s="147" t="str">
        <f t="shared" ca="1" si="267"/>
        <v/>
      </c>
      <c r="P367" s="147">
        <f t="shared" ref="P367:Q367" ca="1" si="383">IF(N367="",0,IF(N367&lt;=2,1,IF(N367&lt;=4,2,IF(N367&lt;=5.5,3,4))))</f>
        <v>0</v>
      </c>
      <c r="Q367" s="147">
        <f t="shared" ca="1" si="383"/>
        <v>0</v>
      </c>
      <c r="R367" s="147" t="str">
        <f t="shared" ca="1" si="269"/>
        <v>Not tested yet</v>
      </c>
      <c r="S367" s="147">
        <f t="shared" si="270"/>
        <v>1</v>
      </c>
      <c r="T367" s="147"/>
      <c r="U367" s="147"/>
      <c r="V367" s="147"/>
      <c r="W367" s="147"/>
      <c r="X367" s="147"/>
      <c r="Y367" s="147"/>
      <c r="Z367" s="147"/>
      <c r="AA367" s="147"/>
      <c r="AB367" s="147"/>
      <c r="AC367" s="147"/>
      <c r="AD367" s="147"/>
      <c r="AE367" s="147"/>
      <c r="AF367" s="147"/>
      <c r="AG367" s="147"/>
      <c r="AH367" s="147"/>
      <c r="AI367" s="147"/>
      <c r="AJ367" s="147"/>
      <c r="AK367" s="147"/>
      <c r="AL367" s="147"/>
      <c r="AM367" s="151"/>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c r="BI367" s="147"/>
      <c r="BJ367" s="147"/>
      <c r="BK367" s="147"/>
      <c r="BL367" s="147"/>
      <c r="BM367" s="147"/>
      <c r="BN367" s="147"/>
      <c r="BO367" s="147"/>
      <c r="BP367" s="147"/>
      <c r="BQ367" s="147"/>
      <c r="BR367" s="147"/>
      <c r="BS367" s="147"/>
      <c r="BT367" s="147"/>
      <c r="BU367" s="147"/>
      <c r="BV367" s="147"/>
      <c r="BW367" s="147"/>
      <c r="BX367" s="147"/>
      <c r="BY367" s="147"/>
      <c r="BZ367" s="147"/>
      <c r="CA367" s="147"/>
      <c r="CB367" s="147"/>
      <c r="CC367" s="147"/>
      <c r="CD367" s="147"/>
      <c r="CE367" s="147"/>
      <c r="CF367" s="147"/>
      <c r="CG367" s="147"/>
      <c r="CH367" s="147"/>
      <c r="CI367" s="147"/>
      <c r="CJ367" s="147"/>
      <c r="CK367" s="147"/>
    </row>
    <row r="368" spans="1:89">
      <c r="A368" s="159" t="s">
        <v>447</v>
      </c>
      <c r="B368" s="3" t="s">
        <v>448</v>
      </c>
      <c r="C368" s="160" t="s">
        <v>84</v>
      </c>
      <c r="D368" s="160" t="s">
        <v>877</v>
      </c>
      <c r="E368" s="3" t="s">
        <v>24</v>
      </c>
      <c r="F368" s="3"/>
      <c r="G368" s="3"/>
      <c r="H368" s="156" t="str">
        <f ca="1">IFERROR(
  _xludf.MINIFS(ATTENDANCE_LOG!$F:$F,
         ATTENDANCE_LOG!$A:$A, C368,
         ATTENDANCE_LOG!$B:$B, E368),
"")</f>
        <v/>
      </c>
      <c r="I368" s="156" t="str">
        <f t="shared" ca="1" si="266"/>
        <v/>
      </c>
      <c r="J368" s="3" t="str">
        <f>IFERROR(VLOOKUP(F368, LEVEL_HELPER!$A:$B, 2, 0), "")</f>
        <v/>
      </c>
      <c r="K368" s="3" t="str">
        <f>IFERROR(VLOOKUP(G368, LEVEL_HELPER!$A:$B, 2, 0), "")</f>
        <v/>
      </c>
      <c r="L368" s="157" t="s">
        <v>930</v>
      </c>
      <c r="M368" s="157" t="s">
        <v>923</v>
      </c>
      <c r="N368" s="3" t="str">
        <f t="array" aca="1" ref="N368" ca="1">IFERROR(
  INDEX($J$2:$J$543,
    MATCH(A368&amp;TEXT(I368,"yyyy-mm-dd"),
          $A$2:$A$543&amp;TEXT($H$2:$H$543,"yyyy-mm-dd"),
          0)),
"")</f>
        <v/>
      </c>
      <c r="O368" s="147" t="str">
        <f t="shared" ca="1" si="267"/>
        <v/>
      </c>
      <c r="P368" s="147">
        <f t="shared" ref="P368:Q368" ca="1" si="384">IF(N368="",0,IF(N368&lt;=2,1,IF(N368&lt;=4,2,IF(N368&lt;=5.5,3,4))))</f>
        <v>0</v>
      </c>
      <c r="Q368" s="147">
        <f t="shared" ca="1" si="384"/>
        <v>0</v>
      </c>
      <c r="R368" s="147" t="str">
        <f t="shared" ca="1" si="269"/>
        <v>Not tested yet</v>
      </c>
      <c r="S368" s="147">
        <f t="shared" si="270"/>
        <v>1</v>
      </c>
      <c r="T368" s="147"/>
      <c r="U368" s="147"/>
      <c r="V368" s="147"/>
      <c r="W368" s="147"/>
      <c r="X368" s="147"/>
      <c r="Y368" s="147"/>
      <c r="Z368" s="147"/>
      <c r="AA368" s="147"/>
      <c r="AB368" s="147"/>
      <c r="AC368" s="147"/>
      <c r="AD368" s="147"/>
      <c r="AE368" s="147"/>
      <c r="AF368" s="147"/>
      <c r="AG368" s="147"/>
      <c r="AH368" s="147"/>
      <c r="AI368" s="147"/>
      <c r="AJ368" s="147"/>
      <c r="AK368" s="147"/>
      <c r="AL368" s="147"/>
      <c r="AM368" s="151"/>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c r="BI368" s="147"/>
      <c r="BJ368" s="147"/>
      <c r="BK368" s="147"/>
      <c r="BL368" s="147"/>
      <c r="BM368" s="147"/>
      <c r="BN368" s="147"/>
      <c r="BO368" s="147"/>
      <c r="BP368" s="147"/>
      <c r="BQ368" s="147"/>
      <c r="BR368" s="147"/>
      <c r="BS368" s="147"/>
      <c r="BT368" s="147"/>
      <c r="BU368" s="147"/>
      <c r="BV368" s="147"/>
      <c r="BW368" s="147"/>
      <c r="BX368" s="147"/>
      <c r="BY368" s="147"/>
      <c r="BZ368" s="147"/>
      <c r="CA368" s="147"/>
      <c r="CB368" s="147"/>
      <c r="CC368" s="147"/>
      <c r="CD368" s="147"/>
      <c r="CE368" s="147"/>
      <c r="CF368" s="147"/>
      <c r="CG368" s="147"/>
      <c r="CH368" s="147"/>
      <c r="CI368" s="147"/>
      <c r="CJ368" s="147"/>
      <c r="CK368" s="147"/>
    </row>
    <row r="369" spans="1:89">
      <c r="A369" s="159" t="s">
        <v>486</v>
      </c>
      <c r="B369" s="3" t="s">
        <v>487</v>
      </c>
      <c r="C369" s="160" t="s">
        <v>84</v>
      </c>
      <c r="D369" s="160" t="s">
        <v>877</v>
      </c>
      <c r="E369" s="3" t="s">
        <v>24</v>
      </c>
      <c r="F369" s="3"/>
      <c r="G369" s="3"/>
      <c r="H369" s="156" t="str">
        <f ca="1">IFERROR(
  _xludf.MINIFS(ATTENDANCE_LOG!$F:$F,
         ATTENDANCE_LOG!$A:$A, C369,
         ATTENDANCE_LOG!$B:$B, E369),
"")</f>
        <v/>
      </c>
      <c r="I369" s="156" t="str">
        <f t="shared" ca="1" si="266"/>
        <v/>
      </c>
      <c r="J369" s="3" t="str">
        <f>IFERROR(VLOOKUP(F369, LEVEL_HELPER!$A:$B, 2, 0), "")</f>
        <v/>
      </c>
      <c r="K369" s="3" t="str">
        <f>IFERROR(VLOOKUP(G369, LEVEL_HELPER!$A:$B, 2, 0), "")</f>
        <v/>
      </c>
      <c r="L369" s="157" t="s">
        <v>930</v>
      </c>
      <c r="M369" s="157" t="s">
        <v>923</v>
      </c>
      <c r="N369" s="3" t="str">
        <f t="array" aca="1" ref="N369" ca="1">IFERROR(
  INDEX($J$2:$J$543,
    MATCH(A369&amp;TEXT(I369,"yyyy-mm-dd"),
          $A$2:$A$543&amp;TEXT($H$2:$H$543,"yyyy-mm-dd"),
          0)),
"")</f>
        <v/>
      </c>
      <c r="O369" s="147" t="str">
        <f t="shared" ca="1" si="267"/>
        <v/>
      </c>
      <c r="P369" s="147">
        <f t="shared" ref="P369:Q369" ca="1" si="385">IF(N369="",0,IF(N369&lt;=2,1,IF(N369&lt;=4,2,IF(N369&lt;=5.5,3,4))))</f>
        <v>0</v>
      </c>
      <c r="Q369" s="147">
        <f t="shared" ca="1" si="385"/>
        <v>0</v>
      </c>
      <c r="R369" s="147" t="str">
        <f t="shared" ca="1" si="269"/>
        <v>Not tested yet</v>
      </c>
      <c r="S369" s="147">
        <f t="shared" si="270"/>
        <v>1</v>
      </c>
      <c r="T369" s="147"/>
      <c r="U369" s="147"/>
      <c r="V369" s="147"/>
      <c r="W369" s="147"/>
      <c r="X369" s="147"/>
      <c r="Y369" s="147"/>
      <c r="Z369" s="147"/>
      <c r="AA369" s="147"/>
      <c r="AB369" s="147"/>
      <c r="AC369" s="147"/>
      <c r="AD369" s="147"/>
      <c r="AE369" s="147"/>
      <c r="AF369" s="147"/>
      <c r="AG369" s="147"/>
      <c r="AH369" s="147"/>
      <c r="AI369" s="147"/>
      <c r="AJ369" s="147"/>
      <c r="AK369" s="147"/>
      <c r="AL369" s="147"/>
      <c r="AM369" s="151"/>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c r="BI369" s="147"/>
      <c r="BJ369" s="147"/>
      <c r="BK369" s="147"/>
      <c r="BL369" s="147"/>
      <c r="BM369" s="147"/>
      <c r="BN369" s="147"/>
      <c r="BO369" s="147"/>
      <c r="BP369" s="147"/>
      <c r="BQ369" s="147"/>
      <c r="BR369" s="147"/>
      <c r="BS369" s="147"/>
      <c r="BT369" s="147"/>
      <c r="BU369" s="147"/>
      <c r="BV369" s="147"/>
      <c r="BW369" s="147"/>
      <c r="BX369" s="147"/>
      <c r="BY369" s="147"/>
      <c r="BZ369" s="147"/>
      <c r="CA369" s="147"/>
      <c r="CB369" s="147"/>
      <c r="CC369" s="147"/>
      <c r="CD369" s="147"/>
      <c r="CE369" s="147"/>
      <c r="CF369" s="147"/>
      <c r="CG369" s="147"/>
      <c r="CH369" s="147"/>
      <c r="CI369" s="147"/>
      <c r="CJ369" s="147"/>
      <c r="CK369" s="147"/>
    </row>
    <row r="370" spans="1:89">
      <c r="A370" s="159" t="s">
        <v>508</v>
      </c>
      <c r="B370" s="3" t="s">
        <v>509</v>
      </c>
      <c r="C370" s="160" t="s">
        <v>84</v>
      </c>
      <c r="D370" s="160" t="s">
        <v>877</v>
      </c>
      <c r="E370" s="3" t="s">
        <v>24</v>
      </c>
      <c r="F370" s="3"/>
      <c r="G370" s="3"/>
      <c r="H370" s="156" t="str">
        <f ca="1">IFERROR(
  _xludf.MINIFS(ATTENDANCE_LOG!$F:$F,
         ATTENDANCE_LOG!$A:$A, C370,
         ATTENDANCE_LOG!$B:$B, E370),
"")</f>
        <v/>
      </c>
      <c r="I370" s="156" t="str">
        <f t="shared" ca="1" si="266"/>
        <v/>
      </c>
      <c r="J370" s="3" t="str">
        <f>IFERROR(VLOOKUP(F370, LEVEL_HELPER!$A:$B, 2, 0), "")</f>
        <v/>
      </c>
      <c r="K370" s="3" t="str">
        <f>IFERROR(VLOOKUP(G370, LEVEL_HELPER!$A:$B, 2, 0), "")</f>
        <v/>
      </c>
      <c r="L370" s="157" t="s">
        <v>930</v>
      </c>
      <c r="M370" s="157" t="s">
        <v>923</v>
      </c>
      <c r="N370" s="3" t="str">
        <f t="array" aca="1" ref="N370" ca="1">IFERROR(
  INDEX($J$2:$J$543,
    MATCH(A370&amp;TEXT(I370,"yyyy-mm-dd"),
          $A$2:$A$543&amp;TEXT($H$2:$H$543,"yyyy-mm-dd"),
          0)),
"")</f>
        <v/>
      </c>
      <c r="O370" s="147" t="str">
        <f t="shared" ca="1" si="267"/>
        <v/>
      </c>
      <c r="P370" s="147">
        <f t="shared" ref="P370:Q370" ca="1" si="386">IF(N370="",0,IF(N370&lt;=2,1,IF(N370&lt;=4,2,IF(N370&lt;=5.5,3,4))))</f>
        <v>0</v>
      </c>
      <c r="Q370" s="147">
        <f t="shared" ca="1" si="386"/>
        <v>0</v>
      </c>
      <c r="R370" s="147" t="str">
        <f t="shared" ca="1" si="269"/>
        <v>Not tested yet</v>
      </c>
      <c r="S370" s="147">
        <f t="shared" si="270"/>
        <v>1</v>
      </c>
      <c r="T370" s="147"/>
      <c r="U370" s="147"/>
      <c r="V370" s="147"/>
      <c r="W370" s="147"/>
      <c r="X370" s="147"/>
      <c r="Y370" s="147"/>
      <c r="Z370" s="147"/>
      <c r="AA370" s="147"/>
      <c r="AB370" s="147"/>
      <c r="AC370" s="147"/>
      <c r="AD370" s="147"/>
      <c r="AE370" s="147"/>
      <c r="AF370" s="147"/>
      <c r="AG370" s="147"/>
      <c r="AH370" s="147"/>
      <c r="AI370" s="147"/>
      <c r="AJ370" s="147"/>
      <c r="AK370" s="147"/>
      <c r="AL370" s="147"/>
      <c r="AM370" s="151"/>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c r="BI370" s="147"/>
      <c r="BJ370" s="147"/>
      <c r="BK370" s="147"/>
      <c r="BL370" s="147"/>
      <c r="BM370" s="147"/>
      <c r="BN370" s="147"/>
      <c r="BO370" s="147"/>
      <c r="BP370" s="147"/>
      <c r="BQ370" s="147"/>
      <c r="BR370" s="147"/>
      <c r="BS370" s="147"/>
      <c r="BT370" s="147"/>
      <c r="BU370" s="147"/>
      <c r="BV370" s="147"/>
      <c r="BW370" s="147"/>
      <c r="BX370" s="147"/>
      <c r="BY370" s="147"/>
      <c r="BZ370" s="147"/>
      <c r="CA370" s="147"/>
      <c r="CB370" s="147"/>
      <c r="CC370" s="147"/>
      <c r="CD370" s="147"/>
      <c r="CE370" s="147"/>
      <c r="CF370" s="147"/>
      <c r="CG370" s="147"/>
      <c r="CH370" s="147"/>
      <c r="CI370" s="147"/>
      <c r="CJ370" s="147"/>
      <c r="CK370" s="147"/>
    </row>
    <row r="371" spans="1:89">
      <c r="A371" s="159" t="s">
        <v>597</v>
      </c>
      <c r="B371" s="3" t="s">
        <v>598</v>
      </c>
      <c r="C371" s="160" t="s">
        <v>84</v>
      </c>
      <c r="D371" s="160" t="s">
        <v>877</v>
      </c>
      <c r="E371" s="3" t="s">
        <v>24</v>
      </c>
      <c r="F371" s="3"/>
      <c r="G371" s="3"/>
      <c r="H371" s="156" t="str">
        <f ca="1">IFERROR(
  _xludf.MINIFS(ATTENDANCE_LOG!$F:$F,
         ATTENDANCE_LOG!$A:$A, C371,
         ATTENDANCE_LOG!$B:$B, E371),
"")</f>
        <v/>
      </c>
      <c r="I371" s="156" t="str">
        <f t="shared" ca="1" si="266"/>
        <v/>
      </c>
      <c r="J371" s="3" t="str">
        <f>IFERROR(VLOOKUP(F371, LEVEL_HELPER!$A:$B, 2, 0), "")</f>
        <v/>
      </c>
      <c r="K371" s="3" t="str">
        <f>IFERROR(VLOOKUP(G371, LEVEL_HELPER!$A:$B, 2, 0), "")</f>
        <v/>
      </c>
      <c r="L371" s="157" t="s">
        <v>930</v>
      </c>
      <c r="M371" s="157" t="s">
        <v>923</v>
      </c>
      <c r="N371" s="3" t="str">
        <f t="array" aca="1" ref="N371" ca="1">IFERROR(
  INDEX($J$2:$J$543,
    MATCH(A371&amp;TEXT(I371,"yyyy-mm-dd"),
          $A$2:$A$543&amp;TEXT($H$2:$H$543,"yyyy-mm-dd"),
          0)),
"")</f>
        <v/>
      </c>
      <c r="O371" s="147" t="str">
        <f t="shared" ca="1" si="267"/>
        <v/>
      </c>
      <c r="P371" s="147">
        <f t="shared" ref="P371:Q371" ca="1" si="387">IF(N371="",0,IF(N371&lt;=2,1,IF(N371&lt;=4,2,IF(N371&lt;=5.5,3,4))))</f>
        <v>0</v>
      </c>
      <c r="Q371" s="147">
        <f t="shared" ca="1" si="387"/>
        <v>0</v>
      </c>
      <c r="R371" s="147" t="str">
        <f t="shared" ca="1" si="269"/>
        <v>Not tested yet</v>
      </c>
      <c r="S371" s="147">
        <f t="shared" si="270"/>
        <v>1</v>
      </c>
      <c r="T371" s="147"/>
      <c r="U371" s="147"/>
      <c r="V371" s="147"/>
      <c r="W371" s="147"/>
      <c r="X371" s="147"/>
      <c r="Y371" s="147"/>
      <c r="Z371" s="147"/>
      <c r="AA371" s="147"/>
      <c r="AB371" s="147"/>
      <c r="AC371" s="147"/>
      <c r="AD371" s="147"/>
      <c r="AE371" s="147"/>
      <c r="AF371" s="147"/>
      <c r="AG371" s="147"/>
      <c r="AH371" s="147"/>
      <c r="AI371" s="147"/>
      <c r="AJ371" s="147"/>
      <c r="AK371" s="147"/>
      <c r="AL371" s="147"/>
      <c r="AM371" s="151"/>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c r="BI371" s="147"/>
      <c r="BJ371" s="147"/>
      <c r="BK371" s="147"/>
      <c r="BL371" s="147"/>
      <c r="BM371" s="147"/>
      <c r="BN371" s="147"/>
      <c r="BO371" s="147"/>
      <c r="BP371" s="147"/>
      <c r="BQ371" s="147"/>
      <c r="BR371" s="147"/>
      <c r="BS371" s="147"/>
      <c r="BT371" s="147"/>
      <c r="BU371" s="147"/>
      <c r="BV371" s="147"/>
      <c r="BW371" s="147"/>
      <c r="BX371" s="147"/>
      <c r="BY371" s="147"/>
      <c r="BZ371" s="147"/>
      <c r="CA371" s="147"/>
      <c r="CB371" s="147"/>
      <c r="CC371" s="147"/>
      <c r="CD371" s="147"/>
      <c r="CE371" s="147"/>
      <c r="CF371" s="147"/>
      <c r="CG371" s="147"/>
      <c r="CH371" s="147"/>
      <c r="CI371" s="147"/>
      <c r="CJ371" s="147"/>
      <c r="CK371" s="147"/>
    </row>
    <row r="372" spans="1:89">
      <c r="A372" s="159" t="s">
        <v>623</v>
      </c>
      <c r="B372" s="3" t="s">
        <v>624</v>
      </c>
      <c r="C372" s="160" t="s">
        <v>84</v>
      </c>
      <c r="D372" s="160" t="s">
        <v>877</v>
      </c>
      <c r="E372" s="3" t="s">
        <v>24</v>
      </c>
      <c r="F372" s="3"/>
      <c r="G372" s="3"/>
      <c r="H372" s="156" t="str">
        <f ca="1">IFERROR(
  _xludf.MINIFS(ATTENDANCE_LOG!$F:$F,
         ATTENDANCE_LOG!$A:$A, C372,
         ATTENDANCE_LOG!$B:$B, E372),
"")</f>
        <v/>
      </c>
      <c r="I372" s="156" t="str">
        <f t="shared" ca="1" si="266"/>
        <v/>
      </c>
      <c r="J372" s="3" t="str">
        <f>IFERROR(VLOOKUP(F372, LEVEL_HELPER!$A:$B, 2, 0), "")</f>
        <v/>
      </c>
      <c r="K372" s="3" t="str">
        <f>IFERROR(VLOOKUP(G372, LEVEL_HELPER!$A:$B, 2, 0), "")</f>
        <v/>
      </c>
      <c r="L372" s="157" t="s">
        <v>930</v>
      </c>
      <c r="M372" s="157" t="s">
        <v>923</v>
      </c>
      <c r="N372" s="3" t="str">
        <f t="array" aca="1" ref="N372" ca="1">IFERROR(
  INDEX($J$2:$J$543,
    MATCH(A372&amp;TEXT(I372,"yyyy-mm-dd"),
          $A$2:$A$543&amp;TEXT($H$2:$H$543,"yyyy-mm-dd"),
          0)),
"")</f>
        <v/>
      </c>
      <c r="O372" s="147" t="str">
        <f t="shared" ca="1" si="267"/>
        <v/>
      </c>
      <c r="P372" s="147">
        <f t="shared" ref="P372:Q372" ca="1" si="388">IF(N372="",0,IF(N372&lt;=2,1,IF(N372&lt;=4,2,IF(N372&lt;=5.5,3,4))))</f>
        <v>0</v>
      </c>
      <c r="Q372" s="147">
        <f t="shared" ca="1" si="388"/>
        <v>0</v>
      </c>
      <c r="R372" s="147" t="str">
        <f t="shared" ca="1" si="269"/>
        <v>Not tested yet</v>
      </c>
      <c r="S372" s="147">
        <f t="shared" si="270"/>
        <v>1</v>
      </c>
      <c r="T372" s="147"/>
      <c r="U372" s="147"/>
      <c r="V372" s="147"/>
      <c r="W372" s="147"/>
      <c r="X372" s="147"/>
      <c r="Y372" s="147"/>
      <c r="Z372" s="147"/>
      <c r="AA372" s="147"/>
      <c r="AB372" s="147"/>
      <c r="AC372" s="147"/>
      <c r="AD372" s="147"/>
      <c r="AE372" s="147"/>
      <c r="AF372" s="147"/>
      <c r="AG372" s="147"/>
      <c r="AH372" s="147"/>
      <c r="AI372" s="147"/>
      <c r="AJ372" s="147"/>
      <c r="AK372" s="147"/>
      <c r="AL372" s="147"/>
      <c r="AM372" s="151"/>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c r="BI372" s="147"/>
      <c r="BJ372" s="147"/>
      <c r="BK372" s="147"/>
      <c r="BL372" s="147"/>
      <c r="BM372" s="147"/>
      <c r="BN372" s="147"/>
      <c r="BO372" s="147"/>
      <c r="BP372" s="147"/>
      <c r="BQ372" s="147"/>
      <c r="BR372" s="147"/>
      <c r="BS372" s="147"/>
      <c r="BT372" s="147"/>
      <c r="BU372" s="147"/>
      <c r="BV372" s="147"/>
      <c r="BW372" s="147"/>
      <c r="BX372" s="147"/>
      <c r="BY372" s="147"/>
      <c r="BZ372" s="147"/>
      <c r="CA372" s="147"/>
      <c r="CB372" s="147"/>
      <c r="CC372" s="147"/>
      <c r="CD372" s="147"/>
      <c r="CE372" s="147"/>
      <c r="CF372" s="147"/>
      <c r="CG372" s="147"/>
      <c r="CH372" s="147"/>
      <c r="CI372" s="147"/>
      <c r="CJ372" s="147"/>
      <c r="CK372" s="147"/>
    </row>
    <row r="373" spans="1:89">
      <c r="A373" s="153" t="s">
        <v>649</v>
      </c>
      <c r="B373" s="154" t="s">
        <v>650</v>
      </c>
      <c r="C373" s="155" t="s">
        <v>84</v>
      </c>
      <c r="D373" s="155" t="s">
        <v>877</v>
      </c>
      <c r="E373" s="154" t="s">
        <v>21</v>
      </c>
      <c r="F373" s="3" t="s">
        <v>926</v>
      </c>
      <c r="G373" s="3" t="s">
        <v>917</v>
      </c>
      <c r="H373" s="156" t="str">
        <f ca="1">IFERROR(
  _xludf.MINIFS(ATTENDANCE_LOG!$F:$F,
         ATTENDANCE_LOG!$A:$A, C373,
         ATTENDANCE_LOG!$B:$B, E373),
"")</f>
        <v/>
      </c>
      <c r="I373" s="156" t="str">
        <f t="shared" ca="1" si="266"/>
        <v/>
      </c>
      <c r="J373" s="3">
        <f>IFERROR(VLOOKUP(F373, LEVEL_HELPER!$A:$B, 2, 0), "")</f>
        <v>1</v>
      </c>
      <c r="K373" s="3">
        <f>IFERROR(VLOOKUP(G373, LEVEL_HELPER!$A:$B, 2, 0), "")</f>
        <v>3</v>
      </c>
      <c r="L373" s="157" t="s">
        <v>930</v>
      </c>
      <c r="M373" s="157" t="s">
        <v>923</v>
      </c>
      <c r="N373" s="3" t="str">
        <f t="array" aca="1" ref="N373" ca="1">IFERROR(
  INDEX($J$2:$J$543,
    MATCH(A373&amp;TEXT(I373,"yyyy-mm-dd"),
          $A$2:$A$543&amp;TEXT($H$2:$H$543,"yyyy-mm-dd"),
          0)),
"")</f>
        <v/>
      </c>
      <c r="O373" s="147" t="str">
        <f t="shared" ca="1" si="267"/>
        <v/>
      </c>
      <c r="P373" s="147">
        <f t="shared" ref="P373:Q373" ca="1" si="389">IF(N373="",0,IF(N373&lt;=2,1,IF(N373&lt;=4,2,IF(N373&lt;=5.5,3,4))))</f>
        <v>0</v>
      </c>
      <c r="Q373" s="147">
        <f t="shared" ca="1" si="389"/>
        <v>0</v>
      </c>
      <c r="R373" s="147" t="str">
        <f t="shared" ca="1" si="269"/>
        <v>Not tested yet</v>
      </c>
      <c r="S373" s="147">
        <f t="shared" si="270"/>
        <v>0</v>
      </c>
      <c r="T373" s="147"/>
      <c r="U373" s="147"/>
      <c r="V373" s="147"/>
      <c r="W373" s="147"/>
      <c r="X373" s="147"/>
      <c r="Y373" s="147"/>
      <c r="Z373" s="147"/>
      <c r="AA373" s="147"/>
      <c r="AB373" s="147"/>
      <c r="AC373" s="147"/>
      <c r="AD373" s="147"/>
      <c r="AE373" s="147"/>
      <c r="AF373" s="147"/>
      <c r="AG373" s="147"/>
      <c r="AH373" s="147"/>
      <c r="AI373" s="147"/>
      <c r="AJ373" s="147"/>
      <c r="AK373" s="147"/>
      <c r="AL373" s="147"/>
      <c r="AM373" s="151"/>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c r="BI373" s="147"/>
      <c r="BJ373" s="147"/>
      <c r="BK373" s="147"/>
      <c r="BL373" s="147"/>
      <c r="BM373" s="147"/>
      <c r="BN373" s="147"/>
      <c r="BO373" s="147"/>
      <c r="BP373" s="147"/>
      <c r="BQ373" s="147"/>
      <c r="BR373" s="147"/>
      <c r="BS373" s="147"/>
      <c r="BT373" s="147"/>
      <c r="BU373" s="147"/>
      <c r="BV373" s="147"/>
      <c r="BW373" s="147"/>
      <c r="BX373" s="147"/>
      <c r="BY373" s="147"/>
      <c r="BZ373" s="147"/>
      <c r="CA373" s="147"/>
      <c r="CB373" s="147"/>
      <c r="CC373" s="147"/>
      <c r="CD373" s="147"/>
      <c r="CE373" s="147"/>
      <c r="CF373" s="147"/>
      <c r="CG373" s="147"/>
      <c r="CH373" s="147"/>
      <c r="CI373" s="147"/>
      <c r="CJ373" s="147"/>
      <c r="CK373" s="147"/>
    </row>
    <row r="374" spans="1:89">
      <c r="A374" s="159" t="s">
        <v>241</v>
      </c>
      <c r="B374" s="3" t="s">
        <v>242</v>
      </c>
      <c r="C374" s="160" t="s">
        <v>84</v>
      </c>
      <c r="D374" s="160" t="s">
        <v>877</v>
      </c>
      <c r="E374" s="3" t="s">
        <v>21</v>
      </c>
      <c r="F374" s="3" t="s">
        <v>926</v>
      </c>
      <c r="G374" s="3" t="s">
        <v>928</v>
      </c>
      <c r="H374" s="156" t="str">
        <f ca="1">IFERROR(
  _xludf.MINIFS(ATTENDANCE_LOG!$F:$F,
         ATTENDANCE_LOG!$A:$A, C374,
         ATTENDANCE_LOG!$B:$B, E374),
"")</f>
        <v/>
      </c>
      <c r="I374" s="156" t="str">
        <f t="shared" ca="1" si="266"/>
        <v/>
      </c>
      <c r="J374" s="3">
        <f>IFERROR(VLOOKUP(F374, LEVEL_HELPER!$A:$B, 2, 0), "")</f>
        <v>1</v>
      </c>
      <c r="K374" s="3">
        <f>IFERROR(VLOOKUP(G374, LEVEL_HELPER!$A:$B, 2, 0), "")</f>
        <v>1.5</v>
      </c>
      <c r="L374" s="157" t="s">
        <v>918</v>
      </c>
      <c r="M374" s="157" t="s">
        <v>923</v>
      </c>
      <c r="N374" s="3">
        <f t="array" aca="1" ref="N374" ca="1">IFERROR(
  INDEX($J$2:$J$543,
    MATCH(A374&amp;TEXT(I374,"yyyy-mm-dd"),
          $A$2:$A$543&amp;TEXT($H$2:$H$543,"yyyy-mm-dd"),
          0)),
"")</f>
        <v>1.5</v>
      </c>
      <c r="O374" s="147" t="str">
        <f t="shared" ca="1" si="267"/>
        <v/>
      </c>
      <c r="P374" s="147">
        <f t="shared" ref="P374:Q374" ca="1" si="390">IF(N374="",0,IF(N374&lt;=2,1,IF(N374&lt;=4,2,IF(N374&lt;=5.5,3,4))))</f>
        <v>1</v>
      </c>
      <c r="Q374" s="147">
        <f t="shared" ca="1" si="390"/>
        <v>0</v>
      </c>
      <c r="R374" s="147" t="str">
        <f t="shared" ca="1" si="269"/>
        <v>Not tested yet</v>
      </c>
      <c r="S374" s="147">
        <f t="shared" si="270"/>
        <v>0</v>
      </c>
      <c r="T374" s="147"/>
      <c r="U374" s="147"/>
      <c r="V374" s="147"/>
      <c r="W374" s="147"/>
      <c r="X374" s="147"/>
      <c r="Y374" s="147"/>
      <c r="Z374" s="147"/>
      <c r="AA374" s="147"/>
      <c r="AB374" s="147"/>
      <c r="AC374" s="147"/>
      <c r="AD374" s="147"/>
      <c r="AE374" s="147"/>
      <c r="AF374" s="147"/>
      <c r="AG374" s="147"/>
      <c r="AH374" s="147"/>
      <c r="AI374" s="147"/>
      <c r="AJ374" s="147"/>
      <c r="AK374" s="147"/>
      <c r="AL374" s="147"/>
      <c r="AM374" s="151"/>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c r="BI374" s="147"/>
      <c r="BJ374" s="147"/>
      <c r="BK374" s="147"/>
      <c r="BL374" s="147"/>
      <c r="BM374" s="147"/>
      <c r="BN374" s="147"/>
      <c r="BO374" s="147"/>
      <c r="BP374" s="147"/>
      <c r="BQ374" s="147"/>
      <c r="BR374" s="147"/>
      <c r="BS374" s="147"/>
      <c r="BT374" s="147"/>
      <c r="BU374" s="147"/>
      <c r="BV374" s="147"/>
      <c r="BW374" s="147"/>
      <c r="BX374" s="147"/>
      <c r="BY374" s="147"/>
      <c r="BZ374" s="147"/>
      <c r="CA374" s="147"/>
      <c r="CB374" s="147"/>
      <c r="CC374" s="147"/>
      <c r="CD374" s="147"/>
      <c r="CE374" s="147"/>
      <c r="CF374" s="147"/>
      <c r="CG374" s="147"/>
      <c r="CH374" s="147"/>
      <c r="CI374" s="147"/>
      <c r="CJ374" s="147"/>
      <c r="CK374" s="147"/>
    </row>
    <row r="375" spans="1:89">
      <c r="A375" s="159" t="s">
        <v>253</v>
      </c>
      <c r="B375" s="3" t="s">
        <v>254</v>
      </c>
      <c r="C375" s="160" t="s">
        <v>84</v>
      </c>
      <c r="D375" s="160" t="s">
        <v>877</v>
      </c>
      <c r="E375" s="3" t="s">
        <v>21</v>
      </c>
      <c r="F375" s="3" t="s">
        <v>916</v>
      </c>
      <c r="G375" s="3" t="s">
        <v>934</v>
      </c>
      <c r="H375" s="156" t="str">
        <f ca="1">IFERROR(
  _xludf.MINIFS(ATTENDANCE_LOG!$F:$F,
         ATTENDANCE_LOG!$A:$A, C375,
         ATTENDANCE_LOG!$B:$B, E375),
"")</f>
        <v/>
      </c>
      <c r="I375" s="156" t="str">
        <f t="shared" ca="1" si="266"/>
        <v/>
      </c>
      <c r="J375" s="3">
        <f>IFERROR(VLOOKUP(F375, LEVEL_HELPER!$A:$B, 2, 0), "")</f>
        <v>2.5</v>
      </c>
      <c r="K375" s="3">
        <f>IFERROR(VLOOKUP(G375, LEVEL_HELPER!$A:$B, 2, 0), "")</f>
        <v>3.5</v>
      </c>
      <c r="L375" s="157" t="s">
        <v>930</v>
      </c>
      <c r="M375" s="157" t="s">
        <v>923</v>
      </c>
      <c r="N375" s="3" t="str">
        <f t="array" aca="1" ref="N375" ca="1">IFERROR(
  INDEX($J$2:$J$543,
    MATCH(A375&amp;TEXT(I375,"yyyy-mm-dd"),
          $A$2:$A$543&amp;TEXT($H$2:$H$543,"yyyy-mm-dd"),
          0)),
"")</f>
        <v/>
      </c>
      <c r="O375" s="147" t="str">
        <f t="shared" ca="1" si="267"/>
        <v/>
      </c>
      <c r="P375" s="147">
        <f t="shared" ref="P375:Q375" ca="1" si="391">IF(N375="",0,IF(N375&lt;=2,1,IF(N375&lt;=4,2,IF(N375&lt;=5.5,3,4))))</f>
        <v>0</v>
      </c>
      <c r="Q375" s="147">
        <f t="shared" ca="1" si="391"/>
        <v>0</v>
      </c>
      <c r="R375" s="147" t="str">
        <f t="shared" ca="1" si="269"/>
        <v>Not tested yet</v>
      </c>
      <c r="S375" s="147">
        <f t="shared" si="270"/>
        <v>0</v>
      </c>
      <c r="T375" s="147"/>
      <c r="U375" s="147"/>
      <c r="V375" s="147"/>
      <c r="W375" s="147"/>
      <c r="X375" s="147"/>
      <c r="Y375" s="147"/>
      <c r="Z375" s="147"/>
      <c r="AA375" s="147"/>
      <c r="AB375" s="147"/>
      <c r="AC375" s="147"/>
      <c r="AD375" s="147"/>
      <c r="AE375" s="147"/>
      <c r="AF375" s="147"/>
      <c r="AG375" s="147"/>
      <c r="AH375" s="147"/>
      <c r="AI375" s="147"/>
      <c r="AJ375" s="147"/>
      <c r="AK375" s="147"/>
      <c r="AL375" s="147"/>
      <c r="AM375" s="151"/>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c r="BI375" s="147"/>
      <c r="BJ375" s="147"/>
      <c r="BK375" s="147"/>
      <c r="BL375" s="147"/>
      <c r="BM375" s="147"/>
      <c r="BN375" s="147"/>
      <c r="BO375" s="147"/>
      <c r="BP375" s="147"/>
      <c r="BQ375" s="147"/>
      <c r="BR375" s="147"/>
      <c r="BS375" s="147"/>
      <c r="BT375" s="147"/>
      <c r="BU375" s="147"/>
      <c r="BV375" s="147"/>
      <c r="BW375" s="147"/>
      <c r="BX375" s="147"/>
      <c r="BY375" s="147"/>
      <c r="BZ375" s="147"/>
      <c r="CA375" s="147"/>
      <c r="CB375" s="147"/>
      <c r="CC375" s="147"/>
      <c r="CD375" s="147"/>
      <c r="CE375" s="147"/>
      <c r="CF375" s="147"/>
      <c r="CG375" s="147"/>
      <c r="CH375" s="147"/>
      <c r="CI375" s="147"/>
      <c r="CJ375" s="147"/>
      <c r="CK375" s="147"/>
    </row>
    <row r="376" spans="1:89">
      <c r="A376" s="159" t="s">
        <v>447</v>
      </c>
      <c r="B376" s="3" t="s">
        <v>448</v>
      </c>
      <c r="C376" s="160" t="s">
        <v>84</v>
      </c>
      <c r="D376" s="160" t="s">
        <v>877</v>
      </c>
      <c r="E376" s="3" t="s">
        <v>21</v>
      </c>
      <c r="F376" s="3" t="s">
        <v>926</v>
      </c>
      <c r="G376" s="3" t="s">
        <v>928</v>
      </c>
      <c r="H376" s="156" t="str">
        <f ca="1">IFERROR(
  _xludf.MINIFS(ATTENDANCE_LOG!$F:$F,
         ATTENDANCE_LOG!$A:$A, C376,
         ATTENDANCE_LOG!$B:$B, E376),
"")</f>
        <v/>
      </c>
      <c r="I376" s="156" t="str">
        <f t="shared" ca="1" si="266"/>
        <v/>
      </c>
      <c r="J376" s="3">
        <f>IFERROR(VLOOKUP(F376, LEVEL_HELPER!$A:$B, 2, 0), "")</f>
        <v>1</v>
      </c>
      <c r="K376" s="3">
        <f>IFERROR(VLOOKUP(G376, LEVEL_HELPER!$A:$B, 2, 0), "")</f>
        <v>1.5</v>
      </c>
      <c r="L376" s="157" t="s">
        <v>930</v>
      </c>
      <c r="M376" s="157" t="s">
        <v>923</v>
      </c>
      <c r="N376" s="3" t="str">
        <f t="array" aca="1" ref="N376" ca="1">IFERROR(
  INDEX($J$2:$J$543,
    MATCH(A376&amp;TEXT(I376,"yyyy-mm-dd"),
          $A$2:$A$543&amp;TEXT($H$2:$H$543,"yyyy-mm-dd"),
          0)),
"")</f>
        <v/>
      </c>
      <c r="O376" s="147" t="str">
        <f t="shared" ca="1" si="267"/>
        <v/>
      </c>
      <c r="P376" s="147">
        <f t="shared" ref="P376:Q376" ca="1" si="392">IF(N376="",0,IF(N376&lt;=2,1,IF(N376&lt;=4,2,IF(N376&lt;=5.5,3,4))))</f>
        <v>0</v>
      </c>
      <c r="Q376" s="147">
        <f t="shared" ca="1" si="392"/>
        <v>0</v>
      </c>
      <c r="R376" s="147" t="str">
        <f t="shared" ca="1" si="269"/>
        <v>Not tested yet</v>
      </c>
      <c r="S376" s="147">
        <f t="shared" si="270"/>
        <v>0</v>
      </c>
      <c r="T376" s="147"/>
      <c r="U376" s="147"/>
      <c r="V376" s="147"/>
      <c r="W376" s="147"/>
      <c r="X376" s="147"/>
      <c r="Y376" s="147"/>
      <c r="Z376" s="147"/>
      <c r="AA376" s="147"/>
      <c r="AB376" s="147"/>
      <c r="AC376" s="147"/>
      <c r="AD376" s="147"/>
      <c r="AE376" s="147"/>
      <c r="AF376" s="147"/>
      <c r="AG376" s="147"/>
      <c r="AH376" s="147"/>
      <c r="AI376" s="147"/>
      <c r="AJ376" s="147"/>
      <c r="AK376" s="147"/>
      <c r="AL376" s="147"/>
      <c r="AM376" s="151"/>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c r="BI376" s="147"/>
      <c r="BJ376" s="147"/>
      <c r="BK376" s="147"/>
      <c r="BL376" s="147"/>
      <c r="BM376" s="147"/>
      <c r="BN376" s="147"/>
      <c r="BO376" s="147"/>
      <c r="BP376" s="147"/>
      <c r="BQ376" s="147"/>
      <c r="BR376" s="147"/>
      <c r="BS376" s="147"/>
      <c r="BT376" s="147"/>
      <c r="BU376" s="147"/>
      <c r="BV376" s="147"/>
      <c r="BW376" s="147"/>
      <c r="BX376" s="147"/>
      <c r="BY376" s="147"/>
      <c r="BZ376" s="147"/>
      <c r="CA376" s="147"/>
      <c r="CB376" s="147"/>
      <c r="CC376" s="147"/>
      <c r="CD376" s="147"/>
      <c r="CE376" s="147"/>
      <c r="CF376" s="147"/>
      <c r="CG376" s="147"/>
      <c r="CH376" s="147"/>
      <c r="CI376" s="147"/>
      <c r="CJ376" s="147"/>
      <c r="CK376" s="147"/>
    </row>
    <row r="377" spans="1:89">
      <c r="A377" s="159" t="s">
        <v>463</v>
      </c>
      <c r="B377" s="3" t="s">
        <v>464</v>
      </c>
      <c r="C377" s="160" t="s">
        <v>84</v>
      </c>
      <c r="D377" s="160" t="s">
        <v>877</v>
      </c>
      <c r="E377" s="3" t="s">
        <v>21</v>
      </c>
      <c r="F377" s="3" t="s">
        <v>926</v>
      </c>
      <c r="G377" s="3" t="s">
        <v>928</v>
      </c>
      <c r="H377" s="156" t="str">
        <f ca="1">IFERROR(
  _xludf.MINIFS(ATTENDANCE_LOG!$F:$F,
         ATTENDANCE_LOG!$A:$A, C377,
         ATTENDANCE_LOG!$B:$B, E377),
"")</f>
        <v/>
      </c>
      <c r="I377" s="156" t="str">
        <f t="shared" ca="1" si="266"/>
        <v/>
      </c>
      <c r="J377" s="3">
        <f>IFERROR(VLOOKUP(F377, LEVEL_HELPER!$A:$B, 2, 0), "")</f>
        <v>1</v>
      </c>
      <c r="K377" s="3">
        <f>IFERROR(VLOOKUP(G377, LEVEL_HELPER!$A:$B, 2, 0), "")</f>
        <v>1.5</v>
      </c>
      <c r="L377" s="157" t="s">
        <v>918</v>
      </c>
      <c r="M377" s="157" t="s">
        <v>923</v>
      </c>
      <c r="N377" s="3">
        <f t="array" aca="1" ref="N377" ca="1">IFERROR(
  INDEX($J$2:$J$543,
    MATCH(A377&amp;TEXT(I377,"yyyy-mm-dd"),
          $A$2:$A$543&amp;TEXT($H$2:$H$543,"yyyy-mm-dd"),
          0)),
"")</f>
        <v>1.5</v>
      </c>
      <c r="O377" s="147" t="str">
        <f t="shared" ca="1" si="267"/>
        <v/>
      </c>
      <c r="P377" s="147">
        <f t="shared" ref="P377:Q377" ca="1" si="393">IF(N377="",0,IF(N377&lt;=2,1,IF(N377&lt;=4,2,IF(N377&lt;=5.5,3,4))))</f>
        <v>1</v>
      </c>
      <c r="Q377" s="147">
        <f t="shared" ca="1" si="393"/>
        <v>0</v>
      </c>
      <c r="R377" s="147" t="str">
        <f t="shared" ca="1" si="269"/>
        <v>Not tested yet</v>
      </c>
      <c r="S377" s="147">
        <f t="shared" si="270"/>
        <v>0</v>
      </c>
      <c r="T377" s="147"/>
      <c r="U377" s="147"/>
      <c r="V377" s="147"/>
      <c r="W377" s="147"/>
      <c r="X377" s="147"/>
      <c r="Y377" s="147"/>
      <c r="Z377" s="147"/>
      <c r="AA377" s="147"/>
      <c r="AB377" s="147"/>
      <c r="AC377" s="147"/>
      <c r="AD377" s="147"/>
      <c r="AE377" s="147"/>
      <c r="AF377" s="147"/>
      <c r="AG377" s="147"/>
      <c r="AH377" s="147"/>
      <c r="AI377" s="147"/>
      <c r="AJ377" s="147"/>
      <c r="AK377" s="147"/>
      <c r="AL377" s="147"/>
      <c r="AM377" s="151"/>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c r="BI377" s="147"/>
      <c r="BJ377" s="147"/>
      <c r="BK377" s="147"/>
      <c r="BL377" s="147"/>
      <c r="BM377" s="147"/>
      <c r="BN377" s="147"/>
      <c r="BO377" s="147"/>
      <c r="BP377" s="147"/>
      <c r="BQ377" s="147"/>
      <c r="BR377" s="147"/>
      <c r="BS377" s="147"/>
      <c r="BT377" s="147"/>
      <c r="BU377" s="147"/>
      <c r="BV377" s="147"/>
      <c r="BW377" s="147"/>
      <c r="BX377" s="147"/>
      <c r="BY377" s="147"/>
      <c r="BZ377" s="147"/>
      <c r="CA377" s="147"/>
      <c r="CB377" s="147"/>
      <c r="CC377" s="147"/>
      <c r="CD377" s="147"/>
      <c r="CE377" s="147"/>
      <c r="CF377" s="147"/>
      <c r="CG377" s="147"/>
      <c r="CH377" s="147"/>
      <c r="CI377" s="147"/>
      <c r="CJ377" s="147"/>
      <c r="CK377" s="147"/>
    </row>
    <row r="378" spans="1:89">
      <c r="A378" s="159" t="s">
        <v>472</v>
      </c>
      <c r="B378" s="3" t="s">
        <v>473</v>
      </c>
      <c r="C378" s="160" t="s">
        <v>84</v>
      </c>
      <c r="D378" s="160" t="s">
        <v>877</v>
      </c>
      <c r="E378" s="3" t="s">
        <v>21</v>
      </c>
      <c r="F378" s="3" t="s">
        <v>926</v>
      </c>
      <c r="G378" s="3"/>
      <c r="H378" s="156" t="str">
        <f ca="1">IFERROR(
  _xludf.MINIFS(ATTENDANCE_LOG!$F:$F,
         ATTENDANCE_LOG!$A:$A, C378,
         ATTENDANCE_LOG!$B:$B, E378),
"")</f>
        <v/>
      </c>
      <c r="I378" s="156" t="str">
        <f t="shared" ca="1" si="266"/>
        <v/>
      </c>
      <c r="J378" s="3">
        <f>IFERROR(VLOOKUP(F378, LEVEL_HELPER!$A:$B, 2, 0), "")</f>
        <v>1</v>
      </c>
      <c r="K378" s="3" t="str">
        <f>IFERROR(VLOOKUP(G378, LEVEL_HELPER!$A:$B, 2, 0), "")</f>
        <v/>
      </c>
      <c r="L378" s="157" t="s">
        <v>918</v>
      </c>
      <c r="M378" s="157" t="s">
        <v>922</v>
      </c>
      <c r="N378" s="3">
        <f t="array" aca="1" ref="N378" ca="1">IFERROR(
  INDEX($J$2:$J$543,
    MATCH(A378&amp;TEXT(I378,"yyyy-mm-dd"),
          $A$2:$A$543&amp;TEXT($H$2:$H$543,"yyyy-mm-dd"),
          0)),
"")</f>
        <v>1</v>
      </c>
      <c r="O378" s="147" t="str">
        <f t="shared" ca="1" si="267"/>
        <v/>
      </c>
      <c r="P378" s="147">
        <f t="shared" ref="P378:Q378" ca="1" si="394">IF(N378="",0,IF(N378&lt;=2,1,IF(N378&lt;=4,2,IF(N378&lt;=5.5,3,4))))</f>
        <v>1</v>
      </c>
      <c r="Q378" s="147">
        <f t="shared" ca="1" si="394"/>
        <v>0</v>
      </c>
      <c r="R378" s="147" t="str">
        <f t="shared" ca="1" si="269"/>
        <v>Not tested yet</v>
      </c>
      <c r="S378" s="147">
        <f t="shared" si="270"/>
        <v>1</v>
      </c>
      <c r="T378" s="147"/>
      <c r="U378" s="147"/>
      <c r="V378" s="147"/>
      <c r="W378" s="147"/>
      <c r="X378" s="147"/>
      <c r="Y378" s="147"/>
      <c r="Z378" s="147"/>
      <c r="AA378" s="147"/>
      <c r="AB378" s="147"/>
      <c r="AC378" s="147"/>
      <c r="AD378" s="147"/>
      <c r="AE378" s="147"/>
      <c r="AF378" s="147"/>
      <c r="AG378" s="147"/>
      <c r="AH378" s="147"/>
      <c r="AI378" s="147"/>
      <c r="AJ378" s="147"/>
      <c r="AK378" s="147"/>
      <c r="AL378" s="147"/>
      <c r="AM378" s="151"/>
      <c r="AN378" s="147"/>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c r="BI378" s="147"/>
      <c r="BJ378" s="147"/>
      <c r="BK378" s="147"/>
      <c r="BL378" s="147"/>
      <c r="BM378" s="147"/>
      <c r="BN378" s="147"/>
      <c r="BO378" s="147"/>
      <c r="BP378" s="147"/>
      <c r="BQ378" s="147"/>
      <c r="BR378" s="147"/>
      <c r="BS378" s="147"/>
      <c r="BT378" s="147"/>
      <c r="BU378" s="147"/>
      <c r="BV378" s="147"/>
      <c r="BW378" s="147"/>
      <c r="BX378" s="147"/>
      <c r="BY378" s="147"/>
      <c r="BZ378" s="147"/>
      <c r="CA378" s="147"/>
      <c r="CB378" s="147"/>
      <c r="CC378" s="147"/>
      <c r="CD378" s="147"/>
      <c r="CE378" s="147"/>
      <c r="CF378" s="147"/>
      <c r="CG378" s="147"/>
      <c r="CH378" s="147"/>
      <c r="CI378" s="147"/>
      <c r="CJ378" s="147"/>
      <c r="CK378" s="147"/>
    </row>
    <row r="379" spans="1:89">
      <c r="A379" s="159" t="s">
        <v>486</v>
      </c>
      <c r="B379" s="3" t="s">
        <v>487</v>
      </c>
      <c r="C379" s="160" t="s">
        <v>84</v>
      </c>
      <c r="D379" s="160" t="s">
        <v>877</v>
      </c>
      <c r="E379" s="3" t="s">
        <v>21</v>
      </c>
      <c r="F379" s="3" t="s">
        <v>926</v>
      </c>
      <c r="G379" s="3" t="s">
        <v>917</v>
      </c>
      <c r="H379" s="156" t="str">
        <f ca="1">IFERROR(
  _xludf.MINIFS(ATTENDANCE_LOG!$F:$F,
         ATTENDANCE_LOG!$A:$A, C379,
         ATTENDANCE_LOG!$B:$B, E379),
"")</f>
        <v/>
      </c>
      <c r="I379" s="156" t="str">
        <f t="shared" ca="1" si="266"/>
        <v/>
      </c>
      <c r="J379" s="3">
        <f>IFERROR(VLOOKUP(F379, LEVEL_HELPER!$A:$B, 2, 0), "")</f>
        <v>1</v>
      </c>
      <c r="K379" s="3">
        <f>IFERROR(VLOOKUP(G379, LEVEL_HELPER!$A:$B, 2, 0), "")</f>
        <v>3</v>
      </c>
      <c r="L379" s="157" t="s">
        <v>930</v>
      </c>
      <c r="M379" s="157" t="s">
        <v>923</v>
      </c>
      <c r="N379" s="3" t="str">
        <f t="array" aca="1" ref="N379" ca="1">IFERROR(
  INDEX($J$2:$J$543,
    MATCH(A379&amp;TEXT(I379,"yyyy-mm-dd"),
          $A$2:$A$543&amp;TEXT($H$2:$H$543,"yyyy-mm-dd"),
          0)),
"")</f>
        <v/>
      </c>
      <c r="O379" s="147" t="str">
        <f t="shared" ca="1" si="267"/>
        <v/>
      </c>
      <c r="P379" s="147">
        <f t="shared" ref="P379:Q379" ca="1" si="395">IF(N379="",0,IF(N379&lt;=2,1,IF(N379&lt;=4,2,IF(N379&lt;=5.5,3,4))))</f>
        <v>0</v>
      </c>
      <c r="Q379" s="147">
        <f t="shared" ca="1" si="395"/>
        <v>0</v>
      </c>
      <c r="R379" s="147" t="str">
        <f t="shared" ca="1" si="269"/>
        <v>Not tested yet</v>
      </c>
      <c r="S379" s="147">
        <f t="shared" si="270"/>
        <v>0</v>
      </c>
      <c r="T379" s="147"/>
      <c r="U379" s="147"/>
      <c r="V379" s="147"/>
      <c r="W379" s="147"/>
      <c r="X379" s="147"/>
      <c r="Y379" s="147"/>
      <c r="Z379" s="147"/>
      <c r="AA379" s="147"/>
      <c r="AB379" s="147"/>
      <c r="AC379" s="147"/>
      <c r="AD379" s="147"/>
      <c r="AE379" s="147"/>
      <c r="AF379" s="147"/>
      <c r="AG379" s="147"/>
      <c r="AH379" s="147"/>
      <c r="AI379" s="147"/>
      <c r="AJ379" s="147"/>
      <c r="AK379" s="147"/>
      <c r="AL379" s="147"/>
      <c r="AM379" s="151"/>
      <c r="AN379" s="147"/>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c r="BI379" s="147"/>
      <c r="BJ379" s="147"/>
      <c r="BK379" s="147"/>
      <c r="BL379" s="147"/>
      <c r="BM379" s="147"/>
      <c r="BN379" s="147"/>
      <c r="BO379" s="147"/>
      <c r="BP379" s="147"/>
      <c r="BQ379" s="147"/>
      <c r="BR379" s="147"/>
      <c r="BS379" s="147"/>
      <c r="BT379" s="147"/>
      <c r="BU379" s="147"/>
      <c r="BV379" s="147"/>
      <c r="BW379" s="147"/>
      <c r="BX379" s="147"/>
      <c r="BY379" s="147"/>
      <c r="BZ379" s="147"/>
      <c r="CA379" s="147"/>
      <c r="CB379" s="147"/>
      <c r="CC379" s="147"/>
      <c r="CD379" s="147"/>
      <c r="CE379" s="147"/>
      <c r="CF379" s="147"/>
      <c r="CG379" s="147"/>
      <c r="CH379" s="147"/>
      <c r="CI379" s="147"/>
      <c r="CJ379" s="147"/>
      <c r="CK379" s="147"/>
    </row>
    <row r="380" spans="1:89">
      <c r="A380" s="159" t="s">
        <v>508</v>
      </c>
      <c r="B380" s="3" t="s">
        <v>509</v>
      </c>
      <c r="C380" s="160" t="s">
        <v>84</v>
      </c>
      <c r="D380" s="160" t="s">
        <v>877</v>
      </c>
      <c r="E380" s="3" t="s">
        <v>21</v>
      </c>
      <c r="F380" s="3" t="s">
        <v>926</v>
      </c>
      <c r="G380" s="3" t="s">
        <v>917</v>
      </c>
      <c r="H380" s="156" t="str">
        <f ca="1">IFERROR(
  _xludf.MINIFS(ATTENDANCE_LOG!$F:$F,
         ATTENDANCE_LOG!$A:$A, C380,
         ATTENDANCE_LOG!$B:$B, E380),
"")</f>
        <v/>
      </c>
      <c r="I380" s="156" t="str">
        <f t="shared" ca="1" si="266"/>
        <v/>
      </c>
      <c r="J380" s="3">
        <f>IFERROR(VLOOKUP(F380, LEVEL_HELPER!$A:$B, 2, 0), "")</f>
        <v>1</v>
      </c>
      <c r="K380" s="3">
        <f>IFERROR(VLOOKUP(G380, LEVEL_HELPER!$A:$B, 2, 0), "")</f>
        <v>3</v>
      </c>
      <c r="L380" s="157" t="s">
        <v>930</v>
      </c>
      <c r="M380" s="157" t="s">
        <v>923</v>
      </c>
      <c r="N380" s="3" t="str">
        <f t="array" aca="1" ref="N380" ca="1">IFERROR(
  INDEX($J$2:$J$543,
    MATCH(A380&amp;TEXT(I380,"yyyy-mm-dd"),
          $A$2:$A$543&amp;TEXT($H$2:$H$543,"yyyy-mm-dd"),
          0)),
"")</f>
        <v/>
      </c>
      <c r="O380" s="147" t="str">
        <f t="shared" ca="1" si="267"/>
        <v/>
      </c>
      <c r="P380" s="147">
        <f t="shared" ref="P380:Q380" ca="1" si="396">IF(N380="",0,IF(N380&lt;=2,1,IF(N380&lt;=4,2,IF(N380&lt;=5.5,3,4))))</f>
        <v>0</v>
      </c>
      <c r="Q380" s="147">
        <f t="shared" ca="1" si="396"/>
        <v>0</v>
      </c>
      <c r="R380" s="147" t="str">
        <f t="shared" ca="1" si="269"/>
        <v>Not tested yet</v>
      </c>
      <c r="S380" s="147">
        <f t="shared" si="270"/>
        <v>0</v>
      </c>
      <c r="T380" s="147"/>
      <c r="U380" s="147"/>
      <c r="V380" s="147"/>
      <c r="W380" s="147"/>
      <c r="X380" s="147"/>
      <c r="Y380" s="147"/>
      <c r="Z380" s="147"/>
      <c r="AA380" s="147"/>
      <c r="AB380" s="147"/>
      <c r="AC380" s="147"/>
      <c r="AD380" s="147"/>
      <c r="AE380" s="147"/>
      <c r="AF380" s="147"/>
      <c r="AG380" s="147"/>
      <c r="AH380" s="147"/>
      <c r="AI380" s="147"/>
      <c r="AJ380" s="147"/>
      <c r="AK380" s="147"/>
      <c r="AL380" s="147"/>
      <c r="AM380" s="151"/>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c r="BI380" s="147"/>
      <c r="BJ380" s="147"/>
      <c r="BK380" s="147"/>
      <c r="BL380" s="147"/>
      <c r="BM380" s="147"/>
      <c r="BN380" s="147"/>
      <c r="BO380" s="147"/>
      <c r="BP380" s="147"/>
      <c r="BQ380" s="147"/>
      <c r="BR380" s="147"/>
      <c r="BS380" s="147"/>
      <c r="BT380" s="147"/>
      <c r="BU380" s="147"/>
      <c r="BV380" s="147"/>
      <c r="BW380" s="147"/>
      <c r="BX380" s="147"/>
      <c r="BY380" s="147"/>
      <c r="BZ380" s="147"/>
      <c r="CA380" s="147"/>
      <c r="CB380" s="147"/>
      <c r="CC380" s="147"/>
      <c r="CD380" s="147"/>
      <c r="CE380" s="147"/>
      <c r="CF380" s="147"/>
      <c r="CG380" s="147"/>
      <c r="CH380" s="147"/>
      <c r="CI380" s="147"/>
      <c r="CJ380" s="147"/>
      <c r="CK380" s="147"/>
    </row>
    <row r="381" spans="1:89">
      <c r="A381" s="159" t="s">
        <v>597</v>
      </c>
      <c r="B381" s="3" t="s">
        <v>598</v>
      </c>
      <c r="C381" s="160" t="s">
        <v>84</v>
      </c>
      <c r="D381" s="160" t="s">
        <v>877</v>
      </c>
      <c r="E381" s="3" t="s">
        <v>21</v>
      </c>
      <c r="F381" s="3" t="s">
        <v>926</v>
      </c>
      <c r="G381" s="3" t="s">
        <v>917</v>
      </c>
      <c r="H381" s="156" t="str">
        <f ca="1">IFERROR(
  _xludf.MINIFS(ATTENDANCE_LOG!$F:$F,
         ATTENDANCE_LOG!$A:$A, C381,
         ATTENDANCE_LOG!$B:$B, E381),
"")</f>
        <v/>
      </c>
      <c r="I381" s="156" t="str">
        <f t="shared" ca="1" si="266"/>
        <v/>
      </c>
      <c r="J381" s="3">
        <f>IFERROR(VLOOKUP(F381, LEVEL_HELPER!$A:$B, 2, 0), "")</f>
        <v>1</v>
      </c>
      <c r="K381" s="3">
        <f>IFERROR(VLOOKUP(G381, LEVEL_HELPER!$A:$B, 2, 0), "")</f>
        <v>3</v>
      </c>
      <c r="L381" s="157" t="s">
        <v>930</v>
      </c>
      <c r="M381" s="157" t="s">
        <v>923</v>
      </c>
      <c r="N381" s="3" t="str">
        <f t="array" aca="1" ref="N381" ca="1">IFERROR(
  INDEX($J$2:$J$543,
    MATCH(A381&amp;TEXT(I381,"yyyy-mm-dd"),
          $A$2:$A$543&amp;TEXT($H$2:$H$543,"yyyy-mm-dd"),
          0)),
"")</f>
        <v/>
      </c>
      <c r="O381" s="147" t="str">
        <f t="shared" ca="1" si="267"/>
        <v/>
      </c>
      <c r="P381" s="147">
        <f t="shared" ref="P381:Q381" ca="1" si="397">IF(N381="",0,IF(N381&lt;=2,1,IF(N381&lt;=4,2,IF(N381&lt;=5.5,3,4))))</f>
        <v>0</v>
      </c>
      <c r="Q381" s="147">
        <f t="shared" ca="1" si="397"/>
        <v>0</v>
      </c>
      <c r="R381" s="147" t="str">
        <f t="shared" ca="1" si="269"/>
        <v>Not tested yet</v>
      </c>
      <c r="S381" s="147">
        <f t="shared" si="270"/>
        <v>0</v>
      </c>
      <c r="T381" s="147"/>
      <c r="U381" s="147"/>
      <c r="V381" s="147"/>
      <c r="W381" s="147"/>
      <c r="X381" s="147"/>
      <c r="Y381" s="147"/>
      <c r="Z381" s="147"/>
      <c r="AA381" s="147"/>
      <c r="AB381" s="147"/>
      <c r="AC381" s="147"/>
      <c r="AD381" s="147"/>
      <c r="AE381" s="147"/>
      <c r="AF381" s="147"/>
      <c r="AG381" s="147"/>
      <c r="AH381" s="147"/>
      <c r="AI381" s="147"/>
      <c r="AJ381" s="147"/>
      <c r="AK381" s="147"/>
      <c r="AL381" s="147"/>
      <c r="AM381" s="151"/>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c r="BI381" s="147"/>
      <c r="BJ381" s="147"/>
      <c r="BK381" s="147"/>
      <c r="BL381" s="147"/>
      <c r="BM381" s="147"/>
      <c r="BN381" s="147"/>
      <c r="BO381" s="147"/>
      <c r="BP381" s="147"/>
      <c r="BQ381" s="147"/>
      <c r="BR381" s="147"/>
      <c r="BS381" s="147"/>
      <c r="BT381" s="147"/>
      <c r="BU381" s="147"/>
      <c r="BV381" s="147"/>
      <c r="BW381" s="147"/>
      <c r="BX381" s="147"/>
      <c r="BY381" s="147"/>
      <c r="BZ381" s="147"/>
      <c r="CA381" s="147"/>
      <c r="CB381" s="147"/>
      <c r="CC381" s="147"/>
      <c r="CD381" s="147"/>
      <c r="CE381" s="147"/>
      <c r="CF381" s="147"/>
      <c r="CG381" s="147"/>
      <c r="CH381" s="147"/>
      <c r="CI381" s="147"/>
      <c r="CJ381" s="147"/>
      <c r="CK381" s="147"/>
    </row>
    <row r="382" spans="1:89">
      <c r="A382" s="159" t="s">
        <v>623</v>
      </c>
      <c r="B382" s="3" t="s">
        <v>624</v>
      </c>
      <c r="C382" s="160" t="s">
        <v>84</v>
      </c>
      <c r="D382" s="160" t="s">
        <v>877</v>
      </c>
      <c r="E382" s="3" t="s">
        <v>21</v>
      </c>
      <c r="F382" s="3" t="s">
        <v>926</v>
      </c>
      <c r="G382" s="3" t="s">
        <v>917</v>
      </c>
      <c r="H382" s="156" t="str">
        <f ca="1">IFERROR(
  _xludf.MINIFS(ATTENDANCE_LOG!$F:$F,
         ATTENDANCE_LOG!$A:$A, C382,
         ATTENDANCE_LOG!$B:$B, E382),
"")</f>
        <v/>
      </c>
      <c r="I382" s="156" t="str">
        <f t="shared" ca="1" si="266"/>
        <v/>
      </c>
      <c r="J382" s="3">
        <f>IFERROR(VLOOKUP(F382, LEVEL_HELPER!$A:$B, 2, 0), "")</f>
        <v>1</v>
      </c>
      <c r="K382" s="3">
        <f>IFERROR(VLOOKUP(G382, LEVEL_HELPER!$A:$B, 2, 0), "")</f>
        <v>3</v>
      </c>
      <c r="L382" s="157" t="s">
        <v>930</v>
      </c>
      <c r="M382" s="157" t="s">
        <v>923</v>
      </c>
      <c r="N382" s="3" t="str">
        <f t="array" aca="1" ref="N382" ca="1">IFERROR(
  INDEX($J$2:$J$543,
    MATCH(A382&amp;TEXT(I382,"yyyy-mm-dd"),
          $A$2:$A$543&amp;TEXT($H$2:$H$543,"yyyy-mm-dd"),
          0)),
"")</f>
        <v/>
      </c>
      <c r="O382" s="147" t="str">
        <f t="shared" ca="1" si="267"/>
        <v/>
      </c>
      <c r="P382" s="147">
        <f t="shared" ref="P382:Q382" ca="1" si="398">IF(N382="",0,IF(N382&lt;=2,1,IF(N382&lt;=4,2,IF(N382&lt;=5.5,3,4))))</f>
        <v>0</v>
      </c>
      <c r="Q382" s="147">
        <f t="shared" ca="1" si="398"/>
        <v>0</v>
      </c>
      <c r="R382" s="147" t="str">
        <f t="shared" ca="1" si="269"/>
        <v>Not tested yet</v>
      </c>
      <c r="S382" s="147">
        <f t="shared" si="270"/>
        <v>0</v>
      </c>
      <c r="T382" s="147"/>
      <c r="U382" s="147"/>
      <c r="V382" s="147"/>
      <c r="W382" s="147"/>
      <c r="X382" s="147"/>
      <c r="Y382" s="147"/>
      <c r="Z382" s="147"/>
      <c r="AA382" s="147"/>
      <c r="AB382" s="147"/>
      <c r="AC382" s="147"/>
      <c r="AD382" s="147"/>
      <c r="AE382" s="147"/>
      <c r="AF382" s="147"/>
      <c r="AG382" s="147"/>
      <c r="AH382" s="147"/>
      <c r="AI382" s="147"/>
      <c r="AJ382" s="147"/>
      <c r="AK382" s="147"/>
      <c r="AL382" s="147"/>
      <c r="AM382" s="151"/>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c r="BI382" s="147"/>
      <c r="BJ382" s="147"/>
      <c r="BK382" s="147"/>
      <c r="BL382" s="147"/>
      <c r="BM382" s="147"/>
      <c r="BN382" s="147"/>
      <c r="BO382" s="147"/>
      <c r="BP382" s="147"/>
      <c r="BQ382" s="147"/>
      <c r="BR382" s="147"/>
      <c r="BS382" s="147"/>
      <c r="BT382" s="147"/>
      <c r="BU382" s="147"/>
      <c r="BV382" s="147"/>
      <c r="BW382" s="147"/>
      <c r="BX382" s="147"/>
      <c r="BY382" s="147"/>
      <c r="BZ382" s="147"/>
      <c r="CA382" s="147"/>
      <c r="CB382" s="147"/>
      <c r="CC382" s="147"/>
      <c r="CD382" s="147"/>
      <c r="CE382" s="147"/>
      <c r="CF382" s="147"/>
      <c r="CG382" s="147"/>
      <c r="CH382" s="147"/>
      <c r="CI382" s="147"/>
      <c r="CJ382" s="147"/>
      <c r="CK382" s="147"/>
    </row>
    <row r="383" spans="1:89">
      <c r="A383" s="153" t="s">
        <v>649</v>
      </c>
      <c r="B383" s="154" t="s">
        <v>650</v>
      </c>
      <c r="C383" s="155" t="s">
        <v>84</v>
      </c>
      <c r="D383" s="155" t="s">
        <v>877</v>
      </c>
      <c r="E383" s="154" t="s">
        <v>22</v>
      </c>
      <c r="F383" s="3" t="s">
        <v>917</v>
      </c>
      <c r="G383" s="3" t="s">
        <v>940</v>
      </c>
      <c r="H383" s="156" t="str">
        <f ca="1">IFERROR(
  _xludf.MINIFS(ATTENDANCE_LOG!$F:$F,
         ATTENDANCE_LOG!$A:$A, C383,
         ATTENDANCE_LOG!$B:$B, E383),
"")</f>
        <v/>
      </c>
      <c r="I383" s="156" t="str">
        <f t="shared" ca="1" si="266"/>
        <v/>
      </c>
      <c r="J383" s="3">
        <f>IFERROR(VLOOKUP(F383, LEVEL_HELPER!$A:$B, 2, 0), "")</f>
        <v>3</v>
      </c>
      <c r="K383" s="3">
        <f>IFERROR(VLOOKUP(G383, LEVEL_HELPER!$A:$B, 2, 0), "")</f>
        <v>5</v>
      </c>
      <c r="L383" s="157" t="s">
        <v>930</v>
      </c>
      <c r="M383" s="157" t="s">
        <v>923</v>
      </c>
      <c r="N383" s="3" t="str">
        <f t="array" aca="1" ref="N383" ca="1">IFERROR(
  INDEX($J$2:$J$543,
    MATCH(A383&amp;TEXT(I383,"yyyy-mm-dd"),
          $A$2:$A$543&amp;TEXT($H$2:$H$543,"yyyy-mm-dd"),
          0)),
"")</f>
        <v/>
      </c>
      <c r="O383" s="147" t="str">
        <f t="shared" ca="1" si="267"/>
        <v/>
      </c>
      <c r="P383" s="147">
        <f t="shared" ref="P383:Q383" ca="1" si="399">IF(N383="",0,IF(N383&lt;=2,1,IF(N383&lt;=4,2,IF(N383&lt;=5.5,3,4))))</f>
        <v>0</v>
      </c>
      <c r="Q383" s="147">
        <f t="shared" ca="1" si="399"/>
        <v>0</v>
      </c>
      <c r="R383" s="147" t="str">
        <f t="shared" ca="1" si="269"/>
        <v>Not tested yet</v>
      </c>
      <c r="S383" s="147">
        <f t="shared" si="270"/>
        <v>0</v>
      </c>
      <c r="T383" s="147"/>
      <c r="U383" s="147"/>
      <c r="V383" s="147"/>
      <c r="W383" s="147"/>
      <c r="X383" s="147"/>
      <c r="Y383" s="147"/>
      <c r="Z383" s="147"/>
      <c r="AA383" s="147"/>
      <c r="AB383" s="147"/>
      <c r="AC383" s="147"/>
      <c r="AD383" s="147"/>
      <c r="AE383" s="147"/>
      <c r="AF383" s="147"/>
      <c r="AG383" s="147"/>
      <c r="AH383" s="147"/>
      <c r="AI383" s="147"/>
      <c r="AJ383" s="147"/>
      <c r="AK383" s="147"/>
      <c r="AL383" s="147"/>
      <c r="AM383" s="151"/>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c r="BI383" s="147"/>
      <c r="BJ383" s="147"/>
      <c r="BK383" s="147"/>
      <c r="BL383" s="147"/>
      <c r="BM383" s="147"/>
      <c r="BN383" s="147"/>
      <c r="BO383" s="147"/>
      <c r="BP383" s="147"/>
      <c r="BQ383" s="147"/>
      <c r="BR383" s="147"/>
      <c r="BS383" s="147"/>
      <c r="BT383" s="147"/>
      <c r="BU383" s="147"/>
      <c r="BV383" s="147"/>
      <c r="BW383" s="147"/>
      <c r="BX383" s="147"/>
      <c r="BY383" s="147"/>
      <c r="BZ383" s="147"/>
      <c r="CA383" s="147"/>
      <c r="CB383" s="147"/>
      <c r="CC383" s="147"/>
      <c r="CD383" s="147"/>
      <c r="CE383" s="147"/>
      <c r="CF383" s="147"/>
      <c r="CG383" s="147"/>
      <c r="CH383" s="147"/>
      <c r="CI383" s="147"/>
      <c r="CJ383" s="147"/>
      <c r="CK383" s="147"/>
    </row>
    <row r="384" spans="1:89">
      <c r="A384" s="159" t="s">
        <v>253</v>
      </c>
      <c r="B384" s="3" t="s">
        <v>254</v>
      </c>
      <c r="C384" s="160" t="s">
        <v>84</v>
      </c>
      <c r="D384" s="160" t="s">
        <v>877</v>
      </c>
      <c r="E384" s="3" t="s">
        <v>22</v>
      </c>
      <c r="F384" s="3" t="s">
        <v>934</v>
      </c>
      <c r="G384" s="3" t="s">
        <v>937</v>
      </c>
      <c r="H384" s="156" t="str">
        <f ca="1">IFERROR(
  _xludf.MINIFS(ATTENDANCE_LOG!$F:$F,
         ATTENDANCE_LOG!$A:$A, C384,
         ATTENDANCE_LOG!$B:$B, E384),
"")</f>
        <v/>
      </c>
      <c r="I384" s="156" t="str">
        <f t="shared" ca="1" si="266"/>
        <v/>
      </c>
      <c r="J384" s="3">
        <f>IFERROR(VLOOKUP(F384, LEVEL_HELPER!$A:$B, 2, 0), "")</f>
        <v>3.5</v>
      </c>
      <c r="K384" s="3">
        <f>IFERROR(VLOOKUP(G384, LEVEL_HELPER!$A:$B, 2, 0), "")</f>
        <v>5.5</v>
      </c>
      <c r="L384" s="157" t="s">
        <v>930</v>
      </c>
      <c r="M384" s="157" t="s">
        <v>923</v>
      </c>
      <c r="N384" s="3" t="str">
        <f t="array" aca="1" ref="N384" ca="1">IFERROR(
  INDEX($J$2:$J$543,
    MATCH(A384&amp;TEXT(I384,"yyyy-mm-dd"),
          $A$2:$A$543&amp;TEXT($H$2:$H$543,"yyyy-mm-dd"),
          0)),
"")</f>
        <v/>
      </c>
      <c r="O384" s="147" t="str">
        <f t="shared" ca="1" si="267"/>
        <v/>
      </c>
      <c r="P384" s="147">
        <f t="shared" ref="P384:Q384" ca="1" si="400">IF(N384="",0,IF(N384&lt;=2,1,IF(N384&lt;=4,2,IF(N384&lt;=5.5,3,4))))</f>
        <v>0</v>
      </c>
      <c r="Q384" s="147">
        <f t="shared" ca="1" si="400"/>
        <v>0</v>
      </c>
      <c r="R384" s="147" t="str">
        <f t="shared" ca="1" si="269"/>
        <v>Not tested yet</v>
      </c>
      <c r="S384" s="147">
        <f t="shared" si="270"/>
        <v>0</v>
      </c>
      <c r="T384" s="147"/>
      <c r="U384" s="147"/>
      <c r="V384" s="147"/>
      <c r="W384" s="147"/>
      <c r="X384" s="147"/>
      <c r="Y384" s="147"/>
      <c r="Z384" s="147"/>
      <c r="AA384" s="147"/>
      <c r="AB384" s="147"/>
      <c r="AC384" s="147"/>
      <c r="AD384" s="147"/>
      <c r="AE384" s="147"/>
      <c r="AF384" s="147"/>
      <c r="AG384" s="147"/>
      <c r="AH384" s="147"/>
      <c r="AI384" s="147"/>
      <c r="AJ384" s="147"/>
      <c r="AK384" s="147"/>
      <c r="AL384" s="147"/>
      <c r="AM384" s="151"/>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c r="BI384" s="147"/>
      <c r="BJ384" s="147"/>
      <c r="BK384" s="147"/>
      <c r="BL384" s="147"/>
      <c r="BM384" s="147"/>
      <c r="BN384" s="147"/>
      <c r="BO384" s="147"/>
      <c r="BP384" s="147"/>
      <c r="BQ384" s="147"/>
      <c r="BR384" s="147"/>
      <c r="BS384" s="147"/>
      <c r="BT384" s="147"/>
      <c r="BU384" s="147"/>
      <c r="BV384" s="147"/>
      <c r="BW384" s="147"/>
      <c r="BX384" s="147"/>
      <c r="BY384" s="147"/>
      <c r="BZ384" s="147"/>
      <c r="CA384" s="147"/>
      <c r="CB384" s="147"/>
      <c r="CC384" s="147"/>
      <c r="CD384" s="147"/>
      <c r="CE384" s="147"/>
      <c r="CF384" s="147"/>
      <c r="CG384" s="147"/>
      <c r="CH384" s="147"/>
      <c r="CI384" s="147"/>
      <c r="CJ384" s="147"/>
      <c r="CK384" s="147"/>
    </row>
    <row r="385" spans="1:89">
      <c r="A385" s="159" t="s">
        <v>447</v>
      </c>
      <c r="B385" s="3" t="s">
        <v>448</v>
      </c>
      <c r="C385" s="160" t="s">
        <v>84</v>
      </c>
      <c r="D385" s="160" t="s">
        <v>877</v>
      </c>
      <c r="E385" s="3" t="s">
        <v>22</v>
      </c>
      <c r="F385" s="3" t="s">
        <v>928</v>
      </c>
      <c r="G385" s="3" t="s">
        <v>940</v>
      </c>
      <c r="H385" s="156" t="str">
        <f ca="1">IFERROR(
  _xludf.MINIFS(ATTENDANCE_LOG!$F:$F,
         ATTENDANCE_LOG!$A:$A, C385,
         ATTENDANCE_LOG!$B:$B, E385),
"")</f>
        <v/>
      </c>
      <c r="I385" s="156" t="str">
        <f t="shared" ca="1" si="266"/>
        <v/>
      </c>
      <c r="J385" s="3">
        <f>IFERROR(VLOOKUP(F385, LEVEL_HELPER!$A:$B, 2, 0), "")</f>
        <v>1.5</v>
      </c>
      <c r="K385" s="3">
        <f>IFERROR(VLOOKUP(G385, LEVEL_HELPER!$A:$B, 2, 0), "")</f>
        <v>5</v>
      </c>
      <c r="L385" s="157" t="s">
        <v>930</v>
      </c>
      <c r="M385" s="157" t="s">
        <v>923</v>
      </c>
      <c r="N385" s="3" t="str">
        <f t="array" aca="1" ref="N385" ca="1">IFERROR(
  INDEX($J$2:$J$543,
    MATCH(A385&amp;TEXT(I385,"yyyy-mm-dd"),
          $A$2:$A$543&amp;TEXT($H$2:$H$543,"yyyy-mm-dd"),
          0)),
"")</f>
        <v/>
      </c>
      <c r="O385" s="147" t="str">
        <f t="shared" ca="1" si="267"/>
        <v/>
      </c>
      <c r="P385" s="147">
        <f t="shared" ref="P385:Q385" ca="1" si="401">IF(N385="",0,IF(N385&lt;=2,1,IF(N385&lt;=4,2,IF(N385&lt;=5.5,3,4))))</f>
        <v>0</v>
      </c>
      <c r="Q385" s="147">
        <f t="shared" ca="1" si="401"/>
        <v>0</v>
      </c>
      <c r="R385" s="147" t="str">
        <f t="shared" ca="1" si="269"/>
        <v>Not tested yet</v>
      </c>
      <c r="S385" s="147">
        <f t="shared" si="270"/>
        <v>0</v>
      </c>
      <c r="T385" s="147"/>
      <c r="U385" s="147"/>
      <c r="V385" s="147"/>
      <c r="W385" s="147"/>
      <c r="X385" s="147"/>
      <c r="Y385" s="147"/>
      <c r="Z385" s="147"/>
      <c r="AA385" s="147"/>
      <c r="AB385" s="147"/>
      <c r="AC385" s="147"/>
      <c r="AD385" s="147"/>
      <c r="AE385" s="147"/>
      <c r="AF385" s="147"/>
      <c r="AG385" s="147"/>
      <c r="AH385" s="147"/>
      <c r="AI385" s="147"/>
      <c r="AJ385" s="147"/>
      <c r="AK385" s="147"/>
      <c r="AL385" s="147"/>
      <c r="AM385" s="151"/>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c r="BI385" s="147"/>
      <c r="BJ385" s="147"/>
      <c r="BK385" s="147"/>
      <c r="BL385" s="147"/>
      <c r="BM385" s="147"/>
      <c r="BN385" s="147"/>
      <c r="BO385" s="147"/>
      <c r="BP385" s="147"/>
      <c r="BQ385" s="147"/>
      <c r="BR385" s="147"/>
      <c r="BS385" s="147"/>
      <c r="BT385" s="147"/>
      <c r="BU385" s="147"/>
      <c r="BV385" s="147"/>
      <c r="BW385" s="147"/>
      <c r="BX385" s="147"/>
      <c r="BY385" s="147"/>
      <c r="BZ385" s="147"/>
      <c r="CA385" s="147"/>
      <c r="CB385" s="147"/>
      <c r="CC385" s="147"/>
      <c r="CD385" s="147"/>
      <c r="CE385" s="147"/>
      <c r="CF385" s="147"/>
      <c r="CG385" s="147"/>
      <c r="CH385" s="147"/>
      <c r="CI385" s="147"/>
      <c r="CJ385" s="147"/>
      <c r="CK385" s="147"/>
    </row>
    <row r="386" spans="1:89">
      <c r="A386" s="159" t="s">
        <v>486</v>
      </c>
      <c r="B386" s="3" t="s">
        <v>487</v>
      </c>
      <c r="C386" s="160" t="s">
        <v>84</v>
      </c>
      <c r="D386" s="160" t="s">
        <v>877</v>
      </c>
      <c r="E386" s="3" t="s">
        <v>22</v>
      </c>
      <c r="F386" s="3" t="s">
        <v>917</v>
      </c>
      <c r="G386" s="3" t="s">
        <v>940</v>
      </c>
      <c r="H386" s="156" t="str">
        <f ca="1">IFERROR(
  _xludf.MINIFS(ATTENDANCE_LOG!$F:$F,
         ATTENDANCE_LOG!$A:$A, C386,
         ATTENDANCE_LOG!$B:$B, E386),
"")</f>
        <v/>
      </c>
      <c r="I386" s="156" t="str">
        <f t="shared" ca="1" si="266"/>
        <v/>
      </c>
      <c r="J386" s="3">
        <f>IFERROR(VLOOKUP(F386, LEVEL_HELPER!$A:$B, 2, 0), "")</f>
        <v>3</v>
      </c>
      <c r="K386" s="3">
        <f>IFERROR(VLOOKUP(G386, LEVEL_HELPER!$A:$B, 2, 0), "")</f>
        <v>5</v>
      </c>
      <c r="L386" s="157" t="s">
        <v>930</v>
      </c>
      <c r="M386" s="157" t="s">
        <v>923</v>
      </c>
      <c r="N386" s="3" t="str">
        <f t="array" aca="1" ref="N386" ca="1">IFERROR(
  INDEX($J$2:$J$543,
    MATCH(A386&amp;TEXT(I386,"yyyy-mm-dd"),
          $A$2:$A$543&amp;TEXT($H$2:$H$543,"yyyy-mm-dd"),
          0)),
"")</f>
        <v/>
      </c>
      <c r="O386" s="147" t="str">
        <f t="shared" ca="1" si="267"/>
        <v/>
      </c>
      <c r="P386" s="147">
        <f t="shared" ref="P386:Q386" ca="1" si="402">IF(N386="",0,IF(N386&lt;=2,1,IF(N386&lt;=4,2,IF(N386&lt;=5.5,3,4))))</f>
        <v>0</v>
      </c>
      <c r="Q386" s="147">
        <f t="shared" ca="1" si="402"/>
        <v>0</v>
      </c>
      <c r="R386" s="147" t="str">
        <f t="shared" ca="1" si="269"/>
        <v>Not tested yet</v>
      </c>
      <c r="S386" s="147">
        <f t="shared" si="270"/>
        <v>0</v>
      </c>
      <c r="T386" s="147"/>
      <c r="U386" s="147"/>
      <c r="V386" s="147"/>
      <c r="W386" s="147"/>
      <c r="X386" s="147"/>
      <c r="Y386" s="147"/>
      <c r="Z386" s="147"/>
      <c r="AA386" s="147"/>
      <c r="AB386" s="147"/>
      <c r="AC386" s="147"/>
      <c r="AD386" s="147"/>
      <c r="AE386" s="147"/>
      <c r="AF386" s="147"/>
      <c r="AG386" s="147"/>
      <c r="AH386" s="147"/>
      <c r="AI386" s="147"/>
      <c r="AJ386" s="147"/>
      <c r="AK386" s="147"/>
      <c r="AL386" s="147"/>
      <c r="AM386" s="151"/>
      <c r="AN386" s="147"/>
      <c r="AO386" s="147"/>
      <c r="AP386" s="147"/>
      <c r="AQ386" s="147"/>
      <c r="AR386" s="147"/>
      <c r="AS386" s="147"/>
      <c r="AT386" s="147"/>
      <c r="AU386" s="147"/>
      <c r="AV386" s="147"/>
      <c r="AW386" s="147"/>
      <c r="AX386" s="147"/>
      <c r="AY386" s="147"/>
      <c r="AZ386" s="147"/>
      <c r="BA386" s="147"/>
      <c r="BB386" s="147"/>
      <c r="BC386" s="147"/>
      <c r="BD386" s="147"/>
      <c r="BE386" s="147"/>
      <c r="BF386" s="147"/>
      <c r="BG386" s="147"/>
      <c r="BH386" s="147"/>
      <c r="BI386" s="147"/>
      <c r="BJ386" s="147"/>
      <c r="BK386" s="147"/>
      <c r="BL386" s="147"/>
      <c r="BM386" s="147"/>
      <c r="BN386" s="147"/>
      <c r="BO386" s="147"/>
      <c r="BP386" s="147"/>
      <c r="BQ386" s="147"/>
      <c r="BR386" s="147"/>
      <c r="BS386" s="147"/>
      <c r="BT386" s="147"/>
      <c r="BU386" s="147"/>
      <c r="BV386" s="147"/>
      <c r="BW386" s="147"/>
      <c r="BX386" s="147"/>
      <c r="BY386" s="147"/>
      <c r="BZ386" s="147"/>
      <c r="CA386" s="147"/>
      <c r="CB386" s="147"/>
      <c r="CC386" s="147"/>
      <c r="CD386" s="147"/>
      <c r="CE386" s="147"/>
      <c r="CF386" s="147"/>
      <c r="CG386" s="147"/>
      <c r="CH386" s="147"/>
      <c r="CI386" s="147"/>
      <c r="CJ386" s="147"/>
      <c r="CK386" s="147"/>
    </row>
    <row r="387" spans="1:89">
      <c r="A387" s="159" t="s">
        <v>508</v>
      </c>
      <c r="B387" s="3" t="s">
        <v>509</v>
      </c>
      <c r="C387" s="160" t="s">
        <v>84</v>
      </c>
      <c r="D387" s="160" t="s">
        <v>877</v>
      </c>
      <c r="E387" s="3" t="s">
        <v>22</v>
      </c>
      <c r="F387" s="3" t="s">
        <v>917</v>
      </c>
      <c r="G387" s="3" t="s">
        <v>937</v>
      </c>
      <c r="H387" s="156" t="str">
        <f ca="1">IFERROR(
  _xludf.MINIFS(ATTENDANCE_LOG!$F:$F,
         ATTENDANCE_LOG!$A:$A, C387,
         ATTENDANCE_LOG!$B:$B, E387),
"")</f>
        <v/>
      </c>
      <c r="I387" s="156" t="str">
        <f t="shared" ca="1" si="266"/>
        <v/>
      </c>
      <c r="J387" s="3">
        <f>IFERROR(VLOOKUP(F387, LEVEL_HELPER!$A:$B, 2, 0), "")</f>
        <v>3</v>
      </c>
      <c r="K387" s="3">
        <f>IFERROR(VLOOKUP(G387, LEVEL_HELPER!$A:$B, 2, 0), "")</f>
        <v>5.5</v>
      </c>
      <c r="L387" s="157" t="s">
        <v>930</v>
      </c>
      <c r="M387" s="157" t="s">
        <v>923</v>
      </c>
      <c r="N387" s="3" t="str">
        <f t="array" aca="1" ref="N387" ca="1">IFERROR(
  INDEX($J$2:$J$543,
    MATCH(A387&amp;TEXT(I387,"yyyy-mm-dd"),
          $A$2:$A$543&amp;TEXT($H$2:$H$543,"yyyy-mm-dd"),
          0)),
"")</f>
        <v/>
      </c>
      <c r="O387" s="147" t="str">
        <f t="shared" ca="1" si="267"/>
        <v/>
      </c>
      <c r="P387" s="147">
        <f t="shared" ref="P387:Q387" ca="1" si="403">IF(N387="",0,IF(N387&lt;=2,1,IF(N387&lt;=4,2,IF(N387&lt;=5.5,3,4))))</f>
        <v>0</v>
      </c>
      <c r="Q387" s="147">
        <f t="shared" ca="1" si="403"/>
        <v>0</v>
      </c>
      <c r="R387" s="147" t="str">
        <f t="shared" ca="1" si="269"/>
        <v>Not tested yet</v>
      </c>
      <c r="S387" s="147">
        <f t="shared" si="270"/>
        <v>0</v>
      </c>
      <c r="T387" s="147"/>
      <c r="U387" s="147"/>
      <c r="V387" s="147"/>
      <c r="W387" s="147"/>
      <c r="X387" s="147"/>
      <c r="Y387" s="147"/>
      <c r="Z387" s="147"/>
      <c r="AA387" s="147"/>
      <c r="AB387" s="147"/>
      <c r="AC387" s="147"/>
      <c r="AD387" s="147"/>
      <c r="AE387" s="147"/>
      <c r="AF387" s="147"/>
      <c r="AG387" s="147"/>
      <c r="AH387" s="147"/>
      <c r="AI387" s="147"/>
      <c r="AJ387" s="147"/>
      <c r="AK387" s="147"/>
      <c r="AL387" s="147"/>
      <c r="AM387" s="151"/>
      <c r="AN387" s="147"/>
      <c r="AO387" s="147"/>
      <c r="AP387" s="147"/>
      <c r="AQ387" s="147"/>
      <c r="AR387" s="147"/>
      <c r="AS387" s="147"/>
      <c r="AT387" s="147"/>
      <c r="AU387" s="147"/>
      <c r="AV387" s="147"/>
      <c r="AW387" s="147"/>
      <c r="AX387" s="147"/>
      <c r="AY387" s="147"/>
      <c r="AZ387" s="147"/>
      <c r="BA387" s="147"/>
      <c r="BB387" s="147"/>
      <c r="BC387" s="147"/>
      <c r="BD387" s="147"/>
      <c r="BE387" s="147"/>
      <c r="BF387" s="147"/>
      <c r="BG387" s="147"/>
      <c r="BH387" s="147"/>
      <c r="BI387" s="147"/>
      <c r="BJ387" s="147"/>
      <c r="BK387" s="147"/>
      <c r="BL387" s="147"/>
      <c r="BM387" s="147"/>
      <c r="BN387" s="147"/>
      <c r="BO387" s="147"/>
      <c r="BP387" s="147"/>
      <c r="BQ387" s="147"/>
      <c r="BR387" s="147"/>
      <c r="BS387" s="147"/>
      <c r="BT387" s="147"/>
      <c r="BU387" s="147"/>
      <c r="BV387" s="147"/>
      <c r="BW387" s="147"/>
      <c r="BX387" s="147"/>
      <c r="BY387" s="147"/>
      <c r="BZ387" s="147"/>
      <c r="CA387" s="147"/>
      <c r="CB387" s="147"/>
      <c r="CC387" s="147"/>
      <c r="CD387" s="147"/>
      <c r="CE387" s="147"/>
      <c r="CF387" s="147"/>
      <c r="CG387" s="147"/>
      <c r="CH387" s="147"/>
      <c r="CI387" s="147"/>
      <c r="CJ387" s="147"/>
      <c r="CK387" s="147"/>
    </row>
    <row r="388" spans="1:89">
      <c r="A388" s="159" t="s">
        <v>597</v>
      </c>
      <c r="B388" s="3" t="s">
        <v>598</v>
      </c>
      <c r="C388" s="160" t="s">
        <v>84</v>
      </c>
      <c r="D388" s="160" t="s">
        <v>877</v>
      </c>
      <c r="E388" s="3" t="s">
        <v>22</v>
      </c>
      <c r="F388" s="3" t="s">
        <v>917</v>
      </c>
      <c r="G388" s="3" t="s">
        <v>940</v>
      </c>
      <c r="H388" s="156" t="str">
        <f ca="1">IFERROR(
  _xludf.MINIFS(ATTENDANCE_LOG!$F:$F,
         ATTENDANCE_LOG!$A:$A, C388,
         ATTENDANCE_LOG!$B:$B, E388),
"")</f>
        <v/>
      </c>
      <c r="I388" s="156" t="str">
        <f t="shared" ca="1" si="266"/>
        <v/>
      </c>
      <c r="J388" s="3">
        <f>IFERROR(VLOOKUP(F388, LEVEL_HELPER!$A:$B, 2, 0), "")</f>
        <v>3</v>
      </c>
      <c r="K388" s="3">
        <f>IFERROR(VLOOKUP(G388, LEVEL_HELPER!$A:$B, 2, 0), "")</f>
        <v>5</v>
      </c>
      <c r="L388" s="157" t="s">
        <v>930</v>
      </c>
      <c r="M388" s="157" t="s">
        <v>923</v>
      </c>
      <c r="N388" s="3" t="str">
        <f t="array" aca="1" ref="N388" ca="1">IFERROR(
  INDEX($J$2:$J$543,
    MATCH(A388&amp;TEXT(I388,"yyyy-mm-dd"),
          $A$2:$A$543&amp;TEXT($H$2:$H$543,"yyyy-mm-dd"),
          0)),
"")</f>
        <v/>
      </c>
      <c r="O388" s="147" t="str">
        <f t="shared" ca="1" si="267"/>
        <v/>
      </c>
      <c r="P388" s="147">
        <f t="shared" ref="P388:Q388" ca="1" si="404">IF(N388="",0,IF(N388&lt;=2,1,IF(N388&lt;=4,2,IF(N388&lt;=5.5,3,4))))</f>
        <v>0</v>
      </c>
      <c r="Q388" s="147">
        <f t="shared" ca="1" si="404"/>
        <v>0</v>
      </c>
      <c r="R388" s="147" t="str">
        <f t="shared" ca="1" si="269"/>
        <v>Not tested yet</v>
      </c>
      <c r="S388" s="147">
        <f t="shared" si="270"/>
        <v>0</v>
      </c>
      <c r="T388" s="147"/>
      <c r="U388" s="147"/>
      <c r="V388" s="147"/>
      <c r="W388" s="147"/>
      <c r="X388" s="147"/>
      <c r="Y388" s="147"/>
      <c r="Z388" s="147"/>
      <c r="AA388" s="147"/>
      <c r="AB388" s="147"/>
      <c r="AC388" s="147"/>
      <c r="AD388" s="147"/>
      <c r="AE388" s="147"/>
      <c r="AF388" s="147"/>
      <c r="AG388" s="147"/>
      <c r="AH388" s="147"/>
      <c r="AI388" s="147"/>
      <c r="AJ388" s="147"/>
      <c r="AK388" s="147"/>
      <c r="AL388" s="147"/>
      <c r="AM388" s="151"/>
      <c r="AN388" s="147"/>
      <c r="AO388" s="147"/>
      <c r="AP388" s="147"/>
      <c r="AQ388" s="147"/>
      <c r="AR388" s="147"/>
      <c r="AS388" s="147"/>
      <c r="AT388" s="147"/>
      <c r="AU388" s="147"/>
      <c r="AV388" s="147"/>
      <c r="AW388" s="147"/>
      <c r="AX388" s="147"/>
      <c r="AY388" s="147"/>
      <c r="AZ388" s="147"/>
      <c r="BA388" s="147"/>
      <c r="BB388" s="147"/>
      <c r="BC388" s="147"/>
      <c r="BD388" s="147"/>
      <c r="BE388" s="147"/>
      <c r="BF388" s="147"/>
      <c r="BG388" s="147"/>
      <c r="BH388" s="147"/>
      <c r="BI388" s="147"/>
      <c r="BJ388" s="147"/>
      <c r="BK388" s="147"/>
      <c r="BL388" s="147"/>
      <c r="BM388" s="147"/>
      <c r="BN388" s="147"/>
      <c r="BO388" s="147"/>
      <c r="BP388" s="147"/>
      <c r="BQ388" s="147"/>
      <c r="BR388" s="147"/>
      <c r="BS388" s="147"/>
      <c r="BT388" s="147"/>
      <c r="BU388" s="147"/>
      <c r="BV388" s="147"/>
      <c r="BW388" s="147"/>
      <c r="BX388" s="147"/>
      <c r="BY388" s="147"/>
      <c r="BZ388" s="147"/>
      <c r="CA388" s="147"/>
      <c r="CB388" s="147"/>
      <c r="CC388" s="147"/>
      <c r="CD388" s="147"/>
      <c r="CE388" s="147"/>
      <c r="CF388" s="147"/>
      <c r="CG388" s="147"/>
      <c r="CH388" s="147"/>
      <c r="CI388" s="147"/>
      <c r="CJ388" s="147"/>
      <c r="CK388" s="147"/>
    </row>
    <row r="389" spans="1:89">
      <c r="A389" s="159" t="s">
        <v>623</v>
      </c>
      <c r="B389" s="3" t="s">
        <v>624</v>
      </c>
      <c r="C389" s="160" t="s">
        <v>84</v>
      </c>
      <c r="D389" s="160" t="s">
        <v>877</v>
      </c>
      <c r="E389" s="3" t="s">
        <v>22</v>
      </c>
      <c r="F389" s="3" t="s">
        <v>931</v>
      </c>
      <c r="G389" s="3"/>
      <c r="H389" s="156" t="str">
        <f ca="1">IFERROR(
  _xludf.MINIFS(ATTENDANCE_LOG!$F:$F,
         ATTENDANCE_LOG!$A:$A, C389,
         ATTENDANCE_LOG!$B:$B, E389),
"")</f>
        <v/>
      </c>
      <c r="I389" s="156" t="str">
        <f t="shared" ca="1" si="266"/>
        <v/>
      </c>
      <c r="J389" s="3">
        <f>IFERROR(VLOOKUP(F389, LEVEL_HELPER!$A:$B, 2, 0), "")</f>
        <v>4.5</v>
      </c>
      <c r="K389" s="3" t="str">
        <f>IFERROR(VLOOKUP(G389, LEVEL_HELPER!$A:$B, 2, 0), "")</f>
        <v/>
      </c>
      <c r="L389" s="157" t="s">
        <v>930</v>
      </c>
      <c r="M389" s="157" t="s">
        <v>923</v>
      </c>
      <c r="N389" s="3" t="str">
        <f t="array" aca="1" ref="N389" ca="1">IFERROR(
  INDEX($J$2:$J$543,
    MATCH(A389&amp;TEXT(I389,"yyyy-mm-dd"),
          $A$2:$A$543&amp;TEXT($H$2:$H$543,"yyyy-mm-dd"),
          0)),
"")</f>
        <v/>
      </c>
      <c r="O389" s="147" t="str">
        <f t="shared" ca="1" si="267"/>
        <v/>
      </c>
      <c r="P389" s="147">
        <f t="shared" ref="P389:Q389" ca="1" si="405">IF(N389="",0,IF(N389&lt;=2,1,IF(N389&lt;=4,2,IF(N389&lt;=5.5,3,4))))</f>
        <v>0</v>
      </c>
      <c r="Q389" s="147">
        <f t="shared" ca="1" si="405"/>
        <v>0</v>
      </c>
      <c r="R389" s="147" t="str">
        <f t="shared" ca="1" si="269"/>
        <v>Not tested yet</v>
      </c>
      <c r="S389" s="147">
        <f t="shared" si="270"/>
        <v>0</v>
      </c>
      <c r="T389" s="147"/>
      <c r="U389" s="147"/>
      <c r="V389" s="147"/>
      <c r="W389" s="147"/>
      <c r="X389" s="147"/>
      <c r="Y389" s="147"/>
      <c r="Z389" s="147"/>
      <c r="AA389" s="147"/>
      <c r="AB389" s="147"/>
      <c r="AC389" s="147"/>
      <c r="AD389" s="147"/>
      <c r="AE389" s="147"/>
      <c r="AF389" s="147"/>
      <c r="AG389" s="147"/>
      <c r="AH389" s="147"/>
      <c r="AI389" s="147"/>
      <c r="AJ389" s="147"/>
      <c r="AK389" s="147"/>
      <c r="AL389" s="147"/>
      <c r="AM389" s="151"/>
      <c r="AN389" s="147"/>
      <c r="AO389" s="147"/>
      <c r="AP389" s="147"/>
      <c r="AQ389" s="147"/>
      <c r="AR389" s="147"/>
      <c r="AS389" s="147"/>
      <c r="AT389" s="147"/>
      <c r="AU389" s="147"/>
      <c r="AV389" s="147"/>
      <c r="AW389" s="147"/>
      <c r="AX389" s="147"/>
      <c r="AY389" s="147"/>
      <c r="AZ389" s="147"/>
      <c r="BA389" s="147"/>
      <c r="BB389" s="147"/>
      <c r="BC389" s="147"/>
      <c r="BD389" s="147"/>
      <c r="BE389" s="147"/>
      <c r="BF389" s="147"/>
      <c r="BG389" s="147"/>
      <c r="BH389" s="147"/>
      <c r="BI389" s="147"/>
      <c r="BJ389" s="147"/>
      <c r="BK389" s="147"/>
      <c r="BL389" s="147"/>
      <c r="BM389" s="147"/>
      <c r="BN389" s="147"/>
      <c r="BO389" s="147"/>
      <c r="BP389" s="147"/>
      <c r="BQ389" s="147"/>
      <c r="BR389" s="147"/>
      <c r="BS389" s="147"/>
      <c r="BT389" s="147"/>
      <c r="BU389" s="147"/>
      <c r="BV389" s="147"/>
      <c r="BW389" s="147"/>
      <c r="BX389" s="147"/>
      <c r="BY389" s="147"/>
      <c r="BZ389" s="147"/>
      <c r="CA389" s="147"/>
      <c r="CB389" s="147"/>
      <c r="CC389" s="147"/>
      <c r="CD389" s="147"/>
      <c r="CE389" s="147"/>
      <c r="CF389" s="147"/>
      <c r="CG389" s="147"/>
      <c r="CH389" s="147"/>
      <c r="CI389" s="147"/>
      <c r="CJ389" s="147"/>
      <c r="CK389" s="147"/>
    </row>
    <row r="390" spans="1:89">
      <c r="A390" s="153" t="s">
        <v>397</v>
      </c>
      <c r="B390" s="154" t="s">
        <v>398</v>
      </c>
      <c r="C390" s="155" t="s">
        <v>85</v>
      </c>
      <c r="D390" s="155" t="s">
        <v>878</v>
      </c>
      <c r="E390" s="154" t="s">
        <v>24</v>
      </c>
      <c r="F390" s="173"/>
      <c r="G390" s="173"/>
      <c r="H390" s="156" t="str">
        <f ca="1">IFERROR(
  _xludf.MINIFS(ATTENDANCE_LOG!$F:$F,
         ATTENDANCE_LOG!$A:$A, C390,
         ATTENDANCE_LOG!$B:$B, E390),
"")</f>
        <v/>
      </c>
      <c r="I390" s="156" t="str">
        <f t="shared" ca="1" si="266"/>
        <v/>
      </c>
      <c r="J390" s="173" t="str">
        <f>IFERROR(VLOOKUP(F390, LEVEL_HELPER!$A:$B, 2, 0), "")</f>
        <v/>
      </c>
      <c r="K390" s="173" t="str">
        <f>IFERROR(VLOOKUP(G390, LEVEL_HELPER!$A:$B, 2, 0), "")</f>
        <v/>
      </c>
      <c r="L390" s="174" t="s">
        <v>956</v>
      </c>
      <c r="M390" s="174" t="s">
        <v>923</v>
      </c>
      <c r="N390" s="3" t="str">
        <f t="array" aca="1" ref="N390" ca="1">IFERROR(
  INDEX($J$2:$J$543,
    MATCH(A390&amp;TEXT(I390,"yyyy-mm-dd"),
          $A$2:$A$543&amp;TEXT($H$2:$H$543,"yyyy-mm-dd"),
          0)),
"")</f>
        <v/>
      </c>
      <c r="O390" s="175" t="str">
        <f t="shared" ca="1" si="267"/>
        <v/>
      </c>
      <c r="P390" s="147">
        <f t="shared" ref="P390:Q390" ca="1" si="406">IF(N390="",0,IF(N390&lt;=2,1,IF(N390&lt;=4,2,IF(N390&lt;=5.5,3,4))))</f>
        <v>0</v>
      </c>
      <c r="Q390" s="147">
        <f t="shared" ca="1" si="406"/>
        <v>0</v>
      </c>
      <c r="R390" s="147" t="str">
        <f t="shared" ca="1" si="269"/>
        <v>Not tested yet</v>
      </c>
      <c r="S390" s="147">
        <f t="shared" si="270"/>
        <v>1</v>
      </c>
      <c r="T390" s="147"/>
      <c r="U390" s="147"/>
      <c r="V390" s="147"/>
      <c r="W390" s="147"/>
      <c r="X390" s="147"/>
      <c r="Y390" s="147"/>
      <c r="Z390" s="147"/>
      <c r="AA390" s="147"/>
      <c r="AB390" s="147"/>
      <c r="AC390" s="147"/>
      <c r="AD390" s="147"/>
      <c r="AE390" s="147"/>
      <c r="AF390" s="147"/>
      <c r="AG390" s="147"/>
      <c r="AH390" s="147"/>
      <c r="AI390" s="147"/>
      <c r="AJ390" s="147"/>
      <c r="AK390" s="147"/>
      <c r="AL390" s="147"/>
      <c r="AM390" s="151"/>
      <c r="AN390" s="147"/>
      <c r="AO390" s="147"/>
      <c r="AP390" s="147"/>
      <c r="AQ390" s="147"/>
      <c r="AR390" s="147"/>
      <c r="AS390" s="147"/>
      <c r="AT390" s="147"/>
      <c r="AU390" s="147"/>
      <c r="AV390" s="147"/>
      <c r="AW390" s="147"/>
      <c r="AX390" s="147"/>
      <c r="AY390" s="147"/>
      <c r="AZ390" s="147"/>
      <c r="BA390" s="147"/>
      <c r="BB390" s="147"/>
      <c r="BC390" s="147"/>
      <c r="BD390" s="147"/>
      <c r="BE390" s="147"/>
      <c r="BF390" s="147"/>
      <c r="BG390" s="147"/>
      <c r="BH390" s="147"/>
      <c r="BI390" s="147"/>
      <c r="BJ390" s="147"/>
      <c r="BK390" s="147"/>
      <c r="BL390" s="147"/>
      <c r="BM390" s="147"/>
      <c r="BN390" s="147"/>
      <c r="BO390" s="147"/>
      <c r="BP390" s="147"/>
      <c r="BQ390" s="147"/>
      <c r="BR390" s="147"/>
      <c r="BS390" s="147"/>
      <c r="BT390" s="147"/>
      <c r="BU390" s="147"/>
      <c r="BV390" s="147"/>
      <c r="BW390" s="147"/>
      <c r="BX390" s="147"/>
      <c r="BY390" s="147"/>
      <c r="BZ390" s="147"/>
      <c r="CA390" s="147"/>
      <c r="CB390" s="147"/>
      <c r="CC390" s="147"/>
      <c r="CD390" s="147"/>
      <c r="CE390" s="147"/>
      <c r="CF390" s="147"/>
      <c r="CG390" s="147"/>
      <c r="CH390" s="147"/>
      <c r="CI390" s="147"/>
      <c r="CJ390" s="147"/>
      <c r="CK390" s="147"/>
    </row>
    <row r="391" spans="1:89">
      <c r="A391" s="159" t="s">
        <v>136</v>
      </c>
      <c r="B391" s="3" t="s">
        <v>137</v>
      </c>
      <c r="C391" s="160" t="s">
        <v>85</v>
      </c>
      <c r="D391" s="160" t="s">
        <v>878</v>
      </c>
      <c r="E391" s="3" t="s">
        <v>24</v>
      </c>
      <c r="F391" s="3"/>
      <c r="G391" s="3"/>
      <c r="H391" s="156" t="str">
        <f ca="1">IFERROR(
  _xludf.MINIFS(ATTENDANCE_LOG!$F:$F,
         ATTENDANCE_LOG!$A:$A, C391,
         ATTENDANCE_LOG!$B:$B, E391),
"")</f>
        <v/>
      </c>
      <c r="I391" s="156" t="str">
        <f t="shared" ca="1" si="266"/>
        <v/>
      </c>
      <c r="J391" s="3" t="str">
        <f>IFERROR(VLOOKUP(F391, LEVEL_HELPER!$A:$B, 2, 0), "")</f>
        <v/>
      </c>
      <c r="K391" s="3" t="str">
        <f>IFERROR(VLOOKUP(G391, LEVEL_HELPER!$A:$B, 2, 0), "")</f>
        <v/>
      </c>
      <c r="L391" s="157" t="s">
        <v>942</v>
      </c>
      <c r="M391" s="157" t="s">
        <v>923</v>
      </c>
      <c r="N391" s="3" t="str">
        <f t="array" aca="1" ref="N391" ca="1">IFERROR(
  INDEX($J$2:$J$543,
    MATCH(A391&amp;TEXT(I391,"yyyy-mm-dd"),
          $A$2:$A$543&amp;TEXT($H$2:$H$543,"yyyy-mm-dd"),
          0)),
"")</f>
        <v/>
      </c>
      <c r="O391" s="147" t="str">
        <f t="shared" ca="1" si="267"/>
        <v/>
      </c>
      <c r="P391" s="147">
        <f t="shared" ref="P391:Q391" ca="1" si="407">IF(N391="",0,IF(N391&lt;=2,1,IF(N391&lt;=4,2,IF(N391&lt;=5.5,3,4))))</f>
        <v>0</v>
      </c>
      <c r="Q391" s="147">
        <f t="shared" ca="1" si="407"/>
        <v>0</v>
      </c>
      <c r="R391" s="147" t="str">
        <f t="shared" ca="1" si="269"/>
        <v>Not tested yet</v>
      </c>
      <c r="S391" s="147">
        <f t="shared" si="270"/>
        <v>1</v>
      </c>
      <c r="T391" s="147"/>
      <c r="U391" s="147"/>
      <c r="V391" s="147"/>
      <c r="W391" s="147"/>
      <c r="X391" s="147"/>
      <c r="Y391" s="147"/>
      <c r="Z391" s="147"/>
      <c r="AA391" s="147"/>
      <c r="AB391" s="147"/>
      <c r="AC391" s="147"/>
      <c r="AD391" s="147"/>
      <c r="AE391" s="147"/>
      <c r="AF391" s="147"/>
      <c r="AG391" s="147"/>
      <c r="AH391" s="147"/>
      <c r="AI391" s="147"/>
      <c r="AJ391" s="147"/>
      <c r="AK391" s="147"/>
      <c r="AL391" s="147"/>
      <c r="AM391" s="151"/>
      <c r="AN391" s="147"/>
      <c r="AO391" s="147"/>
      <c r="AP391" s="147"/>
      <c r="AQ391" s="147"/>
      <c r="AR391" s="147"/>
      <c r="AS391" s="147"/>
      <c r="AT391" s="147"/>
      <c r="AU391" s="147"/>
      <c r="AV391" s="147"/>
      <c r="AW391" s="147"/>
      <c r="AX391" s="147"/>
      <c r="AY391" s="147"/>
      <c r="AZ391" s="147"/>
      <c r="BA391" s="147"/>
      <c r="BB391" s="147"/>
      <c r="BC391" s="147"/>
      <c r="BD391" s="147"/>
      <c r="BE391" s="147"/>
      <c r="BF391" s="147"/>
      <c r="BG391" s="147"/>
      <c r="BH391" s="147"/>
      <c r="BI391" s="147"/>
      <c r="BJ391" s="147"/>
      <c r="BK391" s="147"/>
      <c r="BL391" s="147"/>
      <c r="BM391" s="147"/>
      <c r="BN391" s="147"/>
      <c r="BO391" s="147"/>
      <c r="BP391" s="147"/>
      <c r="BQ391" s="147"/>
      <c r="BR391" s="147"/>
      <c r="BS391" s="147"/>
      <c r="BT391" s="147"/>
      <c r="BU391" s="147"/>
      <c r="BV391" s="147"/>
      <c r="BW391" s="147"/>
      <c r="BX391" s="147"/>
      <c r="BY391" s="147"/>
      <c r="BZ391" s="147"/>
      <c r="CA391" s="147"/>
      <c r="CB391" s="147"/>
      <c r="CC391" s="147"/>
      <c r="CD391" s="147"/>
      <c r="CE391" s="147"/>
      <c r="CF391" s="147"/>
      <c r="CG391" s="147"/>
      <c r="CH391" s="147"/>
      <c r="CI391" s="147"/>
      <c r="CJ391" s="147"/>
      <c r="CK391" s="147"/>
    </row>
    <row r="392" spans="1:89">
      <c r="A392" s="159" t="s">
        <v>208</v>
      </c>
      <c r="B392" s="3" t="s">
        <v>209</v>
      </c>
      <c r="C392" s="160" t="s">
        <v>85</v>
      </c>
      <c r="D392" s="160" t="s">
        <v>878</v>
      </c>
      <c r="E392" s="3" t="s">
        <v>24</v>
      </c>
      <c r="F392" s="3"/>
      <c r="G392" s="3"/>
      <c r="H392" s="156" t="str">
        <f ca="1">IFERROR(
  _xludf.MINIFS(ATTENDANCE_LOG!$F:$F,
         ATTENDANCE_LOG!$A:$A, C392,
         ATTENDANCE_LOG!$B:$B, E392),
"")</f>
        <v/>
      </c>
      <c r="I392" s="156" t="str">
        <f t="shared" ca="1" si="266"/>
        <v/>
      </c>
      <c r="J392" s="3" t="str">
        <f>IFERROR(VLOOKUP(F392, LEVEL_HELPER!$A:$B, 2, 0), "")</f>
        <v/>
      </c>
      <c r="K392" s="3" t="str">
        <f>IFERROR(VLOOKUP(G392, LEVEL_HELPER!$A:$B, 2, 0), "")</f>
        <v/>
      </c>
      <c r="L392" s="157" t="s">
        <v>942</v>
      </c>
      <c r="M392" s="157" t="s">
        <v>923</v>
      </c>
      <c r="N392" s="3">
        <f t="array" aca="1" ref="N392" ca="1">IFERROR(
  INDEX($J$2:$J$543,
    MATCH(A392&amp;TEXT(I392,"yyyy-mm-dd"),
          $A$2:$A$543&amp;TEXT($H$2:$H$543,"yyyy-mm-dd"),
          0)),
"")</f>
        <v>1</v>
      </c>
      <c r="O392" s="147" t="str">
        <f t="shared" ca="1" si="267"/>
        <v/>
      </c>
      <c r="P392" s="147">
        <f t="shared" ref="P392:Q392" ca="1" si="408">IF(N392="",0,IF(N392&lt;=2,1,IF(N392&lt;=4,2,IF(N392&lt;=5.5,3,4))))</f>
        <v>1</v>
      </c>
      <c r="Q392" s="147">
        <f t="shared" ca="1" si="408"/>
        <v>0</v>
      </c>
      <c r="R392" s="147" t="str">
        <f t="shared" ca="1" si="269"/>
        <v>Not tested yet</v>
      </c>
      <c r="S392" s="147">
        <f t="shared" si="270"/>
        <v>0</v>
      </c>
      <c r="T392" s="147"/>
      <c r="U392" s="147"/>
      <c r="V392" s="147"/>
      <c r="W392" s="147"/>
      <c r="X392" s="147"/>
      <c r="Y392" s="147"/>
      <c r="Z392" s="147"/>
      <c r="AA392" s="147"/>
      <c r="AB392" s="147"/>
      <c r="AC392" s="147"/>
      <c r="AD392" s="147"/>
      <c r="AE392" s="147"/>
      <c r="AF392" s="147"/>
      <c r="AG392" s="147"/>
      <c r="AH392" s="147"/>
      <c r="AI392" s="147"/>
      <c r="AJ392" s="147"/>
      <c r="AK392" s="147"/>
      <c r="AL392" s="147"/>
      <c r="AM392" s="151"/>
      <c r="AN392" s="147"/>
      <c r="AO392" s="147"/>
      <c r="AP392" s="147"/>
      <c r="AQ392" s="147"/>
      <c r="AR392" s="147"/>
      <c r="AS392" s="147"/>
      <c r="AT392" s="147"/>
      <c r="AU392" s="147"/>
      <c r="AV392" s="147"/>
      <c r="AW392" s="147"/>
      <c r="AX392" s="147"/>
      <c r="AY392" s="147"/>
      <c r="AZ392" s="147"/>
      <c r="BA392" s="147"/>
      <c r="BB392" s="147"/>
      <c r="BC392" s="147"/>
      <c r="BD392" s="147"/>
      <c r="BE392" s="147"/>
      <c r="BF392" s="147"/>
      <c r="BG392" s="147"/>
      <c r="BH392" s="147"/>
      <c r="BI392" s="147"/>
      <c r="BJ392" s="147"/>
      <c r="BK392" s="147"/>
      <c r="BL392" s="147"/>
      <c r="BM392" s="147"/>
      <c r="BN392" s="147"/>
      <c r="BO392" s="147"/>
      <c r="BP392" s="147"/>
      <c r="BQ392" s="147"/>
      <c r="BR392" s="147"/>
      <c r="BS392" s="147"/>
      <c r="BT392" s="147"/>
      <c r="BU392" s="147"/>
      <c r="BV392" s="147"/>
      <c r="BW392" s="147"/>
      <c r="BX392" s="147"/>
      <c r="BY392" s="147"/>
      <c r="BZ392" s="147"/>
      <c r="CA392" s="147"/>
      <c r="CB392" s="147"/>
      <c r="CC392" s="147"/>
      <c r="CD392" s="147"/>
      <c r="CE392" s="147"/>
      <c r="CF392" s="147"/>
      <c r="CG392" s="147"/>
      <c r="CH392" s="147"/>
      <c r="CI392" s="147"/>
      <c r="CJ392" s="147"/>
      <c r="CK392" s="147"/>
    </row>
    <row r="393" spans="1:89">
      <c r="A393" s="159" t="s">
        <v>300</v>
      </c>
      <c r="B393" s="3" t="s">
        <v>301</v>
      </c>
      <c r="C393" s="160" t="s">
        <v>85</v>
      </c>
      <c r="D393" s="160" t="s">
        <v>878</v>
      </c>
      <c r="E393" s="3" t="s">
        <v>24</v>
      </c>
      <c r="F393" s="3"/>
      <c r="G393" s="3"/>
      <c r="H393" s="156" t="str">
        <f ca="1">IFERROR(
  _xludf.MINIFS(ATTENDANCE_LOG!$F:$F,
         ATTENDANCE_LOG!$A:$A, C393,
         ATTENDANCE_LOG!$B:$B, E393),
"")</f>
        <v/>
      </c>
      <c r="I393" s="156" t="str">
        <f t="shared" ca="1" si="266"/>
        <v/>
      </c>
      <c r="J393" s="3" t="str">
        <f>IFERROR(VLOOKUP(F393, LEVEL_HELPER!$A:$B, 2, 0), "")</f>
        <v/>
      </c>
      <c r="K393" s="3" t="str">
        <f>IFERROR(VLOOKUP(G393, LEVEL_HELPER!$A:$B, 2, 0), "")</f>
        <v/>
      </c>
      <c r="L393" s="157" t="s">
        <v>942</v>
      </c>
      <c r="M393" s="157" t="s">
        <v>923</v>
      </c>
      <c r="N393" s="3">
        <f t="array" aca="1" ref="N393" ca="1">IFERROR(
  INDEX($J$2:$J$543,
    MATCH(A393&amp;TEXT(I393,"yyyy-mm-dd"),
          $A$2:$A$543&amp;TEXT($H$2:$H$543,"yyyy-mm-dd"),
          0)),
"")</f>
        <v>1</v>
      </c>
      <c r="O393" s="147" t="str">
        <f t="shared" ca="1" si="267"/>
        <v/>
      </c>
      <c r="P393" s="147">
        <f t="shared" ref="P393:Q393" ca="1" si="409">IF(N393="",0,IF(N393&lt;=2,1,IF(N393&lt;=4,2,IF(N393&lt;=5.5,3,4))))</f>
        <v>1</v>
      </c>
      <c r="Q393" s="147">
        <f t="shared" ca="1" si="409"/>
        <v>0</v>
      </c>
      <c r="R393" s="147" t="str">
        <f t="shared" ca="1" si="269"/>
        <v>Not tested yet</v>
      </c>
      <c r="S393" s="147">
        <f t="shared" si="270"/>
        <v>0</v>
      </c>
      <c r="T393" s="147"/>
      <c r="U393" s="147"/>
      <c r="V393" s="147"/>
      <c r="W393" s="147"/>
      <c r="X393" s="147"/>
      <c r="Y393" s="147"/>
      <c r="Z393" s="147"/>
      <c r="AA393" s="147"/>
      <c r="AB393" s="147"/>
      <c r="AC393" s="147"/>
      <c r="AD393" s="147"/>
      <c r="AE393" s="147"/>
      <c r="AF393" s="147"/>
      <c r="AG393" s="147"/>
      <c r="AH393" s="147"/>
      <c r="AI393" s="147"/>
      <c r="AJ393" s="147"/>
      <c r="AK393" s="147"/>
      <c r="AL393" s="147"/>
      <c r="AM393" s="151"/>
      <c r="AN393" s="147"/>
      <c r="AO393" s="147"/>
      <c r="AP393" s="147"/>
      <c r="AQ393" s="147"/>
      <c r="AR393" s="147"/>
      <c r="AS393" s="147"/>
      <c r="AT393" s="147"/>
      <c r="AU393" s="147"/>
      <c r="AV393" s="147"/>
      <c r="AW393" s="147"/>
      <c r="AX393" s="147"/>
      <c r="AY393" s="147"/>
      <c r="AZ393" s="147"/>
      <c r="BA393" s="147"/>
      <c r="BB393" s="147"/>
      <c r="BC393" s="147"/>
      <c r="BD393" s="147"/>
      <c r="BE393" s="147"/>
      <c r="BF393" s="147"/>
      <c r="BG393" s="147"/>
      <c r="BH393" s="147"/>
      <c r="BI393" s="147"/>
      <c r="BJ393" s="147"/>
      <c r="BK393" s="147"/>
      <c r="BL393" s="147"/>
      <c r="BM393" s="147"/>
      <c r="BN393" s="147"/>
      <c r="BO393" s="147"/>
      <c r="BP393" s="147"/>
      <c r="BQ393" s="147"/>
      <c r="BR393" s="147"/>
      <c r="BS393" s="147"/>
      <c r="BT393" s="147"/>
      <c r="BU393" s="147"/>
      <c r="BV393" s="147"/>
      <c r="BW393" s="147"/>
      <c r="BX393" s="147"/>
      <c r="BY393" s="147"/>
      <c r="BZ393" s="147"/>
      <c r="CA393" s="147"/>
      <c r="CB393" s="147"/>
      <c r="CC393" s="147"/>
      <c r="CD393" s="147"/>
      <c r="CE393" s="147"/>
      <c r="CF393" s="147"/>
      <c r="CG393" s="147"/>
      <c r="CH393" s="147"/>
      <c r="CI393" s="147"/>
      <c r="CJ393" s="147"/>
      <c r="CK393" s="147"/>
    </row>
    <row r="394" spans="1:89">
      <c r="A394" s="159" t="s">
        <v>309</v>
      </c>
      <c r="B394" s="3" t="s">
        <v>310</v>
      </c>
      <c r="C394" s="160" t="s">
        <v>85</v>
      </c>
      <c r="D394" s="160" t="s">
        <v>878</v>
      </c>
      <c r="E394" s="3" t="s">
        <v>24</v>
      </c>
      <c r="F394" s="3"/>
      <c r="G394" s="3"/>
      <c r="H394" s="156" t="str">
        <f ca="1">IFERROR(
  _xludf.MINIFS(ATTENDANCE_LOG!$F:$F,
         ATTENDANCE_LOG!$A:$A, C394,
         ATTENDANCE_LOG!$B:$B, E394),
"")</f>
        <v/>
      </c>
      <c r="I394" s="156" t="str">
        <f t="shared" ca="1" si="266"/>
        <v/>
      </c>
      <c r="J394" s="3" t="str">
        <f>IFERROR(VLOOKUP(F394, LEVEL_HELPER!$A:$B, 2, 0), "")</f>
        <v/>
      </c>
      <c r="K394" s="3" t="str">
        <f>IFERROR(VLOOKUP(G394, LEVEL_HELPER!$A:$B, 2, 0), "")</f>
        <v/>
      </c>
      <c r="L394" s="157" t="s">
        <v>942</v>
      </c>
      <c r="M394" s="157" t="s">
        <v>923</v>
      </c>
      <c r="N394" s="3">
        <f t="array" aca="1" ref="N394" ca="1">IFERROR(
  INDEX($J$2:$J$543,
    MATCH(A394&amp;TEXT(I394,"yyyy-mm-dd"),
          $A$2:$A$543&amp;TEXT($H$2:$H$543,"yyyy-mm-dd"),
          0)),
"")</f>
        <v>1</v>
      </c>
      <c r="O394" s="147" t="str">
        <f t="shared" ca="1" si="267"/>
        <v/>
      </c>
      <c r="P394" s="147">
        <f t="shared" ref="P394:Q394" ca="1" si="410">IF(N394="",0,IF(N394&lt;=2,1,IF(N394&lt;=4,2,IF(N394&lt;=5.5,3,4))))</f>
        <v>1</v>
      </c>
      <c r="Q394" s="147">
        <f t="shared" ca="1" si="410"/>
        <v>0</v>
      </c>
      <c r="R394" s="147" t="str">
        <f t="shared" ca="1" si="269"/>
        <v>Not tested yet</v>
      </c>
      <c r="S394" s="147">
        <f t="shared" si="270"/>
        <v>0</v>
      </c>
      <c r="T394" s="147"/>
      <c r="U394" s="147"/>
      <c r="V394" s="147"/>
      <c r="W394" s="147"/>
      <c r="X394" s="147"/>
      <c r="Y394" s="147"/>
      <c r="Z394" s="147"/>
      <c r="AA394" s="147"/>
      <c r="AB394" s="147"/>
      <c r="AC394" s="147"/>
      <c r="AD394" s="147"/>
      <c r="AE394" s="147"/>
      <c r="AF394" s="147"/>
      <c r="AG394" s="147"/>
      <c r="AH394" s="147"/>
      <c r="AI394" s="147"/>
      <c r="AJ394" s="147"/>
      <c r="AK394" s="147"/>
      <c r="AL394" s="147"/>
      <c r="AM394" s="151"/>
      <c r="AN394" s="147"/>
      <c r="AO394" s="147"/>
      <c r="AP394" s="147"/>
      <c r="AQ394" s="147"/>
      <c r="AR394" s="147"/>
      <c r="AS394" s="147"/>
      <c r="AT394" s="147"/>
      <c r="AU394" s="147"/>
      <c r="AV394" s="147"/>
      <c r="AW394" s="147"/>
      <c r="AX394" s="147"/>
      <c r="AY394" s="147"/>
      <c r="AZ394" s="147"/>
      <c r="BA394" s="147"/>
      <c r="BB394" s="147"/>
      <c r="BC394" s="147"/>
      <c r="BD394" s="147"/>
      <c r="BE394" s="147"/>
      <c r="BF394" s="147"/>
      <c r="BG394" s="147"/>
      <c r="BH394" s="147"/>
      <c r="BI394" s="147"/>
      <c r="BJ394" s="147"/>
      <c r="BK394" s="147"/>
      <c r="BL394" s="147"/>
      <c r="BM394" s="147"/>
      <c r="BN394" s="147"/>
      <c r="BO394" s="147"/>
      <c r="BP394" s="147"/>
      <c r="BQ394" s="147"/>
      <c r="BR394" s="147"/>
      <c r="BS394" s="147"/>
      <c r="BT394" s="147"/>
      <c r="BU394" s="147"/>
      <c r="BV394" s="147"/>
      <c r="BW394" s="147"/>
      <c r="BX394" s="147"/>
      <c r="BY394" s="147"/>
      <c r="BZ394" s="147"/>
      <c r="CA394" s="147"/>
      <c r="CB394" s="147"/>
      <c r="CC394" s="147"/>
      <c r="CD394" s="147"/>
      <c r="CE394" s="147"/>
      <c r="CF394" s="147"/>
      <c r="CG394" s="147"/>
      <c r="CH394" s="147"/>
      <c r="CI394" s="147"/>
      <c r="CJ394" s="147"/>
      <c r="CK394" s="147"/>
    </row>
    <row r="395" spans="1:89">
      <c r="A395" s="159" t="s">
        <v>530</v>
      </c>
      <c r="B395" s="3" t="s">
        <v>531</v>
      </c>
      <c r="C395" s="160" t="s">
        <v>85</v>
      </c>
      <c r="D395" s="160" t="s">
        <v>878</v>
      </c>
      <c r="E395" s="3" t="s">
        <v>24</v>
      </c>
      <c r="F395" s="3"/>
      <c r="G395" s="3"/>
      <c r="H395" s="156" t="str">
        <f ca="1">IFERROR(
  _xludf.MINIFS(ATTENDANCE_LOG!$F:$F,
         ATTENDANCE_LOG!$A:$A, C395,
         ATTENDANCE_LOG!$B:$B, E395),
"")</f>
        <v/>
      </c>
      <c r="I395" s="156" t="str">
        <f t="shared" ca="1" si="266"/>
        <v/>
      </c>
      <c r="J395" s="3" t="str">
        <f>IFERROR(VLOOKUP(F395, LEVEL_HELPER!$A:$B, 2, 0), "")</f>
        <v/>
      </c>
      <c r="K395" s="3" t="str">
        <f>IFERROR(VLOOKUP(G395, LEVEL_HELPER!$A:$B, 2, 0), "")</f>
        <v/>
      </c>
      <c r="L395" s="157" t="s">
        <v>942</v>
      </c>
      <c r="M395" s="157" t="s">
        <v>923</v>
      </c>
      <c r="N395" s="3">
        <f t="array" aca="1" ref="N395" ca="1">IFERROR(
  INDEX($J$2:$J$543,
    MATCH(A395&amp;TEXT(I395,"yyyy-mm-dd"),
          $A$2:$A$543&amp;TEXT($H$2:$H$543,"yyyy-mm-dd"),
          0)),
"")</f>
        <v>1</v>
      </c>
      <c r="O395" s="147" t="str">
        <f t="shared" ca="1" si="267"/>
        <v/>
      </c>
      <c r="P395" s="147">
        <f t="shared" ref="P395:Q395" ca="1" si="411">IF(N395="",0,IF(N395&lt;=2,1,IF(N395&lt;=4,2,IF(N395&lt;=5.5,3,4))))</f>
        <v>1</v>
      </c>
      <c r="Q395" s="147">
        <f t="shared" ca="1" si="411"/>
        <v>0</v>
      </c>
      <c r="R395" s="147" t="str">
        <f t="shared" ca="1" si="269"/>
        <v>Not tested yet</v>
      </c>
      <c r="S395" s="147">
        <f t="shared" si="270"/>
        <v>0</v>
      </c>
      <c r="T395" s="147"/>
      <c r="U395" s="147"/>
      <c r="V395" s="147"/>
      <c r="W395" s="147"/>
      <c r="X395" s="147"/>
      <c r="Y395" s="147"/>
      <c r="Z395" s="147"/>
      <c r="AA395" s="147"/>
      <c r="AB395" s="147"/>
      <c r="AC395" s="147"/>
      <c r="AD395" s="147"/>
      <c r="AE395" s="147"/>
      <c r="AF395" s="147"/>
      <c r="AG395" s="147"/>
      <c r="AH395" s="147"/>
      <c r="AI395" s="147"/>
      <c r="AJ395" s="147"/>
      <c r="AK395" s="147"/>
      <c r="AL395" s="147"/>
      <c r="AM395" s="151"/>
      <c r="AN395" s="147"/>
      <c r="AO395" s="147"/>
      <c r="AP395" s="147"/>
      <c r="AQ395" s="147"/>
      <c r="AR395" s="147"/>
      <c r="AS395" s="147"/>
      <c r="AT395" s="147"/>
      <c r="AU395" s="147"/>
      <c r="AV395" s="147"/>
      <c r="AW395" s="147"/>
      <c r="AX395" s="147"/>
      <c r="AY395" s="147"/>
      <c r="AZ395" s="147"/>
      <c r="BA395" s="147"/>
      <c r="BB395" s="147"/>
      <c r="BC395" s="147"/>
      <c r="BD395" s="147"/>
      <c r="BE395" s="147"/>
      <c r="BF395" s="147"/>
      <c r="BG395" s="147"/>
      <c r="BH395" s="147"/>
      <c r="BI395" s="147"/>
      <c r="BJ395" s="147"/>
      <c r="BK395" s="147"/>
      <c r="BL395" s="147"/>
      <c r="BM395" s="147"/>
      <c r="BN395" s="147"/>
      <c r="BO395" s="147"/>
      <c r="BP395" s="147"/>
      <c r="BQ395" s="147"/>
      <c r="BR395" s="147"/>
      <c r="BS395" s="147"/>
      <c r="BT395" s="147"/>
      <c r="BU395" s="147"/>
      <c r="BV395" s="147"/>
      <c r="BW395" s="147"/>
      <c r="BX395" s="147"/>
      <c r="BY395" s="147"/>
      <c r="BZ395" s="147"/>
      <c r="CA395" s="147"/>
      <c r="CB395" s="147"/>
      <c r="CC395" s="147"/>
      <c r="CD395" s="147"/>
      <c r="CE395" s="147"/>
      <c r="CF395" s="147"/>
      <c r="CG395" s="147"/>
      <c r="CH395" s="147"/>
      <c r="CI395" s="147"/>
      <c r="CJ395" s="147"/>
      <c r="CK395" s="147"/>
    </row>
    <row r="396" spans="1:89">
      <c r="A396" s="159" t="s">
        <v>621</v>
      </c>
      <c r="B396" s="3" t="s">
        <v>622</v>
      </c>
      <c r="C396" s="160" t="s">
        <v>85</v>
      </c>
      <c r="D396" s="160" t="s">
        <v>878</v>
      </c>
      <c r="E396" s="3" t="s">
        <v>24</v>
      </c>
      <c r="F396" s="3"/>
      <c r="G396" s="3"/>
      <c r="H396" s="156" t="str">
        <f ca="1">IFERROR(
  _xludf.MINIFS(ATTENDANCE_LOG!$F:$F,
         ATTENDANCE_LOG!$A:$A, C396,
         ATTENDANCE_LOG!$B:$B, E396),
"")</f>
        <v/>
      </c>
      <c r="I396" s="156" t="str">
        <f t="shared" ca="1" si="266"/>
        <v/>
      </c>
      <c r="J396" s="3" t="str">
        <f>IFERROR(VLOOKUP(F396, LEVEL_HELPER!$A:$B, 2, 0), "")</f>
        <v/>
      </c>
      <c r="K396" s="3" t="str">
        <f>IFERROR(VLOOKUP(G396, LEVEL_HELPER!$A:$B, 2, 0), "")</f>
        <v/>
      </c>
      <c r="L396" s="157" t="s">
        <v>942</v>
      </c>
      <c r="M396" s="157" t="s">
        <v>923</v>
      </c>
      <c r="N396" s="3">
        <f t="array" aca="1" ref="N396" ca="1">IFERROR(
  INDEX($J$2:$J$543,
    MATCH(A396&amp;TEXT(I396,"yyyy-mm-dd"),
          $A$2:$A$543&amp;TEXT($H$2:$H$543,"yyyy-mm-dd"),
          0)),
"")</f>
        <v>1</v>
      </c>
      <c r="O396" s="147" t="str">
        <f t="shared" ca="1" si="267"/>
        <v/>
      </c>
      <c r="P396" s="147">
        <f t="shared" ref="P396:Q396" ca="1" si="412">IF(N396="",0,IF(N396&lt;=2,1,IF(N396&lt;=4,2,IF(N396&lt;=5.5,3,4))))</f>
        <v>1</v>
      </c>
      <c r="Q396" s="147">
        <f t="shared" ca="1" si="412"/>
        <v>0</v>
      </c>
      <c r="R396" s="147" t="str">
        <f t="shared" ca="1" si="269"/>
        <v>Not tested yet</v>
      </c>
      <c r="S396" s="147">
        <f t="shared" si="270"/>
        <v>0</v>
      </c>
      <c r="T396" s="147"/>
      <c r="U396" s="147"/>
      <c r="V396" s="147"/>
      <c r="W396" s="147"/>
      <c r="X396" s="147"/>
      <c r="Y396" s="147"/>
      <c r="Z396" s="147"/>
      <c r="AA396" s="147"/>
      <c r="AB396" s="147"/>
      <c r="AC396" s="147"/>
      <c r="AD396" s="147"/>
      <c r="AE396" s="147"/>
      <c r="AF396" s="147"/>
      <c r="AG396" s="147"/>
      <c r="AH396" s="147"/>
      <c r="AI396" s="147"/>
      <c r="AJ396" s="147"/>
      <c r="AK396" s="147"/>
      <c r="AL396" s="147"/>
      <c r="AM396" s="151"/>
      <c r="AN396" s="147"/>
      <c r="AO396" s="147"/>
      <c r="AP396" s="147"/>
      <c r="AQ396" s="147"/>
      <c r="AR396" s="147"/>
      <c r="AS396" s="147"/>
      <c r="AT396" s="147"/>
      <c r="AU396" s="147"/>
      <c r="AV396" s="147"/>
      <c r="AW396" s="147"/>
      <c r="AX396" s="147"/>
      <c r="AY396" s="147"/>
      <c r="AZ396" s="147"/>
      <c r="BA396" s="147"/>
      <c r="BB396" s="147"/>
      <c r="BC396" s="147"/>
      <c r="BD396" s="147"/>
      <c r="BE396" s="147"/>
      <c r="BF396" s="147"/>
      <c r="BG396" s="147"/>
      <c r="BH396" s="147"/>
      <c r="BI396" s="147"/>
      <c r="BJ396" s="147"/>
      <c r="BK396" s="147"/>
      <c r="BL396" s="147"/>
      <c r="BM396" s="147"/>
      <c r="BN396" s="147"/>
      <c r="BO396" s="147"/>
      <c r="BP396" s="147"/>
      <c r="BQ396" s="147"/>
      <c r="BR396" s="147"/>
      <c r="BS396" s="147"/>
      <c r="BT396" s="147"/>
      <c r="BU396" s="147"/>
      <c r="BV396" s="147"/>
      <c r="BW396" s="147"/>
      <c r="BX396" s="147"/>
      <c r="BY396" s="147"/>
      <c r="BZ396" s="147"/>
      <c r="CA396" s="147"/>
      <c r="CB396" s="147"/>
      <c r="CC396" s="147"/>
      <c r="CD396" s="147"/>
      <c r="CE396" s="147"/>
      <c r="CF396" s="147"/>
      <c r="CG396" s="147"/>
      <c r="CH396" s="147"/>
      <c r="CI396" s="147"/>
      <c r="CJ396" s="147"/>
      <c r="CK396" s="147"/>
    </row>
    <row r="397" spans="1:89">
      <c r="A397" s="153" t="s">
        <v>397</v>
      </c>
      <c r="B397" s="154" t="s">
        <v>398</v>
      </c>
      <c r="C397" s="155" t="s">
        <v>85</v>
      </c>
      <c r="D397" s="155" t="s">
        <v>878</v>
      </c>
      <c r="E397" s="154" t="s">
        <v>21</v>
      </c>
      <c r="F397" s="3" t="s">
        <v>926</v>
      </c>
      <c r="G397" s="3" t="s">
        <v>934</v>
      </c>
      <c r="H397" s="156" t="str">
        <f ca="1">IFERROR(
  _xludf.MINIFS(ATTENDANCE_LOG!$F:$F,
         ATTENDANCE_LOG!$A:$A, C397,
         ATTENDANCE_LOG!$B:$B, E397),
"")</f>
        <v/>
      </c>
      <c r="I397" s="156" t="str">
        <f t="shared" ca="1" si="266"/>
        <v/>
      </c>
      <c r="J397" s="3">
        <f>IFERROR(VLOOKUP(F397, LEVEL_HELPER!$A:$B, 2, 0), "")</f>
        <v>1</v>
      </c>
      <c r="K397" s="3">
        <f>IFERROR(VLOOKUP(G397, LEVEL_HELPER!$A:$B, 2, 0), "")</f>
        <v>3.5</v>
      </c>
      <c r="L397" s="157" t="s">
        <v>956</v>
      </c>
      <c r="M397" s="157" t="s">
        <v>923</v>
      </c>
      <c r="N397" s="3" t="str">
        <f t="array" aca="1" ref="N397" ca="1">IFERROR(
  INDEX($J$2:$J$543,
    MATCH(A397&amp;TEXT(I397,"yyyy-mm-dd"),
          $A$2:$A$543&amp;TEXT($H$2:$H$543,"yyyy-mm-dd"),
          0)),
"")</f>
        <v/>
      </c>
      <c r="O397" s="147" t="str">
        <f t="shared" ca="1" si="267"/>
        <v/>
      </c>
      <c r="P397" s="147">
        <f t="shared" ref="P397:Q397" ca="1" si="413">IF(N397="",0,IF(N397&lt;=2,1,IF(N397&lt;=4,2,IF(N397&lt;=5.5,3,4))))</f>
        <v>0</v>
      </c>
      <c r="Q397" s="147">
        <f t="shared" ca="1" si="413"/>
        <v>0</v>
      </c>
      <c r="R397" s="147" t="str">
        <f t="shared" ca="1" si="269"/>
        <v>Not tested yet</v>
      </c>
      <c r="S397" s="147">
        <f t="shared" si="270"/>
        <v>0</v>
      </c>
      <c r="T397" s="147"/>
      <c r="U397" s="147"/>
      <c r="V397" s="147"/>
      <c r="W397" s="147"/>
      <c r="X397" s="147"/>
      <c r="Y397" s="147"/>
      <c r="Z397" s="147"/>
      <c r="AA397" s="147"/>
      <c r="AB397" s="147"/>
      <c r="AC397" s="147"/>
      <c r="AD397" s="147"/>
      <c r="AE397" s="147"/>
      <c r="AF397" s="147"/>
      <c r="AG397" s="147"/>
      <c r="AH397" s="147"/>
      <c r="AI397" s="147"/>
      <c r="AJ397" s="147"/>
      <c r="AK397" s="147"/>
      <c r="AL397" s="147"/>
      <c r="AM397" s="151"/>
      <c r="AN397" s="147"/>
      <c r="AO397" s="147"/>
      <c r="AP397" s="147"/>
      <c r="AQ397" s="147"/>
      <c r="AR397" s="147"/>
      <c r="AS397" s="147"/>
      <c r="AT397" s="147"/>
      <c r="AU397" s="147"/>
      <c r="AV397" s="147"/>
      <c r="AW397" s="147"/>
      <c r="AX397" s="147"/>
      <c r="AY397" s="147"/>
      <c r="AZ397" s="147"/>
      <c r="BA397" s="147"/>
      <c r="BB397" s="147"/>
      <c r="BC397" s="147"/>
      <c r="BD397" s="147"/>
      <c r="BE397" s="147"/>
      <c r="BF397" s="147"/>
      <c r="BG397" s="147"/>
      <c r="BH397" s="147"/>
      <c r="BI397" s="147"/>
      <c r="BJ397" s="147"/>
      <c r="BK397" s="147"/>
      <c r="BL397" s="147"/>
      <c r="BM397" s="147"/>
      <c r="BN397" s="147"/>
      <c r="BO397" s="147"/>
      <c r="BP397" s="147"/>
      <c r="BQ397" s="147"/>
      <c r="BR397" s="147"/>
      <c r="BS397" s="147"/>
      <c r="BT397" s="147"/>
      <c r="BU397" s="147"/>
      <c r="BV397" s="147"/>
      <c r="BW397" s="147"/>
      <c r="BX397" s="147"/>
      <c r="BY397" s="147"/>
      <c r="BZ397" s="147"/>
      <c r="CA397" s="147"/>
      <c r="CB397" s="147"/>
      <c r="CC397" s="147"/>
      <c r="CD397" s="147"/>
      <c r="CE397" s="147"/>
      <c r="CF397" s="147"/>
      <c r="CG397" s="147"/>
      <c r="CH397" s="147"/>
      <c r="CI397" s="147"/>
      <c r="CJ397" s="147"/>
      <c r="CK397" s="147"/>
    </row>
    <row r="398" spans="1:89">
      <c r="A398" s="159" t="s">
        <v>136</v>
      </c>
      <c r="B398" s="3" t="s">
        <v>137</v>
      </c>
      <c r="C398" s="160" t="s">
        <v>85</v>
      </c>
      <c r="D398" s="160" t="s">
        <v>878</v>
      </c>
      <c r="E398" s="3" t="s">
        <v>21</v>
      </c>
      <c r="F398" s="3" t="s">
        <v>957</v>
      </c>
      <c r="G398" s="3" t="s">
        <v>934</v>
      </c>
      <c r="H398" s="156" t="str">
        <f ca="1">IFERROR(
  _xludf.MINIFS(ATTENDANCE_LOG!$F:$F,
         ATTENDANCE_LOG!$A:$A, C398,
         ATTENDANCE_LOG!$B:$B, E398),
"")</f>
        <v/>
      </c>
      <c r="I398" s="156" t="str">
        <f t="shared" ca="1" si="266"/>
        <v/>
      </c>
      <c r="J398" s="3">
        <f>IFERROR(VLOOKUP(F398, LEVEL_HELPER!$A:$B, 2, 0), "")</f>
        <v>0</v>
      </c>
      <c r="K398" s="3">
        <f>IFERROR(VLOOKUP(G398, LEVEL_HELPER!$A:$B, 2, 0), "")</f>
        <v>3.5</v>
      </c>
      <c r="L398" s="157" t="s">
        <v>942</v>
      </c>
      <c r="M398" s="157" t="s">
        <v>923</v>
      </c>
      <c r="N398" s="3" t="str">
        <f t="array" aca="1" ref="N398" ca="1">IFERROR(
  INDEX($J$2:$J$543,
    MATCH(A398&amp;TEXT(I398,"yyyy-mm-dd"),
          $A$2:$A$543&amp;TEXT($H$2:$H$543,"yyyy-mm-dd"),
          0)),
"")</f>
        <v/>
      </c>
      <c r="O398" s="147" t="str">
        <f t="shared" ca="1" si="267"/>
        <v/>
      </c>
      <c r="P398" s="147">
        <f t="shared" ref="P398:Q398" ca="1" si="414">IF(N398="",0,IF(N398&lt;=2,1,IF(N398&lt;=4,2,IF(N398&lt;=5.5,3,4))))</f>
        <v>0</v>
      </c>
      <c r="Q398" s="147">
        <f t="shared" ca="1" si="414"/>
        <v>0</v>
      </c>
      <c r="R398" s="147" t="str">
        <f t="shared" ca="1" si="269"/>
        <v>Not tested yet</v>
      </c>
      <c r="S398" s="147">
        <f t="shared" si="270"/>
        <v>0</v>
      </c>
      <c r="T398" s="147"/>
      <c r="U398" s="147"/>
      <c r="V398" s="147"/>
      <c r="W398" s="147"/>
      <c r="X398" s="147"/>
      <c r="Y398" s="147"/>
      <c r="Z398" s="147"/>
      <c r="AA398" s="147"/>
      <c r="AB398" s="147"/>
      <c r="AC398" s="147"/>
      <c r="AD398" s="147"/>
      <c r="AE398" s="147"/>
      <c r="AF398" s="147"/>
      <c r="AG398" s="147"/>
      <c r="AH398" s="147"/>
      <c r="AI398" s="147"/>
      <c r="AJ398" s="147"/>
      <c r="AK398" s="147"/>
      <c r="AL398" s="147"/>
      <c r="AM398" s="151"/>
      <c r="AN398" s="147"/>
      <c r="AO398" s="147"/>
      <c r="AP398" s="147"/>
      <c r="AQ398" s="147"/>
      <c r="AR398" s="147"/>
      <c r="AS398" s="147"/>
      <c r="AT398" s="147"/>
      <c r="AU398" s="147"/>
      <c r="AV398" s="147"/>
      <c r="AW398" s="147"/>
      <c r="AX398" s="147"/>
      <c r="AY398" s="147"/>
      <c r="AZ398" s="147"/>
      <c r="BA398" s="147"/>
      <c r="BB398" s="147"/>
      <c r="BC398" s="147"/>
      <c r="BD398" s="147"/>
      <c r="BE398" s="147"/>
      <c r="BF398" s="147"/>
      <c r="BG398" s="147"/>
      <c r="BH398" s="147"/>
      <c r="BI398" s="147"/>
      <c r="BJ398" s="147"/>
      <c r="BK398" s="147"/>
      <c r="BL398" s="147"/>
      <c r="BM398" s="147"/>
      <c r="BN398" s="147"/>
      <c r="BO398" s="147"/>
      <c r="BP398" s="147"/>
      <c r="BQ398" s="147"/>
      <c r="BR398" s="147"/>
      <c r="BS398" s="147"/>
      <c r="BT398" s="147"/>
      <c r="BU398" s="147"/>
      <c r="BV398" s="147"/>
      <c r="BW398" s="147"/>
      <c r="BX398" s="147"/>
      <c r="BY398" s="147"/>
      <c r="BZ398" s="147"/>
      <c r="CA398" s="147"/>
      <c r="CB398" s="147"/>
      <c r="CC398" s="147"/>
      <c r="CD398" s="147"/>
      <c r="CE398" s="147"/>
      <c r="CF398" s="147"/>
      <c r="CG398" s="147"/>
      <c r="CH398" s="147"/>
      <c r="CI398" s="147"/>
      <c r="CJ398" s="147"/>
      <c r="CK398" s="147"/>
    </row>
    <row r="399" spans="1:89">
      <c r="A399" s="159" t="s">
        <v>165</v>
      </c>
      <c r="B399" s="3" t="s">
        <v>166</v>
      </c>
      <c r="C399" s="160" t="s">
        <v>85</v>
      </c>
      <c r="D399" s="160" t="s">
        <v>878</v>
      </c>
      <c r="E399" s="3" t="s">
        <v>21</v>
      </c>
      <c r="F399" s="3" t="s">
        <v>926</v>
      </c>
      <c r="G399" s="3" t="s">
        <v>917</v>
      </c>
      <c r="H399" s="156" t="str">
        <f ca="1">IFERROR(
  _xludf.MINIFS(ATTENDANCE_LOG!$F:$F,
         ATTENDANCE_LOG!$A:$A, C399,
         ATTENDANCE_LOG!$B:$B, E399),
"")</f>
        <v/>
      </c>
      <c r="I399" s="156" t="str">
        <f t="shared" ca="1" si="266"/>
        <v/>
      </c>
      <c r="J399" s="3">
        <f>IFERROR(VLOOKUP(F399, LEVEL_HELPER!$A:$B, 2, 0), "")</f>
        <v>1</v>
      </c>
      <c r="K399" s="3">
        <f>IFERROR(VLOOKUP(G399, LEVEL_HELPER!$A:$B, 2, 0), "")</f>
        <v>3</v>
      </c>
      <c r="L399" s="157" t="s">
        <v>942</v>
      </c>
      <c r="M399" s="157" t="s">
        <v>923</v>
      </c>
      <c r="N399" s="3">
        <f t="array" aca="1" ref="N399" ca="1">IFERROR(
  INDEX($J$2:$J$543,
    MATCH(A399&amp;TEXT(I399,"yyyy-mm-dd"),
          $A$2:$A$543&amp;TEXT($H$2:$H$543,"yyyy-mm-dd"),
          0)),
"")</f>
        <v>1</v>
      </c>
      <c r="O399" s="147" t="str">
        <f t="shared" ca="1" si="267"/>
        <v/>
      </c>
      <c r="P399" s="147">
        <f t="shared" ref="P399:Q399" ca="1" si="415">IF(N399="",0,IF(N399&lt;=2,1,IF(N399&lt;=4,2,IF(N399&lt;=5.5,3,4))))</f>
        <v>1</v>
      </c>
      <c r="Q399" s="147">
        <f t="shared" ca="1" si="415"/>
        <v>0</v>
      </c>
      <c r="R399" s="147" t="str">
        <f t="shared" ca="1" si="269"/>
        <v>Not tested yet</v>
      </c>
      <c r="S399" s="147">
        <f t="shared" si="270"/>
        <v>1</v>
      </c>
      <c r="T399" s="147"/>
      <c r="U399" s="147"/>
      <c r="V399" s="147"/>
      <c r="W399" s="147"/>
      <c r="X399" s="147"/>
      <c r="Y399" s="147"/>
      <c r="Z399" s="147"/>
      <c r="AA399" s="147"/>
      <c r="AB399" s="147"/>
      <c r="AC399" s="147"/>
      <c r="AD399" s="147"/>
      <c r="AE399" s="147"/>
      <c r="AF399" s="147"/>
      <c r="AG399" s="147"/>
      <c r="AH399" s="147"/>
      <c r="AI399" s="147"/>
      <c r="AJ399" s="147"/>
      <c r="AK399" s="147"/>
      <c r="AL399" s="147"/>
      <c r="AM399" s="151"/>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c r="BI399" s="147"/>
      <c r="BJ399" s="147"/>
      <c r="BK399" s="147"/>
      <c r="BL399" s="147"/>
      <c r="BM399" s="147"/>
      <c r="BN399" s="147"/>
      <c r="BO399" s="147"/>
      <c r="BP399" s="147"/>
      <c r="BQ399" s="147"/>
      <c r="BR399" s="147"/>
      <c r="BS399" s="147"/>
      <c r="BT399" s="147"/>
      <c r="BU399" s="147"/>
      <c r="BV399" s="147"/>
      <c r="BW399" s="147"/>
      <c r="BX399" s="147"/>
      <c r="BY399" s="147"/>
      <c r="BZ399" s="147"/>
      <c r="CA399" s="147"/>
      <c r="CB399" s="147"/>
      <c r="CC399" s="147"/>
      <c r="CD399" s="147"/>
      <c r="CE399" s="147"/>
      <c r="CF399" s="147"/>
      <c r="CG399" s="147"/>
      <c r="CH399" s="147"/>
      <c r="CI399" s="147"/>
      <c r="CJ399" s="147"/>
      <c r="CK399" s="147"/>
    </row>
    <row r="400" spans="1:89">
      <c r="A400" s="159" t="s">
        <v>275</v>
      </c>
      <c r="B400" s="3" t="s">
        <v>276</v>
      </c>
      <c r="C400" s="160" t="s">
        <v>85</v>
      </c>
      <c r="D400" s="160" t="s">
        <v>878</v>
      </c>
      <c r="E400" s="3" t="s">
        <v>21</v>
      </c>
      <c r="F400" s="3" t="s">
        <v>926</v>
      </c>
      <c r="G400" s="3" t="s">
        <v>917</v>
      </c>
      <c r="H400" s="156" t="str">
        <f ca="1">IFERROR(
  _xludf.MINIFS(ATTENDANCE_LOG!$F:$F,
         ATTENDANCE_LOG!$A:$A, C400,
         ATTENDANCE_LOG!$B:$B, E400),
"")</f>
        <v/>
      </c>
      <c r="I400" s="156" t="str">
        <f t="shared" ca="1" si="266"/>
        <v/>
      </c>
      <c r="J400" s="3">
        <f>IFERROR(VLOOKUP(F400, LEVEL_HELPER!$A:$B, 2, 0), "")</f>
        <v>1</v>
      </c>
      <c r="K400" s="3">
        <f>IFERROR(VLOOKUP(G400, LEVEL_HELPER!$A:$B, 2, 0), "")</f>
        <v>3</v>
      </c>
      <c r="L400" s="157" t="s">
        <v>942</v>
      </c>
      <c r="M400" s="157" t="s">
        <v>923</v>
      </c>
      <c r="N400" s="3">
        <f t="array" aca="1" ref="N400" ca="1">IFERROR(
  INDEX($J$2:$J$543,
    MATCH(A400&amp;TEXT(I400,"yyyy-mm-dd"),
          $A$2:$A$543&amp;TEXT($H$2:$H$543,"yyyy-mm-dd"),
          0)),
"")</f>
        <v>1</v>
      </c>
      <c r="O400" s="147" t="str">
        <f t="shared" ca="1" si="267"/>
        <v/>
      </c>
      <c r="P400" s="147">
        <f t="shared" ref="P400:Q400" ca="1" si="416">IF(N400="",0,IF(N400&lt;=2,1,IF(N400&lt;=4,2,IF(N400&lt;=5.5,3,4))))</f>
        <v>1</v>
      </c>
      <c r="Q400" s="147">
        <f t="shared" ca="1" si="416"/>
        <v>0</v>
      </c>
      <c r="R400" s="147" t="str">
        <f t="shared" ca="1" si="269"/>
        <v>Not tested yet</v>
      </c>
      <c r="S400" s="147">
        <f t="shared" si="270"/>
        <v>1</v>
      </c>
      <c r="T400" s="147"/>
      <c r="U400" s="147"/>
      <c r="V400" s="147"/>
      <c r="W400" s="147"/>
      <c r="X400" s="147"/>
      <c r="Y400" s="147"/>
      <c r="Z400" s="147"/>
      <c r="AA400" s="147"/>
      <c r="AB400" s="147"/>
      <c r="AC400" s="147"/>
      <c r="AD400" s="147"/>
      <c r="AE400" s="147"/>
      <c r="AF400" s="147"/>
      <c r="AG400" s="147"/>
      <c r="AH400" s="147"/>
      <c r="AI400" s="147"/>
      <c r="AJ400" s="147"/>
      <c r="AK400" s="147"/>
      <c r="AL400" s="147"/>
      <c r="AM400" s="151"/>
      <c r="AN400" s="147"/>
      <c r="AO400" s="147"/>
      <c r="AP400" s="147"/>
      <c r="AQ400" s="147"/>
      <c r="AR400" s="147"/>
      <c r="AS400" s="147"/>
      <c r="AT400" s="147"/>
      <c r="AU400" s="147"/>
      <c r="AV400" s="147"/>
      <c r="AW400" s="147"/>
      <c r="AX400" s="147"/>
      <c r="AY400" s="147"/>
      <c r="AZ400" s="147"/>
      <c r="BA400" s="147"/>
      <c r="BB400" s="147"/>
      <c r="BC400" s="147"/>
      <c r="BD400" s="147"/>
      <c r="BE400" s="147"/>
      <c r="BF400" s="147"/>
      <c r="BG400" s="147"/>
      <c r="BH400" s="147"/>
      <c r="BI400" s="147"/>
      <c r="BJ400" s="147"/>
      <c r="BK400" s="147"/>
      <c r="BL400" s="147"/>
      <c r="BM400" s="147"/>
      <c r="BN400" s="147"/>
      <c r="BO400" s="147"/>
      <c r="BP400" s="147"/>
      <c r="BQ400" s="147"/>
      <c r="BR400" s="147"/>
      <c r="BS400" s="147"/>
      <c r="BT400" s="147"/>
      <c r="BU400" s="147"/>
      <c r="BV400" s="147"/>
      <c r="BW400" s="147"/>
      <c r="BX400" s="147"/>
      <c r="BY400" s="147"/>
      <c r="BZ400" s="147"/>
      <c r="CA400" s="147"/>
      <c r="CB400" s="147"/>
      <c r="CC400" s="147"/>
      <c r="CD400" s="147"/>
      <c r="CE400" s="147"/>
      <c r="CF400" s="147"/>
      <c r="CG400" s="147"/>
      <c r="CH400" s="147"/>
      <c r="CI400" s="147"/>
      <c r="CJ400" s="147"/>
      <c r="CK400" s="147"/>
    </row>
    <row r="401" spans="1:89">
      <c r="A401" s="159" t="s">
        <v>681</v>
      </c>
      <c r="B401" s="3" t="s">
        <v>682</v>
      </c>
      <c r="C401" s="160" t="s">
        <v>85</v>
      </c>
      <c r="D401" s="160" t="s">
        <v>878</v>
      </c>
      <c r="E401" s="3" t="s">
        <v>21</v>
      </c>
      <c r="F401" s="3" t="s">
        <v>926</v>
      </c>
      <c r="G401" s="3" t="s">
        <v>926</v>
      </c>
      <c r="H401" s="156" t="str">
        <f ca="1">IFERROR(
  _xludf.MINIFS(ATTENDANCE_LOG!$F:$F,
         ATTENDANCE_LOG!$A:$A, C401,
         ATTENDANCE_LOG!$B:$B, E401),
"")</f>
        <v/>
      </c>
      <c r="I401" s="156" t="str">
        <f t="shared" ca="1" si="266"/>
        <v/>
      </c>
      <c r="J401" s="3">
        <f>IFERROR(VLOOKUP(F401, LEVEL_HELPER!$A:$B, 2, 0), "")</f>
        <v>1</v>
      </c>
      <c r="K401" s="3">
        <f>IFERROR(VLOOKUP(G401, LEVEL_HELPER!$A:$B, 2, 0), "")</f>
        <v>1</v>
      </c>
      <c r="L401" s="157" t="s">
        <v>942</v>
      </c>
      <c r="M401" s="157" t="s">
        <v>923</v>
      </c>
      <c r="N401" s="3">
        <f t="array" aca="1" ref="N401" ca="1">IFERROR(
  INDEX($J$2:$J$543,
    MATCH(A401&amp;TEXT(I401,"yyyy-mm-dd"),
          $A$2:$A$543&amp;TEXT($H$2:$H$543,"yyyy-mm-dd"),
          0)),
"")</f>
        <v>1</v>
      </c>
      <c r="O401" s="147" t="str">
        <f t="shared" ca="1" si="267"/>
        <v/>
      </c>
      <c r="P401" s="147">
        <f t="shared" ref="P401:Q401" ca="1" si="417">IF(N401="",0,IF(N401&lt;=2,1,IF(N401&lt;=4,2,IF(N401&lt;=5.5,3,4))))</f>
        <v>1</v>
      </c>
      <c r="Q401" s="147">
        <f t="shared" ca="1" si="417"/>
        <v>0</v>
      </c>
      <c r="R401" s="147" t="str">
        <f t="shared" ca="1" si="269"/>
        <v>Not tested yet</v>
      </c>
      <c r="S401" s="147">
        <f t="shared" si="270"/>
        <v>1</v>
      </c>
      <c r="T401" s="147"/>
      <c r="U401" s="147"/>
      <c r="V401" s="147"/>
      <c r="W401" s="147"/>
      <c r="X401" s="147"/>
      <c r="Y401" s="147"/>
      <c r="Z401" s="147"/>
      <c r="AA401" s="147"/>
      <c r="AB401" s="147"/>
      <c r="AC401" s="147"/>
      <c r="AD401" s="147"/>
      <c r="AE401" s="147"/>
      <c r="AF401" s="147"/>
      <c r="AG401" s="147"/>
      <c r="AH401" s="147"/>
      <c r="AI401" s="147"/>
      <c r="AJ401" s="147"/>
      <c r="AK401" s="147"/>
      <c r="AL401" s="147"/>
      <c r="AM401" s="151"/>
      <c r="AN401" s="147"/>
      <c r="AO401" s="147"/>
      <c r="AP401" s="147"/>
      <c r="AQ401" s="147"/>
      <c r="AR401" s="147"/>
      <c r="AS401" s="147"/>
      <c r="AT401" s="147"/>
      <c r="AU401" s="147"/>
      <c r="AV401" s="147"/>
      <c r="AW401" s="147"/>
      <c r="AX401" s="147"/>
      <c r="AY401" s="147"/>
      <c r="AZ401" s="147"/>
      <c r="BA401" s="147"/>
      <c r="BB401" s="147"/>
      <c r="BC401" s="147"/>
      <c r="BD401" s="147"/>
      <c r="BE401" s="147"/>
      <c r="BF401" s="147"/>
      <c r="BG401" s="147"/>
      <c r="BH401" s="147"/>
      <c r="BI401" s="147"/>
      <c r="BJ401" s="147"/>
      <c r="BK401" s="147"/>
      <c r="BL401" s="147"/>
      <c r="BM401" s="147"/>
      <c r="BN401" s="147"/>
      <c r="BO401" s="147"/>
      <c r="BP401" s="147"/>
      <c r="BQ401" s="147"/>
      <c r="BR401" s="147"/>
      <c r="BS401" s="147"/>
      <c r="BT401" s="147"/>
      <c r="BU401" s="147"/>
      <c r="BV401" s="147"/>
      <c r="BW401" s="147"/>
      <c r="BX401" s="147"/>
      <c r="BY401" s="147"/>
      <c r="BZ401" s="147"/>
      <c r="CA401" s="147"/>
      <c r="CB401" s="147"/>
      <c r="CC401" s="147"/>
      <c r="CD401" s="147"/>
      <c r="CE401" s="147"/>
      <c r="CF401" s="147"/>
      <c r="CG401" s="147"/>
      <c r="CH401" s="147"/>
      <c r="CI401" s="147"/>
      <c r="CJ401" s="147"/>
      <c r="CK401" s="147"/>
    </row>
    <row r="402" spans="1:89">
      <c r="A402" s="159" t="s">
        <v>719</v>
      </c>
      <c r="B402" s="3" t="s">
        <v>720</v>
      </c>
      <c r="C402" s="160" t="s">
        <v>85</v>
      </c>
      <c r="D402" s="160" t="s">
        <v>878</v>
      </c>
      <c r="E402" s="3" t="s">
        <v>21</v>
      </c>
      <c r="F402" s="3" t="s">
        <v>957</v>
      </c>
      <c r="G402" s="3" t="s">
        <v>934</v>
      </c>
      <c r="H402" s="156" t="str">
        <f ca="1">IFERROR(
  _xludf.MINIFS(ATTENDANCE_LOG!$F:$F,
         ATTENDANCE_LOG!$A:$A, C402,
         ATTENDANCE_LOG!$B:$B, E402),
"")</f>
        <v/>
      </c>
      <c r="I402" s="156" t="str">
        <f t="shared" ca="1" si="266"/>
        <v/>
      </c>
      <c r="J402" s="3">
        <f>IFERROR(VLOOKUP(F402, LEVEL_HELPER!$A:$B, 2, 0), "")</f>
        <v>0</v>
      </c>
      <c r="K402" s="3">
        <f>IFERROR(VLOOKUP(G402, LEVEL_HELPER!$A:$B, 2, 0), "")</f>
        <v>3.5</v>
      </c>
      <c r="L402" s="157" t="s">
        <v>956</v>
      </c>
      <c r="M402" s="157" t="s">
        <v>923</v>
      </c>
      <c r="N402" s="3">
        <f t="array" aca="1" ref="N402" ca="1">IFERROR(
  INDEX($J$2:$J$543,
    MATCH(A402&amp;TEXT(I402,"yyyy-mm-dd"),
          $A$2:$A$543&amp;TEXT($H$2:$H$543,"yyyy-mm-dd"),
          0)),
"")</f>
        <v>0</v>
      </c>
      <c r="O402" s="147" t="str">
        <f t="shared" ca="1" si="267"/>
        <v/>
      </c>
      <c r="P402" s="147">
        <f t="shared" ref="P402:Q402" ca="1" si="418">IF(N402="",0,IF(N402&lt;=2,1,IF(N402&lt;=4,2,IF(N402&lt;=5.5,3,4))))</f>
        <v>1</v>
      </c>
      <c r="Q402" s="147">
        <f t="shared" ca="1" si="418"/>
        <v>0</v>
      </c>
      <c r="R402" s="147" t="str">
        <f t="shared" ca="1" si="269"/>
        <v>Not tested yet</v>
      </c>
      <c r="S402" s="147">
        <f t="shared" si="270"/>
        <v>1</v>
      </c>
      <c r="T402" s="147"/>
      <c r="U402" s="147"/>
      <c r="V402" s="147"/>
      <c r="W402" s="147"/>
      <c r="X402" s="147"/>
      <c r="Y402" s="147"/>
      <c r="Z402" s="147"/>
      <c r="AA402" s="147"/>
      <c r="AB402" s="147"/>
      <c r="AC402" s="147"/>
      <c r="AD402" s="147"/>
      <c r="AE402" s="147"/>
      <c r="AF402" s="147"/>
      <c r="AG402" s="147"/>
      <c r="AH402" s="147"/>
      <c r="AI402" s="147"/>
      <c r="AJ402" s="147"/>
      <c r="AK402" s="147"/>
      <c r="AL402" s="147"/>
      <c r="AM402" s="151"/>
      <c r="AN402" s="147"/>
      <c r="AO402" s="147"/>
      <c r="AP402" s="147"/>
      <c r="AQ402" s="147"/>
      <c r="AR402" s="147"/>
      <c r="AS402" s="147"/>
      <c r="AT402" s="147"/>
      <c r="AU402" s="147"/>
      <c r="AV402" s="147"/>
      <c r="AW402" s="147"/>
      <c r="AX402" s="147"/>
      <c r="AY402" s="147"/>
      <c r="AZ402" s="147"/>
      <c r="BA402" s="147"/>
      <c r="BB402" s="147"/>
      <c r="BC402" s="147"/>
      <c r="BD402" s="147"/>
      <c r="BE402" s="147"/>
      <c r="BF402" s="147"/>
      <c r="BG402" s="147"/>
      <c r="BH402" s="147"/>
      <c r="BI402" s="147"/>
      <c r="BJ402" s="147"/>
      <c r="BK402" s="147"/>
      <c r="BL402" s="147"/>
      <c r="BM402" s="147"/>
      <c r="BN402" s="147"/>
      <c r="BO402" s="147"/>
      <c r="BP402" s="147"/>
      <c r="BQ402" s="147"/>
      <c r="BR402" s="147"/>
      <c r="BS402" s="147"/>
      <c r="BT402" s="147"/>
      <c r="BU402" s="147"/>
      <c r="BV402" s="147"/>
      <c r="BW402" s="147"/>
      <c r="BX402" s="147"/>
      <c r="BY402" s="147"/>
      <c r="BZ402" s="147"/>
      <c r="CA402" s="147"/>
      <c r="CB402" s="147"/>
      <c r="CC402" s="147"/>
      <c r="CD402" s="147"/>
      <c r="CE402" s="147"/>
      <c r="CF402" s="147"/>
      <c r="CG402" s="147"/>
      <c r="CH402" s="147"/>
      <c r="CI402" s="147"/>
      <c r="CJ402" s="147"/>
      <c r="CK402" s="147"/>
    </row>
    <row r="403" spans="1:89">
      <c r="A403" s="153" t="s">
        <v>397</v>
      </c>
      <c r="B403" s="154" t="s">
        <v>398</v>
      </c>
      <c r="C403" s="155" t="s">
        <v>85</v>
      </c>
      <c r="D403" s="155" t="s">
        <v>878</v>
      </c>
      <c r="E403" s="154" t="s">
        <v>22</v>
      </c>
      <c r="F403" s="3" t="s">
        <v>934</v>
      </c>
      <c r="G403" s="3" t="s">
        <v>940</v>
      </c>
      <c r="H403" s="156" t="str">
        <f ca="1">IFERROR(
  _xludf.MINIFS(ATTENDANCE_LOG!$F:$F,
         ATTENDANCE_LOG!$A:$A, C403,
         ATTENDANCE_LOG!$B:$B, E403),
"")</f>
        <v/>
      </c>
      <c r="I403" s="156" t="str">
        <f t="shared" ca="1" si="266"/>
        <v/>
      </c>
      <c r="J403" s="3">
        <f>IFERROR(VLOOKUP(F403, LEVEL_HELPER!$A:$B, 2, 0), "")</f>
        <v>3.5</v>
      </c>
      <c r="K403" s="3">
        <f>IFERROR(VLOOKUP(G403, LEVEL_HELPER!$A:$B, 2, 0), "")</f>
        <v>5</v>
      </c>
      <c r="L403" s="157" t="s">
        <v>956</v>
      </c>
      <c r="M403" s="157" t="s">
        <v>923</v>
      </c>
      <c r="N403" s="3" t="str">
        <f t="array" aca="1" ref="N403" ca="1">IFERROR(
  INDEX($J$2:$J$543,
    MATCH(A403&amp;TEXT(I403,"yyyy-mm-dd"),
          $A$2:$A$543&amp;TEXT($H$2:$H$543,"yyyy-mm-dd"),
          0)),
"")</f>
        <v/>
      </c>
      <c r="O403" s="147" t="str">
        <f t="shared" ca="1" si="267"/>
        <v/>
      </c>
      <c r="P403" s="147">
        <f t="shared" ref="P403:Q403" ca="1" si="419">IF(N403="",0,IF(N403&lt;=2,1,IF(N403&lt;=4,2,IF(N403&lt;=5.5,3,4))))</f>
        <v>0</v>
      </c>
      <c r="Q403" s="147">
        <f t="shared" ca="1" si="419"/>
        <v>0</v>
      </c>
      <c r="R403" s="147" t="str">
        <f t="shared" ca="1" si="269"/>
        <v>Not tested yet</v>
      </c>
      <c r="S403" s="147">
        <f t="shared" si="270"/>
        <v>0</v>
      </c>
      <c r="T403" s="147"/>
      <c r="U403" s="147"/>
      <c r="V403" s="147"/>
      <c r="W403" s="147"/>
      <c r="X403" s="147"/>
      <c r="Y403" s="147"/>
      <c r="Z403" s="147"/>
      <c r="AA403" s="147"/>
      <c r="AB403" s="147"/>
      <c r="AC403" s="147"/>
      <c r="AD403" s="147"/>
      <c r="AE403" s="147"/>
      <c r="AF403" s="147"/>
      <c r="AG403" s="147"/>
      <c r="AH403" s="147"/>
      <c r="AI403" s="147"/>
      <c r="AJ403" s="147"/>
      <c r="AK403" s="147"/>
      <c r="AL403" s="147"/>
      <c r="AM403" s="151"/>
      <c r="AN403" s="147"/>
      <c r="AO403" s="147"/>
      <c r="AP403" s="147"/>
      <c r="AQ403" s="147"/>
      <c r="AR403" s="147"/>
      <c r="AS403" s="147"/>
      <c r="AT403" s="147"/>
      <c r="AU403" s="147"/>
      <c r="AV403" s="147"/>
      <c r="AW403" s="147"/>
      <c r="AX403" s="147"/>
      <c r="AY403" s="147"/>
      <c r="AZ403" s="147"/>
      <c r="BA403" s="147"/>
      <c r="BB403" s="147"/>
      <c r="BC403" s="147"/>
      <c r="BD403" s="147"/>
      <c r="BE403" s="147"/>
      <c r="BF403" s="147"/>
      <c r="BG403" s="147"/>
      <c r="BH403" s="147"/>
      <c r="BI403" s="147"/>
      <c r="BJ403" s="147"/>
      <c r="BK403" s="147"/>
      <c r="BL403" s="147"/>
      <c r="BM403" s="147"/>
      <c r="BN403" s="147"/>
      <c r="BO403" s="147"/>
      <c r="BP403" s="147"/>
      <c r="BQ403" s="147"/>
      <c r="BR403" s="147"/>
      <c r="BS403" s="147"/>
      <c r="BT403" s="147"/>
      <c r="BU403" s="147"/>
      <c r="BV403" s="147"/>
      <c r="BW403" s="147"/>
      <c r="BX403" s="147"/>
      <c r="BY403" s="147"/>
      <c r="BZ403" s="147"/>
      <c r="CA403" s="147"/>
      <c r="CB403" s="147"/>
      <c r="CC403" s="147"/>
      <c r="CD403" s="147"/>
      <c r="CE403" s="147"/>
      <c r="CF403" s="147"/>
      <c r="CG403" s="147"/>
      <c r="CH403" s="147"/>
      <c r="CI403" s="147"/>
      <c r="CJ403" s="147"/>
      <c r="CK403" s="147"/>
    </row>
    <row r="404" spans="1:89">
      <c r="A404" s="159" t="s">
        <v>136</v>
      </c>
      <c r="B404" s="3" t="s">
        <v>137</v>
      </c>
      <c r="C404" s="160" t="s">
        <v>85</v>
      </c>
      <c r="D404" s="160" t="s">
        <v>878</v>
      </c>
      <c r="E404" s="3" t="s">
        <v>22</v>
      </c>
      <c r="F404" s="3" t="s">
        <v>934</v>
      </c>
      <c r="G404" s="3" t="s">
        <v>940</v>
      </c>
      <c r="H404" s="156" t="str">
        <f ca="1">IFERROR(
  _xludf.MINIFS(ATTENDANCE_LOG!$F:$F,
         ATTENDANCE_LOG!$A:$A, C404,
         ATTENDANCE_LOG!$B:$B, E404),
"")</f>
        <v/>
      </c>
      <c r="I404" s="156" t="str">
        <f t="shared" ca="1" si="266"/>
        <v/>
      </c>
      <c r="J404" s="3">
        <f>IFERROR(VLOOKUP(F404, LEVEL_HELPER!$A:$B, 2, 0), "")</f>
        <v>3.5</v>
      </c>
      <c r="K404" s="3">
        <f>IFERROR(VLOOKUP(G404, LEVEL_HELPER!$A:$B, 2, 0), "")</f>
        <v>5</v>
      </c>
      <c r="L404" s="157" t="s">
        <v>942</v>
      </c>
      <c r="M404" s="157" t="s">
        <v>923</v>
      </c>
      <c r="N404" s="3" t="str">
        <f t="array" aca="1" ref="N404" ca="1">IFERROR(
  INDEX($J$2:$J$543,
    MATCH(A404&amp;TEXT(I404,"yyyy-mm-dd"),
          $A$2:$A$543&amp;TEXT($H$2:$H$543,"yyyy-mm-dd"),
          0)),
"")</f>
        <v/>
      </c>
      <c r="O404" s="147" t="str">
        <f t="shared" ca="1" si="267"/>
        <v/>
      </c>
      <c r="P404" s="147">
        <f t="shared" ref="P404:Q404" ca="1" si="420">IF(N404="",0,IF(N404&lt;=2,1,IF(N404&lt;=4,2,IF(N404&lt;=5.5,3,4))))</f>
        <v>0</v>
      </c>
      <c r="Q404" s="147">
        <f t="shared" ca="1" si="420"/>
        <v>0</v>
      </c>
      <c r="R404" s="147" t="str">
        <f t="shared" ca="1" si="269"/>
        <v>Not tested yet</v>
      </c>
      <c r="S404" s="147">
        <f t="shared" si="270"/>
        <v>0</v>
      </c>
      <c r="T404" s="147"/>
      <c r="U404" s="147"/>
      <c r="V404" s="147"/>
      <c r="W404" s="147"/>
      <c r="X404" s="147"/>
      <c r="Y404" s="147"/>
      <c r="Z404" s="147"/>
      <c r="AA404" s="147"/>
      <c r="AB404" s="147"/>
      <c r="AC404" s="147"/>
      <c r="AD404" s="147"/>
      <c r="AE404" s="147"/>
      <c r="AF404" s="147"/>
      <c r="AG404" s="147"/>
      <c r="AH404" s="147"/>
      <c r="AI404" s="147"/>
      <c r="AJ404" s="147"/>
      <c r="AK404" s="147"/>
      <c r="AL404" s="147"/>
      <c r="AM404" s="151"/>
      <c r="AN404" s="147"/>
      <c r="AO404" s="147"/>
      <c r="AP404" s="147"/>
      <c r="AQ404" s="147"/>
      <c r="AR404" s="147"/>
      <c r="AS404" s="147"/>
      <c r="AT404" s="147"/>
      <c r="AU404" s="147"/>
      <c r="AV404" s="147"/>
      <c r="AW404" s="147"/>
      <c r="AX404" s="147"/>
      <c r="AY404" s="147"/>
      <c r="AZ404" s="147"/>
      <c r="BA404" s="147"/>
      <c r="BB404" s="147"/>
      <c r="BC404" s="147"/>
      <c r="BD404" s="147"/>
      <c r="BE404" s="147"/>
      <c r="BF404" s="147"/>
      <c r="BG404" s="147"/>
      <c r="BH404" s="147"/>
      <c r="BI404" s="147"/>
      <c r="BJ404" s="147"/>
      <c r="BK404" s="147"/>
      <c r="BL404" s="147"/>
      <c r="BM404" s="147"/>
      <c r="BN404" s="147"/>
      <c r="BO404" s="147"/>
      <c r="BP404" s="147"/>
      <c r="BQ404" s="147"/>
      <c r="BR404" s="147"/>
      <c r="BS404" s="147"/>
      <c r="BT404" s="147"/>
      <c r="BU404" s="147"/>
      <c r="BV404" s="147"/>
      <c r="BW404" s="147"/>
      <c r="BX404" s="147"/>
      <c r="BY404" s="147"/>
      <c r="BZ404" s="147"/>
      <c r="CA404" s="147"/>
      <c r="CB404" s="147"/>
      <c r="CC404" s="147"/>
      <c r="CD404" s="147"/>
      <c r="CE404" s="147"/>
      <c r="CF404" s="147"/>
      <c r="CG404" s="147"/>
      <c r="CH404" s="147"/>
      <c r="CI404" s="147"/>
      <c r="CJ404" s="147"/>
      <c r="CK404" s="147"/>
    </row>
    <row r="405" spans="1:89">
      <c r="A405" s="159" t="s">
        <v>165</v>
      </c>
      <c r="B405" s="3" t="s">
        <v>166</v>
      </c>
      <c r="C405" s="160" t="s">
        <v>85</v>
      </c>
      <c r="D405" s="160" t="s">
        <v>878</v>
      </c>
      <c r="E405" s="3" t="s">
        <v>22</v>
      </c>
      <c r="F405" s="3" t="s">
        <v>917</v>
      </c>
      <c r="G405" s="3"/>
      <c r="H405" s="156" t="str">
        <f ca="1">IFERROR(
  _xludf.MINIFS(ATTENDANCE_LOG!$F:$F,
         ATTENDANCE_LOG!$A:$A, C405,
         ATTENDANCE_LOG!$B:$B, E405),
"")</f>
        <v/>
      </c>
      <c r="I405" s="156" t="str">
        <f t="shared" ca="1" si="266"/>
        <v/>
      </c>
      <c r="J405" s="3">
        <f>IFERROR(VLOOKUP(F405, LEVEL_HELPER!$A:$B, 2, 0), "")</f>
        <v>3</v>
      </c>
      <c r="K405" s="3" t="str">
        <f>IFERROR(VLOOKUP(G405, LEVEL_HELPER!$A:$B, 2, 0), "")</f>
        <v/>
      </c>
      <c r="L405" s="157" t="s">
        <v>942</v>
      </c>
      <c r="M405" s="157" t="s">
        <v>923</v>
      </c>
      <c r="N405" s="3">
        <f t="array" aca="1" ref="N405" ca="1">IFERROR(
  INDEX($J$2:$J$543,
    MATCH(A405&amp;TEXT(I405,"yyyy-mm-dd"),
          $A$2:$A$543&amp;TEXT($H$2:$H$543,"yyyy-mm-dd"),
          0)),
"")</f>
        <v>1</v>
      </c>
      <c r="O405" s="147" t="str">
        <f t="shared" ca="1" si="267"/>
        <v/>
      </c>
      <c r="P405" s="147">
        <f t="shared" ref="P405:Q405" ca="1" si="421">IF(N405="",0,IF(N405&lt;=2,1,IF(N405&lt;=4,2,IF(N405&lt;=5.5,3,4))))</f>
        <v>1</v>
      </c>
      <c r="Q405" s="147">
        <f t="shared" ca="1" si="421"/>
        <v>0</v>
      </c>
      <c r="R405" s="147" t="str">
        <f t="shared" ca="1" si="269"/>
        <v>Not tested yet</v>
      </c>
      <c r="S405" s="147">
        <f t="shared" si="270"/>
        <v>0</v>
      </c>
      <c r="T405" s="147"/>
      <c r="U405" s="147"/>
      <c r="V405" s="147"/>
      <c r="W405" s="147"/>
      <c r="X405" s="147"/>
      <c r="Y405" s="147"/>
      <c r="Z405" s="147"/>
      <c r="AA405" s="147"/>
      <c r="AB405" s="147"/>
      <c r="AC405" s="147"/>
      <c r="AD405" s="147"/>
      <c r="AE405" s="147"/>
      <c r="AF405" s="147"/>
      <c r="AG405" s="147"/>
      <c r="AH405" s="147"/>
      <c r="AI405" s="147"/>
      <c r="AJ405" s="147"/>
      <c r="AK405" s="147"/>
      <c r="AL405" s="147"/>
      <c r="AM405" s="151"/>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c r="BI405" s="147"/>
      <c r="BJ405" s="147"/>
      <c r="BK405" s="147"/>
      <c r="BL405" s="147"/>
      <c r="BM405" s="147"/>
      <c r="BN405" s="147"/>
      <c r="BO405" s="147"/>
      <c r="BP405" s="147"/>
      <c r="BQ405" s="147"/>
      <c r="BR405" s="147"/>
      <c r="BS405" s="147"/>
      <c r="BT405" s="147"/>
      <c r="BU405" s="147"/>
      <c r="BV405" s="147"/>
      <c r="BW405" s="147"/>
      <c r="BX405" s="147"/>
      <c r="BY405" s="147"/>
      <c r="BZ405" s="147"/>
      <c r="CA405" s="147"/>
      <c r="CB405" s="147"/>
      <c r="CC405" s="147"/>
      <c r="CD405" s="147"/>
      <c r="CE405" s="147"/>
      <c r="CF405" s="147"/>
      <c r="CG405" s="147"/>
      <c r="CH405" s="147"/>
      <c r="CI405" s="147"/>
      <c r="CJ405" s="147"/>
      <c r="CK405" s="147"/>
    </row>
    <row r="406" spans="1:89">
      <c r="A406" s="159" t="s">
        <v>275</v>
      </c>
      <c r="B406" s="3" t="s">
        <v>276</v>
      </c>
      <c r="C406" s="160" t="s">
        <v>85</v>
      </c>
      <c r="D406" s="160" t="s">
        <v>878</v>
      </c>
      <c r="E406" s="3" t="s">
        <v>22</v>
      </c>
      <c r="F406" s="3" t="s">
        <v>917</v>
      </c>
      <c r="G406" s="3"/>
      <c r="H406" s="156" t="str">
        <f ca="1">IFERROR(
  _xludf.MINIFS(ATTENDANCE_LOG!$F:$F,
         ATTENDANCE_LOG!$A:$A, C406,
         ATTENDANCE_LOG!$B:$B, E406),
"")</f>
        <v/>
      </c>
      <c r="I406" s="156" t="str">
        <f t="shared" ca="1" si="266"/>
        <v/>
      </c>
      <c r="J406" s="3">
        <f>IFERROR(VLOOKUP(F406, LEVEL_HELPER!$A:$B, 2, 0), "")</f>
        <v>3</v>
      </c>
      <c r="K406" s="3" t="str">
        <f>IFERROR(VLOOKUP(G406, LEVEL_HELPER!$A:$B, 2, 0), "")</f>
        <v/>
      </c>
      <c r="L406" s="157" t="s">
        <v>942</v>
      </c>
      <c r="M406" s="157" t="s">
        <v>923</v>
      </c>
      <c r="N406" s="3">
        <f t="array" aca="1" ref="N406" ca="1">IFERROR(
  INDEX($J$2:$J$543,
    MATCH(A406&amp;TEXT(I406,"yyyy-mm-dd"),
          $A$2:$A$543&amp;TEXT($H$2:$H$543,"yyyy-mm-dd"),
          0)),
"")</f>
        <v>1</v>
      </c>
      <c r="O406" s="147" t="str">
        <f t="shared" ca="1" si="267"/>
        <v/>
      </c>
      <c r="P406" s="147">
        <f t="shared" ref="P406:Q406" ca="1" si="422">IF(N406="",0,IF(N406&lt;=2,1,IF(N406&lt;=4,2,IF(N406&lt;=5.5,3,4))))</f>
        <v>1</v>
      </c>
      <c r="Q406" s="147">
        <f t="shared" ca="1" si="422"/>
        <v>0</v>
      </c>
      <c r="R406" s="147" t="str">
        <f t="shared" ca="1" si="269"/>
        <v>Not tested yet</v>
      </c>
      <c r="S406" s="147">
        <f t="shared" si="270"/>
        <v>0</v>
      </c>
      <c r="T406" s="147"/>
      <c r="U406" s="147"/>
      <c r="V406" s="147"/>
      <c r="W406" s="147"/>
      <c r="X406" s="147"/>
      <c r="Y406" s="147"/>
      <c r="Z406" s="147"/>
      <c r="AA406" s="147"/>
      <c r="AB406" s="147"/>
      <c r="AC406" s="147"/>
      <c r="AD406" s="147"/>
      <c r="AE406" s="147"/>
      <c r="AF406" s="147"/>
      <c r="AG406" s="147"/>
      <c r="AH406" s="147"/>
      <c r="AI406" s="147"/>
      <c r="AJ406" s="147"/>
      <c r="AK406" s="147"/>
      <c r="AL406" s="147"/>
      <c r="AM406" s="151"/>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c r="BI406" s="147"/>
      <c r="BJ406" s="147"/>
      <c r="BK406" s="147"/>
      <c r="BL406" s="147"/>
      <c r="BM406" s="147"/>
      <c r="BN406" s="147"/>
      <c r="BO406" s="147"/>
      <c r="BP406" s="147"/>
      <c r="BQ406" s="147"/>
      <c r="BR406" s="147"/>
      <c r="BS406" s="147"/>
      <c r="BT406" s="147"/>
      <c r="BU406" s="147"/>
      <c r="BV406" s="147"/>
      <c r="BW406" s="147"/>
      <c r="BX406" s="147"/>
      <c r="BY406" s="147"/>
      <c r="BZ406" s="147"/>
      <c r="CA406" s="147"/>
      <c r="CB406" s="147"/>
      <c r="CC406" s="147"/>
      <c r="CD406" s="147"/>
      <c r="CE406" s="147"/>
      <c r="CF406" s="147"/>
      <c r="CG406" s="147"/>
      <c r="CH406" s="147"/>
      <c r="CI406" s="147"/>
      <c r="CJ406" s="147"/>
      <c r="CK406" s="147"/>
    </row>
    <row r="407" spans="1:89">
      <c r="A407" s="159" t="s">
        <v>512</v>
      </c>
      <c r="B407" s="3" t="s">
        <v>513</v>
      </c>
      <c r="C407" s="160" t="s">
        <v>85</v>
      </c>
      <c r="D407" s="160" t="s">
        <v>878</v>
      </c>
      <c r="E407" s="3" t="s">
        <v>22</v>
      </c>
      <c r="F407" s="3" t="s">
        <v>917</v>
      </c>
      <c r="G407" s="3"/>
      <c r="H407" s="156" t="str">
        <f ca="1">IFERROR(
  _xludf.MINIFS(ATTENDANCE_LOG!$F:$F,
         ATTENDANCE_LOG!$A:$A, C407,
         ATTENDANCE_LOG!$B:$B, E407),
"")</f>
        <v/>
      </c>
      <c r="I407" s="156" t="str">
        <f t="shared" ca="1" si="266"/>
        <v/>
      </c>
      <c r="J407" s="3">
        <f>IFERROR(VLOOKUP(F407, LEVEL_HELPER!$A:$B, 2, 0), "")</f>
        <v>3</v>
      </c>
      <c r="K407" s="3" t="str">
        <f>IFERROR(VLOOKUP(G407, LEVEL_HELPER!$A:$B, 2, 0), "")</f>
        <v/>
      </c>
      <c r="L407" s="157" t="s">
        <v>942</v>
      </c>
      <c r="M407" s="157" t="s">
        <v>923</v>
      </c>
      <c r="N407" s="3">
        <f t="array" aca="1" ref="N407" ca="1">IFERROR(
  INDEX($J$2:$J$543,
    MATCH(A407&amp;TEXT(I407,"yyyy-mm-dd"),
          $A$2:$A$543&amp;TEXT($H$2:$H$543,"yyyy-mm-dd"),
          0)),
"")</f>
        <v>1</v>
      </c>
      <c r="O407" s="147" t="str">
        <f t="shared" ca="1" si="267"/>
        <v/>
      </c>
      <c r="P407" s="147">
        <f t="shared" ref="P407:Q407" ca="1" si="423">IF(N407="",0,IF(N407&lt;=2,1,IF(N407&lt;=4,2,IF(N407&lt;=5.5,3,4))))</f>
        <v>1</v>
      </c>
      <c r="Q407" s="147">
        <f t="shared" ca="1" si="423"/>
        <v>0</v>
      </c>
      <c r="R407" s="147" t="str">
        <f t="shared" ca="1" si="269"/>
        <v>Not tested yet</v>
      </c>
      <c r="S407" s="147">
        <f t="shared" si="270"/>
        <v>0</v>
      </c>
      <c r="T407" s="147"/>
      <c r="U407" s="147"/>
      <c r="V407" s="147"/>
      <c r="W407" s="147"/>
      <c r="X407" s="147"/>
      <c r="Y407" s="147"/>
      <c r="Z407" s="147"/>
      <c r="AA407" s="147"/>
      <c r="AB407" s="147"/>
      <c r="AC407" s="147"/>
      <c r="AD407" s="147"/>
      <c r="AE407" s="147"/>
      <c r="AF407" s="147"/>
      <c r="AG407" s="147"/>
      <c r="AH407" s="147"/>
      <c r="AI407" s="147"/>
      <c r="AJ407" s="147"/>
      <c r="AK407" s="147"/>
      <c r="AL407" s="147"/>
      <c r="AM407" s="151"/>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c r="BI407" s="147"/>
      <c r="BJ407" s="147"/>
      <c r="BK407" s="147"/>
      <c r="BL407" s="147"/>
      <c r="BM407" s="147"/>
      <c r="BN407" s="147"/>
      <c r="BO407" s="147"/>
      <c r="BP407" s="147"/>
      <c r="BQ407" s="147"/>
      <c r="BR407" s="147"/>
      <c r="BS407" s="147"/>
      <c r="BT407" s="147"/>
      <c r="BU407" s="147"/>
      <c r="BV407" s="147"/>
      <c r="BW407" s="147"/>
      <c r="BX407" s="147"/>
      <c r="BY407" s="147"/>
      <c r="BZ407" s="147"/>
      <c r="CA407" s="147"/>
      <c r="CB407" s="147"/>
      <c r="CC407" s="147"/>
      <c r="CD407" s="147"/>
      <c r="CE407" s="147"/>
      <c r="CF407" s="147"/>
      <c r="CG407" s="147"/>
      <c r="CH407" s="147"/>
      <c r="CI407" s="147"/>
      <c r="CJ407" s="147"/>
      <c r="CK407" s="147"/>
    </row>
    <row r="408" spans="1:89">
      <c r="A408" s="159" t="s">
        <v>524</v>
      </c>
      <c r="B408" s="3" t="s">
        <v>525</v>
      </c>
      <c r="C408" s="160" t="s">
        <v>85</v>
      </c>
      <c r="D408" s="160" t="s">
        <v>878</v>
      </c>
      <c r="E408" s="3" t="s">
        <v>22</v>
      </c>
      <c r="F408" s="3" t="s">
        <v>928</v>
      </c>
      <c r="G408" s="3" t="s">
        <v>934</v>
      </c>
      <c r="H408" s="156" t="str">
        <f ca="1">IFERROR(
  _xludf.MINIFS(ATTENDANCE_LOG!$F:$F,
         ATTENDANCE_LOG!$A:$A, C408,
         ATTENDANCE_LOG!$B:$B, E408),
"")</f>
        <v/>
      </c>
      <c r="I408" s="156" t="str">
        <f t="shared" ca="1" si="266"/>
        <v/>
      </c>
      <c r="J408" s="3">
        <f>IFERROR(VLOOKUP(F408, LEVEL_HELPER!$A:$B, 2, 0), "")</f>
        <v>1.5</v>
      </c>
      <c r="K408" s="3">
        <f>IFERROR(VLOOKUP(G408, LEVEL_HELPER!$A:$B, 2, 0), "")</f>
        <v>3.5</v>
      </c>
      <c r="L408" s="157" t="s">
        <v>942</v>
      </c>
      <c r="M408" s="157" t="s">
        <v>923</v>
      </c>
      <c r="N408" s="3">
        <f t="array" aca="1" ref="N408" ca="1">IFERROR(
  INDEX($J$2:$J$543,
    MATCH(A408&amp;TEXT(I408,"yyyy-mm-dd"),
          $A$2:$A$543&amp;TEXT($H$2:$H$543,"yyyy-mm-dd"),
          0)),
"")</f>
        <v>0.5</v>
      </c>
      <c r="O408" s="147" t="str">
        <f t="shared" ca="1" si="267"/>
        <v/>
      </c>
      <c r="P408" s="147">
        <f t="shared" ref="P408:Q408" ca="1" si="424">IF(N408="",0,IF(N408&lt;=2,1,IF(N408&lt;=4,2,IF(N408&lt;=5.5,3,4))))</f>
        <v>1</v>
      </c>
      <c r="Q408" s="147">
        <f t="shared" ca="1" si="424"/>
        <v>0</v>
      </c>
      <c r="R408" s="147" t="str">
        <f t="shared" ca="1" si="269"/>
        <v>Not tested yet</v>
      </c>
      <c r="S408" s="147">
        <f t="shared" si="270"/>
        <v>0</v>
      </c>
      <c r="T408" s="147"/>
      <c r="U408" s="147"/>
      <c r="V408" s="147"/>
      <c r="W408" s="147"/>
      <c r="X408" s="147"/>
      <c r="Y408" s="147"/>
      <c r="Z408" s="147"/>
      <c r="AA408" s="147"/>
      <c r="AB408" s="147"/>
      <c r="AC408" s="147"/>
      <c r="AD408" s="147"/>
      <c r="AE408" s="147"/>
      <c r="AF408" s="147"/>
      <c r="AG408" s="147"/>
      <c r="AH408" s="147"/>
      <c r="AI408" s="147"/>
      <c r="AJ408" s="147"/>
      <c r="AK408" s="147"/>
      <c r="AL408" s="147"/>
      <c r="AM408" s="151"/>
      <c r="AN408" s="147"/>
      <c r="AO408" s="147"/>
      <c r="AP408" s="147"/>
      <c r="AQ408" s="147"/>
      <c r="AR408" s="147"/>
      <c r="AS408" s="147"/>
      <c r="AT408" s="147"/>
      <c r="AU408" s="147"/>
      <c r="AV408" s="147"/>
      <c r="AW408" s="147"/>
      <c r="AX408" s="147"/>
      <c r="AY408" s="147"/>
      <c r="AZ408" s="147"/>
      <c r="BA408" s="147"/>
      <c r="BB408" s="147"/>
      <c r="BC408" s="147"/>
      <c r="BD408" s="147"/>
      <c r="BE408" s="147"/>
      <c r="BF408" s="147"/>
      <c r="BG408" s="147"/>
      <c r="BH408" s="147"/>
      <c r="BI408" s="147"/>
      <c r="BJ408" s="147"/>
      <c r="BK408" s="147"/>
      <c r="BL408" s="147"/>
      <c r="BM408" s="147"/>
      <c r="BN408" s="147"/>
      <c r="BO408" s="147"/>
      <c r="BP408" s="147"/>
      <c r="BQ408" s="147"/>
      <c r="BR408" s="147"/>
      <c r="BS408" s="147"/>
      <c r="BT408" s="147"/>
      <c r="BU408" s="147"/>
      <c r="BV408" s="147"/>
      <c r="BW408" s="147"/>
      <c r="BX408" s="147"/>
      <c r="BY408" s="147"/>
      <c r="BZ408" s="147"/>
      <c r="CA408" s="147"/>
      <c r="CB408" s="147"/>
      <c r="CC408" s="147"/>
      <c r="CD408" s="147"/>
      <c r="CE408" s="147"/>
      <c r="CF408" s="147"/>
      <c r="CG408" s="147"/>
      <c r="CH408" s="147"/>
      <c r="CI408" s="147"/>
      <c r="CJ408" s="147"/>
      <c r="CK408" s="147"/>
    </row>
    <row r="409" spans="1:89">
      <c r="A409" s="159" t="s">
        <v>530</v>
      </c>
      <c r="B409" s="3" t="s">
        <v>531</v>
      </c>
      <c r="C409" s="160" t="s">
        <v>85</v>
      </c>
      <c r="D409" s="160" t="s">
        <v>878</v>
      </c>
      <c r="E409" s="3" t="s">
        <v>22</v>
      </c>
      <c r="F409" s="3" t="s">
        <v>917</v>
      </c>
      <c r="G409" s="3" t="s">
        <v>940</v>
      </c>
      <c r="H409" s="156" t="str">
        <f ca="1">IFERROR(
  _xludf.MINIFS(ATTENDANCE_LOG!$F:$F,
         ATTENDANCE_LOG!$A:$A, C409,
         ATTENDANCE_LOG!$B:$B, E409),
"")</f>
        <v/>
      </c>
      <c r="I409" s="156" t="str">
        <f t="shared" ca="1" si="266"/>
        <v/>
      </c>
      <c r="J409" s="3">
        <f>IFERROR(VLOOKUP(F409, LEVEL_HELPER!$A:$B, 2, 0), "")</f>
        <v>3</v>
      </c>
      <c r="K409" s="3">
        <f>IFERROR(VLOOKUP(G409, LEVEL_HELPER!$A:$B, 2, 0), "")</f>
        <v>5</v>
      </c>
      <c r="L409" s="157" t="s">
        <v>942</v>
      </c>
      <c r="M409" s="157" t="s">
        <v>923</v>
      </c>
      <c r="N409" s="3">
        <f t="array" aca="1" ref="N409" ca="1">IFERROR(
  INDEX($J$2:$J$543,
    MATCH(A409&amp;TEXT(I409,"yyyy-mm-dd"),
          $A$2:$A$543&amp;TEXT($H$2:$H$543,"yyyy-mm-dd"),
          0)),
"")</f>
        <v>1</v>
      </c>
      <c r="O409" s="147" t="str">
        <f t="shared" ca="1" si="267"/>
        <v/>
      </c>
      <c r="P409" s="147">
        <f t="shared" ref="P409:Q409" ca="1" si="425">IF(N409="",0,IF(N409&lt;=2,1,IF(N409&lt;=4,2,IF(N409&lt;=5.5,3,4))))</f>
        <v>1</v>
      </c>
      <c r="Q409" s="147">
        <f t="shared" ca="1" si="425"/>
        <v>0</v>
      </c>
      <c r="R409" s="147" t="str">
        <f t="shared" ca="1" si="269"/>
        <v>Not tested yet</v>
      </c>
      <c r="S409" s="147">
        <f t="shared" si="270"/>
        <v>0</v>
      </c>
      <c r="T409" s="147"/>
      <c r="U409" s="147"/>
      <c r="V409" s="147"/>
      <c r="W409" s="147"/>
      <c r="X409" s="147"/>
      <c r="Y409" s="147"/>
      <c r="Z409" s="147"/>
      <c r="AA409" s="147"/>
      <c r="AB409" s="147"/>
      <c r="AC409" s="147"/>
      <c r="AD409" s="147"/>
      <c r="AE409" s="147"/>
      <c r="AF409" s="147"/>
      <c r="AG409" s="147"/>
      <c r="AH409" s="147"/>
      <c r="AI409" s="147"/>
      <c r="AJ409" s="147"/>
      <c r="AK409" s="147"/>
      <c r="AL409" s="147"/>
      <c r="AM409" s="151"/>
      <c r="AN409" s="147"/>
      <c r="AO409" s="147"/>
      <c r="AP409" s="147"/>
      <c r="AQ409" s="147"/>
      <c r="AR409" s="147"/>
      <c r="AS409" s="147"/>
      <c r="AT409" s="147"/>
      <c r="AU409" s="147"/>
      <c r="AV409" s="147"/>
      <c r="AW409" s="147"/>
      <c r="AX409" s="147"/>
      <c r="AY409" s="147"/>
      <c r="AZ409" s="147"/>
      <c r="BA409" s="147"/>
      <c r="BB409" s="147"/>
      <c r="BC409" s="147"/>
      <c r="BD409" s="147"/>
      <c r="BE409" s="147"/>
      <c r="BF409" s="147"/>
      <c r="BG409" s="147"/>
      <c r="BH409" s="147"/>
      <c r="BI409" s="147"/>
      <c r="BJ409" s="147"/>
      <c r="BK409" s="147"/>
      <c r="BL409" s="147"/>
      <c r="BM409" s="147"/>
      <c r="BN409" s="147"/>
      <c r="BO409" s="147"/>
      <c r="BP409" s="147"/>
      <c r="BQ409" s="147"/>
      <c r="BR409" s="147"/>
      <c r="BS409" s="147"/>
      <c r="BT409" s="147"/>
      <c r="BU409" s="147"/>
      <c r="BV409" s="147"/>
      <c r="BW409" s="147"/>
      <c r="BX409" s="147"/>
      <c r="BY409" s="147"/>
      <c r="BZ409" s="147"/>
      <c r="CA409" s="147"/>
      <c r="CB409" s="147"/>
      <c r="CC409" s="147"/>
      <c r="CD409" s="147"/>
      <c r="CE409" s="147"/>
      <c r="CF409" s="147"/>
      <c r="CG409" s="147"/>
      <c r="CH409" s="147"/>
      <c r="CI409" s="147"/>
      <c r="CJ409" s="147"/>
      <c r="CK409" s="147"/>
    </row>
    <row r="410" spans="1:89">
      <c r="A410" s="159" t="s">
        <v>621</v>
      </c>
      <c r="B410" s="3" t="s">
        <v>622</v>
      </c>
      <c r="C410" s="160" t="s">
        <v>85</v>
      </c>
      <c r="D410" s="160" t="s">
        <v>878</v>
      </c>
      <c r="E410" s="3" t="s">
        <v>22</v>
      </c>
      <c r="F410" s="3" t="s">
        <v>934</v>
      </c>
      <c r="G410" s="3" t="s">
        <v>940</v>
      </c>
      <c r="H410" s="156" t="str">
        <f ca="1">IFERROR(
  _xludf.MINIFS(ATTENDANCE_LOG!$F:$F,
         ATTENDANCE_LOG!$A:$A, C410,
         ATTENDANCE_LOG!$B:$B, E410),
"")</f>
        <v/>
      </c>
      <c r="I410" s="156" t="str">
        <f t="shared" ca="1" si="266"/>
        <v/>
      </c>
      <c r="J410" s="3">
        <f>IFERROR(VLOOKUP(F410, LEVEL_HELPER!$A:$B, 2, 0), "")</f>
        <v>3.5</v>
      </c>
      <c r="K410" s="3">
        <f>IFERROR(VLOOKUP(G410, LEVEL_HELPER!$A:$B, 2, 0), "")</f>
        <v>5</v>
      </c>
      <c r="L410" s="157" t="s">
        <v>942</v>
      </c>
      <c r="M410" s="157" t="s">
        <v>923</v>
      </c>
      <c r="N410" s="3">
        <f t="array" aca="1" ref="N410" ca="1">IFERROR(
  INDEX($J$2:$J$543,
    MATCH(A410&amp;TEXT(I410,"yyyy-mm-dd"),
          $A$2:$A$543&amp;TEXT($H$2:$H$543,"yyyy-mm-dd"),
          0)),
"")</f>
        <v>1</v>
      </c>
      <c r="O410" s="147" t="str">
        <f t="shared" ca="1" si="267"/>
        <v/>
      </c>
      <c r="P410" s="147">
        <f t="shared" ref="P410:Q410" ca="1" si="426">IF(N410="",0,IF(N410&lt;=2,1,IF(N410&lt;=4,2,IF(N410&lt;=5.5,3,4))))</f>
        <v>1</v>
      </c>
      <c r="Q410" s="147">
        <f t="shared" ca="1" si="426"/>
        <v>0</v>
      </c>
      <c r="R410" s="147" t="str">
        <f t="shared" ca="1" si="269"/>
        <v>Not tested yet</v>
      </c>
      <c r="S410" s="147">
        <f t="shared" si="270"/>
        <v>0</v>
      </c>
      <c r="T410" s="147"/>
      <c r="U410" s="147"/>
      <c r="V410" s="147"/>
      <c r="W410" s="147"/>
      <c r="X410" s="147"/>
      <c r="Y410" s="147"/>
      <c r="Z410" s="147"/>
      <c r="AA410" s="147"/>
      <c r="AB410" s="147"/>
      <c r="AC410" s="147"/>
      <c r="AD410" s="147"/>
      <c r="AE410" s="147"/>
      <c r="AF410" s="147"/>
      <c r="AG410" s="147"/>
      <c r="AH410" s="147"/>
      <c r="AI410" s="147"/>
      <c r="AJ410" s="147"/>
      <c r="AK410" s="147"/>
      <c r="AL410" s="147"/>
      <c r="AM410" s="151"/>
      <c r="AN410" s="147"/>
      <c r="AO410" s="147"/>
      <c r="AP410" s="147"/>
      <c r="AQ410" s="147"/>
      <c r="AR410" s="147"/>
      <c r="AS410" s="147"/>
      <c r="AT410" s="147"/>
      <c r="AU410" s="147"/>
      <c r="AV410" s="147"/>
      <c r="AW410" s="147"/>
      <c r="AX410" s="147"/>
      <c r="AY410" s="147"/>
      <c r="AZ410" s="147"/>
      <c r="BA410" s="147"/>
      <c r="BB410" s="147"/>
      <c r="BC410" s="147"/>
      <c r="BD410" s="147"/>
      <c r="BE410" s="147"/>
      <c r="BF410" s="147"/>
      <c r="BG410" s="147"/>
      <c r="BH410" s="147"/>
      <c r="BI410" s="147"/>
      <c r="BJ410" s="147"/>
      <c r="BK410" s="147"/>
      <c r="BL410" s="147"/>
      <c r="BM410" s="147"/>
      <c r="BN410" s="147"/>
      <c r="BO410" s="147"/>
      <c r="BP410" s="147"/>
      <c r="BQ410" s="147"/>
      <c r="BR410" s="147"/>
      <c r="BS410" s="147"/>
      <c r="BT410" s="147"/>
      <c r="BU410" s="147"/>
      <c r="BV410" s="147"/>
      <c r="BW410" s="147"/>
      <c r="BX410" s="147"/>
      <c r="BY410" s="147"/>
      <c r="BZ410" s="147"/>
      <c r="CA410" s="147"/>
      <c r="CB410" s="147"/>
      <c r="CC410" s="147"/>
      <c r="CD410" s="147"/>
      <c r="CE410" s="147"/>
      <c r="CF410" s="147"/>
      <c r="CG410" s="147"/>
      <c r="CH410" s="147"/>
      <c r="CI410" s="147"/>
      <c r="CJ410" s="147"/>
      <c r="CK410" s="147"/>
    </row>
    <row r="411" spans="1:89">
      <c r="A411" s="159" t="s">
        <v>719</v>
      </c>
      <c r="B411" s="3" t="s">
        <v>720</v>
      </c>
      <c r="C411" s="160" t="s">
        <v>85</v>
      </c>
      <c r="D411" s="160" t="s">
        <v>878</v>
      </c>
      <c r="E411" s="3" t="s">
        <v>22</v>
      </c>
      <c r="F411" s="3" t="s">
        <v>934</v>
      </c>
      <c r="G411" s="3" t="s">
        <v>940</v>
      </c>
      <c r="H411" s="156" t="str">
        <f ca="1">IFERROR(
  _xludf.MINIFS(ATTENDANCE_LOG!$F:$F,
         ATTENDANCE_LOG!$A:$A, C411,
         ATTENDANCE_LOG!$B:$B, E411),
"")</f>
        <v/>
      </c>
      <c r="I411" s="156" t="str">
        <f t="shared" ca="1" si="266"/>
        <v/>
      </c>
      <c r="J411" s="3">
        <f>IFERROR(VLOOKUP(F411, LEVEL_HELPER!$A:$B, 2, 0), "")</f>
        <v>3.5</v>
      </c>
      <c r="K411" s="3">
        <f>IFERROR(VLOOKUP(G411, LEVEL_HELPER!$A:$B, 2, 0), "")</f>
        <v>5</v>
      </c>
      <c r="L411" s="157" t="s">
        <v>956</v>
      </c>
      <c r="M411" s="157" t="s">
        <v>923</v>
      </c>
      <c r="N411" s="3">
        <f t="array" aca="1" ref="N411" ca="1">IFERROR(
  INDEX($J$2:$J$543,
    MATCH(A411&amp;TEXT(I411,"yyyy-mm-dd"),
          $A$2:$A$543&amp;TEXT($H$2:$H$543,"yyyy-mm-dd"),
          0)),
"")</f>
        <v>0</v>
      </c>
      <c r="O411" s="147" t="str">
        <f t="shared" ca="1" si="267"/>
        <v/>
      </c>
      <c r="P411" s="147">
        <f t="shared" ref="P411:Q411" ca="1" si="427">IF(N411="",0,IF(N411&lt;=2,1,IF(N411&lt;=4,2,IF(N411&lt;=5.5,3,4))))</f>
        <v>1</v>
      </c>
      <c r="Q411" s="147">
        <f t="shared" ca="1" si="427"/>
        <v>0</v>
      </c>
      <c r="R411" s="147" t="str">
        <f t="shared" ca="1" si="269"/>
        <v>Not tested yet</v>
      </c>
      <c r="S411" s="147">
        <f t="shared" si="270"/>
        <v>0</v>
      </c>
      <c r="T411" s="147"/>
      <c r="U411" s="147"/>
      <c r="V411" s="147"/>
      <c r="W411" s="147"/>
      <c r="X411" s="147"/>
      <c r="Y411" s="147"/>
      <c r="Z411" s="147"/>
      <c r="AA411" s="147"/>
      <c r="AB411" s="147"/>
      <c r="AC411" s="147"/>
      <c r="AD411" s="147"/>
      <c r="AE411" s="147"/>
      <c r="AF411" s="147"/>
      <c r="AG411" s="147"/>
      <c r="AH411" s="147"/>
      <c r="AI411" s="147"/>
      <c r="AJ411" s="147"/>
      <c r="AK411" s="147"/>
      <c r="AL411" s="147"/>
      <c r="AM411" s="151"/>
      <c r="AN411" s="147"/>
      <c r="AO411" s="147"/>
      <c r="AP411" s="147"/>
      <c r="AQ411" s="147"/>
      <c r="AR411" s="147"/>
      <c r="AS411" s="147"/>
      <c r="AT411" s="147"/>
      <c r="AU411" s="147"/>
      <c r="AV411" s="147"/>
      <c r="AW411" s="147"/>
      <c r="AX411" s="147"/>
      <c r="AY411" s="147"/>
      <c r="AZ411" s="147"/>
      <c r="BA411" s="147"/>
      <c r="BB411" s="147"/>
      <c r="BC411" s="147"/>
      <c r="BD411" s="147"/>
      <c r="BE411" s="147"/>
      <c r="BF411" s="147"/>
      <c r="BG411" s="147"/>
      <c r="BH411" s="147"/>
      <c r="BI411" s="147"/>
      <c r="BJ411" s="147"/>
      <c r="BK411" s="147"/>
      <c r="BL411" s="147"/>
      <c r="BM411" s="147"/>
      <c r="BN411" s="147"/>
      <c r="BO411" s="147"/>
      <c r="BP411" s="147"/>
      <c r="BQ411" s="147"/>
      <c r="BR411" s="147"/>
      <c r="BS411" s="147"/>
      <c r="BT411" s="147"/>
      <c r="BU411" s="147"/>
      <c r="BV411" s="147"/>
      <c r="BW411" s="147"/>
      <c r="BX411" s="147"/>
      <c r="BY411" s="147"/>
      <c r="BZ411" s="147"/>
      <c r="CA411" s="147"/>
      <c r="CB411" s="147"/>
      <c r="CC411" s="147"/>
      <c r="CD411" s="147"/>
      <c r="CE411" s="147"/>
      <c r="CF411" s="147"/>
      <c r="CG411" s="147"/>
      <c r="CH411" s="147"/>
      <c r="CI411" s="147"/>
      <c r="CJ411" s="147"/>
      <c r="CK411" s="147"/>
    </row>
    <row r="412" spans="1:89">
      <c r="A412" s="153" t="s">
        <v>407</v>
      </c>
      <c r="B412" s="154" t="s">
        <v>408</v>
      </c>
      <c r="C412" s="155" t="s">
        <v>86</v>
      </c>
      <c r="D412" s="155" t="s">
        <v>879</v>
      </c>
      <c r="E412" s="154" t="s">
        <v>25</v>
      </c>
      <c r="F412" s="154" t="s">
        <v>25</v>
      </c>
      <c r="G412" s="154" t="s">
        <v>926</v>
      </c>
      <c r="H412" s="156" t="str">
        <f ca="1">IFERROR(
  _xludf.MINIFS(ATTENDANCE_LOG!$F:$F,
         ATTENDANCE_LOG!$A:$A, C412,
         ATTENDANCE_LOG!$B:$B, E412),
"")</f>
        <v/>
      </c>
      <c r="I412" s="156" t="str">
        <f t="shared" ca="1" si="266"/>
        <v/>
      </c>
      <c r="J412" s="154">
        <f>IFERROR(VLOOKUP(F412, LEVEL_HELPER!$A:$B, 2, 0), "")</f>
        <v>0.5</v>
      </c>
      <c r="K412" s="154">
        <f>IFERROR(VLOOKUP(G412, LEVEL_HELPER!$A:$B, 2, 0), "")</f>
        <v>1</v>
      </c>
      <c r="L412" s="176" t="s">
        <v>942</v>
      </c>
      <c r="M412" s="176" t="s">
        <v>923</v>
      </c>
      <c r="N412" s="3">
        <f t="array" aca="1" ref="N412" ca="1">IFERROR(
  INDEX($J$2:$J$543,
    MATCH(A412&amp;TEXT(I412,"yyyy-mm-dd"),
          $A$2:$A$543&amp;TEXT($H$2:$H$543,"yyyy-mm-dd"),
          0)),
"")</f>
        <v>0.5</v>
      </c>
      <c r="O412" s="177" t="str">
        <f t="shared" ca="1" si="267"/>
        <v/>
      </c>
      <c r="P412" s="147">
        <f t="shared" ref="P412:Q412" ca="1" si="428">IF(N412="",0,IF(N412&lt;=2,1,IF(N412&lt;=4,2,IF(N412&lt;=5.5,3,4))))</f>
        <v>1</v>
      </c>
      <c r="Q412" s="147">
        <f t="shared" ca="1" si="428"/>
        <v>0</v>
      </c>
      <c r="R412" s="147" t="str">
        <f t="shared" ca="1" si="269"/>
        <v>Not tested yet</v>
      </c>
      <c r="S412" s="147">
        <f t="shared" si="270"/>
        <v>1</v>
      </c>
      <c r="T412" s="147"/>
      <c r="U412" s="147"/>
      <c r="V412" s="147"/>
      <c r="W412" s="147"/>
      <c r="X412" s="147"/>
      <c r="Y412" s="147"/>
      <c r="Z412" s="147"/>
      <c r="AA412" s="147"/>
      <c r="AB412" s="147"/>
      <c r="AC412" s="147"/>
      <c r="AD412" s="147"/>
      <c r="AE412" s="147"/>
      <c r="AF412" s="147"/>
      <c r="AG412" s="147"/>
      <c r="AH412" s="147"/>
      <c r="AI412" s="147"/>
      <c r="AJ412" s="147"/>
      <c r="AK412" s="147"/>
      <c r="AL412" s="147"/>
      <c r="AM412" s="151"/>
      <c r="AN412" s="147"/>
      <c r="AO412" s="147"/>
      <c r="AP412" s="147"/>
      <c r="AQ412" s="147"/>
      <c r="AR412" s="147"/>
      <c r="AS412" s="147"/>
      <c r="AT412" s="147"/>
      <c r="AU412" s="147"/>
      <c r="AV412" s="147"/>
      <c r="AW412" s="147"/>
      <c r="AX412" s="147"/>
      <c r="AY412" s="147"/>
      <c r="AZ412" s="147"/>
      <c r="BA412" s="147"/>
      <c r="BB412" s="147"/>
      <c r="BC412" s="147"/>
      <c r="BD412" s="147"/>
      <c r="BE412" s="147"/>
      <c r="BF412" s="147"/>
      <c r="BG412" s="147"/>
      <c r="BH412" s="147"/>
      <c r="BI412" s="147"/>
      <c r="BJ412" s="147"/>
      <c r="BK412" s="147"/>
      <c r="BL412" s="147"/>
      <c r="BM412" s="147"/>
      <c r="BN412" s="147"/>
      <c r="BO412" s="147"/>
      <c r="BP412" s="147"/>
      <c r="BQ412" s="147"/>
      <c r="BR412" s="147"/>
      <c r="BS412" s="147"/>
      <c r="BT412" s="147"/>
      <c r="BU412" s="147"/>
      <c r="BV412" s="147"/>
      <c r="BW412" s="147"/>
      <c r="BX412" s="147"/>
      <c r="BY412" s="147"/>
      <c r="BZ412" s="147"/>
      <c r="CA412" s="147"/>
      <c r="CB412" s="147"/>
      <c r="CC412" s="147"/>
      <c r="CD412" s="147"/>
      <c r="CE412" s="147"/>
      <c r="CF412" s="147"/>
      <c r="CG412" s="147"/>
      <c r="CH412" s="147"/>
      <c r="CI412" s="147"/>
      <c r="CJ412" s="147"/>
      <c r="CK412" s="147"/>
    </row>
    <row r="413" spans="1:89">
      <c r="A413" s="159" t="s">
        <v>153</v>
      </c>
      <c r="B413" s="3" t="s">
        <v>154</v>
      </c>
      <c r="C413" s="160" t="s">
        <v>86</v>
      </c>
      <c r="D413" s="160" t="s">
        <v>879</v>
      </c>
      <c r="E413" s="3" t="s">
        <v>25</v>
      </c>
      <c r="F413" s="3" t="s">
        <v>25</v>
      </c>
      <c r="G413" s="3" t="s">
        <v>25</v>
      </c>
      <c r="H413" s="156" t="str">
        <f ca="1">IFERROR(
  _xludf.MINIFS(ATTENDANCE_LOG!$F:$F,
         ATTENDANCE_LOG!$A:$A, C413,
         ATTENDANCE_LOG!$B:$B, E413),
"")</f>
        <v/>
      </c>
      <c r="I413" s="156" t="str">
        <f t="shared" ca="1" si="266"/>
        <v/>
      </c>
      <c r="J413" s="3">
        <f>IFERROR(VLOOKUP(F413, LEVEL_HELPER!$A:$B, 2, 0), "")</f>
        <v>0.5</v>
      </c>
      <c r="K413" s="3">
        <f>IFERROR(VLOOKUP(G413, LEVEL_HELPER!$A:$B, 2, 0), "")</f>
        <v>0.5</v>
      </c>
      <c r="L413" s="157" t="s">
        <v>942</v>
      </c>
      <c r="M413" s="157" t="s">
        <v>923</v>
      </c>
      <c r="N413" s="3">
        <f t="array" aca="1" ref="N413" ca="1">IFERROR(
  INDEX($J$2:$J$543,
    MATCH(A413&amp;TEXT(I413,"yyyy-mm-dd"),
          $A$2:$A$543&amp;TEXT($H$2:$H$543,"yyyy-mm-dd"),
          0)),
"")</f>
        <v>0.5</v>
      </c>
      <c r="O413" s="147" t="str">
        <f t="shared" ca="1" si="267"/>
        <v/>
      </c>
      <c r="P413" s="147">
        <f t="shared" ref="P413:Q413" ca="1" si="429">IF(N413="",0,IF(N413&lt;=2,1,IF(N413&lt;=4,2,IF(N413&lt;=5.5,3,4))))</f>
        <v>1</v>
      </c>
      <c r="Q413" s="147">
        <f t="shared" ca="1" si="429"/>
        <v>0</v>
      </c>
      <c r="R413" s="147" t="str">
        <f t="shared" ca="1" si="269"/>
        <v>Not tested yet</v>
      </c>
      <c r="S413" s="147">
        <f t="shared" si="270"/>
        <v>1</v>
      </c>
      <c r="T413" s="147"/>
      <c r="U413" s="147"/>
      <c r="V413" s="147"/>
      <c r="W413" s="147"/>
      <c r="X413" s="147"/>
      <c r="Y413" s="147"/>
      <c r="Z413" s="147"/>
      <c r="AA413" s="147"/>
      <c r="AB413" s="147"/>
      <c r="AC413" s="147"/>
      <c r="AD413" s="147"/>
      <c r="AE413" s="147"/>
      <c r="AF413" s="147"/>
      <c r="AG413" s="147"/>
      <c r="AH413" s="147"/>
      <c r="AI413" s="147"/>
      <c r="AJ413" s="147"/>
      <c r="AK413" s="147"/>
      <c r="AL413" s="147"/>
      <c r="AM413" s="151"/>
      <c r="AN413" s="147"/>
      <c r="AO413" s="147"/>
      <c r="AP413" s="147"/>
      <c r="AQ413" s="147"/>
      <c r="AR413" s="147"/>
      <c r="AS413" s="147"/>
      <c r="AT413" s="147"/>
      <c r="AU413" s="147"/>
      <c r="AV413" s="147"/>
      <c r="AW413" s="147"/>
      <c r="AX413" s="147"/>
      <c r="AY413" s="147"/>
      <c r="AZ413" s="147"/>
      <c r="BA413" s="147"/>
      <c r="BB413" s="147"/>
      <c r="BC413" s="147"/>
      <c r="BD413" s="147"/>
      <c r="BE413" s="147"/>
      <c r="BF413" s="147"/>
      <c r="BG413" s="147"/>
      <c r="BH413" s="147"/>
      <c r="BI413" s="147"/>
      <c r="BJ413" s="147"/>
      <c r="BK413" s="147"/>
      <c r="BL413" s="147"/>
      <c r="BM413" s="147"/>
      <c r="BN413" s="147"/>
      <c r="BO413" s="147"/>
      <c r="BP413" s="147"/>
      <c r="BQ413" s="147"/>
      <c r="BR413" s="147"/>
      <c r="BS413" s="147"/>
      <c r="BT413" s="147"/>
      <c r="BU413" s="147"/>
      <c r="BV413" s="147"/>
      <c r="BW413" s="147"/>
      <c r="BX413" s="147"/>
      <c r="BY413" s="147"/>
      <c r="BZ413" s="147"/>
      <c r="CA413" s="147"/>
      <c r="CB413" s="147"/>
      <c r="CC413" s="147"/>
      <c r="CD413" s="147"/>
      <c r="CE413" s="147"/>
      <c r="CF413" s="147"/>
      <c r="CG413" s="147"/>
      <c r="CH413" s="147"/>
      <c r="CI413" s="147"/>
      <c r="CJ413" s="147"/>
      <c r="CK413" s="147"/>
    </row>
    <row r="414" spans="1:89">
      <c r="A414" s="159" t="s">
        <v>277</v>
      </c>
      <c r="B414" s="3" t="s">
        <v>278</v>
      </c>
      <c r="C414" s="160" t="s">
        <v>86</v>
      </c>
      <c r="D414" s="160" t="s">
        <v>879</v>
      </c>
      <c r="E414" s="3" t="s">
        <v>25</v>
      </c>
      <c r="F414" s="3" t="s">
        <v>25</v>
      </c>
      <c r="G414" s="3" t="s">
        <v>25</v>
      </c>
      <c r="H414" s="156" t="str">
        <f ca="1">IFERROR(
  _xludf.MINIFS(ATTENDANCE_LOG!$F:$F,
         ATTENDANCE_LOG!$A:$A, C414,
         ATTENDANCE_LOG!$B:$B, E414),
"")</f>
        <v/>
      </c>
      <c r="I414" s="156" t="str">
        <f t="shared" ca="1" si="266"/>
        <v/>
      </c>
      <c r="J414" s="3">
        <f>IFERROR(VLOOKUP(F414, LEVEL_HELPER!$A:$B, 2, 0), "")</f>
        <v>0.5</v>
      </c>
      <c r="K414" s="3">
        <f>IFERROR(VLOOKUP(G414, LEVEL_HELPER!$A:$B, 2, 0), "")</f>
        <v>0.5</v>
      </c>
      <c r="L414" s="157" t="s">
        <v>942</v>
      </c>
      <c r="M414" s="157" t="s">
        <v>923</v>
      </c>
      <c r="N414" s="3">
        <f t="array" aca="1" ref="N414" ca="1">IFERROR(
  INDEX($J$2:$J$543,
    MATCH(A414&amp;TEXT(I414,"yyyy-mm-dd"),
          $A$2:$A$543&amp;TEXT($H$2:$H$543,"yyyy-mm-dd"),
          0)),
"")</f>
        <v>0.5</v>
      </c>
      <c r="O414" s="147" t="str">
        <f t="shared" ca="1" si="267"/>
        <v/>
      </c>
      <c r="P414" s="147">
        <f t="shared" ref="P414:Q414" ca="1" si="430">IF(N414="",0,IF(N414&lt;=2,1,IF(N414&lt;=4,2,IF(N414&lt;=5.5,3,4))))</f>
        <v>1</v>
      </c>
      <c r="Q414" s="147">
        <f t="shared" ca="1" si="430"/>
        <v>0</v>
      </c>
      <c r="R414" s="147" t="str">
        <f t="shared" ca="1" si="269"/>
        <v>Not tested yet</v>
      </c>
      <c r="S414" s="147">
        <f t="shared" si="270"/>
        <v>1</v>
      </c>
      <c r="T414" s="147"/>
      <c r="U414" s="147"/>
      <c r="V414" s="147"/>
      <c r="W414" s="147"/>
      <c r="X414" s="147"/>
      <c r="Y414" s="147"/>
      <c r="Z414" s="147"/>
      <c r="AA414" s="147"/>
      <c r="AB414" s="147"/>
      <c r="AC414" s="147"/>
      <c r="AD414" s="147"/>
      <c r="AE414" s="147"/>
      <c r="AF414" s="147"/>
      <c r="AG414" s="147"/>
      <c r="AH414" s="147"/>
      <c r="AI414" s="147"/>
      <c r="AJ414" s="147"/>
      <c r="AK414" s="147"/>
      <c r="AL414" s="147"/>
      <c r="AM414" s="151"/>
      <c r="AN414" s="147"/>
      <c r="AO414" s="147"/>
      <c r="AP414" s="147"/>
      <c r="AQ414" s="147"/>
      <c r="AR414" s="147"/>
      <c r="AS414" s="147"/>
      <c r="AT414" s="147"/>
      <c r="AU414" s="147"/>
      <c r="AV414" s="147"/>
      <c r="AW414" s="147"/>
      <c r="AX414" s="147"/>
      <c r="AY414" s="147"/>
      <c r="AZ414" s="147"/>
      <c r="BA414" s="147"/>
      <c r="BB414" s="147"/>
      <c r="BC414" s="147"/>
      <c r="BD414" s="147"/>
      <c r="BE414" s="147"/>
      <c r="BF414" s="147"/>
      <c r="BG414" s="147"/>
      <c r="BH414" s="147"/>
      <c r="BI414" s="147"/>
      <c r="BJ414" s="147"/>
      <c r="BK414" s="147"/>
      <c r="BL414" s="147"/>
      <c r="BM414" s="147"/>
      <c r="BN414" s="147"/>
      <c r="BO414" s="147"/>
      <c r="BP414" s="147"/>
      <c r="BQ414" s="147"/>
      <c r="BR414" s="147"/>
      <c r="BS414" s="147"/>
      <c r="BT414" s="147"/>
      <c r="BU414" s="147"/>
      <c r="BV414" s="147"/>
      <c r="BW414" s="147"/>
      <c r="BX414" s="147"/>
      <c r="BY414" s="147"/>
      <c r="BZ414" s="147"/>
      <c r="CA414" s="147"/>
      <c r="CB414" s="147"/>
      <c r="CC414" s="147"/>
      <c r="CD414" s="147"/>
      <c r="CE414" s="147"/>
      <c r="CF414" s="147"/>
      <c r="CG414" s="147"/>
      <c r="CH414" s="147"/>
      <c r="CI414" s="147"/>
      <c r="CJ414" s="147"/>
      <c r="CK414" s="147"/>
    </row>
    <row r="415" spans="1:89">
      <c r="A415" s="159" t="s">
        <v>355</v>
      </c>
      <c r="B415" s="3" t="s">
        <v>356</v>
      </c>
      <c r="C415" s="160" t="s">
        <v>86</v>
      </c>
      <c r="D415" s="160" t="s">
        <v>879</v>
      </c>
      <c r="E415" s="3" t="s">
        <v>25</v>
      </c>
      <c r="F415" s="3" t="s">
        <v>25</v>
      </c>
      <c r="G415" s="3" t="s">
        <v>25</v>
      </c>
      <c r="H415" s="156" t="str">
        <f ca="1">IFERROR(
  _xludf.MINIFS(ATTENDANCE_LOG!$F:$F,
         ATTENDANCE_LOG!$A:$A, C415,
         ATTENDANCE_LOG!$B:$B, E415),
"")</f>
        <v/>
      </c>
      <c r="I415" s="156" t="str">
        <f t="shared" ca="1" si="266"/>
        <v/>
      </c>
      <c r="J415" s="3">
        <f>IFERROR(VLOOKUP(F415, LEVEL_HELPER!$A:$B, 2, 0), "")</f>
        <v>0.5</v>
      </c>
      <c r="K415" s="3">
        <f>IFERROR(VLOOKUP(G415, LEVEL_HELPER!$A:$B, 2, 0), "")</f>
        <v>0.5</v>
      </c>
      <c r="L415" s="157" t="s">
        <v>942</v>
      </c>
      <c r="M415" s="157" t="s">
        <v>923</v>
      </c>
      <c r="N415" s="3">
        <f t="array" aca="1" ref="N415" ca="1">IFERROR(
  INDEX($J$2:$J$543,
    MATCH(A415&amp;TEXT(I415,"yyyy-mm-dd"),
          $A$2:$A$543&amp;TEXT($H$2:$H$543,"yyyy-mm-dd"),
          0)),
"")</f>
        <v>0.5</v>
      </c>
      <c r="O415" s="147" t="str">
        <f t="shared" ca="1" si="267"/>
        <v/>
      </c>
      <c r="P415" s="147">
        <f t="shared" ref="P415:Q415" ca="1" si="431">IF(N415="",0,IF(N415&lt;=2,1,IF(N415&lt;=4,2,IF(N415&lt;=5.5,3,4))))</f>
        <v>1</v>
      </c>
      <c r="Q415" s="147">
        <f t="shared" ca="1" si="431"/>
        <v>0</v>
      </c>
      <c r="R415" s="147" t="str">
        <f t="shared" ca="1" si="269"/>
        <v>Not tested yet</v>
      </c>
      <c r="S415" s="147">
        <f t="shared" si="270"/>
        <v>1</v>
      </c>
      <c r="T415" s="147"/>
      <c r="U415" s="147"/>
      <c r="V415" s="147"/>
      <c r="W415" s="147"/>
      <c r="X415" s="147"/>
      <c r="Y415" s="147"/>
      <c r="Z415" s="147"/>
      <c r="AA415" s="147"/>
      <c r="AB415" s="147"/>
      <c r="AC415" s="147"/>
      <c r="AD415" s="147"/>
      <c r="AE415" s="147"/>
      <c r="AF415" s="147"/>
      <c r="AG415" s="147"/>
      <c r="AH415" s="147"/>
      <c r="AI415" s="147"/>
      <c r="AJ415" s="147"/>
      <c r="AK415" s="147"/>
      <c r="AL415" s="147"/>
      <c r="AM415" s="151"/>
      <c r="AN415" s="147"/>
      <c r="AO415" s="147"/>
      <c r="AP415" s="147"/>
      <c r="AQ415" s="147"/>
      <c r="AR415" s="147"/>
      <c r="AS415" s="147"/>
      <c r="AT415" s="147"/>
      <c r="AU415" s="147"/>
      <c r="AV415" s="147"/>
      <c r="AW415" s="147"/>
      <c r="AX415" s="147"/>
      <c r="AY415" s="147"/>
      <c r="AZ415" s="147"/>
      <c r="BA415" s="147"/>
      <c r="BB415" s="147"/>
      <c r="BC415" s="147"/>
      <c r="BD415" s="147"/>
      <c r="BE415" s="147"/>
      <c r="BF415" s="147"/>
      <c r="BG415" s="147"/>
      <c r="BH415" s="147"/>
      <c r="BI415" s="147"/>
      <c r="BJ415" s="147"/>
      <c r="BK415" s="147"/>
      <c r="BL415" s="147"/>
      <c r="BM415" s="147"/>
      <c r="BN415" s="147"/>
      <c r="BO415" s="147"/>
      <c r="BP415" s="147"/>
      <c r="BQ415" s="147"/>
      <c r="BR415" s="147"/>
      <c r="BS415" s="147"/>
      <c r="BT415" s="147"/>
      <c r="BU415" s="147"/>
      <c r="BV415" s="147"/>
      <c r="BW415" s="147"/>
      <c r="BX415" s="147"/>
      <c r="BY415" s="147"/>
      <c r="BZ415" s="147"/>
      <c r="CA415" s="147"/>
      <c r="CB415" s="147"/>
      <c r="CC415" s="147"/>
      <c r="CD415" s="147"/>
      <c r="CE415" s="147"/>
      <c r="CF415" s="147"/>
      <c r="CG415" s="147"/>
      <c r="CH415" s="147"/>
      <c r="CI415" s="147"/>
      <c r="CJ415" s="147"/>
      <c r="CK415" s="147"/>
    </row>
    <row r="416" spans="1:89">
      <c r="A416" s="159" t="s">
        <v>429</v>
      </c>
      <c r="B416" s="3" t="s">
        <v>430</v>
      </c>
      <c r="C416" s="160" t="s">
        <v>86</v>
      </c>
      <c r="D416" s="160" t="s">
        <v>879</v>
      </c>
      <c r="E416" s="3" t="s">
        <v>25</v>
      </c>
      <c r="F416" s="3" t="s">
        <v>25</v>
      </c>
      <c r="G416" s="3" t="s">
        <v>25</v>
      </c>
      <c r="H416" s="156" t="str">
        <f ca="1">IFERROR(
  _xludf.MINIFS(ATTENDANCE_LOG!$F:$F,
         ATTENDANCE_LOG!$A:$A, C416,
         ATTENDANCE_LOG!$B:$B, E416),
"")</f>
        <v/>
      </c>
      <c r="I416" s="156" t="str">
        <f t="shared" ca="1" si="266"/>
        <v/>
      </c>
      <c r="J416" s="3">
        <f>IFERROR(VLOOKUP(F416, LEVEL_HELPER!$A:$B, 2, 0), "")</f>
        <v>0.5</v>
      </c>
      <c r="K416" s="3">
        <f>IFERROR(VLOOKUP(G416, LEVEL_HELPER!$A:$B, 2, 0), "")</f>
        <v>0.5</v>
      </c>
      <c r="L416" s="157" t="s">
        <v>943</v>
      </c>
      <c r="M416" s="157" t="s">
        <v>923</v>
      </c>
      <c r="N416" s="3">
        <f t="array" aca="1" ref="N416" ca="1">IFERROR(
  INDEX($J$2:$J$543,
    MATCH(A416&amp;TEXT(I416,"yyyy-mm-dd"),
          $A$2:$A$543&amp;TEXT($H$2:$H$543,"yyyy-mm-dd"),
          0)),
"")</f>
        <v>0.5</v>
      </c>
      <c r="O416" s="147" t="str">
        <f t="shared" ca="1" si="267"/>
        <v/>
      </c>
      <c r="P416" s="147">
        <f t="shared" ref="P416:Q416" ca="1" si="432">IF(N416="",0,IF(N416&lt;=2,1,IF(N416&lt;=4,2,IF(N416&lt;=5.5,3,4))))</f>
        <v>1</v>
      </c>
      <c r="Q416" s="147">
        <f t="shared" ca="1" si="432"/>
        <v>0</v>
      </c>
      <c r="R416" s="147" t="str">
        <f t="shared" ca="1" si="269"/>
        <v>Not tested yet</v>
      </c>
      <c r="S416" s="147">
        <f t="shared" si="270"/>
        <v>1</v>
      </c>
      <c r="T416" s="147"/>
      <c r="U416" s="147"/>
      <c r="V416" s="147"/>
      <c r="W416" s="147"/>
      <c r="X416" s="147"/>
      <c r="Y416" s="147"/>
      <c r="Z416" s="147"/>
      <c r="AA416" s="147"/>
      <c r="AB416" s="147"/>
      <c r="AC416" s="147"/>
      <c r="AD416" s="147"/>
      <c r="AE416" s="147"/>
      <c r="AF416" s="147"/>
      <c r="AG416" s="147"/>
      <c r="AH416" s="147"/>
      <c r="AI416" s="147"/>
      <c r="AJ416" s="147"/>
      <c r="AK416" s="147"/>
      <c r="AL416" s="147"/>
      <c r="AM416" s="151"/>
      <c r="AN416" s="147"/>
      <c r="AO416" s="147"/>
      <c r="AP416" s="147"/>
      <c r="AQ416" s="147"/>
      <c r="AR416" s="147"/>
      <c r="AS416" s="147"/>
      <c r="AT416" s="147"/>
      <c r="AU416" s="147"/>
      <c r="AV416" s="147"/>
      <c r="AW416" s="147"/>
      <c r="AX416" s="147"/>
      <c r="AY416" s="147"/>
      <c r="AZ416" s="147"/>
      <c r="BA416" s="147"/>
      <c r="BB416" s="147"/>
      <c r="BC416" s="147"/>
      <c r="BD416" s="147"/>
      <c r="BE416" s="147"/>
      <c r="BF416" s="147"/>
      <c r="BG416" s="147"/>
      <c r="BH416" s="147"/>
      <c r="BI416" s="147"/>
      <c r="BJ416" s="147"/>
      <c r="BK416" s="147"/>
      <c r="BL416" s="147"/>
      <c r="BM416" s="147"/>
      <c r="BN416" s="147"/>
      <c r="BO416" s="147"/>
      <c r="BP416" s="147"/>
      <c r="BQ416" s="147"/>
      <c r="BR416" s="147"/>
      <c r="BS416" s="147"/>
      <c r="BT416" s="147"/>
      <c r="BU416" s="147"/>
      <c r="BV416" s="147"/>
      <c r="BW416" s="147"/>
      <c r="BX416" s="147"/>
      <c r="BY416" s="147"/>
      <c r="BZ416" s="147"/>
      <c r="CA416" s="147"/>
      <c r="CB416" s="147"/>
      <c r="CC416" s="147"/>
      <c r="CD416" s="147"/>
      <c r="CE416" s="147"/>
      <c r="CF416" s="147"/>
      <c r="CG416" s="147"/>
      <c r="CH416" s="147"/>
      <c r="CI416" s="147"/>
      <c r="CJ416" s="147"/>
      <c r="CK416" s="147"/>
    </row>
    <row r="417" spans="1:89">
      <c r="A417" s="159" t="s">
        <v>538</v>
      </c>
      <c r="B417" s="3" t="s">
        <v>539</v>
      </c>
      <c r="C417" s="160" t="s">
        <v>86</v>
      </c>
      <c r="D417" s="160" t="s">
        <v>879</v>
      </c>
      <c r="E417" s="3" t="s">
        <v>25</v>
      </c>
      <c r="F417" s="3" t="s">
        <v>25</v>
      </c>
      <c r="G417" s="3" t="s">
        <v>25</v>
      </c>
      <c r="H417" s="156" t="str">
        <f ca="1">IFERROR(
  _xludf.MINIFS(ATTENDANCE_LOG!$F:$F,
         ATTENDANCE_LOG!$A:$A, C417,
         ATTENDANCE_LOG!$B:$B, E417),
"")</f>
        <v/>
      </c>
      <c r="I417" s="156" t="str">
        <f t="shared" ca="1" si="266"/>
        <v/>
      </c>
      <c r="J417" s="3">
        <f>IFERROR(VLOOKUP(F417, LEVEL_HELPER!$A:$B, 2, 0), "")</f>
        <v>0.5</v>
      </c>
      <c r="K417" s="3">
        <f>IFERROR(VLOOKUP(G417, LEVEL_HELPER!$A:$B, 2, 0), "")</f>
        <v>0.5</v>
      </c>
      <c r="L417" s="157" t="s">
        <v>942</v>
      </c>
      <c r="M417" s="157" t="s">
        <v>923</v>
      </c>
      <c r="N417" s="3">
        <f t="array" aca="1" ref="N417" ca="1">IFERROR(
  INDEX($J$2:$J$543,
    MATCH(A417&amp;TEXT(I417,"yyyy-mm-dd"),
          $A$2:$A$543&amp;TEXT($H$2:$H$543,"yyyy-mm-dd"),
          0)),
"")</f>
        <v>0.5</v>
      </c>
      <c r="O417" s="147" t="str">
        <f t="shared" ca="1" si="267"/>
        <v/>
      </c>
      <c r="P417" s="147">
        <f t="shared" ref="P417:Q417" ca="1" si="433">IF(N417="",0,IF(N417&lt;=2,1,IF(N417&lt;=4,2,IF(N417&lt;=5.5,3,4))))</f>
        <v>1</v>
      </c>
      <c r="Q417" s="147">
        <f t="shared" ca="1" si="433"/>
        <v>0</v>
      </c>
      <c r="R417" s="147" t="str">
        <f t="shared" ca="1" si="269"/>
        <v>Not tested yet</v>
      </c>
      <c r="S417" s="147">
        <f t="shared" si="270"/>
        <v>1</v>
      </c>
      <c r="T417" s="147"/>
      <c r="U417" s="147"/>
      <c r="V417" s="147"/>
      <c r="W417" s="147"/>
      <c r="X417" s="147"/>
      <c r="Y417" s="147"/>
      <c r="Z417" s="147"/>
      <c r="AA417" s="147"/>
      <c r="AB417" s="147"/>
      <c r="AC417" s="147"/>
      <c r="AD417" s="147"/>
      <c r="AE417" s="147"/>
      <c r="AF417" s="147"/>
      <c r="AG417" s="147"/>
      <c r="AH417" s="147"/>
      <c r="AI417" s="147"/>
      <c r="AJ417" s="147"/>
      <c r="AK417" s="147"/>
      <c r="AL417" s="147"/>
      <c r="AM417" s="151"/>
      <c r="AN417" s="147"/>
      <c r="AO417" s="147"/>
      <c r="AP417" s="147"/>
      <c r="AQ417" s="147"/>
      <c r="AR417" s="147"/>
      <c r="AS417" s="147"/>
      <c r="AT417" s="147"/>
      <c r="AU417" s="147"/>
      <c r="AV417" s="147"/>
      <c r="AW417" s="147"/>
      <c r="AX417" s="147"/>
      <c r="AY417" s="147"/>
      <c r="AZ417" s="147"/>
      <c r="BA417" s="147"/>
      <c r="BB417" s="147"/>
      <c r="BC417" s="147"/>
      <c r="BD417" s="147"/>
      <c r="BE417" s="147"/>
      <c r="BF417" s="147"/>
      <c r="BG417" s="147"/>
      <c r="BH417" s="147"/>
      <c r="BI417" s="147"/>
      <c r="BJ417" s="147"/>
      <c r="BK417" s="147"/>
      <c r="BL417" s="147"/>
      <c r="BM417" s="147"/>
      <c r="BN417" s="147"/>
      <c r="BO417" s="147"/>
      <c r="BP417" s="147"/>
      <c r="BQ417" s="147"/>
      <c r="BR417" s="147"/>
      <c r="BS417" s="147"/>
      <c r="BT417" s="147"/>
      <c r="BU417" s="147"/>
      <c r="BV417" s="147"/>
      <c r="BW417" s="147"/>
      <c r="BX417" s="147"/>
      <c r="BY417" s="147"/>
      <c r="BZ417" s="147"/>
      <c r="CA417" s="147"/>
      <c r="CB417" s="147"/>
      <c r="CC417" s="147"/>
      <c r="CD417" s="147"/>
      <c r="CE417" s="147"/>
      <c r="CF417" s="147"/>
      <c r="CG417" s="147"/>
      <c r="CH417" s="147"/>
      <c r="CI417" s="147"/>
      <c r="CJ417" s="147"/>
      <c r="CK417" s="147"/>
    </row>
    <row r="418" spans="1:89">
      <c r="A418" s="159" t="s">
        <v>629</v>
      </c>
      <c r="B418" s="3" t="s">
        <v>630</v>
      </c>
      <c r="C418" s="160" t="s">
        <v>86</v>
      </c>
      <c r="D418" s="160" t="s">
        <v>879</v>
      </c>
      <c r="E418" s="3" t="s">
        <v>25</v>
      </c>
      <c r="F418" s="3" t="s">
        <v>25</v>
      </c>
      <c r="G418" s="3" t="s">
        <v>25</v>
      </c>
      <c r="H418" s="156" t="str">
        <f ca="1">IFERROR(
  _xludf.MINIFS(ATTENDANCE_LOG!$F:$F,
         ATTENDANCE_LOG!$A:$A, C418,
         ATTENDANCE_LOG!$B:$B, E418),
"")</f>
        <v/>
      </c>
      <c r="I418" s="156" t="str">
        <f t="shared" ca="1" si="266"/>
        <v/>
      </c>
      <c r="J418" s="3">
        <f>IFERROR(VLOOKUP(F418, LEVEL_HELPER!$A:$B, 2, 0), "")</f>
        <v>0.5</v>
      </c>
      <c r="K418" s="3">
        <f>IFERROR(VLOOKUP(G418, LEVEL_HELPER!$A:$B, 2, 0), "")</f>
        <v>0.5</v>
      </c>
      <c r="L418" s="157" t="s">
        <v>942</v>
      </c>
      <c r="M418" s="157" t="s">
        <v>923</v>
      </c>
      <c r="N418" s="3">
        <f t="array" aca="1" ref="N418" ca="1">IFERROR(
  INDEX($J$2:$J$543,
    MATCH(A418&amp;TEXT(I418,"yyyy-mm-dd"),
          $A$2:$A$543&amp;TEXT($H$2:$H$543,"yyyy-mm-dd"),
          0)),
"")</f>
        <v>0.5</v>
      </c>
      <c r="O418" s="147" t="str">
        <f t="shared" ca="1" si="267"/>
        <v/>
      </c>
      <c r="P418" s="147">
        <f t="shared" ref="P418:Q418" ca="1" si="434">IF(N418="",0,IF(N418&lt;=2,1,IF(N418&lt;=4,2,IF(N418&lt;=5.5,3,4))))</f>
        <v>1</v>
      </c>
      <c r="Q418" s="147">
        <f t="shared" ca="1" si="434"/>
        <v>0</v>
      </c>
      <c r="R418" s="147" t="str">
        <f t="shared" ca="1" si="269"/>
        <v>Not tested yet</v>
      </c>
      <c r="S418" s="147">
        <f t="shared" si="270"/>
        <v>1</v>
      </c>
      <c r="T418" s="147"/>
      <c r="U418" s="147"/>
      <c r="V418" s="147"/>
      <c r="W418" s="147"/>
      <c r="X418" s="147"/>
      <c r="Y418" s="147"/>
      <c r="Z418" s="147"/>
      <c r="AA418" s="147"/>
      <c r="AB418" s="147"/>
      <c r="AC418" s="147"/>
      <c r="AD418" s="147"/>
      <c r="AE418" s="147"/>
      <c r="AF418" s="147"/>
      <c r="AG418" s="147"/>
      <c r="AH418" s="147"/>
      <c r="AI418" s="147"/>
      <c r="AJ418" s="147"/>
      <c r="AK418" s="147"/>
      <c r="AL418" s="147"/>
      <c r="AM418" s="151"/>
      <c r="AN418" s="147"/>
      <c r="AO418" s="147"/>
      <c r="AP418" s="147"/>
      <c r="AQ418" s="147"/>
      <c r="AR418" s="147"/>
      <c r="AS418" s="147"/>
      <c r="AT418" s="147"/>
      <c r="AU418" s="147"/>
      <c r="AV418" s="147"/>
      <c r="AW418" s="147"/>
      <c r="AX418" s="147"/>
      <c r="AY418" s="147"/>
      <c r="AZ418" s="147"/>
      <c r="BA418" s="147"/>
      <c r="BB418" s="147"/>
      <c r="BC418" s="147"/>
      <c r="BD418" s="147"/>
      <c r="BE418" s="147"/>
      <c r="BF418" s="147"/>
      <c r="BG418" s="147"/>
      <c r="BH418" s="147"/>
      <c r="BI418" s="147"/>
      <c r="BJ418" s="147"/>
      <c r="BK418" s="147"/>
      <c r="BL418" s="147"/>
      <c r="BM418" s="147"/>
      <c r="BN418" s="147"/>
      <c r="BO418" s="147"/>
      <c r="BP418" s="147"/>
      <c r="BQ418" s="147"/>
      <c r="BR418" s="147"/>
      <c r="BS418" s="147"/>
      <c r="BT418" s="147"/>
      <c r="BU418" s="147"/>
      <c r="BV418" s="147"/>
      <c r="BW418" s="147"/>
      <c r="BX418" s="147"/>
      <c r="BY418" s="147"/>
      <c r="BZ418" s="147"/>
      <c r="CA418" s="147"/>
      <c r="CB418" s="147"/>
      <c r="CC418" s="147"/>
      <c r="CD418" s="147"/>
      <c r="CE418" s="147"/>
      <c r="CF418" s="147"/>
      <c r="CG418" s="147"/>
      <c r="CH418" s="147"/>
      <c r="CI418" s="147"/>
      <c r="CJ418" s="147"/>
      <c r="CK418" s="147"/>
    </row>
    <row r="419" spans="1:89">
      <c r="A419" s="159" t="s">
        <v>679</v>
      </c>
      <c r="B419" s="3" t="s">
        <v>680</v>
      </c>
      <c r="C419" s="160" t="s">
        <v>86</v>
      </c>
      <c r="D419" s="160" t="s">
        <v>879</v>
      </c>
      <c r="E419" s="3" t="s">
        <v>25</v>
      </c>
      <c r="F419" s="3" t="s">
        <v>25</v>
      </c>
      <c r="G419" s="3" t="s">
        <v>25</v>
      </c>
      <c r="H419" s="156" t="str">
        <f ca="1">IFERROR(
  _xludf.MINIFS(ATTENDANCE_LOG!$F:$F,
         ATTENDANCE_LOG!$A:$A, C419,
         ATTENDANCE_LOG!$B:$B, E419),
"")</f>
        <v/>
      </c>
      <c r="I419" s="156" t="str">
        <f t="shared" ca="1" si="266"/>
        <v/>
      </c>
      <c r="J419" s="3">
        <f>IFERROR(VLOOKUP(F419, LEVEL_HELPER!$A:$B, 2, 0), "")</f>
        <v>0.5</v>
      </c>
      <c r="K419" s="3">
        <f>IFERROR(VLOOKUP(G419, LEVEL_HELPER!$A:$B, 2, 0), "")</f>
        <v>0.5</v>
      </c>
      <c r="L419" s="157" t="s">
        <v>942</v>
      </c>
      <c r="M419" s="157" t="s">
        <v>923</v>
      </c>
      <c r="N419" s="3">
        <f t="array" aca="1" ref="N419" ca="1">IFERROR(
  INDEX($J$2:$J$543,
    MATCH(A419&amp;TEXT(I419,"yyyy-mm-dd"),
          $A$2:$A$543&amp;TEXT($H$2:$H$543,"yyyy-mm-dd"),
          0)),
"")</f>
        <v>0.5</v>
      </c>
      <c r="O419" s="147" t="str">
        <f t="shared" ca="1" si="267"/>
        <v/>
      </c>
      <c r="P419" s="147">
        <f t="shared" ref="P419:Q419" ca="1" si="435">IF(N419="",0,IF(N419&lt;=2,1,IF(N419&lt;=4,2,IF(N419&lt;=5.5,3,4))))</f>
        <v>1</v>
      </c>
      <c r="Q419" s="147">
        <f t="shared" ca="1" si="435"/>
        <v>0</v>
      </c>
      <c r="R419" s="147" t="str">
        <f t="shared" ca="1" si="269"/>
        <v>Not tested yet</v>
      </c>
      <c r="S419" s="147">
        <f t="shared" si="270"/>
        <v>1</v>
      </c>
      <c r="T419" s="147"/>
      <c r="U419" s="147"/>
      <c r="V419" s="147"/>
      <c r="W419" s="147"/>
      <c r="X419" s="147"/>
      <c r="Y419" s="147"/>
      <c r="Z419" s="147"/>
      <c r="AA419" s="147"/>
      <c r="AB419" s="147"/>
      <c r="AC419" s="147"/>
      <c r="AD419" s="147"/>
      <c r="AE419" s="147"/>
      <c r="AF419" s="147"/>
      <c r="AG419" s="147"/>
      <c r="AH419" s="147"/>
      <c r="AI419" s="147"/>
      <c r="AJ419" s="147"/>
      <c r="AK419" s="147"/>
      <c r="AL419" s="147"/>
      <c r="AM419" s="151"/>
      <c r="AN419" s="147"/>
      <c r="AO419" s="147"/>
      <c r="AP419" s="147"/>
      <c r="AQ419" s="147"/>
      <c r="AR419" s="147"/>
      <c r="AS419" s="147"/>
      <c r="AT419" s="147"/>
      <c r="AU419" s="147"/>
      <c r="AV419" s="147"/>
      <c r="AW419" s="147"/>
      <c r="AX419" s="147"/>
      <c r="AY419" s="147"/>
      <c r="AZ419" s="147"/>
      <c r="BA419" s="147"/>
      <c r="BB419" s="147"/>
      <c r="BC419" s="147"/>
      <c r="BD419" s="147"/>
      <c r="BE419" s="147"/>
      <c r="BF419" s="147"/>
      <c r="BG419" s="147"/>
      <c r="BH419" s="147"/>
      <c r="BI419" s="147"/>
      <c r="BJ419" s="147"/>
      <c r="BK419" s="147"/>
      <c r="BL419" s="147"/>
      <c r="BM419" s="147"/>
      <c r="BN419" s="147"/>
      <c r="BO419" s="147"/>
      <c r="BP419" s="147"/>
      <c r="BQ419" s="147"/>
      <c r="BR419" s="147"/>
      <c r="BS419" s="147"/>
      <c r="BT419" s="147"/>
      <c r="BU419" s="147"/>
      <c r="BV419" s="147"/>
      <c r="BW419" s="147"/>
      <c r="BX419" s="147"/>
      <c r="BY419" s="147"/>
      <c r="BZ419" s="147"/>
      <c r="CA419" s="147"/>
      <c r="CB419" s="147"/>
      <c r="CC419" s="147"/>
      <c r="CD419" s="147"/>
      <c r="CE419" s="147"/>
      <c r="CF419" s="147"/>
      <c r="CG419" s="147"/>
      <c r="CH419" s="147"/>
      <c r="CI419" s="147"/>
      <c r="CJ419" s="147"/>
      <c r="CK419" s="147"/>
    </row>
    <row r="420" spans="1:89">
      <c r="A420" s="159" t="s">
        <v>691</v>
      </c>
      <c r="B420" s="3" t="s">
        <v>692</v>
      </c>
      <c r="C420" s="160" t="s">
        <v>86</v>
      </c>
      <c r="D420" s="160" t="s">
        <v>879</v>
      </c>
      <c r="E420" s="3" t="s">
        <v>25</v>
      </c>
      <c r="F420" s="3" t="s">
        <v>25</v>
      </c>
      <c r="G420" s="3" t="s">
        <v>25</v>
      </c>
      <c r="H420" s="156" t="str">
        <f ca="1">IFERROR(
  _xludf.MINIFS(ATTENDANCE_LOG!$F:$F,
         ATTENDANCE_LOG!$A:$A, C420,
         ATTENDANCE_LOG!$B:$B, E420),
"")</f>
        <v/>
      </c>
      <c r="I420" s="156" t="str">
        <f t="shared" ca="1" si="266"/>
        <v/>
      </c>
      <c r="J420" s="3">
        <f>IFERROR(VLOOKUP(F420, LEVEL_HELPER!$A:$B, 2, 0), "")</f>
        <v>0.5</v>
      </c>
      <c r="K420" s="3">
        <f>IFERROR(VLOOKUP(G420, LEVEL_HELPER!$A:$B, 2, 0), "")</f>
        <v>0.5</v>
      </c>
      <c r="L420" s="157" t="s">
        <v>942</v>
      </c>
      <c r="M420" s="157" t="s">
        <v>923</v>
      </c>
      <c r="N420" s="3">
        <f t="array" aca="1" ref="N420" ca="1">IFERROR(
  INDEX($J$2:$J$543,
    MATCH(A420&amp;TEXT(I420,"yyyy-mm-dd"),
          $A$2:$A$543&amp;TEXT($H$2:$H$543,"yyyy-mm-dd"),
          0)),
"")</f>
        <v>0.5</v>
      </c>
      <c r="O420" s="147" t="str">
        <f t="shared" ca="1" si="267"/>
        <v/>
      </c>
      <c r="P420" s="147">
        <f t="shared" ref="P420:Q420" ca="1" si="436">IF(N420="",0,IF(N420&lt;=2,1,IF(N420&lt;=4,2,IF(N420&lt;=5.5,3,4))))</f>
        <v>1</v>
      </c>
      <c r="Q420" s="147">
        <f t="shared" ca="1" si="436"/>
        <v>0</v>
      </c>
      <c r="R420" s="147" t="str">
        <f t="shared" ca="1" si="269"/>
        <v>Not tested yet</v>
      </c>
      <c r="S420" s="147">
        <f t="shared" si="270"/>
        <v>1</v>
      </c>
      <c r="T420" s="147"/>
      <c r="U420" s="147"/>
      <c r="V420" s="147"/>
      <c r="W420" s="147"/>
      <c r="X420" s="147"/>
      <c r="Y420" s="147"/>
      <c r="Z420" s="147"/>
      <c r="AA420" s="147"/>
      <c r="AB420" s="147"/>
      <c r="AC420" s="147"/>
      <c r="AD420" s="147"/>
      <c r="AE420" s="147"/>
      <c r="AF420" s="147"/>
      <c r="AG420" s="147"/>
      <c r="AH420" s="147"/>
      <c r="AI420" s="147"/>
      <c r="AJ420" s="147"/>
      <c r="AK420" s="147"/>
      <c r="AL420" s="147"/>
      <c r="AM420" s="151"/>
      <c r="AN420" s="147"/>
      <c r="AO420" s="147"/>
      <c r="AP420" s="147"/>
      <c r="AQ420" s="147"/>
      <c r="AR420" s="147"/>
      <c r="AS420" s="147"/>
      <c r="AT420" s="147"/>
      <c r="AU420" s="147"/>
      <c r="AV420" s="147"/>
      <c r="AW420" s="147"/>
      <c r="AX420" s="147"/>
      <c r="AY420" s="147"/>
      <c r="AZ420" s="147"/>
      <c r="BA420" s="147"/>
      <c r="BB420" s="147"/>
      <c r="BC420" s="147"/>
      <c r="BD420" s="147"/>
      <c r="BE420" s="147"/>
      <c r="BF420" s="147"/>
      <c r="BG420" s="147"/>
      <c r="BH420" s="147"/>
      <c r="BI420" s="147"/>
      <c r="BJ420" s="147"/>
      <c r="BK420" s="147"/>
      <c r="BL420" s="147"/>
      <c r="BM420" s="147"/>
      <c r="BN420" s="147"/>
      <c r="BO420" s="147"/>
      <c r="BP420" s="147"/>
      <c r="BQ420" s="147"/>
      <c r="BR420" s="147"/>
      <c r="BS420" s="147"/>
      <c r="BT420" s="147"/>
      <c r="BU420" s="147"/>
      <c r="BV420" s="147"/>
      <c r="BW420" s="147"/>
      <c r="BX420" s="147"/>
      <c r="BY420" s="147"/>
      <c r="BZ420" s="147"/>
      <c r="CA420" s="147"/>
      <c r="CB420" s="147"/>
      <c r="CC420" s="147"/>
      <c r="CD420" s="147"/>
      <c r="CE420" s="147"/>
      <c r="CF420" s="147"/>
      <c r="CG420" s="147"/>
      <c r="CH420" s="147"/>
      <c r="CI420" s="147"/>
      <c r="CJ420" s="147"/>
      <c r="CK420" s="147"/>
    </row>
    <row r="421" spans="1:89">
      <c r="A421" s="153" t="s">
        <v>407</v>
      </c>
      <c r="B421" s="154" t="s">
        <v>408</v>
      </c>
      <c r="C421" s="155" t="s">
        <v>86</v>
      </c>
      <c r="D421" s="155" t="s">
        <v>879</v>
      </c>
      <c r="E421" s="154" t="s">
        <v>21</v>
      </c>
      <c r="F421" s="3" t="s">
        <v>926</v>
      </c>
      <c r="G421" s="3" t="s">
        <v>917</v>
      </c>
      <c r="H421" s="156" t="str">
        <f ca="1">IFERROR(
  _xludf.MINIFS(ATTENDANCE_LOG!$F:$F,
         ATTENDANCE_LOG!$A:$A, C421,
         ATTENDANCE_LOG!$B:$B, E421),
"")</f>
        <v/>
      </c>
      <c r="I421" s="156" t="str">
        <f t="shared" ca="1" si="266"/>
        <v/>
      </c>
      <c r="J421" s="3">
        <f>IFERROR(VLOOKUP(F421, LEVEL_HELPER!$A:$B, 2, 0), "")</f>
        <v>1</v>
      </c>
      <c r="K421" s="3">
        <f>IFERROR(VLOOKUP(G421, LEVEL_HELPER!$A:$B, 2, 0), "")</f>
        <v>3</v>
      </c>
      <c r="L421" s="157" t="s">
        <v>942</v>
      </c>
      <c r="M421" s="157" t="s">
        <v>923</v>
      </c>
      <c r="N421" s="3">
        <f t="array" aca="1" ref="N421" ca="1">IFERROR(
  INDEX($J$2:$J$543,
    MATCH(A421&amp;TEXT(I421,"yyyy-mm-dd"),
          $A$2:$A$543&amp;TEXT($H$2:$H$543,"yyyy-mm-dd"),
          0)),
"")</f>
        <v>0.5</v>
      </c>
      <c r="O421" s="147" t="str">
        <f t="shared" ca="1" si="267"/>
        <v/>
      </c>
      <c r="P421" s="147">
        <f t="shared" ref="P421:Q421" ca="1" si="437">IF(N421="",0,IF(N421&lt;=2,1,IF(N421&lt;=4,2,IF(N421&lt;=5.5,3,4))))</f>
        <v>1</v>
      </c>
      <c r="Q421" s="147">
        <f t="shared" ca="1" si="437"/>
        <v>0</v>
      </c>
      <c r="R421" s="147" t="str">
        <f t="shared" ca="1" si="269"/>
        <v>Not tested yet</v>
      </c>
      <c r="S421" s="147">
        <f t="shared" si="270"/>
        <v>0</v>
      </c>
      <c r="T421" s="147"/>
      <c r="U421" s="147"/>
      <c r="V421" s="147"/>
      <c r="W421" s="147"/>
      <c r="X421" s="147"/>
      <c r="Y421" s="147"/>
      <c r="Z421" s="147"/>
      <c r="AA421" s="147"/>
      <c r="AB421" s="147"/>
      <c r="AC421" s="147"/>
      <c r="AD421" s="147"/>
      <c r="AE421" s="147"/>
      <c r="AF421" s="147"/>
      <c r="AG421" s="147"/>
      <c r="AH421" s="147"/>
      <c r="AI421" s="147"/>
      <c r="AJ421" s="147"/>
      <c r="AK421" s="147"/>
      <c r="AL421" s="147"/>
      <c r="AM421" s="151"/>
      <c r="AN421" s="147"/>
      <c r="AO421" s="147"/>
      <c r="AP421" s="147"/>
      <c r="AQ421" s="147"/>
      <c r="AR421" s="147"/>
      <c r="AS421" s="147"/>
      <c r="AT421" s="147"/>
      <c r="AU421" s="147"/>
      <c r="AV421" s="147"/>
      <c r="AW421" s="147"/>
      <c r="AX421" s="147"/>
      <c r="AY421" s="147"/>
      <c r="AZ421" s="147"/>
      <c r="BA421" s="147"/>
      <c r="BB421" s="147"/>
      <c r="BC421" s="147"/>
      <c r="BD421" s="147"/>
      <c r="BE421" s="147"/>
      <c r="BF421" s="147"/>
      <c r="BG421" s="147"/>
      <c r="BH421" s="147"/>
      <c r="BI421" s="147"/>
      <c r="BJ421" s="147"/>
      <c r="BK421" s="147"/>
      <c r="BL421" s="147"/>
      <c r="BM421" s="147"/>
      <c r="BN421" s="147"/>
      <c r="BO421" s="147"/>
      <c r="BP421" s="147"/>
      <c r="BQ421" s="147"/>
      <c r="BR421" s="147"/>
      <c r="BS421" s="147"/>
      <c r="BT421" s="147"/>
      <c r="BU421" s="147"/>
      <c r="BV421" s="147"/>
      <c r="BW421" s="147"/>
      <c r="BX421" s="147"/>
      <c r="BY421" s="147"/>
      <c r="BZ421" s="147"/>
      <c r="CA421" s="147"/>
      <c r="CB421" s="147"/>
      <c r="CC421" s="147"/>
      <c r="CD421" s="147"/>
      <c r="CE421" s="147"/>
      <c r="CF421" s="147"/>
      <c r="CG421" s="147"/>
      <c r="CH421" s="147"/>
      <c r="CI421" s="147"/>
      <c r="CJ421" s="147"/>
      <c r="CK421" s="147"/>
    </row>
    <row r="422" spans="1:89">
      <c r="A422" s="159" t="s">
        <v>277</v>
      </c>
      <c r="B422" s="3" t="s">
        <v>278</v>
      </c>
      <c r="C422" s="160" t="s">
        <v>86</v>
      </c>
      <c r="D422" s="160" t="s">
        <v>879</v>
      </c>
      <c r="E422" s="3" t="s">
        <v>21</v>
      </c>
      <c r="F422" s="3" t="s">
        <v>926</v>
      </c>
      <c r="G422" s="3" t="s">
        <v>928</v>
      </c>
      <c r="H422" s="156" t="str">
        <f ca="1">IFERROR(
  _xludf.MINIFS(ATTENDANCE_LOG!$F:$F,
         ATTENDANCE_LOG!$A:$A, C422,
         ATTENDANCE_LOG!$B:$B, E422),
"")</f>
        <v/>
      </c>
      <c r="I422" s="156" t="str">
        <f t="shared" ca="1" si="266"/>
        <v/>
      </c>
      <c r="J422" s="3">
        <f>IFERROR(VLOOKUP(F422, LEVEL_HELPER!$A:$B, 2, 0), "")</f>
        <v>1</v>
      </c>
      <c r="K422" s="3">
        <f>IFERROR(VLOOKUP(G422, LEVEL_HELPER!$A:$B, 2, 0), "")</f>
        <v>1.5</v>
      </c>
      <c r="L422" s="157" t="s">
        <v>942</v>
      </c>
      <c r="M422" s="157" t="s">
        <v>923</v>
      </c>
      <c r="N422" s="3">
        <f t="array" aca="1" ref="N422" ca="1">IFERROR(
  INDEX($J$2:$J$543,
    MATCH(A422&amp;TEXT(I422,"yyyy-mm-dd"),
          $A$2:$A$543&amp;TEXT($H$2:$H$543,"yyyy-mm-dd"),
          0)),
"")</f>
        <v>0.5</v>
      </c>
      <c r="O422" s="147" t="str">
        <f t="shared" ca="1" si="267"/>
        <v/>
      </c>
      <c r="P422" s="147">
        <f t="shared" ref="P422:Q422" ca="1" si="438">IF(N422="",0,IF(N422&lt;=2,1,IF(N422&lt;=4,2,IF(N422&lt;=5.5,3,4))))</f>
        <v>1</v>
      </c>
      <c r="Q422" s="147">
        <f t="shared" ca="1" si="438"/>
        <v>0</v>
      </c>
      <c r="R422" s="147" t="str">
        <f t="shared" ca="1" si="269"/>
        <v>Not tested yet</v>
      </c>
      <c r="S422" s="147">
        <f t="shared" si="270"/>
        <v>0</v>
      </c>
      <c r="T422" s="147"/>
      <c r="U422" s="147"/>
      <c r="V422" s="147"/>
      <c r="W422" s="147"/>
      <c r="X422" s="147"/>
      <c r="Y422" s="147"/>
      <c r="Z422" s="147"/>
      <c r="AA422" s="147"/>
      <c r="AB422" s="147"/>
      <c r="AC422" s="147"/>
      <c r="AD422" s="147"/>
      <c r="AE422" s="147"/>
      <c r="AF422" s="147"/>
      <c r="AG422" s="147"/>
      <c r="AH422" s="147"/>
      <c r="AI422" s="147"/>
      <c r="AJ422" s="147"/>
      <c r="AK422" s="147"/>
      <c r="AL422" s="147"/>
      <c r="AM422" s="151"/>
      <c r="AN422" s="147"/>
      <c r="AO422" s="147"/>
      <c r="AP422" s="147"/>
      <c r="AQ422" s="147"/>
      <c r="AR422" s="147"/>
      <c r="AS422" s="147"/>
      <c r="AT422" s="147"/>
      <c r="AU422" s="147"/>
      <c r="AV422" s="147"/>
      <c r="AW422" s="147"/>
      <c r="AX422" s="147"/>
      <c r="AY422" s="147"/>
      <c r="AZ422" s="147"/>
      <c r="BA422" s="147"/>
      <c r="BB422" s="147"/>
      <c r="BC422" s="147"/>
      <c r="BD422" s="147"/>
      <c r="BE422" s="147"/>
      <c r="BF422" s="147"/>
      <c r="BG422" s="147"/>
      <c r="BH422" s="147"/>
      <c r="BI422" s="147"/>
      <c r="BJ422" s="147"/>
      <c r="BK422" s="147"/>
      <c r="BL422" s="147"/>
      <c r="BM422" s="147"/>
      <c r="BN422" s="147"/>
      <c r="BO422" s="147"/>
      <c r="BP422" s="147"/>
      <c r="BQ422" s="147"/>
      <c r="BR422" s="147"/>
      <c r="BS422" s="147"/>
      <c r="BT422" s="147"/>
      <c r="BU422" s="147"/>
      <c r="BV422" s="147"/>
      <c r="BW422" s="147"/>
      <c r="BX422" s="147"/>
      <c r="BY422" s="147"/>
      <c r="BZ422" s="147"/>
      <c r="CA422" s="147"/>
      <c r="CB422" s="147"/>
      <c r="CC422" s="147"/>
      <c r="CD422" s="147"/>
      <c r="CE422" s="147"/>
      <c r="CF422" s="147"/>
      <c r="CG422" s="147"/>
      <c r="CH422" s="147"/>
      <c r="CI422" s="147"/>
      <c r="CJ422" s="147"/>
      <c r="CK422" s="147"/>
    </row>
    <row r="423" spans="1:89">
      <c r="A423" s="159" t="s">
        <v>355</v>
      </c>
      <c r="B423" s="3" t="s">
        <v>356</v>
      </c>
      <c r="C423" s="160" t="s">
        <v>86</v>
      </c>
      <c r="D423" s="160" t="s">
        <v>879</v>
      </c>
      <c r="E423" s="3" t="s">
        <v>21</v>
      </c>
      <c r="F423" s="3"/>
      <c r="G423" s="3"/>
      <c r="H423" s="156" t="str">
        <f ca="1">IFERROR(
  _xludf.MINIFS(ATTENDANCE_LOG!$F:$F,
         ATTENDANCE_LOG!$A:$A, C423,
         ATTENDANCE_LOG!$B:$B, E423),
"")</f>
        <v/>
      </c>
      <c r="I423" s="156" t="str">
        <f t="shared" ca="1" si="266"/>
        <v/>
      </c>
      <c r="J423" s="3" t="str">
        <f>IFERROR(VLOOKUP(F423, LEVEL_HELPER!$A:$B, 2, 0), "")</f>
        <v/>
      </c>
      <c r="K423" s="3" t="str">
        <f>IFERROR(VLOOKUP(G423, LEVEL_HELPER!$A:$B, 2, 0), "")</f>
        <v/>
      </c>
      <c r="L423" s="157" t="s">
        <v>942</v>
      </c>
      <c r="M423" s="157" t="s">
        <v>923</v>
      </c>
      <c r="N423" s="3">
        <f t="array" aca="1" ref="N423" ca="1">IFERROR(
  INDEX($J$2:$J$543,
    MATCH(A423&amp;TEXT(I423,"yyyy-mm-dd"),
          $A$2:$A$543&amp;TEXT($H$2:$H$543,"yyyy-mm-dd"),
          0)),
"")</f>
        <v>0.5</v>
      </c>
      <c r="O423" s="147" t="str">
        <f t="shared" ca="1" si="267"/>
        <v/>
      </c>
      <c r="P423" s="147">
        <f t="shared" ref="P423:Q423" ca="1" si="439">IF(N423="",0,IF(N423&lt;=2,1,IF(N423&lt;=4,2,IF(N423&lt;=5.5,3,4))))</f>
        <v>1</v>
      </c>
      <c r="Q423" s="147">
        <f t="shared" ca="1" si="439"/>
        <v>0</v>
      </c>
      <c r="R423" s="147" t="str">
        <f t="shared" ca="1" si="269"/>
        <v>Not tested yet</v>
      </c>
      <c r="S423" s="147">
        <f t="shared" si="270"/>
        <v>0</v>
      </c>
      <c r="T423" s="147"/>
      <c r="U423" s="147"/>
      <c r="V423" s="147"/>
      <c r="W423" s="147"/>
      <c r="X423" s="147"/>
      <c r="Y423" s="147"/>
      <c r="Z423" s="147"/>
      <c r="AA423" s="147"/>
      <c r="AB423" s="147"/>
      <c r="AC423" s="147"/>
      <c r="AD423" s="147"/>
      <c r="AE423" s="147"/>
      <c r="AF423" s="147"/>
      <c r="AG423" s="147"/>
      <c r="AH423" s="147"/>
      <c r="AI423" s="147"/>
      <c r="AJ423" s="147"/>
      <c r="AK423" s="147"/>
      <c r="AL423" s="147"/>
      <c r="AM423" s="151"/>
      <c r="AN423" s="147"/>
      <c r="AO423" s="147"/>
      <c r="AP423" s="147"/>
      <c r="AQ423" s="147"/>
      <c r="AR423" s="147"/>
      <c r="AS423" s="147"/>
      <c r="AT423" s="147"/>
      <c r="AU423" s="147"/>
      <c r="AV423" s="147"/>
      <c r="AW423" s="147"/>
      <c r="AX423" s="147"/>
      <c r="AY423" s="147"/>
      <c r="AZ423" s="147"/>
      <c r="BA423" s="147"/>
      <c r="BB423" s="147"/>
      <c r="BC423" s="147"/>
      <c r="BD423" s="147"/>
      <c r="BE423" s="147"/>
      <c r="BF423" s="147"/>
      <c r="BG423" s="147"/>
      <c r="BH423" s="147"/>
      <c r="BI423" s="147"/>
      <c r="BJ423" s="147"/>
      <c r="BK423" s="147"/>
      <c r="BL423" s="147"/>
      <c r="BM423" s="147"/>
      <c r="BN423" s="147"/>
      <c r="BO423" s="147"/>
      <c r="BP423" s="147"/>
      <c r="BQ423" s="147"/>
      <c r="BR423" s="147"/>
      <c r="BS423" s="147"/>
      <c r="BT423" s="147"/>
      <c r="BU423" s="147"/>
      <c r="BV423" s="147"/>
      <c r="BW423" s="147"/>
      <c r="BX423" s="147"/>
      <c r="BY423" s="147"/>
      <c r="BZ423" s="147"/>
      <c r="CA423" s="147"/>
      <c r="CB423" s="147"/>
      <c r="CC423" s="147"/>
      <c r="CD423" s="147"/>
      <c r="CE423" s="147"/>
      <c r="CF423" s="147"/>
      <c r="CG423" s="147"/>
      <c r="CH423" s="147"/>
      <c r="CI423" s="147"/>
      <c r="CJ423" s="147"/>
      <c r="CK423" s="147"/>
    </row>
    <row r="424" spans="1:89">
      <c r="A424" s="159" t="s">
        <v>429</v>
      </c>
      <c r="B424" s="3" t="s">
        <v>430</v>
      </c>
      <c r="C424" s="160" t="s">
        <v>86</v>
      </c>
      <c r="D424" s="160" t="s">
        <v>879</v>
      </c>
      <c r="E424" s="3" t="s">
        <v>21</v>
      </c>
      <c r="F424" s="3" t="s">
        <v>926</v>
      </c>
      <c r="G424" s="3" t="s">
        <v>917</v>
      </c>
      <c r="H424" s="156" t="str">
        <f ca="1">IFERROR(
  _xludf.MINIFS(ATTENDANCE_LOG!$F:$F,
         ATTENDANCE_LOG!$A:$A, C424,
         ATTENDANCE_LOG!$B:$B, E424),
"")</f>
        <v/>
      </c>
      <c r="I424" s="156" t="str">
        <f t="shared" ca="1" si="266"/>
        <v/>
      </c>
      <c r="J424" s="3">
        <f>IFERROR(VLOOKUP(F424, LEVEL_HELPER!$A:$B, 2, 0), "")</f>
        <v>1</v>
      </c>
      <c r="K424" s="3">
        <f>IFERROR(VLOOKUP(G424, LEVEL_HELPER!$A:$B, 2, 0), "")</f>
        <v>3</v>
      </c>
      <c r="L424" s="157" t="s">
        <v>943</v>
      </c>
      <c r="M424" s="157" t="s">
        <v>923</v>
      </c>
      <c r="N424" s="3">
        <f t="array" aca="1" ref="N424" ca="1">IFERROR(
  INDEX($J$2:$J$543,
    MATCH(A424&amp;TEXT(I424,"yyyy-mm-dd"),
          $A$2:$A$543&amp;TEXT($H$2:$H$543,"yyyy-mm-dd"),
          0)),
"")</f>
        <v>0.5</v>
      </c>
      <c r="O424" s="147" t="str">
        <f t="shared" ca="1" si="267"/>
        <v/>
      </c>
      <c r="P424" s="147">
        <f t="shared" ref="P424:Q424" ca="1" si="440">IF(N424="",0,IF(N424&lt;=2,1,IF(N424&lt;=4,2,IF(N424&lt;=5.5,3,4))))</f>
        <v>1</v>
      </c>
      <c r="Q424" s="147">
        <f t="shared" ca="1" si="440"/>
        <v>0</v>
      </c>
      <c r="R424" s="147" t="str">
        <f t="shared" ca="1" si="269"/>
        <v>Not tested yet</v>
      </c>
      <c r="S424" s="147">
        <f t="shared" si="270"/>
        <v>0</v>
      </c>
      <c r="T424" s="147"/>
      <c r="U424" s="147"/>
      <c r="V424" s="147"/>
      <c r="W424" s="147"/>
      <c r="X424" s="147"/>
      <c r="Y424" s="147"/>
      <c r="Z424" s="147"/>
      <c r="AA424" s="147"/>
      <c r="AB424" s="147"/>
      <c r="AC424" s="147"/>
      <c r="AD424" s="147"/>
      <c r="AE424" s="147"/>
      <c r="AF424" s="147"/>
      <c r="AG424" s="147"/>
      <c r="AH424" s="147"/>
      <c r="AI424" s="147"/>
      <c r="AJ424" s="147"/>
      <c r="AK424" s="147"/>
      <c r="AL424" s="147"/>
      <c r="AM424" s="151"/>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c r="BI424" s="147"/>
      <c r="BJ424" s="147"/>
      <c r="BK424" s="147"/>
      <c r="BL424" s="147"/>
      <c r="BM424" s="147"/>
      <c r="BN424" s="147"/>
      <c r="BO424" s="147"/>
      <c r="BP424" s="147"/>
      <c r="BQ424" s="147"/>
      <c r="BR424" s="147"/>
      <c r="BS424" s="147"/>
      <c r="BT424" s="147"/>
      <c r="BU424" s="147"/>
      <c r="BV424" s="147"/>
      <c r="BW424" s="147"/>
      <c r="BX424" s="147"/>
      <c r="BY424" s="147"/>
      <c r="BZ424" s="147"/>
      <c r="CA424" s="147"/>
      <c r="CB424" s="147"/>
      <c r="CC424" s="147"/>
      <c r="CD424" s="147"/>
      <c r="CE424" s="147"/>
      <c r="CF424" s="147"/>
      <c r="CG424" s="147"/>
      <c r="CH424" s="147"/>
      <c r="CI424" s="147"/>
      <c r="CJ424" s="147"/>
      <c r="CK424" s="147"/>
    </row>
    <row r="425" spans="1:89">
      <c r="A425" s="159" t="s">
        <v>538</v>
      </c>
      <c r="B425" s="3" t="s">
        <v>539</v>
      </c>
      <c r="C425" s="160" t="s">
        <v>86</v>
      </c>
      <c r="D425" s="160" t="s">
        <v>879</v>
      </c>
      <c r="E425" s="3" t="s">
        <v>21</v>
      </c>
      <c r="F425" s="3" t="s">
        <v>926</v>
      </c>
      <c r="G425" s="3" t="s">
        <v>917</v>
      </c>
      <c r="H425" s="156" t="str">
        <f ca="1">IFERROR(
  _xludf.MINIFS(ATTENDANCE_LOG!$F:$F,
         ATTENDANCE_LOG!$A:$A, C425,
         ATTENDANCE_LOG!$B:$B, E425),
"")</f>
        <v/>
      </c>
      <c r="I425" s="156" t="str">
        <f t="shared" ca="1" si="266"/>
        <v/>
      </c>
      <c r="J425" s="3">
        <f>IFERROR(VLOOKUP(F425, LEVEL_HELPER!$A:$B, 2, 0), "")</f>
        <v>1</v>
      </c>
      <c r="K425" s="3">
        <f>IFERROR(VLOOKUP(G425, LEVEL_HELPER!$A:$B, 2, 0), "")</f>
        <v>3</v>
      </c>
      <c r="L425" s="157" t="s">
        <v>942</v>
      </c>
      <c r="M425" s="157" t="s">
        <v>923</v>
      </c>
      <c r="N425" s="3">
        <f t="array" aca="1" ref="N425" ca="1">IFERROR(
  INDEX($J$2:$J$543,
    MATCH(A425&amp;TEXT(I425,"yyyy-mm-dd"),
          $A$2:$A$543&amp;TEXT($H$2:$H$543,"yyyy-mm-dd"),
          0)),
"")</f>
        <v>0.5</v>
      </c>
      <c r="O425" s="147" t="str">
        <f t="shared" ca="1" si="267"/>
        <v/>
      </c>
      <c r="P425" s="147">
        <f t="shared" ref="P425:Q425" ca="1" si="441">IF(N425="",0,IF(N425&lt;=2,1,IF(N425&lt;=4,2,IF(N425&lt;=5.5,3,4))))</f>
        <v>1</v>
      </c>
      <c r="Q425" s="147">
        <f t="shared" ca="1" si="441"/>
        <v>0</v>
      </c>
      <c r="R425" s="147" t="str">
        <f t="shared" ca="1" si="269"/>
        <v>Not tested yet</v>
      </c>
      <c r="S425" s="147">
        <f t="shared" si="270"/>
        <v>0</v>
      </c>
      <c r="T425" s="147"/>
      <c r="U425" s="147"/>
      <c r="V425" s="147"/>
      <c r="W425" s="147"/>
      <c r="X425" s="147"/>
      <c r="Y425" s="147"/>
      <c r="Z425" s="147"/>
      <c r="AA425" s="147"/>
      <c r="AB425" s="147"/>
      <c r="AC425" s="147"/>
      <c r="AD425" s="147"/>
      <c r="AE425" s="147"/>
      <c r="AF425" s="147"/>
      <c r="AG425" s="147"/>
      <c r="AH425" s="147"/>
      <c r="AI425" s="147"/>
      <c r="AJ425" s="147"/>
      <c r="AK425" s="147"/>
      <c r="AL425" s="147"/>
      <c r="AM425" s="151"/>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c r="BI425" s="147"/>
      <c r="BJ425" s="147"/>
      <c r="BK425" s="147"/>
      <c r="BL425" s="147"/>
      <c r="BM425" s="147"/>
      <c r="BN425" s="147"/>
      <c r="BO425" s="147"/>
      <c r="BP425" s="147"/>
      <c r="BQ425" s="147"/>
      <c r="BR425" s="147"/>
      <c r="BS425" s="147"/>
      <c r="BT425" s="147"/>
      <c r="BU425" s="147"/>
      <c r="BV425" s="147"/>
      <c r="BW425" s="147"/>
      <c r="BX425" s="147"/>
      <c r="BY425" s="147"/>
      <c r="BZ425" s="147"/>
      <c r="CA425" s="147"/>
      <c r="CB425" s="147"/>
      <c r="CC425" s="147"/>
      <c r="CD425" s="147"/>
      <c r="CE425" s="147"/>
      <c r="CF425" s="147"/>
      <c r="CG425" s="147"/>
      <c r="CH425" s="147"/>
      <c r="CI425" s="147"/>
      <c r="CJ425" s="147"/>
      <c r="CK425" s="147"/>
    </row>
    <row r="426" spans="1:89">
      <c r="A426" s="159" t="s">
        <v>629</v>
      </c>
      <c r="B426" s="3" t="s">
        <v>630</v>
      </c>
      <c r="C426" s="160" t="s">
        <v>86</v>
      </c>
      <c r="D426" s="160" t="s">
        <v>879</v>
      </c>
      <c r="E426" s="3" t="s">
        <v>21</v>
      </c>
      <c r="F426" s="3"/>
      <c r="G426" s="3"/>
      <c r="H426" s="156" t="str">
        <f ca="1">IFERROR(
  _xludf.MINIFS(ATTENDANCE_LOG!$F:$F,
         ATTENDANCE_LOG!$A:$A, C426,
         ATTENDANCE_LOG!$B:$B, E426),
"")</f>
        <v/>
      </c>
      <c r="I426" s="156" t="str">
        <f t="shared" ca="1" si="266"/>
        <v/>
      </c>
      <c r="J426" s="3" t="str">
        <f>IFERROR(VLOOKUP(F426, LEVEL_HELPER!$A:$B, 2, 0), "")</f>
        <v/>
      </c>
      <c r="K426" s="3" t="str">
        <f>IFERROR(VLOOKUP(G426, LEVEL_HELPER!$A:$B, 2, 0), "")</f>
        <v/>
      </c>
      <c r="L426" s="157" t="s">
        <v>942</v>
      </c>
      <c r="M426" s="157" t="s">
        <v>923</v>
      </c>
      <c r="N426" s="3">
        <f t="array" aca="1" ref="N426" ca="1">IFERROR(
  INDEX($J$2:$J$543,
    MATCH(A426&amp;TEXT(I426,"yyyy-mm-dd"),
          $A$2:$A$543&amp;TEXT($H$2:$H$543,"yyyy-mm-dd"),
          0)),
"")</f>
        <v>0.5</v>
      </c>
      <c r="O426" s="147" t="str">
        <f t="shared" ca="1" si="267"/>
        <v/>
      </c>
      <c r="P426" s="147">
        <f t="shared" ref="P426:Q426" ca="1" si="442">IF(N426="",0,IF(N426&lt;=2,1,IF(N426&lt;=4,2,IF(N426&lt;=5.5,3,4))))</f>
        <v>1</v>
      </c>
      <c r="Q426" s="147">
        <f t="shared" ca="1" si="442"/>
        <v>0</v>
      </c>
      <c r="R426" s="147" t="str">
        <f t="shared" ca="1" si="269"/>
        <v>Not tested yet</v>
      </c>
      <c r="S426" s="147">
        <f t="shared" si="270"/>
        <v>0</v>
      </c>
      <c r="T426" s="147"/>
      <c r="U426" s="147"/>
      <c r="V426" s="147"/>
      <c r="W426" s="147"/>
      <c r="X426" s="147"/>
      <c r="Y426" s="147"/>
      <c r="Z426" s="147"/>
      <c r="AA426" s="147"/>
      <c r="AB426" s="147"/>
      <c r="AC426" s="147"/>
      <c r="AD426" s="147"/>
      <c r="AE426" s="147"/>
      <c r="AF426" s="147"/>
      <c r="AG426" s="147"/>
      <c r="AH426" s="147"/>
      <c r="AI426" s="147"/>
      <c r="AJ426" s="147"/>
      <c r="AK426" s="147"/>
      <c r="AL426" s="147"/>
      <c r="AM426" s="151"/>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c r="BI426" s="147"/>
      <c r="BJ426" s="147"/>
      <c r="BK426" s="147"/>
      <c r="BL426" s="147"/>
      <c r="BM426" s="147"/>
      <c r="BN426" s="147"/>
      <c r="BO426" s="147"/>
      <c r="BP426" s="147"/>
      <c r="BQ426" s="147"/>
      <c r="BR426" s="147"/>
      <c r="BS426" s="147"/>
      <c r="BT426" s="147"/>
      <c r="BU426" s="147"/>
      <c r="BV426" s="147"/>
      <c r="BW426" s="147"/>
      <c r="BX426" s="147"/>
      <c r="BY426" s="147"/>
      <c r="BZ426" s="147"/>
      <c r="CA426" s="147"/>
      <c r="CB426" s="147"/>
      <c r="CC426" s="147"/>
      <c r="CD426" s="147"/>
      <c r="CE426" s="147"/>
      <c r="CF426" s="147"/>
      <c r="CG426" s="147"/>
      <c r="CH426" s="147"/>
      <c r="CI426" s="147"/>
      <c r="CJ426" s="147"/>
      <c r="CK426" s="147"/>
    </row>
    <row r="427" spans="1:89">
      <c r="A427" s="159" t="s">
        <v>679</v>
      </c>
      <c r="B427" s="3" t="s">
        <v>680</v>
      </c>
      <c r="C427" s="160" t="s">
        <v>86</v>
      </c>
      <c r="D427" s="160" t="s">
        <v>879</v>
      </c>
      <c r="E427" s="3" t="s">
        <v>21</v>
      </c>
      <c r="F427" s="3" t="s">
        <v>926</v>
      </c>
      <c r="G427" s="3" t="s">
        <v>934</v>
      </c>
      <c r="H427" s="156" t="str">
        <f ca="1">IFERROR(
  _xludf.MINIFS(ATTENDANCE_LOG!$F:$F,
         ATTENDANCE_LOG!$A:$A, C427,
         ATTENDANCE_LOG!$B:$B, E427),
"")</f>
        <v/>
      </c>
      <c r="I427" s="156" t="str">
        <f t="shared" ca="1" si="266"/>
        <v/>
      </c>
      <c r="J427" s="3">
        <f>IFERROR(VLOOKUP(F427, LEVEL_HELPER!$A:$B, 2, 0), "")</f>
        <v>1</v>
      </c>
      <c r="K427" s="3">
        <f>IFERROR(VLOOKUP(G427, LEVEL_HELPER!$A:$B, 2, 0), "")</f>
        <v>3.5</v>
      </c>
      <c r="L427" s="157" t="s">
        <v>942</v>
      </c>
      <c r="M427" s="157" t="s">
        <v>923</v>
      </c>
      <c r="N427" s="3">
        <f t="array" aca="1" ref="N427" ca="1">IFERROR(
  INDEX($J$2:$J$543,
    MATCH(A427&amp;TEXT(I427,"yyyy-mm-dd"),
          $A$2:$A$543&amp;TEXT($H$2:$H$543,"yyyy-mm-dd"),
          0)),
"")</f>
        <v>0.5</v>
      </c>
      <c r="O427" s="147" t="str">
        <f t="shared" ca="1" si="267"/>
        <v/>
      </c>
      <c r="P427" s="147">
        <f t="shared" ref="P427:Q427" ca="1" si="443">IF(N427="",0,IF(N427&lt;=2,1,IF(N427&lt;=4,2,IF(N427&lt;=5.5,3,4))))</f>
        <v>1</v>
      </c>
      <c r="Q427" s="147">
        <f t="shared" ca="1" si="443"/>
        <v>0</v>
      </c>
      <c r="R427" s="147" t="str">
        <f t="shared" ca="1" si="269"/>
        <v>Not tested yet</v>
      </c>
      <c r="S427" s="147">
        <f t="shared" si="270"/>
        <v>0</v>
      </c>
      <c r="T427" s="147"/>
      <c r="U427" s="147"/>
      <c r="V427" s="147"/>
      <c r="W427" s="147"/>
      <c r="X427" s="147"/>
      <c r="Y427" s="147"/>
      <c r="Z427" s="147"/>
      <c r="AA427" s="147"/>
      <c r="AB427" s="147"/>
      <c r="AC427" s="147"/>
      <c r="AD427" s="147"/>
      <c r="AE427" s="147"/>
      <c r="AF427" s="147"/>
      <c r="AG427" s="147"/>
      <c r="AH427" s="147"/>
      <c r="AI427" s="147"/>
      <c r="AJ427" s="147"/>
      <c r="AK427" s="147"/>
      <c r="AL427" s="147"/>
      <c r="AM427" s="151"/>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c r="BI427" s="147"/>
      <c r="BJ427" s="147"/>
      <c r="BK427" s="147"/>
      <c r="BL427" s="147"/>
      <c r="BM427" s="147"/>
      <c r="BN427" s="147"/>
      <c r="BO427" s="147"/>
      <c r="BP427" s="147"/>
      <c r="BQ427" s="147"/>
      <c r="BR427" s="147"/>
      <c r="BS427" s="147"/>
      <c r="BT427" s="147"/>
      <c r="BU427" s="147"/>
      <c r="BV427" s="147"/>
      <c r="BW427" s="147"/>
      <c r="BX427" s="147"/>
      <c r="BY427" s="147"/>
      <c r="BZ427" s="147"/>
      <c r="CA427" s="147"/>
      <c r="CB427" s="147"/>
      <c r="CC427" s="147"/>
      <c r="CD427" s="147"/>
      <c r="CE427" s="147"/>
      <c r="CF427" s="147"/>
      <c r="CG427" s="147"/>
      <c r="CH427" s="147"/>
      <c r="CI427" s="147"/>
      <c r="CJ427" s="147"/>
      <c r="CK427" s="147"/>
    </row>
    <row r="428" spans="1:89">
      <c r="A428" s="159" t="s">
        <v>691</v>
      </c>
      <c r="B428" s="3" t="s">
        <v>692</v>
      </c>
      <c r="C428" s="160" t="s">
        <v>86</v>
      </c>
      <c r="D428" s="160" t="s">
        <v>879</v>
      </c>
      <c r="E428" s="3" t="s">
        <v>21</v>
      </c>
      <c r="F428" s="3" t="s">
        <v>926</v>
      </c>
      <c r="G428" s="3" t="s">
        <v>934</v>
      </c>
      <c r="H428" s="156" t="str">
        <f ca="1">IFERROR(
  _xludf.MINIFS(ATTENDANCE_LOG!$F:$F,
         ATTENDANCE_LOG!$A:$A, C428,
         ATTENDANCE_LOG!$B:$B, E428),
"")</f>
        <v/>
      </c>
      <c r="I428" s="156" t="str">
        <f t="shared" ca="1" si="266"/>
        <v/>
      </c>
      <c r="J428" s="3">
        <f>IFERROR(VLOOKUP(F428, LEVEL_HELPER!$A:$B, 2, 0), "")</f>
        <v>1</v>
      </c>
      <c r="K428" s="3">
        <f>IFERROR(VLOOKUP(G428, LEVEL_HELPER!$A:$B, 2, 0), "")</f>
        <v>3.5</v>
      </c>
      <c r="L428" s="157" t="s">
        <v>942</v>
      </c>
      <c r="M428" s="157" t="s">
        <v>923</v>
      </c>
      <c r="N428" s="3">
        <f t="array" aca="1" ref="N428" ca="1">IFERROR(
  INDEX($J$2:$J$543,
    MATCH(A428&amp;TEXT(I428,"yyyy-mm-dd"),
          $A$2:$A$543&amp;TEXT($H$2:$H$543,"yyyy-mm-dd"),
          0)),
"")</f>
        <v>0.5</v>
      </c>
      <c r="O428" s="147" t="str">
        <f t="shared" ca="1" si="267"/>
        <v/>
      </c>
      <c r="P428" s="147">
        <f t="shared" ref="P428:Q428" ca="1" si="444">IF(N428="",0,IF(N428&lt;=2,1,IF(N428&lt;=4,2,IF(N428&lt;=5.5,3,4))))</f>
        <v>1</v>
      </c>
      <c r="Q428" s="147">
        <f t="shared" ca="1" si="444"/>
        <v>0</v>
      </c>
      <c r="R428" s="147" t="str">
        <f t="shared" ca="1" si="269"/>
        <v>Not tested yet</v>
      </c>
      <c r="S428" s="147">
        <f t="shared" si="270"/>
        <v>0</v>
      </c>
      <c r="T428" s="147"/>
      <c r="U428" s="147"/>
      <c r="V428" s="147"/>
      <c r="W428" s="147"/>
      <c r="X428" s="147"/>
      <c r="Y428" s="147"/>
      <c r="Z428" s="147"/>
      <c r="AA428" s="147"/>
      <c r="AB428" s="147"/>
      <c r="AC428" s="147"/>
      <c r="AD428" s="147"/>
      <c r="AE428" s="147"/>
      <c r="AF428" s="147"/>
      <c r="AG428" s="147"/>
      <c r="AH428" s="147"/>
      <c r="AI428" s="147"/>
      <c r="AJ428" s="147"/>
      <c r="AK428" s="147"/>
      <c r="AL428" s="147"/>
      <c r="AM428" s="151"/>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c r="BI428" s="147"/>
      <c r="BJ428" s="147"/>
      <c r="BK428" s="147"/>
      <c r="BL428" s="147"/>
      <c r="BM428" s="147"/>
      <c r="BN428" s="147"/>
      <c r="BO428" s="147"/>
      <c r="BP428" s="147"/>
      <c r="BQ428" s="147"/>
      <c r="BR428" s="147"/>
      <c r="BS428" s="147"/>
      <c r="BT428" s="147"/>
      <c r="BU428" s="147"/>
      <c r="BV428" s="147"/>
      <c r="BW428" s="147"/>
      <c r="BX428" s="147"/>
      <c r="BY428" s="147"/>
      <c r="BZ428" s="147"/>
      <c r="CA428" s="147"/>
      <c r="CB428" s="147"/>
      <c r="CC428" s="147"/>
      <c r="CD428" s="147"/>
      <c r="CE428" s="147"/>
      <c r="CF428" s="147"/>
      <c r="CG428" s="147"/>
      <c r="CH428" s="147"/>
      <c r="CI428" s="147"/>
      <c r="CJ428" s="147"/>
      <c r="CK428" s="147"/>
    </row>
    <row r="429" spans="1:89">
      <c r="A429" s="153" t="s">
        <v>407</v>
      </c>
      <c r="B429" s="154" t="s">
        <v>408</v>
      </c>
      <c r="C429" s="155" t="s">
        <v>86</v>
      </c>
      <c r="D429" s="155" t="s">
        <v>879</v>
      </c>
      <c r="E429" s="154" t="s">
        <v>22</v>
      </c>
      <c r="F429" s="3"/>
      <c r="G429" s="3"/>
      <c r="H429" s="156" t="str">
        <f ca="1">IFERROR(
  _xludf.MINIFS(ATTENDANCE_LOG!$F:$F,
         ATTENDANCE_LOG!$A:$A, C429,
         ATTENDANCE_LOG!$B:$B, E429),
"")</f>
        <v/>
      </c>
      <c r="I429" s="156" t="str">
        <f t="shared" ca="1" si="266"/>
        <v/>
      </c>
      <c r="J429" s="3" t="str">
        <f>IFERROR(VLOOKUP(F429, LEVEL_HELPER!$A:$B, 2, 0), "")</f>
        <v/>
      </c>
      <c r="K429" s="3" t="str">
        <f>IFERROR(VLOOKUP(G429, LEVEL_HELPER!$A:$B, 2, 0), "")</f>
        <v/>
      </c>
      <c r="L429" s="157" t="s">
        <v>942</v>
      </c>
      <c r="M429" s="157" t="s">
        <v>923</v>
      </c>
      <c r="N429" s="3">
        <f t="array" aca="1" ref="N429" ca="1">IFERROR(
  INDEX($J$2:$J$543,
    MATCH(A429&amp;TEXT(I429,"yyyy-mm-dd"),
          $A$2:$A$543&amp;TEXT($H$2:$H$543,"yyyy-mm-dd"),
          0)),
"")</f>
        <v>0.5</v>
      </c>
      <c r="O429" s="147" t="str">
        <f t="shared" ca="1" si="267"/>
        <v/>
      </c>
      <c r="P429" s="147">
        <f t="shared" ref="P429:Q429" ca="1" si="445">IF(N429="",0,IF(N429&lt;=2,1,IF(N429&lt;=4,2,IF(N429&lt;=5.5,3,4))))</f>
        <v>1</v>
      </c>
      <c r="Q429" s="147">
        <f t="shared" ca="1" si="445"/>
        <v>0</v>
      </c>
      <c r="R429" s="147" t="str">
        <f t="shared" ca="1" si="269"/>
        <v>Not tested yet</v>
      </c>
      <c r="S429" s="147">
        <f t="shared" si="270"/>
        <v>0</v>
      </c>
      <c r="T429" s="147"/>
      <c r="U429" s="147"/>
      <c r="V429" s="147"/>
      <c r="W429" s="147"/>
      <c r="X429" s="147"/>
      <c r="Y429" s="147"/>
      <c r="Z429" s="147"/>
      <c r="AA429" s="147"/>
      <c r="AB429" s="147"/>
      <c r="AC429" s="147"/>
      <c r="AD429" s="147"/>
      <c r="AE429" s="147"/>
      <c r="AF429" s="147"/>
      <c r="AG429" s="147"/>
      <c r="AH429" s="147"/>
      <c r="AI429" s="147"/>
      <c r="AJ429" s="147"/>
      <c r="AK429" s="147"/>
      <c r="AL429" s="147"/>
      <c r="AM429" s="151"/>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c r="BI429" s="147"/>
      <c r="BJ429" s="147"/>
      <c r="BK429" s="147"/>
      <c r="BL429" s="147"/>
      <c r="BM429" s="147"/>
      <c r="BN429" s="147"/>
      <c r="BO429" s="147"/>
      <c r="BP429" s="147"/>
      <c r="BQ429" s="147"/>
      <c r="BR429" s="147"/>
      <c r="BS429" s="147"/>
      <c r="BT429" s="147"/>
      <c r="BU429" s="147"/>
      <c r="BV429" s="147"/>
      <c r="BW429" s="147"/>
      <c r="BX429" s="147"/>
      <c r="BY429" s="147"/>
      <c r="BZ429" s="147"/>
      <c r="CA429" s="147"/>
      <c r="CB429" s="147"/>
      <c r="CC429" s="147"/>
      <c r="CD429" s="147"/>
      <c r="CE429" s="147"/>
      <c r="CF429" s="147"/>
      <c r="CG429" s="147"/>
      <c r="CH429" s="147"/>
      <c r="CI429" s="147"/>
      <c r="CJ429" s="147"/>
      <c r="CK429" s="147"/>
    </row>
    <row r="430" spans="1:89">
      <c r="A430" s="159" t="s">
        <v>429</v>
      </c>
      <c r="B430" s="3" t="s">
        <v>430</v>
      </c>
      <c r="C430" s="160" t="s">
        <v>86</v>
      </c>
      <c r="D430" s="160" t="s">
        <v>879</v>
      </c>
      <c r="E430" s="3" t="s">
        <v>22</v>
      </c>
      <c r="F430" s="3"/>
      <c r="G430" s="3"/>
      <c r="H430" s="156" t="str">
        <f ca="1">IFERROR(
  _xludf.MINIFS(ATTENDANCE_LOG!$F:$F,
         ATTENDANCE_LOG!$A:$A, C430,
         ATTENDANCE_LOG!$B:$B, E430),
"")</f>
        <v/>
      </c>
      <c r="I430" s="156" t="str">
        <f t="shared" ca="1" si="266"/>
        <v/>
      </c>
      <c r="J430" s="3" t="str">
        <f>IFERROR(VLOOKUP(F430, LEVEL_HELPER!$A:$B, 2, 0), "")</f>
        <v/>
      </c>
      <c r="K430" s="3" t="str">
        <f>IFERROR(VLOOKUP(G430, LEVEL_HELPER!$A:$B, 2, 0), "")</f>
        <v/>
      </c>
      <c r="L430" s="157" t="s">
        <v>943</v>
      </c>
      <c r="M430" s="157" t="s">
        <v>923</v>
      </c>
      <c r="N430" s="3">
        <f t="array" aca="1" ref="N430" ca="1">IFERROR(
  INDEX($J$2:$J$543,
    MATCH(A430&amp;TEXT(I430,"yyyy-mm-dd"),
          $A$2:$A$543&amp;TEXT($H$2:$H$543,"yyyy-mm-dd"),
          0)),
"")</f>
        <v>0.5</v>
      </c>
      <c r="O430" s="147" t="str">
        <f t="shared" ca="1" si="267"/>
        <v/>
      </c>
      <c r="P430" s="147">
        <f t="shared" ref="P430:Q430" ca="1" si="446">IF(N430="",0,IF(N430&lt;=2,1,IF(N430&lt;=4,2,IF(N430&lt;=5.5,3,4))))</f>
        <v>1</v>
      </c>
      <c r="Q430" s="147">
        <f t="shared" ca="1" si="446"/>
        <v>0</v>
      </c>
      <c r="R430" s="147" t="str">
        <f t="shared" ca="1" si="269"/>
        <v>Not tested yet</v>
      </c>
      <c r="S430" s="147">
        <f t="shared" si="270"/>
        <v>0</v>
      </c>
      <c r="T430" s="147"/>
      <c r="U430" s="147"/>
      <c r="V430" s="147"/>
      <c r="W430" s="147"/>
      <c r="X430" s="147"/>
      <c r="Y430" s="147"/>
      <c r="Z430" s="147"/>
      <c r="AA430" s="147"/>
      <c r="AB430" s="147"/>
      <c r="AC430" s="147"/>
      <c r="AD430" s="147"/>
      <c r="AE430" s="147"/>
      <c r="AF430" s="147"/>
      <c r="AG430" s="147"/>
      <c r="AH430" s="147"/>
      <c r="AI430" s="147"/>
      <c r="AJ430" s="147"/>
      <c r="AK430" s="147"/>
      <c r="AL430" s="147"/>
      <c r="AM430" s="151"/>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c r="BI430" s="147"/>
      <c r="BJ430" s="147"/>
      <c r="BK430" s="147"/>
      <c r="BL430" s="147"/>
      <c r="BM430" s="147"/>
      <c r="BN430" s="147"/>
      <c r="BO430" s="147"/>
      <c r="BP430" s="147"/>
      <c r="BQ430" s="147"/>
      <c r="BR430" s="147"/>
      <c r="BS430" s="147"/>
      <c r="BT430" s="147"/>
      <c r="BU430" s="147"/>
      <c r="BV430" s="147"/>
      <c r="BW430" s="147"/>
      <c r="BX430" s="147"/>
      <c r="BY430" s="147"/>
      <c r="BZ430" s="147"/>
      <c r="CA430" s="147"/>
      <c r="CB430" s="147"/>
      <c r="CC430" s="147"/>
      <c r="CD430" s="147"/>
      <c r="CE430" s="147"/>
      <c r="CF430" s="147"/>
      <c r="CG430" s="147"/>
      <c r="CH430" s="147"/>
      <c r="CI430" s="147"/>
      <c r="CJ430" s="147"/>
      <c r="CK430" s="147"/>
    </row>
    <row r="431" spans="1:89">
      <c r="A431" s="159" t="s">
        <v>538</v>
      </c>
      <c r="B431" s="3" t="s">
        <v>539</v>
      </c>
      <c r="C431" s="160" t="s">
        <v>86</v>
      </c>
      <c r="D431" s="160" t="s">
        <v>879</v>
      </c>
      <c r="E431" s="3" t="s">
        <v>22</v>
      </c>
      <c r="F431" s="3"/>
      <c r="G431" s="3"/>
      <c r="H431" s="156" t="str">
        <f ca="1">IFERROR(
  _xludf.MINIFS(ATTENDANCE_LOG!$F:$F,
         ATTENDANCE_LOG!$A:$A, C431,
         ATTENDANCE_LOG!$B:$B, E431),
"")</f>
        <v/>
      </c>
      <c r="I431" s="156" t="str">
        <f t="shared" ca="1" si="266"/>
        <v/>
      </c>
      <c r="J431" s="3" t="str">
        <f>IFERROR(VLOOKUP(F431, LEVEL_HELPER!$A:$B, 2, 0), "")</f>
        <v/>
      </c>
      <c r="K431" s="3" t="str">
        <f>IFERROR(VLOOKUP(G431, LEVEL_HELPER!$A:$B, 2, 0), "")</f>
        <v/>
      </c>
      <c r="L431" s="157" t="s">
        <v>942</v>
      </c>
      <c r="M431" s="157" t="s">
        <v>923</v>
      </c>
      <c r="N431" s="3">
        <f t="array" aca="1" ref="N431" ca="1">IFERROR(
  INDEX($J$2:$J$543,
    MATCH(A431&amp;TEXT(I431,"yyyy-mm-dd"),
          $A$2:$A$543&amp;TEXT($H$2:$H$543,"yyyy-mm-dd"),
          0)),
"")</f>
        <v>0.5</v>
      </c>
      <c r="O431" s="147" t="str">
        <f t="shared" ca="1" si="267"/>
        <v/>
      </c>
      <c r="P431" s="147">
        <f t="shared" ref="P431:Q431" ca="1" si="447">IF(N431="",0,IF(N431&lt;=2,1,IF(N431&lt;=4,2,IF(N431&lt;=5.5,3,4))))</f>
        <v>1</v>
      </c>
      <c r="Q431" s="147">
        <f t="shared" ca="1" si="447"/>
        <v>0</v>
      </c>
      <c r="R431" s="147" t="str">
        <f t="shared" ca="1" si="269"/>
        <v>Not tested yet</v>
      </c>
      <c r="S431" s="147">
        <f t="shared" si="270"/>
        <v>0</v>
      </c>
      <c r="T431" s="147"/>
      <c r="U431" s="147"/>
      <c r="V431" s="147"/>
      <c r="W431" s="147"/>
      <c r="X431" s="147"/>
      <c r="Y431" s="147"/>
      <c r="Z431" s="147"/>
      <c r="AA431" s="147"/>
      <c r="AB431" s="147"/>
      <c r="AC431" s="147"/>
      <c r="AD431" s="147"/>
      <c r="AE431" s="147"/>
      <c r="AF431" s="147"/>
      <c r="AG431" s="147"/>
      <c r="AH431" s="147"/>
      <c r="AI431" s="147"/>
      <c r="AJ431" s="147"/>
      <c r="AK431" s="147"/>
      <c r="AL431" s="147"/>
      <c r="AM431" s="151"/>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c r="BI431" s="147"/>
      <c r="BJ431" s="147"/>
      <c r="BK431" s="147"/>
      <c r="BL431" s="147"/>
      <c r="BM431" s="147"/>
      <c r="BN431" s="147"/>
      <c r="BO431" s="147"/>
      <c r="BP431" s="147"/>
      <c r="BQ431" s="147"/>
      <c r="BR431" s="147"/>
      <c r="BS431" s="147"/>
      <c r="BT431" s="147"/>
      <c r="BU431" s="147"/>
      <c r="BV431" s="147"/>
      <c r="BW431" s="147"/>
      <c r="BX431" s="147"/>
      <c r="BY431" s="147"/>
      <c r="BZ431" s="147"/>
      <c r="CA431" s="147"/>
      <c r="CB431" s="147"/>
      <c r="CC431" s="147"/>
      <c r="CD431" s="147"/>
      <c r="CE431" s="147"/>
      <c r="CF431" s="147"/>
      <c r="CG431" s="147"/>
      <c r="CH431" s="147"/>
      <c r="CI431" s="147"/>
      <c r="CJ431" s="147"/>
      <c r="CK431" s="147"/>
    </row>
    <row r="432" spans="1:89">
      <c r="A432" s="159" t="s">
        <v>691</v>
      </c>
      <c r="B432" s="3" t="s">
        <v>692</v>
      </c>
      <c r="C432" s="160" t="s">
        <v>86</v>
      </c>
      <c r="D432" s="160" t="s">
        <v>879</v>
      </c>
      <c r="E432" s="3" t="s">
        <v>22</v>
      </c>
      <c r="F432" s="3"/>
      <c r="G432" s="3"/>
      <c r="H432" s="156" t="str">
        <f ca="1">IFERROR(
  _xludf.MINIFS(ATTENDANCE_LOG!$F:$F,
         ATTENDANCE_LOG!$A:$A, C432,
         ATTENDANCE_LOG!$B:$B, E432),
"")</f>
        <v/>
      </c>
      <c r="I432" s="156" t="str">
        <f t="shared" ca="1" si="266"/>
        <v/>
      </c>
      <c r="J432" s="3" t="str">
        <f>IFERROR(VLOOKUP(F432, LEVEL_HELPER!$A:$B, 2, 0), "")</f>
        <v/>
      </c>
      <c r="K432" s="3" t="str">
        <f>IFERROR(VLOOKUP(G432, LEVEL_HELPER!$A:$B, 2, 0), "")</f>
        <v/>
      </c>
      <c r="L432" s="157" t="s">
        <v>942</v>
      </c>
      <c r="M432" s="157" t="s">
        <v>923</v>
      </c>
      <c r="N432" s="3">
        <f t="array" aca="1" ref="N432" ca="1">IFERROR(
  INDEX($J$2:$J$543,
    MATCH(A432&amp;TEXT(I432,"yyyy-mm-dd"),
          $A$2:$A$543&amp;TEXT($H$2:$H$543,"yyyy-mm-dd"),
          0)),
"")</f>
        <v>0.5</v>
      </c>
      <c r="O432" s="147" t="str">
        <f t="shared" ca="1" si="267"/>
        <v/>
      </c>
      <c r="P432" s="147">
        <f t="shared" ref="P432:Q432" ca="1" si="448">IF(N432="",0,IF(N432&lt;=2,1,IF(N432&lt;=4,2,IF(N432&lt;=5.5,3,4))))</f>
        <v>1</v>
      </c>
      <c r="Q432" s="147">
        <f t="shared" ca="1" si="448"/>
        <v>0</v>
      </c>
      <c r="R432" s="147" t="str">
        <f t="shared" ca="1" si="269"/>
        <v>Not tested yet</v>
      </c>
      <c r="S432" s="147">
        <f t="shared" si="270"/>
        <v>0</v>
      </c>
      <c r="T432" s="147"/>
      <c r="U432" s="147"/>
      <c r="V432" s="147"/>
      <c r="W432" s="147"/>
      <c r="X432" s="147"/>
      <c r="Y432" s="147"/>
      <c r="Z432" s="147"/>
      <c r="AA432" s="147"/>
      <c r="AB432" s="147"/>
      <c r="AC432" s="147"/>
      <c r="AD432" s="147"/>
      <c r="AE432" s="147"/>
      <c r="AF432" s="147"/>
      <c r="AG432" s="147"/>
      <c r="AH432" s="147"/>
      <c r="AI432" s="147"/>
      <c r="AJ432" s="147"/>
      <c r="AK432" s="147"/>
      <c r="AL432" s="147"/>
      <c r="AM432" s="151"/>
      <c r="AN432" s="147"/>
      <c r="AO432" s="147"/>
      <c r="AP432" s="147"/>
      <c r="AQ432" s="147"/>
      <c r="AR432" s="147"/>
      <c r="AS432" s="147"/>
      <c r="AT432" s="147"/>
      <c r="AU432" s="147"/>
      <c r="AV432" s="147"/>
      <c r="AW432" s="147"/>
      <c r="AX432" s="147"/>
      <c r="AY432" s="147"/>
      <c r="AZ432" s="147"/>
      <c r="BA432" s="147"/>
      <c r="BB432" s="147"/>
      <c r="BC432" s="147"/>
      <c r="BD432" s="147"/>
      <c r="BE432" s="147"/>
      <c r="BF432" s="147"/>
      <c r="BG432" s="147"/>
      <c r="BH432" s="147"/>
      <c r="BI432" s="147"/>
      <c r="BJ432" s="147"/>
      <c r="BK432" s="147"/>
      <c r="BL432" s="147"/>
      <c r="BM432" s="147"/>
      <c r="BN432" s="147"/>
      <c r="BO432" s="147"/>
      <c r="BP432" s="147"/>
      <c r="BQ432" s="147"/>
      <c r="BR432" s="147"/>
      <c r="BS432" s="147"/>
      <c r="BT432" s="147"/>
      <c r="BU432" s="147"/>
      <c r="BV432" s="147"/>
      <c r="BW432" s="147"/>
      <c r="BX432" s="147"/>
      <c r="BY432" s="147"/>
      <c r="BZ432" s="147"/>
      <c r="CA432" s="147"/>
      <c r="CB432" s="147"/>
      <c r="CC432" s="147"/>
      <c r="CD432" s="147"/>
      <c r="CE432" s="147"/>
      <c r="CF432" s="147"/>
      <c r="CG432" s="147"/>
      <c r="CH432" s="147"/>
      <c r="CI432" s="147"/>
      <c r="CJ432" s="147"/>
      <c r="CK432" s="147"/>
    </row>
    <row r="433" spans="1:89">
      <c r="A433" s="153" t="s">
        <v>383</v>
      </c>
      <c r="B433" s="154" t="s">
        <v>384</v>
      </c>
      <c r="C433" s="155" t="s">
        <v>87</v>
      </c>
      <c r="D433" s="155" t="s">
        <v>880</v>
      </c>
      <c r="E433" s="154" t="s">
        <v>21</v>
      </c>
      <c r="F433" s="154" t="s">
        <v>931</v>
      </c>
      <c r="G433" s="154" t="s">
        <v>937</v>
      </c>
      <c r="H433" s="156" t="str">
        <f ca="1">IFERROR(
  _xludf.MINIFS(ATTENDANCE_LOG!$F:$F,
         ATTENDANCE_LOG!$A:$A, C433,
         ATTENDANCE_LOG!$B:$B, E433),
"")</f>
        <v/>
      </c>
      <c r="I433" s="156" t="str">
        <f t="shared" ca="1" si="266"/>
        <v/>
      </c>
      <c r="J433" s="154">
        <f>IFERROR(VLOOKUP(F433, LEVEL_HELPER!$A:$B, 2, 0), "")</f>
        <v>4.5</v>
      </c>
      <c r="K433" s="154">
        <f>IFERROR(VLOOKUP(G433, LEVEL_HELPER!$A:$B, 2, 0), "")</f>
        <v>5.5</v>
      </c>
      <c r="L433" s="176" t="s">
        <v>941</v>
      </c>
      <c r="M433" s="176" t="s">
        <v>925</v>
      </c>
      <c r="N433" s="3" t="str">
        <f t="array" aca="1" ref="N433" ca="1">IFERROR(
  INDEX($J$2:$J$543,
    MATCH(A433&amp;TEXT(I433,"yyyy-mm-dd"),
          $A$2:$A$543&amp;TEXT($H$2:$H$543,"yyyy-mm-dd"),
          0)),
"")</f>
        <v/>
      </c>
      <c r="O433" s="177" t="str">
        <f t="shared" ca="1" si="267"/>
        <v/>
      </c>
      <c r="P433" s="147">
        <f t="shared" ref="P433:Q433" ca="1" si="449">IF(N433="",0,IF(N433&lt;=2,1,IF(N433&lt;=4,2,IF(N433&lt;=5.5,3,4))))</f>
        <v>0</v>
      </c>
      <c r="Q433" s="147">
        <f t="shared" ca="1" si="449"/>
        <v>0</v>
      </c>
      <c r="R433" s="147" t="str">
        <f t="shared" ca="1" si="269"/>
        <v>Not tested yet</v>
      </c>
      <c r="S433" s="147">
        <f t="shared" si="270"/>
        <v>0</v>
      </c>
      <c r="T433" s="147"/>
      <c r="U433" s="147"/>
      <c r="V433" s="147"/>
      <c r="W433" s="147"/>
      <c r="X433" s="147"/>
      <c r="Y433" s="147"/>
      <c r="Z433" s="147"/>
      <c r="AA433" s="147"/>
      <c r="AB433" s="147"/>
      <c r="AC433" s="147"/>
      <c r="AD433" s="147"/>
      <c r="AE433" s="147"/>
      <c r="AF433" s="147"/>
      <c r="AG433" s="147"/>
      <c r="AH433" s="147"/>
      <c r="AI433" s="147"/>
      <c r="AJ433" s="147"/>
      <c r="AK433" s="147"/>
      <c r="AL433" s="147"/>
      <c r="AM433" s="151"/>
      <c r="AN433" s="147"/>
      <c r="AO433" s="147"/>
      <c r="AP433" s="147"/>
      <c r="AQ433" s="147"/>
      <c r="AR433" s="147"/>
      <c r="AS433" s="147"/>
      <c r="AT433" s="147"/>
      <c r="AU433" s="147"/>
      <c r="AV433" s="147"/>
      <c r="AW433" s="147"/>
      <c r="AX433" s="147"/>
      <c r="AY433" s="147"/>
      <c r="AZ433" s="147"/>
      <c r="BA433" s="147"/>
      <c r="BB433" s="147"/>
      <c r="BC433" s="147"/>
      <c r="BD433" s="147"/>
      <c r="BE433" s="147"/>
      <c r="BF433" s="147"/>
      <c r="BG433" s="147"/>
      <c r="BH433" s="147"/>
      <c r="BI433" s="147"/>
      <c r="BJ433" s="147"/>
      <c r="BK433" s="147"/>
      <c r="BL433" s="147"/>
      <c r="BM433" s="147"/>
      <c r="BN433" s="147"/>
      <c r="BO433" s="147"/>
      <c r="BP433" s="147"/>
      <c r="BQ433" s="147"/>
      <c r="BR433" s="147"/>
      <c r="BS433" s="147"/>
      <c r="BT433" s="147"/>
      <c r="BU433" s="147"/>
      <c r="BV433" s="147"/>
      <c r="BW433" s="147"/>
      <c r="BX433" s="147"/>
      <c r="BY433" s="147"/>
      <c r="BZ433" s="147"/>
      <c r="CA433" s="147"/>
      <c r="CB433" s="147"/>
      <c r="CC433" s="147"/>
      <c r="CD433" s="147"/>
      <c r="CE433" s="147"/>
      <c r="CF433" s="147"/>
      <c r="CG433" s="147"/>
      <c r="CH433" s="147"/>
      <c r="CI433" s="147"/>
      <c r="CJ433" s="147"/>
      <c r="CK433" s="147"/>
    </row>
    <row r="434" spans="1:89">
      <c r="A434" s="159" t="s">
        <v>389</v>
      </c>
      <c r="B434" s="3" t="s">
        <v>390</v>
      </c>
      <c r="C434" s="160" t="s">
        <v>87</v>
      </c>
      <c r="D434" s="160" t="s">
        <v>880</v>
      </c>
      <c r="E434" s="3" t="s">
        <v>21</v>
      </c>
      <c r="F434" s="3" t="s">
        <v>926</v>
      </c>
      <c r="G434" s="3" t="s">
        <v>917</v>
      </c>
      <c r="H434" s="156" t="str">
        <f ca="1">IFERROR(
  _xludf.MINIFS(ATTENDANCE_LOG!$F:$F,
         ATTENDANCE_LOG!$A:$A, C434,
         ATTENDANCE_LOG!$B:$B, E434),
"")</f>
        <v/>
      </c>
      <c r="I434" s="156" t="str">
        <f t="shared" ca="1" si="266"/>
        <v/>
      </c>
      <c r="J434" s="3">
        <f>IFERROR(VLOOKUP(F434, LEVEL_HELPER!$A:$B, 2, 0), "")</f>
        <v>1</v>
      </c>
      <c r="K434" s="3">
        <f>IFERROR(VLOOKUP(G434, LEVEL_HELPER!$A:$B, 2, 0), "")</f>
        <v>3</v>
      </c>
      <c r="L434" s="157" t="s">
        <v>946</v>
      </c>
      <c r="M434" s="157" t="s">
        <v>925</v>
      </c>
      <c r="N434" s="3">
        <f t="array" aca="1" ref="N434" ca="1">IFERROR(
  INDEX($J$2:$J$543,
    MATCH(A434&amp;TEXT(I434,"yyyy-mm-dd"),
          $A$2:$A$543&amp;TEXT($H$2:$H$543,"yyyy-mm-dd"),
          0)),
"")</f>
        <v>1</v>
      </c>
      <c r="O434" s="147" t="str">
        <f t="shared" ca="1" si="267"/>
        <v/>
      </c>
      <c r="P434" s="147">
        <f t="shared" ref="P434:Q434" ca="1" si="450">IF(N434="",0,IF(N434&lt;=2,1,IF(N434&lt;=4,2,IF(N434&lt;=5.5,3,4))))</f>
        <v>1</v>
      </c>
      <c r="Q434" s="147">
        <f t="shared" ca="1" si="450"/>
        <v>0</v>
      </c>
      <c r="R434" s="147" t="str">
        <f t="shared" ca="1" si="269"/>
        <v>Not tested yet</v>
      </c>
      <c r="S434" s="147">
        <f t="shared" si="270"/>
        <v>1</v>
      </c>
      <c r="T434" s="147"/>
      <c r="U434" s="147"/>
      <c r="V434" s="147"/>
      <c r="W434" s="147"/>
      <c r="X434" s="147"/>
      <c r="Y434" s="147"/>
      <c r="Z434" s="147"/>
      <c r="AA434" s="147"/>
      <c r="AB434" s="147"/>
      <c r="AC434" s="147"/>
      <c r="AD434" s="147"/>
      <c r="AE434" s="147"/>
      <c r="AF434" s="147"/>
      <c r="AG434" s="147"/>
      <c r="AH434" s="147"/>
      <c r="AI434" s="147"/>
      <c r="AJ434" s="147"/>
      <c r="AK434" s="147"/>
      <c r="AL434" s="147"/>
      <c r="AM434" s="151"/>
      <c r="AN434" s="147"/>
      <c r="AO434" s="147"/>
      <c r="AP434" s="147"/>
      <c r="AQ434" s="147"/>
      <c r="AR434" s="147"/>
      <c r="AS434" s="147"/>
      <c r="AT434" s="147"/>
      <c r="AU434" s="147"/>
      <c r="AV434" s="147"/>
      <c r="AW434" s="147"/>
      <c r="AX434" s="147"/>
      <c r="AY434" s="147"/>
      <c r="AZ434" s="147"/>
      <c r="BA434" s="147"/>
      <c r="BB434" s="147"/>
      <c r="BC434" s="147"/>
      <c r="BD434" s="147"/>
      <c r="BE434" s="147"/>
      <c r="BF434" s="147"/>
      <c r="BG434" s="147"/>
      <c r="BH434" s="147"/>
      <c r="BI434" s="147"/>
      <c r="BJ434" s="147"/>
      <c r="BK434" s="147"/>
      <c r="BL434" s="147"/>
      <c r="BM434" s="147"/>
      <c r="BN434" s="147"/>
      <c r="BO434" s="147"/>
      <c r="BP434" s="147"/>
      <c r="BQ434" s="147"/>
      <c r="BR434" s="147"/>
      <c r="BS434" s="147"/>
      <c r="BT434" s="147"/>
      <c r="BU434" s="147"/>
      <c r="BV434" s="147"/>
      <c r="BW434" s="147"/>
      <c r="BX434" s="147"/>
      <c r="BY434" s="147"/>
      <c r="BZ434" s="147"/>
      <c r="CA434" s="147"/>
      <c r="CB434" s="147"/>
      <c r="CC434" s="147"/>
      <c r="CD434" s="147"/>
      <c r="CE434" s="147"/>
      <c r="CF434" s="147"/>
      <c r="CG434" s="147"/>
      <c r="CH434" s="147"/>
      <c r="CI434" s="147"/>
      <c r="CJ434" s="147"/>
      <c r="CK434" s="147"/>
    </row>
    <row r="435" spans="1:89">
      <c r="A435" s="159" t="s">
        <v>637</v>
      </c>
      <c r="B435" s="3" t="s">
        <v>638</v>
      </c>
      <c r="C435" s="160" t="s">
        <v>87</v>
      </c>
      <c r="D435" s="160" t="s">
        <v>880</v>
      </c>
      <c r="E435" s="3" t="s">
        <v>21</v>
      </c>
      <c r="F435" s="3" t="s">
        <v>926</v>
      </c>
      <c r="G435" s="3" t="s">
        <v>917</v>
      </c>
      <c r="H435" s="156" t="str">
        <f ca="1">IFERROR(
  _xludf.MINIFS(ATTENDANCE_LOG!$F:$F,
         ATTENDANCE_LOG!$A:$A, C435,
         ATTENDANCE_LOG!$B:$B, E435),
"")</f>
        <v/>
      </c>
      <c r="I435" s="156" t="str">
        <f t="shared" ca="1" si="266"/>
        <v/>
      </c>
      <c r="J435" s="3">
        <f>IFERROR(VLOOKUP(F435, LEVEL_HELPER!$A:$B, 2, 0), "")</f>
        <v>1</v>
      </c>
      <c r="K435" s="3">
        <f>IFERROR(VLOOKUP(G435, LEVEL_HELPER!$A:$B, 2, 0), "")</f>
        <v>3</v>
      </c>
      <c r="L435" s="157" t="s">
        <v>942</v>
      </c>
      <c r="M435" s="157" t="s">
        <v>925</v>
      </c>
      <c r="N435" s="3">
        <f t="array" aca="1" ref="N435" ca="1">IFERROR(
  INDEX($J$2:$J$543,
    MATCH(A435&amp;TEXT(I435,"yyyy-mm-dd"),
          $A$2:$A$543&amp;TEXT($H$2:$H$543,"yyyy-mm-dd"),
          0)),
"")</f>
        <v>1</v>
      </c>
      <c r="O435" s="147" t="str">
        <f t="shared" ca="1" si="267"/>
        <v/>
      </c>
      <c r="P435" s="147">
        <f t="shared" ref="P435:Q435" ca="1" si="451">IF(N435="",0,IF(N435&lt;=2,1,IF(N435&lt;=4,2,IF(N435&lt;=5.5,3,4))))</f>
        <v>1</v>
      </c>
      <c r="Q435" s="147">
        <f t="shared" ca="1" si="451"/>
        <v>0</v>
      </c>
      <c r="R435" s="147" t="str">
        <f t="shared" ca="1" si="269"/>
        <v>Not tested yet</v>
      </c>
      <c r="S435" s="147">
        <f t="shared" si="270"/>
        <v>1</v>
      </c>
      <c r="T435" s="147"/>
      <c r="U435" s="147"/>
      <c r="V435" s="147"/>
      <c r="W435" s="147"/>
      <c r="X435" s="147"/>
      <c r="Y435" s="147"/>
      <c r="Z435" s="147"/>
      <c r="AA435" s="147"/>
      <c r="AB435" s="147"/>
      <c r="AC435" s="147"/>
      <c r="AD435" s="147"/>
      <c r="AE435" s="147"/>
      <c r="AF435" s="147"/>
      <c r="AG435" s="147"/>
      <c r="AH435" s="147"/>
      <c r="AI435" s="147"/>
      <c r="AJ435" s="147"/>
      <c r="AK435" s="147"/>
      <c r="AL435" s="147"/>
      <c r="AM435" s="151"/>
      <c r="AN435" s="147"/>
      <c r="AO435" s="147"/>
      <c r="AP435" s="147"/>
      <c r="AQ435" s="147"/>
      <c r="AR435" s="147"/>
      <c r="AS435" s="147"/>
      <c r="AT435" s="147"/>
      <c r="AU435" s="147"/>
      <c r="AV435" s="147"/>
      <c r="AW435" s="147"/>
      <c r="AX435" s="147"/>
      <c r="AY435" s="147"/>
      <c r="AZ435" s="147"/>
      <c r="BA435" s="147"/>
      <c r="BB435" s="147"/>
      <c r="BC435" s="147"/>
      <c r="BD435" s="147"/>
      <c r="BE435" s="147"/>
      <c r="BF435" s="147"/>
      <c r="BG435" s="147"/>
      <c r="BH435" s="147"/>
      <c r="BI435" s="147"/>
      <c r="BJ435" s="147"/>
      <c r="BK435" s="147"/>
      <c r="BL435" s="147"/>
      <c r="BM435" s="147"/>
      <c r="BN435" s="147"/>
      <c r="BO435" s="147"/>
      <c r="BP435" s="147"/>
      <c r="BQ435" s="147"/>
      <c r="BR435" s="147"/>
      <c r="BS435" s="147"/>
      <c r="BT435" s="147"/>
      <c r="BU435" s="147"/>
      <c r="BV435" s="147"/>
      <c r="BW435" s="147"/>
      <c r="BX435" s="147"/>
      <c r="BY435" s="147"/>
      <c r="BZ435" s="147"/>
      <c r="CA435" s="147"/>
      <c r="CB435" s="147"/>
      <c r="CC435" s="147"/>
      <c r="CD435" s="147"/>
      <c r="CE435" s="147"/>
      <c r="CF435" s="147"/>
      <c r="CG435" s="147"/>
      <c r="CH435" s="147"/>
      <c r="CI435" s="147"/>
      <c r="CJ435" s="147"/>
      <c r="CK435" s="147"/>
    </row>
    <row r="436" spans="1:89">
      <c r="A436" s="159" t="s">
        <v>663</v>
      </c>
      <c r="B436" s="3" t="s">
        <v>664</v>
      </c>
      <c r="C436" s="160" t="s">
        <v>87</v>
      </c>
      <c r="D436" s="160" t="s">
        <v>880</v>
      </c>
      <c r="E436" s="3" t="s">
        <v>21</v>
      </c>
      <c r="F436" s="3" t="s">
        <v>926</v>
      </c>
      <c r="G436" s="3" t="s">
        <v>926</v>
      </c>
      <c r="H436" s="156" t="str">
        <f ca="1">IFERROR(
  _xludf.MINIFS(ATTENDANCE_LOG!$F:$F,
         ATTENDANCE_LOG!$A:$A, C436,
         ATTENDANCE_LOG!$B:$B, E436),
"")</f>
        <v/>
      </c>
      <c r="I436" s="156" t="str">
        <f t="shared" ca="1" si="266"/>
        <v/>
      </c>
      <c r="J436" s="3">
        <f>IFERROR(VLOOKUP(F436, LEVEL_HELPER!$A:$B, 2, 0), "")</f>
        <v>1</v>
      </c>
      <c r="K436" s="3">
        <f>IFERROR(VLOOKUP(G436, LEVEL_HELPER!$A:$B, 2, 0), "")</f>
        <v>1</v>
      </c>
      <c r="L436" s="157" t="s">
        <v>942</v>
      </c>
      <c r="M436" s="157" t="s">
        <v>925</v>
      </c>
      <c r="N436" s="3">
        <f t="array" aca="1" ref="N436" ca="1">IFERROR(
  INDEX($J$2:$J$543,
    MATCH(A436&amp;TEXT(I436,"yyyy-mm-dd"),
          $A$2:$A$543&amp;TEXT($H$2:$H$543,"yyyy-mm-dd"),
          0)),
"")</f>
        <v>1</v>
      </c>
      <c r="O436" s="147" t="str">
        <f t="shared" ca="1" si="267"/>
        <v/>
      </c>
      <c r="P436" s="147">
        <f t="shared" ref="P436:Q436" ca="1" si="452">IF(N436="",0,IF(N436&lt;=2,1,IF(N436&lt;=4,2,IF(N436&lt;=5.5,3,4))))</f>
        <v>1</v>
      </c>
      <c r="Q436" s="147">
        <f t="shared" ca="1" si="452"/>
        <v>0</v>
      </c>
      <c r="R436" s="147" t="str">
        <f t="shared" ca="1" si="269"/>
        <v>Not tested yet</v>
      </c>
      <c r="S436" s="147">
        <f t="shared" si="270"/>
        <v>1</v>
      </c>
      <c r="T436" s="147"/>
      <c r="U436" s="147"/>
      <c r="V436" s="147"/>
      <c r="W436" s="147"/>
      <c r="X436" s="147"/>
      <c r="Y436" s="147"/>
      <c r="Z436" s="147"/>
      <c r="AA436" s="147"/>
      <c r="AB436" s="147"/>
      <c r="AC436" s="147"/>
      <c r="AD436" s="147"/>
      <c r="AE436" s="147"/>
      <c r="AF436" s="147"/>
      <c r="AG436" s="147"/>
      <c r="AH436" s="147"/>
      <c r="AI436" s="147"/>
      <c r="AJ436" s="147"/>
      <c r="AK436" s="147"/>
      <c r="AL436" s="147"/>
      <c r="AM436" s="151"/>
      <c r="AN436" s="147"/>
      <c r="AO436" s="147"/>
      <c r="AP436" s="147"/>
      <c r="AQ436" s="147"/>
      <c r="AR436" s="147"/>
      <c r="AS436" s="147"/>
      <c r="AT436" s="147"/>
      <c r="AU436" s="147"/>
      <c r="AV436" s="147"/>
      <c r="AW436" s="147"/>
      <c r="AX436" s="147"/>
      <c r="AY436" s="147"/>
      <c r="AZ436" s="147"/>
      <c r="BA436" s="147"/>
      <c r="BB436" s="147"/>
      <c r="BC436" s="147"/>
      <c r="BD436" s="147"/>
      <c r="BE436" s="147"/>
      <c r="BF436" s="147"/>
      <c r="BG436" s="147"/>
      <c r="BH436" s="147"/>
      <c r="BI436" s="147"/>
      <c r="BJ436" s="147"/>
      <c r="BK436" s="147"/>
      <c r="BL436" s="147"/>
      <c r="BM436" s="147"/>
      <c r="BN436" s="147"/>
      <c r="BO436" s="147"/>
      <c r="BP436" s="147"/>
      <c r="BQ436" s="147"/>
      <c r="BR436" s="147"/>
      <c r="BS436" s="147"/>
      <c r="BT436" s="147"/>
      <c r="BU436" s="147"/>
      <c r="BV436" s="147"/>
      <c r="BW436" s="147"/>
      <c r="BX436" s="147"/>
      <c r="BY436" s="147"/>
      <c r="BZ436" s="147"/>
      <c r="CA436" s="147"/>
      <c r="CB436" s="147"/>
      <c r="CC436" s="147"/>
      <c r="CD436" s="147"/>
      <c r="CE436" s="147"/>
      <c r="CF436" s="147"/>
      <c r="CG436" s="147"/>
      <c r="CH436" s="147"/>
      <c r="CI436" s="147"/>
      <c r="CJ436" s="147"/>
      <c r="CK436" s="147"/>
    </row>
    <row r="437" spans="1:89">
      <c r="A437" s="153" t="s">
        <v>383</v>
      </c>
      <c r="B437" s="154" t="s">
        <v>384</v>
      </c>
      <c r="C437" s="155" t="s">
        <v>87</v>
      </c>
      <c r="D437" s="155" t="s">
        <v>880</v>
      </c>
      <c r="E437" s="154" t="s">
        <v>22</v>
      </c>
      <c r="F437" s="154" t="s">
        <v>937</v>
      </c>
      <c r="G437" s="154"/>
      <c r="H437" s="156" t="str">
        <f ca="1">IFERROR(
  _xludf.MINIFS(ATTENDANCE_LOG!$F:$F,
         ATTENDANCE_LOG!$A:$A, C437,
         ATTENDANCE_LOG!$B:$B, E437),
"")</f>
        <v/>
      </c>
      <c r="I437" s="156" t="str">
        <f t="shared" ca="1" si="266"/>
        <v/>
      </c>
      <c r="J437" s="154">
        <f>IFERROR(VLOOKUP(F437, LEVEL_HELPER!$A:$B, 2, 0), "")</f>
        <v>5.5</v>
      </c>
      <c r="K437" s="154" t="str">
        <f>IFERROR(VLOOKUP(G437, LEVEL_HELPER!$A:$B, 2, 0), "")</f>
        <v/>
      </c>
      <c r="L437" s="176" t="s">
        <v>941</v>
      </c>
      <c r="M437" s="176" t="s">
        <v>925</v>
      </c>
      <c r="N437" s="3" t="str">
        <f t="array" aca="1" ref="N437" ca="1">IFERROR(
  INDEX($J$2:$J$543,
    MATCH(A437&amp;TEXT(I437,"yyyy-mm-dd"),
          $A$2:$A$543&amp;TEXT($H$2:$H$543,"yyyy-mm-dd"),
          0)),
"")</f>
        <v/>
      </c>
      <c r="O437" s="177" t="str">
        <f t="shared" ca="1" si="267"/>
        <v/>
      </c>
      <c r="P437" s="147">
        <f t="shared" ref="P437:Q437" ca="1" si="453">IF(N437="",0,IF(N437&lt;=2,1,IF(N437&lt;=4,2,IF(N437&lt;=5.5,3,4))))</f>
        <v>0</v>
      </c>
      <c r="Q437" s="147">
        <f t="shared" ca="1" si="453"/>
        <v>0</v>
      </c>
      <c r="R437" s="147" t="str">
        <f t="shared" ca="1" si="269"/>
        <v>Not tested yet</v>
      </c>
      <c r="S437" s="147">
        <f t="shared" si="270"/>
        <v>0</v>
      </c>
      <c r="T437" s="147"/>
      <c r="U437" s="147"/>
      <c r="V437" s="147"/>
      <c r="W437" s="147"/>
      <c r="X437" s="147"/>
      <c r="Y437" s="147"/>
      <c r="Z437" s="147"/>
      <c r="AA437" s="147"/>
      <c r="AB437" s="147"/>
      <c r="AC437" s="147"/>
      <c r="AD437" s="147"/>
      <c r="AE437" s="147"/>
      <c r="AF437" s="147"/>
      <c r="AG437" s="147"/>
      <c r="AH437" s="147"/>
      <c r="AI437" s="147"/>
      <c r="AJ437" s="147"/>
      <c r="AK437" s="147"/>
      <c r="AL437" s="147"/>
      <c r="AM437" s="151"/>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c r="BI437" s="147"/>
      <c r="BJ437" s="147"/>
      <c r="BK437" s="147"/>
      <c r="BL437" s="147"/>
      <c r="BM437" s="147"/>
      <c r="BN437" s="147"/>
      <c r="BO437" s="147"/>
      <c r="BP437" s="147"/>
      <c r="BQ437" s="147"/>
      <c r="BR437" s="147"/>
      <c r="BS437" s="147"/>
      <c r="BT437" s="147"/>
      <c r="BU437" s="147"/>
      <c r="BV437" s="147"/>
      <c r="BW437" s="147"/>
      <c r="BX437" s="147"/>
      <c r="BY437" s="147"/>
      <c r="BZ437" s="147"/>
      <c r="CA437" s="147"/>
      <c r="CB437" s="147"/>
      <c r="CC437" s="147"/>
      <c r="CD437" s="147"/>
      <c r="CE437" s="147"/>
      <c r="CF437" s="147"/>
      <c r="CG437" s="147"/>
      <c r="CH437" s="147"/>
      <c r="CI437" s="147"/>
      <c r="CJ437" s="147"/>
      <c r="CK437" s="147"/>
    </row>
    <row r="438" spans="1:89">
      <c r="A438" s="159" t="s">
        <v>389</v>
      </c>
      <c r="B438" s="3" t="s">
        <v>390</v>
      </c>
      <c r="C438" s="160" t="s">
        <v>87</v>
      </c>
      <c r="D438" s="160" t="s">
        <v>880</v>
      </c>
      <c r="E438" s="3" t="s">
        <v>22</v>
      </c>
      <c r="F438" s="3" t="s">
        <v>917</v>
      </c>
      <c r="G438" s="3"/>
      <c r="H438" s="156" t="str">
        <f ca="1">IFERROR(
  _xludf.MINIFS(ATTENDANCE_LOG!$F:$F,
         ATTENDANCE_LOG!$A:$A, C438,
         ATTENDANCE_LOG!$B:$B, E438),
"")</f>
        <v/>
      </c>
      <c r="I438" s="156" t="str">
        <f t="shared" ca="1" si="266"/>
        <v/>
      </c>
      <c r="J438" s="3">
        <f>IFERROR(VLOOKUP(F438, LEVEL_HELPER!$A:$B, 2, 0), "")</f>
        <v>3</v>
      </c>
      <c r="K438" s="3" t="str">
        <f>IFERROR(VLOOKUP(G438, LEVEL_HELPER!$A:$B, 2, 0), "")</f>
        <v/>
      </c>
      <c r="L438" s="157" t="s">
        <v>946</v>
      </c>
      <c r="M438" s="157" t="s">
        <v>925</v>
      </c>
      <c r="N438" s="3">
        <f t="array" aca="1" ref="N438" ca="1">IFERROR(
  INDEX($J$2:$J$543,
    MATCH(A438&amp;TEXT(I438,"yyyy-mm-dd"),
          $A$2:$A$543&amp;TEXT($H$2:$H$543,"yyyy-mm-dd"),
          0)),
"")</f>
        <v>1</v>
      </c>
      <c r="O438" s="147" t="str">
        <f t="shared" ca="1" si="267"/>
        <v/>
      </c>
      <c r="P438" s="147">
        <f t="shared" ref="P438:Q438" ca="1" si="454">IF(N438="",0,IF(N438&lt;=2,1,IF(N438&lt;=4,2,IF(N438&lt;=5.5,3,4))))</f>
        <v>1</v>
      </c>
      <c r="Q438" s="147">
        <f t="shared" ca="1" si="454"/>
        <v>0</v>
      </c>
      <c r="R438" s="147" t="str">
        <f t="shared" ca="1" si="269"/>
        <v>Not tested yet</v>
      </c>
      <c r="S438" s="147">
        <f t="shared" si="270"/>
        <v>0</v>
      </c>
      <c r="T438" s="147"/>
      <c r="U438" s="147"/>
      <c r="V438" s="147"/>
      <c r="W438" s="147"/>
      <c r="X438" s="147"/>
      <c r="Y438" s="147"/>
      <c r="Z438" s="147"/>
      <c r="AA438" s="147"/>
      <c r="AB438" s="147"/>
      <c r="AC438" s="147"/>
      <c r="AD438" s="147"/>
      <c r="AE438" s="147"/>
      <c r="AF438" s="147"/>
      <c r="AG438" s="147"/>
      <c r="AH438" s="147"/>
      <c r="AI438" s="147"/>
      <c r="AJ438" s="147"/>
      <c r="AK438" s="147"/>
      <c r="AL438" s="147"/>
      <c r="AM438" s="151"/>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c r="BI438" s="147"/>
      <c r="BJ438" s="147"/>
      <c r="BK438" s="147"/>
      <c r="BL438" s="147"/>
      <c r="BM438" s="147"/>
      <c r="BN438" s="147"/>
      <c r="BO438" s="147"/>
      <c r="BP438" s="147"/>
      <c r="BQ438" s="147"/>
      <c r="BR438" s="147"/>
      <c r="BS438" s="147"/>
      <c r="BT438" s="147"/>
      <c r="BU438" s="147"/>
      <c r="BV438" s="147"/>
      <c r="BW438" s="147"/>
      <c r="BX438" s="147"/>
      <c r="BY438" s="147"/>
      <c r="BZ438" s="147"/>
      <c r="CA438" s="147"/>
      <c r="CB438" s="147"/>
      <c r="CC438" s="147"/>
      <c r="CD438" s="147"/>
      <c r="CE438" s="147"/>
      <c r="CF438" s="147"/>
      <c r="CG438" s="147"/>
      <c r="CH438" s="147"/>
      <c r="CI438" s="147"/>
      <c r="CJ438" s="147"/>
      <c r="CK438" s="147"/>
    </row>
    <row r="439" spans="1:89">
      <c r="A439" s="159" t="s">
        <v>637</v>
      </c>
      <c r="B439" s="3" t="s">
        <v>638</v>
      </c>
      <c r="C439" s="160" t="s">
        <v>87</v>
      </c>
      <c r="D439" s="160" t="s">
        <v>880</v>
      </c>
      <c r="E439" s="3" t="s">
        <v>22</v>
      </c>
      <c r="F439" s="3" t="s">
        <v>917</v>
      </c>
      <c r="G439" s="3"/>
      <c r="H439" s="156" t="str">
        <f ca="1">IFERROR(
  _xludf.MINIFS(ATTENDANCE_LOG!$F:$F,
         ATTENDANCE_LOG!$A:$A, C439,
         ATTENDANCE_LOG!$B:$B, E439),
"")</f>
        <v/>
      </c>
      <c r="I439" s="156" t="str">
        <f t="shared" ca="1" si="266"/>
        <v/>
      </c>
      <c r="J439" s="3">
        <f>IFERROR(VLOOKUP(F439, LEVEL_HELPER!$A:$B, 2, 0), "")</f>
        <v>3</v>
      </c>
      <c r="K439" s="3" t="str">
        <f>IFERROR(VLOOKUP(G439, LEVEL_HELPER!$A:$B, 2, 0), "")</f>
        <v/>
      </c>
      <c r="L439" s="157" t="s">
        <v>942</v>
      </c>
      <c r="M439" s="157" t="s">
        <v>925</v>
      </c>
      <c r="N439" s="3">
        <f t="array" aca="1" ref="N439" ca="1">IFERROR(
  INDEX($J$2:$J$543,
    MATCH(A439&amp;TEXT(I439,"yyyy-mm-dd"),
          $A$2:$A$543&amp;TEXT($H$2:$H$543,"yyyy-mm-dd"),
          0)),
"")</f>
        <v>1</v>
      </c>
      <c r="O439" s="147" t="str">
        <f t="shared" ca="1" si="267"/>
        <v/>
      </c>
      <c r="P439" s="147">
        <f t="shared" ref="P439:Q439" ca="1" si="455">IF(N439="",0,IF(N439&lt;=2,1,IF(N439&lt;=4,2,IF(N439&lt;=5.5,3,4))))</f>
        <v>1</v>
      </c>
      <c r="Q439" s="147">
        <f t="shared" ca="1" si="455"/>
        <v>0</v>
      </c>
      <c r="R439" s="147" t="str">
        <f t="shared" ca="1" si="269"/>
        <v>Not tested yet</v>
      </c>
      <c r="S439" s="147">
        <f t="shared" si="270"/>
        <v>0</v>
      </c>
      <c r="T439" s="147"/>
      <c r="U439" s="147"/>
      <c r="V439" s="147"/>
      <c r="W439" s="147"/>
      <c r="X439" s="147"/>
      <c r="Y439" s="147"/>
      <c r="Z439" s="147"/>
      <c r="AA439" s="147"/>
      <c r="AB439" s="147"/>
      <c r="AC439" s="147"/>
      <c r="AD439" s="147"/>
      <c r="AE439" s="147"/>
      <c r="AF439" s="147"/>
      <c r="AG439" s="147"/>
      <c r="AH439" s="147"/>
      <c r="AI439" s="147"/>
      <c r="AJ439" s="147"/>
      <c r="AK439" s="147"/>
      <c r="AL439" s="147"/>
      <c r="AM439" s="151"/>
      <c r="AN439" s="147"/>
      <c r="AO439" s="147"/>
      <c r="AP439" s="147"/>
      <c r="AQ439" s="147"/>
      <c r="AR439" s="147"/>
      <c r="AS439" s="147"/>
      <c r="AT439" s="147"/>
      <c r="AU439" s="147"/>
      <c r="AV439" s="147"/>
      <c r="AW439" s="147"/>
      <c r="AX439" s="147"/>
      <c r="AY439" s="147"/>
      <c r="AZ439" s="147"/>
      <c r="BA439" s="147"/>
      <c r="BB439" s="147"/>
      <c r="BC439" s="147"/>
      <c r="BD439" s="147"/>
      <c r="BE439" s="147"/>
      <c r="BF439" s="147"/>
      <c r="BG439" s="147"/>
      <c r="BH439" s="147"/>
      <c r="BI439" s="147"/>
      <c r="BJ439" s="147"/>
      <c r="BK439" s="147"/>
      <c r="BL439" s="147"/>
      <c r="BM439" s="147"/>
      <c r="BN439" s="147"/>
      <c r="BO439" s="147"/>
      <c r="BP439" s="147"/>
      <c r="BQ439" s="147"/>
      <c r="BR439" s="147"/>
      <c r="BS439" s="147"/>
      <c r="BT439" s="147"/>
      <c r="BU439" s="147"/>
      <c r="BV439" s="147"/>
      <c r="BW439" s="147"/>
      <c r="BX439" s="147"/>
      <c r="BY439" s="147"/>
      <c r="BZ439" s="147"/>
      <c r="CA439" s="147"/>
      <c r="CB439" s="147"/>
      <c r="CC439" s="147"/>
      <c r="CD439" s="147"/>
      <c r="CE439" s="147"/>
      <c r="CF439" s="147"/>
      <c r="CG439" s="147"/>
      <c r="CH439" s="147"/>
      <c r="CI439" s="147"/>
      <c r="CJ439" s="147"/>
      <c r="CK439" s="147"/>
    </row>
    <row r="440" spans="1:89">
      <c r="A440" s="159" t="s">
        <v>663</v>
      </c>
      <c r="B440" s="3" t="s">
        <v>664</v>
      </c>
      <c r="C440" s="160" t="s">
        <v>87</v>
      </c>
      <c r="D440" s="160" t="s">
        <v>880</v>
      </c>
      <c r="E440" s="3" t="s">
        <v>22</v>
      </c>
      <c r="F440" s="3" t="s">
        <v>926</v>
      </c>
      <c r="G440" s="3"/>
      <c r="H440" s="156" t="str">
        <f ca="1">IFERROR(
  _xludf.MINIFS(ATTENDANCE_LOG!$F:$F,
         ATTENDANCE_LOG!$A:$A, C440,
         ATTENDANCE_LOG!$B:$B, E440),
"")</f>
        <v/>
      </c>
      <c r="I440" s="156" t="str">
        <f t="shared" ca="1" si="266"/>
        <v/>
      </c>
      <c r="J440" s="3">
        <f>IFERROR(VLOOKUP(F440, LEVEL_HELPER!$A:$B, 2, 0), "")</f>
        <v>1</v>
      </c>
      <c r="K440" s="3" t="str">
        <f>IFERROR(VLOOKUP(G440, LEVEL_HELPER!$A:$B, 2, 0), "")</f>
        <v/>
      </c>
      <c r="L440" s="157" t="s">
        <v>942</v>
      </c>
      <c r="M440" s="157" t="s">
        <v>925</v>
      </c>
      <c r="N440" s="3">
        <f t="array" aca="1" ref="N440" ca="1">IFERROR(
  INDEX($J$2:$J$543,
    MATCH(A440&amp;TEXT(I440,"yyyy-mm-dd"),
          $A$2:$A$543&amp;TEXT($H$2:$H$543,"yyyy-mm-dd"),
          0)),
"")</f>
        <v>1</v>
      </c>
      <c r="O440" s="147" t="str">
        <f t="shared" ca="1" si="267"/>
        <v/>
      </c>
      <c r="P440" s="147">
        <f t="shared" ref="P440:Q440" ca="1" si="456">IF(N440="",0,IF(N440&lt;=2,1,IF(N440&lt;=4,2,IF(N440&lt;=5.5,3,4))))</f>
        <v>1</v>
      </c>
      <c r="Q440" s="147">
        <f t="shared" ca="1" si="456"/>
        <v>0</v>
      </c>
      <c r="R440" s="147" t="str">
        <f t="shared" ca="1" si="269"/>
        <v>Not tested yet</v>
      </c>
      <c r="S440" s="147">
        <f t="shared" si="270"/>
        <v>0</v>
      </c>
      <c r="T440" s="147"/>
      <c r="U440" s="147"/>
      <c r="V440" s="147"/>
      <c r="W440" s="147"/>
      <c r="X440" s="147"/>
      <c r="Y440" s="147"/>
      <c r="Z440" s="147"/>
      <c r="AA440" s="147"/>
      <c r="AB440" s="147"/>
      <c r="AC440" s="147"/>
      <c r="AD440" s="147"/>
      <c r="AE440" s="147"/>
      <c r="AF440" s="147"/>
      <c r="AG440" s="147"/>
      <c r="AH440" s="147"/>
      <c r="AI440" s="147"/>
      <c r="AJ440" s="147"/>
      <c r="AK440" s="147"/>
      <c r="AL440" s="147"/>
      <c r="AM440" s="151"/>
      <c r="AN440" s="147"/>
      <c r="AO440" s="147"/>
      <c r="AP440" s="147"/>
      <c r="AQ440" s="147"/>
      <c r="AR440" s="147"/>
      <c r="AS440" s="147"/>
      <c r="AT440" s="147"/>
      <c r="AU440" s="147"/>
      <c r="AV440" s="147"/>
      <c r="AW440" s="147"/>
      <c r="AX440" s="147"/>
      <c r="AY440" s="147"/>
      <c r="AZ440" s="147"/>
      <c r="BA440" s="147"/>
      <c r="BB440" s="147"/>
      <c r="BC440" s="147"/>
      <c r="BD440" s="147"/>
      <c r="BE440" s="147"/>
      <c r="BF440" s="147"/>
      <c r="BG440" s="147"/>
      <c r="BH440" s="147"/>
      <c r="BI440" s="147"/>
      <c r="BJ440" s="147"/>
      <c r="BK440" s="147"/>
      <c r="BL440" s="147"/>
      <c r="BM440" s="147"/>
      <c r="BN440" s="147"/>
      <c r="BO440" s="147"/>
      <c r="BP440" s="147"/>
      <c r="BQ440" s="147"/>
      <c r="BR440" s="147"/>
      <c r="BS440" s="147"/>
      <c r="BT440" s="147"/>
      <c r="BU440" s="147"/>
      <c r="BV440" s="147"/>
      <c r="BW440" s="147"/>
      <c r="BX440" s="147"/>
      <c r="BY440" s="147"/>
      <c r="BZ440" s="147"/>
      <c r="CA440" s="147"/>
      <c r="CB440" s="147"/>
      <c r="CC440" s="147"/>
      <c r="CD440" s="147"/>
      <c r="CE440" s="147"/>
      <c r="CF440" s="147"/>
      <c r="CG440" s="147"/>
      <c r="CH440" s="147"/>
      <c r="CI440" s="147"/>
      <c r="CJ440" s="147"/>
      <c r="CK440" s="147"/>
    </row>
    <row r="441" spans="1:89">
      <c r="A441" s="153" t="s">
        <v>440</v>
      </c>
      <c r="B441" s="154" t="s">
        <v>441</v>
      </c>
      <c r="C441" s="155" t="s">
        <v>88</v>
      </c>
      <c r="D441" s="155" t="s">
        <v>881</v>
      </c>
      <c r="E441" s="154" t="s">
        <v>21</v>
      </c>
      <c r="F441" s="154" t="s">
        <v>926</v>
      </c>
      <c r="G441" s="154" t="s">
        <v>928</v>
      </c>
      <c r="H441" s="156" t="str">
        <f ca="1">IFERROR(
  _xludf.MINIFS(ATTENDANCE_LOG!$F:$F,
         ATTENDANCE_LOG!$A:$A, C441,
         ATTENDANCE_LOG!$B:$B, E441),
"")</f>
        <v/>
      </c>
      <c r="I441" s="156" t="str">
        <f t="shared" ca="1" si="266"/>
        <v/>
      </c>
      <c r="J441" s="154">
        <f>IFERROR(VLOOKUP(F441, LEVEL_HELPER!$A:$B, 2, 0), "")</f>
        <v>1</v>
      </c>
      <c r="K441" s="154">
        <f>IFERROR(VLOOKUP(G441, LEVEL_HELPER!$A:$B, 2, 0), "")</f>
        <v>1.5</v>
      </c>
      <c r="L441" s="176" t="s">
        <v>942</v>
      </c>
      <c r="M441" s="176" t="s">
        <v>922</v>
      </c>
      <c r="N441" s="3">
        <f t="array" aca="1" ref="N441" ca="1">IFERROR(
  INDEX($J$2:$J$543,
    MATCH(A441&amp;TEXT(I441,"yyyy-mm-dd"),
          $A$2:$A$543&amp;TEXT($H$2:$H$543,"yyyy-mm-dd"),
          0)),
"")</f>
        <v>1</v>
      </c>
      <c r="O441" s="177" t="str">
        <f t="shared" ca="1" si="267"/>
        <v/>
      </c>
      <c r="P441" s="147">
        <f t="shared" ref="P441:Q441" ca="1" si="457">IF(N441="",0,IF(N441&lt;=2,1,IF(N441&lt;=4,2,IF(N441&lt;=5.5,3,4))))</f>
        <v>1</v>
      </c>
      <c r="Q441" s="147">
        <f t="shared" ca="1" si="457"/>
        <v>0</v>
      </c>
      <c r="R441" s="147" t="str">
        <f t="shared" ca="1" si="269"/>
        <v>Not tested yet</v>
      </c>
      <c r="S441" s="147">
        <f t="shared" si="270"/>
        <v>0</v>
      </c>
      <c r="T441" s="147"/>
      <c r="U441" s="147"/>
      <c r="V441" s="147"/>
      <c r="W441" s="147"/>
      <c r="X441" s="147"/>
      <c r="Y441" s="147"/>
      <c r="Z441" s="147"/>
      <c r="AA441" s="147"/>
      <c r="AB441" s="147"/>
      <c r="AC441" s="147"/>
      <c r="AD441" s="147"/>
      <c r="AE441" s="147"/>
      <c r="AF441" s="147"/>
      <c r="AG441" s="147"/>
      <c r="AH441" s="147"/>
      <c r="AI441" s="147"/>
      <c r="AJ441" s="147"/>
      <c r="AK441" s="147"/>
      <c r="AL441" s="147"/>
      <c r="AM441" s="151"/>
      <c r="AN441" s="147"/>
      <c r="AO441" s="147"/>
      <c r="AP441" s="147"/>
      <c r="AQ441" s="147"/>
      <c r="AR441" s="147"/>
      <c r="AS441" s="147"/>
      <c r="AT441" s="147"/>
      <c r="AU441" s="147"/>
      <c r="AV441" s="147"/>
      <c r="AW441" s="147"/>
      <c r="AX441" s="147"/>
      <c r="AY441" s="147"/>
      <c r="AZ441" s="147"/>
      <c r="BA441" s="147"/>
      <c r="BB441" s="147"/>
      <c r="BC441" s="147"/>
      <c r="BD441" s="147"/>
      <c r="BE441" s="147"/>
      <c r="BF441" s="147"/>
      <c r="BG441" s="147"/>
      <c r="BH441" s="147"/>
      <c r="BI441" s="147"/>
      <c r="BJ441" s="147"/>
      <c r="BK441" s="147"/>
      <c r="BL441" s="147"/>
      <c r="BM441" s="147"/>
      <c r="BN441" s="147"/>
      <c r="BO441" s="147"/>
      <c r="BP441" s="147"/>
      <c r="BQ441" s="147"/>
      <c r="BR441" s="147"/>
      <c r="BS441" s="147"/>
      <c r="BT441" s="147"/>
      <c r="BU441" s="147"/>
      <c r="BV441" s="147"/>
      <c r="BW441" s="147"/>
      <c r="BX441" s="147"/>
      <c r="BY441" s="147"/>
      <c r="BZ441" s="147"/>
      <c r="CA441" s="147"/>
      <c r="CB441" s="147"/>
      <c r="CC441" s="147"/>
      <c r="CD441" s="147"/>
      <c r="CE441" s="147"/>
      <c r="CF441" s="147"/>
      <c r="CG441" s="147"/>
      <c r="CH441" s="147"/>
      <c r="CI441" s="147"/>
      <c r="CJ441" s="147"/>
      <c r="CK441" s="147"/>
    </row>
    <row r="442" spans="1:89">
      <c r="A442" s="159" t="s">
        <v>325</v>
      </c>
      <c r="B442" s="3" t="s">
        <v>326</v>
      </c>
      <c r="C442" s="160" t="s">
        <v>88</v>
      </c>
      <c r="D442" s="160" t="s">
        <v>881</v>
      </c>
      <c r="E442" s="3" t="s">
        <v>21</v>
      </c>
      <c r="F442" s="3" t="s">
        <v>926</v>
      </c>
      <c r="G442" s="3" t="s">
        <v>934</v>
      </c>
      <c r="H442" s="156" t="str">
        <f ca="1">IFERROR(
  _xludf.MINIFS(ATTENDANCE_LOG!$F:$F,
         ATTENDANCE_LOG!$A:$A, C442,
         ATTENDANCE_LOG!$B:$B, E442),
"")</f>
        <v/>
      </c>
      <c r="I442" s="156" t="str">
        <f t="shared" ca="1" si="266"/>
        <v/>
      </c>
      <c r="J442" s="3">
        <f>IFERROR(VLOOKUP(F442, LEVEL_HELPER!$A:$B, 2, 0), "")</f>
        <v>1</v>
      </c>
      <c r="K442" s="3">
        <f>IFERROR(VLOOKUP(G442, LEVEL_HELPER!$A:$B, 2, 0), "")</f>
        <v>3.5</v>
      </c>
      <c r="L442" s="157" t="s">
        <v>944</v>
      </c>
      <c r="M442" s="157" t="s">
        <v>921</v>
      </c>
      <c r="N442" s="3">
        <f t="array" aca="1" ref="N442" ca="1">IFERROR(
  INDEX($J$2:$J$543,
    MATCH(A442&amp;TEXT(I442,"yyyy-mm-dd"),
          $A$2:$A$543&amp;TEXT($H$2:$H$543,"yyyy-mm-dd"),
          0)),
"")</f>
        <v>1</v>
      </c>
      <c r="O442" s="147" t="str">
        <f t="shared" ca="1" si="267"/>
        <v/>
      </c>
      <c r="P442" s="147">
        <f t="shared" ref="P442:Q442" ca="1" si="458">IF(N442="",0,IF(N442&lt;=2,1,IF(N442&lt;=4,2,IF(N442&lt;=5.5,3,4))))</f>
        <v>1</v>
      </c>
      <c r="Q442" s="147">
        <f t="shared" ca="1" si="458"/>
        <v>0</v>
      </c>
      <c r="R442" s="147" t="str">
        <f t="shared" ca="1" si="269"/>
        <v>Not tested yet</v>
      </c>
      <c r="S442" s="147">
        <f t="shared" si="270"/>
        <v>0</v>
      </c>
      <c r="T442" s="147"/>
      <c r="U442" s="147"/>
      <c r="V442" s="147"/>
      <c r="W442" s="147"/>
      <c r="X442" s="147"/>
      <c r="Y442" s="147"/>
      <c r="Z442" s="147"/>
      <c r="AA442" s="147"/>
      <c r="AB442" s="147"/>
      <c r="AC442" s="147"/>
      <c r="AD442" s="147"/>
      <c r="AE442" s="147"/>
      <c r="AF442" s="147"/>
      <c r="AG442" s="147"/>
      <c r="AH442" s="147"/>
      <c r="AI442" s="147"/>
      <c r="AJ442" s="147"/>
      <c r="AK442" s="147"/>
      <c r="AL442" s="147"/>
      <c r="AM442" s="151"/>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c r="BI442" s="147"/>
      <c r="BJ442" s="147"/>
      <c r="BK442" s="147"/>
      <c r="BL442" s="147"/>
      <c r="BM442" s="147"/>
      <c r="BN442" s="147"/>
      <c r="BO442" s="147"/>
      <c r="BP442" s="147"/>
      <c r="BQ442" s="147"/>
      <c r="BR442" s="147"/>
      <c r="BS442" s="147"/>
      <c r="BT442" s="147"/>
      <c r="BU442" s="147"/>
      <c r="BV442" s="147"/>
      <c r="BW442" s="147"/>
      <c r="BX442" s="147"/>
      <c r="BY442" s="147"/>
      <c r="BZ442" s="147"/>
      <c r="CA442" s="147"/>
      <c r="CB442" s="147"/>
      <c r="CC442" s="147"/>
      <c r="CD442" s="147"/>
      <c r="CE442" s="147"/>
      <c r="CF442" s="147"/>
      <c r="CG442" s="147"/>
      <c r="CH442" s="147"/>
      <c r="CI442" s="147"/>
      <c r="CJ442" s="147"/>
      <c r="CK442" s="147"/>
    </row>
    <row r="443" spans="1:89">
      <c r="A443" s="159" t="s">
        <v>419</v>
      </c>
      <c r="B443" s="3" t="s">
        <v>420</v>
      </c>
      <c r="C443" s="160" t="s">
        <v>88</v>
      </c>
      <c r="D443" s="160" t="s">
        <v>881</v>
      </c>
      <c r="E443" s="3" t="s">
        <v>21</v>
      </c>
      <c r="F443" s="3" t="s">
        <v>926</v>
      </c>
      <c r="G443" s="3"/>
      <c r="H443" s="156" t="str">
        <f ca="1">IFERROR(
  _xludf.MINIFS(ATTENDANCE_LOG!$F:$F,
         ATTENDANCE_LOG!$A:$A, C443,
         ATTENDANCE_LOG!$B:$B, E443),
"")</f>
        <v/>
      </c>
      <c r="I443" s="156" t="str">
        <f t="shared" ca="1" si="266"/>
        <v/>
      </c>
      <c r="J443" s="3">
        <f>IFERROR(VLOOKUP(F443, LEVEL_HELPER!$A:$B, 2, 0), "")</f>
        <v>1</v>
      </c>
      <c r="K443" s="3" t="str">
        <f>IFERROR(VLOOKUP(G443, LEVEL_HELPER!$A:$B, 2, 0), "")</f>
        <v/>
      </c>
      <c r="L443" s="157" t="s">
        <v>942</v>
      </c>
      <c r="M443" s="157" t="s">
        <v>922</v>
      </c>
      <c r="N443" s="3">
        <f t="array" aca="1" ref="N443" ca="1">IFERROR(
  INDEX($J$2:$J$543,
    MATCH(A443&amp;TEXT(I443,"yyyy-mm-dd"),
          $A$2:$A$543&amp;TEXT($H$2:$H$543,"yyyy-mm-dd"),
          0)),
"")</f>
        <v>1</v>
      </c>
      <c r="O443" s="147" t="str">
        <f t="shared" ca="1" si="267"/>
        <v/>
      </c>
      <c r="P443" s="147">
        <f t="shared" ref="P443:Q443" ca="1" si="459">IF(N443="",0,IF(N443&lt;=2,1,IF(N443&lt;=4,2,IF(N443&lt;=5.5,3,4))))</f>
        <v>1</v>
      </c>
      <c r="Q443" s="147">
        <f t="shared" ca="1" si="459"/>
        <v>0</v>
      </c>
      <c r="R443" s="147" t="str">
        <f t="shared" ca="1" si="269"/>
        <v>Not tested yet</v>
      </c>
      <c r="S443" s="147">
        <f t="shared" si="270"/>
        <v>0</v>
      </c>
      <c r="T443" s="147"/>
      <c r="U443" s="147"/>
      <c r="V443" s="147"/>
      <c r="W443" s="147"/>
      <c r="X443" s="147"/>
      <c r="Y443" s="147"/>
      <c r="Z443" s="147"/>
      <c r="AA443" s="147"/>
      <c r="AB443" s="147"/>
      <c r="AC443" s="147"/>
      <c r="AD443" s="147"/>
      <c r="AE443" s="147"/>
      <c r="AF443" s="147"/>
      <c r="AG443" s="147"/>
      <c r="AH443" s="147"/>
      <c r="AI443" s="147"/>
      <c r="AJ443" s="147"/>
      <c r="AK443" s="147"/>
      <c r="AL443" s="147"/>
      <c r="AM443" s="151"/>
      <c r="AN443" s="147"/>
      <c r="AO443" s="147"/>
      <c r="AP443" s="147"/>
      <c r="AQ443" s="147"/>
      <c r="AR443" s="147"/>
      <c r="AS443" s="147"/>
      <c r="AT443" s="147"/>
      <c r="AU443" s="147"/>
      <c r="AV443" s="147"/>
      <c r="AW443" s="147"/>
      <c r="AX443" s="147"/>
      <c r="AY443" s="147"/>
      <c r="AZ443" s="147"/>
      <c r="BA443" s="147"/>
      <c r="BB443" s="147"/>
      <c r="BC443" s="147"/>
      <c r="BD443" s="147"/>
      <c r="BE443" s="147"/>
      <c r="BF443" s="147"/>
      <c r="BG443" s="147"/>
      <c r="BH443" s="147"/>
      <c r="BI443" s="147"/>
      <c r="BJ443" s="147"/>
      <c r="BK443" s="147"/>
      <c r="BL443" s="147"/>
      <c r="BM443" s="147"/>
      <c r="BN443" s="147"/>
      <c r="BO443" s="147"/>
      <c r="BP443" s="147"/>
      <c r="BQ443" s="147"/>
      <c r="BR443" s="147"/>
      <c r="BS443" s="147"/>
      <c r="BT443" s="147"/>
      <c r="BU443" s="147"/>
      <c r="BV443" s="147"/>
      <c r="BW443" s="147"/>
      <c r="BX443" s="147"/>
      <c r="BY443" s="147"/>
      <c r="BZ443" s="147"/>
      <c r="CA443" s="147"/>
      <c r="CB443" s="147"/>
      <c r="CC443" s="147"/>
      <c r="CD443" s="147"/>
      <c r="CE443" s="147"/>
      <c r="CF443" s="147"/>
      <c r="CG443" s="147"/>
      <c r="CH443" s="147"/>
      <c r="CI443" s="147"/>
      <c r="CJ443" s="147"/>
      <c r="CK443" s="147"/>
    </row>
    <row r="444" spans="1:89">
      <c r="A444" s="159" t="s">
        <v>461</v>
      </c>
      <c r="B444" s="3" t="s">
        <v>462</v>
      </c>
      <c r="C444" s="160" t="s">
        <v>88</v>
      </c>
      <c r="D444" s="160" t="s">
        <v>881</v>
      </c>
      <c r="E444" s="3" t="s">
        <v>21</v>
      </c>
      <c r="F444" s="3" t="s">
        <v>926</v>
      </c>
      <c r="G444" s="3" t="s">
        <v>934</v>
      </c>
      <c r="H444" s="156" t="str">
        <f ca="1">IFERROR(
  _xludf.MINIFS(ATTENDANCE_LOG!$F:$F,
         ATTENDANCE_LOG!$A:$A, C444,
         ATTENDANCE_LOG!$B:$B, E444),
"")</f>
        <v/>
      </c>
      <c r="I444" s="156" t="str">
        <f t="shared" ca="1" si="266"/>
        <v/>
      </c>
      <c r="J444" s="3">
        <f>IFERROR(VLOOKUP(F444, LEVEL_HELPER!$A:$B, 2, 0), "")</f>
        <v>1</v>
      </c>
      <c r="K444" s="3">
        <f>IFERROR(VLOOKUP(G444, LEVEL_HELPER!$A:$B, 2, 0), "")</f>
        <v>3.5</v>
      </c>
      <c r="L444" s="157" t="s">
        <v>918</v>
      </c>
      <c r="M444" s="157" t="s">
        <v>922</v>
      </c>
      <c r="N444" s="3">
        <f t="array" aca="1" ref="N444" ca="1">IFERROR(
  INDEX($J$2:$J$543,
    MATCH(A444&amp;TEXT(I444,"yyyy-mm-dd"),
          $A$2:$A$543&amp;TEXT($H$2:$H$543,"yyyy-mm-dd"),
          0)),
"")</f>
        <v>1</v>
      </c>
      <c r="O444" s="147" t="str">
        <f t="shared" ca="1" si="267"/>
        <v/>
      </c>
      <c r="P444" s="147">
        <f t="shared" ref="P444:Q444" ca="1" si="460">IF(N444="",0,IF(N444&lt;=2,1,IF(N444&lt;=4,2,IF(N444&lt;=5.5,3,4))))</f>
        <v>1</v>
      </c>
      <c r="Q444" s="147">
        <f t="shared" ca="1" si="460"/>
        <v>0</v>
      </c>
      <c r="R444" s="147" t="str">
        <f t="shared" ca="1" si="269"/>
        <v>Not tested yet</v>
      </c>
      <c r="S444" s="147">
        <f t="shared" si="270"/>
        <v>0</v>
      </c>
      <c r="T444" s="147"/>
      <c r="U444" s="147"/>
      <c r="V444" s="147"/>
      <c r="W444" s="147"/>
      <c r="X444" s="147"/>
      <c r="Y444" s="147"/>
      <c r="Z444" s="147"/>
      <c r="AA444" s="147"/>
      <c r="AB444" s="147"/>
      <c r="AC444" s="147"/>
      <c r="AD444" s="147"/>
      <c r="AE444" s="147"/>
      <c r="AF444" s="147"/>
      <c r="AG444" s="147"/>
      <c r="AH444" s="147"/>
      <c r="AI444" s="147"/>
      <c r="AJ444" s="147"/>
      <c r="AK444" s="147"/>
      <c r="AL444" s="147"/>
      <c r="AM444" s="151"/>
      <c r="AN444" s="147"/>
      <c r="AO444" s="147"/>
      <c r="AP444" s="147"/>
      <c r="AQ444" s="147"/>
      <c r="AR444" s="147"/>
      <c r="AS444" s="147"/>
      <c r="AT444" s="147"/>
      <c r="AU444" s="147"/>
      <c r="AV444" s="147"/>
      <c r="AW444" s="147"/>
      <c r="AX444" s="147"/>
      <c r="AY444" s="147"/>
      <c r="AZ444" s="147"/>
      <c r="BA444" s="147"/>
      <c r="BB444" s="147"/>
      <c r="BC444" s="147"/>
      <c r="BD444" s="147"/>
      <c r="BE444" s="147"/>
      <c r="BF444" s="147"/>
      <c r="BG444" s="147"/>
      <c r="BH444" s="147"/>
      <c r="BI444" s="147"/>
      <c r="BJ444" s="147"/>
      <c r="BK444" s="147"/>
      <c r="BL444" s="147"/>
      <c r="BM444" s="147"/>
      <c r="BN444" s="147"/>
      <c r="BO444" s="147"/>
      <c r="BP444" s="147"/>
      <c r="BQ444" s="147"/>
      <c r="BR444" s="147"/>
      <c r="BS444" s="147"/>
      <c r="BT444" s="147"/>
      <c r="BU444" s="147"/>
      <c r="BV444" s="147"/>
      <c r="BW444" s="147"/>
      <c r="BX444" s="147"/>
      <c r="BY444" s="147"/>
      <c r="BZ444" s="147"/>
      <c r="CA444" s="147"/>
      <c r="CB444" s="147"/>
      <c r="CC444" s="147"/>
      <c r="CD444" s="147"/>
      <c r="CE444" s="147"/>
      <c r="CF444" s="147"/>
      <c r="CG444" s="147"/>
      <c r="CH444" s="147"/>
      <c r="CI444" s="147"/>
      <c r="CJ444" s="147"/>
      <c r="CK444" s="147"/>
    </row>
    <row r="445" spans="1:89">
      <c r="A445" s="159" t="s">
        <v>669</v>
      </c>
      <c r="B445" s="3" t="s">
        <v>670</v>
      </c>
      <c r="C445" s="160" t="s">
        <v>88</v>
      </c>
      <c r="D445" s="160" t="s">
        <v>881</v>
      </c>
      <c r="E445" s="3" t="s">
        <v>21</v>
      </c>
      <c r="F445" s="3" t="s">
        <v>916</v>
      </c>
      <c r="G445" s="3"/>
      <c r="H445" s="156" t="str">
        <f ca="1">IFERROR(
  _xludf.MINIFS(ATTENDANCE_LOG!$F:$F,
         ATTENDANCE_LOG!$A:$A, C445,
         ATTENDANCE_LOG!$B:$B, E445),
"")</f>
        <v/>
      </c>
      <c r="I445" s="156" t="str">
        <f t="shared" ca="1" si="266"/>
        <v/>
      </c>
      <c r="J445" s="3">
        <f>IFERROR(VLOOKUP(F445, LEVEL_HELPER!$A:$B, 2, 0), "")</f>
        <v>2.5</v>
      </c>
      <c r="K445" s="3" t="str">
        <f>IFERROR(VLOOKUP(G445, LEVEL_HELPER!$A:$B, 2, 0), "")</f>
        <v/>
      </c>
      <c r="L445" s="157" t="s">
        <v>954</v>
      </c>
      <c r="M445" s="157" t="s">
        <v>924</v>
      </c>
      <c r="N445" s="3">
        <f t="array" aca="1" ref="N445" ca="1">IFERROR(
  INDEX($J$2:$J$543,
    MATCH(A445&amp;TEXT(I445,"yyyy-mm-dd"),
          $A$2:$A$543&amp;TEXT($H$2:$H$543,"yyyy-mm-dd"),
          0)),
"")</f>
        <v>2.5</v>
      </c>
      <c r="O445" s="147" t="str">
        <f t="shared" ca="1" si="267"/>
        <v/>
      </c>
      <c r="P445" s="147">
        <f t="shared" ref="P445:Q445" ca="1" si="461">IF(N445="",0,IF(N445&lt;=2,1,IF(N445&lt;=4,2,IF(N445&lt;=5.5,3,4))))</f>
        <v>2</v>
      </c>
      <c r="Q445" s="147">
        <f t="shared" ca="1" si="461"/>
        <v>0</v>
      </c>
      <c r="R445" s="147" t="str">
        <f t="shared" ca="1" si="269"/>
        <v>Not tested yet</v>
      </c>
      <c r="S445" s="147">
        <f t="shared" si="270"/>
        <v>1</v>
      </c>
      <c r="T445" s="147"/>
      <c r="U445" s="147"/>
      <c r="V445" s="147"/>
      <c r="W445" s="147"/>
      <c r="X445" s="147"/>
      <c r="Y445" s="147"/>
      <c r="Z445" s="147"/>
      <c r="AA445" s="147"/>
      <c r="AB445" s="147"/>
      <c r="AC445" s="147"/>
      <c r="AD445" s="147"/>
      <c r="AE445" s="147"/>
      <c r="AF445" s="147"/>
      <c r="AG445" s="147"/>
      <c r="AH445" s="147"/>
      <c r="AI445" s="147"/>
      <c r="AJ445" s="147"/>
      <c r="AK445" s="147"/>
      <c r="AL445" s="147"/>
      <c r="AM445" s="151"/>
      <c r="AN445" s="147"/>
      <c r="AO445" s="147"/>
      <c r="AP445" s="147"/>
      <c r="AQ445" s="147"/>
      <c r="AR445" s="147"/>
      <c r="AS445" s="147"/>
      <c r="AT445" s="147"/>
      <c r="AU445" s="147"/>
      <c r="AV445" s="147"/>
      <c r="AW445" s="147"/>
      <c r="AX445" s="147"/>
      <c r="AY445" s="147"/>
      <c r="AZ445" s="147"/>
      <c r="BA445" s="147"/>
      <c r="BB445" s="147"/>
      <c r="BC445" s="147"/>
      <c r="BD445" s="147"/>
      <c r="BE445" s="147"/>
      <c r="BF445" s="147"/>
      <c r="BG445" s="147"/>
      <c r="BH445" s="147"/>
      <c r="BI445" s="147"/>
      <c r="BJ445" s="147"/>
      <c r="BK445" s="147"/>
      <c r="BL445" s="147"/>
      <c r="BM445" s="147"/>
      <c r="BN445" s="147"/>
      <c r="BO445" s="147"/>
      <c r="BP445" s="147"/>
      <c r="BQ445" s="147"/>
      <c r="BR445" s="147"/>
      <c r="BS445" s="147"/>
      <c r="BT445" s="147"/>
      <c r="BU445" s="147"/>
      <c r="BV445" s="147"/>
      <c r="BW445" s="147"/>
      <c r="BX445" s="147"/>
      <c r="BY445" s="147"/>
      <c r="BZ445" s="147"/>
      <c r="CA445" s="147"/>
      <c r="CB445" s="147"/>
      <c r="CC445" s="147"/>
      <c r="CD445" s="147"/>
      <c r="CE445" s="147"/>
      <c r="CF445" s="147"/>
      <c r="CG445" s="147"/>
      <c r="CH445" s="147"/>
      <c r="CI445" s="147"/>
      <c r="CJ445" s="147"/>
      <c r="CK445" s="147"/>
    </row>
    <row r="446" spans="1:89">
      <c r="A446" s="159" t="s">
        <v>681</v>
      </c>
      <c r="B446" s="3" t="s">
        <v>682</v>
      </c>
      <c r="C446" s="160" t="s">
        <v>88</v>
      </c>
      <c r="D446" s="160" t="s">
        <v>881</v>
      </c>
      <c r="E446" s="3" t="s">
        <v>21</v>
      </c>
      <c r="F446" s="3" t="s">
        <v>926</v>
      </c>
      <c r="G446" s="3" t="s">
        <v>917</v>
      </c>
      <c r="H446" s="156" t="str">
        <f ca="1">IFERROR(
  _xludf.MINIFS(ATTENDANCE_LOG!$F:$F,
         ATTENDANCE_LOG!$A:$A, C446,
         ATTENDANCE_LOG!$B:$B, E446),
"")</f>
        <v/>
      </c>
      <c r="I446" s="156" t="str">
        <f t="shared" ca="1" si="266"/>
        <v/>
      </c>
      <c r="J446" s="3">
        <f>IFERROR(VLOOKUP(F446, LEVEL_HELPER!$A:$B, 2, 0), "")</f>
        <v>1</v>
      </c>
      <c r="K446" s="3">
        <f>IFERROR(VLOOKUP(G446, LEVEL_HELPER!$A:$B, 2, 0), "")</f>
        <v>3</v>
      </c>
      <c r="L446" s="157" t="s">
        <v>942</v>
      </c>
      <c r="M446" s="157" t="s">
        <v>923</v>
      </c>
      <c r="N446" s="3">
        <f t="array" aca="1" ref="N446" ca="1">IFERROR(
  INDEX($J$2:$J$543,
    MATCH(A446&amp;TEXT(I446,"yyyy-mm-dd"),
          $A$2:$A$543&amp;TEXT($H$2:$H$543,"yyyy-mm-dd"),
          0)),
"")</f>
        <v>1</v>
      </c>
      <c r="O446" s="147" t="str">
        <f t="shared" ca="1" si="267"/>
        <v/>
      </c>
      <c r="P446" s="147">
        <f t="shared" ref="P446:Q446" ca="1" si="462">IF(N446="",0,IF(N446&lt;=2,1,IF(N446&lt;=4,2,IF(N446&lt;=5.5,3,4))))</f>
        <v>1</v>
      </c>
      <c r="Q446" s="147">
        <f t="shared" ca="1" si="462"/>
        <v>0</v>
      </c>
      <c r="R446" s="147" t="str">
        <f t="shared" ca="1" si="269"/>
        <v>Not tested yet</v>
      </c>
      <c r="S446" s="147">
        <f t="shared" si="270"/>
        <v>0</v>
      </c>
      <c r="T446" s="147"/>
      <c r="U446" s="147"/>
      <c r="V446" s="147"/>
      <c r="W446" s="147"/>
      <c r="X446" s="147"/>
      <c r="Y446" s="147"/>
      <c r="Z446" s="147"/>
      <c r="AA446" s="147"/>
      <c r="AB446" s="147"/>
      <c r="AC446" s="147"/>
      <c r="AD446" s="147"/>
      <c r="AE446" s="147"/>
      <c r="AF446" s="147"/>
      <c r="AG446" s="147"/>
      <c r="AH446" s="147"/>
      <c r="AI446" s="147"/>
      <c r="AJ446" s="147"/>
      <c r="AK446" s="147"/>
      <c r="AL446" s="147"/>
      <c r="AM446" s="151"/>
      <c r="AN446" s="147"/>
      <c r="AO446" s="147"/>
      <c r="AP446" s="147"/>
      <c r="AQ446" s="147"/>
      <c r="AR446" s="147"/>
      <c r="AS446" s="147"/>
      <c r="AT446" s="147"/>
      <c r="AU446" s="147"/>
      <c r="AV446" s="147"/>
      <c r="AW446" s="147"/>
      <c r="AX446" s="147"/>
      <c r="AY446" s="147"/>
      <c r="AZ446" s="147"/>
      <c r="BA446" s="147"/>
      <c r="BB446" s="147"/>
      <c r="BC446" s="147"/>
      <c r="BD446" s="147"/>
      <c r="BE446" s="147"/>
      <c r="BF446" s="147"/>
      <c r="BG446" s="147"/>
      <c r="BH446" s="147"/>
      <c r="BI446" s="147"/>
      <c r="BJ446" s="147"/>
      <c r="BK446" s="147"/>
      <c r="BL446" s="147"/>
      <c r="BM446" s="147"/>
      <c r="BN446" s="147"/>
      <c r="BO446" s="147"/>
      <c r="BP446" s="147"/>
      <c r="BQ446" s="147"/>
      <c r="BR446" s="147"/>
      <c r="BS446" s="147"/>
      <c r="BT446" s="147"/>
      <c r="BU446" s="147"/>
      <c r="BV446" s="147"/>
      <c r="BW446" s="147"/>
      <c r="BX446" s="147"/>
      <c r="BY446" s="147"/>
      <c r="BZ446" s="147"/>
      <c r="CA446" s="147"/>
      <c r="CB446" s="147"/>
      <c r="CC446" s="147"/>
      <c r="CD446" s="147"/>
      <c r="CE446" s="147"/>
      <c r="CF446" s="147"/>
      <c r="CG446" s="147"/>
      <c r="CH446" s="147"/>
      <c r="CI446" s="147"/>
      <c r="CJ446" s="147"/>
      <c r="CK446" s="147"/>
    </row>
    <row r="447" spans="1:89">
      <c r="A447" s="159" t="s">
        <v>685</v>
      </c>
      <c r="B447" s="3" t="s">
        <v>686</v>
      </c>
      <c r="C447" s="160" t="s">
        <v>88</v>
      </c>
      <c r="D447" s="160" t="s">
        <v>881</v>
      </c>
      <c r="E447" s="3" t="s">
        <v>21</v>
      </c>
      <c r="F447" s="3" t="s">
        <v>926</v>
      </c>
      <c r="G447" s="3" t="s">
        <v>928</v>
      </c>
      <c r="H447" s="156" t="str">
        <f ca="1">IFERROR(
  _xludf.MINIFS(ATTENDANCE_LOG!$F:$F,
         ATTENDANCE_LOG!$A:$A, C447,
         ATTENDANCE_LOG!$B:$B, E447),
"")</f>
        <v/>
      </c>
      <c r="I447" s="156" t="str">
        <f t="shared" ca="1" si="266"/>
        <v/>
      </c>
      <c r="J447" s="3">
        <f>IFERROR(VLOOKUP(F447, LEVEL_HELPER!$A:$B, 2, 0), "")</f>
        <v>1</v>
      </c>
      <c r="K447" s="3">
        <f>IFERROR(VLOOKUP(G447, LEVEL_HELPER!$A:$B, 2, 0), "")</f>
        <v>1.5</v>
      </c>
      <c r="L447" s="157" t="s">
        <v>942</v>
      </c>
      <c r="M447" s="157" t="s">
        <v>922</v>
      </c>
      <c r="N447" s="3">
        <f t="array" aca="1" ref="N447" ca="1">IFERROR(
  INDEX($J$2:$J$543,
    MATCH(A447&amp;TEXT(I447,"yyyy-mm-dd"),
          $A$2:$A$543&amp;TEXT($H$2:$H$543,"yyyy-mm-dd"),
          0)),
"")</f>
        <v>1</v>
      </c>
      <c r="O447" s="147" t="str">
        <f t="shared" ca="1" si="267"/>
        <v/>
      </c>
      <c r="P447" s="147">
        <f t="shared" ref="P447:Q447" ca="1" si="463">IF(N447="",0,IF(N447&lt;=2,1,IF(N447&lt;=4,2,IF(N447&lt;=5.5,3,4))))</f>
        <v>1</v>
      </c>
      <c r="Q447" s="147">
        <f t="shared" ca="1" si="463"/>
        <v>0</v>
      </c>
      <c r="R447" s="147" t="str">
        <f t="shared" ca="1" si="269"/>
        <v>Not tested yet</v>
      </c>
      <c r="S447" s="147">
        <f t="shared" si="270"/>
        <v>0</v>
      </c>
      <c r="T447" s="147"/>
      <c r="U447" s="147"/>
      <c r="V447" s="147"/>
      <c r="W447" s="147"/>
      <c r="X447" s="147"/>
      <c r="Y447" s="147"/>
      <c r="Z447" s="147"/>
      <c r="AA447" s="147"/>
      <c r="AB447" s="147"/>
      <c r="AC447" s="147"/>
      <c r="AD447" s="147"/>
      <c r="AE447" s="147"/>
      <c r="AF447" s="147"/>
      <c r="AG447" s="147"/>
      <c r="AH447" s="147"/>
      <c r="AI447" s="147"/>
      <c r="AJ447" s="147"/>
      <c r="AK447" s="147"/>
      <c r="AL447" s="147"/>
      <c r="AM447" s="151"/>
      <c r="AN447" s="147"/>
      <c r="AO447" s="147"/>
      <c r="AP447" s="147"/>
      <c r="AQ447" s="147"/>
      <c r="AR447" s="147"/>
      <c r="AS447" s="147"/>
      <c r="AT447" s="147"/>
      <c r="AU447" s="147"/>
      <c r="AV447" s="147"/>
      <c r="AW447" s="147"/>
      <c r="AX447" s="147"/>
      <c r="AY447" s="147"/>
      <c r="AZ447" s="147"/>
      <c r="BA447" s="147"/>
      <c r="BB447" s="147"/>
      <c r="BC447" s="147"/>
      <c r="BD447" s="147"/>
      <c r="BE447" s="147"/>
      <c r="BF447" s="147"/>
      <c r="BG447" s="147"/>
      <c r="BH447" s="147"/>
      <c r="BI447" s="147"/>
      <c r="BJ447" s="147"/>
      <c r="BK447" s="147"/>
      <c r="BL447" s="147"/>
      <c r="BM447" s="147"/>
      <c r="BN447" s="147"/>
      <c r="BO447" s="147"/>
      <c r="BP447" s="147"/>
      <c r="BQ447" s="147"/>
      <c r="BR447" s="147"/>
      <c r="BS447" s="147"/>
      <c r="BT447" s="147"/>
      <c r="BU447" s="147"/>
      <c r="BV447" s="147"/>
      <c r="BW447" s="147"/>
      <c r="BX447" s="147"/>
      <c r="BY447" s="147"/>
      <c r="BZ447" s="147"/>
      <c r="CA447" s="147"/>
      <c r="CB447" s="147"/>
      <c r="CC447" s="147"/>
      <c r="CD447" s="147"/>
      <c r="CE447" s="147"/>
      <c r="CF447" s="147"/>
      <c r="CG447" s="147"/>
      <c r="CH447" s="147"/>
      <c r="CI447" s="147"/>
      <c r="CJ447" s="147"/>
      <c r="CK447" s="147"/>
    </row>
    <row r="448" spans="1:89">
      <c r="A448" s="159" t="s">
        <v>709</v>
      </c>
      <c r="B448" s="3" t="s">
        <v>710</v>
      </c>
      <c r="C448" s="160" t="s">
        <v>88</v>
      </c>
      <c r="D448" s="160" t="s">
        <v>881</v>
      </c>
      <c r="E448" s="3" t="s">
        <v>21</v>
      </c>
      <c r="F448" s="3" t="s">
        <v>917</v>
      </c>
      <c r="G448" s="3" t="s">
        <v>934</v>
      </c>
      <c r="H448" s="156" t="str">
        <f ca="1">IFERROR(
  _xludf.MINIFS(ATTENDANCE_LOG!$F:$F,
         ATTENDANCE_LOG!$A:$A, C448,
         ATTENDANCE_LOG!$B:$B, E448),
"")</f>
        <v/>
      </c>
      <c r="I448" s="156" t="str">
        <f t="shared" ca="1" si="266"/>
        <v/>
      </c>
      <c r="J448" s="3">
        <f>IFERROR(VLOOKUP(F448, LEVEL_HELPER!$A:$B, 2, 0), "")</f>
        <v>3</v>
      </c>
      <c r="K448" s="3">
        <f>IFERROR(VLOOKUP(G448, LEVEL_HELPER!$A:$B, 2, 0), "")</f>
        <v>3.5</v>
      </c>
      <c r="L448" s="157" t="s">
        <v>942</v>
      </c>
      <c r="M448" s="157" t="s">
        <v>922</v>
      </c>
      <c r="N448" s="3">
        <f t="array" aca="1" ref="N448" ca="1">IFERROR(
  INDEX($J$2:$J$543,
    MATCH(A448&amp;TEXT(I448,"yyyy-mm-dd"),
          $A$2:$A$543&amp;TEXT($H$2:$H$543,"yyyy-mm-dd"),
          0)),
"")</f>
        <v>1</v>
      </c>
      <c r="O448" s="147" t="str">
        <f t="shared" ca="1" si="267"/>
        <v/>
      </c>
      <c r="P448" s="147">
        <f t="shared" ref="P448:Q448" ca="1" si="464">IF(N448="",0,IF(N448&lt;=2,1,IF(N448&lt;=4,2,IF(N448&lt;=5.5,3,4))))</f>
        <v>1</v>
      </c>
      <c r="Q448" s="147">
        <f t="shared" ca="1" si="464"/>
        <v>0</v>
      </c>
      <c r="R448" s="147" t="str">
        <f t="shared" ca="1" si="269"/>
        <v>Not tested yet</v>
      </c>
      <c r="S448" s="147">
        <f t="shared" si="270"/>
        <v>0</v>
      </c>
      <c r="T448" s="147"/>
      <c r="U448" s="147"/>
      <c r="V448" s="147"/>
      <c r="W448" s="147"/>
      <c r="X448" s="147"/>
      <c r="Y448" s="147"/>
      <c r="Z448" s="147"/>
      <c r="AA448" s="147"/>
      <c r="AB448" s="147"/>
      <c r="AC448" s="147"/>
      <c r="AD448" s="147"/>
      <c r="AE448" s="147"/>
      <c r="AF448" s="147"/>
      <c r="AG448" s="147"/>
      <c r="AH448" s="147"/>
      <c r="AI448" s="147"/>
      <c r="AJ448" s="147"/>
      <c r="AK448" s="147"/>
      <c r="AL448" s="147"/>
      <c r="AM448" s="151"/>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c r="BI448" s="147"/>
      <c r="BJ448" s="147"/>
      <c r="BK448" s="147"/>
      <c r="BL448" s="147"/>
      <c r="BM448" s="147"/>
      <c r="BN448" s="147"/>
      <c r="BO448" s="147"/>
      <c r="BP448" s="147"/>
      <c r="BQ448" s="147"/>
      <c r="BR448" s="147"/>
      <c r="BS448" s="147"/>
      <c r="BT448" s="147"/>
      <c r="BU448" s="147"/>
      <c r="BV448" s="147"/>
      <c r="BW448" s="147"/>
      <c r="BX448" s="147"/>
      <c r="BY448" s="147"/>
      <c r="BZ448" s="147"/>
      <c r="CA448" s="147"/>
      <c r="CB448" s="147"/>
      <c r="CC448" s="147"/>
      <c r="CD448" s="147"/>
      <c r="CE448" s="147"/>
      <c r="CF448" s="147"/>
      <c r="CG448" s="147"/>
      <c r="CH448" s="147"/>
      <c r="CI448" s="147"/>
      <c r="CJ448" s="147"/>
      <c r="CK448" s="147"/>
    </row>
    <row r="449" spans="1:89">
      <c r="A449" s="153" t="s">
        <v>574</v>
      </c>
      <c r="B449" s="154" t="s">
        <v>575</v>
      </c>
      <c r="C449" s="155" t="s">
        <v>89</v>
      </c>
      <c r="D449" s="155" t="s">
        <v>882</v>
      </c>
      <c r="E449" s="154" t="s">
        <v>26</v>
      </c>
      <c r="F449" s="154" t="s">
        <v>25</v>
      </c>
      <c r="G449" s="154"/>
      <c r="H449" s="156" t="str">
        <f ca="1">IFERROR(
  _xludf.MINIFS(ATTENDANCE_LOG!$F:$F,
         ATTENDANCE_LOG!$A:$A, C449,
         ATTENDANCE_LOG!$B:$B, E449),
"")</f>
        <v/>
      </c>
      <c r="I449" s="156" t="str">
        <f t="shared" ca="1" si="266"/>
        <v/>
      </c>
      <c r="J449" s="154">
        <f>IFERROR(VLOOKUP(F449, LEVEL_HELPER!$A:$B, 2, 0), "")</f>
        <v>0.5</v>
      </c>
      <c r="K449" s="154" t="str">
        <f>IFERROR(VLOOKUP(G449, LEVEL_HELPER!$A:$B, 2, 0), "")</f>
        <v/>
      </c>
      <c r="L449" s="176" t="s">
        <v>930</v>
      </c>
      <c r="M449" s="176" t="s">
        <v>925</v>
      </c>
      <c r="N449" s="3">
        <f t="array" aca="1" ref="N449" ca="1">IFERROR(
  INDEX($J$2:$J$543,
    MATCH(A449&amp;TEXT(I449,"yyyy-mm-dd"),
          $A$2:$A$543&amp;TEXT($H$2:$H$543,"yyyy-mm-dd"),
          0)),
"")</f>
        <v>0.5</v>
      </c>
      <c r="O449" s="177" t="str">
        <f t="shared" ca="1" si="267"/>
        <v/>
      </c>
      <c r="P449" s="147">
        <f t="shared" ref="P449:Q449" ca="1" si="465">IF(N449="",0,IF(N449&lt;=2,1,IF(N449&lt;=4,2,IF(N449&lt;=5.5,3,4))))</f>
        <v>1</v>
      </c>
      <c r="Q449" s="147">
        <f t="shared" ca="1" si="465"/>
        <v>0</v>
      </c>
      <c r="R449" s="147" t="str">
        <f t="shared" ca="1" si="269"/>
        <v>Not tested yet</v>
      </c>
      <c r="S449" s="147">
        <f t="shared" si="270"/>
        <v>1</v>
      </c>
      <c r="T449" s="147"/>
      <c r="U449" s="147"/>
      <c r="V449" s="147"/>
      <c r="W449" s="147"/>
      <c r="X449" s="147"/>
      <c r="Y449" s="147"/>
      <c r="Z449" s="147"/>
      <c r="AA449" s="147"/>
      <c r="AB449" s="147"/>
      <c r="AC449" s="147"/>
      <c r="AD449" s="147"/>
      <c r="AE449" s="147"/>
      <c r="AF449" s="147"/>
      <c r="AG449" s="147"/>
      <c r="AH449" s="147"/>
      <c r="AI449" s="147"/>
      <c r="AJ449" s="147"/>
      <c r="AK449" s="147"/>
      <c r="AL449" s="147"/>
      <c r="AM449" s="151"/>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c r="BI449" s="147"/>
      <c r="BJ449" s="147"/>
      <c r="BK449" s="147"/>
      <c r="BL449" s="147"/>
      <c r="BM449" s="147"/>
      <c r="BN449" s="147"/>
      <c r="BO449" s="147"/>
      <c r="BP449" s="147"/>
      <c r="BQ449" s="147"/>
      <c r="BR449" s="147"/>
      <c r="BS449" s="147"/>
      <c r="BT449" s="147"/>
      <c r="BU449" s="147"/>
      <c r="BV449" s="147"/>
      <c r="BW449" s="147"/>
      <c r="BX449" s="147"/>
      <c r="BY449" s="147"/>
      <c r="BZ449" s="147"/>
      <c r="CA449" s="147"/>
      <c r="CB449" s="147"/>
      <c r="CC449" s="147"/>
      <c r="CD449" s="147"/>
      <c r="CE449" s="147"/>
      <c r="CF449" s="147"/>
      <c r="CG449" s="147"/>
      <c r="CH449" s="147"/>
      <c r="CI449" s="147"/>
      <c r="CJ449" s="147"/>
      <c r="CK449" s="147"/>
    </row>
    <row r="450" spans="1:89">
      <c r="A450" s="159" t="s">
        <v>545</v>
      </c>
      <c r="B450" s="3" t="s">
        <v>546</v>
      </c>
      <c r="C450" s="160" t="s">
        <v>89</v>
      </c>
      <c r="D450" s="160" t="s">
        <v>882</v>
      </c>
      <c r="E450" s="3" t="s">
        <v>26</v>
      </c>
      <c r="F450" s="3" t="s">
        <v>25</v>
      </c>
      <c r="G450" s="3"/>
      <c r="H450" s="156" t="str">
        <f ca="1">IFERROR(
  _xludf.MINIFS(ATTENDANCE_LOG!$F:$F,
         ATTENDANCE_LOG!$A:$A, C450,
         ATTENDANCE_LOG!$B:$B, E450),
"")</f>
        <v/>
      </c>
      <c r="I450" s="156" t="str">
        <f t="shared" ca="1" si="266"/>
        <v/>
      </c>
      <c r="J450" s="3">
        <f>IFERROR(VLOOKUP(F450, LEVEL_HELPER!$A:$B, 2, 0), "")</f>
        <v>0.5</v>
      </c>
      <c r="K450" s="3" t="str">
        <f>IFERROR(VLOOKUP(G450, LEVEL_HELPER!$A:$B, 2, 0), "")</f>
        <v/>
      </c>
      <c r="L450" s="157" t="s">
        <v>930</v>
      </c>
      <c r="M450" s="157" t="s">
        <v>919</v>
      </c>
      <c r="N450" s="3">
        <f t="array" aca="1" ref="N450" ca="1">IFERROR(
  INDEX($J$2:$J$543,
    MATCH(A450&amp;TEXT(I450,"yyyy-mm-dd"),
          $A$2:$A$543&amp;TEXT($H$2:$H$543,"yyyy-mm-dd"),
          0)),
"")</f>
        <v>0.5</v>
      </c>
      <c r="O450" s="147" t="str">
        <f t="shared" ca="1" si="267"/>
        <v/>
      </c>
      <c r="P450" s="147">
        <f t="shared" ref="P450:Q450" ca="1" si="466">IF(N450="",0,IF(N450&lt;=2,1,IF(N450&lt;=4,2,IF(N450&lt;=5.5,3,4))))</f>
        <v>1</v>
      </c>
      <c r="Q450" s="147">
        <f t="shared" ca="1" si="466"/>
        <v>0</v>
      </c>
      <c r="R450" s="147" t="str">
        <f t="shared" ca="1" si="269"/>
        <v>Not tested yet</v>
      </c>
      <c r="S450" s="147">
        <f t="shared" si="270"/>
        <v>1</v>
      </c>
      <c r="T450" s="147"/>
      <c r="U450" s="147"/>
      <c r="V450" s="147"/>
      <c r="W450" s="147"/>
      <c r="X450" s="147"/>
      <c r="Y450" s="147"/>
      <c r="Z450" s="147"/>
      <c r="AA450" s="147"/>
      <c r="AB450" s="147"/>
      <c r="AC450" s="147"/>
      <c r="AD450" s="147"/>
      <c r="AE450" s="147"/>
      <c r="AF450" s="147"/>
      <c r="AG450" s="147"/>
      <c r="AH450" s="147"/>
      <c r="AI450" s="147"/>
      <c r="AJ450" s="147"/>
      <c r="AK450" s="147"/>
      <c r="AL450" s="147"/>
      <c r="AM450" s="151"/>
      <c r="AN450" s="147"/>
      <c r="AO450" s="147"/>
      <c r="AP450" s="147"/>
      <c r="AQ450" s="147"/>
      <c r="AR450" s="147"/>
      <c r="AS450" s="147"/>
      <c r="AT450" s="147"/>
      <c r="AU450" s="147"/>
      <c r="AV450" s="147"/>
      <c r="AW450" s="147"/>
      <c r="AX450" s="147"/>
      <c r="AY450" s="147"/>
      <c r="AZ450" s="147"/>
      <c r="BA450" s="147"/>
      <c r="BB450" s="147"/>
      <c r="BC450" s="147"/>
      <c r="BD450" s="147"/>
      <c r="BE450" s="147"/>
      <c r="BF450" s="147"/>
      <c r="BG450" s="147"/>
      <c r="BH450" s="147"/>
      <c r="BI450" s="147"/>
      <c r="BJ450" s="147"/>
      <c r="BK450" s="147"/>
      <c r="BL450" s="147"/>
      <c r="BM450" s="147"/>
      <c r="BN450" s="147"/>
      <c r="BO450" s="147"/>
      <c r="BP450" s="147"/>
      <c r="BQ450" s="147"/>
      <c r="BR450" s="147"/>
      <c r="BS450" s="147"/>
      <c r="BT450" s="147"/>
      <c r="BU450" s="147"/>
      <c r="BV450" s="147"/>
      <c r="BW450" s="147"/>
      <c r="BX450" s="147"/>
      <c r="BY450" s="147"/>
      <c r="BZ450" s="147"/>
      <c r="CA450" s="147"/>
      <c r="CB450" s="147"/>
      <c r="CC450" s="147"/>
      <c r="CD450" s="147"/>
      <c r="CE450" s="147"/>
      <c r="CF450" s="147"/>
      <c r="CG450" s="147"/>
      <c r="CH450" s="147"/>
      <c r="CI450" s="147"/>
      <c r="CJ450" s="147"/>
      <c r="CK450" s="147"/>
    </row>
    <row r="451" spans="1:89">
      <c r="A451" s="159" t="s">
        <v>558</v>
      </c>
      <c r="B451" s="3" t="s">
        <v>559</v>
      </c>
      <c r="C451" s="160" t="s">
        <v>89</v>
      </c>
      <c r="D451" s="160" t="s">
        <v>882</v>
      </c>
      <c r="E451" s="3" t="s">
        <v>26</v>
      </c>
      <c r="F451" s="3" t="s">
        <v>25</v>
      </c>
      <c r="G451" s="3"/>
      <c r="H451" s="156" t="str">
        <f ca="1">IFERROR(
  _xludf.MINIFS(ATTENDANCE_LOG!$F:$F,
         ATTENDANCE_LOG!$A:$A, C451,
         ATTENDANCE_LOG!$B:$B, E451),
"")</f>
        <v/>
      </c>
      <c r="I451" s="156" t="str">
        <f t="shared" ca="1" si="266"/>
        <v/>
      </c>
      <c r="J451" s="3">
        <f>IFERROR(VLOOKUP(F451, LEVEL_HELPER!$A:$B, 2, 0), "")</f>
        <v>0.5</v>
      </c>
      <c r="K451" s="3" t="str">
        <f>IFERROR(VLOOKUP(G451, LEVEL_HELPER!$A:$B, 2, 0), "")</f>
        <v/>
      </c>
      <c r="L451" s="157" t="s">
        <v>930</v>
      </c>
      <c r="M451" s="157" t="s">
        <v>919</v>
      </c>
      <c r="N451" s="3">
        <f t="array" aca="1" ref="N451" ca="1">IFERROR(
  INDEX($J$2:$J$543,
    MATCH(A451&amp;TEXT(I451,"yyyy-mm-dd"),
          $A$2:$A$543&amp;TEXT($H$2:$H$543,"yyyy-mm-dd"),
          0)),
"")</f>
        <v>0.5</v>
      </c>
      <c r="O451" s="147" t="str">
        <f t="shared" ca="1" si="267"/>
        <v/>
      </c>
      <c r="P451" s="147">
        <f t="shared" ref="P451:Q451" ca="1" si="467">IF(N451="",0,IF(N451&lt;=2,1,IF(N451&lt;=4,2,IF(N451&lt;=5.5,3,4))))</f>
        <v>1</v>
      </c>
      <c r="Q451" s="147">
        <f t="shared" ca="1" si="467"/>
        <v>0</v>
      </c>
      <c r="R451" s="147" t="str">
        <f t="shared" ca="1" si="269"/>
        <v>Not tested yet</v>
      </c>
      <c r="S451" s="147">
        <f t="shared" si="270"/>
        <v>1</v>
      </c>
      <c r="T451" s="147"/>
      <c r="U451" s="147"/>
      <c r="V451" s="147"/>
      <c r="W451" s="147"/>
      <c r="X451" s="147"/>
      <c r="Y451" s="147"/>
      <c r="Z451" s="147"/>
      <c r="AA451" s="147"/>
      <c r="AB451" s="147"/>
      <c r="AC451" s="147"/>
      <c r="AD451" s="147"/>
      <c r="AE451" s="147"/>
      <c r="AF451" s="147"/>
      <c r="AG451" s="147"/>
      <c r="AH451" s="147"/>
      <c r="AI451" s="147"/>
      <c r="AJ451" s="147"/>
      <c r="AK451" s="147"/>
      <c r="AL451" s="147"/>
      <c r="AM451" s="151"/>
      <c r="AN451" s="147"/>
      <c r="AO451" s="147"/>
      <c r="AP451" s="147"/>
      <c r="AQ451" s="147"/>
      <c r="AR451" s="147"/>
      <c r="AS451" s="147"/>
      <c r="AT451" s="147"/>
      <c r="AU451" s="147"/>
      <c r="AV451" s="147"/>
      <c r="AW451" s="147"/>
      <c r="AX451" s="147"/>
      <c r="AY451" s="147"/>
      <c r="AZ451" s="147"/>
      <c r="BA451" s="147"/>
      <c r="BB451" s="147"/>
      <c r="BC451" s="147"/>
      <c r="BD451" s="147"/>
      <c r="BE451" s="147"/>
      <c r="BF451" s="147"/>
      <c r="BG451" s="147"/>
      <c r="BH451" s="147"/>
      <c r="BI451" s="147"/>
      <c r="BJ451" s="147"/>
      <c r="BK451" s="147"/>
      <c r="BL451" s="147"/>
      <c r="BM451" s="147"/>
      <c r="BN451" s="147"/>
      <c r="BO451" s="147"/>
      <c r="BP451" s="147"/>
      <c r="BQ451" s="147"/>
      <c r="BR451" s="147"/>
      <c r="BS451" s="147"/>
      <c r="BT451" s="147"/>
      <c r="BU451" s="147"/>
      <c r="BV451" s="147"/>
      <c r="BW451" s="147"/>
      <c r="BX451" s="147"/>
      <c r="BY451" s="147"/>
      <c r="BZ451" s="147"/>
      <c r="CA451" s="147"/>
      <c r="CB451" s="147"/>
      <c r="CC451" s="147"/>
      <c r="CD451" s="147"/>
      <c r="CE451" s="147"/>
      <c r="CF451" s="147"/>
      <c r="CG451" s="147"/>
      <c r="CH451" s="147"/>
      <c r="CI451" s="147"/>
      <c r="CJ451" s="147"/>
      <c r="CK451" s="147"/>
    </row>
    <row r="452" spans="1:89">
      <c r="A452" s="153" t="s">
        <v>574</v>
      </c>
      <c r="B452" s="154" t="s">
        <v>575</v>
      </c>
      <c r="C452" s="155" t="s">
        <v>89</v>
      </c>
      <c r="D452" s="155" t="s">
        <v>882</v>
      </c>
      <c r="E452" s="154" t="s">
        <v>25</v>
      </c>
      <c r="F452" s="154" t="s">
        <v>25</v>
      </c>
      <c r="G452" s="154" t="s">
        <v>25</v>
      </c>
      <c r="H452" s="156" t="str">
        <f ca="1">IFERROR(
  _xludf.MINIFS(ATTENDANCE_LOG!$F:$F,
         ATTENDANCE_LOG!$A:$A, C452,
         ATTENDANCE_LOG!$B:$B, E452),
"")</f>
        <v/>
      </c>
      <c r="I452" s="156" t="str">
        <f t="shared" ca="1" si="266"/>
        <v/>
      </c>
      <c r="J452" s="154">
        <f>IFERROR(VLOOKUP(F452, LEVEL_HELPER!$A:$B, 2, 0), "")</f>
        <v>0.5</v>
      </c>
      <c r="K452" s="154">
        <f>IFERROR(VLOOKUP(G452, LEVEL_HELPER!$A:$B, 2, 0), "")</f>
        <v>0.5</v>
      </c>
      <c r="L452" s="176" t="s">
        <v>930</v>
      </c>
      <c r="M452" s="176" t="s">
        <v>925</v>
      </c>
      <c r="N452" s="3">
        <f t="array" aca="1" ref="N452" ca="1">IFERROR(
  INDEX($J$2:$J$543,
    MATCH(A452&amp;TEXT(I452,"yyyy-mm-dd"),
          $A$2:$A$543&amp;TEXT($H$2:$H$543,"yyyy-mm-dd"),
          0)),
"")</f>
        <v>0.5</v>
      </c>
      <c r="O452" s="177" t="str">
        <f t="shared" ca="1" si="267"/>
        <v/>
      </c>
      <c r="P452" s="147">
        <f t="shared" ref="P452:Q452" ca="1" si="468">IF(N452="",0,IF(N452&lt;=2,1,IF(N452&lt;=4,2,IF(N452&lt;=5.5,3,4))))</f>
        <v>1</v>
      </c>
      <c r="Q452" s="147">
        <f t="shared" ca="1" si="468"/>
        <v>0</v>
      </c>
      <c r="R452" s="147" t="str">
        <f t="shared" ca="1" si="269"/>
        <v>Not tested yet</v>
      </c>
      <c r="S452" s="147">
        <f t="shared" si="270"/>
        <v>0</v>
      </c>
      <c r="T452" s="147"/>
      <c r="U452" s="147"/>
      <c r="V452" s="147"/>
      <c r="W452" s="147"/>
      <c r="X452" s="147"/>
      <c r="Y452" s="147"/>
      <c r="Z452" s="147"/>
      <c r="AA452" s="147"/>
      <c r="AB452" s="147"/>
      <c r="AC452" s="147"/>
      <c r="AD452" s="147"/>
      <c r="AE452" s="147"/>
      <c r="AF452" s="147"/>
      <c r="AG452" s="147"/>
      <c r="AH452" s="147"/>
      <c r="AI452" s="147"/>
      <c r="AJ452" s="147"/>
      <c r="AK452" s="147"/>
      <c r="AL452" s="147"/>
      <c r="AM452" s="151"/>
      <c r="AN452" s="147"/>
      <c r="AO452" s="147"/>
      <c r="AP452" s="147"/>
      <c r="AQ452" s="147"/>
      <c r="AR452" s="147"/>
      <c r="AS452" s="147"/>
      <c r="AT452" s="147"/>
      <c r="AU452" s="147"/>
      <c r="AV452" s="147"/>
      <c r="AW452" s="147"/>
      <c r="AX452" s="147"/>
      <c r="AY452" s="147"/>
      <c r="AZ452" s="147"/>
      <c r="BA452" s="147"/>
      <c r="BB452" s="147"/>
      <c r="BC452" s="147"/>
      <c r="BD452" s="147"/>
      <c r="BE452" s="147"/>
      <c r="BF452" s="147"/>
      <c r="BG452" s="147"/>
      <c r="BH452" s="147"/>
      <c r="BI452" s="147"/>
      <c r="BJ452" s="147"/>
      <c r="BK452" s="147"/>
      <c r="BL452" s="147"/>
      <c r="BM452" s="147"/>
      <c r="BN452" s="147"/>
      <c r="BO452" s="147"/>
      <c r="BP452" s="147"/>
      <c r="BQ452" s="147"/>
      <c r="BR452" s="147"/>
      <c r="BS452" s="147"/>
      <c r="BT452" s="147"/>
      <c r="BU452" s="147"/>
      <c r="BV452" s="147"/>
      <c r="BW452" s="147"/>
      <c r="BX452" s="147"/>
      <c r="BY452" s="147"/>
      <c r="BZ452" s="147"/>
      <c r="CA452" s="147"/>
      <c r="CB452" s="147"/>
      <c r="CC452" s="147"/>
      <c r="CD452" s="147"/>
      <c r="CE452" s="147"/>
      <c r="CF452" s="147"/>
      <c r="CG452" s="147"/>
      <c r="CH452" s="147"/>
      <c r="CI452" s="147"/>
      <c r="CJ452" s="147"/>
      <c r="CK452" s="147"/>
    </row>
    <row r="453" spans="1:89">
      <c r="A453" s="159" t="s">
        <v>161</v>
      </c>
      <c r="B453" s="3" t="s">
        <v>162</v>
      </c>
      <c r="C453" s="160" t="s">
        <v>89</v>
      </c>
      <c r="D453" s="160" t="s">
        <v>882</v>
      </c>
      <c r="E453" s="3" t="s">
        <v>25</v>
      </c>
      <c r="F453" s="3" t="s">
        <v>25</v>
      </c>
      <c r="G453" s="3" t="s">
        <v>25</v>
      </c>
      <c r="H453" s="156" t="str">
        <f ca="1">IFERROR(
  _xludf.MINIFS(ATTENDANCE_LOG!$F:$F,
         ATTENDANCE_LOG!$A:$A, C453,
         ATTENDANCE_LOG!$B:$B, E453),
"")</f>
        <v/>
      </c>
      <c r="I453" s="156" t="str">
        <f t="shared" ca="1" si="266"/>
        <v/>
      </c>
      <c r="J453" s="3">
        <f>IFERROR(VLOOKUP(F453, LEVEL_HELPER!$A:$B, 2, 0), "")</f>
        <v>0.5</v>
      </c>
      <c r="K453" s="3">
        <f>IFERROR(VLOOKUP(G453, LEVEL_HELPER!$A:$B, 2, 0), "")</f>
        <v>0.5</v>
      </c>
      <c r="L453" s="157" t="s">
        <v>942</v>
      </c>
      <c r="M453" s="157" t="s">
        <v>923</v>
      </c>
      <c r="N453" s="3">
        <f t="array" aca="1" ref="N453" ca="1">IFERROR(
  INDEX($J$2:$J$543,
    MATCH(A453&amp;TEXT(I453,"yyyy-mm-dd"),
          $A$2:$A$543&amp;TEXT($H$2:$H$543,"yyyy-mm-dd"),
          0)),
"")</f>
        <v>0.5</v>
      </c>
      <c r="O453" s="147" t="str">
        <f t="shared" ca="1" si="267"/>
        <v/>
      </c>
      <c r="P453" s="147">
        <f t="shared" ref="P453:Q453" ca="1" si="469">IF(N453="",0,IF(N453&lt;=2,1,IF(N453&lt;=4,2,IF(N453&lt;=5.5,3,4))))</f>
        <v>1</v>
      </c>
      <c r="Q453" s="147">
        <f t="shared" ca="1" si="469"/>
        <v>0</v>
      </c>
      <c r="R453" s="147" t="str">
        <f t="shared" ca="1" si="269"/>
        <v>Not tested yet</v>
      </c>
      <c r="S453" s="147">
        <f t="shared" si="270"/>
        <v>1</v>
      </c>
      <c r="T453" s="147"/>
      <c r="U453" s="147"/>
      <c r="V453" s="147"/>
      <c r="W453" s="147"/>
      <c r="X453" s="147"/>
      <c r="Y453" s="147"/>
      <c r="Z453" s="147"/>
      <c r="AA453" s="147"/>
      <c r="AB453" s="147"/>
      <c r="AC453" s="147"/>
      <c r="AD453" s="147"/>
      <c r="AE453" s="147"/>
      <c r="AF453" s="147"/>
      <c r="AG453" s="147"/>
      <c r="AH453" s="147"/>
      <c r="AI453" s="147"/>
      <c r="AJ453" s="147"/>
      <c r="AK453" s="147"/>
      <c r="AL453" s="147"/>
      <c r="AM453" s="151"/>
      <c r="AN453" s="147"/>
      <c r="AO453" s="147"/>
      <c r="AP453" s="147"/>
      <c r="AQ453" s="147"/>
      <c r="AR453" s="147"/>
      <c r="AS453" s="147"/>
      <c r="AT453" s="147"/>
      <c r="AU453" s="147"/>
      <c r="AV453" s="147"/>
      <c r="AW453" s="147"/>
      <c r="AX453" s="147"/>
      <c r="AY453" s="147"/>
      <c r="AZ453" s="147"/>
      <c r="BA453" s="147"/>
      <c r="BB453" s="147"/>
      <c r="BC453" s="147"/>
      <c r="BD453" s="147"/>
      <c r="BE453" s="147"/>
      <c r="BF453" s="147"/>
      <c r="BG453" s="147"/>
      <c r="BH453" s="147"/>
      <c r="BI453" s="147"/>
      <c r="BJ453" s="147"/>
      <c r="BK453" s="147"/>
      <c r="BL453" s="147"/>
      <c r="BM453" s="147"/>
      <c r="BN453" s="147"/>
      <c r="BO453" s="147"/>
      <c r="BP453" s="147"/>
      <c r="BQ453" s="147"/>
      <c r="BR453" s="147"/>
      <c r="BS453" s="147"/>
      <c r="BT453" s="147"/>
      <c r="BU453" s="147"/>
      <c r="BV453" s="147"/>
      <c r="BW453" s="147"/>
      <c r="BX453" s="147"/>
      <c r="BY453" s="147"/>
      <c r="BZ453" s="147"/>
      <c r="CA453" s="147"/>
      <c r="CB453" s="147"/>
      <c r="CC453" s="147"/>
      <c r="CD453" s="147"/>
      <c r="CE453" s="147"/>
      <c r="CF453" s="147"/>
      <c r="CG453" s="147"/>
      <c r="CH453" s="147"/>
      <c r="CI453" s="147"/>
      <c r="CJ453" s="147"/>
      <c r="CK453" s="147"/>
    </row>
    <row r="454" spans="1:89">
      <c r="A454" s="159" t="s">
        <v>290</v>
      </c>
      <c r="B454" s="3" t="s">
        <v>291</v>
      </c>
      <c r="C454" s="160" t="s">
        <v>89</v>
      </c>
      <c r="D454" s="160" t="s">
        <v>882</v>
      </c>
      <c r="E454" s="3" t="s">
        <v>25</v>
      </c>
      <c r="F454" s="3" t="s">
        <v>25</v>
      </c>
      <c r="G454" s="3" t="s">
        <v>25</v>
      </c>
      <c r="H454" s="156" t="str">
        <f ca="1">IFERROR(
  _xludf.MINIFS(ATTENDANCE_LOG!$F:$F,
         ATTENDANCE_LOG!$A:$A, C454,
         ATTENDANCE_LOG!$B:$B, E454),
"")</f>
        <v/>
      </c>
      <c r="I454" s="156" t="str">
        <f t="shared" ca="1" si="266"/>
        <v/>
      </c>
      <c r="J454" s="3">
        <f>IFERROR(VLOOKUP(F454, LEVEL_HELPER!$A:$B, 2, 0), "")</f>
        <v>0.5</v>
      </c>
      <c r="K454" s="3">
        <f>IFERROR(VLOOKUP(G454, LEVEL_HELPER!$A:$B, 2, 0), "")</f>
        <v>0.5</v>
      </c>
      <c r="L454" s="157" t="s">
        <v>930</v>
      </c>
      <c r="M454" s="157" t="s">
        <v>919</v>
      </c>
      <c r="N454" s="3">
        <f t="array" aca="1" ref="N454" ca="1">IFERROR(
  INDEX($J$2:$J$543,
    MATCH(A454&amp;TEXT(I454,"yyyy-mm-dd"),
          $A$2:$A$543&amp;TEXT($H$2:$H$543,"yyyy-mm-dd"),
          0)),
"")</f>
        <v>0.5</v>
      </c>
      <c r="O454" s="147" t="str">
        <f t="shared" ca="1" si="267"/>
        <v/>
      </c>
      <c r="P454" s="147">
        <f t="shared" ref="P454:Q454" ca="1" si="470">IF(N454="",0,IF(N454&lt;=2,1,IF(N454&lt;=4,2,IF(N454&lt;=5.5,3,4))))</f>
        <v>1</v>
      </c>
      <c r="Q454" s="147">
        <f t="shared" ca="1" si="470"/>
        <v>0</v>
      </c>
      <c r="R454" s="147" t="str">
        <f t="shared" ca="1" si="269"/>
        <v>Not tested yet</v>
      </c>
      <c r="S454" s="147">
        <f t="shared" si="270"/>
        <v>1</v>
      </c>
      <c r="T454" s="147"/>
      <c r="U454" s="147"/>
      <c r="V454" s="147"/>
      <c r="W454" s="147"/>
      <c r="X454" s="147"/>
      <c r="Y454" s="147"/>
      <c r="Z454" s="147"/>
      <c r="AA454" s="147"/>
      <c r="AB454" s="147"/>
      <c r="AC454" s="147"/>
      <c r="AD454" s="147"/>
      <c r="AE454" s="147"/>
      <c r="AF454" s="147"/>
      <c r="AG454" s="147"/>
      <c r="AH454" s="147"/>
      <c r="AI454" s="147"/>
      <c r="AJ454" s="147"/>
      <c r="AK454" s="147"/>
      <c r="AL454" s="147"/>
      <c r="AM454" s="151"/>
      <c r="AN454" s="147"/>
      <c r="AO454" s="147"/>
      <c r="AP454" s="147"/>
      <c r="AQ454" s="147"/>
      <c r="AR454" s="147"/>
      <c r="AS454" s="147"/>
      <c r="AT454" s="147"/>
      <c r="AU454" s="147"/>
      <c r="AV454" s="147"/>
      <c r="AW454" s="147"/>
      <c r="AX454" s="147"/>
      <c r="AY454" s="147"/>
      <c r="AZ454" s="147"/>
      <c r="BA454" s="147"/>
      <c r="BB454" s="147"/>
      <c r="BC454" s="147"/>
      <c r="BD454" s="147"/>
      <c r="BE454" s="147"/>
      <c r="BF454" s="147"/>
      <c r="BG454" s="147"/>
      <c r="BH454" s="147"/>
      <c r="BI454" s="147"/>
      <c r="BJ454" s="147"/>
      <c r="BK454" s="147"/>
      <c r="BL454" s="147"/>
      <c r="BM454" s="147"/>
      <c r="BN454" s="147"/>
      <c r="BO454" s="147"/>
      <c r="BP454" s="147"/>
      <c r="BQ454" s="147"/>
      <c r="BR454" s="147"/>
      <c r="BS454" s="147"/>
      <c r="BT454" s="147"/>
      <c r="BU454" s="147"/>
      <c r="BV454" s="147"/>
      <c r="BW454" s="147"/>
      <c r="BX454" s="147"/>
      <c r="BY454" s="147"/>
      <c r="BZ454" s="147"/>
      <c r="CA454" s="147"/>
      <c r="CB454" s="147"/>
      <c r="CC454" s="147"/>
      <c r="CD454" s="147"/>
      <c r="CE454" s="147"/>
      <c r="CF454" s="147"/>
      <c r="CG454" s="147"/>
      <c r="CH454" s="147"/>
      <c r="CI454" s="147"/>
      <c r="CJ454" s="147"/>
      <c r="CK454" s="147"/>
    </row>
    <row r="455" spans="1:89">
      <c r="A455" s="159" t="s">
        <v>391</v>
      </c>
      <c r="B455" s="3" t="s">
        <v>392</v>
      </c>
      <c r="C455" s="160" t="s">
        <v>89</v>
      </c>
      <c r="D455" s="160" t="s">
        <v>882</v>
      </c>
      <c r="E455" s="3" t="s">
        <v>25</v>
      </c>
      <c r="F455" s="3" t="s">
        <v>25</v>
      </c>
      <c r="G455" s="3" t="s">
        <v>25</v>
      </c>
      <c r="H455" s="156" t="str">
        <f ca="1">IFERROR(
  _xludf.MINIFS(ATTENDANCE_LOG!$F:$F,
         ATTENDANCE_LOG!$A:$A, C455,
         ATTENDANCE_LOG!$B:$B, E455),
"")</f>
        <v/>
      </c>
      <c r="I455" s="156" t="str">
        <f t="shared" ca="1" si="266"/>
        <v/>
      </c>
      <c r="J455" s="3">
        <f>IFERROR(VLOOKUP(F455, LEVEL_HELPER!$A:$B, 2, 0), "")</f>
        <v>0.5</v>
      </c>
      <c r="K455" s="3">
        <f>IFERROR(VLOOKUP(G455, LEVEL_HELPER!$A:$B, 2, 0), "")</f>
        <v>0.5</v>
      </c>
      <c r="L455" s="157" t="s">
        <v>930</v>
      </c>
      <c r="M455" s="157" t="s">
        <v>921</v>
      </c>
      <c r="N455" s="3">
        <f t="array" aca="1" ref="N455" ca="1">IFERROR(
  INDEX($J$2:$J$543,
    MATCH(A455&amp;TEXT(I455,"yyyy-mm-dd"),
          $A$2:$A$543&amp;TEXT($H$2:$H$543,"yyyy-mm-dd"),
          0)),
"")</f>
        <v>0.5</v>
      </c>
      <c r="O455" s="147" t="str">
        <f t="shared" ca="1" si="267"/>
        <v/>
      </c>
      <c r="P455" s="147">
        <f t="shared" ref="P455:Q455" ca="1" si="471">IF(N455="",0,IF(N455&lt;=2,1,IF(N455&lt;=4,2,IF(N455&lt;=5.5,3,4))))</f>
        <v>1</v>
      </c>
      <c r="Q455" s="147">
        <f t="shared" ca="1" si="471"/>
        <v>0</v>
      </c>
      <c r="R455" s="147" t="str">
        <f t="shared" ca="1" si="269"/>
        <v>Not tested yet</v>
      </c>
      <c r="S455" s="147">
        <f t="shared" si="270"/>
        <v>1</v>
      </c>
      <c r="T455" s="147"/>
      <c r="U455" s="147"/>
      <c r="V455" s="147"/>
      <c r="W455" s="147"/>
      <c r="X455" s="147"/>
      <c r="Y455" s="147"/>
      <c r="Z455" s="147"/>
      <c r="AA455" s="147"/>
      <c r="AB455" s="147"/>
      <c r="AC455" s="147"/>
      <c r="AD455" s="147"/>
      <c r="AE455" s="147"/>
      <c r="AF455" s="147"/>
      <c r="AG455" s="147"/>
      <c r="AH455" s="147"/>
      <c r="AI455" s="147"/>
      <c r="AJ455" s="147"/>
      <c r="AK455" s="147"/>
      <c r="AL455" s="147"/>
      <c r="AM455" s="151"/>
      <c r="AN455" s="147"/>
      <c r="AO455" s="147"/>
      <c r="AP455" s="147"/>
      <c r="AQ455" s="147"/>
      <c r="AR455" s="147"/>
      <c r="AS455" s="147"/>
      <c r="AT455" s="147"/>
      <c r="AU455" s="147"/>
      <c r="AV455" s="147"/>
      <c r="AW455" s="147"/>
      <c r="AX455" s="147"/>
      <c r="AY455" s="147"/>
      <c r="AZ455" s="147"/>
      <c r="BA455" s="147"/>
      <c r="BB455" s="147"/>
      <c r="BC455" s="147"/>
      <c r="BD455" s="147"/>
      <c r="BE455" s="147"/>
      <c r="BF455" s="147"/>
      <c r="BG455" s="147"/>
      <c r="BH455" s="147"/>
      <c r="BI455" s="147"/>
      <c r="BJ455" s="147"/>
      <c r="BK455" s="147"/>
      <c r="BL455" s="147"/>
      <c r="BM455" s="147"/>
      <c r="BN455" s="147"/>
      <c r="BO455" s="147"/>
      <c r="BP455" s="147"/>
      <c r="BQ455" s="147"/>
      <c r="BR455" s="147"/>
      <c r="BS455" s="147"/>
      <c r="BT455" s="147"/>
      <c r="BU455" s="147"/>
      <c r="BV455" s="147"/>
      <c r="BW455" s="147"/>
      <c r="BX455" s="147"/>
      <c r="BY455" s="147"/>
      <c r="BZ455" s="147"/>
      <c r="CA455" s="147"/>
      <c r="CB455" s="147"/>
      <c r="CC455" s="147"/>
      <c r="CD455" s="147"/>
      <c r="CE455" s="147"/>
      <c r="CF455" s="147"/>
      <c r="CG455" s="147"/>
      <c r="CH455" s="147"/>
      <c r="CI455" s="147"/>
      <c r="CJ455" s="147"/>
      <c r="CK455" s="147"/>
    </row>
    <row r="456" spans="1:89">
      <c r="A456" s="159" t="s">
        <v>468</v>
      </c>
      <c r="B456" s="3" t="s">
        <v>469</v>
      </c>
      <c r="C456" s="160" t="s">
        <v>89</v>
      </c>
      <c r="D456" s="160" t="s">
        <v>882</v>
      </c>
      <c r="E456" s="3" t="s">
        <v>25</v>
      </c>
      <c r="F456" s="3" t="s">
        <v>25</v>
      </c>
      <c r="G456" s="3" t="s">
        <v>25</v>
      </c>
      <c r="H456" s="156" t="str">
        <f ca="1">IFERROR(
  _xludf.MINIFS(ATTENDANCE_LOG!$F:$F,
         ATTENDANCE_LOG!$A:$A, C456,
         ATTENDANCE_LOG!$B:$B, E456),
"")</f>
        <v/>
      </c>
      <c r="I456" s="156" t="str">
        <f t="shared" ca="1" si="266"/>
        <v/>
      </c>
      <c r="J456" s="3">
        <f>IFERROR(VLOOKUP(F456, LEVEL_HELPER!$A:$B, 2, 0), "")</f>
        <v>0.5</v>
      </c>
      <c r="K456" s="3">
        <f>IFERROR(VLOOKUP(G456, LEVEL_HELPER!$A:$B, 2, 0), "")</f>
        <v>0.5</v>
      </c>
      <c r="L456" s="157" t="s">
        <v>930</v>
      </c>
      <c r="M456" s="157" t="s">
        <v>919</v>
      </c>
      <c r="N456" s="3">
        <f t="array" aca="1" ref="N456" ca="1">IFERROR(
  INDEX($J$2:$J$543,
    MATCH(A456&amp;TEXT(I456,"yyyy-mm-dd"),
          $A$2:$A$543&amp;TEXT($H$2:$H$543,"yyyy-mm-dd"),
          0)),
"")</f>
        <v>0.5</v>
      </c>
      <c r="O456" s="147" t="str">
        <f t="shared" ca="1" si="267"/>
        <v/>
      </c>
      <c r="P456" s="147">
        <f t="shared" ref="P456:Q456" ca="1" si="472">IF(N456="",0,IF(N456&lt;=2,1,IF(N456&lt;=4,2,IF(N456&lt;=5.5,3,4))))</f>
        <v>1</v>
      </c>
      <c r="Q456" s="147">
        <f t="shared" ca="1" si="472"/>
        <v>0</v>
      </c>
      <c r="R456" s="147" t="str">
        <f t="shared" ca="1" si="269"/>
        <v>Not tested yet</v>
      </c>
      <c r="S456" s="147">
        <f t="shared" si="270"/>
        <v>1</v>
      </c>
      <c r="T456" s="147"/>
      <c r="U456" s="147"/>
      <c r="V456" s="147"/>
      <c r="W456" s="147"/>
      <c r="X456" s="147"/>
      <c r="Y456" s="147"/>
      <c r="Z456" s="147"/>
      <c r="AA456" s="147"/>
      <c r="AB456" s="147"/>
      <c r="AC456" s="147"/>
      <c r="AD456" s="147"/>
      <c r="AE456" s="147"/>
      <c r="AF456" s="147"/>
      <c r="AG456" s="147"/>
      <c r="AH456" s="147"/>
      <c r="AI456" s="147"/>
      <c r="AJ456" s="147"/>
      <c r="AK456" s="147"/>
      <c r="AL456" s="147"/>
      <c r="AM456" s="151"/>
      <c r="AN456" s="147"/>
      <c r="AO456" s="147"/>
      <c r="AP456" s="147"/>
      <c r="AQ456" s="147"/>
      <c r="AR456" s="147"/>
      <c r="AS456" s="147"/>
      <c r="AT456" s="147"/>
      <c r="AU456" s="147"/>
      <c r="AV456" s="147"/>
      <c r="AW456" s="147"/>
      <c r="AX456" s="147"/>
      <c r="AY456" s="147"/>
      <c r="AZ456" s="147"/>
      <c r="BA456" s="147"/>
      <c r="BB456" s="147"/>
      <c r="BC456" s="147"/>
      <c r="BD456" s="147"/>
      <c r="BE456" s="147"/>
      <c r="BF456" s="147"/>
      <c r="BG456" s="147"/>
      <c r="BH456" s="147"/>
      <c r="BI456" s="147"/>
      <c r="BJ456" s="147"/>
      <c r="BK456" s="147"/>
      <c r="BL456" s="147"/>
      <c r="BM456" s="147"/>
      <c r="BN456" s="147"/>
      <c r="BO456" s="147"/>
      <c r="BP456" s="147"/>
      <c r="BQ456" s="147"/>
      <c r="BR456" s="147"/>
      <c r="BS456" s="147"/>
      <c r="BT456" s="147"/>
      <c r="BU456" s="147"/>
      <c r="BV456" s="147"/>
      <c r="BW456" s="147"/>
      <c r="BX456" s="147"/>
      <c r="BY456" s="147"/>
      <c r="BZ456" s="147"/>
      <c r="CA456" s="147"/>
      <c r="CB456" s="147"/>
      <c r="CC456" s="147"/>
      <c r="CD456" s="147"/>
      <c r="CE456" s="147"/>
      <c r="CF456" s="147"/>
      <c r="CG456" s="147"/>
      <c r="CH456" s="147"/>
      <c r="CI456" s="147"/>
      <c r="CJ456" s="147"/>
      <c r="CK456" s="147"/>
    </row>
    <row r="457" spans="1:89">
      <c r="A457" s="159" t="s">
        <v>516</v>
      </c>
      <c r="B457" s="3" t="s">
        <v>517</v>
      </c>
      <c r="C457" s="160" t="s">
        <v>89</v>
      </c>
      <c r="D457" s="160" t="s">
        <v>882</v>
      </c>
      <c r="E457" s="3" t="s">
        <v>25</v>
      </c>
      <c r="F457" s="3" t="s">
        <v>25</v>
      </c>
      <c r="G457" s="3" t="s">
        <v>25</v>
      </c>
      <c r="H457" s="156" t="str">
        <f ca="1">IFERROR(
  _xludf.MINIFS(ATTENDANCE_LOG!$F:$F,
         ATTENDANCE_LOG!$A:$A, C457,
         ATTENDANCE_LOG!$B:$B, E457),
"")</f>
        <v/>
      </c>
      <c r="I457" s="156" t="str">
        <f t="shared" ca="1" si="266"/>
        <v/>
      </c>
      <c r="J457" s="3">
        <f>IFERROR(VLOOKUP(F457, LEVEL_HELPER!$A:$B, 2, 0), "")</f>
        <v>0.5</v>
      </c>
      <c r="K457" s="3">
        <f>IFERROR(VLOOKUP(G457, LEVEL_HELPER!$A:$B, 2, 0), "")</f>
        <v>0.5</v>
      </c>
      <c r="L457" s="157" t="s">
        <v>930</v>
      </c>
      <c r="M457" s="157" t="s">
        <v>919</v>
      </c>
      <c r="N457" s="3">
        <f t="array" aca="1" ref="N457" ca="1">IFERROR(
  INDEX($J$2:$J$543,
    MATCH(A457&amp;TEXT(I457,"yyyy-mm-dd"),
          $A$2:$A$543&amp;TEXT($H$2:$H$543,"yyyy-mm-dd"),
          0)),
"")</f>
        <v>0.5</v>
      </c>
      <c r="O457" s="147" t="str">
        <f t="shared" ca="1" si="267"/>
        <v/>
      </c>
      <c r="P457" s="147">
        <f t="shared" ref="P457:Q457" ca="1" si="473">IF(N457="",0,IF(N457&lt;=2,1,IF(N457&lt;=4,2,IF(N457&lt;=5.5,3,4))))</f>
        <v>1</v>
      </c>
      <c r="Q457" s="147">
        <f t="shared" ca="1" si="473"/>
        <v>0</v>
      </c>
      <c r="R457" s="147" t="str">
        <f t="shared" ca="1" si="269"/>
        <v>Not tested yet</v>
      </c>
      <c r="S457" s="147">
        <f t="shared" si="270"/>
        <v>1</v>
      </c>
      <c r="T457" s="147"/>
      <c r="U457" s="147"/>
      <c r="V457" s="147"/>
      <c r="W457" s="147"/>
      <c r="X457" s="147"/>
      <c r="Y457" s="147"/>
      <c r="Z457" s="147"/>
      <c r="AA457" s="147"/>
      <c r="AB457" s="147"/>
      <c r="AC457" s="147"/>
      <c r="AD457" s="147"/>
      <c r="AE457" s="147"/>
      <c r="AF457" s="147"/>
      <c r="AG457" s="147"/>
      <c r="AH457" s="147"/>
      <c r="AI457" s="147"/>
      <c r="AJ457" s="147"/>
      <c r="AK457" s="147"/>
      <c r="AL457" s="147"/>
      <c r="AM457" s="151"/>
      <c r="AN457" s="147"/>
      <c r="AO457" s="147"/>
      <c r="AP457" s="147"/>
      <c r="AQ457" s="147"/>
      <c r="AR457" s="147"/>
      <c r="AS457" s="147"/>
      <c r="AT457" s="147"/>
      <c r="AU457" s="147"/>
      <c r="AV457" s="147"/>
      <c r="AW457" s="147"/>
      <c r="AX457" s="147"/>
      <c r="AY457" s="147"/>
      <c r="AZ457" s="147"/>
      <c r="BA457" s="147"/>
      <c r="BB457" s="147"/>
      <c r="BC457" s="147"/>
      <c r="BD457" s="147"/>
      <c r="BE457" s="147"/>
      <c r="BF457" s="147"/>
      <c r="BG457" s="147"/>
      <c r="BH457" s="147"/>
      <c r="BI457" s="147"/>
      <c r="BJ457" s="147"/>
      <c r="BK457" s="147"/>
      <c r="BL457" s="147"/>
      <c r="BM457" s="147"/>
      <c r="BN457" s="147"/>
      <c r="BO457" s="147"/>
      <c r="BP457" s="147"/>
      <c r="BQ457" s="147"/>
      <c r="BR457" s="147"/>
      <c r="BS457" s="147"/>
      <c r="BT457" s="147"/>
      <c r="BU457" s="147"/>
      <c r="BV457" s="147"/>
      <c r="BW457" s="147"/>
      <c r="BX457" s="147"/>
      <c r="BY457" s="147"/>
      <c r="BZ457" s="147"/>
      <c r="CA457" s="147"/>
      <c r="CB457" s="147"/>
      <c r="CC457" s="147"/>
      <c r="CD457" s="147"/>
      <c r="CE457" s="147"/>
      <c r="CF457" s="147"/>
      <c r="CG457" s="147"/>
      <c r="CH457" s="147"/>
      <c r="CI457" s="147"/>
      <c r="CJ457" s="147"/>
      <c r="CK457" s="147"/>
    </row>
    <row r="458" spans="1:89">
      <c r="A458" s="159" t="s">
        <v>545</v>
      </c>
      <c r="B458" s="3" t="s">
        <v>546</v>
      </c>
      <c r="C458" s="160" t="s">
        <v>89</v>
      </c>
      <c r="D458" s="160" t="s">
        <v>882</v>
      </c>
      <c r="E458" s="3" t="s">
        <v>25</v>
      </c>
      <c r="F458" s="3" t="s">
        <v>25</v>
      </c>
      <c r="G458" s="3" t="s">
        <v>25</v>
      </c>
      <c r="H458" s="156" t="str">
        <f ca="1">IFERROR(
  _xludf.MINIFS(ATTENDANCE_LOG!$F:$F,
         ATTENDANCE_LOG!$A:$A, C458,
         ATTENDANCE_LOG!$B:$B, E458),
"")</f>
        <v/>
      </c>
      <c r="I458" s="156" t="str">
        <f t="shared" ca="1" si="266"/>
        <v/>
      </c>
      <c r="J458" s="3">
        <f>IFERROR(VLOOKUP(F458, LEVEL_HELPER!$A:$B, 2, 0), "")</f>
        <v>0.5</v>
      </c>
      <c r="K458" s="3">
        <f>IFERROR(VLOOKUP(G458, LEVEL_HELPER!$A:$B, 2, 0), "")</f>
        <v>0.5</v>
      </c>
      <c r="L458" s="157" t="s">
        <v>930</v>
      </c>
      <c r="M458" s="157" t="s">
        <v>919</v>
      </c>
      <c r="N458" s="3">
        <f t="array" aca="1" ref="N458" ca="1">IFERROR(
  INDEX($J$2:$J$543,
    MATCH(A458&amp;TEXT(I458,"yyyy-mm-dd"),
          $A$2:$A$543&amp;TEXT($H$2:$H$543,"yyyy-mm-dd"),
          0)),
"")</f>
        <v>0.5</v>
      </c>
      <c r="O458" s="147" t="str">
        <f t="shared" ca="1" si="267"/>
        <v/>
      </c>
      <c r="P458" s="147">
        <f t="shared" ref="P458:Q458" ca="1" si="474">IF(N458="",0,IF(N458&lt;=2,1,IF(N458&lt;=4,2,IF(N458&lt;=5.5,3,4))))</f>
        <v>1</v>
      </c>
      <c r="Q458" s="147">
        <f t="shared" ca="1" si="474"/>
        <v>0</v>
      </c>
      <c r="R458" s="147" t="str">
        <f t="shared" ca="1" si="269"/>
        <v>Not tested yet</v>
      </c>
      <c r="S458" s="147">
        <f t="shared" si="270"/>
        <v>0</v>
      </c>
      <c r="T458" s="147"/>
      <c r="U458" s="147"/>
      <c r="V458" s="147"/>
      <c r="W458" s="147"/>
      <c r="X458" s="147"/>
      <c r="Y458" s="147"/>
      <c r="Z458" s="147"/>
      <c r="AA458" s="147"/>
      <c r="AB458" s="147"/>
      <c r="AC458" s="147"/>
      <c r="AD458" s="147"/>
      <c r="AE458" s="147"/>
      <c r="AF458" s="147"/>
      <c r="AG458" s="147"/>
      <c r="AH458" s="147"/>
      <c r="AI458" s="147"/>
      <c r="AJ458" s="147"/>
      <c r="AK458" s="147"/>
      <c r="AL458" s="147"/>
      <c r="AM458" s="151"/>
      <c r="AN458" s="147"/>
      <c r="AO458" s="147"/>
      <c r="AP458" s="147"/>
      <c r="AQ458" s="147"/>
      <c r="AR458" s="147"/>
      <c r="AS458" s="147"/>
      <c r="AT458" s="147"/>
      <c r="AU458" s="147"/>
      <c r="AV458" s="147"/>
      <c r="AW458" s="147"/>
      <c r="AX458" s="147"/>
      <c r="AY458" s="147"/>
      <c r="AZ458" s="147"/>
      <c r="BA458" s="147"/>
      <c r="BB458" s="147"/>
      <c r="BC458" s="147"/>
      <c r="BD458" s="147"/>
      <c r="BE458" s="147"/>
      <c r="BF458" s="147"/>
      <c r="BG458" s="147"/>
      <c r="BH458" s="147"/>
      <c r="BI458" s="147"/>
      <c r="BJ458" s="147"/>
      <c r="BK458" s="147"/>
      <c r="BL458" s="147"/>
      <c r="BM458" s="147"/>
      <c r="BN458" s="147"/>
      <c r="BO458" s="147"/>
      <c r="BP458" s="147"/>
      <c r="BQ458" s="147"/>
      <c r="BR458" s="147"/>
      <c r="BS458" s="147"/>
      <c r="BT458" s="147"/>
      <c r="BU458" s="147"/>
      <c r="BV458" s="147"/>
      <c r="BW458" s="147"/>
      <c r="BX458" s="147"/>
      <c r="BY458" s="147"/>
      <c r="BZ458" s="147"/>
      <c r="CA458" s="147"/>
      <c r="CB458" s="147"/>
      <c r="CC458" s="147"/>
      <c r="CD458" s="147"/>
      <c r="CE458" s="147"/>
      <c r="CF458" s="147"/>
      <c r="CG458" s="147"/>
      <c r="CH458" s="147"/>
      <c r="CI458" s="147"/>
      <c r="CJ458" s="147"/>
      <c r="CK458" s="147"/>
    </row>
    <row r="459" spans="1:89">
      <c r="A459" s="159" t="s">
        <v>558</v>
      </c>
      <c r="B459" s="3" t="s">
        <v>559</v>
      </c>
      <c r="C459" s="160" t="s">
        <v>89</v>
      </c>
      <c r="D459" s="160" t="s">
        <v>882</v>
      </c>
      <c r="E459" s="3" t="s">
        <v>25</v>
      </c>
      <c r="F459" s="3" t="s">
        <v>25</v>
      </c>
      <c r="G459" s="3" t="s">
        <v>25</v>
      </c>
      <c r="H459" s="156" t="str">
        <f ca="1">IFERROR(
  _xludf.MINIFS(ATTENDANCE_LOG!$F:$F,
         ATTENDANCE_LOG!$A:$A, C459,
         ATTENDANCE_LOG!$B:$B, E459),
"")</f>
        <v/>
      </c>
      <c r="I459" s="156" t="str">
        <f t="shared" ca="1" si="266"/>
        <v/>
      </c>
      <c r="J459" s="3">
        <f>IFERROR(VLOOKUP(F459, LEVEL_HELPER!$A:$B, 2, 0), "")</f>
        <v>0.5</v>
      </c>
      <c r="K459" s="3">
        <f>IFERROR(VLOOKUP(G459, LEVEL_HELPER!$A:$B, 2, 0), "")</f>
        <v>0.5</v>
      </c>
      <c r="L459" s="157" t="s">
        <v>930</v>
      </c>
      <c r="M459" s="157" t="s">
        <v>919</v>
      </c>
      <c r="N459" s="3">
        <f t="array" aca="1" ref="N459" ca="1">IFERROR(
  INDEX($J$2:$J$543,
    MATCH(A459&amp;TEXT(I459,"yyyy-mm-dd"),
          $A$2:$A$543&amp;TEXT($H$2:$H$543,"yyyy-mm-dd"),
          0)),
"")</f>
        <v>0.5</v>
      </c>
      <c r="O459" s="147" t="str">
        <f t="shared" ca="1" si="267"/>
        <v/>
      </c>
      <c r="P459" s="147">
        <f t="shared" ref="P459:Q459" ca="1" si="475">IF(N459="",0,IF(N459&lt;=2,1,IF(N459&lt;=4,2,IF(N459&lt;=5.5,3,4))))</f>
        <v>1</v>
      </c>
      <c r="Q459" s="147">
        <f t="shared" ca="1" si="475"/>
        <v>0</v>
      </c>
      <c r="R459" s="147" t="str">
        <f t="shared" ca="1" si="269"/>
        <v>Not tested yet</v>
      </c>
      <c r="S459" s="147">
        <f t="shared" si="270"/>
        <v>0</v>
      </c>
      <c r="T459" s="147"/>
      <c r="U459" s="147"/>
      <c r="V459" s="147"/>
      <c r="W459" s="147"/>
      <c r="X459" s="147"/>
      <c r="Y459" s="147"/>
      <c r="Z459" s="147"/>
      <c r="AA459" s="147"/>
      <c r="AB459" s="147"/>
      <c r="AC459" s="147"/>
      <c r="AD459" s="147"/>
      <c r="AE459" s="147"/>
      <c r="AF459" s="147"/>
      <c r="AG459" s="147"/>
      <c r="AH459" s="147"/>
      <c r="AI459" s="147"/>
      <c r="AJ459" s="147"/>
      <c r="AK459" s="147"/>
      <c r="AL459" s="147"/>
      <c r="AM459" s="151"/>
      <c r="AN459" s="147"/>
      <c r="AO459" s="147"/>
      <c r="AP459" s="147"/>
      <c r="AQ459" s="147"/>
      <c r="AR459" s="147"/>
      <c r="AS459" s="147"/>
      <c r="AT459" s="147"/>
      <c r="AU459" s="147"/>
      <c r="AV459" s="147"/>
      <c r="AW459" s="147"/>
      <c r="AX459" s="147"/>
      <c r="AY459" s="147"/>
      <c r="AZ459" s="147"/>
      <c r="BA459" s="147"/>
      <c r="BB459" s="147"/>
      <c r="BC459" s="147"/>
      <c r="BD459" s="147"/>
      <c r="BE459" s="147"/>
      <c r="BF459" s="147"/>
      <c r="BG459" s="147"/>
      <c r="BH459" s="147"/>
      <c r="BI459" s="147"/>
      <c r="BJ459" s="147"/>
      <c r="BK459" s="147"/>
      <c r="BL459" s="147"/>
      <c r="BM459" s="147"/>
      <c r="BN459" s="147"/>
      <c r="BO459" s="147"/>
      <c r="BP459" s="147"/>
      <c r="BQ459" s="147"/>
      <c r="BR459" s="147"/>
      <c r="BS459" s="147"/>
      <c r="BT459" s="147"/>
      <c r="BU459" s="147"/>
      <c r="BV459" s="147"/>
      <c r="BW459" s="147"/>
      <c r="BX459" s="147"/>
      <c r="BY459" s="147"/>
      <c r="BZ459" s="147"/>
      <c r="CA459" s="147"/>
      <c r="CB459" s="147"/>
      <c r="CC459" s="147"/>
      <c r="CD459" s="147"/>
      <c r="CE459" s="147"/>
      <c r="CF459" s="147"/>
      <c r="CG459" s="147"/>
      <c r="CH459" s="147"/>
      <c r="CI459" s="147"/>
      <c r="CJ459" s="147"/>
      <c r="CK459" s="147"/>
    </row>
    <row r="460" spans="1:89">
      <c r="A460" s="153" t="s">
        <v>363</v>
      </c>
      <c r="B460" s="154" t="s">
        <v>364</v>
      </c>
      <c r="C460" s="155" t="s">
        <v>90</v>
      </c>
      <c r="D460" s="155" t="s">
        <v>883</v>
      </c>
      <c r="E460" s="154" t="s">
        <v>21</v>
      </c>
      <c r="F460" s="154" t="s">
        <v>926</v>
      </c>
      <c r="G460" s="154"/>
      <c r="H460" s="156" t="str">
        <f ca="1">IFERROR(
  _xludf.MINIFS(ATTENDANCE_LOG!$F:$F,
         ATTENDANCE_LOG!$A:$A, C460,
         ATTENDANCE_LOG!$B:$B, E460),
"")</f>
        <v/>
      </c>
      <c r="I460" s="156" t="str">
        <f t="shared" ca="1" si="266"/>
        <v/>
      </c>
      <c r="J460" s="154">
        <f>IFERROR(VLOOKUP(F460, LEVEL_HELPER!$A:$B, 2, 0), "")</f>
        <v>1</v>
      </c>
      <c r="K460" s="154" t="str">
        <f>IFERROR(VLOOKUP(G460, LEVEL_HELPER!$A:$B, 2, 0), "")</f>
        <v/>
      </c>
      <c r="L460" s="176" t="s">
        <v>930</v>
      </c>
      <c r="M460" s="176" t="s">
        <v>919</v>
      </c>
      <c r="N460" s="3">
        <f t="array" aca="1" ref="N460" ca="1">IFERROR(
  INDEX($J$2:$J$543,
    MATCH(A460&amp;TEXT(I460,"yyyy-mm-dd"),
          $A$2:$A$543&amp;TEXT($H$2:$H$543,"yyyy-mm-dd"),
          0)),
"")</f>
        <v>1</v>
      </c>
      <c r="O460" s="177" t="str">
        <f t="shared" ca="1" si="267"/>
        <v/>
      </c>
      <c r="P460" s="147">
        <f t="shared" ref="P460:Q460" ca="1" si="476">IF(N460="",0,IF(N460&lt;=2,1,IF(N460&lt;=4,2,IF(N460&lt;=5.5,3,4))))</f>
        <v>1</v>
      </c>
      <c r="Q460" s="147">
        <f t="shared" ca="1" si="476"/>
        <v>0</v>
      </c>
      <c r="R460" s="147" t="str">
        <f t="shared" ca="1" si="269"/>
        <v>Not tested yet</v>
      </c>
      <c r="S460" s="147">
        <f t="shared" si="270"/>
        <v>1</v>
      </c>
      <c r="T460" s="147"/>
      <c r="U460" s="147"/>
      <c r="V460" s="147"/>
      <c r="W460" s="147"/>
      <c r="X460" s="147"/>
      <c r="Y460" s="147"/>
      <c r="Z460" s="147"/>
      <c r="AA460" s="147"/>
      <c r="AB460" s="147"/>
      <c r="AC460" s="147"/>
      <c r="AD460" s="147"/>
      <c r="AE460" s="147"/>
      <c r="AF460" s="147"/>
      <c r="AG460" s="147"/>
      <c r="AH460" s="147"/>
      <c r="AI460" s="147"/>
      <c r="AJ460" s="147"/>
      <c r="AK460" s="147"/>
      <c r="AL460" s="147"/>
      <c r="AM460" s="151"/>
      <c r="AN460" s="147"/>
      <c r="AO460" s="147"/>
      <c r="AP460" s="147"/>
      <c r="AQ460" s="147"/>
      <c r="AR460" s="147"/>
      <c r="AS460" s="147"/>
      <c r="AT460" s="147"/>
      <c r="AU460" s="147"/>
      <c r="AV460" s="147"/>
      <c r="AW460" s="147"/>
      <c r="AX460" s="147"/>
      <c r="AY460" s="147"/>
      <c r="AZ460" s="147"/>
      <c r="BA460" s="147"/>
      <c r="BB460" s="147"/>
      <c r="BC460" s="147"/>
      <c r="BD460" s="147"/>
      <c r="BE460" s="147"/>
      <c r="BF460" s="147"/>
      <c r="BG460" s="147"/>
      <c r="BH460" s="147"/>
      <c r="BI460" s="147"/>
      <c r="BJ460" s="147"/>
      <c r="BK460" s="147"/>
      <c r="BL460" s="147"/>
      <c r="BM460" s="147"/>
      <c r="BN460" s="147"/>
      <c r="BO460" s="147"/>
      <c r="BP460" s="147"/>
      <c r="BQ460" s="147"/>
      <c r="BR460" s="147"/>
      <c r="BS460" s="147"/>
      <c r="BT460" s="147"/>
      <c r="BU460" s="147"/>
      <c r="BV460" s="147"/>
      <c r="BW460" s="147"/>
      <c r="BX460" s="147"/>
      <c r="BY460" s="147"/>
      <c r="BZ460" s="147"/>
      <c r="CA460" s="147"/>
      <c r="CB460" s="147"/>
      <c r="CC460" s="147"/>
      <c r="CD460" s="147"/>
      <c r="CE460" s="147"/>
      <c r="CF460" s="147"/>
      <c r="CG460" s="147"/>
      <c r="CH460" s="147"/>
      <c r="CI460" s="147"/>
      <c r="CJ460" s="147"/>
      <c r="CK460" s="147"/>
    </row>
    <row r="461" spans="1:89">
      <c r="A461" s="159" t="s">
        <v>251</v>
      </c>
      <c r="B461" s="3" t="s">
        <v>252</v>
      </c>
      <c r="C461" s="160" t="s">
        <v>90</v>
      </c>
      <c r="D461" s="160" t="s">
        <v>883</v>
      </c>
      <c r="E461" s="3" t="s">
        <v>21</v>
      </c>
      <c r="F461" s="3" t="s">
        <v>926</v>
      </c>
      <c r="G461" s="3"/>
      <c r="H461" s="156" t="str">
        <f ca="1">IFERROR(
  _xludf.MINIFS(ATTENDANCE_LOG!$F:$F,
         ATTENDANCE_LOG!$A:$A, C461,
         ATTENDANCE_LOG!$B:$B, E461),
"")</f>
        <v/>
      </c>
      <c r="I461" s="156" t="str">
        <f t="shared" ca="1" si="266"/>
        <v/>
      </c>
      <c r="J461" s="3">
        <f>IFERROR(VLOOKUP(F461, LEVEL_HELPER!$A:$B, 2, 0), "")</f>
        <v>1</v>
      </c>
      <c r="K461" s="3" t="str">
        <f>IFERROR(VLOOKUP(G461, LEVEL_HELPER!$A:$B, 2, 0), "")</f>
        <v/>
      </c>
      <c r="L461" s="157" t="s">
        <v>930</v>
      </c>
      <c r="M461" s="157" t="s">
        <v>919</v>
      </c>
      <c r="N461" s="3">
        <f t="array" aca="1" ref="N461" ca="1">IFERROR(
  INDEX($J$2:$J$543,
    MATCH(A461&amp;TEXT(I461,"yyyy-mm-dd"),
          $A$2:$A$543&amp;TEXT($H$2:$H$543,"yyyy-mm-dd"),
          0)),
"")</f>
        <v>1</v>
      </c>
      <c r="O461" s="147" t="str">
        <f t="shared" ca="1" si="267"/>
        <v/>
      </c>
      <c r="P461" s="147">
        <f t="shared" ref="P461:Q461" ca="1" si="477">IF(N461="",0,IF(N461&lt;=2,1,IF(N461&lt;=4,2,IF(N461&lt;=5.5,3,4))))</f>
        <v>1</v>
      </c>
      <c r="Q461" s="147">
        <f t="shared" ca="1" si="477"/>
        <v>0</v>
      </c>
      <c r="R461" s="147" t="str">
        <f t="shared" ca="1" si="269"/>
        <v>Not tested yet</v>
      </c>
      <c r="S461" s="147">
        <f t="shared" si="270"/>
        <v>1</v>
      </c>
      <c r="T461" s="147"/>
      <c r="U461" s="147"/>
      <c r="V461" s="147"/>
      <c r="W461" s="147"/>
      <c r="X461" s="147"/>
      <c r="Y461" s="147"/>
      <c r="Z461" s="147"/>
      <c r="AA461" s="147"/>
      <c r="AB461" s="147"/>
      <c r="AC461" s="147"/>
      <c r="AD461" s="147"/>
      <c r="AE461" s="147"/>
      <c r="AF461" s="147"/>
      <c r="AG461" s="147"/>
      <c r="AH461" s="147"/>
      <c r="AI461" s="147"/>
      <c r="AJ461" s="147"/>
      <c r="AK461" s="147"/>
      <c r="AL461" s="147"/>
      <c r="AM461" s="151"/>
      <c r="AN461" s="147"/>
      <c r="AO461" s="147"/>
      <c r="AP461" s="147"/>
      <c r="AQ461" s="147"/>
      <c r="AR461" s="147"/>
      <c r="AS461" s="147"/>
      <c r="AT461" s="147"/>
      <c r="AU461" s="147"/>
      <c r="AV461" s="147"/>
      <c r="AW461" s="147"/>
      <c r="AX461" s="147"/>
      <c r="AY461" s="147"/>
      <c r="AZ461" s="147"/>
      <c r="BA461" s="147"/>
      <c r="BB461" s="147"/>
      <c r="BC461" s="147"/>
      <c r="BD461" s="147"/>
      <c r="BE461" s="147"/>
      <c r="BF461" s="147"/>
      <c r="BG461" s="147"/>
      <c r="BH461" s="147"/>
      <c r="BI461" s="147"/>
      <c r="BJ461" s="147"/>
      <c r="BK461" s="147"/>
      <c r="BL461" s="147"/>
      <c r="BM461" s="147"/>
      <c r="BN461" s="147"/>
      <c r="BO461" s="147"/>
      <c r="BP461" s="147"/>
      <c r="BQ461" s="147"/>
      <c r="BR461" s="147"/>
      <c r="BS461" s="147"/>
      <c r="BT461" s="147"/>
      <c r="BU461" s="147"/>
      <c r="BV461" s="147"/>
      <c r="BW461" s="147"/>
      <c r="BX461" s="147"/>
      <c r="BY461" s="147"/>
      <c r="BZ461" s="147"/>
      <c r="CA461" s="147"/>
      <c r="CB461" s="147"/>
      <c r="CC461" s="147"/>
      <c r="CD461" s="147"/>
      <c r="CE461" s="147"/>
      <c r="CF461" s="147"/>
      <c r="CG461" s="147"/>
      <c r="CH461" s="147"/>
      <c r="CI461" s="147"/>
      <c r="CJ461" s="147"/>
      <c r="CK461" s="147"/>
    </row>
    <row r="462" spans="1:89">
      <c r="A462" s="159" t="s">
        <v>338</v>
      </c>
      <c r="B462" s="3" t="s">
        <v>339</v>
      </c>
      <c r="C462" s="160" t="s">
        <v>90</v>
      </c>
      <c r="D462" s="160" t="s">
        <v>883</v>
      </c>
      <c r="E462" s="3" t="s">
        <v>21</v>
      </c>
      <c r="F462" s="3" t="s">
        <v>926</v>
      </c>
      <c r="G462" s="3"/>
      <c r="H462" s="156" t="str">
        <f ca="1">IFERROR(
  _xludf.MINIFS(ATTENDANCE_LOG!$F:$F,
         ATTENDANCE_LOG!$A:$A, C462,
         ATTENDANCE_LOG!$B:$B, E462),
"")</f>
        <v/>
      </c>
      <c r="I462" s="156" t="str">
        <f t="shared" ca="1" si="266"/>
        <v/>
      </c>
      <c r="J462" s="3">
        <f>IFERROR(VLOOKUP(F462, LEVEL_HELPER!$A:$B, 2, 0), "")</f>
        <v>1</v>
      </c>
      <c r="K462" s="3" t="str">
        <f>IFERROR(VLOOKUP(G462, LEVEL_HELPER!$A:$B, 2, 0), "")</f>
        <v/>
      </c>
      <c r="L462" s="157" t="s">
        <v>930</v>
      </c>
      <c r="M462" s="157" t="s">
        <v>925</v>
      </c>
      <c r="N462" s="3">
        <f t="array" aca="1" ref="N462" ca="1">IFERROR(
  INDEX($J$2:$J$543,
    MATCH(A462&amp;TEXT(I462,"yyyy-mm-dd"),
          $A$2:$A$543&amp;TEXT($H$2:$H$543,"yyyy-mm-dd"),
          0)),
"")</f>
        <v>1</v>
      </c>
      <c r="O462" s="147" t="str">
        <f t="shared" ca="1" si="267"/>
        <v/>
      </c>
      <c r="P462" s="147">
        <f t="shared" ref="P462:Q462" ca="1" si="478">IF(N462="",0,IF(N462&lt;=2,1,IF(N462&lt;=4,2,IF(N462&lt;=5.5,3,4))))</f>
        <v>1</v>
      </c>
      <c r="Q462" s="147">
        <f t="shared" ca="1" si="478"/>
        <v>0</v>
      </c>
      <c r="R462" s="147" t="str">
        <f t="shared" ca="1" si="269"/>
        <v>Not tested yet</v>
      </c>
      <c r="S462" s="147">
        <f t="shared" si="270"/>
        <v>1</v>
      </c>
      <c r="T462" s="147"/>
      <c r="U462" s="147"/>
      <c r="V462" s="147"/>
      <c r="W462" s="147"/>
      <c r="X462" s="147"/>
      <c r="Y462" s="147"/>
      <c r="Z462" s="147"/>
      <c r="AA462" s="147"/>
      <c r="AB462" s="147"/>
      <c r="AC462" s="147"/>
      <c r="AD462" s="147"/>
      <c r="AE462" s="147"/>
      <c r="AF462" s="147"/>
      <c r="AG462" s="147"/>
      <c r="AH462" s="147"/>
      <c r="AI462" s="147"/>
      <c r="AJ462" s="147"/>
      <c r="AK462" s="147"/>
      <c r="AL462" s="147"/>
      <c r="AM462" s="151"/>
      <c r="AN462" s="147"/>
      <c r="AO462" s="147"/>
      <c r="AP462" s="147"/>
      <c r="AQ462" s="147"/>
      <c r="AR462" s="147"/>
      <c r="AS462" s="147"/>
      <c r="AT462" s="147"/>
      <c r="AU462" s="147"/>
      <c r="AV462" s="147"/>
      <c r="AW462" s="147"/>
      <c r="AX462" s="147"/>
      <c r="AY462" s="147"/>
      <c r="AZ462" s="147"/>
      <c r="BA462" s="147"/>
      <c r="BB462" s="147"/>
      <c r="BC462" s="147"/>
      <c r="BD462" s="147"/>
      <c r="BE462" s="147"/>
      <c r="BF462" s="147"/>
      <c r="BG462" s="147"/>
      <c r="BH462" s="147"/>
      <c r="BI462" s="147"/>
      <c r="BJ462" s="147"/>
      <c r="BK462" s="147"/>
      <c r="BL462" s="147"/>
      <c r="BM462" s="147"/>
      <c r="BN462" s="147"/>
      <c r="BO462" s="147"/>
      <c r="BP462" s="147"/>
      <c r="BQ462" s="147"/>
      <c r="BR462" s="147"/>
      <c r="BS462" s="147"/>
      <c r="BT462" s="147"/>
      <c r="BU462" s="147"/>
      <c r="BV462" s="147"/>
      <c r="BW462" s="147"/>
      <c r="BX462" s="147"/>
      <c r="BY462" s="147"/>
      <c r="BZ462" s="147"/>
      <c r="CA462" s="147"/>
      <c r="CB462" s="147"/>
      <c r="CC462" s="147"/>
      <c r="CD462" s="147"/>
      <c r="CE462" s="147"/>
      <c r="CF462" s="147"/>
      <c r="CG462" s="147"/>
      <c r="CH462" s="147"/>
      <c r="CI462" s="147"/>
      <c r="CJ462" s="147"/>
      <c r="CK462" s="147"/>
    </row>
    <row r="463" spans="1:89">
      <c r="A463" s="159" t="s">
        <v>379</v>
      </c>
      <c r="B463" s="3" t="s">
        <v>380</v>
      </c>
      <c r="C463" s="160" t="s">
        <v>90</v>
      </c>
      <c r="D463" s="160" t="s">
        <v>883</v>
      </c>
      <c r="E463" s="3" t="s">
        <v>21</v>
      </c>
      <c r="F463" s="3" t="s">
        <v>926</v>
      </c>
      <c r="G463" s="3"/>
      <c r="H463" s="156" t="str">
        <f ca="1">IFERROR(
  _xludf.MINIFS(ATTENDANCE_LOG!$F:$F,
         ATTENDANCE_LOG!$A:$A, C463,
         ATTENDANCE_LOG!$B:$B, E463),
"")</f>
        <v/>
      </c>
      <c r="I463" s="156" t="str">
        <f t="shared" ca="1" si="266"/>
        <v/>
      </c>
      <c r="J463" s="3">
        <f>IFERROR(VLOOKUP(F463, LEVEL_HELPER!$A:$B, 2, 0), "")</f>
        <v>1</v>
      </c>
      <c r="K463" s="3" t="str">
        <f>IFERROR(VLOOKUP(G463, LEVEL_HELPER!$A:$B, 2, 0), "")</f>
        <v/>
      </c>
      <c r="L463" s="157" t="s">
        <v>930</v>
      </c>
      <c r="M463" s="157" t="s">
        <v>925</v>
      </c>
      <c r="N463" s="3">
        <f t="array" aca="1" ref="N463" ca="1">IFERROR(
  INDEX($J$2:$J$543,
    MATCH(A463&amp;TEXT(I463,"yyyy-mm-dd"),
          $A$2:$A$543&amp;TEXT($H$2:$H$543,"yyyy-mm-dd"),
          0)),
"")</f>
        <v>1</v>
      </c>
      <c r="O463" s="147" t="str">
        <f t="shared" ca="1" si="267"/>
        <v/>
      </c>
      <c r="P463" s="147">
        <f t="shared" ref="P463:Q463" ca="1" si="479">IF(N463="",0,IF(N463&lt;=2,1,IF(N463&lt;=4,2,IF(N463&lt;=5.5,3,4))))</f>
        <v>1</v>
      </c>
      <c r="Q463" s="147">
        <f t="shared" ca="1" si="479"/>
        <v>0</v>
      </c>
      <c r="R463" s="147" t="str">
        <f t="shared" ca="1" si="269"/>
        <v>Not tested yet</v>
      </c>
      <c r="S463" s="147">
        <f t="shared" si="270"/>
        <v>1</v>
      </c>
      <c r="T463" s="147"/>
      <c r="U463" s="147"/>
      <c r="V463" s="147"/>
      <c r="W463" s="147"/>
      <c r="X463" s="147"/>
      <c r="Y463" s="147"/>
      <c r="Z463" s="147"/>
      <c r="AA463" s="147"/>
      <c r="AB463" s="147"/>
      <c r="AC463" s="147"/>
      <c r="AD463" s="147"/>
      <c r="AE463" s="147"/>
      <c r="AF463" s="147"/>
      <c r="AG463" s="147"/>
      <c r="AH463" s="147"/>
      <c r="AI463" s="147"/>
      <c r="AJ463" s="147"/>
      <c r="AK463" s="147"/>
      <c r="AL463" s="147"/>
      <c r="AM463" s="151"/>
      <c r="AN463" s="147"/>
      <c r="AO463" s="147"/>
      <c r="AP463" s="147"/>
      <c r="AQ463" s="147"/>
      <c r="AR463" s="147"/>
      <c r="AS463" s="147"/>
      <c r="AT463" s="147"/>
      <c r="AU463" s="147"/>
      <c r="AV463" s="147"/>
      <c r="AW463" s="147"/>
      <c r="AX463" s="147"/>
      <c r="AY463" s="147"/>
      <c r="AZ463" s="147"/>
      <c r="BA463" s="147"/>
      <c r="BB463" s="147"/>
      <c r="BC463" s="147"/>
      <c r="BD463" s="147"/>
      <c r="BE463" s="147"/>
      <c r="BF463" s="147"/>
      <c r="BG463" s="147"/>
      <c r="BH463" s="147"/>
      <c r="BI463" s="147"/>
      <c r="BJ463" s="147"/>
      <c r="BK463" s="147"/>
      <c r="BL463" s="147"/>
      <c r="BM463" s="147"/>
      <c r="BN463" s="147"/>
      <c r="BO463" s="147"/>
      <c r="BP463" s="147"/>
      <c r="BQ463" s="147"/>
      <c r="BR463" s="147"/>
      <c r="BS463" s="147"/>
      <c r="BT463" s="147"/>
      <c r="BU463" s="147"/>
      <c r="BV463" s="147"/>
      <c r="BW463" s="147"/>
      <c r="BX463" s="147"/>
      <c r="BY463" s="147"/>
      <c r="BZ463" s="147"/>
      <c r="CA463" s="147"/>
      <c r="CB463" s="147"/>
      <c r="CC463" s="147"/>
      <c r="CD463" s="147"/>
      <c r="CE463" s="147"/>
      <c r="CF463" s="147"/>
      <c r="CG463" s="147"/>
      <c r="CH463" s="147"/>
      <c r="CI463" s="147"/>
      <c r="CJ463" s="147"/>
      <c r="CK463" s="147"/>
    </row>
    <row r="464" spans="1:89">
      <c r="A464" s="159" t="s">
        <v>449</v>
      </c>
      <c r="B464" s="3" t="s">
        <v>450</v>
      </c>
      <c r="C464" s="160" t="s">
        <v>90</v>
      </c>
      <c r="D464" s="160" t="s">
        <v>883</v>
      </c>
      <c r="E464" s="3" t="s">
        <v>21</v>
      </c>
      <c r="F464" s="3" t="s">
        <v>926</v>
      </c>
      <c r="G464" s="3"/>
      <c r="H464" s="156" t="str">
        <f ca="1">IFERROR(
  _xludf.MINIFS(ATTENDANCE_LOG!$F:$F,
         ATTENDANCE_LOG!$A:$A, C464,
         ATTENDANCE_LOG!$B:$B, E464),
"")</f>
        <v/>
      </c>
      <c r="I464" s="156" t="str">
        <f t="shared" ca="1" si="266"/>
        <v/>
      </c>
      <c r="J464" s="3">
        <f>IFERROR(VLOOKUP(F464, LEVEL_HELPER!$A:$B, 2, 0), "")</f>
        <v>1</v>
      </c>
      <c r="K464" s="3" t="str">
        <f>IFERROR(VLOOKUP(G464, LEVEL_HELPER!$A:$B, 2, 0), "")</f>
        <v/>
      </c>
      <c r="L464" s="157" t="s">
        <v>930</v>
      </c>
      <c r="M464" s="157" t="s">
        <v>919</v>
      </c>
      <c r="N464" s="3">
        <f t="array" aca="1" ref="N464" ca="1">IFERROR(
  INDEX($J$2:$J$543,
    MATCH(A464&amp;TEXT(I464,"yyyy-mm-dd"),
          $A$2:$A$543&amp;TEXT($H$2:$H$543,"yyyy-mm-dd"),
          0)),
"")</f>
        <v>1</v>
      </c>
      <c r="O464" s="147" t="str">
        <f t="shared" ca="1" si="267"/>
        <v/>
      </c>
      <c r="P464" s="147">
        <f t="shared" ref="P464:Q464" ca="1" si="480">IF(N464="",0,IF(N464&lt;=2,1,IF(N464&lt;=4,2,IF(N464&lt;=5.5,3,4))))</f>
        <v>1</v>
      </c>
      <c r="Q464" s="147">
        <f t="shared" ca="1" si="480"/>
        <v>0</v>
      </c>
      <c r="R464" s="147" t="str">
        <f t="shared" ca="1" si="269"/>
        <v>Not tested yet</v>
      </c>
      <c r="S464" s="147">
        <f t="shared" si="270"/>
        <v>1</v>
      </c>
      <c r="T464" s="147"/>
      <c r="U464" s="147"/>
      <c r="V464" s="147"/>
      <c r="W464" s="147"/>
      <c r="X464" s="147"/>
      <c r="Y464" s="147"/>
      <c r="Z464" s="147"/>
      <c r="AA464" s="147"/>
      <c r="AB464" s="147"/>
      <c r="AC464" s="147"/>
      <c r="AD464" s="147"/>
      <c r="AE464" s="147"/>
      <c r="AF464" s="147"/>
      <c r="AG464" s="147"/>
      <c r="AH464" s="147"/>
      <c r="AI464" s="147"/>
      <c r="AJ464" s="147"/>
      <c r="AK464" s="147"/>
      <c r="AL464" s="147"/>
      <c r="AM464" s="151"/>
      <c r="AN464" s="147"/>
      <c r="AO464" s="147"/>
      <c r="AP464" s="147"/>
      <c r="AQ464" s="147"/>
      <c r="AR464" s="147"/>
      <c r="AS464" s="147"/>
      <c r="AT464" s="147"/>
      <c r="AU464" s="147"/>
      <c r="AV464" s="147"/>
      <c r="AW464" s="147"/>
      <c r="AX464" s="147"/>
      <c r="AY464" s="147"/>
      <c r="AZ464" s="147"/>
      <c r="BA464" s="147"/>
      <c r="BB464" s="147"/>
      <c r="BC464" s="147"/>
      <c r="BD464" s="147"/>
      <c r="BE464" s="147"/>
      <c r="BF464" s="147"/>
      <c r="BG464" s="147"/>
      <c r="BH464" s="147"/>
      <c r="BI464" s="147"/>
      <c r="BJ464" s="147"/>
      <c r="BK464" s="147"/>
      <c r="BL464" s="147"/>
      <c r="BM464" s="147"/>
      <c r="BN464" s="147"/>
      <c r="BO464" s="147"/>
      <c r="BP464" s="147"/>
      <c r="BQ464" s="147"/>
      <c r="BR464" s="147"/>
      <c r="BS464" s="147"/>
      <c r="BT464" s="147"/>
      <c r="BU464" s="147"/>
      <c r="BV464" s="147"/>
      <c r="BW464" s="147"/>
      <c r="BX464" s="147"/>
      <c r="BY464" s="147"/>
      <c r="BZ464" s="147"/>
      <c r="CA464" s="147"/>
      <c r="CB464" s="147"/>
      <c r="CC464" s="147"/>
      <c r="CD464" s="147"/>
      <c r="CE464" s="147"/>
      <c r="CF464" s="147"/>
      <c r="CG464" s="147"/>
      <c r="CH464" s="147"/>
      <c r="CI464" s="147"/>
      <c r="CJ464" s="147"/>
      <c r="CK464" s="147"/>
    </row>
    <row r="465" spans="1:89">
      <c r="A465" s="159" t="s">
        <v>455</v>
      </c>
      <c r="B465" s="3" t="s">
        <v>456</v>
      </c>
      <c r="C465" s="160" t="s">
        <v>90</v>
      </c>
      <c r="D465" s="160" t="s">
        <v>883</v>
      </c>
      <c r="E465" s="3" t="s">
        <v>21</v>
      </c>
      <c r="F465" s="3" t="s">
        <v>926</v>
      </c>
      <c r="G465" s="3"/>
      <c r="H465" s="156" t="str">
        <f ca="1">IFERROR(
  _xludf.MINIFS(ATTENDANCE_LOG!$F:$F,
         ATTENDANCE_LOG!$A:$A, C465,
         ATTENDANCE_LOG!$B:$B, E465),
"")</f>
        <v/>
      </c>
      <c r="I465" s="156" t="str">
        <f t="shared" ca="1" si="266"/>
        <v/>
      </c>
      <c r="J465" s="3">
        <f>IFERROR(VLOOKUP(F465, LEVEL_HELPER!$A:$B, 2, 0), "")</f>
        <v>1</v>
      </c>
      <c r="K465" s="3" t="str">
        <f>IFERROR(VLOOKUP(G465, LEVEL_HELPER!$A:$B, 2, 0), "")</f>
        <v/>
      </c>
      <c r="L465" s="157" t="s">
        <v>930</v>
      </c>
      <c r="M465" s="157" t="s">
        <v>919</v>
      </c>
      <c r="N465" s="3">
        <f t="array" aca="1" ref="N465" ca="1">IFERROR(
  INDEX($J$2:$J$543,
    MATCH(A465&amp;TEXT(I465,"yyyy-mm-dd"),
          $A$2:$A$543&amp;TEXT($H$2:$H$543,"yyyy-mm-dd"),
          0)),
"")</f>
        <v>1</v>
      </c>
      <c r="O465" s="147" t="str">
        <f t="shared" ca="1" si="267"/>
        <v/>
      </c>
      <c r="P465" s="147">
        <f t="shared" ref="P465:Q465" ca="1" si="481">IF(N465="",0,IF(N465&lt;=2,1,IF(N465&lt;=4,2,IF(N465&lt;=5.5,3,4))))</f>
        <v>1</v>
      </c>
      <c r="Q465" s="147">
        <f t="shared" ca="1" si="481"/>
        <v>0</v>
      </c>
      <c r="R465" s="147" t="str">
        <f t="shared" ca="1" si="269"/>
        <v>Not tested yet</v>
      </c>
      <c r="S465" s="147">
        <f t="shared" si="270"/>
        <v>1</v>
      </c>
      <c r="T465" s="147"/>
      <c r="U465" s="147"/>
      <c r="V465" s="147"/>
      <c r="W465" s="147"/>
      <c r="X465" s="147"/>
      <c r="Y465" s="147"/>
      <c r="Z465" s="147"/>
      <c r="AA465" s="147"/>
      <c r="AB465" s="147"/>
      <c r="AC465" s="147"/>
      <c r="AD465" s="147"/>
      <c r="AE465" s="147"/>
      <c r="AF465" s="147"/>
      <c r="AG465" s="147"/>
      <c r="AH465" s="147"/>
      <c r="AI465" s="147"/>
      <c r="AJ465" s="147"/>
      <c r="AK465" s="147"/>
      <c r="AL465" s="147"/>
      <c r="AM465" s="151"/>
      <c r="AN465" s="147"/>
      <c r="AO465" s="147"/>
      <c r="AP465" s="147"/>
      <c r="AQ465" s="147"/>
      <c r="AR465" s="147"/>
      <c r="AS465" s="147"/>
      <c r="AT465" s="147"/>
      <c r="AU465" s="147"/>
      <c r="AV465" s="147"/>
      <c r="AW465" s="147"/>
      <c r="AX465" s="147"/>
      <c r="AY465" s="147"/>
      <c r="AZ465" s="147"/>
      <c r="BA465" s="147"/>
      <c r="BB465" s="147"/>
      <c r="BC465" s="147"/>
      <c r="BD465" s="147"/>
      <c r="BE465" s="147"/>
      <c r="BF465" s="147"/>
      <c r="BG465" s="147"/>
      <c r="BH465" s="147"/>
      <c r="BI465" s="147"/>
      <c r="BJ465" s="147"/>
      <c r="BK465" s="147"/>
      <c r="BL465" s="147"/>
      <c r="BM465" s="147"/>
      <c r="BN465" s="147"/>
      <c r="BO465" s="147"/>
      <c r="BP465" s="147"/>
      <c r="BQ465" s="147"/>
      <c r="BR465" s="147"/>
      <c r="BS465" s="147"/>
      <c r="BT465" s="147"/>
      <c r="BU465" s="147"/>
      <c r="BV465" s="147"/>
      <c r="BW465" s="147"/>
      <c r="BX465" s="147"/>
      <c r="BY465" s="147"/>
      <c r="BZ465" s="147"/>
      <c r="CA465" s="147"/>
      <c r="CB465" s="147"/>
      <c r="CC465" s="147"/>
      <c r="CD465" s="147"/>
      <c r="CE465" s="147"/>
      <c r="CF465" s="147"/>
      <c r="CG465" s="147"/>
      <c r="CH465" s="147"/>
      <c r="CI465" s="147"/>
      <c r="CJ465" s="147"/>
      <c r="CK465" s="147"/>
    </row>
    <row r="466" spans="1:89">
      <c r="A466" s="159" t="s">
        <v>490</v>
      </c>
      <c r="B466" s="3" t="s">
        <v>491</v>
      </c>
      <c r="C466" s="160" t="s">
        <v>90</v>
      </c>
      <c r="D466" s="160" t="s">
        <v>883</v>
      </c>
      <c r="E466" s="3" t="s">
        <v>21</v>
      </c>
      <c r="F466" s="3" t="s">
        <v>926</v>
      </c>
      <c r="G466" s="3"/>
      <c r="H466" s="156" t="str">
        <f ca="1">IFERROR(
  _xludf.MINIFS(ATTENDANCE_LOG!$F:$F,
         ATTENDANCE_LOG!$A:$A, C466,
         ATTENDANCE_LOG!$B:$B, E466),
"")</f>
        <v/>
      </c>
      <c r="I466" s="156" t="str">
        <f t="shared" ca="1" si="266"/>
        <v/>
      </c>
      <c r="J466" s="3">
        <f>IFERROR(VLOOKUP(F466, LEVEL_HELPER!$A:$B, 2, 0), "")</f>
        <v>1</v>
      </c>
      <c r="K466" s="3" t="str">
        <f>IFERROR(VLOOKUP(G466, LEVEL_HELPER!$A:$B, 2, 0), "")</f>
        <v/>
      </c>
      <c r="L466" s="157" t="s">
        <v>930</v>
      </c>
      <c r="M466" s="157" t="s">
        <v>925</v>
      </c>
      <c r="N466" s="3">
        <f t="array" aca="1" ref="N466" ca="1">IFERROR(
  INDEX($J$2:$J$543,
    MATCH(A466&amp;TEXT(I466,"yyyy-mm-dd"),
          $A$2:$A$543&amp;TEXT($H$2:$H$543,"yyyy-mm-dd"),
          0)),
"")</f>
        <v>1</v>
      </c>
      <c r="O466" s="147" t="str">
        <f t="shared" ca="1" si="267"/>
        <v/>
      </c>
      <c r="P466" s="147">
        <f t="shared" ref="P466:Q466" ca="1" si="482">IF(N466="",0,IF(N466&lt;=2,1,IF(N466&lt;=4,2,IF(N466&lt;=5.5,3,4))))</f>
        <v>1</v>
      </c>
      <c r="Q466" s="147">
        <f t="shared" ca="1" si="482"/>
        <v>0</v>
      </c>
      <c r="R466" s="147" t="str">
        <f t="shared" ca="1" si="269"/>
        <v>Not tested yet</v>
      </c>
      <c r="S466" s="147">
        <f t="shared" si="270"/>
        <v>1</v>
      </c>
      <c r="T466" s="147"/>
      <c r="U466" s="147"/>
      <c r="V466" s="147"/>
      <c r="W466" s="147"/>
      <c r="X466" s="147"/>
      <c r="Y466" s="147"/>
      <c r="Z466" s="147"/>
      <c r="AA466" s="147"/>
      <c r="AB466" s="147"/>
      <c r="AC466" s="147"/>
      <c r="AD466" s="147"/>
      <c r="AE466" s="147"/>
      <c r="AF466" s="147"/>
      <c r="AG466" s="147"/>
      <c r="AH466" s="147"/>
      <c r="AI466" s="147"/>
      <c r="AJ466" s="147"/>
      <c r="AK466" s="147"/>
      <c r="AL466" s="147"/>
      <c r="AM466" s="151"/>
      <c r="AN466" s="147"/>
      <c r="AO466" s="147"/>
      <c r="AP466" s="147"/>
      <c r="AQ466" s="147"/>
      <c r="AR466" s="147"/>
      <c r="AS466" s="147"/>
      <c r="AT466" s="147"/>
      <c r="AU466" s="147"/>
      <c r="AV466" s="147"/>
      <c r="AW466" s="147"/>
      <c r="AX466" s="147"/>
      <c r="AY466" s="147"/>
      <c r="AZ466" s="147"/>
      <c r="BA466" s="147"/>
      <c r="BB466" s="147"/>
      <c r="BC466" s="147"/>
      <c r="BD466" s="147"/>
      <c r="BE466" s="147"/>
      <c r="BF466" s="147"/>
      <c r="BG466" s="147"/>
      <c r="BH466" s="147"/>
      <c r="BI466" s="147"/>
      <c r="BJ466" s="147"/>
      <c r="BK466" s="147"/>
      <c r="BL466" s="147"/>
      <c r="BM466" s="147"/>
      <c r="BN466" s="147"/>
      <c r="BO466" s="147"/>
      <c r="BP466" s="147"/>
      <c r="BQ466" s="147"/>
      <c r="BR466" s="147"/>
      <c r="BS466" s="147"/>
      <c r="BT466" s="147"/>
      <c r="BU466" s="147"/>
      <c r="BV466" s="147"/>
      <c r="BW466" s="147"/>
      <c r="BX466" s="147"/>
      <c r="BY466" s="147"/>
      <c r="BZ466" s="147"/>
      <c r="CA466" s="147"/>
      <c r="CB466" s="147"/>
      <c r="CC466" s="147"/>
      <c r="CD466" s="147"/>
      <c r="CE466" s="147"/>
      <c r="CF466" s="147"/>
      <c r="CG466" s="147"/>
      <c r="CH466" s="147"/>
      <c r="CI466" s="147"/>
      <c r="CJ466" s="147"/>
      <c r="CK466" s="147"/>
    </row>
    <row r="467" spans="1:89">
      <c r="A467" s="159" t="s">
        <v>500</v>
      </c>
      <c r="B467" s="3" t="s">
        <v>501</v>
      </c>
      <c r="C467" s="160" t="s">
        <v>90</v>
      </c>
      <c r="D467" s="160" t="s">
        <v>883</v>
      </c>
      <c r="E467" s="3" t="s">
        <v>21</v>
      </c>
      <c r="F467" s="3" t="s">
        <v>926</v>
      </c>
      <c r="G467" s="3"/>
      <c r="H467" s="156" t="str">
        <f ca="1">IFERROR(
  _xludf.MINIFS(ATTENDANCE_LOG!$F:$F,
         ATTENDANCE_LOG!$A:$A, C467,
         ATTENDANCE_LOG!$B:$B, E467),
"")</f>
        <v/>
      </c>
      <c r="I467" s="156" t="str">
        <f t="shared" ca="1" si="266"/>
        <v/>
      </c>
      <c r="J467" s="3">
        <f>IFERROR(VLOOKUP(F467, LEVEL_HELPER!$A:$B, 2, 0), "")</f>
        <v>1</v>
      </c>
      <c r="K467" s="3" t="str">
        <f>IFERROR(VLOOKUP(G467, LEVEL_HELPER!$A:$B, 2, 0), "")</f>
        <v/>
      </c>
      <c r="L467" s="157" t="s">
        <v>946</v>
      </c>
      <c r="M467" s="157" t="s">
        <v>919</v>
      </c>
      <c r="N467" s="3">
        <f t="array" aca="1" ref="N467" ca="1">IFERROR(
  INDEX($J$2:$J$543,
    MATCH(A467&amp;TEXT(I467,"yyyy-mm-dd"),
          $A$2:$A$543&amp;TEXT($H$2:$H$543,"yyyy-mm-dd"),
          0)),
"")</f>
        <v>1</v>
      </c>
      <c r="O467" s="147" t="str">
        <f t="shared" ca="1" si="267"/>
        <v/>
      </c>
      <c r="P467" s="147">
        <f t="shared" ref="P467:Q467" ca="1" si="483">IF(N467="",0,IF(N467&lt;=2,1,IF(N467&lt;=4,2,IF(N467&lt;=5.5,3,4))))</f>
        <v>1</v>
      </c>
      <c r="Q467" s="147">
        <f t="shared" ca="1" si="483"/>
        <v>0</v>
      </c>
      <c r="R467" s="147" t="str">
        <f t="shared" ca="1" si="269"/>
        <v>Not tested yet</v>
      </c>
      <c r="S467" s="147">
        <f t="shared" si="270"/>
        <v>1</v>
      </c>
      <c r="T467" s="147"/>
      <c r="U467" s="147"/>
      <c r="V467" s="147"/>
      <c r="W467" s="147"/>
      <c r="X467" s="147"/>
      <c r="Y467" s="147"/>
      <c r="Z467" s="147"/>
      <c r="AA467" s="147"/>
      <c r="AB467" s="147"/>
      <c r="AC467" s="147"/>
      <c r="AD467" s="147"/>
      <c r="AE467" s="147"/>
      <c r="AF467" s="147"/>
      <c r="AG467" s="147"/>
      <c r="AH467" s="147"/>
      <c r="AI467" s="147"/>
      <c r="AJ467" s="147"/>
      <c r="AK467" s="147"/>
      <c r="AL467" s="147"/>
      <c r="AM467" s="151"/>
      <c r="AN467" s="147"/>
      <c r="AO467" s="147"/>
      <c r="AP467" s="147"/>
      <c r="AQ467" s="147"/>
      <c r="AR467" s="147"/>
      <c r="AS467" s="147"/>
      <c r="AT467" s="147"/>
      <c r="AU467" s="147"/>
      <c r="AV467" s="147"/>
      <c r="AW467" s="147"/>
      <c r="AX467" s="147"/>
      <c r="AY467" s="147"/>
      <c r="AZ467" s="147"/>
      <c r="BA467" s="147"/>
      <c r="BB467" s="147"/>
      <c r="BC467" s="147"/>
      <c r="BD467" s="147"/>
      <c r="BE467" s="147"/>
      <c r="BF467" s="147"/>
      <c r="BG467" s="147"/>
      <c r="BH467" s="147"/>
      <c r="BI467" s="147"/>
      <c r="BJ467" s="147"/>
      <c r="BK467" s="147"/>
      <c r="BL467" s="147"/>
      <c r="BM467" s="147"/>
      <c r="BN467" s="147"/>
      <c r="BO467" s="147"/>
      <c r="BP467" s="147"/>
      <c r="BQ467" s="147"/>
      <c r="BR467" s="147"/>
      <c r="BS467" s="147"/>
      <c r="BT467" s="147"/>
      <c r="BU467" s="147"/>
      <c r="BV467" s="147"/>
      <c r="BW467" s="147"/>
      <c r="BX467" s="147"/>
      <c r="BY467" s="147"/>
      <c r="BZ467" s="147"/>
      <c r="CA467" s="147"/>
      <c r="CB467" s="147"/>
      <c r="CC467" s="147"/>
      <c r="CD467" s="147"/>
      <c r="CE467" s="147"/>
      <c r="CF467" s="147"/>
      <c r="CG467" s="147"/>
      <c r="CH467" s="147"/>
      <c r="CI467" s="147"/>
      <c r="CJ467" s="147"/>
      <c r="CK467" s="147"/>
    </row>
    <row r="468" spans="1:89">
      <c r="A468" s="159" t="s">
        <v>551</v>
      </c>
      <c r="B468" s="3" t="s">
        <v>552</v>
      </c>
      <c r="C468" s="160" t="s">
        <v>90</v>
      </c>
      <c r="D468" s="160" t="s">
        <v>883</v>
      </c>
      <c r="E468" s="3" t="s">
        <v>21</v>
      </c>
      <c r="F468" s="3" t="s">
        <v>926</v>
      </c>
      <c r="G468" s="3"/>
      <c r="H468" s="156" t="str">
        <f ca="1">IFERROR(
  _xludf.MINIFS(ATTENDANCE_LOG!$F:$F,
         ATTENDANCE_LOG!$A:$A, C468,
         ATTENDANCE_LOG!$B:$B, E468),
"")</f>
        <v/>
      </c>
      <c r="I468" s="156" t="str">
        <f t="shared" ca="1" si="266"/>
        <v/>
      </c>
      <c r="J468" s="3">
        <f>IFERROR(VLOOKUP(F468, LEVEL_HELPER!$A:$B, 2, 0), "")</f>
        <v>1</v>
      </c>
      <c r="K468" s="3" t="str">
        <f>IFERROR(VLOOKUP(G468, LEVEL_HELPER!$A:$B, 2, 0), "")</f>
        <v/>
      </c>
      <c r="L468" s="157" t="s">
        <v>930</v>
      </c>
      <c r="M468" s="157" t="s">
        <v>925</v>
      </c>
      <c r="N468" s="3">
        <f t="array" aca="1" ref="N468" ca="1">IFERROR(
  INDEX($J$2:$J$543,
    MATCH(A468&amp;TEXT(I468,"yyyy-mm-dd"),
          $A$2:$A$543&amp;TEXT($H$2:$H$543,"yyyy-mm-dd"),
          0)),
"")</f>
        <v>1</v>
      </c>
      <c r="O468" s="147" t="str">
        <f t="shared" ca="1" si="267"/>
        <v/>
      </c>
      <c r="P468" s="147">
        <f t="shared" ref="P468:Q468" ca="1" si="484">IF(N468="",0,IF(N468&lt;=2,1,IF(N468&lt;=4,2,IF(N468&lt;=5.5,3,4))))</f>
        <v>1</v>
      </c>
      <c r="Q468" s="147">
        <f t="shared" ca="1" si="484"/>
        <v>0</v>
      </c>
      <c r="R468" s="147" t="str">
        <f t="shared" ca="1" si="269"/>
        <v>Not tested yet</v>
      </c>
      <c r="S468" s="147">
        <f t="shared" si="270"/>
        <v>1</v>
      </c>
      <c r="T468" s="147"/>
      <c r="U468" s="147"/>
      <c r="V468" s="147"/>
      <c r="W468" s="147"/>
      <c r="X468" s="147"/>
      <c r="Y468" s="147"/>
      <c r="Z468" s="147"/>
      <c r="AA468" s="147"/>
      <c r="AB468" s="147"/>
      <c r="AC468" s="147"/>
      <c r="AD468" s="147"/>
      <c r="AE468" s="147"/>
      <c r="AF468" s="147"/>
      <c r="AG468" s="147"/>
      <c r="AH468" s="147"/>
      <c r="AI468" s="147"/>
      <c r="AJ468" s="147"/>
      <c r="AK468" s="147"/>
      <c r="AL468" s="147"/>
      <c r="AM468" s="151"/>
      <c r="AN468" s="147"/>
      <c r="AO468" s="147"/>
      <c r="AP468" s="147"/>
      <c r="AQ468" s="147"/>
      <c r="AR468" s="147"/>
      <c r="AS468" s="147"/>
      <c r="AT468" s="147"/>
      <c r="AU468" s="147"/>
      <c r="AV468" s="147"/>
      <c r="AW468" s="147"/>
      <c r="AX468" s="147"/>
      <c r="AY468" s="147"/>
      <c r="AZ468" s="147"/>
      <c r="BA468" s="147"/>
      <c r="BB468" s="147"/>
      <c r="BC468" s="147"/>
      <c r="BD468" s="147"/>
      <c r="BE468" s="147"/>
      <c r="BF468" s="147"/>
      <c r="BG468" s="147"/>
      <c r="BH468" s="147"/>
      <c r="BI468" s="147"/>
      <c r="BJ468" s="147"/>
      <c r="BK468" s="147"/>
      <c r="BL468" s="147"/>
      <c r="BM468" s="147"/>
      <c r="BN468" s="147"/>
      <c r="BO468" s="147"/>
      <c r="BP468" s="147"/>
      <c r="BQ468" s="147"/>
      <c r="BR468" s="147"/>
      <c r="BS468" s="147"/>
      <c r="BT468" s="147"/>
      <c r="BU468" s="147"/>
      <c r="BV468" s="147"/>
      <c r="BW468" s="147"/>
      <c r="BX468" s="147"/>
      <c r="BY468" s="147"/>
      <c r="BZ468" s="147"/>
      <c r="CA468" s="147"/>
      <c r="CB468" s="147"/>
      <c r="CC468" s="147"/>
      <c r="CD468" s="147"/>
      <c r="CE468" s="147"/>
      <c r="CF468" s="147"/>
      <c r="CG468" s="147"/>
      <c r="CH468" s="147"/>
      <c r="CI468" s="147"/>
      <c r="CJ468" s="147"/>
      <c r="CK468" s="147"/>
    </row>
    <row r="469" spans="1:89">
      <c r="A469" s="153" t="s">
        <v>609</v>
      </c>
      <c r="B469" s="154" t="s">
        <v>610</v>
      </c>
      <c r="C469" s="155" t="s">
        <v>91</v>
      </c>
      <c r="D469" s="155" t="s">
        <v>884</v>
      </c>
      <c r="E469" s="154" t="s">
        <v>21</v>
      </c>
      <c r="F469" s="154" t="s">
        <v>926</v>
      </c>
      <c r="G469" s="154" t="s">
        <v>934</v>
      </c>
      <c r="H469" s="156" t="str">
        <f ca="1">IFERROR(
  _xludf.MINIFS(ATTENDANCE_LOG!$F:$F,
         ATTENDANCE_LOG!$A:$A, C469,
         ATTENDANCE_LOG!$B:$B, E469),
"")</f>
        <v/>
      </c>
      <c r="I469" s="156" t="str">
        <f t="shared" ca="1" si="266"/>
        <v/>
      </c>
      <c r="J469" s="154">
        <f>IFERROR(VLOOKUP(F469, LEVEL_HELPER!$A:$B, 2, 0), "")</f>
        <v>1</v>
      </c>
      <c r="K469" s="154">
        <f>IFERROR(VLOOKUP(G469, LEVEL_HELPER!$A:$B, 2, 0), "")</f>
        <v>3.5</v>
      </c>
      <c r="L469" s="176" t="s">
        <v>930</v>
      </c>
      <c r="M469" s="176" t="s">
        <v>919</v>
      </c>
      <c r="N469" s="3">
        <f t="array" aca="1" ref="N469" ca="1">IFERROR(
  INDEX($J$2:$J$543,
    MATCH(A469&amp;TEXT(I469,"yyyy-mm-dd"),
          $A$2:$A$543&amp;TEXT($H$2:$H$543,"yyyy-mm-dd"),
          0)),
"")</f>
        <v>1</v>
      </c>
      <c r="O469" s="177" t="str">
        <f t="shared" ca="1" si="267"/>
        <v/>
      </c>
      <c r="P469" s="147">
        <f t="shared" ref="P469:Q469" ca="1" si="485">IF(N469="",0,IF(N469&lt;=2,1,IF(N469&lt;=4,2,IF(N469&lt;=5.5,3,4))))</f>
        <v>1</v>
      </c>
      <c r="Q469" s="147">
        <f t="shared" ca="1" si="485"/>
        <v>0</v>
      </c>
      <c r="R469" s="147" t="str">
        <f t="shared" ca="1" si="269"/>
        <v>Not tested yet</v>
      </c>
      <c r="S469" s="147">
        <f t="shared" si="270"/>
        <v>1</v>
      </c>
      <c r="T469" s="147"/>
      <c r="U469" s="147"/>
      <c r="V469" s="147"/>
      <c r="W469" s="147"/>
      <c r="X469" s="147"/>
      <c r="Y469" s="147"/>
      <c r="Z469" s="147"/>
      <c r="AA469" s="147"/>
      <c r="AB469" s="147"/>
      <c r="AC469" s="147"/>
      <c r="AD469" s="147"/>
      <c r="AE469" s="147"/>
      <c r="AF469" s="147"/>
      <c r="AG469" s="147"/>
      <c r="AH469" s="147"/>
      <c r="AI469" s="147"/>
      <c r="AJ469" s="147"/>
      <c r="AK469" s="147"/>
      <c r="AL469" s="147"/>
      <c r="AM469" s="151"/>
      <c r="AN469" s="147"/>
      <c r="AO469" s="147"/>
      <c r="AP469" s="147"/>
      <c r="AQ469" s="147"/>
      <c r="AR469" s="147"/>
      <c r="AS469" s="147"/>
      <c r="AT469" s="147"/>
      <c r="AU469" s="147"/>
      <c r="AV469" s="147"/>
      <c r="AW469" s="147"/>
      <c r="AX469" s="147"/>
      <c r="AY469" s="147"/>
      <c r="AZ469" s="147"/>
      <c r="BA469" s="147"/>
      <c r="BB469" s="147"/>
      <c r="BC469" s="147"/>
      <c r="BD469" s="147"/>
      <c r="BE469" s="147"/>
      <c r="BF469" s="147"/>
      <c r="BG469" s="147"/>
      <c r="BH469" s="147"/>
      <c r="BI469" s="147"/>
      <c r="BJ469" s="147"/>
      <c r="BK469" s="147"/>
      <c r="BL469" s="147"/>
      <c r="BM469" s="147"/>
      <c r="BN469" s="147"/>
      <c r="BO469" s="147"/>
      <c r="BP469" s="147"/>
      <c r="BQ469" s="147"/>
      <c r="BR469" s="147"/>
      <c r="BS469" s="147"/>
      <c r="BT469" s="147"/>
      <c r="BU469" s="147"/>
      <c r="BV469" s="147"/>
      <c r="BW469" s="147"/>
      <c r="BX469" s="147"/>
      <c r="BY469" s="147"/>
      <c r="BZ469" s="147"/>
      <c r="CA469" s="147"/>
      <c r="CB469" s="147"/>
      <c r="CC469" s="147"/>
      <c r="CD469" s="147"/>
      <c r="CE469" s="147"/>
      <c r="CF469" s="147"/>
      <c r="CG469" s="147"/>
      <c r="CH469" s="147"/>
      <c r="CI469" s="147"/>
      <c r="CJ469" s="147"/>
      <c r="CK469" s="147"/>
    </row>
    <row r="470" spans="1:89">
      <c r="A470" s="159" t="s">
        <v>206</v>
      </c>
      <c r="B470" s="3" t="s">
        <v>207</v>
      </c>
      <c r="C470" s="160" t="s">
        <v>91</v>
      </c>
      <c r="D470" s="160" t="s">
        <v>884</v>
      </c>
      <c r="E470" s="3" t="s">
        <v>21</v>
      </c>
      <c r="F470" s="3" t="s">
        <v>926</v>
      </c>
      <c r="G470" s="3" t="s">
        <v>917</v>
      </c>
      <c r="H470" s="156" t="str">
        <f ca="1">IFERROR(
  _xludf.MINIFS(ATTENDANCE_LOG!$F:$F,
         ATTENDANCE_LOG!$A:$A, C470,
         ATTENDANCE_LOG!$B:$B, E470),
"")</f>
        <v/>
      </c>
      <c r="I470" s="156" t="str">
        <f t="shared" ca="1" si="266"/>
        <v/>
      </c>
      <c r="J470" s="3">
        <f>IFERROR(VLOOKUP(F470, LEVEL_HELPER!$A:$B, 2, 0), "")</f>
        <v>1</v>
      </c>
      <c r="K470" s="3">
        <f>IFERROR(VLOOKUP(G470, LEVEL_HELPER!$A:$B, 2, 0), "")</f>
        <v>3</v>
      </c>
      <c r="L470" s="157" t="s">
        <v>930</v>
      </c>
      <c r="M470" s="157" t="s">
        <v>919</v>
      </c>
      <c r="N470" s="3">
        <f t="array" aca="1" ref="N470" ca="1">IFERROR(
  INDEX($J$2:$J$543,
    MATCH(A470&amp;TEXT(I470,"yyyy-mm-dd"),
          $A$2:$A$543&amp;TEXT($H$2:$H$543,"yyyy-mm-dd"),
          0)),
"")</f>
        <v>1</v>
      </c>
      <c r="O470" s="147" t="str">
        <f t="shared" ca="1" si="267"/>
        <v/>
      </c>
      <c r="P470" s="147">
        <f t="shared" ref="P470:Q470" ca="1" si="486">IF(N470="",0,IF(N470&lt;=2,1,IF(N470&lt;=4,2,IF(N470&lt;=5.5,3,4))))</f>
        <v>1</v>
      </c>
      <c r="Q470" s="147">
        <f t="shared" ca="1" si="486"/>
        <v>0</v>
      </c>
      <c r="R470" s="147" t="str">
        <f t="shared" ca="1" si="269"/>
        <v>Not tested yet</v>
      </c>
      <c r="S470" s="147">
        <f t="shared" si="270"/>
        <v>1</v>
      </c>
      <c r="T470" s="147"/>
      <c r="U470" s="147"/>
      <c r="V470" s="147"/>
      <c r="W470" s="147"/>
      <c r="X470" s="147"/>
      <c r="Y470" s="147"/>
      <c r="Z470" s="147"/>
      <c r="AA470" s="147"/>
      <c r="AB470" s="147"/>
      <c r="AC470" s="147"/>
      <c r="AD470" s="147"/>
      <c r="AE470" s="147"/>
      <c r="AF470" s="147"/>
      <c r="AG470" s="147"/>
      <c r="AH470" s="147"/>
      <c r="AI470" s="147"/>
      <c r="AJ470" s="147"/>
      <c r="AK470" s="147"/>
      <c r="AL470" s="147"/>
      <c r="AM470" s="151"/>
      <c r="AN470" s="147"/>
      <c r="AO470" s="147"/>
      <c r="AP470" s="147"/>
      <c r="AQ470" s="147"/>
      <c r="AR470" s="147"/>
      <c r="AS470" s="147"/>
      <c r="AT470" s="147"/>
      <c r="AU470" s="147"/>
      <c r="AV470" s="147"/>
      <c r="AW470" s="147"/>
      <c r="AX470" s="147"/>
      <c r="AY470" s="147"/>
      <c r="AZ470" s="147"/>
      <c r="BA470" s="147"/>
      <c r="BB470" s="147"/>
      <c r="BC470" s="147"/>
      <c r="BD470" s="147"/>
      <c r="BE470" s="147"/>
      <c r="BF470" s="147"/>
      <c r="BG470" s="147"/>
      <c r="BH470" s="147"/>
      <c r="BI470" s="147"/>
      <c r="BJ470" s="147"/>
      <c r="BK470" s="147"/>
      <c r="BL470" s="147"/>
      <c r="BM470" s="147"/>
      <c r="BN470" s="147"/>
      <c r="BO470" s="147"/>
      <c r="BP470" s="147"/>
      <c r="BQ470" s="147"/>
      <c r="BR470" s="147"/>
      <c r="BS470" s="147"/>
      <c r="BT470" s="147"/>
      <c r="BU470" s="147"/>
      <c r="BV470" s="147"/>
      <c r="BW470" s="147"/>
      <c r="BX470" s="147"/>
      <c r="BY470" s="147"/>
      <c r="BZ470" s="147"/>
      <c r="CA470" s="147"/>
      <c r="CB470" s="147"/>
      <c r="CC470" s="147"/>
      <c r="CD470" s="147"/>
      <c r="CE470" s="147"/>
      <c r="CF470" s="147"/>
      <c r="CG470" s="147"/>
      <c r="CH470" s="147"/>
      <c r="CI470" s="147"/>
      <c r="CJ470" s="147"/>
      <c r="CK470" s="147"/>
    </row>
    <row r="471" spans="1:89">
      <c r="A471" s="159" t="s">
        <v>372</v>
      </c>
      <c r="B471" s="3" t="s">
        <v>373</v>
      </c>
      <c r="C471" s="160" t="s">
        <v>91</v>
      </c>
      <c r="D471" s="160" t="s">
        <v>884</v>
      </c>
      <c r="E471" s="3" t="s">
        <v>21</v>
      </c>
      <c r="F471" s="3" t="s">
        <v>926</v>
      </c>
      <c r="G471" s="3" t="s">
        <v>917</v>
      </c>
      <c r="H471" s="156" t="str">
        <f ca="1">IFERROR(
  _xludf.MINIFS(ATTENDANCE_LOG!$F:$F,
         ATTENDANCE_LOG!$A:$A, C471,
         ATTENDANCE_LOG!$B:$B, E471),
"")</f>
        <v/>
      </c>
      <c r="I471" s="156" t="str">
        <f t="shared" ca="1" si="266"/>
        <v/>
      </c>
      <c r="J471" s="3">
        <f>IFERROR(VLOOKUP(F471, LEVEL_HELPER!$A:$B, 2, 0), "")</f>
        <v>1</v>
      </c>
      <c r="K471" s="3">
        <f>IFERROR(VLOOKUP(G471, LEVEL_HELPER!$A:$B, 2, 0), "")</f>
        <v>3</v>
      </c>
      <c r="L471" s="157" t="s">
        <v>930</v>
      </c>
      <c r="M471" s="157" t="s">
        <v>919</v>
      </c>
      <c r="N471" s="3">
        <f t="array" aca="1" ref="N471" ca="1">IFERROR(
  INDEX($J$2:$J$543,
    MATCH(A471&amp;TEXT(I471,"yyyy-mm-dd"),
          $A$2:$A$543&amp;TEXT($H$2:$H$543,"yyyy-mm-dd"),
          0)),
"")</f>
        <v>1</v>
      </c>
      <c r="O471" s="147" t="str">
        <f t="shared" ca="1" si="267"/>
        <v/>
      </c>
      <c r="P471" s="147">
        <f t="shared" ref="P471:Q471" ca="1" si="487">IF(N471="",0,IF(N471&lt;=2,1,IF(N471&lt;=4,2,IF(N471&lt;=5.5,3,4))))</f>
        <v>1</v>
      </c>
      <c r="Q471" s="147">
        <f t="shared" ca="1" si="487"/>
        <v>0</v>
      </c>
      <c r="R471" s="147" t="str">
        <f t="shared" ca="1" si="269"/>
        <v>Not tested yet</v>
      </c>
      <c r="S471" s="147">
        <f t="shared" si="270"/>
        <v>1</v>
      </c>
      <c r="T471" s="147"/>
      <c r="U471" s="147"/>
      <c r="V471" s="147"/>
      <c r="W471" s="147"/>
      <c r="X471" s="147"/>
      <c r="Y471" s="147"/>
      <c r="Z471" s="147"/>
      <c r="AA471" s="147"/>
      <c r="AB471" s="147"/>
      <c r="AC471" s="147"/>
      <c r="AD471" s="147"/>
      <c r="AE471" s="147"/>
      <c r="AF471" s="147"/>
      <c r="AG471" s="147"/>
      <c r="AH471" s="147"/>
      <c r="AI471" s="147"/>
      <c r="AJ471" s="147"/>
      <c r="AK471" s="147"/>
      <c r="AL471" s="147"/>
      <c r="AM471" s="151"/>
      <c r="AN471" s="147"/>
      <c r="AO471" s="147"/>
      <c r="AP471" s="147"/>
      <c r="AQ471" s="147"/>
      <c r="AR471" s="147"/>
      <c r="AS471" s="147"/>
      <c r="AT471" s="147"/>
      <c r="AU471" s="147"/>
      <c r="AV471" s="147"/>
      <c r="AW471" s="147"/>
      <c r="AX471" s="147"/>
      <c r="AY471" s="147"/>
      <c r="AZ471" s="147"/>
      <c r="BA471" s="147"/>
      <c r="BB471" s="147"/>
      <c r="BC471" s="147"/>
      <c r="BD471" s="147"/>
      <c r="BE471" s="147"/>
      <c r="BF471" s="147"/>
      <c r="BG471" s="147"/>
      <c r="BH471" s="147"/>
      <c r="BI471" s="147"/>
      <c r="BJ471" s="147"/>
      <c r="BK471" s="147"/>
      <c r="BL471" s="147"/>
      <c r="BM471" s="147"/>
      <c r="BN471" s="147"/>
      <c r="BO471" s="147"/>
      <c r="BP471" s="147"/>
      <c r="BQ471" s="147"/>
      <c r="BR471" s="147"/>
      <c r="BS471" s="147"/>
      <c r="BT471" s="147"/>
      <c r="BU471" s="147"/>
      <c r="BV471" s="147"/>
      <c r="BW471" s="147"/>
      <c r="BX471" s="147"/>
      <c r="BY471" s="147"/>
      <c r="BZ471" s="147"/>
      <c r="CA471" s="147"/>
      <c r="CB471" s="147"/>
      <c r="CC471" s="147"/>
      <c r="CD471" s="147"/>
      <c r="CE471" s="147"/>
      <c r="CF471" s="147"/>
      <c r="CG471" s="147"/>
      <c r="CH471" s="147"/>
      <c r="CI471" s="147"/>
      <c r="CJ471" s="147"/>
      <c r="CK471" s="147"/>
    </row>
    <row r="472" spans="1:89">
      <c r="A472" s="159" t="s">
        <v>419</v>
      </c>
      <c r="B472" s="3" t="s">
        <v>420</v>
      </c>
      <c r="C472" s="160" t="s">
        <v>91</v>
      </c>
      <c r="D472" s="160" t="s">
        <v>884</v>
      </c>
      <c r="E472" s="3" t="s">
        <v>21</v>
      </c>
      <c r="F472" s="3" t="s">
        <v>926</v>
      </c>
      <c r="G472" s="3" t="s">
        <v>917</v>
      </c>
      <c r="H472" s="156" t="str">
        <f ca="1">IFERROR(
  _xludf.MINIFS(ATTENDANCE_LOG!$F:$F,
         ATTENDANCE_LOG!$A:$A, C472,
         ATTENDANCE_LOG!$B:$B, E472),
"")</f>
        <v/>
      </c>
      <c r="I472" s="156" t="str">
        <f t="shared" ca="1" si="266"/>
        <v/>
      </c>
      <c r="J472" s="3">
        <f>IFERROR(VLOOKUP(F472, LEVEL_HELPER!$A:$B, 2, 0), "")</f>
        <v>1</v>
      </c>
      <c r="K472" s="3">
        <f>IFERROR(VLOOKUP(G472, LEVEL_HELPER!$A:$B, 2, 0), "")</f>
        <v>3</v>
      </c>
      <c r="L472" s="157" t="s">
        <v>942</v>
      </c>
      <c r="M472" s="157" t="s">
        <v>922</v>
      </c>
      <c r="N472" s="3">
        <f t="array" aca="1" ref="N472" ca="1">IFERROR(
  INDEX($J$2:$J$543,
    MATCH(A472&amp;TEXT(I472,"yyyy-mm-dd"),
          $A$2:$A$543&amp;TEXT($H$2:$H$543,"yyyy-mm-dd"),
          0)),
"")</f>
        <v>1</v>
      </c>
      <c r="O472" s="147" t="str">
        <f t="shared" ca="1" si="267"/>
        <v/>
      </c>
      <c r="P472" s="147">
        <f t="shared" ref="P472:Q472" ca="1" si="488">IF(N472="",0,IF(N472&lt;=2,1,IF(N472&lt;=4,2,IF(N472&lt;=5.5,3,4))))</f>
        <v>1</v>
      </c>
      <c r="Q472" s="147">
        <f t="shared" ca="1" si="488"/>
        <v>0</v>
      </c>
      <c r="R472" s="147" t="str">
        <f t="shared" ca="1" si="269"/>
        <v>Not tested yet</v>
      </c>
      <c r="S472" s="147">
        <f t="shared" si="270"/>
        <v>0</v>
      </c>
      <c r="T472" s="147"/>
      <c r="U472" s="147"/>
      <c r="V472" s="147"/>
      <c r="W472" s="147"/>
      <c r="X472" s="147"/>
      <c r="Y472" s="147"/>
      <c r="Z472" s="147"/>
      <c r="AA472" s="147"/>
      <c r="AB472" s="147"/>
      <c r="AC472" s="147"/>
      <c r="AD472" s="147"/>
      <c r="AE472" s="147"/>
      <c r="AF472" s="147"/>
      <c r="AG472" s="147"/>
      <c r="AH472" s="147"/>
      <c r="AI472" s="147"/>
      <c r="AJ472" s="147"/>
      <c r="AK472" s="147"/>
      <c r="AL472" s="147"/>
      <c r="AM472" s="151"/>
      <c r="AN472" s="147"/>
      <c r="AO472" s="147"/>
      <c r="AP472" s="147"/>
      <c r="AQ472" s="147"/>
      <c r="AR472" s="147"/>
      <c r="AS472" s="147"/>
      <c r="AT472" s="147"/>
      <c r="AU472" s="147"/>
      <c r="AV472" s="147"/>
      <c r="AW472" s="147"/>
      <c r="AX472" s="147"/>
      <c r="AY472" s="147"/>
      <c r="AZ472" s="147"/>
      <c r="BA472" s="147"/>
      <c r="BB472" s="147"/>
      <c r="BC472" s="147"/>
      <c r="BD472" s="147"/>
      <c r="BE472" s="147"/>
      <c r="BF472" s="147"/>
      <c r="BG472" s="147"/>
      <c r="BH472" s="147"/>
      <c r="BI472" s="147"/>
      <c r="BJ472" s="147"/>
      <c r="BK472" s="147"/>
      <c r="BL472" s="147"/>
      <c r="BM472" s="147"/>
      <c r="BN472" s="147"/>
      <c r="BO472" s="147"/>
      <c r="BP472" s="147"/>
      <c r="BQ472" s="147"/>
      <c r="BR472" s="147"/>
      <c r="BS472" s="147"/>
      <c r="BT472" s="147"/>
      <c r="BU472" s="147"/>
      <c r="BV472" s="147"/>
      <c r="BW472" s="147"/>
      <c r="BX472" s="147"/>
      <c r="BY472" s="147"/>
      <c r="BZ472" s="147"/>
      <c r="CA472" s="147"/>
      <c r="CB472" s="147"/>
      <c r="CC472" s="147"/>
      <c r="CD472" s="147"/>
      <c r="CE472" s="147"/>
      <c r="CF472" s="147"/>
      <c r="CG472" s="147"/>
      <c r="CH472" s="147"/>
      <c r="CI472" s="147"/>
      <c r="CJ472" s="147"/>
      <c r="CK472" s="147"/>
    </row>
    <row r="473" spans="1:89">
      <c r="A473" s="159" t="s">
        <v>459</v>
      </c>
      <c r="B473" s="3" t="s">
        <v>460</v>
      </c>
      <c r="C473" s="160" t="s">
        <v>91</v>
      </c>
      <c r="D473" s="160" t="s">
        <v>884</v>
      </c>
      <c r="E473" s="3" t="s">
        <v>21</v>
      </c>
      <c r="F473" s="3" t="s">
        <v>926</v>
      </c>
      <c r="G473" s="3" t="s">
        <v>934</v>
      </c>
      <c r="H473" s="156" t="str">
        <f ca="1">IFERROR(
  _xludf.MINIFS(ATTENDANCE_LOG!$F:$F,
         ATTENDANCE_LOG!$A:$A, C473,
         ATTENDANCE_LOG!$B:$B, E473),
"")</f>
        <v/>
      </c>
      <c r="I473" s="156" t="str">
        <f t="shared" ca="1" si="266"/>
        <v/>
      </c>
      <c r="J473" s="3">
        <f>IFERROR(VLOOKUP(F473, LEVEL_HELPER!$A:$B, 2, 0), "")</f>
        <v>1</v>
      </c>
      <c r="K473" s="3">
        <f>IFERROR(VLOOKUP(G473, LEVEL_HELPER!$A:$B, 2, 0), "")</f>
        <v>3.5</v>
      </c>
      <c r="L473" s="157" t="s">
        <v>930</v>
      </c>
      <c r="M473" s="157" t="s">
        <v>919</v>
      </c>
      <c r="N473" s="3">
        <f t="array" aca="1" ref="N473" ca="1">IFERROR(
  INDEX($J$2:$J$543,
    MATCH(A473&amp;TEXT(I473,"yyyy-mm-dd"),
          $A$2:$A$543&amp;TEXT($H$2:$H$543,"yyyy-mm-dd"),
          0)),
"")</f>
        <v>1</v>
      </c>
      <c r="O473" s="147" t="str">
        <f t="shared" ca="1" si="267"/>
        <v/>
      </c>
      <c r="P473" s="147">
        <f t="shared" ref="P473:Q473" ca="1" si="489">IF(N473="",0,IF(N473&lt;=2,1,IF(N473&lt;=4,2,IF(N473&lt;=5.5,3,4))))</f>
        <v>1</v>
      </c>
      <c r="Q473" s="147">
        <f t="shared" ca="1" si="489"/>
        <v>0</v>
      </c>
      <c r="R473" s="147" t="str">
        <f t="shared" ca="1" si="269"/>
        <v>Not tested yet</v>
      </c>
      <c r="S473" s="147">
        <f t="shared" si="270"/>
        <v>1</v>
      </c>
      <c r="T473" s="147"/>
      <c r="U473" s="147"/>
      <c r="V473" s="147"/>
      <c r="W473" s="147"/>
      <c r="X473" s="147"/>
      <c r="Y473" s="147"/>
      <c r="Z473" s="147"/>
      <c r="AA473" s="147"/>
      <c r="AB473" s="147"/>
      <c r="AC473" s="147"/>
      <c r="AD473" s="147"/>
      <c r="AE473" s="147"/>
      <c r="AF473" s="147"/>
      <c r="AG473" s="147"/>
      <c r="AH473" s="147"/>
      <c r="AI473" s="147"/>
      <c r="AJ473" s="147"/>
      <c r="AK473" s="147"/>
      <c r="AL473" s="147"/>
      <c r="AM473" s="151"/>
      <c r="AN473" s="147"/>
      <c r="AO473" s="147"/>
      <c r="AP473" s="147"/>
      <c r="AQ473" s="147"/>
      <c r="AR473" s="147"/>
      <c r="AS473" s="147"/>
      <c r="AT473" s="147"/>
      <c r="AU473" s="147"/>
      <c r="AV473" s="147"/>
      <c r="AW473" s="147"/>
      <c r="AX473" s="147"/>
      <c r="AY473" s="147"/>
      <c r="AZ473" s="147"/>
      <c r="BA473" s="147"/>
      <c r="BB473" s="147"/>
      <c r="BC473" s="147"/>
      <c r="BD473" s="147"/>
      <c r="BE473" s="147"/>
      <c r="BF473" s="147"/>
      <c r="BG473" s="147"/>
      <c r="BH473" s="147"/>
      <c r="BI473" s="147"/>
      <c r="BJ473" s="147"/>
      <c r="BK473" s="147"/>
      <c r="BL473" s="147"/>
      <c r="BM473" s="147"/>
      <c r="BN473" s="147"/>
      <c r="BO473" s="147"/>
      <c r="BP473" s="147"/>
      <c r="BQ473" s="147"/>
      <c r="BR473" s="147"/>
      <c r="BS473" s="147"/>
      <c r="BT473" s="147"/>
      <c r="BU473" s="147"/>
      <c r="BV473" s="147"/>
      <c r="BW473" s="147"/>
      <c r="BX473" s="147"/>
      <c r="BY473" s="147"/>
      <c r="BZ473" s="147"/>
      <c r="CA473" s="147"/>
      <c r="CB473" s="147"/>
      <c r="CC473" s="147"/>
      <c r="CD473" s="147"/>
      <c r="CE473" s="147"/>
      <c r="CF473" s="147"/>
      <c r="CG473" s="147"/>
      <c r="CH473" s="147"/>
      <c r="CI473" s="147"/>
      <c r="CJ473" s="147"/>
      <c r="CK473" s="147"/>
    </row>
    <row r="474" spans="1:89">
      <c r="A474" s="159" t="s">
        <v>536</v>
      </c>
      <c r="B474" s="3" t="s">
        <v>537</v>
      </c>
      <c r="C474" s="160" t="s">
        <v>91</v>
      </c>
      <c r="D474" s="160" t="s">
        <v>884</v>
      </c>
      <c r="E474" s="3" t="s">
        <v>21</v>
      </c>
      <c r="F474" s="3" t="s">
        <v>926</v>
      </c>
      <c r="G474" s="3" t="s">
        <v>934</v>
      </c>
      <c r="H474" s="156" t="str">
        <f ca="1">IFERROR(
  _xludf.MINIFS(ATTENDANCE_LOG!$F:$F,
         ATTENDANCE_LOG!$A:$A, C474,
         ATTENDANCE_LOG!$B:$B, E474),
"")</f>
        <v/>
      </c>
      <c r="I474" s="156" t="str">
        <f t="shared" ca="1" si="266"/>
        <v/>
      </c>
      <c r="J474" s="3">
        <f>IFERROR(VLOOKUP(F474, LEVEL_HELPER!$A:$B, 2, 0), "")</f>
        <v>1</v>
      </c>
      <c r="K474" s="3">
        <f>IFERROR(VLOOKUP(G474, LEVEL_HELPER!$A:$B, 2, 0), "")</f>
        <v>3.5</v>
      </c>
      <c r="L474" s="157" t="s">
        <v>930</v>
      </c>
      <c r="M474" s="157" t="s">
        <v>919</v>
      </c>
      <c r="N474" s="3">
        <f t="array" aca="1" ref="N474" ca="1">IFERROR(
  INDEX($J$2:$J$543,
    MATCH(A474&amp;TEXT(I474,"yyyy-mm-dd"),
          $A$2:$A$543&amp;TEXT($H$2:$H$543,"yyyy-mm-dd"),
          0)),
"")</f>
        <v>1</v>
      </c>
      <c r="O474" s="147" t="str">
        <f t="shared" ca="1" si="267"/>
        <v/>
      </c>
      <c r="P474" s="147">
        <f t="shared" ref="P474:Q474" ca="1" si="490">IF(N474="",0,IF(N474&lt;=2,1,IF(N474&lt;=4,2,IF(N474&lt;=5.5,3,4))))</f>
        <v>1</v>
      </c>
      <c r="Q474" s="147">
        <f t="shared" ca="1" si="490"/>
        <v>0</v>
      </c>
      <c r="R474" s="147" t="str">
        <f t="shared" ca="1" si="269"/>
        <v>Not tested yet</v>
      </c>
      <c r="S474" s="147">
        <f t="shared" si="270"/>
        <v>1</v>
      </c>
      <c r="T474" s="147"/>
      <c r="U474" s="147"/>
      <c r="V474" s="147"/>
      <c r="W474" s="147"/>
      <c r="X474" s="147"/>
      <c r="Y474" s="147"/>
      <c r="Z474" s="147"/>
      <c r="AA474" s="147"/>
      <c r="AB474" s="147"/>
      <c r="AC474" s="147"/>
      <c r="AD474" s="147"/>
      <c r="AE474" s="147"/>
      <c r="AF474" s="147"/>
      <c r="AG474" s="147"/>
      <c r="AH474" s="147"/>
      <c r="AI474" s="147"/>
      <c r="AJ474" s="147"/>
      <c r="AK474" s="147"/>
      <c r="AL474" s="147"/>
      <c r="AM474" s="151"/>
      <c r="AN474" s="147"/>
      <c r="AO474" s="147"/>
      <c r="AP474" s="147"/>
      <c r="AQ474" s="147"/>
      <c r="AR474" s="147"/>
      <c r="AS474" s="147"/>
      <c r="AT474" s="147"/>
      <c r="AU474" s="147"/>
      <c r="AV474" s="147"/>
      <c r="AW474" s="147"/>
      <c r="AX474" s="147"/>
      <c r="AY474" s="147"/>
      <c r="AZ474" s="147"/>
      <c r="BA474" s="147"/>
      <c r="BB474" s="147"/>
      <c r="BC474" s="147"/>
      <c r="BD474" s="147"/>
      <c r="BE474" s="147"/>
      <c r="BF474" s="147"/>
      <c r="BG474" s="147"/>
      <c r="BH474" s="147"/>
      <c r="BI474" s="147"/>
      <c r="BJ474" s="147"/>
      <c r="BK474" s="147"/>
      <c r="BL474" s="147"/>
      <c r="BM474" s="147"/>
      <c r="BN474" s="147"/>
      <c r="BO474" s="147"/>
      <c r="BP474" s="147"/>
      <c r="BQ474" s="147"/>
      <c r="BR474" s="147"/>
      <c r="BS474" s="147"/>
      <c r="BT474" s="147"/>
      <c r="BU474" s="147"/>
      <c r="BV474" s="147"/>
      <c r="BW474" s="147"/>
      <c r="BX474" s="147"/>
      <c r="BY474" s="147"/>
      <c r="BZ474" s="147"/>
      <c r="CA474" s="147"/>
      <c r="CB474" s="147"/>
      <c r="CC474" s="147"/>
      <c r="CD474" s="147"/>
      <c r="CE474" s="147"/>
      <c r="CF474" s="147"/>
      <c r="CG474" s="147"/>
      <c r="CH474" s="147"/>
      <c r="CI474" s="147"/>
      <c r="CJ474" s="147"/>
      <c r="CK474" s="147"/>
    </row>
    <row r="475" spans="1:89">
      <c r="A475" s="153" t="s">
        <v>609</v>
      </c>
      <c r="B475" s="154" t="s">
        <v>610</v>
      </c>
      <c r="C475" s="155" t="s">
        <v>91</v>
      </c>
      <c r="D475" s="155" t="s">
        <v>884</v>
      </c>
      <c r="E475" s="154" t="s">
        <v>22</v>
      </c>
      <c r="F475" s="154" t="s">
        <v>934</v>
      </c>
      <c r="G475" s="154"/>
      <c r="H475" s="156" t="str">
        <f ca="1">IFERROR(
  _xludf.MINIFS(ATTENDANCE_LOG!$F:$F,
         ATTENDANCE_LOG!$A:$A, C475,
         ATTENDANCE_LOG!$B:$B, E475),
"")</f>
        <v/>
      </c>
      <c r="I475" s="156" t="str">
        <f t="shared" ca="1" si="266"/>
        <v/>
      </c>
      <c r="J475" s="154">
        <f>IFERROR(VLOOKUP(F475, LEVEL_HELPER!$A:$B, 2, 0), "")</f>
        <v>3.5</v>
      </c>
      <c r="K475" s="154" t="str">
        <f>IFERROR(VLOOKUP(G475, LEVEL_HELPER!$A:$B, 2, 0), "")</f>
        <v/>
      </c>
      <c r="L475" s="176" t="s">
        <v>930</v>
      </c>
      <c r="M475" s="176" t="s">
        <v>919</v>
      </c>
      <c r="N475" s="3">
        <f t="array" aca="1" ref="N475" ca="1">IFERROR(
  INDEX($J$2:$J$543,
    MATCH(A475&amp;TEXT(I475,"yyyy-mm-dd"),
          $A$2:$A$543&amp;TEXT($H$2:$H$543,"yyyy-mm-dd"),
          0)),
"")</f>
        <v>1</v>
      </c>
      <c r="O475" s="177" t="str">
        <f t="shared" ca="1" si="267"/>
        <v/>
      </c>
      <c r="P475" s="147">
        <f t="shared" ref="P475:Q475" ca="1" si="491">IF(N475="",0,IF(N475&lt;=2,1,IF(N475&lt;=4,2,IF(N475&lt;=5.5,3,4))))</f>
        <v>1</v>
      </c>
      <c r="Q475" s="147">
        <f t="shared" ca="1" si="491"/>
        <v>0</v>
      </c>
      <c r="R475" s="147" t="str">
        <f t="shared" ca="1" si="269"/>
        <v>Not tested yet</v>
      </c>
      <c r="S475" s="147">
        <f t="shared" si="270"/>
        <v>0</v>
      </c>
      <c r="T475" s="147"/>
      <c r="U475" s="147"/>
      <c r="V475" s="147"/>
      <c r="W475" s="147"/>
      <c r="X475" s="147"/>
      <c r="Y475" s="147"/>
      <c r="Z475" s="147"/>
      <c r="AA475" s="147"/>
      <c r="AB475" s="147"/>
      <c r="AC475" s="147"/>
      <c r="AD475" s="147"/>
      <c r="AE475" s="147"/>
      <c r="AF475" s="147"/>
      <c r="AG475" s="147"/>
      <c r="AH475" s="147"/>
      <c r="AI475" s="147"/>
      <c r="AJ475" s="147"/>
      <c r="AK475" s="147"/>
      <c r="AL475" s="147"/>
      <c r="AM475" s="151"/>
      <c r="AN475" s="147"/>
      <c r="AO475" s="147"/>
      <c r="AP475" s="147"/>
      <c r="AQ475" s="147"/>
      <c r="AR475" s="147"/>
      <c r="AS475" s="147"/>
      <c r="AT475" s="147"/>
      <c r="AU475" s="147"/>
      <c r="AV475" s="147"/>
      <c r="AW475" s="147"/>
      <c r="AX475" s="147"/>
      <c r="AY475" s="147"/>
      <c r="AZ475" s="147"/>
      <c r="BA475" s="147"/>
      <c r="BB475" s="147"/>
      <c r="BC475" s="147"/>
      <c r="BD475" s="147"/>
      <c r="BE475" s="147"/>
      <c r="BF475" s="147"/>
      <c r="BG475" s="147"/>
      <c r="BH475" s="147"/>
      <c r="BI475" s="147"/>
      <c r="BJ475" s="147"/>
      <c r="BK475" s="147"/>
      <c r="BL475" s="147"/>
      <c r="BM475" s="147"/>
      <c r="BN475" s="147"/>
      <c r="BO475" s="147"/>
      <c r="BP475" s="147"/>
      <c r="BQ475" s="147"/>
      <c r="BR475" s="147"/>
      <c r="BS475" s="147"/>
      <c r="BT475" s="147"/>
      <c r="BU475" s="147"/>
      <c r="BV475" s="147"/>
      <c r="BW475" s="147"/>
      <c r="BX475" s="147"/>
      <c r="BY475" s="147"/>
      <c r="BZ475" s="147"/>
      <c r="CA475" s="147"/>
      <c r="CB475" s="147"/>
      <c r="CC475" s="147"/>
      <c r="CD475" s="147"/>
      <c r="CE475" s="147"/>
      <c r="CF475" s="147"/>
      <c r="CG475" s="147"/>
      <c r="CH475" s="147"/>
      <c r="CI475" s="147"/>
      <c r="CJ475" s="147"/>
      <c r="CK475" s="147"/>
    </row>
    <row r="476" spans="1:89">
      <c r="A476" s="159" t="s">
        <v>206</v>
      </c>
      <c r="B476" s="3" t="s">
        <v>207</v>
      </c>
      <c r="C476" s="160" t="s">
        <v>91</v>
      </c>
      <c r="D476" s="160" t="s">
        <v>884</v>
      </c>
      <c r="E476" s="3" t="s">
        <v>22</v>
      </c>
      <c r="F476" s="3" t="s">
        <v>917</v>
      </c>
      <c r="G476" s="3"/>
      <c r="H476" s="156" t="str">
        <f ca="1">IFERROR(
  _xludf.MINIFS(ATTENDANCE_LOG!$F:$F,
         ATTENDANCE_LOG!$A:$A, C476,
         ATTENDANCE_LOG!$B:$B, E476),
"")</f>
        <v/>
      </c>
      <c r="I476" s="156" t="str">
        <f t="shared" ca="1" si="266"/>
        <v/>
      </c>
      <c r="J476" s="3">
        <f>IFERROR(VLOOKUP(F476, LEVEL_HELPER!$A:$B, 2, 0), "")</f>
        <v>3</v>
      </c>
      <c r="K476" s="3" t="str">
        <f>IFERROR(VLOOKUP(G476, LEVEL_HELPER!$A:$B, 2, 0), "")</f>
        <v/>
      </c>
      <c r="L476" s="157" t="s">
        <v>930</v>
      </c>
      <c r="M476" s="157" t="s">
        <v>919</v>
      </c>
      <c r="N476" s="3">
        <f t="array" aca="1" ref="N476" ca="1">IFERROR(
  INDEX($J$2:$J$543,
    MATCH(A476&amp;TEXT(I476,"yyyy-mm-dd"),
          $A$2:$A$543&amp;TEXT($H$2:$H$543,"yyyy-mm-dd"),
          0)),
"")</f>
        <v>1</v>
      </c>
      <c r="O476" s="147" t="str">
        <f t="shared" ca="1" si="267"/>
        <v/>
      </c>
      <c r="P476" s="147">
        <f t="shared" ref="P476:Q476" ca="1" si="492">IF(N476="",0,IF(N476&lt;=2,1,IF(N476&lt;=4,2,IF(N476&lt;=5.5,3,4))))</f>
        <v>1</v>
      </c>
      <c r="Q476" s="147">
        <f t="shared" ca="1" si="492"/>
        <v>0</v>
      </c>
      <c r="R476" s="147" t="str">
        <f t="shared" ca="1" si="269"/>
        <v>Not tested yet</v>
      </c>
      <c r="S476" s="147">
        <f t="shared" si="270"/>
        <v>0</v>
      </c>
      <c r="T476" s="147"/>
      <c r="U476" s="147"/>
      <c r="V476" s="147"/>
      <c r="W476" s="147"/>
      <c r="X476" s="147"/>
      <c r="Y476" s="147"/>
      <c r="Z476" s="147"/>
      <c r="AA476" s="147"/>
      <c r="AB476" s="147"/>
      <c r="AC476" s="147"/>
      <c r="AD476" s="147"/>
      <c r="AE476" s="147"/>
      <c r="AF476" s="147"/>
      <c r="AG476" s="147"/>
      <c r="AH476" s="147"/>
      <c r="AI476" s="147"/>
      <c r="AJ476" s="147"/>
      <c r="AK476" s="147"/>
      <c r="AL476" s="147"/>
      <c r="AM476" s="151"/>
      <c r="AN476" s="147"/>
      <c r="AO476" s="147"/>
      <c r="AP476" s="147"/>
      <c r="AQ476" s="147"/>
      <c r="AR476" s="147"/>
      <c r="AS476" s="147"/>
      <c r="AT476" s="147"/>
      <c r="AU476" s="147"/>
      <c r="AV476" s="147"/>
      <c r="AW476" s="147"/>
      <c r="AX476" s="147"/>
      <c r="AY476" s="147"/>
      <c r="AZ476" s="147"/>
      <c r="BA476" s="147"/>
      <c r="BB476" s="147"/>
      <c r="BC476" s="147"/>
      <c r="BD476" s="147"/>
      <c r="BE476" s="147"/>
      <c r="BF476" s="147"/>
      <c r="BG476" s="147"/>
      <c r="BH476" s="147"/>
      <c r="BI476" s="147"/>
      <c r="BJ476" s="147"/>
      <c r="BK476" s="147"/>
      <c r="BL476" s="147"/>
      <c r="BM476" s="147"/>
      <c r="BN476" s="147"/>
      <c r="BO476" s="147"/>
      <c r="BP476" s="147"/>
      <c r="BQ476" s="147"/>
      <c r="BR476" s="147"/>
      <c r="BS476" s="147"/>
      <c r="BT476" s="147"/>
      <c r="BU476" s="147"/>
      <c r="BV476" s="147"/>
      <c r="BW476" s="147"/>
      <c r="BX476" s="147"/>
      <c r="BY476" s="147"/>
      <c r="BZ476" s="147"/>
      <c r="CA476" s="147"/>
      <c r="CB476" s="147"/>
      <c r="CC476" s="147"/>
      <c r="CD476" s="147"/>
      <c r="CE476" s="147"/>
      <c r="CF476" s="147"/>
      <c r="CG476" s="147"/>
      <c r="CH476" s="147"/>
      <c r="CI476" s="147"/>
      <c r="CJ476" s="147"/>
      <c r="CK476" s="147"/>
    </row>
    <row r="477" spans="1:89">
      <c r="A477" s="159" t="s">
        <v>372</v>
      </c>
      <c r="B477" s="3" t="s">
        <v>373</v>
      </c>
      <c r="C477" s="160" t="s">
        <v>91</v>
      </c>
      <c r="D477" s="160" t="s">
        <v>884</v>
      </c>
      <c r="E477" s="3" t="s">
        <v>22</v>
      </c>
      <c r="F477" s="3" t="s">
        <v>917</v>
      </c>
      <c r="G477" s="3"/>
      <c r="H477" s="156" t="str">
        <f ca="1">IFERROR(
  _xludf.MINIFS(ATTENDANCE_LOG!$F:$F,
         ATTENDANCE_LOG!$A:$A, C477,
         ATTENDANCE_LOG!$B:$B, E477),
"")</f>
        <v/>
      </c>
      <c r="I477" s="156" t="str">
        <f t="shared" ca="1" si="266"/>
        <v/>
      </c>
      <c r="J477" s="3">
        <f>IFERROR(VLOOKUP(F477, LEVEL_HELPER!$A:$B, 2, 0), "")</f>
        <v>3</v>
      </c>
      <c r="K477" s="3" t="str">
        <f>IFERROR(VLOOKUP(G477, LEVEL_HELPER!$A:$B, 2, 0), "")</f>
        <v/>
      </c>
      <c r="L477" s="157" t="s">
        <v>930</v>
      </c>
      <c r="M477" s="157" t="s">
        <v>919</v>
      </c>
      <c r="N477" s="3">
        <f t="array" aca="1" ref="N477" ca="1">IFERROR(
  INDEX($J$2:$J$543,
    MATCH(A477&amp;TEXT(I477,"yyyy-mm-dd"),
          $A$2:$A$543&amp;TEXT($H$2:$H$543,"yyyy-mm-dd"),
          0)),
"")</f>
        <v>1</v>
      </c>
      <c r="O477" s="147" t="str">
        <f t="shared" ca="1" si="267"/>
        <v/>
      </c>
      <c r="P477" s="147">
        <f t="shared" ref="P477:Q477" ca="1" si="493">IF(N477="",0,IF(N477&lt;=2,1,IF(N477&lt;=4,2,IF(N477&lt;=5.5,3,4))))</f>
        <v>1</v>
      </c>
      <c r="Q477" s="147">
        <f t="shared" ca="1" si="493"/>
        <v>0</v>
      </c>
      <c r="R477" s="147" t="str">
        <f t="shared" ca="1" si="269"/>
        <v>Not tested yet</v>
      </c>
      <c r="S477" s="147">
        <f t="shared" si="270"/>
        <v>0</v>
      </c>
      <c r="T477" s="147"/>
      <c r="U477" s="147"/>
      <c r="V477" s="147"/>
      <c r="W477" s="147"/>
      <c r="X477" s="147"/>
      <c r="Y477" s="147"/>
      <c r="Z477" s="147"/>
      <c r="AA477" s="147"/>
      <c r="AB477" s="147"/>
      <c r="AC477" s="147"/>
      <c r="AD477" s="147"/>
      <c r="AE477" s="147"/>
      <c r="AF477" s="147"/>
      <c r="AG477" s="147"/>
      <c r="AH477" s="147"/>
      <c r="AI477" s="147"/>
      <c r="AJ477" s="147"/>
      <c r="AK477" s="147"/>
      <c r="AL477" s="147"/>
      <c r="AM477" s="151"/>
      <c r="AN477" s="147"/>
      <c r="AO477" s="147"/>
      <c r="AP477" s="147"/>
      <c r="AQ477" s="147"/>
      <c r="AR477" s="147"/>
      <c r="AS477" s="147"/>
      <c r="AT477" s="147"/>
      <c r="AU477" s="147"/>
      <c r="AV477" s="147"/>
      <c r="AW477" s="147"/>
      <c r="AX477" s="147"/>
      <c r="AY477" s="147"/>
      <c r="AZ477" s="147"/>
      <c r="BA477" s="147"/>
      <c r="BB477" s="147"/>
      <c r="BC477" s="147"/>
      <c r="BD477" s="147"/>
      <c r="BE477" s="147"/>
      <c r="BF477" s="147"/>
      <c r="BG477" s="147"/>
      <c r="BH477" s="147"/>
      <c r="BI477" s="147"/>
      <c r="BJ477" s="147"/>
      <c r="BK477" s="147"/>
      <c r="BL477" s="147"/>
      <c r="BM477" s="147"/>
      <c r="BN477" s="147"/>
      <c r="BO477" s="147"/>
      <c r="BP477" s="147"/>
      <c r="BQ477" s="147"/>
      <c r="BR477" s="147"/>
      <c r="BS477" s="147"/>
      <c r="BT477" s="147"/>
      <c r="BU477" s="147"/>
      <c r="BV477" s="147"/>
      <c r="BW477" s="147"/>
      <c r="BX477" s="147"/>
      <c r="BY477" s="147"/>
      <c r="BZ477" s="147"/>
      <c r="CA477" s="147"/>
      <c r="CB477" s="147"/>
      <c r="CC477" s="147"/>
      <c r="CD477" s="147"/>
      <c r="CE477" s="147"/>
      <c r="CF477" s="147"/>
      <c r="CG477" s="147"/>
      <c r="CH477" s="147"/>
      <c r="CI477" s="147"/>
      <c r="CJ477" s="147"/>
      <c r="CK477" s="147"/>
    </row>
    <row r="478" spans="1:89">
      <c r="A478" s="159" t="s">
        <v>419</v>
      </c>
      <c r="B478" s="3" t="s">
        <v>420</v>
      </c>
      <c r="C478" s="160" t="s">
        <v>91</v>
      </c>
      <c r="D478" s="160" t="s">
        <v>884</v>
      </c>
      <c r="E478" s="3" t="s">
        <v>22</v>
      </c>
      <c r="F478" s="3" t="s">
        <v>917</v>
      </c>
      <c r="G478" s="3"/>
      <c r="H478" s="156" t="str">
        <f ca="1">IFERROR(
  _xludf.MINIFS(ATTENDANCE_LOG!$F:$F,
         ATTENDANCE_LOG!$A:$A, C478,
         ATTENDANCE_LOG!$B:$B, E478),
"")</f>
        <v/>
      </c>
      <c r="I478" s="156" t="str">
        <f t="shared" ca="1" si="266"/>
        <v/>
      </c>
      <c r="J478" s="3">
        <f>IFERROR(VLOOKUP(F478, LEVEL_HELPER!$A:$B, 2, 0), "")</f>
        <v>3</v>
      </c>
      <c r="K478" s="3" t="str">
        <f>IFERROR(VLOOKUP(G478, LEVEL_HELPER!$A:$B, 2, 0), "")</f>
        <v/>
      </c>
      <c r="L478" s="157" t="s">
        <v>942</v>
      </c>
      <c r="M478" s="157" t="s">
        <v>922</v>
      </c>
      <c r="N478" s="3">
        <f t="array" aca="1" ref="N478" ca="1">IFERROR(
  INDEX($J$2:$J$543,
    MATCH(A478&amp;TEXT(I478,"yyyy-mm-dd"),
          $A$2:$A$543&amp;TEXT($H$2:$H$543,"yyyy-mm-dd"),
          0)),
"")</f>
        <v>1</v>
      </c>
      <c r="O478" s="147" t="str">
        <f t="shared" ca="1" si="267"/>
        <v/>
      </c>
      <c r="P478" s="147">
        <f t="shared" ref="P478:Q478" ca="1" si="494">IF(N478="",0,IF(N478&lt;=2,1,IF(N478&lt;=4,2,IF(N478&lt;=5.5,3,4))))</f>
        <v>1</v>
      </c>
      <c r="Q478" s="147">
        <f t="shared" ca="1" si="494"/>
        <v>0</v>
      </c>
      <c r="R478" s="147" t="str">
        <f t="shared" ca="1" si="269"/>
        <v>Not tested yet</v>
      </c>
      <c r="S478" s="147">
        <f t="shared" si="270"/>
        <v>0</v>
      </c>
      <c r="T478" s="147"/>
      <c r="U478" s="147"/>
      <c r="V478" s="147"/>
      <c r="W478" s="147"/>
      <c r="X478" s="147"/>
      <c r="Y478" s="147"/>
      <c r="Z478" s="147"/>
      <c r="AA478" s="147"/>
      <c r="AB478" s="147"/>
      <c r="AC478" s="147"/>
      <c r="AD478" s="147"/>
      <c r="AE478" s="147"/>
      <c r="AF478" s="147"/>
      <c r="AG478" s="147"/>
      <c r="AH478" s="147"/>
      <c r="AI478" s="147"/>
      <c r="AJ478" s="147"/>
      <c r="AK478" s="147"/>
      <c r="AL478" s="147"/>
      <c r="AM478" s="151"/>
      <c r="AN478" s="147"/>
      <c r="AO478" s="147"/>
      <c r="AP478" s="147"/>
      <c r="AQ478" s="147"/>
      <c r="AR478" s="147"/>
      <c r="AS478" s="147"/>
      <c r="AT478" s="147"/>
      <c r="AU478" s="147"/>
      <c r="AV478" s="147"/>
      <c r="AW478" s="147"/>
      <c r="AX478" s="147"/>
      <c r="AY478" s="147"/>
      <c r="AZ478" s="147"/>
      <c r="BA478" s="147"/>
      <c r="BB478" s="147"/>
      <c r="BC478" s="147"/>
      <c r="BD478" s="147"/>
      <c r="BE478" s="147"/>
      <c r="BF478" s="147"/>
      <c r="BG478" s="147"/>
      <c r="BH478" s="147"/>
      <c r="BI478" s="147"/>
      <c r="BJ478" s="147"/>
      <c r="BK478" s="147"/>
      <c r="BL478" s="147"/>
      <c r="BM478" s="147"/>
      <c r="BN478" s="147"/>
      <c r="BO478" s="147"/>
      <c r="BP478" s="147"/>
      <c r="BQ478" s="147"/>
      <c r="BR478" s="147"/>
      <c r="BS478" s="147"/>
      <c r="BT478" s="147"/>
      <c r="BU478" s="147"/>
      <c r="BV478" s="147"/>
      <c r="BW478" s="147"/>
      <c r="BX478" s="147"/>
      <c r="BY478" s="147"/>
      <c r="BZ478" s="147"/>
      <c r="CA478" s="147"/>
      <c r="CB478" s="147"/>
      <c r="CC478" s="147"/>
      <c r="CD478" s="147"/>
      <c r="CE478" s="147"/>
      <c r="CF478" s="147"/>
      <c r="CG478" s="147"/>
      <c r="CH478" s="147"/>
      <c r="CI478" s="147"/>
      <c r="CJ478" s="147"/>
      <c r="CK478" s="147"/>
    </row>
    <row r="479" spans="1:89">
      <c r="A479" s="159" t="s">
        <v>459</v>
      </c>
      <c r="B479" s="3" t="s">
        <v>460</v>
      </c>
      <c r="C479" s="160" t="s">
        <v>91</v>
      </c>
      <c r="D479" s="160" t="s">
        <v>884</v>
      </c>
      <c r="E479" s="3" t="s">
        <v>22</v>
      </c>
      <c r="F479" s="3" t="s">
        <v>934</v>
      </c>
      <c r="G479" s="3"/>
      <c r="H479" s="156" t="str">
        <f ca="1">IFERROR(
  _xludf.MINIFS(ATTENDANCE_LOG!$F:$F,
         ATTENDANCE_LOG!$A:$A, C479,
         ATTENDANCE_LOG!$B:$B, E479),
"")</f>
        <v/>
      </c>
      <c r="I479" s="156" t="str">
        <f t="shared" ca="1" si="266"/>
        <v/>
      </c>
      <c r="J479" s="3">
        <f>IFERROR(VLOOKUP(F479, LEVEL_HELPER!$A:$B, 2, 0), "")</f>
        <v>3.5</v>
      </c>
      <c r="K479" s="3" t="str">
        <f>IFERROR(VLOOKUP(G479, LEVEL_HELPER!$A:$B, 2, 0), "")</f>
        <v/>
      </c>
      <c r="L479" s="157" t="s">
        <v>930</v>
      </c>
      <c r="M479" s="157" t="s">
        <v>919</v>
      </c>
      <c r="N479" s="3">
        <f t="array" aca="1" ref="N479" ca="1">IFERROR(
  INDEX($J$2:$J$543,
    MATCH(A479&amp;TEXT(I479,"yyyy-mm-dd"),
          $A$2:$A$543&amp;TEXT($H$2:$H$543,"yyyy-mm-dd"),
          0)),
"")</f>
        <v>1</v>
      </c>
      <c r="O479" s="147" t="str">
        <f t="shared" ca="1" si="267"/>
        <v/>
      </c>
      <c r="P479" s="147">
        <f t="shared" ref="P479:Q479" ca="1" si="495">IF(N479="",0,IF(N479&lt;=2,1,IF(N479&lt;=4,2,IF(N479&lt;=5.5,3,4))))</f>
        <v>1</v>
      </c>
      <c r="Q479" s="147">
        <f t="shared" ca="1" si="495"/>
        <v>0</v>
      </c>
      <c r="R479" s="147" t="str">
        <f t="shared" ca="1" si="269"/>
        <v>Not tested yet</v>
      </c>
      <c r="S479" s="147">
        <f t="shared" si="270"/>
        <v>0</v>
      </c>
      <c r="T479" s="147"/>
      <c r="U479" s="147"/>
      <c r="V479" s="147"/>
      <c r="W479" s="147"/>
      <c r="X479" s="147"/>
      <c r="Y479" s="147"/>
      <c r="Z479" s="147"/>
      <c r="AA479" s="147"/>
      <c r="AB479" s="147"/>
      <c r="AC479" s="147"/>
      <c r="AD479" s="147"/>
      <c r="AE479" s="147"/>
      <c r="AF479" s="147"/>
      <c r="AG479" s="147"/>
      <c r="AH479" s="147"/>
      <c r="AI479" s="147"/>
      <c r="AJ479" s="147"/>
      <c r="AK479" s="147"/>
      <c r="AL479" s="147"/>
      <c r="AM479" s="151"/>
      <c r="AN479" s="147"/>
      <c r="AO479" s="147"/>
      <c r="AP479" s="147"/>
      <c r="AQ479" s="147"/>
      <c r="AR479" s="147"/>
      <c r="AS479" s="147"/>
      <c r="AT479" s="147"/>
      <c r="AU479" s="147"/>
      <c r="AV479" s="147"/>
      <c r="AW479" s="147"/>
      <c r="AX479" s="147"/>
      <c r="AY479" s="147"/>
      <c r="AZ479" s="147"/>
      <c r="BA479" s="147"/>
      <c r="BB479" s="147"/>
      <c r="BC479" s="147"/>
      <c r="BD479" s="147"/>
      <c r="BE479" s="147"/>
      <c r="BF479" s="147"/>
      <c r="BG479" s="147"/>
      <c r="BH479" s="147"/>
      <c r="BI479" s="147"/>
      <c r="BJ479" s="147"/>
      <c r="BK479" s="147"/>
      <c r="BL479" s="147"/>
      <c r="BM479" s="147"/>
      <c r="BN479" s="147"/>
      <c r="BO479" s="147"/>
      <c r="BP479" s="147"/>
      <c r="BQ479" s="147"/>
      <c r="BR479" s="147"/>
      <c r="BS479" s="147"/>
      <c r="BT479" s="147"/>
      <c r="BU479" s="147"/>
      <c r="BV479" s="147"/>
      <c r="BW479" s="147"/>
      <c r="BX479" s="147"/>
      <c r="BY479" s="147"/>
      <c r="BZ479" s="147"/>
      <c r="CA479" s="147"/>
      <c r="CB479" s="147"/>
      <c r="CC479" s="147"/>
      <c r="CD479" s="147"/>
      <c r="CE479" s="147"/>
      <c r="CF479" s="147"/>
      <c r="CG479" s="147"/>
      <c r="CH479" s="147"/>
      <c r="CI479" s="147"/>
      <c r="CJ479" s="147"/>
      <c r="CK479" s="147"/>
    </row>
    <row r="480" spans="1:89">
      <c r="A480" s="159" t="s">
        <v>536</v>
      </c>
      <c r="B480" s="3" t="s">
        <v>537</v>
      </c>
      <c r="C480" s="160" t="s">
        <v>91</v>
      </c>
      <c r="D480" s="160" t="s">
        <v>884</v>
      </c>
      <c r="E480" s="3" t="s">
        <v>22</v>
      </c>
      <c r="F480" s="3" t="s">
        <v>934</v>
      </c>
      <c r="G480" s="3"/>
      <c r="H480" s="156" t="str">
        <f ca="1">IFERROR(
  _xludf.MINIFS(ATTENDANCE_LOG!$F:$F,
         ATTENDANCE_LOG!$A:$A, C480,
         ATTENDANCE_LOG!$B:$B, E480),
"")</f>
        <v/>
      </c>
      <c r="I480" s="156" t="str">
        <f t="shared" ca="1" si="266"/>
        <v/>
      </c>
      <c r="J480" s="3">
        <f>IFERROR(VLOOKUP(F480, LEVEL_HELPER!$A:$B, 2, 0), "")</f>
        <v>3.5</v>
      </c>
      <c r="K480" s="3" t="str">
        <f>IFERROR(VLOOKUP(G480, LEVEL_HELPER!$A:$B, 2, 0), "")</f>
        <v/>
      </c>
      <c r="L480" s="157" t="s">
        <v>930</v>
      </c>
      <c r="M480" s="157" t="s">
        <v>919</v>
      </c>
      <c r="N480" s="3">
        <f t="array" aca="1" ref="N480" ca="1">IFERROR(
  INDEX($J$2:$J$543,
    MATCH(A480&amp;TEXT(I480,"yyyy-mm-dd"),
          $A$2:$A$543&amp;TEXT($H$2:$H$543,"yyyy-mm-dd"),
          0)),
"")</f>
        <v>1</v>
      </c>
      <c r="O480" s="147" t="str">
        <f t="shared" ca="1" si="267"/>
        <v/>
      </c>
      <c r="P480" s="147">
        <f t="shared" ref="P480:Q480" ca="1" si="496">IF(N480="",0,IF(N480&lt;=2,1,IF(N480&lt;=4,2,IF(N480&lt;=5.5,3,4))))</f>
        <v>1</v>
      </c>
      <c r="Q480" s="147">
        <f t="shared" ca="1" si="496"/>
        <v>0</v>
      </c>
      <c r="R480" s="147" t="str">
        <f t="shared" ca="1" si="269"/>
        <v>Not tested yet</v>
      </c>
      <c r="S480" s="147">
        <f t="shared" si="270"/>
        <v>0</v>
      </c>
      <c r="T480" s="147"/>
      <c r="U480" s="147"/>
      <c r="V480" s="147"/>
      <c r="W480" s="147"/>
      <c r="X480" s="147"/>
      <c r="Y480" s="147"/>
      <c r="Z480" s="147"/>
      <c r="AA480" s="147"/>
      <c r="AB480" s="147"/>
      <c r="AC480" s="147"/>
      <c r="AD480" s="147"/>
      <c r="AE480" s="147"/>
      <c r="AF480" s="147"/>
      <c r="AG480" s="147"/>
      <c r="AH480" s="147"/>
      <c r="AI480" s="147"/>
      <c r="AJ480" s="147"/>
      <c r="AK480" s="147"/>
      <c r="AL480" s="147"/>
      <c r="AM480" s="151"/>
      <c r="AN480" s="147"/>
      <c r="AO480" s="147"/>
      <c r="AP480" s="147"/>
      <c r="AQ480" s="147"/>
      <c r="AR480" s="147"/>
      <c r="AS480" s="147"/>
      <c r="AT480" s="147"/>
      <c r="AU480" s="147"/>
      <c r="AV480" s="147"/>
      <c r="AW480" s="147"/>
      <c r="AX480" s="147"/>
      <c r="AY480" s="147"/>
      <c r="AZ480" s="147"/>
      <c r="BA480" s="147"/>
      <c r="BB480" s="147"/>
      <c r="BC480" s="147"/>
      <c r="BD480" s="147"/>
      <c r="BE480" s="147"/>
      <c r="BF480" s="147"/>
      <c r="BG480" s="147"/>
      <c r="BH480" s="147"/>
      <c r="BI480" s="147"/>
      <c r="BJ480" s="147"/>
      <c r="BK480" s="147"/>
      <c r="BL480" s="147"/>
      <c r="BM480" s="147"/>
      <c r="BN480" s="147"/>
      <c r="BO480" s="147"/>
      <c r="BP480" s="147"/>
      <c r="BQ480" s="147"/>
      <c r="BR480" s="147"/>
      <c r="BS480" s="147"/>
      <c r="BT480" s="147"/>
      <c r="BU480" s="147"/>
      <c r="BV480" s="147"/>
      <c r="BW480" s="147"/>
      <c r="BX480" s="147"/>
      <c r="BY480" s="147"/>
      <c r="BZ480" s="147"/>
      <c r="CA480" s="147"/>
      <c r="CB480" s="147"/>
      <c r="CC480" s="147"/>
      <c r="CD480" s="147"/>
      <c r="CE480" s="147"/>
      <c r="CF480" s="147"/>
      <c r="CG480" s="147"/>
      <c r="CH480" s="147"/>
      <c r="CI480" s="147"/>
      <c r="CJ480" s="147"/>
      <c r="CK480" s="147"/>
    </row>
    <row r="481" spans="1:89">
      <c r="A481" s="153" t="s">
        <v>405</v>
      </c>
      <c r="B481" s="154" t="s">
        <v>406</v>
      </c>
      <c r="C481" s="155" t="s">
        <v>92</v>
      </c>
      <c r="D481" s="155" t="s">
        <v>885</v>
      </c>
      <c r="E481" s="154" t="s">
        <v>25</v>
      </c>
      <c r="F481" s="154" t="s">
        <v>25</v>
      </c>
      <c r="G481" s="154" t="s">
        <v>25</v>
      </c>
      <c r="H481" s="156" t="str">
        <f ca="1">IFERROR(
  _xludf.MINIFS(ATTENDANCE_LOG!$F:$F,
         ATTENDANCE_LOG!$A:$A, C481,
         ATTENDANCE_LOG!$B:$B, E481),
"")</f>
        <v/>
      </c>
      <c r="I481" s="156" t="str">
        <f t="shared" ca="1" si="266"/>
        <v/>
      </c>
      <c r="J481" s="154">
        <f>IFERROR(VLOOKUP(F481, LEVEL_HELPER!$A:$B, 2, 0), "")</f>
        <v>0.5</v>
      </c>
      <c r="K481" s="154">
        <f>IFERROR(VLOOKUP(G481, LEVEL_HELPER!$A:$B, 2, 0), "")</f>
        <v>0.5</v>
      </c>
      <c r="L481" s="176" t="s">
        <v>930</v>
      </c>
      <c r="M481" s="176" t="s">
        <v>925</v>
      </c>
      <c r="N481" s="3">
        <f t="array" aca="1" ref="N481" ca="1">IFERROR(
  INDEX($J$2:$J$543,
    MATCH(A481&amp;TEXT(I481,"yyyy-mm-dd"),
          $A$2:$A$543&amp;TEXT($H$2:$H$543,"yyyy-mm-dd"),
          0)),
"")</f>
        <v>0.5</v>
      </c>
      <c r="O481" s="177" t="str">
        <f t="shared" ca="1" si="267"/>
        <v/>
      </c>
      <c r="P481" s="147">
        <f t="shared" ref="P481:Q481" ca="1" si="497">IF(N481="",0,IF(N481&lt;=2,1,IF(N481&lt;=4,2,IF(N481&lt;=5.5,3,4))))</f>
        <v>1</v>
      </c>
      <c r="Q481" s="147">
        <f t="shared" ca="1" si="497"/>
        <v>0</v>
      </c>
      <c r="R481" s="147" t="str">
        <f t="shared" ca="1" si="269"/>
        <v>Not tested yet</v>
      </c>
      <c r="S481" s="147">
        <f t="shared" si="270"/>
        <v>1</v>
      </c>
      <c r="T481" s="147"/>
      <c r="U481" s="147"/>
      <c r="V481" s="147"/>
      <c r="W481" s="147"/>
      <c r="X481" s="147"/>
      <c r="Y481" s="147"/>
      <c r="Z481" s="147"/>
      <c r="AA481" s="147"/>
      <c r="AB481" s="147"/>
      <c r="AC481" s="147"/>
      <c r="AD481" s="147"/>
      <c r="AE481" s="147"/>
      <c r="AF481" s="147"/>
      <c r="AG481" s="147"/>
      <c r="AH481" s="147"/>
      <c r="AI481" s="147"/>
      <c r="AJ481" s="147"/>
      <c r="AK481" s="147"/>
      <c r="AL481" s="147"/>
      <c r="AM481" s="151"/>
      <c r="AN481" s="147"/>
      <c r="AO481" s="147"/>
      <c r="AP481" s="147"/>
      <c r="AQ481" s="147"/>
      <c r="AR481" s="147"/>
      <c r="AS481" s="147"/>
      <c r="AT481" s="147"/>
      <c r="AU481" s="147"/>
      <c r="AV481" s="147"/>
      <c r="AW481" s="147"/>
      <c r="AX481" s="147"/>
      <c r="AY481" s="147"/>
      <c r="AZ481" s="147"/>
      <c r="BA481" s="147"/>
      <c r="BB481" s="147"/>
      <c r="BC481" s="147"/>
      <c r="BD481" s="147"/>
      <c r="BE481" s="147"/>
      <c r="BF481" s="147"/>
      <c r="BG481" s="147"/>
      <c r="BH481" s="147"/>
      <c r="BI481" s="147"/>
      <c r="BJ481" s="147"/>
      <c r="BK481" s="147"/>
      <c r="BL481" s="147"/>
      <c r="BM481" s="147"/>
      <c r="BN481" s="147"/>
      <c r="BO481" s="147"/>
      <c r="BP481" s="147"/>
      <c r="BQ481" s="147"/>
      <c r="BR481" s="147"/>
      <c r="BS481" s="147"/>
      <c r="BT481" s="147"/>
      <c r="BU481" s="147"/>
      <c r="BV481" s="147"/>
      <c r="BW481" s="147"/>
      <c r="BX481" s="147"/>
      <c r="BY481" s="147"/>
      <c r="BZ481" s="147"/>
      <c r="CA481" s="147"/>
      <c r="CB481" s="147"/>
      <c r="CC481" s="147"/>
      <c r="CD481" s="147"/>
      <c r="CE481" s="147"/>
      <c r="CF481" s="147"/>
      <c r="CG481" s="147"/>
      <c r="CH481" s="147"/>
      <c r="CI481" s="147"/>
      <c r="CJ481" s="147"/>
      <c r="CK481" s="147"/>
    </row>
    <row r="482" spans="1:89">
      <c r="A482" s="159" t="s">
        <v>153</v>
      </c>
      <c r="B482" s="3" t="s">
        <v>154</v>
      </c>
      <c r="C482" s="160" t="s">
        <v>92</v>
      </c>
      <c r="D482" s="160" t="s">
        <v>885</v>
      </c>
      <c r="E482" s="3" t="s">
        <v>25</v>
      </c>
      <c r="F482" s="3" t="s">
        <v>25</v>
      </c>
      <c r="G482" s="3" t="s">
        <v>25</v>
      </c>
      <c r="H482" s="156" t="str">
        <f ca="1">IFERROR(
  _xludf.MINIFS(ATTENDANCE_LOG!$F:$F,
         ATTENDANCE_LOG!$A:$A, C482,
         ATTENDANCE_LOG!$B:$B, E482),
"")</f>
        <v/>
      </c>
      <c r="I482" s="156" t="str">
        <f t="shared" ca="1" si="266"/>
        <v/>
      </c>
      <c r="J482" s="3">
        <f>IFERROR(VLOOKUP(F482, LEVEL_HELPER!$A:$B, 2, 0), "")</f>
        <v>0.5</v>
      </c>
      <c r="K482" s="3">
        <f>IFERROR(VLOOKUP(G482, LEVEL_HELPER!$A:$B, 2, 0), "")</f>
        <v>0.5</v>
      </c>
      <c r="L482" s="157" t="s">
        <v>942</v>
      </c>
      <c r="M482" s="157" t="s">
        <v>923</v>
      </c>
      <c r="N482" s="3">
        <f t="array" aca="1" ref="N482" ca="1">IFERROR(
  INDEX($J$2:$J$543,
    MATCH(A482&amp;TEXT(I482,"yyyy-mm-dd"),
          $A$2:$A$543&amp;TEXT($H$2:$H$543,"yyyy-mm-dd"),
          0)),
"")</f>
        <v>0.5</v>
      </c>
      <c r="O482" s="147" t="str">
        <f t="shared" ca="1" si="267"/>
        <v/>
      </c>
      <c r="P482" s="147">
        <f t="shared" ref="P482:Q482" ca="1" si="498">IF(N482="",0,IF(N482&lt;=2,1,IF(N482&lt;=4,2,IF(N482&lt;=5.5,3,4))))</f>
        <v>1</v>
      </c>
      <c r="Q482" s="147">
        <f t="shared" ca="1" si="498"/>
        <v>0</v>
      </c>
      <c r="R482" s="147" t="str">
        <f t="shared" ca="1" si="269"/>
        <v>Not tested yet</v>
      </c>
      <c r="S482" s="147">
        <f t="shared" si="270"/>
        <v>0</v>
      </c>
      <c r="T482" s="147"/>
      <c r="U482" s="147"/>
      <c r="V482" s="147"/>
      <c r="W482" s="147"/>
      <c r="X482" s="147"/>
      <c r="Y482" s="147"/>
      <c r="Z482" s="147"/>
      <c r="AA482" s="147"/>
      <c r="AB482" s="147"/>
      <c r="AC482" s="147"/>
      <c r="AD482" s="147"/>
      <c r="AE482" s="147"/>
      <c r="AF482" s="147"/>
      <c r="AG482" s="147"/>
      <c r="AH482" s="147"/>
      <c r="AI482" s="147"/>
      <c r="AJ482" s="147"/>
      <c r="AK482" s="147"/>
      <c r="AL482" s="147"/>
      <c r="AM482" s="151"/>
      <c r="AN482" s="147"/>
      <c r="AO482" s="147"/>
      <c r="AP482" s="147"/>
      <c r="AQ482" s="147"/>
      <c r="AR482" s="147"/>
      <c r="AS482" s="147"/>
      <c r="AT482" s="147"/>
      <c r="AU482" s="147"/>
      <c r="AV482" s="147"/>
      <c r="AW482" s="147"/>
      <c r="AX482" s="147"/>
      <c r="AY482" s="147"/>
      <c r="AZ482" s="147"/>
      <c r="BA482" s="147"/>
      <c r="BB482" s="147"/>
      <c r="BC482" s="147"/>
      <c r="BD482" s="147"/>
      <c r="BE482" s="147"/>
      <c r="BF482" s="147"/>
      <c r="BG482" s="147"/>
      <c r="BH482" s="147"/>
      <c r="BI482" s="147"/>
      <c r="BJ482" s="147"/>
      <c r="BK482" s="147"/>
      <c r="BL482" s="147"/>
      <c r="BM482" s="147"/>
      <c r="BN482" s="147"/>
      <c r="BO482" s="147"/>
      <c r="BP482" s="147"/>
      <c r="BQ482" s="147"/>
      <c r="BR482" s="147"/>
      <c r="BS482" s="147"/>
      <c r="BT482" s="147"/>
      <c r="BU482" s="147"/>
      <c r="BV482" s="147"/>
      <c r="BW482" s="147"/>
      <c r="BX482" s="147"/>
      <c r="BY482" s="147"/>
      <c r="BZ482" s="147"/>
      <c r="CA482" s="147"/>
      <c r="CB482" s="147"/>
      <c r="CC482" s="147"/>
      <c r="CD482" s="147"/>
      <c r="CE482" s="147"/>
      <c r="CF482" s="147"/>
      <c r="CG482" s="147"/>
      <c r="CH482" s="147"/>
      <c r="CI482" s="147"/>
      <c r="CJ482" s="147"/>
      <c r="CK482" s="147"/>
    </row>
    <row r="483" spans="1:89">
      <c r="A483" s="165" t="s">
        <v>269</v>
      </c>
      <c r="B483" s="166" t="s">
        <v>270</v>
      </c>
      <c r="C483" s="167" t="s">
        <v>92</v>
      </c>
      <c r="D483" s="167" t="s">
        <v>885</v>
      </c>
      <c r="E483" s="166" t="s">
        <v>25</v>
      </c>
      <c r="F483" s="166" t="s">
        <v>25</v>
      </c>
      <c r="G483" s="166" t="s">
        <v>926</v>
      </c>
      <c r="H483" s="156" t="str">
        <f ca="1">IFERROR(
  _xludf.MINIFS(ATTENDANCE_LOG!$F:$F,
         ATTENDANCE_LOG!$A:$A, C483,
         ATTENDANCE_LOG!$B:$B, E483),
"")</f>
        <v/>
      </c>
      <c r="I483" s="156" t="str">
        <f t="shared" ca="1" si="266"/>
        <v/>
      </c>
      <c r="J483" s="166">
        <f>IFERROR(VLOOKUP(F483, LEVEL_HELPER!$A:$B, 2, 0), "")</f>
        <v>0.5</v>
      </c>
      <c r="K483" s="166">
        <f>IFERROR(VLOOKUP(G483, LEVEL_HELPER!$A:$B, 2, 0), "")</f>
        <v>1</v>
      </c>
      <c r="L483" s="169" t="s">
        <v>942</v>
      </c>
      <c r="M483" s="169" t="s">
        <v>923</v>
      </c>
      <c r="N483" s="3">
        <f t="array" aca="1" ref="N483" ca="1">IFERROR(
  INDEX($J$2:$J$543,
    MATCH(A483&amp;TEXT(I483,"yyyy-mm-dd"),
          $A$2:$A$543&amp;TEXT($H$2:$H$543,"yyyy-mm-dd"),
          0)),
"")</f>
        <v>0.5</v>
      </c>
      <c r="O483" s="170" t="str">
        <f t="shared" ca="1" si="267"/>
        <v/>
      </c>
      <c r="P483" s="147">
        <f t="shared" ref="P483:Q483" ca="1" si="499">IF(N483="",0,IF(N483&lt;=2,1,IF(N483&lt;=4,2,IF(N483&lt;=5.5,3,4))))</f>
        <v>1</v>
      </c>
      <c r="Q483" s="147">
        <f t="shared" ca="1" si="499"/>
        <v>0</v>
      </c>
      <c r="R483" s="147" t="str">
        <f t="shared" ca="1" si="269"/>
        <v>Not tested yet</v>
      </c>
      <c r="S483" s="147">
        <f t="shared" si="270"/>
        <v>1</v>
      </c>
      <c r="T483" s="147"/>
      <c r="U483" s="147"/>
      <c r="V483" s="147"/>
      <c r="W483" s="147"/>
      <c r="X483" s="147"/>
      <c r="Y483" s="147"/>
      <c r="Z483" s="147"/>
      <c r="AA483" s="147"/>
      <c r="AB483" s="147"/>
      <c r="AC483" s="147"/>
      <c r="AD483" s="147"/>
      <c r="AE483" s="147"/>
      <c r="AF483" s="147"/>
      <c r="AG483" s="147"/>
      <c r="AH483" s="147"/>
      <c r="AI483" s="147"/>
      <c r="AJ483" s="147"/>
      <c r="AK483" s="147"/>
      <c r="AL483" s="147"/>
      <c r="AM483" s="151"/>
      <c r="AN483" s="147"/>
      <c r="AO483" s="147"/>
      <c r="AP483" s="147"/>
      <c r="AQ483" s="147"/>
      <c r="AR483" s="147"/>
      <c r="AS483" s="147"/>
      <c r="AT483" s="147"/>
      <c r="AU483" s="147"/>
      <c r="AV483" s="147"/>
      <c r="AW483" s="147"/>
      <c r="AX483" s="147"/>
      <c r="AY483" s="147"/>
      <c r="AZ483" s="147"/>
      <c r="BA483" s="147"/>
      <c r="BB483" s="147"/>
      <c r="BC483" s="147"/>
      <c r="BD483" s="147"/>
      <c r="BE483" s="147"/>
      <c r="BF483" s="147"/>
      <c r="BG483" s="147"/>
      <c r="BH483" s="147"/>
      <c r="BI483" s="147"/>
      <c r="BJ483" s="147"/>
      <c r="BK483" s="147"/>
      <c r="BL483" s="147"/>
      <c r="BM483" s="147"/>
      <c r="BN483" s="147"/>
      <c r="BO483" s="147"/>
      <c r="BP483" s="147"/>
      <c r="BQ483" s="147"/>
      <c r="BR483" s="147"/>
      <c r="BS483" s="147"/>
      <c r="BT483" s="147"/>
      <c r="BU483" s="147"/>
      <c r="BV483" s="147"/>
      <c r="BW483" s="147"/>
      <c r="BX483" s="147"/>
      <c r="BY483" s="147"/>
      <c r="BZ483" s="147"/>
      <c r="CA483" s="147"/>
      <c r="CB483" s="147"/>
      <c r="CC483" s="147"/>
      <c r="CD483" s="147"/>
      <c r="CE483" s="147"/>
      <c r="CF483" s="147"/>
      <c r="CG483" s="147"/>
      <c r="CH483" s="147"/>
      <c r="CI483" s="147"/>
      <c r="CJ483" s="147"/>
      <c r="CK483" s="147"/>
    </row>
    <row r="484" spans="1:89">
      <c r="A484" s="165" t="s">
        <v>273</v>
      </c>
      <c r="B484" s="166" t="s">
        <v>274</v>
      </c>
      <c r="C484" s="167" t="s">
        <v>92</v>
      </c>
      <c r="D484" s="167" t="s">
        <v>885</v>
      </c>
      <c r="E484" s="166" t="s">
        <v>25</v>
      </c>
      <c r="F484" s="166" t="s">
        <v>25</v>
      </c>
      <c r="G484" s="166" t="s">
        <v>926</v>
      </c>
      <c r="H484" s="156" t="str">
        <f ca="1">IFERROR(
  _xludf.MINIFS(ATTENDANCE_LOG!$F:$F,
         ATTENDANCE_LOG!$A:$A, C484,
         ATTENDANCE_LOG!$B:$B, E484),
"")</f>
        <v/>
      </c>
      <c r="I484" s="156" t="str">
        <f t="shared" ca="1" si="266"/>
        <v/>
      </c>
      <c r="J484" s="166">
        <f>IFERROR(VLOOKUP(F484, LEVEL_HELPER!$A:$B, 2, 0), "")</f>
        <v>0.5</v>
      </c>
      <c r="K484" s="166">
        <f>IFERROR(VLOOKUP(G484, LEVEL_HELPER!$A:$B, 2, 0), "")</f>
        <v>1</v>
      </c>
      <c r="L484" s="169" t="s">
        <v>930</v>
      </c>
      <c r="M484" s="169" t="s">
        <v>922</v>
      </c>
      <c r="N484" s="3">
        <f t="array" aca="1" ref="N484" ca="1">IFERROR(
  INDEX($J$2:$J$543,
    MATCH(A484&amp;TEXT(I484,"yyyy-mm-dd"),
          $A$2:$A$543&amp;TEXT($H$2:$H$543,"yyyy-mm-dd"),
          0)),
"")</f>
        <v>0.5</v>
      </c>
      <c r="O484" s="170" t="str">
        <f t="shared" ca="1" si="267"/>
        <v/>
      </c>
      <c r="P484" s="147">
        <f t="shared" ref="P484:Q484" ca="1" si="500">IF(N484="",0,IF(N484&lt;=2,1,IF(N484&lt;=4,2,IF(N484&lt;=5.5,3,4))))</f>
        <v>1</v>
      </c>
      <c r="Q484" s="147">
        <f t="shared" ca="1" si="500"/>
        <v>0</v>
      </c>
      <c r="R484" s="147" t="str">
        <f t="shared" ca="1" si="269"/>
        <v>Not tested yet</v>
      </c>
      <c r="S484" s="147">
        <f t="shared" si="270"/>
        <v>0</v>
      </c>
      <c r="T484" s="147"/>
      <c r="U484" s="147"/>
      <c r="V484" s="147"/>
      <c r="W484" s="147"/>
      <c r="X484" s="147"/>
      <c r="Y484" s="147"/>
      <c r="Z484" s="147"/>
      <c r="AA484" s="147"/>
      <c r="AB484" s="147"/>
      <c r="AC484" s="147"/>
      <c r="AD484" s="147"/>
      <c r="AE484" s="147"/>
      <c r="AF484" s="147"/>
      <c r="AG484" s="147"/>
      <c r="AH484" s="147"/>
      <c r="AI484" s="147"/>
      <c r="AJ484" s="147"/>
      <c r="AK484" s="147"/>
      <c r="AL484" s="147"/>
      <c r="AM484" s="151"/>
      <c r="AN484" s="147"/>
      <c r="AO484" s="147"/>
      <c r="AP484" s="147"/>
      <c r="AQ484" s="147"/>
      <c r="AR484" s="147"/>
      <c r="AS484" s="147"/>
      <c r="AT484" s="147"/>
      <c r="AU484" s="147"/>
      <c r="AV484" s="147"/>
      <c r="AW484" s="147"/>
      <c r="AX484" s="147"/>
      <c r="AY484" s="147"/>
      <c r="AZ484" s="147"/>
      <c r="BA484" s="147"/>
      <c r="BB484" s="147"/>
      <c r="BC484" s="147"/>
      <c r="BD484" s="147"/>
      <c r="BE484" s="147"/>
      <c r="BF484" s="147"/>
      <c r="BG484" s="147"/>
      <c r="BH484" s="147"/>
      <c r="BI484" s="147"/>
      <c r="BJ484" s="147"/>
      <c r="BK484" s="147"/>
      <c r="BL484" s="147"/>
      <c r="BM484" s="147"/>
      <c r="BN484" s="147"/>
      <c r="BO484" s="147"/>
      <c r="BP484" s="147"/>
      <c r="BQ484" s="147"/>
      <c r="BR484" s="147"/>
      <c r="BS484" s="147"/>
      <c r="BT484" s="147"/>
      <c r="BU484" s="147"/>
      <c r="BV484" s="147"/>
      <c r="BW484" s="147"/>
      <c r="BX484" s="147"/>
      <c r="BY484" s="147"/>
      <c r="BZ484" s="147"/>
      <c r="CA484" s="147"/>
      <c r="CB484" s="147"/>
      <c r="CC484" s="147"/>
      <c r="CD484" s="147"/>
      <c r="CE484" s="147"/>
      <c r="CF484" s="147"/>
      <c r="CG484" s="147"/>
      <c r="CH484" s="147"/>
      <c r="CI484" s="147"/>
      <c r="CJ484" s="147"/>
      <c r="CK484" s="147"/>
    </row>
    <row r="485" spans="1:89">
      <c r="A485" s="165" t="s">
        <v>302</v>
      </c>
      <c r="B485" s="166" t="s">
        <v>303</v>
      </c>
      <c r="C485" s="167" t="s">
        <v>92</v>
      </c>
      <c r="D485" s="167" t="s">
        <v>885</v>
      </c>
      <c r="E485" s="166" t="s">
        <v>25</v>
      </c>
      <c r="F485" s="166" t="s">
        <v>25</v>
      </c>
      <c r="G485" s="166" t="s">
        <v>25</v>
      </c>
      <c r="H485" s="156" t="str">
        <f ca="1">IFERROR(
  _xludf.MINIFS(ATTENDANCE_LOG!$F:$F,
         ATTENDANCE_LOG!$A:$A, C485,
         ATTENDANCE_LOG!$B:$B, E485),
"")</f>
        <v/>
      </c>
      <c r="I485" s="156" t="str">
        <f t="shared" ca="1" si="266"/>
        <v/>
      </c>
      <c r="J485" s="166">
        <f>IFERROR(VLOOKUP(F485, LEVEL_HELPER!$A:$B, 2, 0), "")</f>
        <v>0.5</v>
      </c>
      <c r="K485" s="166">
        <f>IFERROR(VLOOKUP(G485, LEVEL_HELPER!$A:$B, 2, 0), "")</f>
        <v>0.5</v>
      </c>
      <c r="L485" s="169" t="s">
        <v>946</v>
      </c>
      <c r="M485" s="169" t="s">
        <v>922</v>
      </c>
      <c r="N485" s="3">
        <f t="array" aca="1" ref="N485" ca="1">IFERROR(
  INDEX($J$2:$J$543,
    MATCH(A485&amp;TEXT(I485,"yyyy-mm-dd"),
          $A$2:$A$543&amp;TEXT($H$2:$H$543,"yyyy-mm-dd"),
          0)),
"")</f>
        <v>0.5</v>
      </c>
      <c r="O485" s="170" t="str">
        <f t="shared" ca="1" si="267"/>
        <v/>
      </c>
      <c r="P485" s="147">
        <f t="shared" ref="P485:Q485" ca="1" si="501">IF(N485="",0,IF(N485&lt;=2,1,IF(N485&lt;=4,2,IF(N485&lt;=5.5,3,4))))</f>
        <v>1</v>
      </c>
      <c r="Q485" s="147">
        <f t="shared" ca="1" si="501"/>
        <v>0</v>
      </c>
      <c r="R485" s="147" t="str">
        <f t="shared" ca="1" si="269"/>
        <v>Not tested yet</v>
      </c>
      <c r="S485" s="147">
        <f t="shared" si="270"/>
        <v>0</v>
      </c>
      <c r="T485" s="147"/>
      <c r="U485" s="147"/>
      <c r="V485" s="147"/>
      <c r="W485" s="147"/>
      <c r="X485" s="147"/>
      <c r="Y485" s="147"/>
      <c r="Z485" s="147"/>
      <c r="AA485" s="147"/>
      <c r="AB485" s="147"/>
      <c r="AC485" s="147"/>
      <c r="AD485" s="147"/>
      <c r="AE485" s="147"/>
      <c r="AF485" s="147"/>
      <c r="AG485" s="147"/>
      <c r="AH485" s="147"/>
      <c r="AI485" s="147"/>
      <c r="AJ485" s="147"/>
      <c r="AK485" s="147"/>
      <c r="AL485" s="147"/>
      <c r="AM485" s="151"/>
      <c r="AN485" s="147"/>
      <c r="AO485" s="147"/>
      <c r="AP485" s="147"/>
      <c r="AQ485" s="147"/>
      <c r="AR485" s="147"/>
      <c r="AS485" s="147"/>
      <c r="AT485" s="147"/>
      <c r="AU485" s="147"/>
      <c r="AV485" s="147"/>
      <c r="AW485" s="147"/>
      <c r="AX485" s="147"/>
      <c r="AY485" s="147"/>
      <c r="AZ485" s="147"/>
      <c r="BA485" s="147"/>
      <c r="BB485" s="147"/>
      <c r="BC485" s="147"/>
      <c r="BD485" s="147"/>
      <c r="BE485" s="147"/>
      <c r="BF485" s="147"/>
      <c r="BG485" s="147"/>
      <c r="BH485" s="147"/>
      <c r="BI485" s="147"/>
      <c r="BJ485" s="147"/>
      <c r="BK485" s="147"/>
      <c r="BL485" s="147"/>
      <c r="BM485" s="147"/>
      <c r="BN485" s="147"/>
      <c r="BO485" s="147"/>
      <c r="BP485" s="147"/>
      <c r="BQ485" s="147"/>
      <c r="BR485" s="147"/>
      <c r="BS485" s="147"/>
      <c r="BT485" s="147"/>
      <c r="BU485" s="147"/>
      <c r="BV485" s="147"/>
      <c r="BW485" s="147"/>
      <c r="BX485" s="147"/>
      <c r="BY485" s="147"/>
      <c r="BZ485" s="147"/>
      <c r="CA485" s="147"/>
      <c r="CB485" s="147"/>
      <c r="CC485" s="147"/>
      <c r="CD485" s="147"/>
      <c r="CE485" s="147"/>
      <c r="CF485" s="147"/>
      <c r="CG485" s="147"/>
      <c r="CH485" s="147"/>
      <c r="CI485" s="147"/>
      <c r="CJ485" s="147"/>
      <c r="CK485" s="147"/>
    </row>
    <row r="486" spans="1:89">
      <c r="A486" s="165" t="s">
        <v>361</v>
      </c>
      <c r="B486" s="166" t="s">
        <v>362</v>
      </c>
      <c r="C486" s="167" t="s">
        <v>92</v>
      </c>
      <c r="D486" s="167" t="s">
        <v>885</v>
      </c>
      <c r="E486" s="166" t="s">
        <v>25</v>
      </c>
      <c r="F486" s="166" t="s">
        <v>25</v>
      </c>
      <c r="G486" s="166" t="s">
        <v>25</v>
      </c>
      <c r="H486" s="156" t="str">
        <f ca="1">IFERROR(
  _xludf.MINIFS(ATTENDANCE_LOG!$F:$F,
         ATTENDANCE_LOG!$A:$A, C486,
         ATTENDANCE_LOG!$B:$B, E486),
"")</f>
        <v/>
      </c>
      <c r="I486" s="156" t="str">
        <f t="shared" ca="1" si="266"/>
        <v/>
      </c>
      <c r="J486" s="166">
        <f>IFERROR(VLOOKUP(F486, LEVEL_HELPER!$A:$B, 2, 0), "")</f>
        <v>0.5</v>
      </c>
      <c r="K486" s="166">
        <f>IFERROR(VLOOKUP(G486, LEVEL_HELPER!$A:$B, 2, 0), "")</f>
        <v>0.5</v>
      </c>
      <c r="L486" s="169" t="s">
        <v>930</v>
      </c>
      <c r="M486" s="169" t="s">
        <v>919</v>
      </c>
      <c r="N486" s="3">
        <f t="array" aca="1" ref="N486" ca="1">IFERROR(
  INDEX($J$2:$J$543,
    MATCH(A486&amp;TEXT(I486,"yyyy-mm-dd"),
          $A$2:$A$543&amp;TEXT($H$2:$H$543,"yyyy-mm-dd"),
          0)),
"")</f>
        <v>0.5</v>
      </c>
      <c r="O486" s="170" t="str">
        <f t="shared" ca="1" si="267"/>
        <v/>
      </c>
      <c r="P486" s="147">
        <f t="shared" ref="P486:Q486" ca="1" si="502">IF(N486="",0,IF(N486&lt;=2,1,IF(N486&lt;=4,2,IF(N486&lt;=5.5,3,4))))</f>
        <v>1</v>
      </c>
      <c r="Q486" s="147">
        <f t="shared" ca="1" si="502"/>
        <v>0</v>
      </c>
      <c r="R486" s="147" t="str">
        <f t="shared" ca="1" si="269"/>
        <v>Not tested yet</v>
      </c>
      <c r="S486" s="147">
        <f t="shared" si="270"/>
        <v>1</v>
      </c>
      <c r="T486" s="147"/>
      <c r="U486" s="147"/>
      <c r="V486" s="147"/>
      <c r="W486" s="147"/>
      <c r="X486" s="147"/>
      <c r="Y486" s="147"/>
      <c r="Z486" s="147"/>
      <c r="AA486" s="147"/>
      <c r="AB486" s="147"/>
      <c r="AC486" s="147"/>
      <c r="AD486" s="147"/>
      <c r="AE486" s="147"/>
      <c r="AF486" s="147"/>
      <c r="AG486" s="147"/>
      <c r="AH486" s="147"/>
      <c r="AI486" s="147"/>
      <c r="AJ486" s="147"/>
      <c r="AK486" s="147"/>
      <c r="AL486" s="147"/>
      <c r="AM486" s="151"/>
      <c r="AN486" s="147"/>
      <c r="AO486" s="147"/>
      <c r="AP486" s="147"/>
      <c r="AQ486" s="147"/>
      <c r="AR486" s="147"/>
      <c r="AS486" s="147"/>
      <c r="AT486" s="147"/>
      <c r="AU486" s="147"/>
      <c r="AV486" s="147"/>
      <c r="AW486" s="147"/>
      <c r="AX486" s="147"/>
      <c r="AY486" s="147"/>
      <c r="AZ486" s="147"/>
      <c r="BA486" s="147"/>
      <c r="BB486" s="147"/>
      <c r="BC486" s="147"/>
      <c r="BD486" s="147"/>
      <c r="BE486" s="147"/>
      <c r="BF486" s="147"/>
      <c r="BG486" s="147"/>
      <c r="BH486" s="147"/>
      <c r="BI486" s="147"/>
      <c r="BJ486" s="147"/>
      <c r="BK486" s="147"/>
      <c r="BL486" s="147"/>
      <c r="BM486" s="147"/>
      <c r="BN486" s="147"/>
      <c r="BO486" s="147"/>
      <c r="BP486" s="147"/>
      <c r="BQ486" s="147"/>
      <c r="BR486" s="147"/>
      <c r="BS486" s="147"/>
      <c r="BT486" s="147"/>
      <c r="BU486" s="147"/>
      <c r="BV486" s="147"/>
      <c r="BW486" s="147"/>
      <c r="BX486" s="147"/>
      <c r="BY486" s="147"/>
      <c r="BZ486" s="147"/>
      <c r="CA486" s="147"/>
      <c r="CB486" s="147"/>
      <c r="CC486" s="147"/>
      <c r="CD486" s="147"/>
      <c r="CE486" s="147"/>
      <c r="CF486" s="147"/>
      <c r="CG486" s="147"/>
      <c r="CH486" s="147"/>
      <c r="CI486" s="147"/>
      <c r="CJ486" s="147"/>
      <c r="CK486" s="147"/>
    </row>
    <row r="487" spans="1:89">
      <c r="A487" s="165" t="s">
        <v>385</v>
      </c>
      <c r="B487" s="166" t="s">
        <v>386</v>
      </c>
      <c r="C487" s="167" t="s">
        <v>92</v>
      </c>
      <c r="D487" s="167" t="s">
        <v>885</v>
      </c>
      <c r="E487" s="166" t="s">
        <v>25</v>
      </c>
      <c r="F487" s="166" t="s">
        <v>25</v>
      </c>
      <c r="G487" s="166" t="s">
        <v>25</v>
      </c>
      <c r="H487" s="156" t="str">
        <f ca="1">IFERROR(
  _xludf.MINIFS(ATTENDANCE_LOG!$F:$F,
         ATTENDANCE_LOG!$A:$A, C487,
         ATTENDANCE_LOG!$B:$B, E487),
"")</f>
        <v/>
      </c>
      <c r="I487" s="156" t="str">
        <f t="shared" ca="1" si="266"/>
        <v/>
      </c>
      <c r="J487" s="166">
        <f>IFERROR(VLOOKUP(F487, LEVEL_HELPER!$A:$B, 2, 0), "")</f>
        <v>0.5</v>
      </c>
      <c r="K487" s="166">
        <f>IFERROR(VLOOKUP(G487, LEVEL_HELPER!$A:$B, 2, 0), "")</f>
        <v>0.5</v>
      </c>
      <c r="L487" s="169" t="s">
        <v>930</v>
      </c>
      <c r="M487" s="169" t="s">
        <v>922</v>
      </c>
      <c r="N487" s="3">
        <f t="array" aca="1" ref="N487" ca="1">IFERROR(
  INDEX($J$2:$J$543,
    MATCH(A487&amp;TEXT(I487,"yyyy-mm-dd"),
          $A$2:$A$543&amp;TEXT($H$2:$H$543,"yyyy-mm-dd"),
          0)),
"")</f>
        <v>0.5</v>
      </c>
      <c r="O487" s="170" t="str">
        <f t="shared" ca="1" si="267"/>
        <v/>
      </c>
      <c r="P487" s="147">
        <f t="shared" ref="P487:Q487" ca="1" si="503">IF(N487="",0,IF(N487&lt;=2,1,IF(N487&lt;=4,2,IF(N487&lt;=5.5,3,4))))</f>
        <v>1</v>
      </c>
      <c r="Q487" s="147">
        <f t="shared" ca="1" si="503"/>
        <v>0</v>
      </c>
      <c r="R487" s="147" t="str">
        <f t="shared" ca="1" si="269"/>
        <v>Not tested yet</v>
      </c>
      <c r="S487" s="147">
        <f t="shared" si="270"/>
        <v>1</v>
      </c>
      <c r="T487" s="147"/>
      <c r="U487" s="147"/>
      <c r="V487" s="147"/>
      <c r="W487" s="147"/>
      <c r="X487" s="147"/>
      <c r="Y487" s="147"/>
      <c r="Z487" s="147"/>
      <c r="AA487" s="147"/>
      <c r="AB487" s="147"/>
      <c r="AC487" s="147"/>
      <c r="AD487" s="147"/>
      <c r="AE487" s="147"/>
      <c r="AF487" s="147"/>
      <c r="AG487" s="147"/>
      <c r="AH487" s="147"/>
      <c r="AI487" s="147"/>
      <c r="AJ487" s="147"/>
      <c r="AK487" s="147"/>
      <c r="AL487" s="147"/>
      <c r="AM487" s="151"/>
      <c r="AN487" s="147"/>
      <c r="AO487" s="147"/>
      <c r="AP487" s="147"/>
      <c r="AQ487" s="147"/>
      <c r="AR487" s="147"/>
      <c r="AS487" s="147"/>
      <c r="AT487" s="147"/>
      <c r="AU487" s="147"/>
      <c r="AV487" s="147"/>
      <c r="AW487" s="147"/>
      <c r="AX487" s="147"/>
      <c r="AY487" s="147"/>
      <c r="AZ487" s="147"/>
      <c r="BA487" s="147"/>
      <c r="BB487" s="147"/>
      <c r="BC487" s="147"/>
      <c r="BD487" s="147"/>
      <c r="BE487" s="147"/>
      <c r="BF487" s="147"/>
      <c r="BG487" s="147"/>
      <c r="BH487" s="147"/>
      <c r="BI487" s="147"/>
      <c r="BJ487" s="147"/>
      <c r="BK487" s="147"/>
      <c r="BL487" s="147"/>
      <c r="BM487" s="147"/>
      <c r="BN487" s="147"/>
      <c r="BO487" s="147"/>
      <c r="BP487" s="147"/>
      <c r="BQ487" s="147"/>
      <c r="BR487" s="147"/>
      <c r="BS487" s="147"/>
      <c r="BT487" s="147"/>
      <c r="BU487" s="147"/>
      <c r="BV487" s="147"/>
      <c r="BW487" s="147"/>
      <c r="BX487" s="147"/>
      <c r="BY487" s="147"/>
      <c r="BZ487" s="147"/>
      <c r="CA487" s="147"/>
      <c r="CB487" s="147"/>
      <c r="CC487" s="147"/>
      <c r="CD487" s="147"/>
      <c r="CE487" s="147"/>
      <c r="CF487" s="147"/>
      <c r="CG487" s="147"/>
      <c r="CH487" s="147"/>
      <c r="CI487" s="147"/>
      <c r="CJ487" s="147"/>
      <c r="CK487" s="147"/>
    </row>
    <row r="488" spans="1:89">
      <c r="A488" s="165" t="s">
        <v>470</v>
      </c>
      <c r="B488" s="166" t="s">
        <v>471</v>
      </c>
      <c r="C488" s="167" t="s">
        <v>92</v>
      </c>
      <c r="D488" s="167" t="s">
        <v>885</v>
      </c>
      <c r="E488" s="166" t="s">
        <v>25</v>
      </c>
      <c r="F488" s="166" t="s">
        <v>25</v>
      </c>
      <c r="G488" s="166" t="s">
        <v>926</v>
      </c>
      <c r="H488" s="156" t="str">
        <f ca="1">IFERROR(
  _xludf.MINIFS(ATTENDANCE_LOG!$F:$F,
         ATTENDANCE_LOG!$A:$A, C488,
         ATTENDANCE_LOG!$B:$B, E488),
"")</f>
        <v/>
      </c>
      <c r="I488" s="156" t="str">
        <f t="shared" ca="1" si="266"/>
        <v/>
      </c>
      <c r="J488" s="166">
        <f>IFERROR(VLOOKUP(F488, LEVEL_HELPER!$A:$B, 2, 0), "")</f>
        <v>0.5</v>
      </c>
      <c r="K488" s="166">
        <f>IFERROR(VLOOKUP(G488, LEVEL_HELPER!$A:$B, 2, 0), "")</f>
        <v>1</v>
      </c>
      <c r="L488" s="169" t="s">
        <v>930</v>
      </c>
      <c r="M488" s="169" t="s">
        <v>925</v>
      </c>
      <c r="N488" s="3">
        <f t="array" aca="1" ref="N488" ca="1">IFERROR(
  INDEX($J$2:$J$543,
    MATCH(A488&amp;TEXT(I488,"yyyy-mm-dd"),
          $A$2:$A$543&amp;TEXT($H$2:$H$543,"yyyy-mm-dd"),
          0)),
"")</f>
        <v>0.5</v>
      </c>
      <c r="O488" s="170" t="str">
        <f t="shared" ca="1" si="267"/>
        <v/>
      </c>
      <c r="P488" s="147">
        <f t="shared" ref="P488:Q488" ca="1" si="504">IF(N488="",0,IF(N488&lt;=2,1,IF(N488&lt;=4,2,IF(N488&lt;=5.5,3,4))))</f>
        <v>1</v>
      </c>
      <c r="Q488" s="147">
        <f t="shared" ca="1" si="504"/>
        <v>0</v>
      </c>
      <c r="R488" s="147" t="str">
        <f t="shared" ca="1" si="269"/>
        <v>Not tested yet</v>
      </c>
      <c r="S488" s="147">
        <f t="shared" si="270"/>
        <v>1</v>
      </c>
      <c r="T488" s="147"/>
      <c r="U488" s="147"/>
      <c r="V488" s="147"/>
      <c r="W488" s="147"/>
      <c r="X488" s="147"/>
      <c r="Y488" s="147"/>
      <c r="Z488" s="147"/>
      <c r="AA488" s="147"/>
      <c r="AB488" s="147"/>
      <c r="AC488" s="147"/>
      <c r="AD488" s="147"/>
      <c r="AE488" s="147"/>
      <c r="AF488" s="147"/>
      <c r="AG488" s="147"/>
      <c r="AH488" s="147"/>
      <c r="AI488" s="147"/>
      <c r="AJ488" s="147"/>
      <c r="AK488" s="147"/>
      <c r="AL488" s="147"/>
      <c r="AM488" s="151"/>
      <c r="AN488" s="147"/>
      <c r="AO488" s="147"/>
      <c r="AP488" s="147"/>
      <c r="AQ488" s="147"/>
      <c r="AR488" s="147"/>
      <c r="AS488" s="147"/>
      <c r="AT488" s="147"/>
      <c r="AU488" s="147"/>
      <c r="AV488" s="147"/>
      <c r="AW488" s="147"/>
      <c r="AX488" s="147"/>
      <c r="AY488" s="147"/>
      <c r="AZ488" s="147"/>
      <c r="BA488" s="147"/>
      <c r="BB488" s="147"/>
      <c r="BC488" s="147"/>
      <c r="BD488" s="147"/>
      <c r="BE488" s="147"/>
      <c r="BF488" s="147"/>
      <c r="BG488" s="147"/>
      <c r="BH488" s="147"/>
      <c r="BI488" s="147"/>
      <c r="BJ488" s="147"/>
      <c r="BK488" s="147"/>
      <c r="BL488" s="147"/>
      <c r="BM488" s="147"/>
      <c r="BN488" s="147"/>
      <c r="BO488" s="147"/>
      <c r="BP488" s="147"/>
      <c r="BQ488" s="147"/>
      <c r="BR488" s="147"/>
      <c r="BS488" s="147"/>
      <c r="BT488" s="147"/>
      <c r="BU488" s="147"/>
      <c r="BV488" s="147"/>
      <c r="BW488" s="147"/>
      <c r="BX488" s="147"/>
      <c r="BY488" s="147"/>
      <c r="BZ488" s="147"/>
      <c r="CA488" s="147"/>
      <c r="CB488" s="147"/>
      <c r="CC488" s="147"/>
      <c r="CD488" s="147"/>
      <c r="CE488" s="147"/>
      <c r="CF488" s="147"/>
      <c r="CG488" s="147"/>
      <c r="CH488" s="147"/>
      <c r="CI488" s="147"/>
      <c r="CJ488" s="147"/>
      <c r="CK488" s="147"/>
    </row>
    <row r="489" spans="1:89">
      <c r="A489" s="165" t="s">
        <v>532</v>
      </c>
      <c r="B489" s="166" t="s">
        <v>533</v>
      </c>
      <c r="C489" s="167" t="s">
        <v>92</v>
      </c>
      <c r="D489" s="167" t="s">
        <v>885</v>
      </c>
      <c r="E489" s="166" t="s">
        <v>25</v>
      </c>
      <c r="F489" s="166" t="s">
        <v>25</v>
      </c>
      <c r="G489" s="166" t="s">
        <v>25</v>
      </c>
      <c r="H489" s="156" t="str">
        <f ca="1">IFERROR(
  _xludf.MINIFS(ATTENDANCE_LOG!$F:$F,
         ATTENDANCE_LOG!$A:$A, C489,
         ATTENDANCE_LOG!$B:$B, E489),
"")</f>
        <v/>
      </c>
      <c r="I489" s="156" t="str">
        <f t="shared" ca="1" si="266"/>
        <v/>
      </c>
      <c r="J489" s="166">
        <f>IFERROR(VLOOKUP(F489, LEVEL_HELPER!$A:$B, 2, 0), "")</f>
        <v>0.5</v>
      </c>
      <c r="K489" s="166">
        <f>IFERROR(VLOOKUP(G489, LEVEL_HELPER!$A:$B, 2, 0), "")</f>
        <v>0.5</v>
      </c>
      <c r="L489" s="169" t="s">
        <v>930</v>
      </c>
      <c r="M489" s="169" t="s">
        <v>925</v>
      </c>
      <c r="N489" s="3">
        <f t="array" aca="1" ref="N489" ca="1">IFERROR(
  INDEX($J$2:$J$543,
    MATCH(A489&amp;TEXT(I489,"yyyy-mm-dd"),
          $A$2:$A$543&amp;TEXT($H$2:$H$543,"yyyy-mm-dd"),
          0)),
"")</f>
        <v>0.5</v>
      </c>
      <c r="O489" s="170" t="str">
        <f t="shared" ca="1" si="267"/>
        <v/>
      </c>
      <c r="P489" s="147">
        <f t="shared" ref="P489:Q489" ca="1" si="505">IF(N489="",0,IF(N489&lt;=2,1,IF(N489&lt;=4,2,IF(N489&lt;=5.5,3,4))))</f>
        <v>1</v>
      </c>
      <c r="Q489" s="147">
        <f t="shared" ca="1" si="505"/>
        <v>0</v>
      </c>
      <c r="R489" s="147" t="str">
        <f t="shared" ca="1" si="269"/>
        <v>Not tested yet</v>
      </c>
      <c r="S489" s="147">
        <f t="shared" si="270"/>
        <v>1</v>
      </c>
      <c r="T489" s="147"/>
      <c r="U489" s="147"/>
      <c r="V489" s="147"/>
      <c r="W489" s="147"/>
      <c r="X489" s="147"/>
      <c r="Y489" s="147"/>
      <c r="Z489" s="147"/>
      <c r="AA489" s="147"/>
      <c r="AB489" s="147"/>
      <c r="AC489" s="147"/>
      <c r="AD489" s="147"/>
      <c r="AE489" s="147"/>
      <c r="AF489" s="147"/>
      <c r="AG489" s="147"/>
      <c r="AH489" s="147"/>
      <c r="AI489" s="147"/>
      <c r="AJ489" s="147"/>
      <c r="AK489" s="147"/>
      <c r="AL489" s="147"/>
      <c r="AM489" s="151"/>
      <c r="AN489" s="147"/>
      <c r="AO489" s="147"/>
      <c r="AP489" s="147"/>
      <c r="AQ489" s="147"/>
      <c r="AR489" s="147"/>
      <c r="AS489" s="147"/>
      <c r="AT489" s="147"/>
      <c r="AU489" s="147"/>
      <c r="AV489" s="147"/>
      <c r="AW489" s="147"/>
      <c r="AX489" s="147"/>
      <c r="AY489" s="147"/>
      <c r="AZ489" s="147"/>
      <c r="BA489" s="147"/>
      <c r="BB489" s="147"/>
      <c r="BC489" s="147"/>
      <c r="BD489" s="147"/>
      <c r="BE489" s="147"/>
      <c r="BF489" s="147"/>
      <c r="BG489" s="147"/>
      <c r="BH489" s="147"/>
      <c r="BI489" s="147"/>
      <c r="BJ489" s="147"/>
      <c r="BK489" s="147"/>
      <c r="BL489" s="147"/>
      <c r="BM489" s="147"/>
      <c r="BN489" s="147"/>
      <c r="BO489" s="147"/>
      <c r="BP489" s="147"/>
      <c r="BQ489" s="147"/>
      <c r="BR489" s="147"/>
      <c r="BS489" s="147"/>
      <c r="BT489" s="147"/>
      <c r="BU489" s="147"/>
      <c r="BV489" s="147"/>
      <c r="BW489" s="147"/>
      <c r="BX489" s="147"/>
      <c r="BY489" s="147"/>
      <c r="BZ489" s="147"/>
      <c r="CA489" s="147"/>
      <c r="CB489" s="147"/>
      <c r="CC489" s="147"/>
      <c r="CD489" s="147"/>
      <c r="CE489" s="147"/>
      <c r="CF489" s="147"/>
      <c r="CG489" s="147"/>
      <c r="CH489" s="147"/>
      <c r="CI489" s="147"/>
      <c r="CJ489" s="147"/>
      <c r="CK489" s="147"/>
    </row>
    <row r="490" spans="1:89">
      <c r="A490" s="178" t="s">
        <v>502</v>
      </c>
      <c r="B490" s="179" t="s">
        <v>503</v>
      </c>
      <c r="C490" s="180" t="s">
        <v>93</v>
      </c>
      <c r="D490" s="180" t="s">
        <v>886</v>
      </c>
      <c r="E490" s="179" t="s">
        <v>21</v>
      </c>
      <c r="F490" s="179" t="s">
        <v>917</v>
      </c>
      <c r="G490" s="179"/>
      <c r="H490" s="156" t="str">
        <f ca="1">IFERROR(
  _xludf.MINIFS(ATTENDANCE_LOG!$F:$F,
         ATTENDANCE_LOG!$A:$A, C490,
         ATTENDANCE_LOG!$B:$B, E490),
"")</f>
        <v/>
      </c>
      <c r="I490" s="156" t="str">
        <f t="shared" ca="1" si="266"/>
        <v/>
      </c>
      <c r="J490" s="179">
        <f>IFERROR(VLOOKUP(F490, LEVEL_HELPER!$A:$B, 2, 0), "")</f>
        <v>3</v>
      </c>
      <c r="K490" s="166" t="str">
        <f>IFERROR(VLOOKUP(G490, LEVEL_HELPER!$A:$B, 2, 0), "")</f>
        <v/>
      </c>
      <c r="L490" s="181" t="s">
        <v>930</v>
      </c>
      <c r="M490" s="181" t="s">
        <v>922</v>
      </c>
      <c r="N490" s="3">
        <f t="array" aca="1" ref="N490" ca="1">IFERROR(
  INDEX($J$2:$J$543,
    MATCH(A490&amp;TEXT(I490,"yyyy-mm-dd"),
          $A$2:$A$543&amp;TEXT($H$2:$H$543,"yyyy-mm-dd"),
          0)),
"")</f>
        <v>3</v>
      </c>
      <c r="O490" s="182" t="str">
        <f t="shared" ca="1" si="267"/>
        <v/>
      </c>
      <c r="P490" s="147">
        <f t="shared" ref="P490:Q490" ca="1" si="506">IF(N490="",0,IF(N490&lt;=2,1,IF(N490&lt;=4,2,IF(N490&lt;=5.5,3,4))))</f>
        <v>2</v>
      </c>
      <c r="Q490" s="147">
        <f t="shared" ca="1" si="506"/>
        <v>0</v>
      </c>
      <c r="R490" s="147" t="str">
        <f t="shared" ca="1" si="269"/>
        <v>Not tested yet</v>
      </c>
      <c r="S490" s="147">
        <f t="shared" si="270"/>
        <v>1</v>
      </c>
      <c r="T490" s="147"/>
      <c r="U490" s="147"/>
      <c r="V490" s="147"/>
      <c r="W490" s="147"/>
      <c r="X490" s="147"/>
      <c r="Y490" s="147"/>
      <c r="Z490" s="147"/>
      <c r="AA490" s="147"/>
      <c r="AB490" s="147"/>
      <c r="AC490" s="147"/>
      <c r="AD490" s="147"/>
      <c r="AE490" s="147"/>
      <c r="AF490" s="147"/>
      <c r="AG490" s="147"/>
      <c r="AH490" s="147"/>
      <c r="AI490" s="147"/>
      <c r="AJ490" s="147"/>
      <c r="AK490" s="147"/>
      <c r="AL490" s="147"/>
      <c r="AM490" s="151"/>
      <c r="AN490" s="147"/>
      <c r="AO490" s="147"/>
      <c r="AP490" s="147"/>
      <c r="AQ490" s="147"/>
      <c r="AR490" s="147"/>
      <c r="AS490" s="147"/>
      <c r="AT490" s="147"/>
      <c r="AU490" s="147"/>
      <c r="AV490" s="147"/>
      <c r="AW490" s="147"/>
      <c r="AX490" s="147"/>
      <c r="AY490" s="147"/>
      <c r="AZ490" s="147"/>
      <c r="BA490" s="147"/>
      <c r="BB490" s="147"/>
      <c r="BC490" s="147"/>
      <c r="BD490" s="147"/>
      <c r="BE490" s="147"/>
      <c r="BF490" s="147"/>
      <c r="BG490" s="147"/>
      <c r="BH490" s="147"/>
      <c r="BI490" s="147"/>
      <c r="BJ490" s="147"/>
      <c r="BK490" s="147"/>
      <c r="BL490" s="147"/>
      <c r="BM490" s="147"/>
      <c r="BN490" s="147"/>
      <c r="BO490" s="147"/>
      <c r="BP490" s="147"/>
      <c r="BQ490" s="147"/>
      <c r="BR490" s="147"/>
      <c r="BS490" s="147"/>
      <c r="BT490" s="147"/>
      <c r="BU490" s="147"/>
      <c r="BV490" s="147"/>
      <c r="BW490" s="147"/>
      <c r="BX490" s="147"/>
      <c r="BY490" s="147"/>
      <c r="BZ490" s="147"/>
      <c r="CA490" s="147"/>
      <c r="CB490" s="147"/>
      <c r="CC490" s="147"/>
      <c r="CD490" s="147"/>
      <c r="CE490" s="147"/>
      <c r="CF490" s="147"/>
      <c r="CG490" s="147"/>
      <c r="CH490" s="147"/>
      <c r="CI490" s="147"/>
      <c r="CJ490" s="147"/>
      <c r="CK490" s="147"/>
    </row>
    <row r="491" spans="1:89">
      <c r="A491" s="165" t="s">
        <v>385</v>
      </c>
      <c r="B491" s="166" t="s">
        <v>386</v>
      </c>
      <c r="C491" s="167" t="s">
        <v>93</v>
      </c>
      <c r="D491" s="167" t="s">
        <v>886</v>
      </c>
      <c r="E491" s="166" t="s">
        <v>21</v>
      </c>
      <c r="F491" s="166" t="s">
        <v>926</v>
      </c>
      <c r="G491" s="166"/>
      <c r="H491" s="156" t="str">
        <f ca="1">IFERROR(
  _xludf.MINIFS(ATTENDANCE_LOG!$F:$F,
         ATTENDANCE_LOG!$A:$A, C491,
         ATTENDANCE_LOG!$B:$B, E491),
"")</f>
        <v/>
      </c>
      <c r="I491" s="156" t="str">
        <f t="shared" ca="1" si="266"/>
        <v/>
      </c>
      <c r="J491" s="166">
        <f>IFERROR(VLOOKUP(F491, LEVEL_HELPER!$A:$B, 2, 0), "")</f>
        <v>1</v>
      </c>
      <c r="K491" s="166" t="str">
        <f>IFERROR(VLOOKUP(G491, LEVEL_HELPER!$A:$B, 2, 0), "")</f>
        <v/>
      </c>
      <c r="L491" s="169" t="s">
        <v>930</v>
      </c>
      <c r="M491" s="169" t="s">
        <v>922</v>
      </c>
      <c r="N491" s="3">
        <f t="array" aca="1" ref="N491" ca="1">IFERROR(
  INDEX($J$2:$J$543,
    MATCH(A491&amp;TEXT(I491,"yyyy-mm-dd"),
          $A$2:$A$543&amp;TEXT($H$2:$H$543,"yyyy-mm-dd"),
          0)),
"")</f>
        <v>0.5</v>
      </c>
      <c r="O491" s="170" t="str">
        <f t="shared" ca="1" si="267"/>
        <v/>
      </c>
      <c r="P491" s="147">
        <f t="shared" ref="P491:Q491" ca="1" si="507">IF(N491="",0,IF(N491&lt;=2,1,IF(N491&lt;=4,2,IF(N491&lt;=5.5,3,4))))</f>
        <v>1</v>
      </c>
      <c r="Q491" s="147">
        <f t="shared" ca="1" si="507"/>
        <v>0</v>
      </c>
      <c r="R491" s="147" t="str">
        <f t="shared" ca="1" si="269"/>
        <v>Not tested yet</v>
      </c>
      <c r="S491" s="147">
        <f t="shared" si="270"/>
        <v>0</v>
      </c>
      <c r="T491" s="147"/>
      <c r="U491" s="147"/>
      <c r="V491" s="147"/>
      <c r="W491" s="147"/>
      <c r="X491" s="147"/>
      <c r="Y491" s="147"/>
      <c r="Z491" s="147"/>
      <c r="AA491" s="147"/>
      <c r="AB491" s="147"/>
      <c r="AC491" s="147"/>
      <c r="AD491" s="147"/>
      <c r="AE491" s="147"/>
      <c r="AF491" s="147"/>
      <c r="AG491" s="147"/>
      <c r="AH491" s="147"/>
      <c r="AI491" s="147"/>
      <c r="AJ491" s="147"/>
      <c r="AK491" s="147"/>
      <c r="AL491" s="147"/>
      <c r="AM491" s="151"/>
      <c r="AN491" s="147"/>
      <c r="AO491" s="147"/>
      <c r="AP491" s="147"/>
      <c r="AQ491" s="147"/>
      <c r="AR491" s="147"/>
      <c r="AS491" s="147"/>
      <c r="AT491" s="147"/>
      <c r="AU491" s="147"/>
      <c r="AV491" s="147"/>
      <c r="AW491" s="147"/>
      <c r="AX491" s="147"/>
      <c r="AY491" s="147"/>
      <c r="AZ491" s="147"/>
      <c r="BA491" s="147"/>
      <c r="BB491" s="147"/>
      <c r="BC491" s="147"/>
      <c r="BD491" s="147"/>
      <c r="BE491" s="147"/>
      <c r="BF491" s="147"/>
      <c r="BG491" s="147"/>
      <c r="BH491" s="147"/>
      <c r="BI491" s="147"/>
      <c r="BJ491" s="147"/>
      <c r="BK491" s="147"/>
      <c r="BL491" s="147"/>
      <c r="BM491" s="147"/>
      <c r="BN491" s="147"/>
      <c r="BO491" s="147"/>
      <c r="BP491" s="147"/>
      <c r="BQ491" s="147"/>
      <c r="BR491" s="147"/>
      <c r="BS491" s="147"/>
      <c r="BT491" s="147"/>
      <c r="BU491" s="147"/>
      <c r="BV491" s="147"/>
      <c r="BW491" s="147"/>
      <c r="BX491" s="147"/>
      <c r="BY491" s="147"/>
      <c r="BZ491" s="147"/>
      <c r="CA491" s="147"/>
      <c r="CB491" s="147"/>
      <c r="CC491" s="147"/>
      <c r="CD491" s="147"/>
      <c r="CE491" s="147"/>
      <c r="CF491" s="147"/>
      <c r="CG491" s="147"/>
      <c r="CH491" s="147"/>
      <c r="CI491" s="147"/>
      <c r="CJ491" s="147"/>
      <c r="CK491" s="147"/>
    </row>
    <row r="492" spans="1:89">
      <c r="A492" s="165" t="s">
        <v>427</v>
      </c>
      <c r="B492" s="166" t="s">
        <v>428</v>
      </c>
      <c r="C492" s="167" t="s">
        <v>93</v>
      </c>
      <c r="D492" s="167" t="s">
        <v>886</v>
      </c>
      <c r="E492" s="166" t="s">
        <v>21</v>
      </c>
      <c r="F492" s="166" t="s">
        <v>926</v>
      </c>
      <c r="G492" s="166"/>
      <c r="H492" s="156" t="str">
        <f ca="1">IFERROR(
  _xludf.MINIFS(ATTENDANCE_LOG!$F:$F,
         ATTENDANCE_LOG!$A:$A, C492,
         ATTENDANCE_LOG!$B:$B, E492),
"")</f>
        <v/>
      </c>
      <c r="I492" s="156" t="str">
        <f t="shared" ca="1" si="266"/>
        <v/>
      </c>
      <c r="J492" s="166">
        <f>IFERROR(VLOOKUP(F492, LEVEL_HELPER!$A:$B, 2, 0), "")</f>
        <v>1</v>
      </c>
      <c r="K492" s="166" t="str">
        <f>IFERROR(VLOOKUP(G492, LEVEL_HELPER!$A:$B, 2, 0), "")</f>
        <v/>
      </c>
      <c r="L492" s="169" t="s">
        <v>930</v>
      </c>
      <c r="M492" s="169" t="s">
        <v>922</v>
      </c>
      <c r="N492" s="3">
        <f t="array" aca="1" ref="N492" ca="1">IFERROR(
  INDEX($J$2:$J$543,
    MATCH(A492&amp;TEXT(I492,"yyyy-mm-dd"),
          $A$2:$A$543&amp;TEXT($H$2:$H$543,"yyyy-mm-dd"),
          0)),
"")</f>
        <v>1</v>
      </c>
      <c r="O492" s="170" t="str">
        <f t="shared" ca="1" si="267"/>
        <v/>
      </c>
      <c r="P492" s="147">
        <f t="shared" ref="P492:Q492" ca="1" si="508">IF(N492="",0,IF(N492&lt;=2,1,IF(N492&lt;=4,2,IF(N492&lt;=5.5,3,4))))</f>
        <v>1</v>
      </c>
      <c r="Q492" s="147">
        <f t="shared" ca="1" si="508"/>
        <v>0</v>
      </c>
      <c r="R492" s="147" t="str">
        <f t="shared" ca="1" si="269"/>
        <v>Not tested yet</v>
      </c>
      <c r="S492" s="147">
        <f t="shared" si="270"/>
        <v>1</v>
      </c>
      <c r="T492" s="147"/>
      <c r="U492" s="147"/>
      <c r="V492" s="147"/>
      <c r="W492" s="147"/>
      <c r="X492" s="147"/>
      <c r="Y492" s="147"/>
      <c r="Z492" s="147"/>
      <c r="AA492" s="147"/>
      <c r="AB492" s="147"/>
      <c r="AC492" s="147"/>
      <c r="AD492" s="147"/>
      <c r="AE492" s="147"/>
      <c r="AF492" s="147"/>
      <c r="AG492" s="147"/>
      <c r="AH492" s="147"/>
      <c r="AI492" s="147"/>
      <c r="AJ492" s="147"/>
      <c r="AK492" s="147"/>
      <c r="AL492" s="147"/>
      <c r="AM492" s="151"/>
      <c r="AN492" s="147"/>
      <c r="AO492" s="147"/>
      <c r="AP492" s="147"/>
      <c r="AQ492" s="147"/>
      <c r="AR492" s="147"/>
      <c r="AS492" s="147"/>
      <c r="AT492" s="147"/>
      <c r="AU492" s="147"/>
      <c r="AV492" s="147"/>
      <c r="AW492" s="147"/>
      <c r="AX492" s="147"/>
      <c r="AY492" s="147"/>
      <c r="AZ492" s="147"/>
      <c r="BA492" s="147"/>
      <c r="BB492" s="147"/>
      <c r="BC492" s="147"/>
      <c r="BD492" s="147"/>
      <c r="BE492" s="147"/>
      <c r="BF492" s="147"/>
      <c r="BG492" s="147"/>
      <c r="BH492" s="147"/>
      <c r="BI492" s="147"/>
      <c r="BJ492" s="147"/>
      <c r="BK492" s="147"/>
      <c r="BL492" s="147"/>
      <c r="BM492" s="147"/>
      <c r="BN492" s="147"/>
      <c r="BO492" s="147"/>
      <c r="BP492" s="147"/>
      <c r="BQ492" s="147"/>
      <c r="BR492" s="147"/>
      <c r="BS492" s="147"/>
      <c r="BT492" s="147"/>
      <c r="BU492" s="147"/>
      <c r="BV492" s="147"/>
      <c r="BW492" s="147"/>
      <c r="BX492" s="147"/>
      <c r="BY492" s="147"/>
      <c r="BZ492" s="147"/>
      <c r="CA492" s="147"/>
      <c r="CB492" s="147"/>
      <c r="CC492" s="147"/>
      <c r="CD492" s="147"/>
      <c r="CE492" s="147"/>
      <c r="CF492" s="147"/>
      <c r="CG492" s="147"/>
      <c r="CH492" s="147"/>
      <c r="CI492" s="147"/>
      <c r="CJ492" s="147"/>
      <c r="CK492" s="147"/>
    </row>
    <row r="493" spans="1:89">
      <c r="A493" s="165" t="s">
        <v>655</v>
      </c>
      <c r="B493" s="166" t="s">
        <v>656</v>
      </c>
      <c r="C493" s="167" t="s">
        <v>93</v>
      </c>
      <c r="D493" s="167" t="s">
        <v>886</v>
      </c>
      <c r="E493" s="166" t="s">
        <v>21</v>
      </c>
      <c r="F493" s="166" t="s">
        <v>926</v>
      </c>
      <c r="G493" s="166"/>
      <c r="H493" s="156" t="str">
        <f ca="1">IFERROR(
  _xludf.MINIFS(ATTENDANCE_LOG!$F:$F,
         ATTENDANCE_LOG!$A:$A, C493,
         ATTENDANCE_LOG!$B:$B, E493),
"")</f>
        <v/>
      </c>
      <c r="I493" s="156" t="str">
        <f t="shared" ca="1" si="266"/>
        <v/>
      </c>
      <c r="J493" s="166">
        <f>IFERROR(VLOOKUP(F493, LEVEL_HELPER!$A:$B, 2, 0), "")</f>
        <v>1</v>
      </c>
      <c r="K493" s="166" t="str">
        <f>IFERROR(VLOOKUP(G493, LEVEL_HELPER!$A:$B, 2, 0), "")</f>
        <v/>
      </c>
      <c r="L493" s="169" t="s">
        <v>930</v>
      </c>
      <c r="M493" s="169" t="s">
        <v>922</v>
      </c>
      <c r="N493" s="3">
        <f t="array" aca="1" ref="N493" ca="1">IFERROR(
  INDEX($J$2:$J$543,
    MATCH(A493&amp;TEXT(I493,"yyyy-mm-dd"),
          $A$2:$A$543&amp;TEXT($H$2:$H$543,"yyyy-mm-dd"),
          0)),
"")</f>
        <v>1</v>
      </c>
      <c r="O493" s="170" t="str">
        <f t="shared" ca="1" si="267"/>
        <v/>
      </c>
      <c r="P493" s="147">
        <f t="shared" ref="P493:Q493" ca="1" si="509">IF(N493="",0,IF(N493&lt;=2,1,IF(N493&lt;=4,2,IF(N493&lt;=5.5,3,4))))</f>
        <v>1</v>
      </c>
      <c r="Q493" s="147">
        <f t="shared" ca="1" si="509"/>
        <v>0</v>
      </c>
      <c r="R493" s="147" t="str">
        <f t="shared" ca="1" si="269"/>
        <v>Not tested yet</v>
      </c>
      <c r="S493" s="147">
        <f t="shared" si="270"/>
        <v>1</v>
      </c>
      <c r="T493" s="147"/>
      <c r="U493" s="147"/>
      <c r="V493" s="147"/>
      <c r="W493" s="147"/>
      <c r="X493" s="147"/>
      <c r="Y493" s="147"/>
      <c r="Z493" s="147"/>
      <c r="AA493" s="147"/>
      <c r="AB493" s="147"/>
      <c r="AC493" s="147"/>
      <c r="AD493" s="147"/>
      <c r="AE493" s="147"/>
      <c r="AF493" s="147"/>
      <c r="AG493" s="147"/>
      <c r="AH493" s="147"/>
      <c r="AI493" s="147"/>
      <c r="AJ493" s="147"/>
      <c r="AK493" s="147"/>
      <c r="AL493" s="147"/>
      <c r="AM493" s="151"/>
      <c r="AN493" s="147"/>
      <c r="AO493" s="147"/>
      <c r="AP493" s="147"/>
      <c r="AQ493" s="147"/>
      <c r="AR493" s="147"/>
      <c r="AS493" s="147"/>
      <c r="AT493" s="147"/>
      <c r="AU493" s="147"/>
      <c r="AV493" s="147"/>
      <c r="AW493" s="147"/>
      <c r="AX493" s="147"/>
      <c r="AY493" s="147"/>
      <c r="AZ493" s="147"/>
      <c r="BA493" s="147"/>
      <c r="BB493" s="147"/>
      <c r="BC493" s="147"/>
      <c r="BD493" s="147"/>
      <c r="BE493" s="147"/>
      <c r="BF493" s="147"/>
      <c r="BG493" s="147"/>
      <c r="BH493" s="147"/>
      <c r="BI493" s="147"/>
      <c r="BJ493" s="147"/>
      <c r="BK493" s="147"/>
      <c r="BL493" s="147"/>
      <c r="BM493" s="147"/>
      <c r="BN493" s="147"/>
      <c r="BO493" s="147"/>
      <c r="BP493" s="147"/>
      <c r="BQ493" s="147"/>
      <c r="BR493" s="147"/>
      <c r="BS493" s="147"/>
      <c r="BT493" s="147"/>
      <c r="BU493" s="147"/>
      <c r="BV493" s="147"/>
      <c r="BW493" s="147"/>
      <c r="BX493" s="147"/>
      <c r="BY493" s="147"/>
      <c r="BZ493" s="147"/>
      <c r="CA493" s="147"/>
      <c r="CB493" s="147"/>
      <c r="CC493" s="147"/>
      <c r="CD493" s="147"/>
      <c r="CE493" s="147"/>
      <c r="CF493" s="147"/>
      <c r="CG493" s="147"/>
      <c r="CH493" s="147"/>
      <c r="CI493" s="147"/>
      <c r="CJ493" s="147"/>
      <c r="CK493" s="147"/>
    </row>
    <row r="494" spans="1:89">
      <c r="A494" s="165" t="s">
        <v>705</v>
      </c>
      <c r="B494" s="166" t="s">
        <v>706</v>
      </c>
      <c r="C494" s="167" t="s">
        <v>93</v>
      </c>
      <c r="D494" s="167" t="s">
        <v>886</v>
      </c>
      <c r="E494" s="166" t="s">
        <v>21</v>
      </c>
      <c r="F494" s="166" t="s">
        <v>926</v>
      </c>
      <c r="G494" s="166"/>
      <c r="H494" s="156" t="str">
        <f ca="1">IFERROR(
  _xludf.MINIFS(ATTENDANCE_LOG!$F:$F,
         ATTENDANCE_LOG!$A:$A, C494,
         ATTENDANCE_LOG!$B:$B, E494),
"")</f>
        <v/>
      </c>
      <c r="I494" s="156" t="str">
        <f t="shared" ca="1" si="266"/>
        <v/>
      </c>
      <c r="J494" s="166">
        <f>IFERROR(VLOOKUP(F494, LEVEL_HELPER!$A:$B, 2, 0), "")</f>
        <v>1</v>
      </c>
      <c r="K494" s="166" t="str">
        <f>IFERROR(VLOOKUP(G494, LEVEL_HELPER!$A:$B, 2, 0), "")</f>
        <v/>
      </c>
      <c r="L494" s="169" t="s">
        <v>956</v>
      </c>
      <c r="M494" s="169" t="s">
        <v>922</v>
      </c>
      <c r="N494" s="3">
        <f t="array" aca="1" ref="N494" ca="1">IFERROR(
  INDEX($J$2:$J$543,
    MATCH(A494&amp;TEXT(I494,"yyyy-mm-dd"),
          $A$2:$A$543&amp;TEXT($H$2:$H$543,"yyyy-mm-dd"),
          0)),
"")</f>
        <v>1</v>
      </c>
      <c r="O494" s="170" t="str">
        <f t="shared" ca="1" si="267"/>
        <v/>
      </c>
      <c r="P494" s="147">
        <f t="shared" ref="P494:Q494" ca="1" si="510">IF(N494="",0,IF(N494&lt;=2,1,IF(N494&lt;=4,2,IF(N494&lt;=5.5,3,4))))</f>
        <v>1</v>
      </c>
      <c r="Q494" s="147">
        <f t="shared" ca="1" si="510"/>
        <v>0</v>
      </c>
      <c r="R494" s="147" t="str">
        <f t="shared" ca="1" si="269"/>
        <v>Not tested yet</v>
      </c>
      <c r="S494" s="147">
        <f t="shared" si="270"/>
        <v>1</v>
      </c>
      <c r="T494" s="147"/>
      <c r="U494" s="147"/>
      <c r="V494" s="147"/>
      <c r="W494" s="147"/>
      <c r="X494" s="147"/>
      <c r="Y494" s="147"/>
      <c r="Z494" s="147"/>
      <c r="AA494" s="147"/>
      <c r="AB494" s="147"/>
      <c r="AC494" s="147"/>
      <c r="AD494" s="147"/>
      <c r="AE494" s="147"/>
      <c r="AF494" s="147"/>
      <c r="AG494" s="147"/>
      <c r="AH494" s="147"/>
      <c r="AI494" s="147"/>
      <c r="AJ494" s="147"/>
      <c r="AK494" s="147"/>
      <c r="AL494" s="147"/>
      <c r="AM494" s="151"/>
      <c r="AN494" s="147"/>
      <c r="AO494" s="147"/>
      <c r="AP494" s="147"/>
      <c r="AQ494" s="147"/>
      <c r="AR494" s="147"/>
      <c r="AS494" s="147"/>
      <c r="AT494" s="147"/>
      <c r="AU494" s="147"/>
      <c r="AV494" s="147"/>
      <c r="AW494" s="147"/>
      <c r="AX494" s="147"/>
      <c r="AY494" s="147"/>
      <c r="AZ494" s="147"/>
      <c r="BA494" s="147"/>
      <c r="BB494" s="147"/>
      <c r="BC494" s="147"/>
      <c r="BD494" s="147"/>
      <c r="BE494" s="147"/>
      <c r="BF494" s="147"/>
      <c r="BG494" s="147"/>
      <c r="BH494" s="147"/>
      <c r="BI494" s="147"/>
      <c r="BJ494" s="147"/>
      <c r="BK494" s="147"/>
      <c r="BL494" s="147"/>
      <c r="BM494" s="147"/>
      <c r="BN494" s="147"/>
      <c r="BO494" s="147"/>
      <c r="BP494" s="147"/>
      <c r="BQ494" s="147"/>
      <c r="BR494" s="147"/>
      <c r="BS494" s="147"/>
      <c r="BT494" s="147"/>
      <c r="BU494" s="147"/>
      <c r="BV494" s="147"/>
      <c r="BW494" s="147"/>
      <c r="BX494" s="147"/>
      <c r="BY494" s="147"/>
      <c r="BZ494" s="147"/>
      <c r="CA494" s="147"/>
      <c r="CB494" s="147"/>
      <c r="CC494" s="147"/>
      <c r="CD494" s="147"/>
      <c r="CE494" s="147"/>
      <c r="CF494" s="147"/>
      <c r="CG494" s="147"/>
      <c r="CH494" s="147"/>
      <c r="CI494" s="147"/>
      <c r="CJ494" s="147"/>
      <c r="CK494" s="147"/>
    </row>
    <row r="495" spans="1:89">
      <c r="A495" s="178" t="s">
        <v>581</v>
      </c>
      <c r="B495" s="179" t="s">
        <v>582</v>
      </c>
      <c r="C495" s="180" t="s">
        <v>94</v>
      </c>
      <c r="D495" s="180" t="s">
        <v>887</v>
      </c>
      <c r="E495" s="179" t="s">
        <v>21</v>
      </c>
      <c r="F495" s="179" t="s">
        <v>926</v>
      </c>
      <c r="G495" s="179"/>
      <c r="H495" s="156" t="str">
        <f ca="1">IFERROR(
  _xludf.MINIFS(ATTENDANCE_LOG!$F:$F,
         ATTENDANCE_LOG!$A:$A, C495,
         ATTENDANCE_LOG!$B:$B, E495),
"")</f>
        <v/>
      </c>
      <c r="I495" s="156" t="str">
        <f t="shared" ca="1" si="266"/>
        <v/>
      </c>
      <c r="J495" s="179">
        <f>IFERROR(VLOOKUP(F495, LEVEL_HELPER!$A:$B, 2, 0), "")</f>
        <v>1</v>
      </c>
      <c r="K495" s="166" t="str">
        <f>IFERROR(VLOOKUP(G495, LEVEL_HELPER!$A:$B, 2, 0), "")</f>
        <v/>
      </c>
      <c r="L495" s="181" t="s">
        <v>942</v>
      </c>
      <c r="M495" s="181" t="s">
        <v>924</v>
      </c>
      <c r="N495" s="3">
        <f t="array" aca="1" ref="N495" ca="1">IFERROR(
  INDEX($J$2:$J$543,
    MATCH(A495&amp;TEXT(I495,"yyyy-mm-dd"),
          $A$2:$A$543&amp;TEXT($H$2:$H$543,"yyyy-mm-dd"),
          0)),
"")</f>
        <v>1</v>
      </c>
      <c r="O495" s="182" t="str">
        <f t="shared" ca="1" si="267"/>
        <v/>
      </c>
      <c r="P495" s="147">
        <f t="shared" ref="P495:Q495" ca="1" si="511">IF(N495="",0,IF(N495&lt;=2,1,IF(N495&lt;=4,2,IF(N495&lt;=5.5,3,4))))</f>
        <v>1</v>
      </c>
      <c r="Q495" s="147">
        <f t="shared" ca="1" si="511"/>
        <v>0</v>
      </c>
      <c r="R495" s="147" t="str">
        <f t="shared" ca="1" si="269"/>
        <v>Not tested yet</v>
      </c>
      <c r="S495" s="147">
        <f t="shared" si="270"/>
        <v>1</v>
      </c>
      <c r="T495" s="147"/>
      <c r="U495" s="147"/>
      <c r="V495" s="147"/>
      <c r="W495" s="147"/>
      <c r="X495" s="147"/>
      <c r="Y495" s="147"/>
      <c r="Z495" s="147"/>
      <c r="AA495" s="147"/>
      <c r="AB495" s="147"/>
      <c r="AC495" s="147"/>
      <c r="AD495" s="147"/>
      <c r="AE495" s="147"/>
      <c r="AF495" s="147"/>
      <c r="AG495" s="147"/>
      <c r="AH495" s="147"/>
      <c r="AI495" s="147"/>
      <c r="AJ495" s="147"/>
      <c r="AK495" s="147"/>
      <c r="AL495" s="147"/>
      <c r="AM495" s="151"/>
      <c r="AN495" s="147"/>
      <c r="AO495" s="147"/>
      <c r="AP495" s="147"/>
      <c r="AQ495" s="147"/>
      <c r="AR495" s="147"/>
      <c r="AS495" s="147"/>
      <c r="AT495" s="147"/>
      <c r="AU495" s="147"/>
      <c r="AV495" s="147"/>
      <c r="AW495" s="147"/>
      <c r="AX495" s="147"/>
      <c r="AY495" s="147"/>
      <c r="AZ495" s="147"/>
      <c r="BA495" s="147"/>
      <c r="BB495" s="147"/>
      <c r="BC495" s="147"/>
      <c r="BD495" s="147"/>
      <c r="BE495" s="147"/>
      <c r="BF495" s="147"/>
      <c r="BG495" s="147"/>
      <c r="BH495" s="147"/>
      <c r="BI495" s="147"/>
      <c r="BJ495" s="147"/>
      <c r="BK495" s="147"/>
      <c r="BL495" s="147"/>
      <c r="BM495" s="147"/>
      <c r="BN495" s="147"/>
      <c r="BO495" s="147"/>
      <c r="BP495" s="147"/>
      <c r="BQ495" s="147"/>
      <c r="BR495" s="147"/>
      <c r="BS495" s="147"/>
      <c r="BT495" s="147"/>
      <c r="BU495" s="147"/>
      <c r="BV495" s="147"/>
      <c r="BW495" s="147"/>
      <c r="BX495" s="147"/>
      <c r="BY495" s="147"/>
      <c r="BZ495" s="147"/>
      <c r="CA495" s="147"/>
      <c r="CB495" s="147"/>
      <c r="CC495" s="147"/>
      <c r="CD495" s="147"/>
      <c r="CE495" s="147"/>
      <c r="CF495" s="147"/>
      <c r="CG495" s="147"/>
      <c r="CH495" s="147"/>
      <c r="CI495" s="147"/>
      <c r="CJ495" s="147"/>
      <c r="CK495" s="147"/>
    </row>
    <row r="496" spans="1:89">
      <c r="A496" s="165" t="s">
        <v>149</v>
      </c>
      <c r="B496" s="166" t="s">
        <v>150</v>
      </c>
      <c r="C496" s="167" t="s">
        <v>94</v>
      </c>
      <c r="D496" s="167" t="s">
        <v>887</v>
      </c>
      <c r="E496" s="166" t="s">
        <v>21</v>
      </c>
      <c r="F496" s="166" t="s">
        <v>926</v>
      </c>
      <c r="G496" s="166"/>
      <c r="H496" s="156" t="str">
        <f ca="1">IFERROR(
  _xludf.MINIFS(ATTENDANCE_LOG!$F:$F,
         ATTENDANCE_LOG!$A:$A, C496,
         ATTENDANCE_LOG!$B:$B, E496),
"")</f>
        <v/>
      </c>
      <c r="I496" s="156" t="str">
        <f t="shared" ca="1" si="266"/>
        <v/>
      </c>
      <c r="J496" s="166">
        <f>IFERROR(VLOOKUP(F496, LEVEL_HELPER!$A:$B, 2, 0), "")</f>
        <v>1</v>
      </c>
      <c r="K496" s="166" t="str">
        <f>IFERROR(VLOOKUP(G496, LEVEL_HELPER!$A:$B, 2, 0), "")</f>
        <v/>
      </c>
      <c r="L496" s="169" t="s">
        <v>918</v>
      </c>
      <c r="M496" s="169" t="s">
        <v>924</v>
      </c>
      <c r="N496" s="3">
        <f t="array" aca="1" ref="N496" ca="1">IFERROR(
  INDEX($J$2:$J$543,
    MATCH(A496&amp;TEXT(I496,"yyyy-mm-dd"),
          $A$2:$A$543&amp;TEXT($H$2:$H$543,"yyyy-mm-dd"),
          0)),
"")</f>
        <v>1</v>
      </c>
      <c r="O496" s="170" t="str">
        <f t="shared" ca="1" si="267"/>
        <v/>
      </c>
      <c r="P496" s="147">
        <f t="shared" ref="P496:Q496" ca="1" si="512">IF(N496="",0,IF(N496&lt;=2,1,IF(N496&lt;=4,2,IF(N496&lt;=5.5,3,4))))</f>
        <v>1</v>
      </c>
      <c r="Q496" s="147">
        <f t="shared" ca="1" si="512"/>
        <v>0</v>
      </c>
      <c r="R496" s="147" t="str">
        <f t="shared" ca="1" si="269"/>
        <v>Not tested yet</v>
      </c>
      <c r="S496" s="147">
        <f t="shared" si="270"/>
        <v>0</v>
      </c>
      <c r="T496" s="147"/>
      <c r="U496" s="147"/>
      <c r="V496" s="147"/>
      <c r="W496" s="147"/>
      <c r="X496" s="147"/>
      <c r="Y496" s="147"/>
      <c r="Z496" s="147"/>
      <c r="AA496" s="147"/>
      <c r="AB496" s="147"/>
      <c r="AC496" s="147"/>
      <c r="AD496" s="147"/>
      <c r="AE496" s="147"/>
      <c r="AF496" s="147"/>
      <c r="AG496" s="147"/>
      <c r="AH496" s="147"/>
      <c r="AI496" s="147"/>
      <c r="AJ496" s="147"/>
      <c r="AK496" s="147"/>
      <c r="AL496" s="147"/>
      <c r="AM496" s="151"/>
      <c r="AN496" s="147"/>
      <c r="AO496" s="147"/>
      <c r="AP496" s="147"/>
      <c r="AQ496" s="147"/>
      <c r="AR496" s="147"/>
      <c r="AS496" s="147"/>
      <c r="AT496" s="147"/>
      <c r="AU496" s="147"/>
      <c r="AV496" s="147"/>
      <c r="AW496" s="147"/>
      <c r="AX496" s="147"/>
      <c r="AY496" s="147"/>
      <c r="AZ496" s="147"/>
      <c r="BA496" s="147"/>
      <c r="BB496" s="147"/>
      <c r="BC496" s="147"/>
      <c r="BD496" s="147"/>
      <c r="BE496" s="147"/>
      <c r="BF496" s="147"/>
      <c r="BG496" s="147"/>
      <c r="BH496" s="147"/>
      <c r="BI496" s="147"/>
      <c r="BJ496" s="147"/>
      <c r="BK496" s="147"/>
      <c r="BL496" s="147"/>
      <c r="BM496" s="147"/>
      <c r="BN496" s="147"/>
      <c r="BO496" s="147"/>
      <c r="BP496" s="147"/>
      <c r="BQ496" s="147"/>
      <c r="BR496" s="147"/>
      <c r="BS496" s="147"/>
      <c r="BT496" s="147"/>
      <c r="BU496" s="147"/>
      <c r="BV496" s="147"/>
      <c r="BW496" s="147"/>
      <c r="BX496" s="147"/>
      <c r="BY496" s="147"/>
      <c r="BZ496" s="147"/>
      <c r="CA496" s="147"/>
      <c r="CB496" s="147"/>
      <c r="CC496" s="147"/>
      <c r="CD496" s="147"/>
      <c r="CE496" s="147"/>
      <c r="CF496" s="147"/>
      <c r="CG496" s="147"/>
      <c r="CH496" s="147"/>
      <c r="CI496" s="147"/>
      <c r="CJ496" s="147"/>
      <c r="CK496" s="147"/>
    </row>
    <row r="497" spans="1:89">
      <c r="A497" s="165" t="s">
        <v>344</v>
      </c>
      <c r="B497" s="166" t="s">
        <v>345</v>
      </c>
      <c r="C497" s="167" t="s">
        <v>94</v>
      </c>
      <c r="D497" s="167" t="s">
        <v>887</v>
      </c>
      <c r="E497" s="166" t="s">
        <v>21</v>
      </c>
      <c r="F497" s="166" t="s">
        <v>926</v>
      </c>
      <c r="G497" s="166"/>
      <c r="H497" s="156" t="str">
        <f ca="1">IFERROR(
  _xludf.MINIFS(ATTENDANCE_LOG!$F:$F,
         ATTENDANCE_LOG!$A:$A, C497,
         ATTENDANCE_LOG!$B:$B, E497),
"")</f>
        <v/>
      </c>
      <c r="I497" s="156" t="str">
        <f t="shared" ca="1" si="266"/>
        <v/>
      </c>
      <c r="J497" s="166">
        <f>IFERROR(VLOOKUP(F497, LEVEL_HELPER!$A:$B, 2, 0), "")</f>
        <v>1</v>
      </c>
      <c r="K497" s="166" t="str">
        <f>IFERROR(VLOOKUP(G497, LEVEL_HELPER!$A:$B, 2, 0), "")</f>
        <v/>
      </c>
      <c r="L497" s="169" t="s">
        <v>942</v>
      </c>
      <c r="M497" s="169" t="s">
        <v>924</v>
      </c>
      <c r="N497" s="3">
        <f t="array" aca="1" ref="N497" ca="1">IFERROR(
  INDEX($J$2:$J$543,
    MATCH(A497&amp;TEXT(I497,"yyyy-mm-dd"),
          $A$2:$A$543&amp;TEXT($H$2:$H$543,"yyyy-mm-dd"),
          0)),
"")</f>
        <v>1</v>
      </c>
      <c r="O497" s="170" t="str">
        <f t="shared" ca="1" si="267"/>
        <v/>
      </c>
      <c r="P497" s="147">
        <f t="shared" ref="P497:Q497" ca="1" si="513">IF(N497="",0,IF(N497&lt;=2,1,IF(N497&lt;=4,2,IF(N497&lt;=5.5,3,4))))</f>
        <v>1</v>
      </c>
      <c r="Q497" s="147">
        <f t="shared" ca="1" si="513"/>
        <v>0</v>
      </c>
      <c r="R497" s="147" t="str">
        <f t="shared" ca="1" si="269"/>
        <v>Not tested yet</v>
      </c>
      <c r="S497" s="147">
        <f t="shared" si="270"/>
        <v>1</v>
      </c>
      <c r="T497" s="147"/>
      <c r="U497" s="147"/>
      <c r="V497" s="147"/>
      <c r="W497" s="147"/>
      <c r="X497" s="147"/>
      <c r="Y497" s="147"/>
      <c r="Z497" s="147"/>
      <c r="AA497" s="147"/>
      <c r="AB497" s="147"/>
      <c r="AC497" s="147"/>
      <c r="AD497" s="147"/>
      <c r="AE497" s="147"/>
      <c r="AF497" s="147"/>
      <c r="AG497" s="147"/>
      <c r="AH497" s="147"/>
      <c r="AI497" s="147"/>
      <c r="AJ497" s="147"/>
      <c r="AK497" s="147"/>
      <c r="AL497" s="147"/>
      <c r="AM497" s="151"/>
      <c r="AN497" s="147"/>
      <c r="AO497" s="147"/>
      <c r="AP497" s="147"/>
      <c r="AQ497" s="147"/>
      <c r="AR497" s="147"/>
      <c r="AS497" s="147"/>
      <c r="AT497" s="147"/>
      <c r="AU497" s="147"/>
      <c r="AV497" s="147"/>
      <c r="AW497" s="147"/>
      <c r="AX497" s="147"/>
      <c r="AY497" s="147"/>
      <c r="AZ497" s="147"/>
      <c r="BA497" s="147"/>
      <c r="BB497" s="147"/>
      <c r="BC497" s="147"/>
      <c r="BD497" s="147"/>
      <c r="BE497" s="147"/>
      <c r="BF497" s="147"/>
      <c r="BG497" s="147"/>
      <c r="BH497" s="147"/>
      <c r="BI497" s="147"/>
      <c r="BJ497" s="147"/>
      <c r="BK497" s="147"/>
      <c r="BL497" s="147"/>
      <c r="BM497" s="147"/>
      <c r="BN497" s="147"/>
      <c r="BO497" s="147"/>
      <c r="BP497" s="147"/>
      <c r="BQ497" s="147"/>
      <c r="BR497" s="147"/>
      <c r="BS497" s="147"/>
      <c r="BT497" s="147"/>
      <c r="BU497" s="147"/>
      <c r="BV497" s="147"/>
      <c r="BW497" s="147"/>
      <c r="BX497" s="147"/>
      <c r="BY497" s="147"/>
      <c r="BZ497" s="147"/>
      <c r="CA497" s="147"/>
      <c r="CB497" s="147"/>
      <c r="CC497" s="147"/>
      <c r="CD497" s="147"/>
      <c r="CE497" s="147"/>
      <c r="CF497" s="147"/>
      <c r="CG497" s="147"/>
      <c r="CH497" s="147"/>
      <c r="CI497" s="147"/>
      <c r="CJ497" s="147"/>
      <c r="CK497" s="147"/>
    </row>
    <row r="498" spans="1:89">
      <c r="A498" s="165" t="s">
        <v>368</v>
      </c>
      <c r="B498" s="166" t="s">
        <v>369</v>
      </c>
      <c r="C498" s="167" t="s">
        <v>94</v>
      </c>
      <c r="D498" s="167" t="s">
        <v>887</v>
      </c>
      <c r="E498" s="166" t="s">
        <v>21</v>
      </c>
      <c r="F498" s="166" t="s">
        <v>917</v>
      </c>
      <c r="G498" s="166"/>
      <c r="H498" s="156" t="str">
        <f ca="1">IFERROR(
  _xludf.MINIFS(ATTENDANCE_LOG!$F:$F,
         ATTENDANCE_LOG!$A:$A, C498,
         ATTENDANCE_LOG!$B:$B, E498),
"")</f>
        <v/>
      </c>
      <c r="I498" s="156" t="str">
        <f t="shared" ca="1" si="266"/>
        <v/>
      </c>
      <c r="J498" s="166">
        <f>IFERROR(VLOOKUP(F498, LEVEL_HELPER!$A:$B, 2, 0), "")</f>
        <v>3</v>
      </c>
      <c r="K498" s="166" t="str">
        <f>IFERROR(VLOOKUP(G498, LEVEL_HELPER!$A:$B, 2, 0), "")</f>
        <v/>
      </c>
      <c r="L498" s="169" t="s">
        <v>942</v>
      </c>
      <c r="M498" s="169" t="s">
        <v>924</v>
      </c>
      <c r="N498" s="3">
        <f t="array" aca="1" ref="N498" ca="1">IFERROR(
  INDEX($J$2:$J$543,
    MATCH(A498&amp;TEXT(I498,"yyyy-mm-dd"),
          $A$2:$A$543&amp;TEXT($H$2:$H$543,"yyyy-mm-dd"),
          0)),
"")</f>
        <v>3</v>
      </c>
      <c r="O498" s="170" t="str">
        <f t="shared" ca="1" si="267"/>
        <v/>
      </c>
      <c r="P498" s="147">
        <f t="shared" ref="P498:Q498" ca="1" si="514">IF(N498="",0,IF(N498&lt;=2,1,IF(N498&lt;=4,2,IF(N498&lt;=5.5,3,4))))</f>
        <v>2</v>
      </c>
      <c r="Q498" s="147">
        <f t="shared" ca="1" si="514"/>
        <v>0</v>
      </c>
      <c r="R498" s="147" t="str">
        <f t="shared" ca="1" si="269"/>
        <v>Not tested yet</v>
      </c>
      <c r="S498" s="147">
        <f t="shared" si="270"/>
        <v>1</v>
      </c>
      <c r="T498" s="147"/>
      <c r="U498" s="147"/>
      <c r="V498" s="147"/>
      <c r="W498" s="147"/>
      <c r="X498" s="147"/>
      <c r="Y498" s="147"/>
      <c r="Z498" s="147"/>
      <c r="AA498" s="147"/>
      <c r="AB498" s="147"/>
      <c r="AC498" s="147"/>
      <c r="AD498" s="147"/>
      <c r="AE498" s="147"/>
      <c r="AF498" s="147"/>
      <c r="AG498" s="147"/>
      <c r="AH498" s="147"/>
      <c r="AI498" s="147"/>
      <c r="AJ498" s="147"/>
      <c r="AK498" s="147"/>
      <c r="AL498" s="147"/>
      <c r="AM498" s="151"/>
      <c r="AN498" s="147"/>
      <c r="AO498" s="147"/>
      <c r="AP498" s="147"/>
      <c r="AQ498" s="147"/>
      <c r="AR498" s="147"/>
      <c r="AS498" s="147"/>
      <c r="AT498" s="147"/>
      <c r="AU498" s="147"/>
      <c r="AV498" s="147"/>
      <c r="AW498" s="147"/>
      <c r="AX498" s="147"/>
      <c r="AY498" s="147"/>
      <c r="AZ498" s="147"/>
      <c r="BA498" s="147"/>
      <c r="BB498" s="147"/>
      <c r="BC498" s="147"/>
      <c r="BD498" s="147"/>
      <c r="BE498" s="147"/>
      <c r="BF498" s="147"/>
      <c r="BG498" s="147"/>
      <c r="BH498" s="147"/>
      <c r="BI498" s="147"/>
      <c r="BJ498" s="147"/>
      <c r="BK498" s="147"/>
      <c r="BL498" s="147"/>
      <c r="BM498" s="147"/>
      <c r="BN498" s="147"/>
      <c r="BO498" s="147"/>
      <c r="BP498" s="147"/>
      <c r="BQ498" s="147"/>
      <c r="BR498" s="147"/>
      <c r="BS498" s="147"/>
      <c r="BT498" s="147"/>
      <c r="BU498" s="147"/>
      <c r="BV498" s="147"/>
      <c r="BW498" s="147"/>
      <c r="BX498" s="147"/>
      <c r="BY498" s="147"/>
      <c r="BZ498" s="147"/>
      <c r="CA498" s="147"/>
      <c r="CB498" s="147"/>
      <c r="CC498" s="147"/>
      <c r="CD498" s="147"/>
      <c r="CE498" s="147"/>
      <c r="CF498" s="147"/>
      <c r="CG498" s="147"/>
      <c r="CH498" s="147"/>
      <c r="CI498" s="147"/>
      <c r="CJ498" s="147"/>
      <c r="CK498" s="147"/>
    </row>
    <row r="499" spans="1:89">
      <c r="A499" s="165" t="s">
        <v>543</v>
      </c>
      <c r="B499" s="166" t="s">
        <v>544</v>
      </c>
      <c r="C499" s="167" t="s">
        <v>94</v>
      </c>
      <c r="D499" s="167" t="s">
        <v>887</v>
      </c>
      <c r="E499" s="166" t="s">
        <v>21</v>
      </c>
      <c r="F499" s="166" t="s">
        <v>917</v>
      </c>
      <c r="G499" s="166"/>
      <c r="H499" s="156" t="str">
        <f ca="1">IFERROR(
  _xludf.MINIFS(ATTENDANCE_LOG!$F:$F,
         ATTENDANCE_LOG!$A:$A, C499,
         ATTENDANCE_LOG!$B:$B, E499),
"")</f>
        <v/>
      </c>
      <c r="I499" s="156" t="str">
        <f t="shared" ca="1" si="266"/>
        <v/>
      </c>
      <c r="J499" s="166">
        <f>IFERROR(VLOOKUP(F499, LEVEL_HELPER!$A:$B, 2, 0), "")</f>
        <v>3</v>
      </c>
      <c r="K499" s="166" t="str">
        <f>IFERROR(VLOOKUP(G499, LEVEL_HELPER!$A:$B, 2, 0), "")</f>
        <v/>
      </c>
      <c r="L499" s="169" t="s">
        <v>942</v>
      </c>
      <c r="M499" s="183" t="s">
        <v>924</v>
      </c>
      <c r="N499" s="3">
        <f t="array" aca="1" ref="N499" ca="1">IFERROR(
  INDEX($J$2:$J$543,
    MATCH(A499&amp;TEXT(I499,"yyyy-mm-dd"),
          $A$2:$A$543&amp;TEXT($H$2:$H$543,"yyyy-mm-dd"),
          0)),
"")</f>
        <v>3</v>
      </c>
      <c r="O499" s="170" t="str">
        <f t="shared" ca="1" si="267"/>
        <v/>
      </c>
      <c r="P499" s="147">
        <f t="shared" ref="P499:Q499" ca="1" si="515">IF(N499="",0,IF(N499&lt;=2,1,IF(N499&lt;=4,2,IF(N499&lt;=5.5,3,4))))</f>
        <v>2</v>
      </c>
      <c r="Q499" s="147">
        <f t="shared" ca="1" si="515"/>
        <v>0</v>
      </c>
      <c r="R499" s="147" t="str">
        <f t="shared" ca="1" si="269"/>
        <v>Not tested yet</v>
      </c>
      <c r="S499" s="147">
        <f t="shared" si="270"/>
        <v>1</v>
      </c>
      <c r="T499" s="147"/>
      <c r="U499" s="147"/>
      <c r="V499" s="147"/>
      <c r="W499" s="147"/>
      <c r="X499" s="147"/>
      <c r="Y499" s="147"/>
      <c r="Z499" s="147"/>
      <c r="AA499" s="147"/>
      <c r="AB499" s="147"/>
      <c r="AC499" s="147"/>
      <c r="AD499" s="147"/>
      <c r="AE499" s="147"/>
      <c r="AF499" s="147"/>
      <c r="AG499" s="147"/>
      <c r="AH499" s="147"/>
      <c r="AI499" s="147"/>
      <c r="AJ499" s="147"/>
      <c r="AK499" s="147"/>
      <c r="AL499" s="147"/>
      <c r="AM499" s="151"/>
      <c r="AN499" s="147"/>
      <c r="AO499" s="147"/>
      <c r="AP499" s="147"/>
      <c r="AQ499" s="147"/>
      <c r="AR499" s="147"/>
      <c r="AS499" s="147"/>
      <c r="AT499" s="147"/>
      <c r="AU499" s="147"/>
      <c r="AV499" s="147"/>
      <c r="AW499" s="147"/>
      <c r="AX499" s="147"/>
      <c r="AY499" s="147"/>
      <c r="AZ499" s="147"/>
      <c r="BA499" s="147"/>
      <c r="BB499" s="147"/>
      <c r="BC499" s="147"/>
      <c r="BD499" s="147"/>
      <c r="BE499" s="147"/>
      <c r="BF499" s="147"/>
      <c r="BG499" s="147"/>
      <c r="BH499" s="147"/>
      <c r="BI499" s="147"/>
      <c r="BJ499" s="147"/>
      <c r="BK499" s="147"/>
      <c r="BL499" s="147"/>
      <c r="BM499" s="147"/>
      <c r="BN499" s="147"/>
      <c r="BO499" s="147"/>
      <c r="BP499" s="147"/>
      <c r="BQ499" s="147"/>
      <c r="BR499" s="147"/>
      <c r="BS499" s="147"/>
      <c r="BT499" s="147"/>
      <c r="BU499" s="147"/>
      <c r="BV499" s="147"/>
      <c r="BW499" s="147"/>
      <c r="BX499" s="147"/>
      <c r="BY499" s="147"/>
      <c r="BZ499" s="147"/>
      <c r="CA499" s="147"/>
      <c r="CB499" s="147"/>
      <c r="CC499" s="147"/>
      <c r="CD499" s="147"/>
      <c r="CE499" s="147"/>
      <c r="CF499" s="147"/>
      <c r="CG499" s="147"/>
      <c r="CH499" s="147"/>
      <c r="CI499" s="147"/>
      <c r="CJ499" s="147"/>
      <c r="CK499" s="147"/>
    </row>
    <row r="500" spans="1:89">
      <c r="A500" s="165" t="s">
        <v>579</v>
      </c>
      <c r="B500" s="166" t="s">
        <v>580</v>
      </c>
      <c r="C500" s="167" t="s">
        <v>94</v>
      </c>
      <c r="D500" s="167" t="s">
        <v>887</v>
      </c>
      <c r="E500" s="166" t="s">
        <v>21</v>
      </c>
      <c r="F500" s="166" t="s">
        <v>926</v>
      </c>
      <c r="G500" s="166"/>
      <c r="H500" s="156" t="str">
        <f ca="1">IFERROR(
  _xludf.MINIFS(ATTENDANCE_LOG!$F:$F,
         ATTENDANCE_LOG!$A:$A, C500,
         ATTENDANCE_LOG!$B:$B, E500),
"")</f>
        <v/>
      </c>
      <c r="I500" s="156" t="str">
        <f t="shared" ca="1" si="266"/>
        <v/>
      </c>
      <c r="J500" s="166">
        <f>IFERROR(VLOOKUP(F500, LEVEL_HELPER!$A:$B, 2, 0), "")</f>
        <v>1</v>
      </c>
      <c r="K500" s="166" t="str">
        <f>IFERROR(VLOOKUP(G500, LEVEL_HELPER!$A:$B, 2, 0), "")</f>
        <v/>
      </c>
      <c r="L500" s="169" t="s">
        <v>942</v>
      </c>
      <c r="M500" s="169" t="s">
        <v>924</v>
      </c>
      <c r="N500" s="3">
        <f t="array" aca="1" ref="N500" ca="1">IFERROR(
  INDEX($J$2:$J$543,
    MATCH(A500&amp;TEXT(I500,"yyyy-mm-dd"),
          $A$2:$A$543&amp;TEXT($H$2:$H$543,"yyyy-mm-dd"),
          0)),
"")</f>
        <v>1</v>
      </c>
      <c r="O500" s="170" t="str">
        <f t="shared" ca="1" si="267"/>
        <v/>
      </c>
      <c r="P500" s="147">
        <f t="shared" ref="P500:Q500" ca="1" si="516">IF(N500="",0,IF(N500&lt;=2,1,IF(N500&lt;=4,2,IF(N500&lt;=5.5,3,4))))</f>
        <v>1</v>
      </c>
      <c r="Q500" s="147">
        <f t="shared" ca="1" si="516"/>
        <v>0</v>
      </c>
      <c r="R500" s="147" t="str">
        <f t="shared" ca="1" si="269"/>
        <v>Not tested yet</v>
      </c>
      <c r="S500" s="147">
        <f t="shared" si="270"/>
        <v>1</v>
      </c>
      <c r="T500" s="147"/>
      <c r="U500" s="147"/>
      <c r="V500" s="147"/>
      <c r="W500" s="147"/>
      <c r="X500" s="147"/>
      <c r="Y500" s="147"/>
      <c r="Z500" s="147"/>
      <c r="AA500" s="147"/>
      <c r="AB500" s="147"/>
      <c r="AC500" s="147"/>
      <c r="AD500" s="147"/>
      <c r="AE500" s="147"/>
      <c r="AF500" s="147"/>
      <c r="AG500" s="147"/>
      <c r="AH500" s="147"/>
      <c r="AI500" s="147"/>
      <c r="AJ500" s="147"/>
      <c r="AK500" s="147"/>
      <c r="AL500" s="147"/>
      <c r="AM500" s="151"/>
      <c r="AN500" s="147"/>
      <c r="AO500" s="147"/>
      <c r="AP500" s="147"/>
      <c r="AQ500" s="147"/>
      <c r="AR500" s="147"/>
      <c r="AS500" s="147"/>
      <c r="AT500" s="147"/>
      <c r="AU500" s="147"/>
      <c r="AV500" s="147"/>
      <c r="AW500" s="147"/>
      <c r="AX500" s="147"/>
      <c r="AY500" s="147"/>
      <c r="AZ500" s="147"/>
      <c r="BA500" s="147"/>
      <c r="BB500" s="147"/>
      <c r="BC500" s="147"/>
      <c r="BD500" s="147"/>
      <c r="BE500" s="147"/>
      <c r="BF500" s="147"/>
      <c r="BG500" s="147"/>
      <c r="BH500" s="147"/>
      <c r="BI500" s="147"/>
      <c r="BJ500" s="147"/>
      <c r="BK500" s="147"/>
      <c r="BL500" s="147"/>
      <c r="BM500" s="147"/>
      <c r="BN500" s="147"/>
      <c r="BO500" s="147"/>
      <c r="BP500" s="147"/>
      <c r="BQ500" s="147"/>
      <c r="BR500" s="147"/>
      <c r="BS500" s="147"/>
      <c r="BT500" s="147"/>
      <c r="BU500" s="147"/>
      <c r="BV500" s="147"/>
      <c r="BW500" s="147"/>
      <c r="BX500" s="147"/>
      <c r="BY500" s="147"/>
      <c r="BZ500" s="147"/>
      <c r="CA500" s="147"/>
      <c r="CB500" s="147"/>
      <c r="CC500" s="147"/>
      <c r="CD500" s="147"/>
      <c r="CE500" s="147"/>
      <c r="CF500" s="147"/>
      <c r="CG500" s="147"/>
      <c r="CH500" s="147"/>
      <c r="CI500" s="147"/>
      <c r="CJ500" s="147"/>
      <c r="CK500" s="147"/>
    </row>
    <row r="501" spans="1:89">
      <c r="A501" s="165" t="s">
        <v>613</v>
      </c>
      <c r="B501" s="166" t="s">
        <v>614</v>
      </c>
      <c r="C501" s="167" t="s">
        <v>94</v>
      </c>
      <c r="D501" s="167" t="s">
        <v>887</v>
      </c>
      <c r="E501" s="166" t="s">
        <v>21</v>
      </c>
      <c r="F501" s="166" t="s">
        <v>926</v>
      </c>
      <c r="G501" s="166"/>
      <c r="H501" s="156" t="str">
        <f ca="1">IFERROR(
  _xludf.MINIFS(ATTENDANCE_LOG!$F:$F,
         ATTENDANCE_LOG!$A:$A, C501,
         ATTENDANCE_LOG!$B:$B, E501),
"")</f>
        <v/>
      </c>
      <c r="I501" s="156" t="str">
        <f t="shared" ca="1" si="266"/>
        <v/>
      </c>
      <c r="J501" s="166">
        <f>IFERROR(VLOOKUP(F501, LEVEL_HELPER!$A:$B, 2, 0), "")</f>
        <v>1</v>
      </c>
      <c r="K501" s="166" t="str">
        <f>IFERROR(VLOOKUP(G501, LEVEL_HELPER!$A:$B, 2, 0), "")</f>
        <v/>
      </c>
      <c r="L501" s="169" t="s">
        <v>942</v>
      </c>
      <c r="M501" s="169" t="s">
        <v>924</v>
      </c>
      <c r="N501" s="3">
        <f t="array" aca="1" ref="N501" ca="1">IFERROR(
  INDEX($J$2:$J$543,
    MATCH(A501&amp;TEXT(I501,"yyyy-mm-dd"),
          $A$2:$A$543&amp;TEXT($H$2:$H$543,"yyyy-mm-dd"),
          0)),
"")</f>
        <v>1</v>
      </c>
      <c r="O501" s="170" t="str">
        <f t="shared" ca="1" si="267"/>
        <v/>
      </c>
      <c r="P501" s="147">
        <f t="shared" ref="P501:Q501" ca="1" si="517">IF(N501="",0,IF(N501&lt;=2,1,IF(N501&lt;=4,2,IF(N501&lt;=5.5,3,4))))</f>
        <v>1</v>
      </c>
      <c r="Q501" s="147">
        <f t="shared" ca="1" si="517"/>
        <v>0</v>
      </c>
      <c r="R501" s="147" t="str">
        <f t="shared" ca="1" si="269"/>
        <v>Not tested yet</v>
      </c>
      <c r="S501" s="147">
        <f t="shared" si="270"/>
        <v>1</v>
      </c>
      <c r="T501" s="147"/>
      <c r="U501" s="147"/>
      <c r="V501" s="147"/>
      <c r="W501" s="147"/>
      <c r="X501" s="147"/>
      <c r="Y501" s="147"/>
      <c r="Z501" s="147"/>
      <c r="AA501" s="147"/>
      <c r="AB501" s="147"/>
      <c r="AC501" s="147"/>
      <c r="AD501" s="147"/>
      <c r="AE501" s="147"/>
      <c r="AF501" s="147"/>
      <c r="AG501" s="147"/>
      <c r="AH501" s="147"/>
      <c r="AI501" s="147"/>
      <c r="AJ501" s="147"/>
      <c r="AK501" s="147"/>
      <c r="AL501" s="147"/>
      <c r="AM501" s="151"/>
      <c r="AN501" s="147"/>
      <c r="AO501" s="147"/>
      <c r="AP501" s="147"/>
      <c r="AQ501" s="147"/>
      <c r="AR501" s="147"/>
      <c r="AS501" s="147"/>
      <c r="AT501" s="147"/>
      <c r="AU501" s="147"/>
      <c r="AV501" s="147"/>
      <c r="AW501" s="147"/>
      <c r="AX501" s="147"/>
      <c r="AY501" s="147"/>
      <c r="AZ501" s="147"/>
      <c r="BA501" s="147"/>
      <c r="BB501" s="147"/>
      <c r="BC501" s="147"/>
      <c r="BD501" s="147"/>
      <c r="BE501" s="147"/>
      <c r="BF501" s="147"/>
      <c r="BG501" s="147"/>
      <c r="BH501" s="147"/>
      <c r="BI501" s="147"/>
      <c r="BJ501" s="147"/>
      <c r="BK501" s="147"/>
      <c r="BL501" s="147"/>
      <c r="BM501" s="147"/>
      <c r="BN501" s="147"/>
      <c r="BO501" s="147"/>
      <c r="BP501" s="147"/>
      <c r="BQ501" s="147"/>
      <c r="BR501" s="147"/>
      <c r="BS501" s="147"/>
      <c r="BT501" s="147"/>
      <c r="BU501" s="147"/>
      <c r="BV501" s="147"/>
      <c r="BW501" s="147"/>
      <c r="BX501" s="147"/>
      <c r="BY501" s="147"/>
      <c r="BZ501" s="147"/>
      <c r="CA501" s="147"/>
      <c r="CB501" s="147"/>
      <c r="CC501" s="147"/>
      <c r="CD501" s="147"/>
      <c r="CE501" s="147"/>
      <c r="CF501" s="147"/>
      <c r="CG501" s="147"/>
      <c r="CH501" s="147"/>
      <c r="CI501" s="147"/>
      <c r="CJ501" s="147"/>
      <c r="CK501" s="147"/>
    </row>
    <row r="502" spans="1:89">
      <c r="A502" s="178" t="s">
        <v>953</v>
      </c>
      <c r="B502" s="179" t="s">
        <v>724</v>
      </c>
      <c r="C502" s="180" t="s">
        <v>783</v>
      </c>
      <c r="D502" s="180" t="s">
        <v>891</v>
      </c>
      <c r="E502" s="179" t="s">
        <v>21</v>
      </c>
      <c r="F502" s="179" t="s">
        <v>926</v>
      </c>
      <c r="G502" s="179"/>
      <c r="H502" s="156" t="str">
        <f ca="1">IFERROR(
  _xludf.MINIFS(ATTENDANCE_LOG!$F:$F,
         ATTENDANCE_LOG!$A:$A, C502,
         ATTENDANCE_LOG!$B:$B, E502),
"")</f>
        <v/>
      </c>
      <c r="I502" s="156" t="str">
        <f t="shared" ca="1" si="266"/>
        <v/>
      </c>
      <c r="J502" s="166">
        <f>IFERROR(VLOOKUP(F502, LEVEL_HELPER!$A:$B, 2, 0), "")</f>
        <v>1</v>
      </c>
      <c r="K502" s="166" t="str">
        <f>IFERROR(VLOOKUP(G502, LEVEL_HELPER!$A:$B, 2, 0), "")</f>
        <v/>
      </c>
      <c r="L502" s="181" t="s">
        <v>942</v>
      </c>
      <c r="M502" s="181" t="s">
        <v>924</v>
      </c>
      <c r="N502" s="3">
        <f t="array" aca="1" ref="N502" ca="1">IFERROR(
  INDEX($J$2:$J$543,
    MATCH(A502&amp;TEXT(I502,"yyyy-mm-dd"),
          $A$2:$A$543&amp;TEXT($H$2:$H$543,"yyyy-mm-dd"),
          0)),
"")</f>
        <v>1</v>
      </c>
      <c r="O502" s="170" t="str">
        <f t="shared" ca="1" si="267"/>
        <v/>
      </c>
      <c r="P502" s="147">
        <f t="shared" ref="P502:Q502" ca="1" si="518">IF(N502="",0,IF(N502&lt;=2,1,IF(N502&lt;=4,2,IF(N502&lt;=5.5,3,4))))</f>
        <v>1</v>
      </c>
      <c r="Q502" s="147">
        <f t="shared" ca="1" si="518"/>
        <v>0</v>
      </c>
      <c r="R502" s="147" t="str">
        <f t="shared" ca="1" si="269"/>
        <v>Not tested yet</v>
      </c>
      <c r="S502" s="147">
        <f t="shared" si="270"/>
        <v>1</v>
      </c>
      <c r="T502" s="147"/>
      <c r="U502" s="147"/>
      <c r="V502" s="147"/>
      <c r="W502" s="147"/>
      <c r="X502" s="147"/>
      <c r="Y502" s="147"/>
      <c r="Z502" s="147"/>
      <c r="AA502" s="147"/>
      <c r="AB502" s="147"/>
      <c r="AC502" s="147"/>
      <c r="AD502" s="147"/>
      <c r="AE502" s="147"/>
      <c r="AF502" s="147"/>
      <c r="AG502" s="147"/>
      <c r="AH502" s="147"/>
      <c r="AI502" s="147"/>
      <c r="AJ502" s="147"/>
      <c r="AK502" s="147"/>
      <c r="AL502" s="147"/>
      <c r="AM502" s="151"/>
      <c r="AN502" s="147"/>
      <c r="AO502" s="147"/>
      <c r="AP502" s="147"/>
      <c r="AQ502" s="147"/>
      <c r="AR502" s="147"/>
      <c r="AS502" s="147"/>
      <c r="AT502" s="147"/>
      <c r="AU502" s="147"/>
      <c r="AV502" s="147"/>
      <c r="AW502" s="147"/>
      <c r="AX502" s="147"/>
      <c r="AY502" s="147"/>
      <c r="AZ502" s="147"/>
      <c r="BA502" s="147"/>
      <c r="BB502" s="147"/>
      <c r="BC502" s="147"/>
      <c r="BD502" s="147"/>
      <c r="BE502" s="147"/>
      <c r="BF502" s="147"/>
      <c r="BG502" s="147"/>
      <c r="BH502" s="147"/>
      <c r="BI502" s="147"/>
      <c r="BJ502" s="147"/>
      <c r="BK502" s="147"/>
      <c r="BL502" s="147"/>
      <c r="BM502" s="147"/>
      <c r="BN502" s="147"/>
      <c r="BO502" s="147"/>
      <c r="BP502" s="147"/>
      <c r="BQ502" s="147"/>
      <c r="BR502" s="147"/>
      <c r="BS502" s="147"/>
      <c r="BT502" s="147"/>
      <c r="BU502" s="147"/>
      <c r="BV502" s="147"/>
      <c r="BW502" s="147"/>
      <c r="BX502" s="147"/>
      <c r="BY502" s="147"/>
      <c r="BZ502" s="147"/>
      <c r="CA502" s="147"/>
      <c r="CB502" s="147"/>
      <c r="CC502" s="147"/>
      <c r="CD502" s="147"/>
      <c r="CE502" s="147"/>
      <c r="CF502" s="147"/>
      <c r="CG502" s="147"/>
      <c r="CH502" s="147"/>
      <c r="CI502" s="147"/>
      <c r="CJ502" s="147"/>
      <c r="CK502" s="147"/>
    </row>
    <row r="503" spans="1:89">
      <c r="A503" s="165" t="s">
        <v>725</v>
      </c>
      <c r="B503" s="166" t="s">
        <v>726</v>
      </c>
      <c r="C503" s="167" t="s">
        <v>783</v>
      </c>
      <c r="D503" s="167" t="s">
        <v>891</v>
      </c>
      <c r="E503" s="166" t="s">
        <v>21</v>
      </c>
      <c r="F503" s="166" t="s">
        <v>926</v>
      </c>
      <c r="G503" s="166"/>
      <c r="H503" s="156" t="str">
        <f ca="1">IFERROR(
  _xludf.MINIFS(ATTENDANCE_LOG!$F:$F,
         ATTENDANCE_LOG!$A:$A, C503,
         ATTENDANCE_LOG!$B:$B, E503),
"")</f>
        <v/>
      </c>
      <c r="I503" s="156" t="str">
        <f t="shared" ca="1" si="266"/>
        <v/>
      </c>
      <c r="J503" s="166">
        <f>IFERROR(VLOOKUP(F503, LEVEL_HELPER!$A:$B, 2, 0), "")</f>
        <v>1</v>
      </c>
      <c r="K503" s="166" t="str">
        <f>IFERROR(VLOOKUP(G503, LEVEL_HELPER!$A:$B, 2, 0), "")</f>
        <v/>
      </c>
      <c r="L503" s="169" t="s">
        <v>942</v>
      </c>
      <c r="M503" s="169" t="s">
        <v>924</v>
      </c>
      <c r="N503" s="3">
        <f t="array" aca="1" ref="N503" ca="1">IFERROR(
  INDEX($J$2:$J$543,
    MATCH(A503&amp;TEXT(I503,"yyyy-mm-dd"),
          $A$2:$A$543&amp;TEXT($H$2:$H$543,"yyyy-mm-dd"),
          0)),
"")</f>
        <v>1</v>
      </c>
      <c r="O503" s="170" t="str">
        <f t="shared" ca="1" si="267"/>
        <v/>
      </c>
      <c r="P503" s="147">
        <f t="shared" ref="P503:Q503" ca="1" si="519">IF(N503="",0,IF(N503&lt;=2,1,IF(N503&lt;=4,2,IF(N503&lt;=5.5,3,4))))</f>
        <v>1</v>
      </c>
      <c r="Q503" s="147">
        <f t="shared" ca="1" si="519"/>
        <v>0</v>
      </c>
      <c r="R503" s="147" t="str">
        <f t="shared" ca="1" si="269"/>
        <v>Not tested yet</v>
      </c>
      <c r="S503" s="147">
        <f t="shared" si="270"/>
        <v>1</v>
      </c>
      <c r="T503" s="147"/>
      <c r="U503" s="147"/>
      <c r="V503" s="147"/>
      <c r="W503" s="147"/>
      <c r="X503" s="147"/>
      <c r="Y503" s="147"/>
      <c r="Z503" s="147"/>
      <c r="AA503" s="147"/>
      <c r="AB503" s="147"/>
      <c r="AC503" s="147"/>
      <c r="AD503" s="147"/>
      <c r="AE503" s="147"/>
      <c r="AF503" s="147"/>
      <c r="AG503" s="147"/>
      <c r="AH503" s="147"/>
      <c r="AI503" s="147"/>
      <c r="AJ503" s="147"/>
      <c r="AK503" s="147"/>
      <c r="AL503" s="147"/>
      <c r="AM503" s="151"/>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c r="BI503" s="147"/>
      <c r="BJ503" s="147"/>
      <c r="BK503" s="147"/>
      <c r="BL503" s="147"/>
      <c r="BM503" s="147"/>
      <c r="BN503" s="147"/>
      <c r="BO503" s="147"/>
      <c r="BP503" s="147"/>
      <c r="BQ503" s="147"/>
      <c r="BR503" s="147"/>
      <c r="BS503" s="147"/>
      <c r="BT503" s="147"/>
      <c r="BU503" s="147"/>
      <c r="BV503" s="147"/>
      <c r="BW503" s="147"/>
      <c r="BX503" s="147"/>
      <c r="BY503" s="147"/>
      <c r="BZ503" s="147"/>
      <c r="CA503" s="147"/>
      <c r="CB503" s="147"/>
      <c r="CC503" s="147"/>
      <c r="CD503" s="147"/>
      <c r="CE503" s="147"/>
      <c r="CF503" s="147"/>
      <c r="CG503" s="147"/>
      <c r="CH503" s="147"/>
      <c r="CI503" s="147"/>
      <c r="CJ503" s="147"/>
      <c r="CK503" s="147"/>
    </row>
    <row r="504" spans="1:89">
      <c r="A504" s="165" t="s">
        <v>727</v>
      </c>
      <c r="B504" s="166" t="s">
        <v>728</v>
      </c>
      <c r="C504" s="167" t="s">
        <v>783</v>
      </c>
      <c r="D504" s="167" t="s">
        <v>891</v>
      </c>
      <c r="E504" s="166" t="s">
        <v>21</v>
      </c>
      <c r="F504" s="166" t="s">
        <v>926</v>
      </c>
      <c r="G504" s="166"/>
      <c r="H504" s="156" t="str">
        <f ca="1">IFERROR(
  _xludf.MINIFS(ATTENDANCE_LOG!$F:$F,
         ATTENDANCE_LOG!$A:$A, C504,
         ATTENDANCE_LOG!$B:$B, E504),
"")</f>
        <v/>
      </c>
      <c r="I504" s="156" t="str">
        <f t="shared" ca="1" si="266"/>
        <v/>
      </c>
      <c r="J504" s="166">
        <f>IFERROR(VLOOKUP(F504, LEVEL_HELPER!$A:$B, 2, 0), "")</f>
        <v>1</v>
      </c>
      <c r="K504" s="166" t="str">
        <f>IFERROR(VLOOKUP(G504, LEVEL_HELPER!$A:$B, 2, 0), "")</f>
        <v/>
      </c>
      <c r="L504" s="169" t="s">
        <v>942</v>
      </c>
      <c r="M504" s="169" t="s">
        <v>924</v>
      </c>
      <c r="N504" s="3">
        <f t="array" aca="1" ref="N504" ca="1">IFERROR(
  INDEX($J$2:$J$543,
    MATCH(A504&amp;TEXT(I504,"yyyy-mm-dd"),
          $A$2:$A$543&amp;TEXT($H$2:$H$543,"yyyy-mm-dd"),
          0)),
"")</f>
        <v>1</v>
      </c>
      <c r="O504" s="170" t="str">
        <f t="shared" ca="1" si="267"/>
        <v/>
      </c>
      <c r="P504" s="147">
        <f t="shared" ref="P504:Q504" ca="1" si="520">IF(N504="",0,IF(N504&lt;=2,1,IF(N504&lt;=4,2,IF(N504&lt;=5.5,3,4))))</f>
        <v>1</v>
      </c>
      <c r="Q504" s="147">
        <f t="shared" ca="1" si="520"/>
        <v>0</v>
      </c>
      <c r="R504" s="147" t="str">
        <f t="shared" ca="1" si="269"/>
        <v>Not tested yet</v>
      </c>
      <c r="S504" s="147">
        <f t="shared" si="270"/>
        <v>1</v>
      </c>
      <c r="T504" s="147"/>
      <c r="U504" s="147"/>
      <c r="V504" s="147"/>
      <c r="W504" s="147"/>
      <c r="X504" s="147"/>
      <c r="Y504" s="147"/>
      <c r="Z504" s="147"/>
      <c r="AA504" s="147"/>
      <c r="AB504" s="147"/>
      <c r="AC504" s="147"/>
      <c r="AD504" s="147"/>
      <c r="AE504" s="147"/>
      <c r="AF504" s="147"/>
      <c r="AG504" s="147"/>
      <c r="AH504" s="147"/>
      <c r="AI504" s="147"/>
      <c r="AJ504" s="147"/>
      <c r="AK504" s="147"/>
      <c r="AL504" s="147"/>
      <c r="AM504" s="151"/>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c r="BI504" s="147"/>
      <c r="BJ504" s="147"/>
      <c r="BK504" s="147"/>
      <c r="BL504" s="147"/>
      <c r="BM504" s="147"/>
      <c r="BN504" s="147"/>
      <c r="BO504" s="147"/>
      <c r="BP504" s="147"/>
      <c r="BQ504" s="147"/>
      <c r="BR504" s="147"/>
      <c r="BS504" s="147"/>
      <c r="BT504" s="147"/>
      <c r="BU504" s="147"/>
      <c r="BV504" s="147"/>
      <c r="BW504" s="147"/>
      <c r="BX504" s="147"/>
      <c r="BY504" s="147"/>
      <c r="BZ504" s="147"/>
      <c r="CA504" s="147"/>
      <c r="CB504" s="147"/>
      <c r="CC504" s="147"/>
      <c r="CD504" s="147"/>
      <c r="CE504" s="147"/>
      <c r="CF504" s="147"/>
      <c r="CG504" s="147"/>
      <c r="CH504" s="147"/>
      <c r="CI504" s="147"/>
      <c r="CJ504" s="147"/>
      <c r="CK504" s="147"/>
    </row>
    <row r="505" spans="1:89">
      <c r="A505" s="165" t="s">
        <v>729</v>
      </c>
      <c r="B505" s="166" t="s">
        <v>730</v>
      </c>
      <c r="C505" s="167" t="s">
        <v>783</v>
      </c>
      <c r="D505" s="167" t="s">
        <v>891</v>
      </c>
      <c r="E505" s="166" t="s">
        <v>21</v>
      </c>
      <c r="F505" s="166" t="s">
        <v>926</v>
      </c>
      <c r="G505" s="166"/>
      <c r="H505" s="156" t="str">
        <f ca="1">IFERROR(
  _xludf.MINIFS(ATTENDANCE_LOG!$F:$F,
         ATTENDANCE_LOG!$A:$A, C505,
         ATTENDANCE_LOG!$B:$B, E505),
"")</f>
        <v/>
      </c>
      <c r="I505" s="156" t="str">
        <f t="shared" ca="1" si="266"/>
        <v/>
      </c>
      <c r="J505" s="166">
        <f>IFERROR(VLOOKUP(F505, LEVEL_HELPER!$A:$B, 2, 0), "")</f>
        <v>1</v>
      </c>
      <c r="K505" s="166" t="str">
        <f>IFERROR(VLOOKUP(G505, LEVEL_HELPER!$A:$B, 2, 0), "")</f>
        <v/>
      </c>
      <c r="L505" s="169" t="s">
        <v>942</v>
      </c>
      <c r="M505" s="169" t="s">
        <v>924</v>
      </c>
      <c r="N505" s="3">
        <f t="array" aca="1" ref="N505" ca="1">IFERROR(
  INDEX($J$2:$J$543,
    MATCH(A505&amp;TEXT(I505,"yyyy-mm-dd"),
          $A$2:$A$543&amp;TEXT($H$2:$H$543,"yyyy-mm-dd"),
          0)),
"")</f>
        <v>1</v>
      </c>
      <c r="O505" s="170" t="str">
        <f t="shared" ca="1" si="267"/>
        <v/>
      </c>
      <c r="P505" s="147">
        <f t="shared" ref="P505:Q505" ca="1" si="521">IF(N505="",0,IF(N505&lt;=2,1,IF(N505&lt;=4,2,IF(N505&lt;=5.5,3,4))))</f>
        <v>1</v>
      </c>
      <c r="Q505" s="147">
        <f t="shared" ca="1" si="521"/>
        <v>0</v>
      </c>
      <c r="R505" s="147" t="str">
        <f t="shared" ca="1" si="269"/>
        <v>Not tested yet</v>
      </c>
      <c r="S505" s="147">
        <f t="shared" si="270"/>
        <v>1</v>
      </c>
      <c r="T505" s="147"/>
      <c r="U505" s="147"/>
      <c r="V505" s="147"/>
      <c r="W505" s="147"/>
      <c r="X505" s="147"/>
      <c r="Y505" s="147"/>
      <c r="Z505" s="147"/>
      <c r="AA505" s="147"/>
      <c r="AB505" s="147"/>
      <c r="AC505" s="147"/>
      <c r="AD505" s="147"/>
      <c r="AE505" s="147"/>
      <c r="AF505" s="147"/>
      <c r="AG505" s="147"/>
      <c r="AH505" s="147"/>
      <c r="AI505" s="147"/>
      <c r="AJ505" s="147"/>
      <c r="AK505" s="147"/>
      <c r="AL505" s="147"/>
      <c r="AM505" s="151"/>
      <c r="AN505" s="147"/>
      <c r="AO505" s="147"/>
      <c r="AP505" s="147"/>
      <c r="AQ505" s="147"/>
      <c r="AR505" s="147"/>
      <c r="AS505" s="147"/>
      <c r="AT505" s="147"/>
      <c r="AU505" s="147"/>
      <c r="AV505" s="147"/>
      <c r="AW505" s="147"/>
      <c r="AX505" s="147"/>
      <c r="AY505" s="147"/>
      <c r="AZ505" s="147"/>
      <c r="BA505" s="147"/>
      <c r="BB505" s="147"/>
      <c r="BC505" s="147"/>
      <c r="BD505" s="147"/>
      <c r="BE505" s="147"/>
      <c r="BF505" s="147"/>
      <c r="BG505" s="147"/>
      <c r="BH505" s="147"/>
      <c r="BI505" s="147"/>
      <c r="BJ505" s="147"/>
      <c r="BK505" s="147"/>
      <c r="BL505" s="147"/>
      <c r="BM505" s="147"/>
      <c r="BN505" s="147"/>
      <c r="BO505" s="147"/>
      <c r="BP505" s="147"/>
      <c r="BQ505" s="147"/>
      <c r="BR505" s="147"/>
      <c r="BS505" s="147"/>
      <c r="BT505" s="147"/>
      <c r="BU505" s="147"/>
      <c r="BV505" s="147"/>
      <c r="BW505" s="147"/>
      <c r="BX505" s="147"/>
      <c r="BY505" s="147"/>
      <c r="BZ505" s="147"/>
      <c r="CA505" s="147"/>
      <c r="CB505" s="147"/>
      <c r="CC505" s="147"/>
      <c r="CD505" s="147"/>
      <c r="CE505" s="147"/>
      <c r="CF505" s="147"/>
      <c r="CG505" s="147"/>
      <c r="CH505" s="147"/>
      <c r="CI505" s="147"/>
      <c r="CJ505" s="147"/>
      <c r="CK505" s="147"/>
    </row>
    <row r="506" spans="1:89">
      <c r="A506" s="165" t="s">
        <v>731</v>
      </c>
      <c r="B506" s="166" t="s">
        <v>732</v>
      </c>
      <c r="C506" s="167" t="s">
        <v>783</v>
      </c>
      <c r="D506" s="167" t="s">
        <v>891</v>
      </c>
      <c r="E506" s="166" t="s">
        <v>21</v>
      </c>
      <c r="F506" s="166" t="s">
        <v>926</v>
      </c>
      <c r="G506" s="166"/>
      <c r="H506" s="156" t="str">
        <f ca="1">IFERROR(
  _xludf.MINIFS(ATTENDANCE_LOG!$F:$F,
         ATTENDANCE_LOG!$A:$A, C506,
         ATTENDANCE_LOG!$B:$B, E506),
"")</f>
        <v/>
      </c>
      <c r="I506" s="156" t="str">
        <f t="shared" ca="1" si="266"/>
        <v/>
      </c>
      <c r="J506" s="166">
        <f>IFERROR(VLOOKUP(F506, LEVEL_HELPER!$A:$B, 2, 0), "")</f>
        <v>1</v>
      </c>
      <c r="K506" s="166" t="str">
        <f>IFERROR(VLOOKUP(G506, LEVEL_HELPER!$A:$B, 2, 0), "")</f>
        <v/>
      </c>
      <c r="L506" s="169" t="s">
        <v>942</v>
      </c>
      <c r="M506" s="169" t="s">
        <v>924</v>
      </c>
      <c r="N506" s="3">
        <f t="array" aca="1" ref="N506" ca="1">IFERROR(
  INDEX($J$2:$J$543,
    MATCH(A506&amp;TEXT(I506,"yyyy-mm-dd"),
          $A$2:$A$543&amp;TEXT($H$2:$H$543,"yyyy-mm-dd"),
          0)),
"")</f>
        <v>1</v>
      </c>
      <c r="O506" s="170" t="str">
        <f t="shared" ca="1" si="267"/>
        <v/>
      </c>
      <c r="P506" s="147">
        <f t="shared" ref="P506:Q506" ca="1" si="522">IF(N506="",0,IF(N506&lt;=2,1,IF(N506&lt;=4,2,IF(N506&lt;=5.5,3,4))))</f>
        <v>1</v>
      </c>
      <c r="Q506" s="147">
        <f t="shared" ca="1" si="522"/>
        <v>0</v>
      </c>
      <c r="R506" s="147" t="str">
        <f t="shared" ca="1" si="269"/>
        <v>Not tested yet</v>
      </c>
      <c r="S506" s="147">
        <f t="shared" si="270"/>
        <v>1</v>
      </c>
      <c r="T506" s="147"/>
      <c r="U506" s="147"/>
      <c r="V506" s="147"/>
      <c r="W506" s="147"/>
      <c r="X506" s="147"/>
      <c r="Y506" s="147"/>
      <c r="Z506" s="147"/>
      <c r="AA506" s="147"/>
      <c r="AB506" s="147"/>
      <c r="AC506" s="147"/>
      <c r="AD506" s="147"/>
      <c r="AE506" s="147"/>
      <c r="AF506" s="147"/>
      <c r="AG506" s="147"/>
      <c r="AH506" s="147"/>
      <c r="AI506" s="147"/>
      <c r="AJ506" s="147"/>
      <c r="AK506" s="147"/>
      <c r="AL506" s="147"/>
      <c r="AM506" s="151"/>
      <c r="AN506" s="147"/>
      <c r="AO506" s="147"/>
      <c r="AP506" s="147"/>
      <c r="AQ506" s="147"/>
      <c r="AR506" s="147"/>
      <c r="AS506" s="147"/>
      <c r="AT506" s="147"/>
      <c r="AU506" s="147"/>
      <c r="AV506" s="147"/>
      <c r="AW506" s="147"/>
      <c r="AX506" s="147"/>
      <c r="AY506" s="147"/>
      <c r="AZ506" s="147"/>
      <c r="BA506" s="147"/>
      <c r="BB506" s="147"/>
      <c r="BC506" s="147"/>
      <c r="BD506" s="147"/>
      <c r="BE506" s="147"/>
      <c r="BF506" s="147"/>
      <c r="BG506" s="147"/>
      <c r="BH506" s="147"/>
      <c r="BI506" s="147"/>
      <c r="BJ506" s="147"/>
      <c r="BK506" s="147"/>
      <c r="BL506" s="147"/>
      <c r="BM506" s="147"/>
      <c r="BN506" s="147"/>
      <c r="BO506" s="147"/>
      <c r="BP506" s="147"/>
      <c r="BQ506" s="147"/>
      <c r="BR506" s="147"/>
      <c r="BS506" s="147"/>
      <c r="BT506" s="147"/>
      <c r="BU506" s="147"/>
      <c r="BV506" s="147"/>
      <c r="BW506" s="147"/>
      <c r="BX506" s="147"/>
      <c r="BY506" s="147"/>
      <c r="BZ506" s="147"/>
      <c r="CA506" s="147"/>
      <c r="CB506" s="147"/>
      <c r="CC506" s="147"/>
      <c r="CD506" s="147"/>
      <c r="CE506" s="147"/>
      <c r="CF506" s="147"/>
      <c r="CG506" s="147"/>
      <c r="CH506" s="147"/>
      <c r="CI506" s="147"/>
      <c r="CJ506" s="147"/>
      <c r="CK506" s="147"/>
    </row>
    <row r="507" spans="1:89">
      <c r="A507" s="165" t="s">
        <v>733</v>
      </c>
      <c r="B507" s="166" t="s">
        <v>734</v>
      </c>
      <c r="C507" s="167" t="s">
        <v>783</v>
      </c>
      <c r="D507" s="167" t="s">
        <v>891</v>
      </c>
      <c r="E507" s="166" t="s">
        <v>21</v>
      </c>
      <c r="F507" s="166" t="s">
        <v>926</v>
      </c>
      <c r="G507" s="166"/>
      <c r="H507" s="156" t="str">
        <f ca="1">IFERROR(
  _xludf.MINIFS(ATTENDANCE_LOG!$F:$F,
         ATTENDANCE_LOG!$A:$A, C507,
         ATTENDANCE_LOG!$B:$B, E507),
"")</f>
        <v/>
      </c>
      <c r="I507" s="156" t="str">
        <f t="shared" ca="1" si="266"/>
        <v/>
      </c>
      <c r="J507" s="166">
        <f>IFERROR(VLOOKUP(F507, LEVEL_HELPER!$A:$B, 2, 0), "")</f>
        <v>1</v>
      </c>
      <c r="K507" s="166" t="str">
        <f>IFERROR(VLOOKUP(G507, LEVEL_HELPER!$A:$B, 2, 0), "")</f>
        <v/>
      </c>
      <c r="L507" s="169" t="s">
        <v>942</v>
      </c>
      <c r="M507" s="169" t="s">
        <v>924</v>
      </c>
      <c r="N507" s="3">
        <f t="array" aca="1" ref="N507" ca="1">IFERROR(
  INDEX($J$2:$J$543,
    MATCH(A507&amp;TEXT(I507,"yyyy-mm-dd"),
          $A$2:$A$543&amp;TEXT($H$2:$H$543,"yyyy-mm-dd"),
          0)),
"")</f>
        <v>1</v>
      </c>
      <c r="O507" s="170" t="str">
        <f t="shared" ca="1" si="267"/>
        <v/>
      </c>
      <c r="P507" s="147">
        <f t="shared" ref="P507:Q507" ca="1" si="523">IF(N507="",0,IF(N507&lt;=2,1,IF(N507&lt;=4,2,IF(N507&lt;=5.5,3,4))))</f>
        <v>1</v>
      </c>
      <c r="Q507" s="147">
        <f t="shared" ca="1" si="523"/>
        <v>0</v>
      </c>
      <c r="R507" s="147" t="str">
        <f t="shared" ca="1" si="269"/>
        <v>Not tested yet</v>
      </c>
      <c r="S507" s="147">
        <f t="shared" si="270"/>
        <v>1</v>
      </c>
      <c r="T507" s="147"/>
      <c r="U507" s="147"/>
      <c r="V507" s="147"/>
      <c r="W507" s="147"/>
      <c r="X507" s="147"/>
      <c r="Y507" s="147"/>
      <c r="Z507" s="147"/>
      <c r="AA507" s="147"/>
      <c r="AB507" s="147"/>
      <c r="AC507" s="147"/>
      <c r="AD507" s="147"/>
      <c r="AE507" s="147"/>
      <c r="AF507" s="147"/>
      <c r="AG507" s="147"/>
      <c r="AH507" s="147"/>
      <c r="AI507" s="147"/>
      <c r="AJ507" s="147"/>
      <c r="AK507" s="147"/>
      <c r="AL507" s="147"/>
      <c r="AM507" s="151"/>
      <c r="AN507" s="147"/>
      <c r="AO507" s="147"/>
      <c r="AP507" s="147"/>
      <c r="AQ507" s="147"/>
      <c r="AR507" s="147"/>
      <c r="AS507" s="147"/>
      <c r="AT507" s="147"/>
      <c r="AU507" s="147"/>
      <c r="AV507" s="147"/>
      <c r="AW507" s="147"/>
      <c r="AX507" s="147"/>
      <c r="AY507" s="147"/>
      <c r="AZ507" s="147"/>
      <c r="BA507" s="147"/>
      <c r="BB507" s="147"/>
      <c r="BC507" s="147"/>
      <c r="BD507" s="147"/>
      <c r="BE507" s="147"/>
      <c r="BF507" s="147"/>
      <c r="BG507" s="147"/>
      <c r="BH507" s="147"/>
      <c r="BI507" s="147"/>
      <c r="BJ507" s="147"/>
      <c r="BK507" s="147"/>
      <c r="BL507" s="147"/>
      <c r="BM507" s="147"/>
      <c r="BN507" s="147"/>
      <c r="BO507" s="147"/>
      <c r="BP507" s="147"/>
      <c r="BQ507" s="147"/>
      <c r="BR507" s="147"/>
      <c r="BS507" s="147"/>
      <c r="BT507" s="147"/>
      <c r="BU507" s="147"/>
      <c r="BV507" s="147"/>
      <c r="BW507" s="147"/>
      <c r="BX507" s="147"/>
      <c r="BY507" s="147"/>
      <c r="BZ507" s="147"/>
      <c r="CA507" s="147"/>
      <c r="CB507" s="147"/>
      <c r="CC507" s="147"/>
      <c r="CD507" s="147"/>
      <c r="CE507" s="147"/>
      <c r="CF507" s="147"/>
      <c r="CG507" s="147"/>
      <c r="CH507" s="147"/>
      <c r="CI507" s="147"/>
      <c r="CJ507" s="147"/>
      <c r="CK507" s="147"/>
    </row>
    <row r="508" spans="1:89">
      <c r="A508" s="178" t="s">
        <v>735</v>
      </c>
      <c r="B508" s="179" t="s">
        <v>736</v>
      </c>
      <c r="C508" s="180" t="s">
        <v>794</v>
      </c>
      <c r="D508" s="180" t="s">
        <v>892</v>
      </c>
      <c r="E508" s="179" t="s">
        <v>21</v>
      </c>
      <c r="F508" s="179" t="s">
        <v>926</v>
      </c>
      <c r="G508" s="179"/>
      <c r="H508" s="156" t="str">
        <f ca="1">IFERROR(
  _xludf.MINIFS(ATTENDANCE_LOG!$F:$F,
         ATTENDANCE_LOG!$A:$A, C508,
         ATTENDANCE_LOG!$B:$B, E508),
"")</f>
        <v/>
      </c>
      <c r="I508" s="156" t="str">
        <f t="shared" ca="1" si="266"/>
        <v/>
      </c>
      <c r="J508" s="166">
        <f>IFERROR(VLOOKUP(F508, LEVEL_HELPER!$A:$B, 2, 0), "")</f>
        <v>1</v>
      </c>
      <c r="K508" s="166" t="str">
        <f>IFERROR(VLOOKUP(G508, LEVEL_HELPER!$A:$B, 2, 0), "")</f>
        <v/>
      </c>
      <c r="L508" s="181" t="s">
        <v>942</v>
      </c>
      <c r="M508" s="181" t="s">
        <v>924</v>
      </c>
      <c r="N508" s="3">
        <f t="array" aca="1" ref="N508" ca="1">IFERROR(
  INDEX($J$2:$J$543,
    MATCH(A508&amp;TEXT(I508,"yyyy-mm-dd"),
          $A$2:$A$543&amp;TEXT($H$2:$H$543,"yyyy-mm-dd"),
          0)),
"")</f>
        <v>1</v>
      </c>
      <c r="O508" s="170" t="str">
        <f t="shared" ca="1" si="267"/>
        <v/>
      </c>
      <c r="P508" s="147">
        <f t="shared" ref="P508:Q508" ca="1" si="524">IF(N508="",0,IF(N508&lt;=2,1,IF(N508&lt;=4,2,IF(N508&lt;=5.5,3,4))))</f>
        <v>1</v>
      </c>
      <c r="Q508" s="147">
        <f t="shared" ca="1" si="524"/>
        <v>0</v>
      </c>
      <c r="R508" s="147" t="str">
        <f t="shared" ca="1" si="269"/>
        <v>Not tested yet</v>
      </c>
      <c r="S508" s="147">
        <f t="shared" si="270"/>
        <v>1</v>
      </c>
      <c r="T508" s="147"/>
      <c r="U508" s="147"/>
      <c r="V508" s="147"/>
      <c r="W508" s="147"/>
      <c r="X508" s="147"/>
      <c r="Y508" s="147"/>
      <c r="Z508" s="147"/>
      <c r="AA508" s="147"/>
      <c r="AB508" s="147"/>
      <c r="AC508" s="147"/>
      <c r="AD508" s="147"/>
      <c r="AE508" s="147"/>
      <c r="AF508" s="147"/>
      <c r="AG508" s="147"/>
      <c r="AH508" s="147"/>
      <c r="AI508" s="147"/>
      <c r="AJ508" s="147"/>
      <c r="AK508" s="147"/>
      <c r="AL508" s="147"/>
      <c r="AM508" s="151"/>
      <c r="AN508" s="147"/>
      <c r="AO508" s="147"/>
      <c r="AP508" s="147"/>
      <c r="AQ508" s="147"/>
      <c r="AR508" s="147"/>
      <c r="AS508" s="147"/>
      <c r="AT508" s="147"/>
      <c r="AU508" s="147"/>
      <c r="AV508" s="147"/>
      <c r="AW508" s="147"/>
      <c r="AX508" s="147"/>
      <c r="AY508" s="147"/>
      <c r="AZ508" s="147"/>
      <c r="BA508" s="147"/>
      <c r="BB508" s="147"/>
      <c r="BC508" s="147"/>
      <c r="BD508" s="147"/>
      <c r="BE508" s="147"/>
      <c r="BF508" s="147"/>
      <c r="BG508" s="147"/>
      <c r="BH508" s="147"/>
      <c r="BI508" s="147"/>
      <c r="BJ508" s="147"/>
      <c r="BK508" s="147"/>
      <c r="BL508" s="147"/>
      <c r="BM508" s="147"/>
      <c r="BN508" s="147"/>
      <c r="BO508" s="147"/>
      <c r="BP508" s="147"/>
      <c r="BQ508" s="147"/>
      <c r="BR508" s="147"/>
      <c r="BS508" s="147"/>
      <c r="BT508" s="147"/>
      <c r="BU508" s="147"/>
      <c r="BV508" s="147"/>
      <c r="BW508" s="147"/>
      <c r="BX508" s="147"/>
      <c r="BY508" s="147"/>
      <c r="BZ508" s="147"/>
      <c r="CA508" s="147"/>
      <c r="CB508" s="147"/>
      <c r="CC508" s="147"/>
      <c r="CD508" s="147"/>
      <c r="CE508" s="147"/>
      <c r="CF508" s="147"/>
      <c r="CG508" s="147"/>
      <c r="CH508" s="147"/>
      <c r="CI508" s="147"/>
      <c r="CJ508" s="147"/>
      <c r="CK508" s="147"/>
    </row>
    <row r="509" spans="1:89">
      <c r="A509" s="165" t="s">
        <v>737</v>
      </c>
      <c r="B509" s="166" t="s">
        <v>738</v>
      </c>
      <c r="C509" s="167" t="s">
        <v>794</v>
      </c>
      <c r="D509" s="167" t="s">
        <v>892</v>
      </c>
      <c r="E509" s="166" t="s">
        <v>21</v>
      </c>
      <c r="F509" s="166" t="s">
        <v>926</v>
      </c>
      <c r="G509" s="166"/>
      <c r="H509" s="156" t="str">
        <f ca="1">IFERROR(
  _xludf.MINIFS(ATTENDANCE_LOG!$F:$F,
         ATTENDANCE_LOG!$A:$A, C509,
         ATTENDANCE_LOG!$B:$B, E509),
"")</f>
        <v/>
      </c>
      <c r="I509" s="156" t="str">
        <f t="shared" ca="1" si="266"/>
        <v/>
      </c>
      <c r="J509" s="166">
        <f>IFERROR(VLOOKUP(F509, LEVEL_HELPER!$A:$B, 2, 0), "")</f>
        <v>1</v>
      </c>
      <c r="K509" s="166" t="str">
        <f>IFERROR(VLOOKUP(G509, LEVEL_HELPER!$A:$B, 2, 0), "")</f>
        <v/>
      </c>
      <c r="L509" s="169" t="s">
        <v>942</v>
      </c>
      <c r="M509" s="169" t="s">
        <v>924</v>
      </c>
      <c r="N509" s="3">
        <f t="array" aca="1" ref="N509" ca="1">IFERROR(
  INDEX($J$2:$J$543,
    MATCH(A509&amp;TEXT(I509,"yyyy-mm-dd"),
          $A$2:$A$543&amp;TEXT($H$2:$H$543,"yyyy-mm-dd"),
          0)),
"")</f>
        <v>1</v>
      </c>
      <c r="O509" s="170" t="str">
        <f t="shared" ca="1" si="267"/>
        <v/>
      </c>
      <c r="P509" s="147">
        <f t="shared" ref="P509:Q509" ca="1" si="525">IF(N509="",0,IF(N509&lt;=2,1,IF(N509&lt;=4,2,IF(N509&lt;=5.5,3,4))))</f>
        <v>1</v>
      </c>
      <c r="Q509" s="147">
        <f t="shared" ca="1" si="525"/>
        <v>0</v>
      </c>
      <c r="R509" s="147" t="str">
        <f t="shared" ca="1" si="269"/>
        <v>Not tested yet</v>
      </c>
      <c r="S509" s="147">
        <f t="shared" si="270"/>
        <v>1</v>
      </c>
      <c r="T509" s="147"/>
      <c r="U509" s="147"/>
      <c r="V509" s="147"/>
      <c r="W509" s="147"/>
      <c r="X509" s="147"/>
      <c r="Y509" s="147"/>
      <c r="Z509" s="147"/>
      <c r="AA509" s="147"/>
      <c r="AB509" s="147"/>
      <c r="AC509" s="147"/>
      <c r="AD509" s="147"/>
      <c r="AE509" s="147"/>
      <c r="AF509" s="147"/>
      <c r="AG509" s="147"/>
      <c r="AH509" s="147"/>
      <c r="AI509" s="147"/>
      <c r="AJ509" s="147"/>
      <c r="AK509" s="147"/>
      <c r="AL509" s="147"/>
      <c r="AM509" s="151"/>
      <c r="AN509" s="147"/>
      <c r="AO509" s="147"/>
      <c r="AP509" s="147"/>
      <c r="AQ509" s="147"/>
      <c r="AR509" s="147"/>
      <c r="AS509" s="147"/>
      <c r="AT509" s="147"/>
      <c r="AU509" s="147"/>
      <c r="AV509" s="147"/>
      <c r="AW509" s="147"/>
      <c r="AX509" s="147"/>
      <c r="AY509" s="147"/>
      <c r="AZ509" s="147"/>
      <c r="BA509" s="147"/>
      <c r="BB509" s="147"/>
      <c r="BC509" s="147"/>
      <c r="BD509" s="147"/>
      <c r="BE509" s="147"/>
      <c r="BF509" s="147"/>
      <c r="BG509" s="147"/>
      <c r="BH509" s="147"/>
      <c r="BI509" s="147"/>
      <c r="BJ509" s="147"/>
      <c r="BK509" s="147"/>
      <c r="BL509" s="147"/>
      <c r="BM509" s="147"/>
      <c r="BN509" s="147"/>
      <c r="BO509" s="147"/>
      <c r="BP509" s="147"/>
      <c r="BQ509" s="147"/>
      <c r="BR509" s="147"/>
      <c r="BS509" s="147"/>
      <c r="BT509" s="147"/>
      <c r="BU509" s="147"/>
      <c r="BV509" s="147"/>
      <c r="BW509" s="147"/>
      <c r="BX509" s="147"/>
      <c r="BY509" s="147"/>
      <c r="BZ509" s="147"/>
      <c r="CA509" s="147"/>
      <c r="CB509" s="147"/>
      <c r="CC509" s="147"/>
      <c r="CD509" s="147"/>
      <c r="CE509" s="147"/>
      <c r="CF509" s="147"/>
      <c r="CG509" s="147"/>
      <c r="CH509" s="147"/>
      <c r="CI509" s="147"/>
      <c r="CJ509" s="147"/>
      <c r="CK509" s="147"/>
    </row>
    <row r="510" spans="1:89">
      <c r="A510" s="165" t="s">
        <v>739</v>
      </c>
      <c r="B510" s="166" t="s">
        <v>740</v>
      </c>
      <c r="C510" s="167" t="s">
        <v>794</v>
      </c>
      <c r="D510" s="167" t="s">
        <v>892</v>
      </c>
      <c r="E510" s="166" t="s">
        <v>21</v>
      </c>
      <c r="F510" s="166" t="s">
        <v>926</v>
      </c>
      <c r="G510" s="166"/>
      <c r="H510" s="156" t="str">
        <f ca="1">IFERROR(
  _xludf.MINIFS(ATTENDANCE_LOG!$F:$F,
         ATTENDANCE_LOG!$A:$A, C510,
         ATTENDANCE_LOG!$B:$B, E510),
"")</f>
        <v/>
      </c>
      <c r="I510" s="156" t="str">
        <f t="shared" ca="1" si="266"/>
        <v/>
      </c>
      <c r="J510" s="166">
        <f>IFERROR(VLOOKUP(F510, LEVEL_HELPER!$A:$B, 2, 0), "")</f>
        <v>1</v>
      </c>
      <c r="K510" s="166" t="str">
        <f>IFERROR(VLOOKUP(G510, LEVEL_HELPER!$A:$B, 2, 0), "")</f>
        <v/>
      </c>
      <c r="L510" s="169" t="s">
        <v>942</v>
      </c>
      <c r="M510" s="169" t="s">
        <v>924</v>
      </c>
      <c r="N510" s="3">
        <f t="array" aca="1" ref="N510" ca="1">IFERROR(
  INDEX($J$2:$J$543,
    MATCH(A510&amp;TEXT(I510,"yyyy-mm-dd"),
          $A$2:$A$543&amp;TEXT($H$2:$H$543,"yyyy-mm-dd"),
          0)),
"")</f>
        <v>1</v>
      </c>
      <c r="O510" s="170" t="str">
        <f t="shared" ca="1" si="267"/>
        <v/>
      </c>
      <c r="P510" s="147">
        <f t="shared" ref="P510:Q510" ca="1" si="526">IF(N510="",0,IF(N510&lt;=2,1,IF(N510&lt;=4,2,IF(N510&lt;=5.5,3,4))))</f>
        <v>1</v>
      </c>
      <c r="Q510" s="147">
        <f t="shared" ca="1" si="526"/>
        <v>0</v>
      </c>
      <c r="R510" s="147" t="str">
        <f t="shared" ca="1" si="269"/>
        <v>Not tested yet</v>
      </c>
      <c r="S510" s="147">
        <f t="shared" si="270"/>
        <v>1</v>
      </c>
      <c r="T510" s="147"/>
      <c r="U510" s="147"/>
      <c r="V510" s="147"/>
      <c r="W510" s="147"/>
      <c r="X510" s="147"/>
      <c r="Y510" s="147"/>
      <c r="Z510" s="147"/>
      <c r="AA510" s="147"/>
      <c r="AB510" s="147"/>
      <c r="AC510" s="147"/>
      <c r="AD510" s="147"/>
      <c r="AE510" s="147"/>
      <c r="AF510" s="147"/>
      <c r="AG510" s="147"/>
      <c r="AH510" s="147"/>
      <c r="AI510" s="147"/>
      <c r="AJ510" s="147"/>
      <c r="AK510" s="147"/>
      <c r="AL510" s="147"/>
      <c r="AM510" s="151"/>
      <c r="AN510" s="147"/>
      <c r="AO510" s="147"/>
      <c r="AP510" s="147"/>
      <c r="AQ510" s="147"/>
      <c r="AR510" s="147"/>
      <c r="AS510" s="147"/>
      <c r="AT510" s="147"/>
      <c r="AU510" s="147"/>
      <c r="AV510" s="147"/>
      <c r="AW510" s="147"/>
      <c r="AX510" s="147"/>
      <c r="AY510" s="147"/>
      <c r="AZ510" s="147"/>
      <c r="BA510" s="147"/>
      <c r="BB510" s="147"/>
      <c r="BC510" s="147"/>
      <c r="BD510" s="147"/>
      <c r="BE510" s="147"/>
      <c r="BF510" s="147"/>
      <c r="BG510" s="147"/>
      <c r="BH510" s="147"/>
      <c r="BI510" s="147"/>
      <c r="BJ510" s="147"/>
      <c r="BK510" s="147"/>
      <c r="BL510" s="147"/>
      <c r="BM510" s="147"/>
      <c r="BN510" s="147"/>
      <c r="BO510" s="147"/>
      <c r="BP510" s="147"/>
      <c r="BQ510" s="147"/>
      <c r="BR510" s="147"/>
      <c r="BS510" s="147"/>
      <c r="BT510" s="147"/>
      <c r="BU510" s="147"/>
      <c r="BV510" s="147"/>
      <c r="BW510" s="147"/>
      <c r="BX510" s="147"/>
      <c r="BY510" s="147"/>
      <c r="BZ510" s="147"/>
      <c r="CA510" s="147"/>
      <c r="CB510" s="147"/>
      <c r="CC510" s="147"/>
      <c r="CD510" s="147"/>
      <c r="CE510" s="147"/>
      <c r="CF510" s="147"/>
      <c r="CG510" s="147"/>
      <c r="CH510" s="147"/>
      <c r="CI510" s="147"/>
      <c r="CJ510" s="147"/>
      <c r="CK510" s="147"/>
    </row>
    <row r="511" spans="1:89">
      <c r="A511" s="165" t="s">
        <v>741</v>
      </c>
      <c r="B511" s="166" t="s">
        <v>742</v>
      </c>
      <c r="C511" s="167" t="s">
        <v>794</v>
      </c>
      <c r="D511" s="167" t="s">
        <v>892</v>
      </c>
      <c r="E511" s="166" t="s">
        <v>21</v>
      </c>
      <c r="F511" s="166" t="s">
        <v>926</v>
      </c>
      <c r="G511" s="166"/>
      <c r="H511" s="156" t="str">
        <f ca="1">IFERROR(
  _xludf.MINIFS(ATTENDANCE_LOG!$F:$F,
         ATTENDANCE_LOG!$A:$A, C511,
         ATTENDANCE_LOG!$B:$B, E511),
"")</f>
        <v/>
      </c>
      <c r="I511" s="156" t="str">
        <f t="shared" ca="1" si="266"/>
        <v/>
      </c>
      <c r="J511" s="166">
        <f>IFERROR(VLOOKUP(F511, LEVEL_HELPER!$A:$B, 2, 0), "")</f>
        <v>1</v>
      </c>
      <c r="K511" s="166" t="str">
        <f>IFERROR(VLOOKUP(G511, LEVEL_HELPER!$A:$B, 2, 0), "")</f>
        <v/>
      </c>
      <c r="L511" s="169" t="s">
        <v>942</v>
      </c>
      <c r="M511" s="169" t="s">
        <v>924</v>
      </c>
      <c r="N511" s="3">
        <f t="array" aca="1" ref="N511" ca="1">IFERROR(
  INDEX($J$2:$J$543,
    MATCH(A511&amp;TEXT(I511,"yyyy-mm-dd"),
          $A$2:$A$543&amp;TEXT($H$2:$H$543,"yyyy-mm-dd"),
          0)),
"")</f>
        <v>1</v>
      </c>
      <c r="O511" s="170" t="str">
        <f t="shared" ca="1" si="267"/>
        <v/>
      </c>
      <c r="P511" s="147">
        <f t="shared" ref="P511:Q511" ca="1" si="527">IF(N511="",0,IF(N511&lt;=2,1,IF(N511&lt;=4,2,IF(N511&lt;=5.5,3,4))))</f>
        <v>1</v>
      </c>
      <c r="Q511" s="147">
        <f t="shared" ca="1" si="527"/>
        <v>0</v>
      </c>
      <c r="R511" s="147" t="str">
        <f t="shared" ca="1" si="269"/>
        <v>Not tested yet</v>
      </c>
      <c r="S511" s="147">
        <f t="shared" si="270"/>
        <v>1</v>
      </c>
      <c r="T511" s="147"/>
      <c r="U511" s="147"/>
      <c r="V511" s="147"/>
      <c r="W511" s="147"/>
      <c r="X511" s="147"/>
      <c r="Y511" s="147"/>
      <c r="Z511" s="147"/>
      <c r="AA511" s="147"/>
      <c r="AB511" s="147"/>
      <c r="AC511" s="147"/>
      <c r="AD511" s="147"/>
      <c r="AE511" s="147"/>
      <c r="AF511" s="147"/>
      <c r="AG511" s="147"/>
      <c r="AH511" s="147"/>
      <c r="AI511" s="147"/>
      <c r="AJ511" s="147"/>
      <c r="AK511" s="147"/>
      <c r="AL511" s="147"/>
      <c r="AM511" s="151"/>
      <c r="AN511" s="147"/>
      <c r="AO511" s="147"/>
      <c r="AP511" s="147"/>
      <c r="AQ511" s="147"/>
      <c r="AR511" s="147"/>
      <c r="AS511" s="147"/>
      <c r="AT511" s="147"/>
      <c r="AU511" s="147"/>
      <c r="AV511" s="147"/>
      <c r="AW511" s="147"/>
      <c r="AX511" s="147"/>
      <c r="AY511" s="147"/>
      <c r="AZ511" s="147"/>
      <c r="BA511" s="147"/>
      <c r="BB511" s="147"/>
      <c r="BC511" s="147"/>
      <c r="BD511" s="147"/>
      <c r="BE511" s="147"/>
      <c r="BF511" s="147"/>
      <c r="BG511" s="147"/>
      <c r="BH511" s="147"/>
      <c r="BI511" s="147"/>
      <c r="BJ511" s="147"/>
      <c r="BK511" s="147"/>
      <c r="BL511" s="147"/>
      <c r="BM511" s="147"/>
      <c r="BN511" s="147"/>
      <c r="BO511" s="147"/>
      <c r="BP511" s="147"/>
      <c r="BQ511" s="147"/>
      <c r="BR511" s="147"/>
      <c r="BS511" s="147"/>
      <c r="BT511" s="147"/>
      <c r="BU511" s="147"/>
      <c r="BV511" s="147"/>
      <c r="BW511" s="147"/>
      <c r="BX511" s="147"/>
      <c r="BY511" s="147"/>
      <c r="BZ511" s="147"/>
      <c r="CA511" s="147"/>
      <c r="CB511" s="147"/>
      <c r="CC511" s="147"/>
      <c r="CD511" s="147"/>
      <c r="CE511" s="147"/>
      <c r="CF511" s="147"/>
      <c r="CG511" s="147"/>
      <c r="CH511" s="147"/>
      <c r="CI511" s="147"/>
      <c r="CJ511" s="147"/>
      <c r="CK511" s="147"/>
    </row>
    <row r="512" spans="1:89">
      <c r="A512" s="165" t="s">
        <v>743</v>
      </c>
      <c r="B512" s="166" t="s">
        <v>744</v>
      </c>
      <c r="C512" s="167" t="s">
        <v>794</v>
      </c>
      <c r="D512" s="167" t="s">
        <v>892</v>
      </c>
      <c r="E512" s="166" t="s">
        <v>21</v>
      </c>
      <c r="F512" s="166" t="s">
        <v>926</v>
      </c>
      <c r="G512" s="166"/>
      <c r="H512" s="156" t="str">
        <f ca="1">IFERROR(
  _xludf.MINIFS(ATTENDANCE_LOG!$F:$F,
         ATTENDANCE_LOG!$A:$A, C512,
         ATTENDANCE_LOG!$B:$B, E512),
"")</f>
        <v/>
      </c>
      <c r="I512" s="156" t="str">
        <f t="shared" ref="I512:I543" ca="1" si="528">IFERROR(
  _xludf.MINIFS($H:$H, $A:$A, A512, $H:$H, "&gt;"&amp;0),
"")</f>
        <v/>
      </c>
      <c r="J512" s="166">
        <f>IFERROR(VLOOKUP(F512, LEVEL_HELPER!$A:$B, 2, 0), "")</f>
        <v>1</v>
      </c>
      <c r="K512" s="166" t="str">
        <f>IFERROR(VLOOKUP(G512, LEVEL_HELPER!$A:$B, 2, 0), "")</f>
        <v/>
      </c>
      <c r="L512" s="169" t="s">
        <v>942</v>
      </c>
      <c r="M512" s="169" t="s">
        <v>924</v>
      </c>
      <c r="N512" s="3">
        <f t="array" aca="1" ref="N512" ca="1">IFERROR(
  INDEX($J$2:$J$543,
    MATCH(A512&amp;TEXT(I512,"yyyy-mm-dd"),
          $A$2:$A$543&amp;TEXT($H$2:$H$543,"yyyy-mm-dd"),
          0)),
"")</f>
        <v>1</v>
      </c>
      <c r="O512" s="170" t="str">
        <f t="shared" ref="O512:O543" ca="1" si="529">IFERROR(_xludf.MAXIFS($K:$K, $A:$A, A512), "")</f>
        <v/>
      </c>
      <c r="P512" s="147">
        <f t="shared" ref="P512:Q512" ca="1" si="530">IF(N512="",0,IF(N512&lt;=2,1,IF(N512&lt;=4,2,IF(N512&lt;=5.5,3,4))))</f>
        <v>1</v>
      </c>
      <c r="Q512" s="147">
        <f t="shared" ca="1" si="530"/>
        <v>0</v>
      </c>
      <c r="R512" s="147" t="str">
        <f t="shared" ref="R512:R543" ca="1" si="531">IF(OR(O512=0, O512=""), "Not tested yet", IF(P512=0, "No Data", IF(Q512&lt;P512, "Regressed", IF(Q512=P512, IF(O512&gt;N512, "Progress within level", "No Progress"), IF(Q512-P512=1, "Lv"&amp;P512&amp;" → Lv"&amp;Q512, "Lv"&amp;P512&amp;" → Lv"&amp;Q512&amp;" (multi)")))))</f>
        <v>Not tested yet</v>
      </c>
      <c r="S512" s="147">
        <f t="shared" ref="S512:S543" si="532">IF(COUNTIF($A$2:A512,A512)=1,1,0)</f>
        <v>1</v>
      </c>
      <c r="T512" s="147"/>
      <c r="U512" s="147"/>
      <c r="V512" s="147"/>
      <c r="W512" s="147"/>
      <c r="X512" s="147"/>
      <c r="Y512" s="147"/>
      <c r="Z512" s="147"/>
      <c r="AA512" s="147"/>
      <c r="AB512" s="147"/>
      <c r="AC512" s="147"/>
      <c r="AD512" s="147"/>
      <c r="AE512" s="147"/>
      <c r="AF512" s="147"/>
      <c r="AG512" s="147"/>
      <c r="AH512" s="147"/>
      <c r="AI512" s="147"/>
      <c r="AJ512" s="147"/>
      <c r="AK512" s="147"/>
      <c r="AL512" s="147"/>
      <c r="AM512" s="151"/>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c r="BI512" s="147"/>
      <c r="BJ512" s="147"/>
      <c r="BK512" s="147"/>
      <c r="BL512" s="147"/>
      <c r="BM512" s="147"/>
      <c r="BN512" s="147"/>
      <c r="BO512" s="147"/>
      <c r="BP512" s="147"/>
      <c r="BQ512" s="147"/>
      <c r="BR512" s="147"/>
      <c r="BS512" s="147"/>
      <c r="BT512" s="147"/>
      <c r="BU512" s="147"/>
      <c r="BV512" s="147"/>
      <c r="BW512" s="147"/>
      <c r="BX512" s="147"/>
      <c r="BY512" s="147"/>
      <c r="BZ512" s="147"/>
      <c r="CA512" s="147"/>
      <c r="CB512" s="147"/>
      <c r="CC512" s="147"/>
      <c r="CD512" s="147"/>
      <c r="CE512" s="147"/>
      <c r="CF512" s="147"/>
      <c r="CG512" s="147"/>
      <c r="CH512" s="147"/>
      <c r="CI512" s="147"/>
      <c r="CJ512" s="147"/>
      <c r="CK512" s="147"/>
    </row>
    <row r="513" spans="1:89">
      <c r="A513" s="165" t="s">
        <v>490</v>
      </c>
      <c r="B513" s="166" t="s">
        <v>819</v>
      </c>
      <c r="C513" s="167" t="s">
        <v>794</v>
      </c>
      <c r="D513" s="167" t="s">
        <v>892</v>
      </c>
      <c r="E513" s="166" t="s">
        <v>21</v>
      </c>
      <c r="F513" s="166" t="s">
        <v>926</v>
      </c>
      <c r="G513" s="166"/>
      <c r="H513" s="156" t="str">
        <f ca="1">IFERROR(
  _xludf.MINIFS(ATTENDANCE_LOG!$F:$F,
         ATTENDANCE_LOG!$A:$A, C513,
         ATTENDANCE_LOG!$B:$B, E513),
"")</f>
        <v/>
      </c>
      <c r="I513" s="156" t="str">
        <f t="shared" ca="1" si="528"/>
        <v/>
      </c>
      <c r="J513" s="166">
        <f>IFERROR(VLOOKUP(F513, LEVEL_HELPER!$A:$B, 2, 0), "")</f>
        <v>1</v>
      </c>
      <c r="K513" s="166" t="str">
        <f>IFERROR(VLOOKUP(G513, LEVEL_HELPER!$A:$B, 2, 0), "")</f>
        <v/>
      </c>
      <c r="L513" s="169" t="s">
        <v>942</v>
      </c>
      <c r="M513" s="169" t="s">
        <v>924</v>
      </c>
      <c r="N513" s="3">
        <f t="array" aca="1" ref="N513" ca="1">IFERROR(
  INDEX($J$2:$J$543,
    MATCH(A513&amp;TEXT(I513,"yyyy-mm-dd"),
          $A$2:$A$543&amp;TEXT($H$2:$H$543,"yyyy-mm-dd"),
          0)),
"")</f>
        <v>1</v>
      </c>
      <c r="O513" s="170" t="str">
        <f t="shared" ca="1" si="529"/>
        <v/>
      </c>
      <c r="P513" s="147">
        <f t="shared" ref="P513:Q513" ca="1" si="533">IF(N513="",0,IF(N513&lt;=2,1,IF(N513&lt;=4,2,IF(N513&lt;=5.5,3,4))))</f>
        <v>1</v>
      </c>
      <c r="Q513" s="147">
        <f t="shared" ca="1" si="533"/>
        <v>0</v>
      </c>
      <c r="R513" s="147" t="str">
        <f t="shared" ca="1" si="531"/>
        <v>Not tested yet</v>
      </c>
      <c r="S513" s="147">
        <f t="shared" si="532"/>
        <v>0</v>
      </c>
      <c r="T513" s="147"/>
      <c r="U513" s="147"/>
      <c r="V513" s="147"/>
      <c r="W513" s="147"/>
      <c r="X513" s="147"/>
      <c r="Y513" s="147"/>
      <c r="Z513" s="147"/>
      <c r="AA513" s="147"/>
      <c r="AB513" s="147"/>
      <c r="AC513" s="147"/>
      <c r="AD513" s="147"/>
      <c r="AE513" s="147"/>
      <c r="AF513" s="147"/>
      <c r="AG513" s="147"/>
      <c r="AH513" s="147"/>
      <c r="AI513" s="147"/>
      <c r="AJ513" s="147"/>
      <c r="AK513" s="147"/>
      <c r="AL513" s="147"/>
      <c r="AM513" s="151"/>
      <c r="AN513" s="147"/>
      <c r="AO513" s="147"/>
      <c r="AP513" s="147"/>
      <c r="AQ513" s="147"/>
      <c r="AR513" s="147"/>
      <c r="AS513" s="147"/>
      <c r="AT513" s="147"/>
      <c r="AU513" s="147"/>
      <c r="AV513" s="147"/>
      <c r="AW513" s="147"/>
      <c r="AX513" s="147"/>
      <c r="AY513" s="147"/>
      <c r="AZ513" s="147"/>
      <c r="BA513" s="147"/>
      <c r="BB513" s="147"/>
      <c r="BC513" s="147"/>
      <c r="BD513" s="147"/>
      <c r="BE513" s="147"/>
      <c r="BF513" s="147"/>
      <c r="BG513" s="147"/>
      <c r="BH513" s="147"/>
      <c r="BI513" s="147"/>
      <c r="BJ513" s="147"/>
      <c r="BK513" s="147"/>
      <c r="BL513" s="147"/>
      <c r="BM513" s="147"/>
      <c r="BN513" s="147"/>
      <c r="BO513" s="147"/>
      <c r="BP513" s="147"/>
      <c r="BQ513" s="147"/>
      <c r="BR513" s="147"/>
      <c r="BS513" s="147"/>
      <c r="BT513" s="147"/>
      <c r="BU513" s="147"/>
      <c r="BV513" s="147"/>
      <c r="BW513" s="147"/>
      <c r="BX513" s="147"/>
      <c r="BY513" s="147"/>
      <c r="BZ513" s="147"/>
      <c r="CA513" s="147"/>
      <c r="CB513" s="147"/>
      <c r="CC513" s="147"/>
      <c r="CD513" s="147"/>
      <c r="CE513" s="147"/>
      <c r="CF513" s="147"/>
      <c r="CG513" s="147"/>
      <c r="CH513" s="147"/>
      <c r="CI513" s="147"/>
      <c r="CJ513" s="147"/>
      <c r="CK513" s="147"/>
    </row>
    <row r="514" spans="1:89">
      <c r="A514" s="178" t="s">
        <v>745</v>
      </c>
      <c r="B514" s="179" t="s">
        <v>746</v>
      </c>
      <c r="C514" s="180" t="s">
        <v>800</v>
      </c>
      <c r="D514" s="180" t="s">
        <v>890</v>
      </c>
      <c r="E514" s="179" t="s">
        <v>21</v>
      </c>
      <c r="F514" s="179" t="s">
        <v>934</v>
      </c>
      <c r="G514" s="179"/>
      <c r="H514" s="156" t="str">
        <f ca="1">IFERROR(
  _xludf.MINIFS(ATTENDANCE_LOG!$F:$F,
         ATTENDANCE_LOG!$A:$A, C514,
         ATTENDANCE_LOG!$B:$B, E514),
"")</f>
        <v/>
      </c>
      <c r="I514" s="156" t="str">
        <f t="shared" ca="1" si="528"/>
        <v/>
      </c>
      <c r="J514" s="166">
        <f>IFERROR(VLOOKUP(F514, LEVEL_HELPER!$A:$B, 2, 0), "")</f>
        <v>3.5</v>
      </c>
      <c r="K514" s="166" t="str">
        <f>IFERROR(VLOOKUP(G514, LEVEL_HELPER!$A:$B, 2, 0), "")</f>
        <v/>
      </c>
      <c r="L514" s="181" t="s">
        <v>958</v>
      </c>
      <c r="M514" s="181" t="s">
        <v>921</v>
      </c>
      <c r="N514" s="3">
        <f t="array" aca="1" ref="N514" ca="1">IFERROR(
  INDEX($J$2:$J$543,
    MATCH(A514&amp;TEXT(I514,"yyyy-mm-dd"),
          $A$2:$A$543&amp;TEXT($H$2:$H$543,"yyyy-mm-dd"),
          0)),
"")</f>
        <v>3.5</v>
      </c>
      <c r="O514" s="170" t="str">
        <f t="shared" ca="1" si="529"/>
        <v/>
      </c>
      <c r="P514" s="147">
        <f t="shared" ref="P514:Q514" ca="1" si="534">IF(N514="",0,IF(N514&lt;=2,1,IF(N514&lt;=4,2,IF(N514&lt;=5.5,3,4))))</f>
        <v>2</v>
      </c>
      <c r="Q514" s="147">
        <f t="shared" ca="1" si="534"/>
        <v>0</v>
      </c>
      <c r="R514" s="147" t="str">
        <f t="shared" ca="1" si="531"/>
        <v>Not tested yet</v>
      </c>
      <c r="S514" s="147">
        <f t="shared" si="532"/>
        <v>1</v>
      </c>
      <c r="T514" s="147"/>
      <c r="U514" s="147"/>
      <c r="V514" s="147"/>
      <c r="W514" s="147"/>
      <c r="X514" s="147"/>
      <c r="Y514" s="147"/>
      <c r="Z514" s="147"/>
      <c r="AA514" s="147"/>
      <c r="AB514" s="147"/>
      <c r="AC514" s="147"/>
      <c r="AD514" s="147"/>
      <c r="AE514" s="147"/>
      <c r="AF514" s="147"/>
      <c r="AG514" s="147"/>
      <c r="AH514" s="147"/>
      <c r="AI514" s="147"/>
      <c r="AJ514" s="147"/>
      <c r="AK514" s="147"/>
      <c r="AL514" s="147"/>
      <c r="AM514" s="151"/>
      <c r="AN514" s="147"/>
      <c r="AO514" s="147"/>
      <c r="AP514" s="147"/>
      <c r="AQ514" s="147"/>
      <c r="AR514" s="147"/>
      <c r="AS514" s="147"/>
      <c r="AT514" s="147"/>
      <c r="AU514" s="147"/>
      <c r="AV514" s="147"/>
      <c r="AW514" s="147"/>
      <c r="AX514" s="147"/>
      <c r="AY514" s="147"/>
      <c r="AZ514" s="147"/>
      <c r="BA514" s="147"/>
      <c r="BB514" s="147"/>
      <c r="BC514" s="147"/>
      <c r="BD514" s="147"/>
      <c r="BE514" s="147"/>
      <c r="BF514" s="147"/>
      <c r="BG514" s="147"/>
      <c r="BH514" s="147"/>
      <c r="BI514" s="147"/>
      <c r="BJ514" s="147"/>
      <c r="BK514" s="147"/>
      <c r="BL514" s="147"/>
      <c r="BM514" s="147"/>
      <c r="BN514" s="147"/>
      <c r="BO514" s="147"/>
      <c r="BP514" s="147"/>
      <c r="BQ514" s="147"/>
      <c r="BR514" s="147"/>
      <c r="BS514" s="147"/>
      <c r="BT514" s="147"/>
      <c r="BU514" s="147"/>
      <c r="BV514" s="147"/>
      <c r="BW514" s="147"/>
      <c r="BX514" s="147"/>
      <c r="BY514" s="147"/>
      <c r="BZ514" s="147"/>
      <c r="CA514" s="147"/>
      <c r="CB514" s="147"/>
      <c r="CC514" s="147"/>
      <c r="CD514" s="147"/>
      <c r="CE514" s="147"/>
      <c r="CF514" s="147"/>
      <c r="CG514" s="147"/>
      <c r="CH514" s="147"/>
      <c r="CI514" s="147"/>
      <c r="CJ514" s="147"/>
      <c r="CK514" s="147"/>
    </row>
    <row r="515" spans="1:89">
      <c r="A515" s="165" t="s">
        <v>747</v>
      </c>
      <c r="B515" s="166" t="s">
        <v>748</v>
      </c>
      <c r="C515" s="167" t="s">
        <v>800</v>
      </c>
      <c r="D515" s="167" t="s">
        <v>890</v>
      </c>
      <c r="E515" s="166" t="s">
        <v>21</v>
      </c>
      <c r="F515" s="166" t="s">
        <v>926</v>
      </c>
      <c r="G515" s="166"/>
      <c r="H515" s="156" t="str">
        <f ca="1">IFERROR(
  _xludf.MINIFS(ATTENDANCE_LOG!$F:$F,
         ATTENDANCE_LOG!$A:$A, C515,
         ATTENDANCE_LOG!$B:$B, E515),
"")</f>
        <v/>
      </c>
      <c r="I515" s="156" t="str">
        <f t="shared" ca="1" si="528"/>
        <v/>
      </c>
      <c r="J515" s="166">
        <f>IFERROR(VLOOKUP(F515, LEVEL_HELPER!$A:$B, 2, 0), "")</f>
        <v>1</v>
      </c>
      <c r="K515" s="166" t="str">
        <f>IFERROR(VLOOKUP(G515, LEVEL_HELPER!$A:$B, 2, 0), "")</f>
        <v/>
      </c>
      <c r="L515" s="169" t="s">
        <v>942</v>
      </c>
      <c r="M515" s="169" t="s">
        <v>922</v>
      </c>
      <c r="N515" s="3">
        <f t="array" aca="1" ref="N515" ca="1">IFERROR(
  INDEX($J$2:$J$543,
    MATCH(A515&amp;TEXT(I515,"yyyy-mm-dd"),
          $A$2:$A$543&amp;TEXT($H$2:$H$543,"yyyy-mm-dd"),
          0)),
"")</f>
        <v>1</v>
      </c>
      <c r="O515" s="170" t="str">
        <f t="shared" ca="1" si="529"/>
        <v/>
      </c>
      <c r="P515" s="147">
        <f t="shared" ref="P515:Q515" ca="1" si="535">IF(N515="",0,IF(N515&lt;=2,1,IF(N515&lt;=4,2,IF(N515&lt;=5.5,3,4))))</f>
        <v>1</v>
      </c>
      <c r="Q515" s="147">
        <f t="shared" ca="1" si="535"/>
        <v>0</v>
      </c>
      <c r="R515" s="147" t="str">
        <f t="shared" ca="1" si="531"/>
        <v>Not tested yet</v>
      </c>
      <c r="S515" s="147">
        <f t="shared" si="532"/>
        <v>1</v>
      </c>
      <c r="T515" s="147"/>
      <c r="U515" s="147"/>
      <c r="V515" s="147"/>
      <c r="W515" s="147"/>
      <c r="X515" s="147"/>
      <c r="Y515" s="147"/>
      <c r="Z515" s="147"/>
      <c r="AA515" s="147"/>
      <c r="AB515" s="147"/>
      <c r="AC515" s="147"/>
      <c r="AD515" s="147"/>
      <c r="AE515" s="147"/>
      <c r="AF515" s="147"/>
      <c r="AG515" s="147"/>
      <c r="AH515" s="147"/>
      <c r="AI515" s="147"/>
      <c r="AJ515" s="147"/>
      <c r="AK515" s="147"/>
      <c r="AL515" s="147"/>
      <c r="AM515" s="151"/>
      <c r="AN515" s="147"/>
      <c r="AO515" s="147"/>
      <c r="AP515" s="147"/>
      <c r="AQ515" s="147"/>
      <c r="AR515" s="147"/>
      <c r="AS515" s="147"/>
      <c r="AT515" s="147"/>
      <c r="AU515" s="147"/>
      <c r="AV515" s="147"/>
      <c r="AW515" s="147"/>
      <c r="AX515" s="147"/>
      <c r="AY515" s="147"/>
      <c r="AZ515" s="147"/>
      <c r="BA515" s="147"/>
      <c r="BB515" s="147"/>
      <c r="BC515" s="147"/>
      <c r="BD515" s="147"/>
      <c r="BE515" s="147"/>
      <c r="BF515" s="147"/>
      <c r="BG515" s="147"/>
      <c r="BH515" s="147"/>
      <c r="BI515" s="147"/>
      <c r="BJ515" s="147"/>
      <c r="BK515" s="147"/>
      <c r="BL515" s="147"/>
      <c r="BM515" s="147"/>
      <c r="BN515" s="147"/>
      <c r="BO515" s="147"/>
      <c r="BP515" s="147"/>
      <c r="BQ515" s="147"/>
      <c r="BR515" s="147"/>
      <c r="BS515" s="147"/>
      <c r="BT515" s="147"/>
      <c r="BU515" s="147"/>
      <c r="BV515" s="147"/>
      <c r="BW515" s="147"/>
      <c r="BX515" s="147"/>
      <c r="BY515" s="147"/>
      <c r="BZ515" s="147"/>
      <c r="CA515" s="147"/>
      <c r="CB515" s="147"/>
      <c r="CC515" s="147"/>
      <c r="CD515" s="147"/>
      <c r="CE515" s="147"/>
      <c r="CF515" s="147"/>
      <c r="CG515" s="147"/>
      <c r="CH515" s="147"/>
      <c r="CI515" s="147"/>
      <c r="CJ515" s="147"/>
      <c r="CK515" s="147"/>
    </row>
    <row r="516" spans="1:89">
      <c r="A516" s="165" t="s">
        <v>749</v>
      </c>
      <c r="B516" s="166" t="s">
        <v>750</v>
      </c>
      <c r="C516" s="167" t="s">
        <v>800</v>
      </c>
      <c r="D516" s="167" t="s">
        <v>890</v>
      </c>
      <c r="E516" s="166" t="s">
        <v>21</v>
      </c>
      <c r="F516" s="166" t="s">
        <v>934</v>
      </c>
      <c r="G516" s="166"/>
      <c r="H516" s="156" t="str">
        <f ca="1">IFERROR(
  _xludf.MINIFS(ATTENDANCE_LOG!$F:$F,
         ATTENDANCE_LOG!$A:$A, C516,
         ATTENDANCE_LOG!$B:$B, E516),
"")</f>
        <v/>
      </c>
      <c r="I516" s="156" t="str">
        <f t="shared" ca="1" si="528"/>
        <v/>
      </c>
      <c r="J516" s="166">
        <f>IFERROR(VLOOKUP(F516, LEVEL_HELPER!$A:$B, 2, 0), "")</f>
        <v>3.5</v>
      </c>
      <c r="K516" s="166" t="str">
        <f>IFERROR(VLOOKUP(G516, LEVEL_HELPER!$A:$B, 2, 0), "")</f>
        <v/>
      </c>
      <c r="L516" s="169" t="s">
        <v>946</v>
      </c>
      <c r="M516" s="169" t="s">
        <v>922</v>
      </c>
      <c r="N516" s="3">
        <f t="array" aca="1" ref="N516" ca="1">IFERROR(
  INDEX($J$2:$J$543,
    MATCH(A516&amp;TEXT(I516,"yyyy-mm-dd"),
          $A$2:$A$543&amp;TEXT($H$2:$H$543,"yyyy-mm-dd"),
          0)),
"")</f>
        <v>3.5</v>
      </c>
      <c r="O516" s="170" t="str">
        <f t="shared" ca="1" si="529"/>
        <v/>
      </c>
      <c r="P516" s="147">
        <f t="shared" ref="P516:Q516" ca="1" si="536">IF(N516="",0,IF(N516&lt;=2,1,IF(N516&lt;=4,2,IF(N516&lt;=5.5,3,4))))</f>
        <v>2</v>
      </c>
      <c r="Q516" s="147">
        <f t="shared" ca="1" si="536"/>
        <v>0</v>
      </c>
      <c r="R516" s="147" t="str">
        <f t="shared" ca="1" si="531"/>
        <v>Not tested yet</v>
      </c>
      <c r="S516" s="147">
        <f t="shared" si="532"/>
        <v>1</v>
      </c>
      <c r="T516" s="147"/>
      <c r="U516" s="147"/>
      <c r="V516" s="147"/>
      <c r="W516" s="147"/>
      <c r="X516" s="147"/>
      <c r="Y516" s="147"/>
      <c r="Z516" s="147"/>
      <c r="AA516" s="147"/>
      <c r="AB516" s="147"/>
      <c r="AC516" s="147"/>
      <c r="AD516" s="147"/>
      <c r="AE516" s="147"/>
      <c r="AF516" s="147"/>
      <c r="AG516" s="147"/>
      <c r="AH516" s="147"/>
      <c r="AI516" s="147"/>
      <c r="AJ516" s="147"/>
      <c r="AK516" s="147"/>
      <c r="AL516" s="147"/>
      <c r="AM516" s="151"/>
      <c r="AN516" s="147"/>
      <c r="AO516" s="147"/>
      <c r="AP516" s="147"/>
      <c r="AQ516" s="147"/>
      <c r="AR516" s="147"/>
      <c r="AS516" s="147"/>
      <c r="AT516" s="147"/>
      <c r="AU516" s="147"/>
      <c r="AV516" s="147"/>
      <c r="AW516" s="147"/>
      <c r="AX516" s="147"/>
      <c r="AY516" s="147"/>
      <c r="AZ516" s="147"/>
      <c r="BA516" s="147"/>
      <c r="BB516" s="147"/>
      <c r="BC516" s="147"/>
      <c r="BD516" s="147"/>
      <c r="BE516" s="147"/>
      <c r="BF516" s="147"/>
      <c r="BG516" s="147"/>
      <c r="BH516" s="147"/>
      <c r="BI516" s="147"/>
      <c r="BJ516" s="147"/>
      <c r="BK516" s="147"/>
      <c r="BL516" s="147"/>
      <c r="BM516" s="147"/>
      <c r="BN516" s="147"/>
      <c r="BO516" s="147"/>
      <c r="BP516" s="147"/>
      <c r="BQ516" s="147"/>
      <c r="BR516" s="147"/>
      <c r="BS516" s="147"/>
      <c r="BT516" s="147"/>
      <c r="BU516" s="147"/>
      <c r="BV516" s="147"/>
      <c r="BW516" s="147"/>
      <c r="BX516" s="147"/>
      <c r="BY516" s="147"/>
      <c r="BZ516" s="147"/>
      <c r="CA516" s="147"/>
      <c r="CB516" s="147"/>
      <c r="CC516" s="147"/>
      <c r="CD516" s="147"/>
      <c r="CE516" s="147"/>
      <c r="CF516" s="147"/>
      <c r="CG516" s="147"/>
      <c r="CH516" s="147"/>
      <c r="CI516" s="147"/>
      <c r="CJ516" s="147"/>
      <c r="CK516" s="147"/>
    </row>
    <row r="517" spans="1:89">
      <c r="A517" s="165" t="s">
        <v>751</v>
      </c>
      <c r="B517" s="166" t="s">
        <v>752</v>
      </c>
      <c r="C517" s="167" t="s">
        <v>800</v>
      </c>
      <c r="D517" s="167" t="s">
        <v>890</v>
      </c>
      <c r="E517" s="166" t="s">
        <v>21</v>
      </c>
      <c r="F517" s="166" t="s">
        <v>928</v>
      </c>
      <c r="G517" s="166"/>
      <c r="H517" s="156" t="str">
        <f ca="1">IFERROR(
  _xludf.MINIFS(ATTENDANCE_LOG!$F:$F,
         ATTENDANCE_LOG!$A:$A, C517,
         ATTENDANCE_LOG!$B:$B, E517),
"")</f>
        <v/>
      </c>
      <c r="I517" s="156" t="str">
        <f t="shared" ca="1" si="528"/>
        <v/>
      </c>
      <c r="J517" s="166">
        <f>IFERROR(VLOOKUP(F517, LEVEL_HELPER!$A:$B, 2, 0), "")</f>
        <v>1.5</v>
      </c>
      <c r="K517" s="166" t="str">
        <f>IFERROR(VLOOKUP(G517, LEVEL_HELPER!$A:$B, 2, 0), "")</f>
        <v/>
      </c>
      <c r="L517" s="169" t="s">
        <v>930</v>
      </c>
      <c r="M517" s="169" t="s">
        <v>919</v>
      </c>
      <c r="N517" s="3">
        <f t="array" aca="1" ref="N517" ca="1">IFERROR(
  INDEX($J$2:$J$543,
    MATCH(A517&amp;TEXT(I517,"yyyy-mm-dd"),
          $A$2:$A$543&amp;TEXT($H$2:$H$543,"yyyy-mm-dd"),
          0)),
"")</f>
        <v>1.5</v>
      </c>
      <c r="O517" s="170" t="str">
        <f t="shared" ca="1" si="529"/>
        <v/>
      </c>
      <c r="P517" s="147">
        <f t="shared" ref="P517:Q517" ca="1" si="537">IF(N517="",0,IF(N517&lt;=2,1,IF(N517&lt;=4,2,IF(N517&lt;=5.5,3,4))))</f>
        <v>1</v>
      </c>
      <c r="Q517" s="147">
        <f t="shared" ca="1" si="537"/>
        <v>0</v>
      </c>
      <c r="R517" s="147" t="str">
        <f t="shared" ca="1" si="531"/>
        <v>Not tested yet</v>
      </c>
      <c r="S517" s="147">
        <f t="shared" si="532"/>
        <v>1</v>
      </c>
      <c r="T517" s="147"/>
      <c r="U517" s="147"/>
      <c r="V517" s="147"/>
      <c r="W517" s="147"/>
      <c r="X517" s="147"/>
      <c r="Y517" s="147"/>
      <c r="Z517" s="147"/>
      <c r="AA517" s="147"/>
      <c r="AB517" s="147"/>
      <c r="AC517" s="147"/>
      <c r="AD517" s="147"/>
      <c r="AE517" s="147"/>
      <c r="AF517" s="147"/>
      <c r="AG517" s="147"/>
      <c r="AH517" s="147"/>
      <c r="AI517" s="147"/>
      <c r="AJ517" s="147"/>
      <c r="AK517" s="147"/>
      <c r="AL517" s="147"/>
      <c r="AM517" s="151"/>
      <c r="AN517" s="147"/>
      <c r="AO517" s="147"/>
      <c r="AP517" s="147"/>
      <c r="AQ517" s="147"/>
      <c r="AR517" s="147"/>
      <c r="AS517" s="147"/>
      <c r="AT517" s="147"/>
      <c r="AU517" s="147"/>
      <c r="AV517" s="147"/>
      <c r="AW517" s="147"/>
      <c r="AX517" s="147"/>
      <c r="AY517" s="147"/>
      <c r="AZ517" s="147"/>
      <c r="BA517" s="147"/>
      <c r="BB517" s="147"/>
      <c r="BC517" s="147"/>
      <c r="BD517" s="147"/>
      <c r="BE517" s="147"/>
      <c r="BF517" s="147"/>
      <c r="BG517" s="147"/>
      <c r="BH517" s="147"/>
      <c r="BI517" s="147"/>
      <c r="BJ517" s="147"/>
      <c r="BK517" s="147"/>
      <c r="BL517" s="147"/>
      <c r="BM517" s="147"/>
      <c r="BN517" s="147"/>
      <c r="BO517" s="147"/>
      <c r="BP517" s="147"/>
      <c r="BQ517" s="147"/>
      <c r="BR517" s="147"/>
      <c r="BS517" s="147"/>
      <c r="BT517" s="147"/>
      <c r="BU517" s="147"/>
      <c r="BV517" s="147"/>
      <c r="BW517" s="147"/>
      <c r="BX517" s="147"/>
      <c r="BY517" s="147"/>
      <c r="BZ517" s="147"/>
      <c r="CA517" s="147"/>
      <c r="CB517" s="147"/>
      <c r="CC517" s="147"/>
      <c r="CD517" s="147"/>
      <c r="CE517" s="147"/>
      <c r="CF517" s="147"/>
      <c r="CG517" s="147"/>
      <c r="CH517" s="147"/>
      <c r="CI517" s="147"/>
      <c r="CJ517" s="147"/>
      <c r="CK517" s="147"/>
    </row>
    <row r="518" spans="1:89">
      <c r="A518" s="165" t="s">
        <v>753</v>
      </c>
      <c r="B518" s="166" t="s">
        <v>754</v>
      </c>
      <c r="C518" s="167" t="s">
        <v>800</v>
      </c>
      <c r="D518" s="167" t="s">
        <v>890</v>
      </c>
      <c r="E518" s="166" t="s">
        <v>21</v>
      </c>
      <c r="F518" s="166" t="s">
        <v>926</v>
      </c>
      <c r="G518" s="166"/>
      <c r="H518" s="156" t="str">
        <f ca="1">IFERROR(
  _xludf.MINIFS(ATTENDANCE_LOG!$F:$F,
         ATTENDANCE_LOG!$A:$A, C518,
         ATTENDANCE_LOG!$B:$B, E518),
"")</f>
        <v/>
      </c>
      <c r="I518" s="156" t="str">
        <f t="shared" ca="1" si="528"/>
        <v/>
      </c>
      <c r="J518" s="166">
        <f>IFERROR(VLOOKUP(F518, LEVEL_HELPER!$A:$B, 2, 0), "")</f>
        <v>1</v>
      </c>
      <c r="K518" s="166" t="str">
        <f>IFERROR(VLOOKUP(G518, LEVEL_HELPER!$A:$B, 2, 0), "")</f>
        <v/>
      </c>
      <c r="L518" s="169" t="s">
        <v>950</v>
      </c>
      <c r="M518" s="169" t="s">
        <v>922</v>
      </c>
      <c r="N518" s="3">
        <f t="array" aca="1" ref="N518" ca="1">IFERROR(
  INDEX($J$2:$J$543,
    MATCH(A518&amp;TEXT(I518,"yyyy-mm-dd"),
          $A$2:$A$543&amp;TEXT($H$2:$H$543,"yyyy-mm-dd"),
          0)),
"")</f>
        <v>1</v>
      </c>
      <c r="O518" s="170" t="str">
        <f t="shared" ca="1" si="529"/>
        <v/>
      </c>
      <c r="P518" s="147">
        <f t="shared" ref="P518:Q518" ca="1" si="538">IF(N518="",0,IF(N518&lt;=2,1,IF(N518&lt;=4,2,IF(N518&lt;=5.5,3,4))))</f>
        <v>1</v>
      </c>
      <c r="Q518" s="147">
        <f t="shared" ca="1" si="538"/>
        <v>0</v>
      </c>
      <c r="R518" s="147" t="str">
        <f t="shared" ca="1" si="531"/>
        <v>Not tested yet</v>
      </c>
      <c r="S518" s="147">
        <f t="shared" si="532"/>
        <v>1</v>
      </c>
      <c r="T518" s="147"/>
      <c r="U518" s="147"/>
      <c r="V518" s="147"/>
      <c r="W518" s="147"/>
      <c r="X518" s="147"/>
      <c r="Y518" s="147"/>
      <c r="Z518" s="147"/>
      <c r="AA518" s="147"/>
      <c r="AB518" s="147"/>
      <c r="AC518" s="147"/>
      <c r="AD518" s="147"/>
      <c r="AE518" s="147"/>
      <c r="AF518" s="147"/>
      <c r="AG518" s="147"/>
      <c r="AH518" s="147"/>
      <c r="AI518" s="147"/>
      <c r="AJ518" s="147"/>
      <c r="AK518" s="147"/>
      <c r="AL518" s="147"/>
      <c r="AM518" s="151"/>
      <c r="AN518" s="147"/>
      <c r="AO518" s="147"/>
      <c r="AP518" s="147"/>
      <c r="AQ518" s="147"/>
      <c r="AR518" s="147"/>
      <c r="AS518" s="147"/>
      <c r="AT518" s="147"/>
      <c r="AU518" s="147"/>
      <c r="AV518" s="147"/>
      <c r="AW518" s="147"/>
      <c r="AX518" s="147"/>
      <c r="AY518" s="147"/>
      <c r="AZ518" s="147"/>
      <c r="BA518" s="147"/>
      <c r="BB518" s="147"/>
      <c r="BC518" s="147"/>
      <c r="BD518" s="147"/>
      <c r="BE518" s="147"/>
      <c r="BF518" s="147"/>
      <c r="BG518" s="147"/>
      <c r="BH518" s="147"/>
      <c r="BI518" s="147"/>
      <c r="BJ518" s="147"/>
      <c r="BK518" s="147"/>
      <c r="BL518" s="147"/>
      <c r="BM518" s="147"/>
      <c r="BN518" s="147"/>
      <c r="BO518" s="147"/>
      <c r="BP518" s="147"/>
      <c r="BQ518" s="147"/>
      <c r="BR518" s="147"/>
      <c r="BS518" s="147"/>
      <c r="BT518" s="147"/>
      <c r="BU518" s="147"/>
      <c r="BV518" s="147"/>
      <c r="BW518" s="147"/>
      <c r="BX518" s="147"/>
      <c r="BY518" s="147"/>
      <c r="BZ518" s="147"/>
      <c r="CA518" s="147"/>
      <c r="CB518" s="147"/>
      <c r="CC518" s="147"/>
      <c r="CD518" s="147"/>
      <c r="CE518" s="147"/>
      <c r="CF518" s="147"/>
      <c r="CG518" s="147"/>
      <c r="CH518" s="147"/>
      <c r="CI518" s="147"/>
      <c r="CJ518" s="147"/>
      <c r="CK518" s="147"/>
    </row>
    <row r="519" spans="1:89">
      <c r="A519" s="165" t="s">
        <v>755</v>
      </c>
      <c r="B519" s="166" t="s">
        <v>756</v>
      </c>
      <c r="C519" s="167" t="s">
        <v>800</v>
      </c>
      <c r="D519" s="167" t="s">
        <v>890</v>
      </c>
      <c r="E519" s="166" t="s">
        <v>21</v>
      </c>
      <c r="F519" s="166" t="s">
        <v>926</v>
      </c>
      <c r="G519" s="166"/>
      <c r="H519" s="156" t="str">
        <f ca="1">IFERROR(
  _xludf.MINIFS(ATTENDANCE_LOG!$F:$F,
         ATTENDANCE_LOG!$A:$A, C519,
         ATTENDANCE_LOG!$B:$B, E519),
"")</f>
        <v/>
      </c>
      <c r="I519" s="156" t="str">
        <f t="shared" ca="1" si="528"/>
        <v/>
      </c>
      <c r="J519" s="166">
        <f>IFERROR(VLOOKUP(F519, LEVEL_HELPER!$A:$B, 2, 0), "")</f>
        <v>1</v>
      </c>
      <c r="K519" s="166" t="str">
        <f>IFERROR(VLOOKUP(G519, LEVEL_HELPER!$A:$B, 2, 0), "")</f>
        <v/>
      </c>
      <c r="L519" s="169" t="s">
        <v>950</v>
      </c>
      <c r="M519" s="169" t="s">
        <v>922</v>
      </c>
      <c r="N519" s="3">
        <f t="array" aca="1" ref="N519" ca="1">IFERROR(
  INDEX($J$2:$J$543,
    MATCH(A519&amp;TEXT(I519,"yyyy-mm-dd"),
          $A$2:$A$543&amp;TEXT($H$2:$H$543,"yyyy-mm-dd"),
          0)),
"")</f>
        <v>1</v>
      </c>
      <c r="O519" s="170" t="str">
        <f t="shared" ca="1" si="529"/>
        <v/>
      </c>
      <c r="P519" s="147">
        <f t="shared" ref="P519:Q519" ca="1" si="539">IF(N519="",0,IF(N519&lt;=2,1,IF(N519&lt;=4,2,IF(N519&lt;=5.5,3,4))))</f>
        <v>1</v>
      </c>
      <c r="Q519" s="147">
        <f t="shared" ca="1" si="539"/>
        <v>0</v>
      </c>
      <c r="R519" s="147" t="str">
        <f t="shared" ca="1" si="531"/>
        <v>Not tested yet</v>
      </c>
      <c r="S519" s="147">
        <f t="shared" si="532"/>
        <v>1</v>
      </c>
      <c r="T519" s="147"/>
      <c r="U519" s="147"/>
      <c r="V519" s="147"/>
      <c r="W519" s="147"/>
      <c r="X519" s="147"/>
      <c r="Y519" s="147"/>
      <c r="Z519" s="147"/>
      <c r="AA519" s="147"/>
      <c r="AB519" s="147"/>
      <c r="AC519" s="147"/>
      <c r="AD519" s="147"/>
      <c r="AE519" s="147"/>
      <c r="AF519" s="147"/>
      <c r="AG519" s="147"/>
      <c r="AH519" s="147"/>
      <c r="AI519" s="147"/>
      <c r="AJ519" s="147"/>
      <c r="AK519" s="147"/>
      <c r="AL519" s="147"/>
      <c r="AM519" s="151"/>
      <c r="AN519" s="147"/>
      <c r="AO519" s="147"/>
      <c r="AP519" s="147"/>
      <c r="AQ519" s="147"/>
      <c r="AR519" s="147"/>
      <c r="AS519" s="147"/>
      <c r="AT519" s="147"/>
      <c r="AU519" s="147"/>
      <c r="AV519" s="147"/>
      <c r="AW519" s="147"/>
      <c r="AX519" s="147"/>
      <c r="AY519" s="147"/>
      <c r="AZ519" s="147"/>
      <c r="BA519" s="147"/>
      <c r="BB519" s="147"/>
      <c r="BC519" s="147"/>
      <c r="BD519" s="147"/>
      <c r="BE519" s="147"/>
      <c r="BF519" s="147"/>
      <c r="BG519" s="147"/>
      <c r="BH519" s="147"/>
      <c r="BI519" s="147"/>
      <c r="BJ519" s="147"/>
      <c r="BK519" s="147"/>
      <c r="BL519" s="147"/>
      <c r="BM519" s="147"/>
      <c r="BN519" s="147"/>
      <c r="BO519" s="147"/>
      <c r="BP519" s="147"/>
      <c r="BQ519" s="147"/>
      <c r="BR519" s="147"/>
      <c r="BS519" s="147"/>
      <c r="BT519" s="147"/>
      <c r="BU519" s="147"/>
      <c r="BV519" s="147"/>
      <c r="BW519" s="147"/>
      <c r="BX519" s="147"/>
      <c r="BY519" s="147"/>
      <c r="BZ519" s="147"/>
      <c r="CA519" s="147"/>
      <c r="CB519" s="147"/>
      <c r="CC519" s="147"/>
      <c r="CD519" s="147"/>
      <c r="CE519" s="147"/>
      <c r="CF519" s="147"/>
      <c r="CG519" s="147"/>
      <c r="CH519" s="147"/>
      <c r="CI519" s="147"/>
      <c r="CJ519" s="147"/>
      <c r="CK519" s="147"/>
    </row>
    <row r="520" spans="1:89">
      <c r="A520" s="165" t="s">
        <v>478</v>
      </c>
      <c r="B520" s="166" t="s">
        <v>816</v>
      </c>
      <c r="C520" s="167" t="s">
        <v>800</v>
      </c>
      <c r="D520" s="167" t="s">
        <v>890</v>
      </c>
      <c r="E520" s="166" t="s">
        <v>21</v>
      </c>
      <c r="F520" s="166" t="s">
        <v>926</v>
      </c>
      <c r="G520" s="166"/>
      <c r="H520" s="156" t="str">
        <f ca="1">IFERROR(
  _xludf.MINIFS(ATTENDANCE_LOG!$F:$F,
         ATTENDANCE_LOG!$A:$A, C520,
         ATTENDANCE_LOG!$B:$B, E520),
"")</f>
        <v/>
      </c>
      <c r="I520" s="156" t="str">
        <f t="shared" ca="1" si="528"/>
        <v/>
      </c>
      <c r="J520" s="166">
        <f>IFERROR(VLOOKUP(F520, LEVEL_HELPER!$A:$B, 2, 0), "")</f>
        <v>1</v>
      </c>
      <c r="K520" s="166" t="str">
        <f>IFERROR(VLOOKUP(G520, LEVEL_HELPER!$A:$B, 2, 0), "")</f>
        <v/>
      </c>
      <c r="L520" s="169" t="s">
        <v>944</v>
      </c>
      <c r="M520" s="169" t="s">
        <v>921</v>
      </c>
      <c r="N520" s="3">
        <f t="array" aca="1" ref="N520" ca="1">IFERROR(
  INDEX($J$2:$J$543,
    MATCH(A520&amp;TEXT(I520,"yyyy-mm-dd"),
          $A$2:$A$543&amp;TEXT($H$2:$H$543,"yyyy-mm-dd"),
          0)),
"")</f>
        <v>1</v>
      </c>
      <c r="O520" s="170" t="str">
        <f t="shared" ca="1" si="529"/>
        <v/>
      </c>
      <c r="P520" s="147">
        <f t="shared" ref="P520:Q520" ca="1" si="540">IF(N520="",0,IF(N520&lt;=2,1,IF(N520&lt;=4,2,IF(N520&lt;=5.5,3,4))))</f>
        <v>1</v>
      </c>
      <c r="Q520" s="147">
        <f t="shared" ca="1" si="540"/>
        <v>0</v>
      </c>
      <c r="R520" s="147" t="str">
        <f t="shared" ca="1" si="531"/>
        <v>Not tested yet</v>
      </c>
      <c r="S520" s="147">
        <f t="shared" si="532"/>
        <v>1</v>
      </c>
      <c r="T520" s="147"/>
      <c r="U520" s="147"/>
      <c r="V520" s="147"/>
      <c r="W520" s="147"/>
      <c r="X520" s="147"/>
      <c r="Y520" s="147"/>
      <c r="Z520" s="147"/>
      <c r="AA520" s="147"/>
      <c r="AB520" s="147"/>
      <c r="AC520" s="147"/>
      <c r="AD520" s="147"/>
      <c r="AE520" s="147"/>
      <c r="AF520" s="147"/>
      <c r="AG520" s="147"/>
      <c r="AH520" s="147"/>
      <c r="AI520" s="147"/>
      <c r="AJ520" s="147"/>
      <c r="AK520" s="147"/>
      <c r="AL520" s="147"/>
      <c r="AM520" s="151"/>
      <c r="AN520" s="147"/>
      <c r="AO520" s="147"/>
      <c r="AP520" s="147"/>
      <c r="AQ520" s="147"/>
      <c r="AR520" s="147"/>
      <c r="AS520" s="147"/>
      <c r="AT520" s="147"/>
      <c r="AU520" s="147"/>
      <c r="AV520" s="147"/>
      <c r="AW520" s="147"/>
      <c r="AX520" s="147"/>
      <c r="AY520" s="147"/>
      <c r="AZ520" s="147"/>
      <c r="BA520" s="147"/>
      <c r="BB520" s="147"/>
      <c r="BC520" s="147"/>
      <c r="BD520" s="147"/>
      <c r="BE520" s="147"/>
      <c r="BF520" s="147"/>
      <c r="BG520" s="147"/>
      <c r="BH520" s="147"/>
      <c r="BI520" s="147"/>
      <c r="BJ520" s="147"/>
      <c r="BK520" s="147"/>
      <c r="BL520" s="147"/>
      <c r="BM520" s="147"/>
      <c r="BN520" s="147"/>
      <c r="BO520" s="147"/>
      <c r="BP520" s="147"/>
      <c r="BQ520" s="147"/>
      <c r="BR520" s="147"/>
      <c r="BS520" s="147"/>
      <c r="BT520" s="147"/>
      <c r="BU520" s="147"/>
      <c r="BV520" s="147"/>
      <c r="BW520" s="147"/>
      <c r="BX520" s="147"/>
      <c r="BY520" s="147"/>
      <c r="BZ520" s="147"/>
      <c r="CA520" s="147"/>
      <c r="CB520" s="147"/>
      <c r="CC520" s="147"/>
      <c r="CD520" s="147"/>
      <c r="CE520" s="147"/>
      <c r="CF520" s="147"/>
      <c r="CG520" s="147"/>
      <c r="CH520" s="147"/>
      <c r="CI520" s="147"/>
      <c r="CJ520" s="147"/>
      <c r="CK520" s="147"/>
    </row>
    <row r="521" spans="1:89">
      <c r="A521" s="178" t="s">
        <v>151</v>
      </c>
      <c r="B521" s="179" t="s">
        <v>152</v>
      </c>
      <c r="C521" s="180" t="s">
        <v>95</v>
      </c>
      <c r="D521" s="180" t="s">
        <v>888</v>
      </c>
      <c r="E521" s="179" t="s">
        <v>25</v>
      </c>
      <c r="F521" s="179" t="s">
        <v>25</v>
      </c>
      <c r="G521" s="179"/>
      <c r="H521" s="156" t="str">
        <f ca="1">IFERROR(
  _xludf.MINIFS(ATTENDANCE_LOG!$F:$F,
         ATTENDANCE_LOG!$A:$A, C521,
         ATTENDANCE_LOG!$B:$B, E521),
"")</f>
        <v/>
      </c>
      <c r="I521" s="156" t="str">
        <f t="shared" ca="1" si="528"/>
        <v/>
      </c>
      <c r="J521" s="179">
        <f>IFERROR(VLOOKUP(F521, LEVEL_HELPER!$A:$B, 2, 0), "")</f>
        <v>0.5</v>
      </c>
      <c r="K521" s="166" t="str">
        <f>IFERROR(VLOOKUP(G521, LEVEL_HELPER!$A:$B, 2, 0), "")</f>
        <v/>
      </c>
      <c r="L521" s="181" t="s">
        <v>942</v>
      </c>
      <c r="M521" s="181" t="s">
        <v>923</v>
      </c>
      <c r="N521" s="3">
        <f t="array" aca="1" ref="N521" ca="1">IFERROR(
  INDEX($J$2:$J$543,
    MATCH(A521&amp;TEXT(I521,"yyyy-mm-dd"),
          $A$2:$A$543&amp;TEXT($H$2:$H$543,"yyyy-mm-dd"),
          0)),
"")</f>
        <v>0.5</v>
      </c>
      <c r="O521" s="182" t="str">
        <f t="shared" ca="1" si="529"/>
        <v/>
      </c>
      <c r="P521" s="147">
        <f t="shared" ref="P521:Q521" ca="1" si="541">IF(N521="",0,IF(N521&lt;=2,1,IF(N521&lt;=4,2,IF(N521&lt;=5.5,3,4))))</f>
        <v>1</v>
      </c>
      <c r="Q521" s="147">
        <f t="shared" ca="1" si="541"/>
        <v>0</v>
      </c>
      <c r="R521" s="147" t="str">
        <f t="shared" ca="1" si="531"/>
        <v>Not tested yet</v>
      </c>
      <c r="S521" s="147">
        <f t="shared" si="532"/>
        <v>1</v>
      </c>
      <c r="T521" s="147"/>
      <c r="U521" s="147"/>
      <c r="V521" s="147"/>
      <c r="W521" s="147"/>
      <c r="X521" s="147"/>
      <c r="Y521" s="147"/>
      <c r="Z521" s="147"/>
      <c r="AA521" s="147"/>
      <c r="AB521" s="147"/>
      <c r="AC521" s="147"/>
      <c r="AD521" s="147"/>
      <c r="AE521" s="147"/>
      <c r="AF521" s="147"/>
      <c r="AG521" s="147"/>
      <c r="AH521" s="147"/>
      <c r="AI521" s="147"/>
      <c r="AJ521" s="147"/>
      <c r="AK521" s="147"/>
      <c r="AL521" s="147"/>
      <c r="AM521" s="151"/>
      <c r="AN521" s="147"/>
      <c r="AO521" s="147"/>
      <c r="AP521" s="147"/>
      <c r="AQ521" s="147"/>
      <c r="AR521" s="147"/>
      <c r="AS521" s="147"/>
      <c r="AT521" s="147"/>
      <c r="AU521" s="147"/>
      <c r="AV521" s="147"/>
      <c r="AW521" s="147"/>
      <c r="AX521" s="147"/>
      <c r="AY521" s="147"/>
      <c r="AZ521" s="147"/>
      <c r="BA521" s="147"/>
      <c r="BB521" s="147"/>
      <c r="BC521" s="147"/>
      <c r="BD521" s="147"/>
      <c r="BE521" s="147"/>
      <c r="BF521" s="147"/>
      <c r="BG521" s="147"/>
      <c r="BH521" s="147"/>
      <c r="BI521" s="147"/>
      <c r="BJ521" s="147"/>
      <c r="BK521" s="147"/>
      <c r="BL521" s="147"/>
      <c r="BM521" s="147"/>
      <c r="BN521" s="147"/>
      <c r="BO521" s="147"/>
      <c r="BP521" s="147"/>
      <c r="BQ521" s="147"/>
      <c r="BR521" s="147"/>
      <c r="BS521" s="147"/>
      <c r="BT521" s="147"/>
      <c r="BU521" s="147"/>
      <c r="BV521" s="147"/>
      <c r="BW521" s="147"/>
      <c r="BX521" s="147"/>
      <c r="BY521" s="147"/>
      <c r="BZ521" s="147"/>
      <c r="CA521" s="147"/>
      <c r="CB521" s="147"/>
      <c r="CC521" s="147"/>
      <c r="CD521" s="147"/>
      <c r="CE521" s="147"/>
      <c r="CF521" s="147"/>
      <c r="CG521" s="147"/>
      <c r="CH521" s="147"/>
      <c r="CI521" s="147"/>
      <c r="CJ521" s="147"/>
      <c r="CK521" s="147"/>
    </row>
    <row r="522" spans="1:89">
      <c r="A522" s="165" t="s">
        <v>163</v>
      </c>
      <c r="B522" s="166" t="s">
        <v>164</v>
      </c>
      <c r="C522" s="167" t="s">
        <v>95</v>
      </c>
      <c r="D522" s="167" t="s">
        <v>888</v>
      </c>
      <c r="E522" s="166" t="s">
        <v>25</v>
      </c>
      <c r="F522" s="166" t="s">
        <v>25</v>
      </c>
      <c r="G522" s="166"/>
      <c r="H522" s="156" t="str">
        <f ca="1">IFERROR(
  _xludf.MINIFS(ATTENDANCE_LOG!$F:$F,
         ATTENDANCE_LOG!$A:$A, C522,
         ATTENDANCE_LOG!$B:$B, E522),
"")</f>
        <v/>
      </c>
      <c r="I522" s="156" t="str">
        <f t="shared" ca="1" si="528"/>
        <v/>
      </c>
      <c r="J522" s="166">
        <f>IFERROR(VLOOKUP(F522, LEVEL_HELPER!$A:$B, 2, 0), "")</f>
        <v>0.5</v>
      </c>
      <c r="K522" s="166" t="str">
        <f>IFERROR(VLOOKUP(G522, LEVEL_HELPER!$A:$B, 2, 0), "")</f>
        <v/>
      </c>
      <c r="L522" s="169" t="s">
        <v>950</v>
      </c>
      <c r="M522" s="169" t="s">
        <v>922</v>
      </c>
      <c r="N522" s="3">
        <f t="array" aca="1" ref="N522" ca="1">IFERROR(
  INDEX($J$2:$J$543,
    MATCH(A522&amp;TEXT(I522,"yyyy-mm-dd"),
          $A$2:$A$543&amp;TEXT($H$2:$H$543,"yyyy-mm-dd"),
          0)),
"")</f>
        <v>0.5</v>
      </c>
      <c r="O522" s="170" t="str">
        <f t="shared" ca="1" si="529"/>
        <v/>
      </c>
      <c r="P522" s="147">
        <f t="shared" ref="P522:Q522" ca="1" si="542">IF(N522="",0,IF(N522&lt;=2,1,IF(N522&lt;=4,2,IF(N522&lt;=5.5,3,4))))</f>
        <v>1</v>
      </c>
      <c r="Q522" s="147">
        <f t="shared" ca="1" si="542"/>
        <v>0</v>
      </c>
      <c r="R522" s="147" t="str">
        <f t="shared" ca="1" si="531"/>
        <v>Not tested yet</v>
      </c>
      <c r="S522" s="147">
        <f t="shared" si="532"/>
        <v>1</v>
      </c>
      <c r="T522" s="147"/>
      <c r="U522" s="147"/>
      <c r="V522" s="147"/>
      <c r="W522" s="147"/>
      <c r="X522" s="147"/>
      <c r="Y522" s="147"/>
      <c r="Z522" s="147"/>
      <c r="AA522" s="147"/>
      <c r="AB522" s="147"/>
      <c r="AC522" s="147"/>
      <c r="AD522" s="147"/>
      <c r="AE522" s="147"/>
      <c r="AF522" s="147"/>
      <c r="AG522" s="147"/>
      <c r="AH522" s="147"/>
      <c r="AI522" s="147"/>
      <c r="AJ522" s="147"/>
      <c r="AK522" s="147"/>
      <c r="AL522" s="147"/>
      <c r="AM522" s="151"/>
      <c r="AN522" s="147"/>
      <c r="AO522" s="147"/>
      <c r="AP522" s="147"/>
      <c r="AQ522" s="147"/>
      <c r="AR522" s="147"/>
      <c r="AS522" s="147"/>
      <c r="AT522" s="147"/>
      <c r="AU522" s="147"/>
      <c r="AV522" s="147"/>
      <c r="AW522" s="147"/>
      <c r="AX522" s="147"/>
      <c r="AY522" s="147"/>
      <c r="AZ522" s="147"/>
      <c r="BA522" s="147"/>
      <c r="BB522" s="147"/>
      <c r="BC522" s="147"/>
      <c r="BD522" s="147"/>
      <c r="BE522" s="147"/>
      <c r="BF522" s="147"/>
      <c r="BG522" s="147"/>
      <c r="BH522" s="147"/>
      <c r="BI522" s="147"/>
      <c r="BJ522" s="147"/>
      <c r="BK522" s="147"/>
      <c r="BL522" s="147"/>
      <c r="BM522" s="147"/>
      <c r="BN522" s="147"/>
      <c r="BO522" s="147"/>
      <c r="BP522" s="147"/>
      <c r="BQ522" s="147"/>
      <c r="BR522" s="147"/>
      <c r="BS522" s="147"/>
      <c r="BT522" s="147"/>
      <c r="BU522" s="147"/>
      <c r="BV522" s="147"/>
      <c r="BW522" s="147"/>
      <c r="BX522" s="147"/>
      <c r="BY522" s="147"/>
      <c r="BZ522" s="147"/>
      <c r="CA522" s="147"/>
      <c r="CB522" s="147"/>
      <c r="CC522" s="147"/>
      <c r="CD522" s="147"/>
      <c r="CE522" s="147"/>
      <c r="CF522" s="147"/>
      <c r="CG522" s="147"/>
      <c r="CH522" s="147"/>
      <c r="CI522" s="147"/>
      <c r="CJ522" s="147"/>
      <c r="CK522" s="147"/>
    </row>
    <row r="523" spans="1:89">
      <c r="A523" s="165" t="s">
        <v>180</v>
      </c>
      <c r="B523" s="166" t="s">
        <v>181</v>
      </c>
      <c r="C523" s="167" t="s">
        <v>95</v>
      </c>
      <c r="D523" s="167" t="s">
        <v>888</v>
      </c>
      <c r="E523" s="166" t="s">
        <v>25</v>
      </c>
      <c r="F523" s="166" t="s">
        <v>25</v>
      </c>
      <c r="G523" s="166"/>
      <c r="H523" s="156" t="str">
        <f ca="1">IFERROR(
  _xludf.MINIFS(ATTENDANCE_LOG!$F:$F,
         ATTENDANCE_LOG!$A:$A, C523,
         ATTENDANCE_LOG!$B:$B, E523),
"")</f>
        <v/>
      </c>
      <c r="I523" s="156" t="str">
        <f t="shared" ca="1" si="528"/>
        <v/>
      </c>
      <c r="J523" s="166">
        <f>IFERROR(VLOOKUP(F523, LEVEL_HELPER!$A:$B, 2, 0), "")</f>
        <v>0.5</v>
      </c>
      <c r="K523" s="166" t="str">
        <f>IFERROR(VLOOKUP(G523, LEVEL_HELPER!$A:$B, 2, 0), "")</f>
        <v/>
      </c>
      <c r="L523" s="169" t="s">
        <v>942</v>
      </c>
      <c r="M523" s="169" t="s">
        <v>921</v>
      </c>
      <c r="N523" s="3">
        <f t="array" aca="1" ref="N523" ca="1">IFERROR(
  INDEX($J$2:$J$543,
    MATCH(A523&amp;TEXT(I523,"yyyy-mm-dd"),
          $A$2:$A$543&amp;TEXT($H$2:$H$543,"yyyy-mm-dd"),
          0)),
"")</f>
        <v>0.5</v>
      </c>
      <c r="O523" s="170" t="str">
        <f t="shared" ca="1" si="529"/>
        <v/>
      </c>
      <c r="P523" s="147">
        <f t="shared" ref="P523:Q523" ca="1" si="543">IF(N523="",0,IF(N523&lt;=2,1,IF(N523&lt;=4,2,IF(N523&lt;=5.5,3,4))))</f>
        <v>1</v>
      </c>
      <c r="Q523" s="147">
        <f t="shared" ca="1" si="543"/>
        <v>0</v>
      </c>
      <c r="R523" s="147" t="str">
        <f t="shared" ca="1" si="531"/>
        <v>Not tested yet</v>
      </c>
      <c r="S523" s="147">
        <f t="shared" si="532"/>
        <v>1</v>
      </c>
      <c r="T523" s="147"/>
      <c r="U523" s="147"/>
      <c r="V523" s="147"/>
      <c r="W523" s="147"/>
      <c r="X523" s="147"/>
      <c r="Y523" s="147"/>
      <c r="Z523" s="147"/>
      <c r="AA523" s="147"/>
      <c r="AB523" s="147"/>
      <c r="AC523" s="147"/>
      <c r="AD523" s="147"/>
      <c r="AE523" s="147"/>
      <c r="AF523" s="147"/>
      <c r="AG523" s="147"/>
      <c r="AH523" s="147"/>
      <c r="AI523" s="147"/>
      <c r="AJ523" s="147"/>
      <c r="AK523" s="147"/>
      <c r="AL523" s="147"/>
      <c r="AM523" s="151"/>
      <c r="AN523" s="147"/>
      <c r="AO523" s="147"/>
      <c r="AP523" s="147"/>
      <c r="AQ523" s="147"/>
      <c r="AR523" s="147"/>
      <c r="AS523" s="147"/>
      <c r="AT523" s="147"/>
      <c r="AU523" s="147"/>
      <c r="AV523" s="147"/>
      <c r="AW523" s="147"/>
      <c r="AX523" s="147"/>
      <c r="AY523" s="147"/>
      <c r="AZ523" s="147"/>
      <c r="BA523" s="147"/>
      <c r="BB523" s="147"/>
      <c r="BC523" s="147"/>
      <c r="BD523" s="147"/>
      <c r="BE523" s="147"/>
      <c r="BF523" s="147"/>
      <c r="BG523" s="147"/>
      <c r="BH523" s="147"/>
      <c r="BI523" s="147"/>
      <c r="BJ523" s="147"/>
      <c r="BK523" s="147"/>
      <c r="BL523" s="147"/>
      <c r="BM523" s="147"/>
      <c r="BN523" s="147"/>
      <c r="BO523" s="147"/>
      <c r="BP523" s="147"/>
      <c r="BQ523" s="147"/>
      <c r="BR523" s="147"/>
      <c r="BS523" s="147"/>
      <c r="BT523" s="147"/>
      <c r="BU523" s="147"/>
      <c r="BV523" s="147"/>
      <c r="BW523" s="147"/>
      <c r="BX523" s="147"/>
      <c r="BY523" s="147"/>
      <c r="BZ523" s="147"/>
      <c r="CA523" s="147"/>
      <c r="CB523" s="147"/>
      <c r="CC523" s="147"/>
      <c r="CD523" s="147"/>
      <c r="CE523" s="147"/>
      <c r="CF523" s="147"/>
      <c r="CG523" s="147"/>
      <c r="CH523" s="147"/>
      <c r="CI523" s="147"/>
      <c r="CJ523" s="147"/>
      <c r="CK523" s="147"/>
    </row>
    <row r="524" spans="1:89">
      <c r="A524" s="165" t="s">
        <v>284</v>
      </c>
      <c r="B524" s="166" t="s">
        <v>285</v>
      </c>
      <c r="C524" s="167" t="s">
        <v>95</v>
      </c>
      <c r="D524" s="167" t="s">
        <v>888</v>
      </c>
      <c r="E524" s="166" t="s">
        <v>25</v>
      </c>
      <c r="F524" s="166" t="s">
        <v>25</v>
      </c>
      <c r="G524" s="166"/>
      <c r="H524" s="156" t="str">
        <f ca="1">IFERROR(
  _xludf.MINIFS(ATTENDANCE_LOG!$F:$F,
         ATTENDANCE_LOG!$A:$A, C524,
         ATTENDANCE_LOG!$B:$B, E524),
"")</f>
        <v/>
      </c>
      <c r="I524" s="156" t="str">
        <f t="shared" ca="1" si="528"/>
        <v/>
      </c>
      <c r="J524" s="166">
        <f>IFERROR(VLOOKUP(F524, LEVEL_HELPER!$A:$B, 2, 0), "")</f>
        <v>0.5</v>
      </c>
      <c r="K524" s="166" t="str">
        <f>IFERROR(VLOOKUP(G524, LEVEL_HELPER!$A:$B, 2, 0), "")</f>
        <v/>
      </c>
      <c r="L524" s="169" t="s">
        <v>942</v>
      </c>
      <c r="M524" s="169" t="s">
        <v>921</v>
      </c>
      <c r="N524" s="3">
        <f t="array" aca="1" ref="N524" ca="1">IFERROR(
  INDEX($J$2:$J$543,
    MATCH(A524&amp;TEXT(I524,"yyyy-mm-dd"),
          $A$2:$A$543&amp;TEXT($H$2:$H$543,"yyyy-mm-dd"),
          0)),
"")</f>
        <v>0.5</v>
      </c>
      <c r="O524" s="170" t="str">
        <f t="shared" ca="1" si="529"/>
        <v/>
      </c>
      <c r="P524" s="147">
        <f t="shared" ref="P524:Q524" ca="1" si="544">IF(N524="",0,IF(N524&lt;=2,1,IF(N524&lt;=4,2,IF(N524&lt;=5.5,3,4))))</f>
        <v>1</v>
      </c>
      <c r="Q524" s="147">
        <f t="shared" ca="1" si="544"/>
        <v>0</v>
      </c>
      <c r="R524" s="147" t="str">
        <f t="shared" ca="1" si="531"/>
        <v>Not tested yet</v>
      </c>
      <c r="S524" s="147">
        <f t="shared" si="532"/>
        <v>1</v>
      </c>
      <c r="T524" s="147"/>
      <c r="U524" s="147"/>
      <c r="V524" s="147"/>
      <c r="W524" s="147"/>
      <c r="X524" s="147"/>
      <c r="Y524" s="147"/>
      <c r="Z524" s="147"/>
      <c r="AA524" s="147"/>
      <c r="AB524" s="147"/>
      <c r="AC524" s="147"/>
      <c r="AD524" s="147"/>
      <c r="AE524" s="147"/>
      <c r="AF524" s="147"/>
      <c r="AG524" s="147"/>
      <c r="AH524" s="147"/>
      <c r="AI524" s="147"/>
      <c r="AJ524" s="147"/>
      <c r="AK524" s="147"/>
      <c r="AL524" s="147"/>
      <c r="AM524" s="151"/>
      <c r="AN524" s="147"/>
      <c r="AO524" s="147"/>
      <c r="AP524" s="147"/>
      <c r="AQ524" s="147"/>
      <c r="AR524" s="147"/>
      <c r="AS524" s="147"/>
      <c r="AT524" s="147"/>
      <c r="AU524" s="147"/>
      <c r="AV524" s="147"/>
      <c r="AW524" s="147"/>
      <c r="AX524" s="147"/>
      <c r="AY524" s="147"/>
      <c r="AZ524" s="147"/>
      <c r="BA524" s="147"/>
      <c r="BB524" s="147"/>
      <c r="BC524" s="147"/>
      <c r="BD524" s="147"/>
      <c r="BE524" s="147"/>
      <c r="BF524" s="147"/>
      <c r="BG524" s="147"/>
      <c r="BH524" s="147"/>
      <c r="BI524" s="147"/>
      <c r="BJ524" s="147"/>
      <c r="BK524" s="147"/>
      <c r="BL524" s="147"/>
      <c r="BM524" s="147"/>
      <c r="BN524" s="147"/>
      <c r="BO524" s="147"/>
      <c r="BP524" s="147"/>
      <c r="BQ524" s="147"/>
      <c r="BR524" s="147"/>
      <c r="BS524" s="147"/>
      <c r="BT524" s="147"/>
      <c r="BU524" s="147"/>
      <c r="BV524" s="147"/>
      <c r="BW524" s="147"/>
      <c r="BX524" s="147"/>
      <c r="BY524" s="147"/>
      <c r="BZ524" s="147"/>
      <c r="CA524" s="147"/>
      <c r="CB524" s="147"/>
      <c r="CC524" s="147"/>
      <c r="CD524" s="147"/>
      <c r="CE524" s="147"/>
      <c r="CF524" s="147"/>
      <c r="CG524" s="147"/>
      <c r="CH524" s="147"/>
      <c r="CI524" s="147"/>
      <c r="CJ524" s="147"/>
      <c r="CK524" s="147"/>
    </row>
    <row r="525" spans="1:89">
      <c r="A525" s="165" t="s">
        <v>359</v>
      </c>
      <c r="B525" s="166" t="s">
        <v>360</v>
      </c>
      <c r="C525" s="167" t="s">
        <v>95</v>
      </c>
      <c r="D525" s="167" t="s">
        <v>888</v>
      </c>
      <c r="E525" s="166" t="s">
        <v>25</v>
      </c>
      <c r="F525" s="166" t="s">
        <v>25</v>
      </c>
      <c r="G525" s="166"/>
      <c r="H525" s="156" t="str">
        <f ca="1">IFERROR(
  _xludf.MINIFS(ATTENDANCE_LOG!$F:$F,
         ATTENDANCE_LOG!$A:$A, C525,
         ATTENDANCE_LOG!$B:$B, E525),
"")</f>
        <v/>
      </c>
      <c r="I525" s="156" t="str">
        <f t="shared" ca="1" si="528"/>
        <v/>
      </c>
      <c r="J525" s="166">
        <f>IFERROR(VLOOKUP(F525, LEVEL_HELPER!$A:$B, 2, 0), "")</f>
        <v>0.5</v>
      </c>
      <c r="K525" s="166" t="str">
        <f>IFERROR(VLOOKUP(G525, LEVEL_HELPER!$A:$B, 2, 0), "")</f>
        <v/>
      </c>
      <c r="L525" s="169" t="s">
        <v>942</v>
      </c>
      <c r="M525" s="169" t="s">
        <v>921</v>
      </c>
      <c r="N525" s="3">
        <f t="array" aca="1" ref="N525" ca="1">IFERROR(
  INDEX($J$2:$J$543,
    MATCH(A525&amp;TEXT(I525,"yyyy-mm-dd"),
          $A$2:$A$543&amp;TEXT($H$2:$H$543,"yyyy-mm-dd"),
          0)),
"")</f>
        <v>0.5</v>
      </c>
      <c r="O525" s="170" t="str">
        <f t="shared" ca="1" si="529"/>
        <v/>
      </c>
      <c r="P525" s="147">
        <f t="shared" ref="P525:Q525" ca="1" si="545">IF(N525="",0,IF(N525&lt;=2,1,IF(N525&lt;=4,2,IF(N525&lt;=5.5,3,4))))</f>
        <v>1</v>
      </c>
      <c r="Q525" s="147">
        <f t="shared" ca="1" si="545"/>
        <v>0</v>
      </c>
      <c r="R525" s="147" t="str">
        <f t="shared" ca="1" si="531"/>
        <v>Not tested yet</v>
      </c>
      <c r="S525" s="147">
        <f t="shared" si="532"/>
        <v>1</v>
      </c>
      <c r="T525" s="147"/>
      <c r="U525" s="147"/>
      <c r="V525" s="147"/>
      <c r="W525" s="147"/>
      <c r="X525" s="147"/>
      <c r="Y525" s="147"/>
      <c r="Z525" s="147"/>
      <c r="AA525" s="147"/>
      <c r="AB525" s="147"/>
      <c r="AC525" s="147"/>
      <c r="AD525" s="147"/>
      <c r="AE525" s="147"/>
      <c r="AF525" s="147"/>
      <c r="AG525" s="147"/>
      <c r="AH525" s="147"/>
      <c r="AI525" s="147"/>
      <c r="AJ525" s="147"/>
      <c r="AK525" s="147"/>
      <c r="AL525" s="147"/>
      <c r="AM525" s="151"/>
      <c r="AN525" s="147"/>
      <c r="AO525" s="147"/>
      <c r="AP525" s="147"/>
      <c r="AQ525" s="147"/>
      <c r="AR525" s="147"/>
      <c r="AS525" s="147"/>
      <c r="AT525" s="147"/>
      <c r="AU525" s="147"/>
      <c r="AV525" s="147"/>
      <c r="AW525" s="147"/>
      <c r="AX525" s="147"/>
      <c r="AY525" s="147"/>
      <c r="AZ525" s="147"/>
      <c r="BA525" s="147"/>
      <c r="BB525" s="147"/>
      <c r="BC525" s="147"/>
      <c r="BD525" s="147"/>
      <c r="BE525" s="147"/>
      <c r="BF525" s="147"/>
      <c r="BG525" s="147"/>
      <c r="BH525" s="147"/>
      <c r="BI525" s="147"/>
      <c r="BJ525" s="147"/>
      <c r="BK525" s="147"/>
      <c r="BL525" s="147"/>
      <c r="BM525" s="147"/>
      <c r="BN525" s="147"/>
      <c r="BO525" s="147"/>
      <c r="BP525" s="147"/>
      <c r="BQ525" s="147"/>
      <c r="BR525" s="147"/>
      <c r="BS525" s="147"/>
      <c r="BT525" s="147"/>
      <c r="BU525" s="147"/>
      <c r="BV525" s="147"/>
      <c r="BW525" s="147"/>
      <c r="BX525" s="147"/>
      <c r="BY525" s="147"/>
      <c r="BZ525" s="147"/>
      <c r="CA525" s="147"/>
      <c r="CB525" s="147"/>
      <c r="CC525" s="147"/>
      <c r="CD525" s="147"/>
      <c r="CE525" s="147"/>
      <c r="CF525" s="147"/>
      <c r="CG525" s="147"/>
      <c r="CH525" s="147"/>
      <c r="CI525" s="147"/>
      <c r="CJ525" s="147"/>
      <c r="CK525" s="147"/>
    </row>
    <row r="526" spans="1:89">
      <c r="A526" s="165" t="s">
        <v>365</v>
      </c>
      <c r="B526" s="166" t="s">
        <v>366</v>
      </c>
      <c r="C526" s="167" t="s">
        <v>95</v>
      </c>
      <c r="D526" s="167" t="s">
        <v>888</v>
      </c>
      <c r="E526" s="166" t="s">
        <v>25</v>
      </c>
      <c r="F526" s="166" t="s">
        <v>25</v>
      </c>
      <c r="G526" s="166"/>
      <c r="H526" s="156" t="str">
        <f ca="1">IFERROR(
  _xludf.MINIFS(ATTENDANCE_LOG!$F:$F,
         ATTENDANCE_LOG!$A:$A, C526,
         ATTENDANCE_LOG!$B:$B, E526),
"")</f>
        <v/>
      </c>
      <c r="I526" s="156" t="str">
        <f t="shared" ca="1" si="528"/>
        <v/>
      </c>
      <c r="J526" s="166">
        <f>IFERROR(VLOOKUP(F526, LEVEL_HELPER!$A:$B, 2, 0), "")</f>
        <v>0.5</v>
      </c>
      <c r="K526" s="166" t="str">
        <f>IFERROR(VLOOKUP(G526, LEVEL_HELPER!$A:$B, 2, 0), "")</f>
        <v/>
      </c>
      <c r="L526" s="169" t="s">
        <v>942</v>
      </c>
      <c r="M526" s="169" t="s">
        <v>921</v>
      </c>
      <c r="N526" s="3">
        <f t="array" aca="1" ref="N526" ca="1">IFERROR(
  INDEX($J$2:$J$543,
    MATCH(A526&amp;TEXT(I526,"yyyy-mm-dd"),
          $A$2:$A$543&amp;TEXT($H$2:$H$543,"yyyy-mm-dd"),
          0)),
"")</f>
        <v>0.5</v>
      </c>
      <c r="O526" s="170" t="str">
        <f t="shared" ca="1" si="529"/>
        <v/>
      </c>
      <c r="P526" s="147">
        <f t="shared" ref="P526:Q526" ca="1" si="546">IF(N526="",0,IF(N526&lt;=2,1,IF(N526&lt;=4,2,IF(N526&lt;=5.5,3,4))))</f>
        <v>1</v>
      </c>
      <c r="Q526" s="147">
        <f t="shared" ca="1" si="546"/>
        <v>0</v>
      </c>
      <c r="R526" s="147" t="str">
        <f t="shared" ca="1" si="531"/>
        <v>Not tested yet</v>
      </c>
      <c r="S526" s="147">
        <f t="shared" si="532"/>
        <v>1</v>
      </c>
      <c r="T526" s="147"/>
      <c r="U526" s="147"/>
      <c r="V526" s="147"/>
      <c r="W526" s="147"/>
      <c r="X526" s="147"/>
      <c r="Y526" s="147"/>
      <c r="Z526" s="147"/>
      <c r="AA526" s="147"/>
      <c r="AB526" s="147"/>
      <c r="AC526" s="147"/>
      <c r="AD526" s="147"/>
      <c r="AE526" s="147"/>
      <c r="AF526" s="147"/>
      <c r="AG526" s="147"/>
      <c r="AH526" s="147"/>
      <c r="AI526" s="147"/>
      <c r="AJ526" s="147"/>
      <c r="AK526" s="147"/>
      <c r="AL526" s="147"/>
      <c r="AM526" s="151"/>
      <c r="AN526" s="147"/>
      <c r="AO526" s="147"/>
      <c r="AP526" s="147"/>
      <c r="AQ526" s="147"/>
      <c r="AR526" s="147"/>
      <c r="AS526" s="147"/>
      <c r="AT526" s="147"/>
      <c r="AU526" s="147"/>
      <c r="AV526" s="147"/>
      <c r="AW526" s="147"/>
      <c r="AX526" s="147"/>
      <c r="AY526" s="147"/>
      <c r="AZ526" s="147"/>
      <c r="BA526" s="147"/>
      <c r="BB526" s="147"/>
      <c r="BC526" s="147"/>
      <c r="BD526" s="147"/>
      <c r="BE526" s="147"/>
      <c r="BF526" s="147"/>
      <c r="BG526" s="147"/>
      <c r="BH526" s="147"/>
      <c r="BI526" s="147"/>
      <c r="BJ526" s="147"/>
      <c r="BK526" s="147"/>
      <c r="BL526" s="147"/>
      <c r="BM526" s="147"/>
      <c r="BN526" s="147"/>
      <c r="BO526" s="147"/>
      <c r="BP526" s="147"/>
      <c r="BQ526" s="147"/>
      <c r="BR526" s="147"/>
      <c r="BS526" s="147"/>
      <c r="BT526" s="147"/>
      <c r="BU526" s="147"/>
      <c r="BV526" s="147"/>
      <c r="BW526" s="147"/>
      <c r="BX526" s="147"/>
      <c r="BY526" s="147"/>
      <c r="BZ526" s="147"/>
      <c r="CA526" s="147"/>
      <c r="CB526" s="147"/>
      <c r="CC526" s="147"/>
      <c r="CD526" s="147"/>
      <c r="CE526" s="147"/>
      <c r="CF526" s="147"/>
      <c r="CG526" s="147"/>
      <c r="CH526" s="147"/>
      <c r="CI526" s="147"/>
      <c r="CJ526" s="147"/>
      <c r="CK526" s="147"/>
    </row>
    <row r="527" spans="1:89">
      <c r="A527" s="165" t="s">
        <v>393</v>
      </c>
      <c r="B527" s="166" t="s">
        <v>394</v>
      </c>
      <c r="C527" s="167" t="s">
        <v>95</v>
      </c>
      <c r="D527" s="167" t="s">
        <v>888</v>
      </c>
      <c r="E527" s="166" t="s">
        <v>25</v>
      </c>
      <c r="F527" s="166" t="s">
        <v>25</v>
      </c>
      <c r="G527" s="166"/>
      <c r="H527" s="156" t="str">
        <f ca="1">IFERROR(
  _xludf.MINIFS(ATTENDANCE_LOG!$F:$F,
         ATTENDANCE_LOG!$A:$A, C527,
         ATTENDANCE_LOG!$B:$B, E527),
"")</f>
        <v/>
      </c>
      <c r="I527" s="156" t="str">
        <f t="shared" ca="1" si="528"/>
        <v/>
      </c>
      <c r="J527" s="166">
        <f>IFERROR(VLOOKUP(F527, LEVEL_HELPER!$A:$B, 2, 0), "")</f>
        <v>0.5</v>
      </c>
      <c r="K527" s="166" t="str">
        <f>IFERROR(VLOOKUP(G527, LEVEL_HELPER!$A:$B, 2, 0), "")</f>
        <v/>
      </c>
      <c r="L527" s="169" t="s">
        <v>942</v>
      </c>
      <c r="M527" s="169" t="s">
        <v>921</v>
      </c>
      <c r="N527" s="3">
        <f t="array" aca="1" ref="N527" ca="1">IFERROR(
  INDEX($J$2:$J$543,
    MATCH(A527&amp;TEXT(I527,"yyyy-mm-dd"),
          $A$2:$A$543&amp;TEXT($H$2:$H$543,"yyyy-mm-dd"),
          0)),
"")</f>
        <v>0.5</v>
      </c>
      <c r="O527" s="170" t="str">
        <f t="shared" ca="1" si="529"/>
        <v/>
      </c>
      <c r="P527" s="147">
        <f t="shared" ref="P527:Q527" ca="1" si="547">IF(N527="",0,IF(N527&lt;=2,1,IF(N527&lt;=4,2,IF(N527&lt;=5.5,3,4))))</f>
        <v>1</v>
      </c>
      <c r="Q527" s="147">
        <f t="shared" ca="1" si="547"/>
        <v>0</v>
      </c>
      <c r="R527" s="147" t="str">
        <f t="shared" ca="1" si="531"/>
        <v>Not tested yet</v>
      </c>
      <c r="S527" s="147">
        <f t="shared" si="532"/>
        <v>1</v>
      </c>
      <c r="T527" s="147"/>
      <c r="U527" s="147"/>
      <c r="V527" s="147"/>
      <c r="W527" s="147"/>
      <c r="X527" s="147"/>
      <c r="Y527" s="147"/>
      <c r="Z527" s="147"/>
      <c r="AA527" s="147"/>
      <c r="AB527" s="147"/>
      <c r="AC527" s="147"/>
      <c r="AD527" s="147"/>
      <c r="AE527" s="147"/>
      <c r="AF527" s="147"/>
      <c r="AG527" s="147"/>
      <c r="AH527" s="147"/>
      <c r="AI527" s="147"/>
      <c r="AJ527" s="147"/>
      <c r="AK527" s="147"/>
      <c r="AL527" s="147"/>
      <c r="AM527" s="151"/>
      <c r="AN527" s="147"/>
      <c r="AO527" s="147"/>
      <c r="AP527" s="147"/>
      <c r="AQ527" s="147"/>
      <c r="AR527" s="147"/>
      <c r="AS527" s="147"/>
      <c r="AT527" s="147"/>
      <c r="AU527" s="147"/>
      <c r="AV527" s="147"/>
      <c r="AW527" s="147"/>
      <c r="AX527" s="147"/>
      <c r="AY527" s="147"/>
      <c r="AZ527" s="147"/>
      <c r="BA527" s="147"/>
      <c r="BB527" s="147"/>
      <c r="BC527" s="147"/>
      <c r="BD527" s="147"/>
      <c r="BE527" s="147"/>
      <c r="BF527" s="147"/>
      <c r="BG527" s="147"/>
      <c r="BH527" s="147"/>
      <c r="BI527" s="147"/>
      <c r="BJ527" s="147"/>
      <c r="BK527" s="147"/>
      <c r="BL527" s="147"/>
      <c r="BM527" s="147"/>
      <c r="BN527" s="147"/>
      <c r="BO527" s="147"/>
      <c r="BP527" s="147"/>
      <c r="BQ527" s="147"/>
      <c r="BR527" s="147"/>
      <c r="BS527" s="147"/>
      <c r="BT527" s="147"/>
      <c r="BU527" s="147"/>
      <c r="BV527" s="147"/>
      <c r="BW527" s="147"/>
      <c r="BX527" s="147"/>
      <c r="BY527" s="147"/>
      <c r="BZ527" s="147"/>
      <c r="CA527" s="147"/>
      <c r="CB527" s="147"/>
      <c r="CC527" s="147"/>
      <c r="CD527" s="147"/>
      <c r="CE527" s="147"/>
      <c r="CF527" s="147"/>
      <c r="CG527" s="147"/>
      <c r="CH527" s="147"/>
      <c r="CI527" s="147"/>
      <c r="CJ527" s="147"/>
      <c r="CK527" s="147"/>
    </row>
    <row r="528" spans="1:89">
      <c r="A528" s="165" t="s">
        <v>409</v>
      </c>
      <c r="B528" s="166" t="s">
        <v>410</v>
      </c>
      <c r="C528" s="167" t="s">
        <v>95</v>
      </c>
      <c r="D528" s="167" t="s">
        <v>888</v>
      </c>
      <c r="E528" s="166" t="s">
        <v>25</v>
      </c>
      <c r="F528" s="166" t="s">
        <v>25</v>
      </c>
      <c r="G528" s="166"/>
      <c r="H528" s="156" t="str">
        <f ca="1">IFERROR(
  _xludf.MINIFS(ATTENDANCE_LOG!$F:$F,
         ATTENDANCE_LOG!$A:$A, C528,
         ATTENDANCE_LOG!$B:$B, E528),
"")</f>
        <v/>
      </c>
      <c r="I528" s="156" t="str">
        <f t="shared" ca="1" si="528"/>
        <v/>
      </c>
      <c r="J528" s="166">
        <f>IFERROR(VLOOKUP(F528, LEVEL_HELPER!$A:$B, 2, 0), "")</f>
        <v>0.5</v>
      </c>
      <c r="K528" s="166" t="str">
        <f>IFERROR(VLOOKUP(G528, LEVEL_HELPER!$A:$B, 2, 0), "")</f>
        <v/>
      </c>
      <c r="L528" s="169" t="s">
        <v>918</v>
      </c>
      <c r="M528" s="169" t="s">
        <v>921</v>
      </c>
      <c r="N528" s="3">
        <f t="array" aca="1" ref="N528" ca="1">IFERROR(
  INDEX($J$2:$J$543,
    MATCH(A528&amp;TEXT(I528,"yyyy-mm-dd"),
          $A$2:$A$543&amp;TEXT($H$2:$H$543,"yyyy-mm-dd"),
          0)),
"")</f>
        <v>0.5</v>
      </c>
      <c r="O528" s="170" t="str">
        <f t="shared" ca="1" si="529"/>
        <v/>
      </c>
      <c r="P528" s="147">
        <f t="shared" ref="P528:Q528" ca="1" si="548">IF(N528="",0,IF(N528&lt;=2,1,IF(N528&lt;=4,2,IF(N528&lt;=5.5,3,4))))</f>
        <v>1</v>
      </c>
      <c r="Q528" s="147">
        <f t="shared" ca="1" si="548"/>
        <v>0</v>
      </c>
      <c r="R528" s="147" t="str">
        <f t="shared" ca="1" si="531"/>
        <v>Not tested yet</v>
      </c>
      <c r="S528" s="147">
        <f t="shared" si="532"/>
        <v>1</v>
      </c>
      <c r="T528" s="147"/>
      <c r="U528" s="147"/>
      <c r="V528" s="147"/>
      <c r="W528" s="147"/>
      <c r="X528" s="147"/>
      <c r="Y528" s="147"/>
      <c r="Z528" s="147"/>
      <c r="AA528" s="147"/>
      <c r="AB528" s="147"/>
      <c r="AC528" s="147"/>
      <c r="AD528" s="147"/>
      <c r="AE528" s="147"/>
      <c r="AF528" s="147"/>
      <c r="AG528" s="147"/>
      <c r="AH528" s="147"/>
      <c r="AI528" s="147"/>
      <c r="AJ528" s="147"/>
      <c r="AK528" s="147"/>
      <c r="AL528" s="147"/>
      <c r="AM528" s="151"/>
      <c r="AN528" s="147"/>
      <c r="AO528" s="147"/>
      <c r="AP528" s="147"/>
      <c r="AQ528" s="147"/>
      <c r="AR528" s="147"/>
      <c r="AS528" s="147"/>
      <c r="AT528" s="147"/>
      <c r="AU528" s="147"/>
      <c r="AV528" s="147"/>
      <c r="AW528" s="147"/>
      <c r="AX528" s="147"/>
      <c r="AY528" s="147"/>
      <c r="AZ528" s="147"/>
      <c r="BA528" s="147"/>
      <c r="BB528" s="147"/>
      <c r="BC528" s="147"/>
      <c r="BD528" s="147"/>
      <c r="BE528" s="147"/>
      <c r="BF528" s="147"/>
      <c r="BG528" s="147"/>
      <c r="BH528" s="147"/>
      <c r="BI528" s="147"/>
      <c r="BJ528" s="147"/>
      <c r="BK528" s="147"/>
      <c r="BL528" s="147"/>
      <c r="BM528" s="147"/>
      <c r="BN528" s="147"/>
      <c r="BO528" s="147"/>
      <c r="BP528" s="147"/>
      <c r="BQ528" s="147"/>
      <c r="BR528" s="147"/>
      <c r="BS528" s="147"/>
      <c r="BT528" s="147"/>
      <c r="BU528" s="147"/>
      <c r="BV528" s="147"/>
      <c r="BW528" s="147"/>
      <c r="BX528" s="147"/>
      <c r="BY528" s="147"/>
      <c r="BZ528" s="147"/>
      <c r="CA528" s="147"/>
      <c r="CB528" s="147"/>
      <c r="CC528" s="147"/>
      <c r="CD528" s="147"/>
      <c r="CE528" s="147"/>
      <c r="CF528" s="147"/>
      <c r="CG528" s="147"/>
      <c r="CH528" s="147"/>
      <c r="CI528" s="147"/>
      <c r="CJ528" s="147"/>
      <c r="CK528" s="147"/>
    </row>
    <row r="529" spans="1:89">
      <c r="A529" s="165" t="s">
        <v>478</v>
      </c>
      <c r="B529" s="166" t="s">
        <v>479</v>
      </c>
      <c r="C529" s="167" t="s">
        <v>95</v>
      </c>
      <c r="D529" s="167" t="s">
        <v>888</v>
      </c>
      <c r="E529" s="166" t="s">
        <v>25</v>
      </c>
      <c r="F529" s="166" t="s">
        <v>25</v>
      </c>
      <c r="G529" s="166"/>
      <c r="H529" s="156" t="str">
        <f ca="1">IFERROR(
  _xludf.MINIFS(ATTENDANCE_LOG!$F:$F,
         ATTENDANCE_LOG!$A:$A, C529,
         ATTENDANCE_LOG!$B:$B, E529),
"")</f>
        <v/>
      </c>
      <c r="I529" s="156" t="str">
        <f t="shared" ca="1" si="528"/>
        <v/>
      </c>
      <c r="J529" s="166">
        <f>IFERROR(VLOOKUP(F529, LEVEL_HELPER!$A:$B, 2, 0), "")</f>
        <v>0.5</v>
      </c>
      <c r="K529" s="166" t="str">
        <f>IFERROR(VLOOKUP(G529, LEVEL_HELPER!$A:$B, 2, 0), "")</f>
        <v/>
      </c>
      <c r="L529" s="169" t="s">
        <v>944</v>
      </c>
      <c r="M529" s="169" t="s">
        <v>921</v>
      </c>
      <c r="N529" s="3">
        <f t="array" aca="1" ref="N529" ca="1">IFERROR(
  INDEX($J$2:$J$543,
    MATCH(A529&amp;TEXT(I529,"yyyy-mm-dd"),
          $A$2:$A$543&amp;TEXT($H$2:$H$543,"yyyy-mm-dd"),
          0)),
"")</f>
        <v>1</v>
      </c>
      <c r="O529" s="170" t="str">
        <f t="shared" ca="1" si="529"/>
        <v/>
      </c>
      <c r="P529" s="147">
        <f t="shared" ref="P529:Q529" ca="1" si="549">IF(N529="",0,IF(N529&lt;=2,1,IF(N529&lt;=4,2,IF(N529&lt;=5.5,3,4))))</f>
        <v>1</v>
      </c>
      <c r="Q529" s="147">
        <f t="shared" ca="1" si="549"/>
        <v>0</v>
      </c>
      <c r="R529" s="147" t="str">
        <f t="shared" ca="1" si="531"/>
        <v>Not tested yet</v>
      </c>
      <c r="S529" s="147">
        <f t="shared" si="532"/>
        <v>0</v>
      </c>
      <c r="T529" s="147"/>
      <c r="U529" s="147"/>
      <c r="V529" s="147"/>
      <c r="W529" s="147"/>
      <c r="X529" s="147"/>
      <c r="Y529" s="147"/>
      <c r="Z529" s="147"/>
      <c r="AA529" s="147"/>
      <c r="AB529" s="147"/>
      <c r="AC529" s="147"/>
      <c r="AD529" s="147"/>
      <c r="AE529" s="147"/>
      <c r="AF529" s="147"/>
      <c r="AG529" s="147"/>
      <c r="AH529" s="147"/>
      <c r="AI529" s="147"/>
      <c r="AJ529" s="147"/>
      <c r="AK529" s="147"/>
      <c r="AL529" s="147"/>
      <c r="AM529" s="151"/>
      <c r="AN529" s="147"/>
      <c r="AO529" s="147"/>
      <c r="AP529" s="147"/>
      <c r="AQ529" s="147"/>
      <c r="AR529" s="147"/>
      <c r="AS529" s="147"/>
      <c r="AT529" s="147"/>
      <c r="AU529" s="147"/>
      <c r="AV529" s="147"/>
      <c r="AW529" s="147"/>
      <c r="AX529" s="147"/>
      <c r="AY529" s="147"/>
      <c r="AZ529" s="147"/>
      <c r="BA529" s="147"/>
      <c r="BB529" s="147"/>
      <c r="BC529" s="147"/>
      <c r="BD529" s="147"/>
      <c r="BE529" s="147"/>
      <c r="BF529" s="147"/>
      <c r="BG529" s="147"/>
      <c r="BH529" s="147"/>
      <c r="BI529" s="147"/>
      <c r="BJ529" s="147"/>
      <c r="BK529" s="147"/>
      <c r="BL529" s="147"/>
      <c r="BM529" s="147"/>
      <c r="BN529" s="147"/>
      <c r="BO529" s="147"/>
      <c r="BP529" s="147"/>
      <c r="BQ529" s="147"/>
      <c r="BR529" s="147"/>
      <c r="BS529" s="147"/>
      <c r="BT529" s="147"/>
      <c r="BU529" s="147"/>
      <c r="BV529" s="147"/>
      <c r="BW529" s="147"/>
      <c r="BX529" s="147"/>
      <c r="BY529" s="147"/>
      <c r="BZ529" s="147"/>
      <c r="CA529" s="147"/>
      <c r="CB529" s="147"/>
      <c r="CC529" s="147"/>
      <c r="CD529" s="147"/>
      <c r="CE529" s="147"/>
      <c r="CF529" s="147"/>
      <c r="CG529" s="147"/>
      <c r="CH529" s="147"/>
      <c r="CI529" s="147"/>
      <c r="CJ529" s="147"/>
      <c r="CK529" s="147"/>
    </row>
    <row r="530" spans="1:89">
      <c r="A530" s="165" t="s">
        <v>585</v>
      </c>
      <c r="B530" s="166" t="s">
        <v>586</v>
      </c>
      <c r="C530" s="167" t="s">
        <v>95</v>
      </c>
      <c r="D530" s="167" t="s">
        <v>888</v>
      </c>
      <c r="E530" s="166" t="s">
        <v>25</v>
      </c>
      <c r="F530" s="166" t="s">
        <v>25</v>
      </c>
      <c r="G530" s="166"/>
      <c r="H530" s="156" t="str">
        <f ca="1">IFERROR(
  _xludf.MINIFS(ATTENDANCE_LOG!$F:$F,
         ATTENDANCE_LOG!$A:$A, C530,
         ATTENDANCE_LOG!$B:$B, E530),
"")</f>
        <v/>
      </c>
      <c r="I530" s="156" t="str">
        <f t="shared" ca="1" si="528"/>
        <v/>
      </c>
      <c r="J530" s="166">
        <f>IFERROR(VLOOKUP(F530, LEVEL_HELPER!$A:$B, 2, 0), "")</f>
        <v>0.5</v>
      </c>
      <c r="K530" s="166" t="str">
        <f>IFERROR(VLOOKUP(G530, LEVEL_HELPER!$A:$B, 2, 0), "")</f>
        <v/>
      </c>
      <c r="L530" s="169" t="s">
        <v>942</v>
      </c>
      <c r="M530" s="169" t="s">
        <v>921</v>
      </c>
      <c r="N530" s="3">
        <f t="array" aca="1" ref="N530" ca="1">IFERROR(
  INDEX($J$2:$J$543,
    MATCH(A530&amp;TEXT(I530,"yyyy-mm-dd"),
          $A$2:$A$543&amp;TEXT($H$2:$H$543,"yyyy-mm-dd"),
          0)),
"")</f>
        <v>0.5</v>
      </c>
      <c r="O530" s="170" t="str">
        <f t="shared" ca="1" si="529"/>
        <v/>
      </c>
      <c r="P530" s="147">
        <f t="shared" ref="P530:Q530" ca="1" si="550">IF(N530="",0,IF(N530&lt;=2,1,IF(N530&lt;=4,2,IF(N530&lt;=5.5,3,4))))</f>
        <v>1</v>
      </c>
      <c r="Q530" s="147">
        <f t="shared" ca="1" si="550"/>
        <v>0</v>
      </c>
      <c r="R530" s="147" t="str">
        <f t="shared" ca="1" si="531"/>
        <v>Not tested yet</v>
      </c>
      <c r="S530" s="147">
        <f t="shared" si="532"/>
        <v>1</v>
      </c>
      <c r="T530" s="147"/>
      <c r="U530" s="147"/>
      <c r="V530" s="147"/>
      <c r="W530" s="147"/>
      <c r="X530" s="147"/>
      <c r="Y530" s="147"/>
      <c r="Z530" s="147"/>
      <c r="AA530" s="147"/>
      <c r="AB530" s="147"/>
      <c r="AC530" s="147"/>
      <c r="AD530" s="147"/>
      <c r="AE530" s="147"/>
      <c r="AF530" s="147"/>
      <c r="AG530" s="147"/>
      <c r="AH530" s="147"/>
      <c r="AI530" s="147"/>
      <c r="AJ530" s="147"/>
      <c r="AK530" s="147"/>
      <c r="AL530" s="147"/>
      <c r="AM530" s="151"/>
      <c r="AN530" s="147"/>
      <c r="AO530" s="147"/>
      <c r="AP530" s="147"/>
      <c r="AQ530" s="147"/>
      <c r="AR530" s="147"/>
      <c r="AS530" s="147"/>
      <c r="AT530" s="147"/>
      <c r="AU530" s="147"/>
      <c r="AV530" s="147"/>
      <c r="AW530" s="147"/>
      <c r="AX530" s="147"/>
      <c r="AY530" s="147"/>
      <c r="AZ530" s="147"/>
      <c r="BA530" s="147"/>
      <c r="BB530" s="147"/>
      <c r="BC530" s="147"/>
      <c r="BD530" s="147"/>
      <c r="BE530" s="147"/>
      <c r="BF530" s="147"/>
      <c r="BG530" s="147"/>
      <c r="BH530" s="147"/>
      <c r="BI530" s="147"/>
      <c r="BJ530" s="147"/>
      <c r="BK530" s="147"/>
      <c r="BL530" s="147"/>
      <c r="BM530" s="147"/>
      <c r="BN530" s="147"/>
      <c r="BO530" s="147"/>
      <c r="BP530" s="147"/>
      <c r="BQ530" s="147"/>
      <c r="BR530" s="147"/>
      <c r="BS530" s="147"/>
      <c r="BT530" s="147"/>
      <c r="BU530" s="147"/>
      <c r="BV530" s="147"/>
      <c r="BW530" s="147"/>
      <c r="BX530" s="147"/>
      <c r="BY530" s="147"/>
      <c r="BZ530" s="147"/>
      <c r="CA530" s="147"/>
      <c r="CB530" s="147"/>
      <c r="CC530" s="147"/>
      <c r="CD530" s="147"/>
      <c r="CE530" s="147"/>
      <c r="CF530" s="147"/>
      <c r="CG530" s="147"/>
      <c r="CH530" s="147"/>
      <c r="CI530" s="147"/>
      <c r="CJ530" s="147"/>
      <c r="CK530" s="147"/>
    </row>
    <row r="531" spans="1:89">
      <c r="A531" s="178" t="s">
        <v>370</v>
      </c>
      <c r="B531" s="179" t="s">
        <v>371</v>
      </c>
      <c r="C531" s="180" t="s">
        <v>96</v>
      </c>
      <c r="D531" s="180" t="s">
        <v>889</v>
      </c>
      <c r="E531" s="179" t="s">
        <v>21</v>
      </c>
      <c r="F531" s="179" t="s">
        <v>25</v>
      </c>
      <c r="G531" s="179"/>
      <c r="H531" s="156" t="str">
        <f ca="1">IFERROR(
  _xludf.MINIFS(ATTENDANCE_LOG!$F:$F,
         ATTENDANCE_LOG!$A:$A, C531,
         ATTENDANCE_LOG!$B:$B, E531),
"")</f>
        <v/>
      </c>
      <c r="I531" s="156" t="str">
        <f t="shared" ca="1" si="528"/>
        <v/>
      </c>
      <c r="J531" s="179">
        <f>IFERROR(VLOOKUP(F531, LEVEL_HELPER!$A:$B, 2, 0), "")</f>
        <v>0.5</v>
      </c>
      <c r="K531" s="166" t="str">
        <f>IFERROR(VLOOKUP(G531, LEVEL_HELPER!$A:$B, 2, 0), "")</f>
        <v/>
      </c>
      <c r="L531" s="181" t="s">
        <v>918</v>
      </c>
      <c r="M531" s="181" t="s">
        <v>924</v>
      </c>
      <c r="N531" s="3">
        <f t="array" aca="1" ref="N531" ca="1">IFERROR(
  INDEX($J$2:$J$543,
    MATCH(A531&amp;TEXT(I531,"yyyy-mm-dd"),
          $A$2:$A$543&amp;TEXT($H$2:$H$543,"yyyy-mm-dd"),
          0)),
"")</f>
        <v>1</v>
      </c>
      <c r="O531" s="182" t="str">
        <f t="shared" ca="1" si="529"/>
        <v/>
      </c>
      <c r="P531" s="147">
        <f t="shared" ref="P531:Q531" ca="1" si="551">IF(N531="",0,IF(N531&lt;=2,1,IF(N531&lt;=4,2,IF(N531&lt;=5.5,3,4))))</f>
        <v>1</v>
      </c>
      <c r="Q531" s="147">
        <f t="shared" ca="1" si="551"/>
        <v>0</v>
      </c>
      <c r="R531" s="147" t="str">
        <f t="shared" ca="1" si="531"/>
        <v>Not tested yet</v>
      </c>
      <c r="S531" s="147">
        <f t="shared" si="532"/>
        <v>0</v>
      </c>
      <c r="T531" s="147"/>
      <c r="U531" s="147"/>
      <c r="V531" s="147"/>
      <c r="W531" s="147"/>
      <c r="X531" s="147"/>
      <c r="Y531" s="147"/>
      <c r="Z531" s="147"/>
      <c r="AA531" s="147"/>
      <c r="AB531" s="147"/>
      <c r="AC531" s="147"/>
      <c r="AD531" s="147"/>
      <c r="AE531" s="147"/>
      <c r="AF531" s="147"/>
      <c r="AG531" s="147"/>
      <c r="AH531" s="147"/>
      <c r="AI531" s="147"/>
      <c r="AJ531" s="147"/>
      <c r="AK531" s="147"/>
      <c r="AL531" s="147"/>
      <c r="AM531" s="151"/>
      <c r="AN531" s="147"/>
      <c r="AO531" s="147"/>
      <c r="AP531" s="147"/>
      <c r="AQ531" s="147"/>
      <c r="AR531" s="147"/>
      <c r="AS531" s="147"/>
      <c r="AT531" s="147"/>
      <c r="AU531" s="147"/>
      <c r="AV531" s="147"/>
      <c r="AW531" s="147"/>
      <c r="AX531" s="147"/>
      <c r="AY531" s="147"/>
      <c r="AZ531" s="147"/>
      <c r="BA531" s="147"/>
      <c r="BB531" s="147"/>
      <c r="BC531" s="147"/>
      <c r="BD531" s="147"/>
      <c r="BE531" s="147"/>
      <c r="BF531" s="147"/>
      <c r="BG531" s="147"/>
      <c r="BH531" s="147"/>
      <c r="BI531" s="147"/>
      <c r="BJ531" s="147"/>
      <c r="BK531" s="147"/>
      <c r="BL531" s="147"/>
      <c r="BM531" s="147"/>
      <c r="BN531" s="147"/>
      <c r="BO531" s="147"/>
      <c r="BP531" s="147"/>
      <c r="BQ531" s="147"/>
      <c r="BR531" s="147"/>
      <c r="BS531" s="147"/>
      <c r="BT531" s="147"/>
      <c r="BU531" s="147"/>
      <c r="BV531" s="147"/>
      <c r="BW531" s="147"/>
      <c r="BX531" s="147"/>
      <c r="BY531" s="147"/>
      <c r="BZ531" s="147"/>
      <c r="CA531" s="147"/>
      <c r="CB531" s="147"/>
      <c r="CC531" s="147"/>
      <c r="CD531" s="147"/>
      <c r="CE531" s="147"/>
      <c r="CF531" s="147"/>
      <c r="CG531" s="147"/>
      <c r="CH531" s="147"/>
      <c r="CI531" s="147"/>
      <c r="CJ531" s="147"/>
      <c r="CK531" s="147"/>
    </row>
    <row r="532" spans="1:89">
      <c r="A532" s="165" t="s">
        <v>138</v>
      </c>
      <c r="B532" s="166" t="s">
        <v>139</v>
      </c>
      <c r="C532" s="167" t="s">
        <v>96</v>
      </c>
      <c r="D532" s="167" t="s">
        <v>889</v>
      </c>
      <c r="E532" s="166" t="s">
        <v>21</v>
      </c>
      <c r="F532" s="166" t="s">
        <v>928</v>
      </c>
      <c r="G532" s="166"/>
      <c r="H532" s="156" t="str">
        <f ca="1">IFERROR(
  _xludf.MINIFS(ATTENDANCE_LOG!$F:$F,
         ATTENDANCE_LOG!$A:$A, C532,
         ATTENDANCE_LOG!$B:$B, E532),
"")</f>
        <v/>
      </c>
      <c r="I532" s="156" t="str">
        <f t="shared" ca="1" si="528"/>
        <v/>
      </c>
      <c r="J532" s="166">
        <f>IFERROR(VLOOKUP(F532, LEVEL_HELPER!$A:$B, 2, 0), "")</f>
        <v>1.5</v>
      </c>
      <c r="K532" s="166" t="str">
        <f>IFERROR(VLOOKUP(G532, LEVEL_HELPER!$A:$B, 2, 0), "")</f>
        <v/>
      </c>
      <c r="L532" s="169" t="s">
        <v>918</v>
      </c>
      <c r="M532" s="169" t="s">
        <v>924</v>
      </c>
      <c r="N532" s="3">
        <f t="array" aca="1" ref="N532" ca="1">IFERROR(
  INDEX($J$2:$J$543,
    MATCH(A532&amp;TEXT(I532,"yyyy-mm-dd"),
          $A$2:$A$543&amp;TEXT($H$2:$H$543,"yyyy-mm-dd"),
          0)),
"")</f>
        <v>1.5</v>
      </c>
      <c r="O532" s="170" t="str">
        <f t="shared" ca="1" si="529"/>
        <v/>
      </c>
      <c r="P532" s="147">
        <f t="shared" ref="P532:Q532" ca="1" si="552">IF(N532="",0,IF(N532&lt;=2,1,IF(N532&lt;=4,2,IF(N532&lt;=5.5,3,4))))</f>
        <v>1</v>
      </c>
      <c r="Q532" s="147">
        <f t="shared" ca="1" si="552"/>
        <v>0</v>
      </c>
      <c r="R532" s="147" t="str">
        <f t="shared" ca="1" si="531"/>
        <v>Not tested yet</v>
      </c>
      <c r="S532" s="147">
        <f t="shared" si="532"/>
        <v>1</v>
      </c>
      <c r="T532" s="147"/>
      <c r="U532" s="147"/>
      <c r="V532" s="147"/>
      <c r="W532" s="147"/>
      <c r="X532" s="147"/>
      <c r="Y532" s="147"/>
      <c r="Z532" s="147"/>
      <c r="AA532" s="147"/>
      <c r="AB532" s="147"/>
      <c r="AC532" s="147"/>
      <c r="AD532" s="147"/>
      <c r="AE532" s="147"/>
      <c r="AF532" s="147"/>
      <c r="AG532" s="147"/>
      <c r="AH532" s="147"/>
      <c r="AI532" s="147"/>
      <c r="AJ532" s="147"/>
      <c r="AK532" s="147"/>
      <c r="AL532" s="147"/>
      <c r="AM532" s="151"/>
      <c r="AN532" s="147"/>
      <c r="AO532" s="147"/>
      <c r="AP532" s="147"/>
      <c r="AQ532" s="147"/>
      <c r="AR532" s="147"/>
      <c r="AS532" s="147"/>
      <c r="AT532" s="147"/>
      <c r="AU532" s="147"/>
      <c r="AV532" s="147"/>
      <c r="AW532" s="147"/>
      <c r="AX532" s="147"/>
      <c r="AY532" s="147"/>
      <c r="AZ532" s="147"/>
      <c r="BA532" s="147"/>
      <c r="BB532" s="147"/>
      <c r="BC532" s="147"/>
      <c r="BD532" s="147"/>
      <c r="BE532" s="147"/>
      <c r="BF532" s="147"/>
      <c r="BG532" s="147"/>
      <c r="BH532" s="147"/>
      <c r="BI532" s="147"/>
      <c r="BJ532" s="147"/>
      <c r="BK532" s="147"/>
      <c r="BL532" s="147"/>
      <c r="BM532" s="147"/>
      <c r="BN532" s="147"/>
      <c r="BO532" s="147"/>
      <c r="BP532" s="147"/>
      <c r="BQ532" s="147"/>
      <c r="BR532" s="147"/>
      <c r="BS532" s="147"/>
      <c r="BT532" s="147"/>
      <c r="BU532" s="147"/>
      <c r="BV532" s="147"/>
      <c r="BW532" s="147"/>
      <c r="BX532" s="147"/>
      <c r="BY532" s="147"/>
      <c r="BZ532" s="147"/>
      <c r="CA532" s="147"/>
      <c r="CB532" s="147"/>
      <c r="CC532" s="147"/>
      <c r="CD532" s="147"/>
      <c r="CE532" s="147"/>
      <c r="CF532" s="147"/>
      <c r="CG532" s="147"/>
      <c r="CH532" s="147"/>
      <c r="CI532" s="147"/>
      <c r="CJ532" s="147"/>
      <c r="CK532" s="147"/>
    </row>
    <row r="533" spans="1:89">
      <c r="A533" s="165" t="s">
        <v>267</v>
      </c>
      <c r="B533" s="166" t="s">
        <v>268</v>
      </c>
      <c r="C533" s="167" t="s">
        <v>96</v>
      </c>
      <c r="D533" s="167" t="s">
        <v>889</v>
      </c>
      <c r="E533" s="166" t="s">
        <v>21</v>
      </c>
      <c r="F533" s="166" t="s">
        <v>25</v>
      </c>
      <c r="G533" s="166"/>
      <c r="H533" s="156" t="str">
        <f ca="1">IFERROR(
  _xludf.MINIFS(ATTENDANCE_LOG!$F:$F,
         ATTENDANCE_LOG!$A:$A, C533,
         ATTENDANCE_LOG!$B:$B, E533),
"")</f>
        <v/>
      </c>
      <c r="I533" s="156" t="str">
        <f t="shared" ca="1" si="528"/>
        <v/>
      </c>
      <c r="J533" s="166">
        <f>IFERROR(VLOOKUP(F533, LEVEL_HELPER!$A:$B, 2, 0), "")</f>
        <v>0.5</v>
      </c>
      <c r="K533" s="166" t="str">
        <f>IFERROR(VLOOKUP(G533, LEVEL_HELPER!$A:$B, 2, 0), "")</f>
        <v/>
      </c>
      <c r="L533" s="169" t="s">
        <v>918</v>
      </c>
      <c r="M533" s="169" t="s">
        <v>924</v>
      </c>
      <c r="N533" s="3">
        <f t="array" aca="1" ref="N533" ca="1">IFERROR(
  INDEX($J$2:$J$543,
    MATCH(A533&amp;TEXT(I533,"yyyy-mm-dd"),
          $A$2:$A$543&amp;TEXT($H$2:$H$543,"yyyy-mm-dd"),
          0)),
"")</f>
        <v>1</v>
      </c>
      <c r="O533" s="170" t="str">
        <f t="shared" ca="1" si="529"/>
        <v/>
      </c>
      <c r="P533" s="147">
        <f t="shared" ref="P533:Q533" ca="1" si="553">IF(N533="",0,IF(N533&lt;=2,1,IF(N533&lt;=4,2,IF(N533&lt;=5.5,3,4))))</f>
        <v>1</v>
      </c>
      <c r="Q533" s="147">
        <f t="shared" ca="1" si="553"/>
        <v>0</v>
      </c>
      <c r="R533" s="147" t="str">
        <f t="shared" ca="1" si="531"/>
        <v>Not tested yet</v>
      </c>
      <c r="S533" s="147">
        <f t="shared" si="532"/>
        <v>0</v>
      </c>
      <c r="T533" s="147"/>
      <c r="U533" s="147"/>
      <c r="V533" s="147"/>
      <c r="W533" s="147"/>
      <c r="X533" s="147"/>
      <c r="Y533" s="147"/>
      <c r="Z533" s="147"/>
      <c r="AA533" s="147"/>
      <c r="AB533" s="147"/>
      <c r="AC533" s="147"/>
      <c r="AD533" s="147"/>
      <c r="AE533" s="147"/>
      <c r="AF533" s="147"/>
      <c r="AG533" s="147"/>
      <c r="AH533" s="147"/>
      <c r="AI533" s="147"/>
      <c r="AJ533" s="147"/>
      <c r="AK533" s="147"/>
      <c r="AL533" s="147"/>
      <c r="AM533" s="151"/>
      <c r="AN533" s="147"/>
      <c r="AO533" s="147"/>
      <c r="AP533" s="147"/>
      <c r="AQ533" s="147"/>
      <c r="AR533" s="147"/>
      <c r="AS533" s="147"/>
      <c r="AT533" s="147"/>
      <c r="AU533" s="147"/>
      <c r="AV533" s="147"/>
      <c r="AW533" s="147"/>
      <c r="AX533" s="147"/>
      <c r="AY533" s="147"/>
      <c r="AZ533" s="147"/>
      <c r="BA533" s="147"/>
      <c r="BB533" s="147"/>
      <c r="BC533" s="147"/>
      <c r="BD533" s="147"/>
      <c r="BE533" s="147"/>
      <c r="BF533" s="147"/>
      <c r="BG533" s="147"/>
      <c r="BH533" s="147"/>
      <c r="BI533" s="147"/>
      <c r="BJ533" s="147"/>
      <c r="BK533" s="147"/>
      <c r="BL533" s="147"/>
      <c r="BM533" s="147"/>
      <c r="BN533" s="147"/>
      <c r="BO533" s="147"/>
      <c r="BP533" s="147"/>
      <c r="BQ533" s="147"/>
      <c r="BR533" s="147"/>
      <c r="BS533" s="147"/>
      <c r="BT533" s="147"/>
      <c r="BU533" s="147"/>
      <c r="BV533" s="147"/>
      <c r="BW533" s="147"/>
      <c r="BX533" s="147"/>
      <c r="BY533" s="147"/>
      <c r="BZ533" s="147"/>
      <c r="CA533" s="147"/>
      <c r="CB533" s="147"/>
      <c r="CC533" s="147"/>
      <c r="CD533" s="147"/>
      <c r="CE533" s="147"/>
      <c r="CF533" s="147"/>
      <c r="CG533" s="147"/>
      <c r="CH533" s="147"/>
      <c r="CI533" s="147"/>
      <c r="CJ533" s="147"/>
      <c r="CK533" s="147"/>
    </row>
    <row r="534" spans="1:89">
      <c r="A534" s="165" t="s">
        <v>286</v>
      </c>
      <c r="B534" s="166" t="s">
        <v>287</v>
      </c>
      <c r="C534" s="167" t="s">
        <v>96</v>
      </c>
      <c r="D534" s="167" t="s">
        <v>889</v>
      </c>
      <c r="E534" s="166" t="s">
        <v>21</v>
      </c>
      <c r="F534" s="166" t="s">
        <v>25</v>
      </c>
      <c r="G534" s="166"/>
      <c r="H534" s="156" t="str">
        <f ca="1">IFERROR(
  _xludf.MINIFS(ATTENDANCE_LOG!$F:$F,
         ATTENDANCE_LOG!$A:$A, C534,
         ATTENDANCE_LOG!$B:$B, E534),
"")</f>
        <v/>
      </c>
      <c r="I534" s="156" t="str">
        <f t="shared" ca="1" si="528"/>
        <v/>
      </c>
      <c r="J534" s="166">
        <f>IFERROR(VLOOKUP(F534, LEVEL_HELPER!$A:$B, 2, 0), "")</f>
        <v>0.5</v>
      </c>
      <c r="K534" s="166" t="str">
        <f>IFERROR(VLOOKUP(G534, LEVEL_HELPER!$A:$B, 2, 0), "")</f>
        <v/>
      </c>
      <c r="L534" s="169" t="s">
        <v>918</v>
      </c>
      <c r="M534" s="169" t="s">
        <v>924</v>
      </c>
      <c r="N534" s="3">
        <f t="array" aca="1" ref="N534" ca="1">IFERROR(
  INDEX($J$2:$J$543,
    MATCH(A534&amp;TEXT(I534,"yyyy-mm-dd"),
          $A$2:$A$543&amp;TEXT($H$2:$H$543,"yyyy-mm-dd"),
          0)),
"")</f>
        <v>0.5</v>
      </c>
      <c r="O534" s="170" t="str">
        <f t="shared" ca="1" si="529"/>
        <v/>
      </c>
      <c r="P534" s="147">
        <f t="shared" ref="P534:Q534" ca="1" si="554">IF(N534="",0,IF(N534&lt;=2,1,IF(N534&lt;=4,2,IF(N534&lt;=5.5,3,4))))</f>
        <v>1</v>
      </c>
      <c r="Q534" s="147">
        <f t="shared" ca="1" si="554"/>
        <v>0</v>
      </c>
      <c r="R534" s="147" t="str">
        <f t="shared" ca="1" si="531"/>
        <v>Not tested yet</v>
      </c>
      <c r="S534" s="147">
        <f t="shared" si="532"/>
        <v>1</v>
      </c>
      <c r="T534" s="147"/>
      <c r="U534" s="147"/>
      <c r="V534" s="147"/>
      <c r="W534" s="147"/>
      <c r="X534" s="147"/>
      <c r="Y534" s="147"/>
      <c r="Z534" s="147"/>
      <c r="AA534" s="147"/>
      <c r="AB534" s="147"/>
      <c r="AC534" s="147"/>
      <c r="AD534" s="147"/>
      <c r="AE534" s="147"/>
      <c r="AF534" s="147"/>
      <c r="AG534" s="147"/>
      <c r="AH534" s="147"/>
      <c r="AI534" s="147"/>
      <c r="AJ534" s="147"/>
      <c r="AK534" s="147"/>
      <c r="AL534" s="147"/>
      <c r="AM534" s="151"/>
      <c r="AN534" s="147"/>
      <c r="AO534" s="147"/>
      <c r="AP534" s="147"/>
      <c r="AQ534" s="147"/>
      <c r="AR534" s="147"/>
      <c r="AS534" s="147"/>
      <c r="AT534" s="147"/>
      <c r="AU534" s="147"/>
      <c r="AV534" s="147"/>
      <c r="AW534" s="147"/>
      <c r="AX534" s="147"/>
      <c r="AY534" s="147"/>
      <c r="AZ534" s="147"/>
      <c r="BA534" s="147"/>
      <c r="BB534" s="147"/>
      <c r="BC534" s="147"/>
      <c r="BD534" s="147"/>
      <c r="BE534" s="147"/>
      <c r="BF534" s="147"/>
      <c r="BG534" s="147"/>
      <c r="BH534" s="147"/>
      <c r="BI534" s="147"/>
      <c r="BJ534" s="147"/>
      <c r="BK534" s="147"/>
      <c r="BL534" s="147"/>
      <c r="BM534" s="147"/>
      <c r="BN534" s="147"/>
      <c r="BO534" s="147"/>
      <c r="BP534" s="147"/>
      <c r="BQ534" s="147"/>
      <c r="BR534" s="147"/>
      <c r="BS534" s="147"/>
      <c r="BT534" s="147"/>
      <c r="BU534" s="147"/>
      <c r="BV534" s="147"/>
      <c r="BW534" s="147"/>
      <c r="BX534" s="147"/>
      <c r="BY534" s="147"/>
      <c r="BZ534" s="147"/>
      <c r="CA534" s="147"/>
      <c r="CB534" s="147"/>
      <c r="CC534" s="147"/>
      <c r="CD534" s="147"/>
      <c r="CE534" s="147"/>
      <c r="CF534" s="147"/>
      <c r="CG534" s="147"/>
      <c r="CH534" s="147"/>
      <c r="CI534" s="147"/>
      <c r="CJ534" s="147"/>
      <c r="CK534" s="147"/>
    </row>
    <row r="535" spans="1:89">
      <c r="A535" s="165" t="s">
        <v>413</v>
      </c>
      <c r="B535" s="166" t="s">
        <v>414</v>
      </c>
      <c r="C535" s="167" t="s">
        <v>96</v>
      </c>
      <c r="D535" s="167" t="s">
        <v>889</v>
      </c>
      <c r="E535" s="166" t="s">
        <v>21</v>
      </c>
      <c r="F535" s="166" t="s">
        <v>25</v>
      </c>
      <c r="G535" s="166"/>
      <c r="H535" s="156" t="str">
        <f ca="1">IFERROR(
  _xludf.MINIFS(ATTENDANCE_LOG!$F:$F,
         ATTENDANCE_LOG!$A:$A, C535,
         ATTENDANCE_LOG!$B:$B, E535),
"")</f>
        <v/>
      </c>
      <c r="I535" s="156" t="str">
        <f t="shared" ca="1" si="528"/>
        <v/>
      </c>
      <c r="J535" s="166">
        <f>IFERROR(VLOOKUP(F535, LEVEL_HELPER!$A:$B, 2, 0), "")</f>
        <v>0.5</v>
      </c>
      <c r="K535" s="166" t="str">
        <f>IFERROR(VLOOKUP(G535, LEVEL_HELPER!$A:$B, 2, 0), "")</f>
        <v/>
      </c>
      <c r="L535" s="169" t="s">
        <v>918</v>
      </c>
      <c r="M535" s="169" t="s">
        <v>924</v>
      </c>
      <c r="N535" s="3">
        <f t="array" aca="1" ref="N535" ca="1">IFERROR(
  INDEX($J$2:$J$543,
    MATCH(A535&amp;TEXT(I535,"yyyy-mm-dd"),
          $A$2:$A$543&amp;TEXT($H$2:$H$543,"yyyy-mm-dd"),
          0)),
"")</f>
        <v>1</v>
      </c>
      <c r="O535" s="170" t="str">
        <f t="shared" ca="1" si="529"/>
        <v/>
      </c>
      <c r="P535" s="147">
        <f t="shared" ref="P535:Q535" ca="1" si="555">IF(N535="",0,IF(N535&lt;=2,1,IF(N535&lt;=4,2,IF(N535&lt;=5.5,3,4))))</f>
        <v>1</v>
      </c>
      <c r="Q535" s="147">
        <f t="shared" ca="1" si="555"/>
        <v>0</v>
      </c>
      <c r="R535" s="147" t="str">
        <f t="shared" ca="1" si="531"/>
        <v>Not tested yet</v>
      </c>
      <c r="S535" s="147">
        <f t="shared" si="532"/>
        <v>0</v>
      </c>
      <c r="T535" s="147"/>
      <c r="U535" s="147"/>
      <c r="V535" s="147"/>
      <c r="W535" s="147"/>
      <c r="X535" s="147"/>
      <c r="Y535" s="147"/>
      <c r="Z535" s="147"/>
      <c r="AA535" s="147"/>
      <c r="AB535" s="147"/>
      <c r="AC535" s="147"/>
      <c r="AD535" s="147"/>
      <c r="AE535" s="147"/>
      <c r="AF535" s="147"/>
      <c r="AG535" s="147"/>
      <c r="AH535" s="147"/>
      <c r="AI535" s="147"/>
      <c r="AJ535" s="147"/>
      <c r="AK535" s="147"/>
      <c r="AL535" s="147"/>
      <c r="AM535" s="151"/>
      <c r="AN535" s="147"/>
      <c r="AO535" s="147"/>
      <c r="AP535" s="147"/>
      <c r="AQ535" s="147"/>
      <c r="AR535" s="147"/>
      <c r="AS535" s="147"/>
      <c r="AT535" s="147"/>
      <c r="AU535" s="147"/>
      <c r="AV535" s="147"/>
      <c r="AW535" s="147"/>
      <c r="AX535" s="147"/>
      <c r="AY535" s="147"/>
      <c r="AZ535" s="147"/>
      <c r="BA535" s="147"/>
      <c r="BB535" s="147"/>
      <c r="BC535" s="147"/>
      <c r="BD535" s="147"/>
      <c r="BE535" s="147"/>
      <c r="BF535" s="147"/>
      <c r="BG535" s="147"/>
      <c r="BH535" s="147"/>
      <c r="BI535" s="147"/>
      <c r="BJ535" s="147"/>
      <c r="BK535" s="147"/>
      <c r="BL535" s="147"/>
      <c r="BM535" s="147"/>
      <c r="BN535" s="147"/>
      <c r="BO535" s="147"/>
      <c r="BP535" s="147"/>
      <c r="BQ535" s="147"/>
      <c r="BR535" s="147"/>
      <c r="BS535" s="147"/>
      <c r="BT535" s="147"/>
      <c r="BU535" s="147"/>
      <c r="BV535" s="147"/>
      <c r="BW535" s="147"/>
      <c r="BX535" s="147"/>
      <c r="BY535" s="147"/>
      <c r="BZ535" s="147"/>
      <c r="CA535" s="147"/>
      <c r="CB535" s="147"/>
      <c r="CC535" s="147"/>
      <c r="CD535" s="147"/>
      <c r="CE535" s="147"/>
      <c r="CF535" s="147"/>
      <c r="CG535" s="147"/>
      <c r="CH535" s="147"/>
      <c r="CI535" s="147"/>
      <c r="CJ535" s="147"/>
      <c r="CK535" s="147"/>
    </row>
    <row r="536" spans="1:89">
      <c r="A536" s="165" t="s">
        <v>653</v>
      </c>
      <c r="B536" s="166" t="s">
        <v>654</v>
      </c>
      <c r="C536" s="167" t="s">
        <v>96</v>
      </c>
      <c r="D536" s="167" t="s">
        <v>889</v>
      </c>
      <c r="E536" s="166" t="s">
        <v>21</v>
      </c>
      <c r="F536" s="166" t="s">
        <v>25</v>
      </c>
      <c r="G536" s="166"/>
      <c r="H536" s="156" t="str">
        <f ca="1">IFERROR(
  _xludf.MINIFS(ATTENDANCE_LOG!$F:$F,
         ATTENDANCE_LOG!$A:$A, C536,
         ATTENDANCE_LOG!$B:$B, E536),
"")</f>
        <v/>
      </c>
      <c r="I536" s="156" t="str">
        <f t="shared" ca="1" si="528"/>
        <v/>
      </c>
      <c r="J536" s="166">
        <f>IFERROR(VLOOKUP(F536, LEVEL_HELPER!$A:$B, 2, 0), "")</f>
        <v>0.5</v>
      </c>
      <c r="K536" s="166" t="str">
        <f>IFERROR(VLOOKUP(G536, LEVEL_HELPER!$A:$B, 2, 0), "")</f>
        <v/>
      </c>
      <c r="L536" s="169" t="s">
        <v>918</v>
      </c>
      <c r="M536" s="169" t="s">
        <v>924</v>
      </c>
      <c r="N536" s="3">
        <f t="array" aca="1" ref="N536" ca="1">IFERROR(
  INDEX($J$2:$J$543,
    MATCH(A536&amp;TEXT(I536,"yyyy-mm-dd"),
          $A$2:$A$543&amp;TEXT($H$2:$H$543,"yyyy-mm-dd"),
          0)),
"")</f>
        <v>0.5</v>
      </c>
      <c r="O536" s="170" t="str">
        <f t="shared" ca="1" si="529"/>
        <v/>
      </c>
      <c r="P536" s="147">
        <f t="shared" ref="P536:Q536" ca="1" si="556">IF(N536="",0,IF(N536&lt;=2,1,IF(N536&lt;=4,2,IF(N536&lt;=5.5,3,4))))</f>
        <v>1</v>
      </c>
      <c r="Q536" s="147">
        <f t="shared" ca="1" si="556"/>
        <v>0</v>
      </c>
      <c r="R536" s="147" t="str">
        <f t="shared" ca="1" si="531"/>
        <v>Not tested yet</v>
      </c>
      <c r="S536" s="147">
        <f t="shared" si="532"/>
        <v>1</v>
      </c>
      <c r="T536" s="147"/>
      <c r="U536" s="147"/>
      <c r="V536" s="147"/>
      <c r="W536" s="147"/>
      <c r="X536" s="147"/>
      <c r="Y536" s="147"/>
      <c r="Z536" s="147"/>
      <c r="AA536" s="147"/>
      <c r="AB536" s="147"/>
      <c r="AC536" s="147"/>
      <c r="AD536" s="147"/>
      <c r="AE536" s="147"/>
      <c r="AF536" s="147"/>
      <c r="AG536" s="147"/>
      <c r="AH536" s="147"/>
      <c r="AI536" s="147"/>
      <c r="AJ536" s="147"/>
      <c r="AK536" s="147"/>
      <c r="AL536" s="147"/>
      <c r="AM536" s="151"/>
      <c r="AN536" s="147"/>
      <c r="AO536" s="147"/>
      <c r="AP536" s="147"/>
      <c r="AQ536" s="147"/>
      <c r="AR536" s="147"/>
      <c r="AS536" s="147"/>
      <c r="AT536" s="147"/>
      <c r="AU536" s="147"/>
      <c r="AV536" s="147"/>
      <c r="AW536" s="147"/>
      <c r="AX536" s="147"/>
      <c r="AY536" s="147"/>
      <c r="AZ536" s="147"/>
      <c r="BA536" s="147"/>
      <c r="BB536" s="147"/>
      <c r="BC536" s="147"/>
      <c r="BD536" s="147"/>
      <c r="BE536" s="147"/>
      <c r="BF536" s="147"/>
      <c r="BG536" s="147"/>
      <c r="BH536" s="147"/>
      <c r="BI536" s="147"/>
      <c r="BJ536" s="147"/>
      <c r="BK536" s="147"/>
      <c r="BL536" s="147"/>
      <c r="BM536" s="147"/>
      <c r="BN536" s="147"/>
      <c r="BO536" s="147"/>
      <c r="BP536" s="147"/>
      <c r="BQ536" s="147"/>
      <c r="BR536" s="147"/>
      <c r="BS536" s="147"/>
      <c r="BT536" s="147"/>
      <c r="BU536" s="147"/>
      <c r="BV536" s="147"/>
      <c r="BW536" s="147"/>
      <c r="BX536" s="147"/>
      <c r="BY536" s="147"/>
      <c r="BZ536" s="147"/>
      <c r="CA536" s="147"/>
      <c r="CB536" s="147"/>
      <c r="CC536" s="147"/>
      <c r="CD536" s="147"/>
      <c r="CE536" s="147"/>
      <c r="CF536" s="147"/>
      <c r="CG536" s="147"/>
      <c r="CH536" s="147"/>
      <c r="CI536" s="147"/>
      <c r="CJ536" s="147"/>
      <c r="CK536" s="147"/>
    </row>
    <row r="537" spans="1:89">
      <c r="A537" s="165" t="s">
        <v>673</v>
      </c>
      <c r="B537" s="166" t="s">
        <v>674</v>
      </c>
      <c r="C537" s="167" t="s">
        <v>96</v>
      </c>
      <c r="D537" s="167" t="s">
        <v>889</v>
      </c>
      <c r="E537" s="166" t="s">
        <v>21</v>
      </c>
      <c r="F537" s="166" t="s">
        <v>25</v>
      </c>
      <c r="G537" s="166"/>
      <c r="H537" s="156" t="str">
        <f ca="1">IFERROR(
  _xludf.MINIFS(ATTENDANCE_LOG!$F:$F,
         ATTENDANCE_LOG!$A:$A, C537,
         ATTENDANCE_LOG!$B:$B, E537),
"")</f>
        <v/>
      </c>
      <c r="I537" s="156" t="str">
        <f t="shared" ca="1" si="528"/>
        <v/>
      </c>
      <c r="J537" s="166">
        <f>IFERROR(VLOOKUP(F537, LEVEL_HELPER!$A:$B, 2, 0), "")</f>
        <v>0.5</v>
      </c>
      <c r="K537" s="166" t="str">
        <f>IFERROR(VLOOKUP(G537, LEVEL_HELPER!$A:$B, 2, 0), "")</f>
        <v/>
      </c>
      <c r="L537" s="169" t="s">
        <v>942</v>
      </c>
      <c r="M537" s="169" t="s">
        <v>924</v>
      </c>
      <c r="N537" s="3">
        <f t="array" aca="1" ref="N537" ca="1">IFERROR(
  INDEX($J$2:$J$543,
    MATCH(A537&amp;TEXT(I537,"yyyy-mm-dd"),
          $A$2:$A$543&amp;TEXT($H$2:$H$543,"yyyy-mm-dd"),
          0)),
"")</f>
        <v>0.5</v>
      </c>
      <c r="O537" s="170" t="str">
        <f t="shared" ca="1" si="529"/>
        <v/>
      </c>
      <c r="P537" s="147">
        <f t="shared" ref="P537:Q537" ca="1" si="557">IF(N537="",0,IF(N537&lt;=2,1,IF(N537&lt;=4,2,IF(N537&lt;=5.5,3,4))))</f>
        <v>1</v>
      </c>
      <c r="Q537" s="147">
        <f t="shared" ca="1" si="557"/>
        <v>0</v>
      </c>
      <c r="R537" s="147" t="str">
        <f t="shared" ca="1" si="531"/>
        <v>Not tested yet</v>
      </c>
      <c r="S537" s="147">
        <f t="shared" si="532"/>
        <v>1</v>
      </c>
      <c r="T537" s="147"/>
      <c r="U537" s="147"/>
      <c r="V537" s="147"/>
      <c r="W537" s="147"/>
      <c r="X537" s="147"/>
      <c r="Y537" s="147"/>
      <c r="Z537" s="147"/>
      <c r="AA537" s="147"/>
      <c r="AB537" s="147"/>
      <c r="AC537" s="147"/>
      <c r="AD537" s="147"/>
      <c r="AE537" s="147"/>
      <c r="AF537" s="147"/>
      <c r="AG537" s="147"/>
      <c r="AH537" s="147"/>
      <c r="AI537" s="147"/>
      <c r="AJ537" s="147"/>
      <c r="AK537" s="147"/>
      <c r="AL537" s="147"/>
      <c r="AM537" s="151"/>
      <c r="AN537" s="147"/>
      <c r="AO537" s="147"/>
      <c r="AP537" s="147"/>
      <c r="AQ537" s="147"/>
      <c r="AR537" s="147"/>
      <c r="AS537" s="147"/>
      <c r="AT537" s="147"/>
      <c r="AU537" s="147"/>
      <c r="AV537" s="147"/>
      <c r="AW537" s="147"/>
      <c r="AX537" s="147"/>
      <c r="AY537" s="147"/>
      <c r="AZ537" s="147"/>
      <c r="BA537" s="147"/>
      <c r="BB537" s="147"/>
      <c r="BC537" s="147"/>
      <c r="BD537" s="147"/>
      <c r="BE537" s="147"/>
      <c r="BF537" s="147"/>
      <c r="BG537" s="147"/>
      <c r="BH537" s="147"/>
      <c r="BI537" s="147"/>
      <c r="BJ537" s="147"/>
      <c r="BK537" s="147"/>
      <c r="BL537" s="147"/>
      <c r="BM537" s="147"/>
      <c r="BN537" s="147"/>
      <c r="BO537" s="147"/>
      <c r="BP537" s="147"/>
      <c r="BQ537" s="147"/>
      <c r="BR537" s="147"/>
      <c r="BS537" s="147"/>
      <c r="BT537" s="147"/>
      <c r="BU537" s="147"/>
      <c r="BV537" s="147"/>
      <c r="BW537" s="147"/>
      <c r="BX537" s="147"/>
      <c r="BY537" s="147"/>
      <c r="BZ537" s="147"/>
      <c r="CA537" s="147"/>
      <c r="CB537" s="147"/>
      <c r="CC537" s="147"/>
      <c r="CD537" s="147"/>
      <c r="CE537" s="147"/>
      <c r="CF537" s="147"/>
      <c r="CG537" s="147"/>
      <c r="CH537" s="147"/>
      <c r="CI537" s="147"/>
      <c r="CJ537" s="147"/>
      <c r="CK537" s="147"/>
    </row>
    <row r="538" spans="1:89">
      <c r="A538" s="178" t="s">
        <v>470</v>
      </c>
      <c r="B538" s="179" t="s">
        <v>471</v>
      </c>
      <c r="C538" s="180" t="s">
        <v>97</v>
      </c>
      <c r="D538" s="180" t="s">
        <v>890</v>
      </c>
      <c r="E538" s="179" t="s">
        <v>21</v>
      </c>
      <c r="F538" s="179" t="s">
        <v>926</v>
      </c>
      <c r="G538" s="179"/>
      <c r="H538" s="156" t="str">
        <f ca="1">IFERROR(
  _xludf.MINIFS(ATTENDANCE_LOG!$F:$F,
         ATTENDANCE_LOG!$A:$A, C538,
         ATTENDANCE_LOG!$B:$B, E538),
"")</f>
        <v/>
      </c>
      <c r="I538" s="156" t="str">
        <f t="shared" ca="1" si="528"/>
        <v/>
      </c>
      <c r="J538" s="179">
        <f>IFERROR(VLOOKUP(F538, LEVEL_HELPER!$A:$B, 2, 0), "")</f>
        <v>1</v>
      </c>
      <c r="K538" s="166" t="str">
        <f>IFERROR(VLOOKUP(G538, LEVEL_HELPER!$A:$B, 2, 0), "")</f>
        <v/>
      </c>
      <c r="L538" s="181" t="s">
        <v>930</v>
      </c>
      <c r="M538" s="181" t="s">
        <v>925</v>
      </c>
      <c r="N538" s="3">
        <f t="array" aca="1" ref="N538" ca="1">IFERROR(
  INDEX($J$2:$J$543,
    MATCH(A538&amp;TEXT(I538,"yyyy-mm-dd"),
          $A$2:$A$543&amp;TEXT($H$2:$H$543,"yyyy-mm-dd"),
          0)),
"")</f>
        <v>0.5</v>
      </c>
      <c r="O538" s="182" t="str">
        <f t="shared" ca="1" si="529"/>
        <v/>
      </c>
      <c r="P538" s="147">
        <f t="shared" ref="P538:Q538" ca="1" si="558">IF(N538="",0,IF(N538&lt;=2,1,IF(N538&lt;=4,2,IF(N538&lt;=5.5,3,4))))</f>
        <v>1</v>
      </c>
      <c r="Q538" s="147">
        <f t="shared" ca="1" si="558"/>
        <v>0</v>
      </c>
      <c r="R538" s="147" t="str">
        <f t="shared" ca="1" si="531"/>
        <v>Not tested yet</v>
      </c>
      <c r="S538" s="147">
        <f t="shared" si="532"/>
        <v>0</v>
      </c>
      <c r="T538" s="147"/>
      <c r="U538" s="147"/>
      <c r="V538" s="147"/>
      <c r="W538" s="147"/>
      <c r="X538" s="147"/>
      <c r="Y538" s="147"/>
      <c r="Z538" s="147"/>
      <c r="AA538" s="147"/>
      <c r="AB538" s="147"/>
      <c r="AC538" s="147"/>
      <c r="AD538" s="147"/>
      <c r="AE538" s="147"/>
      <c r="AF538" s="147"/>
      <c r="AG538" s="147"/>
      <c r="AH538" s="147"/>
      <c r="AI538" s="147"/>
      <c r="AJ538" s="147"/>
      <c r="AK538" s="147"/>
      <c r="AL538" s="147"/>
      <c r="AM538" s="151"/>
      <c r="AN538" s="147"/>
      <c r="AO538" s="147"/>
      <c r="AP538" s="147"/>
      <c r="AQ538" s="147"/>
      <c r="AR538" s="147"/>
      <c r="AS538" s="147"/>
      <c r="AT538" s="147"/>
      <c r="AU538" s="147"/>
      <c r="AV538" s="147"/>
      <c r="AW538" s="147"/>
      <c r="AX538" s="147"/>
      <c r="AY538" s="147"/>
      <c r="AZ538" s="147"/>
      <c r="BA538" s="147"/>
      <c r="BB538" s="147"/>
      <c r="BC538" s="147"/>
      <c r="BD538" s="147"/>
      <c r="BE538" s="147"/>
      <c r="BF538" s="147"/>
      <c r="BG538" s="147"/>
      <c r="BH538" s="147"/>
      <c r="BI538" s="147"/>
      <c r="BJ538" s="147"/>
      <c r="BK538" s="147"/>
      <c r="BL538" s="147"/>
      <c r="BM538" s="147"/>
      <c r="BN538" s="147"/>
      <c r="BO538" s="147"/>
      <c r="BP538" s="147"/>
      <c r="BQ538" s="147"/>
      <c r="BR538" s="147"/>
      <c r="BS538" s="147"/>
      <c r="BT538" s="147"/>
      <c r="BU538" s="147"/>
      <c r="BV538" s="147"/>
      <c r="BW538" s="147"/>
      <c r="BX538" s="147"/>
      <c r="BY538" s="147"/>
      <c r="BZ538" s="147"/>
      <c r="CA538" s="147"/>
      <c r="CB538" s="147"/>
      <c r="CC538" s="147"/>
      <c r="CD538" s="147"/>
      <c r="CE538" s="147"/>
      <c r="CF538" s="147"/>
      <c r="CG538" s="147"/>
      <c r="CH538" s="147"/>
      <c r="CI538" s="147"/>
      <c r="CJ538" s="147"/>
      <c r="CK538" s="147"/>
    </row>
    <row r="539" spans="1:89">
      <c r="A539" s="165" t="s">
        <v>161</v>
      </c>
      <c r="B539" s="166" t="s">
        <v>162</v>
      </c>
      <c r="C539" s="167" t="s">
        <v>97</v>
      </c>
      <c r="D539" s="167" t="s">
        <v>890</v>
      </c>
      <c r="E539" s="166" t="s">
        <v>21</v>
      </c>
      <c r="F539" s="166" t="s">
        <v>25</v>
      </c>
      <c r="G539" s="166"/>
      <c r="H539" s="156" t="str">
        <f ca="1">IFERROR(
  _xludf.MINIFS(ATTENDANCE_LOG!$F:$F,
         ATTENDANCE_LOG!$A:$A, C539,
         ATTENDANCE_LOG!$B:$B, E539),
"")</f>
        <v/>
      </c>
      <c r="I539" s="156" t="str">
        <f t="shared" ca="1" si="528"/>
        <v/>
      </c>
      <c r="J539" s="166">
        <f>IFERROR(VLOOKUP(F539, LEVEL_HELPER!$A:$B, 2, 0), "")</f>
        <v>0.5</v>
      </c>
      <c r="K539" s="166" t="str">
        <f>IFERROR(VLOOKUP(G539, LEVEL_HELPER!$A:$B, 2, 0), "")</f>
        <v/>
      </c>
      <c r="L539" s="169" t="s">
        <v>942</v>
      </c>
      <c r="M539" s="169" t="s">
        <v>923</v>
      </c>
      <c r="N539" s="3">
        <f t="array" aca="1" ref="N539" ca="1">IFERROR(
  INDEX($J$2:$J$543,
    MATCH(A539&amp;TEXT(I539,"yyyy-mm-dd"),
          $A$2:$A$543&amp;TEXT($H$2:$H$543,"yyyy-mm-dd"),
          0)),
"")</f>
        <v>0.5</v>
      </c>
      <c r="O539" s="170" t="str">
        <f t="shared" ca="1" si="529"/>
        <v/>
      </c>
      <c r="P539" s="147">
        <f t="shared" ref="P539:Q539" ca="1" si="559">IF(N539="",0,IF(N539&lt;=2,1,IF(N539&lt;=4,2,IF(N539&lt;=5.5,3,4))))</f>
        <v>1</v>
      </c>
      <c r="Q539" s="147">
        <f t="shared" ca="1" si="559"/>
        <v>0</v>
      </c>
      <c r="R539" s="147" t="str">
        <f t="shared" ca="1" si="531"/>
        <v>Not tested yet</v>
      </c>
      <c r="S539" s="147">
        <f t="shared" si="532"/>
        <v>0</v>
      </c>
      <c r="T539" s="147"/>
      <c r="U539" s="147"/>
      <c r="V539" s="147"/>
      <c r="W539" s="147"/>
      <c r="X539" s="147"/>
      <c r="Y539" s="147"/>
      <c r="Z539" s="147"/>
      <c r="AA539" s="147"/>
      <c r="AB539" s="147"/>
      <c r="AC539" s="147"/>
      <c r="AD539" s="147"/>
      <c r="AE539" s="147"/>
      <c r="AF539" s="147"/>
      <c r="AG539" s="147"/>
      <c r="AH539" s="147"/>
      <c r="AI539" s="147"/>
      <c r="AJ539" s="147"/>
      <c r="AK539" s="147"/>
      <c r="AL539" s="147"/>
      <c r="AM539" s="151"/>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c r="BI539" s="147"/>
      <c r="BJ539" s="147"/>
      <c r="BK539" s="147"/>
      <c r="BL539" s="147"/>
      <c r="BM539" s="147"/>
      <c r="BN539" s="147"/>
      <c r="BO539" s="147"/>
      <c r="BP539" s="147"/>
      <c r="BQ539" s="147"/>
      <c r="BR539" s="147"/>
      <c r="BS539" s="147"/>
      <c r="BT539" s="147"/>
      <c r="BU539" s="147"/>
      <c r="BV539" s="147"/>
      <c r="BW539" s="147"/>
      <c r="BX539" s="147"/>
      <c r="BY539" s="147"/>
      <c r="BZ539" s="147"/>
      <c r="CA539" s="147"/>
      <c r="CB539" s="147"/>
      <c r="CC539" s="147"/>
      <c r="CD539" s="147"/>
      <c r="CE539" s="147"/>
      <c r="CF539" s="147"/>
      <c r="CG539" s="147"/>
      <c r="CH539" s="147"/>
      <c r="CI539" s="147"/>
      <c r="CJ539" s="147"/>
      <c r="CK539" s="147"/>
    </row>
    <row r="540" spans="1:89">
      <c r="A540" s="165" t="s">
        <v>269</v>
      </c>
      <c r="B540" s="166" t="s">
        <v>270</v>
      </c>
      <c r="C540" s="167" t="s">
        <v>97</v>
      </c>
      <c r="D540" s="167" t="s">
        <v>890</v>
      </c>
      <c r="E540" s="166" t="s">
        <v>21</v>
      </c>
      <c r="F540" s="166" t="s">
        <v>25</v>
      </c>
      <c r="G540" s="166"/>
      <c r="H540" s="156" t="str">
        <f ca="1">IFERROR(
  _xludf.MINIFS(ATTENDANCE_LOG!$F:$F,
         ATTENDANCE_LOG!$A:$A, C540,
         ATTENDANCE_LOG!$B:$B, E540),
"")</f>
        <v/>
      </c>
      <c r="I540" s="156" t="str">
        <f t="shared" ca="1" si="528"/>
        <v/>
      </c>
      <c r="J540" s="166">
        <f>IFERROR(VLOOKUP(F540, LEVEL_HELPER!$A:$B, 2, 0), "")</f>
        <v>0.5</v>
      </c>
      <c r="K540" s="166" t="str">
        <f>IFERROR(VLOOKUP(G540, LEVEL_HELPER!$A:$B, 2, 0), "")</f>
        <v/>
      </c>
      <c r="L540" s="169" t="s">
        <v>942</v>
      </c>
      <c r="M540" s="169" t="s">
        <v>923</v>
      </c>
      <c r="N540" s="3">
        <f t="array" aca="1" ref="N540" ca="1">IFERROR(
  INDEX($J$2:$J$543,
    MATCH(A540&amp;TEXT(I540,"yyyy-mm-dd"),
          $A$2:$A$543&amp;TEXT($H$2:$H$543,"yyyy-mm-dd"),
          0)),
"")</f>
        <v>0.5</v>
      </c>
      <c r="O540" s="170" t="str">
        <f t="shared" ca="1" si="529"/>
        <v/>
      </c>
      <c r="P540" s="147">
        <f t="shared" ref="P540:Q540" ca="1" si="560">IF(N540="",0,IF(N540&lt;=2,1,IF(N540&lt;=4,2,IF(N540&lt;=5.5,3,4))))</f>
        <v>1</v>
      </c>
      <c r="Q540" s="147">
        <f t="shared" ca="1" si="560"/>
        <v>0</v>
      </c>
      <c r="R540" s="147" t="str">
        <f t="shared" ca="1" si="531"/>
        <v>Not tested yet</v>
      </c>
      <c r="S540" s="147">
        <f t="shared" si="532"/>
        <v>0</v>
      </c>
      <c r="T540" s="147"/>
      <c r="U540" s="147"/>
      <c r="V540" s="147"/>
      <c r="W540" s="147"/>
      <c r="X540" s="147"/>
      <c r="Y540" s="147"/>
      <c r="Z540" s="147"/>
      <c r="AA540" s="147"/>
      <c r="AB540" s="147"/>
      <c r="AC540" s="147"/>
      <c r="AD540" s="147"/>
      <c r="AE540" s="147"/>
      <c r="AF540" s="147"/>
      <c r="AG540" s="147"/>
      <c r="AH540" s="147"/>
      <c r="AI540" s="147"/>
      <c r="AJ540" s="147"/>
      <c r="AK540" s="147"/>
      <c r="AL540" s="147"/>
      <c r="AM540" s="151"/>
      <c r="AN540" s="147"/>
      <c r="AO540" s="147"/>
      <c r="AP540" s="147"/>
      <c r="AQ540" s="147"/>
      <c r="AR540" s="147"/>
      <c r="AS540" s="147"/>
      <c r="AT540" s="147"/>
      <c r="AU540" s="147"/>
      <c r="AV540" s="147"/>
      <c r="AW540" s="147"/>
      <c r="AX540" s="147"/>
      <c r="AY540" s="147"/>
      <c r="AZ540" s="147"/>
      <c r="BA540" s="147"/>
      <c r="BB540" s="147"/>
      <c r="BC540" s="147"/>
      <c r="BD540" s="147"/>
      <c r="BE540" s="147"/>
      <c r="BF540" s="147"/>
      <c r="BG540" s="147"/>
      <c r="BH540" s="147"/>
      <c r="BI540" s="147"/>
      <c r="BJ540" s="147"/>
      <c r="BK540" s="147"/>
      <c r="BL540" s="147"/>
      <c r="BM540" s="147"/>
      <c r="BN540" s="147"/>
      <c r="BO540" s="147"/>
      <c r="BP540" s="147"/>
      <c r="BQ540" s="147"/>
      <c r="BR540" s="147"/>
      <c r="BS540" s="147"/>
      <c r="BT540" s="147"/>
      <c r="BU540" s="147"/>
      <c r="BV540" s="147"/>
      <c r="BW540" s="147"/>
      <c r="BX540" s="147"/>
      <c r="BY540" s="147"/>
      <c r="BZ540" s="147"/>
      <c r="CA540" s="147"/>
      <c r="CB540" s="147"/>
      <c r="CC540" s="147"/>
      <c r="CD540" s="147"/>
      <c r="CE540" s="147"/>
      <c r="CF540" s="147"/>
      <c r="CG540" s="147"/>
      <c r="CH540" s="147"/>
      <c r="CI540" s="147"/>
      <c r="CJ540" s="147"/>
      <c r="CK540" s="147"/>
    </row>
    <row r="541" spans="1:89">
      <c r="A541" s="165" t="s">
        <v>290</v>
      </c>
      <c r="B541" s="166" t="s">
        <v>291</v>
      </c>
      <c r="C541" s="167" t="s">
        <v>97</v>
      </c>
      <c r="D541" s="167" t="s">
        <v>890</v>
      </c>
      <c r="E541" s="166" t="s">
        <v>21</v>
      </c>
      <c r="F541" s="166" t="s">
        <v>25</v>
      </c>
      <c r="G541" s="166"/>
      <c r="H541" s="156" t="str">
        <f ca="1">IFERROR(
  _xludf.MINIFS(ATTENDANCE_LOG!$F:$F,
         ATTENDANCE_LOG!$A:$A, C541,
         ATTENDANCE_LOG!$B:$B, E541),
"")</f>
        <v/>
      </c>
      <c r="I541" s="156" t="str">
        <f t="shared" ca="1" si="528"/>
        <v/>
      </c>
      <c r="J541" s="166">
        <f>IFERROR(VLOOKUP(F541, LEVEL_HELPER!$A:$B, 2, 0), "")</f>
        <v>0.5</v>
      </c>
      <c r="K541" s="166" t="str">
        <f>IFERROR(VLOOKUP(G541, LEVEL_HELPER!$A:$B, 2, 0), "")</f>
        <v/>
      </c>
      <c r="L541" s="169" t="s">
        <v>930</v>
      </c>
      <c r="M541" s="169" t="s">
        <v>919</v>
      </c>
      <c r="N541" s="3">
        <f t="array" aca="1" ref="N541" ca="1">IFERROR(
  INDEX($J$2:$J$543,
    MATCH(A541&amp;TEXT(I541,"yyyy-mm-dd"),
          $A$2:$A$543&amp;TEXT($H$2:$H$543,"yyyy-mm-dd"),
          0)),
"")</f>
        <v>0.5</v>
      </c>
      <c r="O541" s="170" t="str">
        <f t="shared" ca="1" si="529"/>
        <v/>
      </c>
      <c r="P541" s="147">
        <f t="shared" ref="P541:Q541" ca="1" si="561">IF(N541="",0,IF(N541&lt;=2,1,IF(N541&lt;=4,2,IF(N541&lt;=5.5,3,4))))</f>
        <v>1</v>
      </c>
      <c r="Q541" s="147">
        <f t="shared" ca="1" si="561"/>
        <v>0</v>
      </c>
      <c r="R541" s="147" t="str">
        <f t="shared" ca="1" si="531"/>
        <v>Not tested yet</v>
      </c>
      <c r="S541" s="147">
        <f t="shared" si="532"/>
        <v>0</v>
      </c>
      <c r="T541" s="147"/>
      <c r="U541" s="147"/>
      <c r="V541" s="147"/>
      <c r="W541" s="147"/>
      <c r="X541" s="147"/>
      <c r="Y541" s="147"/>
      <c r="Z541" s="147"/>
      <c r="AA541" s="147"/>
      <c r="AB541" s="147"/>
      <c r="AC541" s="147"/>
      <c r="AD541" s="147"/>
      <c r="AE541" s="147"/>
      <c r="AF541" s="147"/>
      <c r="AG541" s="147"/>
      <c r="AH541" s="147"/>
      <c r="AI541" s="147"/>
      <c r="AJ541" s="147"/>
      <c r="AK541" s="147"/>
      <c r="AL541" s="147"/>
      <c r="AM541" s="151"/>
      <c r="AN541" s="147"/>
      <c r="AO541" s="147"/>
      <c r="AP541" s="147"/>
      <c r="AQ541" s="147"/>
      <c r="AR541" s="147"/>
      <c r="AS541" s="147"/>
      <c r="AT541" s="147"/>
      <c r="AU541" s="147"/>
      <c r="AV541" s="147"/>
      <c r="AW541" s="147"/>
      <c r="AX541" s="147"/>
      <c r="AY541" s="147"/>
      <c r="AZ541" s="147"/>
      <c r="BA541" s="147"/>
      <c r="BB541" s="147"/>
      <c r="BC541" s="147"/>
      <c r="BD541" s="147"/>
      <c r="BE541" s="147"/>
      <c r="BF541" s="147"/>
      <c r="BG541" s="147"/>
      <c r="BH541" s="147"/>
      <c r="BI541" s="147"/>
      <c r="BJ541" s="147"/>
      <c r="BK541" s="147"/>
      <c r="BL541" s="147"/>
      <c r="BM541" s="147"/>
      <c r="BN541" s="147"/>
      <c r="BO541" s="147"/>
      <c r="BP541" s="147"/>
      <c r="BQ541" s="147"/>
      <c r="BR541" s="147"/>
      <c r="BS541" s="147"/>
      <c r="BT541" s="147"/>
      <c r="BU541" s="147"/>
      <c r="BV541" s="147"/>
      <c r="BW541" s="147"/>
      <c r="BX541" s="147"/>
      <c r="BY541" s="147"/>
      <c r="BZ541" s="147"/>
      <c r="CA541" s="147"/>
      <c r="CB541" s="147"/>
      <c r="CC541" s="147"/>
      <c r="CD541" s="147"/>
      <c r="CE541" s="147"/>
      <c r="CF541" s="147"/>
      <c r="CG541" s="147"/>
      <c r="CH541" s="147"/>
      <c r="CI541" s="147"/>
      <c r="CJ541" s="147"/>
      <c r="CK541" s="147"/>
    </row>
    <row r="542" spans="1:89">
      <c r="A542" s="159" t="s">
        <v>468</v>
      </c>
      <c r="B542" s="3" t="s">
        <v>469</v>
      </c>
      <c r="C542" s="160" t="s">
        <v>97</v>
      </c>
      <c r="D542" s="160" t="s">
        <v>890</v>
      </c>
      <c r="E542" s="3" t="s">
        <v>21</v>
      </c>
      <c r="F542" s="3" t="s">
        <v>25</v>
      </c>
      <c r="G542" s="3"/>
      <c r="H542" s="156" t="str">
        <f ca="1">IFERROR(
  _xludf.MINIFS(ATTENDANCE_LOG!$F:$F,
         ATTENDANCE_LOG!$A:$A, C542,
         ATTENDANCE_LOG!$B:$B, E542),
"")</f>
        <v/>
      </c>
      <c r="I542" s="156" t="str">
        <f t="shared" ca="1" si="528"/>
        <v/>
      </c>
      <c r="J542" s="3">
        <f>IFERROR(VLOOKUP(F542, LEVEL_HELPER!$A:$B, 2, 0), "")</f>
        <v>0.5</v>
      </c>
      <c r="K542" s="166" t="str">
        <f>IFERROR(VLOOKUP(G542, LEVEL_HELPER!$A:$B, 2, 0), "")</f>
        <v/>
      </c>
      <c r="L542" s="157" t="s">
        <v>930</v>
      </c>
      <c r="M542" s="157" t="s">
        <v>919</v>
      </c>
      <c r="N542" s="3">
        <f t="array" aca="1" ref="N542" ca="1">IFERROR(
  INDEX($J$2:$J$543,
    MATCH(A542&amp;TEXT(I542,"yyyy-mm-dd"),
          $A$2:$A$543&amp;TEXT($H$2:$H$543,"yyyy-mm-dd"),
          0)),
"")</f>
        <v>0.5</v>
      </c>
      <c r="O542" s="147" t="str">
        <f t="shared" ca="1" si="529"/>
        <v/>
      </c>
      <c r="P542" s="147">
        <f t="shared" ref="P542:Q542" ca="1" si="562">IF(N542="",0,IF(N542&lt;=2,1,IF(N542&lt;=4,2,IF(N542&lt;=5.5,3,4))))</f>
        <v>1</v>
      </c>
      <c r="Q542" s="147">
        <f t="shared" ca="1" si="562"/>
        <v>0</v>
      </c>
      <c r="R542" s="147" t="str">
        <f t="shared" ca="1" si="531"/>
        <v>Not tested yet</v>
      </c>
      <c r="S542" s="147">
        <f t="shared" si="532"/>
        <v>0</v>
      </c>
      <c r="T542" s="147"/>
      <c r="U542" s="147"/>
      <c r="V542" s="147"/>
      <c r="W542" s="147"/>
      <c r="X542" s="147"/>
      <c r="Y542" s="147"/>
      <c r="Z542" s="147"/>
      <c r="AA542" s="147"/>
      <c r="AB542" s="147"/>
      <c r="AC542" s="147"/>
      <c r="AD542" s="147"/>
      <c r="AE542" s="147"/>
      <c r="AF542" s="147"/>
      <c r="AG542" s="147"/>
      <c r="AH542" s="147"/>
      <c r="AI542" s="147"/>
      <c r="AJ542" s="147"/>
      <c r="AK542" s="147"/>
      <c r="AL542" s="147"/>
      <c r="AM542" s="151"/>
      <c r="AN542" s="147"/>
      <c r="AO542" s="147"/>
      <c r="AP542" s="147"/>
      <c r="AQ542" s="147"/>
      <c r="AR542" s="147"/>
      <c r="AS542" s="147"/>
      <c r="AT542" s="147"/>
      <c r="AU542" s="147"/>
      <c r="AV542" s="147"/>
      <c r="AW542" s="147"/>
      <c r="AX542" s="147"/>
      <c r="AY542" s="147"/>
      <c r="AZ542" s="147"/>
      <c r="BA542" s="147"/>
      <c r="BB542" s="147"/>
      <c r="BC542" s="147"/>
      <c r="BD542" s="147"/>
      <c r="BE542" s="147"/>
      <c r="BF542" s="147"/>
      <c r="BG542" s="147"/>
      <c r="BH542" s="147"/>
      <c r="BI542" s="147"/>
      <c r="BJ542" s="147"/>
      <c r="BK542" s="147"/>
      <c r="BL542" s="147"/>
      <c r="BM542" s="147"/>
      <c r="BN542" s="147"/>
      <c r="BO542" s="147"/>
      <c r="BP542" s="147"/>
      <c r="BQ542" s="147"/>
      <c r="BR542" s="147"/>
      <c r="BS542" s="147"/>
      <c r="BT542" s="147"/>
      <c r="BU542" s="147"/>
      <c r="BV542" s="147"/>
      <c r="BW542" s="147"/>
      <c r="BX542" s="147"/>
      <c r="BY542" s="147"/>
      <c r="BZ542" s="147"/>
      <c r="CA542" s="147"/>
      <c r="CB542" s="147"/>
      <c r="CC542" s="147"/>
      <c r="CD542" s="147"/>
      <c r="CE542" s="147"/>
      <c r="CF542" s="147"/>
      <c r="CG542" s="147"/>
      <c r="CH542" s="147"/>
      <c r="CI542" s="147"/>
      <c r="CJ542" s="147"/>
      <c r="CK542" s="147"/>
    </row>
    <row r="543" spans="1:89">
      <c r="A543" s="159" t="s">
        <v>516</v>
      </c>
      <c r="B543" s="3" t="s">
        <v>517</v>
      </c>
      <c r="C543" s="160" t="s">
        <v>97</v>
      </c>
      <c r="D543" s="160" t="s">
        <v>890</v>
      </c>
      <c r="E543" s="3" t="s">
        <v>21</v>
      </c>
      <c r="F543" s="3" t="s">
        <v>25</v>
      </c>
      <c r="G543" s="3"/>
      <c r="H543" s="156" t="str">
        <f ca="1">IFERROR(
  _xludf.MINIFS(ATTENDANCE_LOG!$F:$F,
         ATTENDANCE_LOG!$A:$A, C543,
         ATTENDANCE_LOG!$B:$B, E543),
"")</f>
        <v/>
      </c>
      <c r="I543" s="156" t="str">
        <f t="shared" ca="1" si="528"/>
        <v/>
      </c>
      <c r="J543" s="3">
        <f>IFERROR(VLOOKUP(F543, LEVEL_HELPER!$A:$B, 2, 0), "")</f>
        <v>0.5</v>
      </c>
      <c r="K543" s="166" t="str">
        <f>IFERROR(VLOOKUP(G543, LEVEL_HELPER!$A:$B, 2, 0), "")</f>
        <v/>
      </c>
      <c r="L543" s="157" t="s">
        <v>930</v>
      </c>
      <c r="M543" s="157" t="s">
        <v>919</v>
      </c>
      <c r="N543" s="3">
        <f t="array" aca="1" ref="N543" ca="1">IFERROR(
  INDEX($J$2:$J$543,
    MATCH(A543&amp;TEXT(I543,"yyyy-mm-dd"),
          $A$2:$A$543&amp;TEXT($H$2:$H$543,"yyyy-mm-dd"),
          0)),
"")</f>
        <v>0.5</v>
      </c>
      <c r="O543" s="147" t="str">
        <f t="shared" ca="1" si="529"/>
        <v/>
      </c>
      <c r="P543" s="147">
        <f t="shared" ref="P543:Q543" ca="1" si="563">IF(N543="",0,IF(N543&lt;=2,1,IF(N543&lt;=4,2,IF(N543&lt;=5.5,3,4))))</f>
        <v>1</v>
      </c>
      <c r="Q543" s="147">
        <f t="shared" ca="1" si="563"/>
        <v>0</v>
      </c>
      <c r="R543" s="147" t="str">
        <f t="shared" ca="1" si="531"/>
        <v>Not tested yet</v>
      </c>
      <c r="S543" s="147">
        <f t="shared" si="532"/>
        <v>0</v>
      </c>
      <c r="T543" s="147"/>
      <c r="U543" s="147"/>
      <c r="V543" s="147"/>
      <c r="W543" s="147"/>
      <c r="X543" s="147"/>
      <c r="Y543" s="147"/>
      <c r="Z543" s="147"/>
      <c r="AA543" s="147"/>
      <c r="AB543" s="147"/>
      <c r="AC543" s="147"/>
      <c r="AD543" s="147"/>
      <c r="AE543" s="147"/>
      <c r="AF543" s="147"/>
      <c r="AG543" s="147"/>
      <c r="AH543" s="147"/>
      <c r="AI543" s="147"/>
      <c r="AJ543" s="147"/>
      <c r="AK543" s="147"/>
      <c r="AL543" s="147"/>
      <c r="AM543" s="151"/>
      <c r="AN543" s="147"/>
      <c r="AO543" s="147"/>
      <c r="AP543" s="147"/>
      <c r="AQ543" s="147"/>
      <c r="AR543" s="147"/>
      <c r="AS543" s="147"/>
      <c r="AT543" s="147"/>
      <c r="AU543" s="147"/>
      <c r="AV543" s="147"/>
      <c r="AW543" s="147"/>
      <c r="AX543" s="147"/>
      <c r="AY543" s="147"/>
      <c r="AZ543" s="147"/>
      <c r="BA543" s="147"/>
      <c r="BB543" s="147"/>
      <c r="BC543" s="147"/>
      <c r="BD543" s="147"/>
      <c r="BE543" s="147"/>
      <c r="BF543" s="147"/>
      <c r="BG543" s="147"/>
      <c r="BH543" s="147"/>
      <c r="BI543" s="147"/>
      <c r="BJ543" s="147"/>
      <c r="BK543" s="147"/>
      <c r="BL543" s="147"/>
      <c r="BM543" s="147"/>
      <c r="BN543" s="147"/>
      <c r="BO543" s="147"/>
      <c r="BP543" s="147"/>
      <c r="BQ543" s="147"/>
      <c r="BR543" s="147"/>
      <c r="BS543" s="147"/>
      <c r="BT543" s="147"/>
      <c r="BU543" s="147"/>
      <c r="BV543" s="147"/>
      <c r="BW543" s="147"/>
      <c r="BX543" s="147"/>
      <c r="BY543" s="147"/>
      <c r="BZ543" s="147"/>
      <c r="CA543" s="147"/>
      <c r="CB543" s="147"/>
      <c r="CC543" s="147"/>
      <c r="CD543" s="147"/>
      <c r="CE543" s="147"/>
      <c r="CF543" s="147"/>
      <c r="CG543" s="147"/>
      <c r="CH543" s="147"/>
      <c r="CI543" s="147"/>
      <c r="CJ543" s="147"/>
      <c r="CK543" s="147"/>
    </row>
    <row r="544" spans="1:89">
      <c r="A544" s="159"/>
      <c r="F544" s="3"/>
      <c r="G544" s="3"/>
      <c r="L544" s="157"/>
      <c r="M544" s="157"/>
      <c r="O544" s="147"/>
      <c r="P544" s="147"/>
      <c r="Q544" s="147"/>
      <c r="R544" s="147"/>
      <c r="S544" s="147"/>
      <c r="T544" s="147"/>
      <c r="U544" s="147"/>
      <c r="V544" s="147"/>
      <c r="W544" s="147"/>
      <c r="X544" s="147"/>
      <c r="Y544" s="147"/>
      <c r="Z544" s="147"/>
      <c r="AA544" s="147"/>
      <c r="AB544" s="147"/>
      <c r="AC544" s="147"/>
      <c r="AD544" s="147"/>
      <c r="AE544" s="147"/>
      <c r="AF544" s="147"/>
      <c r="AG544" s="147"/>
      <c r="AH544" s="147"/>
      <c r="AI544" s="147"/>
      <c r="AJ544" s="147"/>
      <c r="AK544" s="147"/>
      <c r="AL544" s="147"/>
      <c r="AM544" s="151"/>
      <c r="AN544" s="147"/>
      <c r="AO544" s="147"/>
      <c r="AP544" s="147"/>
      <c r="AQ544" s="147"/>
      <c r="AR544" s="147"/>
      <c r="AS544" s="147"/>
      <c r="AT544" s="147"/>
      <c r="AU544" s="147"/>
      <c r="AV544" s="147"/>
      <c r="AW544" s="147"/>
      <c r="AX544" s="147"/>
      <c r="AY544" s="147"/>
      <c r="AZ544" s="147"/>
      <c r="BA544" s="147"/>
      <c r="BB544" s="147"/>
      <c r="BC544" s="147"/>
      <c r="BD544" s="147"/>
      <c r="BE544" s="147"/>
      <c r="BF544" s="147"/>
      <c r="BG544" s="147"/>
      <c r="BH544" s="147"/>
      <c r="BI544" s="147"/>
      <c r="BJ544" s="147"/>
      <c r="BK544" s="147"/>
      <c r="BL544" s="147"/>
      <c r="BM544" s="147"/>
      <c r="BN544" s="147"/>
      <c r="BO544" s="147"/>
      <c r="BP544" s="147"/>
      <c r="BQ544" s="147"/>
      <c r="BR544" s="147"/>
      <c r="BS544" s="147"/>
      <c r="BT544" s="147"/>
      <c r="BU544" s="147"/>
      <c r="BV544" s="147"/>
      <c r="BW544" s="147"/>
      <c r="BX544" s="147"/>
      <c r="BY544" s="147"/>
      <c r="BZ544" s="147"/>
      <c r="CA544" s="147"/>
      <c r="CB544" s="147"/>
      <c r="CC544" s="147"/>
      <c r="CD544" s="147"/>
      <c r="CE544" s="147"/>
      <c r="CF544" s="147"/>
      <c r="CG544" s="147"/>
      <c r="CH544" s="147"/>
      <c r="CI544" s="147"/>
      <c r="CJ544" s="147"/>
      <c r="CK544" s="147"/>
    </row>
    <row r="545" spans="1:89">
      <c r="A545" s="159"/>
      <c r="F545" s="3"/>
      <c r="G545" s="3"/>
      <c r="L545" s="157"/>
      <c r="M545" s="157"/>
      <c r="O545" s="147"/>
      <c r="P545" s="147"/>
      <c r="Q545" s="147"/>
      <c r="R545" s="147"/>
      <c r="S545" s="147"/>
      <c r="T545" s="147"/>
      <c r="U545" s="147"/>
      <c r="V545" s="147"/>
      <c r="W545" s="147"/>
      <c r="X545" s="147"/>
      <c r="Y545" s="147"/>
      <c r="Z545" s="147"/>
      <c r="AA545" s="147"/>
      <c r="AB545" s="147"/>
      <c r="AC545" s="147"/>
      <c r="AD545" s="147"/>
      <c r="AE545" s="147"/>
      <c r="AF545" s="147"/>
      <c r="AG545" s="147"/>
      <c r="AH545" s="147"/>
      <c r="AI545" s="147"/>
      <c r="AJ545" s="147"/>
      <c r="AK545" s="147"/>
      <c r="AL545" s="147"/>
      <c r="AM545" s="151"/>
      <c r="AN545" s="147"/>
      <c r="AO545" s="147"/>
      <c r="AP545" s="147"/>
      <c r="AQ545" s="147"/>
      <c r="AR545" s="147"/>
      <c r="AS545" s="147"/>
      <c r="AT545" s="147"/>
      <c r="AU545" s="147"/>
      <c r="AV545" s="147"/>
      <c r="AW545" s="147"/>
      <c r="AX545" s="147"/>
      <c r="AY545" s="147"/>
      <c r="AZ545" s="147"/>
      <c r="BA545" s="147"/>
      <c r="BB545" s="147"/>
      <c r="BC545" s="147"/>
      <c r="BD545" s="147"/>
      <c r="BE545" s="147"/>
      <c r="BF545" s="147"/>
      <c r="BG545" s="147"/>
      <c r="BH545" s="147"/>
      <c r="BI545" s="147"/>
      <c r="BJ545" s="147"/>
      <c r="BK545" s="147"/>
      <c r="BL545" s="147"/>
      <c r="BM545" s="147"/>
      <c r="BN545" s="147"/>
      <c r="BO545" s="147"/>
      <c r="BP545" s="147"/>
      <c r="BQ545" s="147"/>
      <c r="BR545" s="147"/>
      <c r="BS545" s="147"/>
      <c r="BT545" s="147"/>
      <c r="BU545" s="147"/>
      <c r="BV545" s="147"/>
      <c r="BW545" s="147"/>
      <c r="BX545" s="147"/>
      <c r="BY545" s="147"/>
      <c r="BZ545" s="147"/>
      <c r="CA545" s="147"/>
      <c r="CB545" s="147"/>
      <c r="CC545" s="147"/>
      <c r="CD545" s="147"/>
      <c r="CE545" s="147"/>
      <c r="CF545" s="147"/>
      <c r="CG545" s="147"/>
      <c r="CH545" s="147"/>
      <c r="CI545" s="147"/>
      <c r="CJ545" s="147"/>
      <c r="CK545" s="147"/>
    </row>
    <row r="546" spans="1:89">
      <c r="A546" s="159"/>
      <c r="F546" s="3"/>
      <c r="G546" s="3"/>
      <c r="L546" s="157"/>
      <c r="M546" s="157"/>
      <c r="O546" s="147"/>
      <c r="P546" s="147"/>
      <c r="Q546" s="147"/>
      <c r="R546" s="147"/>
      <c r="S546" s="147"/>
      <c r="T546" s="147"/>
      <c r="U546" s="147"/>
      <c r="V546" s="147"/>
      <c r="W546" s="147"/>
      <c r="X546" s="147"/>
      <c r="Y546" s="147"/>
      <c r="Z546" s="147"/>
      <c r="AA546" s="147"/>
      <c r="AB546" s="147"/>
      <c r="AC546" s="147"/>
      <c r="AD546" s="147"/>
      <c r="AE546" s="147"/>
      <c r="AF546" s="147"/>
      <c r="AG546" s="147"/>
      <c r="AH546" s="147"/>
      <c r="AI546" s="147"/>
      <c r="AJ546" s="147"/>
      <c r="AK546" s="147"/>
      <c r="AL546" s="147"/>
      <c r="AM546" s="151"/>
      <c r="AN546" s="147"/>
      <c r="AO546" s="147"/>
      <c r="AP546" s="147"/>
      <c r="AQ546" s="147"/>
      <c r="AR546" s="147"/>
      <c r="AS546" s="147"/>
      <c r="AT546" s="147"/>
      <c r="AU546" s="147"/>
      <c r="AV546" s="147"/>
      <c r="AW546" s="147"/>
      <c r="AX546" s="147"/>
      <c r="AY546" s="147"/>
      <c r="AZ546" s="147"/>
      <c r="BA546" s="147"/>
      <c r="BB546" s="147"/>
      <c r="BC546" s="147"/>
      <c r="BD546" s="147"/>
      <c r="BE546" s="147"/>
      <c r="BF546" s="147"/>
      <c r="BG546" s="147"/>
      <c r="BH546" s="147"/>
      <c r="BI546" s="147"/>
      <c r="BJ546" s="147"/>
      <c r="BK546" s="147"/>
      <c r="BL546" s="147"/>
      <c r="BM546" s="147"/>
      <c r="BN546" s="147"/>
      <c r="BO546" s="147"/>
      <c r="BP546" s="147"/>
      <c r="BQ546" s="147"/>
      <c r="BR546" s="147"/>
      <c r="BS546" s="147"/>
      <c r="BT546" s="147"/>
      <c r="BU546" s="147"/>
      <c r="BV546" s="147"/>
      <c r="BW546" s="147"/>
      <c r="BX546" s="147"/>
      <c r="BY546" s="147"/>
      <c r="BZ546" s="147"/>
      <c r="CA546" s="147"/>
      <c r="CB546" s="147"/>
      <c r="CC546" s="147"/>
      <c r="CD546" s="147"/>
      <c r="CE546" s="147"/>
      <c r="CF546" s="147"/>
      <c r="CG546" s="147"/>
      <c r="CH546" s="147"/>
      <c r="CI546" s="147"/>
      <c r="CJ546" s="147"/>
      <c r="CK546" s="147"/>
    </row>
    <row r="547" spans="1:89">
      <c r="A547" s="159"/>
      <c r="F547" s="3"/>
      <c r="G547" s="3"/>
      <c r="L547" s="157"/>
      <c r="M547" s="157"/>
      <c r="O547" s="147"/>
      <c r="P547" s="147"/>
      <c r="Q547" s="147"/>
      <c r="R547" s="147"/>
      <c r="S547" s="147"/>
      <c r="T547" s="147"/>
      <c r="U547" s="147"/>
      <c r="V547" s="147"/>
      <c r="W547" s="147"/>
      <c r="X547" s="147"/>
      <c r="Y547" s="147"/>
      <c r="Z547" s="147"/>
      <c r="AA547" s="147"/>
      <c r="AB547" s="147"/>
      <c r="AC547" s="147"/>
      <c r="AD547" s="147"/>
      <c r="AE547" s="147"/>
      <c r="AF547" s="147"/>
      <c r="AG547" s="147"/>
      <c r="AH547" s="147"/>
      <c r="AI547" s="147"/>
      <c r="AJ547" s="147"/>
      <c r="AK547" s="147"/>
      <c r="AL547" s="147"/>
      <c r="AM547" s="151"/>
      <c r="AN547" s="147"/>
      <c r="AO547" s="147"/>
      <c r="AP547" s="147"/>
      <c r="AQ547" s="147"/>
      <c r="AR547" s="147"/>
      <c r="AS547" s="147"/>
      <c r="AT547" s="147"/>
      <c r="AU547" s="147"/>
      <c r="AV547" s="147"/>
      <c r="AW547" s="147"/>
      <c r="AX547" s="147"/>
      <c r="AY547" s="147"/>
      <c r="AZ547" s="147"/>
      <c r="BA547" s="147"/>
      <c r="BB547" s="147"/>
      <c r="BC547" s="147"/>
      <c r="BD547" s="147"/>
      <c r="BE547" s="147"/>
      <c r="BF547" s="147"/>
      <c r="BG547" s="147"/>
      <c r="BH547" s="147"/>
      <c r="BI547" s="147"/>
      <c r="BJ547" s="147"/>
      <c r="BK547" s="147"/>
      <c r="BL547" s="147"/>
      <c r="BM547" s="147"/>
      <c r="BN547" s="147"/>
      <c r="BO547" s="147"/>
      <c r="BP547" s="147"/>
      <c r="BQ547" s="147"/>
      <c r="BR547" s="147"/>
      <c r="BS547" s="147"/>
      <c r="BT547" s="147"/>
      <c r="BU547" s="147"/>
      <c r="BV547" s="147"/>
      <c r="BW547" s="147"/>
      <c r="BX547" s="147"/>
      <c r="BY547" s="147"/>
      <c r="BZ547" s="147"/>
      <c r="CA547" s="147"/>
      <c r="CB547" s="147"/>
      <c r="CC547" s="147"/>
      <c r="CD547" s="147"/>
      <c r="CE547" s="147"/>
      <c r="CF547" s="147"/>
      <c r="CG547" s="147"/>
      <c r="CH547" s="147"/>
      <c r="CI547" s="147"/>
      <c r="CJ547" s="147"/>
      <c r="CK547" s="147"/>
    </row>
    <row r="548" spans="1:89">
      <c r="A548" s="159"/>
      <c r="F548" s="3"/>
      <c r="G548" s="3"/>
      <c r="L548" s="157"/>
      <c r="M548" s="157"/>
      <c r="O548" s="147"/>
      <c r="P548" s="147"/>
      <c r="Q548" s="147"/>
      <c r="R548" s="147"/>
      <c r="S548" s="147"/>
      <c r="T548" s="147"/>
      <c r="U548" s="147"/>
      <c r="V548" s="147"/>
      <c r="W548" s="147"/>
      <c r="X548" s="147"/>
      <c r="Y548" s="147"/>
      <c r="Z548" s="147"/>
      <c r="AA548" s="147"/>
      <c r="AB548" s="147"/>
      <c r="AC548" s="147"/>
      <c r="AD548" s="147"/>
      <c r="AE548" s="147"/>
      <c r="AF548" s="147"/>
      <c r="AG548" s="147"/>
      <c r="AH548" s="147"/>
      <c r="AI548" s="147"/>
      <c r="AJ548" s="147"/>
      <c r="AK548" s="147"/>
      <c r="AL548" s="147"/>
      <c r="AM548" s="151"/>
      <c r="AN548" s="147"/>
      <c r="AO548" s="147"/>
      <c r="AP548" s="147"/>
      <c r="AQ548" s="147"/>
      <c r="AR548" s="147"/>
      <c r="AS548" s="147"/>
      <c r="AT548" s="147"/>
      <c r="AU548" s="147"/>
      <c r="AV548" s="147"/>
      <c r="AW548" s="147"/>
      <c r="AX548" s="147"/>
      <c r="AY548" s="147"/>
      <c r="AZ548" s="147"/>
      <c r="BA548" s="147"/>
      <c r="BB548" s="147"/>
      <c r="BC548" s="147"/>
      <c r="BD548" s="147"/>
      <c r="BE548" s="147"/>
      <c r="BF548" s="147"/>
      <c r="BG548" s="147"/>
      <c r="BH548" s="147"/>
      <c r="BI548" s="147"/>
      <c r="BJ548" s="147"/>
      <c r="BK548" s="147"/>
      <c r="BL548" s="147"/>
      <c r="BM548" s="147"/>
      <c r="BN548" s="147"/>
      <c r="BO548" s="147"/>
      <c r="BP548" s="147"/>
      <c r="BQ548" s="147"/>
      <c r="BR548" s="147"/>
      <c r="BS548" s="147"/>
      <c r="BT548" s="147"/>
      <c r="BU548" s="147"/>
      <c r="BV548" s="147"/>
      <c r="BW548" s="147"/>
      <c r="BX548" s="147"/>
      <c r="BY548" s="147"/>
      <c r="BZ548" s="147"/>
      <c r="CA548" s="147"/>
      <c r="CB548" s="147"/>
      <c r="CC548" s="147"/>
      <c r="CD548" s="147"/>
      <c r="CE548" s="147"/>
      <c r="CF548" s="147"/>
      <c r="CG548" s="147"/>
      <c r="CH548" s="147"/>
      <c r="CI548" s="147"/>
      <c r="CJ548" s="147"/>
      <c r="CK548" s="147"/>
    </row>
    <row r="549" spans="1:89">
      <c r="A549" s="159"/>
      <c r="F549" s="3"/>
      <c r="G549" s="3"/>
      <c r="L549" s="157"/>
      <c r="M549" s="157"/>
      <c r="O549" s="147"/>
      <c r="P549" s="147"/>
      <c r="Q549" s="147"/>
      <c r="R549" s="147"/>
      <c r="S549" s="147"/>
      <c r="T549" s="147"/>
      <c r="U549" s="147"/>
      <c r="V549" s="147"/>
      <c r="W549" s="147"/>
      <c r="X549" s="147"/>
      <c r="Y549" s="147"/>
      <c r="Z549" s="147"/>
      <c r="AA549" s="147"/>
      <c r="AB549" s="147"/>
      <c r="AC549" s="147"/>
      <c r="AD549" s="147"/>
      <c r="AE549" s="147"/>
      <c r="AF549" s="147"/>
      <c r="AG549" s="147"/>
      <c r="AH549" s="147"/>
      <c r="AI549" s="147"/>
      <c r="AJ549" s="147"/>
      <c r="AK549" s="147"/>
      <c r="AL549" s="147"/>
      <c r="AM549" s="151"/>
      <c r="AN549" s="147"/>
      <c r="AO549" s="147"/>
      <c r="AP549" s="147"/>
      <c r="AQ549" s="147"/>
      <c r="AR549" s="147"/>
      <c r="AS549" s="147"/>
      <c r="AT549" s="147"/>
      <c r="AU549" s="147"/>
      <c r="AV549" s="147"/>
      <c r="AW549" s="147"/>
      <c r="AX549" s="147"/>
      <c r="AY549" s="147"/>
      <c r="AZ549" s="147"/>
      <c r="BA549" s="147"/>
      <c r="BB549" s="147"/>
      <c r="BC549" s="147"/>
      <c r="BD549" s="147"/>
      <c r="BE549" s="147"/>
      <c r="BF549" s="147"/>
      <c r="BG549" s="147"/>
      <c r="BH549" s="147"/>
      <c r="BI549" s="147"/>
      <c r="BJ549" s="147"/>
      <c r="BK549" s="147"/>
      <c r="BL549" s="147"/>
      <c r="BM549" s="147"/>
      <c r="BN549" s="147"/>
      <c r="BO549" s="147"/>
      <c r="BP549" s="147"/>
      <c r="BQ549" s="147"/>
      <c r="BR549" s="147"/>
      <c r="BS549" s="147"/>
      <c r="BT549" s="147"/>
      <c r="BU549" s="147"/>
      <c r="BV549" s="147"/>
      <c r="BW549" s="147"/>
      <c r="BX549" s="147"/>
      <c r="BY549" s="147"/>
      <c r="BZ549" s="147"/>
      <c r="CA549" s="147"/>
      <c r="CB549" s="147"/>
      <c r="CC549" s="147"/>
      <c r="CD549" s="147"/>
      <c r="CE549" s="147"/>
      <c r="CF549" s="147"/>
      <c r="CG549" s="147"/>
      <c r="CH549" s="147"/>
      <c r="CI549" s="147"/>
      <c r="CJ549" s="147"/>
      <c r="CK549" s="147"/>
    </row>
    <row r="550" spans="1:89">
      <c r="A550" s="159"/>
      <c r="F550" s="3"/>
      <c r="G550" s="3"/>
      <c r="L550" s="157"/>
      <c r="M550" s="157"/>
      <c r="O550" s="147"/>
      <c r="P550" s="147"/>
      <c r="Q550" s="147"/>
      <c r="R550" s="147"/>
      <c r="S550" s="147"/>
      <c r="T550" s="147"/>
      <c r="U550" s="147"/>
      <c r="V550" s="147"/>
      <c r="W550" s="147"/>
      <c r="X550" s="147"/>
      <c r="Y550" s="147"/>
      <c r="Z550" s="147"/>
      <c r="AA550" s="147"/>
      <c r="AB550" s="147"/>
      <c r="AC550" s="147"/>
      <c r="AD550" s="147"/>
      <c r="AE550" s="147"/>
      <c r="AF550" s="147"/>
      <c r="AG550" s="147"/>
      <c r="AH550" s="147"/>
      <c r="AI550" s="147"/>
      <c r="AJ550" s="147"/>
      <c r="AK550" s="147"/>
      <c r="AL550" s="147"/>
      <c r="AM550" s="151"/>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c r="BI550" s="147"/>
      <c r="BJ550" s="147"/>
      <c r="BK550" s="147"/>
      <c r="BL550" s="147"/>
      <c r="BM550" s="147"/>
      <c r="BN550" s="147"/>
      <c r="BO550" s="147"/>
      <c r="BP550" s="147"/>
      <c r="BQ550" s="147"/>
      <c r="BR550" s="147"/>
      <c r="BS550" s="147"/>
      <c r="BT550" s="147"/>
      <c r="BU550" s="147"/>
      <c r="BV550" s="147"/>
      <c r="BW550" s="147"/>
      <c r="BX550" s="147"/>
      <c r="BY550" s="147"/>
      <c r="BZ550" s="147"/>
      <c r="CA550" s="147"/>
      <c r="CB550" s="147"/>
      <c r="CC550" s="147"/>
      <c r="CD550" s="147"/>
      <c r="CE550" s="147"/>
      <c r="CF550" s="147"/>
      <c r="CG550" s="147"/>
      <c r="CH550" s="147"/>
      <c r="CI550" s="147"/>
      <c r="CJ550" s="147"/>
      <c r="CK550" s="147"/>
    </row>
    <row r="551" spans="1:89">
      <c r="A551" s="157"/>
      <c r="F551" s="3"/>
      <c r="G551" s="3"/>
      <c r="L551" s="157"/>
      <c r="M551" s="157"/>
      <c r="O551" s="147"/>
      <c r="P551" s="147"/>
      <c r="Q551" s="147"/>
      <c r="R551" s="147"/>
      <c r="S551" s="147"/>
      <c r="T551" s="147"/>
      <c r="U551" s="147"/>
      <c r="V551" s="147"/>
      <c r="W551" s="147"/>
      <c r="X551" s="147"/>
      <c r="Y551" s="147"/>
      <c r="Z551" s="147"/>
      <c r="AA551" s="147"/>
      <c r="AB551" s="147"/>
      <c r="AC551" s="147"/>
      <c r="AD551" s="147"/>
      <c r="AE551" s="147"/>
      <c r="AF551" s="147"/>
      <c r="AG551" s="147"/>
      <c r="AH551" s="147"/>
      <c r="AI551" s="147"/>
      <c r="AJ551" s="147"/>
      <c r="AK551" s="147"/>
      <c r="AL551" s="147"/>
      <c r="AM551" s="151"/>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c r="BI551" s="147"/>
      <c r="BJ551" s="147"/>
      <c r="BK551" s="147"/>
      <c r="BL551" s="147"/>
      <c r="BM551" s="147"/>
      <c r="BN551" s="147"/>
      <c r="BO551" s="147"/>
      <c r="BP551" s="147"/>
      <c r="BQ551" s="147"/>
      <c r="BR551" s="147"/>
      <c r="BS551" s="147"/>
      <c r="BT551" s="147"/>
      <c r="BU551" s="147"/>
      <c r="BV551" s="147"/>
      <c r="BW551" s="147"/>
      <c r="BX551" s="147"/>
      <c r="BY551" s="147"/>
      <c r="BZ551" s="147"/>
      <c r="CA551" s="147"/>
      <c r="CB551" s="147"/>
      <c r="CC551" s="147"/>
      <c r="CD551" s="147"/>
      <c r="CE551" s="147"/>
      <c r="CF551" s="147"/>
      <c r="CG551" s="147"/>
      <c r="CH551" s="147"/>
      <c r="CI551" s="147"/>
      <c r="CJ551" s="147"/>
      <c r="CK551" s="147"/>
    </row>
    <row r="552" spans="1:89">
      <c r="A552" s="157"/>
      <c r="F552" s="3"/>
      <c r="G552" s="3"/>
      <c r="L552" s="157"/>
      <c r="M552" s="157"/>
      <c r="O552" s="147"/>
      <c r="P552" s="147"/>
      <c r="Q552" s="147"/>
      <c r="R552" s="147"/>
      <c r="S552" s="147"/>
      <c r="T552" s="147"/>
      <c r="U552" s="147"/>
      <c r="V552" s="147"/>
      <c r="W552" s="147"/>
      <c r="X552" s="147"/>
      <c r="Y552" s="147"/>
      <c r="Z552" s="147"/>
      <c r="AA552" s="147"/>
      <c r="AB552" s="147"/>
      <c r="AC552" s="147"/>
      <c r="AD552" s="147"/>
      <c r="AE552" s="147"/>
      <c r="AF552" s="147"/>
      <c r="AG552" s="147"/>
      <c r="AH552" s="147"/>
      <c r="AI552" s="147"/>
      <c r="AJ552" s="147"/>
      <c r="AK552" s="147"/>
      <c r="AL552" s="147"/>
      <c r="AM552" s="151"/>
      <c r="AN552" s="147"/>
      <c r="AO552" s="147"/>
      <c r="AP552" s="147"/>
      <c r="AQ552" s="147"/>
      <c r="AR552" s="147"/>
      <c r="AS552" s="147"/>
      <c r="AT552" s="147"/>
      <c r="AU552" s="147"/>
      <c r="AV552" s="147"/>
      <c r="AW552" s="147"/>
      <c r="AX552" s="147"/>
      <c r="AY552" s="147"/>
      <c r="AZ552" s="147"/>
      <c r="BA552" s="147"/>
      <c r="BB552" s="147"/>
      <c r="BC552" s="147"/>
      <c r="BD552" s="147"/>
      <c r="BE552" s="147"/>
      <c r="BF552" s="147"/>
      <c r="BG552" s="147"/>
      <c r="BH552" s="147"/>
      <c r="BI552" s="147"/>
      <c r="BJ552" s="147"/>
      <c r="BK552" s="147"/>
      <c r="BL552" s="147"/>
      <c r="BM552" s="147"/>
      <c r="BN552" s="147"/>
      <c r="BO552" s="147"/>
      <c r="BP552" s="147"/>
      <c r="BQ552" s="147"/>
      <c r="BR552" s="147"/>
      <c r="BS552" s="147"/>
      <c r="BT552" s="147"/>
      <c r="BU552" s="147"/>
      <c r="BV552" s="147"/>
      <c r="BW552" s="147"/>
      <c r="BX552" s="147"/>
      <c r="BY552" s="147"/>
      <c r="BZ552" s="147"/>
      <c r="CA552" s="147"/>
      <c r="CB552" s="147"/>
      <c r="CC552" s="147"/>
      <c r="CD552" s="147"/>
      <c r="CE552" s="147"/>
      <c r="CF552" s="147"/>
      <c r="CG552" s="147"/>
      <c r="CH552" s="147"/>
      <c r="CI552" s="147"/>
      <c r="CJ552" s="147"/>
      <c r="CK552" s="147"/>
    </row>
    <row r="553" spans="1:89">
      <c r="A553" s="157"/>
      <c r="F553" s="3"/>
      <c r="G553" s="3"/>
      <c r="L553" s="157"/>
      <c r="M553" s="157"/>
      <c r="O553" s="147"/>
      <c r="P553" s="147"/>
      <c r="Q553" s="147"/>
      <c r="R553" s="147"/>
      <c r="S553" s="147"/>
      <c r="T553" s="147"/>
      <c r="U553" s="147"/>
      <c r="V553" s="147"/>
      <c r="W553" s="147"/>
      <c r="X553" s="147"/>
      <c r="Y553" s="147"/>
      <c r="Z553" s="147"/>
      <c r="AA553" s="147"/>
      <c r="AB553" s="147"/>
      <c r="AC553" s="147"/>
      <c r="AD553" s="147"/>
      <c r="AE553" s="147"/>
      <c r="AF553" s="147"/>
      <c r="AG553" s="147"/>
      <c r="AH553" s="147"/>
      <c r="AI553" s="147"/>
      <c r="AJ553" s="147"/>
      <c r="AK553" s="147"/>
      <c r="AL553" s="147"/>
      <c r="AM553" s="151"/>
      <c r="AN553" s="147"/>
      <c r="AO553" s="147"/>
      <c r="AP553" s="147"/>
      <c r="AQ553" s="147"/>
      <c r="AR553" s="147"/>
      <c r="AS553" s="147"/>
      <c r="AT553" s="147"/>
      <c r="AU553" s="147"/>
      <c r="AV553" s="147"/>
      <c r="AW553" s="147"/>
      <c r="AX553" s="147"/>
      <c r="AY553" s="147"/>
      <c r="AZ553" s="147"/>
      <c r="BA553" s="147"/>
      <c r="BB553" s="147"/>
      <c r="BC553" s="147"/>
      <c r="BD553" s="147"/>
      <c r="BE553" s="147"/>
      <c r="BF553" s="147"/>
      <c r="BG553" s="147"/>
      <c r="BH553" s="147"/>
      <c r="BI553" s="147"/>
      <c r="BJ553" s="147"/>
      <c r="BK553" s="147"/>
      <c r="BL553" s="147"/>
      <c r="BM553" s="147"/>
      <c r="BN553" s="147"/>
      <c r="BO553" s="147"/>
      <c r="BP553" s="147"/>
      <c r="BQ553" s="147"/>
      <c r="BR553" s="147"/>
      <c r="BS553" s="147"/>
      <c r="BT553" s="147"/>
      <c r="BU553" s="147"/>
      <c r="BV553" s="147"/>
      <c r="BW553" s="147"/>
      <c r="BX553" s="147"/>
      <c r="BY553" s="147"/>
      <c r="BZ553" s="147"/>
      <c r="CA553" s="147"/>
      <c r="CB553" s="147"/>
      <c r="CC553" s="147"/>
      <c r="CD553" s="147"/>
      <c r="CE553" s="147"/>
      <c r="CF553" s="147"/>
      <c r="CG553" s="147"/>
      <c r="CH553" s="147"/>
      <c r="CI553" s="147"/>
      <c r="CJ553" s="147"/>
      <c r="CK553" s="147"/>
    </row>
    <row r="554" spans="1:89">
      <c r="A554" s="157"/>
      <c r="F554" s="3"/>
      <c r="G554" s="3"/>
      <c r="L554" s="157"/>
      <c r="M554" s="157"/>
      <c r="O554" s="147"/>
      <c r="P554" s="147"/>
      <c r="Q554" s="147"/>
      <c r="R554" s="147"/>
      <c r="S554" s="147"/>
      <c r="T554" s="147"/>
      <c r="U554" s="147"/>
      <c r="V554" s="147"/>
      <c r="W554" s="147"/>
      <c r="X554" s="147"/>
      <c r="Y554" s="147"/>
      <c r="Z554" s="147"/>
      <c r="AA554" s="147"/>
      <c r="AB554" s="147"/>
      <c r="AC554" s="147"/>
      <c r="AD554" s="147"/>
      <c r="AE554" s="147"/>
      <c r="AF554" s="147"/>
      <c r="AG554" s="147"/>
      <c r="AH554" s="147"/>
      <c r="AI554" s="147"/>
      <c r="AJ554" s="147"/>
      <c r="AK554" s="147"/>
      <c r="AL554" s="147"/>
      <c r="AM554" s="151"/>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c r="BI554" s="147"/>
      <c r="BJ554" s="147"/>
      <c r="BK554" s="147"/>
      <c r="BL554" s="147"/>
      <c r="BM554" s="147"/>
      <c r="BN554" s="147"/>
      <c r="BO554" s="147"/>
      <c r="BP554" s="147"/>
      <c r="BQ554" s="147"/>
      <c r="BR554" s="147"/>
      <c r="BS554" s="147"/>
      <c r="BT554" s="147"/>
      <c r="BU554" s="147"/>
      <c r="BV554" s="147"/>
      <c r="BW554" s="147"/>
      <c r="BX554" s="147"/>
      <c r="BY554" s="147"/>
      <c r="BZ554" s="147"/>
      <c r="CA554" s="147"/>
      <c r="CB554" s="147"/>
      <c r="CC554" s="147"/>
      <c r="CD554" s="147"/>
      <c r="CE554" s="147"/>
      <c r="CF554" s="147"/>
      <c r="CG554" s="147"/>
      <c r="CH554" s="147"/>
      <c r="CI554" s="147"/>
      <c r="CJ554" s="147"/>
      <c r="CK554" s="147"/>
    </row>
    <row r="555" spans="1:89">
      <c r="A555" s="157"/>
      <c r="F555" s="3"/>
      <c r="G555" s="3"/>
      <c r="L555" s="157"/>
      <c r="M555" s="157"/>
      <c r="O555" s="147"/>
      <c r="P555" s="147"/>
      <c r="Q555" s="147"/>
      <c r="R555" s="147"/>
      <c r="S555" s="147"/>
      <c r="T555" s="147"/>
      <c r="U555" s="147"/>
      <c r="V555" s="147"/>
      <c r="W555" s="147"/>
      <c r="X555" s="147"/>
      <c r="Y555" s="147"/>
      <c r="Z555" s="147"/>
      <c r="AA555" s="147"/>
      <c r="AB555" s="147"/>
      <c r="AC555" s="147"/>
      <c r="AD555" s="147"/>
      <c r="AE555" s="147"/>
      <c r="AF555" s="147"/>
      <c r="AG555" s="147"/>
      <c r="AH555" s="147"/>
      <c r="AI555" s="147"/>
      <c r="AJ555" s="147"/>
      <c r="AK555" s="147"/>
      <c r="AL555" s="147"/>
      <c r="AM555" s="151"/>
      <c r="AN555" s="147"/>
      <c r="AO555" s="147"/>
      <c r="AP555" s="147"/>
      <c r="AQ555" s="147"/>
      <c r="AR555" s="147"/>
      <c r="AS555" s="147"/>
      <c r="AT555" s="147"/>
      <c r="AU555" s="147"/>
      <c r="AV555" s="147"/>
      <c r="AW555" s="147"/>
      <c r="AX555" s="147"/>
      <c r="AY555" s="147"/>
      <c r="AZ555" s="147"/>
      <c r="BA555" s="147"/>
      <c r="BB555" s="147"/>
      <c r="BC555" s="147"/>
      <c r="BD555" s="147"/>
      <c r="BE555" s="147"/>
      <c r="BF555" s="147"/>
      <c r="BG555" s="147"/>
      <c r="BH555" s="147"/>
      <c r="BI555" s="147"/>
      <c r="BJ555" s="147"/>
      <c r="BK555" s="147"/>
      <c r="BL555" s="147"/>
      <c r="BM555" s="147"/>
      <c r="BN555" s="147"/>
      <c r="BO555" s="147"/>
      <c r="BP555" s="147"/>
      <c r="BQ555" s="147"/>
      <c r="BR555" s="147"/>
      <c r="BS555" s="147"/>
      <c r="BT555" s="147"/>
      <c r="BU555" s="147"/>
      <c r="BV555" s="147"/>
      <c r="BW555" s="147"/>
      <c r="BX555" s="147"/>
      <c r="BY555" s="147"/>
      <c r="BZ555" s="147"/>
      <c r="CA555" s="147"/>
      <c r="CB555" s="147"/>
      <c r="CC555" s="147"/>
      <c r="CD555" s="147"/>
      <c r="CE555" s="147"/>
      <c r="CF555" s="147"/>
      <c r="CG555" s="147"/>
      <c r="CH555" s="147"/>
      <c r="CI555" s="147"/>
      <c r="CJ555" s="147"/>
      <c r="CK555" s="147"/>
    </row>
    <row r="556" spans="1:89">
      <c r="A556" s="157"/>
      <c r="F556" s="3"/>
      <c r="G556" s="3"/>
      <c r="L556" s="157"/>
      <c r="M556" s="157"/>
      <c r="O556" s="147"/>
      <c r="P556" s="147"/>
      <c r="Q556" s="147"/>
      <c r="R556" s="147"/>
      <c r="S556" s="147"/>
      <c r="T556" s="147"/>
      <c r="U556" s="147"/>
      <c r="V556" s="147"/>
      <c r="W556" s="147"/>
      <c r="X556" s="147"/>
      <c r="Y556" s="147"/>
      <c r="Z556" s="147"/>
      <c r="AA556" s="147"/>
      <c r="AB556" s="147"/>
      <c r="AC556" s="147"/>
      <c r="AD556" s="147"/>
      <c r="AE556" s="147"/>
      <c r="AF556" s="147"/>
      <c r="AG556" s="147"/>
      <c r="AH556" s="147"/>
      <c r="AI556" s="147"/>
      <c r="AJ556" s="147"/>
      <c r="AK556" s="147"/>
      <c r="AL556" s="147"/>
      <c r="AM556" s="151"/>
      <c r="AN556" s="147"/>
      <c r="AO556" s="147"/>
      <c r="AP556" s="147"/>
      <c r="AQ556" s="147"/>
      <c r="AR556" s="147"/>
      <c r="AS556" s="147"/>
      <c r="AT556" s="147"/>
      <c r="AU556" s="147"/>
      <c r="AV556" s="147"/>
      <c r="AW556" s="147"/>
      <c r="AX556" s="147"/>
      <c r="AY556" s="147"/>
      <c r="AZ556" s="147"/>
      <c r="BA556" s="147"/>
      <c r="BB556" s="147"/>
      <c r="BC556" s="147"/>
      <c r="BD556" s="147"/>
      <c r="BE556" s="147"/>
      <c r="BF556" s="147"/>
      <c r="BG556" s="147"/>
      <c r="BH556" s="147"/>
      <c r="BI556" s="147"/>
      <c r="BJ556" s="147"/>
      <c r="BK556" s="147"/>
      <c r="BL556" s="147"/>
      <c r="BM556" s="147"/>
      <c r="BN556" s="147"/>
      <c r="BO556" s="147"/>
      <c r="BP556" s="147"/>
      <c r="BQ556" s="147"/>
      <c r="BR556" s="147"/>
      <c r="BS556" s="147"/>
      <c r="BT556" s="147"/>
      <c r="BU556" s="147"/>
      <c r="BV556" s="147"/>
      <c r="BW556" s="147"/>
      <c r="BX556" s="147"/>
      <c r="BY556" s="147"/>
      <c r="BZ556" s="147"/>
      <c r="CA556" s="147"/>
      <c r="CB556" s="147"/>
      <c r="CC556" s="147"/>
      <c r="CD556" s="147"/>
      <c r="CE556" s="147"/>
      <c r="CF556" s="147"/>
      <c r="CG556" s="147"/>
      <c r="CH556" s="147"/>
      <c r="CI556" s="147"/>
      <c r="CJ556" s="147"/>
      <c r="CK556" s="147"/>
    </row>
    <row r="557" spans="1:89">
      <c r="A557" s="157"/>
      <c r="F557" s="3"/>
      <c r="G557" s="3"/>
      <c r="L557" s="157"/>
      <c r="M557" s="157"/>
      <c r="O557" s="147"/>
      <c r="P557" s="147"/>
      <c r="Q557" s="147"/>
      <c r="R557" s="147"/>
      <c r="S557" s="147"/>
      <c r="T557" s="147"/>
      <c r="U557" s="147"/>
      <c r="V557" s="147"/>
      <c r="W557" s="147"/>
      <c r="X557" s="147"/>
      <c r="Y557" s="147"/>
      <c r="Z557" s="147"/>
      <c r="AA557" s="147"/>
      <c r="AB557" s="147"/>
      <c r="AC557" s="147"/>
      <c r="AD557" s="147"/>
      <c r="AE557" s="147"/>
      <c r="AF557" s="147"/>
      <c r="AG557" s="147"/>
      <c r="AH557" s="147"/>
      <c r="AI557" s="147"/>
      <c r="AJ557" s="147"/>
      <c r="AK557" s="147"/>
      <c r="AL557" s="147"/>
      <c r="AM557" s="151"/>
      <c r="AN557" s="147"/>
      <c r="AO557" s="147"/>
      <c r="AP557" s="147"/>
      <c r="AQ557" s="147"/>
      <c r="AR557" s="147"/>
      <c r="AS557" s="147"/>
      <c r="AT557" s="147"/>
      <c r="AU557" s="147"/>
      <c r="AV557" s="147"/>
      <c r="AW557" s="147"/>
      <c r="AX557" s="147"/>
      <c r="AY557" s="147"/>
      <c r="AZ557" s="147"/>
      <c r="BA557" s="147"/>
      <c r="BB557" s="147"/>
      <c r="BC557" s="147"/>
      <c r="BD557" s="147"/>
      <c r="BE557" s="147"/>
      <c r="BF557" s="147"/>
      <c r="BG557" s="147"/>
      <c r="BH557" s="147"/>
      <c r="BI557" s="147"/>
      <c r="BJ557" s="147"/>
      <c r="BK557" s="147"/>
      <c r="BL557" s="147"/>
      <c r="BM557" s="147"/>
      <c r="BN557" s="147"/>
      <c r="BO557" s="147"/>
      <c r="BP557" s="147"/>
      <c r="BQ557" s="147"/>
      <c r="BR557" s="147"/>
      <c r="BS557" s="147"/>
      <c r="BT557" s="147"/>
      <c r="BU557" s="147"/>
      <c r="BV557" s="147"/>
      <c r="BW557" s="147"/>
      <c r="BX557" s="147"/>
      <c r="BY557" s="147"/>
      <c r="BZ557" s="147"/>
      <c r="CA557" s="147"/>
      <c r="CB557" s="147"/>
      <c r="CC557" s="147"/>
      <c r="CD557" s="147"/>
      <c r="CE557" s="147"/>
      <c r="CF557" s="147"/>
      <c r="CG557" s="147"/>
      <c r="CH557" s="147"/>
      <c r="CI557" s="147"/>
      <c r="CJ557" s="147"/>
      <c r="CK557" s="147"/>
    </row>
    <row r="558" spans="1:89">
      <c r="A558" s="157"/>
      <c r="F558" s="3"/>
      <c r="G558" s="3"/>
      <c r="L558" s="157"/>
      <c r="M558" s="157"/>
      <c r="O558" s="147"/>
      <c r="P558" s="147"/>
      <c r="Q558" s="147"/>
      <c r="R558" s="147"/>
      <c r="S558" s="147"/>
      <c r="T558" s="147"/>
      <c r="U558" s="147"/>
      <c r="V558" s="147"/>
      <c r="W558" s="147"/>
      <c r="X558" s="147"/>
      <c r="Y558" s="147"/>
      <c r="Z558" s="147"/>
      <c r="AA558" s="147"/>
      <c r="AB558" s="147"/>
      <c r="AC558" s="147"/>
      <c r="AD558" s="147"/>
      <c r="AE558" s="147"/>
      <c r="AF558" s="147"/>
      <c r="AG558" s="147"/>
      <c r="AH558" s="147"/>
      <c r="AI558" s="147"/>
      <c r="AJ558" s="147"/>
      <c r="AK558" s="147"/>
      <c r="AL558" s="147"/>
      <c r="AM558" s="151"/>
      <c r="AN558" s="147"/>
      <c r="AO558" s="147"/>
      <c r="AP558" s="147"/>
      <c r="AQ558" s="147"/>
      <c r="AR558" s="147"/>
      <c r="AS558" s="147"/>
      <c r="AT558" s="147"/>
      <c r="AU558" s="147"/>
      <c r="AV558" s="147"/>
      <c r="AW558" s="147"/>
      <c r="AX558" s="147"/>
      <c r="AY558" s="147"/>
      <c r="AZ558" s="147"/>
      <c r="BA558" s="147"/>
      <c r="BB558" s="147"/>
      <c r="BC558" s="147"/>
      <c r="BD558" s="147"/>
      <c r="BE558" s="147"/>
      <c r="BF558" s="147"/>
      <c r="BG558" s="147"/>
      <c r="BH558" s="147"/>
      <c r="BI558" s="147"/>
      <c r="BJ558" s="147"/>
      <c r="BK558" s="147"/>
      <c r="BL558" s="147"/>
      <c r="BM558" s="147"/>
      <c r="BN558" s="147"/>
      <c r="BO558" s="147"/>
      <c r="BP558" s="147"/>
      <c r="BQ558" s="147"/>
      <c r="BR558" s="147"/>
      <c r="BS558" s="147"/>
      <c r="BT558" s="147"/>
      <c r="BU558" s="147"/>
      <c r="BV558" s="147"/>
      <c r="BW558" s="147"/>
      <c r="BX558" s="147"/>
      <c r="BY558" s="147"/>
      <c r="BZ558" s="147"/>
      <c r="CA558" s="147"/>
      <c r="CB558" s="147"/>
      <c r="CC558" s="147"/>
      <c r="CD558" s="147"/>
      <c r="CE558" s="147"/>
      <c r="CF558" s="147"/>
      <c r="CG558" s="147"/>
      <c r="CH558" s="147"/>
      <c r="CI558" s="147"/>
      <c r="CJ558" s="147"/>
      <c r="CK558" s="147"/>
    </row>
    <row r="559" spans="1:89">
      <c r="A559" s="157"/>
      <c r="F559" s="3"/>
      <c r="G559" s="3"/>
      <c r="L559" s="157"/>
      <c r="M559" s="157"/>
      <c r="O559" s="147"/>
      <c r="P559" s="147"/>
      <c r="Q559" s="147"/>
      <c r="R559" s="147"/>
      <c r="S559" s="147"/>
      <c r="T559" s="147"/>
      <c r="U559" s="147"/>
      <c r="V559" s="147"/>
      <c r="W559" s="147"/>
      <c r="X559" s="147"/>
      <c r="Y559" s="147"/>
      <c r="Z559" s="147"/>
      <c r="AA559" s="147"/>
      <c r="AB559" s="147"/>
      <c r="AC559" s="147"/>
      <c r="AD559" s="147"/>
      <c r="AE559" s="147"/>
      <c r="AF559" s="147"/>
      <c r="AG559" s="147"/>
      <c r="AH559" s="147"/>
      <c r="AI559" s="147"/>
      <c r="AJ559" s="147"/>
      <c r="AK559" s="147"/>
      <c r="AL559" s="147"/>
      <c r="AM559" s="151"/>
      <c r="AN559" s="147"/>
      <c r="AO559" s="147"/>
      <c r="AP559" s="147"/>
      <c r="AQ559" s="147"/>
      <c r="AR559" s="147"/>
      <c r="AS559" s="147"/>
      <c r="AT559" s="147"/>
      <c r="AU559" s="147"/>
      <c r="AV559" s="147"/>
      <c r="AW559" s="147"/>
      <c r="AX559" s="147"/>
      <c r="AY559" s="147"/>
      <c r="AZ559" s="147"/>
      <c r="BA559" s="147"/>
      <c r="BB559" s="147"/>
      <c r="BC559" s="147"/>
      <c r="BD559" s="147"/>
      <c r="BE559" s="147"/>
      <c r="BF559" s="147"/>
      <c r="BG559" s="147"/>
      <c r="BH559" s="147"/>
      <c r="BI559" s="147"/>
      <c r="BJ559" s="147"/>
      <c r="BK559" s="147"/>
      <c r="BL559" s="147"/>
      <c r="BM559" s="147"/>
      <c r="BN559" s="147"/>
      <c r="BO559" s="147"/>
      <c r="BP559" s="147"/>
      <c r="BQ559" s="147"/>
      <c r="BR559" s="147"/>
      <c r="BS559" s="147"/>
      <c r="BT559" s="147"/>
      <c r="BU559" s="147"/>
      <c r="BV559" s="147"/>
      <c r="BW559" s="147"/>
      <c r="BX559" s="147"/>
      <c r="BY559" s="147"/>
      <c r="BZ559" s="147"/>
      <c r="CA559" s="147"/>
      <c r="CB559" s="147"/>
      <c r="CC559" s="147"/>
      <c r="CD559" s="147"/>
      <c r="CE559" s="147"/>
      <c r="CF559" s="147"/>
      <c r="CG559" s="147"/>
      <c r="CH559" s="147"/>
      <c r="CI559" s="147"/>
      <c r="CJ559" s="147"/>
      <c r="CK559" s="147"/>
    </row>
    <row r="560" spans="1:89">
      <c r="A560" s="157"/>
      <c r="F560" s="3"/>
      <c r="G560" s="3"/>
      <c r="L560" s="157"/>
      <c r="M560" s="157"/>
      <c r="O560" s="147"/>
      <c r="P560" s="147"/>
      <c r="Q560" s="147"/>
      <c r="R560" s="147"/>
      <c r="S560" s="147"/>
      <c r="T560" s="147"/>
      <c r="U560" s="147"/>
      <c r="V560" s="147"/>
      <c r="W560" s="147"/>
      <c r="X560" s="147"/>
      <c r="Y560" s="147"/>
      <c r="Z560" s="147"/>
      <c r="AA560" s="147"/>
      <c r="AB560" s="147"/>
      <c r="AC560" s="147"/>
      <c r="AD560" s="147"/>
      <c r="AE560" s="147"/>
      <c r="AF560" s="147"/>
      <c r="AG560" s="147"/>
      <c r="AH560" s="147"/>
      <c r="AI560" s="147"/>
      <c r="AJ560" s="147"/>
      <c r="AK560" s="147"/>
      <c r="AL560" s="147"/>
      <c r="AM560" s="151"/>
      <c r="AN560" s="147"/>
      <c r="AO560" s="147"/>
      <c r="AP560" s="147"/>
      <c r="AQ560" s="147"/>
      <c r="AR560" s="147"/>
      <c r="AS560" s="147"/>
      <c r="AT560" s="147"/>
      <c r="AU560" s="147"/>
      <c r="AV560" s="147"/>
      <c r="AW560" s="147"/>
      <c r="AX560" s="147"/>
      <c r="AY560" s="147"/>
      <c r="AZ560" s="147"/>
      <c r="BA560" s="147"/>
      <c r="BB560" s="147"/>
      <c r="BC560" s="147"/>
      <c r="BD560" s="147"/>
      <c r="BE560" s="147"/>
      <c r="BF560" s="147"/>
      <c r="BG560" s="147"/>
      <c r="BH560" s="147"/>
      <c r="BI560" s="147"/>
      <c r="BJ560" s="147"/>
      <c r="BK560" s="147"/>
      <c r="BL560" s="147"/>
      <c r="BM560" s="147"/>
      <c r="BN560" s="147"/>
      <c r="BO560" s="147"/>
      <c r="BP560" s="147"/>
      <c r="BQ560" s="147"/>
      <c r="BR560" s="147"/>
      <c r="BS560" s="147"/>
      <c r="BT560" s="147"/>
      <c r="BU560" s="147"/>
      <c r="BV560" s="147"/>
      <c r="BW560" s="147"/>
      <c r="BX560" s="147"/>
      <c r="BY560" s="147"/>
      <c r="BZ560" s="147"/>
      <c r="CA560" s="147"/>
      <c r="CB560" s="147"/>
      <c r="CC560" s="147"/>
      <c r="CD560" s="147"/>
      <c r="CE560" s="147"/>
      <c r="CF560" s="147"/>
      <c r="CG560" s="147"/>
      <c r="CH560" s="147"/>
      <c r="CI560" s="147"/>
      <c r="CJ560" s="147"/>
      <c r="CK560" s="147"/>
    </row>
    <row r="561" spans="1:89">
      <c r="A561" s="157"/>
      <c r="F561" s="3"/>
      <c r="G561" s="3"/>
      <c r="L561" s="157"/>
      <c r="M561" s="157"/>
      <c r="O561" s="147"/>
      <c r="P561" s="147"/>
      <c r="Q561" s="147"/>
      <c r="R561" s="147"/>
      <c r="S561" s="147"/>
      <c r="T561" s="147"/>
      <c r="U561" s="147"/>
      <c r="V561" s="147"/>
      <c r="W561" s="147"/>
      <c r="X561" s="147"/>
      <c r="Y561" s="147"/>
      <c r="Z561" s="147"/>
      <c r="AA561" s="147"/>
      <c r="AB561" s="147"/>
      <c r="AC561" s="147"/>
      <c r="AD561" s="147"/>
      <c r="AE561" s="147"/>
      <c r="AF561" s="147"/>
      <c r="AG561" s="147"/>
      <c r="AH561" s="147"/>
      <c r="AI561" s="147"/>
      <c r="AJ561" s="147"/>
      <c r="AK561" s="147"/>
      <c r="AL561" s="147"/>
      <c r="AM561" s="151"/>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c r="BI561" s="147"/>
      <c r="BJ561" s="147"/>
      <c r="BK561" s="147"/>
      <c r="BL561" s="147"/>
      <c r="BM561" s="147"/>
      <c r="BN561" s="147"/>
      <c r="BO561" s="147"/>
      <c r="BP561" s="147"/>
      <c r="BQ561" s="147"/>
      <c r="BR561" s="147"/>
      <c r="BS561" s="147"/>
      <c r="BT561" s="147"/>
      <c r="BU561" s="147"/>
      <c r="BV561" s="147"/>
      <c r="BW561" s="147"/>
      <c r="BX561" s="147"/>
      <c r="BY561" s="147"/>
      <c r="BZ561" s="147"/>
      <c r="CA561" s="147"/>
      <c r="CB561" s="147"/>
      <c r="CC561" s="147"/>
      <c r="CD561" s="147"/>
      <c r="CE561" s="147"/>
      <c r="CF561" s="147"/>
      <c r="CG561" s="147"/>
      <c r="CH561" s="147"/>
      <c r="CI561" s="147"/>
      <c r="CJ561" s="147"/>
      <c r="CK561" s="147"/>
    </row>
    <row r="562" spans="1:89">
      <c r="A562" s="157"/>
      <c r="F562" s="3"/>
      <c r="G562" s="3"/>
      <c r="L562" s="157"/>
      <c r="M562" s="157"/>
      <c r="O562" s="147"/>
      <c r="P562" s="147"/>
      <c r="Q562" s="147"/>
      <c r="R562" s="147"/>
      <c r="S562" s="147"/>
      <c r="T562" s="147"/>
      <c r="U562" s="147"/>
      <c r="V562" s="147"/>
      <c r="W562" s="147"/>
      <c r="X562" s="147"/>
      <c r="Y562" s="147"/>
      <c r="Z562" s="147"/>
      <c r="AA562" s="147"/>
      <c r="AB562" s="147"/>
      <c r="AC562" s="147"/>
      <c r="AD562" s="147"/>
      <c r="AE562" s="147"/>
      <c r="AF562" s="147"/>
      <c r="AG562" s="147"/>
      <c r="AH562" s="147"/>
      <c r="AI562" s="147"/>
      <c r="AJ562" s="147"/>
      <c r="AK562" s="147"/>
      <c r="AL562" s="147"/>
      <c r="AM562" s="151"/>
      <c r="AN562" s="147"/>
      <c r="AO562" s="147"/>
      <c r="AP562" s="147"/>
      <c r="AQ562" s="147"/>
      <c r="AR562" s="147"/>
      <c r="AS562" s="147"/>
      <c r="AT562" s="147"/>
      <c r="AU562" s="147"/>
      <c r="AV562" s="147"/>
      <c r="AW562" s="147"/>
      <c r="AX562" s="147"/>
      <c r="AY562" s="147"/>
      <c r="AZ562" s="147"/>
      <c r="BA562" s="147"/>
      <c r="BB562" s="147"/>
      <c r="BC562" s="147"/>
      <c r="BD562" s="147"/>
      <c r="BE562" s="147"/>
      <c r="BF562" s="147"/>
      <c r="BG562" s="147"/>
      <c r="BH562" s="147"/>
      <c r="BI562" s="147"/>
      <c r="BJ562" s="147"/>
      <c r="BK562" s="147"/>
      <c r="BL562" s="147"/>
      <c r="BM562" s="147"/>
      <c r="BN562" s="147"/>
      <c r="BO562" s="147"/>
      <c r="BP562" s="147"/>
      <c r="BQ562" s="147"/>
      <c r="BR562" s="147"/>
      <c r="BS562" s="147"/>
      <c r="BT562" s="147"/>
      <c r="BU562" s="147"/>
      <c r="BV562" s="147"/>
      <c r="BW562" s="147"/>
      <c r="BX562" s="147"/>
      <c r="BY562" s="147"/>
      <c r="BZ562" s="147"/>
      <c r="CA562" s="147"/>
      <c r="CB562" s="147"/>
      <c r="CC562" s="147"/>
      <c r="CD562" s="147"/>
      <c r="CE562" s="147"/>
      <c r="CF562" s="147"/>
      <c r="CG562" s="147"/>
      <c r="CH562" s="147"/>
      <c r="CI562" s="147"/>
      <c r="CJ562" s="147"/>
      <c r="CK562" s="147"/>
    </row>
    <row r="563" spans="1:89">
      <c r="A563" s="157"/>
      <c r="F563" s="3"/>
      <c r="G563" s="3"/>
      <c r="L563" s="157"/>
      <c r="M563" s="157"/>
      <c r="O563" s="147"/>
      <c r="P563" s="147"/>
      <c r="Q563" s="147"/>
      <c r="R563" s="147"/>
      <c r="S563" s="147"/>
      <c r="T563" s="147"/>
      <c r="U563" s="147"/>
      <c r="V563" s="147"/>
      <c r="W563" s="147"/>
      <c r="X563" s="147"/>
      <c r="Y563" s="147"/>
      <c r="Z563" s="147"/>
      <c r="AA563" s="147"/>
      <c r="AB563" s="147"/>
      <c r="AC563" s="147"/>
      <c r="AD563" s="147"/>
      <c r="AE563" s="147"/>
      <c r="AF563" s="147"/>
      <c r="AG563" s="147"/>
      <c r="AH563" s="147"/>
      <c r="AI563" s="147"/>
      <c r="AJ563" s="147"/>
      <c r="AK563" s="147"/>
      <c r="AL563" s="147"/>
      <c r="AM563" s="151"/>
      <c r="AN563" s="147"/>
      <c r="AO563" s="147"/>
      <c r="AP563" s="147"/>
      <c r="AQ563" s="147"/>
      <c r="AR563" s="147"/>
      <c r="AS563" s="147"/>
      <c r="AT563" s="147"/>
      <c r="AU563" s="147"/>
      <c r="AV563" s="147"/>
      <c r="AW563" s="147"/>
      <c r="AX563" s="147"/>
      <c r="AY563" s="147"/>
      <c r="AZ563" s="147"/>
      <c r="BA563" s="147"/>
      <c r="BB563" s="147"/>
      <c r="BC563" s="147"/>
      <c r="BD563" s="147"/>
      <c r="BE563" s="147"/>
      <c r="BF563" s="147"/>
      <c r="BG563" s="147"/>
      <c r="BH563" s="147"/>
      <c r="BI563" s="147"/>
      <c r="BJ563" s="147"/>
      <c r="BK563" s="147"/>
      <c r="BL563" s="147"/>
      <c r="BM563" s="147"/>
      <c r="BN563" s="147"/>
      <c r="BO563" s="147"/>
      <c r="BP563" s="147"/>
      <c r="BQ563" s="147"/>
      <c r="BR563" s="147"/>
      <c r="BS563" s="147"/>
      <c r="BT563" s="147"/>
      <c r="BU563" s="147"/>
      <c r="BV563" s="147"/>
      <c r="BW563" s="147"/>
      <c r="BX563" s="147"/>
      <c r="BY563" s="147"/>
      <c r="BZ563" s="147"/>
      <c r="CA563" s="147"/>
      <c r="CB563" s="147"/>
      <c r="CC563" s="147"/>
      <c r="CD563" s="147"/>
      <c r="CE563" s="147"/>
      <c r="CF563" s="147"/>
      <c r="CG563" s="147"/>
      <c r="CH563" s="147"/>
      <c r="CI563" s="147"/>
      <c r="CJ563" s="147"/>
      <c r="CK563" s="147"/>
    </row>
    <row r="564" spans="1:89">
      <c r="A564" s="157"/>
      <c r="F564" s="3"/>
      <c r="G564" s="3"/>
      <c r="L564" s="157"/>
      <c r="M564" s="157"/>
      <c r="O564" s="147"/>
      <c r="P564" s="147"/>
      <c r="Q564" s="147"/>
      <c r="R564" s="147"/>
      <c r="S564" s="147"/>
      <c r="T564" s="147"/>
      <c r="U564" s="147"/>
      <c r="V564" s="147"/>
      <c r="W564" s="147"/>
      <c r="X564" s="147"/>
      <c r="Y564" s="147"/>
      <c r="Z564" s="147"/>
      <c r="AA564" s="147"/>
      <c r="AB564" s="147"/>
      <c r="AC564" s="147"/>
      <c r="AD564" s="147"/>
      <c r="AE564" s="147"/>
      <c r="AF564" s="147"/>
      <c r="AG564" s="147"/>
      <c r="AH564" s="147"/>
      <c r="AI564" s="147"/>
      <c r="AJ564" s="147"/>
      <c r="AK564" s="147"/>
      <c r="AL564" s="147"/>
      <c r="AM564" s="151"/>
      <c r="AN564" s="147"/>
      <c r="AO564" s="147"/>
      <c r="AP564" s="147"/>
      <c r="AQ564" s="147"/>
      <c r="AR564" s="147"/>
      <c r="AS564" s="147"/>
      <c r="AT564" s="147"/>
      <c r="AU564" s="147"/>
      <c r="AV564" s="147"/>
      <c r="AW564" s="147"/>
      <c r="AX564" s="147"/>
      <c r="AY564" s="147"/>
      <c r="AZ564" s="147"/>
      <c r="BA564" s="147"/>
      <c r="BB564" s="147"/>
      <c r="BC564" s="147"/>
      <c r="BD564" s="147"/>
      <c r="BE564" s="147"/>
      <c r="BF564" s="147"/>
      <c r="BG564" s="147"/>
      <c r="BH564" s="147"/>
      <c r="BI564" s="147"/>
      <c r="BJ564" s="147"/>
      <c r="BK564" s="147"/>
      <c r="BL564" s="147"/>
      <c r="BM564" s="147"/>
      <c r="BN564" s="147"/>
      <c r="BO564" s="147"/>
      <c r="BP564" s="147"/>
      <c r="BQ564" s="147"/>
      <c r="BR564" s="147"/>
      <c r="BS564" s="147"/>
      <c r="BT564" s="147"/>
      <c r="BU564" s="147"/>
      <c r="BV564" s="147"/>
      <c r="BW564" s="147"/>
      <c r="BX564" s="147"/>
      <c r="BY564" s="147"/>
      <c r="BZ564" s="147"/>
      <c r="CA564" s="147"/>
      <c r="CB564" s="147"/>
      <c r="CC564" s="147"/>
      <c r="CD564" s="147"/>
      <c r="CE564" s="147"/>
      <c r="CF564" s="147"/>
      <c r="CG564" s="147"/>
      <c r="CH564" s="147"/>
      <c r="CI564" s="147"/>
      <c r="CJ564" s="147"/>
      <c r="CK564" s="147"/>
    </row>
    <row r="565" spans="1:89">
      <c r="A565" s="157"/>
      <c r="F565" s="3"/>
      <c r="G565" s="3"/>
      <c r="L565" s="157"/>
      <c r="M565" s="157"/>
      <c r="O565" s="147"/>
      <c r="P565" s="147"/>
      <c r="Q565" s="147"/>
      <c r="R565" s="147"/>
      <c r="S565" s="147"/>
      <c r="T565" s="147"/>
      <c r="U565" s="147"/>
      <c r="V565" s="147"/>
      <c r="W565" s="147"/>
      <c r="X565" s="147"/>
      <c r="Y565" s="147"/>
      <c r="Z565" s="147"/>
      <c r="AA565" s="147"/>
      <c r="AB565" s="147"/>
      <c r="AC565" s="147"/>
      <c r="AD565" s="147"/>
      <c r="AE565" s="147"/>
      <c r="AF565" s="147"/>
      <c r="AG565" s="147"/>
      <c r="AH565" s="147"/>
      <c r="AI565" s="147"/>
      <c r="AJ565" s="147"/>
      <c r="AK565" s="147"/>
      <c r="AL565" s="147"/>
      <c r="AM565" s="151"/>
      <c r="AN565" s="147"/>
      <c r="AO565" s="147"/>
      <c r="AP565" s="147"/>
      <c r="AQ565" s="147"/>
      <c r="AR565" s="147"/>
      <c r="AS565" s="147"/>
      <c r="AT565" s="147"/>
      <c r="AU565" s="147"/>
      <c r="AV565" s="147"/>
      <c r="AW565" s="147"/>
      <c r="AX565" s="147"/>
      <c r="AY565" s="147"/>
      <c r="AZ565" s="147"/>
      <c r="BA565" s="147"/>
      <c r="BB565" s="147"/>
      <c r="BC565" s="147"/>
      <c r="BD565" s="147"/>
      <c r="BE565" s="147"/>
      <c r="BF565" s="147"/>
      <c r="BG565" s="147"/>
      <c r="BH565" s="147"/>
      <c r="BI565" s="147"/>
      <c r="BJ565" s="147"/>
      <c r="BK565" s="147"/>
      <c r="BL565" s="147"/>
      <c r="BM565" s="147"/>
      <c r="BN565" s="147"/>
      <c r="BO565" s="147"/>
      <c r="BP565" s="147"/>
      <c r="BQ565" s="147"/>
      <c r="BR565" s="147"/>
      <c r="BS565" s="147"/>
      <c r="BT565" s="147"/>
      <c r="BU565" s="147"/>
      <c r="BV565" s="147"/>
      <c r="BW565" s="147"/>
      <c r="BX565" s="147"/>
      <c r="BY565" s="147"/>
      <c r="BZ565" s="147"/>
      <c r="CA565" s="147"/>
      <c r="CB565" s="147"/>
      <c r="CC565" s="147"/>
      <c r="CD565" s="147"/>
      <c r="CE565" s="147"/>
      <c r="CF565" s="147"/>
      <c r="CG565" s="147"/>
      <c r="CH565" s="147"/>
      <c r="CI565" s="147"/>
      <c r="CJ565" s="147"/>
      <c r="CK565" s="147"/>
    </row>
    <row r="566" spans="1:89">
      <c r="A566" s="157"/>
      <c r="F566" s="3"/>
      <c r="G566" s="3"/>
      <c r="L566" s="157"/>
      <c r="M566" s="157"/>
      <c r="O566" s="147"/>
      <c r="P566" s="147"/>
      <c r="Q566" s="147"/>
      <c r="R566" s="147"/>
      <c r="S566" s="147"/>
      <c r="T566" s="147"/>
      <c r="U566" s="147"/>
      <c r="V566" s="147"/>
      <c r="W566" s="147"/>
      <c r="X566" s="147"/>
      <c r="Y566" s="147"/>
      <c r="Z566" s="147"/>
      <c r="AA566" s="147"/>
      <c r="AB566" s="147"/>
      <c r="AC566" s="147"/>
      <c r="AD566" s="147"/>
      <c r="AE566" s="147"/>
      <c r="AF566" s="147"/>
      <c r="AG566" s="147"/>
      <c r="AH566" s="147"/>
      <c r="AI566" s="147"/>
      <c r="AJ566" s="147"/>
      <c r="AK566" s="147"/>
      <c r="AL566" s="147"/>
      <c r="AM566" s="151"/>
      <c r="AN566" s="147"/>
      <c r="AO566" s="147"/>
      <c r="AP566" s="147"/>
      <c r="AQ566" s="147"/>
      <c r="AR566" s="147"/>
      <c r="AS566" s="147"/>
      <c r="AT566" s="147"/>
      <c r="AU566" s="147"/>
      <c r="AV566" s="147"/>
      <c r="AW566" s="147"/>
      <c r="AX566" s="147"/>
      <c r="AY566" s="147"/>
      <c r="AZ566" s="147"/>
      <c r="BA566" s="147"/>
      <c r="BB566" s="147"/>
      <c r="BC566" s="147"/>
      <c r="BD566" s="147"/>
      <c r="BE566" s="147"/>
      <c r="BF566" s="147"/>
      <c r="BG566" s="147"/>
      <c r="BH566" s="147"/>
      <c r="BI566" s="147"/>
      <c r="BJ566" s="147"/>
      <c r="BK566" s="147"/>
      <c r="BL566" s="147"/>
      <c r="BM566" s="147"/>
      <c r="BN566" s="147"/>
      <c r="BO566" s="147"/>
      <c r="BP566" s="147"/>
      <c r="BQ566" s="147"/>
      <c r="BR566" s="147"/>
      <c r="BS566" s="147"/>
      <c r="BT566" s="147"/>
      <c r="BU566" s="147"/>
      <c r="BV566" s="147"/>
      <c r="BW566" s="147"/>
      <c r="BX566" s="147"/>
      <c r="BY566" s="147"/>
      <c r="BZ566" s="147"/>
      <c r="CA566" s="147"/>
      <c r="CB566" s="147"/>
      <c r="CC566" s="147"/>
      <c r="CD566" s="147"/>
      <c r="CE566" s="147"/>
      <c r="CF566" s="147"/>
      <c r="CG566" s="147"/>
      <c r="CH566" s="147"/>
      <c r="CI566" s="147"/>
      <c r="CJ566" s="147"/>
      <c r="CK566" s="147"/>
    </row>
    <row r="567" spans="1:89">
      <c r="A567" s="157"/>
      <c r="F567" s="3"/>
      <c r="G567" s="3"/>
      <c r="L567" s="157"/>
      <c r="M567" s="157"/>
      <c r="O567" s="147"/>
      <c r="P567" s="147"/>
      <c r="Q567" s="147"/>
      <c r="R567" s="147"/>
      <c r="S567" s="147"/>
      <c r="T567" s="147"/>
      <c r="U567" s="147"/>
      <c r="V567" s="147"/>
      <c r="W567" s="147"/>
      <c r="X567" s="147"/>
      <c r="Y567" s="147"/>
      <c r="Z567" s="147"/>
      <c r="AA567" s="147"/>
      <c r="AB567" s="147"/>
      <c r="AC567" s="147"/>
      <c r="AD567" s="147"/>
      <c r="AE567" s="147"/>
      <c r="AF567" s="147"/>
      <c r="AG567" s="147"/>
      <c r="AH567" s="147"/>
      <c r="AI567" s="147"/>
      <c r="AJ567" s="147"/>
      <c r="AK567" s="147"/>
      <c r="AL567" s="147"/>
      <c r="AM567" s="151"/>
      <c r="AN567" s="147"/>
      <c r="AO567" s="147"/>
      <c r="AP567" s="147"/>
      <c r="AQ567" s="147"/>
      <c r="AR567" s="147"/>
      <c r="AS567" s="147"/>
      <c r="AT567" s="147"/>
      <c r="AU567" s="147"/>
      <c r="AV567" s="147"/>
      <c r="AW567" s="147"/>
      <c r="AX567" s="147"/>
      <c r="AY567" s="147"/>
      <c r="AZ567" s="147"/>
      <c r="BA567" s="147"/>
      <c r="BB567" s="147"/>
      <c r="BC567" s="147"/>
      <c r="BD567" s="147"/>
      <c r="BE567" s="147"/>
      <c r="BF567" s="147"/>
      <c r="BG567" s="147"/>
      <c r="BH567" s="147"/>
      <c r="BI567" s="147"/>
      <c r="BJ567" s="147"/>
      <c r="BK567" s="147"/>
      <c r="BL567" s="147"/>
      <c r="BM567" s="147"/>
      <c r="BN567" s="147"/>
      <c r="BO567" s="147"/>
      <c r="BP567" s="147"/>
      <c r="BQ567" s="147"/>
      <c r="BR567" s="147"/>
      <c r="BS567" s="147"/>
      <c r="BT567" s="147"/>
      <c r="BU567" s="147"/>
      <c r="BV567" s="147"/>
      <c r="BW567" s="147"/>
      <c r="BX567" s="147"/>
      <c r="BY567" s="147"/>
      <c r="BZ567" s="147"/>
      <c r="CA567" s="147"/>
      <c r="CB567" s="147"/>
      <c r="CC567" s="147"/>
      <c r="CD567" s="147"/>
      <c r="CE567" s="147"/>
      <c r="CF567" s="147"/>
      <c r="CG567" s="147"/>
      <c r="CH567" s="147"/>
      <c r="CI567" s="147"/>
      <c r="CJ567" s="147"/>
      <c r="CK567" s="147"/>
    </row>
    <row r="568" spans="1:89">
      <c r="A568" s="157"/>
      <c r="F568" s="3"/>
      <c r="G568" s="3"/>
      <c r="L568" s="157"/>
      <c r="M568" s="157"/>
      <c r="O568" s="147"/>
      <c r="P568" s="147"/>
      <c r="Q568" s="147"/>
      <c r="R568" s="147"/>
      <c r="S568" s="147"/>
      <c r="T568" s="147"/>
      <c r="U568" s="147"/>
      <c r="V568" s="147"/>
      <c r="W568" s="147"/>
      <c r="X568" s="147"/>
      <c r="Y568" s="147"/>
      <c r="Z568" s="147"/>
      <c r="AA568" s="147"/>
      <c r="AB568" s="147"/>
      <c r="AC568" s="147"/>
      <c r="AD568" s="147"/>
      <c r="AE568" s="147"/>
      <c r="AF568" s="147"/>
      <c r="AG568" s="147"/>
      <c r="AH568" s="147"/>
      <c r="AI568" s="147"/>
      <c r="AJ568" s="147"/>
      <c r="AK568" s="147"/>
      <c r="AL568" s="147"/>
      <c r="AM568" s="151"/>
      <c r="AN568" s="147"/>
      <c r="AO568" s="147"/>
      <c r="AP568" s="147"/>
      <c r="AQ568" s="147"/>
      <c r="AR568" s="147"/>
      <c r="AS568" s="147"/>
      <c r="AT568" s="147"/>
      <c r="AU568" s="147"/>
      <c r="AV568" s="147"/>
      <c r="AW568" s="147"/>
      <c r="AX568" s="147"/>
      <c r="AY568" s="147"/>
      <c r="AZ568" s="147"/>
      <c r="BA568" s="147"/>
      <c r="BB568" s="147"/>
      <c r="BC568" s="147"/>
      <c r="BD568" s="147"/>
      <c r="BE568" s="147"/>
      <c r="BF568" s="147"/>
      <c r="BG568" s="147"/>
      <c r="BH568" s="147"/>
      <c r="BI568" s="147"/>
      <c r="BJ568" s="147"/>
      <c r="BK568" s="147"/>
      <c r="BL568" s="147"/>
      <c r="BM568" s="147"/>
      <c r="BN568" s="147"/>
      <c r="BO568" s="147"/>
      <c r="BP568" s="147"/>
      <c r="BQ568" s="147"/>
      <c r="BR568" s="147"/>
      <c r="BS568" s="147"/>
      <c r="BT568" s="147"/>
      <c r="BU568" s="147"/>
      <c r="BV568" s="147"/>
      <c r="BW568" s="147"/>
      <c r="BX568" s="147"/>
      <c r="BY568" s="147"/>
      <c r="BZ568" s="147"/>
      <c r="CA568" s="147"/>
      <c r="CB568" s="147"/>
      <c r="CC568" s="147"/>
      <c r="CD568" s="147"/>
      <c r="CE568" s="147"/>
      <c r="CF568" s="147"/>
      <c r="CG568" s="147"/>
      <c r="CH568" s="147"/>
      <c r="CI568" s="147"/>
      <c r="CJ568" s="147"/>
      <c r="CK568" s="147"/>
    </row>
    <row r="569" spans="1:89">
      <c r="A569" s="157"/>
      <c r="F569" s="3"/>
      <c r="G569" s="3"/>
      <c r="L569" s="157"/>
      <c r="M569" s="157"/>
      <c r="O569" s="147"/>
      <c r="P569" s="147"/>
      <c r="Q569" s="147"/>
      <c r="R569" s="147"/>
      <c r="S569" s="147"/>
      <c r="T569" s="147"/>
      <c r="U569" s="147"/>
      <c r="V569" s="147"/>
      <c r="W569" s="147"/>
      <c r="X569" s="147"/>
      <c r="Y569" s="147"/>
      <c r="Z569" s="147"/>
      <c r="AA569" s="147"/>
      <c r="AB569" s="147"/>
      <c r="AC569" s="147"/>
      <c r="AD569" s="147"/>
      <c r="AE569" s="147"/>
      <c r="AF569" s="147"/>
      <c r="AG569" s="147"/>
      <c r="AH569" s="147"/>
      <c r="AI569" s="147"/>
      <c r="AJ569" s="147"/>
      <c r="AK569" s="147"/>
      <c r="AL569" s="147"/>
      <c r="AM569" s="151"/>
      <c r="AN569" s="147"/>
      <c r="AO569" s="147"/>
      <c r="AP569" s="147"/>
      <c r="AQ569" s="147"/>
      <c r="AR569" s="147"/>
      <c r="AS569" s="147"/>
      <c r="AT569" s="147"/>
      <c r="AU569" s="147"/>
      <c r="AV569" s="147"/>
      <c r="AW569" s="147"/>
      <c r="AX569" s="147"/>
      <c r="AY569" s="147"/>
      <c r="AZ569" s="147"/>
      <c r="BA569" s="147"/>
      <c r="BB569" s="147"/>
      <c r="BC569" s="147"/>
      <c r="BD569" s="147"/>
      <c r="BE569" s="147"/>
      <c r="BF569" s="147"/>
      <c r="BG569" s="147"/>
      <c r="BH569" s="147"/>
      <c r="BI569" s="147"/>
      <c r="BJ569" s="147"/>
      <c r="BK569" s="147"/>
      <c r="BL569" s="147"/>
      <c r="BM569" s="147"/>
      <c r="BN569" s="147"/>
      <c r="BO569" s="147"/>
      <c r="BP569" s="147"/>
      <c r="BQ569" s="147"/>
      <c r="BR569" s="147"/>
      <c r="BS569" s="147"/>
      <c r="BT569" s="147"/>
      <c r="BU569" s="147"/>
      <c r="BV569" s="147"/>
      <c r="BW569" s="147"/>
      <c r="BX569" s="147"/>
      <c r="BY569" s="147"/>
      <c r="BZ569" s="147"/>
      <c r="CA569" s="147"/>
      <c r="CB569" s="147"/>
      <c r="CC569" s="147"/>
      <c r="CD569" s="147"/>
      <c r="CE569" s="147"/>
      <c r="CF569" s="147"/>
      <c r="CG569" s="147"/>
      <c r="CH569" s="147"/>
      <c r="CI569" s="147"/>
      <c r="CJ569" s="147"/>
      <c r="CK569" s="147"/>
    </row>
    <row r="570" spans="1:89">
      <c r="A570" s="157"/>
      <c r="F570" s="3"/>
      <c r="G570" s="3"/>
      <c r="L570" s="157"/>
      <c r="M570" s="157"/>
      <c r="O570" s="147"/>
      <c r="P570" s="147"/>
      <c r="Q570" s="147"/>
      <c r="R570" s="147"/>
      <c r="S570" s="147"/>
      <c r="T570" s="147"/>
      <c r="U570" s="147"/>
      <c r="V570" s="147"/>
      <c r="W570" s="147"/>
      <c r="X570" s="147"/>
      <c r="Y570" s="147"/>
      <c r="Z570" s="147"/>
      <c r="AA570" s="147"/>
      <c r="AB570" s="147"/>
      <c r="AC570" s="147"/>
      <c r="AD570" s="147"/>
      <c r="AE570" s="147"/>
      <c r="AF570" s="147"/>
      <c r="AG570" s="147"/>
      <c r="AH570" s="147"/>
      <c r="AI570" s="147"/>
      <c r="AJ570" s="147"/>
      <c r="AK570" s="147"/>
      <c r="AL570" s="147"/>
      <c r="AM570" s="151"/>
      <c r="AN570" s="147"/>
      <c r="AO570" s="147"/>
      <c r="AP570" s="147"/>
      <c r="AQ570" s="147"/>
      <c r="AR570" s="147"/>
      <c r="AS570" s="147"/>
      <c r="AT570" s="147"/>
      <c r="AU570" s="147"/>
      <c r="AV570" s="147"/>
      <c r="AW570" s="147"/>
      <c r="AX570" s="147"/>
      <c r="AY570" s="147"/>
      <c r="AZ570" s="147"/>
      <c r="BA570" s="147"/>
      <c r="BB570" s="147"/>
      <c r="BC570" s="147"/>
      <c r="BD570" s="147"/>
      <c r="BE570" s="147"/>
      <c r="BF570" s="147"/>
      <c r="BG570" s="147"/>
      <c r="BH570" s="147"/>
      <c r="BI570" s="147"/>
      <c r="BJ570" s="147"/>
      <c r="BK570" s="147"/>
      <c r="BL570" s="147"/>
      <c r="BM570" s="147"/>
      <c r="BN570" s="147"/>
      <c r="BO570" s="147"/>
      <c r="BP570" s="147"/>
      <c r="BQ570" s="147"/>
      <c r="BR570" s="147"/>
      <c r="BS570" s="147"/>
      <c r="BT570" s="147"/>
      <c r="BU570" s="147"/>
      <c r="BV570" s="147"/>
      <c r="BW570" s="147"/>
      <c r="BX570" s="147"/>
      <c r="BY570" s="147"/>
      <c r="BZ570" s="147"/>
      <c r="CA570" s="147"/>
      <c r="CB570" s="147"/>
      <c r="CC570" s="147"/>
      <c r="CD570" s="147"/>
      <c r="CE570" s="147"/>
      <c r="CF570" s="147"/>
      <c r="CG570" s="147"/>
      <c r="CH570" s="147"/>
      <c r="CI570" s="147"/>
      <c r="CJ570" s="147"/>
      <c r="CK570" s="147"/>
    </row>
    <row r="571" spans="1:89">
      <c r="A571" s="157"/>
      <c r="F571" s="3"/>
      <c r="G571" s="3"/>
      <c r="L571" s="157"/>
      <c r="M571" s="157"/>
      <c r="O571" s="147"/>
      <c r="P571" s="147"/>
      <c r="Q571" s="147"/>
      <c r="R571" s="147"/>
      <c r="S571" s="147"/>
      <c r="T571" s="147"/>
      <c r="U571" s="147"/>
      <c r="V571" s="147"/>
      <c r="W571" s="147"/>
      <c r="X571" s="147"/>
      <c r="Y571" s="147"/>
      <c r="Z571" s="147"/>
      <c r="AA571" s="147"/>
      <c r="AB571" s="147"/>
      <c r="AC571" s="147"/>
      <c r="AD571" s="147"/>
      <c r="AE571" s="147"/>
      <c r="AF571" s="147"/>
      <c r="AG571" s="147"/>
      <c r="AH571" s="147"/>
      <c r="AI571" s="147"/>
      <c r="AJ571" s="147"/>
      <c r="AK571" s="147"/>
      <c r="AL571" s="147"/>
      <c r="AM571" s="151"/>
      <c r="AN571" s="147"/>
      <c r="AO571" s="147"/>
      <c r="AP571" s="147"/>
      <c r="AQ571" s="147"/>
      <c r="AR571" s="147"/>
      <c r="AS571" s="147"/>
      <c r="AT571" s="147"/>
      <c r="AU571" s="147"/>
      <c r="AV571" s="147"/>
      <c r="AW571" s="147"/>
      <c r="AX571" s="147"/>
      <c r="AY571" s="147"/>
      <c r="AZ571" s="147"/>
      <c r="BA571" s="147"/>
      <c r="BB571" s="147"/>
      <c r="BC571" s="147"/>
      <c r="BD571" s="147"/>
      <c r="BE571" s="147"/>
      <c r="BF571" s="147"/>
      <c r="BG571" s="147"/>
      <c r="BH571" s="147"/>
      <c r="BI571" s="147"/>
      <c r="BJ571" s="147"/>
      <c r="BK571" s="147"/>
      <c r="BL571" s="147"/>
      <c r="BM571" s="147"/>
      <c r="BN571" s="147"/>
      <c r="BO571" s="147"/>
      <c r="BP571" s="147"/>
      <c r="BQ571" s="147"/>
      <c r="BR571" s="147"/>
      <c r="BS571" s="147"/>
      <c r="BT571" s="147"/>
      <c r="BU571" s="147"/>
      <c r="BV571" s="147"/>
      <c r="BW571" s="147"/>
      <c r="BX571" s="147"/>
      <c r="BY571" s="147"/>
      <c r="BZ571" s="147"/>
      <c r="CA571" s="147"/>
      <c r="CB571" s="147"/>
      <c r="CC571" s="147"/>
      <c r="CD571" s="147"/>
      <c r="CE571" s="147"/>
      <c r="CF571" s="147"/>
      <c r="CG571" s="147"/>
      <c r="CH571" s="147"/>
      <c r="CI571" s="147"/>
      <c r="CJ571" s="147"/>
      <c r="CK571" s="147"/>
    </row>
    <row r="572" spans="1:89">
      <c r="A572" s="157"/>
      <c r="F572" s="3"/>
      <c r="G572" s="3"/>
      <c r="L572" s="157"/>
      <c r="M572" s="157"/>
      <c r="O572" s="147"/>
      <c r="P572" s="147"/>
      <c r="Q572" s="147"/>
      <c r="R572" s="147"/>
      <c r="S572" s="147"/>
      <c r="T572" s="147"/>
      <c r="U572" s="147"/>
      <c r="V572" s="147"/>
      <c r="W572" s="147"/>
      <c r="X572" s="147"/>
      <c r="Y572" s="147"/>
      <c r="Z572" s="147"/>
      <c r="AA572" s="147"/>
      <c r="AB572" s="147"/>
      <c r="AC572" s="147"/>
      <c r="AD572" s="147"/>
      <c r="AE572" s="147"/>
      <c r="AF572" s="147"/>
      <c r="AG572" s="147"/>
      <c r="AH572" s="147"/>
      <c r="AI572" s="147"/>
      <c r="AJ572" s="147"/>
      <c r="AK572" s="147"/>
      <c r="AL572" s="147"/>
      <c r="AM572" s="151"/>
      <c r="AN572" s="147"/>
      <c r="AO572" s="147"/>
      <c r="AP572" s="147"/>
      <c r="AQ572" s="147"/>
      <c r="AR572" s="147"/>
      <c r="AS572" s="147"/>
      <c r="AT572" s="147"/>
      <c r="AU572" s="147"/>
      <c r="AV572" s="147"/>
      <c r="AW572" s="147"/>
      <c r="AX572" s="147"/>
      <c r="AY572" s="147"/>
      <c r="AZ572" s="147"/>
      <c r="BA572" s="147"/>
      <c r="BB572" s="147"/>
      <c r="BC572" s="147"/>
      <c r="BD572" s="147"/>
      <c r="BE572" s="147"/>
      <c r="BF572" s="147"/>
      <c r="BG572" s="147"/>
      <c r="BH572" s="147"/>
      <c r="BI572" s="147"/>
      <c r="BJ572" s="147"/>
      <c r="BK572" s="147"/>
      <c r="BL572" s="147"/>
      <c r="BM572" s="147"/>
      <c r="BN572" s="147"/>
      <c r="BO572" s="147"/>
      <c r="BP572" s="147"/>
      <c r="BQ572" s="147"/>
      <c r="BR572" s="147"/>
      <c r="BS572" s="147"/>
      <c r="BT572" s="147"/>
      <c r="BU572" s="147"/>
      <c r="BV572" s="147"/>
      <c r="BW572" s="147"/>
      <c r="BX572" s="147"/>
      <c r="BY572" s="147"/>
      <c r="BZ572" s="147"/>
      <c r="CA572" s="147"/>
      <c r="CB572" s="147"/>
      <c r="CC572" s="147"/>
      <c r="CD572" s="147"/>
      <c r="CE572" s="147"/>
      <c r="CF572" s="147"/>
      <c r="CG572" s="147"/>
      <c r="CH572" s="147"/>
      <c r="CI572" s="147"/>
      <c r="CJ572" s="147"/>
      <c r="CK572" s="147"/>
    </row>
    <row r="573" spans="1:89">
      <c r="A573" s="157"/>
      <c r="F573" s="3"/>
      <c r="G573" s="3"/>
      <c r="L573" s="157"/>
      <c r="M573" s="157"/>
      <c r="O573" s="147"/>
      <c r="P573" s="147"/>
      <c r="Q573" s="147"/>
      <c r="R573" s="147"/>
      <c r="S573" s="147"/>
      <c r="T573" s="147"/>
      <c r="U573" s="147"/>
      <c r="V573" s="147"/>
      <c r="W573" s="147"/>
      <c r="X573" s="147"/>
      <c r="Y573" s="147"/>
      <c r="Z573" s="147"/>
      <c r="AA573" s="147"/>
      <c r="AB573" s="147"/>
      <c r="AC573" s="147"/>
      <c r="AD573" s="147"/>
      <c r="AE573" s="147"/>
      <c r="AF573" s="147"/>
      <c r="AG573" s="147"/>
      <c r="AH573" s="147"/>
      <c r="AI573" s="147"/>
      <c r="AJ573" s="147"/>
      <c r="AK573" s="147"/>
      <c r="AL573" s="147"/>
      <c r="AM573" s="151"/>
      <c r="AN573" s="147"/>
      <c r="AO573" s="147"/>
      <c r="AP573" s="147"/>
      <c r="AQ573" s="147"/>
      <c r="AR573" s="147"/>
      <c r="AS573" s="147"/>
      <c r="AT573" s="147"/>
      <c r="AU573" s="147"/>
      <c r="AV573" s="147"/>
      <c r="AW573" s="147"/>
      <c r="AX573" s="147"/>
      <c r="AY573" s="147"/>
      <c r="AZ573" s="147"/>
      <c r="BA573" s="147"/>
      <c r="BB573" s="147"/>
      <c r="BC573" s="147"/>
      <c r="BD573" s="147"/>
      <c r="BE573" s="147"/>
      <c r="BF573" s="147"/>
      <c r="BG573" s="147"/>
      <c r="BH573" s="147"/>
      <c r="BI573" s="147"/>
      <c r="BJ573" s="147"/>
      <c r="BK573" s="147"/>
      <c r="BL573" s="147"/>
      <c r="BM573" s="147"/>
      <c r="BN573" s="147"/>
      <c r="BO573" s="147"/>
      <c r="BP573" s="147"/>
      <c r="BQ573" s="147"/>
      <c r="BR573" s="147"/>
      <c r="BS573" s="147"/>
      <c r="BT573" s="147"/>
      <c r="BU573" s="147"/>
      <c r="BV573" s="147"/>
      <c r="BW573" s="147"/>
      <c r="BX573" s="147"/>
      <c r="BY573" s="147"/>
      <c r="BZ573" s="147"/>
      <c r="CA573" s="147"/>
      <c r="CB573" s="147"/>
      <c r="CC573" s="147"/>
      <c r="CD573" s="147"/>
      <c r="CE573" s="147"/>
      <c r="CF573" s="147"/>
      <c r="CG573" s="147"/>
      <c r="CH573" s="147"/>
      <c r="CI573" s="147"/>
      <c r="CJ573" s="147"/>
      <c r="CK573" s="147"/>
    </row>
    <row r="574" spans="1:89">
      <c r="A574" s="157"/>
      <c r="F574" s="3"/>
      <c r="G574" s="3"/>
      <c r="L574" s="157"/>
      <c r="M574" s="157"/>
      <c r="O574" s="147"/>
      <c r="P574" s="147"/>
      <c r="Q574" s="147"/>
      <c r="R574" s="147"/>
      <c r="S574" s="147"/>
      <c r="T574" s="147"/>
      <c r="U574" s="147"/>
      <c r="V574" s="147"/>
      <c r="W574" s="147"/>
      <c r="X574" s="147"/>
      <c r="Y574" s="147"/>
      <c r="Z574" s="147"/>
      <c r="AA574" s="147"/>
      <c r="AB574" s="147"/>
      <c r="AC574" s="147"/>
      <c r="AD574" s="147"/>
      <c r="AE574" s="147"/>
      <c r="AF574" s="147"/>
      <c r="AG574" s="147"/>
      <c r="AH574" s="147"/>
      <c r="AI574" s="147"/>
      <c r="AJ574" s="147"/>
      <c r="AK574" s="147"/>
      <c r="AL574" s="147"/>
      <c r="AM574" s="151"/>
      <c r="AN574" s="147"/>
      <c r="AO574" s="147"/>
      <c r="AP574" s="147"/>
      <c r="AQ574" s="147"/>
      <c r="AR574" s="147"/>
      <c r="AS574" s="147"/>
      <c r="AT574" s="147"/>
      <c r="AU574" s="147"/>
      <c r="AV574" s="147"/>
      <c r="AW574" s="147"/>
      <c r="AX574" s="147"/>
      <c r="AY574" s="147"/>
      <c r="AZ574" s="147"/>
      <c r="BA574" s="147"/>
      <c r="BB574" s="147"/>
      <c r="BC574" s="147"/>
      <c r="BD574" s="147"/>
      <c r="BE574" s="147"/>
      <c r="BF574" s="147"/>
      <c r="BG574" s="147"/>
      <c r="BH574" s="147"/>
      <c r="BI574" s="147"/>
      <c r="BJ574" s="147"/>
      <c r="BK574" s="147"/>
      <c r="BL574" s="147"/>
      <c r="BM574" s="147"/>
      <c r="BN574" s="147"/>
      <c r="BO574" s="147"/>
      <c r="BP574" s="147"/>
      <c r="BQ574" s="147"/>
      <c r="BR574" s="147"/>
      <c r="BS574" s="147"/>
      <c r="BT574" s="147"/>
      <c r="BU574" s="147"/>
      <c r="BV574" s="147"/>
      <c r="BW574" s="147"/>
      <c r="BX574" s="147"/>
      <c r="BY574" s="147"/>
      <c r="BZ574" s="147"/>
      <c r="CA574" s="147"/>
      <c r="CB574" s="147"/>
      <c r="CC574" s="147"/>
      <c r="CD574" s="147"/>
      <c r="CE574" s="147"/>
      <c r="CF574" s="147"/>
      <c r="CG574" s="147"/>
      <c r="CH574" s="147"/>
      <c r="CI574" s="147"/>
      <c r="CJ574" s="147"/>
      <c r="CK574" s="147"/>
    </row>
    <row r="575" spans="1:89">
      <c r="A575" s="157"/>
      <c r="F575" s="3"/>
      <c r="G575" s="3"/>
      <c r="L575" s="157"/>
      <c r="M575" s="157"/>
      <c r="O575" s="147"/>
      <c r="P575" s="147"/>
      <c r="Q575" s="147"/>
      <c r="R575" s="147"/>
      <c r="S575" s="147"/>
      <c r="T575" s="147"/>
      <c r="U575" s="147"/>
      <c r="V575" s="147"/>
      <c r="W575" s="147"/>
      <c r="X575" s="147"/>
      <c r="Y575" s="147"/>
      <c r="Z575" s="147"/>
      <c r="AA575" s="147"/>
      <c r="AB575" s="147"/>
      <c r="AC575" s="147"/>
      <c r="AD575" s="147"/>
      <c r="AE575" s="147"/>
      <c r="AF575" s="147"/>
      <c r="AG575" s="147"/>
      <c r="AH575" s="147"/>
      <c r="AI575" s="147"/>
      <c r="AJ575" s="147"/>
      <c r="AK575" s="147"/>
      <c r="AL575" s="147"/>
      <c r="AM575" s="151"/>
      <c r="AN575" s="147"/>
      <c r="AO575" s="147"/>
      <c r="AP575" s="147"/>
      <c r="AQ575" s="147"/>
      <c r="AR575" s="147"/>
      <c r="AS575" s="147"/>
      <c r="AT575" s="147"/>
      <c r="AU575" s="147"/>
      <c r="AV575" s="147"/>
      <c r="AW575" s="147"/>
      <c r="AX575" s="147"/>
      <c r="AY575" s="147"/>
      <c r="AZ575" s="147"/>
      <c r="BA575" s="147"/>
      <c r="BB575" s="147"/>
      <c r="BC575" s="147"/>
      <c r="BD575" s="147"/>
      <c r="BE575" s="147"/>
      <c r="BF575" s="147"/>
      <c r="BG575" s="147"/>
      <c r="BH575" s="147"/>
      <c r="BI575" s="147"/>
      <c r="BJ575" s="147"/>
      <c r="BK575" s="147"/>
      <c r="BL575" s="147"/>
      <c r="BM575" s="147"/>
      <c r="BN575" s="147"/>
      <c r="BO575" s="147"/>
      <c r="BP575" s="147"/>
      <c r="BQ575" s="147"/>
      <c r="BR575" s="147"/>
      <c r="BS575" s="147"/>
      <c r="BT575" s="147"/>
      <c r="BU575" s="147"/>
      <c r="BV575" s="147"/>
      <c r="BW575" s="147"/>
      <c r="BX575" s="147"/>
      <c r="BY575" s="147"/>
      <c r="BZ575" s="147"/>
      <c r="CA575" s="147"/>
      <c r="CB575" s="147"/>
      <c r="CC575" s="147"/>
      <c r="CD575" s="147"/>
      <c r="CE575" s="147"/>
      <c r="CF575" s="147"/>
      <c r="CG575" s="147"/>
      <c r="CH575" s="147"/>
      <c r="CI575" s="147"/>
      <c r="CJ575" s="147"/>
      <c r="CK575" s="147"/>
    </row>
    <row r="576" spans="1:89">
      <c r="A576" s="157"/>
      <c r="F576" s="3"/>
      <c r="G576" s="3"/>
      <c r="L576" s="157"/>
      <c r="M576" s="157"/>
      <c r="O576" s="147"/>
      <c r="P576" s="147"/>
      <c r="Q576" s="147"/>
      <c r="R576" s="147"/>
      <c r="S576" s="147"/>
      <c r="T576" s="147"/>
      <c r="U576" s="147"/>
      <c r="V576" s="147"/>
      <c r="W576" s="147"/>
      <c r="X576" s="147"/>
      <c r="Y576" s="147"/>
      <c r="Z576" s="147"/>
      <c r="AA576" s="147"/>
      <c r="AB576" s="147"/>
      <c r="AC576" s="147"/>
      <c r="AD576" s="147"/>
      <c r="AE576" s="147"/>
      <c r="AF576" s="147"/>
      <c r="AG576" s="147"/>
      <c r="AH576" s="147"/>
      <c r="AI576" s="147"/>
      <c r="AJ576" s="147"/>
      <c r="AK576" s="147"/>
      <c r="AL576" s="147"/>
      <c r="AM576" s="151"/>
      <c r="AN576" s="147"/>
      <c r="AO576" s="147"/>
      <c r="AP576" s="147"/>
      <c r="AQ576" s="147"/>
      <c r="AR576" s="147"/>
      <c r="AS576" s="147"/>
      <c r="AT576" s="147"/>
      <c r="AU576" s="147"/>
      <c r="AV576" s="147"/>
      <c r="AW576" s="147"/>
      <c r="AX576" s="147"/>
      <c r="AY576" s="147"/>
      <c r="AZ576" s="147"/>
      <c r="BA576" s="147"/>
      <c r="BB576" s="147"/>
      <c r="BC576" s="147"/>
      <c r="BD576" s="147"/>
      <c r="BE576" s="147"/>
      <c r="BF576" s="147"/>
      <c r="BG576" s="147"/>
      <c r="BH576" s="147"/>
      <c r="BI576" s="147"/>
      <c r="BJ576" s="147"/>
      <c r="BK576" s="147"/>
      <c r="BL576" s="147"/>
      <c r="BM576" s="147"/>
      <c r="BN576" s="147"/>
      <c r="BO576" s="147"/>
      <c r="BP576" s="147"/>
      <c r="BQ576" s="147"/>
      <c r="BR576" s="147"/>
      <c r="BS576" s="147"/>
      <c r="BT576" s="147"/>
      <c r="BU576" s="147"/>
      <c r="BV576" s="147"/>
      <c r="BW576" s="147"/>
      <c r="BX576" s="147"/>
      <c r="BY576" s="147"/>
      <c r="BZ576" s="147"/>
      <c r="CA576" s="147"/>
      <c r="CB576" s="147"/>
      <c r="CC576" s="147"/>
      <c r="CD576" s="147"/>
      <c r="CE576" s="147"/>
      <c r="CF576" s="147"/>
      <c r="CG576" s="147"/>
      <c r="CH576" s="147"/>
      <c r="CI576" s="147"/>
      <c r="CJ576" s="147"/>
      <c r="CK576" s="147"/>
    </row>
    <row r="577" spans="1:89">
      <c r="A577" s="157"/>
      <c r="F577" s="3"/>
      <c r="G577" s="3"/>
      <c r="L577" s="157"/>
      <c r="M577" s="157"/>
      <c r="O577" s="147"/>
      <c r="P577" s="147"/>
      <c r="Q577" s="147"/>
      <c r="R577" s="147"/>
      <c r="S577" s="147"/>
      <c r="T577" s="147"/>
      <c r="U577" s="147"/>
      <c r="V577" s="147"/>
      <c r="W577" s="147"/>
      <c r="X577" s="147"/>
      <c r="Y577" s="147"/>
      <c r="Z577" s="147"/>
      <c r="AA577" s="147"/>
      <c r="AB577" s="147"/>
      <c r="AC577" s="147"/>
      <c r="AD577" s="147"/>
      <c r="AE577" s="147"/>
      <c r="AF577" s="147"/>
      <c r="AG577" s="147"/>
      <c r="AH577" s="147"/>
      <c r="AI577" s="147"/>
      <c r="AJ577" s="147"/>
      <c r="AK577" s="147"/>
      <c r="AL577" s="147"/>
      <c r="AM577" s="151"/>
      <c r="AN577" s="147"/>
      <c r="AO577" s="147"/>
      <c r="AP577" s="147"/>
      <c r="AQ577" s="147"/>
      <c r="AR577" s="147"/>
      <c r="AS577" s="147"/>
      <c r="AT577" s="147"/>
      <c r="AU577" s="147"/>
      <c r="AV577" s="147"/>
      <c r="AW577" s="147"/>
      <c r="AX577" s="147"/>
      <c r="AY577" s="147"/>
      <c r="AZ577" s="147"/>
      <c r="BA577" s="147"/>
      <c r="BB577" s="147"/>
      <c r="BC577" s="147"/>
      <c r="BD577" s="147"/>
      <c r="BE577" s="147"/>
      <c r="BF577" s="147"/>
      <c r="BG577" s="147"/>
      <c r="BH577" s="147"/>
      <c r="BI577" s="147"/>
      <c r="BJ577" s="147"/>
      <c r="BK577" s="147"/>
      <c r="BL577" s="147"/>
      <c r="BM577" s="147"/>
      <c r="BN577" s="147"/>
      <c r="BO577" s="147"/>
      <c r="BP577" s="147"/>
      <c r="BQ577" s="147"/>
      <c r="BR577" s="147"/>
      <c r="BS577" s="147"/>
      <c r="BT577" s="147"/>
      <c r="BU577" s="147"/>
      <c r="BV577" s="147"/>
      <c r="BW577" s="147"/>
      <c r="BX577" s="147"/>
      <c r="BY577" s="147"/>
      <c r="BZ577" s="147"/>
      <c r="CA577" s="147"/>
      <c r="CB577" s="147"/>
      <c r="CC577" s="147"/>
      <c r="CD577" s="147"/>
      <c r="CE577" s="147"/>
      <c r="CF577" s="147"/>
      <c r="CG577" s="147"/>
      <c r="CH577" s="147"/>
      <c r="CI577" s="147"/>
      <c r="CJ577" s="147"/>
      <c r="CK577" s="147"/>
    </row>
    <row r="578" spans="1:89">
      <c r="A578" s="157"/>
      <c r="F578" s="3"/>
      <c r="G578" s="3"/>
      <c r="L578" s="157"/>
      <c r="M578" s="157"/>
      <c r="O578" s="147"/>
      <c r="P578" s="147"/>
      <c r="Q578" s="147"/>
      <c r="R578" s="147"/>
      <c r="S578" s="147"/>
      <c r="T578" s="147"/>
      <c r="U578" s="147"/>
      <c r="V578" s="147"/>
      <c r="W578" s="147"/>
      <c r="X578" s="147"/>
      <c r="Y578" s="147"/>
      <c r="Z578" s="147"/>
      <c r="AA578" s="147"/>
      <c r="AB578" s="147"/>
      <c r="AC578" s="147"/>
      <c r="AD578" s="147"/>
      <c r="AE578" s="147"/>
      <c r="AF578" s="147"/>
      <c r="AG578" s="147"/>
      <c r="AH578" s="147"/>
      <c r="AI578" s="147"/>
      <c r="AJ578" s="147"/>
      <c r="AK578" s="147"/>
      <c r="AL578" s="147"/>
      <c r="AM578" s="151"/>
      <c r="AN578" s="147"/>
      <c r="AO578" s="147"/>
      <c r="AP578" s="147"/>
      <c r="AQ578" s="147"/>
      <c r="AR578" s="147"/>
      <c r="AS578" s="147"/>
      <c r="AT578" s="147"/>
      <c r="AU578" s="147"/>
      <c r="AV578" s="147"/>
      <c r="AW578" s="147"/>
      <c r="AX578" s="147"/>
      <c r="AY578" s="147"/>
      <c r="AZ578" s="147"/>
      <c r="BA578" s="147"/>
      <c r="BB578" s="147"/>
      <c r="BC578" s="147"/>
      <c r="BD578" s="147"/>
      <c r="BE578" s="147"/>
      <c r="BF578" s="147"/>
      <c r="BG578" s="147"/>
      <c r="BH578" s="147"/>
      <c r="BI578" s="147"/>
      <c r="BJ578" s="147"/>
      <c r="BK578" s="147"/>
      <c r="BL578" s="147"/>
      <c r="BM578" s="147"/>
      <c r="BN578" s="147"/>
      <c r="BO578" s="147"/>
      <c r="BP578" s="147"/>
      <c r="BQ578" s="147"/>
      <c r="BR578" s="147"/>
      <c r="BS578" s="147"/>
      <c r="BT578" s="147"/>
      <c r="BU578" s="147"/>
      <c r="BV578" s="147"/>
      <c r="BW578" s="147"/>
      <c r="BX578" s="147"/>
      <c r="BY578" s="147"/>
      <c r="BZ578" s="147"/>
      <c r="CA578" s="147"/>
      <c r="CB578" s="147"/>
      <c r="CC578" s="147"/>
      <c r="CD578" s="147"/>
      <c r="CE578" s="147"/>
      <c r="CF578" s="147"/>
      <c r="CG578" s="147"/>
      <c r="CH578" s="147"/>
      <c r="CI578" s="147"/>
      <c r="CJ578" s="147"/>
      <c r="CK578" s="147"/>
    </row>
    <row r="579" spans="1:89">
      <c r="A579" s="157"/>
      <c r="F579" s="3"/>
      <c r="G579" s="3"/>
      <c r="L579" s="157"/>
      <c r="M579" s="157"/>
      <c r="O579" s="147"/>
      <c r="P579" s="147"/>
      <c r="Q579" s="147"/>
      <c r="R579" s="147"/>
      <c r="S579" s="147"/>
      <c r="T579" s="147"/>
      <c r="U579" s="147"/>
      <c r="V579" s="147"/>
      <c r="W579" s="147"/>
      <c r="X579" s="147"/>
      <c r="Y579" s="147"/>
      <c r="Z579" s="147"/>
      <c r="AA579" s="147"/>
      <c r="AB579" s="147"/>
      <c r="AC579" s="147"/>
      <c r="AD579" s="147"/>
      <c r="AE579" s="147"/>
      <c r="AF579" s="147"/>
      <c r="AG579" s="147"/>
      <c r="AH579" s="147"/>
      <c r="AI579" s="147"/>
      <c r="AJ579" s="147"/>
      <c r="AK579" s="147"/>
      <c r="AL579" s="147"/>
      <c r="AM579" s="151"/>
      <c r="AN579" s="147"/>
      <c r="AO579" s="147"/>
      <c r="AP579" s="147"/>
      <c r="AQ579" s="147"/>
      <c r="AR579" s="147"/>
      <c r="AS579" s="147"/>
      <c r="AT579" s="147"/>
      <c r="AU579" s="147"/>
      <c r="AV579" s="147"/>
      <c r="AW579" s="147"/>
      <c r="AX579" s="147"/>
      <c r="AY579" s="147"/>
      <c r="AZ579" s="147"/>
      <c r="BA579" s="147"/>
      <c r="BB579" s="147"/>
      <c r="BC579" s="147"/>
      <c r="BD579" s="147"/>
      <c r="BE579" s="147"/>
      <c r="BF579" s="147"/>
      <c r="BG579" s="147"/>
      <c r="BH579" s="147"/>
      <c r="BI579" s="147"/>
      <c r="BJ579" s="147"/>
      <c r="BK579" s="147"/>
      <c r="BL579" s="147"/>
      <c r="BM579" s="147"/>
      <c r="BN579" s="147"/>
      <c r="BO579" s="147"/>
      <c r="BP579" s="147"/>
      <c r="BQ579" s="147"/>
      <c r="BR579" s="147"/>
      <c r="BS579" s="147"/>
      <c r="BT579" s="147"/>
      <c r="BU579" s="147"/>
      <c r="BV579" s="147"/>
      <c r="BW579" s="147"/>
      <c r="BX579" s="147"/>
      <c r="BY579" s="147"/>
      <c r="BZ579" s="147"/>
      <c r="CA579" s="147"/>
      <c r="CB579" s="147"/>
      <c r="CC579" s="147"/>
      <c r="CD579" s="147"/>
      <c r="CE579" s="147"/>
      <c r="CF579" s="147"/>
      <c r="CG579" s="147"/>
      <c r="CH579" s="147"/>
      <c r="CI579" s="147"/>
      <c r="CJ579" s="147"/>
      <c r="CK579" s="147"/>
    </row>
    <row r="580" spans="1:89">
      <c r="A580" s="157"/>
      <c r="F580" s="3"/>
      <c r="G580" s="3"/>
      <c r="L580" s="157"/>
      <c r="M580" s="157"/>
      <c r="O580" s="147"/>
      <c r="P580" s="147"/>
      <c r="Q580" s="147"/>
      <c r="R580" s="147"/>
      <c r="S580" s="147"/>
      <c r="T580" s="147"/>
      <c r="U580" s="147"/>
      <c r="V580" s="147"/>
      <c r="W580" s="147"/>
      <c r="X580" s="147"/>
      <c r="Y580" s="147"/>
      <c r="Z580" s="147"/>
      <c r="AA580" s="147"/>
      <c r="AB580" s="147"/>
      <c r="AC580" s="147"/>
      <c r="AD580" s="147"/>
      <c r="AE580" s="147"/>
      <c r="AF580" s="147"/>
      <c r="AG580" s="147"/>
      <c r="AH580" s="147"/>
      <c r="AI580" s="147"/>
      <c r="AJ580" s="147"/>
      <c r="AK580" s="147"/>
      <c r="AL580" s="147"/>
      <c r="AM580" s="151"/>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c r="BI580" s="147"/>
      <c r="BJ580" s="147"/>
      <c r="BK580" s="147"/>
      <c r="BL580" s="147"/>
      <c r="BM580" s="147"/>
      <c r="BN580" s="147"/>
      <c r="BO580" s="147"/>
      <c r="BP580" s="147"/>
      <c r="BQ580" s="147"/>
      <c r="BR580" s="147"/>
      <c r="BS580" s="147"/>
      <c r="BT580" s="147"/>
      <c r="BU580" s="147"/>
      <c r="BV580" s="147"/>
      <c r="BW580" s="147"/>
      <c r="BX580" s="147"/>
      <c r="BY580" s="147"/>
      <c r="BZ580" s="147"/>
      <c r="CA580" s="147"/>
      <c r="CB580" s="147"/>
      <c r="CC580" s="147"/>
      <c r="CD580" s="147"/>
      <c r="CE580" s="147"/>
      <c r="CF580" s="147"/>
      <c r="CG580" s="147"/>
      <c r="CH580" s="147"/>
      <c r="CI580" s="147"/>
      <c r="CJ580" s="147"/>
      <c r="CK580" s="147"/>
    </row>
    <row r="581" spans="1:89">
      <c r="A581" s="157"/>
      <c r="F581" s="3"/>
      <c r="G581" s="3"/>
      <c r="L581" s="157"/>
      <c r="M581" s="157"/>
      <c r="O581" s="147"/>
      <c r="P581" s="147"/>
      <c r="Q581" s="147"/>
      <c r="R581" s="147"/>
      <c r="S581" s="147"/>
      <c r="T581" s="147"/>
      <c r="U581" s="147"/>
      <c r="V581" s="147"/>
      <c r="W581" s="147"/>
      <c r="X581" s="147"/>
      <c r="Y581" s="147"/>
      <c r="Z581" s="147"/>
      <c r="AA581" s="147"/>
      <c r="AB581" s="147"/>
      <c r="AC581" s="147"/>
      <c r="AD581" s="147"/>
      <c r="AE581" s="147"/>
      <c r="AF581" s="147"/>
      <c r="AG581" s="147"/>
      <c r="AH581" s="147"/>
      <c r="AI581" s="147"/>
      <c r="AJ581" s="147"/>
      <c r="AK581" s="147"/>
      <c r="AL581" s="147"/>
      <c r="AM581" s="151"/>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c r="BI581" s="147"/>
      <c r="BJ581" s="147"/>
      <c r="BK581" s="147"/>
      <c r="BL581" s="147"/>
      <c r="BM581" s="147"/>
      <c r="BN581" s="147"/>
      <c r="BO581" s="147"/>
      <c r="BP581" s="147"/>
      <c r="BQ581" s="147"/>
      <c r="BR581" s="147"/>
      <c r="BS581" s="147"/>
      <c r="BT581" s="147"/>
      <c r="BU581" s="147"/>
      <c r="BV581" s="147"/>
      <c r="BW581" s="147"/>
      <c r="BX581" s="147"/>
      <c r="BY581" s="147"/>
      <c r="BZ581" s="147"/>
      <c r="CA581" s="147"/>
      <c r="CB581" s="147"/>
      <c r="CC581" s="147"/>
      <c r="CD581" s="147"/>
      <c r="CE581" s="147"/>
      <c r="CF581" s="147"/>
      <c r="CG581" s="147"/>
      <c r="CH581" s="147"/>
      <c r="CI581" s="147"/>
      <c r="CJ581" s="147"/>
      <c r="CK581" s="147"/>
    </row>
    <row r="582" spans="1:89">
      <c r="A582" s="157"/>
      <c r="F582" s="3"/>
      <c r="G582" s="3"/>
      <c r="L582" s="157"/>
      <c r="M582" s="157"/>
      <c r="O582" s="147"/>
      <c r="P582" s="147"/>
      <c r="Q582" s="147"/>
      <c r="R582" s="147"/>
      <c r="S582" s="147"/>
      <c r="T582" s="147"/>
      <c r="U582" s="147"/>
      <c r="V582" s="147"/>
      <c r="W582" s="147"/>
      <c r="X582" s="147"/>
      <c r="Y582" s="147"/>
      <c r="Z582" s="147"/>
      <c r="AA582" s="147"/>
      <c r="AB582" s="147"/>
      <c r="AC582" s="147"/>
      <c r="AD582" s="147"/>
      <c r="AE582" s="147"/>
      <c r="AF582" s="147"/>
      <c r="AG582" s="147"/>
      <c r="AH582" s="147"/>
      <c r="AI582" s="147"/>
      <c r="AJ582" s="147"/>
      <c r="AK582" s="147"/>
      <c r="AL582" s="147"/>
      <c r="AM582" s="151"/>
      <c r="AN582" s="147"/>
      <c r="AO582" s="147"/>
      <c r="AP582" s="147"/>
      <c r="AQ582" s="147"/>
      <c r="AR582" s="147"/>
      <c r="AS582" s="147"/>
      <c r="AT582" s="147"/>
      <c r="AU582" s="147"/>
      <c r="AV582" s="147"/>
      <c r="AW582" s="147"/>
      <c r="AX582" s="147"/>
      <c r="AY582" s="147"/>
      <c r="AZ582" s="147"/>
      <c r="BA582" s="147"/>
      <c r="BB582" s="147"/>
      <c r="BC582" s="147"/>
      <c r="BD582" s="147"/>
      <c r="BE582" s="147"/>
      <c r="BF582" s="147"/>
      <c r="BG582" s="147"/>
      <c r="BH582" s="147"/>
      <c r="BI582" s="147"/>
      <c r="BJ582" s="147"/>
      <c r="BK582" s="147"/>
      <c r="BL582" s="147"/>
      <c r="BM582" s="147"/>
      <c r="BN582" s="147"/>
      <c r="BO582" s="147"/>
      <c r="BP582" s="147"/>
      <c r="BQ582" s="147"/>
      <c r="BR582" s="147"/>
      <c r="BS582" s="147"/>
      <c r="BT582" s="147"/>
      <c r="BU582" s="147"/>
      <c r="BV582" s="147"/>
      <c r="BW582" s="147"/>
      <c r="BX582" s="147"/>
      <c r="BY582" s="147"/>
      <c r="BZ582" s="147"/>
      <c r="CA582" s="147"/>
      <c r="CB582" s="147"/>
      <c r="CC582" s="147"/>
      <c r="CD582" s="147"/>
      <c r="CE582" s="147"/>
      <c r="CF582" s="147"/>
      <c r="CG582" s="147"/>
      <c r="CH582" s="147"/>
      <c r="CI582" s="147"/>
      <c r="CJ582" s="147"/>
      <c r="CK582" s="147"/>
    </row>
    <row r="583" spans="1:89">
      <c r="A583" s="157"/>
      <c r="F583" s="3"/>
      <c r="G583" s="3"/>
      <c r="L583" s="157"/>
      <c r="M583" s="157"/>
      <c r="O583" s="147"/>
      <c r="P583" s="147"/>
      <c r="Q583" s="147"/>
      <c r="R583" s="147"/>
      <c r="S583" s="147"/>
      <c r="T583" s="147"/>
      <c r="U583" s="147"/>
      <c r="V583" s="147"/>
      <c r="W583" s="147"/>
      <c r="X583" s="147"/>
      <c r="Y583" s="147"/>
      <c r="Z583" s="147"/>
      <c r="AA583" s="147"/>
      <c r="AB583" s="147"/>
      <c r="AC583" s="147"/>
      <c r="AD583" s="147"/>
      <c r="AE583" s="147"/>
      <c r="AF583" s="147"/>
      <c r="AG583" s="147"/>
      <c r="AH583" s="147"/>
      <c r="AI583" s="147"/>
      <c r="AJ583" s="147"/>
      <c r="AK583" s="147"/>
      <c r="AL583" s="147"/>
      <c r="AM583" s="151"/>
      <c r="AN583" s="147"/>
      <c r="AO583" s="147"/>
      <c r="AP583" s="147"/>
      <c r="AQ583" s="147"/>
      <c r="AR583" s="147"/>
      <c r="AS583" s="147"/>
      <c r="AT583" s="147"/>
      <c r="AU583" s="147"/>
      <c r="AV583" s="147"/>
      <c r="AW583" s="147"/>
      <c r="AX583" s="147"/>
      <c r="AY583" s="147"/>
      <c r="AZ583" s="147"/>
      <c r="BA583" s="147"/>
      <c r="BB583" s="147"/>
      <c r="BC583" s="147"/>
      <c r="BD583" s="147"/>
      <c r="BE583" s="147"/>
      <c r="BF583" s="147"/>
      <c r="BG583" s="147"/>
      <c r="BH583" s="147"/>
      <c r="BI583" s="147"/>
      <c r="BJ583" s="147"/>
      <c r="BK583" s="147"/>
      <c r="BL583" s="147"/>
      <c r="BM583" s="147"/>
      <c r="BN583" s="147"/>
      <c r="BO583" s="147"/>
      <c r="BP583" s="147"/>
      <c r="BQ583" s="147"/>
      <c r="BR583" s="147"/>
      <c r="BS583" s="147"/>
      <c r="BT583" s="147"/>
      <c r="BU583" s="147"/>
      <c r="BV583" s="147"/>
      <c r="BW583" s="147"/>
      <c r="BX583" s="147"/>
      <c r="BY583" s="147"/>
      <c r="BZ583" s="147"/>
      <c r="CA583" s="147"/>
      <c r="CB583" s="147"/>
      <c r="CC583" s="147"/>
      <c r="CD583" s="147"/>
      <c r="CE583" s="147"/>
      <c r="CF583" s="147"/>
      <c r="CG583" s="147"/>
      <c r="CH583" s="147"/>
      <c r="CI583" s="147"/>
      <c r="CJ583" s="147"/>
      <c r="CK583" s="147"/>
    </row>
    <row r="584" spans="1:89">
      <c r="A584" s="157"/>
      <c r="F584" s="3"/>
      <c r="G584" s="3"/>
      <c r="L584" s="157"/>
      <c r="M584" s="157"/>
      <c r="O584" s="147"/>
      <c r="P584" s="147"/>
      <c r="Q584" s="147"/>
      <c r="R584" s="147"/>
      <c r="S584" s="147"/>
      <c r="T584" s="147"/>
      <c r="U584" s="147"/>
      <c r="V584" s="147"/>
      <c r="W584" s="147"/>
      <c r="X584" s="147"/>
      <c r="Y584" s="147"/>
      <c r="Z584" s="147"/>
      <c r="AA584" s="147"/>
      <c r="AB584" s="147"/>
      <c r="AC584" s="147"/>
      <c r="AD584" s="147"/>
      <c r="AE584" s="147"/>
      <c r="AF584" s="147"/>
      <c r="AG584" s="147"/>
      <c r="AH584" s="147"/>
      <c r="AI584" s="147"/>
      <c r="AJ584" s="147"/>
      <c r="AK584" s="147"/>
      <c r="AL584" s="147"/>
      <c r="AM584" s="151"/>
      <c r="AN584" s="147"/>
      <c r="AO584" s="147"/>
      <c r="AP584" s="147"/>
      <c r="AQ584" s="147"/>
      <c r="AR584" s="147"/>
      <c r="AS584" s="147"/>
      <c r="AT584" s="147"/>
      <c r="AU584" s="147"/>
      <c r="AV584" s="147"/>
      <c r="AW584" s="147"/>
      <c r="AX584" s="147"/>
      <c r="AY584" s="147"/>
      <c r="AZ584" s="147"/>
      <c r="BA584" s="147"/>
      <c r="BB584" s="147"/>
      <c r="BC584" s="147"/>
      <c r="BD584" s="147"/>
      <c r="BE584" s="147"/>
      <c r="BF584" s="147"/>
      <c r="BG584" s="147"/>
      <c r="BH584" s="147"/>
      <c r="BI584" s="147"/>
      <c r="BJ584" s="147"/>
      <c r="BK584" s="147"/>
      <c r="BL584" s="147"/>
      <c r="BM584" s="147"/>
      <c r="BN584" s="147"/>
      <c r="BO584" s="147"/>
      <c r="BP584" s="147"/>
      <c r="BQ584" s="147"/>
      <c r="BR584" s="147"/>
      <c r="BS584" s="147"/>
      <c r="BT584" s="147"/>
      <c r="BU584" s="147"/>
      <c r="BV584" s="147"/>
      <c r="BW584" s="147"/>
      <c r="BX584" s="147"/>
      <c r="BY584" s="147"/>
      <c r="BZ584" s="147"/>
      <c r="CA584" s="147"/>
      <c r="CB584" s="147"/>
      <c r="CC584" s="147"/>
      <c r="CD584" s="147"/>
      <c r="CE584" s="147"/>
      <c r="CF584" s="147"/>
      <c r="CG584" s="147"/>
      <c r="CH584" s="147"/>
      <c r="CI584" s="147"/>
      <c r="CJ584" s="147"/>
      <c r="CK584" s="147"/>
    </row>
    <row r="585" spans="1:89">
      <c r="A585" s="157"/>
      <c r="F585" s="3"/>
      <c r="G585" s="3"/>
      <c r="L585" s="157"/>
      <c r="M585" s="157"/>
      <c r="O585" s="147"/>
      <c r="P585" s="147"/>
      <c r="Q585" s="147"/>
      <c r="R585" s="147"/>
      <c r="S585" s="147"/>
      <c r="T585" s="147"/>
      <c r="U585" s="147"/>
      <c r="V585" s="147"/>
      <c r="W585" s="147"/>
      <c r="X585" s="147"/>
      <c r="Y585" s="147"/>
      <c r="Z585" s="147"/>
      <c r="AA585" s="147"/>
      <c r="AB585" s="147"/>
      <c r="AC585" s="147"/>
      <c r="AD585" s="147"/>
      <c r="AE585" s="147"/>
      <c r="AF585" s="147"/>
      <c r="AG585" s="147"/>
      <c r="AH585" s="147"/>
      <c r="AI585" s="147"/>
      <c r="AJ585" s="147"/>
      <c r="AK585" s="147"/>
      <c r="AL585" s="147"/>
      <c r="AM585" s="151"/>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c r="BI585" s="147"/>
      <c r="BJ585" s="147"/>
      <c r="BK585" s="147"/>
      <c r="BL585" s="147"/>
      <c r="BM585" s="147"/>
      <c r="BN585" s="147"/>
      <c r="BO585" s="147"/>
      <c r="BP585" s="147"/>
      <c r="BQ585" s="147"/>
      <c r="BR585" s="147"/>
      <c r="BS585" s="147"/>
      <c r="BT585" s="147"/>
      <c r="BU585" s="147"/>
      <c r="BV585" s="147"/>
      <c r="BW585" s="147"/>
      <c r="BX585" s="147"/>
      <c r="BY585" s="147"/>
      <c r="BZ585" s="147"/>
      <c r="CA585" s="147"/>
      <c r="CB585" s="147"/>
      <c r="CC585" s="147"/>
      <c r="CD585" s="147"/>
      <c r="CE585" s="147"/>
      <c r="CF585" s="147"/>
      <c r="CG585" s="147"/>
      <c r="CH585" s="147"/>
      <c r="CI585" s="147"/>
      <c r="CJ585" s="147"/>
      <c r="CK585" s="147"/>
    </row>
    <row r="586" spans="1:89">
      <c r="A586" s="157"/>
      <c r="F586" s="3"/>
      <c r="G586" s="3"/>
      <c r="L586" s="157"/>
      <c r="M586" s="157"/>
      <c r="O586" s="147"/>
      <c r="P586" s="147"/>
      <c r="Q586" s="147"/>
      <c r="R586" s="147"/>
      <c r="S586" s="147"/>
      <c r="T586" s="147"/>
      <c r="U586" s="147"/>
      <c r="V586" s="147"/>
      <c r="W586" s="147"/>
      <c r="X586" s="147"/>
      <c r="Y586" s="147"/>
      <c r="Z586" s="147"/>
      <c r="AA586" s="147"/>
      <c r="AB586" s="147"/>
      <c r="AC586" s="147"/>
      <c r="AD586" s="147"/>
      <c r="AE586" s="147"/>
      <c r="AF586" s="147"/>
      <c r="AG586" s="147"/>
      <c r="AH586" s="147"/>
      <c r="AI586" s="147"/>
      <c r="AJ586" s="147"/>
      <c r="AK586" s="147"/>
      <c r="AL586" s="147"/>
      <c r="AM586" s="151"/>
      <c r="AN586" s="147"/>
      <c r="AO586" s="147"/>
      <c r="AP586" s="147"/>
      <c r="AQ586" s="147"/>
      <c r="AR586" s="147"/>
      <c r="AS586" s="147"/>
      <c r="AT586" s="147"/>
      <c r="AU586" s="147"/>
      <c r="AV586" s="147"/>
      <c r="AW586" s="147"/>
      <c r="AX586" s="147"/>
      <c r="AY586" s="147"/>
      <c r="AZ586" s="147"/>
      <c r="BA586" s="147"/>
      <c r="BB586" s="147"/>
      <c r="BC586" s="147"/>
      <c r="BD586" s="147"/>
      <c r="BE586" s="147"/>
      <c r="BF586" s="147"/>
      <c r="BG586" s="147"/>
      <c r="BH586" s="147"/>
      <c r="BI586" s="147"/>
      <c r="BJ586" s="147"/>
      <c r="BK586" s="147"/>
      <c r="BL586" s="147"/>
      <c r="BM586" s="147"/>
      <c r="BN586" s="147"/>
      <c r="BO586" s="147"/>
      <c r="BP586" s="147"/>
      <c r="BQ586" s="147"/>
      <c r="BR586" s="147"/>
      <c r="BS586" s="147"/>
      <c r="BT586" s="147"/>
      <c r="BU586" s="147"/>
      <c r="BV586" s="147"/>
      <c r="BW586" s="147"/>
      <c r="BX586" s="147"/>
      <c r="BY586" s="147"/>
      <c r="BZ586" s="147"/>
      <c r="CA586" s="147"/>
      <c r="CB586" s="147"/>
      <c r="CC586" s="147"/>
      <c r="CD586" s="147"/>
      <c r="CE586" s="147"/>
      <c r="CF586" s="147"/>
      <c r="CG586" s="147"/>
      <c r="CH586" s="147"/>
      <c r="CI586" s="147"/>
      <c r="CJ586" s="147"/>
      <c r="CK586" s="147"/>
    </row>
    <row r="587" spans="1:89">
      <c r="A587" s="157"/>
      <c r="F587" s="3"/>
      <c r="G587" s="3"/>
      <c r="L587" s="157"/>
      <c r="M587" s="157"/>
      <c r="O587" s="147"/>
      <c r="P587" s="147"/>
      <c r="Q587" s="147"/>
      <c r="R587" s="147"/>
      <c r="S587" s="147"/>
      <c r="T587" s="147"/>
      <c r="U587" s="147"/>
      <c r="V587" s="147"/>
      <c r="W587" s="147"/>
      <c r="X587" s="147"/>
      <c r="Y587" s="147"/>
      <c r="Z587" s="147"/>
      <c r="AA587" s="147"/>
      <c r="AB587" s="147"/>
      <c r="AC587" s="147"/>
      <c r="AD587" s="147"/>
      <c r="AE587" s="147"/>
      <c r="AF587" s="147"/>
      <c r="AG587" s="147"/>
      <c r="AH587" s="147"/>
      <c r="AI587" s="147"/>
      <c r="AJ587" s="147"/>
      <c r="AK587" s="147"/>
      <c r="AL587" s="147"/>
      <c r="AM587" s="151"/>
      <c r="AN587" s="147"/>
      <c r="AO587" s="147"/>
      <c r="AP587" s="147"/>
      <c r="AQ587" s="147"/>
      <c r="AR587" s="147"/>
      <c r="AS587" s="147"/>
      <c r="AT587" s="147"/>
      <c r="AU587" s="147"/>
      <c r="AV587" s="147"/>
      <c r="AW587" s="147"/>
      <c r="AX587" s="147"/>
      <c r="AY587" s="147"/>
      <c r="AZ587" s="147"/>
      <c r="BA587" s="147"/>
      <c r="BB587" s="147"/>
      <c r="BC587" s="147"/>
      <c r="BD587" s="147"/>
      <c r="BE587" s="147"/>
      <c r="BF587" s="147"/>
      <c r="BG587" s="147"/>
      <c r="BH587" s="147"/>
      <c r="BI587" s="147"/>
      <c r="BJ587" s="147"/>
      <c r="BK587" s="147"/>
      <c r="BL587" s="147"/>
      <c r="BM587" s="147"/>
      <c r="BN587" s="147"/>
      <c r="BO587" s="147"/>
      <c r="BP587" s="147"/>
      <c r="BQ587" s="147"/>
      <c r="BR587" s="147"/>
      <c r="BS587" s="147"/>
      <c r="BT587" s="147"/>
      <c r="BU587" s="147"/>
      <c r="BV587" s="147"/>
      <c r="BW587" s="147"/>
      <c r="BX587" s="147"/>
      <c r="BY587" s="147"/>
      <c r="BZ587" s="147"/>
      <c r="CA587" s="147"/>
      <c r="CB587" s="147"/>
      <c r="CC587" s="147"/>
      <c r="CD587" s="147"/>
      <c r="CE587" s="147"/>
      <c r="CF587" s="147"/>
      <c r="CG587" s="147"/>
      <c r="CH587" s="147"/>
      <c r="CI587" s="147"/>
      <c r="CJ587" s="147"/>
      <c r="CK587" s="147"/>
    </row>
    <row r="588" spans="1:89">
      <c r="A588" s="157"/>
      <c r="F588" s="3"/>
      <c r="G588" s="3"/>
      <c r="L588" s="157"/>
      <c r="M588" s="157"/>
      <c r="O588" s="147"/>
      <c r="P588" s="147"/>
      <c r="Q588" s="147"/>
      <c r="R588" s="147"/>
      <c r="S588" s="147"/>
      <c r="T588" s="147"/>
      <c r="U588" s="147"/>
      <c r="V588" s="147"/>
      <c r="W588" s="147"/>
      <c r="X588" s="147"/>
      <c r="Y588" s="147"/>
      <c r="Z588" s="147"/>
      <c r="AA588" s="147"/>
      <c r="AB588" s="147"/>
      <c r="AC588" s="147"/>
      <c r="AD588" s="147"/>
      <c r="AE588" s="147"/>
      <c r="AF588" s="147"/>
      <c r="AG588" s="147"/>
      <c r="AH588" s="147"/>
      <c r="AI588" s="147"/>
      <c r="AJ588" s="147"/>
      <c r="AK588" s="147"/>
      <c r="AL588" s="147"/>
      <c r="AM588" s="151"/>
      <c r="AN588" s="147"/>
      <c r="AO588" s="147"/>
      <c r="AP588" s="147"/>
      <c r="AQ588" s="147"/>
      <c r="AR588" s="147"/>
      <c r="AS588" s="147"/>
      <c r="AT588" s="147"/>
      <c r="AU588" s="147"/>
      <c r="AV588" s="147"/>
      <c r="AW588" s="147"/>
      <c r="AX588" s="147"/>
      <c r="AY588" s="147"/>
      <c r="AZ588" s="147"/>
      <c r="BA588" s="147"/>
      <c r="BB588" s="147"/>
      <c r="BC588" s="147"/>
      <c r="BD588" s="147"/>
      <c r="BE588" s="147"/>
      <c r="BF588" s="147"/>
      <c r="BG588" s="147"/>
      <c r="BH588" s="147"/>
      <c r="BI588" s="147"/>
      <c r="BJ588" s="147"/>
      <c r="BK588" s="147"/>
      <c r="BL588" s="147"/>
      <c r="BM588" s="147"/>
      <c r="BN588" s="147"/>
      <c r="BO588" s="147"/>
      <c r="BP588" s="147"/>
      <c r="BQ588" s="147"/>
      <c r="BR588" s="147"/>
      <c r="BS588" s="147"/>
      <c r="BT588" s="147"/>
      <c r="BU588" s="147"/>
      <c r="BV588" s="147"/>
      <c r="BW588" s="147"/>
      <c r="BX588" s="147"/>
      <c r="BY588" s="147"/>
      <c r="BZ588" s="147"/>
      <c r="CA588" s="147"/>
      <c r="CB588" s="147"/>
      <c r="CC588" s="147"/>
      <c r="CD588" s="147"/>
      <c r="CE588" s="147"/>
      <c r="CF588" s="147"/>
      <c r="CG588" s="147"/>
      <c r="CH588" s="147"/>
      <c r="CI588" s="147"/>
      <c r="CJ588" s="147"/>
      <c r="CK588" s="147"/>
    </row>
    <row r="589" spans="1:89">
      <c r="A589" s="157"/>
      <c r="F589" s="3"/>
      <c r="G589" s="3"/>
      <c r="L589" s="157"/>
      <c r="M589" s="157"/>
      <c r="O589" s="147"/>
      <c r="P589" s="147"/>
      <c r="Q589" s="147"/>
      <c r="R589" s="147"/>
      <c r="S589" s="147"/>
      <c r="T589" s="147"/>
      <c r="U589" s="147"/>
      <c r="V589" s="147"/>
      <c r="W589" s="147"/>
      <c r="X589" s="147"/>
      <c r="Y589" s="147"/>
      <c r="Z589" s="147"/>
      <c r="AA589" s="147"/>
      <c r="AB589" s="147"/>
      <c r="AC589" s="147"/>
      <c r="AD589" s="147"/>
      <c r="AE589" s="147"/>
      <c r="AF589" s="147"/>
      <c r="AG589" s="147"/>
      <c r="AH589" s="147"/>
      <c r="AI589" s="147"/>
      <c r="AJ589" s="147"/>
      <c r="AK589" s="147"/>
      <c r="AL589" s="147"/>
      <c r="AM589" s="151"/>
      <c r="AN589" s="147"/>
      <c r="AO589" s="147"/>
      <c r="AP589" s="147"/>
      <c r="AQ589" s="147"/>
      <c r="AR589" s="147"/>
      <c r="AS589" s="147"/>
      <c r="AT589" s="147"/>
      <c r="AU589" s="147"/>
      <c r="AV589" s="147"/>
      <c r="AW589" s="147"/>
      <c r="AX589" s="147"/>
      <c r="AY589" s="147"/>
      <c r="AZ589" s="147"/>
      <c r="BA589" s="147"/>
      <c r="BB589" s="147"/>
      <c r="BC589" s="147"/>
      <c r="BD589" s="147"/>
      <c r="BE589" s="147"/>
      <c r="BF589" s="147"/>
      <c r="BG589" s="147"/>
      <c r="BH589" s="147"/>
      <c r="BI589" s="147"/>
      <c r="BJ589" s="147"/>
      <c r="BK589" s="147"/>
      <c r="BL589" s="147"/>
      <c r="BM589" s="147"/>
      <c r="BN589" s="147"/>
      <c r="BO589" s="147"/>
      <c r="BP589" s="147"/>
      <c r="BQ589" s="147"/>
      <c r="BR589" s="147"/>
      <c r="BS589" s="147"/>
      <c r="BT589" s="147"/>
      <c r="BU589" s="147"/>
      <c r="BV589" s="147"/>
      <c r="BW589" s="147"/>
      <c r="BX589" s="147"/>
      <c r="BY589" s="147"/>
      <c r="BZ589" s="147"/>
      <c r="CA589" s="147"/>
      <c r="CB589" s="147"/>
      <c r="CC589" s="147"/>
      <c r="CD589" s="147"/>
      <c r="CE589" s="147"/>
      <c r="CF589" s="147"/>
      <c r="CG589" s="147"/>
      <c r="CH589" s="147"/>
      <c r="CI589" s="147"/>
      <c r="CJ589" s="147"/>
      <c r="CK589" s="147"/>
    </row>
    <row r="590" spans="1:89">
      <c r="A590" s="157"/>
      <c r="F590" s="3"/>
      <c r="G590" s="3"/>
      <c r="L590" s="157"/>
      <c r="M590" s="157"/>
      <c r="O590" s="147"/>
      <c r="P590" s="147"/>
      <c r="Q590" s="147"/>
      <c r="R590" s="147"/>
      <c r="S590" s="147"/>
      <c r="T590" s="147"/>
      <c r="U590" s="147"/>
      <c r="V590" s="147"/>
      <c r="W590" s="147"/>
      <c r="X590" s="147"/>
      <c r="Y590" s="147"/>
      <c r="Z590" s="147"/>
      <c r="AA590" s="147"/>
      <c r="AB590" s="147"/>
      <c r="AC590" s="147"/>
      <c r="AD590" s="147"/>
      <c r="AE590" s="147"/>
      <c r="AF590" s="147"/>
      <c r="AG590" s="147"/>
      <c r="AH590" s="147"/>
      <c r="AI590" s="147"/>
      <c r="AJ590" s="147"/>
      <c r="AK590" s="147"/>
      <c r="AL590" s="147"/>
      <c r="AM590" s="151"/>
      <c r="AN590" s="147"/>
      <c r="AO590" s="147"/>
      <c r="AP590" s="147"/>
      <c r="AQ590" s="147"/>
      <c r="AR590" s="147"/>
      <c r="AS590" s="147"/>
      <c r="AT590" s="147"/>
      <c r="AU590" s="147"/>
      <c r="AV590" s="147"/>
      <c r="AW590" s="147"/>
      <c r="AX590" s="147"/>
      <c r="AY590" s="147"/>
      <c r="AZ590" s="147"/>
      <c r="BA590" s="147"/>
      <c r="BB590" s="147"/>
      <c r="BC590" s="147"/>
      <c r="BD590" s="147"/>
      <c r="BE590" s="147"/>
      <c r="BF590" s="147"/>
      <c r="BG590" s="147"/>
      <c r="BH590" s="147"/>
      <c r="BI590" s="147"/>
      <c r="BJ590" s="147"/>
      <c r="BK590" s="147"/>
      <c r="BL590" s="147"/>
      <c r="BM590" s="147"/>
      <c r="BN590" s="147"/>
      <c r="BO590" s="147"/>
      <c r="BP590" s="147"/>
      <c r="BQ590" s="147"/>
      <c r="BR590" s="147"/>
      <c r="BS590" s="147"/>
      <c r="BT590" s="147"/>
      <c r="BU590" s="147"/>
      <c r="BV590" s="147"/>
      <c r="BW590" s="147"/>
      <c r="BX590" s="147"/>
      <c r="BY590" s="147"/>
      <c r="BZ590" s="147"/>
      <c r="CA590" s="147"/>
      <c r="CB590" s="147"/>
      <c r="CC590" s="147"/>
      <c r="CD590" s="147"/>
      <c r="CE590" s="147"/>
      <c r="CF590" s="147"/>
      <c r="CG590" s="147"/>
      <c r="CH590" s="147"/>
      <c r="CI590" s="147"/>
      <c r="CJ590" s="147"/>
      <c r="CK590" s="147"/>
    </row>
    <row r="591" spans="1:89">
      <c r="A591" s="157"/>
      <c r="F591" s="3"/>
      <c r="G591" s="3"/>
      <c r="L591" s="157"/>
      <c r="M591" s="157"/>
      <c r="O591" s="147"/>
      <c r="P591" s="147"/>
      <c r="Q591" s="147"/>
      <c r="R591" s="147"/>
      <c r="S591" s="147"/>
      <c r="T591" s="147"/>
      <c r="U591" s="147"/>
      <c r="V591" s="147"/>
      <c r="W591" s="147"/>
      <c r="X591" s="147"/>
      <c r="Y591" s="147"/>
      <c r="Z591" s="147"/>
      <c r="AA591" s="147"/>
      <c r="AB591" s="147"/>
      <c r="AC591" s="147"/>
      <c r="AD591" s="147"/>
      <c r="AE591" s="147"/>
      <c r="AF591" s="147"/>
      <c r="AG591" s="147"/>
      <c r="AH591" s="147"/>
      <c r="AI591" s="147"/>
      <c r="AJ591" s="147"/>
      <c r="AK591" s="147"/>
      <c r="AL591" s="147"/>
      <c r="AM591" s="151"/>
      <c r="AN591" s="147"/>
      <c r="AO591" s="147"/>
      <c r="AP591" s="147"/>
      <c r="AQ591" s="147"/>
      <c r="AR591" s="147"/>
      <c r="AS591" s="147"/>
      <c r="AT591" s="147"/>
      <c r="AU591" s="147"/>
      <c r="AV591" s="147"/>
      <c r="AW591" s="147"/>
      <c r="AX591" s="147"/>
      <c r="AY591" s="147"/>
      <c r="AZ591" s="147"/>
      <c r="BA591" s="147"/>
      <c r="BB591" s="147"/>
      <c r="BC591" s="147"/>
      <c r="BD591" s="147"/>
      <c r="BE591" s="147"/>
      <c r="BF591" s="147"/>
      <c r="BG591" s="147"/>
      <c r="BH591" s="147"/>
      <c r="BI591" s="147"/>
      <c r="BJ591" s="147"/>
      <c r="BK591" s="147"/>
      <c r="BL591" s="147"/>
      <c r="BM591" s="147"/>
      <c r="BN591" s="147"/>
      <c r="BO591" s="147"/>
      <c r="BP591" s="147"/>
      <c r="BQ591" s="147"/>
      <c r="BR591" s="147"/>
      <c r="BS591" s="147"/>
      <c r="BT591" s="147"/>
      <c r="BU591" s="147"/>
      <c r="BV591" s="147"/>
      <c r="BW591" s="147"/>
      <c r="BX591" s="147"/>
      <c r="BY591" s="147"/>
      <c r="BZ591" s="147"/>
      <c r="CA591" s="147"/>
      <c r="CB591" s="147"/>
      <c r="CC591" s="147"/>
      <c r="CD591" s="147"/>
      <c r="CE591" s="147"/>
      <c r="CF591" s="147"/>
      <c r="CG591" s="147"/>
      <c r="CH591" s="147"/>
      <c r="CI591" s="147"/>
      <c r="CJ591" s="147"/>
      <c r="CK591" s="147"/>
    </row>
    <row r="592" spans="1:89">
      <c r="A592" s="157"/>
      <c r="F592" s="3"/>
      <c r="G592" s="3"/>
      <c r="L592" s="157"/>
      <c r="M592" s="157"/>
      <c r="O592" s="147"/>
      <c r="P592" s="147"/>
      <c r="Q592" s="147"/>
      <c r="R592" s="147"/>
      <c r="S592" s="147"/>
      <c r="T592" s="147"/>
      <c r="U592" s="147"/>
      <c r="V592" s="147"/>
      <c r="W592" s="147"/>
      <c r="X592" s="147"/>
      <c r="Y592" s="147"/>
      <c r="Z592" s="147"/>
      <c r="AA592" s="147"/>
      <c r="AB592" s="147"/>
      <c r="AC592" s="147"/>
      <c r="AD592" s="147"/>
      <c r="AE592" s="147"/>
      <c r="AF592" s="147"/>
      <c r="AG592" s="147"/>
      <c r="AH592" s="147"/>
      <c r="AI592" s="147"/>
      <c r="AJ592" s="147"/>
      <c r="AK592" s="147"/>
      <c r="AL592" s="147"/>
      <c r="AM592" s="151"/>
      <c r="AN592" s="147"/>
      <c r="AO592" s="147"/>
      <c r="AP592" s="147"/>
      <c r="AQ592" s="147"/>
      <c r="AR592" s="147"/>
      <c r="AS592" s="147"/>
      <c r="AT592" s="147"/>
      <c r="AU592" s="147"/>
      <c r="AV592" s="147"/>
      <c r="AW592" s="147"/>
      <c r="AX592" s="147"/>
      <c r="AY592" s="147"/>
      <c r="AZ592" s="147"/>
      <c r="BA592" s="147"/>
      <c r="BB592" s="147"/>
      <c r="BC592" s="147"/>
      <c r="BD592" s="147"/>
      <c r="BE592" s="147"/>
      <c r="BF592" s="147"/>
      <c r="BG592" s="147"/>
      <c r="BH592" s="147"/>
      <c r="BI592" s="147"/>
      <c r="BJ592" s="147"/>
      <c r="BK592" s="147"/>
      <c r="BL592" s="147"/>
      <c r="BM592" s="147"/>
      <c r="BN592" s="147"/>
      <c r="BO592" s="147"/>
      <c r="BP592" s="147"/>
      <c r="BQ592" s="147"/>
      <c r="BR592" s="147"/>
      <c r="BS592" s="147"/>
      <c r="BT592" s="147"/>
      <c r="BU592" s="147"/>
      <c r="BV592" s="147"/>
      <c r="BW592" s="147"/>
      <c r="BX592" s="147"/>
      <c r="BY592" s="147"/>
      <c r="BZ592" s="147"/>
      <c r="CA592" s="147"/>
      <c r="CB592" s="147"/>
      <c r="CC592" s="147"/>
      <c r="CD592" s="147"/>
      <c r="CE592" s="147"/>
      <c r="CF592" s="147"/>
      <c r="CG592" s="147"/>
      <c r="CH592" s="147"/>
      <c r="CI592" s="147"/>
      <c r="CJ592" s="147"/>
      <c r="CK592" s="147"/>
    </row>
    <row r="593" spans="1:89">
      <c r="A593" s="157"/>
      <c r="F593" s="3"/>
      <c r="G593" s="3"/>
      <c r="L593" s="157"/>
      <c r="M593" s="157"/>
      <c r="O593" s="147"/>
      <c r="P593" s="147"/>
      <c r="Q593" s="147"/>
      <c r="R593" s="147"/>
      <c r="S593" s="147"/>
      <c r="T593" s="147"/>
      <c r="U593" s="147"/>
      <c r="V593" s="147"/>
      <c r="W593" s="147"/>
      <c r="X593" s="147"/>
      <c r="Y593" s="147"/>
      <c r="Z593" s="147"/>
      <c r="AA593" s="147"/>
      <c r="AB593" s="147"/>
      <c r="AC593" s="147"/>
      <c r="AD593" s="147"/>
      <c r="AE593" s="147"/>
      <c r="AF593" s="147"/>
      <c r="AG593" s="147"/>
      <c r="AH593" s="147"/>
      <c r="AI593" s="147"/>
      <c r="AJ593" s="147"/>
      <c r="AK593" s="147"/>
      <c r="AL593" s="147"/>
      <c r="AM593" s="151"/>
      <c r="AN593" s="147"/>
      <c r="AO593" s="147"/>
      <c r="AP593" s="147"/>
      <c r="AQ593" s="147"/>
      <c r="AR593" s="147"/>
      <c r="AS593" s="147"/>
      <c r="AT593" s="147"/>
      <c r="AU593" s="147"/>
      <c r="AV593" s="147"/>
      <c r="AW593" s="147"/>
      <c r="AX593" s="147"/>
      <c r="AY593" s="147"/>
      <c r="AZ593" s="147"/>
      <c r="BA593" s="147"/>
      <c r="BB593" s="147"/>
      <c r="BC593" s="147"/>
      <c r="BD593" s="147"/>
      <c r="BE593" s="147"/>
      <c r="BF593" s="147"/>
      <c r="BG593" s="147"/>
      <c r="BH593" s="147"/>
      <c r="BI593" s="147"/>
      <c r="BJ593" s="147"/>
      <c r="BK593" s="147"/>
      <c r="BL593" s="147"/>
      <c r="BM593" s="147"/>
      <c r="BN593" s="147"/>
      <c r="BO593" s="147"/>
      <c r="BP593" s="147"/>
      <c r="BQ593" s="147"/>
      <c r="BR593" s="147"/>
      <c r="BS593" s="147"/>
      <c r="BT593" s="147"/>
      <c r="BU593" s="147"/>
      <c r="BV593" s="147"/>
      <c r="BW593" s="147"/>
      <c r="BX593" s="147"/>
      <c r="BY593" s="147"/>
      <c r="BZ593" s="147"/>
      <c r="CA593" s="147"/>
      <c r="CB593" s="147"/>
      <c r="CC593" s="147"/>
      <c r="CD593" s="147"/>
      <c r="CE593" s="147"/>
      <c r="CF593" s="147"/>
      <c r="CG593" s="147"/>
      <c r="CH593" s="147"/>
      <c r="CI593" s="147"/>
      <c r="CJ593" s="147"/>
      <c r="CK593" s="147"/>
    </row>
    <row r="594" spans="1:89">
      <c r="A594" s="157"/>
      <c r="F594" s="3"/>
      <c r="G594" s="3"/>
      <c r="L594" s="157"/>
      <c r="M594" s="157"/>
      <c r="O594" s="147"/>
      <c r="P594" s="147"/>
      <c r="Q594" s="147"/>
      <c r="R594" s="147"/>
      <c r="S594" s="147"/>
      <c r="T594" s="147"/>
      <c r="U594" s="147"/>
      <c r="V594" s="147"/>
      <c r="W594" s="147"/>
      <c r="X594" s="147"/>
      <c r="Y594" s="147"/>
      <c r="Z594" s="147"/>
      <c r="AA594" s="147"/>
      <c r="AB594" s="147"/>
      <c r="AC594" s="147"/>
      <c r="AD594" s="147"/>
      <c r="AE594" s="147"/>
      <c r="AF594" s="147"/>
      <c r="AG594" s="147"/>
      <c r="AH594" s="147"/>
      <c r="AI594" s="147"/>
      <c r="AJ594" s="147"/>
      <c r="AK594" s="147"/>
      <c r="AL594" s="147"/>
      <c r="AM594" s="151"/>
      <c r="AN594" s="147"/>
      <c r="AO594" s="147"/>
      <c r="AP594" s="147"/>
      <c r="AQ594" s="147"/>
      <c r="AR594" s="147"/>
      <c r="AS594" s="147"/>
      <c r="AT594" s="147"/>
      <c r="AU594" s="147"/>
      <c r="AV594" s="147"/>
      <c r="AW594" s="147"/>
      <c r="AX594" s="147"/>
      <c r="AY594" s="147"/>
      <c r="AZ594" s="147"/>
      <c r="BA594" s="147"/>
      <c r="BB594" s="147"/>
      <c r="BC594" s="147"/>
      <c r="BD594" s="147"/>
      <c r="BE594" s="147"/>
      <c r="BF594" s="147"/>
      <c r="BG594" s="147"/>
      <c r="BH594" s="147"/>
      <c r="BI594" s="147"/>
      <c r="BJ594" s="147"/>
      <c r="BK594" s="147"/>
      <c r="BL594" s="147"/>
      <c r="BM594" s="147"/>
      <c r="BN594" s="147"/>
      <c r="BO594" s="147"/>
      <c r="BP594" s="147"/>
      <c r="BQ594" s="147"/>
      <c r="BR594" s="147"/>
      <c r="BS594" s="147"/>
      <c r="BT594" s="147"/>
      <c r="BU594" s="147"/>
      <c r="BV594" s="147"/>
      <c r="BW594" s="147"/>
      <c r="BX594" s="147"/>
      <c r="BY594" s="147"/>
      <c r="BZ594" s="147"/>
      <c r="CA594" s="147"/>
      <c r="CB594" s="147"/>
      <c r="CC594" s="147"/>
      <c r="CD594" s="147"/>
      <c r="CE594" s="147"/>
      <c r="CF594" s="147"/>
      <c r="CG594" s="147"/>
      <c r="CH594" s="147"/>
      <c r="CI594" s="147"/>
      <c r="CJ594" s="147"/>
      <c r="CK594" s="147"/>
    </row>
    <row r="595" spans="1:89">
      <c r="A595" s="157"/>
      <c r="F595" s="3"/>
      <c r="G595" s="3"/>
      <c r="L595" s="157"/>
      <c r="M595" s="157"/>
      <c r="O595" s="147"/>
      <c r="P595" s="147"/>
      <c r="Q595" s="147"/>
      <c r="R595" s="147"/>
      <c r="S595" s="147"/>
      <c r="T595" s="147"/>
      <c r="U595" s="147"/>
      <c r="V595" s="147"/>
      <c r="W595" s="147"/>
      <c r="X595" s="147"/>
      <c r="Y595" s="147"/>
      <c r="Z595" s="147"/>
      <c r="AA595" s="147"/>
      <c r="AB595" s="147"/>
      <c r="AC595" s="147"/>
      <c r="AD595" s="147"/>
      <c r="AE595" s="147"/>
      <c r="AF595" s="147"/>
      <c r="AG595" s="147"/>
      <c r="AH595" s="147"/>
      <c r="AI595" s="147"/>
      <c r="AJ595" s="147"/>
      <c r="AK595" s="147"/>
      <c r="AL595" s="147"/>
      <c r="AM595" s="151"/>
      <c r="AN595" s="147"/>
      <c r="AO595" s="147"/>
      <c r="AP595" s="147"/>
      <c r="AQ595" s="147"/>
      <c r="AR595" s="147"/>
      <c r="AS595" s="147"/>
      <c r="AT595" s="147"/>
      <c r="AU595" s="147"/>
      <c r="AV595" s="147"/>
      <c r="AW595" s="147"/>
      <c r="AX595" s="147"/>
      <c r="AY595" s="147"/>
      <c r="AZ595" s="147"/>
      <c r="BA595" s="147"/>
      <c r="BB595" s="147"/>
      <c r="BC595" s="147"/>
      <c r="BD595" s="147"/>
      <c r="BE595" s="147"/>
      <c r="BF595" s="147"/>
      <c r="BG595" s="147"/>
      <c r="BH595" s="147"/>
      <c r="BI595" s="147"/>
      <c r="BJ595" s="147"/>
      <c r="BK595" s="147"/>
      <c r="BL595" s="147"/>
      <c r="BM595" s="147"/>
      <c r="BN595" s="147"/>
      <c r="BO595" s="147"/>
      <c r="BP595" s="147"/>
      <c r="BQ595" s="147"/>
      <c r="BR595" s="147"/>
      <c r="BS595" s="147"/>
      <c r="BT595" s="147"/>
      <c r="BU595" s="147"/>
      <c r="BV595" s="147"/>
      <c r="BW595" s="147"/>
      <c r="BX595" s="147"/>
      <c r="BY595" s="147"/>
      <c r="BZ595" s="147"/>
      <c r="CA595" s="147"/>
      <c r="CB595" s="147"/>
      <c r="CC595" s="147"/>
      <c r="CD595" s="147"/>
      <c r="CE595" s="147"/>
      <c r="CF595" s="147"/>
      <c r="CG595" s="147"/>
      <c r="CH595" s="147"/>
      <c r="CI595" s="147"/>
      <c r="CJ595" s="147"/>
      <c r="CK595" s="147"/>
    </row>
    <row r="596" spans="1:89">
      <c r="A596" s="157"/>
      <c r="F596" s="3"/>
      <c r="G596" s="3"/>
      <c r="L596" s="157"/>
      <c r="M596" s="157"/>
      <c r="O596" s="147"/>
      <c r="P596" s="147"/>
      <c r="Q596" s="147"/>
      <c r="R596" s="147"/>
      <c r="S596" s="147"/>
      <c r="T596" s="147"/>
      <c r="U596" s="147"/>
      <c r="V596" s="147"/>
      <c r="W596" s="147"/>
      <c r="X596" s="147"/>
      <c r="Y596" s="147"/>
      <c r="Z596" s="147"/>
      <c r="AA596" s="147"/>
      <c r="AB596" s="147"/>
      <c r="AC596" s="147"/>
      <c r="AD596" s="147"/>
      <c r="AE596" s="147"/>
      <c r="AF596" s="147"/>
      <c r="AG596" s="147"/>
      <c r="AH596" s="147"/>
      <c r="AI596" s="147"/>
      <c r="AJ596" s="147"/>
      <c r="AK596" s="147"/>
      <c r="AL596" s="147"/>
      <c r="AM596" s="151"/>
      <c r="AN596" s="147"/>
      <c r="AO596" s="147"/>
      <c r="AP596" s="147"/>
      <c r="AQ596" s="147"/>
      <c r="AR596" s="147"/>
      <c r="AS596" s="147"/>
      <c r="AT596" s="147"/>
      <c r="AU596" s="147"/>
      <c r="AV596" s="147"/>
      <c r="AW596" s="147"/>
      <c r="AX596" s="147"/>
      <c r="AY596" s="147"/>
      <c r="AZ596" s="147"/>
      <c r="BA596" s="147"/>
      <c r="BB596" s="147"/>
      <c r="BC596" s="147"/>
      <c r="BD596" s="147"/>
      <c r="BE596" s="147"/>
      <c r="BF596" s="147"/>
      <c r="BG596" s="147"/>
      <c r="BH596" s="147"/>
      <c r="BI596" s="147"/>
      <c r="BJ596" s="147"/>
      <c r="BK596" s="147"/>
      <c r="BL596" s="147"/>
      <c r="BM596" s="147"/>
      <c r="BN596" s="147"/>
      <c r="BO596" s="147"/>
      <c r="BP596" s="147"/>
      <c r="BQ596" s="147"/>
      <c r="BR596" s="147"/>
      <c r="BS596" s="147"/>
      <c r="BT596" s="147"/>
      <c r="BU596" s="147"/>
      <c r="BV596" s="147"/>
      <c r="BW596" s="147"/>
      <c r="BX596" s="147"/>
      <c r="BY596" s="147"/>
      <c r="BZ596" s="147"/>
      <c r="CA596" s="147"/>
      <c r="CB596" s="147"/>
      <c r="CC596" s="147"/>
      <c r="CD596" s="147"/>
      <c r="CE596" s="147"/>
      <c r="CF596" s="147"/>
      <c r="CG596" s="147"/>
      <c r="CH596" s="147"/>
      <c r="CI596" s="147"/>
      <c r="CJ596" s="147"/>
      <c r="CK596" s="147"/>
    </row>
    <row r="597" spans="1:89">
      <c r="A597" s="157"/>
      <c r="F597" s="3"/>
      <c r="G597" s="3"/>
      <c r="L597" s="157"/>
      <c r="M597" s="157"/>
      <c r="O597" s="147"/>
      <c r="P597" s="147"/>
      <c r="Q597" s="147"/>
      <c r="R597" s="147"/>
      <c r="S597" s="147"/>
      <c r="T597" s="147"/>
      <c r="U597" s="147"/>
      <c r="V597" s="147"/>
      <c r="W597" s="147"/>
      <c r="X597" s="147"/>
      <c r="Y597" s="147"/>
      <c r="Z597" s="147"/>
      <c r="AA597" s="147"/>
      <c r="AB597" s="147"/>
      <c r="AC597" s="147"/>
      <c r="AD597" s="147"/>
      <c r="AE597" s="147"/>
      <c r="AF597" s="147"/>
      <c r="AG597" s="147"/>
      <c r="AH597" s="147"/>
      <c r="AI597" s="147"/>
      <c r="AJ597" s="147"/>
      <c r="AK597" s="147"/>
      <c r="AL597" s="147"/>
      <c r="AM597" s="151"/>
      <c r="AN597" s="147"/>
      <c r="AO597" s="147"/>
      <c r="AP597" s="147"/>
      <c r="AQ597" s="147"/>
      <c r="AR597" s="147"/>
      <c r="AS597" s="147"/>
      <c r="AT597" s="147"/>
      <c r="AU597" s="147"/>
      <c r="AV597" s="147"/>
      <c r="AW597" s="147"/>
      <c r="AX597" s="147"/>
      <c r="AY597" s="147"/>
      <c r="AZ597" s="147"/>
      <c r="BA597" s="147"/>
      <c r="BB597" s="147"/>
      <c r="BC597" s="147"/>
      <c r="BD597" s="147"/>
      <c r="BE597" s="147"/>
      <c r="BF597" s="147"/>
      <c r="BG597" s="147"/>
      <c r="BH597" s="147"/>
      <c r="BI597" s="147"/>
      <c r="BJ597" s="147"/>
      <c r="BK597" s="147"/>
      <c r="BL597" s="147"/>
      <c r="BM597" s="147"/>
      <c r="BN597" s="147"/>
      <c r="BO597" s="147"/>
      <c r="BP597" s="147"/>
      <c r="BQ597" s="147"/>
      <c r="BR597" s="147"/>
      <c r="BS597" s="147"/>
      <c r="BT597" s="147"/>
      <c r="BU597" s="147"/>
      <c r="BV597" s="147"/>
      <c r="BW597" s="147"/>
      <c r="BX597" s="147"/>
      <c r="BY597" s="147"/>
      <c r="BZ597" s="147"/>
      <c r="CA597" s="147"/>
      <c r="CB597" s="147"/>
      <c r="CC597" s="147"/>
      <c r="CD597" s="147"/>
      <c r="CE597" s="147"/>
      <c r="CF597" s="147"/>
      <c r="CG597" s="147"/>
      <c r="CH597" s="147"/>
      <c r="CI597" s="147"/>
      <c r="CJ597" s="147"/>
      <c r="CK597" s="147"/>
    </row>
    <row r="598" spans="1:89">
      <c r="A598" s="157"/>
      <c r="F598" s="3"/>
      <c r="G598" s="3"/>
      <c r="L598" s="157"/>
      <c r="M598" s="157"/>
      <c r="O598" s="147"/>
      <c r="P598" s="147"/>
      <c r="Q598" s="147"/>
      <c r="R598" s="147"/>
      <c r="S598" s="147"/>
      <c r="T598" s="147"/>
      <c r="U598" s="147"/>
      <c r="V598" s="147"/>
      <c r="W598" s="147"/>
      <c r="X598" s="147"/>
      <c r="Y598" s="147"/>
      <c r="Z598" s="147"/>
      <c r="AA598" s="147"/>
      <c r="AB598" s="147"/>
      <c r="AC598" s="147"/>
      <c r="AD598" s="147"/>
      <c r="AE598" s="147"/>
      <c r="AF598" s="147"/>
      <c r="AG598" s="147"/>
      <c r="AH598" s="147"/>
      <c r="AI598" s="147"/>
      <c r="AJ598" s="147"/>
      <c r="AK598" s="147"/>
      <c r="AL598" s="147"/>
      <c r="AM598" s="151"/>
      <c r="AN598" s="147"/>
      <c r="AO598" s="147"/>
      <c r="AP598" s="147"/>
      <c r="AQ598" s="147"/>
      <c r="AR598" s="147"/>
      <c r="AS598" s="147"/>
      <c r="AT598" s="147"/>
      <c r="AU598" s="147"/>
      <c r="AV598" s="147"/>
      <c r="AW598" s="147"/>
      <c r="AX598" s="147"/>
      <c r="AY598" s="147"/>
      <c r="AZ598" s="147"/>
      <c r="BA598" s="147"/>
      <c r="BB598" s="147"/>
      <c r="BC598" s="147"/>
      <c r="BD598" s="147"/>
      <c r="BE598" s="147"/>
      <c r="BF598" s="147"/>
      <c r="BG598" s="147"/>
      <c r="BH598" s="147"/>
      <c r="BI598" s="147"/>
      <c r="BJ598" s="147"/>
      <c r="BK598" s="147"/>
      <c r="BL598" s="147"/>
      <c r="BM598" s="147"/>
      <c r="BN598" s="147"/>
      <c r="BO598" s="147"/>
      <c r="BP598" s="147"/>
      <c r="BQ598" s="147"/>
      <c r="BR598" s="147"/>
      <c r="BS598" s="147"/>
      <c r="BT598" s="147"/>
      <c r="BU598" s="147"/>
      <c r="BV598" s="147"/>
      <c r="BW598" s="147"/>
      <c r="BX598" s="147"/>
      <c r="BY598" s="147"/>
      <c r="BZ598" s="147"/>
      <c r="CA598" s="147"/>
      <c r="CB598" s="147"/>
      <c r="CC598" s="147"/>
      <c r="CD598" s="147"/>
      <c r="CE598" s="147"/>
      <c r="CF598" s="147"/>
      <c r="CG598" s="147"/>
      <c r="CH598" s="147"/>
      <c r="CI598" s="147"/>
      <c r="CJ598" s="147"/>
      <c r="CK598" s="147"/>
    </row>
    <row r="599" spans="1:89">
      <c r="A599" s="157"/>
      <c r="F599" s="3"/>
      <c r="G599" s="3"/>
      <c r="L599" s="157"/>
      <c r="M599" s="157"/>
      <c r="O599" s="147"/>
      <c r="P599" s="147"/>
      <c r="Q599" s="147"/>
      <c r="R599" s="147"/>
      <c r="S599" s="147"/>
      <c r="T599" s="147"/>
      <c r="U599" s="147"/>
      <c r="V599" s="147"/>
      <c r="W599" s="147"/>
      <c r="X599" s="147"/>
      <c r="Y599" s="147"/>
      <c r="Z599" s="147"/>
      <c r="AA599" s="147"/>
      <c r="AB599" s="147"/>
      <c r="AC599" s="147"/>
      <c r="AD599" s="147"/>
      <c r="AE599" s="147"/>
      <c r="AF599" s="147"/>
      <c r="AG599" s="147"/>
      <c r="AH599" s="147"/>
      <c r="AI599" s="147"/>
      <c r="AJ599" s="147"/>
      <c r="AK599" s="147"/>
      <c r="AL599" s="147"/>
      <c r="AM599" s="151"/>
      <c r="AN599" s="147"/>
      <c r="AO599" s="147"/>
      <c r="AP599" s="147"/>
      <c r="AQ599" s="147"/>
      <c r="AR599" s="147"/>
      <c r="AS599" s="147"/>
      <c r="AT599" s="147"/>
      <c r="AU599" s="147"/>
      <c r="AV599" s="147"/>
      <c r="AW599" s="147"/>
      <c r="AX599" s="147"/>
      <c r="AY599" s="147"/>
      <c r="AZ599" s="147"/>
      <c r="BA599" s="147"/>
      <c r="BB599" s="147"/>
      <c r="BC599" s="147"/>
      <c r="BD599" s="147"/>
      <c r="BE599" s="147"/>
      <c r="BF599" s="147"/>
      <c r="BG599" s="147"/>
      <c r="BH599" s="147"/>
      <c r="BI599" s="147"/>
      <c r="BJ599" s="147"/>
      <c r="BK599" s="147"/>
      <c r="BL599" s="147"/>
      <c r="BM599" s="147"/>
      <c r="BN599" s="147"/>
      <c r="BO599" s="147"/>
      <c r="BP599" s="147"/>
      <c r="BQ599" s="147"/>
      <c r="BR599" s="147"/>
      <c r="BS599" s="147"/>
      <c r="BT599" s="147"/>
      <c r="BU599" s="147"/>
      <c r="BV599" s="147"/>
      <c r="BW599" s="147"/>
      <c r="BX599" s="147"/>
      <c r="BY599" s="147"/>
      <c r="BZ599" s="147"/>
      <c r="CA599" s="147"/>
      <c r="CB599" s="147"/>
      <c r="CC599" s="147"/>
      <c r="CD599" s="147"/>
      <c r="CE599" s="147"/>
      <c r="CF599" s="147"/>
      <c r="CG599" s="147"/>
      <c r="CH599" s="147"/>
      <c r="CI599" s="147"/>
      <c r="CJ599" s="147"/>
      <c r="CK599" s="147"/>
    </row>
    <row r="600" spans="1:89">
      <c r="A600" s="157"/>
      <c r="F600" s="3"/>
      <c r="G600" s="3"/>
      <c r="L600" s="157"/>
      <c r="M600" s="157"/>
      <c r="O600" s="147"/>
      <c r="P600" s="147"/>
      <c r="Q600" s="147"/>
      <c r="R600" s="147"/>
      <c r="S600" s="147"/>
      <c r="T600" s="147"/>
      <c r="U600" s="147"/>
      <c r="V600" s="147"/>
      <c r="W600" s="147"/>
      <c r="X600" s="147"/>
      <c r="Y600" s="147"/>
      <c r="Z600" s="147"/>
      <c r="AA600" s="147"/>
      <c r="AB600" s="147"/>
      <c r="AC600" s="147"/>
      <c r="AD600" s="147"/>
      <c r="AE600" s="147"/>
      <c r="AF600" s="147"/>
      <c r="AG600" s="147"/>
      <c r="AH600" s="147"/>
      <c r="AI600" s="147"/>
      <c r="AJ600" s="147"/>
      <c r="AK600" s="147"/>
      <c r="AL600" s="147"/>
      <c r="AM600" s="151"/>
      <c r="AN600" s="147"/>
      <c r="AO600" s="147"/>
      <c r="AP600" s="147"/>
      <c r="AQ600" s="147"/>
      <c r="AR600" s="147"/>
      <c r="AS600" s="147"/>
      <c r="AT600" s="147"/>
      <c r="AU600" s="147"/>
      <c r="AV600" s="147"/>
      <c r="AW600" s="147"/>
      <c r="AX600" s="147"/>
      <c r="AY600" s="147"/>
      <c r="AZ600" s="147"/>
      <c r="BA600" s="147"/>
      <c r="BB600" s="147"/>
      <c r="BC600" s="147"/>
      <c r="BD600" s="147"/>
      <c r="BE600" s="147"/>
      <c r="BF600" s="147"/>
      <c r="BG600" s="147"/>
      <c r="BH600" s="147"/>
      <c r="BI600" s="147"/>
      <c r="BJ600" s="147"/>
      <c r="BK600" s="147"/>
      <c r="BL600" s="147"/>
      <c r="BM600" s="147"/>
      <c r="BN600" s="147"/>
      <c r="BO600" s="147"/>
      <c r="BP600" s="147"/>
      <c r="BQ600" s="147"/>
      <c r="BR600" s="147"/>
      <c r="BS600" s="147"/>
      <c r="BT600" s="147"/>
      <c r="BU600" s="147"/>
      <c r="BV600" s="147"/>
      <c r="BW600" s="147"/>
      <c r="BX600" s="147"/>
      <c r="BY600" s="147"/>
      <c r="BZ600" s="147"/>
      <c r="CA600" s="147"/>
      <c r="CB600" s="147"/>
      <c r="CC600" s="147"/>
      <c r="CD600" s="147"/>
      <c r="CE600" s="147"/>
      <c r="CF600" s="147"/>
      <c r="CG600" s="147"/>
      <c r="CH600" s="147"/>
      <c r="CI600" s="147"/>
      <c r="CJ600" s="147"/>
      <c r="CK600" s="147"/>
    </row>
    <row r="601" spans="1:89">
      <c r="A601" s="157"/>
      <c r="F601" s="3"/>
      <c r="G601" s="3"/>
      <c r="L601" s="157"/>
      <c r="M601" s="157"/>
      <c r="O601" s="147"/>
      <c r="P601" s="147"/>
      <c r="Q601" s="147"/>
      <c r="R601" s="147"/>
      <c r="S601" s="147"/>
      <c r="T601" s="147"/>
      <c r="U601" s="147"/>
      <c r="V601" s="147"/>
      <c r="W601" s="147"/>
      <c r="X601" s="147"/>
      <c r="Y601" s="147"/>
      <c r="Z601" s="147"/>
      <c r="AA601" s="147"/>
      <c r="AB601" s="147"/>
      <c r="AC601" s="147"/>
      <c r="AD601" s="147"/>
      <c r="AE601" s="147"/>
      <c r="AF601" s="147"/>
      <c r="AG601" s="147"/>
      <c r="AH601" s="147"/>
      <c r="AI601" s="147"/>
      <c r="AJ601" s="147"/>
      <c r="AK601" s="147"/>
      <c r="AL601" s="147"/>
      <c r="AM601" s="151"/>
      <c r="AN601" s="147"/>
      <c r="AO601" s="147"/>
      <c r="AP601" s="147"/>
      <c r="AQ601" s="147"/>
      <c r="AR601" s="147"/>
      <c r="AS601" s="147"/>
      <c r="AT601" s="147"/>
      <c r="AU601" s="147"/>
      <c r="AV601" s="147"/>
      <c r="AW601" s="147"/>
      <c r="AX601" s="147"/>
      <c r="AY601" s="147"/>
      <c r="AZ601" s="147"/>
      <c r="BA601" s="147"/>
      <c r="BB601" s="147"/>
      <c r="BC601" s="147"/>
      <c r="BD601" s="147"/>
      <c r="BE601" s="147"/>
      <c r="BF601" s="147"/>
      <c r="BG601" s="147"/>
      <c r="BH601" s="147"/>
      <c r="BI601" s="147"/>
      <c r="BJ601" s="147"/>
      <c r="BK601" s="147"/>
      <c r="BL601" s="147"/>
      <c r="BM601" s="147"/>
      <c r="BN601" s="147"/>
      <c r="BO601" s="147"/>
      <c r="BP601" s="147"/>
      <c r="BQ601" s="147"/>
      <c r="BR601" s="147"/>
      <c r="BS601" s="147"/>
      <c r="BT601" s="147"/>
      <c r="BU601" s="147"/>
      <c r="BV601" s="147"/>
      <c r="BW601" s="147"/>
      <c r="BX601" s="147"/>
      <c r="BY601" s="147"/>
      <c r="BZ601" s="147"/>
      <c r="CA601" s="147"/>
      <c r="CB601" s="147"/>
      <c r="CC601" s="147"/>
      <c r="CD601" s="147"/>
      <c r="CE601" s="147"/>
      <c r="CF601" s="147"/>
      <c r="CG601" s="147"/>
      <c r="CH601" s="147"/>
      <c r="CI601" s="147"/>
      <c r="CJ601" s="147"/>
      <c r="CK601" s="147"/>
    </row>
    <row r="602" spans="1:89">
      <c r="A602" s="157"/>
      <c r="F602" s="3"/>
      <c r="G602" s="3"/>
      <c r="L602" s="157"/>
      <c r="M602" s="157"/>
      <c r="O602" s="147"/>
      <c r="P602" s="147"/>
      <c r="Q602" s="147"/>
      <c r="R602" s="147"/>
      <c r="S602" s="147"/>
      <c r="T602" s="147"/>
      <c r="U602" s="147"/>
      <c r="V602" s="147"/>
      <c r="W602" s="147"/>
      <c r="X602" s="147"/>
      <c r="Y602" s="147"/>
      <c r="Z602" s="147"/>
      <c r="AA602" s="147"/>
      <c r="AB602" s="147"/>
      <c r="AC602" s="147"/>
      <c r="AD602" s="147"/>
      <c r="AE602" s="147"/>
      <c r="AF602" s="147"/>
      <c r="AG602" s="147"/>
      <c r="AH602" s="147"/>
      <c r="AI602" s="147"/>
      <c r="AJ602" s="147"/>
      <c r="AK602" s="147"/>
      <c r="AL602" s="147"/>
      <c r="AM602" s="151"/>
      <c r="AN602" s="147"/>
      <c r="AO602" s="147"/>
      <c r="AP602" s="147"/>
      <c r="AQ602" s="147"/>
      <c r="AR602" s="147"/>
      <c r="AS602" s="147"/>
      <c r="AT602" s="147"/>
      <c r="AU602" s="147"/>
      <c r="AV602" s="147"/>
      <c r="AW602" s="147"/>
      <c r="AX602" s="147"/>
      <c r="AY602" s="147"/>
      <c r="AZ602" s="147"/>
      <c r="BA602" s="147"/>
      <c r="BB602" s="147"/>
      <c r="BC602" s="147"/>
      <c r="BD602" s="147"/>
      <c r="BE602" s="147"/>
      <c r="BF602" s="147"/>
      <c r="BG602" s="147"/>
      <c r="BH602" s="147"/>
      <c r="BI602" s="147"/>
      <c r="BJ602" s="147"/>
      <c r="BK602" s="147"/>
      <c r="BL602" s="147"/>
      <c r="BM602" s="147"/>
      <c r="BN602" s="147"/>
      <c r="BO602" s="147"/>
      <c r="BP602" s="147"/>
      <c r="BQ602" s="147"/>
      <c r="BR602" s="147"/>
      <c r="BS602" s="147"/>
      <c r="BT602" s="147"/>
      <c r="BU602" s="147"/>
      <c r="BV602" s="147"/>
      <c r="BW602" s="147"/>
      <c r="BX602" s="147"/>
      <c r="BY602" s="147"/>
      <c r="BZ602" s="147"/>
      <c r="CA602" s="147"/>
      <c r="CB602" s="147"/>
      <c r="CC602" s="147"/>
      <c r="CD602" s="147"/>
      <c r="CE602" s="147"/>
      <c r="CF602" s="147"/>
      <c r="CG602" s="147"/>
      <c r="CH602" s="147"/>
      <c r="CI602" s="147"/>
      <c r="CJ602" s="147"/>
      <c r="CK602" s="147"/>
    </row>
    <row r="603" spans="1:89">
      <c r="A603" s="157"/>
      <c r="F603" s="3"/>
      <c r="G603" s="3"/>
      <c r="L603" s="157"/>
      <c r="M603" s="157"/>
      <c r="O603" s="147"/>
      <c r="P603" s="147"/>
      <c r="Q603" s="147"/>
      <c r="R603" s="147"/>
      <c r="S603" s="147"/>
      <c r="T603" s="147"/>
      <c r="U603" s="147"/>
      <c r="V603" s="147"/>
      <c r="W603" s="147"/>
      <c r="X603" s="147"/>
      <c r="Y603" s="147"/>
      <c r="Z603" s="147"/>
      <c r="AA603" s="147"/>
      <c r="AB603" s="147"/>
      <c r="AC603" s="147"/>
      <c r="AD603" s="147"/>
      <c r="AE603" s="147"/>
      <c r="AF603" s="147"/>
      <c r="AG603" s="147"/>
      <c r="AH603" s="147"/>
      <c r="AI603" s="147"/>
      <c r="AJ603" s="147"/>
      <c r="AK603" s="147"/>
      <c r="AL603" s="147"/>
      <c r="AM603" s="151"/>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c r="BI603" s="147"/>
      <c r="BJ603" s="147"/>
      <c r="BK603" s="147"/>
      <c r="BL603" s="147"/>
      <c r="BM603" s="147"/>
      <c r="BN603" s="147"/>
      <c r="BO603" s="147"/>
      <c r="BP603" s="147"/>
      <c r="BQ603" s="147"/>
      <c r="BR603" s="147"/>
      <c r="BS603" s="147"/>
      <c r="BT603" s="147"/>
      <c r="BU603" s="147"/>
      <c r="BV603" s="147"/>
      <c r="BW603" s="147"/>
      <c r="BX603" s="147"/>
      <c r="BY603" s="147"/>
      <c r="BZ603" s="147"/>
      <c r="CA603" s="147"/>
      <c r="CB603" s="147"/>
      <c r="CC603" s="147"/>
      <c r="CD603" s="147"/>
      <c r="CE603" s="147"/>
      <c r="CF603" s="147"/>
      <c r="CG603" s="147"/>
      <c r="CH603" s="147"/>
      <c r="CI603" s="147"/>
      <c r="CJ603" s="147"/>
      <c r="CK603" s="147"/>
    </row>
    <row r="604" spans="1:89">
      <c r="A604" s="157"/>
      <c r="F604" s="3"/>
      <c r="G604" s="3"/>
      <c r="L604" s="157"/>
      <c r="M604" s="157"/>
      <c r="O604" s="147"/>
      <c r="P604" s="147"/>
      <c r="Q604" s="147"/>
      <c r="R604" s="147"/>
      <c r="S604" s="147"/>
      <c r="T604" s="147"/>
      <c r="U604" s="147"/>
      <c r="V604" s="147"/>
      <c r="W604" s="147"/>
      <c r="X604" s="147"/>
      <c r="Y604" s="147"/>
      <c r="Z604" s="147"/>
      <c r="AA604" s="147"/>
      <c r="AB604" s="147"/>
      <c r="AC604" s="147"/>
      <c r="AD604" s="147"/>
      <c r="AE604" s="147"/>
      <c r="AF604" s="147"/>
      <c r="AG604" s="147"/>
      <c r="AH604" s="147"/>
      <c r="AI604" s="147"/>
      <c r="AJ604" s="147"/>
      <c r="AK604" s="147"/>
      <c r="AL604" s="147"/>
      <c r="AM604" s="151"/>
      <c r="AN604" s="147"/>
      <c r="AO604" s="147"/>
      <c r="AP604" s="147"/>
      <c r="AQ604" s="147"/>
      <c r="AR604" s="147"/>
      <c r="AS604" s="147"/>
      <c r="AT604" s="147"/>
      <c r="AU604" s="147"/>
      <c r="AV604" s="147"/>
      <c r="AW604" s="147"/>
      <c r="AX604" s="147"/>
      <c r="AY604" s="147"/>
      <c r="AZ604" s="147"/>
      <c r="BA604" s="147"/>
      <c r="BB604" s="147"/>
      <c r="BC604" s="147"/>
      <c r="BD604" s="147"/>
      <c r="BE604" s="147"/>
      <c r="BF604" s="147"/>
      <c r="BG604" s="147"/>
      <c r="BH604" s="147"/>
      <c r="BI604" s="147"/>
      <c r="BJ604" s="147"/>
      <c r="BK604" s="147"/>
      <c r="BL604" s="147"/>
      <c r="BM604" s="147"/>
      <c r="BN604" s="147"/>
      <c r="BO604" s="147"/>
      <c r="BP604" s="147"/>
      <c r="BQ604" s="147"/>
      <c r="BR604" s="147"/>
      <c r="BS604" s="147"/>
      <c r="BT604" s="147"/>
      <c r="BU604" s="147"/>
      <c r="BV604" s="147"/>
      <c r="BW604" s="147"/>
      <c r="BX604" s="147"/>
      <c r="BY604" s="147"/>
      <c r="BZ604" s="147"/>
      <c r="CA604" s="147"/>
      <c r="CB604" s="147"/>
      <c r="CC604" s="147"/>
      <c r="CD604" s="147"/>
      <c r="CE604" s="147"/>
      <c r="CF604" s="147"/>
      <c r="CG604" s="147"/>
      <c r="CH604" s="147"/>
      <c r="CI604" s="147"/>
      <c r="CJ604" s="147"/>
      <c r="CK604" s="147"/>
    </row>
    <row r="605" spans="1:89">
      <c r="A605" s="157"/>
      <c r="F605" s="3"/>
      <c r="G605" s="3"/>
      <c r="L605" s="157"/>
      <c r="M605" s="157"/>
      <c r="O605" s="147"/>
      <c r="P605" s="147"/>
      <c r="Q605" s="147"/>
      <c r="R605" s="147"/>
      <c r="S605" s="147"/>
      <c r="T605" s="147"/>
      <c r="U605" s="147"/>
      <c r="V605" s="147"/>
      <c r="W605" s="147"/>
      <c r="X605" s="147"/>
      <c r="Y605" s="147"/>
      <c r="Z605" s="147"/>
      <c r="AA605" s="147"/>
      <c r="AB605" s="147"/>
      <c r="AC605" s="147"/>
      <c r="AD605" s="147"/>
      <c r="AE605" s="147"/>
      <c r="AF605" s="147"/>
      <c r="AG605" s="147"/>
      <c r="AH605" s="147"/>
      <c r="AI605" s="147"/>
      <c r="AJ605" s="147"/>
      <c r="AK605" s="147"/>
      <c r="AL605" s="147"/>
      <c r="AM605" s="151"/>
      <c r="AN605" s="147"/>
      <c r="AO605" s="147"/>
      <c r="AP605" s="147"/>
      <c r="AQ605" s="147"/>
      <c r="AR605" s="147"/>
      <c r="AS605" s="147"/>
      <c r="AT605" s="147"/>
      <c r="AU605" s="147"/>
      <c r="AV605" s="147"/>
      <c r="AW605" s="147"/>
      <c r="AX605" s="147"/>
      <c r="AY605" s="147"/>
      <c r="AZ605" s="147"/>
      <c r="BA605" s="147"/>
      <c r="BB605" s="147"/>
      <c r="BC605" s="147"/>
      <c r="BD605" s="147"/>
      <c r="BE605" s="147"/>
      <c r="BF605" s="147"/>
      <c r="BG605" s="147"/>
      <c r="BH605" s="147"/>
      <c r="BI605" s="147"/>
      <c r="BJ605" s="147"/>
      <c r="BK605" s="147"/>
      <c r="BL605" s="147"/>
      <c r="BM605" s="147"/>
      <c r="BN605" s="147"/>
      <c r="BO605" s="147"/>
      <c r="BP605" s="147"/>
      <c r="BQ605" s="147"/>
      <c r="BR605" s="147"/>
      <c r="BS605" s="147"/>
      <c r="BT605" s="147"/>
      <c r="BU605" s="147"/>
      <c r="BV605" s="147"/>
      <c r="BW605" s="147"/>
      <c r="BX605" s="147"/>
      <c r="BY605" s="147"/>
      <c r="BZ605" s="147"/>
      <c r="CA605" s="147"/>
      <c r="CB605" s="147"/>
      <c r="CC605" s="147"/>
      <c r="CD605" s="147"/>
      <c r="CE605" s="147"/>
      <c r="CF605" s="147"/>
      <c r="CG605" s="147"/>
      <c r="CH605" s="147"/>
      <c r="CI605" s="147"/>
      <c r="CJ605" s="147"/>
      <c r="CK605" s="147"/>
    </row>
    <row r="606" spans="1:89">
      <c r="A606" s="157"/>
      <c r="F606" s="3"/>
      <c r="G606" s="3"/>
      <c r="L606" s="157"/>
      <c r="M606" s="157"/>
      <c r="O606" s="147"/>
      <c r="P606" s="147"/>
      <c r="Q606" s="147"/>
      <c r="R606" s="147"/>
      <c r="S606" s="147"/>
      <c r="T606" s="147"/>
      <c r="U606" s="147"/>
      <c r="V606" s="147"/>
      <c r="W606" s="147"/>
      <c r="X606" s="147"/>
      <c r="Y606" s="147"/>
      <c r="Z606" s="147"/>
      <c r="AA606" s="147"/>
      <c r="AB606" s="147"/>
      <c r="AC606" s="147"/>
      <c r="AD606" s="147"/>
      <c r="AE606" s="147"/>
      <c r="AF606" s="147"/>
      <c r="AG606" s="147"/>
      <c r="AH606" s="147"/>
      <c r="AI606" s="147"/>
      <c r="AJ606" s="147"/>
      <c r="AK606" s="147"/>
      <c r="AL606" s="147"/>
      <c r="AM606" s="151"/>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c r="BI606" s="147"/>
      <c r="BJ606" s="147"/>
      <c r="BK606" s="147"/>
      <c r="BL606" s="147"/>
      <c r="BM606" s="147"/>
      <c r="BN606" s="147"/>
      <c r="BO606" s="147"/>
      <c r="BP606" s="147"/>
      <c r="BQ606" s="147"/>
      <c r="BR606" s="147"/>
      <c r="BS606" s="147"/>
      <c r="BT606" s="147"/>
      <c r="BU606" s="147"/>
      <c r="BV606" s="147"/>
      <c r="BW606" s="147"/>
      <c r="BX606" s="147"/>
      <c r="BY606" s="147"/>
      <c r="BZ606" s="147"/>
      <c r="CA606" s="147"/>
      <c r="CB606" s="147"/>
      <c r="CC606" s="147"/>
      <c r="CD606" s="147"/>
      <c r="CE606" s="147"/>
      <c r="CF606" s="147"/>
      <c r="CG606" s="147"/>
      <c r="CH606" s="147"/>
      <c r="CI606" s="147"/>
      <c r="CJ606" s="147"/>
      <c r="CK606" s="147"/>
    </row>
    <row r="607" spans="1:89">
      <c r="A607" s="157"/>
      <c r="F607" s="3"/>
      <c r="G607" s="3"/>
      <c r="L607" s="157"/>
      <c r="M607" s="157"/>
      <c r="O607" s="147"/>
      <c r="P607" s="147"/>
      <c r="Q607" s="147"/>
      <c r="R607" s="147"/>
      <c r="S607" s="147"/>
      <c r="T607" s="147"/>
      <c r="U607" s="147"/>
      <c r="V607" s="147"/>
      <c r="W607" s="147"/>
      <c r="X607" s="147"/>
      <c r="Y607" s="147"/>
      <c r="Z607" s="147"/>
      <c r="AA607" s="147"/>
      <c r="AB607" s="147"/>
      <c r="AC607" s="147"/>
      <c r="AD607" s="147"/>
      <c r="AE607" s="147"/>
      <c r="AF607" s="147"/>
      <c r="AG607" s="147"/>
      <c r="AH607" s="147"/>
      <c r="AI607" s="147"/>
      <c r="AJ607" s="147"/>
      <c r="AK607" s="147"/>
      <c r="AL607" s="147"/>
      <c r="AM607" s="151"/>
      <c r="AN607" s="147"/>
      <c r="AO607" s="147"/>
      <c r="AP607" s="147"/>
      <c r="AQ607" s="147"/>
      <c r="AR607" s="147"/>
      <c r="AS607" s="147"/>
      <c r="AT607" s="147"/>
      <c r="AU607" s="147"/>
      <c r="AV607" s="147"/>
      <c r="AW607" s="147"/>
      <c r="AX607" s="147"/>
      <c r="AY607" s="147"/>
      <c r="AZ607" s="147"/>
      <c r="BA607" s="147"/>
      <c r="BB607" s="147"/>
      <c r="BC607" s="147"/>
      <c r="BD607" s="147"/>
      <c r="BE607" s="147"/>
      <c r="BF607" s="147"/>
      <c r="BG607" s="147"/>
      <c r="BH607" s="147"/>
      <c r="BI607" s="147"/>
      <c r="BJ607" s="147"/>
      <c r="BK607" s="147"/>
      <c r="BL607" s="147"/>
      <c r="BM607" s="147"/>
      <c r="BN607" s="147"/>
      <c r="BO607" s="147"/>
      <c r="BP607" s="147"/>
      <c r="BQ607" s="147"/>
      <c r="BR607" s="147"/>
      <c r="BS607" s="147"/>
      <c r="BT607" s="147"/>
      <c r="BU607" s="147"/>
      <c r="BV607" s="147"/>
      <c r="BW607" s="147"/>
      <c r="BX607" s="147"/>
      <c r="BY607" s="147"/>
      <c r="BZ607" s="147"/>
      <c r="CA607" s="147"/>
      <c r="CB607" s="147"/>
      <c r="CC607" s="147"/>
      <c r="CD607" s="147"/>
      <c r="CE607" s="147"/>
      <c r="CF607" s="147"/>
      <c r="CG607" s="147"/>
      <c r="CH607" s="147"/>
      <c r="CI607" s="147"/>
      <c r="CJ607" s="147"/>
      <c r="CK607" s="147"/>
    </row>
    <row r="608" spans="1:89">
      <c r="A608" s="157"/>
      <c r="F608" s="3"/>
      <c r="G608" s="3"/>
      <c r="L608" s="157"/>
      <c r="M608" s="157"/>
      <c r="O608" s="147"/>
      <c r="P608" s="147"/>
      <c r="Q608" s="147"/>
      <c r="R608" s="147"/>
      <c r="S608" s="147"/>
      <c r="T608" s="147"/>
      <c r="U608" s="147"/>
      <c r="V608" s="147"/>
      <c r="W608" s="147"/>
      <c r="X608" s="147"/>
      <c r="Y608" s="147"/>
      <c r="Z608" s="147"/>
      <c r="AA608" s="147"/>
      <c r="AB608" s="147"/>
      <c r="AC608" s="147"/>
      <c r="AD608" s="147"/>
      <c r="AE608" s="147"/>
      <c r="AF608" s="147"/>
      <c r="AG608" s="147"/>
      <c r="AH608" s="147"/>
      <c r="AI608" s="147"/>
      <c r="AJ608" s="147"/>
      <c r="AK608" s="147"/>
      <c r="AL608" s="147"/>
      <c r="AM608" s="151"/>
      <c r="AN608" s="147"/>
      <c r="AO608" s="147"/>
      <c r="AP608" s="147"/>
      <c r="AQ608" s="147"/>
      <c r="AR608" s="147"/>
      <c r="AS608" s="147"/>
      <c r="AT608" s="147"/>
      <c r="AU608" s="147"/>
      <c r="AV608" s="147"/>
      <c r="AW608" s="147"/>
      <c r="AX608" s="147"/>
      <c r="AY608" s="147"/>
      <c r="AZ608" s="147"/>
      <c r="BA608" s="147"/>
      <c r="BB608" s="147"/>
      <c r="BC608" s="147"/>
      <c r="BD608" s="147"/>
      <c r="BE608" s="147"/>
      <c r="BF608" s="147"/>
      <c r="BG608" s="147"/>
      <c r="BH608" s="147"/>
      <c r="BI608" s="147"/>
      <c r="BJ608" s="147"/>
      <c r="BK608" s="147"/>
      <c r="BL608" s="147"/>
      <c r="BM608" s="147"/>
      <c r="BN608" s="147"/>
      <c r="BO608" s="147"/>
      <c r="BP608" s="147"/>
      <c r="BQ608" s="147"/>
      <c r="BR608" s="147"/>
      <c r="BS608" s="147"/>
      <c r="BT608" s="147"/>
      <c r="BU608" s="147"/>
      <c r="BV608" s="147"/>
      <c r="BW608" s="147"/>
      <c r="BX608" s="147"/>
      <c r="BY608" s="147"/>
      <c r="BZ608" s="147"/>
      <c r="CA608" s="147"/>
      <c r="CB608" s="147"/>
      <c r="CC608" s="147"/>
      <c r="CD608" s="147"/>
      <c r="CE608" s="147"/>
      <c r="CF608" s="147"/>
      <c r="CG608" s="147"/>
      <c r="CH608" s="147"/>
      <c r="CI608" s="147"/>
      <c r="CJ608" s="147"/>
      <c r="CK608" s="147"/>
    </row>
    <row r="609" spans="1:89">
      <c r="A609" s="157"/>
      <c r="F609" s="3"/>
      <c r="G609" s="3"/>
      <c r="L609" s="157"/>
      <c r="M609" s="157"/>
      <c r="O609" s="147"/>
      <c r="P609" s="147"/>
      <c r="Q609" s="147"/>
      <c r="R609" s="147"/>
      <c r="S609" s="147"/>
      <c r="T609" s="147"/>
      <c r="U609" s="147"/>
      <c r="V609" s="147"/>
      <c r="W609" s="147"/>
      <c r="X609" s="147"/>
      <c r="Y609" s="147"/>
      <c r="Z609" s="147"/>
      <c r="AA609" s="147"/>
      <c r="AB609" s="147"/>
      <c r="AC609" s="147"/>
      <c r="AD609" s="147"/>
      <c r="AE609" s="147"/>
      <c r="AF609" s="147"/>
      <c r="AG609" s="147"/>
      <c r="AH609" s="147"/>
      <c r="AI609" s="147"/>
      <c r="AJ609" s="147"/>
      <c r="AK609" s="147"/>
      <c r="AL609" s="147"/>
      <c r="AM609" s="151"/>
      <c r="AN609" s="147"/>
      <c r="AO609" s="147"/>
      <c r="AP609" s="147"/>
      <c r="AQ609" s="147"/>
      <c r="AR609" s="147"/>
      <c r="AS609" s="147"/>
      <c r="AT609" s="147"/>
      <c r="AU609" s="147"/>
      <c r="AV609" s="147"/>
      <c r="AW609" s="147"/>
      <c r="AX609" s="147"/>
      <c r="AY609" s="147"/>
      <c r="AZ609" s="147"/>
      <c r="BA609" s="147"/>
      <c r="BB609" s="147"/>
      <c r="BC609" s="147"/>
      <c r="BD609" s="147"/>
      <c r="BE609" s="147"/>
      <c r="BF609" s="147"/>
      <c r="BG609" s="147"/>
      <c r="BH609" s="147"/>
      <c r="BI609" s="147"/>
      <c r="BJ609" s="147"/>
      <c r="BK609" s="147"/>
      <c r="BL609" s="147"/>
      <c r="BM609" s="147"/>
      <c r="BN609" s="147"/>
      <c r="BO609" s="147"/>
      <c r="BP609" s="147"/>
      <c r="BQ609" s="147"/>
      <c r="BR609" s="147"/>
      <c r="BS609" s="147"/>
      <c r="BT609" s="147"/>
      <c r="BU609" s="147"/>
      <c r="BV609" s="147"/>
      <c r="BW609" s="147"/>
      <c r="BX609" s="147"/>
      <c r="BY609" s="147"/>
      <c r="BZ609" s="147"/>
      <c r="CA609" s="147"/>
      <c r="CB609" s="147"/>
      <c r="CC609" s="147"/>
      <c r="CD609" s="147"/>
      <c r="CE609" s="147"/>
      <c r="CF609" s="147"/>
      <c r="CG609" s="147"/>
      <c r="CH609" s="147"/>
      <c r="CI609" s="147"/>
      <c r="CJ609" s="147"/>
      <c r="CK609" s="147"/>
    </row>
    <row r="610" spans="1:89">
      <c r="A610" s="157"/>
      <c r="F610" s="3"/>
      <c r="G610" s="3"/>
      <c r="L610" s="157"/>
      <c r="M610" s="157"/>
      <c r="O610" s="147"/>
      <c r="P610" s="147"/>
      <c r="Q610" s="147"/>
      <c r="R610" s="147"/>
      <c r="S610" s="147"/>
      <c r="T610" s="147"/>
      <c r="U610" s="147"/>
      <c r="V610" s="147"/>
      <c r="W610" s="147"/>
      <c r="X610" s="147"/>
      <c r="Y610" s="147"/>
      <c r="Z610" s="147"/>
      <c r="AA610" s="147"/>
      <c r="AB610" s="147"/>
      <c r="AC610" s="147"/>
      <c r="AD610" s="147"/>
      <c r="AE610" s="147"/>
      <c r="AF610" s="147"/>
      <c r="AG610" s="147"/>
      <c r="AH610" s="147"/>
      <c r="AI610" s="147"/>
      <c r="AJ610" s="147"/>
      <c r="AK610" s="147"/>
      <c r="AL610" s="147"/>
      <c r="AM610" s="151"/>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c r="BI610" s="147"/>
      <c r="BJ610" s="147"/>
      <c r="BK610" s="147"/>
      <c r="BL610" s="147"/>
      <c r="BM610" s="147"/>
      <c r="BN610" s="147"/>
      <c r="BO610" s="147"/>
      <c r="BP610" s="147"/>
      <c r="BQ610" s="147"/>
      <c r="BR610" s="147"/>
      <c r="BS610" s="147"/>
      <c r="BT610" s="147"/>
      <c r="BU610" s="147"/>
      <c r="BV610" s="147"/>
      <c r="BW610" s="147"/>
      <c r="BX610" s="147"/>
      <c r="BY610" s="147"/>
      <c r="BZ610" s="147"/>
      <c r="CA610" s="147"/>
      <c r="CB610" s="147"/>
      <c r="CC610" s="147"/>
      <c r="CD610" s="147"/>
      <c r="CE610" s="147"/>
      <c r="CF610" s="147"/>
      <c r="CG610" s="147"/>
      <c r="CH610" s="147"/>
      <c r="CI610" s="147"/>
      <c r="CJ610" s="147"/>
      <c r="CK610" s="147"/>
    </row>
    <row r="611" spans="1:89">
      <c r="A611" s="157"/>
      <c r="F611" s="3"/>
      <c r="G611" s="3"/>
      <c r="L611" s="157"/>
      <c r="M611" s="157"/>
      <c r="O611" s="147"/>
      <c r="P611" s="147"/>
      <c r="Q611" s="147"/>
      <c r="R611" s="147"/>
      <c r="S611" s="147"/>
      <c r="T611" s="147"/>
      <c r="U611" s="147"/>
      <c r="V611" s="147"/>
      <c r="W611" s="147"/>
      <c r="X611" s="147"/>
      <c r="Y611" s="147"/>
      <c r="Z611" s="147"/>
      <c r="AA611" s="147"/>
      <c r="AB611" s="147"/>
      <c r="AC611" s="147"/>
      <c r="AD611" s="147"/>
      <c r="AE611" s="147"/>
      <c r="AF611" s="147"/>
      <c r="AG611" s="147"/>
      <c r="AH611" s="147"/>
      <c r="AI611" s="147"/>
      <c r="AJ611" s="147"/>
      <c r="AK611" s="147"/>
      <c r="AL611" s="147"/>
      <c r="AM611" s="151"/>
      <c r="AN611" s="147"/>
      <c r="AO611" s="147"/>
      <c r="AP611" s="147"/>
      <c r="AQ611" s="147"/>
      <c r="AR611" s="147"/>
      <c r="AS611" s="147"/>
      <c r="AT611" s="147"/>
      <c r="AU611" s="147"/>
      <c r="AV611" s="147"/>
      <c r="AW611" s="147"/>
      <c r="AX611" s="147"/>
      <c r="AY611" s="147"/>
      <c r="AZ611" s="147"/>
      <c r="BA611" s="147"/>
      <c r="BB611" s="147"/>
      <c r="BC611" s="147"/>
      <c r="BD611" s="147"/>
      <c r="BE611" s="147"/>
      <c r="BF611" s="147"/>
      <c r="BG611" s="147"/>
      <c r="BH611" s="147"/>
      <c r="BI611" s="147"/>
      <c r="BJ611" s="147"/>
      <c r="BK611" s="147"/>
      <c r="BL611" s="147"/>
      <c r="BM611" s="147"/>
      <c r="BN611" s="147"/>
      <c r="BO611" s="147"/>
      <c r="BP611" s="147"/>
      <c r="BQ611" s="147"/>
      <c r="BR611" s="147"/>
      <c r="BS611" s="147"/>
      <c r="BT611" s="147"/>
      <c r="BU611" s="147"/>
      <c r="BV611" s="147"/>
      <c r="BW611" s="147"/>
      <c r="BX611" s="147"/>
      <c r="BY611" s="147"/>
      <c r="BZ611" s="147"/>
      <c r="CA611" s="147"/>
      <c r="CB611" s="147"/>
      <c r="CC611" s="147"/>
      <c r="CD611" s="147"/>
      <c r="CE611" s="147"/>
      <c r="CF611" s="147"/>
      <c r="CG611" s="147"/>
      <c r="CH611" s="147"/>
      <c r="CI611" s="147"/>
      <c r="CJ611" s="147"/>
      <c r="CK611" s="147"/>
    </row>
    <row r="612" spans="1:89">
      <c r="A612" s="157"/>
      <c r="F612" s="3"/>
      <c r="G612" s="3"/>
      <c r="L612" s="157"/>
      <c r="M612" s="157"/>
      <c r="O612" s="147"/>
      <c r="P612" s="147"/>
      <c r="Q612" s="147"/>
      <c r="R612" s="147"/>
      <c r="S612" s="147"/>
      <c r="T612" s="147"/>
      <c r="U612" s="147"/>
      <c r="V612" s="147"/>
      <c r="W612" s="147"/>
      <c r="X612" s="147"/>
      <c r="Y612" s="147"/>
      <c r="Z612" s="147"/>
      <c r="AA612" s="147"/>
      <c r="AB612" s="147"/>
      <c r="AC612" s="147"/>
      <c r="AD612" s="147"/>
      <c r="AE612" s="147"/>
      <c r="AF612" s="147"/>
      <c r="AG612" s="147"/>
      <c r="AH612" s="147"/>
      <c r="AI612" s="147"/>
      <c r="AJ612" s="147"/>
      <c r="AK612" s="147"/>
      <c r="AL612" s="147"/>
      <c r="AM612" s="151"/>
      <c r="AN612" s="147"/>
      <c r="AO612" s="147"/>
      <c r="AP612" s="147"/>
      <c r="AQ612" s="147"/>
      <c r="AR612" s="147"/>
      <c r="AS612" s="147"/>
      <c r="AT612" s="147"/>
      <c r="AU612" s="147"/>
      <c r="AV612" s="147"/>
      <c r="AW612" s="147"/>
      <c r="AX612" s="147"/>
      <c r="AY612" s="147"/>
      <c r="AZ612" s="147"/>
      <c r="BA612" s="147"/>
      <c r="BB612" s="147"/>
      <c r="BC612" s="147"/>
      <c r="BD612" s="147"/>
      <c r="BE612" s="147"/>
      <c r="BF612" s="147"/>
      <c r="BG612" s="147"/>
      <c r="BH612" s="147"/>
      <c r="BI612" s="147"/>
      <c r="BJ612" s="147"/>
      <c r="BK612" s="147"/>
      <c r="BL612" s="147"/>
      <c r="BM612" s="147"/>
      <c r="BN612" s="147"/>
      <c r="BO612" s="147"/>
      <c r="BP612" s="147"/>
      <c r="BQ612" s="147"/>
      <c r="BR612" s="147"/>
      <c r="BS612" s="147"/>
      <c r="BT612" s="147"/>
      <c r="BU612" s="147"/>
      <c r="BV612" s="147"/>
      <c r="BW612" s="147"/>
      <c r="BX612" s="147"/>
      <c r="BY612" s="147"/>
      <c r="BZ612" s="147"/>
      <c r="CA612" s="147"/>
      <c r="CB612" s="147"/>
      <c r="CC612" s="147"/>
      <c r="CD612" s="147"/>
      <c r="CE612" s="147"/>
      <c r="CF612" s="147"/>
      <c r="CG612" s="147"/>
      <c r="CH612" s="147"/>
      <c r="CI612" s="147"/>
      <c r="CJ612" s="147"/>
      <c r="CK612" s="147"/>
    </row>
    <row r="613" spans="1:89">
      <c r="A613" s="157"/>
      <c r="F613" s="3"/>
      <c r="G613" s="3"/>
      <c r="L613" s="157"/>
      <c r="M613" s="157"/>
      <c r="O613" s="147"/>
      <c r="P613" s="147"/>
      <c r="Q613" s="147"/>
      <c r="R613" s="147"/>
      <c r="S613" s="147"/>
      <c r="T613" s="147"/>
      <c r="U613" s="147"/>
      <c r="V613" s="147"/>
      <c r="W613" s="147"/>
      <c r="X613" s="147"/>
      <c r="Y613" s="147"/>
      <c r="Z613" s="147"/>
      <c r="AA613" s="147"/>
      <c r="AB613" s="147"/>
      <c r="AC613" s="147"/>
      <c r="AD613" s="147"/>
      <c r="AE613" s="147"/>
      <c r="AF613" s="147"/>
      <c r="AG613" s="147"/>
      <c r="AH613" s="147"/>
      <c r="AI613" s="147"/>
      <c r="AJ613" s="147"/>
      <c r="AK613" s="147"/>
      <c r="AL613" s="147"/>
      <c r="AM613" s="151"/>
      <c r="AN613" s="147"/>
      <c r="AO613" s="147"/>
      <c r="AP613" s="147"/>
      <c r="AQ613" s="147"/>
      <c r="AR613" s="147"/>
      <c r="AS613" s="147"/>
      <c r="AT613" s="147"/>
      <c r="AU613" s="147"/>
      <c r="AV613" s="147"/>
      <c r="AW613" s="147"/>
      <c r="AX613" s="147"/>
      <c r="AY613" s="147"/>
      <c r="AZ613" s="147"/>
      <c r="BA613" s="147"/>
      <c r="BB613" s="147"/>
      <c r="BC613" s="147"/>
      <c r="BD613" s="147"/>
      <c r="BE613" s="147"/>
      <c r="BF613" s="147"/>
      <c r="BG613" s="147"/>
      <c r="BH613" s="147"/>
      <c r="BI613" s="147"/>
      <c r="BJ613" s="147"/>
      <c r="BK613" s="147"/>
      <c r="BL613" s="147"/>
      <c r="BM613" s="147"/>
      <c r="BN613" s="147"/>
      <c r="BO613" s="147"/>
      <c r="BP613" s="147"/>
      <c r="BQ613" s="147"/>
      <c r="BR613" s="147"/>
      <c r="BS613" s="147"/>
      <c r="BT613" s="147"/>
      <c r="BU613" s="147"/>
      <c r="BV613" s="147"/>
      <c r="BW613" s="147"/>
      <c r="BX613" s="147"/>
      <c r="BY613" s="147"/>
      <c r="BZ613" s="147"/>
      <c r="CA613" s="147"/>
      <c r="CB613" s="147"/>
      <c r="CC613" s="147"/>
      <c r="CD613" s="147"/>
      <c r="CE613" s="147"/>
      <c r="CF613" s="147"/>
      <c r="CG613" s="147"/>
      <c r="CH613" s="147"/>
      <c r="CI613" s="147"/>
      <c r="CJ613" s="147"/>
      <c r="CK613" s="147"/>
    </row>
    <row r="614" spans="1:89">
      <c r="A614" s="157"/>
      <c r="F614" s="3"/>
      <c r="G614" s="3"/>
      <c r="L614" s="157"/>
      <c r="M614" s="157"/>
      <c r="O614" s="147"/>
      <c r="P614" s="147"/>
      <c r="Q614" s="147"/>
      <c r="R614" s="147"/>
      <c r="S614" s="147"/>
      <c r="T614" s="147"/>
      <c r="U614" s="147"/>
      <c r="V614" s="147"/>
      <c r="W614" s="147"/>
      <c r="X614" s="147"/>
      <c r="Y614" s="147"/>
      <c r="Z614" s="147"/>
      <c r="AA614" s="147"/>
      <c r="AB614" s="147"/>
      <c r="AC614" s="147"/>
      <c r="AD614" s="147"/>
      <c r="AE614" s="147"/>
      <c r="AF614" s="147"/>
      <c r="AG614" s="147"/>
      <c r="AH614" s="147"/>
      <c r="AI614" s="147"/>
      <c r="AJ614" s="147"/>
      <c r="AK614" s="147"/>
      <c r="AL614" s="147"/>
      <c r="AM614" s="151"/>
      <c r="AN614" s="147"/>
      <c r="AO614" s="147"/>
      <c r="AP614" s="147"/>
      <c r="AQ614" s="147"/>
      <c r="AR614" s="147"/>
      <c r="AS614" s="147"/>
      <c r="AT614" s="147"/>
      <c r="AU614" s="147"/>
      <c r="AV614" s="147"/>
      <c r="AW614" s="147"/>
      <c r="AX614" s="147"/>
      <c r="AY614" s="147"/>
      <c r="AZ614" s="147"/>
      <c r="BA614" s="147"/>
      <c r="BB614" s="147"/>
      <c r="BC614" s="147"/>
      <c r="BD614" s="147"/>
      <c r="BE614" s="147"/>
      <c r="BF614" s="147"/>
      <c r="BG614" s="147"/>
      <c r="BH614" s="147"/>
      <c r="BI614" s="147"/>
      <c r="BJ614" s="147"/>
      <c r="BK614" s="147"/>
      <c r="BL614" s="147"/>
      <c r="BM614" s="147"/>
      <c r="BN614" s="147"/>
      <c r="BO614" s="147"/>
      <c r="BP614" s="147"/>
      <c r="BQ614" s="147"/>
      <c r="BR614" s="147"/>
      <c r="BS614" s="147"/>
      <c r="BT614" s="147"/>
      <c r="BU614" s="147"/>
      <c r="BV614" s="147"/>
      <c r="BW614" s="147"/>
      <c r="BX614" s="147"/>
      <c r="BY614" s="147"/>
      <c r="BZ614" s="147"/>
      <c r="CA614" s="147"/>
      <c r="CB614" s="147"/>
      <c r="CC614" s="147"/>
      <c r="CD614" s="147"/>
      <c r="CE614" s="147"/>
      <c r="CF614" s="147"/>
      <c r="CG614" s="147"/>
      <c r="CH614" s="147"/>
      <c r="CI614" s="147"/>
      <c r="CJ614" s="147"/>
      <c r="CK614" s="147"/>
    </row>
    <row r="615" spans="1:89">
      <c r="A615" s="157"/>
      <c r="F615" s="3"/>
      <c r="G615" s="3"/>
      <c r="L615" s="157"/>
      <c r="M615" s="157"/>
      <c r="O615" s="147"/>
      <c r="P615" s="147"/>
      <c r="Q615" s="147"/>
      <c r="R615" s="147"/>
      <c r="S615" s="147"/>
      <c r="T615" s="147"/>
      <c r="U615" s="147"/>
      <c r="V615" s="147"/>
      <c r="W615" s="147"/>
      <c r="X615" s="147"/>
      <c r="Y615" s="147"/>
      <c r="Z615" s="147"/>
      <c r="AA615" s="147"/>
      <c r="AB615" s="147"/>
      <c r="AC615" s="147"/>
      <c r="AD615" s="147"/>
      <c r="AE615" s="147"/>
      <c r="AF615" s="147"/>
      <c r="AG615" s="147"/>
      <c r="AH615" s="147"/>
      <c r="AI615" s="147"/>
      <c r="AJ615" s="147"/>
      <c r="AK615" s="147"/>
      <c r="AL615" s="147"/>
      <c r="AM615" s="151"/>
      <c r="AN615" s="147"/>
      <c r="AO615" s="147"/>
      <c r="AP615" s="147"/>
      <c r="AQ615" s="147"/>
      <c r="AR615" s="147"/>
      <c r="AS615" s="147"/>
      <c r="AT615" s="147"/>
      <c r="AU615" s="147"/>
      <c r="AV615" s="147"/>
      <c r="AW615" s="147"/>
      <c r="AX615" s="147"/>
      <c r="AY615" s="147"/>
      <c r="AZ615" s="147"/>
      <c r="BA615" s="147"/>
      <c r="BB615" s="147"/>
      <c r="BC615" s="147"/>
      <c r="BD615" s="147"/>
      <c r="BE615" s="147"/>
      <c r="BF615" s="147"/>
      <c r="BG615" s="147"/>
      <c r="BH615" s="147"/>
      <c r="BI615" s="147"/>
      <c r="BJ615" s="147"/>
      <c r="BK615" s="147"/>
      <c r="BL615" s="147"/>
      <c r="BM615" s="147"/>
      <c r="BN615" s="147"/>
      <c r="BO615" s="147"/>
      <c r="BP615" s="147"/>
      <c r="BQ615" s="147"/>
      <c r="BR615" s="147"/>
      <c r="BS615" s="147"/>
      <c r="BT615" s="147"/>
      <c r="BU615" s="147"/>
      <c r="BV615" s="147"/>
      <c r="BW615" s="147"/>
      <c r="BX615" s="147"/>
      <c r="BY615" s="147"/>
      <c r="BZ615" s="147"/>
      <c r="CA615" s="147"/>
      <c r="CB615" s="147"/>
      <c r="CC615" s="147"/>
      <c r="CD615" s="147"/>
      <c r="CE615" s="147"/>
      <c r="CF615" s="147"/>
      <c r="CG615" s="147"/>
      <c r="CH615" s="147"/>
      <c r="CI615" s="147"/>
      <c r="CJ615" s="147"/>
      <c r="CK615" s="147"/>
    </row>
    <row r="616" spans="1:89">
      <c r="A616" s="157"/>
      <c r="F616" s="3"/>
      <c r="G616" s="3"/>
      <c r="L616" s="157"/>
      <c r="M616" s="157"/>
      <c r="O616" s="147"/>
      <c r="P616" s="147"/>
      <c r="Q616" s="147"/>
      <c r="R616" s="147"/>
      <c r="S616" s="147"/>
      <c r="T616" s="147"/>
      <c r="U616" s="147"/>
      <c r="V616" s="147"/>
      <c r="W616" s="147"/>
      <c r="X616" s="147"/>
      <c r="Y616" s="147"/>
      <c r="Z616" s="147"/>
      <c r="AA616" s="147"/>
      <c r="AB616" s="147"/>
      <c r="AC616" s="147"/>
      <c r="AD616" s="147"/>
      <c r="AE616" s="147"/>
      <c r="AF616" s="147"/>
      <c r="AG616" s="147"/>
      <c r="AH616" s="147"/>
      <c r="AI616" s="147"/>
      <c r="AJ616" s="147"/>
      <c r="AK616" s="147"/>
      <c r="AL616" s="147"/>
      <c r="AM616" s="151"/>
      <c r="AN616" s="147"/>
      <c r="AO616" s="147"/>
      <c r="AP616" s="147"/>
      <c r="AQ616" s="147"/>
      <c r="AR616" s="147"/>
      <c r="AS616" s="147"/>
      <c r="AT616" s="147"/>
      <c r="AU616" s="147"/>
      <c r="AV616" s="147"/>
      <c r="AW616" s="147"/>
      <c r="AX616" s="147"/>
      <c r="AY616" s="147"/>
      <c r="AZ616" s="147"/>
      <c r="BA616" s="147"/>
      <c r="BB616" s="147"/>
      <c r="BC616" s="147"/>
      <c r="BD616" s="147"/>
      <c r="BE616" s="147"/>
      <c r="BF616" s="147"/>
      <c r="BG616" s="147"/>
      <c r="BH616" s="147"/>
      <c r="BI616" s="147"/>
      <c r="BJ616" s="147"/>
      <c r="BK616" s="147"/>
      <c r="BL616" s="147"/>
      <c r="BM616" s="147"/>
      <c r="BN616" s="147"/>
      <c r="BO616" s="147"/>
      <c r="BP616" s="147"/>
      <c r="BQ616" s="147"/>
      <c r="BR616" s="147"/>
      <c r="BS616" s="147"/>
      <c r="BT616" s="147"/>
      <c r="BU616" s="147"/>
      <c r="BV616" s="147"/>
      <c r="BW616" s="147"/>
      <c r="BX616" s="147"/>
      <c r="BY616" s="147"/>
      <c r="BZ616" s="147"/>
      <c r="CA616" s="147"/>
      <c r="CB616" s="147"/>
      <c r="CC616" s="147"/>
      <c r="CD616" s="147"/>
      <c r="CE616" s="147"/>
      <c r="CF616" s="147"/>
      <c r="CG616" s="147"/>
      <c r="CH616" s="147"/>
      <c r="CI616" s="147"/>
      <c r="CJ616" s="147"/>
      <c r="CK616" s="147"/>
    </row>
    <row r="617" spans="1:89">
      <c r="A617" s="157"/>
      <c r="F617" s="3"/>
      <c r="G617" s="3"/>
      <c r="L617" s="157"/>
      <c r="M617" s="157"/>
      <c r="O617" s="147"/>
      <c r="P617" s="147"/>
      <c r="Q617" s="147"/>
      <c r="R617" s="147"/>
      <c r="S617" s="147"/>
      <c r="T617" s="147"/>
      <c r="U617" s="147"/>
      <c r="V617" s="147"/>
      <c r="W617" s="147"/>
      <c r="X617" s="147"/>
      <c r="Y617" s="147"/>
      <c r="Z617" s="147"/>
      <c r="AA617" s="147"/>
      <c r="AB617" s="147"/>
      <c r="AC617" s="147"/>
      <c r="AD617" s="147"/>
      <c r="AE617" s="147"/>
      <c r="AF617" s="147"/>
      <c r="AG617" s="147"/>
      <c r="AH617" s="147"/>
      <c r="AI617" s="147"/>
      <c r="AJ617" s="147"/>
      <c r="AK617" s="147"/>
      <c r="AL617" s="147"/>
      <c r="AM617" s="151"/>
      <c r="AN617" s="147"/>
      <c r="AO617" s="147"/>
      <c r="AP617" s="147"/>
      <c r="AQ617" s="147"/>
      <c r="AR617" s="147"/>
      <c r="AS617" s="147"/>
      <c r="AT617" s="147"/>
      <c r="AU617" s="147"/>
      <c r="AV617" s="147"/>
      <c r="AW617" s="147"/>
      <c r="AX617" s="147"/>
      <c r="AY617" s="147"/>
      <c r="AZ617" s="147"/>
      <c r="BA617" s="147"/>
      <c r="BB617" s="147"/>
      <c r="BC617" s="147"/>
      <c r="BD617" s="147"/>
      <c r="BE617" s="147"/>
      <c r="BF617" s="147"/>
      <c r="BG617" s="147"/>
      <c r="BH617" s="147"/>
      <c r="BI617" s="147"/>
      <c r="BJ617" s="147"/>
      <c r="BK617" s="147"/>
      <c r="BL617" s="147"/>
      <c r="BM617" s="147"/>
      <c r="BN617" s="147"/>
      <c r="BO617" s="147"/>
      <c r="BP617" s="147"/>
      <c r="BQ617" s="147"/>
      <c r="BR617" s="147"/>
      <c r="BS617" s="147"/>
      <c r="BT617" s="147"/>
      <c r="BU617" s="147"/>
      <c r="BV617" s="147"/>
      <c r="BW617" s="147"/>
      <c r="BX617" s="147"/>
      <c r="BY617" s="147"/>
      <c r="BZ617" s="147"/>
      <c r="CA617" s="147"/>
      <c r="CB617" s="147"/>
      <c r="CC617" s="147"/>
      <c r="CD617" s="147"/>
      <c r="CE617" s="147"/>
      <c r="CF617" s="147"/>
      <c r="CG617" s="147"/>
      <c r="CH617" s="147"/>
      <c r="CI617" s="147"/>
      <c r="CJ617" s="147"/>
      <c r="CK617" s="147"/>
    </row>
    <row r="618" spans="1:89">
      <c r="A618" s="157"/>
      <c r="F618" s="3"/>
      <c r="G618" s="3"/>
      <c r="L618" s="157"/>
      <c r="M618" s="157"/>
      <c r="O618" s="147"/>
      <c r="P618" s="147"/>
      <c r="Q618" s="147"/>
      <c r="R618" s="147"/>
      <c r="S618" s="147"/>
      <c r="T618" s="147"/>
      <c r="U618" s="147"/>
      <c r="V618" s="147"/>
      <c r="W618" s="147"/>
      <c r="X618" s="147"/>
      <c r="Y618" s="147"/>
      <c r="Z618" s="147"/>
      <c r="AA618" s="147"/>
      <c r="AB618" s="147"/>
      <c r="AC618" s="147"/>
      <c r="AD618" s="147"/>
      <c r="AE618" s="147"/>
      <c r="AF618" s="147"/>
      <c r="AG618" s="147"/>
      <c r="AH618" s="147"/>
      <c r="AI618" s="147"/>
      <c r="AJ618" s="147"/>
      <c r="AK618" s="147"/>
      <c r="AL618" s="147"/>
      <c r="AM618" s="151"/>
      <c r="AN618" s="147"/>
      <c r="AO618" s="147"/>
      <c r="AP618" s="147"/>
      <c r="AQ618" s="147"/>
      <c r="AR618" s="147"/>
      <c r="AS618" s="147"/>
      <c r="AT618" s="147"/>
      <c r="AU618" s="147"/>
      <c r="AV618" s="147"/>
      <c r="AW618" s="147"/>
      <c r="AX618" s="147"/>
      <c r="AY618" s="147"/>
      <c r="AZ618" s="147"/>
      <c r="BA618" s="147"/>
      <c r="BB618" s="147"/>
      <c r="BC618" s="147"/>
      <c r="BD618" s="147"/>
      <c r="BE618" s="147"/>
      <c r="BF618" s="147"/>
      <c r="BG618" s="147"/>
      <c r="BH618" s="147"/>
      <c r="BI618" s="147"/>
      <c r="BJ618" s="147"/>
      <c r="BK618" s="147"/>
      <c r="BL618" s="147"/>
      <c r="BM618" s="147"/>
      <c r="BN618" s="147"/>
      <c r="BO618" s="147"/>
      <c r="BP618" s="147"/>
      <c r="BQ618" s="147"/>
      <c r="BR618" s="147"/>
      <c r="BS618" s="147"/>
      <c r="BT618" s="147"/>
      <c r="BU618" s="147"/>
      <c r="BV618" s="147"/>
      <c r="BW618" s="147"/>
      <c r="BX618" s="147"/>
      <c r="BY618" s="147"/>
      <c r="BZ618" s="147"/>
      <c r="CA618" s="147"/>
      <c r="CB618" s="147"/>
      <c r="CC618" s="147"/>
      <c r="CD618" s="147"/>
      <c r="CE618" s="147"/>
      <c r="CF618" s="147"/>
      <c r="CG618" s="147"/>
      <c r="CH618" s="147"/>
      <c r="CI618" s="147"/>
      <c r="CJ618" s="147"/>
      <c r="CK618" s="147"/>
    </row>
    <row r="619" spans="1:89">
      <c r="A619" s="157"/>
      <c r="F619" s="3"/>
      <c r="G619" s="3"/>
      <c r="L619" s="157"/>
      <c r="M619" s="157"/>
      <c r="O619" s="147"/>
      <c r="P619" s="147"/>
      <c r="Q619" s="147"/>
      <c r="R619" s="147"/>
      <c r="S619" s="147"/>
      <c r="T619" s="147"/>
      <c r="U619" s="147"/>
      <c r="V619" s="147"/>
      <c r="W619" s="147"/>
      <c r="X619" s="147"/>
      <c r="Y619" s="147"/>
      <c r="Z619" s="147"/>
      <c r="AA619" s="147"/>
      <c r="AB619" s="147"/>
      <c r="AC619" s="147"/>
      <c r="AD619" s="147"/>
      <c r="AE619" s="147"/>
      <c r="AF619" s="147"/>
      <c r="AG619" s="147"/>
      <c r="AH619" s="147"/>
      <c r="AI619" s="147"/>
      <c r="AJ619" s="147"/>
      <c r="AK619" s="147"/>
      <c r="AL619" s="147"/>
      <c r="AM619" s="151"/>
      <c r="AN619" s="147"/>
      <c r="AO619" s="147"/>
      <c r="AP619" s="147"/>
      <c r="AQ619" s="147"/>
      <c r="AR619" s="147"/>
      <c r="AS619" s="147"/>
      <c r="AT619" s="147"/>
      <c r="AU619" s="147"/>
      <c r="AV619" s="147"/>
      <c r="AW619" s="147"/>
      <c r="AX619" s="147"/>
      <c r="AY619" s="147"/>
      <c r="AZ619" s="147"/>
      <c r="BA619" s="147"/>
      <c r="BB619" s="147"/>
      <c r="BC619" s="147"/>
      <c r="BD619" s="147"/>
      <c r="BE619" s="147"/>
      <c r="BF619" s="147"/>
      <c r="BG619" s="147"/>
      <c r="BH619" s="147"/>
      <c r="BI619" s="147"/>
      <c r="BJ619" s="147"/>
      <c r="BK619" s="147"/>
      <c r="BL619" s="147"/>
      <c r="BM619" s="147"/>
      <c r="BN619" s="147"/>
      <c r="BO619" s="147"/>
      <c r="BP619" s="147"/>
      <c r="BQ619" s="147"/>
      <c r="BR619" s="147"/>
      <c r="BS619" s="147"/>
      <c r="BT619" s="147"/>
      <c r="BU619" s="147"/>
      <c r="BV619" s="147"/>
      <c r="BW619" s="147"/>
      <c r="BX619" s="147"/>
      <c r="BY619" s="147"/>
      <c r="BZ619" s="147"/>
      <c r="CA619" s="147"/>
      <c r="CB619" s="147"/>
      <c r="CC619" s="147"/>
      <c r="CD619" s="147"/>
      <c r="CE619" s="147"/>
      <c r="CF619" s="147"/>
      <c r="CG619" s="147"/>
      <c r="CH619" s="147"/>
      <c r="CI619" s="147"/>
      <c r="CJ619" s="147"/>
      <c r="CK619" s="147"/>
    </row>
    <row r="620" spans="1:89">
      <c r="A620" s="157"/>
      <c r="F620" s="3"/>
      <c r="G620" s="3"/>
      <c r="L620" s="157"/>
      <c r="M620" s="157"/>
      <c r="O620" s="147"/>
      <c r="P620" s="147"/>
      <c r="Q620" s="147"/>
      <c r="R620" s="147"/>
      <c r="S620" s="147"/>
      <c r="T620" s="147"/>
      <c r="U620" s="147"/>
      <c r="V620" s="147"/>
      <c r="W620" s="147"/>
      <c r="X620" s="147"/>
      <c r="Y620" s="147"/>
      <c r="Z620" s="147"/>
      <c r="AA620" s="147"/>
      <c r="AB620" s="147"/>
      <c r="AC620" s="147"/>
      <c r="AD620" s="147"/>
      <c r="AE620" s="147"/>
      <c r="AF620" s="147"/>
      <c r="AG620" s="147"/>
      <c r="AH620" s="147"/>
      <c r="AI620" s="147"/>
      <c r="AJ620" s="147"/>
      <c r="AK620" s="147"/>
      <c r="AL620" s="147"/>
      <c r="AM620" s="151"/>
      <c r="AN620" s="147"/>
      <c r="AO620" s="147"/>
      <c r="AP620" s="147"/>
      <c r="AQ620" s="147"/>
      <c r="AR620" s="147"/>
      <c r="AS620" s="147"/>
      <c r="AT620" s="147"/>
      <c r="AU620" s="147"/>
      <c r="AV620" s="147"/>
      <c r="AW620" s="147"/>
      <c r="AX620" s="147"/>
      <c r="AY620" s="147"/>
      <c r="AZ620" s="147"/>
      <c r="BA620" s="147"/>
      <c r="BB620" s="147"/>
      <c r="BC620" s="147"/>
      <c r="BD620" s="147"/>
      <c r="BE620" s="147"/>
      <c r="BF620" s="147"/>
      <c r="BG620" s="147"/>
      <c r="BH620" s="147"/>
      <c r="BI620" s="147"/>
      <c r="BJ620" s="147"/>
      <c r="BK620" s="147"/>
      <c r="BL620" s="147"/>
      <c r="BM620" s="147"/>
      <c r="BN620" s="147"/>
      <c r="BO620" s="147"/>
      <c r="BP620" s="147"/>
      <c r="BQ620" s="147"/>
      <c r="BR620" s="147"/>
      <c r="BS620" s="147"/>
      <c r="BT620" s="147"/>
      <c r="BU620" s="147"/>
      <c r="BV620" s="147"/>
      <c r="BW620" s="147"/>
      <c r="BX620" s="147"/>
      <c r="BY620" s="147"/>
      <c r="BZ620" s="147"/>
      <c r="CA620" s="147"/>
      <c r="CB620" s="147"/>
      <c r="CC620" s="147"/>
      <c r="CD620" s="147"/>
      <c r="CE620" s="147"/>
      <c r="CF620" s="147"/>
      <c r="CG620" s="147"/>
      <c r="CH620" s="147"/>
      <c r="CI620" s="147"/>
      <c r="CJ620" s="147"/>
      <c r="CK620" s="147"/>
    </row>
    <row r="621" spans="1:89">
      <c r="A621" s="157"/>
      <c r="F621" s="3"/>
      <c r="G621" s="3"/>
      <c r="L621" s="157"/>
      <c r="M621" s="157"/>
      <c r="O621" s="147"/>
      <c r="P621" s="147"/>
      <c r="Q621" s="147"/>
      <c r="R621" s="147"/>
      <c r="S621" s="147"/>
      <c r="T621" s="147"/>
      <c r="U621" s="147"/>
      <c r="V621" s="147"/>
      <c r="W621" s="147"/>
      <c r="X621" s="147"/>
      <c r="Y621" s="147"/>
      <c r="Z621" s="147"/>
      <c r="AA621" s="147"/>
      <c r="AB621" s="147"/>
      <c r="AC621" s="147"/>
      <c r="AD621" s="147"/>
      <c r="AE621" s="147"/>
      <c r="AF621" s="147"/>
      <c r="AG621" s="147"/>
      <c r="AH621" s="147"/>
      <c r="AI621" s="147"/>
      <c r="AJ621" s="147"/>
      <c r="AK621" s="147"/>
      <c r="AL621" s="147"/>
      <c r="AM621" s="151"/>
      <c r="AN621" s="147"/>
      <c r="AO621" s="147"/>
      <c r="AP621" s="147"/>
      <c r="AQ621" s="147"/>
      <c r="AR621" s="147"/>
      <c r="AS621" s="147"/>
      <c r="AT621" s="147"/>
      <c r="AU621" s="147"/>
      <c r="AV621" s="147"/>
      <c r="AW621" s="147"/>
      <c r="AX621" s="147"/>
      <c r="AY621" s="147"/>
      <c r="AZ621" s="147"/>
      <c r="BA621" s="147"/>
      <c r="BB621" s="147"/>
      <c r="BC621" s="147"/>
      <c r="BD621" s="147"/>
      <c r="BE621" s="147"/>
      <c r="BF621" s="147"/>
      <c r="BG621" s="147"/>
      <c r="BH621" s="147"/>
      <c r="BI621" s="147"/>
      <c r="BJ621" s="147"/>
      <c r="BK621" s="147"/>
      <c r="BL621" s="147"/>
      <c r="BM621" s="147"/>
      <c r="BN621" s="147"/>
      <c r="BO621" s="147"/>
      <c r="BP621" s="147"/>
      <c r="BQ621" s="147"/>
      <c r="BR621" s="147"/>
      <c r="BS621" s="147"/>
      <c r="BT621" s="147"/>
      <c r="BU621" s="147"/>
      <c r="BV621" s="147"/>
      <c r="BW621" s="147"/>
      <c r="BX621" s="147"/>
      <c r="BY621" s="147"/>
      <c r="BZ621" s="147"/>
      <c r="CA621" s="147"/>
      <c r="CB621" s="147"/>
      <c r="CC621" s="147"/>
      <c r="CD621" s="147"/>
      <c r="CE621" s="147"/>
      <c r="CF621" s="147"/>
      <c r="CG621" s="147"/>
      <c r="CH621" s="147"/>
      <c r="CI621" s="147"/>
      <c r="CJ621" s="147"/>
      <c r="CK621" s="147"/>
    </row>
    <row r="622" spans="1:89">
      <c r="A622" s="157"/>
      <c r="F622" s="3"/>
      <c r="G622" s="3"/>
      <c r="L622" s="157"/>
      <c r="M622" s="157"/>
      <c r="O622" s="147"/>
      <c r="P622" s="147"/>
      <c r="Q622" s="147"/>
      <c r="R622" s="147"/>
      <c r="S622" s="147"/>
      <c r="T622" s="147"/>
      <c r="U622" s="147"/>
      <c r="V622" s="147"/>
      <c r="W622" s="147"/>
      <c r="X622" s="147"/>
      <c r="Y622" s="147"/>
      <c r="Z622" s="147"/>
      <c r="AA622" s="147"/>
      <c r="AB622" s="147"/>
      <c r="AC622" s="147"/>
      <c r="AD622" s="147"/>
      <c r="AE622" s="147"/>
      <c r="AF622" s="147"/>
      <c r="AG622" s="147"/>
      <c r="AH622" s="147"/>
      <c r="AI622" s="147"/>
      <c r="AJ622" s="147"/>
      <c r="AK622" s="147"/>
      <c r="AL622" s="147"/>
      <c r="AM622" s="151"/>
      <c r="AN622" s="147"/>
      <c r="AO622" s="147"/>
      <c r="AP622" s="147"/>
      <c r="AQ622" s="147"/>
      <c r="AR622" s="147"/>
      <c r="AS622" s="147"/>
      <c r="AT622" s="147"/>
      <c r="AU622" s="147"/>
      <c r="AV622" s="147"/>
      <c r="AW622" s="147"/>
      <c r="AX622" s="147"/>
      <c r="AY622" s="147"/>
      <c r="AZ622" s="147"/>
      <c r="BA622" s="147"/>
      <c r="BB622" s="147"/>
      <c r="BC622" s="147"/>
      <c r="BD622" s="147"/>
      <c r="BE622" s="147"/>
      <c r="BF622" s="147"/>
      <c r="BG622" s="147"/>
      <c r="BH622" s="147"/>
      <c r="BI622" s="147"/>
      <c r="BJ622" s="147"/>
      <c r="BK622" s="147"/>
      <c r="BL622" s="147"/>
      <c r="BM622" s="147"/>
      <c r="BN622" s="147"/>
      <c r="BO622" s="147"/>
      <c r="BP622" s="147"/>
      <c r="BQ622" s="147"/>
      <c r="BR622" s="147"/>
      <c r="BS622" s="147"/>
      <c r="BT622" s="147"/>
      <c r="BU622" s="147"/>
      <c r="BV622" s="147"/>
      <c r="BW622" s="147"/>
      <c r="BX622" s="147"/>
      <c r="BY622" s="147"/>
      <c r="BZ622" s="147"/>
      <c r="CA622" s="147"/>
      <c r="CB622" s="147"/>
      <c r="CC622" s="147"/>
      <c r="CD622" s="147"/>
      <c r="CE622" s="147"/>
      <c r="CF622" s="147"/>
      <c r="CG622" s="147"/>
      <c r="CH622" s="147"/>
      <c r="CI622" s="147"/>
      <c r="CJ622" s="147"/>
      <c r="CK622" s="147"/>
    </row>
    <row r="623" spans="1:89">
      <c r="A623" s="157"/>
      <c r="F623" s="3"/>
      <c r="G623" s="3"/>
      <c r="L623" s="157"/>
      <c r="M623" s="157"/>
      <c r="O623" s="147"/>
      <c r="P623" s="147"/>
      <c r="Q623" s="147"/>
      <c r="R623" s="147"/>
      <c r="S623" s="147"/>
      <c r="T623" s="147"/>
      <c r="U623" s="147"/>
      <c r="V623" s="147"/>
      <c r="W623" s="147"/>
      <c r="X623" s="147"/>
      <c r="Y623" s="147"/>
      <c r="Z623" s="147"/>
      <c r="AA623" s="147"/>
      <c r="AB623" s="147"/>
      <c r="AC623" s="147"/>
      <c r="AD623" s="147"/>
      <c r="AE623" s="147"/>
      <c r="AF623" s="147"/>
      <c r="AG623" s="147"/>
      <c r="AH623" s="147"/>
      <c r="AI623" s="147"/>
      <c r="AJ623" s="147"/>
      <c r="AK623" s="147"/>
      <c r="AL623" s="147"/>
      <c r="AM623" s="151"/>
      <c r="AN623" s="147"/>
      <c r="AO623" s="147"/>
      <c r="AP623" s="147"/>
      <c r="AQ623" s="147"/>
      <c r="AR623" s="147"/>
      <c r="AS623" s="147"/>
      <c r="AT623" s="147"/>
      <c r="AU623" s="147"/>
      <c r="AV623" s="147"/>
      <c r="AW623" s="147"/>
      <c r="AX623" s="147"/>
      <c r="AY623" s="147"/>
      <c r="AZ623" s="147"/>
      <c r="BA623" s="147"/>
      <c r="BB623" s="147"/>
      <c r="BC623" s="147"/>
      <c r="BD623" s="147"/>
      <c r="BE623" s="147"/>
      <c r="BF623" s="147"/>
      <c r="BG623" s="147"/>
      <c r="BH623" s="147"/>
      <c r="BI623" s="147"/>
      <c r="BJ623" s="147"/>
      <c r="BK623" s="147"/>
      <c r="BL623" s="147"/>
      <c r="BM623" s="147"/>
      <c r="BN623" s="147"/>
      <c r="BO623" s="147"/>
      <c r="BP623" s="147"/>
      <c r="BQ623" s="147"/>
      <c r="BR623" s="147"/>
      <c r="BS623" s="147"/>
      <c r="BT623" s="147"/>
      <c r="BU623" s="147"/>
      <c r="BV623" s="147"/>
      <c r="BW623" s="147"/>
      <c r="BX623" s="147"/>
      <c r="BY623" s="147"/>
      <c r="BZ623" s="147"/>
      <c r="CA623" s="147"/>
      <c r="CB623" s="147"/>
      <c r="CC623" s="147"/>
      <c r="CD623" s="147"/>
      <c r="CE623" s="147"/>
      <c r="CF623" s="147"/>
      <c r="CG623" s="147"/>
      <c r="CH623" s="147"/>
      <c r="CI623" s="147"/>
      <c r="CJ623" s="147"/>
      <c r="CK623" s="147"/>
    </row>
    <row r="624" spans="1:89">
      <c r="A624" s="157"/>
      <c r="F624" s="3"/>
      <c r="G624" s="3"/>
      <c r="L624" s="157"/>
      <c r="M624" s="157"/>
      <c r="O624" s="147"/>
      <c r="P624" s="147"/>
      <c r="Q624" s="147"/>
      <c r="R624" s="147"/>
      <c r="S624" s="147"/>
      <c r="T624" s="147"/>
      <c r="U624" s="147"/>
      <c r="V624" s="147"/>
      <c r="W624" s="147"/>
      <c r="X624" s="147"/>
      <c r="Y624" s="147"/>
      <c r="Z624" s="147"/>
      <c r="AA624" s="147"/>
      <c r="AB624" s="147"/>
      <c r="AC624" s="147"/>
      <c r="AD624" s="147"/>
      <c r="AE624" s="147"/>
      <c r="AF624" s="147"/>
      <c r="AG624" s="147"/>
      <c r="AH624" s="147"/>
      <c r="AI624" s="147"/>
      <c r="AJ624" s="147"/>
      <c r="AK624" s="147"/>
      <c r="AL624" s="147"/>
      <c r="AM624" s="151"/>
      <c r="AN624" s="147"/>
      <c r="AO624" s="147"/>
      <c r="AP624" s="147"/>
      <c r="AQ624" s="147"/>
      <c r="AR624" s="147"/>
      <c r="AS624" s="147"/>
      <c r="AT624" s="147"/>
      <c r="AU624" s="147"/>
      <c r="AV624" s="147"/>
      <c r="AW624" s="147"/>
      <c r="AX624" s="147"/>
      <c r="AY624" s="147"/>
      <c r="AZ624" s="147"/>
      <c r="BA624" s="147"/>
      <c r="BB624" s="147"/>
      <c r="BC624" s="147"/>
      <c r="BD624" s="147"/>
      <c r="BE624" s="147"/>
      <c r="BF624" s="147"/>
      <c r="BG624" s="147"/>
      <c r="BH624" s="147"/>
      <c r="BI624" s="147"/>
      <c r="BJ624" s="147"/>
      <c r="BK624" s="147"/>
      <c r="BL624" s="147"/>
      <c r="BM624" s="147"/>
      <c r="BN624" s="147"/>
      <c r="BO624" s="147"/>
      <c r="BP624" s="147"/>
      <c r="BQ624" s="147"/>
      <c r="BR624" s="147"/>
      <c r="BS624" s="147"/>
      <c r="BT624" s="147"/>
      <c r="BU624" s="147"/>
      <c r="BV624" s="147"/>
      <c r="BW624" s="147"/>
      <c r="BX624" s="147"/>
      <c r="BY624" s="147"/>
      <c r="BZ624" s="147"/>
      <c r="CA624" s="147"/>
      <c r="CB624" s="147"/>
      <c r="CC624" s="147"/>
      <c r="CD624" s="147"/>
      <c r="CE624" s="147"/>
      <c r="CF624" s="147"/>
      <c r="CG624" s="147"/>
      <c r="CH624" s="147"/>
      <c r="CI624" s="147"/>
      <c r="CJ624" s="147"/>
      <c r="CK624" s="147"/>
    </row>
    <row r="625" spans="1:89">
      <c r="A625" s="157"/>
      <c r="F625" s="3"/>
      <c r="G625" s="3"/>
      <c r="L625" s="157"/>
      <c r="M625" s="157"/>
      <c r="O625" s="147"/>
      <c r="P625" s="147"/>
      <c r="Q625" s="147"/>
      <c r="R625" s="147"/>
      <c r="S625" s="147"/>
      <c r="T625" s="147"/>
      <c r="U625" s="147"/>
      <c r="V625" s="147"/>
      <c r="W625" s="147"/>
      <c r="X625" s="147"/>
      <c r="Y625" s="147"/>
      <c r="Z625" s="147"/>
      <c r="AA625" s="147"/>
      <c r="AB625" s="147"/>
      <c r="AC625" s="147"/>
      <c r="AD625" s="147"/>
      <c r="AE625" s="147"/>
      <c r="AF625" s="147"/>
      <c r="AG625" s="147"/>
      <c r="AH625" s="147"/>
      <c r="AI625" s="147"/>
      <c r="AJ625" s="147"/>
      <c r="AK625" s="147"/>
      <c r="AL625" s="147"/>
      <c r="AM625" s="151"/>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c r="BI625" s="147"/>
      <c r="BJ625" s="147"/>
      <c r="BK625" s="147"/>
      <c r="BL625" s="147"/>
      <c r="BM625" s="147"/>
      <c r="BN625" s="147"/>
      <c r="BO625" s="147"/>
      <c r="BP625" s="147"/>
      <c r="BQ625" s="147"/>
      <c r="BR625" s="147"/>
      <c r="BS625" s="147"/>
      <c r="BT625" s="147"/>
      <c r="BU625" s="147"/>
      <c r="BV625" s="147"/>
      <c r="BW625" s="147"/>
      <c r="BX625" s="147"/>
      <c r="BY625" s="147"/>
      <c r="BZ625" s="147"/>
      <c r="CA625" s="147"/>
      <c r="CB625" s="147"/>
      <c r="CC625" s="147"/>
      <c r="CD625" s="147"/>
      <c r="CE625" s="147"/>
      <c r="CF625" s="147"/>
      <c r="CG625" s="147"/>
      <c r="CH625" s="147"/>
      <c r="CI625" s="147"/>
      <c r="CJ625" s="147"/>
      <c r="CK625" s="147"/>
    </row>
    <row r="626" spans="1:89">
      <c r="A626" s="157"/>
      <c r="F626" s="3"/>
      <c r="G626" s="3"/>
      <c r="L626" s="157"/>
      <c r="M626" s="157"/>
      <c r="O626" s="147"/>
      <c r="P626" s="147"/>
      <c r="Q626" s="147"/>
      <c r="R626" s="147"/>
      <c r="S626" s="147"/>
      <c r="T626" s="147"/>
      <c r="U626" s="147"/>
      <c r="V626" s="147"/>
      <c r="W626" s="147"/>
      <c r="X626" s="147"/>
      <c r="Y626" s="147"/>
      <c r="Z626" s="147"/>
      <c r="AA626" s="147"/>
      <c r="AB626" s="147"/>
      <c r="AC626" s="147"/>
      <c r="AD626" s="147"/>
      <c r="AE626" s="147"/>
      <c r="AF626" s="147"/>
      <c r="AG626" s="147"/>
      <c r="AH626" s="147"/>
      <c r="AI626" s="147"/>
      <c r="AJ626" s="147"/>
      <c r="AK626" s="147"/>
      <c r="AL626" s="147"/>
      <c r="AM626" s="151"/>
      <c r="AN626" s="147"/>
      <c r="AO626" s="147"/>
      <c r="AP626" s="147"/>
      <c r="AQ626" s="147"/>
      <c r="AR626" s="147"/>
      <c r="AS626" s="147"/>
      <c r="AT626" s="147"/>
      <c r="AU626" s="147"/>
      <c r="AV626" s="147"/>
      <c r="AW626" s="147"/>
      <c r="AX626" s="147"/>
      <c r="AY626" s="147"/>
      <c r="AZ626" s="147"/>
      <c r="BA626" s="147"/>
      <c r="BB626" s="147"/>
      <c r="BC626" s="147"/>
      <c r="BD626" s="147"/>
      <c r="BE626" s="147"/>
      <c r="BF626" s="147"/>
      <c r="BG626" s="147"/>
      <c r="BH626" s="147"/>
      <c r="BI626" s="147"/>
      <c r="BJ626" s="147"/>
      <c r="BK626" s="147"/>
      <c r="BL626" s="147"/>
      <c r="BM626" s="147"/>
      <c r="BN626" s="147"/>
      <c r="BO626" s="147"/>
      <c r="BP626" s="147"/>
      <c r="BQ626" s="147"/>
      <c r="BR626" s="147"/>
      <c r="BS626" s="147"/>
      <c r="BT626" s="147"/>
      <c r="BU626" s="147"/>
      <c r="BV626" s="147"/>
      <c r="BW626" s="147"/>
      <c r="BX626" s="147"/>
      <c r="BY626" s="147"/>
      <c r="BZ626" s="147"/>
      <c r="CA626" s="147"/>
      <c r="CB626" s="147"/>
      <c r="CC626" s="147"/>
      <c r="CD626" s="147"/>
      <c r="CE626" s="147"/>
      <c r="CF626" s="147"/>
      <c r="CG626" s="147"/>
      <c r="CH626" s="147"/>
      <c r="CI626" s="147"/>
      <c r="CJ626" s="147"/>
      <c r="CK626" s="147"/>
    </row>
    <row r="627" spans="1:89">
      <c r="A627" s="157"/>
      <c r="F627" s="3"/>
      <c r="G627" s="3"/>
      <c r="L627" s="157"/>
      <c r="M627" s="157"/>
      <c r="O627" s="147"/>
      <c r="P627" s="147"/>
      <c r="Q627" s="147"/>
      <c r="R627" s="147"/>
      <c r="S627" s="147"/>
      <c r="T627" s="147"/>
      <c r="U627" s="147"/>
      <c r="V627" s="147"/>
      <c r="W627" s="147"/>
      <c r="X627" s="147"/>
      <c r="Y627" s="147"/>
      <c r="Z627" s="147"/>
      <c r="AA627" s="147"/>
      <c r="AB627" s="147"/>
      <c r="AC627" s="147"/>
      <c r="AD627" s="147"/>
      <c r="AE627" s="147"/>
      <c r="AF627" s="147"/>
      <c r="AG627" s="147"/>
      <c r="AH627" s="147"/>
      <c r="AI627" s="147"/>
      <c r="AJ627" s="147"/>
      <c r="AK627" s="147"/>
      <c r="AL627" s="147"/>
      <c r="AM627" s="151"/>
      <c r="AN627" s="147"/>
      <c r="AO627" s="147"/>
      <c r="AP627" s="147"/>
      <c r="AQ627" s="147"/>
      <c r="AR627" s="147"/>
      <c r="AS627" s="147"/>
      <c r="AT627" s="147"/>
      <c r="AU627" s="147"/>
      <c r="AV627" s="147"/>
      <c r="AW627" s="147"/>
      <c r="AX627" s="147"/>
      <c r="AY627" s="147"/>
      <c r="AZ627" s="147"/>
      <c r="BA627" s="147"/>
      <c r="BB627" s="147"/>
      <c r="BC627" s="147"/>
      <c r="BD627" s="147"/>
      <c r="BE627" s="147"/>
      <c r="BF627" s="147"/>
      <c r="BG627" s="147"/>
      <c r="BH627" s="147"/>
      <c r="BI627" s="147"/>
      <c r="BJ627" s="147"/>
      <c r="BK627" s="147"/>
      <c r="BL627" s="147"/>
      <c r="BM627" s="147"/>
      <c r="BN627" s="147"/>
      <c r="BO627" s="147"/>
      <c r="BP627" s="147"/>
      <c r="BQ627" s="147"/>
      <c r="BR627" s="147"/>
      <c r="BS627" s="147"/>
      <c r="BT627" s="147"/>
      <c r="BU627" s="147"/>
      <c r="BV627" s="147"/>
      <c r="BW627" s="147"/>
      <c r="BX627" s="147"/>
      <c r="BY627" s="147"/>
      <c r="BZ627" s="147"/>
      <c r="CA627" s="147"/>
      <c r="CB627" s="147"/>
      <c r="CC627" s="147"/>
      <c r="CD627" s="147"/>
      <c r="CE627" s="147"/>
      <c r="CF627" s="147"/>
      <c r="CG627" s="147"/>
      <c r="CH627" s="147"/>
      <c r="CI627" s="147"/>
      <c r="CJ627" s="147"/>
      <c r="CK627" s="147"/>
    </row>
    <row r="628" spans="1:89">
      <c r="A628" s="157"/>
      <c r="F628" s="3"/>
      <c r="G628" s="3"/>
      <c r="L628" s="157"/>
      <c r="M628" s="157"/>
      <c r="O628" s="147"/>
      <c r="P628" s="147"/>
      <c r="Q628" s="147"/>
      <c r="R628" s="147"/>
      <c r="S628" s="147"/>
      <c r="T628" s="147"/>
      <c r="U628" s="147"/>
      <c r="V628" s="147"/>
      <c r="W628" s="147"/>
      <c r="X628" s="147"/>
      <c r="Y628" s="147"/>
      <c r="Z628" s="147"/>
      <c r="AA628" s="147"/>
      <c r="AB628" s="147"/>
      <c r="AC628" s="147"/>
      <c r="AD628" s="147"/>
      <c r="AE628" s="147"/>
      <c r="AF628" s="147"/>
      <c r="AG628" s="147"/>
      <c r="AH628" s="147"/>
      <c r="AI628" s="147"/>
      <c r="AJ628" s="147"/>
      <c r="AK628" s="147"/>
      <c r="AL628" s="147"/>
      <c r="AM628" s="151"/>
      <c r="AN628" s="147"/>
      <c r="AO628" s="147"/>
      <c r="AP628" s="147"/>
      <c r="AQ628" s="147"/>
      <c r="AR628" s="147"/>
      <c r="AS628" s="147"/>
      <c r="AT628" s="147"/>
      <c r="AU628" s="147"/>
      <c r="AV628" s="147"/>
      <c r="AW628" s="147"/>
      <c r="AX628" s="147"/>
      <c r="AY628" s="147"/>
      <c r="AZ628" s="147"/>
      <c r="BA628" s="147"/>
      <c r="BB628" s="147"/>
      <c r="BC628" s="147"/>
      <c r="BD628" s="147"/>
      <c r="BE628" s="147"/>
      <c r="BF628" s="147"/>
      <c r="BG628" s="147"/>
      <c r="BH628" s="147"/>
      <c r="BI628" s="147"/>
      <c r="BJ628" s="147"/>
      <c r="BK628" s="147"/>
      <c r="BL628" s="147"/>
      <c r="BM628" s="147"/>
      <c r="BN628" s="147"/>
      <c r="BO628" s="147"/>
      <c r="BP628" s="147"/>
      <c r="BQ628" s="147"/>
      <c r="BR628" s="147"/>
      <c r="BS628" s="147"/>
      <c r="BT628" s="147"/>
      <c r="BU628" s="147"/>
      <c r="BV628" s="147"/>
      <c r="BW628" s="147"/>
      <c r="BX628" s="147"/>
      <c r="BY628" s="147"/>
      <c r="BZ628" s="147"/>
      <c r="CA628" s="147"/>
      <c r="CB628" s="147"/>
      <c r="CC628" s="147"/>
      <c r="CD628" s="147"/>
      <c r="CE628" s="147"/>
      <c r="CF628" s="147"/>
      <c r="CG628" s="147"/>
      <c r="CH628" s="147"/>
      <c r="CI628" s="147"/>
      <c r="CJ628" s="147"/>
      <c r="CK628" s="147"/>
    </row>
    <row r="629" spans="1:89">
      <c r="A629" s="157"/>
      <c r="F629" s="3"/>
      <c r="G629" s="3"/>
      <c r="L629" s="157"/>
      <c r="M629" s="157"/>
      <c r="O629" s="147"/>
      <c r="P629" s="147"/>
      <c r="Q629" s="147"/>
      <c r="R629" s="147"/>
      <c r="S629" s="147"/>
      <c r="T629" s="147"/>
      <c r="U629" s="147"/>
      <c r="V629" s="147"/>
      <c r="W629" s="147"/>
      <c r="X629" s="147"/>
      <c r="Y629" s="147"/>
      <c r="Z629" s="147"/>
      <c r="AA629" s="147"/>
      <c r="AB629" s="147"/>
      <c r="AC629" s="147"/>
      <c r="AD629" s="147"/>
      <c r="AE629" s="147"/>
      <c r="AF629" s="147"/>
      <c r="AG629" s="147"/>
      <c r="AH629" s="147"/>
      <c r="AI629" s="147"/>
      <c r="AJ629" s="147"/>
      <c r="AK629" s="147"/>
      <c r="AL629" s="147"/>
      <c r="AM629" s="151"/>
      <c r="AN629" s="147"/>
      <c r="AO629" s="147"/>
      <c r="AP629" s="147"/>
      <c r="AQ629" s="147"/>
      <c r="AR629" s="147"/>
      <c r="AS629" s="147"/>
      <c r="AT629" s="147"/>
      <c r="AU629" s="147"/>
      <c r="AV629" s="147"/>
      <c r="AW629" s="147"/>
      <c r="AX629" s="147"/>
      <c r="AY629" s="147"/>
      <c r="AZ629" s="147"/>
      <c r="BA629" s="147"/>
      <c r="BB629" s="147"/>
      <c r="BC629" s="147"/>
      <c r="BD629" s="147"/>
      <c r="BE629" s="147"/>
      <c r="BF629" s="147"/>
      <c r="BG629" s="147"/>
      <c r="BH629" s="147"/>
      <c r="BI629" s="147"/>
      <c r="BJ629" s="147"/>
      <c r="BK629" s="147"/>
      <c r="BL629" s="147"/>
      <c r="BM629" s="147"/>
      <c r="BN629" s="147"/>
      <c r="BO629" s="147"/>
      <c r="BP629" s="147"/>
      <c r="BQ629" s="147"/>
      <c r="BR629" s="147"/>
      <c r="BS629" s="147"/>
      <c r="BT629" s="147"/>
      <c r="BU629" s="147"/>
      <c r="BV629" s="147"/>
      <c r="BW629" s="147"/>
      <c r="BX629" s="147"/>
      <c r="BY629" s="147"/>
      <c r="BZ629" s="147"/>
      <c r="CA629" s="147"/>
      <c r="CB629" s="147"/>
      <c r="CC629" s="147"/>
      <c r="CD629" s="147"/>
      <c r="CE629" s="147"/>
      <c r="CF629" s="147"/>
      <c r="CG629" s="147"/>
      <c r="CH629" s="147"/>
      <c r="CI629" s="147"/>
      <c r="CJ629" s="147"/>
      <c r="CK629" s="147"/>
    </row>
    <row r="630" spans="1:89">
      <c r="A630" s="157"/>
      <c r="F630" s="3"/>
      <c r="G630" s="3"/>
      <c r="L630" s="157"/>
      <c r="M630" s="157"/>
      <c r="O630" s="147"/>
      <c r="P630" s="147"/>
      <c r="Q630" s="147"/>
      <c r="R630" s="147"/>
      <c r="S630" s="147"/>
      <c r="T630" s="147"/>
      <c r="U630" s="147"/>
      <c r="V630" s="147"/>
      <c r="W630" s="147"/>
      <c r="X630" s="147"/>
      <c r="Y630" s="147"/>
      <c r="Z630" s="147"/>
      <c r="AA630" s="147"/>
      <c r="AB630" s="147"/>
      <c r="AC630" s="147"/>
      <c r="AD630" s="147"/>
      <c r="AE630" s="147"/>
      <c r="AF630" s="147"/>
      <c r="AG630" s="147"/>
      <c r="AH630" s="147"/>
      <c r="AI630" s="147"/>
      <c r="AJ630" s="147"/>
      <c r="AK630" s="147"/>
      <c r="AL630" s="147"/>
      <c r="AM630" s="151"/>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c r="BI630" s="147"/>
      <c r="BJ630" s="147"/>
      <c r="BK630" s="147"/>
      <c r="BL630" s="147"/>
      <c r="BM630" s="147"/>
      <c r="BN630" s="147"/>
      <c r="BO630" s="147"/>
      <c r="BP630" s="147"/>
      <c r="BQ630" s="147"/>
      <c r="BR630" s="147"/>
      <c r="BS630" s="147"/>
      <c r="BT630" s="147"/>
      <c r="BU630" s="147"/>
      <c r="BV630" s="147"/>
      <c r="BW630" s="147"/>
      <c r="BX630" s="147"/>
      <c r="BY630" s="147"/>
      <c r="BZ630" s="147"/>
      <c r="CA630" s="147"/>
      <c r="CB630" s="147"/>
      <c r="CC630" s="147"/>
      <c r="CD630" s="147"/>
      <c r="CE630" s="147"/>
      <c r="CF630" s="147"/>
      <c r="CG630" s="147"/>
      <c r="CH630" s="147"/>
      <c r="CI630" s="147"/>
      <c r="CJ630" s="147"/>
      <c r="CK630" s="147"/>
    </row>
    <row r="631" spans="1:89">
      <c r="A631" s="157"/>
      <c r="F631" s="3"/>
      <c r="G631" s="3"/>
      <c r="L631" s="157"/>
      <c r="M631" s="157"/>
      <c r="O631" s="147"/>
      <c r="P631" s="147"/>
      <c r="Q631" s="147"/>
      <c r="R631" s="147"/>
      <c r="S631" s="147"/>
      <c r="T631" s="147"/>
      <c r="U631" s="147"/>
      <c r="V631" s="147"/>
      <c r="W631" s="147"/>
      <c r="X631" s="147"/>
      <c r="Y631" s="147"/>
      <c r="Z631" s="147"/>
      <c r="AA631" s="147"/>
      <c r="AB631" s="147"/>
      <c r="AC631" s="147"/>
      <c r="AD631" s="147"/>
      <c r="AE631" s="147"/>
      <c r="AF631" s="147"/>
      <c r="AG631" s="147"/>
      <c r="AH631" s="147"/>
      <c r="AI631" s="147"/>
      <c r="AJ631" s="147"/>
      <c r="AK631" s="147"/>
      <c r="AL631" s="147"/>
      <c r="AM631" s="151"/>
      <c r="AN631" s="147"/>
      <c r="AO631" s="147"/>
      <c r="AP631" s="147"/>
      <c r="AQ631" s="147"/>
      <c r="AR631" s="147"/>
      <c r="AS631" s="147"/>
      <c r="AT631" s="147"/>
      <c r="AU631" s="147"/>
      <c r="AV631" s="147"/>
      <c r="AW631" s="147"/>
      <c r="AX631" s="147"/>
      <c r="AY631" s="147"/>
      <c r="AZ631" s="147"/>
      <c r="BA631" s="147"/>
      <c r="BB631" s="147"/>
      <c r="BC631" s="147"/>
      <c r="BD631" s="147"/>
      <c r="BE631" s="147"/>
      <c r="BF631" s="147"/>
      <c r="BG631" s="147"/>
      <c r="BH631" s="147"/>
      <c r="BI631" s="147"/>
      <c r="BJ631" s="147"/>
      <c r="BK631" s="147"/>
      <c r="BL631" s="147"/>
      <c r="BM631" s="147"/>
      <c r="BN631" s="147"/>
      <c r="BO631" s="147"/>
      <c r="BP631" s="147"/>
      <c r="BQ631" s="147"/>
      <c r="BR631" s="147"/>
      <c r="BS631" s="147"/>
      <c r="BT631" s="147"/>
      <c r="BU631" s="147"/>
      <c r="BV631" s="147"/>
      <c r="BW631" s="147"/>
      <c r="BX631" s="147"/>
      <c r="BY631" s="147"/>
      <c r="BZ631" s="147"/>
      <c r="CA631" s="147"/>
      <c r="CB631" s="147"/>
      <c r="CC631" s="147"/>
      <c r="CD631" s="147"/>
      <c r="CE631" s="147"/>
      <c r="CF631" s="147"/>
      <c r="CG631" s="147"/>
      <c r="CH631" s="147"/>
      <c r="CI631" s="147"/>
      <c r="CJ631" s="147"/>
      <c r="CK631" s="147"/>
    </row>
    <row r="632" spans="1:89">
      <c r="A632" s="157"/>
      <c r="F632" s="3"/>
      <c r="G632" s="3"/>
      <c r="L632" s="157"/>
      <c r="M632" s="157"/>
      <c r="O632" s="147"/>
      <c r="P632" s="147"/>
      <c r="Q632" s="147"/>
      <c r="R632" s="147"/>
      <c r="S632" s="147"/>
      <c r="T632" s="147"/>
      <c r="U632" s="147"/>
      <c r="V632" s="147"/>
      <c r="W632" s="147"/>
      <c r="X632" s="147"/>
      <c r="Y632" s="147"/>
      <c r="Z632" s="147"/>
      <c r="AA632" s="147"/>
      <c r="AB632" s="147"/>
      <c r="AC632" s="147"/>
      <c r="AD632" s="147"/>
      <c r="AE632" s="147"/>
      <c r="AF632" s="147"/>
      <c r="AG632" s="147"/>
      <c r="AH632" s="147"/>
      <c r="AI632" s="147"/>
      <c r="AJ632" s="147"/>
      <c r="AK632" s="147"/>
      <c r="AL632" s="147"/>
      <c r="AM632" s="151"/>
      <c r="AN632" s="147"/>
      <c r="AO632" s="147"/>
      <c r="AP632" s="147"/>
      <c r="AQ632" s="147"/>
      <c r="AR632" s="147"/>
      <c r="AS632" s="147"/>
      <c r="AT632" s="147"/>
      <c r="AU632" s="147"/>
      <c r="AV632" s="147"/>
      <c r="AW632" s="147"/>
      <c r="AX632" s="147"/>
      <c r="AY632" s="147"/>
      <c r="AZ632" s="147"/>
      <c r="BA632" s="147"/>
      <c r="BB632" s="147"/>
      <c r="BC632" s="147"/>
      <c r="BD632" s="147"/>
      <c r="BE632" s="147"/>
      <c r="BF632" s="147"/>
      <c r="BG632" s="147"/>
      <c r="BH632" s="147"/>
      <c r="BI632" s="147"/>
      <c r="BJ632" s="147"/>
      <c r="BK632" s="147"/>
      <c r="BL632" s="147"/>
      <c r="BM632" s="147"/>
      <c r="BN632" s="147"/>
      <c r="BO632" s="147"/>
      <c r="BP632" s="147"/>
      <c r="BQ632" s="147"/>
      <c r="BR632" s="147"/>
      <c r="BS632" s="147"/>
      <c r="BT632" s="147"/>
      <c r="BU632" s="147"/>
      <c r="BV632" s="147"/>
      <c r="BW632" s="147"/>
      <c r="BX632" s="147"/>
      <c r="BY632" s="147"/>
      <c r="BZ632" s="147"/>
      <c r="CA632" s="147"/>
      <c r="CB632" s="147"/>
      <c r="CC632" s="147"/>
      <c r="CD632" s="147"/>
      <c r="CE632" s="147"/>
      <c r="CF632" s="147"/>
      <c r="CG632" s="147"/>
      <c r="CH632" s="147"/>
      <c r="CI632" s="147"/>
      <c r="CJ632" s="147"/>
      <c r="CK632" s="147"/>
    </row>
    <row r="633" spans="1:89">
      <c r="A633" s="157"/>
      <c r="F633" s="3"/>
      <c r="G633" s="3"/>
      <c r="L633" s="157"/>
      <c r="M633" s="157"/>
      <c r="O633" s="147"/>
      <c r="P633" s="147"/>
      <c r="Q633" s="147"/>
      <c r="R633" s="147"/>
      <c r="S633" s="147"/>
      <c r="T633" s="147"/>
      <c r="U633" s="147"/>
      <c r="V633" s="147"/>
      <c r="W633" s="147"/>
      <c r="X633" s="147"/>
      <c r="Y633" s="147"/>
      <c r="Z633" s="147"/>
      <c r="AA633" s="147"/>
      <c r="AB633" s="147"/>
      <c r="AC633" s="147"/>
      <c r="AD633" s="147"/>
      <c r="AE633" s="147"/>
      <c r="AF633" s="147"/>
      <c r="AG633" s="147"/>
      <c r="AH633" s="147"/>
      <c r="AI633" s="147"/>
      <c r="AJ633" s="147"/>
      <c r="AK633" s="147"/>
      <c r="AL633" s="147"/>
      <c r="AM633" s="151"/>
      <c r="AN633" s="147"/>
      <c r="AO633" s="147"/>
      <c r="AP633" s="147"/>
      <c r="AQ633" s="147"/>
      <c r="AR633" s="147"/>
      <c r="AS633" s="147"/>
      <c r="AT633" s="147"/>
      <c r="AU633" s="147"/>
      <c r="AV633" s="147"/>
      <c r="AW633" s="147"/>
      <c r="AX633" s="147"/>
      <c r="AY633" s="147"/>
      <c r="AZ633" s="147"/>
      <c r="BA633" s="147"/>
      <c r="BB633" s="147"/>
      <c r="BC633" s="147"/>
      <c r="BD633" s="147"/>
      <c r="BE633" s="147"/>
      <c r="BF633" s="147"/>
      <c r="BG633" s="147"/>
      <c r="BH633" s="147"/>
      <c r="BI633" s="147"/>
      <c r="BJ633" s="147"/>
      <c r="BK633" s="147"/>
      <c r="BL633" s="147"/>
      <c r="BM633" s="147"/>
      <c r="BN633" s="147"/>
      <c r="BO633" s="147"/>
      <c r="BP633" s="147"/>
      <c r="BQ633" s="147"/>
      <c r="BR633" s="147"/>
      <c r="BS633" s="147"/>
      <c r="BT633" s="147"/>
      <c r="BU633" s="147"/>
      <c r="BV633" s="147"/>
      <c r="BW633" s="147"/>
      <c r="BX633" s="147"/>
      <c r="BY633" s="147"/>
      <c r="BZ633" s="147"/>
      <c r="CA633" s="147"/>
      <c r="CB633" s="147"/>
      <c r="CC633" s="147"/>
      <c r="CD633" s="147"/>
      <c r="CE633" s="147"/>
      <c r="CF633" s="147"/>
      <c r="CG633" s="147"/>
      <c r="CH633" s="147"/>
      <c r="CI633" s="147"/>
      <c r="CJ633" s="147"/>
      <c r="CK633" s="147"/>
    </row>
    <row r="634" spans="1:89">
      <c r="A634" s="157"/>
      <c r="F634" s="3"/>
      <c r="G634" s="3"/>
      <c r="L634" s="157"/>
      <c r="M634" s="157"/>
      <c r="O634" s="147"/>
      <c r="P634" s="147"/>
      <c r="Q634" s="147"/>
      <c r="R634" s="147"/>
      <c r="S634" s="147"/>
      <c r="T634" s="147"/>
      <c r="U634" s="147"/>
      <c r="V634" s="147"/>
      <c r="W634" s="147"/>
      <c r="X634" s="147"/>
      <c r="Y634" s="147"/>
      <c r="Z634" s="147"/>
      <c r="AA634" s="147"/>
      <c r="AB634" s="147"/>
      <c r="AC634" s="147"/>
      <c r="AD634" s="147"/>
      <c r="AE634" s="147"/>
      <c r="AF634" s="147"/>
      <c r="AG634" s="147"/>
      <c r="AH634" s="147"/>
      <c r="AI634" s="147"/>
      <c r="AJ634" s="147"/>
      <c r="AK634" s="147"/>
      <c r="AL634" s="147"/>
      <c r="AM634" s="151"/>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c r="BI634" s="147"/>
      <c r="BJ634" s="147"/>
      <c r="BK634" s="147"/>
      <c r="BL634" s="147"/>
      <c r="BM634" s="147"/>
      <c r="BN634" s="147"/>
      <c r="BO634" s="147"/>
      <c r="BP634" s="147"/>
      <c r="BQ634" s="147"/>
      <c r="BR634" s="147"/>
      <c r="BS634" s="147"/>
      <c r="BT634" s="147"/>
      <c r="BU634" s="147"/>
      <c r="BV634" s="147"/>
      <c r="BW634" s="147"/>
      <c r="BX634" s="147"/>
      <c r="BY634" s="147"/>
      <c r="BZ634" s="147"/>
      <c r="CA634" s="147"/>
      <c r="CB634" s="147"/>
      <c r="CC634" s="147"/>
      <c r="CD634" s="147"/>
      <c r="CE634" s="147"/>
      <c r="CF634" s="147"/>
      <c r="CG634" s="147"/>
      <c r="CH634" s="147"/>
      <c r="CI634" s="147"/>
      <c r="CJ634" s="147"/>
      <c r="CK634" s="147"/>
    </row>
    <row r="635" spans="1:89">
      <c r="A635" s="157"/>
      <c r="F635" s="3"/>
      <c r="G635" s="3"/>
      <c r="L635" s="157"/>
      <c r="M635" s="157"/>
      <c r="O635" s="147"/>
      <c r="P635" s="147"/>
      <c r="Q635" s="147"/>
      <c r="R635" s="147"/>
      <c r="S635" s="147"/>
      <c r="T635" s="147"/>
      <c r="U635" s="147"/>
      <c r="V635" s="147"/>
      <c r="W635" s="147"/>
      <c r="X635" s="147"/>
      <c r="Y635" s="147"/>
      <c r="Z635" s="147"/>
      <c r="AA635" s="147"/>
      <c r="AB635" s="147"/>
      <c r="AC635" s="147"/>
      <c r="AD635" s="147"/>
      <c r="AE635" s="147"/>
      <c r="AF635" s="147"/>
      <c r="AG635" s="147"/>
      <c r="AH635" s="147"/>
      <c r="AI635" s="147"/>
      <c r="AJ635" s="147"/>
      <c r="AK635" s="147"/>
      <c r="AL635" s="147"/>
      <c r="AM635" s="151"/>
      <c r="AN635" s="147"/>
      <c r="AO635" s="147"/>
      <c r="AP635" s="147"/>
      <c r="AQ635" s="147"/>
      <c r="AR635" s="147"/>
      <c r="AS635" s="147"/>
      <c r="AT635" s="147"/>
      <c r="AU635" s="147"/>
      <c r="AV635" s="147"/>
      <c r="AW635" s="147"/>
      <c r="AX635" s="147"/>
      <c r="AY635" s="147"/>
      <c r="AZ635" s="147"/>
      <c r="BA635" s="147"/>
      <c r="BB635" s="147"/>
      <c r="BC635" s="147"/>
      <c r="BD635" s="147"/>
      <c r="BE635" s="147"/>
      <c r="BF635" s="147"/>
      <c r="BG635" s="147"/>
      <c r="BH635" s="147"/>
      <c r="BI635" s="147"/>
      <c r="BJ635" s="147"/>
      <c r="BK635" s="147"/>
      <c r="BL635" s="147"/>
      <c r="BM635" s="147"/>
      <c r="BN635" s="147"/>
      <c r="BO635" s="147"/>
      <c r="BP635" s="147"/>
      <c r="BQ635" s="147"/>
      <c r="BR635" s="147"/>
      <c r="BS635" s="147"/>
      <c r="BT635" s="147"/>
      <c r="BU635" s="147"/>
      <c r="BV635" s="147"/>
      <c r="BW635" s="147"/>
      <c r="BX635" s="147"/>
      <c r="BY635" s="147"/>
      <c r="BZ635" s="147"/>
      <c r="CA635" s="147"/>
      <c r="CB635" s="147"/>
      <c r="CC635" s="147"/>
      <c r="CD635" s="147"/>
      <c r="CE635" s="147"/>
      <c r="CF635" s="147"/>
      <c r="CG635" s="147"/>
      <c r="CH635" s="147"/>
      <c r="CI635" s="147"/>
      <c r="CJ635" s="147"/>
      <c r="CK635" s="147"/>
    </row>
    <row r="636" spans="1:89">
      <c r="A636" s="157"/>
      <c r="F636" s="3"/>
      <c r="G636" s="3"/>
      <c r="L636" s="157"/>
      <c r="M636" s="157"/>
      <c r="O636" s="147"/>
      <c r="P636" s="147"/>
      <c r="Q636" s="147"/>
      <c r="R636" s="147"/>
      <c r="S636" s="147"/>
      <c r="T636" s="147"/>
      <c r="U636" s="147"/>
      <c r="V636" s="147"/>
      <c r="W636" s="147"/>
      <c r="X636" s="147"/>
      <c r="Y636" s="147"/>
      <c r="Z636" s="147"/>
      <c r="AA636" s="147"/>
      <c r="AB636" s="147"/>
      <c r="AC636" s="147"/>
      <c r="AD636" s="147"/>
      <c r="AE636" s="147"/>
      <c r="AF636" s="147"/>
      <c r="AG636" s="147"/>
      <c r="AH636" s="147"/>
      <c r="AI636" s="147"/>
      <c r="AJ636" s="147"/>
      <c r="AK636" s="147"/>
      <c r="AL636" s="147"/>
      <c r="AM636" s="151"/>
      <c r="AN636" s="147"/>
      <c r="AO636" s="147"/>
      <c r="AP636" s="147"/>
      <c r="AQ636" s="147"/>
      <c r="AR636" s="147"/>
      <c r="AS636" s="147"/>
      <c r="AT636" s="147"/>
      <c r="AU636" s="147"/>
      <c r="AV636" s="147"/>
      <c r="AW636" s="147"/>
      <c r="AX636" s="147"/>
      <c r="AY636" s="147"/>
      <c r="AZ636" s="147"/>
      <c r="BA636" s="147"/>
      <c r="BB636" s="147"/>
      <c r="BC636" s="147"/>
      <c r="BD636" s="147"/>
      <c r="BE636" s="147"/>
      <c r="BF636" s="147"/>
      <c r="BG636" s="147"/>
      <c r="BH636" s="147"/>
      <c r="BI636" s="147"/>
      <c r="BJ636" s="147"/>
      <c r="BK636" s="147"/>
      <c r="BL636" s="147"/>
      <c r="BM636" s="147"/>
      <c r="BN636" s="147"/>
      <c r="BO636" s="147"/>
      <c r="BP636" s="147"/>
      <c r="BQ636" s="147"/>
      <c r="BR636" s="147"/>
      <c r="BS636" s="147"/>
      <c r="BT636" s="147"/>
      <c r="BU636" s="147"/>
      <c r="BV636" s="147"/>
      <c r="BW636" s="147"/>
      <c r="BX636" s="147"/>
      <c r="BY636" s="147"/>
      <c r="BZ636" s="147"/>
      <c r="CA636" s="147"/>
      <c r="CB636" s="147"/>
      <c r="CC636" s="147"/>
      <c r="CD636" s="147"/>
      <c r="CE636" s="147"/>
      <c r="CF636" s="147"/>
      <c r="CG636" s="147"/>
      <c r="CH636" s="147"/>
      <c r="CI636" s="147"/>
      <c r="CJ636" s="147"/>
      <c r="CK636" s="147"/>
    </row>
    <row r="637" spans="1:89">
      <c r="A637" s="157"/>
      <c r="F637" s="3"/>
      <c r="G637" s="3"/>
      <c r="L637" s="157"/>
      <c r="M637" s="157"/>
      <c r="O637" s="147"/>
      <c r="P637" s="147"/>
      <c r="Q637" s="147"/>
      <c r="R637" s="147"/>
      <c r="S637" s="147"/>
      <c r="T637" s="147"/>
      <c r="U637" s="147"/>
      <c r="V637" s="147"/>
      <c r="W637" s="147"/>
      <c r="X637" s="147"/>
      <c r="Y637" s="147"/>
      <c r="Z637" s="147"/>
      <c r="AA637" s="147"/>
      <c r="AB637" s="147"/>
      <c r="AC637" s="147"/>
      <c r="AD637" s="147"/>
      <c r="AE637" s="147"/>
      <c r="AF637" s="147"/>
      <c r="AG637" s="147"/>
      <c r="AH637" s="147"/>
      <c r="AI637" s="147"/>
      <c r="AJ637" s="147"/>
      <c r="AK637" s="147"/>
      <c r="AL637" s="147"/>
      <c r="AM637" s="151"/>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c r="BI637" s="147"/>
      <c r="BJ637" s="147"/>
      <c r="BK637" s="147"/>
      <c r="BL637" s="147"/>
      <c r="BM637" s="147"/>
      <c r="BN637" s="147"/>
      <c r="BO637" s="147"/>
      <c r="BP637" s="147"/>
      <c r="BQ637" s="147"/>
      <c r="BR637" s="147"/>
      <c r="BS637" s="147"/>
      <c r="BT637" s="147"/>
      <c r="BU637" s="147"/>
      <c r="BV637" s="147"/>
      <c r="BW637" s="147"/>
      <c r="BX637" s="147"/>
      <c r="BY637" s="147"/>
      <c r="BZ637" s="147"/>
      <c r="CA637" s="147"/>
      <c r="CB637" s="147"/>
      <c r="CC637" s="147"/>
      <c r="CD637" s="147"/>
      <c r="CE637" s="147"/>
      <c r="CF637" s="147"/>
      <c r="CG637" s="147"/>
      <c r="CH637" s="147"/>
      <c r="CI637" s="147"/>
      <c r="CJ637" s="147"/>
      <c r="CK637" s="147"/>
    </row>
    <row r="638" spans="1:89">
      <c r="A638" s="157"/>
      <c r="F638" s="3"/>
      <c r="G638" s="3"/>
      <c r="L638" s="157"/>
      <c r="M638" s="157"/>
      <c r="O638" s="147"/>
      <c r="P638" s="147"/>
      <c r="Q638" s="147"/>
      <c r="R638" s="147"/>
      <c r="S638" s="147"/>
      <c r="T638" s="147"/>
      <c r="U638" s="147"/>
      <c r="V638" s="147"/>
      <c r="W638" s="147"/>
      <c r="X638" s="147"/>
      <c r="Y638" s="147"/>
      <c r="Z638" s="147"/>
      <c r="AA638" s="147"/>
      <c r="AB638" s="147"/>
      <c r="AC638" s="147"/>
      <c r="AD638" s="147"/>
      <c r="AE638" s="147"/>
      <c r="AF638" s="147"/>
      <c r="AG638" s="147"/>
      <c r="AH638" s="147"/>
      <c r="AI638" s="147"/>
      <c r="AJ638" s="147"/>
      <c r="AK638" s="147"/>
      <c r="AL638" s="147"/>
      <c r="AM638" s="151"/>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c r="BI638" s="147"/>
      <c r="BJ638" s="147"/>
      <c r="BK638" s="147"/>
      <c r="BL638" s="147"/>
      <c r="BM638" s="147"/>
      <c r="BN638" s="147"/>
      <c r="BO638" s="147"/>
      <c r="BP638" s="147"/>
      <c r="BQ638" s="147"/>
      <c r="BR638" s="147"/>
      <c r="BS638" s="147"/>
      <c r="BT638" s="147"/>
      <c r="BU638" s="147"/>
      <c r="BV638" s="147"/>
      <c r="BW638" s="147"/>
      <c r="BX638" s="147"/>
      <c r="BY638" s="147"/>
      <c r="BZ638" s="147"/>
      <c r="CA638" s="147"/>
      <c r="CB638" s="147"/>
      <c r="CC638" s="147"/>
      <c r="CD638" s="147"/>
      <c r="CE638" s="147"/>
      <c r="CF638" s="147"/>
      <c r="CG638" s="147"/>
      <c r="CH638" s="147"/>
      <c r="CI638" s="147"/>
      <c r="CJ638" s="147"/>
      <c r="CK638" s="147"/>
    </row>
    <row r="639" spans="1:89">
      <c r="A639" s="157"/>
      <c r="F639" s="3"/>
      <c r="G639" s="3"/>
      <c r="L639" s="157"/>
      <c r="M639" s="157"/>
      <c r="O639" s="147"/>
      <c r="P639" s="147"/>
      <c r="Q639" s="147"/>
      <c r="R639" s="147"/>
      <c r="S639" s="147"/>
      <c r="T639" s="147"/>
      <c r="U639" s="147"/>
      <c r="V639" s="147"/>
      <c r="W639" s="147"/>
      <c r="X639" s="147"/>
      <c r="Y639" s="147"/>
      <c r="Z639" s="147"/>
      <c r="AA639" s="147"/>
      <c r="AB639" s="147"/>
      <c r="AC639" s="147"/>
      <c r="AD639" s="147"/>
      <c r="AE639" s="147"/>
      <c r="AF639" s="147"/>
      <c r="AG639" s="147"/>
      <c r="AH639" s="147"/>
      <c r="AI639" s="147"/>
      <c r="AJ639" s="147"/>
      <c r="AK639" s="147"/>
      <c r="AL639" s="147"/>
      <c r="AM639" s="151"/>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c r="BI639" s="147"/>
      <c r="BJ639" s="147"/>
      <c r="BK639" s="147"/>
      <c r="BL639" s="147"/>
      <c r="BM639" s="147"/>
      <c r="BN639" s="147"/>
      <c r="BO639" s="147"/>
      <c r="BP639" s="147"/>
      <c r="BQ639" s="147"/>
      <c r="BR639" s="147"/>
      <c r="BS639" s="147"/>
      <c r="BT639" s="147"/>
      <c r="BU639" s="147"/>
      <c r="BV639" s="147"/>
      <c r="BW639" s="147"/>
      <c r="BX639" s="147"/>
      <c r="BY639" s="147"/>
      <c r="BZ639" s="147"/>
      <c r="CA639" s="147"/>
      <c r="CB639" s="147"/>
      <c r="CC639" s="147"/>
      <c r="CD639" s="147"/>
      <c r="CE639" s="147"/>
      <c r="CF639" s="147"/>
      <c r="CG639" s="147"/>
      <c r="CH639" s="147"/>
      <c r="CI639" s="147"/>
      <c r="CJ639" s="147"/>
      <c r="CK639" s="147"/>
    </row>
    <row r="640" spans="1:89">
      <c r="A640" s="157"/>
      <c r="F640" s="3"/>
      <c r="G640" s="3"/>
      <c r="L640" s="157"/>
      <c r="M640" s="157"/>
      <c r="O640" s="147"/>
      <c r="P640" s="147"/>
      <c r="Q640" s="147"/>
      <c r="R640" s="147"/>
      <c r="S640" s="147"/>
      <c r="T640" s="147"/>
      <c r="U640" s="147"/>
      <c r="V640" s="147"/>
      <c r="W640" s="147"/>
      <c r="X640" s="147"/>
      <c r="Y640" s="147"/>
      <c r="Z640" s="147"/>
      <c r="AA640" s="147"/>
      <c r="AB640" s="147"/>
      <c r="AC640" s="147"/>
      <c r="AD640" s="147"/>
      <c r="AE640" s="147"/>
      <c r="AF640" s="147"/>
      <c r="AG640" s="147"/>
      <c r="AH640" s="147"/>
      <c r="AI640" s="147"/>
      <c r="AJ640" s="147"/>
      <c r="AK640" s="147"/>
      <c r="AL640" s="147"/>
      <c r="AM640" s="151"/>
      <c r="AN640" s="147"/>
      <c r="AO640" s="147"/>
      <c r="AP640" s="147"/>
      <c r="AQ640" s="147"/>
      <c r="AR640" s="147"/>
      <c r="AS640" s="147"/>
      <c r="AT640" s="147"/>
      <c r="AU640" s="147"/>
      <c r="AV640" s="147"/>
      <c r="AW640" s="147"/>
      <c r="AX640" s="147"/>
      <c r="AY640" s="147"/>
      <c r="AZ640" s="147"/>
      <c r="BA640" s="147"/>
      <c r="BB640" s="147"/>
      <c r="BC640" s="147"/>
      <c r="BD640" s="147"/>
      <c r="BE640" s="147"/>
      <c r="BF640" s="147"/>
      <c r="BG640" s="147"/>
      <c r="BH640" s="147"/>
      <c r="BI640" s="147"/>
      <c r="BJ640" s="147"/>
      <c r="BK640" s="147"/>
      <c r="BL640" s="147"/>
      <c r="BM640" s="147"/>
      <c r="BN640" s="147"/>
      <c r="BO640" s="147"/>
      <c r="BP640" s="147"/>
      <c r="BQ640" s="147"/>
      <c r="BR640" s="147"/>
      <c r="BS640" s="147"/>
      <c r="BT640" s="147"/>
      <c r="BU640" s="147"/>
      <c r="BV640" s="147"/>
      <c r="BW640" s="147"/>
      <c r="BX640" s="147"/>
      <c r="BY640" s="147"/>
      <c r="BZ640" s="147"/>
      <c r="CA640" s="147"/>
      <c r="CB640" s="147"/>
      <c r="CC640" s="147"/>
      <c r="CD640" s="147"/>
      <c r="CE640" s="147"/>
      <c r="CF640" s="147"/>
      <c r="CG640" s="147"/>
      <c r="CH640" s="147"/>
      <c r="CI640" s="147"/>
      <c r="CJ640" s="147"/>
      <c r="CK640" s="147"/>
    </row>
    <row r="641" spans="1:89">
      <c r="A641" s="157"/>
      <c r="F641" s="3"/>
      <c r="G641" s="3"/>
      <c r="L641" s="157"/>
      <c r="M641" s="157"/>
      <c r="O641" s="147"/>
      <c r="P641" s="147"/>
      <c r="Q641" s="147"/>
      <c r="R641" s="147"/>
      <c r="S641" s="147"/>
      <c r="T641" s="147"/>
      <c r="U641" s="147"/>
      <c r="V641" s="147"/>
      <c r="W641" s="147"/>
      <c r="X641" s="147"/>
      <c r="Y641" s="147"/>
      <c r="Z641" s="147"/>
      <c r="AA641" s="147"/>
      <c r="AB641" s="147"/>
      <c r="AC641" s="147"/>
      <c r="AD641" s="147"/>
      <c r="AE641" s="147"/>
      <c r="AF641" s="147"/>
      <c r="AG641" s="147"/>
      <c r="AH641" s="147"/>
      <c r="AI641" s="147"/>
      <c r="AJ641" s="147"/>
      <c r="AK641" s="147"/>
      <c r="AL641" s="147"/>
      <c r="AM641" s="151"/>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c r="BI641" s="147"/>
      <c r="BJ641" s="147"/>
      <c r="BK641" s="147"/>
      <c r="BL641" s="147"/>
      <c r="BM641" s="147"/>
      <c r="BN641" s="147"/>
      <c r="BO641" s="147"/>
      <c r="BP641" s="147"/>
      <c r="BQ641" s="147"/>
      <c r="BR641" s="147"/>
      <c r="BS641" s="147"/>
      <c r="BT641" s="147"/>
      <c r="BU641" s="147"/>
      <c r="BV641" s="147"/>
      <c r="BW641" s="147"/>
      <c r="BX641" s="147"/>
      <c r="BY641" s="147"/>
      <c r="BZ641" s="147"/>
      <c r="CA641" s="147"/>
      <c r="CB641" s="147"/>
      <c r="CC641" s="147"/>
      <c r="CD641" s="147"/>
      <c r="CE641" s="147"/>
      <c r="CF641" s="147"/>
      <c r="CG641" s="147"/>
      <c r="CH641" s="147"/>
      <c r="CI641" s="147"/>
      <c r="CJ641" s="147"/>
      <c r="CK641" s="147"/>
    </row>
    <row r="642" spans="1:89">
      <c r="A642" s="157"/>
      <c r="F642" s="3"/>
      <c r="G642" s="3"/>
      <c r="L642" s="157"/>
      <c r="M642" s="157"/>
      <c r="O642" s="147"/>
      <c r="P642" s="147"/>
      <c r="Q642" s="147"/>
      <c r="R642" s="147"/>
      <c r="S642" s="147"/>
      <c r="T642" s="147"/>
      <c r="U642" s="147"/>
      <c r="V642" s="147"/>
      <c r="W642" s="147"/>
      <c r="X642" s="147"/>
      <c r="Y642" s="147"/>
      <c r="Z642" s="147"/>
      <c r="AA642" s="147"/>
      <c r="AB642" s="147"/>
      <c r="AC642" s="147"/>
      <c r="AD642" s="147"/>
      <c r="AE642" s="147"/>
      <c r="AF642" s="147"/>
      <c r="AG642" s="147"/>
      <c r="AH642" s="147"/>
      <c r="AI642" s="147"/>
      <c r="AJ642" s="147"/>
      <c r="AK642" s="147"/>
      <c r="AL642" s="147"/>
      <c r="AM642" s="151"/>
      <c r="AN642" s="147"/>
      <c r="AO642" s="147"/>
      <c r="AP642" s="147"/>
      <c r="AQ642" s="147"/>
      <c r="AR642" s="147"/>
      <c r="AS642" s="147"/>
      <c r="AT642" s="147"/>
      <c r="AU642" s="147"/>
      <c r="AV642" s="147"/>
      <c r="AW642" s="147"/>
      <c r="AX642" s="147"/>
      <c r="AY642" s="147"/>
      <c r="AZ642" s="147"/>
      <c r="BA642" s="147"/>
      <c r="BB642" s="147"/>
      <c r="BC642" s="147"/>
      <c r="BD642" s="147"/>
      <c r="BE642" s="147"/>
      <c r="BF642" s="147"/>
      <c r="BG642" s="147"/>
      <c r="BH642" s="147"/>
      <c r="BI642" s="147"/>
      <c r="BJ642" s="147"/>
      <c r="BK642" s="147"/>
      <c r="BL642" s="147"/>
      <c r="BM642" s="147"/>
      <c r="BN642" s="147"/>
      <c r="BO642" s="147"/>
      <c r="BP642" s="147"/>
      <c r="BQ642" s="147"/>
      <c r="BR642" s="147"/>
      <c r="BS642" s="147"/>
      <c r="BT642" s="147"/>
      <c r="BU642" s="147"/>
      <c r="BV642" s="147"/>
      <c r="BW642" s="147"/>
      <c r="BX642" s="147"/>
      <c r="BY642" s="147"/>
      <c r="BZ642" s="147"/>
      <c r="CA642" s="147"/>
      <c r="CB642" s="147"/>
      <c r="CC642" s="147"/>
      <c r="CD642" s="147"/>
      <c r="CE642" s="147"/>
      <c r="CF642" s="147"/>
      <c r="CG642" s="147"/>
      <c r="CH642" s="147"/>
      <c r="CI642" s="147"/>
      <c r="CJ642" s="147"/>
      <c r="CK642" s="147"/>
    </row>
    <row r="643" spans="1:89">
      <c r="A643" s="157"/>
      <c r="F643" s="3"/>
      <c r="G643" s="3"/>
      <c r="L643" s="157"/>
      <c r="M643" s="157"/>
      <c r="O643" s="147"/>
      <c r="P643" s="147"/>
      <c r="Q643" s="147"/>
      <c r="R643" s="147"/>
      <c r="S643" s="147"/>
      <c r="T643" s="147"/>
      <c r="U643" s="147"/>
      <c r="V643" s="147"/>
      <c r="W643" s="147"/>
      <c r="X643" s="147"/>
      <c r="Y643" s="147"/>
      <c r="Z643" s="147"/>
      <c r="AA643" s="147"/>
      <c r="AB643" s="147"/>
      <c r="AC643" s="147"/>
      <c r="AD643" s="147"/>
      <c r="AE643" s="147"/>
      <c r="AF643" s="147"/>
      <c r="AG643" s="147"/>
      <c r="AH643" s="147"/>
      <c r="AI643" s="147"/>
      <c r="AJ643" s="147"/>
      <c r="AK643" s="147"/>
      <c r="AL643" s="147"/>
      <c r="AM643" s="151"/>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c r="BI643" s="147"/>
      <c r="BJ643" s="147"/>
      <c r="BK643" s="147"/>
      <c r="BL643" s="147"/>
      <c r="BM643" s="147"/>
      <c r="BN643" s="147"/>
      <c r="BO643" s="147"/>
      <c r="BP643" s="147"/>
      <c r="BQ643" s="147"/>
      <c r="BR643" s="147"/>
      <c r="BS643" s="147"/>
      <c r="BT643" s="147"/>
      <c r="BU643" s="147"/>
      <c r="BV643" s="147"/>
      <c r="BW643" s="147"/>
      <c r="BX643" s="147"/>
      <c r="BY643" s="147"/>
      <c r="BZ643" s="147"/>
      <c r="CA643" s="147"/>
      <c r="CB643" s="147"/>
      <c r="CC643" s="147"/>
      <c r="CD643" s="147"/>
      <c r="CE643" s="147"/>
      <c r="CF643" s="147"/>
      <c r="CG643" s="147"/>
      <c r="CH643" s="147"/>
      <c r="CI643" s="147"/>
      <c r="CJ643" s="147"/>
      <c r="CK643" s="147"/>
    </row>
    <row r="644" spans="1:89">
      <c r="A644" s="157"/>
      <c r="F644" s="3"/>
      <c r="G644" s="3"/>
      <c r="L644" s="157"/>
      <c r="M644" s="157"/>
      <c r="O644" s="147"/>
      <c r="P644" s="147"/>
      <c r="Q644" s="147"/>
      <c r="R644" s="147"/>
      <c r="S644" s="147"/>
      <c r="T644" s="147"/>
      <c r="U644" s="147"/>
      <c r="V644" s="147"/>
      <c r="W644" s="147"/>
      <c r="X644" s="147"/>
      <c r="Y644" s="147"/>
      <c r="Z644" s="147"/>
      <c r="AA644" s="147"/>
      <c r="AB644" s="147"/>
      <c r="AC644" s="147"/>
      <c r="AD644" s="147"/>
      <c r="AE644" s="147"/>
      <c r="AF644" s="147"/>
      <c r="AG644" s="147"/>
      <c r="AH644" s="147"/>
      <c r="AI644" s="147"/>
      <c r="AJ644" s="147"/>
      <c r="AK644" s="147"/>
      <c r="AL644" s="147"/>
      <c r="AM644" s="151"/>
      <c r="AN644" s="147"/>
      <c r="AO644" s="147"/>
      <c r="AP644" s="147"/>
      <c r="AQ644" s="147"/>
      <c r="AR644" s="147"/>
      <c r="AS644" s="147"/>
      <c r="AT644" s="147"/>
      <c r="AU644" s="147"/>
      <c r="AV644" s="147"/>
      <c r="AW644" s="147"/>
      <c r="AX644" s="147"/>
      <c r="AY644" s="147"/>
      <c r="AZ644" s="147"/>
      <c r="BA644" s="147"/>
      <c r="BB644" s="147"/>
      <c r="BC644" s="147"/>
      <c r="BD644" s="147"/>
      <c r="BE644" s="147"/>
      <c r="BF644" s="147"/>
      <c r="BG644" s="147"/>
      <c r="BH644" s="147"/>
      <c r="BI644" s="147"/>
      <c r="BJ644" s="147"/>
      <c r="BK644" s="147"/>
      <c r="BL644" s="147"/>
      <c r="BM644" s="147"/>
      <c r="BN644" s="147"/>
      <c r="BO644" s="147"/>
      <c r="BP644" s="147"/>
      <c r="BQ644" s="147"/>
      <c r="BR644" s="147"/>
      <c r="BS644" s="147"/>
      <c r="BT644" s="147"/>
      <c r="BU644" s="147"/>
      <c r="BV644" s="147"/>
      <c r="BW644" s="147"/>
      <c r="BX644" s="147"/>
      <c r="BY644" s="147"/>
      <c r="BZ644" s="147"/>
      <c r="CA644" s="147"/>
      <c r="CB644" s="147"/>
      <c r="CC644" s="147"/>
      <c r="CD644" s="147"/>
      <c r="CE644" s="147"/>
      <c r="CF644" s="147"/>
      <c r="CG644" s="147"/>
      <c r="CH644" s="147"/>
      <c r="CI644" s="147"/>
      <c r="CJ644" s="147"/>
      <c r="CK644" s="147"/>
    </row>
    <row r="645" spans="1:89">
      <c r="A645" s="157"/>
      <c r="F645" s="3"/>
      <c r="G645" s="3"/>
      <c r="L645" s="157"/>
      <c r="M645" s="157"/>
      <c r="O645" s="147"/>
      <c r="P645" s="147"/>
      <c r="Q645" s="147"/>
      <c r="R645" s="147"/>
      <c r="S645" s="147"/>
      <c r="T645" s="147"/>
      <c r="U645" s="147"/>
      <c r="V645" s="147"/>
      <c r="W645" s="147"/>
      <c r="X645" s="147"/>
      <c r="Y645" s="147"/>
      <c r="Z645" s="147"/>
      <c r="AA645" s="147"/>
      <c r="AB645" s="147"/>
      <c r="AC645" s="147"/>
      <c r="AD645" s="147"/>
      <c r="AE645" s="147"/>
      <c r="AF645" s="147"/>
      <c r="AG645" s="147"/>
      <c r="AH645" s="147"/>
      <c r="AI645" s="147"/>
      <c r="AJ645" s="147"/>
      <c r="AK645" s="147"/>
      <c r="AL645" s="147"/>
      <c r="AM645" s="151"/>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c r="BI645" s="147"/>
      <c r="BJ645" s="147"/>
      <c r="BK645" s="147"/>
      <c r="BL645" s="147"/>
      <c r="BM645" s="147"/>
      <c r="BN645" s="147"/>
      <c r="BO645" s="147"/>
      <c r="BP645" s="147"/>
      <c r="BQ645" s="147"/>
      <c r="BR645" s="147"/>
      <c r="BS645" s="147"/>
      <c r="BT645" s="147"/>
      <c r="BU645" s="147"/>
      <c r="BV645" s="147"/>
      <c r="BW645" s="147"/>
      <c r="BX645" s="147"/>
      <c r="BY645" s="147"/>
      <c r="BZ645" s="147"/>
      <c r="CA645" s="147"/>
      <c r="CB645" s="147"/>
      <c r="CC645" s="147"/>
      <c r="CD645" s="147"/>
      <c r="CE645" s="147"/>
      <c r="CF645" s="147"/>
      <c r="CG645" s="147"/>
      <c r="CH645" s="147"/>
      <c r="CI645" s="147"/>
      <c r="CJ645" s="147"/>
      <c r="CK645" s="147"/>
    </row>
    <row r="646" spans="1:89">
      <c r="A646" s="157"/>
      <c r="F646" s="3"/>
      <c r="G646" s="3"/>
      <c r="L646" s="157"/>
      <c r="M646" s="157"/>
      <c r="O646" s="147"/>
      <c r="P646" s="147"/>
      <c r="Q646" s="147"/>
      <c r="R646" s="147"/>
      <c r="S646" s="147"/>
      <c r="T646" s="147"/>
      <c r="U646" s="147"/>
      <c r="V646" s="147"/>
      <c r="W646" s="147"/>
      <c r="X646" s="147"/>
      <c r="Y646" s="147"/>
      <c r="Z646" s="147"/>
      <c r="AA646" s="147"/>
      <c r="AB646" s="147"/>
      <c r="AC646" s="147"/>
      <c r="AD646" s="147"/>
      <c r="AE646" s="147"/>
      <c r="AF646" s="147"/>
      <c r="AG646" s="147"/>
      <c r="AH646" s="147"/>
      <c r="AI646" s="147"/>
      <c r="AJ646" s="147"/>
      <c r="AK646" s="147"/>
      <c r="AL646" s="147"/>
      <c r="AM646" s="151"/>
      <c r="AN646" s="147"/>
      <c r="AO646" s="147"/>
      <c r="AP646" s="147"/>
      <c r="AQ646" s="147"/>
      <c r="AR646" s="147"/>
      <c r="AS646" s="147"/>
      <c r="AT646" s="147"/>
      <c r="AU646" s="147"/>
      <c r="AV646" s="147"/>
      <c r="AW646" s="147"/>
      <c r="AX646" s="147"/>
      <c r="AY646" s="147"/>
      <c r="AZ646" s="147"/>
      <c r="BA646" s="147"/>
      <c r="BB646" s="147"/>
      <c r="BC646" s="147"/>
      <c r="BD646" s="147"/>
      <c r="BE646" s="147"/>
      <c r="BF646" s="147"/>
      <c r="BG646" s="147"/>
      <c r="BH646" s="147"/>
      <c r="BI646" s="147"/>
      <c r="BJ646" s="147"/>
      <c r="BK646" s="147"/>
      <c r="BL646" s="147"/>
      <c r="BM646" s="147"/>
      <c r="BN646" s="147"/>
      <c r="BO646" s="147"/>
      <c r="BP646" s="147"/>
      <c r="BQ646" s="147"/>
      <c r="BR646" s="147"/>
      <c r="BS646" s="147"/>
      <c r="BT646" s="147"/>
      <c r="BU646" s="147"/>
      <c r="BV646" s="147"/>
      <c r="BW646" s="147"/>
      <c r="BX646" s="147"/>
      <c r="BY646" s="147"/>
      <c r="BZ646" s="147"/>
      <c r="CA646" s="147"/>
      <c r="CB646" s="147"/>
      <c r="CC646" s="147"/>
      <c r="CD646" s="147"/>
      <c r="CE646" s="147"/>
      <c r="CF646" s="147"/>
      <c r="CG646" s="147"/>
      <c r="CH646" s="147"/>
      <c r="CI646" s="147"/>
      <c r="CJ646" s="147"/>
      <c r="CK646" s="147"/>
    </row>
    <row r="647" spans="1:89">
      <c r="A647" s="157"/>
      <c r="F647" s="3"/>
      <c r="G647" s="3"/>
      <c r="L647" s="157"/>
      <c r="M647" s="157"/>
      <c r="O647" s="147"/>
      <c r="P647" s="147"/>
      <c r="Q647" s="147"/>
      <c r="R647" s="147"/>
      <c r="S647" s="147"/>
      <c r="T647" s="147"/>
      <c r="U647" s="147"/>
      <c r="V647" s="147"/>
      <c r="W647" s="147"/>
      <c r="X647" s="147"/>
      <c r="Y647" s="147"/>
      <c r="Z647" s="147"/>
      <c r="AA647" s="147"/>
      <c r="AB647" s="147"/>
      <c r="AC647" s="147"/>
      <c r="AD647" s="147"/>
      <c r="AE647" s="147"/>
      <c r="AF647" s="147"/>
      <c r="AG647" s="147"/>
      <c r="AH647" s="147"/>
      <c r="AI647" s="147"/>
      <c r="AJ647" s="147"/>
      <c r="AK647" s="147"/>
      <c r="AL647" s="147"/>
      <c r="AM647" s="151"/>
      <c r="AN647" s="147"/>
      <c r="AO647" s="147"/>
      <c r="AP647" s="147"/>
      <c r="AQ647" s="147"/>
      <c r="AR647" s="147"/>
      <c r="AS647" s="147"/>
      <c r="AT647" s="147"/>
      <c r="AU647" s="147"/>
      <c r="AV647" s="147"/>
      <c r="AW647" s="147"/>
      <c r="AX647" s="147"/>
      <c r="AY647" s="147"/>
      <c r="AZ647" s="147"/>
      <c r="BA647" s="147"/>
      <c r="BB647" s="147"/>
      <c r="BC647" s="147"/>
      <c r="BD647" s="147"/>
      <c r="BE647" s="147"/>
      <c r="BF647" s="147"/>
      <c r="BG647" s="147"/>
      <c r="BH647" s="147"/>
      <c r="BI647" s="147"/>
      <c r="BJ647" s="147"/>
      <c r="BK647" s="147"/>
      <c r="BL647" s="147"/>
      <c r="BM647" s="147"/>
      <c r="BN647" s="147"/>
      <c r="BO647" s="147"/>
      <c r="BP647" s="147"/>
      <c r="BQ647" s="147"/>
      <c r="BR647" s="147"/>
      <c r="BS647" s="147"/>
      <c r="BT647" s="147"/>
      <c r="BU647" s="147"/>
      <c r="BV647" s="147"/>
      <c r="BW647" s="147"/>
      <c r="BX647" s="147"/>
      <c r="BY647" s="147"/>
      <c r="BZ647" s="147"/>
      <c r="CA647" s="147"/>
      <c r="CB647" s="147"/>
      <c r="CC647" s="147"/>
      <c r="CD647" s="147"/>
      <c r="CE647" s="147"/>
      <c r="CF647" s="147"/>
      <c r="CG647" s="147"/>
      <c r="CH647" s="147"/>
      <c r="CI647" s="147"/>
      <c r="CJ647" s="147"/>
      <c r="CK647" s="147"/>
    </row>
    <row r="648" spans="1:89">
      <c r="A648" s="157"/>
      <c r="F648" s="3"/>
      <c r="G648" s="3"/>
      <c r="L648" s="157"/>
      <c r="M648" s="157"/>
      <c r="O648" s="147"/>
      <c r="P648" s="147"/>
      <c r="Q648" s="147"/>
      <c r="R648" s="147"/>
      <c r="S648" s="147"/>
      <c r="T648" s="147"/>
      <c r="U648" s="147"/>
      <c r="V648" s="147"/>
      <c r="W648" s="147"/>
      <c r="X648" s="147"/>
      <c r="Y648" s="147"/>
      <c r="Z648" s="147"/>
      <c r="AA648" s="147"/>
      <c r="AB648" s="147"/>
      <c r="AC648" s="147"/>
      <c r="AD648" s="147"/>
      <c r="AE648" s="147"/>
      <c r="AF648" s="147"/>
      <c r="AG648" s="147"/>
      <c r="AH648" s="147"/>
      <c r="AI648" s="147"/>
      <c r="AJ648" s="147"/>
      <c r="AK648" s="147"/>
      <c r="AL648" s="147"/>
      <c r="AM648" s="151"/>
      <c r="AN648" s="147"/>
      <c r="AO648" s="147"/>
      <c r="AP648" s="147"/>
      <c r="AQ648" s="147"/>
      <c r="AR648" s="147"/>
      <c r="AS648" s="147"/>
      <c r="AT648" s="147"/>
      <c r="AU648" s="147"/>
      <c r="AV648" s="147"/>
      <c r="AW648" s="147"/>
      <c r="AX648" s="147"/>
      <c r="AY648" s="147"/>
      <c r="AZ648" s="147"/>
      <c r="BA648" s="147"/>
      <c r="BB648" s="147"/>
      <c r="BC648" s="147"/>
      <c r="BD648" s="147"/>
      <c r="BE648" s="147"/>
      <c r="BF648" s="147"/>
      <c r="BG648" s="147"/>
      <c r="BH648" s="147"/>
      <c r="BI648" s="147"/>
      <c r="BJ648" s="147"/>
      <c r="BK648" s="147"/>
      <c r="BL648" s="147"/>
      <c r="BM648" s="147"/>
      <c r="BN648" s="147"/>
      <c r="BO648" s="147"/>
      <c r="BP648" s="147"/>
      <c r="BQ648" s="147"/>
      <c r="BR648" s="147"/>
      <c r="BS648" s="147"/>
      <c r="BT648" s="147"/>
      <c r="BU648" s="147"/>
      <c r="BV648" s="147"/>
      <c r="BW648" s="147"/>
      <c r="BX648" s="147"/>
      <c r="BY648" s="147"/>
      <c r="BZ648" s="147"/>
      <c r="CA648" s="147"/>
      <c r="CB648" s="147"/>
      <c r="CC648" s="147"/>
      <c r="CD648" s="147"/>
      <c r="CE648" s="147"/>
      <c r="CF648" s="147"/>
      <c r="CG648" s="147"/>
      <c r="CH648" s="147"/>
      <c r="CI648" s="147"/>
      <c r="CJ648" s="147"/>
      <c r="CK648" s="147"/>
    </row>
    <row r="649" spans="1:89">
      <c r="A649" s="157"/>
      <c r="F649" s="3"/>
      <c r="G649" s="3"/>
      <c r="L649" s="157"/>
      <c r="M649" s="157"/>
      <c r="O649" s="147"/>
      <c r="P649" s="147"/>
      <c r="Q649" s="147"/>
      <c r="R649" s="147"/>
      <c r="S649" s="147"/>
      <c r="T649" s="147"/>
      <c r="U649" s="147"/>
      <c r="V649" s="147"/>
      <c r="W649" s="147"/>
      <c r="X649" s="147"/>
      <c r="Y649" s="147"/>
      <c r="Z649" s="147"/>
      <c r="AA649" s="147"/>
      <c r="AB649" s="147"/>
      <c r="AC649" s="147"/>
      <c r="AD649" s="147"/>
      <c r="AE649" s="147"/>
      <c r="AF649" s="147"/>
      <c r="AG649" s="147"/>
      <c r="AH649" s="147"/>
      <c r="AI649" s="147"/>
      <c r="AJ649" s="147"/>
      <c r="AK649" s="147"/>
      <c r="AL649" s="147"/>
      <c r="AM649" s="151"/>
      <c r="AN649" s="147"/>
      <c r="AO649" s="147"/>
      <c r="AP649" s="147"/>
      <c r="AQ649" s="147"/>
      <c r="AR649" s="147"/>
      <c r="AS649" s="147"/>
      <c r="AT649" s="147"/>
      <c r="AU649" s="147"/>
      <c r="AV649" s="147"/>
      <c r="AW649" s="147"/>
      <c r="AX649" s="147"/>
      <c r="AY649" s="147"/>
      <c r="AZ649" s="147"/>
      <c r="BA649" s="147"/>
      <c r="BB649" s="147"/>
      <c r="BC649" s="147"/>
      <c r="BD649" s="147"/>
      <c r="BE649" s="147"/>
      <c r="BF649" s="147"/>
      <c r="BG649" s="147"/>
      <c r="BH649" s="147"/>
      <c r="BI649" s="147"/>
      <c r="BJ649" s="147"/>
      <c r="BK649" s="147"/>
      <c r="BL649" s="147"/>
      <c r="BM649" s="147"/>
      <c r="BN649" s="147"/>
      <c r="BO649" s="147"/>
      <c r="BP649" s="147"/>
      <c r="BQ649" s="147"/>
      <c r="BR649" s="147"/>
      <c r="BS649" s="147"/>
      <c r="BT649" s="147"/>
      <c r="BU649" s="147"/>
      <c r="BV649" s="147"/>
      <c r="BW649" s="147"/>
      <c r="BX649" s="147"/>
      <c r="BY649" s="147"/>
      <c r="BZ649" s="147"/>
      <c r="CA649" s="147"/>
      <c r="CB649" s="147"/>
      <c r="CC649" s="147"/>
      <c r="CD649" s="147"/>
      <c r="CE649" s="147"/>
      <c r="CF649" s="147"/>
      <c r="CG649" s="147"/>
      <c r="CH649" s="147"/>
      <c r="CI649" s="147"/>
      <c r="CJ649" s="147"/>
      <c r="CK649" s="147"/>
    </row>
    <row r="650" spans="1:89">
      <c r="A650" s="157"/>
      <c r="F650" s="3"/>
      <c r="G650" s="3"/>
      <c r="L650" s="157"/>
      <c r="M650" s="157"/>
      <c r="O650" s="147"/>
      <c r="P650" s="147"/>
      <c r="Q650" s="147"/>
      <c r="R650" s="147"/>
      <c r="S650" s="147"/>
      <c r="T650" s="147"/>
      <c r="U650" s="147"/>
      <c r="V650" s="147"/>
      <c r="W650" s="147"/>
      <c r="X650" s="147"/>
      <c r="Y650" s="147"/>
      <c r="Z650" s="147"/>
      <c r="AA650" s="147"/>
      <c r="AB650" s="147"/>
      <c r="AC650" s="147"/>
      <c r="AD650" s="147"/>
      <c r="AE650" s="147"/>
      <c r="AF650" s="147"/>
      <c r="AG650" s="147"/>
      <c r="AH650" s="147"/>
      <c r="AI650" s="147"/>
      <c r="AJ650" s="147"/>
      <c r="AK650" s="147"/>
      <c r="AL650" s="147"/>
      <c r="AM650" s="151"/>
      <c r="AN650" s="147"/>
      <c r="AO650" s="147"/>
      <c r="AP650" s="147"/>
      <c r="AQ650" s="147"/>
      <c r="AR650" s="147"/>
      <c r="AS650" s="147"/>
      <c r="AT650" s="147"/>
      <c r="AU650" s="147"/>
      <c r="AV650" s="147"/>
      <c r="AW650" s="147"/>
      <c r="AX650" s="147"/>
      <c r="AY650" s="147"/>
      <c r="AZ650" s="147"/>
      <c r="BA650" s="147"/>
      <c r="BB650" s="147"/>
      <c r="BC650" s="147"/>
      <c r="BD650" s="147"/>
      <c r="BE650" s="147"/>
      <c r="BF650" s="147"/>
      <c r="BG650" s="147"/>
      <c r="BH650" s="147"/>
      <c r="BI650" s="147"/>
      <c r="BJ650" s="147"/>
      <c r="BK650" s="147"/>
      <c r="BL650" s="147"/>
      <c r="BM650" s="147"/>
      <c r="BN650" s="147"/>
      <c r="BO650" s="147"/>
      <c r="BP650" s="147"/>
      <c r="BQ650" s="147"/>
      <c r="BR650" s="147"/>
      <c r="BS650" s="147"/>
      <c r="BT650" s="147"/>
      <c r="BU650" s="147"/>
      <c r="BV650" s="147"/>
      <c r="BW650" s="147"/>
      <c r="BX650" s="147"/>
      <c r="BY650" s="147"/>
      <c r="BZ650" s="147"/>
      <c r="CA650" s="147"/>
      <c r="CB650" s="147"/>
      <c r="CC650" s="147"/>
      <c r="CD650" s="147"/>
      <c r="CE650" s="147"/>
      <c r="CF650" s="147"/>
      <c r="CG650" s="147"/>
      <c r="CH650" s="147"/>
      <c r="CI650" s="147"/>
      <c r="CJ650" s="147"/>
      <c r="CK650" s="147"/>
    </row>
    <row r="651" spans="1:89">
      <c r="A651" s="157"/>
      <c r="F651" s="3"/>
      <c r="G651" s="3"/>
      <c r="L651" s="157"/>
      <c r="M651" s="157"/>
      <c r="O651" s="147"/>
      <c r="P651" s="147"/>
      <c r="Q651" s="147"/>
      <c r="R651" s="147"/>
      <c r="S651" s="147"/>
      <c r="T651" s="147"/>
      <c r="U651" s="147"/>
      <c r="V651" s="147"/>
      <c r="W651" s="147"/>
      <c r="X651" s="147"/>
      <c r="Y651" s="147"/>
      <c r="Z651" s="147"/>
      <c r="AA651" s="147"/>
      <c r="AB651" s="147"/>
      <c r="AC651" s="147"/>
      <c r="AD651" s="147"/>
      <c r="AE651" s="147"/>
      <c r="AF651" s="147"/>
      <c r="AG651" s="147"/>
      <c r="AH651" s="147"/>
      <c r="AI651" s="147"/>
      <c r="AJ651" s="147"/>
      <c r="AK651" s="147"/>
      <c r="AL651" s="147"/>
      <c r="AM651" s="151"/>
      <c r="AN651" s="147"/>
      <c r="AO651" s="147"/>
      <c r="AP651" s="147"/>
      <c r="AQ651" s="147"/>
      <c r="AR651" s="147"/>
      <c r="AS651" s="147"/>
      <c r="AT651" s="147"/>
      <c r="AU651" s="147"/>
      <c r="AV651" s="147"/>
      <c r="AW651" s="147"/>
      <c r="AX651" s="147"/>
      <c r="AY651" s="147"/>
      <c r="AZ651" s="147"/>
      <c r="BA651" s="147"/>
      <c r="BB651" s="147"/>
      <c r="BC651" s="147"/>
      <c r="BD651" s="147"/>
      <c r="BE651" s="147"/>
      <c r="BF651" s="147"/>
      <c r="BG651" s="147"/>
      <c r="BH651" s="147"/>
      <c r="BI651" s="147"/>
      <c r="BJ651" s="147"/>
      <c r="BK651" s="147"/>
      <c r="BL651" s="147"/>
      <c r="BM651" s="147"/>
      <c r="BN651" s="147"/>
      <c r="BO651" s="147"/>
      <c r="BP651" s="147"/>
      <c r="BQ651" s="147"/>
      <c r="BR651" s="147"/>
      <c r="BS651" s="147"/>
      <c r="BT651" s="147"/>
      <c r="BU651" s="147"/>
      <c r="BV651" s="147"/>
      <c r="BW651" s="147"/>
      <c r="BX651" s="147"/>
      <c r="BY651" s="147"/>
      <c r="BZ651" s="147"/>
      <c r="CA651" s="147"/>
      <c r="CB651" s="147"/>
      <c r="CC651" s="147"/>
      <c r="CD651" s="147"/>
      <c r="CE651" s="147"/>
      <c r="CF651" s="147"/>
      <c r="CG651" s="147"/>
      <c r="CH651" s="147"/>
      <c r="CI651" s="147"/>
      <c r="CJ651" s="147"/>
      <c r="CK651" s="147"/>
    </row>
    <row r="652" spans="1:89">
      <c r="A652" s="157"/>
      <c r="F652" s="3"/>
      <c r="G652" s="3"/>
      <c r="L652" s="157"/>
      <c r="M652" s="157"/>
      <c r="O652" s="147"/>
      <c r="P652" s="147"/>
      <c r="Q652" s="147"/>
      <c r="R652" s="147"/>
      <c r="S652" s="147"/>
      <c r="T652" s="147"/>
      <c r="U652" s="147"/>
      <c r="V652" s="147"/>
      <c r="W652" s="147"/>
      <c r="X652" s="147"/>
      <c r="Y652" s="147"/>
      <c r="Z652" s="147"/>
      <c r="AA652" s="147"/>
      <c r="AB652" s="147"/>
      <c r="AC652" s="147"/>
      <c r="AD652" s="147"/>
      <c r="AE652" s="147"/>
      <c r="AF652" s="147"/>
      <c r="AG652" s="147"/>
      <c r="AH652" s="147"/>
      <c r="AI652" s="147"/>
      <c r="AJ652" s="147"/>
      <c r="AK652" s="147"/>
      <c r="AL652" s="147"/>
      <c r="AM652" s="151"/>
      <c r="AN652" s="147"/>
      <c r="AO652" s="147"/>
      <c r="AP652" s="147"/>
      <c r="AQ652" s="147"/>
      <c r="AR652" s="147"/>
      <c r="AS652" s="147"/>
      <c r="AT652" s="147"/>
      <c r="AU652" s="147"/>
      <c r="AV652" s="147"/>
      <c r="AW652" s="147"/>
      <c r="AX652" s="147"/>
      <c r="AY652" s="147"/>
      <c r="AZ652" s="147"/>
      <c r="BA652" s="147"/>
      <c r="BB652" s="147"/>
      <c r="BC652" s="147"/>
      <c r="BD652" s="147"/>
      <c r="BE652" s="147"/>
      <c r="BF652" s="147"/>
      <c r="BG652" s="147"/>
      <c r="BH652" s="147"/>
      <c r="BI652" s="147"/>
      <c r="BJ652" s="147"/>
      <c r="BK652" s="147"/>
      <c r="BL652" s="147"/>
      <c r="BM652" s="147"/>
      <c r="BN652" s="147"/>
      <c r="BO652" s="147"/>
      <c r="BP652" s="147"/>
      <c r="BQ652" s="147"/>
      <c r="BR652" s="147"/>
      <c r="BS652" s="147"/>
      <c r="BT652" s="147"/>
      <c r="BU652" s="147"/>
      <c r="BV652" s="147"/>
      <c r="BW652" s="147"/>
      <c r="BX652" s="147"/>
      <c r="BY652" s="147"/>
      <c r="BZ652" s="147"/>
      <c r="CA652" s="147"/>
      <c r="CB652" s="147"/>
      <c r="CC652" s="147"/>
      <c r="CD652" s="147"/>
      <c r="CE652" s="147"/>
      <c r="CF652" s="147"/>
      <c r="CG652" s="147"/>
      <c r="CH652" s="147"/>
      <c r="CI652" s="147"/>
      <c r="CJ652" s="147"/>
      <c r="CK652" s="147"/>
    </row>
    <row r="653" spans="1:89">
      <c r="A653" s="157"/>
      <c r="F653" s="3"/>
      <c r="G653" s="3"/>
      <c r="L653" s="157"/>
      <c r="M653" s="157"/>
      <c r="O653" s="147"/>
      <c r="P653" s="147"/>
      <c r="Q653" s="147"/>
      <c r="R653" s="147"/>
      <c r="S653" s="147"/>
      <c r="T653" s="147"/>
      <c r="U653" s="147"/>
      <c r="V653" s="147"/>
      <c r="W653" s="147"/>
      <c r="X653" s="147"/>
      <c r="Y653" s="147"/>
      <c r="Z653" s="147"/>
      <c r="AA653" s="147"/>
      <c r="AB653" s="147"/>
      <c r="AC653" s="147"/>
      <c r="AD653" s="147"/>
      <c r="AE653" s="147"/>
      <c r="AF653" s="147"/>
      <c r="AG653" s="147"/>
      <c r="AH653" s="147"/>
      <c r="AI653" s="147"/>
      <c r="AJ653" s="147"/>
      <c r="AK653" s="147"/>
      <c r="AL653" s="147"/>
      <c r="AM653" s="151"/>
      <c r="AN653" s="147"/>
      <c r="AO653" s="147"/>
      <c r="AP653" s="147"/>
      <c r="AQ653" s="147"/>
      <c r="AR653" s="147"/>
      <c r="AS653" s="147"/>
      <c r="AT653" s="147"/>
      <c r="AU653" s="147"/>
      <c r="AV653" s="147"/>
      <c r="AW653" s="147"/>
      <c r="AX653" s="147"/>
      <c r="AY653" s="147"/>
      <c r="AZ653" s="147"/>
      <c r="BA653" s="147"/>
      <c r="BB653" s="147"/>
      <c r="BC653" s="147"/>
      <c r="BD653" s="147"/>
      <c r="BE653" s="147"/>
      <c r="BF653" s="147"/>
      <c r="BG653" s="147"/>
      <c r="BH653" s="147"/>
      <c r="BI653" s="147"/>
      <c r="BJ653" s="147"/>
      <c r="BK653" s="147"/>
      <c r="BL653" s="147"/>
      <c r="BM653" s="147"/>
      <c r="BN653" s="147"/>
      <c r="BO653" s="147"/>
      <c r="BP653" s="147"/>
      <c r="BQ653" s="147"/>
      <c r="BR653" s="147"/>
      <c r="BS653" s="147"/>
      <c r="BT653" s="147"/>
      <c r="BU653" s="147"/>
      <c r="BV653" s="147"/>
      <c r="BW653" s="147"/>
      <c r="BX653" s="147"/>
      <c r="BY653" s="147"/>
      <c r="BZ653" s="147"/>
      <c r="CA653" s="147"/>
      <c r="CB653" s="147"/>
      <c r="CC653" s="147"/>
      <c r="CD653" s="147"/>
      <c r="CE653" s="147"/>
      <c r="CF653" s="147"/>
      <c r="CG653" s="147"/>
      <c r="CH653" s="147"/>
      <c r="CI653" s="147"/>
      <c r="CJ653" s="147"/>
      <c r="CK653" s="147"/>
    </row>
    <row r="654" spans="1:89">
      <c r="A654" s="157"/>
      <c r="F654" s="3"/>
      <c r="G654" s="3"/>
      <c r="L654" s="157"/>
      <c r="M654" s="157"/>
      <c r="O654" s="147"/>
      <c r="P654" s="147"/>
      <c r="Q654" s="147"/>
      <c r="R654" s="147"/>
      <c r="S654" s="147"/>
      <c r="T654" s="147"/>
      <c r="U654" s="147"/>
      <c r="V654" s="147"/>
      <c r="W654" s="147"/>
      <c r="X654" s="147"/>
      <c r="Y654" s="147"/>
      <c r="Z654" s="147"/>
      <c r="AA654" s="147"/>
      <c r="AB654" s="147"/>
      <c r="AC654" s="147"/>
      <c r="AD654" s="147"/>
      <c r="AE654" s="147"/>
      <c r="AF654" s="147"/>
      <c r="AG654" s="147"/>
      <c r="AH654" s="147"/>
      <c r="AI654" s="147"/>
      <c r="AJ654" s="147"/>
      <c r="AK654" s="147"/>
      <c r="AL654" s="147"/>
      <c r="AM654" s="151"/>
      <c r="AN654" s="147"/>
      <c r="AO654" s="147"/>
      <c r="AP654" s="147"/>
      <c r="AQ654" s="147"/>
      <c r="AR654" s="147"/>
      <c r="AS654" s="147"/>
      <c r="AT654" s="147"/>
      <c r="AU654" s="147"/>
      <c r="AV654" s="147"/>
      <c r="AW654" s="147"/>
      <c r="AX654" s="147"/>
      <c r="AY654" s="147"/>
      <c r="AZ654" s="147"/>
      <c r="BA654" s="147"/>
      <c r="BB654" s="147"/>
      <c r="BC654" s="147"/>
      <c r="BD654" s="147"/>
      <c r="BE654" s="147"/>
      <c r="BF654" s="147"/>
      <c r="BG654" s="147"/>
      <c r="BH654" s="147"/>
      <c r="BI654" s="147"/>
      <c r="BJ654" s="147"/>
      <c r="BK654" s="147"/>
      <c r="BL654" s="147"/>
      <c r="BM654" s="147"/>
      <c r="BN654" s="147"/>
      <c r="BO654" s="147"/>
      <c r="BP654" s="147"/>
      <c r="BQ654" s="147"/>
      <c r="BR654" s="147"/>
      <c r="BS654" s="147"/>
      <c r="BT654" s="147"/>
      <c r="BU654" s="147"/>
      <c r="BV654" s="147"/>
      <c r="BW654" s="147"/>
      <c r="BX654" s="147"/>
      <c r="BY654" s="147"/>
      <c r="BZ654" s="147"/>
      <c r="CA654" s="147"/>
      <c r="CB654" s="147"/>
      <c r="CC654" s="147"/>
      <c r="CD654" s="147"/>
      <c r="CE654" s="147"/>
      <c r="CF654" s="147"/>
      <c r="CG654" s="147"/>
      <c r="CH654" s="147"/>
      <c r="CI654" s="147"/>
      <c r="CJ654" s="147"/>
      <c r="CK654" s="147"/>
    </row>
    <row r="655" spans="1:89">
      <c r="A655" s="157"/>
      <c r="F655" s="3"/>
      <c r="G655" s="3"/>
      <c r="L655" s="157"/>
      <c r="M655" s="157"/>
      <c r="O655" s="147"/>
      <c r="P655" s="147"/>
      <c r="Q655" s="147"/>
      <c r="R655" s="147"/>
      <c r="S655" s="147"/>
      <c r="T655" s="147"/>
      <c r="U655" s="147"/>
      <c r="V655" s="147"/>
      <c r="W655" s="147"/>
      <c r="X655" s="147"/>
      <c r="Y655" s="147"/>
      <c r="Z655" s="147"/>
      <c r="AA655" s="147"/>
      <c r="AB655" s="147"/>
      <c r="AC655" s="147"/>
      <c r="AD655" s="147"/>
      <c r="AE655" s="147"/>
      <c r="AF655" s="147"/>
      <c r="AG655" s="147"/>
      <c r="AH655" s="147"/>
      <c r="AI655" s="147"/>
      <c r="AJ655" s="147"/>
      <c r="AK655" s="147"/>
      <c r="AL655" s="147"/>
      <c r="AM655" s="151"/>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c r="BI655" s="147"/>
      <c r="BJ655" s="147"/>
      <c r="BK655" s="147"/>
      <c r="BL655" s="147"/>
      <c r="BM655" s="147"/>
      <c r="BN655" s="147"/>
      <c r="BO655" s="147"/>
      <c r="BP655" s="147"/>
      <c r="BQ655" s="147"/>
      <c r="BR655" s="147"/>
      <c r="BS655" s="147"/>
      <c r="BT655" s="147"/>
      <c r="BU655" s="147"/>
      <c r="BV655" s="147"/>
      <c r="BW655" s="147"/>
      <c r="BX655" s="147"/>
      <c r="BY655" s="147"/>
      <c r="BZ655" s="147"/>
      <c r="CA655" s="147"/>
      <c r="CB655" s="147"/>
      <c r="CC655" s="147"/>
      <c r="CD655" s="147"/>
      <c r="CE655" s="147"/>
      <c r="CF655" s="147"/>
      <c r="CG655" s="147"/>
      <c r="CH655" s="147"/>
      <c r="CI655" s="147"/>
      <c r="CJ655" s="147"/>
      <c r="CK655" s="147"/>
    </row>
    <row r="656" spans="1:89">
      <c r="A656" s="157"/>
      <c r="F656" s="3"/>
      <c r="G656" s="3"/>
      <c r="L656" s="157"/>
      <c r="M656" s="157"/>
      <c r="O656" s="147"/>
      <c r="P656" s="147"/>
      <c r="Q656" s="147"/>
      <c r="R656" s="147"/>
      <c r="S656" s="147"/>
      <c r="T656" s="147"/>
      <c r="U656" s="147"/>
      <c r="V656" s="147"/>
      <c r="W656" s="147"/>
      <c r="X656" s="147"/>
      <c r="Y656" s="147"/>
      <c r="Z656" s="147"/>
      <c r="AA656" s="147"/>
      <c r="AB656" s="147"/>
      <c r="AC656" s="147"/>
      <c r="AD656" s="147"/>
      <c r="AE656" s="147"/>
      <c r="AF656" s="147"/>
      <c r="AG656" s="147"/>
      <c r="AH656" s="147"/>
      <c r="AI656" s="147"/>
      <c r="AJ656" s="147"/>
      <c r="AK656" s="147"/>
      <c r="AL656" s="147"/>
      <c r="AM656" s="151"/>
      <c r="AN656" s="147"/>
      <c r="AO656" s="147"/>
      <c r="AP656" s="147"/>
      <c r="AQ656" s="147"/>
      <c r="AR656" s="147"/>
      <c r="AS656" s="147"/>
      <c r="AT656" s="147"/>
      <c r="AU656" s="147"/>
      <c r="AV656" s="147"/>
      <c r="AW656" s="147"/>
      <c r="AX656" s="147"/>
      <c r="AY656" s="147"/>
      <c r="AZ656" s="147"/>
      <c r="BA656" s="147"/>
      <c r="BB656" s="147"/>
      <c r="BC656" s="147"/>
      <c r="BD656" s="147"/>
      <c r="BE656" s="147"/>
      <c r="BF656" s="147"/>
      <c r="BG656" s="147"/>
      <c r="BH656" s="147"/>
      <c r="BI656" s="147"/>
      <c r="BJ656" s="147"/>
      <c r="BK656" s="147"/>
      <c r="BL656" s="147"/>
      <c r="BM656" s="147"/>
      <c r="BN656" s="147"/>
      <c r="BO656" s="147"/>
      <c r="BP656" s="147"/>
      <c r="BQ656" s="147"/>
      <c r="BR656" s="147"/>
      <c r="BS656" s="147"/>
      <c r="BT656" s="147"/>
      <c r="BU656" s="147"/>
      <c r="BV656" s="147"/>
      <c r="BW656" s="147"/>
      <c r="BX656" s="147"/>
      <c r="BY656" s="147"/>
      <c r="BZ656" s="147"/>
      <c r="CA656" s="147"/>
      <c r="CB656" s="147"/>
      <c r="CC656" s="147"/>
      <c r="CD656" s="147"/>
      <c r="CE656" s="147"/>
      <c r="CF656" s="147"/>
      <c r="CG656" s="147"/>
      <c r="CH656" s="147"/>
      <c r="CI656" s="147"/>
      <c r="CJ656" s="147"/>
      <c r="CK656" s="147"/>
    </row>
    <row r="657" spans="1:89">
      <c r="A657" s="157"/>
      <c r="F657" s="3"/>
      <c r="G657" s="3"/>
      <c r="L657" s="157"/>
      <c r="M657" s="157"/>
      <c r="O657" s="147"/>
      <c r="P657" s="147"/>
      <c r="Q657" s="147"/>
      <c r="R657" s="147"/>
      <c r="S657" s="147"/>
      <c r="T657" s="147"/>
      <c r="U657" s="147"/>
      <c r="V657" s="147"/>
      <c r="W657" s="147"/>
      <c r="X657" s="147"/>
      <c r="Y657" s="147"/>
      <c r="Z657" s="147"/>
      <c r="AA657" s="147"/>
      <c r="AB657" s="147"/>
      <c r="AC657" s="147"/>
      <c r="AD657" s="147"/>
      <c r="AE657" s="147"/>
      <c r="AF657" s="147"/>
      <c r="AG657" s="147"/>
      <c r="AH657" s="147"/>
      <c r="AI657" s="147"/>
      <c r="AJ657" s="147"/>
      <c r="AK657" s="147"/>
      <c r="AL657" s="147"/>
      <c r="AM657" s="151"/>
      <c r="AN657" s="147"/>
      <c r="AO657" s="147"/>
      <c r="AP657" s="147"/>
      <c r="AQ657" s="147"/>
      <c r="AR657" s="147"/>
      <c r="AS657" s="147"/>
      <c r="AT657" s="147"/>
      <c r="AU657" s="147"/>
      <c r="AV657" s="147"/>
      <c r="AW657" s="147"/>
      <c r="AX657" s="147"/>
      <c r="AY657" s="147"/>
      <c r="AZ657" s="147"/>
      <c r="BA657" s="147"/>
      <c r="BB657" s="147"/>
      <c r="BC657" s="147"/>
      <c r="BD657" s="147"/>
      <c r="BE657" s="147"/>
      <c r="BF657" s="147"/>
      <c r="BG657" s="147"/>
      <c r="BH657" s="147"/>
      <c r="BI657" s="147"/>
      <c r="BJ657" s="147"/>
      <c r="BK657" s="147"/>
      <c r="BL657" s="147"/>
      <c r="BM657" s="147"/>
      <c r="BN657" s="147"/>
      <c r="BO657" s="147"/>
      <c r="BP657" s="147"/>
      <c r="BQ657" s="147"/>
      <c r="BR657" s="147"/>
      <c r="BS657" s="147"/>
      <c r="BT657" s="147"/>
      <c r="BU657" s="147"/>
      <c r="BV657" s="147"/>
      <c r="BW657" s="147"/>
      <c r="BX657" s="147"/>
      <c r="BY657" s="147"/>
      <c r="BZ657" s="147"/>
      <c r="CA657" s="147"/>
      <c r="CB657" s="147"/>
      <c r="CC657" s="147"/>
      <c r="CD657" s="147"/>
      <c r="CE657" s="147"/>
      <c r="CF657" s="147"/>
      <c r="CG657" s="147"/>
      <c r="CH657" s="147"/>
      <c r="CI657" s="147"/>
      <c r="CJ657" s="147"/>
      <c r="CK657" s="147"/>
    </row>
    <row r="658" spans="1:89">
      <c r="A658" s="157"/>
      <c r="F658" s="3"/>
      <c r="G658" s="3"/>
      <c r="L658" s="157"/>
      <c r="M658" s="157"/>
      <c r="O658" s="147"/>
      <c r="P658" s="147"/>
      <c r="Q658" s="147"/>
      <c r="R658" s="147"/>
      <c r="S658" s="147"/>
      <c r="T658" s="147"/>
      <c r="U658" s="147"/>
      <c r="V658" s="147"/>
      <c r="W658" s="147"/>
      <c r="X658" s="147"/>
      <c r="Y658" s="147"/>
      <c r="Z658" s="147"/>
      <c r="AA658" s="147"/>
      <c r="AB658" s="147"/>
      <c r="AC658" s="147"/>
      <c r="AD658" s="147"/>
      <c r="AE658" s="147"/>
      <c r="AF658" s="147"/>
      <c r="AG658" s="147"/>
      <c r="AH658" s="147"/>
      <c r="AI658" s="147"/>
      <c r="AJ658" s="147"/>
      <c r="AK658" s="147"/>
      <c r="AL658" s="147"/>
      <c r="AM658" s="151"/>
      <c r="AN658" s="147"/>
      <c r="AO658" s="147"/>
      <c r="AP658" s="147"/>
      <c r="AQ658" s="147"/>
      <c r="AR658" s="147"/>
      <c r="AS658" s="147"/>
      <c r="AT658" s="147"/>
      <c r="AU658" s="147"/>
      <c r="AV658" s="147"/>
      <c r="AW658" s="147"/>
      <c r="AX658" s="147"/>
      <c r="AY658" s="147"/>
      <c r="AZ658" s="147"/>
      <c r="BA658" s="147"/>
      <c r="BB658" s="147"/>
      <c r="BC658" s="147"/>
      <c r="BD658" s="147"/>
      <c r="BE658" s="147"/>
      <c r="BF658" s="147"/>
      <c r="BG658" s="147"/>
      <c r="BH658" s="147"/>
      <c r="BI658" s="147"/>
      <c r="BJ658" s="147"/>
      <c r="BK658" s="147"/>
      <c r="BL658" s="147"/>
      <c r="BM658" s="147"/>
      <c r="BN658" s="147"/>
      <c r="BO658" s="147"/>
      <c r="BP658" s="147"/>
      <c r="BQ658" s="147"/>
      <c r="BR658" s="147"/>
      <c r="BS658" s="147"/>
      <c r="BT658" s="147"/>
      <c r="BU658" s="147"/>
      <c r="BV658" s="147"/>
      <c r="BW658" s="147"/>
      <c r="BX658" s="147"/>
      <c r="BY658" s="147"/>
      <c r="BZ658" s="147"/>
      <c r="CA658" s="147"/>
      <c r="CB658" s="147"/>
      <c r="CC658" s="147"/>
      <c r="CD658" s="147"/>
      <c r="CE658" s="147"/>
      <c r="CF658" s="147"/>
      <c r="CG658" s="147"/>
      <c r="CH658" s="147"/>
      <c r="CI658" s="147"/>
      <c r="CJ658" s="147"/>
      <c r="CK658" s="147"/>
    </row>
    <row r="659" spans="1:89">
      <c r="A659" s="157"/>
      <c r="F659" s="3"/>
      <c r="G659" s="3"/>
      <c r="L659" s="157"/>
      <c r="M659" s="157"/>
      <c r="O659" s="147"/>
      <c r="P659" s="147"/>
      <c r="Q659" s="147"/>
      <c r="R659" s="147"/>
      <c r="S659" s="147"/>
      <c r="T659" s="147"/>
      <c r="U659" s="147"/>
      <c r="V659" s="147"/>
      <c r="W659" s="147"/>
      <c r="X659" s="147"/>
      <c r="Y659" s="147"/>
      <c r="Z659" s="147"/>
      <c r="AA659" s="147"/>
      <c r="AB659" s="147"/>
      <c r="AC659" s="147"/>
      <c r="AD659" s="147"/>
      <c r="AE659" s="147"/>
      <c r="AF659" s="147"/>
      <c r="AG659" s="147"/>
      <c r="AH659" s="147"/>
      <c r="AI659" s="147"/>
      <c r="AJ659" s="147"/>
      <c r="AK659" s="147"/>
      <c r="AL659" s="147"/>
      <c r="AM659" s="151"/>
      <c r="AN659" s="147"/>
      <c r="AO659" s="147"/>
      <c r="AP659" s="147"/>
      <c r="AQ659" s="147"/>
      <c r="AR659" s="147"/>
      <c r="AS659" s="147"/>
      <c r="AT659" s="147"/>
      <c r="AU659" s="147"/>
      <c r="AV659" s="147"/>
      <c r="AW659" s="147"/>
      <c r="AX659" s="147"/>
      <c r="AY659" s="147"/>
      <c r="AZ659" s="147"/>
      <c r="BA659" s="147"/>
      <c r="BB659" s="147"/>
      <c r="BC659" s="147"/>
      <c r="BD659" s="147"/>
      <c r="BE659" s="147"/>
      <c r="BF659" s="147"/>
      <c r="BG659" s="147"/>
      <c r="BH659" s="147"/>
      <c r="BI659" s="147"/>
      <c r="BJ659" s="147"/>
      <c r="BK659" s="147"/>
      <c r="BL659" s="147"/>
      <c r="BM659" s="147"/>
      <c r="BN659" s="147"/>
      <c r="BO659" s="147"/>
      <c r="BP659" s="147"/>
      <c r="BQ659" s="147"/>
      <c r="BR659" s="147"/>
      <c r="BS659" s="147"/>
      <c r="BT659" s="147"/>
      <c r="BU659" s="147"/>
      <c r="BV659" s="147"/>
      <c r="BW659" s="147"/>
      <c r="BX659" s="147"/>
      <c r="BY659" s="147"/>
      <c r="BZ659" s="147"/>
      <c r="CA659" s="147"/>
      <c r="CB659" s="147"/>
      <c r="CC659" s="147"/>
      <c r="CD659" s="147"/>
      <c r="CE659" s="147"/>
      <c r="CF659" s="147"/>
      <c r="CG659" s="147"/>
      <c r="CH659" s="147"/>
      <c r="CI659" s="147"/>
      <c r="CJ659" s="147"/>
      <c r="CK659" s="147"/>
    </row>
    <row r="660" spans="1:89">
      <c r="A660" s="157"/>
      <c r="F660" s="3"/>
      <c r="G660" s="3"/>
      <c r="L660" s="157"/>
      <c r="M660" s="157"/>
      <c r="O660" s="147"/>
      <c r="P660" s="147"/>
      <c r="Q660" s="147"/>
      <c r="R660" s="147"/>
      <c r="S660" s="147"/>
      <c r="T660" s="147"/>
      <c r="U660" s="147"/>
      <c r="V660" s="147"/>
      <c r="W660" s="147"/>
      <c r="X660" s="147"/>
      <c r="Y660" s="147"/>
      <c r="Z660" s="147"/>
      <c r="AA660" s="147"/>
      <c r="AB660" s="147"/>
      <c r="AC660" s="147"/>
      <c r="AD660" s="147"/>
      <c r="AE660" s="147"/>
      <c r="AF660" s="147"/>
      <c r="AG660" s="147"/>
      <c r="AH660" s="147"/>
      <c r="AI660" s="147"/>
      <c r="AJ660" s="147"/>
      <c r="AK660" s="147"/>
      <c r="AL660" s="147"/>
      <c r="AM660" s="151"/>
      <c r="AN660" s="147"/>
      <c r="AO660" s="147"/>
      <c r="AP660" s="147"/>
      <c r="AQ660" s="147"/>
      <c r="AR660" s="147"/>
      <c r="AS660" s="147"/>
      <c r="AT660" s="147"/>
      <c r="AU660" s="147"/>
      <c r="AV660" s="147"/>
      <c r="AW660" s="147"/>
      <c r="AX660" s="147"/>
      <c r="AY660" s="147"/>
      <c r="AZ660" s="147"/>
      <c r="BA660" s="147"/>
      <c r="BB660" s="147"/>
      <c r="BC660" s="147"/>
      <c r="BD660" s="147"/>
      <c r="BE660" s="147"/>
      <c r="BF660" s="147"/>
      <c r="BG660" s="147"/>
      <c r="BH660" s="147"/>
      <c r="BI660" s="147"/>
      <c r="BJ660" s="147"/>
      <c r="BK660" s="147"/>
      <c r="BL660" s="147"/>
      <c r="BM660" s="147"/>
      <c r="BN660" s="147"/>
      <c r="BO660" s="147"/>
      <c r="BP660" s="147"/>
      <c r="BQ660" s="147"/>
      <c r="BR660" s="147"/>
      <c r="BS660" s="147"/>
      <c r="BT660" s="147"/>
      <c r="BU660" s="147"/>
      <c r="BV660" s="147"/>
      <c r="BW660" s="147"/>
      <c r="BX660" s="147"/>
      <c r="BY660" s="147"/>
      <c r="BZ660" s="147"/>
      <c r="CA660" s="147"/>
      <c r="CB660" s="147"/>
      <c r="CC660" s="147"/>
      <c r="CD660" s="147"/>
      <c r="CE660" s="147"/>
      <c r="CF660" s="147"/>
      <c r="CG660" s="147"/>
      <c r="CH660" s="147"/>
      <c r="CI660" s="147"/>
      <c r="CJ660" s="147"/>
      <c r="CK660" s="147"/>
    </row>
    <row r="661" spans="1:89">
      <c r="A661" s="157"/>
      <c r="F661" s="3"/>
      <c r="G661" s="3"/>
      <c r="L661" s="157"/>
      <c r="M661" s="157"/>
      <c r="O661" s="147"/>
      <c r="P661" s="147"/>
      <c r="Q661" s="147"/>
      <c r="R661" s="147"/>
      <c r="S661" s="147"/>
      <c r="T661" s="147"/>
      <c r="U661" s="147"/>
      <c r="V661" s="147"/>
      <c r="W661" s="147"/>
      <c r="X661" s="147"/>
      <c r="Y661" s="147"/>
      <c r="Z661" s="147"/>
      <c r="AA661" s="147"/>
      <c r="AB661" s="147"/>
      <c r="AC661" s="147"/>
      <c r="AD661" s="147"/>
      <c r="AE661" s="147"/>
      <c r="AF661" s="147"/>
      <c r="AG661" s="147"/>
      <c r="AH661" s="147"/>
      <c r="AI661" s="147"/>
      <c r="AJ661" s="147"/>
      <c r="AK661" s="147"/>
      <c r="AL661" s="147"/>
      <c r="AM661" s="151"/>
      <c r="AN661" s="147"/>
      <c r="AO661" s="147"/>
      <c r="AP661" s="147"/>
      <c r="AQ661" s="147"/>
      <c r="AR661" s="147"/>
      <c r="AS661" s="147"/>
      <c r="AT661" s="147"/>
      <c r="AU661" s="147"/>
      <c r="AV661" s="147"/>
      <c r="AW661" s="147"/>
      <c r="AX661" s="147"/>
      <c r="AY661" s="147"/>
      <c r="AZ661" s="147"/>
      <c r="BA661" s="147"/>
      <c r="BB661" s="147"/>
      <c r="BC661" s="147"/>
      <c r="BD661" s="147"/>
      <c r="BE661" s="147"/>
      <c r="BF661" s="147"/>
      <c r="BG661" s="147"/>
      <c r="BH661" s="147"/>
      <c r="BI661" s="147"/>
      <c r="BJ661" s="147"/>
      <c r="BK661" s="147"/>
      <c r="BL661" s="147"/>
      <c r="BM661" s="147"/>
      <c r="BN661" s="147"/>
      <c r="BO661" s="147"/>
      <c r="BP661" s="147"/>
      <c r="BQ661" s="147"/>
      <c r="BR661" s="147"/>
      <c r="BS661" s="147"/>
      <c r="BT661" s="147"/>
      <c r="BU661" s="147"/>
      <c r="BV661" s="147"/>
      <c r="BW661" s="147"/>
      <c r="BX661" s="147"/>
      <c r="BY661" s="147"/>
      <c r="BZ661" s="147"/>
      <c r="CA661" s="147"/>
      <c r="CB661" s="147"/>
      <c r="CC661" s="147"/>
      <c r="CD661" s="147"/>
      <c r="CE661" s="147"/>
      <c r="CF661" s="147"/>
      <c r="CG661" s="147"/>
      <c r="CH661" s="147"/>
      <c r="CI661" s="147"/>
      <c r="CJ661" s="147"/>
      <c r="CK661" s="147"/>
    </row>
    <row r="662" spans="1:89">
      <c r="A662" s="157"/>
      <c r="F662" s="3"/>
      <c r="G662" s="3"/>
      <c r="L662" s="157"/>
      <c r="M662" s="157"/>
      <c r="O662" s="147"/>
      <c r="P662" s="147"/>
      <c r="Q662" s="147"/>
      <c r="R662" s="147"/>
      <c r="S662" s="147"/>
      <c r="T662" s="147"/>
      <c r="U662" s="147"/>
      <c r="V662" s="147"/>
      <c r="W662" s="147"/>
      <c r="X662" s="147"/>
      <c r="Y662" s="147"/>
      <c r="Z662" s="147"/>
      <c r="AA662" s="147"/>
      <c r="AB662" s="147"/>
      <c r="AC662" s="147"/>
      <c r="AD662" s="147"/>
      <c r="AE662" s="147"/>
      <c r="AF662" s="147"/>
      <c r="AG662" s="147"/>
      <c r="AH662" s="147"/>
      <c r="AI662" s="147"/>
      <c r="AJ662" s="147"/>
      <c r="AK662" s="147"/>
      <c r="AL662" s="147"/>
      <c r="AM662" s="151"/>
      <c r="AN662" s="147"/>
      <c r="AO662" s="147"/>
      <c r="AP662" s="147"/>
      <c r="AQ662" s="147"/>
      <c r="AR662" s="147"/>
      <c r="AS662" s="147"/>
      <c r="AT662" s="147"/>
      <c r="AU662" s="147"/>
      <c r="AV662" s="147"/>
      <c r="AW662" s="147"/>
      <c r="AX662" s="147"/>
      <c r="AY662" s="147"/>
      <c r="AZ662" s="147"/>
      <c r="BA662" s="147"/>
      <c r="BB662" s="147"/>
      <c r="BC662" s="147"/>
      <c r="BD662" s="147"/>
      <c r="BE662" s="147"/>
      <c r="BF662" s="147"/>
      <c r="BG662" s="147"/>
      <c r="BH662" s="147"/>
      <c r="BI662" s="147"/>
      <c r="BJ662" s="147"/>
      <c r="BK662" s="147"/>
      <c r="BL662" s="147"/>
      <c r="BM662" s="147"/>
      <c r="BN662" s="147"/>
      <c r="BO662" s="147"/>
      <c r="BP662" s="147"/>
      <c r="BQ662" s="147"/>
      <c r="BR662" s="147"/>
      <c r="BS662" s="147"/>
      <c r="BT662" s="147"/>
      <c r="BU662" s="147"/>
      <c r="BV662" s="147"/>
      <c r="BW662" s="147"/>
      <c r="BX662" s="147"/>
      <c r="BY662" s="147"/>
      <c r="BZ662" s="147"/>
      <c r="CA662" s="147"/>
      <c r="CB662" s="147"/>
      <c r="CC662" s="147"/>
      <c r="CD662" s="147"/>
      <c r="CE662" s="147"/>
      <c r="CF662" s="147"/>
      <c r="CG662" s="147"/>
      <c r="CH662" s="147"/>
      <c r="CI662" s="147"/>
      <c r="CJ662" s="147"/>
      <c r="CK662" s="147"/>
    </row>
    <row r="663" spans="1:89">
      <c r="A663" s="157"/>
      <c r="F663" s="3"/>
      <c r="G663" s="3"/>
      <c r="L663" s="157"/>
      <c r="M663" s="157"/>
      <c r="O663" s="147"/>
      <c r="P663" s="147"/>
      <c r="Q663" s="147"/>
      <c r="R663" s="147"/>
      <c r="S663" s="147"/>
      <c r="T663" s="147"/>
      <c r="U663" s="147"/>
      <c r="V663" s="147"/>
      <c r="W663" s="147"/>
      <c r="X663" s="147"/>
      <c r="Y663" s="147"/>
      <c r="Z663" s="147"/>
      <c r="AA663" s="147"/>
      <c r="AB663" s="147"/>
      <c r="AC663" s="147"/>
      <c r="AD663" s="147"/>
      <c r="AE663" s="147"/>
      <c r="AF663" s="147"/>
      <c r="AG663" s="147"/>
      <c r="AH663" s="147"/>
      <c r="AI663" s="147"/>
      <c r="AJ663" s="147"/>
      <c r="AK663" s="147"/>
      <c r="AL663" s="147"/>
      <c r="AM663" s="151"/>
      <c r="AN663" s="147"/>
      <c r="AO663" s="147"/>
      <c r="AP663" s="147"/>
      <c r="AQ663" s="147"/>
      <c r="AR663" s="147"/>
      <c r="AS663" s="147"/>
      <c r="AT663" s="147"/>
      <c r="AU663" s="147"/>
      <c r="AV663" s="147"/>
      <c r="AW663" s="147"/>
      <c r="AX663" s="147"/>
      <c r="AY663" s="147"/>
      <c r="AZ663" s="147"/>
      <c r="BA663" s="147"/>
      <c r="BB663" s="147"/>
      <c r="BC663" s="147"/>
      <c r="BD663" s="147"/>
      <c r="BE663" s="147"/>
      <c r="BF663" s="147"/>
      <c r="BG663" s="147"/>
      <c r="BH663" s="147"/>
      <c r="BI663" s="147"/>
      <c r="BJ663" s="147"/>
      <c r="BK663" s="147"/>
      <c r="BL663" s="147"/>
      <c r="BM663" s="147"/>
      <c r="BN663" s="147"/>
      <c r="BO663" s="147"/>
      <c r="BP663" s="147"/>
      <c r="BQ663" s="147"/>
      <c r="BR663" s="147"/>
      <c r="BS663" s="147"/>
      <c r="BT663" s="147"/>
      <c r="BU663" s="147"/>
      <c r="BV663" s="147"/>
      <c r="BW663" s="147"/>
      <c r="BX663" s="147"/>
      <c r="BY663" s="147"/>
      <c r="BZ663" s="147"/>
      <c r="CA663" s="147"/>
      <c r="CB663" s="147"/>
      <c r="CC663" s="147"/>
      <c r="CD663" s="147"/>
      <c r="CE663" s="147"/>
      <c r="CF663" s="147"/>
      <c r="CG663" s="147"/>
      <c r="CH663" s="147"/>
      <c r="CI663" s="147"/>
      <c r="CJ663" s="147"/>
      <c r="CK663" s="147"/>
    </row>
    <row r="664" spans="1:89">
      <c r="A664" s="157"/>
      <c r="F664" s="3"/>
      <c r="G664" s="3"/>
      <c r="L664" s="157"/>
      <c r="M664" s="157"/>
      <c r="O664" s="147"/>
      <c r="P664" s="147"/>
      <c r="Q664" s="147"/>
      <c r="R664" s="147"/>
      <c r="S664" s="147"/>
      <c r="T664" s="147"/>
      <c r="U664" s="147"/>
      <c r="V664" s="147"/>
      <c r="W664" s="147"/>
      <c r="X664" s="147"/>
      <c r="Y664" s="147"/>
      <c r="Z664" s="147"/>
      <c r="AA664" s="147"/>
      <c r="AB664" s="147"/>
      <c r="AC664" s="147"/>
      <c r="AD664" s="147"/>
      <c r="AE664" s="147"/>
      <c r="AF664" s="147"/>
      <c r="AG664" s="147"/>
      <c r="AH664" s="147"/>
      <c r="AI664" s="147"/>
      <c r="AJ664" s="147"/>
      <c r="AK664" s="147"/>
      <c r="AL664" s="147"/>
      <c r="AM664" s="151"/>
      <c r="AN664" s="147"/>
      <c r="AO664" s="147"/>
      <c r="AP664" s="147"/>
      <c r="AQ664" s="147"/>
      <c r="AR664" s="147"/>
      <c r="AS664" s="147"/>
      <c r="AT664" s="147"/>
      <c r="AU664" s="147"/>
      <c r="AV664" s="147"/>
      <c r="AW664" s="147"/>
      <c r="AX664" s="147"/>
      <c r="AY664" s="147"/>
      <c r="AZ664" s="147"/>
      <c r="BA664" s="147"/>
      <c r="BB664" s="147"/>
      <c r="BC664" s="147"/>
      <c r="BD664" s="147"/>
      <c r="BE664" s="147"/>
      <c r="BF664" s="147"/>
      <c r="BG664" s="147"/>
      <c r="BH664" s="147"/>
      <c r="BI664" s="147"/>
      <c r="BJ664" s="147"/>
      <c r="BK664" s="147"/>
      <c r="BL664" s="147"/>
      <c r="BM664" s="147"/>
      <c r="BN664" s="147"/>
      <c r="BO664" s="147"/>
      <c r="BP664" s="147"/>
      <c r="BQ664" s="147"/>
      <c r="BR664" s="147"/>
      <c r="BS664" s="147"/>
      <c r="BT664" s="147"/>
      <c r="BU664" s="147"/>
      <c r="BV664" s="147"/>
      <c r="BW664" s="147"/>
      <c r="BX664" s="147"/>
      <c r="BY664" s="147"/>
      <c r="BZ664" s="147"/>
      <c r="CA664" s="147"/>
      <c r="CB664" s="147"/>
      <c r="CC664" s="147"/>
      <c r="CD664" s="147"/>
      <c r="CE664" s="147"/>
      <c r="CF664" s="147"/>
      <c r="CG664" s="147"/>
      <c r="CH664" s="147"/>
      <c r="CI664" s="147"/>
      <c r="CJ664" s="147"/>
      <c r="CK664" s="147"/>
    </row>
    <row r="665" spans="1:89">
      <c r="A665" s="157"/>
      <c r="F665" s="3"/>
      <c r="G665" s="3"/>
      <c r="L665" s="157"/>
      <c r="M665" s="157"/>
      <c r="O665" s="147"/>
      <c r="P665" s="147"/>
      <c r="Q665" s="147"/>
      <c r="R665" s="147"/>
      <c r="S665" s="147"/>
      <c r="T665" s="147"/>
      <c r="U665" s="147"/>
      <c r="V665" s="147"/>
      <c r="W665" s="147"/>
      <c r="X665" s="147"/>
      <c r="Y665" s="147"/>
      <c r="Z665" s="147"/>
      <c r="AA665" s="147"/>
      <c r="AB665" s="147"/>
      <c r="AC665" s="147"/>
      <c r="AD665" s="147"/>
      <c r="AE665" s="147"/>
      <c r="AF665" s="147"/>
      <c r="AG665" s="147"/>
      <c r="AH665" s="147"/>
      <c r="AI665" s="147"/>
      <c r="AJ665" s="147"/>
      <c r="AK665" s="147"/>
      <c r="AL665" s="147"/>
      <c r="AM665" s="151"/>
      <c r="AN665" s="147"/>
      <c r="AO665" s="147"/>
      <c r="AP665" s="147"/>
      <c r="AQ665" s="147"/>
      <c r="AR665" s="147"/>
      <c r="AS665" s="147"/>
      <c r="AT665" s="147"/>
      <c r="AU665" s="147"/>
      <c r="AV665" s="147"/>
      <c r="AW665" s="147"/>
      <c r="AX665" s="147"/>
      <c r="AY665" s="147"/>
      <c r="AZ665" s="147"/>
      <c r="BA665" s="147"/>
      <c r="BB665" s="147"/>
      <c r="BC665" s="147"/>
      <c r="BD665" s="147"/>
      <c r="BE665" s="147"/>
      <c r="BF665" s="147"/>
      <c r="BG665" s="147"/>
      <c r="BH665" s="147"/>
      <c r="BI665" s="147"/>
      <c r="BJ665" s="147"/>
      <c r="BK665" s="147"/>
      <c r="BL665" s="147"/>
      <c r="BM665" s="147"/>
      <c r="BN665" s="147"/>
      <c r="BO665" s="147"/>
      <c r="BP665" s="147"/>
      <c r="BQ665" s="147"/>
      <c r="BR665" s="147"/>
      <c r="BS665" s="147"/>
      <c r="BT665" s="147"/>
      <c r="BU665" s="147"/>
      <c r="BV665" s="147"/>
      <c r="BW665" s="147"/>
      <c r="BX665" s="147"/>
      <c r="BY665" s="147"/>
      <c r="BZ665" s="147"/>
      <c r="CA665" s="147"/>
      <c r="CB665" s="147"/>
      <c r="CC665" s="147"/>
      <c r="CD665" s="147"/>
      <c r="CE665" s="147"/>
      <c r="CF665" s="147"/>
      <c r="CG665" s="147"/>
      <c r="CH665" s="147"/>
      <c r="CI665" s="147"/>
      <c r="CJ665" s="147"/>
      <c r="CK665" s="147"/>
    </row>
    <row r="666" spans="1:89">
      <c r="A666" s="157"/>
      <c r="F666" s="3"/>
      <c r="G666" s="3"/>
      <c r="L666" s="157"/>
      <c r="M666" s="157"/>
      <c r="O666" s="147"/>
      <c r="P666" s="147"/>
      <c r="Q666" s="147"/>
      <c r="R666" s="147"/>
      <c r="S666" s="147"/>
      <c r="T666" s="147"/>
      <c r="U666" s="147"/>
      <c r="V666" s="147"/>
      <c r="W666" s="147"/>
      <c r="X666" s="147"/>
      <c r="Y666" s="147"/>
      <c r="Z666" s="147"/>
      <c r="AA666" s="147"/>
      <c r="AB666" s="147"/>
      <c r="AC666" s="147"/>
      <c r="AD666" s="147"/>
      <c r="AE666" s="147"/>
      <c r="AF666" s="147"/>
      <c r="AG666" s="147"/>
      <c r="AH666" s="147"/>
      <c r="AI666" s="147"/>
      <c r="AJ666" s="147"/>
      <c r="AK666" s="147"/>
      <c r="AL666" s="147"/>
      <c r="AM666" s="151"/>
      <c r="AN666" s="147"/>
      <c r="AO666" s="147"/>
      <c r="AP666" s="147"/>
      <c r="AQ666" s="147"/>
      <c r="AR666" s="147"/>
      <c r="AS666" s="147"/>
      <c r="AT666" s="147"/>
      <c r="AU666" s="147"/>
      <c r="AV666" s="147"/>
      <c r="AW666" s="147"/>
      <c r="AX666" s="147"/>
      <c r="AY666" s="147"/>
      <c r="AZ666" s="147"/>
      <c r="BA666" s="147"/>
      <c r="BB666" s="147"/>
      <c r="BC666" s="147"/>
      <c r="BD666" s="147"/>
      <c r="BE666" s="147"/>
      <c r="BF666" s="147"/>
      <c r="BG666" s="147"/>
      <c r="BH666" s="147"/>
      <c r="BI666" s="147"/>
      <c r="BJ666" s="147"/>
      <c r="BK666" s="147"/>
      <c r="BL666" s="147"/>
      <c r="BM666" s="147"/>
      <c r="BN666" s="147"/>
      <c r="BO666" s="147"/>
      <c r="BP666" s="147"/>
      <c r="BQ666" s="147"/>
      <c r="BR666" s="147"/>
      <c r="BS666" s="147"/>
      <c r="BT666" s="147"/>
      <c r="BU666" s="147"/>
      <c r="BV666" s="147"/>
      <c r="BW666" s="147"/>
      <c r="BX666" s="147"/>
      <c r="BY666" s="147"/>
      <c r="BZ666" s="147"/>
      <c r="CA666" s="147"/>
      <c r="CB666" s="147"/>
      <c r="CC666" s="147"/>
      <c r="CD666" s="147"/>
      <c r="CE666" s="147"/>
      <c r="CF666" s="147"/>
      <c r="CG666" s="147"/>
      <c r="CH666" s="147"/>
      <c r="CI666" s="147"/>
      <c r="CJ666" s="147"/>
      <c r="CK666" s="147"/>
    </row>
    <row r="667" spans="1:89">
      <c r="A667" s="157"/>
      <c r="F667" s="3"/>
      <c r="G667" s="3"/>
      <c r="L667" s="157"/>
      <c r="M667" s="157"/>
      <c r="O667" s="147"/>
      <c r="P667" s="147"/>
      <c r="Q667" s="147"/>
      <c r="R667" s="147"/>
      <c r="S667" s="147"/>
      <c r="T667" s="147"/>
      <c r="U667" s="147"/>
      <c r="V667" s="147"/>
      <c r="W667" s="147"/>
      <c r="X667" s="147"/>
      <c r="Y667" s="147"/>
      <c r="Z667" s="147"/>
      <c r="AA667" s="147"/>
      <c r="AB667" s="147"/>
      <c r="AC667" s="147"/>
      <c r="AD667" s="147"/>
      <c r="AE667" s="147"/>
      <c r="AF667" s="147"/>
      <c r="AG667" s="147"/>
      <c r="AH667" s="147"/>
      <c r="AI667" s="147"/>
      <c r="AJ667" s="147"/>
      <c r="AK667" s="147"/>
      <c r="AL667" s="147"/>
      <c r="AM667" s="151"/>
      <c r="AN667" s="147"/>
      <c r="AO667" s="147"/>
      <c r="AP667" s="147"/>
      <c r="AQ667" s="147"/>
      <c r="AR667" s="147"/>
      <c r="AS667" s="147"/>
      <c r="AT667" s="147"/>
      <c r="AU667" s="147"/>
      <c r="AV667" s="147"/>
      <c r="AW667" s="147"/>
      <c r="AX667" s="147"/>
      <c r="AY667" s="147"/>
      <c r="AZ667" s="147"/>
      <c r="BA667" s="147"/>
      <c r="BB667" s="147"/>
      <c r="BC667" s="147"/>
      <c r="BD667" s="147"/>
      <c r="BE667" s="147"/>
      <c r="BF667" s="147"/>
      <c r="BG667" s="147"/>
      <c r="BH667" s="147"/>
      <c r="BI667" s="147"/>
      <c r="BJ667" s="147"/>
      <c r="BK667" s="147"/>
      <c r="BL667" s="147"/>
      <c r="BM667" s="147"/>
      <c r="BN667" s="147"/>
      <c r="BO667" s="147"/>
      <c r="BP667" s="147"/>
      <c r="BQ667" s="147"/>
      <c r="BR667" s="147"/>
      <c r="BS667" s="147"/>
      <c r="BT667" s="147"/>
      <c r="BU667" s="147"/>
      <c r="BV667" s="147"/>
      <c r="BW667" s="147"/>
      <c r="BX667" s="147"/>
      <c r="BY667" s="147"/>
      <c r="BZ667" s="147"/>
      <c r="CA667" s="147"/>
      <c r="CB667" s="147"/>
      <c r="CC667" s="147"/>
      <c r="CD667" s="147"/>
      <c r="CE667" s="147"/>
      <c r="CF667" s="147"/>
      <c r="CG667" s="147"/>
      <c r="CH667" s="147"/>
      <c r="CI667" s="147"/>
      <c r="CJ667" s="147"/>
      <c r="CK667" s="147"/>
    </row>
    <row r="668" spans="1:89">
      <c r="A668" s="157"/>
      <c r="F668" s="3"/>
      <c r="G668" s="3"/>
      <c r="L668" s="157"/>
      <c r="M668" s="157"/>
      <c r="O668" s="147"/>
      <c r="P668" s="147"/>
      <c r="Q668" s="147"/>
      <c r="R668" s="147"/>
      <c r="S668" s="147"/>
      <c r="T668" s="147"/>
      <c r="U668" s="147"/>
      <c r="V668" s="147"/>
      <c r="W668" s="147"/>
      <c r="X668" s="147"/>
      <c r="Y668" s="147"/>
      <c r="Z668" s="147"/>
      <c r="AA668" s="147"/>
      <c r="AB668" s="147"/>
      <c r="AC668" s="147"/>
      <c r="AD668" s="147"/>
      <c r="AE668" s="147"/>
      <c r="AF668" s="147"/>
      <c r="AG668" s="147"/>
      <c r="AH668" s="147"/>
      <c r="AI668" s="147"/>
      <c r="AJ668" s="147"/>
      <c r="AK668" s="147"/>
      <c r="AL668" s="147"/>
      <c r="AM668" s="151"/>
      <c r="AN668" s="147"/>
      <c r="AO668" s="147"/>
      <c r="AP668" s="147"/>
      <c r="AQ668" s="147"/>
      <c r="AR668" s="147"/>
      <c r="AS668" s="147"/>
      <c r="AT668" s="147"/>
      <c r="AU668" s="147"/>
      <c r="AV668" s="147"/>
      <c r="AW668" s="147"/>
      <c r="AX668" s="147"/>
      <c r="AY668" s="147"/>
      <c r="AZ668" s="147"/>
      <c r="BA668" s="147"/>
      <c r="BB668" s="147"/>
      <c r="BC668" s="147"/>
      <c r="BD668" s="147"/>
      <c r="BE668" s="147"/>
      <c r="BF668" s="147"/>
      <c r="BG668" s="147"/>
      <c r="BH668" s="147"/>
      <c r="BI668" s="147"/>
      <c r="BJ668" s="147"/>
      <c r="BK668" s="147"/>
      <c r="BL668" s="147"/>
      <c r="BM668" s="147"/>
      <c r="BN668" s="147"/>
      <c r="BO668" s="147"/>
      <c r="BP668" s="147"/>
      <c r="BQ668" s="147"/>
      <c r="BR668" s="147"/>
      <c r="BS668" s="147"/>
      <c r="BT668" s="147"/>
      <c r="BU668" s="147"/>
      <c r="BV668" s="147"/>
      <c r="BW668" s="147"/>
      <c r="BX668" s="147"/>
      <c r="BY668" s="147"/>
      <c r="BZ668" s="147"/>
      <c r="CA668" s="147"/>
      <c r="CB668" s="147"/>
      <c r="CC668" s="147"/>
      <c r="CD668" s="147"/>
      <c r="CE668" s="147"/>
      <c r="CF668" s="147"/>
      <c r="CG668" s="147"/>
      <c r="CH668" s="147"/>
      <c r="CI668" s="147"/>
      <c r="CJ668" s="147"/>
      <c r="CK668" s="147"/>
    </row>
    <row r="669" spans="1:89">
      <c r="A669" s="157"/>
      <c r="F669" s="3"/>
      <c r="G669" s="3"/>
      <c r="L669" s="157"/>
      <c r="M669" s="157"/>
      <c r="O669" s="147"/>
      <c r="P669" s="147"/>
      <c r="Q669" s="147"/>
      <c r="R669" s="147"/>
      <c r="S669" s="147"/>
      <c r="T669" s="147"/>
      <c r="U669" s="147"/>
      <c r="V669" s="147"/>
      <c r="W669" s="147"/>
      <c r="X669" s="147"/>
      <c r="Y669" s="147"/>
      <c r="Z669" s="147"/>
      <c r="AA669" s="147"/>
      <c r="AB669" s="147"/>
      <c r="AC669" s="147"/>
      <c r="AD669" s="147"/>
      <c r="AE669" s="147"/>
      <c r="AF669" s="147"/>
      <c r="AG669" s="147"/>
      <c r="AH669" s="147"/>
      <c r="AI669" s="147"/>
      <c r="AJ669" s="147"/>
      <c r="AK669" s="147"/>
      <c r="AL669" s="147"/>
      <c r="AM669" s="151"/>
      <c r="AN669" s="147"/>
      <c r="AO669" s="147"/>
      <c r="AP669" s="147"/>
      <c r="AQ669" s="147"/>
      <c r="AR669" s="147"/>
      <c r="AS669" s="147"/>
      <c r="AT669" s="147"/>
      <c r="AU669" s="147"/>
      <c r="AV669" s="147"/>
      <c r="AW669" s="147"/>
      <c r="AX669" s="147"/>
      <c r="AY669" s="147"/>
      <c r="AZ669" s="147"/>
      <c r="BA669" s="147"/>
      <c r="BB669" s="147"/>
      <c r="BC669" s="147"/>
      <c r="BD669" s="147"/>
      <c r="BE669" s="147"/>
      <c r="BF669" s="147"/>
      <c r="BG669" s="147"/>
      <c r="BH669" s="147"/>
      <c r="BI669" s="147"/>
      <c r="BJ669" s="147"/>
      <c r="BK669" s="147"/>
      <c r="BL669" s="147"/>
      <c r="BM669" s="147"/>
      <c r="BN669" s="147"/>
      <c r="BO669" s="147"/>
      <c r="BP669" s="147"/>
      <c r="BQ669" s="147"/>
      <c r="BR669" s="147"/>
      <c r="BS669" s="147"/>
      <c r="BT669" s="147"/>
      <c r="BU669" s="147"/>
      <c r="BV669" s="147"/>
      <c r="BW669" s="147"/>
      <c r="BX669" s="147"/>
      <c r="BY669" s="147"/>
      <c r="BZ669" s="147"/>
      <c r="CA669" s="147"/>
      <c r="CB669" s="147"/>
      <c r="CC669" s="147"/>
      <c r="CD669" s="147"/>
      <c r="CE669" s="147"/>
      <c r="CF669" s="147"/>
      <c r="CG669" s="147"/>
      <c r="CH669" s="147"/>
      <c r="CI669" s="147"/>
      <c r="CJ669" s="147"/>
      <c r="CK669" s="147"/>
    </row>
    <row r="670" spans="1:89">
      <c r="A670" s="157"/>
      <c r="F670" s="3"/>
      <c r="G670" s="3"/>
      <c r="L670" s="157"/>
      <c r="M670" s="157"/>
      <c r="O670" s="147"/>
      <c r="P670" s="147"/>
      <c r="Q670" s="147"/>
      <c r="R670" s="147"/>
      <c r="S670" s="147"/>
      <c r="T670" s="147"/>
      <c r="U670" s="147"/>
      <c r="V670" s="147"/>
      <c r="W670" s="147"/>
      <c r="X670" s="147"/>
      <c r="Y670" s="147"/>
      <c r="Z670" s="147"/>
      <c r="AA670" s="147"/>
      <c r="AB670" s="147"/>
      <c r="AC670" s="147"/>
      <c r="AD670" s="147"/>
      <c r="AE670" s="147"/>
      <c r="AF670" s="147"/>
      <c r="AG670" s="147"/>
      <c r="AH670" s="147"/>
      <c r="AI670" s="147"/>
      <c r="AJ670" s="147"/>
      <c r="AK670" s="147"/>
      <c r="AL670" s="147"/>
      <c r="AM670" s="151"/>
      <c r="AN670" s="147"/>
      <c r="AO670" s="147"/>
      <c r="AP670" s="147"/>
      <c r="AQ670" s="147"/>
      <c r="AR670" s="147"/>
      <c r="AS670" s="147"/>
      <c r="AT670" s="147"/>
      <c r="AU670" s="147"/>
      <c r="AV670" s="147"/>
      <c r="AW670" s="147"/>
      <c r="AX670" s="147"/>
      <c r="AY670" s="147"/>
      <c r="AZ670" s="147"/>
      <c r="BA670" s="147"/>
      <c r="BB670" s="147"/>
      <c r="BC670" s="147"/>
      <c r="BD670" s="147"/>
      <c r="BE670" s="147"/>
      <c r="BF670" s="147"/>
      <c r="BG670" s="147"/>
      <c r="BH670" s="147"/>
      <c r="BI670" s="147"/>
      <c r="BJ670" s="147"/>
      <c r="BK670" s="147"/>
      <c r="BL670" s="147"/>
      <c r="BM670" s="147"/>
      <c r="BN670" s="147"/>
      <c r="BO670" s="147"/>
      <c r="BP670" s="147"/>
      <c r="BQ670" s="147"/>
      <c r="BR670" s="147"/>
      <c r="BS670" s="147"/>
      <c r="BT670" s="147"/>
      <c r="BU670" s="147"/>
      <c r="BV670" s="147"/>
      <c r="BW670" s="147"/>
      <c r="BX670" s="147"/>
      <c r="BY670" s="147"/>
      <c r="BZ670" s="147"/>
      <c r="CA670" s="147"/>
      <c r="CB670" s="147"/>
      <c r="CC670" s="147"/>
      <c r="CD670" s="147"/>
      <c r="CE670" s="147"/>
      <c r="CF670" s="147"/>
      <c r="CG670" s="147"/>
      <c r="CH670" s="147"/>
      <c r="CI670" s="147"/>
      <c r="CJ670" s="147"/>
      <c r="CK670" s="147"/>
    </row>
    <row r="671" spans="1:89">
      <c r="A671" s="157"/>
      <c r="F671" s="3"/>
      <c r="G671" s="3"/>
      <c r="L671" s="157"/>
      <c r="M671" s="157"/>
      <c r="O671" s="147"/>
      <c r="P671" s="147"/>
      <c r="Q671" s="147"/>
      <c r="R671" s="147"/>
      <c r="S671" s="147"/>
      <c r="T671" s="147"/>
      <c r="U671" s="147"/>
      <c r="V671" s="147"/>
      <c r="W671" s="147"/>
      <c r="X671" s="147"/>
      <c r="Y671" s="147"/>
      <c r="Z671" s="147"/>
      <c r="AA671" s="147"/>
      <c r="AB671" s="147"/>
      <c r="AC671" s="147"/>
      <c r="AD671" s="147"/>
      <c r="AE671" s="147"/>
      <c r="AF671" s="147"/>
      <c r="AG671" s="147"/>
      <c r="AH671" s="147"/>
      <c r="AI671" s="147"/>
      <c r="AJ671" s="147"/>
      <c r="AK671" s="147"/>
      <c r="AL671" s="147"/>
      <c r="AM671" s="151"/>
      <c r="AN671" s="147"/>
      <c r="AO671" s="147"/>
      <c r="AP671" s="147"/>
      <c r="AQ671" s="147"/>
      <c r="AR671" s="147"/>
      <c r="AS671" s="147"/>
      <c r="AT671" s="147"/>
      <c r="AU671" s="147"/>
      <c r="AV671" s="147"/>
      <c r="AW671" s="147"/>
      <c r="AX671" s="147"/>
      <c r="AY671" s="147"/>
      <c r="AZ671" s="147"/>
      <c r="BA671" s="147"/>
      <c r="BB671" s="147"/>
      <c r="BC671" s="147"/>
      <c r="BD671" s="147"/>
      <c r="BE671" s="147"/>
      <c r="BF671" s="147"/>
      <c r="BG671" s="147"/>
      <c r="BH671" s="147"/>
      <c r="BI671" s="147"/>
      <c r="BJ671" s="147"/>
      <c r="BK671" s="147"/>
      <c r="BL671" s="147"/>
      <c r="BM671" s="147"/>
      <c r="BN671" s="147"/>
      <c r="BO671" s="147"/>
      <c r="BP671" s="147"/>
      <c r="BQ671" s="147"/>
      <c r="BR671" s="147"/>
      <c r="BS671" s="147"/>
      <c r="BT671" s="147"/>
      <c r="BU671" s="147"/>
      <c r="BV671" s="147"/>
      <c r="BW671" s="147"/>
      <c r="BX671" s="147"/>
      <c r="BY671" s="147"/>
      <c r="BZ671" s="147"/>
      <c r="CA671" s="147"/>
      <c r="CB671" s="147"/>
      <c r="CC671" s="147"/>
      <c r="CD671" s="147"/>
      <c r="CE671" s="147"/>
      <c r="CF671" s="147"/>
      <c r="CG671" s="147"/>
      <c r="CH671" s="147"/>
      <c r="CI671" s="147"/>
      <c r="CJ671" s="147"/>
      <c r="CK671" s="147"/>
    </row>
    <row r="672" spans="1:89">
      <c r="A672" s="157"/>
      <c r="F672" s="3"/>
      <c r="G672" s="3"/>
      <c r="L672" s="157"/>
      <c r="M672" s="157"/>
      <c r="O672" s="147"/>
      <c r="P672" s="147"/>
      <c r="Q672" s="147"/>
      <c r="R672" s="147"/>
      <c r="S672" s="147"/>
      <c r="T672" s="147"/>
      <c r="U672" s="147"/>
      <c r="V672" s="147"/>
      <c r="W672" s="147"/>
      <c r="X672" s="147"/>
      <c r="Y672" s="147"/>
      <c r="Z672" s="147"/>
      <c r="AA672" s="147"/>
      <c r="AB672" s="147"/>
      <c r="AC672" s="147"/>
      <c r="AD672" s="147"/>
      <c r="AE672" s="147"/>
      <c r="AF672" s="147"/>
      <c r="AG672" s="147"/>
      <c r="AH672" s="147"/>
      <c r="AI672" s="147"/>
      <c r="AJ672" s="147"/>
      <c r="AK672" s="147"/>
      <c r="AL672" s="147"/>
      <c r="AM672" s="151"/>
      <c r="AN672" s="147"/>
      <c r="AO672" s="147"/>
      <c r="AP672" s="147"/>
      <c r="AQ672" s="147"/>
      <c r="AR672" s="147"/>
      <c r="AS672" s="147"/>
      <c r="AT672" s="147"/>
      <c r="AU672" s="147"/>
      <c r="AV672" s="147"/>
      <c r="AW672" s="147"/>
      <c r="AX672" s="147"/>
      <c r="AY672" s="147"/>
      <c r="AZ672" s="147"/>
      <c r="BA672" s="147"/>
      <c r="BB672" s="147"/>
      <c r="BC672" s="147"/>
      <c r="BD672" s="147"/>
      <c r="BE672" s="147"/>
      <c r="BF672" s="147"/>
      <c r="BG672" s="147"/>
      <c r="BH672" s="147"/>
      <c r="BI672" s="147"/>
      <c r="BJ672" s="147"/>
      <c r="BK672" s="147"/>
      <c r="BL672" s="147"/>
      <c r="BM672" s="147"/>
      <c r="BN672" s="147"/>
      <c r="BO672" s="147"/>
      <c r="BP672" s="147"/>
      <c r="BQ672" s="147"/>
      <c r="BR672" s="147"/>
      <c r="BS672" s="147"/>
      <c r="BT672" s="147"/>
      <c r="BU672" s="147"/>
      <c r="BV672" s="147"/>
      <c r="BW672" s="147"/>
      <c r="BX672" s="147"/>
      <c r="BY672" s="147"/>
      <c r="BZ672" s="147"/>
      <c r="CA672" s="147"/>
      <c r="CB672" s="147"/>
      <c r="CC672" s="147"/>
      <c r="CD672" s="147"/>
      <c r="CE672" s="147"/>
      <c r="CF672" s="147"/>
      <c r="CG672" s="147"/>
      <c r="CH672" s="147"/>
      <c r="CI672" s="147"/>
      <c r="CJ672" s="147"/>
      <c r="CK672" s="147"/>
    </row>
    <row r="673" spans="1:89">
      <c r="A673" s="157"/>
      <c r="F673" s="3"/>
      <c r="G673" s="3"/>
      <c r="L673" s="157"/>
      <c r="M673" s="157"/>
      <c r="O673" s="147"/>
      <c r="P673" s="147"/>
      <c r="Q673" s="147"/>
      <c r="R673" s="147"/>
      <c r="S673" s="147"/>
      <c r="T673" s="147"/>
      <c r="U673" s="147"/>
      <c r="V673" s="147"/>
      <c r="W673" s="147"/>
      <c r="X673" s="147"/>
      <c r="Y673" s="147"/>
      <c r="Z673" s="147"/>
      <c r="AA673" s="147"/>
      <c r="AB673" s="147"/>
      <c r="AC673" s="147"/>
      <c r="AD673" s="147"/>
      <c r="AE673" s="147"/>
      <c r="AF673" s="147"/>
      <c r="AG673" s="147"/>
      <c r="AH673" s="147"/>
      <c r="AI673" s="147"/>
      <c r="AJ673" s="147"/>
      <c r="AK673" s="147"/>
      <c r="AL673" s="147"/>
      <c r="AM673" s="151"/>
      <c r="AN673" s="147"/>
      <c r="AO673" s="147"/>
      <c r="AP673" s="147"/>
      <c r="AQ673" s="147"/>
      <c r="AR673" s="147"/>
      <c r="AS673" s="147"/>
      <c r="AT673" s="147"/>
      <c r="AU673" s="147"/>
      <c r="AV673" s="147"/>
      <c r="AW673" s="147"/>
      <c r="AX673" s="147"/>
      <c r="AY673" s="147"/>
      <c r="AZ673" s="147"/>
      <c r="BA673" s="147"/>
      <c r="BB673" s="147"/>
      <c r="BC673" s="147"/>
      <c r="BD673" s="147"/>
      <c r="BE673" s="147"/>
      <c r="BF673" s="147"/>
      <c r="BG673" s="147"/>
      <c r="BH673" s="147"/>
      <c r="BI673" s="147"/>
      <c r="BJ673" s="147"/>
      <c r="BK673" s="147"/>
      <c r="BL673" s="147"/>
      <c r="BM673" s="147"/>
      <c r="BN673" s="147"/>
      <c r="BO673" s="147"/>
      <c r="BP673" s="147"/>
      <c r="BQ673" s="147"/>
      <c r="BR673" s="147"/>
      <c r="BS673" s="147"/>
      <c r="BT673" s="147"/>
      <c r="BU673" s="147"/>
      <c r="BV673" s="147"/>
      <c r="BW673" s="147"/>
      <c r="BX673" s="147"/>
      <c r="BY673" s="147"/>
      <c r="BZ673" s="147"/>
      <c r="CA673" s="147"/>
      <c r="CB673" s="147"/>
      <c r="CC673" s="147"/>
      <c r="CD673" s="147"/>
      <c r="CE673" s="147"/>
      <c r="CF673" s="147"/>
      <c r="CG673" s="147"/>
      <c r="CH673" s="147"/>
      <c r="CI673" s="147"/>
      <c r="CJ673" s="147"/>
      <c r="CK673" s="147"/>
    </row>
    <row r="674" spans="1:89">
      <c r="A674" s="157"/>
      <c r="F674" s="3"/>
      <c r="G674" s="3"/>
      <c r="L674" s="157"/>
      <c r="M674" s="157"/>
      <c r="O674" s="147"/>
      <c r="P674" s="147"/>
      <c r="Q674" s="147"/>
      <c r="R674" s="147"/>
      <c r="S674" s="147"/>
      <c r="T674" s="147"/>
      <c r="U674" s="147"/>
      <c r="V674" s="147"/>
      <c r="W674" s="147"/>
      <c r="X674" s="147"/>
      <c r="Y674" s="147"/>
      <c r="Z674" s="147"/>
      <c r="AA674" s="147"/>
      <c r="AB674" s="147"/>
      <c r="AC674" s="147"/>
      <c r="AD674" s="147"/>
      <c r="AE674" s="147"/>
      <c r="AF674" s="147"/>
      <c r="AG674" s="147"/>
      <c r="AH674" s="147"/>
      <c r="AI674" s="147"/>
      <c r="AJ674" s="147"/>
      <c r="AK674" s="147"/>
      <c r="AL674" s="147"/>
      <c r="AM674" s="151"/>
      <c r="AN674" s="147"/>
      <c r="AO674" s="147"/>
      <c r="AP674" s="147"/>
      <c r="AQ674" s="147"/>
      <c r="AR674" s="147"/>
      <c r="AS674" s="147"/>
      <c r="AT674" s="147"/>
      <c r="AU674" s="147"/>
      <c r="AV674" s="147"/>
      <c r="AW674" s="147"/>
      <c r="AX674" s="147"/>
      <c r="AY674" s="147"/>
      <c r="AZ674" s="147"/>
      <c r="BA674" s="147"/>
      <c r="BB674" s="147"/>
      <c r="BC674" s="147"/>
      <c r="BD674" s="147"/>
      <c r="BE674" s="147"/>
      <c r="BF674" s="147"/>
      <c r="BG674" s="147"/>
      <c r="BH674" s="147"/>
      <c r="BI674" s="147"/>
      <c r="BJ674" s="147"/>
      <c r="BK674" s="147"/>
      <c r="BL674" s="147"/>
      <c r="BM674" s="147"/>
      <c r="BN674" s="147"/>
      <c r="BO674" s="147"/>
      <c r="BP674" s="147"/>
      <c r="BQ674" s="147"/>
      <c r="BR674" s="147"/>
      <c r="BS674" s="147"/>
      <c r="BT674" s="147"/>
      <c r="BU674" s="147"/>
      <c r="BV674" s="147"/>
      <c r="BW674" s="147"/>
      <c r="BX674" s="147"/>
      <c r="BY674" s="147"/>
      <c r="BZ674" s="147"/>
      <c r="CA674" s="147"/>
      <c r="CB674" s="147"/>
      <c r="CC674" s="147"/>
      <c r="CD674" s="147"/>
      <c r="CE674" s="147"/>
      <c r="CF674" s="147"/>
      <c r="CG674" s="147"/>
      <c r="CH674" s="147"/>
      <c r="CI674" s="147"/>
      <c r="CJ674" s="147"/>
      <c r="CK674" s="147"/>
    </row>
    <row r="675" spans="1:89">
      <c r="A675" s="157"/>
      <c r="F675" s="3"/>
      <c r="G675" s="3"/>
      <c r="L675" s="157"/>
      <c r="M675" s="157"/>
      <c r="O675" s="147"/>
      <c r="P675" s="147"/>
      <c r="Q675" s="147"/>
      <c r="R675" s="147"/>
      <c r="S675" s="147"/>
      <c r="T675" s="147"/>
      <c r="U675" s="147"/>
      <c r="V675" s="147"/>
      <c r="W675" s="147"/>
      <c r="X675" s="147"/>
      <c r="Y675" s="147"/>
      <c r="Z675" s="147"/>
      <c r="AA675" s="147"/>
      <c r="AB675" s="147"/>
      <c r="AC675" s="147"/>
      <c r="AD675" s="147"/>
      <c r="AE675" s="147"/>
      <c r="AF675" s="147"/>
      <c r="AG675" s="147"/>
      <c r="AH675" s="147"/>
      <c r="AI675" s="147"/>
      <c r="AJ675" s="147"/>
      <c r="AK675" s="147"/>
      <c r="AL675" s="147"/>
      <c r="AM675" s="151"/>
      <c r="AN675" s="147"/>
      <c r="AO675" s="147"/>
      <c r="AP675" s="147"/>
      <c r="AQ675" s="147"/>
      <c r="AR675" s="147"/>
      <c r="AS675" s="147"/>
      <c r="AT675" s="147"/>
      <c r="AU675" s="147"/>
      <c r="AV675" s="147"/>
      <c r="AW675" s="147"/>
      <c r="AX675" s="147"/>
      <c r="AY675" s="147"/>
      <c r="AZ675" s="147"/>
      <c r="BA675" s="147"/>
      <c r="BB675" s="147"/>
      <c r="BC675" s="147"/>
      <c r="BD675" s="147"/>
      <c r="BE675" s="147"/>
      <c r="BF675" s="147"/>
      <c r="BG675" s="147"/>
      <c r="BH675" s="147"/>
      <c r="BI675" s="147"/>
      <c r="BJ675" s="147"/>
      <c r="BK675" s="147"/>
      <c r="BL675" s="147"/>
      <c r="BM675" s="147"/>
      <c r="BN675" s="147"/>
      <c r="BO675" s="147"/>
      <c r="BP675" s="147"/>
      <c r="BQ675" s="147"/>
      <c r="BR675" s="147"/>
      <c r="BS675" s="147"/>
      <c r="BT675" s="147"/>
      <c r="BU675" s="147"/>
      <c r="BV675" s="147"/>
      <c r="BW675" s="147"/>
      <c r="BX675" s="147"/>
      <c r="BY675" s="147"/>
      <c r="BZ675" s="147"/>
      <c r="CA675" s="147"/>
      <c r="CB675" s="147"/>
      <c r="CC675" s="147"/>
      <c r="CD675" s="147"/>
      <c r="CE675" s="147"/>
      <c r="CF675" s="147"/>
      <c r="CG675" s="147"/>
      <c r="CH675" s="147"/>
      <c r="CI675" s="147"/>
      <c r="CJ675" s="147"/>
      <c r="CK675" s="147"/>
    </row>
    <row r="676" spans="1:89">
      <c r="A676" s="157"/>
      <c r="F676" s="3"/>
      <c r="G676" s="3"/>
      <c r="L676" s="157"/>
      <c r="M676" s="157"/>
      <c r="O676" s="147"/>
      <c r="P676" s="147"/>
      <c r="Q676" s="147"/>
      <c r="R676" s="147"/>
      <c r="S676" s="147"/>
      <c r="T676" s="147"/>
      <c r="U676" s="147"/>
      <c r="V676" s="147"/>
      <c r="W676" s="147"/>
      <c r="X676" s="147"/>
      <c r="Y676" s="147"/>
      <c r="Z676" s="147"/>
      <c r="AA676" s="147"/>
      <c r="AB676" s="147"/>
      <c r="AC676" s="147"/>
      <c r="AD676" s="147"/>
      <c r="AE676" s="147"/>
      <c r="AF676" s="147"/>
      <c r="AG676" s="147"/>
      <c r="AH676" s="147"/>
      <c r="AI676" s="147"/>
      <c r="AJ676" s="147"/>
      <c r="AK676" s="147"/>
      <c r="AL676" s="147"/>
      <c r="AM676" s="151"/>
      <c r="AN676" s="147"/>
      <c r="AO676" s="147"/>
      <c r="AP676" s="147"/>
      <c r="AQ676" s="147"/>
      <c r="AR676" s="147"/>
      <c r="AS676" s="147"/>
      <c r="AT676" s="147"/>
      <c r="AU676" s="147"/>
      <c r="AV676" s="147"/>
      <c r="AW676" s="147"/>
      <c r="AX676" s="147"/>
      <c r="AY676" s="147"/>
      <c r="AZ676" s="147"/>
      <c r="BA676" s="147"/>
      <c r="BB676" s="147"/>
      <c r="BC676" s="147"/>
      <c r="BD676" s="147"/>
      <c r="BE676" s="147"/>
      <c r="BF676" s="147"/>
      <c r="BG676" s="147"/>
      <c r="BH676" s="147"/>
      <c r="BI676" s="147"/>
      <c r="BJ676" s="147"/>
      <c r="BK676" s="147"/>
      <c r="BL676" s="147"/>
      <c r="BM676" s="147"/>
      <c r="BN676" s="147"/>
      <c r="BO676" s="147"/>
      <c r="BP676" s="147"/>
      <c r="BQ676" s="147"/>
      <c r="BR676" s="147"/>
      <c r="BS676" s="147"/>
      <c r="BT676" s="147"/>
      <c r="BU676" s="147"/>
      <c r="BV676" s="147"/>
      <c r="BW676" s="147"/>
      <c r="BX676" s="147"/>
      <c r="BY676" s="147"/>
      <c r="BZ676" s="147"/>
      <c r="CA676" s="147"/>
      <c r="CB676" s="147"/>
      <c r="CC676" s="147"/>
      <c r="CD676" s="147"/>
      <c r="CE676" s="147"/>
      <c r="CF676" s="147"/>
      <c r="CG676" s="147"/>
      <c r="CH676" s="147"/>
      <c r="CI676" s="147"/>
      <c r="CJ676" s="147"/>
      <c r="CK676" s="147"/>
    </row>
    <row r="677" spans="1:89">
      <c r="A677" s="157"/>
      <c r="F677" s="3"/>
      <c r="G677" s="3"/>
      <c r="L677" s="157"/>
      <c r="M677" s="157"/>
      <c r="O677" s="147"/>
      <c r="P677" s="147"/>
      <c r="Q677" s="147"/>
      <c r="R677" s="147"/>
      <c r="S677" s="147"/>
      <c r="T677" s="147"/>
      <c r="U677" s="147"/>
      <c r="V677" s="147"/>
      <c r="W677" s="147"/>
      <c r="X677" s="147"/>
      <c r="Y677" s="147"/>
      <c r="Z677" s="147"/>
      <c r="AA677" s="147"/>
      <c r="AB677" s="147"/>
      <c r="AC677" s="147"/>
      <c r="AD677" s="147"/>
      <c r="AE677" s="147"/>
      <c r="AF677" s="147"/>
      <c r="AG677" s="147"/>
      <c r="AH677" s="147"/>
      <c r="AI677" s="147"/>
      <c r="AJ677" s="147"/>
      <c r="AK677" s="147"/>
      <c r="AL677" s="147"/>
      <c r="AM677" s="151"/>
      <c r="AN677" s="147"/>
      <c r="AO677" s="147"/>
      <c r="AP677" s="147"/>
      <c r="AQ677" s="147"/>
      <c r="AR677" s="147"/>
      <c r="AS677" s="147"/>
      <c r="AT677" s="147"/>
      <c r="AU677" s="147"/>
      <c r="AV677" s="147"/>
      <c r="AW677" s="147"/>
      <c r="AX677" s="147"/>
      <c r="AY677" s="147"/>
      <c r="AZ677" s="147"/>
      <c r="BA677" s="147"/>
      <c r="BB677" s="147"/>
      <c r="BC677" s="147"/>
      <c r="BD677" s="147"/>
      <c r="BE677" s="147"/>
      <c r="BF677" s="147"/>
      <c r="BG677" s="147"/>
      <c r="BH677" s="147"/>
      <c r="BI677" s="147"/>
      <c r="BJ677" s="147"/>
      <c r="BK677" s="147"/>
      <c r="BL677" s="147"/>
      <c r="BM677" s="147"/>
      <c r="BN677" s="147"/>
      <c r="BO677" s="147"/>
      <c r="BP677" s="147"/>
      <c r="BQ677" s="147"/>
      <c r="BR677" s="147"/>
      <c r="BS677" s="147"/>
      <c r="BT677" s="147"/>
      <c r="BU677" s="147"/>
      <c r="BV677" s="147"/>
      <c r="BW677" s="147"/>
      <c r="BX677" s="147"/>
      <c r="BY677" s="147"/>
      <c r="BZ677" s="147"/>
      <c r="CA677" s="147"/>
      <c r="CB677" s="147"/>
      <c r="CC677" s="147"/>
      <c r="CD677" s="147"/>
      <c r="CE677" s="147"/>
      <c r="CF677" s="147"/>
      <c r="CG677" s="147"/>
      <c r="CH677" s="147"/>
      <c r="CI677" s="147"/>
      <c r="CJ677" s="147"/>
      <c r="CK677" s="147"/>
    </row>
    <row r="678" spans="1:89">
      <c r="A678" s="157"/>
      <c r="F678" s="3"/>
      <c r="G678" s="3"/>
      <c r="L678" s="157"/>
      <c r="M678" s="157"/>
      <c r="O678" s="147"/>
      <c r="P678" s="147"/>
      <c r="Q678" s="147"/>
      <c r="R678" s="147"/>
      <c r="S678" s="147"/>
      <c r="T678" s="147"/>
      <c r="U678" s="147"/>
      <c r="V678" s="147"/>
      <c r="W678" s="147"/>
      <c r="X678" s="147"/>
      <c r="Y678" s="147"/>
      <c r="Z678" s="147"/>
      <c r="AA678" s="147"/>
      <c r="AB678" s="147"/>
      <c r="AC678" s="147"/>
      <c r="AD678" s="147"/>
      <c r="AE678" s="147"/>
      <c r="AF678" s="147"/>
      <c r="AG678" s="147"/>
      <c r="AH678" s="147"/>
      <c r="AI678" s="147"/>
      <c r="AJ678" s="147"/>
      <c r="AK678" s="147"/>
      <c r="AL678" s="147"/>
      <c r="AM678" s="151"/>
      <c r="AN678" s="147"/>
      <c r="AO678" s="147"/>
      <c r="AP678" s="147"/>
      <c r="AQ678" s="147"/>
      <c r="AR678" s="147"/>
      <c r="AS678" s="147"/>
      <c r="AT678" s="147"/>
      <c r="AU678" s="147"/>
      <c r="AV678" s="147"/>
      <c r="AW678" s="147"/>
      <c r="AX678" s="147"/>
      <c r="AY678" s="147"/>
      <c r="AZ678" s="147"/>
      <c r="BA678" s="147"/>
      <c r="BB678" s="147"/>
      <c r="BC678" s="147"/>
      <c r="BD678" s="147"/>
      <c r="BE678" s="147"/>
      <c r="BF678" s="147"/>
      <c r="BG678" s="147"/>
      <c r="BH678" s="147"/>
      <c r="BI678" s="147"/>
      <c r="BJ678" s="147"/>
      <c r="BK678" s="147"/>
      <c r="BL678" s="147"/>
      <c r="BM678" s="147"/>
      <c r="BN678" s="147"/>
      <c r="BO678" s="147"/>
      <c r="BP678" s="147"/>
      <c r="BQ678" s="147"/>
      <c r="BR678" s="147"/>
      <c r="BS678" s="147"/>
      <c r="BT678" s="147"/>
      <c r="BU678" s="147"/>
      <c r="BV678" s="147"/>
      <c r="BW678" s="147"/>
      <c r="BX678" s="147"/>
      <c r="BY678" s="147"/>
      <c r="BZ678" s="147"/>
      <c r="CA678" s="147"/>
      <c r="CB678" s="147"/>
      <c r="CC678" s="147"/>
      <c r="CD678" s="147"/>
      <c r="CE678" s="147"/>
      <c r="CF678" s="147"/>
      <c r="CG678" s="147"/>
      <c r="CH678" s="147"/>
      <c r="CI678" s="147"/>
      <c r="CJ678" s="147"/>
      <c r="CK678" s="147"/>
    </row>
    <row r="679" spans="1:89">
      <c r="A679" s="157"/>
      <c r="F679" s="3"/>
      <c r="G679" s="3"/>
      <c r="L679" s="157"/>
      <c r="M679" s="157"/>
      <c r="O679" s="147"/>
      <c r="P679" s="147"/>
      <c r="Q679" s="147"/>
      <c r="R679" s="147"/>
      <c r="S679" s="147"/>
      <c r="T679" s="147"/>
      <c r="U679" s="147"/>
      <c r="V679" s="147"/>
      <c r="W679" s="147"/>
      <c r="X679" s="147"/>
      <c r="Y679" s="147"/>
      <c r="Z679" s="147"/>
      <c r="AA679" s="147"/>
      <c r="AB679" s="147"/>
      <c r="AC679" s="147"/>
      <c r="AD679" s="147"/>
      <c r="AE679" s="147"/>
      <c r="AF679" s="147"/>
      <c r="AG679" s="147"/>
      <c r="AH679" s="147"/>
      <c r="AI679" s="147"/>
      <c r="AJ679" s="147"/>
      <c r="AK679" s="147"/>
      <c r="AL679" s="147"/>
      <c r="AM679" s="151"/>
      <c r="AN679" s="147"/>
      <c r="AO679" s="147"/>
      <c r="AP679" s="147"/>
      <c r="AQ679" s="147"/>
      <c r="AR679" s="147"/>
      <c r="AS679" s="147"/>
      <c r="AT679" s="147"/>
      <c r="AU679" s="147"/>
      <c r="AV679" s="147"/>
      <c r="AW679" s="147"/>
      <c r="AX679" s="147"/>
      <c r="AY679" s="147"/>
      <c r="AZ679" s="147"/>
      <c r="BA679" s="147"/>
      <c r="BB679" s="147"/>
      <c r="BC679" s="147"/>
      <c r="BD679" s="147"/>
      <c r="BE679" s="147"/>
      <c r="BF679" s="147"/>
      <c r="BG679" s="147"/>
      <c r="BH679" s="147"/>
      <c r="BI679" s="147"/>
      <c r="BJ679" s="147"/>
      <c r="BK679" s="147"/>
      <c r="BL679" s="147"/>
      <c r="BM679" s="147"/>
      <c r="BN679" s="147"/>
      <c r="BO679" s="147"/>
      <c r="BP679" s="147"/>
      <c r="BQ679" s="147"/>
      <c r="BR679" s="147"/>
      <c r="BS679" s="147"/>
      <c r="BT679" s="147"/>
      <c r="BU679" s="147"/>
      <c r="BV679" s="147"/>
      <c r="BW679" s="147"/>
      <c r="BX679" s="147"/>
      <c r="BY679" s="147"/>
      <c r="BZ679" s="147"/>
      <c r="CA679" s="147"/>
      <c r="CB679" s="147"/>
      <c r="CC679" s="147"/>
      <c r="CD679" s="147"/>
      <c r="CE679" s="147"/>
      <c r="CF679" s="147"/>
      <c r="CG679" s="147"/>
      <c r="CH679" s="147"/>
      <c r="CI679" s="147"/>
      <c r="CJ679" s="147"/>
      <c r="CK679" s="147"/>
    </row>
    <row r="680" spans="1:89">
      <c r="A680" s="157"/>
      <c r="F680" s="3"/>
      <c r="G680" s="3"/>
      <c r="L680" s="157"/>
      <c r="M680" s="157"/>
      <c r="O680" s="147"/>
      <c r="P680" s="147"/>
      <c r="Q680" s="147"/>
      <c r="R680" s="147"/>
      <c r="S680" s="147"/>
      <c r="T680" s="147"/>
      <c r="U680" s="147"/>
      <c r="V680" s="147"/>
      <c r="W680" s="147"/>
      <c r="X680" s="147"/>
      <c r="Y680" s="147"/>
      <c r="Z680" s="147"/>
      <c r="AA680" s="147"/>
      <c r="AB680" s="147"/>
      <c r="AC680" s="147"/>
      <c r="AD680" s="147"/>
      <c r="AE680" s="147"/>
      <c r="AF680" s="147"/>
      <c r="AG680" s="147"/>
      <c r="AH680" s="147"/>
      <c r="AI680" s="147"/>
      <c r="AJ680" s="147"/>
      <c r="AK680" s="147"/>
      <c r="AL680" s="147"/>
      <c r="AM680" s="151"/>
      <c r="AN680" s="147"/>
      <c r="AO680" s="147"/>
      <c r="AP680" s="147"/>
      <c r="AQ680" s="147"/>
      <c r="AR680" s="147"/>
      <c r="AS680" s="147"/>
      <c r="AT680" s="147"/>
      <c r="AU680" s="147"/>
      <c r="AV680" s="147"/>
      <c r="AW680" s="147"/>
      <c r="AX680" s="147"/>
      <c r="AY680" s="147"/>
      <c r="AZ680" s="147"/>
      <c r="BA680" s="147"/>
      <c r="BB680" s="147"/>
      <c r="BC680" s="147"/>
      <c r="BD680" s="147"/>
      <c r="BE680" s="147"/>
      <c r="BF680" s="147"/>
      <c r="BG680" s="147"/>
      <c r="BH680" s="147"/>
      <c r="BI680" s="147"/>
      <c r="BJ680" s="147"/>
      <c r="BK680" s="147"/>
      <c r="BL680" s="147"/>
      <c r="BM680" s="147"/>
      <c r="BN680" s="147"/>
      <c r="BO680" s="147"/>
      <c r="BP680" s="147"/>
      <c r="BQ680" s="147"/>
      <c r="BR680" s="147"/>
      <c r="BS680" s="147"/>
      <c r="BT680" s="147"/>
      <c r="BU680" s="147"/>
      <c r="BV680" s="147"/>
      <c r="BW680" s="147"/>
      <c r="BX680" s="147"/>
      <c r="BY680" s="147"/>
      <c r="BZ680" s="147"/>
      <c r="CA680" s="147"/>
      <c r="CB680" s="147"/>
      <c r="CC680" s="147"/>
      <c r="CD680" s="147"/>
      <c r="CE680" s="147"/>
      <c r="CF680" s="147"/>
      <c r="CG680" s="147"/>
      <c r="CH680" s="147"/>
      <c r="CI680" s="147"/>
      <c r="CJ680" s="147"/>
      <c r="CK680" s="147"/>
    </row>
    <row r="681" spans="1:89">
      <c r="A681" s="157"/>
      <c r="F681" s="3"/>
      <c r="G681" s="3"/>
      <c r="L681" s="157"/>
      <c r="M681" s="157"/>
      <c r="O681" s="147"/>
      <c r="P681" s="147"/>
      <c r="Q681" s="147"/>
      <c r="R681" s="147"/>
      <c r="S681" s="147"/>
      <c r="T681" s="147"/>
      <c r="U681" s="147"/>
      <c r="V681" s="147"/>
      <c r="W681" s="147"/>
      <c r="X681" s="147"/>
      <c r="Y681" s="147"/>
      <c r="Z681" s="147"/>
      <c r="AA681" s="147"/>
      <c r="AB681" s="147"/>
      <c r="AC681" s="147"/>
      <c r="AD681" s="147"/>
      <c r="AE681" s="147"/>
      <c r="AF681" s="147"/>
      <c r="AG681" s="147"/>
      <c r="AH681" s="147"/>
      <c r="AI681" s="147"/>
      <c r="AJ681" s="147"/>
      <c r="AK681" s="147"/>
      <c r="AL681" s="147"/>
      <c r="AM681" s="151"/>
      <c r="AN681" s="147"/>
      <c r="AO681" s="147"/>
      <c r="AP681" s="147"/>
      <c r="AQ681" s="147"/>
      <c r="AR681" s="147"/>
      <c r="AS681" s="147"/>
      <c r="AT681" s="147"/>
      <c r="AU681" s="147"/>
      <c r="AV681" s="147"/>
      <c r="AW681" s="147"/>
      <c r="AX681" s="147"/>
      <c r="AY681" s="147"/>
      <c r="AZ681" s="147"/>
      <c r="BA681" s="147"/>
      <c r="BB681" s="147"/>
      <c r="BC681" s="147"/>
      <c r="BD681" s="147"/>
      <c r="BE681" s="147"/>
      <c r="BF681" s="147"/>
      <c r="BG681" s="147"/>
      <c r="BH681" s="147"/>
      <c r="BI681" s="147"/>
      <c r="BJ681" s="147"/>
      <c r="BK681" s="147"/>
      <c r="BL681" s="147"/>
      <c r="BM681" s="147"/>
      <c r="BN681" s="147"/>
      <c r="BO681" s="147"/>
      <c r="BP681" s="147"/>
      <c r="BQ681" s="147"/>
      <c r="BR681" s="147"/>
      <c r="BS681" s="147"/>
      <c r="BT681" s="147"/>
      <c r="BU681" s="147"/>
      <c r="BV681" s="147"/>
      <c r="BW681" s="147"/>
      <c r="BX681" s="147"/>
      <c r="BY681" s="147"/>
      <c r="BZ681" s="147"/>
      <c r="CA681" s="147"/>
      <c r="CB681" s="147"/>
      <c r="CC681" s="147"/>
      <c r="CD681" s="147"/>
      <c r="CE681" s="147"/>
      <c r="CF681" s="147"/>
      <c r="CG681" s="147"/>
      <c r="CH681" s="147"/>
      <c r="CI681" s="147"/>
      <c r="CJ681" s="147"/>
      <c r="CK681" s="147"/>
    </row>
    <row r="682" spans="1:89">
      <c r="A682" s="157"/>
      <c r="F682" s="3"/>
      <c r="G682" s="3"/>
      <c r="L682" s="157"/>
      <c r="M682" s="157"/>
      <c r="O682" s="147"/>
      <c r="P682" s="147"/>
      <c r="Q682" s="147"/>
      <c r="R682" s="147"/>
      <c r="S682" s="147"/>
      <c r="T682" s="147"/>
      <c r="U682" s="147"/>
      <c r="V682" s="147"/>
      <c r="W682" s="147"/>
      <c r="X682" s="147"/>
      <c r="Y682" s="147"/>
      <c r="Z682" s="147"/>
      <c r="AA682" s="147"/>
      <c r="AB682" s="147"/>
      <c r="AC682" s="147"/>
      <c r="AD682" s="147"/>
      <c r="AE682" s="147"/>
      <c r="AF682" s="147"/>
      <c r="AG682" s="147"/>
      <c r="AH682" s="147"/>
      <c r="AI682" s="147"/>
      <c r="AJ682" s="147"/>
      <c r="AK682" s="147"/>
      <c r="AL682" s="147"/>
      <c r="AM682" s="151"/>
      <c r="AN682" s="147"/>
      <c r="AO682" s="147"/>
      <c r="AP682" s="147"/>
      <c r="AQ682" s="147"/>
      <c r="AR682" s="147"/>
      <c r="AS682" s="147"/>
      <c r="AT682" s="147"/>
      <c r="AU682" s="147"/>
      <c r="AV682" s="147"/>
      <c r="AW682" s="147"/>
      <c r="AX682" s="147"/>
      <c r="AY682" s="147"/>
      <c r="AZ682" s="147"/>
      <c r="BA682" s="147"/>
      <c r="BB682" s="147"/>
      <c r="BC682" s="147"/>
      <c r="BD682" s="147"/>
      <c r="BE682" s="147"/>
      <c r="BF682" s="147"/>
      <c r="BG682" s="147"/>
      <c r="BH682" s="147"/>
      <c r="BI682" s="147"/>
      <c r="BJ682" s="147"/>
      <c r="BK682" s="147"/>
      <c r="BL682" s="147"/>
      <c r="BM682" s="147"/>
      <c r="BN682" s="147"/>
      <c r="BO682" s="147"/>
      <c r="BP682" s="147"/>
      <c r="BQ682" s="147"/>
      <c r="BR682" s="147"/>
      <c r="BS682" s="147"/>
      <c r="BT682" s="147"/>
      <c r="BU682" s="147"/>
      <c r="BV682" s="147"/>
      <c r="BW682" s="147"/>
      <c r="BX682" s="147"/>
      <c r="BY682" s="147"/>
      <c r="BZ682" s="147"/>
      <c r="CA682" s="147"/>
      <c r="CB682" s="147"/>
      <c r="CC682" s="147"/>
      <c r="CD682" s="147"/>
      <c r="CE682" s="147"/>
      <c r="CF682" s="147"/>
      <c r="CG682" s="147"/>
      <c r="CH682" s="147"/>
      <c r="CI682" s="147"/>
      <c r="CJ682" s="147"/>
      <c r="CK682" s="147"/>
    </row>
    <row r="683" spans="1:89">
      <c r="A683" s="157"/>
      <c r="F683" s="3"/>
      <c r="G683" s="3"/>
      <c r="L683" s="157"/>
      <c r="M683" s="157"/>
      <c r="O683" s="147"/>
      <c r="P683" s="147"/>
      <c r="Q683" s="147"/>
      <c r="R683" s="147"/>
      <c r="S683" s="147"/>
      <c r="T683" s="147"/>
      <c r="U683" s="147"/>
      <c r="V683" s="147"/>
      <c r="W683" s="147"/>
      <c r="X683" s="147"/>
      <c r="Y683" s="147"/>
      <c r="Z683" s="147"/>
      <c r="AA683" s="147"/>
      <c r="AB683" s="147"/>
      <c r="AC683" s="147"/>
      <c r="AD683" s="147"/>
      <c r="AE683" s="147"/>
      <c r="AF683" s="147"/>
      <c r="AG683" s="147"/>
      <c r="AH683" s="147"/>
      <c r="AI683" s="147"/>
      <c r="AJ683" s="147"/>
      <c r="AK683" s="147"/>
      <c r="AL683" s="147"/>
      <c r="AM683" s="151"/>
      <c r="AN683" s="147"/>
      <c r="AO683" s="147"/>
      <c r="AP683" s="147"/>
      <c r="AQ683" s="147"/>
      <c r="AR683" s="147"/>
      <c r="AS683" s="147"/>
      <c r="AT683" s="147"/>
      <c r="AU683" s="147"/>
      <c r="AV683" s="147"/>
      <c r="AW683" s="147"/>
      <c r="AX683" s="147"/>
      <c r="AY683" s="147"/>
      <c r="AZ683" s="147"/>
      <c r="BA683" s="147"/>
      <c r="BB683" s="147"/>
      <c r="BC683" s="147"/>
      <c r="BD683" s="147"/>
      <c r="BE683" s="147"/>
      <c r="BF683" s="147"/>
      <c r="BG683" s="147"/>
      <c r="BH683" s="147"/>
      <c r="BI683" s="147"/>
      <c r="BJ683" s="147"/>
      <c r="BK683" s="147"/>
      <c r="BL683" s="147"/>
      <c r="BM683" s="147"/>
      <c r="BN683" s="147"/>
      <c r="BO683" s="147"/>
      <c r="BP683" s="147"/>
      <c r="BQ683" s="147"/>
      <c r="BR683" s="147"/>
      <c r="BS683" s="147"/>
      <c r="BT683" s="147"/>
      <c r="BU683" s="147"/>
      <c r="BV683" s="147"/>
      <c r="BW683" s="147"/>
      <c r="BX683" s="147"/>
      <c r="BY683" s="147"/>
      <c r="BZ683" s="147"/>
      <c r="CA683" s="147"/>
      <c r="CB683" s="147"/>
      <c r="CC683" s="147"/>
      <c r="CD683" s="147"/>
      <c r="CE683" s="147"/>
      <c r="CF683" s="147"/>
      <c r="CG683" s="147"/>
      <c r="CH683" s="147"/>
      <c r="CI683" s="147"/>
      <c r="CJ683" s="147"/>
      <c r="CK683" s="147"/>
    </row>
    <row r="684" spans="1:89">
      <c r="A684" s="157"/>
      <c r="F684" s="3"/>
      <c r="G684" s="3"/>
      <c r="L684" s="157"/>
      <c r="M684" s="157"/>
      <c r="O684" s="147"/>
      <c r="P684" s="147"/>
      <c r="Q684" s="147"/>
      <c r="R684" s="147"/>
      <c r="S684" s="147"/>
      <c r="T684" s="147"/>
      <c r="U684" s="147"/>
      <c r="V684" s="147"/>
      <c r="W684" s="147"/>
      <c r="X684" s="147"/>
      <c r="Y684" s="147"/>
      <c r="Z684" s="147"/>
      <c r="AA684" s="147"/>
      <c r="AB684" s="147"/>
      <c r="AC684" s="147"/>
      <c r="AD684" s="147"/>
      <c r="AE684" s="147"/>
      <c r="AF684" s="147"/>
      <c r="AG684" s="147"/>
      <c r="AH684" s="147"/>
      <c r="AI684" s="147"/>
      <c r="AJ684" s="147"/>
      <c r="AK684" s="147"/>
      <c r="AL684" s="147"/>
      <c r="AM684" s="151"/>
      <c r="AN684" s="147"/>
      <c r="AO684" s="147"/>
      <c r="AP684" s="147"/>
      <c r="AQ684" s="147"/>
      <c r="AR684" s="147"/>
      <c r="AS684" s="147"/>
      <c r="AT684" s="147"/>
      <c r="AU684" s="147"/>
      <c r="AV684" s="147"/>
      <c r="AW684" s="147"/>
      <c r="AX684" s="147"/>
      <c r="AY684" s="147"/>
      <c r="AZ684" s="147"/>
      <c r="BA684" s="147"/>
      <c r="BB684" s="147"/>
      <c r="BC684" s="147"/>
      <c r="BD684" s="147"/>
      <c r="BE684" s="147"/>
      <c r="BF684" s="147"/>
      <c r="BG684" s="147"/>
      <c r="BH684" s="147"/>
      <c r="BI684" s="147"/>
      <c r="BJ684" s="147"/>
      <c r="BK684" s="147"/>
      <c r="BL684" s="147"/>
      <c r="BM684" s="147"/>
      <c r="BN684" s="147"/>
      <c r="BO684" s="147"/>
      <c r="BP684" s="147"/>
      <c r="BQ684" s="147"/>
      <c r="BR684" s="147"/>
      <c r="BS684" s="147"/>
      <c r="BT684" s="147"/>
      <c r="BU684" s="147"/>
      <c r="BV684" s="147"/>
      <c r="BW684" s="147"/>
      <c r="BX684" s="147"/>
      <c r="BY684" s="147"/>
      <c r="BZ684" s="147"/>
      <c r="CA684" s="147"/>
      <c r="CB684" s="147"/>
      <c r="CC684" s="147"/>
      <c r="CD684" s="147"/>
      <c r="CE684" s="147"/>
      <c r="CF684" s="147"/>
      <c r="CG684" s="147"/>
      <c r="CH684" s="147"/>
      <c r="CI684" s="147"/>
      <c r="CJ684" s="147"/>
      <c r="CK684" s="147"/>
    </row>
    <row r="685" spans="1:89">
      <c r="A685" s="157"/>
      <c r="F685" s="3"/>
      <c r="G685" s="3"/>
      <c r="L685" s="157"/>
      <c r="M685" s="157"/>
      <c r="O685" s="147"/>
      <c r="P685" s="147"/>
      <c r="Q685" s="147"/>
      <c r="R685" s="147"/>
      <c r="S685" s="147"/>
      <c r="T685" s="147"/>
      <c r="U685" s="147"/>
      <c r="V685" s="147"/>
      <c r="W685" s="147"/>
      <c r="X685" s="147"/>
      <c r="Y685" s="147"/>
      <c r="Z685" s="147"/>
      <c r="AA685" s="147"/>
      <c r="AB685" s="147"/>
      <c r="AC685" s="147"/>
      <c r="AD685" s="147"/>
      <c r="AE685" s="147"/>
      <c r="AF685" s="147"/>
      <c r="AG685" s="147"/>
      <c r="AH685" s="147"/>
      <c r="AI685" s="147"/>
      <c r="AJ685" s="147"/>
      <c r="AK685" s="147"/>
      <c r="AL685" s="147"/>
      <c r="AM685" s="151"/>
      <c r="AN685" s="147"/>
      <c r="AO685" s="147"/>
      <c r="AP685" s="147"/>
      <c r="AQ685" s="147"/>
      <c r="AR685" s="147"/>
      <c r="AS685" s="147"/>
      <c r="AT685" s="147"/>
      <c r="AU685" s="147"/>
      <c r="AV685" s="147"/>
      <c r="AW685" s="147"/>
      <c r="AX685" s="147"/>
      <c r="AY685" s="147"/>
      <c r="AZ685" s="147"/>
      <c r="BA685" s="147"/>
      <c r="BB685" s="147"/>
      <c r="BC685" s="147"/>
      <c r="BD685" s="147"/>
      <c r="BE685" s="147"/>
      <c r="BF685" s="147"/>
      <c r="BG685" s="147"/>
      <c r="BH685" s="147"/>
      <c r="BI685" s="147"/>
      <c r="BJ685" s="147"/>
      <c r="BK685" s="147"/>
      <c r="BL685" s="147"/>
      <c r="BM685" s="147"/>
      <c r="BN685" s="147"/>
      <c r="BO685" s="147"/>
      <c r="BP685" s="147"/>
      <c r="BQ685" s="147"/>
      <c r="BR685" s="147"/>
      <c r="BS685" s="147"/>
      <c r="BT685" s="147"/>
      <c r="BU685" s="147"/>
      <c r="BV685" s="147"/>
      <c r="BW685" s="147"/>
      <c r="BX685" s="147"/>
      <c r="BY685" s="147"/>
      <c r="BZ685" s="147"/>
      <c r="CA685" s="147"/>
      <c r="CB685" s="147"/>
      <c r="CC685" s="147"/>
      <c r="CD685" s="147"/>
      <c r="CE685" s="147"/>
      <c r="CF685" s="147"/>
      <c r="CG685" s="147"/>
      <c r="CH685" s="147"/>
      <c r="CI685" s="147"/>
      <c r="CJ685" s="147"/>
      <c r="CK685" s="147"/>
    </row>
    <row r="686" spans="1:89">
      <c r="A686" s="157"/>
      <c r="F686" s="3"/>
      <c r="G686" s="3"/>
      <c r="L686" s="157"/>
      <c r="M686" s="157"/>
      <c r="O686" s="147"/>
      <c r="P686" s="147"/>
      <c r="Q686" s="147"/>
      <c r="R686" s="147"/>
      <c r="S686" s="147"/>
      <c r="T686" s="147"/>
      <c r="U686" s="147"/>
      <c r="V686" s="147"/>
      <c r="W686" s="147"/>
      <c r="X686" s="147"/>
      <c r="Y686" s="147"/>
      <c r="Z686" s="147"/>
      <c r="AA686" s="147"/>
      <c r="AB686" s="147"/>
      <c r="AC686" s="147"/>
      <c r="AD686" s="147"/>
      <c r="AE686" s="147"/>
      <c r="AF686" s="147"/>
      <c r="AG686" s="147"/>
      <c r="AH686" s="147"/>
      <c r="AI686" s="147"/>
      <c r="AJ686" s="147"/>
      <c r="AK686" s="147"/>
      <c r="AL686" s="147"/>
      <c r="AM686" s="151"/>
      <c r="AN686" s="147"/>
      <c r="AO686" s="147"/>
      <c r="AP686" s="147"/>
      <c r="AQ686" s="147"/>
      <c r="AR686" s="147"/>
      <c r="AS686" s="147"/>
      <c r="AT686" s="147"/>
      <c r="AU686" s="147"/>
      <c r="AV686" s="147"/>
      <c r="AW686" s="147"/>
      <c r="AX686" s="147"/>
      <c r="AY686" s="147"/>
      <c r="AZ686" s="147"/>
      <c r="BA686" s="147"/>
      <c r="BB686" s="147"/>
      <c r="BC686" s="147"/>
      <c r="BD686" s="147"/>
      <c r="BE686" s="147"/>
      <c r="BF686" s="147"/>
      <c r="BG686" s="147"/>
      <c r="BH686" s="147"/>
      <c r="BI686" s="147"/>
      <c r="BJ686" s="147"/>
      <c r="BK686" s="147"/>
      <c r="BL686" s="147"/>
      <c r="BM686" s="147"/>
      <c r="BN686" s="147"/>
      <c r="BO686" s="147"/>
      <c r="BP686" s="147"/>
      <c r="BQ686" s="147"/>
      <c r="BR686" s="147"/>
      <c r="BS686" s="147"/>
      <c r="BT686" s="147"/>
      <c r="BU686" s="147"/>
      <c r="BV686" s="147"/>
      <c r="BW686" s="147"/>
      <c r="BX686" s="147"/>
      <c r="BY686" s="147"/>
      <c r="BZ686" s="147"/>
      <c r="CA686" s="147"/>
      <c r="CB686" s="147"/>
      <c r="CC686" s="147"/>
      <c r="CD686" s="147"/>
      <c r="CE686" s="147"/>
      <c r="CF686" s="147"/>
      <c r="CG686" s="147"/>
      <c r="CH686" s="147"/>
      <c r="CI686" s="147"/>
      <c r="CJ686" s="147"/>
      <c r="CK686" s="147"/>
    </row>
    <row r="687" spans="1:89">
      <c r="A687" s="157"/>
      <c r="F687" s="3"/>
      <c r="G687" s="3"/>
      <c r="L687" s="157"/>
      <c r="M687" s="157"/>
      <c r="O687" s="147"/>
      <c r="P687" s="147"/>
      <c r="Q687" s="147"/>
      <c r="R687" s="147"/>
      <c r="S687" s="147"/>
      <c r="T687" s="147"/>
      <c r="U687" s="147"/>
      <c r="V687" s="147"/>
      <c r="W687" s="147"/>
      <c r="X687" s="147"/>
      <c r="Y687" s="147"/>
      <c r="Z687" s="147"/>
      <c r="AA687" s="147"/>
      <c r="AB687" s="147"/>
      <c r="AC687" s="147"/>
      <c r="AD687" s="147"/>
      <c r="AE687" s="147"/>
      <c r="AF687" s="147"/>
      <c r="AG687" s="147"/>
      <c r="AH687" s="147"/>
      <c r="AI687" s="147"/>
      <c r="AJ687" s="147"/>
      <c r="AK687" s="147"/>
      <c r="AL687" s="147"/>
      <c r="AM687" s="151"/>
      <c r="AN687" s="147"/>
      <c r="AO687" s="147"/>
      <c r="AP687" s="147"/>
      <c r="AQ687" s="147"/>
      <c r="AR687" s="147"/>
      <c r="AS687" s="147"/>
      <c r="AT687" s="147"/>
      <c r="AU687" s="147"/>
      <c r="AV687" s="147"/>
      <c r="AW687" s="147"/>
      <c r="AX687" s="147"/>
      <c r="AY687" s="147"/>
      <c r="AZ687" s="147"/>
      <c r="BA687" s="147"/>
      <c r="BB687" s="147"/>
      <c r="BC687" s="147"/>
      <c r="BD687" s="147"/>
      <c r="BE687" s="147"/>
      <c r="BF687" s="147"/>
      <c r="BG687" s="147"/>
      <c r="BH687" s="147"/>
      <c r="BI687" s="147"/>
      <c r="BJ687" s="147"/>
      <c r="BK687" s="147"/>
      <c r="BL687" s="147"/>
      <c r="BM687" s="147"/>
      <c r="BN687" s="147"/>
      <c r="BO687" s="147"/>
      <c r="BP687" s="147"/>
      <c r="BQ687" s="147"/>
      <c r="BR687" s="147"/>
      <c r="BS687" s="147"/>
      <c r="BT687" s="147"/>
      <c r="BU687" s="147"/>
      <c r="BV687" s="147"/>
      <c r="BW687" s="147"/>
      <c r="BX687" s="147"/>
      <c r="BY687" s="147"/>
      <c r="BZ687" s="147"/>
      <c r="CA687" s="147"/>
      <c r="CB687" s="147"/>
      <c r="CC687" s="147"/>
      <c r="CD687" s="147"/>
      <c r="CE687" s="147"/>
      <c r="CF687" s="147"/>
      <c r="CG687" s="147"/>
      <c r="CH687" s="147"/>
      <c r="CI687" s="147"/>
      <c r="CJ687" s="147"/>
      <c r="CK687" s="147"/>
    </row>
    <row r="688" spans="1:89">
      <c r="A688" s="157"/>
      <c r="F688" s="3"/>
      <c r="G688" s="3"/>
      <c r="L688" s="157"/>
      <c r="M688" s="157"/>
      <c r="O688" s="147"/>
      <c r="P688" s="147"/>
      <c r="Q688" s="147"/>
      <c r="R688" s="147"/>
      <c r="S688" s="147"/>
      <c r="T688" s="147"/>
      <c r="U688" s="147"/>
      <c r="V688" s="147"/>
      <c r="W688" s="147"/>
      <c r="X688" s="147"/>
      <c r="Y688" s="147"/>
      <c r="Z688" s="147"/>
      <c r="AA688" s="147"/>
      <c r="AB688" s="147"/>
      <c r="AC688" s="147"/>
      <c r="AD688" s="147"/>
      <c r="AE688" s="147"/>
      <c r="AF688" s="147"/>
      <c r="AG688" s="147"/>
      <c r="AH688" s="147"/>
      <c r="AI688" s="147"/>
      <c r="AJ688" s="147"/>
      <c r="AK688" s="147"/>
      <c r="AL688" s="147"/>
      <c r="AM688" s="151"/>
      <c r="AN688" s="147"/>
      <c r="AO688" s="147"/>
      <c r="AP688" s="147"/>
      <c r="AQ688" s="147"/>
      <c r="AR688" s="147"/>
      <c r="AS688" s="147"/>
      <c r="AT688" s="147"/>
      <c r="AU688" s="147"/>
      <c r="AV688" s="147"/>
      <c r="AW688" s="147"/>
      <c r="AX688" s="147"/>
      <c r="AY688" s="147"/>
      <c r="AZ688" s="147"/>
      <c r="BA688" s="147"/>
      <c r="BB688" s="147"/>
      <c r="BC688" s="147"/>
      <c r="BD688" s="147"/>
      <c r="BE688" s="147"/>
      <c r="BF688" s="147"/>
      <c r="BG688" s="147"/>
      <c r="BH688" s="147"/>
      <c r="BI688" s="147"/>
      <c r="BJ688" s="147"/>
      <c r="BK688" s="147"/>
      <c r="BL688" s="147"/>
      <c r="BM688" s="147"/>
      <c r="BN688" s="147"/>
      <c r="BO688" s="147"/>
      <c r="BP688" s="147"/>
      <c r="BQ688" s="147"/>
      <c r="BR688" s="147"/>
      <c r="BS688" s="147"/>
      <c r="BT688" s="147"/>
      <c r="BU688" s="147"/>
      <c r="BV688" s="147"/>
      <c r="BW688" s="147"/>
      <c r="BX688" s="147"/>
      <c r="BY688" s="147"/>
      <c r="BZ688" s="147"/>
      <c r="CA688" s="147"/>
      <c r="CB688" s="147"/>
      <c r="CC688" s="147"/>
      <c r="CD688" s="147"/>
      <c r="CE688" s="147"/>
      <c r="CF688" s="147"/>
      <c r="CG688" s="147"/>
      <c r="CH688" s="147"/>
      <c r="CI688" s="147"/>
      <c r="CJ688" s="147"/>
      <c r="CK688" s="147"/>
    </row>
    <row r="689" spans="1:89">
      <c r="A689" s="157"/>
      <c r="F689" s="3"/>
      <c r="G689" s="3"/>
      <c r="L689" s="157"/>
      <c r="M689" s="157"/>
      <c r="O689" s="147"/>
      <c r="P689" s="147"/>
      <c r="Q689" s="147"/>
      <c r="R689" s="147"/>
      <c r="S689" s="147"/>
      <c r="T689" s="147"/>
      <c r="U689" s="147"/>
      <c r="V689" s="147"/>
      <c r="W689" s="147"/>
      <c r="X689" s="147"/>
      <c r="Y689" s="147"/>
      <c r="Z689" s="147"/>
      <c r="AA689" s="147"/>
      <c r="AB689" s="147"/>
      <c r="AC689" s="147"/>
      <c r="AD689" s="147"/>
      <c r="AE689" s="147"/>
      <c r="AF689" s="147"/>
      <c r="AG689" s="147"/>
      <c r="AH689" s="147"/>
      <c r="AI689" s="147"/>
      <c r="AJ689" s="147"/>
      <c r="AK689" s="147"/>
      <c r="AL689" s="147"/>
      <c r="AM689" s="151"/>
      <c r="AN689" s="147"/>
      <c r="AO689" s="147"/>
      <c r="AP689" s="147"/>
      <c r="AQ689" s="147"/>
      <c r="AR689" s="147"/>
      <c r="AS689" s="147"/>
      <c r="AT689" s="147"/>
      <c r="AU689" s="147"/>
      <c r="AV689" s="147"/>
      <c r="AW689" s="147"/>
      <c r="AX689" s="147"/>
      <c r="AY689" s="147"/>
      <c r="AZ689" s="147"/>
      <c r="BA689" s="147"/>
      <c r="BB689" s="147"/>
      <c r="BC689" s="147"/>
      <c r="BD689" s="147"/>
      <c r="BE689" s="147"/>
      <c r="BF689" s="147"/>
      <c r="BG689" s="147"/>
      <c r="BH689" s="147"/>
      <c r="BI689" s="147"/>
      <c r="BJ689" s="147"/>
      <c r="BK689" s="147"/>
      <c r="BL689" s="147"/>
      <c r="BM689" s="147"/>
      <c r="BN689" s="147"/>
      <c r="BO689" s="147"/>
      <c r="BP689" s="147"/>
      <c r="BQ689" s="147"/>
      <c r="BR689" s="147"/>
      <c r="BS689" s="147"/>
      <c r="BT689" s="147"/>
      <c r="BU689" s="147"/>
      <c r="BV689" s="147"/>
      <c r="BW689" s="147"/>
      <c r="BX689" s="147"/>
      <c r="BY689" s="147"/>
      <c r="BZ689" s="147"/>
      <c r="CA689" s="147"/>
      <c r="CB689" s="147"/>
      <c r="CC689" s="147"/>
      <c r="CD689" s="147"/>
      <c r="CE689" s="147"/>
      <c r="CF689" s="147"/>
      <c r="CG689" s="147"/>
      <c r="CH689" s="147"/>
      <c r="CI689" s="147"/>
      <c r="CJ689" s="147"/>
      <c r="CK689" s="147"/>
    </row>
    <row r="690" spans="1:89">
      <c r="A690" s="157"/>
      <c r="F690" s="3"/>
      <c r="G690" s="3"/>
      <c r="L690" s="157"/>
      <c r="M690" s="157"/>
      <c r="O690" s="147"/>
      <c r="P690" s="147"/>
      <c r="Q690" s="147"/>
      <c r="R690" s="147"/>
      <c r="S690" s="147"/>
      <c r="T690" s="147"/>
      <c r="U690" s="147"/>
      <c r="V690" s="147"/>
      <c r="W690" s="147"/>
      <c r="X690" s="147"/>
      <c r="Y690" s="147"/>
      <c r="Z690" s="147"/>
      <c r="AA690" s="147"/>
      <c r="AB690" s="147"/>
      <c r="AC690" s="147"/>
      <c r="AD690" s="147"/>
      <c r="AE690" s="147"/>
      <c r="AF690" s="147"/>
      <c r="AG690" s="147"/>
      <c r="AH690" s="147"/>
      <c r="AI690" s="147"/>
      <c r="AJ690" s="147"/>
      <c r="AK690" s="147"/>
      <c r="AL690" s="147"/>
      <c r="AM690" s="151"/>
      <c r="AN690" s="147"/>
      <c r="AO690" s="147"/>
      <c r="AP690" s="147"/>
      <c r="AQ690" s="147"/>
      <c r="AR690" s="147"/>
      <c r="AS690" s="147"/>
      <c r="AT690" s="147"/>
      <c r="AU690" s="147"/>
      <c r="AV690" s="147"/>
      <c r="AW690" s="147"/>
      <c r="AX690" s="147"/>
      <c r="AY690" s="147"/>
      <c r="AZ690" s="147"/>
      <c r="BA690" s="147"/>
      <c r="BB690" s="147"/>
      <c r="BC690" s="147"/>
      <c r="BD690" s="147"/>
      <c r="BE690" s="147"/>
      <c r="BF690" s="147"/>
      <c r="BG690" s="147"/>
      <c r="BH690" s="147"/>
      <c r="BI690" s="147"/>
      <c r="BJ690" s="147"/>
      <c r="BK690" s="147"/>
      <c r="BL690" s="147"/>
      <c r="BM690" s="147"/>
      <c r="BN690" s="147"/>
      <c r="BO690" s="147"/>
      <c r="BP690" s="147"/>
      <c r="BQ690" s="147"/>
      <c r="BR690" s="147"/>
      <c r="BS690" s="147"/>
      <c r="BT690" s="147"/>
      <c r="BU690" s="147"/>
      <c r="BV690" s="147"/>
      <c r="BW690" s="147"/>
      <c r="BX690" s="147"/>
      <c r="BY690" s="147"/>
      <c r="BZ690" s="147"/>
      <c r="CA690" s="147"/>
      <c r="CB690" s="147"/>
      <c r="CC690" s="147"/>
      <c r="CD690" s="147"/>
      <c r="CE690" s="147"/>
      <c r="CF690" s="147"/>
      <c r="CG690" s="147"/>
      <c r="CH690" s="147"/>
      <c r="CI690" s="147"/>
      <c r="CJ690" s="147"/>
      <c r="CK690" s="147"/>
    </row>
    <row r="691" spans="1:89">
      <c r="A691" s="157"/>
      <c r="F691" s="3"/>
      <c r="G691" s="3"/>
      <c r="L691" s="157"/>
      <c r="M691" s="157"/>
      <c r="O691" s="147"/>
      <c r="P691" s="147"/>
      <c r="Q691" s="147"/>
      <c r="R691" s="147"/>
      <c r="S691" s="147"/>
      <c r="T691" s="147"/>
      <c r="U691" s="147"/>
      <c r="V691" s="147"/>
      <c r="W691" s="147"/>
      <c r="X691" s="147"/>
      <c r="Y691" s="147"/>
      <c r="Z691" s="147"/>
      <c r="AA691" s="147"/>
      <c r="AB691" s="147"/>
      <c r="AC691" s="147"/>
      <c r="AD691" s="147"/>
      <c r="AE691" s="147"/>
      <c r="AF691" s="147"/>
      <c r="AG691" s="147"/>
      <c r="AH691" s="147"/>
      <c r="AI691" s="147"/>
      <c r="AJ691" s="147"/>
      <c r="AK691" s="147"/>
      <c r="AL691" s="147"/>
      <c r="AM691" s="151"/>
      <c r="AN691" s="147"/>
      <c r="AO691" s="147"/>
      <c r="AP691" s="147"/>
      <c r="AQ691" s="147"/>
      <c r="AR691" s="147"/>
      <c r="AS691" s="147"/>
      <c r="AT691" s="147"/>
      <c r="AU691" s="147"/>
      <c r="AV691" s="147"/>
      <c r="AW691" s="147"/>
      <c r="AX691" s="147"/>
      <c r="AY691" s="147"/>
      <c r="AZ691" s="147"/>
      <c r="BA691" s="147"/>
      <c r="BB691" s="147"/>
      <c r="BC691" s="147"/>
      <c r="BD691" s="147"/>
      <c r="BE691" s="147"/>
      <c r="BF691" s="147"/>
      <c r="BG691" s="147"/>
      <c r="BH691" s="147"/>
      <c r="BI691" s="147"/>
      <c r="BJ691" s="147"/>
      <c r="BK691" s="147"/>
      <c r="BL691" s="147"/>
      <c r="BM691" s="147"/>
      <c r="BN691" s="147"/>
      <c r="BO691" s="147"/>
      <c r="BP691" s="147"/>
      <c r="BQ691" s="147"/>
      <c r="BR691" s="147"/>
      <c r="BS691" s="147"/>
      <c r="BT691" s="147"/>
      <c r="BU691" s="147"/>
      <c r="BV691" s="147"/>
      <c r="BW691" s="147"/>
      <c r="BX691" s="147"/>
      <c r="BY691" s="147"/>
      <c r="BZ691" s="147"/>
      <c r="CA691" s="147"/>
      <c r="CB691" s="147"/>
      <c r="CC691" s="147"/>
      <c r="CD691" s="147"/>
      <c r="CE691" s="147"/>
      <c r="CF691" s="147"/>
      <c r="CG691" s="147"/>
      <c r="CH691" s="147"/>
      <c r="CI691" s="147"/>
      <c r="CJ691" s="147"/>
      <c r="CK691" s="147"/>
    </row>
    <row r="692" spans="1:89">
      <c r="A692" s="157"/>
      <c r="F692" s="3"/>
      <c r="G692" s="3"/>
      <c r="L692" s="157"/>
      <c r="M692" s="157"/>
      <c r="O692" s="147"/>
      <c r="P692" s="147"/>
      <c r="Q692" s="147"/>
      <c r="R692" s="147"/>
      <c r="S692" s="147"/>
      <c r="T692" s="147"/>
      <c r="U692" s="147"/>
      <c r="V692" s="147"/>
      <c r="W692" s="147"/>
      <c r="X692" s="147"/>
      <c r="Y692" s="147"/>
      <c r="Z692" s="147"/>
      <c r="AA692" s="147"/>
      <c r="AB692" s="147"/>
      <c r="AC692" s="147"/>
      <c r="AD692" s="147"/>
      <c r="AE692" s="147"/>
      <c r="AF692" s="147"/>
      <c r="AG692" s="147"/>
      <c r="AH692" s="147"/>
      <c r="AI692" s="147"/>
      <c r="AJ692" s="147"/>
      <c r="AK692" s="147"/>
      <c r="AL692" s="147"/>
      <c r="AM692" s="151"/>
      <c r="AN692" s="147"/>
      <c r="AO692" s="147"/>
      <c r="AP692" s="147"/>
      <c r="AQ692" s="147"/>
      <c r="AR692" s="147"/>
      <c r="AS692" s="147"/>
      <c r="AT692" s="147"/>
      <c r="AU692" s="147"/>
      <c r="AV692" s="147"/>
      <c r="AW692" s="147"/>
      <c r="AX692" s="147"/>
      <c r="AY692" s="147"/>
      <c r="AZ692" s="147"/>
      <c r="BA692" s="147"/>
      <c r="BB692" s="147"/>
      <c r="BC692" s="147"/>
      <c r="BD692" s="147"/>
      <c r="BE692" s="147"/>
      <c r="BF692" s="147"/>
      <c r="BG692" s="147"/>
      <c r="BH692" s="147"/>
      <c r="BI692" s="147"/>
      <c r="BJ692" s="147"/>
      <c r="BK692" s="147"/>
      <c r="BL692" s="147"/>
      <c r="BM692" s="147"/>
      <c r="BN692" s="147"/>
      <c r="BO692" s="147"/>
      <c r="BP692" s="147"/>
      <c r="BQ692" s="147"/>
      <c r="BR692" s="147"/>
      <c r="BS692" s="147"/>
      <c r="BT692" s="147"/>
      <c r="BU692" s="147"/>
      <c r="BV692" s="147"/>
      <c r="BW692" s="147"/>
      <c r="BX692" s="147"/>
      <c r="BY692" s="147"/>
      <c r="BZ692" s="147"/>
      <c r="CA692" s="147"/>
      <c r="CB692" s="147"/>
      <c r="CC692" s="147"/>
      <c r="CD692" s="147"/>
      <c r="CE692" s="147"/>
      <c r="CF692" s="147"/>
      <c r="CG692" s="147"/>
      <c r="CH692" s="147"/>
      <c r="CI692" s="147"/>
      <c r="CJ692" s="147"/>
      <c r="CK692" s="147"/>
    </row>
    <row r="693" spans="1:89">
      <c r="A693" s="157"/>
      <c r="F693" s="3"/>
      <c r="G693" s="3"/>
      <c r="L693" s="157"/>
      <c r="M693" s="157"/>
      <c r="O693" s="147"/>
      <c r="P693" s="147"/>
      <c r="Q693" s="147"/>
      <c r="R693" s="147"/>
      <c r="S693" s="147"/>
      <c r="T693" s="147"/>
      <c r="U693" s="147"/>
      <c r="V693" s="147"/>
      <c r="W693" s="147"/>
      <c r="X693" s="147"/>
      <c r="Y693" s="147"/>
      <c r="Z693" s="147"/>
      <c r="AA693" s="147"/>
      <c r="AB693" s="147"/>
      <c r="AC693" s="147"/>
      <c r="AD693" s="147"/>
      <c r="AE693" s="147"/>
      <c r="AF693" s="147"/>
      <c r="AG693" s="147"/>
      <c r="AH693" s="147"/>
      <c r="AI693" s="147"/>
      <c r="AJ693" s="147"/>
      <c r="AK693" s="147"/>
      <c r="AL693" s="147"/>
      <c r="AM693" s="151"/>
      <c r="AN693" s="147"/>
      <c r="AO693" s="147"/>
      <c r="AP693" s="147"/>
      <c r="AQ693" s="147"/>
      <c r="AR693" s="147"/>
      <c r="AS693" s="147"/>
      <c r="AT693" s="147"/>
      <c r="AU693" s="147"/>
      <c r="AV693" s="147"/>
      <c r="AW693" s="147"/>
      <c r="AX693" s="147"/>
      <c r="AY693" s="147"/>
      <c r="AZ693" s="147"/>
      <c r="BA693" s="147"/>
      <c r="BB693" s="147"/>
      <c r="BC693" s="147"/>
      <c r="BD693" s="147"/>
      <c r="BE693" s="147"/>
      <c r="BF693" s="147"/>
      <c r="BG693" s="147"/>
      <c r="BH693" s="147"/>
      <c r="BI693" s="147"/>
      <c r="BJ693" s="147"/>
      <c r="BK693" s="147"/>
      <c r="BL693" s="147"/>
      <c r="BM693" s="147"/>
      <c r="BN693" s="147"/>
      <c r="BO693" s="147"/>
      <c r="BP693" s="147"/>
      <c r="BQ693" s="147"/>
      <c r="BR693" s="147"/>
      <c r="BS693" s="147"/>
      <c r="BT693" s="147"/>
      <c r="BU693" s="147"/>
      <c r="BV693" s="147"/>
      <c r="BW693" s="147"/>
      <c r="BX693" s="147"/>
      <c r="BY693" s="147"/>
      <c r="BZ693" s="147"/>
      <c r="CA693" s="147"/>
      <c r="CB693" s="147"/>
      <c r="CC693" s="147"/>
      <c r="CD693" s="147"/>
      <c r="CE693" s="147"/>
      <c r="CF693" s="147"/>
      <c r="CG693" s="147"/>
      <c r="CH693" s="147"/>
      <c r="CI693" s="147"/>
      <c r="CJ693" s="147"/>
      <c r="CK693" s="147"/>
    </row>
    <row r="694" spans="1:89">
      <c r="A694" s="157"/>
      <c r="F694" s="3"/>
      <c r="G694" s="3"/>
      <c r="L694" s="157"/>
      <c r="M694" s="157"/>
      <c r="O694" s="147"/>
      <c r="P694" s="147"/>
      <c r="Q694" s="147"/>
      <c r="R694" s="147"/>
      <c r="S694" s="147"/>
      <c r="T694" s="147"/>
      <c r="U694" s="147"/>
      <c r="V694" s="147"/>
      <c r="W694" s="147"/>
      <c r="X694" s="147"/>
      <c r="Y694" s="147"/>
      <c r="Z694" s="147"/>
      <c r="AA694" s="147"/>
      <c r="AB694" s="147"/>
      <c r="AC694" s="147"/>
      <c r="AD694" s="147"/>
      <c r="AE694" s="147"/>
      <c r="AF694" s="147"/>
      <c r="AG694" s="147"/>
      <c r="AH694" s="147"/>
      <c r="AI694" s="147"/>
      <c r="AJ694" s="147"/>
      <c r="AK694" s="147"/>
      <c r="AL694" s="147"/>
      <c r="AM694" s="151"/>
      <c r="AN694" s="147"/>
      <c r="AO694" s="147"/>
      <c r="AP694" s="147"/>
      <c r="AQ694" s="147"/>
      <c r="AR694" s="147"/>
      <c r="AS694" s="147"/>
      <c r="AT694" s="147"/>
      <c r="AU694" s="147"/>
      <c r="AV694" s="147"/>
      <c r="AW694" s="147"/>
      <c r="AX694" s="147"/>
      <c r="AY694" s="147"/>
      <c r="AZ694" s="147"/>
      <c r="BA694" s="147"/>
      <c r="BB694" s="147"/>
      <c r="BC694" s="147"/>
      <c r="BD694" s="147"/>
      <c r="BE694" s="147"/>
      <c r="BF694" s="147"/>
      <c r="BG694" s="147"/>
      <c r="BH694" s="147"/>
      <c r="BI694" s="147"/>
      <c r="BJ694" s="147"/>
      <c r="BK694" s="147"/>
      <c r="BL694" s="147"/>
      <c r="BM694" s="147"/>
      <c r="BN694" s="147"/>
      <c r="BO694" s="147"/>
      <c r="BP694" s="147"/>
      <c r="BQ694" s="147"/>
      <c r="BR694" s="147"/>
      <c r="BS694" s="147"/>
      <c r="BT694" s="147"/>
      <c r="BU694" s="147"/>
      <c r="BV694" s="147"/>
      <c r="BW694" s="147"/>
      <c r="BX694" s="147"/>
      <c r="BY694" s="147"/>
      <c r="BZ694" s="147"/>
      <c r="CA694" s="147"/>
      <c r="CB694" s="147"/>
      <c r="CC694" s="147"/>
      <c r="CD694" s="147"/>
      <c r="CE694" s="147"/>
      <c r="CF694" s="147"/>
      <c r="CG694" s="147"/>
      <c r="CH694" s="147"/>
      <c r="CI694" s="147"/>
      <c r="CJ694" s="147"/>
      <c r="CK694" s="147"/>
    </row>
    <row r="695" spans="1:89">
      <c r="A695" s="157"/>
      <c r="F695" s="3"/>
      <c r="G695" s="3"/>
      <c r="L695" s="157"/>
      <c r="M695" s="157"/>
      <c r="O695" s="147"/>
      <c r="P695" s="147"/>
      <c r="Q695" s="147"/>
      <c r="R695" s="147"/>
      <c r="S695" s="147"/>
      <c r="T695" s="147"/>
      <c r="U695" s="147"/>
      <c r="V695" s="147"/>
      <c r="W695" s="147"/>
      <c r="X695" s="147"/>
      <c r="Y695" s="147"/>
      <c r="Z695" s="147"/>
      <c r="AA695" s="147"/>
      <c r="AB695" s="147"/>
      <c r="AC695" s="147"/>
      <c r="AD695" s="147"/>
      <c r="AE695" s="147"/>
      <c r="AF695" s="147"/>
      <c r="AG695" s="147"/>
      <c r="AH695" s="147"/>
      <c r="AI695" s="147"/>
      <c r="AJ695" s="147"/>
      <c r="AK695" s="147"/>
      <c r="AL695" s="147"/>
      <c r="AM695" s="151"/>
      <c r="AN695" s="147"/>
      <c r="AO695" s="147"/>
      <c r="AP695" s="147"/>
      <c r="AQ695" s="147"/>
      <c r="AR695" s="147"/>
      <c r="AS695" s="147"/>
      <c r="AT695" s="147"/>
      <c r="AU695" s="147"/>
      <c r="AV695" s="147"/>
      <c r="AW695" s="147"/>
      <c r="AX695" s="147"/>
      <c r="AY695" s="147"/>
      <c r="AZ695" s="147"/>
      <c r="BA695" s="147"/>
      <c r="BB695" s="147"/>
      <c r="BC695" s="147"/>
      <c r="BD695" s="147"/>
      <c r="BE695" s="147"/>
      <c r="BF695" s="147"/>
      <c r="BG695" s="147"/>
      <c r="BH695" s="147"/>
      <c r="BI695" s="147"/>
      <c r="BJ695" s="147"/>
      <c r="BK695" s="147"/>
      <c r="BL695" s="147"/>
      <c r="BM695" s="147"/>
      <c r="BN695" s="147"/>
      <c r="BO695" s="147"/>
      <c r="BP695" s="147"/>
      <c r="BQ695" s="147"/>
      <c r="BR695" s="147"/>
      <c r="BS695" s="147"/>
      <c r="BT695" s="147"/>
      <c r="BU695" s="147"/>
      <c r="BV695" s="147"/>
      <c r="BW695" s="147"/>
      <c r="BX695" s="147"/>
      <c r="BY695" s="147"/>
      <c r="BZ695" s="147"/>
      <c r="CA695" s="147"/>
      <c r="CB695" s="147"/>
      <c r="CC695" s="147"/>
      <c r="CD695" s="147"/>
      <c r="CE695" s="147"/>
      <c r="CF695" s="147"/>
      <c r="CG695" s="147"/>
      <c r="CH695" s="147"/>
      <c r="CI695" s="147"/>
      <c r="CJ695" s="147"/>
      <c r="CK695" s="147"/>
    </row>
    <row r="696" spans="1:89">
      <c r="A696" s="157"/>
      <c r="F696" s="3"/>
      <c r="G696" s="3"/>
      <c r="L696" s="157"/>
      <c r="M696" s="157"/>
      <c r="O696" s="147"/>
      <c r="P696" s="147"/>
      <c r="Q696" s="147"/>
      <c r="R696" s="147"/>
      <c r="S696" s="147"/>
      <c r="T696" s="147"/>
      <c r="U696" s="147"/>
      <c r="V696" s="147"/>
      <c r="W696" s="147"/>
      <c r="X696" s="147"/>
      <c r="Y696" s="147"/>
      <c r="Z696" s="147"/>
      <c r="AA696" s="147"/>
      <c r="AB696" s="147"/>
      <c r="AC696" s="147"/>
      <c r="AD696" s="147"/>
      <c r="AE696" s="147"/>
      <c r="AF696" s="147"/>
      <c r="AG696" s="147"/>
      <c r="AH696" s="147"/>
      <c r="AI696" s="147"/>
      <c r="AJ696" s="147"/>
      <c r="AK696" s="147"/>
      <c r="AL696" s="147"/>
      <c r="AM696" s="151"/>
      <c r="AN696" s="147"/>
      <c r="AO696" s="147"/>
      <c r="AP696" s="147"/>
      <c r="AQ696" s="147"/>
      <c r="AR696" s="147"/>
      <c r="AS696" s="147"/>
      <c r="AT696" s="147"/>
      <c r="AU696" s="147"/>
      <c r="AV696" s="147"/>
      <c r="AW696" s="147"/>
      <c r="AX696" s="147"/>
      <c r="AY696" s="147"/>
      <c r="AZ696" s="147"/>
      <c r="BA696" s="147"/>
      <c r="BB696" s="147"/>
      <c r="BC696" s="147"/>
      <c r="BD696" s="147"/>
      <c r="BE696" s="147"/>
      <c r="BF696" s="147"/>
      <c r="BG696" s="147"/>
      <c r="BH696" s="147"/>
      <c r="BI696" s="147"/>
      <c r="BJ696" s="147"/>
      <c r="BK696" s="147"/>
      <c r="BL696" s="147"/>
      <c r="BM696" s="147"/>
      <c r="BN696" s="147"/>
      <c r="BO696" s="147"/>
      <c r="BP696" s="147"/>
      <c r="BQ696" s="147"/>
      <c r="BR696" s="147"/>
      <c r="BS696" s="147"/>
      <c r="BT696" s="147"/>
      <c r="BU696" s="147"/>
      <c r="BV696" s="147"/>
      <c r="BW696" s="147"/>
      <c r="BX696" s="147"/>
      <c r="BY696" s="147"/>
      <c r="BZ696" s="147"/>
      <c r="CA696" s="147"/>
      <c r="CB696" s="147"/>
      <c r="CC696" s="147"/>
      <c r="CD696" s="147"/>
      <c r="CE696" s="147"/>
      <c r="CF696" s="147"/>
      <c r="CG696" s="147"/>
      <c r="CH696" s="147"/>
      <c r="CI696" s="147"/>
      <c r="CJ696" s="147"/>
      <c r="CK696" s="147"/>
    </row>
    <row r="697" spans="1:89">
      <c r="A697" s="157"/>
      <c r="F697" s="3"/>
      <c r="G697" s="3"/>
      <c r="L697" s="157"/>
      <c r="M697" s="157"/>
      <c r="O697" s="147"/>
      <c r="P697" s="147"/>
      <c r="Q697" s="147"/>
      <c r="R697" s="147"/>
      <c r="S697" s="147"/>
      <c r="T697" s="147"/>
      <c r="U697" s="147"/>
      <c r="V697" s="147"/>
      <c r="W697" s="147"/>
      <c r="X697" s="147"/>
      <c r="Y697" s="147"/>
      <c r="Z697" s="147"/>
      <c r="AA697" s="147"/>
      <c r="AB697" s="147"/>
      <c r="AC697" s="147"/>
      <c r="AD697" s="147"/>
      <c r="AE697" s="147"/>
      <c r="AF697" s="147"/>
      <c r="AG697" s="147"/>
      <c r="AH697" s="147"/>
      <c r="AI697" s="147"/>
      <c r="AJ697" s="147"/>
      <c r="AK697" s="147"/>
      <c r="AL697" s="147"/>
      <c r="AM697" s="151"/>
      <c r="AN697" s="147"/>
      <c r="AO697" s="147"/>
      <c r="AP697" s="147"/>
      <c r="AQ697" s="147"/>
      <c r="AR697" s="147"/>
      <c r="AS697" s="147"/>
      <c r="AT697" s="147"/>
      <c r="AU697" s="147"/>
      <c r="AV697" s="147"/>
      <c r="AW697" s="147"/>
      <c r="AX697" s="147"/>
      <c r="AY697" s="147"/>
      <c r="AZ697" s="147"/>
      <c r="BA697" s="147"/>
      <c r="BB697" s="147"/>
      <c r="BC697" s="147"/>
      <c r="BD697" s="147"/>
      <c r="BE697" s="147"/>
      <c r="BF697" s="147"/>
      <c r="BG697" s="147"/>
      <c r="BH697" s="147"/>
      <c r="BI697" s="147"/>
      <c r="BJ697" s="147"/>
      <c r="BK697" s="147"/>
      <c r="BL697" s="147"/>
      <c r="BM697" s="147"/>
      <c r="BN697" s="147"/>
      <c r="BO697" s="147"/>
      <c r="BP697" s="147"/>
      <c r="BQ697" s="147"/>
      <c r="BR697" s="147"/>
      <c r="BS697" s="147"/>
      <c r="BT697" s="147"/>
      <c r="BU697" s="147"/>
      <c r="BV697" s="147"/>
      <c r="BW697" s="147"/>
      <c r="BX697" s="147"/>
      <c r="BY697" s="147"/>
      <c r="BZ697" s="147"/>
      <c r="CA697" s="147"/>
      <c r="CB697" s="147"/>
      <c r="CC697" s="147"/>
      <c r="CD697" s="147"/>
      <c r="CE697" s="147"/>
      <c r="CF697" s="147"/>
      <c r="CG697" s="147"/>
      <c r="CH697" s="147"/>
      <c r="CI697" s="147"/>
      <c r="CJ697" s="147"/>
      <c r="CK697" s="147"/>
    </row>
    <row r="698" spans="1:89">
      <c r="A698" s="157"/>
      <c r="F698" s="3"/>
      <c r="G698" s="3"/>
      <c r="L698" s="157"/>
      <c r="M698" s="157"/>
      <c r="O698" s="147"/>
      <c r="P698" s="147"/>
      <c r="Q698" s="147"/>
      <c r="R698" s="147"/>
      <c r="S698" s="147"/>
      <c r="T698" s="147"/>
      <c r="U698" s="147"/>
      <c r="V698" s="147"/>
      <c r="W698" s="147"/>
      <c r="X698" s="147"/>
      <c r="Y698" s="147"/>
      <c r="Z698" s="147"/>
      <c r="AA698" s="147"/>
      <c r="AB698" s="147"/>
      <c r="AC698" s="147"/>
      <c r="AD698" s="147"/>
      <c r="AE698" s="147"/>
      <c r="AF698" s="147"/>
      <c r="AG698" s="147"/>
      <c r="AH698" s="147"/>
      <c r="AI698" s="147"/>
      <c r="AJ698" s="147"/>
      <c r="AK698" s="147"/>
      <c r="AL698" s="147"/>
      <c r="AM698" s="151"/>
      <c r="AN698" s="147"/>
      <c r="AO698" s="147"/>
      <c r="AP698" s="147"/>
      <c r="AQ698" s="147"/>
      <c r="AR698" s="147"/>
      <c r="AS698" s="147"/>
      <c r="AT698" s="147"/>
      <c r="AU698" s="147"/>
      <c r="AV698" s="147"/>
      <c r="AW698" s="147"/>
      <c r="AX698" s="147"/>
      <c r="AY698" s="147"/>
      <c r="AZ698" s="147"/>
      <c r="BA698" s="147"/>
      <c r="BB698" s="147"/>
      <c r="BC698" s="147"/>
      <c r="BD698" s="147"/>
      <c r="BE698" s="147"/>
      <c r="BF698" s="147"/>
      <c r="BG698" s="147"/>
      <c r="BH698" s="147"/>
      <c r="BI698" s="147"/>
      <c r="BJ698" s="147"/>
      <c r="BK698" s="147"/>
      <c r="BL698" s="147"/>
      <c r="BM698" s="147"/>
      <c r="BN698" s="147"/>
      <c r="BO698" s="147"/>
      <c r="BP698" s="147"/>
      <c r="BQ698" s="147"/>
      <c r="BR698" s="147"/>
      <c r="BS698" s="147"/>
      <c r="BT698" s="147"/>
      <c r="BU698" s="147"/>
      <c r="BV698" s="147"/>
      <c r="BW698" s="147"/>
      <c r="BX698" s="147"/>
      <c r="BY698" s="147"/>
      <c r="BZ698" s="147"/>
      <c r="CA698" s="147"/>
      <c r="CB698" s="147"/>
      <c r="CC698" s="147"/>
      <c r="CD698" s="147"/>
      <c r="CE698" s="147"/>
      <c r="CF698" s="147"/>
      <c r="CG698" s="147"/>
      <c r="CH698" s="147"/>
      <c r="CI698" s="147"/>
      <c r="CJ698" s="147"/>
      <c r="CK698" s="147"/>
    </row>
    <row r="699" spans="1:89">
      <c r="A699" s="157"/>
      <c r="F699" s="3"/>
      <c r="G699" s="3"/>
      <c r="L699" s="157"/>
      <c r="M699" s="157"/>
      <c r="O699" s="147"/>
      <c r="P699" s="147"/>
      <c r="Q699" s="147"/>
      <c r="R699" s="147"/>
      <c r="S699" s="147"/>
      <c r="T699" s="147"/>
      <c r="U699" s="147"/>
      <c r="V699" s="147"/>
      <c r="W699" s="147"/>
      <c r="X699" s="147"/>
      <c r="Y699" s="147"/>
      <c r="Z699" s="147"/>
      <c r="AA699" s="147"/>
      <c r="AB699" s="147"/>
      <c r="AC699" s="147"/>
      <c r="AD699" s="147"/>
      <c r="AE699" s="147"/>
      <c r="AF699" s="147"/>
      <c r="AG699" s="147"/>
      <c r="AH699" s="147"/>
      <c r="AI699" s="147"/>
      <c r="AJ699" s="147"/>
      <c r="AK699" s="147"/>
      <c r="AL699" s="147"/>
      <c r="AM699" s="151"/>
      <c r="AN699" s="147"/>
      <c r="AO699" s="147"/>
      <c r="AP699" s="147"/>
      <c r="AQ699" s="147"/>
      <c r="AR699" s="147"/>
      <c r="AS699" s="147"/>
      <c r="AT699" s="147"/>
      <c r="AU699" s="147"/>
      <c r="AV699" s="147"/>
      <c r="AW699" s="147"/>
      <c r="AX699" s="147"/>
      <c r="AY699" s="147"/>
      <c r="AZ699" s="147"/>
      <c r="BA699" s="147"/>
      <c r="BB699" s="147"/>
      <c r="BC699" s="147"/>
      <c r="BD699" s="147"/>
      <c r="BE699" s="147"/>
      <c r="BF699" s="147"/>
      <c r="BG699" s="147"/>
      <c r="BH699" s="147"/>
      <c r="BI699" s="147"/>
      <c r="BJ699" s="147"/>
      <c r="BK699" s="147"/>
      <c r="BL699" s="147"/>
      <c r="BM699" s="147"/>
      <c r="BN699" s="147"/>
      <c r="BO699" s="147"/>
      <c r="BP699" s="147"/>
      <c r="BQ699" s="147"/>
      <c r="BR699" s="147"/>
      <c r="BS699" s="147"/>
      <c r="BT699" s="147"/>
      <c r="BU699" s="147"/>
      <c r="BV699" s="147"/>
      <c r="BW699" s="147"/>
      <c r="BX699" s="147"/>
      <c r="BY699" s="147"/>
      <c r="BZ699" s="147"/>
      <c r="CA699" s="147"/>
      <c r="CB699" s="147"/>
      <c r="CC699" s="147"/>
      <c r="CD699" s="147"/>
      <c r="CE699" s="147"/>
      <c r="CF699" s="147"/>
      <c r="CG699" s="147"/>
      <c r="CH699" s="147"/>
      <c r="CI699" s="147"/>
      <c r="CJ699" s="147"/>
      <c r="CK699" s="147"/>
    </row>
    <row r="700" spans="1:89">
      <c r="A700" s="157"/>
      <c r="F700" s="3"/>
      <c r="G700" s="3"/>
      <c r="L700" s="157"/>
      <c r="M700" s="157"/>
      <c r="O700" s="147"/>
      <c r="P700" s="147"/>
      <c r="Q700" s="147"/>
      <c r="R700" s="147"/>
      <c r="S700" s="147"/>
      <c r="T700" s="147"/>
      <c r="U700" s="147"/>
      <c r="V700" s="147"/>
      <c r="W700" s="147"/>
      <c r="X700" s="147"/>
      <c r="Y700" s="147"/>
      <c r="Z700" s="147"/>
      <c r="AA700" s="147"/>
      <c r="AB700" s="147"/>
      <c r="AC700" s="147"/>
      <c r="AD700" s="147"/>
      <c r="AE700" s="147"/>
      <c r="AF700" s="147"/>
      <c r="AG700" s="147"/>
      <c r="AH700" s="147"/>
      <c r="AI700" s="147"/>
      <c r="AJ700" s="147"/>
      <c r="AK700" s="147"/>
      <c r="AL700" s="147"/>
      <c r="AM700" s="151"/>
      <c r="AN700" s="147"/>
      <c r="AO700" s="147"/>
      <c r="AP700" s="147"/>
      <c r="AQ700" s="147"/>
      <c r="AR700" s="147"/>
      <c r="AS700" s="147"/>
      <c r="AT700" s="147"/>
      <c r="AU700" s="147"/>
      <c r="AV700" s="147"/>
      <c r="AW700" s="147"/>
      <c r="AX700" s="147"/>
      <c r="AY700" s="147"/>
      <c r="AZ700" s="147"/>
      <c r="BA700" s="147"/>
      <c r="BB700" s="147"/>
      <c r="BC700" s="147"/>
      <c r="BD700" s="147"/>
      <c r="BE700" s="147"/>
      <c r="BF700" s="147"/>
      <c r="BG700" s="147"/>
      <c r="BH700" s="147"/>
      <c r="BI700" s="147"/>
      <c r="BJ700" s="147"/>
      <c r="BK700" s="147"/>
      <c r="BL700" s="147"/>
      <c r="BM700" s="147"/>
      <c r="BN700" s="147"/>
      <c r="BO700" s="147"/>
      <c r="BP700" s="147"/>
      <c r="BQ700" s="147"/>
      <c r="BR700" s="147"/>
      <c r="BS700" s="147"/>
      <c r="BT700" s="147"/>
      <c r="BU700" s="147"/>
      <c r="BV700" s="147"/>
      <c r="BW700" s="147"/>
      <c r="BX700" s="147"/>
      <c r="BY700" s="147"/>
      <c r="BZ700" s="147"/>
      <c r="CA700" s="147"/>
      <c r="CB700" s="147"/>
      <c r="CC700" s="147"/>
      <c r="CD700" s="147"/>
      <c r="CE700" s="147"/>
      <c r="CF700" s="147"/>
      <c r="CG700" s="147"/>
      <c r="CH700" s="147"/>
      <c r="CI700" s="147"/>
      <c r="CJ700" s="147"/>
      <c r="CK700" s="147"/>
    </row>
    <row r="701" spans="1:89">
      <c r="A701" s="157"/>
      <c r="F701" s="3"/>
      <c r="G701" s="3"/>
      <c r="L701" s="157"/>
      <c r="M701" s="157"/>
      <c r="O701" s="147"/>
      <c r="P701" s="147"/>
      <c r="Q701" s="147"/>
      <c r="R701" s="147"/>
      <c r="S701" s="147"/>
      <c r="T701" s="147"/>
      <c r="U701" s="147"/>
      <c r="V701" s="147"/>
      <c r="W701" s="147"/>
      <c r="X701" s="147"/>
      <c r="Y701" s="147"/>
      <c r="Z701" s="147"/>
      <c r="AA701" s="147"/>
      <c r="AB701" s="147"/>
      <c r="AC701" s="147"/>
      <c r="AD701" s="147"/>
      <c r="AE701" s="147"/>
      <c r="AF701" s="147"/>
      <c r="AG701" s="147"/>
      <c r="AH701" s="147"/>
      <c r="AI701" s="147"/>
      <c r="AJ701" s="147"/>
      <c r="AK701" s="147"/>
      <c r="AL701" s="147"/>
      <c r="AM701" s="151"/>
      <c r="AN701" s="147"/>
      <c r="AO701" s="147"/>
      <c r="AP701" s="147"/>
      <c r="AQ701" s="147"/>
      <c r="AR701" s="147"/>
      <c r="AS701" s="147"/>
      <c r="AT701" s="147"/>
      <c r="AU701" s="147"/>
      <c r="AV701" s="147"/>
      <c r="AW701" s="147"/>
      <c r="AX701" s="147"/>
      <c r="AY701" s="147"/>
      <c r="AZ701" s="147"/>
      <c r="BA701" s="147"/>
      <c r="BB701" s="147"/>
      <c r="BC701" s="147"/>
      <c r="BD701" s="147"/>
      <c r="BE701" s="147"/>
      <c r="BF701" s="147"/>
      <c r="BG701" s="147"/>
      <c r="BH701" s="147"/>
      <c r="BI701" s="147"/>
      <c r="BJ701" s="147"/>
      <c r="BK701" s="147"/>
      <c r="BL701" s="147"/>
      <c r="BM701" s="147"/>
      <c r="BN701" s="147"/>
      <c r="BO701" s="147"/>
      <c r="BP701" s="147"/>
      <c r="BQ701" s="147"/>
      <c r="BR701" s="147"/>
      <c r="BS701" s="147"/>
      <c r="BT701" s="147"/>
      <c r="BU701" s="147"/>
      <c r="BV701" s="147"/>
      <c r="BW701" s="147"/>
      <c r="BX701" s="147"/>
      <c r="BY701" s="147"/>
      <c r="BZ701" s="147"/>
      <c r="CA701" s="147"/>
      <c r="CB701" s="147"/>
      <c r="CC701" s="147"/>
      <c r="CD701" s="147"/>
      <c r="CE701" s="147"/>
      <c r="CF701" s="147"/>
      <c r="CG701" s="147"/>
      <c r="CH701" s="147"/>
      <c r="CI701" s="147"/>
      <c r="CJ701" s="147"/>
      <c r="CK701" s="147"/>
    </row>
    <row r="702" spans="1:89">
      <c r="A702" s="157"/>
      <c r="F702" s="3"/>
      <c r="G702" s="3"/>
      <c r="L702" s="157"/>
      <c r="M702" s="157"/>
      <c r="O702" s="147"/>
      <c r="P702" s="147"/>
      <c r="Q702" s="147"/>
      <c r="R702" s="147"/>
      <c r="S702" s="147"/>
      <c r="T702" s="147"/>
      <c r="U702" s="147"/>
      <c r="V702" s="147"/>
      <c r="W702" s="147"/>
      <c r="X702" s="147"/>
      <c r="Y702" s="147"/>
      <c r="Z702" s="147"/>
      <c r="AA702" s="147"/>
      <c r="AB702" s="147"/>
      <c r="AC702" s="147"/>
      <c r="AD702" s="147"/>
      <c r="AE702" s="147"/>
      <c r="AF702" s="147"/>
      <c r="AG702" s="147"/>
      <c r="AH702" s="147"/>
      <c r="AI702" s="147"/>
      <c r="AJ702" s="147"/>
      <c r="AK702" s="147"/>
      <c r="AL702" s="147"/>
      <c r="AM702" s="151"/>
      <c r="AN702" s="147"/>
      <c r="AO702" s="147"/>
      <c r="AP702" s="147"/>
      <c r="AQ702" s="147"/>
      <c r="AR702" s="147"/>
      <c r="AS702" s="147"/>
      <c r="AT702" s="147"/>
      <c r="AU702" s="147"/>
      <c r="AV702" s="147"/>
      <c r="AW702" s="147"/>
      <c r="AX702" s="147"/>
      <c r="AY702" s="147"/>
      <c r="AZ702" s="147"/>
      <c r="BA702" s="147"/>
      <c r="BB702" s="147"/>
      <c r="BC702" s="147"/>
      <c r="BD702" s="147"/>
      <c r="BE702" s="147"/>
      <c r="BF702" s="147"/>
      <c r="BG702" s="147"/>
      <c r="BH702" s="147"/>
      <c r="BI702" s="147"/>
      <c r="BJ702" s="147"/>
      <c r="BK702" s="147"/>
      <c r="BL702" s="147"/>
      <c r="BM702" s="147"/>
      <c r="BN702" s="147"/>
      <c r="BO702" s="147"/>
      <c r="BP702" s="147"/>
      <c r="BQ702" s="147"/>
      <c r="BR702" s="147"/>
      <c r="BS702" s="147"/>
      <c r="BT702" s="147"/>
      <c r="BU702" s="147"/>
      <c r="BV702" s="147"/>
      <c r="BW702" s="147"/>
      <c r="BX702" s="147"/>
      <c r="BY702" s="147"/>
      <c r="BZ702" s="147"/>
      <c r="CA702" s="147"/>
      <c r="CB702" s="147"/>
      <c r="CC702" s="147"/>
      <c r="CD702" s="147"/>
      <c r="CE702" s="147"/>
      <c r="CF702" s="147"/>
      <c r="CG702" s="147"/>
      <c r="CH702" s="147"/>
      <c r="CI702" s="147"/>
      <c r="CJ702" s="147"/>
      <c r="CK702" s="147"/>
    </row>
    <row r="703" spans="1:89">
      <c r="A703" s="157"/>
      <c r="F703" s="3"/>
      <c r="G703" s="3"/>
      <c r="L703" s="157"/>
      <c r="M703" s="157"/>
      <c r="O703" s="147"/>
      <c r="P703" s="147"/>
      <c r="Q703" s="147"/>
      <c r="R703" s="147"/>
      <c r="S703" s="147"/>
      <c r="T703" s="147"/>
      <c r="U703" s="147"/>
      <c r="V703" s="147"/>
      <c r="W703" s="147"/>
      <c r="X703" s="147"/>
      <c r="Y703" s="147"/>
      <c r="Z703" s="147"/>
      <c r="AA703" s="147"/>
      <c r="AB703" s="147"/>
      <c r="AC703" s="147"/>
      <c r="AD703" s="147"/>
      <c r="AE703" s="147"/>
      <c r="AF703" s="147"/>
      <c r="AG703" s="147"/>
      <c r="AH703" s="147"/>
      <c r="AI703" s="147"/>
      <c r="AJ703" s="147"/>
      <c r="AK703" s="147"/>
      <c r="AL703" s="147"/>
      <c r="AM703" s="151"/>
      <c r="AN703" s="147"/>
      <c r="AO703" s="147"/>
      <c r="AP703" s="147"/>
      <c r="AQ703" s="147"/>
      <c r="AR703" s="147"/>
      <c r="AS703" s="147"/>
      <c r="AT703" s="147"/>
      <c r="AU703" s="147"/>
      <c r="AV703" s="147"/>
      <c r="AW703" s="147"/>
      <c r="AX703" s="147"/>
      <c r="AY703" s="147"/>
      <c r="AZ703" s="147"/>
      <c r="BA703" s="147"/>
      <c r="BB703" s="147"/>
      <c r="BC703" s="147"/>
      <c r="BD703" s="147"/>
      <c r="BE703" s="147"/>
      <c r="BF703" s="147"/>
      <c r="BG703" s="147"/>
      <c r="BH703" s="147"/>
      <c r="BI703" s="147"/>
      <c r="BJ703" s="147"/>
      <c r="BK703" s="147"/>
      <c r="BL703" s="147"/>
      <c r="BM703" s="147"/>
      <c r="BN703" s="147"/>
      <c r="BO703" s="147"/>
      <c r="BP703" s="147"/>
      <c r="BQ703" s="147"/>
      <c r="BR703" s="147"/>
      <c r="BS703" s="147"/>
      <c r="BT703" s="147"/>
      <c r="BU703" s="147"/>
      <c r="BV703" s="147"/>
      <c r="BW703" s="147"/>
      <c r="BX703" s="147"/>
      <c r="BY703" s="147"/>
      <c r="BZ703" s="147"/>
      <c r="CA703" s="147"/>
      <c r="CB703" s="147"/>
      <c r="CC703" s="147"/>
      <c r="CD703" s="147"/>
      <c r="CE703" s="147"/>
      <c r="CF703" s="147"/>
      <c r="CG703" s="147"/>
      <c r="CH703" s="147"/>
      <c r="CI703" s="147"/>
      <c r="CJ703" s="147"/>
      <c r="CK703" s="147"/>
    </row>
    <row r="704" spans="1:89">
      <c r="A704" s="157"/>
      <c r="F704" s="3"/>
      <c r="G704" s="3"/>
      <c r="L704" s="157"/>
      <c r="M704" s="157"/>
      <c r="O704" s="147"/>
      <c r="P704" s="147"/>
      <c r="Q704" s="147"/>
      <c r="R704" s="147"/>
      <c r="S704" s="147"/>
      <c r="T704" s="147"/>
      <c r="U704" s="147"/>
      <c r="V704" s="147"/>
      <c r="W704" s="147"/>
      <c r="X704" s="147"/>
      <c r="Y704" s="147"/>
      <c r="Z704" s="147"/>
      <c r="AA704" s="147"/>
      <c r="AB704" s="147"/>
      <c r="AC704" s="147"/>
      <c r="AD704" s="147"/>
      <c r="AE704" s="147"/>
      <c r="AF704" s="147"/>
      <c r="AG704" s="147"/>
      <c r="AH704" s="147"/>
      <c r="AI704" s="147"/>
      <c r="AJ704" s="147"/>
      <c r="AK704" s="147"/>
      <c r="AL704" s="147"/>
      <c r="AM704" s="151"/>
      <c r="AN704" s="147"/>
      <c r="AO704" s="147"/>
      <c r="AP704" s="147"/>
      <c r="AQ704" s="147"/>
      <c r="AR704" s="147"/>
      <c r="AS704" s="147"/>
      <c r="AT704" s="147"/>
      <c r="AU704" s="147"/>
      <c r="AV704" s="147"/>
      <c r="AW704" s="147"/>
      <c r="AX704" s="147"/>
      <c r="AY704" s="147"/>
      <c r="AZ704" s="147"/>
      <c r="BA704" s="147"/>
      <c r="BB704" s="147"/>
      <c r="BC704" s="147"/>
      <c r="BD704" s="147"/>
      <c r="BE704" s="147"/>
      <c r="BF704" s="147"/>
      <c r="BG704" s="147"/>
      <c r="BH704" s="147"/>
      <c r="BI704" s="147"/>
      <c r="BJ704" s="147"/>
      <c r="BK704" s="147"/>
      <c r="BL704" s="147"/>
      <c r="BM704" s="147"/>
      <c r="BN704" s="147"/>
      <c r="BO704" s="147"/>
      <c r="BP704" s="147"/>
      <c r="BQ704" s="147"/>
      <c r="BR704" s="147"/>
      <c r="BS704" s="147"/>
      <c r="BT704" s="147"/>
      <c r="BU704" s="147"/>
      <c r="BV704" s="147"/>
      <c r="BW704" s="147"/>
      <c r="BX704" s="147"/>
      <c r="BY704" s="147"/>
      <c r="BZ704" s="147"/>
      <c r="CA704" s="147"/>
      <c r="CB704" s="147"/>
      <c r="CC704" s="147"/>
      <c r="CD704" s="147"/>
      <c r="CE704" s="147"/>
      <c r="CF704" s="147"/>
      <c r="CG704" s="147"/>
      <c r="CH704" s="147"/>
      <c r="CI704" s="147"/>
      <c r="CJ704" s="147"/>
      <c r="CK704" s="147"/>
    </row>
    <row r="705" spans="1:89">
      <c r="A705" s="157"/>
      <c r="F705" s="3"/>
      <c r="G705" s="3"/>
      <c r="L705" s="157"/>
      <c r="M705" s="157"/>
      <c r="O705" s="147"/>
      <c r="P705" s="147"/>
      <c r="Q705" s="147"/>
      <c r="R705" s="147"/>
      <c r="S705" s="147"/>
      <c r="T705" s="147"/>
      <c r="U705" s="147"/>
      <c r="V705" s="147"/>
      <c r="W705" s="147"/>
      <c r="X705" s="147"/>
      <c r="Y705" s="147"/>
      <c r="Z705" s="147"/>
      <c r="AA705" s="147"/>
      <c r="AB705" s="147"/>
      <c r="AC705" s="147"/>
      <c r="AD705" s="147"/>
      <c r="AE705" s="147"/>
      <c r="AF705" s="147"/>
      <c r="AG705" s="147"/>
      <c r="AH705" s="147"/>
      <c r="AI705" s="147"/>
      <c r="AJ705" s="147"/>
      <c r="AK705" s="147"/>
      <c r="AL705" s="147"/>
      <c r="AM705" s="151"/>
      <c r="AN705" s="147"/>
      <c r="AO705" s="147"/>
      <c r="AP705" s="147"/>
      <c r="AQ705" s="147"/>
      <c r="AR705" s="147"/>
      <c r="AS705" s="147"/>
      <c r="AT705" s="147"/>
      <c r="AU705" s="147"/>
      <c r="AV705" s="147"/>
      <c r="AW705" s="147"/>
      <c r="AX705" s="147"/>
      <c r="AY705" s="147"/>
      <c r="AZ705" s="147"/>
      <c r="BA705" s="147"/>
      <c r="BB705" s="147"/>
      <c r="BC705" s="147"/>
      <c r="BD705" s="147"/>
      <c r="BE705" s="147"/>
      <c r="BF705" s="147"/>
      <c r="BG705" s="147"/>
      <c r="BH705" s="147"/>
      <c r="BI705" s="147"/>
      <c r="BJ705" s="147"/>
      <c r="BK705" s="147"/>
      <c r="BL705" s="147"/>
      <c r="BM705" s="147"/>
      <c r="BN705" s="147"/>
      <c r="BO705" s="147"/>
      <c r="BP705" s="147"/>
      <c r="BQ705" s="147"/>
      <c r="BR705" s="147"/>
      <c r="BS705" s="147"/>
      <c r="BT705" s="147"/>
      <c r="BU705" s="147"/>
      <c r="BV705" s="147"/>
      <c r="BW705" s="147"/>
      <c r="BX705" s="147"/>
      <c r="BY705" s="147"/>
      <c r="BZ705" s="147"/>
      <c r="CA705" s="147"/>
      <c r="CB705" s="147"/>
      <c r="CC705" s="147"/>
      <c r="CD705" s="147"/>
      <c r="CE705" s="147"/>
      <c r="CF705" s="147"/>
      <c r="CG705" s="147"/>
      <c r="CH705" s="147"/>
      <c r="CI705" s="147"/>
      <c r="CJ705" s="147"/>
      <c r="CK705" s="147"/>
    </row>
    <row r="706" spans="1:89">
      <c r="A706" s="157"/>
      <c r="F706" s="3"/>
      <c r="G706" s="3"/>
      <c r="L706" s="157"/>
      <c r="M706" s="157"/>
      <c r="O706" s="147"/>
      <c r="P706" s="147"/>
      <c r="Q706" s="147"/>
      <c r="R706" s="147"/>
      <c r="S706" s="147"/>
      <c r="T706" s="147"/>
      <c r="U706" s="147"/>
      <c r="V706" s="147"/>
      <c r="W706" s="147"/>
      <c r="X706" s="147"/>
      <c r="Y706" s="147"/>
      <c r="Z706" s="147"/>
      <c r="AA706" s="147"/>
      <c r="AB706" s="147"/>
      <c r="AC706" s="147"/>
      <c r="AD706" s="147"/>
      <c r="AE706" s="147"/>
      <c r="AF706" s="147"/>
      <c r="AG706" s="147"/>
      <c r="AH706" s="147"/>
      <c r="AI706" s="147"/>
      <c r="AJ706" s="147"/>
      <c r="AK706" s="147"/>
      <c r="AL706" s="147"/>
      <c r="AM706" s="151"/>
      <c r="AN706" s="147"/>
      <c r="AO706" s="147"/>
      <c r="AP706" s="147"/>
      <c r="AQ706" s="147"/>
      <c r="AR706" s="147"/>
      <c r="AS706" s="147"/>
      <c r="AT706" s="147"/>
      <c r="AU706" s="147"/>
      <c r="AV706" s="147"/>
      <c r="AW706" s="147"/>
      <c r="AX706" s="147"/>
      <c r="AY706" s="147"/>
      <c r="AZ706" s="147"/>
      <c r="BA706" s="147"/>
      <c r="BB706" s="147"/>
      <c r="BC706" s="147"/>
      <c r="BD706" s="147"/>
      <c r="BE706" s="147"/>
      <c r="BF706" s="147"/>
      <c r="BG706" s="147"/>
      <c r="BH706" s="147"/>
      <c r="BI706" s="147"/>
      <c r="BJ706" s="147"/>
      <c r="BK706" s="147"/>
      <c r="BL706" s="147"/>
      <c r="BM706" s="147"/>
      <c r="BN706" s="147"/>
      <c r="BO706" s="147"/>
      <c r="BP706" s="147"/>
      <c r="BQ706" s="147"/>
      <c r="BR706" s="147"/>
      <c r="BS706" s="147"/>
      <c r="BT706" s="147"/>
      <c r="BU706" s="147"/>
      <c r="BV706" s="147"/>
      <c r="BW706" s="147"/>
      <c r="BX706" s="147"/>
      <c r="BY706" s="147"/>
      <c r="BZ706" s="147"/>
      <c r="CA706" s="147"/>
      <c r="CB706" s="147"/>
      <c r="CC706" s="147"/>
      <c r="CD706" s="147"/>
      <c r="CE706" s="147"/>
      <c r="CF706" s="147"/>
      <c r="CG706" s="147"/>
      <c r="CH706" s="147"/>
      <c r="CI706" s="147"/>
      <c r="CJ706" s="147"/>
      <c r="CK706" s="147"/>
    </row>
    <row r="707" spans="1:89">
      <c r="A707" s="157"/>
      <c r="F707" s="3"/>
      <c r="G707" s="3"/>
      <c r="L707" s="157"/>
      <c r="M707" s="157"/>
      <c r="O707" s="147"/>
      <c r="P707" s="147"/>
      <c r="Q707" s="147"/>
      <c r="R707" s="147"/>
      <c r="S707" s="147"/>
      <c r="T707" s="147"/>
      <c r="U707" s="147"/>
      <c r="V707" s="147"/>
      <c r="W707" s="147"/>
      <c r="X707" s="147"/>
      <c r="Y707" s="147"/>
      <c r="Z707" s="147"/>
      <c r="AA707" s="147"/>
      <c r="AB707" s="147"/>
      <c r="AC707" s="147"/>
      <c r="AD707" s="147"/>
      <c r="AE707" s="147"/>
      <c r="AF707" s="147"/>
      <c r="AG707" s="147"/>
      <c r="AH707" s="147"/>
      <c r="AI707" s="147"/>
      <c r="AJ707" s="147"/>
      <c r="AK707" s="147"/>
      <c r="AL707" s="147"/>
      <c r="AM707" s="151"/>
      <c r="AN707" s="147"/>
      <c r="AO707" s="147"/>
      <c r="AP707" s="147"/>
      <c r="AQ707" s="147"/>
      <c r="AR707" s="147"/>
      <c r="AS707" s="147"/>
      <c r="AT707" s="147"/>
      <c r="AU707" s="147"/>
      <c r="AV707" s="147"/>
      <c r="AW707" s="147"/>
      <c r="AX707" s="147"/>
      <c r="AY707" s="147"/>
      <c r="AZ707" s="147"/>
      <c r="BA707" s="147"/>
      <c r="BB707" s="147"/>
      <c r="BC707" s="147"/>
      <c r="BD707" s="147"/>
      <c r="BE707" s="147"/>
      <c r="BF707" s="147"/>
      <c r="BG707" s="147"/>
      <c r="BH707" s="147"/>
      <c r="BI707" s="147"/>
      <c r="BJ707" s="147"/>
      <c r="BK707" s="147"/>
      <c r="BL707" s="147"/>
      <c r="BM707" s="147"/>
      <c r="BN707" s="147"/>
      <c r="BO707" s="147"/>
      <c r="BP707" s="147"/>
      <c r="BQ707" s="147"/>
      <c r="BR707" s="147"/>
      <c r="BS707" s="147"/>
      <c r="BT707" s="147"/>
      <c r="BU707" s="147"/>
      <c r="BV707" s="147"/>
      <c r="BW707" s="147"/>
      <c r="BX707" s="147"/>
      <c r="BY707" s="147"/>
      <c r="BZ707" s="147"/>
      <c r="CA707" s="147"/>
      <c r="CB707" s="147"/>
      <c r="CC707" s="147"/>
      <c r="CD707" s="147"/>
      <c r="CE707" s="147"/>
      <c r="CF707" s="147"/>
      <c r="CG707" s="147"/>
      <c r="CH707" s="147"/>
      <c r="CI707" s="147"/>
      <c r="CJ707" s="147"/>
      <c r="CK707" s="147"/>
    </row>
    <row r="708" spans="1:89">
      <c r="A708" s="157"/>
      <c r="F708" s="3"/>
      <c r="G708" s="3"/>
      <c r="L708" s="157"/>
      <c r="M708" s="157"/>
      <c r="O708" s="147"/>
      <c r="P708" s="147"/>
      <c r="Q708" s="147"/>
      <c r="R708" s="147"/>
      <c r="S708" s="147"/>
      <c r="T708" s="147"/>
      <c r="U708" s="147"/>
      <c r="V708" s="147"/>
      <c r="W708" s="147"/>
      <c r="X708" s="147"/>
      <c r="Y708" s="147"/>
      <c r="Z708" s="147"/>
      <c r="AA708" s="147"/>
      <c r="AB708" s="147"/>
      <c r="AC708" s="147"/>
      <c r="AD708" s="147"/>
      <c r="AE708" s="147"/>
      <c r="AF708" s="147"/>
      <c r="AG708" s="147"/>
      <c r="AH708" s="147"/>
      <c r="AI708" s="147"/>
      <c r="AJ708" s="147"/>
      <c r="AK708" s="147"/>
      <c r="AL708" s="147"/>
      <c r="AM708" s="151"/>
      <c r="AN708" s="147"/>
      <c r="AO708" s="147"/>
      <c r="AP708" s="147"/>
      <c r="AQ708" s="147"/>
      <c r="AR708" s="147"/>
      <c r="AS708" s="147"/>
      <c r="AT708" s="147"/>
      <c r="AU708" s="147"/>
      <c r="AV708" s="147"/>
      <c r="AW708" s="147"/>
      <c r="AX708" s="147"/>
      <c r="AY708" s="147"/>
      <c r="AZ708" s="147"/>
      <c r="BA708" s="147"/>
      <c r="BB708" s="147"/>
      <c r="BC708" s="147"/>
      <c r="BD708" s="147"/>
      <c r="BE708" s="147"/>
      <c r="BF708" s="147"/>
      <c r="BG708" s="147"/>
      <c r="BH708" s="147"/>
      <c r="BI708" s="147"/>
      <c r="BJ708" s="147"/>
      <c r="BK708" s="147"/>
      <c r="BL708" s="147"/>
      <c r="BM708" s="147"/>
      <c r="BN708" s="147"/>
      <c r="BO708" s="147"/>
      <c r="BP708" s="147"/>
      <c r="BQ708" s="147"/>
      <c r="BR708" s="147"/>
      <c r="BS708" s="147"/>
      <c r="BT708" s="147"/>
      <c r="BU708" s="147"/>
      <c r="BV708" s="147"/>
      <c r="BW708" s="147"/>
      <c r="BX708" s="147"/>
      <c r="BY708" s="147"/>
      <c r="BZ708" s="147"/>
      <c r="CA708" s="147"/>
      <c r="CB708" s="147"/>
      <c r="CC708" s="147"/>
      <c r="CD708" s="147"/>
      <c r="CE708" s="147"/>
      <c r="CF708" s="147"/>
      <c r="CG708" s="147"/>
      <c r="CH708" s="147"/>
      <c r="CI708" s="147"/>
      <c r="CJ708" s="147"/>
      <c r="CK708" s="147"/>
    </row>
    <row r="709" spans="1:89">
      <c r="A709" s="157"/>
      <c r="F709" s="3"/>
      <c r="G709" s="3"/>
      <c r="L709" s="157"/>
      <c r="M709" s="157"/>
      <c r="O709" s="147"/>
      <c r="P709" s="147"/>
      <c r="Q709" s="147"/>
      <c r="R709" s="147"/>
      <c r="S709" s="147"/>
      <c r="T709" s="147"/>
      <c r="U709" s="147"/>
      <c r="V709" s="147"/>
      <c r="W709" s="147"/>
      <c r="X709" s="147"/>
      <c r="Y709" s="147"/>
      <c r="Z709" s="147"/>
      <c r="AA709" s="147"/>
      <c r="AB709" s="147"/>
      <c r="AC709" s="147"/>
      <c r="AD709" s="147"/>
      <c r="AE709" s="147"/>
      <c r="AF709" s="147"/>
      <c r="AG709" s="147"/>
      <c r="AH709" s="147"/>
      <c r="AI709" s="147"/>
      <c r="AJ709" s="147"/>
      <c r="AK709" s="147"/>
      <c r="AL709" s="147"/>
      <c r="AM709" s="151"/>
      <c r="AN709" s="147"/>
      <c r="AO709" s="147"/>
      <c r="AP709" s="147"/>
      <c r="AQ709" s="147"/>
      <c r="AR709" s="147"/>
      <c r="AS709" s="147"/>
      <c r="AT709" s="147"/>
      <c r="AU709" s="147"/>
      <c r="AV709" s="147"/>
      <c r="AW709" s="147"/>
      <c r="AX709" s="147"/>
      <c r="AY709" s="147"/>
      <c r="AZ709" s="147"/>
      <c r="BA709" s="147"/>
      <c r="BB709" s="147"/>
      <c r="BC709" s="147"/>
      <c r="BD709" s="147"/>
      <c r="BE709" s="147"/>
      <c r="BF709" s="147"/>
      <c r="BG709" s="147"/>
      <c r="BH709" s="147"/>
      <c r="BI709" s="147"/>
      <c r="BJ709" s="147"/>
      <c r="BK709" s="147"/>
      <c r="BL709" s="147"/>
      <c r="BM709" s="147"/>
      <c r="BN709" s="147"/>
      <c r="BO709" s="147"/>
      <c r="BP709" s="147"/>
      <c r="BQ709" s="147"/>
      <c r="BR709" s="147"/>
      <c r="BS709" s="147"/>
      <c r="BT709" s="147"/>
      <c r="BU709" s="147"/>
      <c r="BV709" s="147"/>
      <c r="BW709" s="147"/>
      <c r="BX709" s="147"/>
      <c r="BY709" s="147"/>
      <c r="BZ709" s="147"/>
      <c r="CA709" s="147"/>
      <c r="CB709" s="147"/>
      <c r="CC709" s="147"/>
      <c r="CD709" s="147"/>
      <c r="CE709" s="147"/>
      <c r="CF709" s="147"/>
      <c r="CG709" s="147"/>
      <c r="CH709" s="147"/>
      <c r="CI709" s="147"/>
      <c r="CJ709" s="147"/>
      <c r="CK709" s="147"/>
    </row>
    <row r="710" spans="1:89">
      <c r="A710" s="157"/>
      <c r="F710" s="3"/>
      <c r="G710" s="3"/>
      <c r="L710" s="157"/>
      <c r="M710" s="157"/>
      <c r="O710" s="147"/>
      <c r="P710" s="147"/>
      <c r="Q710" s="147"/>
      <c r="R710" s="147"/>
      <c r="S710" s="147"/>
      <c r="T710" s="147"/>
      <c r="U710" s="147"/>
      <c r="V710" s="147"/>
      <c r="W710" s="147"/>
      <c r="X710" s="147"/>
      <c r="Y710" s="147"/>
      <c r="Z710" s="147"/>
      <c r="AA710" s="147"/>
      <c r="AB710" s="147"/>
      <c r="AC710" s="147"/>
      <c r="AD710" s="147"/>
      <c r="AE710" s="147"/>
      <c r="AF710" s="147"/>
      <c r="AG710" s="147"/>
      <c r="AH710" s="147"/>
      <c r="AI710" s="147"/>
      <c r="AJ710" s="147"/>
      <c r="AK710" s="147"/>
      <c r="AL710" s="147"/>
      <c r="AM710" s="151"/>
      <c r="AN710" s="147"/>
      <c r="AO710" s="147"/>
      <c r="AP710" s="147"/>
      <c r="AQ710" s="147"/>
      <c r="AR710" s="147"/>
      <c r="AS710" s="147"/>
      <c r="AT710" s="147"/>
      <c r="AU710" s="147"/>
      <c r="AV710" s="147"/>
      <c r="AW710" s="147"/>
      <c r="AX710" s="147"/>
      <c r="AY710" s="147"/>
      <c r="AZ710" s="147"/>
      <c r="BA710" s="147"/>
      <c r="BB710" s="147"/>
      <c r="BC710" s="147"/>
      <c r="BD710" s="147"/>
      <c r="BE710" s="147"/>
      <c r="BF710" s="147"/>
      <c r="BG710" s="147"/>
      <c r="BH710" s="147"/>
      <c r="BI710" s="147"/>
      <c r="BJ710" s="147"/>
      <c r="BK710" s="147"/>
      <c r="BL710" s="147"/>
      <c r="BM710" s="147"/>
      <c r="BN710" s="147"/>
      <c r="BO710" s="147"/>
      <c r="BP710" s="147"/>
      <c r="BQ710" s="147"/>
      <c r="BR710" s="147"/>
      <c r="BS710" s="147"/>
      <c r="BT710" s="147"/>
      <c r="BU710" s="147"/>
      <c r="BV710" s="147"/>
      <c r="BW710" s="147"/>
      <c r="BX710" s="147"/>
      <c r="BY710" s="147"/>
      <c r="BZ710" s="147"/>
      <c r="CA710" s="147"/>
      <c r="CB710" s="147"/>
      <c r="CC710" s="147"/>
      <c r="CD710" s="147"/>
      <c r="CE710" s="147"/>
      <c r="CF710" s="147"/>
      <c r="CG710" s="147"/>
      <c r="CH710" s="147"/>
      <c r="CI710" s="147"/>
      <c r="CJ710" s="147"/>
      <c r="CK710" s="147"/>
    </row>
    <row r="711" spans="1:89">
      <c r="A711" s="157"/>
      <c r="F711" s="3"/>
      <c r="G711" s="3"/>
      <c r="L711" s="157"/>
      <c r="M711" s="157"/>
      <c r="O711" s="147"/>
      <c r="P711" s="147"/>
      <c r="Q711" s="147"/>
      <c r="R711" s="147"/>
      <c r="S711" s="147"/>
      <c r="T711" s="147"/>
      <c r="U711" s="147"/>
      <c r="V711" s="147"/>
      <c r="W711" s="147"/>
      <c r="X711" s="147"/>
      <c r="Y711" s="147"/>
      <c r="Z711" s="147"/>
      <c r="AA711" s="147"/>
      <c r="AB711" s="147"/>
      <c r="AC711" s="147"/>
      <c r="AD711" s="147"/>
      <c r="AE711" s="147"/>
      <c r="AF711" s="147"/>
      <c r="AG711" s="147"/>
      <c r="AH711" s="147"/>
      <c r="AI711" s="147"/>
      <c r="AJ711" s="147"/>
      <c r="AK711" s="147"/>
      <c r="AL711" s="147"/>
      <c r="AM711" s="151"/>
      <c r="AN711" s="147"/>
      <c r="AO711" s="147"/>
      <c r="AP711" s="147"/>
      <c r="AQ711" s="147"/>
      <c r="AR711" s="147"/>
      <c r="AS711" s="147"/>
      <c r="AT711" s="147"/>
      <c r="AU711" s="147"/>
      <c r="AV711" s="147"/>
      <c r="AW711" s="147"/>
      <c r="AX711" s="147"/>
      <c r="AY711" s="147"/>
      <c r="AZ711" s="147"/>
      <c r="BA711" s="147"/>
      <c r="BB711" s="147"/>
      <c r="BC711" s="147"/>
      <c r="BD711" s="147"/>
      <c r="BE711" s="147"/>
      <c r="BF711" s="147"/>
      <c r="BG711" s="147"/>
      <c r="BH711" s="147"/>
      <c r="BI711" s="147"/>
      <c r="BJ711" s="147"/>
      <c r="BK711" s="147"/>
      <c r="BL711" s="147"/>
      <c r="BM711" s="147"/>
      <c r="BN711" s="147"/>
      <c r="BO711" s="147"/>
      <c r="BP711" s="147"/>
      <c r="BQ711" s="147"/>
      <c r="BR711" s="147"/>
      <c r="BS711" s="147"/>
      <c r="BT711" s="147"/>
      <c r="BU711" s="147"/>
      <c r="BV711" s="147"/>
      <c r="BW711" s="147"/>
      <c r="BX711" s="147"/>
      <c r="BY711" s="147"/>
      <c r="BZ711" s="147"/>
      <c r="CA711" s="147"/>
      <c r="CB711" s="147"/>
      <c r="CC711" s="147"/>
      <c r="CD711" s="147"/>
      <c r="CE711" s="147"/>
      <c r="CF711" s="147"/>
      <c r="CG711" s="147"/>
      <c r="CH711" s="147"/>
      <c r="CI711" s="147"/>
      <c r="CJ711" s="147"/>
      <c r="CK711" s="147"/>
    </row>
    <row r="712" spans="1:89">
      <c r="A712" s="157"/>
      <c r="F712" s="3"/>
      <c r="G712" s="3"/>
      <c r="L712" s="157"/>
      <c r="M712" s="157"/>
      <c r="O712" s="147"/>
      <c r="P712" s="147"/>
      <c r="Q712" s="147"/>
      <c r="R712" s="147"/>
      <c r="S712" s="147"/>
      <c r="T712" s="147"/>
      <c r="U712" s="147"/>
      <c r="V712" s="147"/>
      <c r="W712" s="147"/>
      <c r="X712" s="147"/>
      <c r="Y712" s="147"/>
      <c r="Z712" s="147"/>
      <c r="AA712" s="147"/>
      <c r="AB712" s="147"/>
      <c r="AC712" s="147"/>
      <c r="AD712" s="147"/>
      <c r="AE712" s="147"/>
      <c r="AF712" s="147"/>
      <c r="AG712" s="147"/>
      <c r="AH712" s="147"/>
      <c r="AI712" s="147"/>
      <c r="AJ712" s="147"/>
      <c r="AK712" s="147"/>
      <c r="AL712" s="147"/>
      <c r="AM712" s="151"/>
      <c r="AN712" s="147"/>
      <c r="AO712" s="147"/>
      <c r="AP712" s="147"/>
      <c r="AQ712" s="147"/>
      <c r="AR712" s="147"/>
      <c r="AS712" s="147"/>
      <c r="AT712" s="147"/>
      <c r="AU712" s="147"/>
      <c r="AV712" s="147"/>
      <c r="AW712" s="147"/>
      <c r="AX712" s="147"/>
      <c r="AY712" s="147"/>
      <c r="AZ712" s="147"/>
      <c r="BA712" s="147"/>
      <c r="BB712" s="147"/>
      <c r="BC712" s="147"/>
      <c r="BD712" s="147"/>
      <c r="BE712" s="147"/>
      <c r="BF712" s="147"/>
      <c r="BG712" s="147"/>
      <c r="BH712" s="147"/>
      <c r="BI712" s="147"/>
      <c r="BJ712" s="147"/>
      <c r="BK712" s="147"/>
      <c r="BL712" s="147"/>
      <c r="BM712" s="147"/>
      <c r="BN712" s="147"/>
      <c r="BO712" s="147"/>
      <c r="BP712" s="147"/>
      <c r="BQ712" s="147"/>
      <c r="BR712" s="147"/>
      <c r="BS712" s="147"/>
      <c r="BT712" s="147"/>
      <c r="BU712" s="147"/>
      <c r="BV712" s="147"/>
      <c r="BW712" s="147"/>
      <c r="BX712" s="147"/>
      <c r="BY712" s="147"/>
      <c r="BZ712" s="147"/>
      <c r="CA712" s="147"/>
      <c r="CB712" s="147"/>
      <c r="CC712" s="147"/>
      <c r="CD712" s="147"/>
      <c r="CE712" s="147"/>
      <c r="CF712" s="147"/>
      <c r="CG712" s="147"/>
      <c r="CH712" s="147"/>
      <c r="CI712" s="147"/>
      <c r="CJ712" s="147"/>
      <c r="CK712" s="147"/>
    </row>
    <row r="713" spans="1:89">
      <c r="A713" s="157"/>
      <c r="F713" s="3"/>
      <c r="G713" s="3"/>
      <c r="L713" s="157"/>
      <c r="M713" s="157"/>
      <c r="O713" s="147"/>
      <c r="P713" s="147"/>
      <c r="Q713" s="147"/>
      <c r="R713" s="147"/>
      <c r="S713" s="147"/>
      <c r="T713" s="147"/>
      <c r="U713" s="147"/>
      <c r="V713" s="147"/>
      <c r="W713" s="147"/>
      <c r="X713" s="147"/>
      <c r="Y713" s="147"/>
      <c r="Z713" s="147"/>
      <c r="AA713" s="147"/>
      <c r="AB713" s="147"/>
      <c r="AC713" s="147"/>
      <c r="AD713" s="147"/>
      <c r="AE713" s="147"/>
      <c r="AF713" s="147"/>
      <c r="AG713" s="147"/>
      <c r="AH713" s="147"/>
      <c r="AI713" s="147"/>
      <c r="AJ713" s="147"/>
      <c r="AK713" s="147"/>
      <c r="AL713" s="147"/>
      <c r="AM713" s="151"/>
      <c r="AN713" s="147"/>
      <c r="AO713" s="147"/>
      <c r="AP713" s="147"/>
      <c r="AQ713" s="147"/>
      <c r="AR713" s="147"/>
      <c r="AS713" s="147"/>
      <c r="AT713" s="147"/>
      <c r="AU713" s="147"/>
      <c r="AV713" s="147"/>
      <c r="AW713" s="147"/>
      <c r="AX713" s="147"/>
      <c r="AY713" s="147"/>
      <c r="AZ713" s="147"/>
      <c r="BA713" s="147"/>
      <c r="BB713" s="147"/>
      <c r="BC713" s="147"/>
      <c r="BD713" s="147"/>
      <c r="BE713" s="147"/>
      <c r="BF713" s="147"/>
      <c r="BG713" s="147"/>
      <c r="BH713" s="147"/>
      <c r="BI713" s="147"/>
      <c r="BJ713" s="147"/>
      <c r="BK713" s="147"/>
      <c r="BL713" s="147"/>
      <c r="BM713" s="147"/>
      <c r="BN713" s="147"/>
      <c r="BO713" s="147"/>
      <c r="BP713" s="147"/>
      <c r="BQ713" s="147"/>
      <c r="BR713" s="147"/>
      <c r="BS713" s="147"/>
      <c r="BT713" s="147"/>
      <c r="BU713" s="147"/>
      <c r="BV713" s="147"/>
      <c r="BW713" s="147"/>
      <c r="BX713" s="147"/>
      <c r="BY713" s="147"/>
      <c r="BZ713" s="147"/>
      <c r="CA713" s="147"/>
      <c r="CB713" s="147"/>
      <c r="CC713" s="147"/>
      <c r="CD713" s="147"/>
      <c r="CE713" s="147"/>
      <c r="CF713" s="147"/>
      <c r="CG713" s="147"/>
      <c r="CH713" s="147"/>
      <c r="CI713" s="147"/>
      <c r="CJ713" s="147"/>
      <c r="CK713" s="147"/>
    </row>
    <row r="714" spans="1:89">
      <c r="A714" s="157"/>
      <c r="F714" s="3"/>
      <c r="G714" s="3"/>
      <c r="L714" s="157"/>
      <c r="M714" s="157"/>
      <c r="O714" s="147"/>
      <c r="P714" s="147"/>
      <c r="Q714" s="147"/>
      <c r="R714" s="147"/>
      <c r="S714" s="147"/>
      <c r="T714" s="147"/>
      <c r="U714" s="147"/>
      <c r="V714" s="147"/>
      <c r="W714" s="147"/>
      <c r="X714" s="147"/>
      <c r="Y714" s="147"/>
      <c r="Z714" s="147"/>
      <c r="AA714" s="147"/>
      <c r="AB714" s="147"/>
      <c r="AC714" s="147"/>
      <c r="AD714" s="147"/>
      <c r="AE714" s="147"/>
      <c r="AF714" s="147"/>
      <c r="AG714" s="147"/>
      <c r="AH714" s="147"/>
      <c r="AI714" s="147"/>
      <c r="AJ714" s="147"/>
      <c r="AK714" s="147"/>
      <c r="AL714" s="147"/>
      <c r="AM714" s="151"/>
      <c r="AN714" s="147"/>
      <c r="AO714" s="147"/>
      <c r="AP714" s="147"/>
      <c r="AQ714" s="147"/>
      <c r="AR714" s="147"/>
      <c r="AS714" s="147"/>
      <c r="AT714" s="147"/>
      <c r="AU714" s="147"/>
      <c r="AV714" s="147"/>
      <c r="AW714" s="147"/>
      <c r="AX714" s="147"/>
      <c r="AY714" s="147"/>
      <c r="AZ714" s="147"/>
      <c r="BA714" s="147"/>
      <c r="BB714" s="147"/>
      <c r="BC714" s="147"/>
      <c r="BD714" s="147"/>
      <c r="BE714" s="147"/>
      <c r="BF714" s="147"/>
      <c r="BG714" s="147"/>
      <c r="BH714" s="147"/>
      <c r="BI714" s="147"/>
      <c r="BJ714" s="147"/>
      <c r="BK714" s="147"/>
      <c r="BL714" s="147"/>
      <c r="BM714" s="147"/>
      <c r="BN714" s="147"/>
      <c r="BO714" s="147"/>
      <c r="BP714" s="147"/>
      <c r="BQ714" s="147"/>
      <c r="BR714" s="147"/>
      <c r="BS714" s="147"/>
      <c r="BT714" s="147"/>
      <c r="BU714" s="147"/>
      <c r="BV714" s="147"/>
      <c r="BW714" s="147"/>
      <c r="BX714" s="147"/>
      <c r="BY714" s="147"/>
      <c r="BZ714" s="147"/>
      <c r="CA714" s="147"/>
      <c r="CB714" s="147"/>
      <c r="CC714" s="147"/>
      <c r="CD714" s="147"/>
      <c r="CE714" s="147"/>
      <c r="CF714" s="147"/>
      <c r="CG714" s="147"/>
      <c r="CH714" s="147"/>
      <c r="CI714" s="147"/>
      <c r="CJ714" s="147"/>
      <c r="CK714" s="147"/>
    </row>
    <row r="715" spans="1:89">
      <c r="A715" s="157"/>
      <c r="F715" s="3"/>
      <c r="G715" s="3"/>
      <c r="L715" s="157"/>
      <c r="M715" s="157"/>
      <c r="O715" s="147"/>
      <c r="P715" s="147"/>
      <c r="Q715" s="147"/>
      <c r="R715" s="147"/>
      <c r="S715" s="147"/>
      <c r="T715" s="147"/>
      <c r="U715" s="147"/>
      <c r="V715" s="147"/>
      <c r="W715" s="147"/>
      <c r="X715" s="147"/>
      <c r="Y715" s="147"/>
      <c r="Z715" s="147"/>
      <c r="AA715" s="147"/>
      <c r="AB715" s="147"/>
      <c r="AC715" s="147"/>
      <c r="AD715" s="147"/>
      <c r="AE715" s="147"/>
      <c r="AF715" s="147"/>
      <c r="AG715" s="147"/>
      <c r="AH715" s="147"/>
      <c r="AI715" s="147"/>
      <c r="AJ715" s="147"/>
      <c r="AK715" s="147"/>
      <c r="AL715" s="147"/>
      <c r="AM715" s="151"/>
      <c r="AN715" s="147"/>
      <c r="AO715" s="147"/>
      <c r="AP715" s="147"/>
      <c r="AQ715" s="147"/>
      <c r="AR715" s="147"/>
      <c r="AS715" s="147"/>
      <c r="AT715" s="147"/>
      <c r="AU715" s="147"/>
      <c r="AV715" s="147"/>
      <c r="AW715" s="147"/>
      <c r="AX715" s="147"/>
      <c r="AY715" s="147"/>
      <c r="AZ715" s="147"/>
      <c r="BA715" s="147"/>
      <c r="BB715" s="147"/>
      <c r="BC715" s="147"/>
      <c r="BD715" s="147"/>
      <c r="BE715" s="147"/>
      <c r="BF715" s="147"/>
      <c r="BG715" s="147"/>
      <c r="BH715" s="147"/>
      <c r="BI715" s="147"/>
      <c r="BJ715" s="147"/>
      <c r="BK715" s="147"/>
      <c r="BL715" s="147"/>
      <c r="BM715" s="147"/>
      <c r="BN715" s="147"/>
      <c r="BO715" s="147"/>
      <c r="BP715" s="147"/>
      <c r="BQ715" s="147"/>
      <c r="BR715" s="147"/>
      <c r="BS715" s="147"/>
      <c r="BT715" s="147"/>
      <c r="BU715" s="147"/>
      <c r="BV715" s="147"/>
      <c r="BW715" s="147"/>
      <c r="BX715" s="147"/>
      <c r="BY715" s="147"/>
      <c r="BZ715" s="147"/>
      <c r="CA715" s="147"/>
      <c r="CB715" s="147"/>
      <c r="CC715" s="147"/>
      <c r="CD715" s="147"/>
      <c r="CE715" s="147"/>
      <c r="CF715" s="147"/>
      <c r="CG715" s="147"/>
      <c r="CH715" s="147"/>
      <c r="CI715" s="147"/>
      <c r="CJ715" s="147"/>
      <c r="CK715" s="147"/>
    </row>
    <row r="716" spans="1:89">
      <c r="A716" s="157"/>
      <c r="F716" s="3"/>
      <c r="G716" s="3"/>
      <c r="L716" s="157"/>
      <c r="M716" s="157"/>
      <c r="O716" s="147"/>
      <c r="P716" s="147"/>
      <c r="Q716" s="147"/>
      <c r="R716" s="147"/>
      <c r="S716" s="147"/>
      <c r="T716" s="147"/>
      <c r="U716" s="147"/>
      <c r="V716" s="147"/>
      <c r="W716" s="147"/>
      <c r="X716" s="147"/>
      <c r="Y716" s="147"/>
      <c r="Z716" s="147"/>
      <c r="AA716" s="147"/>
      <c r="AB716" s="147"/>
      <c r="AC716" s="147"/>
      <c r="AD716" s="147"/>
      <c r="AE716" s="147"/>
      <c r="AF716" s="147"/>
      <c r="AG716" s="147"/>
      <c r="AH716" s="147"/>
      <c r="AI716" s="147"/>
      <c r="AJ716" s="147"/>
      <c r="AK716" s="147"/>
      <c r="AL716" s="147"/>
      <c r="AM716" s="151"/>
      <c r="AN716" s="147"/>
      <c r="AO716" s="147"/>
      <c r="AP716" s="147"/>
      <c r="AQ716" s="147"/>
      <c r="AR716" s="147"/>
      <c r="AS716" s="147"/>
      <c r="AT716" s="147"/>
      <c r="AU716" s="147"/>
      <c r="AV716" s="147"/>
      <c r="AW716" s="147"/>
      <c r="AX716" s="147"/>
      <c r="AY716" s="147"/>
      <c r="AZ716" s="147"/>
      <c r="BA716" s="147"/>
      <c r="BB716" s="147"/>
      <c r="BC716" s="147"/>
      <c r="BD716" s="147"/>
      <c r="BE716" s="147"/>
      <c r="BF716" s="147"/>
      <c r="BG716" s="147"/>
      <c r="BH716" s="147"/>
      <c r="BI716" s="147"/>
      <c r="BJ716" s="147"/>
      <c r="BK716" s="147"/>
      <c r="BL716" s="147"/>
      <c r="BM716" s="147"/>
      <c r="BN716" s="147"/>
      <c r="BO716" s="147"/>
      <c r="BP716" s="147"/>
      <c r="BQ716" s="147"/>
      <c r="BR716" s="147"/>
      <c r="BS716" s="147"/>
      <c r="BT716" s="147"/>
      <c r="BU716" s="147"/>
      <c r="BV716" s="147"/>
      <c r="BW716" s="147"/>
      <c r="BX716" s="147"/>
      <c r="BY716" s="147"/>
      <c r="BZ716" s="147"/>
      <c r="CA716" s="147"/>
      <c r="CB716" s="147"/>
      <c r="CC716" s="147"/>
      <c r="CD716" s="147"/>
      <c r="CE716" s="147"/>
      <c r="CF716" s="147"/>
      <c r="CG716" s="147"/>
      <c r="CH716" s="147"/>
      <c r="CI716" s="147"/>
      <c r="CJ716" s="147"/>
      <c r="CK716" s="147"/>
    </row>
    <row r="717" spans="1:89">
      <c r="A717" s="157"/>
      <c r="F717" s="3"/>
      <c r="G717" s="3"/>
      <c r="L717" s="157"/>
      <c r="M717" s="157"/>
      <c r="O717" s="147"/>
      <c r="P717" s="147"/>
      <c r="Q717" s="147"/>
      <c r="R717" s="147"/>
      <c r="S717" s="147"/>
      <c r="T717" s="147"/>
      <c r="U717" s="147"/>
      <c r="V717" s="147"/>
      <c r="W717" s="147"/>
      <c r="X717" s="147"/>
      <c r="Y717" s="147"/>
      <c r="Z717" s="147"/>
      <c r="AA717" s="147"/>
      <c r="AB717" s="147"/>
      <c r="AC717" s="147"/>
      <c r="AD717" s="147"/>
      <c r="AE717" s="147"/>
      <c r="AF717" s="147"/>
      <c r="AG717" s="147"/>
      <c r="AH717" s="147"/>
      <c r="AI717" s="147"/>
      <c r="AJ717" s="147"/>
      <c r="AK717" s="147"/>
      <c r="AL717" s="147"/>
      <c r="AM717" s="151"/>
      <c r="AN717" s="147"/>
      <c r="AO717" s="147"/>
      <c r="AP717" s="147"/>
      <c r="AQ717" s="147"/>
      <c r="AR717" s="147"/>
      <c r="AS717" s="147"/>
      <c r="AT717" s="147"/>
      <c r="AU717" s="147"/>
      <c r="AV717" s="147"/>
      <c r="AW717" s="147"/>
      <c r="AX717" s="147"/>
      <c r="AY717" s="147"/>
      <c r="AZ717" s="147"/>
      <c r="BA717" s="147"/>
      <c r="BB717" s="147"/>
      <c r="BC717" s="147"/>
      <c r="BD717" s="147"/>
      <c r="BE717" s="147"/>
      <c r="BF717" s="147"/>
      <c r="BG717" s="147"/>
      <c r="BH717" s="147"/>
      <c r="BI717" s="147"/>
      <c r="BJ717" s="147"/>
      <c r="BK717" s="147"/>
      <c r="BL717" s="147"/>
      <c r="BM717" s="147"/>
      <c r="BN717" s="147"/>
      <c r="BO717" s="147"/>
      <c r="BP717" s="147"/>
      <c r="BQ717" s="147"/>
      <c r="BR717" s="147"/>
      <c r="BS717" s="147"/>
      <c r="BT717" s="147"/>
      <c r="BU717" s="147"/>
      <c r="BV717" s="147"/>
      <c r="BW717" s="147"/>
      <c r="BX717" s="147"/>
      <c r="BY717" s="147"/>
      <c r="BZ717" s="147"/>
      <c r="CA717" s="147"/>
      <c r="CB717" s="147"/>
      <c r="CC717" s="147"/>
      <c r="CD717" s="147"/>
      <c r="CE717" s="147"/>
      <c r="CF717" s="147"/>
      <c r="CG717" s="147"/>
      <c r="CH717" s="147"/>
      <c r="CI717" s="147"/>
      <c r="CJ717" s="147"/>
      <c r="CK717" s="147"/>
    </row>
    <row r="718" spans="1:89">
      <c r="A718" s="157"/>
      <c r="F718" s="3"/>
      <c r="G718" s="3"/>
      <c r="L718" s="157"/>
      <c r="M718" s="157"/>
      <c r="O718" s="147"/>
      <c r="P718" s="147"/>
      <c r="Q718" s="147"/>
      <c r="R718" s="147"/>
      <c r="S718" s="147"/>
      <c r="T718" s="147"/>
      <c r="U718" s="147"/>
      <c r="V718" s="147"/>
      <c r="W718" s="147"/>
      <c r="X718" s="147"/>
      <c r="Y718" s="147"/>
      <c r="Z718" s="147"/>
      <c r="AA718" s="147"/>
      <c r="AB718" s="147"/>
      <c r="AC718" s="147"/>
      <c r="AD718" s="147"/>
      <c r="AE718" s="147"/>
      <c r="AF718" s="147"/>
      <c r="AG718" s="147"/>
      <c r="AH718" s="147"/>
      <c r="AI718" s="147"/>
      <c r="AJ718" s="147"/>
      <c r="AK718" s="147"/>
      <c r="AL718" s="147"/>
      <c r="AM718" s="151"/>
      <c r="AN718" s="147"/>
      <c r="AO718" s="147"/>
      <c r="AP718" s="147"/>
      <c r="AQ718" s="147"/>
      <c r="AR718" s="147"/>
      <c r="AS718" s="147"/>
      <c r="AT718" s="147"/>
      <c r="AU718" s="147"/>
      <c r="AV718" s="147"/>
      <c r="AW718" s="147"/>
      <c r="AX718" s="147"/>
      <c r="AY718" s="147"/>
      <c r="AZ718" s="147"/>
      <c r="BA718" s="147"/>
      <c r="BB718" s="147"/>
      <c r="BC718" s="147"/>
      <c r="BD718" s="147"/>
      <c r="BE718" s="147"/>
      <c r="BF718" s="147"/>
      <c r="BG718" s="147"/>
      <c r="BH718" s="147"/>
      <c r="BI718" s="147"/>
      <c r="BJ718" s="147"/>
      <c r="BK718" s="147"/>
      <c r="BL718" s="147"/>
      <c r="BM718" s="147"/>
      <c r="BN718" s="147"/>
      <c r="BO718" s="147"/>
      <c r="BP718" s="147"/>
      <c r="BQ718" s="147"/>
      <c r="BR718" s="147"/>
      <c r="BS718" s="147"/>
      <c r="BT718" s="147"/>
      <c r="BU718" s="147"/>
      <c r="BV718" s="147"/>
      <c r="BW718" s="147"/>
      <c r="BX718" s="147"/>
      <c r="BY718" s="147"/>
      <c r="BZ718" s="147"/>
      <c r="CA718" s="147"/>
      <c r="CB718" s="147"/>
      <c r="CC718" s="147"/>
      <c r="CD718" s="147"/>
      <c r="CE718" s="147"/>
      <c r="CF718" s="147"/>
      <c r="CG718" s="147"/>
      <c r="CH718" s="147"/>
      <c r="CI718" s="147"/>
      <c r="CJ718" s="147"/>
      <c r="CK718" s="147"/>
    </row>
    <row r="719" spans="1:89">
      <c r="A719" s="157"/>
      <c r="F719" s="3"/>
      <c r="G719" s="3"/>
      <c r="L719" s="157"/>
      <c r="M719" s="157"/>
      <c r="O719" s="147"/>
      <c r="P719" s="147"/>
      <c r="Q719" s="147"/>
      <c r="R719" s="147"/>
      <c r="S719" s="147"/>
      <c r="T719" s="147"/>
      <c r="U719" s="147"/>
      <c r="V719" s="147"/>
      <c r="W719" s="147"/>
      <c r="X719" s="147"/>
      <c r="Y719" s="147"/>
      <c r="Z719" s="147"/>
      <c r="AA719" s="147"/>
      <c r="AB719" s="147"/>
      <c r="AC719" s="147"/>
      <c r="AD719" s="147"/>
      <c r="AE719" s="147"/>
      <c r="AF719" s="147"/>
      <c r="AG719" s="147"/>
      <c r="AH719" s="147"/>
      <c r="AI719" s="147"/>
      <c r="AJ719" s="147"/>
      <c r="AK719" s="147"/>
      <c r="AL719" s="147"/>
      <c r="AM719" s="151"/>
      <c r="AN719" s="147"/>
      <c r="AO719" s="147"/>
      <c r="AP719" s="147"/>
      <c r="AQ719" s="147"/>
      <c r="AR719" s="147"/>
      <c r="AS719" s="147"/>
      <c r="AT719" s="147"/>
      <c r="AU719" s="147"/>
      <c r="AV719" s="147"/>
      <c r="AW719" s="147"/>
      <c r="AX719" s="147"/>
      <c r="AY719" s="147"/>
      <c r="AZ719" s="147"/>
      <c r="BA719" s="147"/>
      <c r="BB719" s="147"/>
      <c r="BC719" s="147"/>
      <c r="BD719" s="147"/>
      <c r="BE719" s="147"/>
      <c r="BF719" s="147"/>
      <c r="BG719" s="147"/>
      <c r="BH719" s="147"/>
      <c r="BI719" s="147"/>
      <c r="BJ719" s="147"/>
      <c r="BK719" s="147"/>
      <c r="BL719" s="147"/>
      <c r="BM719" s="147"/>
      <c r="BN719" s="147"/>
      <c r="BO719" s="147"/>
      <c r="BP719" s="147"/>
      <c r="BQ719" s="147"/>
      <c r="BR719" s="147"/>
      <c r="BS719" s="147"/>
      <c r="BT719" s="147"/>
      <c r="BU719" s="147"/>
      <c r="BV719" s="147"/>
      <c r="BW719" s="147"/>
      <c r="BX719" s="147"/>
      <c r="BY719" s="147"/>
      <c r="BZ719" s="147"/>
      <c r="CA719" s="147"/>
      <c r="CB719" s="147"/>
      <c r="CC719" s="147"/>
      <c r="CD719" s="147"/>
      <c r="CE719" s="147"/>
      <c r="CF719" s="147"/>
      <c r="CG719" s="147"/>
      <c r="CH719" s="147"/>
      <c r="CI719" s="147"/>
      <c r="CJ719" s="147"/>
      <c r="CK719" s="147"/>
    </row>
    <row r="720" spans="1:89">
      <c r="A720" s="157"/>
      <c r="F720" s="3"/>
      <c r="G720" s="3"/>
      <c r="L720" s="157"/>
      <c r="M720" s="157"/>
      <c r="O720" s="147"/>
      <c r="P720" s="147"/>
      <c r="Q720" s="147"/>
      <c r="R720" s="147"/>
      <c r="S720" s="147"/>
      <c r="T720" s="147"/>
      <c r="U720" s="147"/>
      <c r="V720" s="147"/>
      <c r="W720" s="147"/>
      <c r="X720" s="147"/>
      <c r="Y720" s="147"/>
      <c r="Z720" s="147"/>
      <c r="AA720" s="147"/>
      <c r="AB720" s="147"/>
      <c r="AC720" s="147"/>
      <c r="AD720" s="147"/>
      <c r="AE720" s="147"/>
      <c r="AF720" s="147"/>
      <c r="AG720" s="147"/>
      <c r="AH720" s="147"/>
      <c r="AI720" s="147"/>
      <c r="AJ720" s="147"/>
      <c r="AK720" s="147"/>
      <c r="AL720" s="147"/>
      <c r="AM720" s="151"/>
      <c r="AN720" s="147"/>
      <c r="AO720" s="147"/>
      <c r="AP720" s="147"/>
      <c r="AQ720" s="147"/>
      <c r="AR720" s="147"/>
      <c r="AS720" s="147"/>
      <c r="AT720" s="147"/>
      <c r="AU720" s="147"/>
      <c r="AV720" s="147"/>
      <c r="AW720" s="147"/>
      <c r="AX720" s="147"/>
      <c r="AY720" s="147"/>
      <c r="AZ720" s="147"/>
      <c r="BA720" s="147"/>
      <c r="BB720" s="147"/>
      <c r="BC720" s="147"/>
      <c r="BD720" s="147"/>
      <c r="BE720" s="147"/>
      <c r="BF720" s="147"/>
      <c r="BG720" s="147"/>
      <c r="BH720" s="147"/>
      <c r="BI720" s="147"/>
      <c r="BJ720" s="147"/>
      <c r="BK720" s="147"/>
      <c r="BL720" s="147"/>
      <c r="BM720" s="147"/>
      <c r="BN720" s="147"/>
      <c r="BO720" s="147"/>
      <c r="BP720" s="147"/>
      <c r="BQ720" s="147"/>
      <c r="BR720" s="147"/>
      <c r="BS720" s="147"/>
      <c r="BT720" s="147"/>
      <c r="BU720" s="147"/>
      <c r="BV720" s="147"/>
      <c r="BW720" s="147"/>
      <c r="BX720" s="147"/>
      <c r="BY720" s="147"/>
      <c r="BZ720" s="147"/>
      <c r="CA720" s="147"/>
      <c r="CB720" s="147"/>
      <c r="CC720" s="147"/>
      <c r="CD720" s="147"/>
      <c r="CE720" s="147"/>
      <c r="CF720" s="147"/>
      <c r="CG720" s="147"/>
      <c r="CH720" s="147"/>
      <c r="CI720" s="147"/>
      <c r="CJ720" s="147"/>
      <c r="CK720" s="147"/>
    </row>
    <row r="721" spans="1:89">
      <c r="A721" s="157"/>
      <c r="F721" s="3"/>
      <c r="G721" s="3"/>
      <c r="L721" s="157"/>
      <c r="M721" s="157"/>
      <c r="O721" s="147"/>
      <c r="P721" s="147"/>
      <c r="Q721" s="147"/>
      <c r="R721" s="147"/>
      <c r="S721" s="147"/>
      <c r="T721" s="147"/>
      <c r="U721" s="147"/>
      <c r="V721" s="147"/>
      <c r="W721" s="147"/>
      <c r="X721" s="147"/>
      <c r="Y721" s="147"/>
      <c r="Z721" s="147"/>
      <c r="AA721" s="147"/>
      <c r="AB721" s="147"/>
      <c r="AC721" s="147"/>
      <c r="AD721" s="147"/>
      <c r="AE721" s="147"/>
      <c r="AF721" s="147"/>
      <c r="AG721" s="147"/>
      <c r="AH721" s="147"/>
      <c r="AI721" s="147"/>
      <c r="AJ721" s="147"/>
      <c r="AK721" s="147"/>
      <c r="AL721" s="147"/>
      <c r="AM721" s="151"/>
      <c r="AN721" s="147"/>
      <c r="AO721" s="147"/>
      <c r="AP721" s="147"/>
      <c r="AQ721" s="147"/>
      <c r="AR721" s="147"/>
      <c r="AS721" s="147"/>
      <c r="AT721" s="147"/>
      <c r="AU721" s="147"/>
      <c r="AV721" s="147"/>
      <c r="AW721" s="147"/>
      <c r="AX721" s="147"/>
      <c r="AY721" s="147"/>
      <c r="AZ721" s="147"/>
      <c r="BA721" s="147"/>
      <c r="BB721" s="147"/>
      <c r="BC721" s="147"/>
      <c r="BD721" s="147"/>
      <c r="BE721" s="147"/>
      <c r="BF721" s="147"/>
      <c r="BG721" s="147"/>
      <c r="BH721" s="147"/>
      <c r="BI721" s="147"/>
      <c r="BJ721" s="147"/>
      <c r="BK721" s="147"/>
      <c r="BL721" s="147"/>
      <c r="BM721" s="147"/>
      <c r="BN721" s="147"/>
      <c r="BO721" s="147"/>
      <c r="BP721" s="147"/>
      <c r="BQ721" s="147"/>
      <c r="BR721" s="147"/>
      <c r="BS721" s="147"/>
      <c r="BT721" s="147"/>
      <c r="BU721" s="147"/>
      <c r="BV721" s="147"/>
      <c r="BW721" s="147"/>
      <c r="BX721" s="147"/>
      <c r="BY721" s="147"/>
      <c r="BZ721" s="147"/>
      <c r="CA721" s="147"/>
      <c r="CB721" s="147"/>
      <c r="CC721" s="147"/>
      <c r="CD721" s="147"/>
      <c r="CE721" s="147"/>
      <c r="CF721" s="147"/>
      <c r="CG721" s="147"/>
      <c r="CH721" s="147"/>
      <c r="CI721" s="147"/>
      <c r="CJ721" s="147"/>
      <c r="CK721" s="147"/>
    </row>
    <row r="722" spans="1:89">
      <c r="A722" s="157"/>
      <c r="F722" s="3"/>
      <c r="G722" s="3"/>
      <c r="L722" s="157"/>
      <c r="M722" s="157"/>
      <c r="O722" s="147"/>
      <c r="P722" s="147"/>
      <c r="Q722" s="147"/>
      <c r="R722" s="147"/>
      <c r="S722" s="147"/>
      <c r="T722" s="147"/>
      <c r="U722" s="147"/>
      <c r="V722" s="147"/>
      <c r="W722" s="147"/>
      <c r="X722" s="147"/>
      <c r="Y722" s="147"/>
      <c r="Z722" s="147"/>
      <c r="AA722" s="147"/>
      <c r="AB722" s="147"/>
      <c r="AC722" s="147"/>
      <c r="AD722" s="147"/>
      <c r="AE722" s="147"/>
      <c r="AF722" s="147"/>
      <c r="AG722" s="147"/>
      <c r="AH722" s="147"/>
      <c r="AI722" s="147"/>
      <c r="AJ722" s="147"/>
      <c r="AK722" s="147"/>
      <c r="AL722" s="147"/>
      <c r="AM722" s="151"/>
      <c r="AN722" s="147"/>
      <c r="AO722" s="147"/>
      <c r="AP722" s="147"/>
      <c r="AQ722" s="147"/>
      <c r="AR722" s="147"/>
      <c r="AS722" s="147"/>
      <c r="AT722" s="147"/>
      <c r="AU722" s="147"/>
      <c r="AV722" s="147"/>
      <c r="AW722" s="147"/>
      <c r="AX722" s="147"/>
      <c r="AY722" s="147"/>
      <c r="AZ722" s="147"/>
      <c r="BA722" s="147"/>
      <c r="BB722" s="147"/>
      <c r="BC722" s="147"/>
      <c r="BD722" s="147"/>
      <c r="BE722" s="147"/>
      <c r="BF722" s="147"/>
      <c r="BG722" s="147"/>
      <c r="BH722" s="147"/>
      <c r="BI722" s="147"/>
      <c r="BJ722" s="147"/>
      <c r="BK722" s="147"/>
      <c r="BL722" s="147"/>
      <c r="BM722" s="147"/>
      <c r="BN722" s="147"/>
      <c r="BO722" s="147"/>
      <c r="BP722" s="147"/>
      <c r="BQ722" s="147"/>
      <c r="BR722" s="147"/>
      <c r="BS722" s="147"/>
      <c r="BT722" s="147"/>
      <c r="BU722" s="147"/>
      <c r="BV722" s="147"/>
      <c r="BW722" s="147"/>
      <c r="BX722" s="147"/>
      <c r="BY722" s="147"/>
      <c r="BZ722" s="147"/>
      <c r="CA722" s="147"/>
      <c r="CB722" s="147"/>
      <c r="CC722" s="147"/>
      <c r="CD722" s="147"/>
      <c r="CE722" s="147"/>
      <c r="CF722" s="147"/>
      <c r="CG722" s="147"/>
      <c r="CH722" s="147"/>
      <c r="CI722" s="147"/>
      <c r="CJ722" s="147"/>
      <c r="CK722" s="147"/>
    </row>
    <row r="723" spans="1:89">
      <c r="A723" s="157"/>
      <c r="F723" s="3"/>
      <c r="G723" s="3"/>
      <c r="L723" s="157"/>
      <c r="M723" s="157"/>
      <c r="O723" s="147"/>
      <c r="P723" s="147"/>
      <c r="Q723" s="147"/>
      <c r="R723" s="147"/>
      <c r="S723" s="147"/>
      <c r="T723" s="147"/>
      <c r="U723" s="147"/>
      <c r="V723" s="147"/>
      <c r="W723" s="147"/>
      <c r="X723" s="147"/>
      <c r="Y723" s="147"/>
      <c r="Z723" s="147"/>
      <c r="AA723" s="147"/>
      <c r="AB723" s="147"/>
      <c r="AC723" s="147"/>
      <c r="AD723" s="147"/>
      <c r="AE723" s="147"/>
      <c r="AF723" s="147"/>
      <c r="AG723" s="147"/>
      <c r="AH723" s="147"/>
      <c r="AI723" s="147"/>
      <c r="AJ723" s="147"/>
      <c r="AK723" s="147"/>
      <c r="AL723" s="147"/>
      <c r="AM723" s="151"/>
      <c r="AN723" s="147"/>
      <c r="AO723" s="147"/>
      <c r="AP723" s="147"/>
      <c r="AQ723" s="147"/>
      <c r="AR723" s="147"/>
      <c r="AS723" s="147"/>
      <c r="AT723" s="147"/>
      <c r="AU723" s="147"/>
      <c r="AV723" s="147"/>
      <c r="AW723" s="147"/>
      <c r="AX723" s="147"/>
      <c r="AY723" s="147"/>
      <c r="AZ723" s="147"/>
      <c r="BA723" s="147"/>
      <c r="BB723" s="147"/>
      <c r="BC723" s="147"/>
      <c r="BD723" s="147"/>
      <c r="BE723" s="147"/>
      <c r="BF723" s="147"/>
      <c r="BG723" s="147"/>
      <c r="BH723" s="147"/>
      <c r="BI723" s="147"/>
      <c r="BJ723" s="147"/>
      <c r="BK723" s="147"/>
      <c r="BL723" s="147"/>
      <c r="BM723" s="147"/>
      <c r="BN723" s="147"/>
      <c r="BO723" s="147"/>
      <c r="BP723" s="147"/>
      <c r="BQ723" s="147"/>
      <c r="BR723" s="147"/>
      <c r="BS723" s="147"/>
      <c r="BT723" s="147"/>
      <c r="BU723" s="147"/>
      <c r="BV723" s="147"/>
      <c r="BW723" s="147"/>
      <c r="BX723" s="147"/>
      <c r="BY723" s="147"/>
      <c r="BZ723" s="147"/>
      <c r="CA723" s="147"/>
      <c r="CB723" s="147"/>
      <c r="CC723" s="147"/>
      <c r="CD723" s="147"/>
      <c r="CE723" s="147"/>
      <c r="CF723" s="147"/>
      <c r="CG723" s="147"/>
      <c r="CH723" s="147"/>
      <c r="CI723" s="147"/>
      <c r="CJ723" s="147"/>
      <c r="CK723" s="147"/>
    </row>
    <row r="724" spans="1:89">
      <c r="A724" s="157"/>
      <c r="F724" s="3"/>
      <c r="G724" s="3"/>
      <c r="L724" s="157"/>
      <c r="M724" s="157"/>
      <c r="O724" s="147"/>
      <c r="P724" s="147"/>
      <c r="Q724" s="147"/>
      <c r="R724" s="147"/>
      <c r="S724" s="147"/>
      <c r="T724" s="147"/>
      <c r="U724" s="147"/>
      <c r="V724" s="147"/>
      <c r="W724" s="147"/>
      <c r="X724" s="147"/>
      <c r="Y724" s="147"/>
      <c r="Z724" s="147"/>
      <c r="AA724" s="147"/>
      <c r="AB724" s="147"/>
      <c r="AC724" s="147"/>
      <c r="AD724" s="147"/>
      <c r="AE724" s="147"/>
      <c r="AF724" s="147"/>
      <c r="AG724" s="147"/>
      <c r="AH724" s="147"/>
      <c r="AI724" s="147"/>
      <c r="AJ724" s="147"/>
      <c r="AK724" s="147"/>
      <c r="AL724" s="147"/>
      <c r="AM724" s="151"/>
      <c r="AN724" s="147"/>
      <c r="AO724" s="147"/>
      <c r="AP724" s="147"/>
      <c r="AQ724" s="147"/>
      <c r="AR724" s="147"/>
      <c r="AS724" s="147"/>
      <c r="AT724" s="147"/>
      <c r="AU724" s="147"/>
      <c r="AV724" s="147"/>
      <c r="AW724" s="147"/>
      <c r="AX724" s="147"/>
      <c r="AY724" s="147"/>
      <c r="AZ724" s="147"/>
      <c r="BA724" s="147"/>
      <c r="BB724" s="147"/>
      <c r="BC724" s="147"/>
      <c r="BD724" s="147"/>
      <c r="BE724" s="147"/>
      <c r="BF724" s="147"/>
      <c r="BG724" s="147"/>
      <c r="BH724" s="147"/>
      <c r="BI724" s="147"/>
      <c r="BJ724" s="147"/>
      <c r="BK724" s="147"/>
      <c r="BL724" s="147"/>
      <c r="BM724" s="147"/>
      <c r="BN724" s="147"/>
      <c r="BO724" s="147"/>
      <c r="BP724" s="147"/>
      <c r="BQ724" s="147"/>
      <c r="BR724" s="147"/>
      <c r="BS724" s="147"/>
      <c r="BT724" s="147"/>
      <c r="BU724" s="147"/>
      <c r="BV724" s="147"/>
      <c r="BW724" s="147"/>
      <c r="BX724" s="147"/>
      <c r="BY724" s="147"/>
      <c r="BZ724" s="147"/>
      <c r="CA724" s="147"/>
      <c r="CB724" s="147"/>
      <c r="CC724" s="147"/>
      <c r="CD724" s="147"/>
      <c r="CE724" s="147"/>
      <c r="CF724" s="147"/>
      <c r="CG724" s="147"/>
      <c r="CH724" s="147"/>
      <c r="CI724" s="147"/>
      <c r="CJ724" s="147"/>
      <c r="CK724" s="147"/>
    </row>
    <row r="725" spans="1:89">
      <c r="A725" s="157"/>
      <c r="F725" s="3"/>
      <c r="G725" s="3"/>
      <c r="L725" s="157"/>
      <c r="M725" s="157"/>
      <c r="O725" s="147"/>
      <c r="P725" s="147"/>
      <c r="Q725" s="147"/>
      <c r="R725" s="147"/>
      <c r="S725" s="147"/>
      <c r="T725" s="147"/>
      <c r="U725" s="147"/>
      <c r="V725" s="147"/>
      <c r="W725" s="147"/>
      <c r="X725" s="147"/>
      <c r="Y725" s="147"/>
      <c r="Z725" s="147"/>
      <c r="AA725" s="147"/>
      <c r="AB725" s="147"/>
      <c r="AC725" s="147"/>
      <c r="AD725" s="147"/>
      <c r="AE725" s="147"/>
      <c r="AF725" s="147"/>
      <c r="AG725" s="147"/>
      <c r="AH725" s="147"/>
      <c r="AI725" s="147"/>
      <c r="AJ725" s="147"/>
      <c r="AK725" s="147"/>
      <c r="AL725" s="147"/>
      <c r="AM725" s="151"/>
      <c r="AN725" s="147"/>
      <c r="AO725" s="147"/>
      <c r="AP725" s="147"/>
      <c r="AQ725" s="147"/>
      <c r="AR725" s="147"/>
      <c r="AS725" s="147"/>
      <c r="AT725" s="147"/>
      <c r="AU725" s="147"/>
      <c r="AV725" s="147"/>
      <c r="AW725" s="147"/>
      <c r="AX725" s="147"/>
      <c r="AY725" s="147"/>
      <c r="AZ725" s="147"/>
      <c r="BA725" s="147"/>
      <c r="BB725" s="147"/>
      <c r="BC725" s="147"/>
      <c r="BD725" s="147"/>
      <c r="BE725" s="147"/>
      <c r="BF725" s="147"/>
      <c r="BG725" s="147"/>
      <c r="BH725" s="147"/>
      <c r="BI725" s="147"/>
      <c r="BJ725" s="147"/>
      <c r="BK725" s="147"/>
      <c r="BL725" s="147"/>
      <c r="BM725" s="147"/>
      <c r="BN725" s="147"/>
      <c r="BO725" s="147"/>
      <c r="BP725" s="147"/>
      <c r="BQ725" s="147"/>
      <c r="BR725" s="147"/>
      <c r="BS725" s="147"/>
      <c r="BT725" s="147"/>
      <c r="BU725" s="147"/>
      <c r="BV725" s="147"/>
      <c r="BW725" s="147"/>
      <c r="BX725" s="147"/>
      <c r="BY725" s="147"/>
      <c r="BZ725" s="147"/>
      <c r="CA725" s="147"/>
      <c r="CB725" s="147"/>
      <c r="CC725" s="147"/>
      <c r="CD725" s="147"/>
      <c r="CE725" s="147"/>
      <c r="CF725" s="147"/>
      <c r="CG725" s="147"/>
      <c r="CH725" s="147"/>
      <c r="CI725" s="147"/>
      <c r="CJ725" s="147"/>
      <c r="CK725" s="147"/>
    </row>
    <row r="726" spans="1:89">
      <c r="A726" s="157"/>
      <c r="F726" s="3"/>
      <c r="G726" s="3"/>
      <c r="L726" s="157"/>
      <c r="M726" s="157"/>
      <c r="O726" s="147"/>
      <c r="P726" s="147"/>
      <c r="Q726" s="147"/>
      <c r="R726" s="147"/>
      <c r="S726" s="147"/>
      <c r="T726" s="147"/>
      <c r="U726" s="147"/>
      <c r="V726" s="147"/>
      <c r="W726" s="147"/>
      <c r="X726" s="147"/>
      <c r="Y726" s="147"/>
      <c r="Z726" s="147"/>
      <c r="AA726" s="147"/>
      <c r="AB726" s="147"/>
      <c r="AC726" s="147"/>
      <c r="AD726" s="147"/>
      <c r="AE726" s="147"/>
      <c r="AF726" s="147"/>
      <c r="AG726" s="147"/>
      <c r="AH726" s="147"/>
      <c r="AI726" s="147"/>
      <c r="AJ726" s="147"/>
      <c r="AK726" s="147"/>
      <c r="AL726" s="147"/>
      <c r="AM726" s="151"/>
      <c r="AN726" s="147"/>
      <c r="AO726" s="147"/>
      <c r="AP726" s="147"/>
      <c r="AQ726" s="147"/>
      <c r="AR726" s="147"/>
      <c r="AS726" s="147"/>
      <c r="AT726" s="147"/>
      <c r="AU726" s="147"/>
      <c r="AV726" s="147"/>
      <c r="AW726" s="147"/>
      <c r="AX726" s="147"/>
      <c r="AY726" s="147"/>
      <c r="AZ726" s="147"/>
      <c r="BA726" s="147"/>
      <c r="BB726" s="147"/>
      <c r="BC726" s="147"/>
      <c r="BD726" s="147"/>
      <c r="BE726" s="147"/>
      <c r="BF726" s="147"/>
      <c r="BG726" s="147"/>
      <c r="BH726" s="147"/>
      <c r="BI726" s="147"/>
      <c r="BJ726" s="147"/>
      <c r="BK726" s="147"/>
      <c r="BL726" s="147"/>
      <c r="BM726" s="147"/>
      <c r="BN726" s="147"/>
      <c r="BO726" s="147"/>
      <c r="BP726" s="147"/>
      <c r="BQ726" s="147"/>
      <c r="BR726" s="147"/>
      <c r="BS726" s="147"/>
      <c r="BT726" s="147"/>
      <c r="BU726" s="147"/>
      <c r="BV726" s="147"/>
      <c r="BW726" s="147"/>
      <c r="BX726" s="147"/>
      <c r="BY726" s="147"/>
      <c r="BZ726" s="147"/>
      <c r="CA726" s="147"/>
      <c r="CB726" s="147"/>
      <c r="CC726" s="147"/>
      <c r="CD726" s="147"/>
      <c r="CE726" s="147"/>
      <c r="CF726" s="147"/>
      <c r="CG726" s="147"/>
      <c r="CH726" s="147"/>
      <c r="CI726" s="147"/>
      <c r="CJ726" s="147"/>
      <c r="CK726" s="147"/>
    </row>
    <row r="727" spans="1:89">
      <c r="A727" s="157"/>
      <c r="F727" s="3"/>
      <c r="G727" s="3"/>
      <c r="L727" s="157"/>
      <c r="M727" s="157"/>
      <c r="O727" s="147"/>
      <c r="P727" s="147"/>
      <c r="Q727" s="147"/>
      <c r="R727" s="147"/>
      <c r="S727" s="147"/>
      <c r="T727" s="147"/>
      <c r="U727" s="147"/>
      <c r="V727" s="147"/>
      <c r="W727" s="147"/>
      <c r="X727" s="147"/>
      <c r="Y727" s="147"/>
      <c r="Z727" s="147"/>
      <c r="AA727" s="147"/>
      <c r="AB727" s="147"/>
      <c r="AC727" s="147"/>
      <c r="AD727" s="147"/>
      <c r="AE727" s="147"/>
      <c r="AF727" s="147"/>
      <c r="AG727" s="147"/>
      <c r="AH727" s="147"/>
      <c r="AI727" s="147"/>
      <c r="AJ727" s="147"/>
      <c r="AK727" s="147"/>
      <c r="AL727" s="147"/>
      <c r="AM727" s="151"/>
      <c r="AN727" s="147"/>
      <c r="AO727" s="147"/>
      <c r="AP727" s="147"/>
      <c r="AQ727" s="147"/>
      <c r="AR727" s="147"/>
      <c r="AS727" s="147"/>
      <c r="AT727" s="147"/>
      <c r="AU727" s="147"/>
      <c r="AV727" s="147"/>
      <c r="AW727" s="147"/>
      <c r="AX727" s="147"/>
      <c r="AY727" s="147"/>
      <c r="AZ727" s="147"/>
      <c r="BA727" s="147"/>
      <c r="BB727" s="147"/>
      <c r="BC727" s="147"/>
      <c r="BD727" s="147"/>
      <c r="BE727" s="147"/>
      <c r="BF727" s="147"/>
      <c r="BG727" s="147"/>
      <c r="BH727" s="147"/>
      <c r="BI727" s="147"/>
      <c r="BJ727" s="147"/>
      <c r="BK727" s="147"/>
      <c r="BL727" s="147"/>
      <c r="BM727" s="147"/>
      <c r="BN727" s="147"/>
      <c r="BO727" s="147"/>
      <c r="BP727" s="147"/>
      <c r="BQ727" s="147"/>
      <c r="BR727" s="147"/>
      <c r="BS727" s="147"/>
      <c r="BT727" s="147"/>
      <c r="BU727" s="147"/>
      <c r="BV727" s="147"/>
      <c r="BW727" s="147"/>
      <c r="BX727" s="147"/>
      <c r="BY727" s="147"/>
      <c r="BZ727" s="147"/>
      <c r="CA727" s="147"/>
      <c r="CB727" s="147"/>
      <c r="CC727" s="147"/>
      <c r="CD727" s="147"/>
      <c r="CE727" s="147"/>
      <c r="CF727" s="147"/>
      <c r="CG727" s="147"/>
      <c r="CH727" s="147"/>
      <c r="CI727" s="147"/>
      <c r="CJ727" s="147"/>
      <c r="CK727" s="147"/>
    </row>
    <row r="728" spans="1:89">
      <c r="A728" s="157"/>
      <c r="F728" s="3"/>
      <c r="G728" s="3"/>
      <c r="L728" s="157"/>
      <c r="M728" s="157"/>
      <c r="O728" s="147"/>
      <c r="P728" s="147"/>
      <c r="Q728" s="147"/>
      <c r="R728" s="147"/>
      <c r="S728" s="147"/>
      <c r="T728" s="147"/>
      <c r="U728" s="147"/>
      <c r="V728" s="147"/>
      <c r="W728" s="147"/>
      <c r="X728" s="147"/>
      <c r="Y728" s="147"/>
      <c r="Z728" s="147"/>
      <c r="AA728" s="147"/>
      <c r="AB728" s="147"/>
      <c r="AC728" s="147"/>
      <c r="AD728" s="147"/>
      <c r="AE728" s="147"/>
      <c r="AF728" s="147"/>
      <c r="AG728" s="147"/>
      <c r="AH728" s="147"/>
      <c r="AI728" s="147"/>
      <c r="AJ728" s="147"/>
      <c r="AK728" s="147"/>
      <c r="AL728" s="147"/>
      <c r="AM728" s="151"/>
      <c r="AN728" s="147"/>
      <c r="AO728" s="147"/>
      <c r="AP728" s="147"/>
      <c r="AQ728" s="147"/>
      <c r="AR728" s="147"/>
      <c r="AS728" s="147"/>
      <c r="AT728" s="147"/>
      <c r="AU728" s="147"/>
      <c r="AV728" s="147"/>
      <c r="AW728" s="147"/>
      <c r="AX728" s="147"/>
      <c r="AY728" s="147"/>
      <c r="AZ728" s="147"/>
      <c r="BA728" s="147"/>
      <c r="BB728" s="147"/>
      <c r="BC728" s="147"/>
      <c r="BD728" s="147"/>
      <c r="BE728" s="147"/>
      <c r="BF728" s="147"/>
      <c r="BG728" s="147"/>
      <c r="BH728" s="147"/>
      <c r="BI728" s="147"/>
      <c r="BJ728" s="147"/>
      <c r="BK728" s="147"/>
      <c r="BL728" s="147"/>
      <c r="BM728" s="147"/>
      <c r="BN728" s="147"/>
      <c r="BO728" s="147"/>
      <c r="BP728" s="147"/>
      <c r="BQ728" s="147"/>
      <c r="BR728" s="147"/>
      <c r="BS728" s="147"/>
      <c r="BT728" s="147"/>
      <c r="BU728" s="147"/>
      <c r="BV728" s="147"/>
      <c r="BW728" s="147"/>
      <c r="BX728" s="147"/>
      <c r="BY728" s="147"/>
      <c r="BZ728" s="147"/>
      <c r="CA728" s="147"/>
      <c r="CB728" s="147"/>
      <c r="CC728" s="147"/>
      <c r="CD728" s="147"/>
      <c r="CE728" s="147"/>
      <c r="CF728" s="147"/>
      <c r="CG728" s="147"/>
      <c r="CH728" s="147"/>
      <c r="CI728" s="147"/>
      <c r="CJ728" s="147"/>
      <c r="CK728" s="147"/>
    </row>
    <row r="729" spans="1:89">
      <c r="A729" s="157"/>
      <c r="F729" s="3"/>
      <c r="G729" s="3"/>
      <c r="L729" s="157"/>
      <c r="M729" s="157"/>
      <c r="O729" s="147"/>
      <c r="P729" s="147"/>
      <c r="Q729" s="147"/>
      <c r="R729" s="147"/>
      <c r="S729" s="147"/>
      <c r="T729" s="147"/>
      <c r="U729" s="147"/>
      <c r="V729" s="147"/>
      <c r="W729" s="147"/>
      <c r="X729" s="147"/>
      <c r="Y729" s="147"/>
      <c r="Z729" s="147"/>
      <c r="AA729" s="147"/>
      <c r="AB729" s="147"/>
      <c r="AC729" s="147"/>
      <c r="AD729" s="147"/>
      <c r="AE729" s="147"/>
      <c r="AF729" s="147"/>
      <c r="AG729" s="147"/>
      <c r="AH729" s="147"/>
      <c r="AI729" s="147"/>
      <c r="AJ729" s="147"/>
      <c r="AK729" s="147"/>
      <c r="AL729" s="147"/>
      <c r="AM729" s="151"/>
      <c r="AN729" s="147"/>
      <c r="AO729" s="147"/>
      <c r="AP729" s="147"/>
      <c r="AQ729" s="147"/>
      <c r="AR729" s="147"/>
      <c r="AS729" s="147"/>
      <c r="AT729" s="147"/>
      <c r="AU729" s="147"/>
      <c r="AV729" s="147"/>
      <c r="AW729" s="147"/>
      <c r="AX729" s="147"/>
      <c r="AY729" s="147"/>
      <c r="AZ729" s="147"/>
      <c r="BA729" s="147"/>
      <c r="BB729" s="147"/>
      <c r="BC729" s="147"/>
      <c r="BD729" s="147"/>
      <c r="BE729" s="147"/>
      <c r="BF729" s="147"/>
      <c r="BG729" s="147"/>
      <c r="BH729" s="147"/>
      <c r="BI729" s="147"/>
      <c r="BJ729" s="147"/>
      <c r="BK729" s="147"/>
      <c r="BL729" s="147"/>
      <c r="BM729" s="147"/>
      <c r="BN729" s="147"/>
      <c r="BO729" s="147"/>
      <c r="BP729" s="147"/>
      <c r="BQ729" s="147"/>
      <c r="BR729" s="147"/>
      <c r="BS729" s="147"/>
      <c r="BT729" s="147"/>
      <c r="BU729" s="147"/>
      <c r="BV729" s="147"/>
      <c r="BW729" s="147"/>
      <c r="BX729" s="147"/>
      <c r="BY729" s="147"/>
      <c r="BZ729" s="147"/>
      <c r="CA729" s="147"/>
      <c r="CB729" s="147"/>
      <c r="CC729" s="147"/>
      <c r="CD729" s="147"/>
      <c r="CE729" s="147"/>
      <c r="CF729" s="147"/>
      <c r="CG729" s="147"/>
      <c r="CH729" s="147"/>
      <c r="CI729" s="147"/>
      <c r="CJ729" s="147"/>
      <c r="CK729" s="147"/>
    </row>
    <row r="730" spans="1:89">
      <c r="A730" s="157"/>
      <c r="F730" s="3"/>
      <c r="G730" s="3"/>
      <c r="L730" s="157"/>
      <c r="M730" s="157"/>
      <c r="O730" s="147"/>
      <c r="P730" s="147"/>
      <c r="Q730" s="147"/>
      <c r="R730" s="147"/>
      <c r="S730" s="147"/>
      <c r="T730" s="147"/>
      <c r="U730" s="147"/>
      <c r="V730" s="147"/>
      <c r="W730" s="147"/>
      <c r="X730" s="147"/>
      <c r="Y730" s="147"/>
      <c r="Z730" s="147"/>
      <c r="AA730" s="147"/>
      <c r="AB730" s="147"/>
      <c r="AC730" s="147"/>
      <c r="AD730" s="147"/>
      <c r="AE730" s="147"/>
      <c r="AF730" s="147"/>
      <c r="AG730" s="147"/>
      <c r="AH730" s="147"/>
      <c r="AI730" s="147"/>
      <c r="AJ730" s="147"/>
      <c r="AK730" s="147"/>
      <c r="AL730" s="147"/>
      <c r="AM730" s="151"/>
      <c r="AN730" s="147"/>
      <c r="AO730" s="147"/>
      <c r="AP730" s="147"/>
      <c r="AQ730" s="147"/>
      <c r="AR730" s="147"/>
      <c r="AS730" s="147"/>
      <c r="AT730" s="147"/>
      <c r="AU730" s="147"/>
      <c r="AV730" s="147"/>
      <c r="AW730" s="147"/>
      <c r="AX730" s="147"/>
      <c r="AY730" s="147"/>
      <c r="AZ730" s="147"/>
      <c r="BA730" s="147"/>
      <c r="BB730" s="147"/>
      <c r="BC730" s="147"/>
      <c r="BD730" s="147"/>
      <c r="BE730" s="147"/>
      <c r="BF730" s="147"/>
      <c r="BG730" s="147"/>
      <c r="BH730" s="147"/>
      <c r="BI730" s="147"/>
      <c r="BJ730" s="147"/>
      <c r="BK730" s="147"/>
      <c r="BL730" s="147"/>
      <c r="BM730" s="147"/>
      <c r="BN730" s="147"/>
      <c r="BO730" s="147"/>
      <c r="BP730" s="147"/>
      <c r="BQ730" s="147"/>
      <c r="BR730" s="147"/>
      <c r="BS730" s="147"/>
      <c r="BT730" s="147"/>
      <c r="BU730" s="147"/>
      <c r="BV730" s="147"/>
      <c r="BW730" s="147"/>
      <c r="BX730" s="147"/>
      <c r="BY730" s="147"/>
      <c r="BZ730" s="147"/>
      <c r="CA730" s="147"/>
      <c r="CB730" s="147"/>
      <c r="CC730" s="147"/>
      <c r="CD730" s="147"/>
      <c r="CE730" s="147"/>
      <c r="CF730" s="147"/>
      <c r="CG730" s="147"/>
      <c r="CH730" s="147"/>
      <c r="CI730" s="147"/>
      <c r="CJ730" s="147"/>
      <c r="CK730" s="147"/>
    </row>
    <row r="731" spans="1:89">
      <c r="A731" s="157"/>
      <c r="F731" s="3"/>
      <c r="G731" s="3"/>
      <c r="L731" s="157"/>
      <c r="M731" s="157"/>
      <c r="O731" s="147"/>
      <c r="P731" s="147"/>
      <c r="Q731" s="147"/>
      <c r="R731" s="147"/>
      <c r="S731" s="147"/>
      <c r="T731" s="147"/>
      <c r="U731" s="147"/>
      <c r="V731" s="147"/>
      <c r="W731" s="147"/>
      <c r="X731" s="147"/>
      <c r="Y731" s="147"/>
      <c r="Z731" s="147"/>
      <c r="AA731" s="147"/>
      <c r="AB731" s="147"/>
      <c r="AC731" s="147"/>
      <c r="AD731" s="147"/>
      <c r="AE731" s="147"/>
      <c r="AF731" s="147"/>
      <c r="AG731" s="147"/>
      <c r="AH731" s="147"/>
      <c r="AI731" s="147"/>
      <c r="AJ731" s="147"/>
      <c r="AK731" s="147"/>
      <c r="AL731" s="147"/>
      <c r="AM731" s="151"/>
      <c r="AN731" s="147"/>
      <c r="AO731" s="147"/>
      <c r="AP731" s="147"/>
      <c r="AQ731" s="147"/>
      <c r="AR731" s="147"/>
      <c r="AS731" s="147"/>
      <c r="AT731" s="147"/>
      <c r="AU731" s="147"/>
      <c r="AV731" s="147"/>
      <c r="AW731" s="147"/>
      <c r="AX731" s="147"/>
      <c r="AY731" s="147"/>
      <c r="AZ731" s="147"/>
      <c r="BA731" s="147"/>
      <c r="BB731" s="147"/>
      <c r="BC731" s="147"/>
      <c r="BD731" s="147"/>
      <c r="BE731" s="147"/>
      <c r="BF731" s="147"/>
      <c r="BG731" s="147"/>
      <c r="BH731" s="147"/>
      <c r="BI731" s="147"/>
      <c r="BJ731" s="147"/>
      <c r="BK731" s="147"/>
      <c r="BL731" s="147"/>
      <c r="BM731" s="147"/>
      <c r="BN731" s="147"/>
      <c r="BO731" s="147"/>
      <c r="BP731" s="147"/>
      <c r="BQ731" s="147"/>
      <c r="BR731" s="147"/>
      <c r="BS731" s="147"/>
      <c r="BT731" s="147"/>
      <c r="BU731" s="147"/>
      <c r="BV731" s="147"/>
      <c r="BW731" s="147"/>
      <c r="BX731" s="147"/>
      <c r="BY731" s="147"/>
      <c r="BZ731" s="147"/>
      <c r="CA731" s="147"/>
      <c r="CB731" s="147"/>
      <c r="CC731" s="147"/>
      <c r="CD731" s="147"/>
      <c r="CE731" s="147"/>
      <c r="CF731" s="147"/>
      <c r="CG731" s="147"/>
      <c r="CH731" s="147"/>
      <c r="CI731" s="147"/>
      <c r="CJ731" s="147"/>
      <c r="CK731" s="147"/>
    </row>
    <row r="732" spans="1:89">
      <c r="A732" s="157"/>
      <c r="F732" s="3"/>
      <c r="G732" s="3"/>
      <c r="L732" s="157"/>
      <c r="M732" s="157"/>
      <c r="O732" s="147"/>
      <c r="P732" s="147"/>
      <c r="Q732" s="147"/>
      <c r="R732" s="147"/>
      <c r="S732" s="147"/>
      <c r="T732" s="147"/>
      <c r="U732" s="147"/>
      <c r="V732" s="147"/>
      <c r="W732" s="147"/>
      <c r="X732" s="147"/>
      <c r="Y732" s="147"/>
      <c r="Z732" s="147"/>
      <c r="AA732" s="147"/>
      <c r="AB732" s="147"/>
      <c r="AC732" s="147"/>
      <c r="AD732" s="147"/>
      <c r="AE732" s="147"/>
      <c r="AF732" s="147"/>
      <c r="AG732" s="147"/>
      <c r="AH732" s="147"/>
      <c r="AI732" s="147"/>
      <c r="AJ732" s="147"/>
      <c r="AK732" s="147"/>
      <c r="AL732" s="147"/>
      <c r="AM732" s="151"/>
      <c r="AN732" s="147"/>
      <c r="AO732" s="147"/>
      <c r="AP732" s="147"/>
      <c r="AQ732" s="147"/>
      <c r="AR732" s="147"/>
      <c r="AS732" s="147"/>
      <c r="AT732" s="147"/>
      <c r="AU732" s="147"/>
      <c r="AV732" s="147"/>
      <c r="AW732" s="147"/>
      <c r="AX732" s="147"/>
      <c r="AY732" s="147"/>
      <c r="AZ732" s="147"/>
      <c r="BA732" s="147"/>
      <c r="BB732" s="147"/>
      <c r="BC732" s="147"/>
      <c r="BD732" s="147"/>
      <c r="BE732" s="147"/>
      <c r="BF732" s="147"/>
      <c r="BG732" s="147"/>
      <c r="BH732" s="147"/>
      <c r="BI732" s="147"/>
      <c r="BJ732" s="147"/>
      <c r="BK732" s="147"/>
      <c r="BL732" s="147"/>
      <c r="BM732" s="147"/>
      <c r="BN732" s="147"/>
      <c r="BO732" s="147"/>
      <c r="BP732" s="147"/>
      <c r="BQ732" s="147"/>
      <c r="BR732" s="147"/>
      <c r="BS732" s="147"/>
      <c r="BT732" s="147"/>
      <c r="BU732" s="147"/>
      <c r="BV732" s="147"/>
      <c r="BW732" s="147"/>
      <c r="BX732" s="147"/>
      <c r="BY732" s="147"/>
      <c r="BZ732" s="147"/>
      <c r="CA732" s="147"/>
      <c r="CB732" s="147"/>
      <c r="CC732" s="147"/>
      <c r="CD732" s="147"/>
      <c r="CE732" s="147"/>
      <c r="CF732" s="147"/>
      <c r="CG732" s="147"/>
      <c r="CH732" s="147"/>
      <c r="CI732" s="147"/>
      <c r="CJ732" s="147"/>
      <c r="CK732" s="147"/>
    </row>
    <row r="733" spans="1:89">
      <c r="A733" s="157"/>
      <c r="F733" s="3"/>
      <c r="G733" s="3"/>
      <c r="L733" s="157"/>
      <c r="M733" s="157"/>
      <c r="O733" s="147"/>
      <c r="P733" s="147"/>
      <c r="Q733" s="147"/>
      <c r="R733" s="147"/>
      <c r="S733" s="147"/>
      <c r="T733" s="147"/>
      <c r="U733" s="147"/>
      <c r="V733" s="147"/>
      <c r="W733" s="147"/>
      <c r="X733" s="147"/>
      <c r="Y733" s="147"/>
      <c r="Z733" s="147"/>
      <c r="AA733" s="147"/>
      <c r="AB733" s="147"/>
      <c r="AC733" s="147"/>
      <c r="AD733" s="147"/>
      <c r="AE733" s="147"/>
      <c r="AF733" s="147"/>
      <c r="AG733" s="147"/>
      <c r="AH733" s="147"/>
      <c r="AI733" s="147"/>
      <c r="AJ733" s="147"/>
      <c r="AK733" s="147"/>
      <c r="AL733" s="147"/>
      <c r="AM733" s="151"/>
      <c r="AN733" s="147"/>
      <c r="AO733" s="147"/>
      <c r="AP733" s="147"/>
      <c r="AQ733" s="147"/>
      <c r="AR733" s="147"/>
      <c r="AS733" s="147"/>
      <c r="AT733" s="147"/>
      <c r="AU733" s="147"/>
      <c r="AV733" s="147"/>
      <c r="AW733" s="147"/>
      <c r="AX733" s="147"/>
      <c r="AY733" s="147"/>
      <c r="AZ733" s="147"/>
      <c r="BA733" s="147"/>
      <c r="BB733" s="147"/>
      <c r="BC733" s="147"/>
      <c r="BD733" s="147"/>
      <c r="BE733" s="147"/>
      <c r="BF733" s="147"/>
      <c r="BG733" s="147"/>
      <c r="BH733" s="147"/>
      <c r="BI733" s="147"/>
      <c r="BJ733" s="147"/>
      <c r="BK733" s="147"/>
      <c r="BL733" s="147"/>
      <c r="BM733" s="147"/>
      <c r="BN733" s="147"/>
      <c r="BO733" s="147"/>
      <c r="BP733" s="147"/>
      <c r="BQ733" s="147"/>
      <c r="BR733" s="147"/>
      <c r="BS733" s="147"/>
      <c r="BT733" s="147"/>
      <c r="BU733" s="147"/>
      <c r="BV733" s="147"/>
      <c r="BW733" s="147"/>
      <c r="BX733" s="147"/>
      <c r="BY733" s="147"/>
      <c r="BZ733" s="147"/>
      <c r="CA733" s="147"/>
      <c r="CB733" s="147"/>
      <c r="CC733" s="147"/>
      <c r="CD733" s="147"/>
      <c r="CE733" s="147"/>
      <c r="CF733" s="147"/>
      <c r="CG733" s="147"/>
      <c r="CH733" s="147"/>
      <c r="CI733" s="147"/>
      <c r="CJ733" s="147"/>
      <c r="CK733" s="147"/>
    </row>
    <row r="734" spans="1:89">
      <c r="A734" s="157"/>
      <c r="F734" s="3"/>
      <c r="G734" s="3"/>
      <c r="L734" s="157"/>
      <c r="M734" s="157"/>
      <c r="O734" s="147"/>
      <c r="P734" s="147"/>
      <c r="Q734" s="147"/>
      <c r="R734" s="147"/>
      <c r="S734" s="147"/>
      <c r="T734" s="147"/>
      <c r="U734" s="147"/>
      <c r="V734" s="147"/>
      <c r="W734" s="147"/>
      <c r="X734" s="147"/>
      <c r="Y734" s="147"/>
      <c r="Z734" s="147"/>
      <c r="AA734" s="147"/>
      <c r="AB734" s="147"/>
      <c r="AC734" s="147"/>
      <c r="AD734" s="147"/>
      <c r="AE734" s="147"/>
      <c r="AF734" s="147"/>
      <c r="AG734" s="147"/>
      <c r="AH734" s="147"/>
      <c r="AI734" s="147"/>
      <c r="AJ734" s="147"/>
      <c r="AK734" s="147"/>
      <c r="AL734" s="147"/>
      <c r="AM734" s="151"/>
      <c r="AN734" s="147"/>
      <c r="AO734" s="147"/>
      <c r="AP734" s="147"/>
      <c r="AQ734" s="147"/>
      <c r="AR734" s="147"/>
      <c r="AS734" s="147"/>
      <c r="AT734" s="147"/>
      <c r="AU734" s="147"/>
      <c r="AV734" s="147"/>
      <c r="AW734" s="147"/>
      <c r="AX734" s="147"/>
      <c r="AY734" s="147"/>
      <c r="AZ734" s="147"/>
      <c r="BA734" s="147"/>
      <c r="BB734" s="147"/>
      <c r="BC734" s="147"/>
      <c r="BD734" s="147"/>
      <c r="BE734" s="147"/>
      <c r="BF734" s="147"/>
      <c r="BG734" s="147"/>
      <c r="BH734" s="147"/>
      <c r="BI734" s="147"/>
      <c r="BJ734" s="147"/>
      <c r="BK734" s="147"/>
      <c r="BL734" s="147"/>
      <c r="BM734" s="147"/>
      <c r="BN734" s="147"/>
      <c r="BO734" s="147"/>
      <c r="BP734" s="147"/>
      <c r="BQ734" s="147"/>
      <c r="BR734" s="147"/>
      <c r="BS734" s="147"/>
      <c r="BT734" s="147"/>
      <c r="BU734" s="147"/>
      <c r="BV734" s="147"/>
      <c r="BW734" s="147"/>
      <c r="BX734" s="147"/>
      <c r="BY734" s="147"/>
      <c r="BZ734" s="147"/>
      <c r="CA734" s="147"/>
      <c r="CB734" s="147"/>
      <c r="CC734" s="147"/>
      <c r="CD734" s="147"/>
      <c r="CE734" s="147"/>
      <c r="CF734" s="147"/>
      <c r="CG734" s="147"/>
      <c r="CH734" s="147"/>
      <c r="CI734" s="147"/>
      <c r="CJ734" s="147"/>
      <c r="CK734" s="147"/>
    </row>
    <row r="735" spans="1:89">
      <c r="A735" s="157"/>
      <c r="F735" s="3"/>
      <c r="G735" s="3"/>
      <c r="L735" s="157"/>
      <c r="M735" s="157"/>
      <c r="O735" s="147"/>
      <c r="P735" s="147"/>
      <c r="Q735" s="147"/>
      <c r="R735" s="147"/>
      <c r="S735" s="147"/>
      <c r="T735" s="147"/>
      <c r="U735" s="147"/>
      <c r="V735" s="147"/>
      <c r="W735" s="147"/>
      <c r="X735" s="147"/>
      <c r="Y735" s="147"/>
      <c r="Z735" s="147"/>
      <c r="AA735" s="147"/>
      <c r="AB735" s="147"/>
      <c r="AC735" s="147"/>
      <c r="AD735" s="147"/>
      <c r="AE735" s="147"/>
      <c r="AF735" s="147"/>
      <c r="AG735" s="147"/>
      <c r="AH735" s="147"/>
      <c r="AI735" s="147"/>
      <c r="AJ735" s="147"/>
      <c r="AK735" s="147"/>
      <c r="AL735" s="147"/>
      <c r="AM735" s="151"/>
      <c r="AN735" s="147"/>
      <c r="AO735" s="147"/>
      <c r="AP735" s="147"/>
      <c r="AQ735" s="147"/>
      <c r="AR735" s="147"/>
      <c r="AS735" s="147"/>
      <c r="AT735" s="147"/>
      <c r="AU735" s="147"/>
      <c r="AV735" s="147"/>
      <c r="AW735" s="147"/>
      <c r="AX735" s="147"/>
      <c r="AY735" s="147"/>
      <c r="AZ735" s="147"/>
      <c r="BA735" s="147"/>
      <c r="BB735" s="147"/>
      <c r="BC735" s="147"/>
      <c r="BD735" s="147"/>
      <c r="BE735" s="147"/>
      <c r="BF735" s="147"/>
      <c r="BG735" s="147"/>
      <c r="BH735" s="147"/>
      <c r="BI735" s="147"/>
      <c r="BJ735" s="147"/>
      <c r="BK735" s="147"/>
      <c r="BL735" s="147"/>
      <c r="BM735" s="147"/>
      <c r="BN735" s="147"/>
      <c r="BO735" s="147"/>
      <c r="BP735" s="147"/>
      <c r="BQ735" s="147"/>
      <c r="BR735" s="147"/>
      <c r="BS735" s="147"/>
      <c r="BT735" s="147"/>
      <c r="BU735" s="147"/>
      <c r="BV735" s="147"/>
      <c r="BW735" s="147"/>
      <c r="BX735" s="147"/>
      <c r="BY735" s="147"/>
      <c r="BZ735" s="147"/>
      <c r="CA735" s="147"/>
      <c r="CB735" s="147"/>
      <c r="CC735" s="147"/>
      <c r="CD735" s="147"/>
      <c r="CE735" s="147"/>
      <c r="CF735" s="147"/>
      <c r="CG735" s="147"/>
      <c r="CH735" s="147"/>
      <c r="CI735" s="147"/>
      <c r="CJ735" s="147"/>
      <c r="CK735" s="147"/>
    </row>
    <row r="736" spans="1:89">
      <c r="A736" s="157"/>
      <c r="F736" s="3"/>
      <c r="G736" s="3"/>
      <c r="L736" s="157"/>
      <c r="M736" s="157"/>
      <c r="O736" s="147"/>
      <c r="P736" s="147"/>
      <c r="Q736" s="147"/>
      <c r="R736" s="147"/>
      <c r="S736" s="147"/>
      <c r="T736" s="147"/>
      <c r="U736" s="147"/>
      <c r="V736" s="147"/>
      <c r="W736" s="147"/>
      <c r="X736" s="147"/>
      <c r="Y736" s="147"/>
      <c r="Z736" s="147"/>
      <c r="AA736" s="147"/>
      <c r="AB736" s="147"/>
      <c r="AC736" s="147"/>
      <c r="AD736" s="147"/>
      <c r="AE736" s="147"/>
      <c r="AF736" s="147"/>
      <c r="AG736" s="147"/>
      <c r="AH736" s="147"/>
      <c r="AI736" s="147"/>
      <c r="AJ736" s="147"/>
      <c r="AK736" s="147"/>
      <c r="AL736" s="147"/>
      <c r="AM736" s="151"/>
      <c r="AN736" s="147"/>
      <c r="AO736" s="147"/>
      <c r="AP736" s="147"/>
      <c r="AQ736" s="147"/>
      <c r="AR736" s="147"/>
      <c r="AS736" s="147"/>
      <c r="AT736" s="147"/>
      <c r="AU736" s="147"/>
      <c r="AV736" s="147"/>
      <c r="AW736" s="147"/>
      <c r="AX736" s="147"/>
      <c r="AY736" s="147"/>
      <c r="AZ736" s="147"/>
      <c r="BA736" s="147"/>
      <c r="BB736" s="147"/>
      <c r="BC736" s="147"/>
      <c r="BD736" s="147"/>
      <c r="BE736" s="147"/>
      <c r="BF736" s="147"/>
      <c r="BG736" s="147"/>
      <c r="BH736" s="147"/>
      <c r="BI736" s="147"/>
      <c r="BJ736" s="147"/>
      <c r="BK736" s="147"/>
      <c r="BL736" s="147"/>
      <c r="BM736" s="147"/>
      <c r="BN736" s="147"/>
      <c r="BO736" s="147"/>
      <c r="BP736" s="147"/>
      <c r="BQ736" s="147"/>
      <c r="BR736" s="147"/>
      <c r="BS736" s="147"/>
      <c r="BT736" s="147"/>
      <c r="BU736" s="147"/>
      <c r="BV736" s="147"/>
      <c r="BW736" s="147"/>
      <c r="BX736" s="147"/>
      <c r="BY736" s="147"/>
      <c r="BZ736" s="147"/>
      <c r="CA736" s="147"/>
      <c r="CB736" s="147"/>
      <c r="CC736" s="147"/>
      <c r="CD736" s="147"/>
      <c r="CE736" s="147"/>
      <c r="CF736" s="147"/>
      <c r="CG736" s="147"/>
      <c r="CH736" s="147"/>
      <c r="CI736" s="147"/>
      <c r="CJ736" s="147"/>
      <c r="CK736" s="147"/>
    </row>
    <row r="737" spans="1:89">
      <c r="A737" s="157"/>
      <c r="F737" s="3"/>
      <c r="G737" s="3"/>
      <c r="L737" s="157"/>
      <c r="M737" s="157"/>
      <c r="O737" s="147"/>
      <c r="P737" s="147"/>
      <c r="Q737" s="147"/>
      <c r="R737" s="147"/>
      <c r="S737" s="147"/>
      <c r="T737" s="147"/>
      <c r="U737" s="147"/>
      <c r="V737" s="147"/>
      <c r="W737" s="147"/>
      <c r="X737" s="147"/>
      <c r="Y737" s="147"/>
      <c r="Z737" s="147"/>
      <c r="AA737" s="147"/>
      <c r="AB737" s="147"/>
      <c r="AC737" s="147"/>
      <c r="AD737" s="147"/>
      <c r="AE737" s="147"/>
      <c r="AF737" s="147"/>
      <c r="AG737" s="147"/>
      <c r="AH737" s="147"/>
      <c r="AI737" s="147"/>
      <c r="AJ737" s="147"/>
      <c r="AK737" s="147"/>
      <c r="AL737" s="147"/>
      <c r="AM737" s="151"/>
      <c r="AN737" s="147"/>
      <c r="AO737" s="147"/>
      <c r="AP737" s="147"/>
      <c r="AQ737" s="147"/>
      <c r="AR737" s="147"/>
      <c r="AS737" s="147"/>
      <c r="AT737" s="147"/>
      <c r="AU737" s="147"/>
      <c r="AV737" s="147"/>
      <c r="AW737" s="147"/>
      <c r="AX737" s="147"/>
      <c r="AY737" s="147"/>
      <c r="AZ737" s="147"/>
      <c r="BA737" s="147"/>
      <c r="BB737" s="147"/>
      <c r="BC737" s="147"/>
      <c r="BD737" s="147"/>
      <c r="BE737" s="147"/>
      <c r="BF737" s="147"/>
      <c r="BG737" s="147"/>
      <c r="BH737" s="147"/>
      <c r="BI737" s="147"/>
      <c r="BJ737" s="147"/>
      <c r="BK737" s="147"/>
      <c r="BL737" s="147"/>
      <c r="BM737" s="147"/>
      <c r="BN737" s="147"/>
      <c r="BO737" s="147"/>
      <c r="BP737" s="147"/>
      <c r="BQ737" s="147"/>
      <c r="BR737" s="147"/>
      <c r="BS737" s="147"/>
      <c r="BT737" s="147"/>
      <c r="BU737" s="147"/>
      <c r="BV737" s="147"/>
      <c r="BW737" s="147"/>
      <c r="BX737" s="147"/>
      <c r="BY737" s="147"/>
      <c r="BZ737" s="147"/>
      <c r="CA737" s="147"/>
      <c r="CB737" s="147"/>
      <c r="CC737" s="147"/>
      <c r="CD737" s="147"/>
      <c r="CE737" s="147"/>
      <c r="CF737" s="147"/>
      <c r="CG737" s="147"/>
      <c r="CH737" s="147"/>
      <c r="CI737" s="147"/>
      <c r="CJ737" s="147"/>
      <c r="CK737" s="147"/>
    </row>
    <row r="738" spans="1:89">
      <c r="A738" s="157"/>
      <c r="F738" s="3"/>
      <c r="G738" s="3"/>
      <c r="L738" s="157"/>
      <c r="M738" s="157"/>
      <c r="O738" s="147"/>
      <c r="P738" s="147"/>
      <c r="Q738" s="147"/>
      <c r="R738" s="147"/>
      <c r="S738" s="147"/>
      <c r="T738" s="147"/>
      <c r="U738" s="147"/>
      <c r="V738" s="147"/>
      <c r="W738" s="147"/>
      <c r="X738" s="147"/>
      <c r="Y738" s="147"/>
      <c r="Z738" s="147"/>
      <c r="AA738" s="147"/>
      <c r="AB738" s="147"/>
      <c r="AC738" s="147"/>
      <c r="AD738" s="147"/>
      <c r="AE738" s="147"/>
      <c r="AF738" s="147"/>
      <c r="AG738" s="147"/>
      <c r="AH738" s="147"/>
      <c r="AI738" s="147"/>
      <c r="AJ738" s="147"/>
      <c r="AK738" s="147"/>
      <c r="AL738" s="147"/>
      <c r="AM738" s="151"/>
      <c r="AN738" s="147"/>
      <c r="AO738" s="147"/>
      <c r="AP738" s="147"/>
      <c r="AQ738" s="147"/>
      <c r="AR738" s="147"/>
      <c r="AS738" s="147"/>
      <c r="AT738" s="147"/>
      <c r="AU738" s="147"/>
      <c r="AV738" s="147"/>
      <c r="AW738" s="147"/>
      <c r="AX738" s="147"/>
      <c r="AY738" s="147"/>
      <c r="AZ738" s="147"/>
      <c r="BA738" s="147"/>
      <c r="BB738" s="147"/>
      <c r="BC738" s="147"/>
      <c r="BD738" s="147"/>
      <c r="BE738" s="147"/>
      <c r="BF738" s="147"/>
      <c r="BG738" s="147"/>
      <c r="BH738" s="147"/>
      <c r="BI738" s="147"/>
      <c r="BJ738" s="147"/>
      <c r="BK738" s="147"/>
      <c r="BL738" s="147"/>
      <c r="BM738" s="147"/>
      <c r="BN738" s="147"/>
      <c r="BO738" s="147"/>
      <c r="BP738" s="147"/>
      <c r="BQ738" s="147"/>
      <c r="BR738" s="147"/>
      <c r="BS738" s="147"/>
      <c r="BT738" s="147"/>
      <c r="BU738" s="147"/>
      <c r="BV738" s="147"/>
      <c r="BW738" s="147"/>
      <c r="BX738" s="147"/>
      <c r="BY738" s="147"/>
      <c r="BZ738" s="147"/>
      <c r="CA738" s="147"/>
      <c r="CB738" s="147"/>
      <c r="CC738" s="147"/>
      <c r="CD738" s="147"/>
      <c r="CE738" s="147"/>
      <c r="CF738" s="147"/>
      <c r="CG738" s="147"/>
      <c r="CH738" s="147"/>
      <c r="CI738" s="147"/>
      <c r="CJ738" s="147"/>
      <c r="CK738" s="147"/>
    </row>
    <row r="739" spans="1:89">
      <c r="A739" s="157"/>
      <c r="F739" s="3"/>
      <c r="G739" s="3"/>
      <c r="L739" s="157"/>
      <c r="M739" s="157"/>
      <c r="O739" s="147"/>
      <c r="P739" s="147"/>
      <c r="Q739" s="147"/>
      <c r="R739" s="147"/>
      <c r="S739" s="147"/>
      <c r="T739" s="147"/>
      <c r="U739" s="147"/>
      <c r="V739" s="147"/>
      <c r="W739" s="147"/>
      <c r="X739" s="147"/>
      <c r="Y739" s="147"/>
      <c r="Z739" s="147"/>
      <c r="AA739" s="147"/>
      <c r="AB739" s="147"/>
      <c r="AC739" s="147"/>
      <c r="AD739" s="147"/>
      <c r="AE739" s="147"/>
      <c r="AF739" s="147"/>
      <c r="AG739" s="147"/>
      <c r="AH739" s="147"/>
      <c r="AI739" s="147"/>
      <c r="AJ739" s="147"/>
      <c r="AK739" s="147"/>
      <c r="AL739" s="147"/>
      <c r="AM739" s="151"/>
      <c r="AN739" s="147"/>
      <c r="AO739" s="147"/>
      <c r="AP739" s="147"/>
      <c r="AQ739" s="147"/>
      <c r="AR739" s="147"/>
      <c r="AS739" s="147"/>
      <c r="AT739" s="147"/>
      <c r="AU739" s="147"/>
      <c r="AV739" s="147"/>
      <c r="AW739" s="147"/>
      <c r="AX739" s="147"/>
      <c r="AY739" s="147"/>
      <c r="AZ739" s="147"/>
      <c r="BA739" s="147"/>
      <c r="BB739" s="147"/>
      <c r="BC739" s="147"/>
      <c r="BD739" s="147"/>
      <c r="BE739" s="147"/>
      <c r="BF739" s="147"/>
      <c r="BG739" s="147"/>
      <c r="BH739" s="147"/>
      <c r="BI739" s="147"/>
      <c r="BJ739" s="147"/>
      <c r="BK739" s="147"/>
      <c r="BL739" s="147"/>
      <c r="BM739" s="147"/>
      <c r="BN739" s="147"/>
      <c r="BO739" s="147"/>
      <c r="BP739" s="147"/>
      <c r="BQ739" s="147"/>
      <c r="BR739" s="147"/>
      <c r="BS739" s="147"/>
      <c r="BT739" s="147"/>
      <c r="BU739" s="147"/>
      <c r="BV739" s="147"/>
      <c r="BW739" s="147"/>
      <c r="BX739" s="147"/>
      <c r="BY739" s="147"/>
      <c r="BZ739" s="147"/>
      <c r="CA739" s="147"/>
      <c r="CB739" s="147"/>
      <c r="CC739" s="147"/>
      <c r="CD739" s="147"/>
      <c r="CE739" s="147"/>
      <c r="CF739" s="147"/>
      <c r="CG739" s="147"/>
      <c r="CH739" s="147"/>
      <c r="CI739" s="147"/>
      <c r="CJ739" s="147"/>
      <c r="CK739" s="147"/>
    </row>
    <row r="740" spans="1:89">
      <c r="A740" s="157"/>
      <c r="F740" s="3"/>
      <c r="G740" s="3"/>
      <c r="L740" s="157"/>
      <c r="M740" s="157"/>
      <c r="O740" s="147"/>
      <c r="P740" s="147"/>
      <c r="Q740" s="147"/>
      <c r="R740" s="147"/>
      <c r="S740" s="147"/>
      <c r="T740" s="147"/>
      <c r="U740" s="147"/>
      <c r="V740" s="147"/>
      <c r="W740" s="147"/>
      <c r="X740" s="147"/>
      <c r="Y740" s="147"/>
      <c r="Z740" s="147"/>
      <c r="AA740" s="147"/>
      <c r="AB740" s="147"/>
      <c r="AC740" s="147"/>
      <c r="AD740" s="147"/>
      <c r="AE740" s="147"/>
      <c r="AF740" s="147"/>
      <c r="AG740" s="147"/>
      <c r="AH740" s="147"/>
      <c r="AI740" s="147"/>
      <c r="AJ740" s="147"/>
      <c r="AK740" s="147"/>
      <c r="AL740" s="147"/>
      <c r="AM740" s="151"/>
      <c r="AN740" s="147"/>
      <c r="AO740" s="147"/>
      <c r="AP740" s="147"/>
      <c r="AQ740" s="147"/>
      <c r="AR740" s="147"/>
      <c r="AS740" s="147"/>
      <c r="AT740" s="147"/>
      <c r="AU740" s="147"/>
      <c r="AV740" s="147"/>
      <c r="AW740" s="147"/>
      <c r="AX740" s="147"/>
      <c r="AY740" s="147"/>
      <c r="AZ740" s="147"/>
      <c r="BA740" s="147"/>
      <c r="BB740" s="147"/>
      <c r="BC740" s="147"/>
      <c r="BD740" s="147"/>
      <c r="BE740" s="147"/>
      <c r="BF740" s="147"/>
      <c r="BG740" s="147"/>
      <c r="BH740" s="147"/>
      <c r="BI740" s="147"/>
      <c r="BJ740" s="147"/>
      <c r="BK740" s="147"/>
      <c r="BL740" s="147"/>
      <c r="BM740" s="147"/>
      <c r="BN740" s="147"/>
      <c r="BO740" s="147"/>
      <c r="BP740" s="147"/>
      <c r="BQ740" s="147"/>
      <c r="BR740" s="147"/>
      <c r="BS740" s="147"/>
      <c r="BT740" s="147"/>
      <c r="BU740" s="147"/>
      <c r="BV740" s="147"/>
      <c r="BW740" s="147"/>
      <c r="BX740" s="147"/>
      <c r="BY740" s="147"/>
      <c r="BZ740" s="147"/>
      <c r="CA740" s="147"/>
      <c r="CB740" s="147"/>
      <c r="CC740" s="147"/>
      <c r="CD740" s="147"/>
      <c r="CE740" s="147"/>
      <c r="CF740" s="147"/>
      <c r="CG740" s="147"/>
      <c r="CH740" s="147"/>
      <c r="CI740" s="147"/>
      <c r="CJ740" s="147"/>
      <c r="CK740" s="147"/>
    </row>
    <row r="741" spans="1:89">
      <c r="A741" s="157"/>
      <c r="F741" s="3"/>
      <c r="G741" s="3"/>
      <c r="L741" s="157"/>
      <c r="M741" s="157"/>
      <c r="O741" s="147"/>
      <c r="P741" s="147"/>
      <c r="Q741" s="147"/>
      <c r="R741" s="147"/>
      <c r="S741" s="147"/>
      <c r="T741" s="147"/>
      <c r="U741" s="147"/>
      <c r="V741" s="147"/>
      <c r="W741" s="147"/>
      <c r="X741" s="147"/>
      <c r="Y741" s="147"/>
      <c r="Z741" s="147"/>
      <c r="AA741" s="147"/>
      <c r="AB741" s="147"/>
      <c r="AC741" s="147"/>
      <c r="AD741" s="147"/>
      <c r="AE741" s="147"/>
      <c r="AF741" s="147"/>
      <c r="AG741" s="147"/>
      <c r="AH741" s="147"/>
      <c r="AI741" s="147"/>
      <c r="AJ741" s="147"/>
      <c r="AK741" s="147"/>
      <c r="AL741" s="147"/>
      <c r="AM741" s="151"/>
      <c r="AN741" s="147"/>
      <c r="AO741" s="147"/>
      <c r="AP741" s="147"/>
      <c r="AQ741" s="147"/>
      <c r="AR741" s="147"/>
      <c r="AS741" s="147"/>
      <c r="AT741" s="147"/>
      <c r="AU741" s="147"/>
      <c r="AV741" s="147"/>
      <c r="AW741" s="147"/>
      <c r="AX741" s="147"/>
      <c r="AY741" s="147"/>
      <c r="AZ741" s="147"/>
      <c r="BA741" s="147"/>
      <c r="BB741" s="147"/>
      <c r="BC741" s="147"/>
      <c r="BD741" s="147"/>
      <c r="BE741" s="147"/>
      <c r="BF741" s="147"/>
      <c r="BG741" s="147"/>
      <c r="BH741" s="147"/>
      <c r="BI741" s="147"/>
      <c r="BJ741" s="147"/>
      <c r="BK741" s="147"/>
      <c r="BL741" s="147"/>
      <c r="BM741" s="147"/>
      <c r="BN741" s="147"/>
      <c r="BO741" s="147"/>
      <c r="BP741" s="147"/>
      <c r="BQ741" s="147"/>
      <c r="BR741" s="147"/>
      <c r="BS741" s="147"/>
      <c r="BT741" s="147"/>
      <c r="BU741" s="147"/>
      <c r="BV741" s="147"/>
      <c r="BW741" s="147"/>
      <c r="BX741" s="147"/>
      <c r="BY741" s="147"/>
      <c r="BZ741" s="147"/>
      <c r="CA741" s="147"/>
      <c r="CB741" s="147"/>
      <c r="CC741" s="147"/>
      <c r="CD741" s="147"/>
      <c r="CE741" s="147"/>
      <c r="CF741" s="147"/>
      <c r="CG741" s="147"/>
      <c r="CH741" s="147"/>
      <c r="CI741" s="147"/>
      <c r="CJ741" s="147"/>
      <c r="CK741" s="147"/>
    </row>
    <row r="742" spans="1:89">
      <c r="A742" s="157"/>
      <c r="F742" s="3"/>
      <c r="G742" s="3"/>
      <c r="L742" s="157"/>
      <c r="M742" s="157"/>
      <c r="O742" s="147"/>
      <c r="P742" s="147"/>
      <c r="Q742" s="147"/>
      <c r="R742" s="147"/>
      <c r="S742" s="147"/>
      <c r="T742" s="147"/>
      <c r="U742" s="147"/>
      <c r="V742" s="147"/>
      <c r="W742" s="147"/>
      <c r="X742" s="147"/>
      <c r="Y742" s="147"/>
      <c r="Z742" s="147"/>
      <c r="AA742" s="147"/>
      <c r="AB742" s="147"/>
      <c r="AC742" s="147"/>
      <c r="AD742" s="147"/>
      <c r="AE742" s="147"/>
      <c r="AF742" s="147"/>
      <c r="AG742" s="147"/>
      <c r="AH742" s="147"/>
      <c r="AI742" s="147"/>
      <c r="AJ742" s="147"/>
      <c r="AK742" s="147"/>
      <c r="AL742" s="147"/>
      <c r="AM742" s="151"/>
      <c r="AN742" s="147"/>
      <c r="AO742" s="147"/>
      <c r="AP742" s="147"/>
      <c r="AQ742" s="147"/>
      <c r="AR742" s="147"/>
      <c r="AS742" s="147"/>
      <c r="AT742" s="147"/>
      <c r="AU742" s="147"/>
      <c r="AV742" s="147"/>
      <c r="AW742" s="147"/>
      <c r="AX742" s="147"/>
      <c r="AY742" s="147"/>
      <c r="AZ742" s="147"/>
      <c r="BA742" s="147"/>
      <c r="BB742" s="147"/>
      <c r="BC742" s="147"/>
      <c r="BD742" s="147"/>
      <c r="BE742" s="147"/>
      <c r="BF742" s="147"/>
      <c r="BG742" s="147"/>
      <c r="BH742" s="147"/>
      <c r="BI742" s="147"/>
      <c r="BJ742" s="147"/>
      <c r="BK742" s="147"/>
      <c r="BL742" s="147"/>
      <c r="BM742" s="147"/>
      <c r="BN742" s="147"/>
      <c r="BO742" s="147"/>
      <c r="BP742" s="147"/>
      <c r="BQ742" s="147"/>
      <c r="BR742" s="147"/>
      <c r="BS742" s="147"/>
      <c r="BT742" s="147"/>
      <c r="BU742" s="147"/>
      <c r="BV742" s="147"/>
      <c r="BW742" s="147"/>
      <c r="BX742" s="147"/>
      <c r="BY742" s="147"/>
      <c r="BZ742" s="147"/>
      <c r="CA742" s="147"/>
      <c r="CB742" s="147"/>
      <c r="CC742" s="147"/>
      <c r="CD742" s="147"/>
      <c r="CE742" s="147"/>
      <c r="CF742" s="147"/>
      <c r="CG742" s="147"/>
      <c r="CH742" s="147"/>
      <c r="CI742" s="147"/>
      <c r="CJ742" s="147"/>
      <c r="CK742" s="147"/>
    </row>
    <row r="743" spans="1:89">
      <c r="A743" s="157"/>
      <c r="F743" s="3"/>
      <c r="G743" s="3"/>
      <c r="L743" s="157"/>
      <c r="M743" s="157"/>
      <c r="O743" s="147"/>
      <c r="P743" s="147"/>
      <c r="Q743" s="147"/>
      <c r="R743" s="147"/>
      <c r="S743" s="147"/>
      <c r="T743" s="147"/>
      <c r="U743" s="147"/>
      <c r="V743" s="147"/>
      <c r="W743" s="147"/>
      <c r="X743" s="147"/>
      <c r="Y743" s="147"/>
      <c r="Z743" s="147"/>
      <c r="AA743" s="147"/>
      <c r="AB743" s="147"/>
      <c r="AC743" s="147"/>
      <c r="AD743" s="147"/>
      <c r="AE743" s="147"/>
      <c r="AF743" s="147"/>
      <c r="AG743" s="147"/>
      <c r="AH743" s="147"/>
      <c r="AI743" s="147"/>
      <c r="AJ743" s="147"/>
      <c r="AK743" s="147"/>
      <c r="AL743" s="147"/>
      <c r="AM743" s="151"/>
      <c r="AN743" s="147"/>
      <c r="AO743" s="147"/>
      <c r="AP743" s="147"/>
      <c r="AQ743" s="147"/>
      <c r="AR743" s="147"/>
      <c r="AS743" s="147"/>
      <c r="AT743" s="147"/>
      <c r="AU743" s="147"/>
      <c r="AV743" s="147"/>
      <c r="AW743" s="147"/>
      <c r="AX743" s="147"/>
      <c r="AY743" s="147"/>
      <c r="AZ743" s="147"/>
      <c r="BA743" s="147"/>
      <c r="BB743" s="147"/>
      <c r="BC743" s="147"/>
      <c r="BD743" s="147"/>
      <c r="BE743" s="147"/>
      <c r="BF743" s="147"/>
      <c r="BG743" s="147"/>
      <c r="BH743" s="147"/>
      <c r="BI743" s="147"/>
      <c r="BJ743" s="147"/>
      <c r="BK743" s="147"/>
      <c r="BL743" s="147"/>
      <c r="BM743" s="147"/>
      <c r="BN743" s="147"/>
      <c r="BO743" s="147"/>
      <c r="BP743" s="147"/>
      <c r="BQ743" s="147"/>
      <c r="BR743" s="147"/>
      <c r="BS743" s="147"/>
      <c r="BT743" s="147"/>
      <c r="BU743" s="147"/>
      <c r="BV743" s="147"/>
      <c r="BW743" s="147"/>
      <c r="BX743" s="147"/>
      <c r="BY743" s="147"/>
      <c r="BZ743" s="147"/>
      <c r="CA743" s="147"/>
      <c r="CB743" s="147"/>
      <c r="CC743" s="147"/>
      <c r="CD743" s="147"/>
      <c r="CE743" s="147"/>
      <c r="CF743" s="147"/>
      <c r="CG743" s="147"/>
      <c r="CH743" s="147"/>
      <c r="CI743" s="147"/>
      <c r="CJ743" s="147"/>
      <c r="CK743" s="147"/>
    </row>
    <row r="744" spans="1:89">
      <c r="A744" s="157"/>
      <c r="F744" s="3"/>
      <c r="G744" s="3"/>
      <c r="L744" s="157"/>
      <c r="M744" s="157"/>
      <c r="O744" s="147"/>
      <c r="P744" s="147"/>
      <c r="Q744" s="147"/>
      <c r="R744" s="147"/>
      <c r="S744" s="147"/>
      <c r="T744" s="147"/>
      <c r="U744" s="147"/>
      <c r="V744" s="147"/>
      <c r="W744" s="147"/>
      <c r="X744" s="147"/>
      <c r="Y744" s="147"/>
      <c r="Z744" s="147"/>
      <c r="AA744" s="147"/>
      <c r="AB744" s="147"/>
      <c r="AC744" s="147"/>
      <c r="AD744" s="147"/>
      <c r="AE744" s="147"/>
      <c r="AF744" s="147"/>
      <c r="AG744" s="147"/>
      <c r="AH744" s="147"/>
      <c r="AI744" s="147"/>
      <c r="AJ744" s="147"/>
      <c r="AK744" s="147"/>
      <c r="AL744" s="147"/>
      <c r="AM744" s="151"/>
      <c r="AN744" s="147"/>
      <c r="AO744" s="147"/>
      <c r="AP744" s="147"/>
      <c r="AQ744" s="147"/>
      <c r="AR744" s="147"/>
      <c r="AS744" s="147"/>
      <c r="AT744" s="147"/>
      <c r="AU744" s="147"/>
      <c r="AV744" s="147"/>
      <c r="AW744" s="147"/>
      <c r="AX744" s="147"/>
      <c r="AY744" s="147"/>
      <c r="AZ744" s="147"/>
      <c r="BA744" s="147"/>
      <c r="BB744" s="147"/>
      <c r="BC744" s="147"/>
      <c r="BD744" s="147"/>
      <c r="BE744" s="147"/>
      <c r="BF744" s="147"/>
      <c r="BG744" s="147"/>
      <c r="BH744" s="147"/>
      <c r="BI744" s="147"/>
      <c r="BJ744" s="147"/>
      <c r="BK744" s="147"/>
      <c r="BL744" s="147"/>
      <c r="BM744" s="147"/>
      <c r="BN744" s="147"/>
      <c r="BO744" s="147"/>
      <c r="BP744" s="147"/>
      <c r="BQ744" s="147"/>
      <c r="BR744" s="147"/>
      <c r="BS744" s="147"/>
      <c r="BT744" s="147"/>
      <c r="BU744" s="147"/>
      <c r="BV744" s="147"/>
      <c r="BW744" s="147"/>
      <c r="BX744" s="147"/>
      <c r="BY744" s="147"/>
      <c r="BZ744" s="147"/>
      <c r="CA744" s="147"/>
      <c r="CB744" s="147"/>
      <c r="CC744" s="147"/>
      <c r="CD744" s="147"/>
      <c r="CE744" s="147"/>
      <c r="CF744" s="147"/>
      <c r="CG744" s="147"/>
      <c r="CH744" s="147"/>
      <c r="CI744" s="147"/>
      <c r="CJ744" s="147"/>
      <c r="CK744" s="147"/>
    </row>
    <row r="745" spans="1:89">
      <c r="A745" s="157"/>
      <c r="F745" s="3"/>
      <c r="G745" s="3"/>
      <c r="L745" s="157"/>
      <c r="M745" s="157"/>
      <c r="O745" s="147"/>
      <c r="P745" s="147"/>
      <c r="Q745" s="147"/>
      <c r="R745" s="147"/>
      <c r="S745" s="147"/>
      <c r="T745" s="147"/>
      <c r="U745" s="147"/>
      <c r="V745" s="147"/>
      <c r="W745" s="147"/>
      <c r="X745" s="147"/>
      <c r="Y745" s="147"/>
      <c r="Z745" s="147"/>
      <c r="AA745" s="147"/>
      <c r="AB745" s="147"/>
      <c r="AC745" s="147"/>
      <c r="AD745" s="147"/>
      <c r="AE745" s="147"/>
      <c r="AF745" s="147"/>
      <c r="AG745" s="147"/>
      <c r="AH745" s="147"/>
      <c r="AI745" s="147"/>
      <c r="AJ745" s="147"/>
      <c r="AK745" s="147"/>
      <c r="AL745" s="147"/>
      <c r="AM745" s="151"/>
      <c r="AN745" s="147"/>
      <c r="AO745" s="147"/>
      <c r="AP745" s="147"/>
      <c r="AQ745" s="147"/>
      <c r="AR745" s="147"/>
      <c r="AS745" s="147"/>
      <c r="AT745" s="147"/>
      <c r="AU745" s="147"/>
      <c r="AV745" s="147"/>
      <c r="AW745" s="147"/>
      <c r="AX745" s="147"/>
      <c r="AY745" s="147"/>
      <c r="AZ745" s="147"/>
      <c r="BA745" s="147"/>
      <c r="BB745" s="147"/>
      <c r="BC745" s="147"/>
      <c r="BD745" s="147"/>
      <c r="BE745" s="147"/>
      <c r="BF745" s="147"/>
      <c r="BG745" s="147"/>
      <c r="BH745" s="147"/>
      <c r="BI745" s="147"/>
      <c r="BJ745" s="147"/>
      <c r="BK745" s="147"/>
      <c r="BL745" s="147"/>
      <c r="BM745" s="147"/>
      <c r="BN745" s="147"/>
      <c r="BO745" s="147"/>
      <c r="BP745" s="147"/>
      <c r="BQ745" s="147"/>
      <c r="BR745" s="147"/>
      <c r="BS745" s="147"/>
      <c r="BT745" s="147"/>
      <c r="BU745" s="147"/>
      <c r="BV745" s="147"/>
      <c r="BW745" s="147"/>
      <c r="BX745" s="147"/>
      <c r="BY745" s="147"/>
      <c r="BZ745" s="147"/>
      <c r="CA745" s="147"/>
      <c r="CB745" s="147"/>
      <c r="CC745" s="147"/>
      <c r="CD745" s="147"/>
      <c r="CE745" s="147"/>
      <c r="CF745" s="147"/>
      <c r="CG745" s="147"/>
      <c r="CH745" s="147"/>
      <c r="CI745" s="147"/>
      <c r="CJ745" s="147"/>
      <c r="CK745" s="147"/>
    </row>
    <row r="746" spans="1:89">
      <c r="A746" s="157"/>
      <c r="F746" s="3"/>
      <c r="G746" s="3"/>
      <c r="L746" s="157"/>
      <c r="M746" s="157"/>
      <c r="O746" s="147"/>
      <c r="P746" s="147"/>
      <c r="Q746" s="147"/>
      <c r="R746" s="147"/>
      <c r="S746" s="147"/>
      <c r="T746" s="147"/>
      <c r="U746" s="147"/>
      <c r="V746" s="147"/>
      <c r="W746" s="147"/>
      <c r="X746" s="147"/>
      <c r="Y746" s="147"/>
      <c r="Z746" s="147"/>
      <c r="AA746" s="147"/>
      <c r="AB746" s="147"/>
      <c r="AC746" s="147"/>
      <c r="AD746" s="147"/>
      <c r="AE746" s="147"/>
      <c r="AF746" s="147"/>
      <c r="AG746" s="147"/>
      <c r="AH746" s="147"/>
      <c r="AI746" s="147"/>
      <c r="AJ746" s="147"/>
      <c r="AK746" s="147"/>
      <c r="AL746" s="147"/>
      <c r="AM746" s="151"/>
      <c r="AN746" s="147"/>
      <c r="AO746" s="147"/>
      <c r="AP746" s="147"/>
      <c r="AQ746" s="147"/>
      <c r="AR746" s="147"/>
      <c r="AS746" s="147"/>
      <c r="AT746" s="147"/>
      <c r="AU746" s="147"/>
      <c r="AV746" s="147"/>
      <c r="AW746" s="147"/>
      <c r="AX746" s="147"/>
      <c r="AY746" s="147"/>
      <c r="AZ746" s="147"/>
      <c r="BA746" s="147"/>
      <c r="BB746" s="147"/>
      <c r="BC746" s="147"/>
      <c r="BD746" s="147"/>
      <c r="BE746" s="147"/>
      <c r="BF746" s="147"/>
      <c r="BG746" s="147"/>
      <c r="BH746" s="147"/>
      <c r="BI746" s="147"/>
      <c r="BJ746" s="147"/>
      <c r="BK746" s="147"/>
      <c r="BL746" s="147"/>
      <c r="BM746" s="147"/>
      <c r="BN746" s="147"/>
      <c r="BO746" s="147"/>
      <c r="BP746" s="147"/>
      <c r="BQ746" s="147"/>
      <c r="BR746" s="147"/>
      <c r="BS746" s="147"/>
      <c r="BT746" s="147"/>
      <c r="BU746" s="147"/>
      <c r="BV746" s="147"/>
      <c r="BW746" s="147"/>
      <c r="BX746" s="147"/>
      <c r="BY746" s="147"/>
      <c r="BZ746" s="147"/>
      <c r="CA746" s="147"/>
      <c r="CB746" s="147"/>
      <c r="CC746" s="147"/>
      <c r="CD746" s="147"/>
      <c r="CE746" s="147"/>
      <c r="CF746" s="147"/>
      <c r="CG746" s="147"/>
      <c r="CH746" s="147"/>
      <c r="CI746" s="147"/>
      <c r="CJ746" s="147"/>
      <c r="CK746" s="147"/>
    </row>
    <row r="747" spans="1:89">
      <c r="A747" s="157"/>
      <c r="F747" s="3"/>
      <c r="G747" s="3"/>
      <c r="L747" s="157"/>
      <c r="M747" s="157"/>
      <c r="O747" s="147"/>
      <c r="P747" s="147"/>
      <c r="Q747" s="147"/>
      <c r="R747" s="147"/>
      <c r="S747" s="147"/>
      <c r="T747" s="147"/>
      <c r="U747" s="147"/>
      <c r="V747" s="147"/>
      <c r="W747" s="147"/>
      <c r="X747" s="147"/>
      <c r="Y747" s="147"/>
      <c r="Z747" s="147"/>
      <c r="AA747" s="147"/>
      <c r="AB747" s="147"/>
      <c r="AC747" s="147"/>
      <c r="AD747" s="147"/>
      <c r="AE747" s="147"/>
      <c r="AF747" s="147"/>
      <c r="AG747" s="147"/>
      <c r="AH747" s="147"/>
      <c r="AI747" s="147"/>
      <c r="AJ747" s="147"/>
      <c r="AK747" s="147"/>
      <c r="AL747" s="147"/>
      <c r="AM747" s="151"/>
      <c r="AN747" s="147"/>
      <c r="AO747" s="147"/>
      <c r="AP747" s="147"/>
      <c r="AQ747" s="147"/>
      <c r="AR747" s="147"/>
      <c r="AS747" s="147"/>
      <c r="AT747" s="147"/>
      <c r="AU747" s="147"/>
      <c r="AV747" s="147"/>
      <c r="AW747" s="147"/>
      <c r="AX747" s="147"/>
      <c r="AY747" s="147"/>
      <c r="AZ747" s="147"/>
      <c r="BA747" s="147"/>
      <c r="BB747" s="147"/>
      <c r="BC747" s="147"/>
      <c r="BD747" s="147"/>
      <c r="BE747" s="147"/>
      <c r="BF747" s="147"/>
      <c r="BG747" s="147"/>
      <c r="BH747" s="147"/>
      <c r="BI747" s="147"/>
      <c r="BJ747" s="147"/>
      <c r="BK747" s="147"/>
      <c r="BL747" s="147"/>
      <c r="BM747" s="147"/>
      <c r="BN747" s="147"/>
      <c r="BO747" s="147"/>
      <c r="BP747" s="147"/>
      <c r="BQ747" s="147"/>
      <c r="BR747" s="147"/>
      <c r="BS747" s="147"/>
      <c r="BT747" s="147"/>
      <c r="BU747" s="147"/>
      <c r="BV747" s="147"/>
      <c r="BW747" s="147"/>
      <c r="BX747" s="147"/>
      <c r="BY747" s="147"/>
      <c r="BZ747" s="147"/>
      <c r="CA747" s="147"/>
      <c r="CB747" s="147"/>
      <c r="CC747" s="147"/>
      <c r="CD747" s="147"/>
      <c r="CE747" s="147"/>
      <c r="CF747" s="147"/>
      <c r="CG747" s="147"/>
      <c r="CH747" s="147"/>
      <c r="CI747" s="147"/>
      <c r="CJ747" s="147"/>
      <c r="CK747" s="147"/>
    </row>
    <row r="748" spans="1:89">
      <c r="A748" s="157"/>
      <c r="F748" s="3"/>
      <c r="G748" s="3"/>
      <c r="L748" s="157"/>
      <c r="M748" s="157"/>
      <c r="O748" s="147"/>
      <c r="P748" s="147"/>
      <c r="Q748" s="147"/>
      <c r="R748" s="147"/>
      <c r="S748" s="147"/>
      <c r="T748" s="147"/>
      <c r="U748" s="147"/>
      <c r="V748" s="147"/>
      <c r="W748" s="147"/>
      <c r="X748" s="147"/>
      <c r="Y748" s="147"/>
      <c r="Z748" s="147"/>
      <c r="AA748" s="147"/>
      <c r="AB748" s="147"/>
      <c r="AC748" s="147"/>
      <c r="AD748" s="147"/>
      <c r="AE748" s="147"/>
      <c r="AF748" s="147"/>
      <c r="AG748" s="147"/>
      <c r="AH748" s="147"/>
      <c r="AI748" s="147"/>
      <c r="AJ748" s="147"/>
      <c r="AK748" s="147"/>
      <c r="AL748" s="147"/>
      <c r="AM748" s="151"/>
      <c r="AN748" s="147"/>
      <c r="AO748" s="147"/>
      <c r="AP748" s="147"/>
      <c r="AQ748" s="147"/>
      <c r="AR748" s="147"/>
      <c r="AS748" s="147"/>
      <c r="AT748" s="147"/>
      <c r="AU748" s="147"/>
      <c r="AV748" s="147"/>
      <c r="AW748" s="147"/>
      <c r="AX748" s="147"/>
      <c r="AY748" s="147"/>
      <c r="AZ748" s="147"/>
      <c r="BA748" s="147"/>
      <c r="BB748" s="147"/>
      <c r="BC748" s="147"/>
      <c r="BD748" s="147"/>
      <c r="BE748" s="147"/>
      <c r="BF748" s="147"/>
      <c r="BG748" s="147"/>
      <c r="BH748" s="147"/>
      <c r="BI748" s="147"/>
      <c r="BJ748" s="147"/>
      <c r="BK748" s="147"/>
      <c r="BL748" s="147"/>
      <c r="BM748" s="147"/>
      <c r="BN748" s="147"/>
      <c r="BO748" s="147"/>
      <c r="BP748" s="147"/>
      <c r="BQ748" s="147"/>
      <c r="BR748" s="147"/>
      <c r="BS748" s="147"/>
      <c r="BT748" s="147"/>
      <c r="BU748" s="147"/>
      <c r="BV748" s="147"/>
      <c r="BW748" s="147"/>
      <c r="BX748" s="147"/>
      <c r="BY748" s="147"/>
      <c r="BZ748" s="147"/>
      <c r="CA748" s="147"/>
      <c r="CB748" s="147"/>
      <c r="CC748" s="147"/>
      <c r="CD748" s="147"/>
      <c r="CE748" s="147"/>
      <c r="CF748" s="147"/>
      <c r="CG748" s="147"/>
      <c r="CH748" s="147"/>
      <c r="CI748" s="147"/>
      <c r="CJ748" s="147"/>
      <c r="CK748" s="147"/>
    </row>
    <row r="749" spans="1:89">
      <c r="A749" s="157"/>
      <c r="F749" s="3"/>
      <c r="G749" s="3"/>
      <c r="L749" s="157"/>
      <c r="M749" s="157"/>
      <c r="O749" s="147"/>
      <c r="P749" s="147"/>
      <c r="Q749" s="147"/>
      <c r="R749" s="147"/>
      <c r="S749" s="147"/>
      <c r="T749" s="147"/>
      <c r="U749" s="147"/>
      <c r="V749" s="147"/>
      <c r="W749" s="147"/>
      <c r="X749" s="147"/>
      <c r="Y749" s="147"/>
      <c r="Z749" s="147"/>
      <c r="AA749" s="147"/>
      <c r="AB749" s="147"/>
      <c r="AC749" s="147"/>
      <c r="AD749" s="147"/>
      <c r="AE749" s="147"/>
      <c r="AF749" s="147"/>
      <c r="AG749" s="147"/>
      <c r="AH749" s="147"/>
      <c r="AI749" s="147"/>
      <c r="AJ749" s="147"/>
      <c r="AK749" s="147"/>
      <c r="AL749" s="147"/>
      <c r="AM749" s="151"/>
      <c r="AN749" s="147"/>
      <c r="AO749" s="147"/>
      <c r="AP749" s="147"/>
      <c r="AQ749" s="147"/>
      <c r="AR749" s="147"/>
      <c r="AS749" s="147"/>
      <c r="AT749" s="147"/>
      <c r="AU749" s="147"/>
      <c r="AV749" s="147"/>
      <c r="AW749" s="147"/>
      <c r="AX749" s="147"/>
      <c r="AY749" s="147"/>
      <c r="AZ749" s="147"/>
      <c r="BA749" s="147"/>
      <c r="BB749" s="147"/>
      <c r="BC749" s="147"/>
      <c r="BD749" s="147"/>
      <c r="BE749" s="147"/>
      <c r="BF749" s="147"/>
      <c r="BG749" s="147"/>
      <c r="BH749" s="147"/>
      <c r="BI749" s="147"/>
      <c r="BJ749" s="147"/>
      <c r="BK749" s="147"/>
      <c r="BL749" s="147"/>
      <c r="BM749" s="147"/>
      <c r="BN749" s="147"/>
      <c r="BO749" s="147"/>
      <c r="BP749" s="147"/>
      <c r="BQ749" s="147"/>
      <c r="BR749" s="147"/>
      <c r="BS749" s="147"/>
      <c r="BT749" s="147"/>
      <c r="BU749" s="147"/>
      <c r="BV749" s="147"/>
      <c r="BW749" s="147"/>
      <c r="BX749" s="147"/>
      <c r="BY749" s="147"/>
      <c r="BZ749" s="147"/>
      <c r="CA749" s="147"/>
      <c r="CB749" s="147"/>
      <c r="CC749" s="147"/>
      <c r="CD749" s="147"/>
      <c r="CE749" s="147"/>
      <c r="CF749" s="147"/>
      <c r="CG749" s="147"/>
      <c r="CH749" s="147"/>
      <c r="CI749" s="147"/>
      <c r="CJ749" s="147"/>
      <c r="CK749" s="147"/>
    </row>
    <row r="750" spans="1:89">
      <c r="A750" s="157"/>
      <c r="F750" s="3"/>
      <c r="G750" s="3"/>
      <c r="L750" s="157"/>
      <c r="M750" s="157"/>
      <c r="O750" s="147"/>
      <c r="P750" s="147"/>
      <c r="Q750" s="147"/>
      <c r="R750" s="147"/>
      <c r="S750" s="147"/>
      <c r="T750" s="147"/>
      <c r="U750" s="147"/>
      <c r="V750" s="147"/>
      <c r="W750" s="147"/>
      <c r="X750" s="147"/>
      <c r="Y750" s="147"/>
      <c r="Z750" s="147"/>
      <c r="AA750" s="147"/>
      <c r="AB750" s="147"/>
      <c r="AC750" s="147"/>
      <c r="AD750" s="147"/>
      <c r="AE750" s="147"/>
      <c r="AF750" s="147"/>
      <c r="AG750" s="147"/>
      <c r="AH750" s="147"/>
      <c r="AI750" s="147"/>
      <c r="AJ750" s="147"/>
      <c r="AK750" s="147"/>
      <c r="AL750" s="147"/>
      <c r="AM750" s="151"/>
      <c r="AN750" s="147"/>
      <c r="AO750" s="147"/>
      <c r="AP750" s="147"/>
      <c r="AQ750" s="147"/>
      <c r="AR750" s="147"/>
      <c r="AS750" s="147"/>
      <c r="AT750" s="147"/>
      <c r="AU750" s="147"/>
      <c r="AV750" s="147"/>
      <c r="AW750" s="147"/>
      <c r="AX750" s="147"/>
      <c r="AY750" s="147"/>
      <c r="AZ750" s="147"/>
      <c r="BA750" s="147"/>
      <c r="BB750" s="147"/>
      <c r="BC750" s="147"/>
      <c r="BD750" s="147"/>
      <c r="BE750" s="147"/>
      <c r="BF750" s="147"/>
      <c r="BG750" s="147"/>
      <c r="BH750" s="147"/>
      <c r="BI750" s="147"/>
      <c r="BJ750" s="147"/>
      <c r="BK750" s="147"/>
      <c r="BL750" s="147"/>
      <c r="BM750" s="147"/>
      <c r="BN750" s="147"/>
      <c r="BO750" s="147"/>
      <c r="BP750" s="147"/>
      <c r="BQ750" s="147"/>
      <c r="BR750" s="147"/>
      <c r="BS750" s="147"/>
      <c r="BT750" s="147"/>
      <c r="BU750" s="147"/>
      <c r="BV750" s="147"/>
      <c r="BW750" s="147"/>
      <c r="BX750" s="147"/>
      <c r="BY750" s="147"/>
      <c r="BZ750" s="147"/>
      <c r="CA750" s="147"/>
      <c r="CB750" s="147"/>
      <c r="CC750" s="147"/>
      <c r="CD750" s="147"/>
      <c r="CE750" s="147"/>
      <c r="CF750" s="147"/>
      <c r="CG750" s="147"/>
      <c r="CH750" s="147"/>
      <c r="CI750" s="147"/>
      <c r="CJ750" s="147"/>
      <c r="CK750" s="147"/>
    </row>
    <row r="751" spans="1:89">
      <c r="A751" s="157"/>
      <c r="F751" s="3"/>
      <c r="G751" s="3"/>
      <c r="L751" s="157"/>
      <c r="M751" s="157"/>
      <c r="O751" s="147"/>
      <c r="P751" s="147"/>
      <c r="Q751" s="147"/>
      <c r="R751" s="147"/>
      <c r="S751" s="147"/>
      <c r="T751" s="147"/>
      <c r="U751" s="147"/>
      <c r="V751" s="147"/>
      <c r="W751" s="147"/>
      <c r="X751" s="147"/>
      <c r="Y751" s="147"/>
      <c r="Z751" s="147"/>
      <c r="AA751" s="147"/>
      <c r="AB751" s="147"/>
      <c r="AC751" s="147"/>
      <c r="AD751" s="147"/>
      <c r="AE751" s="147"/>
      <c r="AF751" s="147"/>
      <c r="AG751" s="147"/>
      <c r="AH751" s="147"/>
      <c r="AI751" s="147"/>
      <c r="AJ751" s="147"/>
      <c r="AK751" s="147"/>
      <c r="AL751" s="147"/>
      <c r="AM751" s="151"/>
      <c r="AN751" s="147"/>
      <c r="AO751" s="147"/>
      <c r="AP751" s="147"/>
      <c r="AQ751" s="147"/>
      <c r="AR751" s="147"/>
      <c r="AS751" s="147"/>
      <c r="AT751" s="147"/>
      <c r="AU751" s="147"/>
      <c r="AV751" s="147"/>
      <c r="AW751" s="147"/>
      <c r="AX751" s="147"/>
      <c r="AY751" s="147"/>
      <c r="AZ751" s="147"/>
      <c r="BA751" s="147"/>
      <c r="BB751" s="147"/>
      <c r="BC751" s="147"/>
      <c r="BD751" s="147"/>
      <c r="BE751" s="147"/>
      <c r="BF751" s="147"/>
      <c r="BG751" s="147"/>
      <c r="BH751" s="147"/>
      <c r="BI751" s="147"/>
      <c r="BJ751" s="147"/>
      <c r="BK751" s="147"/>
      <c r="BL751" s="147"/>
      <c r="BM751" s="147"/>
      <c r="BN751" s="147"/>
      <c r="BO751" s="147"/>
      <c r="BP751" s="147"/>
      <c r="BQ751" s="147"/>
      <c r="BR751" s="147"/>
      <c r="BS751" s="147"/>
      <c r="BT751" s="147"/>
      <c r="BU751" s="147"/>
      <c r="BV751" s="147"/>
      <c r="BW751" s="147"/>
      <c r="BX751" s="147"/>
      <c r="BY751" s="147"/>
      <c r="BZ751" s="147"/>
      <c r="CA751" s="147"/>
      <c r="CB751" s="147"/>
      <c r="CC751" s="147"/>
      <c r="CD751" s="147"/>
      <c r="CE751" s="147"/>
      <c r="CF751" s="147"/>
      <c r="CG751" s="147"/>
      <c r="CH751" s="147"/>
      <c r="CI751" s="147"/>
      <c r="CJ751" s="147"/>
      <c r="CK751" s="147"/>
    </row>
    <row r="752" spans="1:89">
      <c r="A752" s="157"/>
      <c r="F752" s="3"/>
      <c r="G752" s="3"/>
      <c r="L752" s="157"/>
      <c r="M752" s="157"/>
      <c r="O752" s="147"/>
      <c r="P752" s="147"/>
      <c r="Q752" s="147"/>
      <c r="R752" s="147"/>
      <c r="S752" s="147"/>
      <c r="T752" s="147"/>
      <c r="U752" s="147"/>
      <c r="V752" s="147"/>
      <c r="W752" s="147"/>
      <c r="X752" s="147"/>
      <c r="Y752" s="147"/>
      <c r="Z752" s="147"/>
      <c r="AA752" s="147"/>
      <c r="AB752" s="147"/>
      <c r="AC752" s="147"/>
      <c r="AD752" s="147"/>
      <c r="AE752" s="147"/>
      <c r="AF752" s="147"/>
      <c r="AG752" s="147"/>
      <c r="AH752" s="147"/>
      <c r="AI752" s="147"/>
      <c r="AJ752" s="147"/>
      <c r="AK752" s="147"/>
      <c r="AL752" s="147"/>
      <c r="AM752" s="151"/>
      <c r="AN752" s="147"/>
      <c r="AO752" s="147"/>
      <c r="AP752" s="147"/>
      <c r="AQ752" s="147"/>
      <c r="AR752" s="147"/>
      <c r="AS752" s="147"/>
      <c r="AT752" s="147"/>
      <c r="AU752" s="147"/>
      <c r="AV752" s="147"/>
      <c r="AW752" s="147"/>
      <c r="AX752" s="147"/>
      <c r="AY752" s="147"/>
      <c r="AZ752" s="147"/>
      <c r="BA752" s="147"/>
      <c r="BB752" s="147"/>
      <c r="BC752" s="147"/>
      <c r="BD752" s="147"/>
      <c r="BE752" s="147"/>
      <c r="BF752" s="147"/>
      <c r="BG752" s="147"/>
      <c r="BH752" s="147"/>
      <c r="BI752" s="147"/>
      <c r="BJ752" s="147"/>
      <c r="BK752" s="147"/>
      <c r="BL752" s="147"/>
      <c r="BM752" s="147"/>
      <c r="BN752" s="147"/>
      <c r="BO752" s="147"/>
      <c r="BP752" s="147"/>
      <c r="BQ752" s="147"/>
      <c r="BR752" s="147"/>
      <c r="BS752" s="147"/>
      <c r="BT752" s="147"/>
      <c r="BU752" s="147"/>
      <c r="BV752" s="147"/>
      <c r="BW752" s="147"/>
      <c r="BX752" s="147"/>
      <c r="BY752" s="147"/>
      <c r="BZ752" s="147"/>
      <c r="CA752" s="147"/>
      <c r="CB752" s="147"/>
      <c r="CC752" s="147"/>
      <c r="CD752" s="147"/>
      <c r="CE752" s="147"/>
      <c r="CF752" s="147"/>
      <c r="CG752" s="147"/>
      <c r="CH752" s="147"/>
      <c r="CI752" s="147"/>
      <c r="CJ752" s="147"/>
      <c r="CK752" s="147"/>
    </row>
    <row r="753" spans="1:89">
      <c r="A753" s="157"/>
      <c r="F753" s="3"/>
      <c r="G753" s="3"/>
      <c r="L753" s="157"/>
      <c r="M753" s="157"/>
      <c r="O753" s="147"/>
      <c r="P753" s="147"/>
      <c r="Q753" s="147"/>
      <c r="R753" s="147"/>
      <c r="S753" s="147"/>
      <c r="T753" s="147"/>
      <c r="U753" s="147"/>
      <c r="V753" s="147"/>
      <c r="W753" s="147"/>
      <c r="X753" s="147"/>
      <c r="Y753" s="147"/>
      <c r="Z753" s="147"/>
      <c r="AA753" s="147"/>
      <c r="AB753" s="147"/>
      <c r="AC753" s="147"/>
      <c r="AD753" s="147"/>
      <c r="AE753" s="147"/>
      <c r="AF753" s="147"/>
      <c r="AG753" s="147"/>
      <c r="AH753" s="147"/>
      <c r="AI753" s="147"/>
      <c r="AJ753" s="147"/>
      <c r="AK753" s="147"/>
      <c r="AL753" s="147"/>
      <c r="AM753" s="151"/>
      <c r="AN753" s="147"/>
      <c r="AO753" s="147"/>
      <c r="AP753" s="147"/>
      <c r="AQ753" s="147"/>
      <c r="AR753" s="147"/>
      <c r="AS753" s="147"/>
      <c r="AT753" s="147"/>
      <c r="AU753" s="147"/>
      <c r="AV753" s="147"/>
      <c r="AW753" s="147"/>
      <c r="AX753" s="147"/>
      <c r="AY753" s="147"/>
      <c r="AZ753" s="147"/>
      <c r="BA753" s="147"/>
      <c r="BB753" s="147"/>
      <c r="BC753" s="147"/>
      <c r="BD753" s="147"/>
      <c r="BE753" s="147"/>
      <c r="BF753" s="147"/>
      <c r="BG753" s="147"/>
      <c r="BH753" s="147"/>
      <c r="BI753" s="147"/>
      <c r="BJ753" s="147"/>
      <c r="BK753" s="147"/>
      <c r="BL753" s="147"/>
      <c r="BM753" s="147"/>
      <c r="BN753" s="147"/>
      <c r="BO753" s="147"/>
      <c r="BP753" s="147"/>
      <c r="BQ753" s="147"/>
      <c r="BR753" s="147"/>
      <c r="BS753" s="147"/>
      <c r="BT753" s="147"/>
      <c r="BU753" s="147"/>
      <c r="BV753" s="147"/>
      <c r="BW753" s="147"/>
      <c r="BX753" s="147"/>
      <c r="BY753" s="147"/>
      <c r="BZ753" s="147"/>
      <c r="CA753" s="147"/>
      <c r="CB753" s="147"/>
      <c r="CC753" s="147"/>
      <c r="CD753" s="147"/>
      <c r="CE753" s="147"/>
      <c r="CF753" s="147"/>
      <c r="CG753" s="147"/>
      <c r="CH753" s="147"/>
      <c r="CI753" s="147"/>
      <c r="CJ753" s="147"/>
      <c r="CK753" s="147"/>
    </row>
    <row r="754" spans="1:89">
      <c r="A754" s="157"/>
      <c r="F754" s="3"/>
      <c r="G754" s="3"/>
      <c r="L754" s="157"/>
      <c r="M754" s="157"/>
      <c r="O754" s="147"/>
      <c r="P754" s="147"/>
      <c r="Q754" s="147"/>
      <c r="R754" s="147"/>
      <c r="S754" s="147"/>
      <c r="T754" s="147"/>
      <c r="U754" s="147"/>
      <c r="V754" s="147"/>
      <c r="W754" s="147"/>
      <c r="X754" s="147"/>
      <c r="Y754" s="147"/>
      <c r="Z754" s="147"/>
      <c r="AA754" s="147"/>
      <c r="AB754" s="147"/>
      <c r="AC754" s="147"/>
      <c r="AD754" s="147"/>
      <c r="AE754" s="147"/>
      <c r="AF754" s="147"/>
      <c r="AG754" s="147"/>
      <c r="AH754" s="147"/>
      <c r="AI754" s="147"/>
      <c r="AJ754" s="147"/>
      <c r="AK754" s="147"/>
      <c r="AL754" s="147"/>
      <c r="AM754" s="151"/>
      <c r="AN754" s="147"/>
      <c r="AO754" s="147"/>
      <c r="AP754" s="147"/>
      <c r="AQ754" s="147"/>
      <c r="AR754" s="147"/>
      <c r="AS754" s="147"/>
      <c r="AT754" s="147"/>
      <c r="AU754" s="147"/>
      <c r="AV754" s="147"/>
      <c r="AW754" s="147"/>
      <c r="AX754" s="147"/>
      <c r="AY754" s="147"/>
      <c r="AZ754" s="147"/>
      <c r="BA754" s="147"/>
      <c r="BB754" s="147"/>
      <c r="BC754" s="147"/>
      <c r="BD754" s="147"/>
      <c r="BE754" s="147"/>
      <c r="BF754" s="147"/>
      <c r="BG754" s="147"/>
      <c r="BH754" s="147"/>
      <c r="BI754" s="147"/>
      <c r="BJ754" s="147"/>
      <c r="BK754" s="147"/>
      <c r="BL754" s="147"/>
      <c r="BM754" s="147"/>
      <c r="BN754" s="147"/>
      <c r="BO754" s="147"/>
      <c r="BP754" s="147"/>
      <c r="BQ754" s="147"/>
      <c r="BR754" s="147"/>
      <c r="BS754" s="147"/>
      <c r="BT754" s="147"/>
      <c r="BU754" s="147"/>
      <c r="BV754" s="147"/>
      <c r="BW754" s="147"/>
      <c r="BX754" s="147"/>
      <c r="BY754" s="147"/>
      <c r="BZ754" s="147"/>
      <c r="CA754" s="147"/>
      <c r="CB754" s="147"/>
      <c r="CC754" s="147"/>
      <c r="CD754" s="147"/>
      <c r="CE754" s="147"/>
      <c r="CF754" s="147"/>
      <c r="CG754" s="147"/>
      <c r="CH754" s="147"/>
      <c r="CI754" s="147"/>
      <c r="CJ754" s="147"/>
      <c r="CK754" s="147"/>
    </row>
    <row r="755" spans="1:89">
      <c r="A755" s="157"/>
      <c r="F755" s="3"/>
      <c r="G755" s="3"/>
      <c r="L755" s="157"/>
      <c r="M755" s="157"/>
      <c r="O755" s="147"/>
      <c r="P755" s="147"/>
      <c r="Q755" s="147"/>
      <c r="R755" s="147"/>
      <c r="S755" s="147"/>
      <c r="T755" s="147"/>
      <c r="U755" s="147"/>
      <c r="V755" s="147"/>
      <c r="W755" s="147"/>
      <c r="X755" s="147"/>
      <c r="Y755" s="147"/>
      <c r="Z755" s="147"/>
      <c r="AA755" s="147"/>
      <c r="AB755" s="147"/>
      <c r="AC755" s="147"/>
      <c r="AD755" s="147"/>
      <c r="AE755" s="147"/>
      <c r="AF755" s="147"/>
      <c r="AG755" s="147"/>
      <c r="AH755" s="147"/>
      <c r="AI755" s="147"/>
      <c r="AJ755" s="147"/>
      <c r="AK755" s="147"/>
      <c r="AL755" s="147"/>
      <c r="AM755" s="151"/>
      <c r="AN755" s="147"/>
      <c r="AO755" s="147"/>
      <c r="AP755" s="147"/>
      <c r="AQ755" s="147"/>
      <c r="AR755" s="147"/>
      <c r="AS755" s="147"/>
      <c r="AT755" s="147"/>
      <c r="AU755" s="147"/>
      <c r="AV755" s="147"/>
      <c r="AW755" s="147"/>
      <c r="AX755" s="147"/>
      <c r="AY755" s="147"/>
      <c r="AZ755" s="147"/>
      <c r="BA755" s="147"/>
      <c r="BB755" s="147"/>
      <c r="BC755" s="147"/>
      <c r="BD755" s="147"/>
      <c r="BE755" s="147"/>
      <c r="BF755" s="147"/>
      <c r="BG755" s="147"/>
      <c r="BH755" s="147"/>
      <c r="BI755" s="147"/>
      <c r="BJ755" s="147"/>
      <c r="BK755" s="147"/>
      <c r="BL755" s="147"/>
      <c r="BM755" s="147"/>
      <c r="BN755" s="147"/>
      <c r="BO755" s="147"/>
      <c r="BP755" s="147"/>
      <c r="BQ755" s="147"/>
      <c r="BR755" s="147"/>
      <c r="BS755" s="147"/>
      <c r="BT755" s="147"/>
      <c r="BU755" s="147"/>
      <c r="BV755" s="147"/>
      <c r="BW755" s="147"/>
      <c r="BX755" s="147"/>
      <c r="BY755" s="147"/>
      <c r="BZ755" s="147"/>
      <c r="CA755" s="147"/>
      <c r="CB755" s="147"/>
      <c r="CC755" s="147"/>
      <c r="CD755" s="147"/>
      <c r="CE755" s="147"/>
      <c r="CF755" s="147"/>
      <c r="CG755" s="147"/>
      <c r="CH755" s="147"/>
      <c r="CI755" s="147"/>
      <c r="CJ755" s="147"/>
      <c r="CK755" s="147"/>
    </row>
    <row r="756" spans="1:89">
      <c r="A756" s="157"/>
      <c r="F756" s="3"/>
      <c r="G756" s="3"/>
      <c r="L756" s="157"/>
      <c r="M756" s="157"/>
      <c r="O756" s="147"/>
      <c r="P756" s="147"/>
      <c r="Q756" s="147"/>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51"/>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c r="BI756" s="147"/>
      <c r="BJ756" s="147"/>
      <c r="BK756" s="147"/>
      <c r="BL756" s="147"/>
      <c r="BM756" s="147"/>
      <c r="BN756" s="147"/>
      <c r="BO756" s="147"/>
      <c r="BP756" s="147"/>
      <c r="BQ756" s="147"/>
      <c r="BR756" s="147"/>
      <c r="BS756" s="147"/>
      <c r="BT756" s="147"/>
      <c r="BU756" s="147"/>
      <c r="BV756" s="147"/>
      <c r="BW756" s="147"/>
      <c r="BX756" s="147"/>
      <c r="BY756" s="147"/>
      <c r="BZ756" s="147"/>
      <c r="CA756" s="147"/>
      <c r="CB756" s="147"/>
      <c r="CC756" s="147"/>
      <c r="CD756" s="147"/>
      <c r="CE756" s="147"/>
      <c r="CF756" s="147"/>
      <c r="CG756" s="147"/>
      <c r="CH756" s="147"/>
      <c r="CI756" s="147"/>
      <c r="CJ756" s="147"/>
      <c r="CK756" s="147"/>
    </row>
    <row r="757" spans="1:89">
      <c r="A757" s="157"/>
      <c r="F757" s="3"/>
      <c r="G757" s="3"/>
      <c r="L757" s="157"/>
      <c r="M757" s="157"/>
      <c r="O757" s="147"/>
      <c r="P757" s="147"/>
      <c r="Q757" s="147"/>
      <c r="R757" s="147"/>
      <c r="S757" s="147"/>
      <c r="T757" s="147"/>
      <c r="U757" s="147"/>
      <c r="V757" s="147"/>
      <c r="W757" s="147"/>
      <c r="X757" s="147"/>
      <c r="Y757" s="147"/>
      <c r="Z757" s="147"/>
      <c r="AA757" s="147"/>
      <c r="AB757" s="147"/>
      <c r="AC757" s="147"/>
      <c r="AD757" s="147"/>
      <c r="AE757" s="147"/>
      <c r="AF757" s="147"/>
      <c r="AG757" s="147"/>
      <c r="AH757" s="147"/>
      <c r="AI757" s="147"/>
      <c r="AJ757" s="147"/>
      <c r="AK757" s="147"/>
      <c r="AL757" s="147"/>
      <c r="AM757" s="151"/>
      <c r="AN757" s="147"/>
      <c r="AO757" s="147"/>
      <c r="AP757" s="147"/>
      <c r="AQ757" s="147"/>
      <c r="AR757" s="147"/>
      <c r="AS757" s="147"/>
      <c r="AT757" s="147"/>
      <c r="AU757" s="147"/>
      <c r="AV757" s="147"/>
      <c r="AW757" s="147"/>
      <c r="AX757" s="147"/>
      <c r="AY757" s="147"/>
      <c r="AZ757" s="147"/>
      <c r="BA757" s="147"/>
      <c r="BB757" s="147"/>
      <c r="BC757" s="147"/>
      <c r="BD757" s="147"/>
      <c r="BE757" s="147"/>
      <c r="BF757" s="147"/>
      <c r="BG757" s="147"/>
      <c r="BH757" s="147"/>
      <c r="BI757" s="147"/>
      <c r="BJ757" s="147"/>
      <c r="BK757" s="147"/>
      <c r="BL757" s="147"/>
      <c r="BM757" s="147"/>
      <c r="BN757" s="147"/>
      <c r="BO757" s="147"/>
      <c r="BP757" s="147"/>
      <c r="BQ757" s="147"/>
      <c r="BR757" s="147"/>
      <c r="BS757" s="147"/>
      <c r="BT757" s="147"/>
      <c r="BU757" s="147"/>
      <c r="BV757" s="147"/>
      <c r="BW757" s="147"/>
      <c r="BX757" s="147"/>
      <c r="BY757" s="147"/>
      <c r="BZ757" s="147"/>
      <c r="CA757" s="147"/>
      <c r="CB757" s="147"/>
      <c r="CC757" s="147"/>
      <c r="CD757" s="147"/>
      <c r="CE757" s="147"/>
      <c r="CF757" s="147"/>
      <c r="CG757" s="147"/>
      <c r="CH757" s="147"/>
      <c r="CI757" s="147"/>
      <c r="CJ757" s="147"/>
      <c r="CK757" s="147"/>
    </row>
    <row r="758" spans="1:89">
      <c r="A758" s="157"/>
      <c r="F758" s="3"/>
      <c r="G758" s="3"/>
      <c r="L758" s="157"/>
      <c r="M758" s="157"/>
      <c r="O758" s="147"/>
      <c r="P758" s="147"/>
      <c r="Q758" s="147"/>
      <c r="R758" s="147"/>
      <c r="S758" s="147"/>
      <c r="T758" s="147"/>
      <c r="U758" s="147"/>
      <c r="V758" s="147"/>
      <c r="W758" s="147"/>
      <c r="X758" s="147"/>
      <c r="Y758" s="147"/>
      <c r="Z758" s="147"/>
      <c r="AA758" s="147"/>
      <c r="AB758" s="147"/>
      <c r="AC758" s="147"/>
      <c r="AD758" s="147"/>
      <c r="AE758" s="147"/>
      <c r="AF758" s="147"/>
      <c r="AG758" s="147"/>
      <c r="AH758" s="147"/>
      <c r="AI758" s="147"/>
      <c r="AJ758" s="147"/>
      <c r="AK758" s="147"/>
      <c r="AL758" s="147"/>
      <c r="AM758" s="151"/>
      <c r="AN758" s="147"/>
      <c r="AO758" s="147"/>
      <c r="AP758" s="147"/>
      <c r="AQ758" s="147"/>
      <c r="AR758" s="147"/>
      <c r="AS758" s="147"/>
      <c r="AT758" s="147"/>
      <c r="AU758" s="147"/>
      <c r="AV758" s="147"/>
      <c r="AW758" s="147"/>
      <c r="AX758" s="147"/>
      <c r="AY758" s="147"/>
      <c r="AZ758" s="147"/>
      <c r="BA758" s="147"/>
      <c r="BB758" s="147"/>
      <c r="BC758" s="147"/>
      <c r="BD758" s="147"/>
      <c r="BE758" s="147"/>
      <c r="BF758" s="147"/>
      <c r="BG758" s="147"/>
      <c r="BH758" s="147"/>
      <c r="BI758" s="147"/>
      <c r="BJ758" s="147"/>
      <c r="BK758" s="147"/>
      <c r="BL758" s="147"/>
      <c r="BM758" s="147"/>
      <c r="BN758" s="147"/>
      <c r="BO758" s="147"/>
      <c r="BP758" s="147"/>
      <c r="BQ758" s="147"/>
      <c r="BR758" s="147"/>
      <c r="BS758" s="147"/>
      <c r="BT758" s="147"/>
      <c r="BU758" s="147"/>
      <c r="BV758" s="147"/>
      <c r="BW758" s="147"/>
      <c r="BX758" s="147"/>
      <c r="BY758" s="147"/>
      <c r="BZ758" s="147"/>
      <c r="CA758" s="147"/>
      <c r="CB758" s="147"/>
      <c r="CC758" s="147"/>
      <c r="CD758" s="147"/>
      <c r="CE758" s="147"/>
      <c r="CF758" s="147"/>
      <c r="CG758" s="147"/>
      <c r="CH758" s="147"/>
      <c r="CI758" s="147"/>
      <c r="CJ758" s="147"/>
      <c r="CK758" s="147"/>
    </row>
    <row r="759" spans="1:89">
      <c r="A759" s="157"/>
      <c r="F759" s="3"/>
      <c r="G759" s="3"/>
      <c r="L759" s="157"/>
      <c r="M759" s="157"/>
      <c r="O759" s="147"/>
      <c r="P759" s="147"/>
      <c r="Q759" s="147"/>
      <c r="R759" s="147"/>
      <c r="S759" s="147"/>
      <c r="T759" s="147"/>
      <c r="U759" s="147"/>
      <c r="V759" s="147"/>
      <c r="W759" s="147"/>
      <c r="X759" s="147"/>
      <c r="Y759" s="147"/>
      <c r="Z759" s="147"/>
      <c r="AA759" s="147"/>
      <c r="AB759" s="147"/>
      <c r="AC759" s="147"/>
      <c r="AD759" s="147"/>
      <c r="AE759" s="147"/>
      <c r="AF759" s="147"/>
      <c r="AG759" s="147"/>
      <c r="AH759" s="147"/>
      <c r="AI759" s="147"/>
      <c r="AJ759" s="147"/>
      <c r="AK759" s="147"/>
      <c r="AL759" s="147"/>
      <c r="AM759" s="151"/>
      <c r="AN759" s="147"/>
      <c r="AO759" s="147"/>
      <c r="AP759" s="147"/>
      <c r="AQ759" s="147"/>
      <c r="AR759" s="147"/>
      <c r="AS759" s="147"/>
      <c r="AT759" s="147"/>
      <c r="AU759" s="147"/>
      <c r="AV759" s="147"/>
      <c r="AW759" s="147"/>
      <c r="AX759" s="147"/>
      <c r="AY759" s="147"/>
      <c r="AZ759" s="147"/>
      <c r="BA759" s="147"/>
      <c r="BB759" s="147"/>
      <c r="BC759" s="147"/>
      <c r="BD759" s="147"/>
      <c r="BE759" s="147"/>
      <c r="BF759" s="147"/>
      <c r="BG759" s="147"/>
      <c r="BH759" s="147"/>
      <c r="BI759" s="147"/>
      <c r="BJ759" s="147"/>
      <c r="BK759" s="147"/>
      <c r="BL759" s="147"/>
      <c r="BM759" s="147"/>
      <c r="BN759" s="147"/>
      <c r="BO759" s="147"/>
      <c r="BP759" s="147"/>
      <c r="BQ759" s="147"/>
      <c r="BR759" s="147"/>
      <c r="BS759" s="147"/>
      <c r="BT759" s="147"/>
      <c r="BU759" s="147"/>
      <c r="BV759" s="147"/>
      <c r="BW759" s="147"/>
      <c r="BX759" s="147"/>
      <c r="BY759" s="147"/>
      <c r="BZ759" s="147"/>
      <c r="CA759" s="147"/>
      <c r="CB759" s="147"/>
      <c r="CC759" s="147"/>
      <c r="CD759" s="147"/>
      <c r="CE759" s="147"/>
      <c r="CF759" s="147"/>
      <c r="CG759" s="147"/>
      <c r="CH759" s="147"/>
      <c r="CI759" s="147"/>
      <c r="CJ759" s="147"/>
      <c r="CK759" s="147"/>
    </row>
    <row r="760" spans="1:89">
      <c r="A760" s="157"/>
      <c r="F760" s="3"/>
      <c r="G760" s="3"/>
      <c r="L760" s="157"/>
      <c r="M760" s="157"/>
      <c r="O760" s="147"/>
      <c r="P760" s="147"/>
      <c r="Q760" s="147"/>
      <c r="R760" s="147"/>
      <c r="S760" s="147"/>
      <c r="T760" s="147"/>
      <c r="U760" s="147"/>
      <c r="V760" s="147"/>
      <c r="W760" s="147"/>
      <c r="X760" s="147"/>
      <c r="Y760" s="147"/>
      <c r="Z760" s="147"/>
      <c r="AA760" s="147"/>
      <c r="AB760" s="147"/>
      <c r="AC760" s="147"/>
      <c r="AD760" s="147"/>
      <c r="AE760" s="147"/>
      <c r="AF760" s="147"/>
      <c r="AG760" s="147"/>
      <c r="AH760" s="147"/>
      <c r="AI760" s="147"/>
      <c r="AJ760" s="147"/>
      <c r="AK760" s="147"/>
      <c r="AL760" s="147"/>
      <c r="AM760" s="151"/>
      <c r="AN760" s="147"/>
      <c r="AO760" s="147"/>
      <c r="AP760" s="147"/>
      <c r="AQ760" s="147"/>
      <c r="AR760" s="147"/>
      <c r="AS760" s="147"/>
      <c r="AT760" s="147"/>
      <c r="AU760" s="147"/>
      <c r="AV760" s="147"/>
      <c r="AW760" s="147"/>
      <c r="AX760" s="147"/>
      <c r="AY760" s="147"/>
      <c r="AZ760" s="147"/>
      <c r="BA760" s="147"/>
      <c r="BB760" s="147"/>
      <c r="BC760" s="147"/>
      <c r="BD760" s="147"/>
      <c r="BE760" s="147"/>
      <c r="BF760" s="147"/>
      <c r="BG760" s="147"/>
      <c r="BH760" s="147"/>
      <c r="BI760" s="147"/>
      <c r="BJ760" s="147"/>
      <c r="BK760" s="147"/>
      <c r="BL760" s="147"/>
      <c r="BM760" s="147"/>
      <c r="BN760" s="147"/>
      <c r="BO760" s="147"/>
      <c r="BP760" s="147"/>
      <c r="BQ760" s="147"/>
      <c r="BR760" s="147"/>
      <c r="BS760" s="147"/>
      <c r="BT760" s="147"/>
      <c r="BU760" s="147"/>
      <c r="BV760" s="147"/>
      <c r="BW760" s="147"/>
      <c r="BX760" s="147"/>
      <c r="BY760" s="147"/>
      <c r="BZ760" s="147"/>
      <c r="CA760" s="147"/>
      <c r="CB760" s="147"/>
      <c r="CC760" s="147"/>
      <c r="CD760" s="147"/>
      <c r="CE760" s="147"/>
      <c r="CF760" s="147"/>
      <c r="CG760" s="147"/>
      <c r="CH760" s="147"/>
      <c r="CI760" s="147"/>
      <c r="CJ760" s="147"/>
      <c r="CK760" s="147"/>
    </row>
    <row r="761" spans="1:89">
      <c r="A761" s="157"/>
      <c r="F761" s="3"/>
      <c r="G761" s="3"/>
      <c r="L761" s="157"/>
      <c r="M761" s="157"/>
      <c r="O761" s="147"/>
      <c r="P761" s="147"/>
      <c r="Q761" s="147"/>
      <c r="R761" s="147"/>
      <c r="S761" s="147"/>
      <c r="T761" s="147"/>
      <c r="U761" s="147"/>
      <c r="V761" s="147"/>
      <c r="W761" s="147"/>
      <c r="X761" s="147"/>
      <c r="Y761" s="147"/>
      <c r="Z761" s="147"/>
      <c r="AA761" s="147"/>
      <c r="AB761" s="147"/>
      <c r="AC761" s="147"/>
      <c r="AD761" s="147"/>
      <c r="AE761" s="147"/>
      <c r="AF761" s="147"/>
      <c r="AG761" s="147"/>
      <c r="AH761" s="147"/>
      <c r="AI761" s="147"/>
      <c r="AJ761" s="147"/>
      <c r="AK761" s="147"/>
      <c r="AL761" s="147"/>
      <c r="AM761" s="151"/>
      <c r="AN761" s="147"/>
      <c r="AO761" s="147"/>
      <c r="AP761" s="147"/>
      <c r="AQ761" s="147"/>
      <c r="AR761" s="147"/>
      <c r="AS761" s="147"/>
      <c r="AT761" s="147"/>
      <c r="AU761" s="147"/>
      <c r="AV761" s="147"/>
      <c r="AW761" s="147"/>
      <c r="AX761" s="147"/>
      <c r="AY761" s="147"/>
      <c r="AZ761" s="147"/>
      <c r="BA761" s="147"/>
      <c r="BB761" s="147"/>
      <c r="BC761" s="147"/>
      <c r="BD761" s="147"/>
      <c r="BE761" s="147"/>
      <c r="BF761" s="147"/>
      <c r="BG761" s="147"/>
      <c r="BH761" s="147"/>
      <c r="BI761" s="147"/>
      <c r="BJ761" s="147"/>
      <c r="BK761" s="147"/>
      <c r="BL761" s="147"/>
      <c r="BM761" s="147"/>
      <c r="BN761" s="147"/>
      <c r="BO761" s="147"/>
      <c r="BP761" s="147"/>
      <c r="BQ761" s="147"/>
      <c r="BR761" s="147"/>
      <c r="BS761" s="147"/>
      <c r="BT761" s="147"/>
      <c r="BU761" s="147"/>
      <c r="BV761" s="147"/>
      <c r="BW761" s="147"/>
      <c r="BX761" s="147"/>
      <c r="BY761" s="147"/>
      <c r="BZ761" s="147"/>
      <c r="CA761" s="147"/>
      <c r="CB761" s="147"/>
      <c r="CC761" s="147"/>
      <c r="CD761" s="147"/>
      <c r="CE761" s="147"/>
      <c r="CF761" s="147"/>
      <c r="CG761" s="147"/>
      <c r="CH761" s="147"/>
      <c r="CI761" s="147"/>
      <c r="CJ761" s="147"/>
      <c r="CK761" s="147"/>
    </row>
    <row r="762" spans="1:89">
      <c r="A762" s="157"/>
      <c r="F762" s="3"/>
      <c r="G762" s="3"/>
      <c r="L762" s="157"/>
      <c r="M762" s="157"/>
      <c r="O762" s="147"/>
      <c r="P762" s="147"/>
      <c r="Q762" s="147"/>
      <c r="R762" s="147"/>
      <c r="S762" s="147"/>
      <c r="T762" s="147"/>
      <c r="U762" s="147"/>
      <c r="V762" s="147"/>
      <c r="W762" s="147"/>
      <c r="X762" s="147"/>
      <c r="Y762" s="147"/>
      <c r="Z762" s="147"/>
      <c r="AA762" s="147"/>
      <c r="AB762" s="147"/>
      <c r="AC762" s="147"/>
      <c r="AD762" s="147"/>
      <c r="AE762" s="147"/>
      <c r="AF762" s="147"/>
      <c r="AG762" s="147"/>
      <c r="AH762" s="147"/>
      <c r="AI762" s="147"/>
      <c r="AJ762" s="147"/>
      <c r="AK762" s="147"/>
      <c r="AL762" s="147"/>
      <c r="AM762" s="151"/>
      <c r="AN762" s="147"/>
      <c r="AO762" s="147"/>
      <c r="AP762" s="147"/>
      <c r="AQ762" s="147"/>
      <c r="AR762" s="147"/>
      <c r="AS762" s="147"/>
      <c r="AT762" s="147"/>
      <c r="AU762" s="147"/>
      <c r="AV762" s="147"/>
      <c r="AW762" s="147"/>
      <c r="AX762" s="147"/>
      <c r="AY762" s="147"/>
      <c r="AZ762" s="147"/>
      <c r="BA762" s="147"/>
      <c r="BB762" s="147"/>
      <c r="BC762" s="147"/>
      <c r="BD762" s="147"/>
      <c r="BE762" s="147"/>
      <c r="BF762" s="147"/>
      <c r="BG762" s="147"/>
      <c r="BH762" s="147"/>
      <c r="BI762" s="147"/>
      <c r="BJ762" s="147"/>
      <c r="BK762" s="147"/>
      <c r="BL762" s="147"/>
      <c r="BM762" s="147"/>
      <c r="BN762" s="147"/>
      <c r="BO762" s="147"/>
      <c r="BP762" s="147"/>
      <c r="BQ762" s="147"/>
      <c r="BR762" s="147"/>
      <c r="BS762" s="147"/>
      <c r="BT762" s="147"/>
      <c r="BU762" s="147"/>
      <c r="BV762" s="147"/>
      <c r="BW762" s="147"/>
      <c r="BX762" s="147"/>
      <c r="BY762" s="147"/>
      <c r="BZ762" s="147"/>
      <c r="CA762" s="147"/>
      <c r="CB762" s="147"/>
      <c r="CC762" s="147"/>
      <c r="CD762" s="147"/>
      <c r="CE762" s="147"/>
      <c r="CF762" s="147"/>
      <c r="CG762" s="147"/>
      <c r="CH762" s="147"/>
      <c r="CI762" s="147"/>
      <c r="CJ762" s="147"/>
      <c r="CK762" s="147"/>
    </row>
    <row r="763" spans="1:89">
      <c r="A763" s="157"/>
      <c r="F763" s="3"/>
      <c r="G763" s="3"/>
      <c r="L763" s="157"/>
      <c r="M763" s="157"/>
      <c r="O763" s="147"/>
      <c r="P763" s="147"/>
      <c r="Q763" s="147"/>
      <c r="R763" s="147"/>
      <c r="S763" s="147"/>
      <c r="T763" s="147"/>
      <c r="U763" s="147"/>
      <c r="V763" s="147"/>
      <c r="W763" s="147"/>
      <c r="X763" s="147"/>
      <c r="Y763" s="147"/>
      <c r="Z763" s="147"/>
      <c r="AA763" s="147"/>
      <c r="AB763" s="147"/>
      <c r="AC763" s="147"/>
      <c r="AD763" s="147"/>
      <c r="AE763" s="147"/>
      <c r="AF763" s="147"/>
      <c r="AG763" s="147"/>
      <c r="AH763" s="147"/>
      <c r="AI763" s="147"/>
      <c r="AJ763" s="147"/>
      <c r="AK763" s="147"/>
      <c r="AL763" s="147"/>
      <c r="AM763" s="151"/>
      <c r="AN763" s="147"/>
      <c r="AO763" s="147"/>
      <c r="AP763" s="147"/>
      <c r="AQ763" s="147"/>
      <c r="AR763" s="147"/>
      <c r="AS763" s="147"/>
      <c r="AT763" s="147"/>
      <c r="AU763" s="147"/>
      <c r="AV763" s="147"/>
      <c r="AW763" s="147"/>
      <c r="AX763" s="147"/>
      <c r="AY763" s="147"/>
      <c r="AZ763" s="147"/>
      <c r="BA763" s="147"/>
      <c r="BB763" s="147"/>
      <c r="BC763" s="147"/>
      <c r="BD763" s="147"/>
      <c r="BE763" s="147"/>
      <c r="BF763" s="147"/>
      <c r="BG763" s="147"/>
      <c r="BH763" s="147"/>
      <c r="BI763" s="147"/>
      <c r="BJ763" s="147"/>
      <c r="BK763" s="147"/>
      <c r="BL763" s="147"/>
      <c r="BM763" s="147"/>
      <c r="BN763" s="147"/>
      <c r="BO763" s="147"/>
      <c r="BP763" s="147"/>
      <c r="BQ763" s="147"/>
      <c r="BR763" s="147"/>
      <c r="BS763" s="147"/>
      <c r="BT763" s="147"/>
      <c r="BU763" s="147"/>
      <c r="BV763" s="147"/>
      <c r="BW763" s="147"/>
      <c r="BX763" s="147"/>
      <c r="BY763" s="147"/>
      <c r="BZ763" s="147"/>
      <c r="CA763" s="147"/>
      <c r="CB763" s="147"/>
      <c r="CC763" s="147"/>
      <c r="CD763" s="147"/>
      <c r="CE763" s="147"/>
      <c r="CF763" s="147"/>
      <c r="CG763" s="147"/>
      <c r="CH763" s="147"/>
      <c r="CI763" s="147"/>
      <c r="CJ763" s="147"/>
      <c r="CK763" s="147"/>
    </row>
    <row r="764" spans="1:89">
      <c r="A764" s="157"/>
      <c r="F764" s="3"/>
      <c r="G764" s="3"/>
      <c r="L764" s="157"/>
      <c r="M764" s="157"/>
      <c r="O764" s="147"/>
      <c r="P764" s="147"/>
      <c r="Q764" s="147"/>
      <c r="R764" s="147"/>
      <c r="S764" s="147"/>
      <c r="T764" s="147"/>
      <c r="U764" s="147"/>
      <c r="V764" s="147"/>
      <c r="W764" s="147"/>
      <c r="X764" s="147"/>
      <c r="Y764" s="147"/>
      <c r="Z764" s="147"/>
      <c r="AA764" s="147"/>
      <c r="AB764" s="147"/>
      <c r="AC764" s="147"/>
      <c r="AD764" s="147"/>
      <c r="AE764" s="147"/>
      <c r="AF764" s="147"/>
      <c r="AG764" s="147"/>
      <c r="AH764" s="147"/>
      <c r="AI764" s="147"/>
      <c r="AJ764" s="147"/>
      <c r="AK764" s="147"/>
      <c r="AL764" s="147"/>
      <c r="AM764" s="151"/>
      <c r="AN764" s="147"/>
      <c r="AO764" s="147"/>
      <c r="AP764" s="147"/>
      <c r="AQ764" s="147"/>
      <c r="AR764" s="147"/>
      <c r="AS764" s="147"/>
      <c r="AT764" s="147"/>
      <c r="AU764" s="147"/>
      <c r="AV764" s="147"/>
      <c r="AW764" s="147"/>
      <c r="AX764" s="147"/>
      <c r="AY764" s="147"/>
      <c r="AZ764" s="147"/>
      <c r="BA764" s="147"/>
      <c r="BB764" s="147"/>
      <c r="BC764" s="147"/>
      <c r="BD764" s="147"/>
      <c r="BE764" s="147"/>
      <c r="BF764" s="147"/>
      <c r="BG764" s="147"/>
      <c r="BH764" s="147"/>
      <c r="BI764" s="147"/>
      <c r="BJ764" s="147"/>
      <c r="BK764" s="147"/>
      <c r="BL764" s="147"/>
      <c r="BM764" s="147"/>
      <c r="BN764" s="147"/>
      <c r="BO764" s="147"/>
      <c r="BP764" s="147"/>
      <c r="BQ764" s="147"/>
      <c r="BR764" s="147"/>
      <c r="BS764" s="147"/>
      <c r="BT764" s="147"/>
      <c r="BU764" s="147"/>
      <c r="BV764" s="147"/>
      <c r="BW764" s="147"/>
      <c r="BX764" s="147"/>
      <c r="BY764" s="147"/>
      <c r="BZ764" s="147"/>
      <c r="CA764" s="147"/>
      <c r="CB764" s="147"/>
      <c r="CC764" s="147"/>
      <c r="CD764" s="147"/>
      <c r="CE764" s="147"/>
      <c r="CF764" s="147"/>
      <c r="CG764" s="147"/>
      <c r="CH764" s="147"/>
      <c r="CI764" s="147"/>
      <c r="CJ764" s="147"/>
      <c r="CK764" s="147"/>
    </row>
    <row r="765" spans="1:89">
      <c r="A765" s="157"/>
      <c r="F765" s="3"/>
      <c r="G765" s="3"/>
      <c r="L765" s="157"/>
      <c r="M765" s="157"/>
      <c r="O765" s="147"/>
      <c r="P765" s="147"/>
      <c r="Q765" s="147"/>
      <c r="R765" s="147"/>
      <c r="S765" s="147"/>
      <c r="T765" s="147"/>
      <c r="U765" s="147"/>
      <c r="V765" s="147"/>
      <c r="W765" s="147"/>
      <c r="X765" s="147"/>
      <c r="Y765" s="147"/>
      <c r="Z765" s="147"/>
      <c r="AA765" s="147"/>
      <c r="AB765" s="147"/>
      <c r="AC765" s="147"/>
      <c r="AD765" s="147"/>
      <c r="AE765" s="147"/>
      <c r="AF765" s="147"/>
      <c r="AG765" s="147"/>
      <c r="AH765" s="147"/>
      <c r="AI765" s="147"/>
      <c r="AJ765" s="147"/>
      <c r="AK765" s="147"/>
      <c r="AL765" s="147"/>
      <c r="AM765" s="151"/>
      <c r="AN765" s="147"/>
      <c r="AO765" s="147"/>
      <c r="AP765" s="147"/>
      <c r="AQ765" s="147"/>
      <c r="AR765" s="147"/>
      <c r="AS765" s="147"/>
      <c r="AT765" s="147"/>
      <c r="AU765" s="147"/>
      <c r="AV765" s="147"/>
      <c r="AW765" s="147"/>
      <c r="AX765" s="147"/>
      <c r="AY765" s="147"/>
      <c r="AZ765" s="147"/>
      <c r="BA765" s="147"/>
      <c r="BB765" s="147"/>
      <c r="BC765" s="147"/>
      <c r="BD765" s="147"/>
      <c r="BE765" s="147"/>
      <c r="BF765" s="147"/>
      <c r="BG765" s="147"/>
      <c r="BH765" s="147"/>
      <c r="BI765" s="147"/>
      <c r="BJ765" s="147"/>
      <c r="BK765" s="147"/>
      <c r="BL765" s="147"/>
      <c r="BM765" s="147"/>
      <c r="BN765" s="147"/>
      <c r="BO765" s="147"/>
      <c r="BP765" s="147"/>
      <c r="BQ765" s="147"/>
      <c r="BR765" s="147"/>
      <c r="BS765" s="147"/>
      <c r="BT765" s="147"/>
      <c r="BU765" s="147"/>
      <c r="BV765" s="147"/>
      <c r="BW765" s="147"/>
      <c r="BX765" s="147"/>
      <c r="BY765" s="147"/>
      <c r="BZ765" s="147"/>
      <c r="CA765" s="147"/>
      <c r="CB765" s="147"/>
      <c r="CC765" s="147"/>
      <c r="CD765" s="147"/>
      <c r="CE765" s="147"/>
      <c r="CF765" s="147"/>
      <c r="CG765" s="147"/>
      <c r="CH765" s="147"/>
      <c r="CI765" s="147"/>
      <c r="CJ765" s="147"/>
      <c r="CK765" s="147"/>
    </row>
    <row r="766" spans="1:89">
      <c r="A766" s="157"/>
      <c r="F766" s="3"/>
      <c r="G766" s="3"/>
      <c r="L766" s="157"/>
      <c r="M766" s="157"/>
      <c r="O766" s="147"/>
      <c r="P766" s="147"/>
      <c r="Q766" s="147"/>
      <c r="R766" s="147"/>
      <c r="S766" s="147"/>
      <c r="T766" s="147"/>
      <c r="U766" s="147"/>
      <c r="V766" s="147"/>
      <c r="W766" s="147"/>
      <c r="X766" s="147"/>
      <c r="Y766" s="147"/>
      <c r="Z766" s="147"/>
      <c r="AA766" s="147"/>
      <c r="AB766" s="147"/>
      <c r="AC766" s="147"/>
      <c r="AD766" s="147"/>
      <c r="AE766" s="147"/>
      <c r="AF766" s="147"/>
      <c r="AG766" s="147"/>
      <c r="AH766" s="147"/>
      <c r="AI766" s="147"/>
      <c r="AJ766" s="147"/>
      <c r="AK766" s="147"/>
      <c r="AL766" s="147"/>
      <c r="AM766" s="151"/>
      <c r="AN766" s="147"/>
      <c r="AO766" s="147"/>
      <c r="AP766" s="147"/>
      <c r="AQ766" s="147"/>
      <c r="AR766" s="147"/>
      <c r="AS766" s="147"/>
      <c r="AT766" s="147"/>
      <c r="AU766" s="147"/>
      <c r="AV766" s="147"/>
      <c r="AW766" s="147"/>
      <c r="AX766" s="147"/>
      <c r="AY766" s="147"/>
      <c r="AZ766" s="147"/>
      <c r="BA766" s="147"/>
      <c r="BB766" s="147"/>
      <c r="BC766" s="147"/>
      <c r="BD766" s="147"/>
      <c r="BE766" s="147"/>
      <c r="BF766" s="147"/>
      <c r="BG766" s="147"/>
      <c r="BH766" s="147"/>
      <c r="BI766" s="147"/>
      <c r="BJ766" s="147"/>
      <c r="BK766" s="147"/>
      <c r="BL766" s="147"/>
      <c r="BM766" s="147"/>
      <c r="BN766" s="147"/>
      <c r="BO766" s="147"/>
      <c r="BP766" s="147"/>
      <c r="BQ766" s="147"/>
      <c r="BR766" s="147"/>
      <c r="BS766" s="147"/>
      <c r="BT766" s="147"/>
      <c r="BU766" s="147"/>
      <c r="BV766" s="147"/>
      <c r="BW766" s="147"/>
      <c r="BX766" s="147"/>
      <c r="BY766" s="147"/>
      <c r="BZ766" s="147"/>
      <c r="CA766" s="147"/>
      <c r="CB766" s="147"/>
      <c r="CC766" s="147"/>
      <c r="CD766" s="147"/>
      <c r="CE766" s="147"/>
      <c r="CF766" s="147"/>
      <c r="CG766" s="147"/>
      <c r="CH766" s="147"/>
      <c r="CI766" s="147"/>
      <c r="CJ766" s="147"/>
      <c r="CK766" s="147"/>
    </row>
    <row r="767" spans="1:89">
      <c r="A767" s="157"/>
      <c r="F767" s="3"/>
      <c r="G767" s="3"/>
      <c r="L767" s="157"/>
      <c r="M767" s="157"/>
      <c r="O767" s="147"/>
      <c r="P767" s="147"/>
      <c r="Q767" s="147"/>
      <c r="R767" s="147"/>
      <c r="S767" s="147"/>
      <c r="T767" s="147"/>
      <c r="U767" s="147"/>
      <c r="V767" s="147"/>
      <c r="W767" s="147"/>
      <c r="X767" s="147"/>
      <c r="Y767" s="147"/>
      <c r="Z767" s="147"/>
      <c r="AA767" s="147"/>
      <c r="AB767" s="147"/>
      <c r="AC767" s="147"/>
      <c r="AD767" s="147"/>
      <c r="AE767" s="147"/>
      <c r="AF767" s="147"/>
      <c r="AG767" s="147"/>
      <c r="AH767" s="147"/>
      <c r="AI767" s="147"/>
      <c r="AJ767" s="147"/>
      <c r="AK767" s="147"/>
      <c r="AL767" s="147"/>
      <c r="AM767" s="151"/>
      <c r="AN767" s="147"/>
      <c r="AO767" s="147"/>
      <c r="AP767" s="147"/>
      <c r="AQ767" s="147"/>
      <c r="AR767" s="147"/>
      <c r="AS767" s="147"/>
      <c r="AT767" s="147"/>
      <c r="AU767" s="147"/>
      <c r="AV767" s="147"/>
      <c r="AW767" s="147"/>
      <c r="AX767" s="147"/>
      <c r="AY767" s="147"/>
      <c r="AZ767" s="147"/>
      <c r="BA767" s="147"/>
      <c r="BB767" s="147"/>
      <c r="BC767" s="147"/>
      <c r="BD767" s="147"/>
      <c r="BE767" s="147"/>
      <c r="BF767" s="147"/>
      <c r="BG767" s="147"/>
      <c r="BH767" s="147"/>
      <c r="BI767" s="147"/>
      <c r="BJ767" s="147"/>
      <c r="BK767" s="147"/>
      <c r="BL767" s="147"/>
      <c r="BM767" s="147"/>
      <c r="BN767" s="147"/>
      <c r="BO767" s="147"/>
      <c r="BP767" s="147"/>
      <c r="BQ767" s="147"/>
      <c r="BR767" s="147"/>
      <c r="BS767" s="147"/>
      <c r="BT767" s="147"/>
      <c r="BU767" s="147"/>
      <c r="BV767" s="147"/>
      <c r="BW767" s="147"/>
      <c r="BX767" s="147"/>
      <c r="BY767" s="147"/>
      <c r="BZ767" s="147"/>
      <c r="CA767" s="147"/>
      <c r="CB767" s="147"/>
      <c r="CC767" s="147"/>
      <c r="CD767" s="147"/>
      <c r="CE767" s="147"/>
      <c r="CF767" s="147"/>
      <c r="CG767" s="147"/>
      <c r="CH767" s="147"/>
      <c r="CI767" s="147"/>
      <c r="CJ767" s="147"/>
      <c r="CK767" s="147"/>
    </row>
    <row r="768" spans="1:89">
      <c r="A768" s="157"/>
      <c r="F768" s="3"/>
      <c r="G768" s="3"/>
      <c r="L768" s="157"/>
      <c r="M768" s="157"/>
      <c r="O768" s="147"/>
      <c r="P768" s="147"/>
      <c r="Q768" s="147"/>
      <c r="R768" s="147"/>
      <c r="S768" s="147"/>
      <c r="T768" s="147"/>
      <c r="U768" s="147"/>
      <c r="V768" s="147"/>
      <c r="W768" s="147"/>
      <c r="X768" s="147"/>
      <c r="Y768" s="147"/>
      <c r="Z768" s="147"/>
      <c r="AA768" s="147"/>
      <c r="AB768" s="147"/>
      <c r="AC768" s="147"/>
      <c r="AD768" s="147"/>
      <c r="AE768" s="147"/>
      <c r="AF768" s="147"/>
      <c r="AG768" s="147"/>
      <c r="AH768" s="147"/>
      <c r="AI768" s="147"/>
      <c r="AJ768" s="147"/>
      <c r="AK768" s="147"/>
      <c r="AL768" s="147"/>
      <c r="AM768" s="151"/>
      <c r="AN768" s="147"/>
      <c r="AO768" s="147"/>
      <c r="AP768" s="147"/>
      <c r="AQ768" s="147"/>
      <c r="AR768" s="147"/>
      <c r="AS768" s="147"/>
      <c r="AT768" s="147"/>
      <c r="AU768" s="147"/>
      <c r="AV768" s="147"/>
      <c r="AW768" s="147"/>
      <c r="AX768" s="147"/>
      <c r="AY768" s="147"/>
      <c r="AZ768" s="147"/>
      <c r="BA768" s="147"/>
      <c r="BB768" s="147"/>
      <c r="BC768" s="147"/>
      <c r="BD768" s="147"/>
      <c r="BE768" s="147"/>
      <c r="BF768" s="147"/>
      <c r="BG768" s="147"/>
      <c r="BH768" s="147"/>
      <c r="BI768" s="147"/>
      <c r="BJ768" s="147"/>
      <c r="BK768" s="147"/>
      <c r="BL768" s="147"/>
      <c r="BM768" s="147"/>
      <c r="BN768" s="147"/>
      <c r="BO768" s="147"/>
      <c r="BP768" s="147"/>
      <c r="BQ768" s="147"/>
      <c r="BR768" s="147"/>
      <c r="BS768" s="147"/>
      <c r="BT768" s="147"/>
      <c r="BU768" s="147"/>
      <c r="BV768" s="147"/>
      <c r="BW768" s="147"/>
      <c r="BX768" s="147"/>
      <c r="BY768" s="147"/>
      <c r="BZ768" s="147"/>
      <c r="CA768" s="147"/>
      <c r="CB768" s="147"/>
      <c r="CC768" s="147"/>
      <c r="CD768" s="147"/>
      <c r="CE768" s="147"/>
      <c r="CF768" s="147"/>
      <c r="CG768" s="147"/>
      <c r="CH768" s="147"/>
      <c r="CI768" s="147"/>
      <c r="CJ768" s="147"/>
      <c r="CK768" s="147"/>
    </row>
    <row r="769" spans="1:89">
      <c r="A769" s="157"/>
      <c r="F769" s="3"/>
      <c r="G769" s="3"/>
      <c r="L769" s="157"/>
      <c r="M769" s="157"/>
      <c r="O769" s="147"/>
      <c r="P769" s="147"/>
      <c r="Q769" s="147"/>
      <c r="R769" s="147"/>
      <c r="S769" s="147"/>
      <c r="T769" s="147"/>
      <c r="U769" s="147"/>
      <c r="V769" s="147"/>
      <c r="W769" s="147"/>
      <c r="X769" s="147"/>
      <c r="Y769" s="147"/>
      <c r="Z769" s="147"/>
      <c r="AA769" s="147"/>
      <c r="AB769" s="147"/>
      <c r="AC769" s="147"/>
      <c r="AD769" s="147"/>
      <c r="AE769" s="147"/>
      <c r="AF769" s="147"/>
      <c r="AG769" s="147"/>
      <c r="AH769" s="147"/>
      <c r="AI769" s="147"/>
      <c r="AJ769" s="147"/>
      <c r="AK769" s="147"/>
      <c r="AL769" s="147"/>
      <c r="AM769" s="151"/>
      <c r="AN769" s="147"/>
      <c r="AO769" s="147"/>
      <c r="AP769" s="147"/>
      <c r="AQ769" s="147"/>
      <c r="AR769" s="147"/>
      <c r="AS769" s="147"/>
      <c r="AT769" s="147"/>
      <c r="AU769" s="147"/>
      <c r="AV769" s="147"/>
      <c r="AW769" s="147"/>
      <c r="AX769" s="147"/>
      <c r="AY769" s="147"/>
      <c r="AZ769" s="147"/>
      <c r="BA769" s="147"/>
      <c r="BB769" s="147"/>
      <c r="BC769" s="147"/>
      <c r="BD769" s="147"/>
      <c r="BE769" s="147"/>
      <c r="BF769" s="147"/>
      <c r="BG769" s="147"/>
      <c r="BH769" s="147"/>
      <c r="BI769" s="147"/>
      <c r="BJ769" s="147"/>
      <c r="BK769" s="147"/>
      <c r="BL769" s="147"/>
      <c r="BM769" s="147"/>
      <c r="BN769" s="147"/>
      <c r="BO769" s="147"/>
      <c r="BP769" s="147"/>
      <c r="BQ769" s="147"/>
      <c r="BR769" s="147"/>
      <c r="BS769" s="147"/>
      <c r="BT769" s="147"/>
      <c r="BU769" s="147"/>
      <c r="BV769" s="147"/>
      <c r="BW769" s="147"/>
      <c r="BX769" s="147"/>
      <c r="BY769" s="147"/>
      <c r="BZ769" s="147"/>
      <c r="CA769" s="147"/>
      <c r="CB769" s="147"/>
      <c r="CC769" s="147"/>
      <c r="CD769" s="147"/>
      <c r="CE769" s="147"/>
      <c r="CF769" s="147"/>
      <c r="CG769" s="147"/>
      <c r="CH769" s="147"/>
      <c r="CI769" s="147"/>
      <c r="CJ769" s="147"/>
      <c r="CK769" s="147"/>
    </row>
    <row r="770" spans="1:89">
      <c r="A770" s="157"/>
      <c r="F770" s="3"/>
      <c r="G770" s="3"/>
      <c r="L770" s="157"/>
      <c r="M770" s="157"/>
      <c r="O770" s="147"/>
      <c r="P770" s="147"/>
      <c r="Q770" s="147"/>
      <c r="R770" s="147"/>
      <c r="S770" s="147"/>
      <c r="T770" s="147"/>
      <c r="U770" s="147"/>
      <c r="V770" s="147"/>
      <c r="W770" s="147"/>
      <c r="X770" s="147"/>
      <c r="Y770" s="147"/>
      <c r="Z770" s="147"/>
      <c r="AA770" s="147"/>
      <c r="AB770" s="147"/>
      <c r="AC770" s="147"/>
      <c r="AD770" s="147"/>
      <c r="AE770" s="147"/>
      <c r="AF770" s="147"/>
      <c r="AG770" s="147"/>
      <c r="AH770" s="147"/>
      <c r="AI770" s="147"/>
      <c r="AJ770" s="147"/>
      <c r="AK770" s="147"/>
      <c r="AL770" s="147"/>
      <c r="AM770" s="151"/>
      <c r="AN770" s="147"/>
      <c r="AO770" s="147"/>
      <c r="AP770" s="147"/>
      <c r="AQ770" s="147"/>
      <c r="AR770" s="147"/>
      <c r="AS770" s="147"/>
      <c r="AT770" s="147"/>
      <c r="AU770" s="147"/>
      <c r="AV770" s="147"/>
      <c r="AW770" s="147"/>
      <c r="AX770" s="147"/>
      <c r="AY770" s="147"/>
      <c r="AZ770" s="147"/>
      <c r="BA770" s="147"/>
      <c r="BB770" s="147"/>
      <c r="BC770" s="147"/>
      <c r="BD770" s="147"/>
      <c r="BE770" s="147"/>
      <c r="BF770" s="147"/>
      <c r="BG770" s="147"/>
      <c r="BH770" s="147"/>
      <c r="BI770" s="147"/>
      <c r="BJ770" s="147"/>
      <c r="BK770" s="147"/>
      <c r="BL770" s="147"/>
      <c r="BM770" s="147"/>
      <c r="BN770" s="147"/>
      <c r="BO770" s="147"/>
      <c r="BP770" s="147"/>
      <c r="BQ770" s="147"/>
      <c r="BR770" s="147"/>
      <c r="BS770" s="147"/>
      <c r="BT770" s="147"/>
      <c r="BU770" s="147"/>
      <c r="BV770" s="147"/>
      <c r="BW770" s="147"/>
      <c r="BX770" s="147"/>
      <c r="BY770" s="147"/>
      <c r="BZ770" s="147"/>
      <c r="CA770" s="147"/>
      <c r="CB770" s="147"/>
      <c r="CC770" s="147"/>
      <c r="CD770" s="147"/>
      <c r="CE770" s="147"/>
      <c r="CF770" s="147"/>
      <c r="CG770" s="147"/>
      <c r="CH770" s="147"/>
      <c r="CI770" s="147"/>
      <c r="CJ770" s="147"/>
      <c r="CK770" s="147"/>
    </row>
    <row r="771" spans="1:89">
      <c r="A771" s="157"/>
      <c r="F771" s="3"/>
      <c r="G771" s="3"/>
      <c r="L771" s="157"/>
      <c r="M771" s="157"/>
      <c r="O771" s="147"/>
      <c r="P771" s="147"/>
      <c r="Q771" s="147"/>
      <c r="R771" s="147"/>
      <c r="S771" s="147"/>
      <c r="T771" s="147"/>
      <c r="U771" s="147"/>
      <c r="V771" s="147"/>
      <c r="W771" s="147"/>
      <c r="X771" s="147"/>
      <c r="Y771" s="147"/>
      <c r="Z771" s="147"/>
      <c r="AA771" s="147"/>
      <c r="AB771" s="147"/>
      <c r="AC771" s="147"/>
      <c r="AD771" s="147"/>
      <c r="AE771" s="147"/>
      <c r="AF771" s="147"/>
      <c r="AG771" s="147"/>
      <c r="AH771" s="147"/>
      <c r="AI771" s="147"/>
      <c r="AJ771" s="147"/>
      <c r="AK771" s="147"/>
      <c r="AL771" s="147"/>
      <c r="AM771" s="151"/>
      <c r="AN771" s="147"/>
      <c r="AO771" s="147"/>
      <c r="AP771" s="147"/>
      <c r="AQ771" s="147"/>
      <c r="AR771" s="147"/>
      <c r="AS771" s="147"/>
      <c r="AT771" s="147"/>
      <c r="AU771" s="147"/>
      <c r="AV771" s="147"/>
      <c r="AW771" s="147"/>
      <c r="AX771" s="147"/>
      <c r="AY771" s="147"/>
      <c r="AZ771" s="147"/>
      <c r="BA771" s="147"/>
      <c r="BB771" s="147"/>
      <c r="BC771" s="147"/>
      <c r="BD771" s="147"/>
      <c r="BE771" s="147"/>
      <c r="BF771" s="147"/>
      <c r="BG771" s="147"/>
      <c r="BH771" s="147"/>
      <c r="BI771" s="147"/>
      <c r="BJ771" s="147"/>
      <c r="BK771" s="147"/>
      <c r="BL771" s="147"/>
      <c r="BM771" s="147"/>
      <c r="BN771" s="147"/>
      <c r="BO771" s="147"/>
      <c r="BP771" s="147"/>
      <c r="BQ771" s="147"/>
      <c r="BR771" s="147"/>
      <c r="BS771" s="147"/>
      <c r="BT771" s="147"/>
      <c r="BU771" s="147"/>
      <c r="BV771" s="147"/>
      <c r="BW771" s="147"/>
      <c r="BX771" s="147"/>
      <c r="BY771" s="147"/>
      <c r="BZ771" s="147"/>
      <c r="CA771" s="147"/>
      <c r="CB771" s="147"/>
      <c r="CC771" s="147"/>
      <c r="CD771" s="147"/>
      <c r="CE771" s="147"/>
      <c r="CF771" s="147"/>
      <c r="CG771" s="147"/>
      <c r="CH771" s="147"/>
      <c r="CI771" s="147"/>
      <c r="CJ771" s="147"/>
      <c r="CK771" s="147"/>
    </row>
    <row r="772" spans="1:89">
      <c r="A772" s="157"/>
      <c r="F772" s="3"/>
      <c r="G772" s="3"/>
      <c r="L772" s="157"/>
      <c r="M772" s="157"/>
      <c r="O772" s="147"/>
      <c r="P772" s="147"/>
      <c r="Q772" s="147"/>
      <c r="R772" s="147"/>
      <c r="S772" s="147"/>
      <c r="T772" s="147"/>
      <c r="U772" s="147"/>
      <c r="V772" s="147"/>
      <c r="W772" s="147"/>
      <c r="X772" s="147"/>
      <c r="Y772" s="147"/>
      <c r="Z772" s="147"/>
      <c r="AA772" s="147"/>
      <c r="AB772" s="147"/>
      <c r="AC772" s="147"/>
      <c r="AD772" s="147"/>
      <c r="AE772" s="147"/>
      <c r="AF772" s="147"/>
      <c r="AG772" s="147"/>
      <c r="AH772" s="147"/>
      <c r="AI772" s="147"/>
      <c r="AJ772" s="147"/>
      <c r="AK772" s="147"/>
      <c r="AL772" s="147"/>
      <c r="AM772" s="151"/>
      <c r="AN772" s="147"/>
      <c r="AO772" s="147"/>
      <c r="AP772" s="147"/>
      <c r="AQ772" s="147"/>
      <c r="AR772" s="147"/>
      <c r="AS772" s="147"/>
      <c r="AT772" s="147"/>
      <c r="AU772" s="147"/>
      <c r="AV772" s="147"/>
      <c r="AW772" s="147"/>
      <c r="AX772" s="147"/>
      <c r="AY772" s="147"/>
      <c r="AZ772" s="147"/>
      <c r="BA772" s="147"/>
      <c r="BB772" s="147"/>
      <c r="BC772" s="147"/>
      <c r="BD772" s="147"/>
      <c r="BE772" s="147"/>
      <c r="BF772" s="147"/>
      <c r="BG772" s="147"/>
      <c r="BH772" s="147"/>
      <c r="BI772" s="147"/>
      <c r="BJ772" s="147"/>
      <c r="BK772" s="147"/>
      <c r="BL772" s="147"/>
      <c r="BM772" s="147"/>
      <c r="BN772" s="147"/>
      <c r="BO772" s="147"/>
      <c r="BP772" s="147"/>
      <c r="BQ772" s="147"/>
      <c r="BR772" s="147"/>
      <c r="BS772" s="147"/>
      <c r="BT772" s="147"/>
      <c r="BU772" s="147"/>
      <c r="BV772" s="147"/>
      <c r="BW772" s="147"/>
      <c r="BX772" s="147"/>
      <c r="BY772" s="147"/>
      <c r="BZ772" s="147"/>
      <c r="CA772" s="147"/>
      <c r="CB772" s="147"/>
      <c r="CC772" s="147"/>
      <c r="CD772" s="147"/>
      <c r="CE772" s="147"/>
      <c r="CF772" s="147"/>
      <c r="CG772" s="147"/>
      <c r="CH772" s="147"/>
      <c r="CI772" s="147"/>
      <c r="CJ772" s="147"/>
      <c r="CK772" s="147"/>
    </row>
    <row r="773" spans="1:89">
      <c r="A773" s="157"/>
      <c r="F773" s="3"/>
      <c r="G773" s="3"/>
      <c r="L773" s="157"/>
      <c r="M773" s="157"/>
      <c r="O773" s="147"/>
      <c r="P773" s="147"/>
      <c r="Q773" s="147"/>
      <c r="R773" s="147"/>
      <c r="S773" s="147"/>
      <c r="T773" s="147"/>
      <c r="U773" s="147"/>
      <c r="V773" s="147"/>
      <c r="W773" s="147"/>
      <c r="X773" s="147"/>
      <c r="Y773" s="147"/>
      <c r="Z773" s="147"/>
      <c r="AA773" s="147"/>
      <c r="AB773" s="147"/>
      <c r="AC773" s="147"/>
      <c r="AD773" s="147"/>
      <c r="AE773" s="147"/>
      <c r="AF773" s="147"/>
      <c r="AG773" s="147"/>
      <c r="AH773" s="147"/>
      <c r="AI773" s="147"/>
      <c r="AJ773" s="147"/>
      <c r="AK773" s="147"/>
      <c r="AL773" s="147"/>
      <c r="AM773" s="151"/>
      <c r="AN773" s="147"/>
      <c r="AO773" s="147"/>
      <c r="AP773" s="147"/>
      <c r="AQ773" s="147"/>
      <c r="AR773" s="147"/>
      <c r="AS773" s="147"/>
      <c r="AT773" s="147"/>
      <c r="AU773" s="147"/>
      <c r="AV773" s="147"/>
      <c r="AW773" s="147"/>
      <c r="AX773" s="147"/>
      <c r="AY773" s="147"/>
      <c r="AZ773" s="147"/>
      <c r="BA773" s="147"/>
      <c r="BB773" s="147"/>
      <c r="BC773" s="147"/>
      <c r="BD773" s="147"/>
      <c r="BE773" s="147"/>
      <c r="BF773" s="147"/>
      <c r="BG773" s="147"/>
      <c r="BH773" s="147"/>
      <c r="BI773" s="147"/>
      <c r="BJ773" s="147"/>
      <c r="BK773" s="147"/>
      <c r="BL773" s="147"/>
      <c r="BM773" s="147"/>
      <c r="BN773" s="147"/>
      <c r="BO773" s="147"/>
      <c r="BP773" s="147"/>
      <c r="BQ773" s="147"/>
      <c r="BR773" s="147"/>
      <c r="BS773" s="147"/>
      <c r="BT773" s="147"/>
      <c r="BU773" s="147"/>
      <c r="BV773" s="147"/>
      <c r="BW773" s="147"/>
      <c r="BX773" s="147"/>
      <c r="BY773" s="147"/>
      <c r="BZ773" s="147"/>
      <c r="CA773" s="147"/>
      <c r="CB773" s="147"/>
      <c r="CC773" s="147"/>
      <c r="CD773" s="147"/>
      <c r="CE773" s="147"/>
      <c r="CF773" s="147"/>
      <c r="CG773" s="147"/>
      <c r="CH773" s="147"/>
      <c r="CI773" s="147"/>
      <c r="CJ773" s="147"/>
      <c r="CK773" s="147"/>
    </row>
    <row r="774" spans="1:89">
      <c r="A774" s="157"/>
      <c r="F774" s="3"/>
      <c r="G774" s="3"/>
      <c r="L774" s="157"/>
      <c r="M774" s="157"/>
      <c r="O774" s="147"/>
      <c r="P774" s="147"/>
      <c r="Q774" s="147"/>
      <c r="R774" s="147"/>
      <c r="S774" s="147"/>
      <c r="T774" s="147"/>
      <c r="U774" s="147"/>
      <c r="V774" s="147"/>
      <c r="W774" s="147"/>
      <c r="X774" s="147"/>
      <c r="Y774" s="147"/>
      <c r="Z774" s="147"/>
      <c r="AA774" s="147"/>
      <c r="AB774" s="147"/>
      <c r="AC774" s="147"/>
      <c r="AD774" s="147"/>
      <c r="AE774" s="147"/>
      <c r="AF774" s="147"/>
      <c r="AG774" s="147"/>
      <c r="AH774" s="147"/>
      <c r="AI774" s="147"/>
      <c r="AJ774" s="147"/>
      <c r="AK774" s="147"/>
      <c r="AL774" s="147"/>
      <c r="AM774" s="151"/>
      <c r="AN774" s="147"/>
      <c r="AO774" s="147"/>
      <c r="AP774" s="147"/>
      <c r="AQ774" s="147"/>
      <c r="AR774" s="147"/>
      <c r="AS774" s="147"/>
      <c r="AT774" s="147"/>
      <c r="AU774" s="147"/>
      <c r="AV774" s="147"/>
      <c r="AW774" s="147"/>
      <c r="AX774" s="147"/>
      <c r="AY774" s="147"/>
      <c r="AZ774" s="147"/>
      <c r="BA774" s="147"/>
      <c r="BB774" s="147"/>
      <c r="BC774" s="147"/>
      <c r="BD774" s="147"/>
      <c r="BE774" s="147"/>
      <c r="BF774" s="147"/>
      <c r="BG774" s="147"/>
      <c r="BH774" s="147"/>
      <c r="BI774" s="147"/>
      <c r="BJ774" s="147"/>
      <c r="BK774" s="147"/>
      <c r="BL774" s="147"/>
      <c r="BM774" s="147"/>
      <c r="BN774" s="147"/>
      <c r="BO774" s="147"/>
      <c r="BP774" s="147"/>
      <c r="BQ774" s="147"/>
      <c r="BR774" s="147"/>
      <c r="BS774" s="147"/>
      <c r="BT774" s="147"/>
      <c r="BU774" s="147"/>
      <c r="BV774" s="147"/>
      <c r="BW774" s="147"/>
      <c r="BX774" s="147"/>
      <c r="BY774" s="147"/>
      <c r="BZ774" s="147"/>
      <c r="CA774" s="147"/>
      <c r="CB774" s="147"/>
      <c r="CC774" s="147"/>
      <c r="CD774" s="147"/>
      <c r="CE774" s="147"/>
      <c r="CF774" s="147"/>
      <c r="CG774" s="147"/>
      <c r="CH774" s="147"/>
      <c r="CI774" s="147"/>
      <c r="CJ774" s="147"/>
      <c r="CK774" s="147"/>
    </row>
    <row r="775" spans="1:89">
      <c r="A775" s="157"/>
      <c r="F775" s="3"/>
      <c r="G775" s="3"/>
      <c r="L775" s="157"/>
      <c r="M775" s="157"/>
      <c r="O775" s="147"/>
      <c r="P775" s="147"/>
      <c r="Q775" s="147"/>
      <c r="R775" s="147"/>
      <c r="S775" s="147"/>
      <c r="T775" s="147"/>
      <c r="U775" s="147"/>
      <c r="V775" s="147"/>
      <c r="W775" s="147"/>
      <c r="X775" s="147"/>
      <c r="Y775" s="147"/>
      <c r="Z775" s="147"/>
      <c r="AA775" s="147"/>
      <c r="AB775" s="147"/>
      <c r="AC775" s="147"/>
      <c r="AD775" s="147"/>
      <c r="AE775" s="147"/>
      <c r="AF775" s="147"/>
      <c r="AG775" s="147"/>
      <c r="AH775" s="147"/>
      <c r="AI775" s="147"/>
      <c r="AJ775" s="147"/>
      <c r="AK775" s="147"/>
      <c r="AL775" s="147"/>
      <c r="AM775" s="151"/>
      <c r="AN775" s="147"/>
      <c r="AO775" s="147"/>
      <c r="AP775" s="147"/>
      <c r="AQ775" s="147"/>
      <c r="AR775" s="147"/>
      <c r="AS775" s="147"/>
      <c r="AT775" s="147"/>
      <c r="AU775" s="147"/>
      <c r="AV775" s="147"/>
      <c r="AW775" s="147"/>
      <c r="AX775" s="147"/>
      <c r="AY775" s="147"/>
      <c r="AZ775" s="147"/>
      <c r="BA775" s="147"/>
      <c r="BB775" s="147"/>
      <c r="BC775" s="147"/>
      <c r="BD775" s="147"/>
      <c r="BE775" s="147"/>
      <c r="BF775" s="147"/>
      <c r="BG775" s="147"/>
      <c r="BH775" s="147"/>
      <c r="BI775" s="147"/>
      <c r="BJ775" s="147"/>
      <c r="BK775" s="147"/>
      <c r="BL775" s="147"/>
      <c r="BM775" s="147"/>
      <c r="BN775" s="147"/>
      <c r="BO775" s="147"/>
      <c r="BP775" s="147"/>
      <c r="BQ775" s="147"/>
      <c r="BR775" s="147"/>
      <c r="BS775" s="147"/>
      <c r="BT775" s="147"/>
      <c r="BU775" s="147"/>
      <c r="BV775" s="147"/>
      <c r="BW775" s="147"/>
      <c r="BX775" s="147"/>
      <c r="BY775" s="147"/>
      <c r="BZ775" s="147"/>
      <c r="CA775" s="147"/>
      <c r="CB775" s="147"/>
      <c r="CC775" s="147"/>
      <c r="CD775" s="147"/>
      <c r="CE775" s="147"/>
      <c r="CF775" s="147"/>
      <c r="CG775" s="147"/>
      <c r="CH775" s="147"/>
      <c r="CI775" s="147"/>
      <c r="CJ775" s="147"/>
      <c r="CK775" s="147"/>
    </row>
    <row r="776" spans="1:89">
      <c r="A776" s="157"/>
      <c r="F776" s="3"/>
      <c r="G776" s="3"/>
      <c r="L776" s="157"/>
      <c r="M776" s="157"/>
      <c r="O776" s="147"/>
      <c r="P776" s="147"/>
      <c r="Q776" s="147"/>
      <c r="R776" s="147"/>
      <c r="S776" s="147"/>
      <c r="T776" s="147"/>
      <c r="U776" s="147"/>
      <c r="V776" s="147"/>
      <c r="W776" s="147"/>
      <c r="X776" s="147"/>
      <c r="Y776" s="147"/>
      <c r="Z776" s="147"/>
      <c r="AA776" s="147"/>
      <c r="AB776" s="147"/>
      <c r="AC776" s="147"/>
      <c r="AD776" s="147"/>
      <c r="AE776" s="147"/>
      <c r="AF776" s="147"/>
      <c r="AG776" s="147"/>
      <c r="AH776" s="147"/>
      <c r="AI776" s="147"/>
      <c r="AJ776" s="147"/>
      <c r="AK776" s="147"/>
      <c r="AL776" s="147"/>
      <c r="AM776" s="151"/>
      <c r="AN776" s="147"/>
      <c r="AO776" s="147"/>
      <c r="AP776" s="147"/>
      <c r="AQ776" s="147"/>
      <c r="AR776" s="147"/>
      <c r="AS776" s="147"/>
      <c r="AT776" s="147"/>
      <c r="AU776" s="147"/>
      <c r="AV776" s="147"/>
      <c r="AW776" s="147"/>
      <c r="AX776" s="147"/>
      <c r="AY776" s="147"/>
      <c r="AZ776" s="147"/>
      <c r="BA776" s="147"/>
      <c r="BB776" s="147"/>
      <c r="BC776" s="147"/>
      <c r="BD776" s="147"/>
      <c r="BE776" s="147"/>
      <c r="BF776" s="147"/>
      <c r="BG776" s="147"/>
      <c r="BH776" s="147"/>
      <c r="BI776" s="147"/>
      <c r="BJ776" s="147"/>
      <c r="BK776" s="147"/>
      <c r="BL776" s="147"/>
      <c r="BM776" s="147"/>
      <c r="BN776" s="147"/>
      <c r="BO776" s="147"/>
      <c r="BP776" s="147"/>
      <c r="BQ776" s="147"/>
      <c r="BR776" s="147"/>
      <c r="BS776" s="147"/>
      <c r="BT776" s="147"/>
      <c r="BU776" s="147"/>
      <c r="BV776" s="147"/>
      <c r="BW776" s="147"/>
      <c r="BX776" s="147"/>
      <c r="BY776" s="147"/>
      <c r="BZ776" s="147"/>
      <c r="CA776" s="147"/>
      <c r="CB776" s="147"/>
      <c r="CC776" s="147"/>
      <c r="CD776" s="147"/>
      <c r="CE776" s="147"/>
      <c r="CF776" s="147"/>
      <c r="CG776" s="147"/>
      <c r="CH776" s="147"/>
      <c r="CI776" s="147"/>
      <c r="CJ776" s="147"/>
      <c r="CK776" s="147"/>
    </row>
    <row r="777" spans="1:89">
      <c r="A777" s="157"/>
      <c r="F777" s="3"/>
      <c r="G777" s="3"/>
      <c r="L777" s="157"/>
      <c r="M777" s="157"/>
      <c r="O777" s="147"/>
      <c r="P777" s="147"/>
      <c r="Q777" s="147"/>
      <c r="R777" s="147"/>
      <c r="S777" s="147"/>
      <c r="T777" s="147"/>
      <c r="U777" s="147"/>
      <c r="V777" s="147"/>
      <c r="W777" s="147"/>
      <c r="X777" s="147"/>
      <c r="Y777" s="147"/>
      <c r="Z777" s="147"/>
      <c r="AA777" s="147"/>
      <c r="AB777" s="147"/>
      <c r="AC777" s="147"/>
      <c r="AD777" s="147"/>
      <c r="AE777" s="147"/>
      <c r="AF777" s="147"/>
      <c r="AG777" s="147"/>
      <c r="AH777" s="147"/>
      <c r="AI777" s="147"/>
      <c r="AJ777" s="147"/>
      <c r="AK777" s="147"/>
      <c r="AL777" s="147"/>
      <c r="AM777" s="151"/>
      <c r="AN777" s="147"/>
      <c r="AO777" s="147"/>
      <c r="AP777" s="147"/>
      <c r="AQ777" s="147"/>
      <c r="AR777" s="147"/>
      <c r="AS777" s="147"/>
      <c r="AT777" s="147"/>
      <c r="AU777" s="147"/>
      <c r="AV777" s="147"/>
      <c r="AW777" s="147"/>
      <c r="AX777" s="147"/>
      <c r="AY777" s="147"/>
      <c r="AZ777" s="147"/>
      <c r="BA777" s="147"/>
      <c r="BB777" s="147"/>
      <c r="BC777" s="147"/>
      <c r="BD777" s="147"/>
      <c r="BE777" s="147"/>
      <c r="BF777" s="147"/>
      <c r="BG777" s="147"/>
      <c r="BH777" s="147"/>
      <c r="BI777" s="147"/>
      <c r="BJ777" s="147"/>
      <c r="BK777" s="147"/>
      <c r="BL777" s="147"/>
      <c r="BM777" s="147"/>
      <c r="BN777" s="147"/>
      <c r="BO777" s="147"/>
      <c r="BP777" s="147"/>
      <c r="BQ777" s="147"/>
      <c r="BR777" s="147"/>
      <c r="BS777" s="147"/>
      <c r="BT777" s="147"/>
      <c r="BU777" s="147"/>
      <c r="BV777" s="147"/>
      <c r="BW777" s="147"/>
      <c r="BX777" s="147"/>
      <c r="BY777" s="147"/>
      <c r="BZ777" s="147"/>
      <c r="CA777" s="147"/>
      <c r="CB777" s="147"/>
      <c r="CC777" s="147"/>
      <c r="CD777" s="147"/>
      <c r="CE777" s="147"/>
      <c r="CF777" s="147"/>
      <c r="CG777" s="147"/>
      <c r="CH777" s="147"/>
      <c r="CI777" s="147"/>
      <c r="CJ777" s="147"/>
      <c r="CK777" s="147"/>
    </row>
    <row r="778" spans="1:89">
      <c r="A778" s="157"/>
      <c r="F778" s="3"/>
      <c r="G778" s="3"/>
      <c r="L778" s="157"/>
      <c r="M778" s="157"/>
      <c r="O778" s="147"/>
      <c r="P778" s="147"/>
      <c r="Q778" s="147"/>
      <c r="R778" s="147"/>
      <c r="S778" s="147"/>
      <c r="T778" s="147"/>
      <c r="U778" s="147"/>
      <c r="V778" s="147"/>
      <c r="W778" s="147"/>
      <c r="X778" s="147"/>
      <c r="Y778" s="147"/>
      <c r="Z778" s="147"/>
      <c r="AA778" s="147"/>
      <c r="AB778" s="147"/>
      <c r="AC778" s="147"/>
      <c r="AD778" s="147"/>
      <c r="AE778" s="147"/>
      <c r="AF778" s="147"/>
      <c r="AG778" s="147"/>
      <c r="AH778" s="147"/>
      <c r="AI778" s="147"/>
      <c r="AJ778" s="147"/>
      <c r="AK778" s="147"/>
      <c r="AL778" s="147"/>
      <c r="AM778" s="151"/>
      <c r="AN778" s="147"/>
      <c r="AO778" s="147"/>
      <c r="AP778" s="147"/>
      <c r="AQ778" s="147"/>
      <c r="AR778" s="147"/>
      <c r="AS778" s="147"/>
      <c r="AT778" s="147"/>
      <c r="AU778" s="147"/>
      <c r="AV778" s="147"/>
      <c r="AW778" s="147"/>
      <c r="AX778" s="147"/>
      <c r="AY778" s="147"/>
      <c r="AZ778" s="147"/>
      <c r="BA778" s="147"/>
      <c r="BB778" s="147"/>
      <c r="BC778" s="147"/>
      <c r="BD778" s="147"/>
      <c r="BE778" s="147"/>
      <c r="BF778" s="147"/>
      <c r="BG778" s="147"/>
      <c r="BH778" s="147"/>
      <c r="BI778" s="147"/>
      <c r="BJ778" s="147"/>
      <c r="BK778" s="147"/>
      <c r="BL778" s="147"/>
      <c r="BM778" s="147"/>
      <c r="BN778" s="147"/>
      <c r="BO778" s="147"/>
      <c r="BP778" s="147"/>
      <c r="BQ778" s="147"/>
      <c r="BR778" s="147"/>
      <c r="BS778" s="147"/>
      <c r="BT778" s="147"/>
      <c r="BU778" s="147"/>
      <c r="BV778" s="147"/>
      <c r="BW778" s="147"/>
      <c r="BX778" s="147"/>
      <c r="BY778" s="147"/>
      <c r="BZ778" s="147"/>
      <c r="CA778" s="147"/>
      <c r="CB778" s="147"/>
      <c r="CC778" s="147"/>
      <c r="CD778" s="147"/>
      <c r="CE778" s="147"/>
      <c r="CF778" s="147"/>
      <c r="CG778" s="147"/>
      <c r="CH778" s="147"/>
      <c r="CI778" s="147"/>
      <c r="CJ778" s="147"/>
      <c r="CK778" s="147"/>
    </row>
    <row r="779" spans="1:89">
      <c r="A779" s="157"/>
      <c r="F779" s="3"/>
      <c r="G779" s="3"/>
      <c r="L779" s="157"/>
      <c r="M779" s="157"/>
      <c r="O779" s="147"/>
      <c r="P779" s="147"/>
      <c r="Q779" s="147"/>
      <c r="R779" s="147"/>
      <c r="S779" s="147"/>
      <c r="T779" s="147"/>
      <c r="U779" s="147"/>
      <c r="V779" s="147"/>
      <c r="W779" s="147"/>
      <c r="X779" s="147"/>
      <c r="Y779" s="147"/>
      <c r="Z779" s="147"/>
      <c r="AA779" s="147"/>
      <c r="AB779" s="147"/>
      <c r="AC779" s="147"/>
      <c r="AD779" s="147"/>
      <c r="AE779" s="147"/>
      <c r="AF779" s="147"/>
      <c r="AG779" s="147"/>
      <c r="AH779" s="147"/>
      <c r="AI779" s="147"/>
      <c r="AJ779" s="147"/>
      <c r="AK779" s="147"/>
      <c r="AL779" s="147"/>
      <c r="AM779" s="151"/>
      <c r="AN779" s="147"/>
      <c r="AO779" s="147"/>
      <c r="AP779" s="147"/>
      <c r="AQ779" s="147"/>
      <c r="AR779" s="147"/>
      <c r="AS779" s="147"/>
      <c r="AT779" s="147"/>
      <c r="AU779" s="147"/>
      <c r="AV779" s="147"/>
      <c r="AW779" s="147"/>
      <c r="AX779" s="147"/>
      <c r="AY779" s="147"/>
      <c r="AZ779" s="147"/>
      <c r="BA779" s="147"/>
      <c r="BB779" s="147"/>
      <c r="BC779" s="147"/>
      <c r="BD779" s="147"/>
      <c r="BE779" s="147"/>
      <c r="BF779" s="147"/>
      <c r="BG779" s="147"/>
      <c r="BH779" s="147"/>
      <c r="BI779" s="147"/>
      <c r="BJ779" s="147"/>
      <c r="BK779" s="147"/>
      <c r="BL779" s="147"/>
      <c r="BM779" s="147"/>
      <c r="BN779" s="147"/>
      <c r="BO779" s="147"/>
      <c r="BP779" s="147"/>
      <c r="BQ779" s="147"/>
      <c r="BR779" s="147"/>
      <c r="BS779" s="147"/>
      <c r="BT779" s="147"/>
      <c r="BU779" s="147"/>
      <c r="BV779" s="147"/>
      <c r="BW779" s="147"/>
      <c r="BX779" s="147"/>
      <c r="BY779" s="147"/>
      <c r="BZ779" s="147"/>
      <c r="CA779" s="147"/>
      <c r="CB779" s="147"/>
      <c r="CC779" s="147"/>
      <c r="CD779" s="147"/>
      <c r="CE779" s="147"/>
      <c r="CF779" s="147"/>
      <c r="CG779" s="147"/>
      <c r="CH779" s="147"/>
      <c r="CI779" s="147"/>
      <c r="CJ779" s="147"/>
      <c r="CK779" s="147"/>
    </row>
    <row r="780" spans="1:89">
      <c r="A780" s="157"/>
      <c r="F780" s="3"/>
      <c r="G780" s="3"/>
      <c r="L780" s="157"/>
      <c r="M780" s="157"/>
      <c r="O780" s="147"/>
      <c r="P780" s="147"/>
      <c r="Q780" s="147"/>
      <c r="R780" s="147"/>
      <c r="S780" s="147"/>
      <c r="T780" s="147"/>
      <c r="U780" s="147"/>
      <c r="V780" s="147"/>
      <c r="W780" s="147"/>
      <c r="X780" s="147"/>
      <c r="Y780" s="147"/>
      <c r="Z780" s="147"/>
      <c r="AA780" s="147"/>
      <c r="AB780" s="147"/>
      <c r="AC780" s="147"/>
      <c r="AD780" s="147"/>
      <c r="AE780" s="147"/>
      <c r="AF780" s="147"/>
      <c r="AG780" s="147"/>
      <c r="AH780" s="147"/>
      <c r="AI780" s="147"/>
      <c r="AJ780" s="147"/>
      <c r="AK780" s="147"/>
      <c r="AL780" s="147"/>
      <c r="AM780" s="151"/>
      <c r="AN780" s="147"/>
      <c r="AO780" s="147"/>
      <c r="AP780" s="147"/>
      <c r="AQ780" s="147"/>
      <c r="AR780" s="147"/>
      <c r="AS780" s="147"/>
      <c r="AT780" s="147"/>
      <c r="AU780" s="147"/>
      <c r="AV780" s="147"/>
      <c r="AW780" s="147"/>
      <c r="AX780" s="147"/>
      <c r="AY780" s="147"/>
      <c r="AZ780" s="147"/>
      <c r="BA780" s="147"/>
      <c r="BB780" s="147"/>
      <c r="BC780" s="147"/>
      <c r="BD780" s="147"/>
      <c r="BE780" s="147"/>
      <c r="BF780" s="147"/>
      <c r="BG780" s="147"/>
      <c r="BH780" s="147"/>
      <c r="BI780" s="147"/>
      <c r="BJ780" s="147"/>
      <c r="BK780" s="147"/>
      <c r="BL780" s="147"/>
      <c r="BM780" s="147"/>
      <c r="BN780" s="147"/>
      <c r="BO780" s="147"/>
      <c r="BP780" s="147"/>
      <c r="BQ780" s="147"/>
      <c r="BR780" s="147"/>
      <c r="BS780" s="147"/>
      <c r="BT780" s="147"/>
      <c r="BU780" s="147"/>
      <c r="BV780" s="147"/>
      <c r="BW780" s="147"/>
      <c r="BX780" s="147"/>
      <c r="BY780" s="147"/>
      <c r="BZ780" s="147"/>
      <c r="CA780" s="147"/>
      <c r="CB780" s="147"/>
      <c r="CC780" s="147"/>
      <c r="CD780" s="147"/>
      <c r="CE780" s="147"/>
      <c r="CF780" s="147"/>
      <c r="CG780" s="147"/>
      <c r="CH780" s="147"/>
      <c r="CI780" s="147"/>
      <c r="CJ780" s="147"/>
      <c r="CK780" s="147"/>
    </row>
    <row r="781" spans="1:89">
      <c r="A781" s="157"/>
      <c r="F781" s="3"/>
      <c r="G781" s="3"/>
      <c r="L781" s="157"/>
      <c r="M781" s="157"/>
      <c r="O781" s="147"/>
      <c r="P781" s="147"/>
      <c r="Q781" s="147"/>
      <c r="R781" s="147"/>
      <c r="S781" s="147"/>
      <c r="T781" s="147"/>
      <c r="U781" s="147"/>
      <c r="V781" s="147"/>
      <c r="W781" s="147"/>
      <c r="X781" s="147"/>
      <c r="Y781" s="147"/>
      <c r="Z781" s="147"/>
      <c r="AA781" s="147"/>
      <c r="AB781" s="147"/>
      <c r="AC781" s="147"/>
      <c r="AD781" s="147"/>
      <c r="AE781" s="147"/>
      <c r="AF781" s="147"/>
      <c r="AG781" s="147"/>
      <c r="AH781" s="147"/>
      <c r="AI781" s="147"/>
      <c r="AJ781" s="147"/>
      <c r="AK781" s="147"/>
      <c r="AL781" s="147"/>
      <c r="AM781" s="151"/>
      <c r="AN781" s="147"/>
      <c r="AO781" s="147"/>
      <c r="AP781" s="147"/>
      <c r="AQ781" s="147"/>
      <c r="AR781" s="147"/>
      <c r="AS781" s="147"/>
      <c r="AT781" s="147"/>
      <c r="AU781" s="147"/>
      <c r="AV781" s="147"/>
      <c r="AW781" s="147"/>
      <c r="AX781" s="147"/>
      <c r="AY781" s="147"/>
      <c r="AZ781" s="147"/>
      <c r="BA781" s="147"/>
      <c r="BB781" s="147"/>
      <c r="BC781" s="147"/>
      <c r="BD781" s="147"/>
      <c r="BE781" s="147"/>
      <c r="BF781" s="147"/>
      <c r="BG781" s="147"/>
      <c r="BH781" s="147"/>
      <c r="BI781" s="147"/>
      <c r="BJ781" s="147"/>
      <c r="BK781" s="147"/>
      <c r="BL781" s="147"/>
      <c r="BM781" s="147"/>
      <c r="BN781" s="147"/>
      <c r="BO781" s="147"/>
      <c r="BP781" s="147"/>
      <c r="BQ781" s="147"/>
      <c r="BR781" s="147"/>
      <c r="BS781" s="147"/>
      <c r="BT781" s="147"/>
      <c r="BU781" s="147"/>
      <c r="BV781" s="147"/>
      <c r="BW781" s="147"/>
      <c r="BX781" s="147"/>
      <c r="BY781" s="147"/>
      <c r="BZ781" s="147"/>
      <c r="CA781" s="147"/>
      <c r="CB781" s="147"/>
      <c r="CC781" s="147"/>
      <c r="CD781" s="147"/>
      <c r="CE781" s="147"/>
      <c r="CF781" s="147"/>
      <c r="CG781" s="147"/>
      <c r="CH781" s="147"/>
      <c r="CI781" s="147"/>
      <c r="CJ781" s="147"/>
      <c r="CK781" s="147"/>
    </row>
    <row r="782" spans="1:89">
      <c r="A782" s="157"/>
      <c r="F782" s="3"/>
      <c r="G782" s="3"/>
      <c r="L782" s="157"/>
      <c r="M782" s="157"/>
      <c r="O782" s="147"/>
      <c r="P782" s="147"/>
      <c r="Q782" s="147"/>
      <c r="R782" s="147"/>
      <c r="S782" s="147"/>
      <c r="T782" s="147"/>
      <c r="U782" s="147"/>
      <c r="V782" s="147"/>
      <c r="W782" s="147"/>
      <c r="X782" s="147"/>
      <c r="Y782" s="147"/>
      <c r="Z782" s="147"/>
      <c r="AA782" s="147"/>
      <c r="AB782" s="147"/>
      <c r="AC782" s="147"/>
      <c r="AD782" s="147"/>
      <c r="AE782" s="147"/>
      <c r="AF782" s="147"/>
      <c r="AG782" s="147"/>
      <c r="AH782" s="147"/>
      <c r="AI782" s="147"/>
      <c r="AJ782" s="147"/>
      <c r="AK782" s="147"/>
      <c r="AL782" s="147"/>
      <c r="AM782" s="151"/>
      <c r="AN782" s="147"/>
      <c r="AO782" s="147"/>
      <c r="AP782" s="147"/>
      <c r="AQ782" s="147"/>
      <c r="AR782" s="147"/>
      <c r="AS782" s="147"/>
      <c r="AT782" s="147"/>
      <c r="AU782" s="147"/>
      <c r="AV782" s="147"/>
      <c r="AW782" s="147"/>
      <c r="AX782" s="147"/>
      <c r="AY782" s="147"/>
      <c r="AZ782" s="147"/>
      <c r="BA782" s="147"/>
      <c r="BB782" s="147"/>
      <c r="BC782" s="147"/>
      <c r="BD782" s="147"/>
      <c r="BE782" s="147"/>
      <c r="BF782" s="147"/>
      <c r="BG782" s="147"/>
      <c r="BH782" s="147"/>
      <c r="BI782" s="147"/>
      <c r="BJ782" s="147"/>
      <c r="BK782" s="147"/>
      <c r="BL782" s="147"/>
      <c r="BM782" s="147"/>
      <c r="BN782" s="147"/>
      <c r="BO782" s="147"/>
      <c r="BP782" s="147"/>
      <c r="BQ782" s="147"/>
      <c r="BR782" s="147"/>
      <c r="BS782" s="147"/>
      <c r="BT782" s="147"/>
      <c r="BU782" s="147"/>
      <c r="BV782" s="147"/>
      <c r="BW782" s="147"/>
      <c r="BX782" s="147"/>
      <c r="BY782" s="147"/>
      <c r="BZ782" s="147"/>
      <c r="CA782" s="147"/>
      <c r="CB782" s="147"/>
      <c r="CC782" s="147"/>
      <c r="CD782" s="147"/>
      <c r="CE782" s="147"/>
      <c r="CF782" s="147"/>
      <c r="CG782" s="147"/>
      <c r="CH782" s="147"/>
      <c r="CI782" s="147"/>
      <c r="CJ782" s="147"/>
      <c r="CK782" s="147"/>
    </row>
    <row r="783" spans="1:89">
      <c r="A783" s="157"/>
      <c r="F783" s="3"/>
      <c r="G783" s="3"/>
      <c r="L783" s="157"/>
      <c r="M783" s="157"/>
      <c r="O783" s="147"/>
      <c r="P783" s="147"/>
      <c r="Q783" s="147"/>
      <c r="R783" s="147"/>
      <c r="S783" s="147"/>
      <c r="T783" s="147"/>
      <c r="U783" s="147"/>
      <c r="V783" s="147"/>
      <c r="W783" s="147"/>
      <c r="X783" s="147"/>
      <c r="Y783" s="147"/>
      <c r="Z783" s="147"/>
      <c r="AA783" s="147"/>
      <c r="AB783" s="147"/>
      <c r="AC783" s="147"/>
      <c r="AD783" s="147"/>
      <c r="AE783" s="147"/>
      <c r="AF783" s="147"/>
      <c r="AG783" s="147"/>
      <c r="AH783" s="147"/>
      <c r="AI783" s="147"/>
      <c r="AJ783" s="147"/>
      <c r="AK783" s="147"/>
      <c r="AL783" s="147"/>
      <c r="AM783" s="151"/>
      <c r="AN783" s="147"/>
      <c r="AO783" s="147"/>
      <c r="AP783" s="147"/>
      <c r="AQ783" s="147"/>
      <c r="AR783" s="147"/>
      <c r="AS783" s="147"/>
      <c r="AT783" s="147"/>
      <c r="AU783" s="147"/>
      <c r="AV783" s="147"/>
      <c r="AW783" s="147"/>
      <c r="AX783" s="147"/>
      <c r="AY783" s="147"/>
      <c r="AZ783" s="147"/>
      <c r="BA783" s="147"/>
      <c r="BB783" s="147"/>
      <c r="BC783" s="147"/>
      <c r="BD783" s="147"/>
      <c r="BE783" s="147"/>
      <c r="BF783" s="147"/>
      <c r="BG783" s="147"/>
      <c r="BH783" s="147"/>
      <c r="BI783" s="147"/>
      <c r="BJ783" s="147"/>
      <c r="BK783" s="147"/>
      <c r="BL783" s="147"/>
      <c r="BM783" s="147"/>
      <c r="BN783" s="147"/>
      <c r="BO783" s="147"/>
      <c r="BP783" s="147"/>
      <c r="BQ783" s="147"/>
      <c r="BR783" s="147"/>
      <c r="BS783" s="147"/>
      <c r="BT783" s="147"/>
      <c r="BU783" s="147"/>
      <c r="BV783" s="147"/>
      <c r="BW783" s="147"/>
      <c r="BX783" s="147"/>
      <c r="BY783" s="147"/>
      <c r="BZ783" s="147"/>
      <c r="CA783" s="147"/>
      <c r="CB783" s="147"/>
      <c r="CC783" s="147"/>
      <c r="CD783" s="147"/>
      <c r="CE783" s="147"/>
      <c r="CF783" s="147"/>
      <c r="CG783" s="147"/>
      <c r="CH783" s="147"/>
      <c r="CI783" s="147"/>
      <c r="CJ783" s="147"/>
      <c r="CK783" s="147"/>
    </row>
    <row r="784" spans="1:89">
      <c r="A784" s="157"/>
      <c r="F784" s="3"/>
      <c r="G784" s="3"/>
      <c r="L784" s="157"/>
      <c r="M784" s="157"/>
      <c r="O784" s="147"/>
      <c r="P784" s="147"/>
      <c r="Q784" s="147"/>
      <c r="R784" s="147"/>
      <c r="S784" s="147"/>
      <c r="T784" s="147"/>
      <c r="U784" s="147"/>
      <c r="V784" s="147"/>
      <c r="W784" s="147"/>
      <c r="X784" s="147"/>
      <c r="Y784" s="147"/>
      <c r="Z784" s="147"/>
      <c r="AA784" s="147"/>
      <c r="AB784" s="147"/>
      <c r="AC784" s="147"/>
      <c r="AD784" s="147"/>
      <c r="AE784" s="147"/>
      <c r="AF784" s="147"/>
      <c r="AG784" s="147"/>
      <c r="AH784" s="147"/>
      <c r="AI784" s="147"/>
      <c r="AJ784" s="147"/>
      <c r="AK784" s="147"/>
      <c r="AL784" s="147"/>
      <c r="AM784" s="151"/>
      <c r="AN784" s="147"/>
      <c r="AO784" s="147"/>
      <c r="AP784" s="147"/>
      <c r="AQ784" s="147"/>
      <c r="AR784" s="147"/>
      <c r="AS784" s="147"/>
      <c r="AT784" s="147"/>
      <c r="AU784" s="147"/>
      <c r="AV784" s="147"/>
      <c r="AW784" s="147"/>
      <c r="AX784" s="147"/>
      <c r="AY784" s="147"/>
      <c r="AZ784" s="147"/>
      <c r="BA784" s="147"/>
      <c r="BB784" s="147"/>
      <c r="BC784" s="147"/>
      <c r="BD784" s="147"/>
      <c r="BE784" s="147"/>
      <c r="BF784" s="147"/>
      <c r="BG784" s="147"/>
      <c r="BH784" s="147"/>
      <c r="BI784" s="147"/>
      <c r="BJ784" s="147"/>
      <c r="BK784" s="147"/>
      <c r="BL784" s="147"/>
      <c r="BM784" s="147"/>
      <c r="BN784" s="147"/>
      <c r="BO784" s="147"/>
      <c r="BP784" s="147"/>
      <c r="BQ784" s="147"/>
      <c r="BR784" s="147"/>
      <c r="BS784" s="147"/>
      <c r="BT784" s="147"/>
      <c r="BU784" s="147"/>
      <c r="BV784" s="147"/>
      <c r="BW784" s="147"/>
      <c r="BX784" s="147"/>
      <c r="BY784" s="147"/>
      <c r="BZ784" s="147"/>
      <c r="CA784" s="147"/>
      <c r="CB784" s="147"/>
      <c r="CC784" s="147"/>
      <c r="CD784" s="147"/>
      <c r="CE784" s="147"/>
      <c r="CF784" s="147"/>
      <c r="CG784" s="147"/>
      <c r="CH784" s="147"/>
      <c r="CI784" s="147"/>
      <c r="CJ784" s="147"/>
      <c r="CK784" s="147"/>
    </row>
    <row r="785" spans="1:89">
      <c r="A785" s="157"/>
      <c r="F785" s="3"/>
      <c r="G785" s="3"/>
      <c r="L785" s="157"/>
      <c r="M785" s="157"/>
      <c r="O785" s="147"/>
      <c r="P785" s="147"/>
      <c r="Q785" s="147"/>
      <c r="R785" s="147"/>
      <c r="S785" s="147"/>
      <c r="T785" s="147"/>
      <c r="U785" s="147"/>
      <c r="V785" s="147"/>
      <c r="W785" s="147"/>
      <c r="X785" s="147"/>
      <c r="Y785" s="147"/>
      <c r="Z785" s="147"/>
      <c r="AA785" s="147"/>
      <c r="AB785" s="147"/>
      <c r="AC785" s="147"/>
      <c r="AD785" s="147"/>
      <c r="AE785" s="147"/>
      <c r="AF785" s="147"/>
      <c r="AG785" s="147"/>
      <c r="AH785" s="147"/>
      <c r="AI785" s="147"/>
      <c r="AJ785" s="147"/>
      <c r="AK785" s="147"/>
      <c r="AL785" s="147"/>
      <c r="AM785" s="151"/>
      <c r="AN785" s="147"/>
      <c r="AO785" s="147"/>
      <c r="AP785" s="147"/>
      <c r="AQ785" s="147"/>
      <c r="AR785" s="147"/>
      <c r="AS785" s="147"/>
      <c r="AT785" s="147"/>
      <c r="AU785" s="147"/>
      <c r="AV785" s="147"/>
      <c r="AW785" s="147"/>
      <c r="AX785" s="147"/>
      <c r="AY785" s="147"/>
      <c r="AZ785" s="147"/>
      <c r="BA785" s="147"/>
      <c r="BB785" s="147"/>
      <c r="BC785" s="147"/>
      <c r="BD785" s="147"/>
      <c r="BE785" s="147"/>
      <c r="BF785" s="147"/>
      <c r="BG785" s="147"/>
      <c r="BH785" s="147"/>
      <c r="BI785" s="147"/>
      <c r="BJ785" s="147"/>
      <c r="BK785" s="147"/>
      <c r="BL785" s="147"/>
      <c r="BM785" s="147"/>
      <c r="BN785" s="147"/>
      <c r="BO785" s="147"/>
      <c r="BP785" s="147"/>
      <c r="BQ785" s="147"/>
      <c r="BR785" s="147"/>
      <c r="BS785" s="147"/>
      <c r="BT785" s="147"/>
      <c r="BU785" s="147"/>
      <c r="BV785" s="147"/>
      <c r="BW785" s="147"/>
      <c r="BX785" s="147"/>
      <c r="BY785" s="147"/>
      <c r="BZ785" s="147"/>
      <c r="CA785" s="147"/>
      <c r="CB785" s="147"/>
      <c r="CC785" s="147"/>
      <c r="CD785" s="147"/>
      <c r="CE785" s="147"/>
      <c r="CF785" s="147"/>
      <c r="CG785" s="147"/>
      <c r="CH785" s="147"/>
      <c r="CI785" s="147"/>
      <c r="CJ785" s="147"/>
      <c r="CK785" s="147"/>
    </row>
    <row r="786" spans="1:89">
      <c r="A786" s="157"/>
      <c r="F786" s="3"/>
      <c r="G786" s="3"/>
      <c r="L786" s="157"/>
      <c r="M786" s="157"/>
      <c r="O786" s="147"/>
      <c r="P786" s="147"/>
      <c r="Q786" s="147"/>
      <c r="R786" s="147"/>
      <c r="S786" s="147"/>
      <c r="T786" s="147"/>
      <c r="U786" s="147"/>
      <c r="V786" s="147"/>
      <c r="W786" s="147"/>
      <c r="X786" s="147"/>
      <c r="Y786" s="147"/>
      <c r="Z786" s="147"/>
      <c r="AA786" s="147"/>
      <c r="AB786" s="147"/>
      <c r="AC786" s="147"/>
      <c r="AD786" s="147"/>
      <c r="AE786" s="147"/>
      <c r="AF786" s="147"/>
      <c r="AG786" s="147"/>
      <c r="AH786" s="147"/>
      <c r="AI786" s="147"/>
      <c r="AJ786" s="147"/>
      <c r="AK786" s="147"/>
      <c r="AL786" s="147"/>
      <c r="AM786" s="151"/>
      <c r="AN786" s="147"/>
      <c r="AO786" s="147"/>
      <c r="AP786" s="147"/>
      <c r="AQ786" s="147"/>
      <c r="AR786" s="147"/>
      <c r="AS786" s="147"/>
      <c r="AT786" s="147"/>
      <c r="AU786" s="147"/>
      <c r="AV786" s="147"/>
      <c r="AW786" s="147"/>
      <c r="AX786" s="147"/>
      <c r="AY786" s="147"/>
      <c r="AZ786" s="147"/>
      <c r="BA786" s="147"/>
      <c r="BB786" s="147"/>
      <c r="BC786" s="147"/>
      <c r="BD786" s="147"/>
      <c r="BE786" s="147"/>
      <c r="BF786" s="147"/>
      <c r="BG786" s="147"/>
      <c r="BH786" s="147"/>
      <c r="BI786" s="147"/>
      <c r="BJ786" s="147"/>
      <c r="BK786" s="147"/>
      <c r="BL786" s="147"/>
      <c r="BM786" s="147"/>
      <c r="BN786" s="147"/>
      <c r="BO786" s="147"/>
      <c r="BP786" s="147"/>
      <c r="BQ786" s="147"/>
      <c r="BR786" s="147"/>
      <c r="BS786" s="147"/>
      <c r="BT786" s="147"/>
      <c r="BU786" s="147"/>
      <c r="BV786" s="147"/>
      <c r="BW786" s="147"/>
      <c r="BX786" s="147"/>
      <c r="BY786" s="147"/>
      <c r="BZ786" s="147"/>
      <c r="CA786" s="147"/>
      <c r="CB786" s="147"/>
      <c r="CC786" s="147"/>
      <c r="CD786" s="147"/>
      <c r="CE786" s="147"/>
      <c r="CF786" s="147"/>
      <c r="CG786" s="147"/>
      <c r="CH786" s="147"/>
      <c r="CI786" s="147"/>
      <c r="CJ786" s="147"/>
      <c r="CK786" s="147"/>
    </row>
    <row r="787" spans="1:89">
      <c r="A787" s="157"/>
      <c r="F787" s="3"/>
      <c r="G787" s="3"/>
      <c r="L787" s="157"/>
      <c r="M787" s="157"/>
      <c r="O787" s="147"/>
      <c r="P787" s="147"/>
      <c r="Q787" s="147"/>
      <c r="R787" s="147"/>
      <c r="S787" s="147"/>
      <c r="T787" s="147"/>
      <c r="U787" s="147"/>
      <c r="V787" s="147"/>
      <c r="W787" s="147"/>
      <c r="X787" s="147"/>
      <c r="Y787" s="147"/>
      <c r="Z787" s="147"/>
      <c r="AA787" s="147"/>
      <c r="AB787" s="147"/>
      <c r="AC787" s="147"/>
      <c r="AD787" s="147"/>
      <c r="AE787" s="147"/>
      <c r="AF787" s="147"/>
      <c r="AG787" s="147"/>
      <c r="AH787" s="147"/>
      <c r="AI787" s="147"/>
      <c r="AJ787" s="147"/>
      <c r="AK787" s="147"/>
      <c r="AL787" s="147"/>
      <c r="AM787" s="151"/>
      <c r="AN787" s="147"/>
      <c r="AO787" s="147"/>
      <c r="AP787" s="147"/>
      <c r="AQ787" s="147"/>
      <c r="AR787" s="147"/>
      <c r="AS787" s="147"/>
      <c r="AT787" s="147"/>
      <c r="AU787" s="147"/>
      <c r="AV787" s="147"/>
      <c r="AW787" s="147"/>
      <c r="AX787" s="147"/>
      <c r="AY787" s="147"/>
      <c r="AZ787" s="147"/>
      <c r="BA787" s="147"/>
      <c r="BB787" s="147"/>
      <c r="BC787" s="147"/>
      <c r="BD787" s="147"/>
      <c r="BE787" s="147"/>
      <c r="BF787" s="147"/>
      <c r="BG787" s="147"/>
      <c r="BH787" s="147"/>
      <c r="BI787" s="147"/>
      <c r="BJ787" s="147"/>
      <c r="BK787" s="147"/>
      <c r="BL787" s="147"/>
      <c r="BM787" s="147"/>
      <c r="BN787" s="147"/>
      <c r="BO787" s="147"/>
      <c r="BP787" s="147"/>
      <c r="BQ787" s="147"/>
      <c r="BR787" s="147"/>
      <c r="BS787" s="147"/>
      <c r="BT787" s="147"/>
      <c r="BU787" s="147"/>
      <c r="BV787" s="147"/>
      <c r="BW787" s="147"/>
      <c r="BX787" s="147"/>
      <c r="BY787" s="147"/>
      <c r="BZ787" s="147"/>
      <c r="CA787" s="147"/>
      <c r="CB787" s="147"/>
      <c r="CC787" s="147"/>
      <c r="CD787" s="147"/>
      <c r="CE787" s="147"/>
      <c r="CF787" s="147"/>
      <c r="CG787" s="147"/>
      <c r="CH787" s="147"/>
      <c r="CI787" s="147"/>
      <c r="CJ787" s="147"/>
      <c r="CK787" s="147"/>
    </row>
    <row r="788" spans="1:89">
      <c r="A788" s="157"/>
      <c r="F788" s="3"/>
      <c r="G788" s="3"/>
      <c r="L788" s="157"/>
      <c r="M788" s="157"/>
      <c r="O788" s="147"/>
      <c r="P788" s="147"/>
      <c r="Q788" s="147"/>
      <c r="R788" s="147"/>
      <c r="S788" s="147"/>
      <c r="T788" s="147"/>
      <c r="U788" s="147"/>
      <c r="V788" s="147"/>
      <c r="W788" s="147"/>
      <c r="X788" s="147"/>
      <c r="Y788" s="147"/>
      <c r="Z788" s="147"/>
      <c r="AA788" s="147"/>
      <c r="AB788" s="147"/>
      <c r="AC788" s="147"/>
      <c r="AD788" s="147"/>
      <c r="AE788" s="147"/>
      <c r="AF788" s="147"/>
      <c r="AG788" s="147"/>
      <c r="AH788" s="147"/>
      <c r="AI788" s="147"/>
      <c r="AJ788" s="147"/>
      <c r="AK788" s="147"/>
      <c r="AL788" s="147"/>
      <c r="AM788" s="151"/>
      <c r="AN788" s="147"/>
      <c r="AO788" s="147"/>
      <c r="AP788" s="147"/>
      <c r="AQ788" s="147"/>
      <c r="AR788" s="147"/>
      <c r="AS788" s="147"/>
      <c r="AT788" s="147"/>
      <c r="AU788" s="147"/>
      <c r="AV788" s="147"/>
      <c r="AW788" s="147"/>
      <c r="AX788" s="147"/>
      <c r="AY788" s="147"/>
      <c r="AZ788" s="147"/>
      <c r="BA788" s="147"/>
      <c r="BB788" s="147"/>
      <c r="BC788" s="147"/>
      <c r="BD788" s="147"/>
      <c r="BE788" s="147"/>
      <c r="BF788" s="147"/>
      <c r="BG788" s="147"/>
      <c r="BH788" s="147"/>
      <c r="BI788" s="147"/>
      <c r="BJ788" s="147"/>
      <c r="BK788" s="147"/>
      <c r="BL788" s="147"/>
      <c r="BM788" s="147"/>
      <c r="BN788" s="147"/>
      <c r="BO788" s="147"/>
      <c r="BP788" s="147"/>
      <c r="BQ788" s="147"/>
      <c r="BR788" s="147"/>
      <c r="BS788" s="147"/>
      <c r="BT788" s="147"/>
      <c r="BU788" s="147"/>
      <c r="BV788" s="147"/>
      <c r="BW788" s="147"/>
      <c r="BX788" s="147"/>
      <c r="BY788" s="147"/>
      <c r="BZ788" s="147"/>
      <c r="CA788" s="147"/>
      <c r="CB788" s="147"/>
      <c r="CC788" s="147"/>
      <c r="CD788" s="147"/>
      <c r="CE788" s="147"/>
      <c r="CF788" s="147"/>
      <c r="CG788" s="147"/>
      <c r="CH788" s="147"/>
      <c r="CI788" s="147"/>
      <c r="CJ788" s="147"/>
      <c r="CK788" s="147"/>
    </row>
    <row r="789" spans="1:89">
      <c r="A789" s="157"/>
      <c r="F789" s="3"/>
      <c r="G789" s="3"/>
      <c r="L789" s="157"/>
      <c r="M789" s="157"/>
      <c r="O789" s="147"/>
      <c r="P789" s="147"/>
      <c r="Q789" s="147"/>
      <c r="R789" s="147"/>
      <c r="S789" s="147"/>
      <c r="T789" s="147"/>
      <c r="U789" s="147"/>
      <c r="V789" s="147"/>
      <c r="W789" s="147"/>
      <c r="X789" s="147"/>
      <c r="Y789" s="147"/>
      <c r="Z789" s="147"/>
      <c r="AA789" s="147"/>
      <c r="AB789" s="147"/>
      <c r="AC789" s="147"/>
      <c r="AD789" s="147"/>
      <c r="AE789" s="147"/>
      <c r="AF789" s="147"/>
      <c r="AG789" s="147"/>
      <c r="AH789" s="147"/>
      <c r="AI789" s="147"/>
      <c r="AJ789" s="147"/>
      <c r="AK789" s="147"/>
      <c r="AL789" s="147"/>
      <c r="AM789" s="151"/>
      <c r="AN789" s="147"/>
      <c r="AO789" s="147"/>
      <c r="AP789" s="147"/>
      <c r="AQ789" s="147"/>
      <c r="AR789" s="147"/>
      <c r="AS789" s="147"/>
      <c r="AT789" s="147"/>
      <c r="AU789" s="147"/>
      <c r="AV789" s="147"/>
      <c r="AW789" s="147"/>
      <c r="AX789" s="147"/>
      <c r="AY789" s="147"/>
      <c r="AZ789" s="147"/>
      <c r="BA789" s="147"/>
      <c r="BB789" s="147"/>
      <c r="BC789" s="147"/>
      <c r="BD789" s="147"/>
      <c r="BE789" s="147"/>
      <c r="BF789" s="147"/>
      <c r="BG789" s="147"/>
      <c r="BH789" s="147"/>
      <c r="BI789" s="147"/>
      <c r="BJ789" s="147"/>
      <c r="BK789" s="147"/>
      <c r="BL789" s="147"/>
      <c r="BM789" s="147"/>
      <c r="BN789" s="147"/>
      <c r="BO789" s="147"/>
      <c r="BP789" s="147"/>
      <c r="BQ789" s="147"/>
      <c r="BR789" s="147"/>
      <c r="BS789" s="147"/>
      <c r="BT789" s="147"/>
      <c r="BU789" s="147"/>
      <c r="BV789" s="147"/>
      <c r="BW789" s="147"/>
      <c r="BX789" s="147"/>
      <c r="BY789" s="147"/>
      <c r="BZ789" s="147"/>
      <c r="CA789" s="147"/>
      <c r="CB789" s="147"/>
      <c r="CC789" s="147"/>
      <c r="CD789" s="147"/>
      <c r="CE789" s="147"/>
      <c r="CF789" s="147"/>
      <c r="CG789" s="147"/>
      <c r="CH789" s="147"/>
      <c r="CI789" s="147"/>
      <c r="CJ789" s="147"/>
      <c r="CK789" s="147"/>
    </row>
    <row r="790" spans="1:89">
      <c r="A790" s="157"/>
      <c r="F790" s="3"/>
      <c r="G790" s="3"/>
      <c r="L790" s="157"/>
      <c r="M790" s="157"/>
      <c r="O790" s="147"/>
      <c r="P790" s="147"/>
      <c r="Q790" s="147"/>
      <c r="R790" s="147"/>
      <c r="S790" s="147"/>
      <c r="T790" s="147"/>
      <c r="U790" s="147"/>
      <c r="V790" s="147"/>
      <c r="W790" s="147"/>
      <c r="X790" s="147"/>
      <c r="Y790" s="147"/>
      <c r="Z790" s="147"/>
      <c r="AA790" s="147"/>
      <c r="AB790" s="147"/>
      <c r="AC790" s="147"/>
      <c r="AD790" s="147"/>
      <c r="AE790" s="147"/>
      <c r="AF790" s="147"/>
      <c r="AG790" s="147"/>
      <c r="AH790" s="147"/>
      <c r="AI790" s="147"/>
      <c r="AJ790" s="147"/>
      <c r="AK790" s="147"/>
      <c r="AL790" s="147"/>
      <c r="AM790" s="151"/>
      <c r="AN790" s="147"/>
      <c r="AO790" s="147"/>
      <c r="AP790" s="147"/>
      <c r="AQ790" s="147"/>
      <c r="AR790" s="147"/>
      <c r="AS790" s="147"/>
      <c r="AT790" s="147"/>
      <c r="AU790" s="147"/>
      <c r="AV790" s="147"/>
      <c r="AW790" s="147"/>
      <c r="AX790" s="147"/>
      <c r="AY790" s="147"/>
      <c r="AZ790" s="147"/>
      <c r="BA790" s="147"/>
      <c r="BB790" s="147"/>
      <c r="BC790" s="147"/>
      <c r="BD790" s="147"/>
      <c r="BE790" s="147"/>
      <c r="BF790" s="147"/>
      <c r="BG790" s="147"/>
      <c r="BH790" s="147"/>
      <c r="BI790" s="147"/>
      <c r="BJ790" s="147"/>
      <c r="BK790" s="147"/>
      <c r="BL790" s="147"/>
      <c r="BM790" s="147"/>
      <c r="BN790" s="147"/>
      <c r="BO790" s="147"/>
      <c r="BP790" s="147"/>
      <c r="BQ790" s="147"/>
      <c r="BR790" s="147"/>
      <c r="BS790" s="147"/>
      <c r="BT790" s="147"/>
      <c r="BU790" s="147"/>
      <c r="BV790" s="147"/>
      <c r="BW790" s="147"/>
      <c r="BX790" s="147"/>
      <c r="BY790" s="147"/>
      <c r="BZ790" s="147"/>
      <c r="CA790" s="147"/>
      <c r="CB790" s="147"/>
      <c r="CC790" s="147"/>
      <c r="CD790" s="147"/>
      <c r="CE790" s="147"/>
      <c r="CF790" s="147"/>
      <c r="CG790" s="147"/>
      <c r="CH790" s="147"/>
      <c r="CI790" s="147"/>
      <c r="CJ790" s="147"/>
      <c r="CK790" s="147"/>
    </row>
    <row r="791" spans="1:89">
      <c r="A791" s="157"/>
      <c r="F791" s="3"/>
      <c r="G791" s="3"/>
      <c r="L791" s="157"/>
      <c r="M791" s="157"/>
      <c r="O791" s="147"/>
      <c r="P791" s="147"/>
      <c r="Q791" s="147"/>
      <c r="R791" s="147"/>
      <c r="S791" s="147"/>
      <c r="T791" s="147"/>
      <c r="U791" s="147"/>
      <c r="V791" s="147"/>
      <c r="W791" s="147"/>
      <c r="X791" s="147"/>
      <c r="Y791" s="147"/>
      <c r="Z791" s="147"/>
      <c r="AA791" s="147"/>
      <c r="AB791" s="147"/>
      <c r="AC791" s="147"/>
      <c r="AD791" s="147"/>
      <c r="AE791" s="147"/>
      <c r="AF791" s="147"/>
      <c r="AG791" s="147"/>
      <c r="AH791" s="147"/>
      <c r="AI791" s="147"/>
      <c r="AJ791" s="147"/>
      <c r="AK791" s="147"/>
      <c r="AL791" s="147"/>
      <c r="AM791" s="151"/>
      <c r="AN791" s="147"/>
      <c r="AO791" s="147"/>
      <c r="AP791" s="147"/>
      <c r="AQ791" s="147"/>
      <c r="AR791" s="147"/>
      <c r="AS791" s="147"/>
      <c r="AT791" s="147"/>
      <c r="AU791" s="147"/>
      <c r="AV791" s="147"/>
      <c r="AW791" s="147"/>
      <c r="AX791" s="147"/>
      <c r="AY791" s="147"/>
      <c r="AZ791" s="147"/>
      <c r="BA791" s="147"/>
      <c r="BB791" s="147"/>
      <c r="BC791" s="147"/>
      <c r="BD791" s="147"/>
      <c r="BE791" s="147"/>
      <c r="BF791" s="147"/>
      <c r="BG791" s="147"/>
      <c r="BH791" s="147"/>
      <c r="BI791" s="147"/>
      <c r="BJ791" s="147"/>
      <c r="BK791" s="147"/>
      <c r="BL791" s="147"/>
      <c r="BM791" s="147"/>
      <c r="BN791" s="147"/>
      <c r="BO791" s="147"/>
      <c r="BP791" s="147"/>
      <c r="BQ791" s="147"/>
      <c r="BR791" s="147"/>
      <c r="BS791" s="147"/>
      <c r="BT791" s="147"/>
      <c r="BU791" s="147"/>
      <c r="BV791" s="147"/>
      <c r="BW791" s="147"/>
      <c r="BX791" s="147"/>
      <c r="BY791" s="147"/>
      <c r="BZ791" s="147"/>
      <c r="CA791" s="147"/>
      <c r="CB791" s="147"/>
      <c r="CC791" s="147"/>
      <c r="CD791" s="147"/>
      <c r="CE791" s="147"/>
      <c r="CF791" s="147"/>
      <c r="CG791" s="147"/>
      <c r="CH791" s="147"/>
      <c r="CI791" s="147"/>
      <c r="CJ791" s="147"/>
      <c r="CK791" s="147"/>
    </row>
    <row r="792" spans="1:89">
      <c r="A792" s="157"/>
      <c r="F792" s="3"/>
      <c r="G792" s="3"/>
      <c r="L792" s="157"/>
      <c r="M792" s="157"/>
      <c r="O792" s="147"/>
      <c r="P792" s="147"/>
      <c r="Q792" s="147"/>
      <c r="R792" s="147"/>
      <c r="S792" s="147"/>
      <c r="T792" s="147"/>
      <c r="U792" s="147"/>
      <c r="V792" s="147"/>
      <c r="W792" s="147"/>
      <c r="X792" s="147"/>
      <c r="Y792" s="147"/>
      <c r="Z792" s="147"/>
      <c r="AA792" s="147"/>
      <c r="AB792" s="147"/>
      <c r="AC792" s="147"/>
      <c r="AD792" s="147"/>
      <c r="AE792" s="147"/>
      <c r="AF792" s="147"/>
      <c r="AG792" s="147"/>
      <c r="AH792" s="147"/>
      <c r="AI792" s="147"/>
      <c r="AJ792" s="147"/>
      <c r="AK792" s="147"/>
      <c r="AL792" s="147"/>
      <c r="AM792" s="151"/>
      <c r="AN792" s="147"/>
      <c r="AO792" s="147"/>
      <c r="AP792" s="147"/>
      <c r="AQ792" s="147"/>
      <c r="AR792" s="147"/>
      <c r="AS792" s="147"/>
      <c r="AT792" s="147"/>
      <c r="AU792" s="147"/>
      <c r="AV792" s="147"/>
      <c r="AW792" s="147"/>
      <c r="AX792" s="147"/>
      <c r="AY792" s="147"/>
      <c r="AZ792" s="147"/>
      <c r="BA792" s="147"/>
      <c r="BB792" s="147"/>
      <c r="BC792" s="147"/>
      <c r="BD792" s="147"/>
      <c r="BE792" s="147"/>
      <c r="BF792" s="147"/>
      <c r="BG792" s="147"/>
      <c r="BH792" s="147"/>
      <c r="BI792" s="147"/>
      <c r="BJ792" s="147"/>
      <c r="BK792" s="147"/>
      <c r="BL792" s="147"/>
      <c r="BM792" s="147"/>
      <c r="BN792" s="147"/>
      <c r="BO792" s="147"/>
      <c r="BP792" s="147"/>
      <c r="BQ792" s="147"/>
      <c r="BR792" s="147"/>
      <c r="BS792" s="147"/>
      <c r="BT792" s="147"/>
      <c r="BU792" s="147"/>
      <c r="BV792" s="147"/>
      <c r="BW792" s="147"/>
      <c r="BX792" s="147"/>
      <c r="BY792" s="147"/>
      <c r="BZ792" s="147"/>
      <c r="CA792" s="147"/>
      <c r="CB792" s="147"/>
      <c r="CC792" s="147"/>
      <c r="CD792" s="147"/>
      <c r="CE792" s="147"/>
      <c r="CF792" s="147"/>
      <c r="CG792" s="147"/>
      <c r="CH792" s="147"/>
      <c r="CI792" s="147"/>
      <c r="CJ792" s="147"/>
      <c r="CK792" s="147"/>
    </row>
    <row r="793" spans="1:89">
      <c r="A793" s="157"/>
      <c r="F793" s="3"/>
      <c r="G793" s="3"/>
      <c r="L793" s="157"/>
      <c r="M793" s="157"/>
      <c r="O793" s="147"/>
      <c r="P793" s="147"/>
      <c r="Q793" s="147"/>
      <c r="R793" s="147"/>
      <c r="S793" s="147"/>
      <c r="T793" s="147"/>
      <c r="U793" s="147"/>
      <c r="V793" s="147"/>
      <c r="W793" s="147"/>
      <c r="X793" s="147"/>
      <c r="Y793" s="147"/>
      <c r="Z793" s="147"/>
      <c r="AA793" s="147"/>
      <c r="AB793" s="147"/>
      <c r="AC793" s="147"/>
      <c r="AD793" s="147"/>
      <c r="AE793" s="147"/>
      <c r="AF793" s="147"/>
      <c r="AG793" s="147"/>
      <c r="AH793" s="147"/>
      <c r="AI793" s="147"/>
      <c r="AJ793" s="147"/>
      <c r="AK793" s="147"/>
      <c r="AL793" s="147"/>
      <c r="AM793" s="151"/>
      <c r="AN793" s="147"/>
      <c r="AO793" s="147"/>
      <c r="AP793" s="147"/>
      <c r="AQ793" s="147"/>
      <c r="AR793" s="147"/>
      <c r="AS793" s="147"/>
      <c r="AT793" s="147"/>
      <c r="AU793" s="147"/>
      <c r="AV793" s="147"/>
      <c r="AW793" s="147"/>
      <c r="AX793" s="147"/>
      <c r="AY793" s="147"/>
      <c r="AZ793" s="147"/>
      <c r="BA793" s="147"/>
      <c r="BB793" s="147"/>
      <c r="BC793" s="147"/>
      <c r="BD793" s="147"/>
      <c r="BE793" s="147"/>
      <c r="BF793" s="147"/>
      <c r="BG793" s="147"/>
      <c r="BH793" s="147"/>
      <c r="BI793" s="147"/>
      <c r="BJ793" s="147"/>
      <c r="BK793" s="147"/>
      <c r="BL793" s="147"/>
      <c r="BM793" s="147"/>
      <c r="BN793" s="147"/>
      <c r="BO793" s="147"/>
      <c r="BP793" s="147"/>
      <c r="BQ793" s="147"/>
      <c r="BR793" s="147"/>
      <c r="BS793" s="147"/>
      <c r="BT793" s="147"/>
      <c r="BU793" s="147"/>
      <c r="BV793" s="147"/>
      <c r="BW793" s="147"/>
      <c r="BX793" s="147"/>
      <c r="BY793" s="147"/>
      <c r="BZ793" s="147"/>
      <c r="CA793" s="147"/>
      <c r="CB793" s="147"/>
      <c r="CC793" s="147"/>
      <c r="CD793" s="147"/>
      <c r="CE793" s="147"/>
      <c r="CF793" s="147"/>
      <c r="CG793" s="147"/>
      <c r="CH793" s="147"/>
      <c r="CI793" s="147"/>
      <c r="CJ793" s="147"/>
      <c r="CK793" s="147"/>
    </row>
    <row r="794" spans="1:89">
      <c r="A794" s="157"/>
      <c r="F794" s="3"/>
      <c r="G794" s="3"/>
      <c r="L794" s="157"/>
      <c r="M794" s="157"/>
      <c r="O794" s="147"/>
      <c r="P794" s="147"/>
      <c r="Q794" s="147"/>
      <c r="R794" s="147"/>
      <c r="S794" s="147"/>
      <c r="T794" s="147"/>
      <c r="U794" s="147"/>
      <c r="V794" s="147"/>
      <c r="W794" s="147"/>
      <c r="X794" s="147"/>
      <c r="Y794" s="147"/>
      <c r="Z794" s="147"/>
      <c r="AA794" s="147"/>
      <c r="AB794" s="147"/>
      <c r="AC794" s="147"/>
      <c r="AD794" s="147"/>
      <c r="AE794" s="147"/>
      <c r="AF794" s="147"/>
      <c r="AG794" s="147"/>
      <c r="AH794" s="147"/>
      <c r="AI794" s="147"/>
      <c r="AJ794" s="147"/>
      <c r="AK794" s="147"/>
      <c r="AL794" s="147"/>
      <c r="AM794" s="151"/>
      <c r="AN794" s="147"/>
      <c r="AO794" s="147"/>
      <c r="AP794" s="147"/>
      <c r="AQ794" s="147"/>
      <c r="AR794" s="147"/>
      <c r="AS794" s="147"/>
      <c r="AT794" s="147"/>
      <c r="AU794" s="147"/>
      <c r="AV794" s="147"/>
      <c r="AW794" s="147"/>
      <c r="AX794" s="147"/>
      <c r="AY794" s="147"/>
      <c r="AZ794" s="147"/>
      <c r="BA794" s="147"/>
      <c r="BB794" s="147"/>
      <c r="BC794" s="147"/>
      <c r="BD794" s="147"/>
      <c r="BE794" s="147"/>
      <c r="BF794" s="147"/>
      <c r="BG794" s="147"/>
      <c r="BH794" s="147"/>
      <c r="BI794" s="147"/>
      <c r="BJ794" s="147"/>
      <c r="BK794" s="147"/>
      <c r="BL794" s="147"/>
      <c r="BM794" s="147"/>
      <c r="BN794" s="147"/>
      <c r="BO794" s="147"/>
      <c r="BP794" s="147"/>
      <c r="BQ794" s="147"/>
      <c r="BR794" s="147"/>
      <c r="BS794" s="147"/>
      <c r="BT794" s="147"/>
      <c r="BU794" s="147"/>
      <c r="BV794" s="147"/>
      <c r="BW794" s="147"/>
      <c r="BX794" s="147"/>
      <c r="BY794" s="147"/>
      <c r="BZ794" s="147"/>
      <c r="CA794" s="147"/>
      <c r="CB794" s="147"/>
      <c r="CC794" s="147"/>
      <c r="CD794" s="147"/>
      <c r="CE794" s="147"/>
      <c r="CF794" s="147"/>
      <c r="CG794" s="147"/>
      <c r="CH794" s="147"/>
      <c r="CI794" s="147"/>
      <c r="CJ794" s="147"/>
      <c r="CK794" s="147"/>
    </row>
    <row r="795" spans="1:89">
      <c r="A795" s="157"/>
      <c r="F795" s="3"/>
      <c r="G795" s="3"/>
      <c r="L795" s="157"/>
      <c r="M795" s="157"/>
      <c r="O795" s="147"/>
      <c r="P795" s="147"/>
      <c r="Q795" s="147"/>
      <c r="R795" s="147"/>
      <c r="S795" s="147"/>
      <c r="T795" s="147"/>
      <c r="U795" s="147"/>
      <c r="V795" s="147"/>
      <c r="W795" s="147"/>
      <c r="X795" s="147"/>
      <c r="Y795" s="147"/>
      <c r="Z795" s="147"/>
      <c r="AA795" s="147"/>
      <c r="AB795" s="147"/>
      <c r="AC795" s="147"/>
      <c r="AD795" s="147"/>
      <c r="AE795" s="147"/>
      <c r="AF795" s="147"/>
      <c r="AG795" s="147"/>
      <c r="AH795" s="147"/>
      <c r="AI795" s="147"/>
      <c r="AJ795" s="147"/>
      <c r="AK795" s="147"/>
      <c r="AL795" s="147"/>
      <c r="AM795" s="151"/>
      <c r="AN795" s="147"/>
      <c r="AO795" s="147"/>
      <c r="AP795" s="147"/>
      <c r="AQ795" s="147"/>
      <c r="AR795" s="147"/>
      <c r="AS795" s="147"/>
      <c r="AT795" s="147"/>
      <c r="AU795" s="147"/>
      <c r="AV795" s="147"/>
      <c r="AW795" s="147"/>
      <c r="AX795" s="147"/>
      <c r="AY795" s="147"/>
      <c r="AZ795" s="147"/>
      <c r="BA795" s="147"/>
      <c r="BB795" s="147"/>
      <c r="BC795" s="147"/>
      <c r="BD795" s="147"/>
      <c r="BE795" s="147"/>
      <c r="BF795" s="147"/>
      <c r="BG795" s="147"/>
      <c r="BH795" s="147"/>
      <c r="BI795" s="147"/>
      <c r="BJ795" s="147"/>
      <c r="BK795" s="147"/>
      <c r="BL795" s="147"/>
      <c r="BM795" s="147"/>
      <c r="BN795" s="147"/>
      <c r="BO795" s="147"/>
      <c r="BP795" s="147"/>
      <c r="BQ795" s="147"/>
      <c r="BR795" s="147"/>
      <c r="BS795" s="147"/>
      <c r="BT795" s="147"/>
      <c r="BU795" s="147"/>
      <c r="BV795" s="147"/>
      <c r="BW795" s="147"/>
      <c r="BX795" s="147"/>
      <c r="BY795" s="147"/>
      <c r="BZ795" s="147"/>
      <c r="CA795" s="147"/>
      <c r="CB795" s="147"/>
      <c r="CC795" s="147"/>
      <c r="CD795" s="147"/>
      <c r="CE795" s="147"/>
      <c r="CF795" s="147"/>
      <c r="CG795" s="147"/>
      <c r="CH795" s="147"/>
      <c r="CI795" s="147"/>
      <c r="CJ795" s="147"/>
      <c r="CK795" s="147"/>
    </row>
    <row r="796" spans="1:89">
      <c r="A796" s="157"/>
      <c r="F796" s="3"/>
      <c r="G796" s="3"/>
      <c r="L796" s="157"/>
      <c r="M796" s="157"/>
      <c r="O796" s="147"/>
      <c r="P796" s="147"/>
      <c r="Q796" s="147"/>
      <c r="R796" s="147"/>
      <c r="S796" s="147"/>
      <c r="T796" s="147"/>
      <c r="U796" s="147"/>
      <c r="V796" s="147"/>
      <c r="W796" s="147"/>
      <c r="X796" s="147"/>
      <c r="Y796" s="147"/>
      <c r="Z796" s="147"/>
      <c r="AA796" s="147"/>
      <c r="AB796" s="147"/>
      <c r="AC796" s="147"/>
      <c r="AD796" s="147"/>
      <c r="AE796" s="147"/>
      <c r="AF796" s="147"/>
      <c r="AG796" s="147"/>
      <c r="AH796" s="147"/>
      <c r="AI796" s="147"/>
      <c r="AJ796" s="147"/>
      <c r="AK796" s="147"/>
      <c r="AL796" s="147"/>
      <c r="AM796" s="151"/>
      <c r="AN796" s="147"/>
      <c r="AO796" s="147"/>
      <c r="AP796" s="147"/>
      <c r="AQ796" s="147"/>
      <c r="AR796" s="147"/>
      <c r="AS796" s="147"/>
      <c r="AT796" s="147"/>
      <c r="AU796" s="147"/>
      <c r="AV796" s="147"/>
      <c r="AW796" s="147"/>
      <c r="AX796" s="147"/>
      <c r="AY796" s="147"/>
      <c r="AZ796" s="147"/>
      <c r="BA796" s="147"/>
      <c r="BB796" s="147"/>
      <c r="BC796" s="147"/>
      <c r="BD796" s="147"/>
      <c r="BE796" s="147"/>
      <c r="BF796" s="147"/>
      <c r="BG796" s="147"/>
      <c r="BH796" s="147"/>
      <c r="BI796" s="147"/>
      <c r="BJ796" s="147"/>
      <c r="BK796" s="147"/>
      <c r="BL796" s="147"/>
      <c r="BM796" s="147"/>
      <c r="BN796" s="147"/>
      <c r="BO796" s="147"/>
      <c r="BP796" s="147"/>
      <c r="BQ796" s="147"/>
      <c r="BR796" s="147"/>
      <c r="BS796" s="147"/>
      <c r="BT796" s="147"/>
      <c r="BU796" s="147"/>
      <c r="BV796" s="147"/>
      <c r="BW796" s="147"/>
      <c r="BX796" s="147"/>
      <c r="BY796" s="147"/>
      <c r="BZ796" s="147"/>
      <c r="CA796" s="147"/>
      <c r="CB796" s="147"/>
      <c r="CC796" s="147"/>
      <c r="CD796" s="147"/>
      <c r="CE796" s="147"/>
      <c r="CF796" s="147"/>
      <c r="CG796" s="147"/>
      <c r="CH796" s="147"/>
      <c r="CI796" s="147"/>
      <c r="CJ796" s="147"/>
      <c r="CK796" s="147"/>
    </row>
    <row r="797" spans="1:89">
      <c r="A797" s="157"/>
      <c r="F797" s="3"/>
      <c r="G797" s="3"/>
      <c r="L797" s="157"/>
      <c r="M797" s="157"/>
      <c r="O797" s="147"/>
      <c r="P797" s="147"/>
      <c r="Q797" s="147"/>
      <c r="R797" s="147"/>
      <c r="S797" s="147"/>
      <c r="T797" s="147"/>
      <c r="U797" s="147"/>
      <c r="V797" s="147"/>
      <c r="W797" s="147"/>
      <c r="X797" s="147"/>
      <c r="Y797" s="147"/>
      <c r="Z797" s="147"/>
      <c r="AA797" s="147"/>
      <c r="AB797" s="147"/>
      <c r="AC797" s="147"/>
      <c r="AD797" s="147"/>
      <c r="AE797" s="147"/>
      <c r="AF797" s="147"/>
      <c r="AG797" s="147"/>
      <c r="AH797" s="147"/>
      <c r="AI797" s="147"/>
      <c r="AJ797" s="147"/>
      <c r="AK797" s="147"/>
      <c r="AL797" s="147"/>
      <c r="AM797" s="151"/>
      <c r="AN797" s="147"/>
      <c r="AO797" s="147"/>
      <c r="AP797" s="147"/>
      <c r="AQ797" s="147"/>
      <c r="AR797" s="147"/>
      <c r="AS797" s="147"/>
      <c r="AT797" s="147"/>
      <c r="AU797" s="147"/>
      <c r="AV797" s="147"/>
      <c r="AW797" s="147"/>
      <c r="AX797" s="147"/>
      <c r="AY797" s="147"/>
      <c r="AZ797" s="147"/>
      <c r="BA797" s="147"/>
      <c r="BB797" s="147"/>
      <c r="BC797" s="147"/>
      <c r="BD797" s="147"/>
      <c r="BE797" s="147"/>
      <c r="BF797" s="147"/>
      <c r="BG797" s="147"/>
      <c r="BH797" s="147"/>
      <c r="BI797" s="147"/>
      <c r="BJ797" s="147"/>
      <c r="BK797" s="147"/>
      <c r="BL797" s="147"/>
      <c r="BM797" s="147"/>
      <c r="BN797" s="147"/>
      <c r="BO797" s="147"/>
      <c r="BP797" s="147"/>
      <c r="BQ797" s="147"/>
      <c r="BR797" s="147"/>
      <c r="BS797" s="147"/>
      <c r="BT797" s="147"/>
      <c r="BU797" s="147"/>
      <c r="BV797" s="147"/>
      <c r="BW797" s="147"/>
      <c r="BX797" s="147"/>
      <c r="BY797" s="147"/>
      <c r="BZ797" s="147"/>
      <c r="CA797" s="147"/>
      <c r="CB797" s="147"/>
      <c r="CC797" s="147"/>
      <c r="CD797" s="147"/>
      <c r="CE797" s="147"/>
      <c r="CF797" s="147"/>
      <c r="CG797" s="147"/>
      <c r="CH797" s="147"/>
      <c r="CI797" s="147"/>
      <c r="CJ797" s="147"/>
      <c r="CK797" s="147"/>
    </row>
    <row r="798" spans="1:89">
      <c r="A798" s="157"/>
      <c r="F798" s="3"/>
      <c r="G798" s="3"/>
      <c r="L798" s="157"/>
      <c r="M798" s="157"/>
      <c r="O798" s="147"/>
      <c r="P798" s="147"/>
      <c r="Q798" s="147"/>
      <c r="R798" s="147"/>
      <c r="S798" s="147"/>
      <c r="T798" s="147"/>
      <c r="U798" s="147"/>
      <c r="V798" s="147"/>
      <c r="W798" s="147"/>
      <c r="X798" s="147"/>
      <c r="Y798" s="147"/>
      <c r="Z798" s="147"/>
      <c r="AA798" s="147"/>
      <c r="AB798" s="147"/>
      <c r="AC798" s="147"/>
      <c r="AD798" s="147"/>
      <c r="AE798" s="147"/>
      <c r="AF798" s="147"/>
      <c r="AG798" s="147"/>
      <c r="AH798" s="147"/>
      <c r="AI798" s="147"/>
      <c r="AJ798" s="147"/>
      <c r="AK798" s="147"/>
      <c r="AL798" s="147"/>
      <c r="AM798" s="151"/>
      <c r="AN798" s="147"/>
      <c r="AO798" s="147"/>
      <c r="AP798" s="147"/>
      <c r="AQ798" s="147"/>
      <c r="AR798" s="147"/>
      <c r="AS798" s="147"/>
      <c r="AT798" s="147"/>
      <c r="AU798" s="147"/>
      <c r="AV798" s="147"/>
      <c r="AW798" s="147"/>
      <c r="AX798" s="147"/>
      <c r="AY798" s="147"/>
      <c r="AZ798" s="147"/>
      <c r="BA798" s="147"/>
      <c r="BB798" s="147"/>
      <c r="BC798" s="147"/>
      <c r="BD798" s="147"/>
      <c r="BE798" s="147"/>
      <c r="BF798" s="147"/>
      <c r="BG798" s="147"/>
      <c r="BH798" s="147"/>
      <c r="BI798" s="147"/>
      <c r="BJ798" s="147"/>
      <c r="BK798" s="147"/>
      <c r="BL798" s="147"/>
      <c r="BM798" s="147"/>
      <c r="BN798" s="147"/>
      <c r="BO798" s="147"/>
      <c r="BP798" s="147"/>
      <c r="BQ798" s="147"/>
      <c r="BR798" s="147"/>
      <c r="BS798" s="147"/>
      <c r="BT798" s="147"/>
      <c r="BU798" s="147"/>
      <c r="BV798" s="147"/>
      <c r="BW798" s="147"/>
      <c r="BX798" s="147"/>
      <c r="BY798" s="147"/>
      <c r="BZ798" s="147"/>
      <c r="CA798" s="147"/>
      <c r="CB798" s="147"/>
      <c r="CC798" s="147"/>
      <c r="CD798" s="147"/>
      <c r="CE798" s="147"/>
      <c r="CF798" s="147"/>
      <c r="CG798" s="147"/>
      <c r="CH798" s="147"/>
      <c r="CI798" s="147"/>
      <c r="CJ798" s="147"/>
      <c r="CK798" s="147"/>
    </row>
    <row r="799" spans="1:89">
      <c r="A799" s="157"/>
      <c r="F799" s="3"/>
      <c r="G799" s="3"/>
      <c r="L799" s="157"/>
      <c r="M799" s="157"/>
      <c r="O799" s="147"/>
      <c r="P799" s="147"/>
      <c r="Q799" s="147"/>
      <c r="R799" s="147"/>
      <c r="S799" s="147"/>
      <c r="T799" s="147"/>
      <c r="U799" s="147"/>
      <c r="V799" s="147"/>
      <c r="W799" s="147"/>
      <c r="X799" s="147"/>
      <c r="Y799" s="147"/>
      <c r="Z799" s="147"/>
      <c r="AA799" s="147"/>
      <c r="AB799" s="147"/>
      <c r="AC799" s="147"/>
      <c r="AD799" s="147"/>
      <c r="AE799" s="147"/>
      <c r="AF799" s="147"/>
      <c r="AG799" s="147"/>
      <c r="AH799" s="147"/>
      <c r="AI799" s="147"/>
      <c r="AJ799" s="147"/>
      <c r="AK799" s="147"/>
      <c r="AL799" s="147"/>
      <c r="AM799" s="151"/>
      <c r="AN799" s="147"/>
      <c r="AO799" s="147"/>
      <c r="AP799" s="147"/>
      <c r="AQ799" s="147"/>
      <c r="AR799" s="147"/>
      <c r="AS799" s="147"/>
      <c r="AT799" s="147"/>
      <c r="AU799" s="147"/>
      <c r="AV799" s="147"/>
      <c r="AW799" s="147"/>
      <c r="AX799" s="147"/>
      <c r="AY799" s="147"/>
      <c r="AZ799" s="147"/>
      <c r="BA799" s="147"/>
      <c r="BB799" s="147"/>
      <c r="BC799" s="147"/>
      <c r="BD799" s="147"/>
      <c r="BE799" s="147"/>
      <c r="BF799" s="147"/>
      <c r="BG799" s="147"/>
      <c r="BH799" s="147"/>
      <c r="BI799" s="147"/>
      <c r="BJ799" s="147"/>
      <c r="BK799" s="147"/>
      <c r="BL799" s="147"/>
      <c r="BM799" s="147"/>
      <c r="BN799" s="147"/>
      <c r="BO799" s="147"/>
      <c r="BP799" s="147"/>
      <c r="BQ799" s="147"/>
      <c r="BR799" s="147"/>
      <c r="BS799" s="147"/>
      <c r="BT799" s="147"/>
      <c r="BU799" s="147"/>
      <c r="BV799" s="147"/>
      <c r="BW799" s="147"/>
      <c r="BX799" s="147"/>
      <c r="BY799" s="147"/>
      <c r="BZ799" s="147"/>
      <c r="CA799" s="147"/>
      <c r="CB799" s="147"/>
      <c r="CC799" s="147"/>
      <c r="CD799" s="147"/>
      <c r="CE799" s="147"/>
      <c r="CF799" s="147"/>
      <c r="CG799" s="147"/>
      <c r="CH799" s="147"/>
      <c r="CI799" s="147"/>
      <c r="CJ799" s="147"/>
      <c r="CK799" s="147"/>
    </row>
    <row r="800" spans="1:89">
      <c r="A800" s="157"/>
      <c r="F800" s="3"/>
      <c r="G800" s="3"/>
      <c r="L800" s="157"/>
      <c r="M800" s="157"/>
      <c r="O800" s="147"/>
      <c r="P800" s="147"/>
      <c r="Q800" s="147"/>
      <c r="R800" s="147"/>
      <c r="S800" s="147"/>
      <c r="T800" s="147"/>
      <c r="U800" s="147"/>
      <c r="V800" s="147"/>
      <c r="W800" s="147"/>
      <c r="X800" s="147"/>
      <c r="Y800" s="147"/>
      <c r="Z800" s="147"/>
      <c r="AA800" s="147"/>
      <c r="AB800" s="147"/>
      <c r="AC800" s="147"/>
      <c r="AD800" s="147"/>
      <c r="AE800" s="147"/>
      <c r="AF800" s="147"/>
      <c r="AG800" s="147"/>
      <c r="AH800" s="147"/>
      <c r="AI800" s="147"/>
      <c r="AJ800" s="147"/>
      <c r="AK800" s="147"/>
      <c r="AL800" s="147"/>
      <c r="AM800" s="151"/>
      <c r="AN800" s="147"/>
      <c r="AO800" s="147"/>
      <c r="AP800" s="147"/>
      <c r="AQ800" s="147"/>
      <c r="AR800" s="147"/>
      <c r="AS800" s="147"/>
      <c r="AT800" s="147"/>
      <c r="AU800" s="147"/>
      <c r="AV800" s="147"/>
      <c r="AW800" s="147"/>
      <c r="AX800" s="147"/>
      <c r="AY800" s="147"/>
      <c r="AZ800" s="147"/>
      <c r="BA800" s="147"/>
      <c r="BB800" s="147"/>
      <c r="BC800" s="147"/>
      <c r="BD800" s="147"/>
      <c r="BE800" s="147"/>
      <c r="BF800" s="147"/>
      <c r="BG800" s="147"/>
      <c r="BH800" s="147"/>
      <c r="BI800" s="147"/>
      <c r="BJ800" s="147"/>
      <c r="BK800" s="147"/>
      <c r="BL800" s="147"/>
      <c r="BM800" s="147"/>
      <c r="BN800" s="147"/>
      <c r="BO800" s="147"/>
      <c r="BP800" s="147"/>
      <c r="BQ800" s="147"/>
      <c r="BR800" s="147"/>
      <c r="BS800" s="147"/>
      <c r="BT800" s="147"/>
      <c r="BU800" s="147"/>
      <c r="BV800" s="147"/>
      <c r="BW800" s="147"/>
      <c r="BX800" s="147"/>
      <c r="BY800" s="147"/>
      <c r="BZ800" s="147"/>
      <c r="CA800" s="147"/>
      <c r="CB800" s="147"/>
      <c r="CC800" s="147"/>
      <c r="CD800" s="147"/>
      <c r="CE800" s="147"/>
      <c r="CF800" s="147"/>
      <c r="CG800" s="147"/>
      <c r="CH800" s="147"/>
      <c r="CI800" s="147"/>
      <c r="CJ800" s="147"/>
      <c r="CK800" s="147"/>
    </row>
    <row r="801" spans="1:89">
      <c r="A801" s="157"/>
      <c r="F801" s="3"/>
      <c r="G801" s="3"/>
      <c r="L801" s="157"/>
      <c r="M801" s="157"/>
      <c r="O801" s="147"/>
      <c r="P801" s="147"/>
      <c r="Q801" s="147"/>
      <c r="R801" s="147"/>
      <c r="S801" s="147"/>
      <c r="T801" s="147"/>
      <c r="U801" s="147"/>
      <c r="V801" s="147"/>
      <c r="W801" s="147"/>
      <c r="X801" s="147"/>
      <c r="Y801" s="147"/>
      <c r="Z801" s="147"/>
      <c r="AA801" s="147"/>
      <c r="AB801" s="147"/>
      <c r="AC801" s="147"/>
      <c r="AD801" s="147"/>
      <c r="AE801" s="147"/>
      <c r="AF801" s="147"/>
      <c r="AG801" s="147"/>
      <c r="AH801" s="147"/>
      <c r="AI801" s="147"/>
      <c r="AJ801" s="147"/>
      <c r="AK801" s="147"/>
      <c r="AL801" s="147"/>
      <c r="AM801" s="151"/>
      <c r="AN801" s="147"/>
      <c r="AO801" s="147"/>
      <c r="AP801" s="147"/>
      <c r="AQ801" s="147"/>
      <c r="AR801" s="147"/>
      <c r="AS801" s="147"/>
      <c r="AT801" s="147"/>
      <c r="AU801" s="147"/>
      <c r="AV801" s="147"/>
      <c r="AW801" s="147"/>
      <c r="AX801" s="147"/>
      <c r="AY801" s="147"/>
      <c r="AZ801" s="147"/>
      <c r="BA801" s="147"/>
      <c r="BB801" s="147"/>
      <c r="BC801" s="147"/>
      <c r="BD801" s="147"/>
      <c r="BE801" s="147"/>
      <c r="BF801" s="147"/>
      <c r="BG801" s="147"/>
      <c r="BH801" s="147"/>
      <c r="BI801" s="147"/>
      <c r="BJ801" s="147"/>
      <c r="BK801" s="147"/>
      <c r="BL801" s="147"/>
      <c r="BM801" s="147"/>
      <c r="BN801" s="147"/>
      <c r="BO801" s="147"/>
      <c r="BP801" s="147"/>
      <c r="BQ801" s="147"/>
      <c r="BR801" s="147"/>
      <c r="BS801" s="147"/>
      <c r="BT801" s="147"/>
      <c r="BU801" s="147"/>
      <c r="BV801" s="147"/>
      <c r="BW801" s="147"/>
      <c r="BX801" s="147"/>
      <c r="BY801" s="147"/>
      <c r="BZ801" s="147"/>
      <c r="CA801" s="147"/>
      <c r="CB801" s="147"/>
      <c r="CC801" s="147"/>
      <c r="CD801" s="147"/>
      <c r="CE801" s="147"/>
      <c r="CF801" s="147"/>
      <c r="CG801" s="147"/>
      <c r="CH801" s="147"/>
      <c r="CI801" s="147"/>
      <c r="CJ801" s="147"/>
      <c r="CK801" s="147"/>
    </row>
    <row r="802" spans="1:89">
      <c r="A802" s="157"/>
      <c r="F802" s="3"/>
      <c r="G802" s="3"/>
      <c r="L802" s="157"/>
      <c r="M802" s="157"/>
      <c r="O802" s="147"/>
      <c r="P802" s="147"/>
      <c r="Q802" s="147"/>
      <c r="R802" s="147"/>
      <c r="S802" s="147"/>
      <c r="T802" s="147"/>
      <c r="U802" s="147"/>
      <c r="V802" s="147"/>
      <c r="W802" s="147"/>
      <c r="X802" s="147"/>
      <c r="Y802" s="147"/>
      <c r="Z802" s="147"/>
      <c r="AA802" s="147"/>
      <c r="AB802" s="147"/>
      <c r="AC802" s="147"/>
      <c r="AD802" s="147"/>
      <c r="AE802" s="147"/>
      <c r="AF802" s="147"/>
      <c r="AG802" s="147"/>
      <c r="AH802" s="147"/>
      <c r="AI802" s="147"/>
      <c r="AJ802" s="147"/>
      <c r="AK802" s="147"/>
      <c r="AL802" s="147"/>
      <c r="AM802" s="151"/>
      <c r="AN802" s="147"/>
      <c r="AO802" s="147"/>
      <c r="AP802" s="147"/>
      <c r="AQ802" s="147"/>
      <c r="AR802" s="147"/>
      <c r="AS802" s="147"/>
      <c r="AT802" s="147"/>
      <c r="AU802" s="147"/>
      <c r="AV802" s="147"/>
      <c r="AW802" s="147"/>
      <c r="AX802" s="147"/>
      <c r="AY802" s="147"/>
      <c r="AZ802" s="147"/>
      <c r="BA802" s="147"/>
      <c r="BB802" s="147"/>
      <c r="BC802" s="147"/>
      <c r="BD802" s="147"/>
      <c r="BE802" s="147"/>
      <c r="BF802" s="147"/>
      <c r="BG802" s="147"/>
      <c r="BH802" s="147"/>
      <c r="BI802" s="147"/>
      <c r="BJ802" s="147"/>
      <c r="BK802" s="147"/>
      <c r="BL802" s="147"/>
      <c r="BM802" s="147"/>
      <c r="BN802" s="147"/>
      <c r="BO802" s="147"/>
      <c r="BP802" s="147"/>
      <c r="BQ802" s="147"/>
      <c r="BR802" s="147"/>
      <c r="BS802" s="147"/>
      <c r="BT802" s="147"/>
      <c r="BU802" s="147"/>
      <c r="BV802" s="147"/>
      <c r="BW802" s="147"/>
      <c r="BX802" s="147"/>
      <c r="BY802" s="147"/>
      <c r="BZ802" s="147"/>
      <c r="CA802" s="147"/>
      <c r="CB802" s="147"/>
      <c r="CC802" s="147"/>
      <c r="CD802" s="147"/>
      <c r="CE802" s="147"/>
      <c r="CF802" s="147"/>
      <c r="CG802" s="147"/>
      <c r="CH802" s="147"/>
      <c r="CI802" s="147"/>
      <c r="CJ802" s="147"/>
      <c r="CK802" s="147"/>
    </row>
    <row r="803" spans="1:89">
      <c r="A803" s="157"/>
      <c r="F803" s="3"/>
      <c r="G803" s="3"/>
      <c r="L803" s="157"/>
      <c r="M803" s="157"/>
      <c r="O803" s="147"/>
      <c r="P803" s="147"/>
      <c r="Q803" s="147"/>
      <c r="R803" s="147"/>
      <c r="S803" s="147"/>
      <c r="T803" s="147"/>
      <c r="U803" s="147"/>
      <c r="V803" s="147"/>
      <c r="W803" s="147"/>
      <c r="X803" s="147"/>
      <c r="Y803" s="147"/>
      <c r="Z803" s="147"/>
      <c r="AA803" s="147"/>
      <c r="AB803" s="147"/>
      <c r="AC803" s="147"/>
      <c r="AD803" s="147"/>
      <c r="AE803" s="147"/>
      <c r="AF803" s="147"/>
      <c r="AG803" s="147"/>
      <c r="AH803" s="147"/>
      <c r="AI803" s="147"/>
      <c r="AJ803" s="147"/>
      <c r="AK803" s="147"/>
      <c r="AL803" s="147"/>
      <c r="AM803" s="151"/>
      <c r="AN803" s="147"/>
      <c r="AO803" s="147"/>
      <c r="AP803" s="147"/>
      <c r="AQ803" s="147"/>
      <c r="AR803" s="147"/>
      <c r="AS803" s="147"/>
      <c r="AT803" s="147"/>
      <c r="AU803" s="147"/>
      <c r="AV803" s="147"/>
      <c r="AW803" s="147"/>
      <c r="AX803" s="147"/>
      <c r="AY803" s="147"/>
      <c r="AZ803" s="147"/>
      <c r="BA803" s="147"/>
      <c r="BB803" s="147"/>
      <c r="BC803" s="147"/>
      <c r="BD803" s="147"/>
      <c r="BE803" s="147"/>
      <c r="BF803" s="147"/>
      <c r="BG803" s="147"/>
      <c r="BH803" s="147"/>
      <c r="BI803" s="147"/>
      <c r="BJ803" s="147"/>
      <c r="BK803" s="147"/>
      <c r="BL803" s="147"/>
      <c r="BM803" s="147"/>
      <c r="BN803" s="147"/>
      <c r="BO803" s="147"/>
      <c r="BP803" s="147"/>
      <c r="BQ803" s="147"/>
      <c r="BR803" s="147"/>
      <c r="BS803" s="147"/>
      <c r="BT803" s="147"/>
      <c r="BU803" s="147"/>
      <c r="BV803" s="147"/>
      <c r="BW803" s="147"/>
      <c r="BX803" s="147"/>
      <c r="BY803" s="147"/>
      <c r="BZ803" s="147"/>
      <c r="CA803" s="147"/>
      <c r="CB803" s="147"/>
      <c r="CC803" s="147"/>
      <c r="CD803" s="147"/>
      <c r="CE803" s="147"/>
      <c r="CF803" s="147"/>
      <c r="CG803" s="147"/>
      <c r="CH803" s="147"/>
      <c r="CI803" s="147"/>
      <c r="CJ803" s="147"/>
      <c r="CK803" s="147"/>
    </row>
    <row r="804" spans="1:89">
      <c r="A804" s="157"/>
      <c r="F804" s="3"/>
      <c r="G804" s="3"/>
      <c r="L804" s="157"/>
      <c r="M804" s="157"/>
      <c r="O804" s="147"/>
      <c r="P804" s="147"/>
      <c r="Q804" s="147"/>
      <c r="R804" s="147"/>
      <c r="S804" s="147"/>
      <c r="T804" s="147"/>
      <c r="U804" s="147"/>
      <c r="V804" s="147"/>
      <c r="W804" s="147"/>
      <c r="X804" s="147"/>
      <c r="Y804" s="147"/>
      <c r="Z804" s="147"/>
      <c r="AA804" s="147"/>
      <c r="AB804" s="147"/>
      <c r="AC804" s="147"/>
      <c r="AD804" s="147"/>
      <c r="AE804" s="147"/>
      <c r="AF804" s="147"/>
      <c r="AG804" s="147"/>
      <c r="AH804" s="147"/>
      <c r="AI804" s="147"/>
      <c r="AJ804" s="147"/>
      <c r="AK804" s="147"/>
      <c r="AL804" s="147"/>
      <c r="AM804" s="151"/>
      <c r="AN804" s="147"/>
      <c r="AO804" s="147"/>
      <c r="AP804" s="147"/>
      <c r="AQ804" s="147"/>
      <c r="AR804" s="147"/>
      <c r="AS804" s="147"/>
      <c r="AT804" s="147"/>
      <c r="AU804" s="147"/>
      <c r="AV804" s="147"/>
      <c r="AW804" s="147"/>
      <c r="AX804" s="147"/>
      <c r="AY804" s="147"/>
      <c r="AZ804" s="147"/>
      <c r="BA804" s="147"/>
      <c r="BB804" s="147"/>
      <c r="BC804" s="147"/>
      <c r="BD804" s="147"/>
      <c r="BE804" s="147"/>
      <c r="BF804" s="147"/>
      <c r="BG804" s="147"/>
      <c r="BH804" s="147"/>
      <c r="BI804" s="147"/>
      <c r="BJ804" s="147"/>
      <c r="BK804" s="147"/>
      <c r="BL804" s="147"/>
      <c r="BM804" s="147"/>
      <c r="BN804" s="147"/>
      <c r="BO804" s="147"/>
      <c r="BP804" s="147"/>
      <c r="BQ804" s="147"/>
      <c r="BR804" s="147"/>
      <c r="BS804" s="147"/>
      <c r="BT804" s="147"/>
      <c r="BU804" s="147"/>
      <c r="BV804" s="147"/>
      <c r="BW804" s="147"/>
      <c r="BX804" s="147"/>
      <c r="BY804" s="147"/>
      <c r="BZ804" s="147"/>
      <c r="CA804" s="147"/>
      <c r="CB804" s="147"/>
      <c r="CC804" s="147"/>
      <c r="CD804" s="147"/>
      <c r="CE804" s="147"/>
      <c r="CF804" s="147"/>
      <c r="CG804" s="147"/>
      <c r="CH804" s="147"/>
      <c r="CI804" s="147"/>
      <c r="CJ804" s="147"/>
      <c r="CK804" s="147"/>
    </row>
    <row r="805" spans="1:89">
      <c r="A805" s="157"/>
      <c r="F805" s="3"/>
      <c r="G805" s="3"/>
      <c r="L805" s="157"/>
      <c r="M805" s="157"/>
      <c r="O805" s="147"/>
      <c r="P805" s="147"/>
      <c r="Q805" s="147"/>
      <c r="R805" s="147"/>
      <c r="S805" s="147"/>
      <c r="T805" s="147"/>
      <c r="U805" s="147"/>
      <c r="V805" s="147"/>
      <c r="W805" s="147"/>
      <c r="X805" s="147"/>
      <c r="Y805" s="147"/>
      <c r="Z805" s="147"/>
      <c r="AA805" s="147"/>
      <c r="AB805" s="147"/>
      <c r="AC805" s="147"/>
      <c r="AD805" s="147"/>
      <c r="AE805" s="147"/>
      <c r="AF805" s="147"/>
      <c r="AG805" s="147"/>
      <c r="AH805" s="147"/>
      <c r="AI805" s="147"/>
      <c r="AJ805" s="147"/>
      <c r="AK805" s="147"/>
      <c r="AL805" s="147"/>
      <c r="AM805" s="151"/>
      <c r="AN805" s="147"/>
      <c r="AO805" s="147"/>
      <c r="AP805" s="147"/>
      <c r="AQ805" s="147"/>
      <c r="AR805" s="147"/>
      <c r="AS805" s="147"/>
      <c r="AT805" s="147"/>
      <c r="AU805" s="147"/>
      <c r="AV805" s="147"/>
      <c r="AW805" s="147"/>
      <c r="AX805" s="147"/>
      <c r="AY805" s="147"/>
      <c r="AZ805" s="147"/>
      <c r="BA805" s="147"/>
      <c r="BB805" s="147"/>
      <c r="BC805" s="147"/>
      <c r="BD805" s="147"/>
      <c r="BE805" s="147"/>
      <c r="BF805" s="147"/>
      <c r="BG805" s="147"/>
      <c r="BH805" s="147"/>
      <c r="BI805" s="147"/>
      <c r="BJ805" s="147"/>
      <c r="BK805" s="147"/>
      <c r="BL805" s="147"/>
      <c r="BM805" s="147"/>
      <c r="BN805" s="147"/>
      <c r="BO805" s="147"/>
      <c r="BP805" s="147"/>
      <c r="BQ805" s="147"/>
      <c r="BR805" s="147"/>
      <c r="BS805" s="147"/>
      <c r="BT805" s="147"/>
      <c r="BU805" s="147"/>
      <c r="BV805" s="147"/>
      <c r="BW805" s="147"/>
      <c r="BX805" s="147"/>
      <c r="BY805" s="147"/>
      <c r="BZ805" s="147"/>
      <c r="CA805" s="147"/>
      <c r="CB805" s="147"/>
      <c r="CC805" s="147"/>
      <c r="CD805" s="147"/>
      <c r="CE805" s="147"/>
      <c r="CF805" s="147"/>
      <c r="CG805" s="147"/>
      <c r="CH805" s="147"/>
      <c r="CI805" s="147"/>
      <c r="CJ805" s="147"/>
      <c r="CK805" s="147"/>
    </row>
    <row r="806" spans="1:89">
      <c r="A806" s="157"/>
      <c r="F806" s="3"/>
      <c r="G806" s="3"/>
      <c r="L806" s="157"/>
      <c r="M806" s="157"/>
      <c r="O806" s="147"/>
      <c r="P806" s="147"/>
      <c r="Q806" s="147"/>
      <c r="R806" s="147"/>
      <c r="S806" s="147"/>
      <c r="T806" s="147"/>
      <c r="U806" s="147"/>
      <c r="V806" s="147"/>
      <c r="W806" s="147"/>
      <c r="X806" s="147"/>
      <c r="Y806" s="147"/>
      <c r="Z806" s="147"/>
      <c r="AA806" s="147"/>
      <c r="AB806" s="147"/>
      <c r="AC806" s="147"/>
      <c r="AD806" s="147"/>
      <c r="AE806" s="147"/>
      <c r="AF806" s="147"/>
      <c r="AG806" s="147"/>
      <c r="AH806" s="147"/>
      <c r="AI806" s="147"/>
      <c r="AJ806" s="147"/>
      <c r="AK806" s="147"/>
      <c r="AL806" s="147"/>
      <c r="AM806" s="151"/>
      <c r="AN806" s="147"/>
      <c r="AO806" s="147"/>
      <c r="AP806" s="147"/>
      <c r="AQ806" s="147"/>
      <c r="AR806" s="147"/>
      <c r="AS806" s="147"/>
      <c r="AT806" s="147"/>
      <c r="AU806" s="147"/>
      <c r="AV806" s="147"/>
      <c r="AW806" s="147"/>
      <c r="AX806" s="147"/>
      <c r="AY806" s="147"/>
      <c r="AZ806" s="147"/>
      <c r="BA806" s="147"/>
      <c r="BB806" s="147"/>
      <c r="BC806" s="147"/>
      <c r="BD806" s="147"/>
      <c r="BE806" s="147"/>
      <c r="BF806" s="147"/>
      <c r="BG806" s="147"/>
      <c r="BH806" s="147"/>
      <c r="BI806" s="147"/>
      <c r="BJ806" s="147"/>
      <c r="BK806" s="147"/>
      <c r="BL806" s="147"/>
      <c r="BM806" s="147"/>
      <c r="BN806" s="147"/>
      <c r="BO806" s="147"/>
      <c r="BP806" s="147"/>
      <c r="BQ806" s="147"/>
      <c r="BR806" s="147"/>
      <c r="BS806" s="147"/>
      <c r="BT806" s="147"/>
      <c r="BU806" s="147"/>
      <c r="BV806" s="147"/>
      <c r="BW806" s="147"/>
      <c r="BX806" s="147"/>
      <c r="BY806" s="147"/>
      <c r="BZ806" s="147"/>
      <c r="CA806" s="147"/>
      <c r="CB806" s="147"/>
      <c r="CC806" s="147"/>
      <c r="CD806" s="147"/>
      <c r="CE806" s="147"/>
      <c r="CF806" s="147"/>
      <c r="CG806" s="147"/>
      <c r="CH806" s="147"/>
      <c r="CI806" s="147"/>
      <c r="CJ806" s="147"/>
      <c r="CK806" s="147"/>
    </row>
    <row r="807" spans="1:89">
      <c r="A807" s="157"/>
      <c r="F807" s="3"/>
      <c r="G807" s="3"/>
      <c r="L807" s="157"/>
      <c r="M807" s="157"/>
      <c r="O807" s="147"/>
      <c r="P807" s="147"/>
      <c r="Q807" s="147"/>
      <c r="R807" s="147"/>
      <c r="S807" s="147"/>
      <c r="T807" s="147"/>
      <c r="U807" s="147"/>
      <c r="V807" s="147"/>
      <c r="W807" s="147"/>
      <c r="X807" s="147"/>
      <c r="Y807" s="147"/>
      <c r="Z807" s="147"/>
      <c r="AA807" s="147"/>
      <c r="AB807" s="147"/>
      <c r="AC807" s="147"/>
      <c r="AD807" s="147"/>
      <c r="AE807" s="147"/>
      <c r="AF807" s="147"/>
      <c r="AG807" s="147"/>
      <c r="AH807" s="147"/>
      <c r="AI807" s="147"/>
      <c r="AJ807" s="147"/>
      <c r="AK807" s="147"/>
      <c r="AL807" s="147"/>
      <c r="AM807" s="151"/>
      <c r="AN807" s="147"/>
      <c r="AO807" s="147"/>
      <c r="AP807" s="147"/>
      <c r="AQ807" s="147"/>
      <c r="AR807" s="147"/>
      <c r="AS807" s="147"/>
      <c r="AT807" s="147"/>
      <c r="AU807" s="147"/>
      <c r="AV807" s="147"/>
      <c r="AW807" s="147"/>
      <c r="AX807" s="147"/>
      <c r="AY807" s="147"/>
      <c r="AZ807" s="147"/>
      <c r="BA807" s="147"/>
      <c r="BB807" s="147"/>
      <c r="BC807" s="147"/>
      <c r="BD807" s="147"/>
      <c r="BE807" s="147"/>
      <c r="BF807" s="147"/>
      <c r="BG807" s="147"/>
      <c r="BH807" s="147"/>
      <c r="BI807" s="147"/>
      <c r="BJ807" s="147"/>
      <c r="BK807" s="147"/>
      <c r="BL807" s="147"/>
      <c r="BM807" s="147"/>
      <c r="BN807" s="147"/>
      <c r="BO807" s="147"/>
      <c r="BP807" s="147"/>
      <c r="BQ807" s="147"/>
      <c r="BR807" s="147"/>
      <c r="BS807" s="147"/>
      <c r="BT807" s="147"/>
      <c r="BU807" s="147"/>
      <c r="BV807" s="147"/>
      <c r="BW807" s="147"/>
      <c r="BX807" s="147"/>
      <c r="BY807" s="147"/>
      <c r="BZ807" s="147"/>
      <c r="CA807" s="147"/>
      <c r="CB807" s="147"/>
      <c r="CC807" s="147"/>
      <c r="CD807" s="147"/>
      <c r="CE807" s="147"/>
      <c r="CF807" s="147"/>
      <c r="CG807" s="147"/>
      <c r="CH807" s="147"/>
      <c r="CI807" s="147"/>
      <c r="CJ807" s="147"/>
      <c r="CK807" s="147"/>
    </row>
    <row r="808" spans="1:89">
      <c r="A808" s="157"/>
      <c r="F808" s="3"/>
      <c r="G808" s="3"/>
      <c r="L808" s="157"/>
      <c r="M808" s="157"/>
      <c r="O808" s="147"/>
      <c r="P808" s="147"/>
      <c r="Q808" s="147"/>
      <c r="R808" s="147"/>
      <c r="S808" s="147"/>
      <c r="T808" s="147"/>
      <c r="U808" s="147"/>
      <c r="V808" s="147"/>
      <c r="W808" s="147"/>
      <c r="X808" s="147"/>
      <c r="Y808" s="147"/>
      <c r="Z808" s="147"/>
      <c r="AA808" s="147"/>
      <c r="AB808" s="147"/>
      <c r="AC808" s="147"/>
      <c r="AD808" s="147"/>
      <c r="AE808" s="147"/>
      <c r="AF808" s="147"/>
      <c r="AG808" s="147"/>
      <c r="AH808" s="147"/>
      <c r="AI808" s="147"/>
      <c r="AJ808" s="147"/>
      <c r="AK808" s="147"/>
      <c r="AL808" s="147"/>
      <c r="AM808" s="151"/>
      <c r="AN808" s="147"/>
      <c r="AO808" s="147"/>
      <c r="AP808" s="147"/>
      <c r="AQ808" s="147"/>
      <c r="AR808" s="147"/>
      <c r="AS808" s="147"/>
      <c r="AT808" s="147"/>
      <c r="AU808" s="147"/>
      <c r="AV808" s="147"/>
      <c r="AW808" s="147"/>
      <c r="AX808" s="147"/>
      <c r="AY808" s="147"/>
      <c r="AZ808" s="147"/>
      <c r="BA808" s="147"/>
      <c r="BB808" s="147"/>
      <c r="BC808" s="147"/>
      <c r="BD808" s="147"/>
      <c r="BE808" s="147"/>
      <c r="BF808" s="147"/>
      <c r="BG808" s="147"/>
      <c r="BH808" s="147"/>
      <c r="BI808" s="147"/>
      <c r="BJ808" s="147"/>
      <c r="BK808" s="147"/>
      <c r="BL808" s="147"/>
      <c r="BM808" s="147"/>
      <c r="BN808" s="147"/>
      <c r="BO808" s="147"/>
      <c r="BP808" s="147"/>
      <c r="BQ808" s="147"/>
      <c r="BR808" s="147"/>
      <c r="BS808" s="147"/>
      <c r="BT808" s="147"/>
      <c r="BU808" s="147"/>
      <c r="BV808" s="147"/>
      <c r="BW808" s="147"/>
      <c r="BX808" s="147"/>
      <c r="BY808" s="147"/>
      <c r="BZ808" s="147"/>
      <c r="CA808" s="147"/>
      <c r="CB808" s="147"/>
      <c r="CC808" s="147"/>
      <c r="CD808" s="147"/>
      <c r="CE808" s="147"/>
      <c r="CF808" s="147"/>
      <c r="CG808" s="147"/>
      <c r="CH808" s="147"/>
      <c r="CI808" s="147"/>
      <c r="CJ808" s="147"/>
      <c r="CK808" s="147"/>
    </row>
    <row r="809" spans="1:89">
      <c r="A809" s="157"/>
      <c r="F809" s="3"/>
      <c r="G809" s="3"/>
      <c r="L809" s="157"/>
      <c r="M809" s="157"/>
      <c r="O809" s="147"/>
      <c r="P809" s="147"/>
      <c r="Q809" s="147"/>
      <c r="R809" s="147"/>
      <c r="S809" s="147"/>
      <c r="T809" s="147"/>
      <c r="U809" s="147"/>
      <c r="V809" s="147"/>
      <c r="W809" s="147"/>
      <c r="X809" s="147"/>
      <c r="Y809" s="147"/>
      <c r="Z809" s="147"/>
      <c r="AA809" s="147"/>
      <c r="AB809" s="147"/>
      <c r="AC809" s="147"/>
      <c r="AD809" s="147"/>
      <c r="AE809" s="147"/>
      <c r="AF809" s="147"/>
      <c r="AG809" s="147"/>
      <c r="AH809" s="147"/>
      <c r="AI809" s="147"/>
      <c r="AJ809" s="147"/>
      <c r="AK809" s="147"/>
      <c r="AL809" s="147"/>
      <c r="AM809" s="151"/>
      <c r="AN809" s="147"/>
      <c r="AO809" s="147"/>
      <c r="AP809" s="147"/>
      <c r="AQ809" s="147"/>
      <c r="AR809" s="147"/>
      <c r="AS809" s="147"/>
      <c r="AT809" s="147"/>
      <c r="AU809" s="147"/>
      <c r="AV809" s="147"/>
      <c r="AW809" s="147"/>
      <c r="AX809" s="147"/>
      <c r="AY809" s="147"/>
      <c r="AZ809" s="147"/>
      <c r="BA809" s="147"/>
      <c r="BB809" s="147"/>
      <c r="BC809" s="147"/>
      <c r="BD809" s="147"/>
      <c r="BE809" s="147"/>
      <c r="BF809" s="147"/>
      <c r="BG809" s="147"/>
      <c r="BH809" s="147"/>
      <c r="BI809" s="147"/>
      <c r="BJ809" s="147"/>
      <c r="BK809" s="147"/>
      <c r="BL809" s="147"/>
      <c r="BM809" s="147"/>
      <c r="BN809" s="147"/>
      <c r="BO809" s="147"/>
      <c r="BP809" s="147"/>
      <c r="BQ809" s="147"/>
      <c r="BR809" s="147"/>
      <c r="BS809" s="147"/>
      <c r="BT809" s="147"/>
      <c r="BU809" s="147"/>
      <c r="BV809" s="147"/>
      <c r="BW809" s="147"/>
      <c r="BX809" s="147"/>
      <c r="BY809" s="147"/>
      <c r="BZ809" s="147"/>
      <c r="CA809" s="147"/>
      <c r="CB809" s="147"/>
      <c r="CC809" s="147"/>
      <c r="CD809" s="147"/>
      <c r="CE809" s="147"/>
      <c r="CF809" s="147"/>
      <c r="CG809" s="147"/>
      <c r="CH809" s="147"/>
      <c r="CI809" s="147"/>
      <c r="CJ809" s="147"/>
      <c r="CK809" s="147"/>
    </row>
    <row r="810" spans="1:89">
      <c r="A810" s="157"/>
      <c r="F810" s="3"/>
      <c r="G810" s="3"/>
      <c r="L810" s="157"/>
      <c r="M810" s="157"/>
      <c r="O810" s="147"/>
      <c r="P810" s="147"/>
      <c r="Q810" s="147"/>
      <c r="R810" s="147"/>
      <c r="S810" s="147"/>
      <c r="T810" s="147"/>
      <c r="U810" s="147"/>
      <c r="V810" s="147"/>
      <c r="W810" s="147"/>
      <c r="X810" s="147"/>
      <c r="Y810" s="147"/>
      <c r="Z810" s="147"/>
      <c r="AA810" s="147"/>
      <c r="AB810" s="147"/>
      <c r="AC810" s="147"/>
      <c r="AD810" s="147"/>
      <c r="AE810" s="147"/>
      <c r="AF810" s="147"/>
      <c r="AG810" s="147"/>
      <c r="AH810" s="147"/>
      <c r="AI810" s="147"/>
      <c r="AJ810" s="147"/>
      <c r="AK810" s="147"/>
      <c r="AL810" s="147"/>
      <c r="AM810" s="151"/>
      <c r="AN810" s="147"/>
      <c r="AO810" s="147"/>
      <c r="AP810" s="147"/>
      <c r="AQ810" s="147"/>
      <c r="AR810" s="147"/>
      <c r="AS810" s="147"/>
      <c r="AT810" s="147"/>
      <c r="AU810" s="147"/>
      <c r="AV810" s="147"/>
      <c r="AW810" s="147"/>
      <c r="AX810" s="147"/>
      <c r="AY810" s="147"/>
      <c r="AZ810" s="147"/>
      <c r="BA810" s="147"/>
      <c r="BB810" s="147"/>
      <c r="BC810" s="147"/>
      <c r="BD810" s="147"/>
      <c r="BE810" s="147"/>
      <c r="BF810" s="147"/>
      <c r="BG810" s="147"/>
      <c r="BH810" s="147"/>
      <c r="BI810" s="147"/>
      <c r="BJ810" s="147"/>
      <c r="BK810" s="147"/>
      <c r="BL810" s="147"/>
      <c r="BM810" s="147"/>
      <c r="BN810" s="147"/>
      <c r="BO810" s="147"/>
      <c r="BP810" s="147"/>
      <c r="BQ810" s="147"/>
      <c r="BR810" s="147"/>
      <c r="BS810" s="147"/>
      <c r="BT810" s="147"/>
      <c r="BU810" s="147"/>
      <c r="BV810" s="147"/>
      <c r="BW810" s="147"/>
      <c r="BX810" s="147"/>
      <c r="BY810" s="147"/>
      <c r="BZ810" s="147"/>
      <c r="CA810" s="147"/>
      <c r="CB810" s="147"/>
      <c r="CC810" s="147"/>
      <c r="CD810" s="147"/>
      <c r="CE810" s="147"/>
      <c r="CF810" s="147"/>
      <c r="CG810" s="147"/>
      <c r="CH810" s="147"/>
      <c r="CI810" s="147"/>
      <c r="CJ810" s="147"/>
      <c r="CK810" s="147"/>
    </row>
    <row r="811" spans="1:89">
      <c r="A811" s="157"/>
      <c r="F811" s="3"/>
      <c r="G811" s="3"/>
      <c r="L811" s="157"/>
      <c r="M811" s="157"/>
      <c r="O811" s="147"/>
      <c r="P811" s="147"/>
      <c r="Q811" s="147"/>
      <c r="R811" s="147"/>
      <c r="S811" s="147"/>
      <c r="T811" s="147"/>
      <c r="U811" s="147"/>
      <c r="V811" s="147"/>
      <c r="W811" s="147"/>
      <c r="X811" s="147"/>
      <c r="Y811" s="147"/>
      <c r="Z811" s="147"/>
      <c r="AA811" s="147"/>
      <c r="AB811" s="147"/>
      <c r="AC811" s="147"/>
      <c r="AD811" s="147"/>
      <c r="AE811" s="147"/>
      <c r="AF811" s="147"/>
      <c r="AG811" s="147"/>
      <c r="AH811" s="147"/>
      <c r="AI811" s="147"/>
      <c r="AJ811" s="147"/>
      <c r="AK811" s="147"/>
      <c r="AL811" s="147"/>
      <c r="AM811" s="151"/>
      <c r="AN811" s="147"/>
      <c r="AO811" s="147"/>
      <c r="AP811" s="147"/>
      <c r="AQ811" s="147"/>
      <c r="AR811" s="147"/>
      <c r="AS811" s="147"/>
      <c r="AT811" s="147"/>
      <c r="AU811" s="147"/>
      <c r="AV811" s="147"/>
      <c r="AW811" s="147"/>
      <c r="AX811" s="147"/>
      <c r="AY811" s="147"/>
      <c r="AZ811" s="147"/>
      <c r="BA811" s="147"/>
      <c r="BB811" s="147"/>
      <c r="BC811" s="147"/>
      <c r="BD811" s="147"/>
      <c r="BE811" s="147"/>
      <c r="BF811" s="147"/>
      <c r="BG811" s="147"/>
      <c r="BH811" s="147"/>
      <c r="BI811" s="147"/>
      <c r="BJ811" s="147"/>
      <c r="BK811" s="147"/>
      <c r="BL811" s="147"/>
      <c r="BM811" s="147"/>
      <c r="BN811" s="147"/>
      <c r="BO811" s="147"/>
      <c r="BP811" s="147"/>
      <c r="BQ811" s="147"/>
      <c r="BR811" s="147"/>
      <c r="BS811" s="147"/>
      <c r="BT811" s="147"/>
      <c r="BU811" s="147"/>
      <c r="BV811" s="147"/>
      <c r="BW811" s="147"/>
      <c r="BX811" s="147"/>
      <c r="BY811" s="147"/>
      <c r="BZ811" s="147"/>
      <c r="CA811" s="147"/>
      <c r="CB811" s="147"/>
      <c r="CC811" s="147"/>
      <c r="CD811" s="147"/>
      <c r="CE811" s="147"/>
      <c r="CF811" s="147"/>
      <c r="CG811" s="147"/>
      <c r="CH811" s="147"/>
      <c r="CI811" s="147"/>
      <c r="CJ811" s="147"/>
      <c r="CK811" s="147"/>
    </row>
    <row r="812" spans="1:89">
      <c r="A812" s="157"/>
      <c r="F812" s="3"/>
      <c r="G812" s="3"/>
      <c r="L812" s="157"/>
      <c r="M812" s="157"/>
      <c r="O812" s="147"/>
      <c r="P812" s="147"/>
      <c r="Q812" s="147"/>
      <c r="R812" s="147"/>
      <c r="S812" s="147"/>
      <c r="T812" s="147"/>
      <c r="U812" s="147"/>
      <c r="V812" s="147"/>
      <c r="W812" s="147"/>
      <c r="X812" s="147"/>
      <c r="Y812" s="147"/>
      <c r="Z812" s="147"/>
      <c r="AA812" s="147"/>
      <c r="AB812" s="147"/>
      <c r="AC812" s="147"/>
      <c r="AD812" s="147"/>
      <c r="AE812" s="147"/>
      <c r="AF812" s="147"/>
      <c r="AG812" s="147"/>
      <c r="AH812" s="147"/>
      <c r="AI812" s="147"/>
      <c r="AJ812" s="147"/>
      <c r="AK812" s="147"/>
      <c r="AL812" s="147"/>
      <c r="AM812" s="151"/>
      <c r="AN812" s="147"/>
      <c r="AO812" s="147"/>
      <c r="AP812" s="147"/>
      <c r="AQ812" s="147"/>
      <c r="AR812" s="147"/>
      <c r="AS812" s="147"/>
      <c r="AT812" s="147"/>
      <c r="AU812" s="147"/>
      <c r="AV812" s="147"/>
      <c r="AW812" s="147"/>
      <c r="AX812" s="147"/>
      <c r="AY812" s="147"/>
      <c r="AZ812" s="147"/>
      <c r="BA812" s="147"/>
      <c r="BB812" s="147"/>
      <c r="BC812" s="147"/>
      <c r="BD812" s="147"/>
      <c r="BE812" s="147"/>
      <c r="BF812" s="147"/>
      <c r="BG812" s="147"/>
      <c r="BH812" s="147"/>
      <c r="BI812" s="147"/>
      <c r="BJ812" s="147"/>
      <c r="BK812" s="147"/>
      <c r="BL812" s="147"/>
      <c r="BM812" s="147"/>
      <c r="BN812" s="147"/>
      <c r="BO812" s="147"/>
      <c r="BP812" s="147"/>
      <c r="BQ812" s="147"/>
      <c r="BR812" s="147"/>
      <c r="BS812" s="147"/>
      <c r="BT812" s="147"/>
      <c r="BU812" s="147"/>
      <c r="BV812" s="147"/>
      <c r="BW812" s="147"/>
      <c r="BX812" s="147"/>
      <c r="BY812" s="147"/>
      <c r="BZ812" s="147"/>
      <c r="CA812" s="147"/>
      <c r="CB812" s="147"/>
      <c r="CC812" s="147"/>
      <c r="CD812" s="147"/>
      <c r="CE812" s="147"/>
      <c r="CF812" s="147"/>
      <c r="CG812" s="147"/>
      <c r="CH812" s="147"/>
      <c r="CI812" s="147"/>
      <c r="CJ812" s="147"/>
      <c r="CK812" s="147"/>
    </row>
    <row r="813" spans="1:89">
      <c r="A813" s="157"/>
      <c r="F813" s="3"/>
      <c r="G813" s="3"/>
      <c r="L813" s="157"/>
      <c r="M813" s="157"/>
      <c r="O813" s="147"/>
      <c r="P813" s="147"/>
      <c r="Q813" s="147"/>
      <c r="R813" s="147"/>
      <c r="S813" s="147"/>
      <c r="T813" s="147"/>
      <c r="U813" s="147"/>
      <c r="V813" s="147"/>
      <c r="W813" s="147"/>
      <c r="X813" s="147"/>
      <c r="Y813" s="147"/>
      <c r="Z813" s="147"/>
      <c r="AA813" s="147"/>
      <c r="AB813" s="147"/>
      <c r="AC813" s="147"/>
      <c r="AD813" s="147"/>
      <c r="AE813" s="147"/>
      <c r="AF813" s="147"/>
      <c r="AG813" s="147"/>
      <c r="AH813" s="147"/>
      <c r="AI813" s="147"/>
      <c r="AJ813" s="147"/>
      <c r="AK813" s="147"/>
      <c r="AL813" s="147"/>
      <c r="AM813" s="151"/>
      <c r="AN813" s="147"/>
      <c r="AO813" s="147"/>
      <c r="AP813" s="147"/>
      <c r="AQ813" s="147"/>
      <c r="AR813" s="147"/>
      <c r="AS813" s="147"/>
      <c r="AT813" s="147"/>
      <c r="AU813" s="147"/>
      <c r="AV813" s="147"/>
      <c r="AW813" s="147"/>
      <c r="AX813" s="147"/>
      <c r="AY813" s="147"/>
      <c r="AZ813" s="147"/>
      <c r="BA813" s="147"/>
      <c r="BB813" s="147"/>
      <c r="BC813" s="147"/>
      <c r="BD813" s="147"/>
      <c r="BE813" s="147"/>
      <c r="BF813" s="147"/>
      <c r="BG813" s="147"/>
      <c r="BH813" s="147"/>
      <c r="BI813" s="147"/>
      <c r="BJ813" s="147"/>
      <c r="BK813" s="147"/>
      <c r="BL813" s="147"/>
      <c r="BM813" s="147"/>
      <c r="BN813" s="147"/>
      <c r="BO813" s="147"/>
      <c r="BP813" s="147"/>
      <c r="BQ813" s="147"/>
      <c r="BR813" s="147"/>
      <c r="BS813" s="147"/>
      <c r="BT813" s="147"/>
      <c r="BU813" s="147"/>
      <c r="BV813" s="147"/>
      <c r="BW813" s="147"/>
      <c r="BX813" s="147"/>
      <c r="BY813" s="147"/>
      <c r="BZ813" s="147"/>
      <c r="CA813" s="147"/>
      <c r="CB813" s="147"/>
      <c r="CC813" s="147"/>
      <c r="CD813" s="147"/>
      <c r="CE813" s="147"/>
      <c r="CF813" s="147"/>
      <c r="CG813" s="147"/>
      <c r="CH813" s="147"/>
      <c r="CI813" s="147"/>
      <c r="CJ813" s="147"/>
      <c r="CK813" s="147"/>
    </row>
    <row r="814" spans="1:89">
      <c r="A814" s="157"/>
      <c r="F814" s="3"/>
      <c r="G814" s="3"/>
      <c r="L814" s="157"/>
      <c r="M814" s="157"/>
      <c r="O814" s="147"/>
      <c r="P814" s="147"/>
      <c r="Q814" s="147"/>
      <c r="R814" s="147"/>
      <c r="S814" s="147"/>
      <c r="T814" s="147"/>
      <c r="U814" s="147"/>
      <c r="V814" s="147"/>
      <c r="W814" s="147"/>
      <c r="X814" s="147"/>
      <c r="Y814" s="147"/>
      <c r="Z814" s="147"/>
      <c r="AA814" s="147"/>
      <c r="AB814" s="147"/>
      <c r="AC814" s="147"/>
      <c r="AD814" s="147"/>
      <c r="AE814" s="147"/>
      <c r="AF814" s="147"/>
      <c r="AG814" s="147"/>
      <c r="AH814" s="147"/>
      <c r="AI814" s="147"/>
      <c r="AJ814" s="147"/>
      <c r="AK814" s="147"/>
      <c r="AL814" s="147"/>
      <c r="AM814" s="151"/>
      <c r="AN814" s="147"/>
      <c r="AO814" s="147"/>
      <c r="AP814" s="147"/>
      <c r="AQ814" s="147"/>
      <c r="AR814" s="147"/>
      <c r="AS814" s="147"/>
      <c r="AT814" s="147"/>
      <c r="AU814" s="147"/>
      <c r="AV814" s="147"/>
      <c r="AW814" s="147"/>
      <c r="AX814" s="147"/>
      <c r="AY814" s="147"/>
      <c r="AZ814" s="147"/>
      <c r="BA814" s="147"/>
      <c r="BB814" s="147"/>
      <c r="BC814" s="147"/>
      <c r="BD814" s="147"/>
      <c r="BE814" s="147"/>
      <c r="BF814" s="147"/>
      <c r="BG814" s="147"/>
      <c r="BH814" s="147"/>
      <c r="BI814" s="147"/>
      <c r="BJ814" s="147"/>
      <c r="BK814" s="147"/>
      <c r="BL814" s="147"/>
      <c r="BM814" s="147"/>
      <c r="BN814" s="147"/>
      <c r="BO814" s="147"/>
      <c r="BP814" s="147"/>
      <c r="BQ814" s="147"/>
      <c r="BR814" s="147"/>
      <c r="BS814" s="147"/>
      <c r="BT814" s="147"/>
      <c r="BU814" s="147"/>
      <c r="BV814" s="147"/>
      <c r="BW814" s="147"/>
      <c r="BX814" s="147"/>
      <c r="BY814" s="147"/>
      <c r="BZ814" s="147"/>
      <c r="CA814" s="147"/>
      <c r="CB814" s="147"/>
      <c r="CC814" s="147"/>
      <c r="CD814" s="147"/>
      <c r="CE814" s="147"/>
      <c r="CF814" s="147"/>
      <c r="CG814" s="147"/>
      <c r="CH814" s="147"/>
      <c r="CI814" s="147"/>
      <c r="CJ814" s="147"/>
      <c r="CK814" s="147"/>
    </row>
    <row r="815" spans="1:89">
      <c r="A815" s="157"/>
      <c r="F815" s="3"/>
      <c r="G815" s="3"/>
      <c r="L815" s="157"/>
      <c r="M815" s="157"/>
      <c r="O815" s="147"/>
      <c r="P815" s="147"/>
      <c r="Q815" s="147"/>
      <c r="R815" s="147"/>
      <c r="S815" s="147"/>
      <c r="T815" s="147"/>
      <c r="U815" s="147"/>
      <c r="V815" s="147"/>
      <c r="W815" s="147"/>
      <c r="X815" s="147"/>
      <c r="Y815" s="147"/>
      <c r="Z815" s="147"/>
      <c r="AA815" s="147"/>
      <c r="AB815" s="147"/>
      <c r="AC815" s="147"/>
      <c r="AD815" s="147"/>
      <c r="AE815" s="147"/>
      <c r="AF815" s="147"/>
      <c r="AG815" s="147"/>
      <c r="AH815" s="147"/>
      <c r="AI815" s="147"/>
      <c r="AJ815" s="147"/>
      <c r="AK815" s="147"/>
      <c r="AL815" s="147"/>
      <c r="AM815" s="151"/>
      <c r="AN815" s="147"/>
      <c r="AO815" s="147"/>
      <c r="AP815" s="147"/>
      <c r="AQ815" s="147"/>
      <c r="AR815" s="147"/>
      <c r="AS815" s="147"/>
      <c r="AT815" s="147"/>
      <c r="AU815" s="147"/>
      <c r="AV815" s="147"/>
      <c r="AW815" s="147"/>
      <c r="AX815" s="147"/>
      <c r="AY815" s="147"/>
      <c r="AZ815" s="147"/>
      <c r="BA815" s="147"/>
      <c r="BB815" s="147"/>
      <c r="BC815" s="147"/>
      <c r="BD815" s="147"/>
      <c r="BE815" s="147"/>
      <c r="BF815" s="147"/>
      <c r="BG815" s="147"/>
      <c r="BH815" s="147"/>
      <c r="BI815" s="147"/>
      <c r="BJ815" s="147"/>
      <c r="BK815" s="147"/>
      <c r="BL815" s="147"/>
      <c r="BM815" s="147"/>
      <c r="BN815" s="147"/>
      <c r="BO815" s="147"/>
      <c r="BP815" s="147"/>
      <c r="BQ815" s="147"/>
      <c r="BR815" s="147"/>
      <c r="BS815" s="147"/>
      <c r="BT815" s="147"/>
      <c r="BU815" s="147"/>
      <c r="BV815" s="147"/>
      <c r="BW815" s="147"/>
      <c r="BX815" s="147"/>
      <c r="BY815" s="147"/>
      <c r="BZ815" s="147"/>
      <c r="CA815" s="147"/>
      <c r="CB815" s="147"/>
      <c r="CC815" s="147"/>
      <c r="CD815" s="147"/>
      <c r="CE815" s="147"/>
      <c r="CF815" s="147"/>
      <c r="CG815" s="147"/>
      <c r="CH815" s="147"/>
      <c r="CI815" s="147"/>
      <c r="CJ815" s="147"/>
      <c r="CK815" s="147"/>
    </row>
    <row r="816" spans="1:89">
      <c r="A816" s="157"/>
      <c r="F816" s="3"/>
      <c r="G816" s="3"/>
      <c r="L816" s="157"/>
      <c r="M816" s="157"/>
      <c r="O816" s="147"/>
      <c r="P816" s="147"/>
      <c r="Q816" s="147"/>
      <c r="R816" s="147"/>
      <c r="S816" s="147"/>
      <c r="T816" s="147"/>
      <c r="U816" s="147"/>
      <c r="V816" s="147"/>
      <c r="W816" s="147"/>
      <c r="X816" s="147"/>
      <c r="Y816" s="147"/>
      <c r="Z816" s="147"/>
      <c r="AA816" s="147"/>
      <c r="AB816" s="147"/>
      <c r="AC816" s="147"/>
      <c r="AD816" s="147"/>
      <c r="AE816" s="147"/>
      <c r="AF816" s="147"/>
      <c r="AG816" s="147"/>
      <c r="AH816" s="147"/>
      <c r="AI816" s="147"/>
      <c r="AJ816" s="147"/>
      <c r="AK816" s="147"/>
      <c r="AL816" s="147"/>
      <c r="AM816" s="151"/>
      <c r="AN816" s="147"/>
      <c r="AO816" s="147"/>
      <c r="AP816" s="147"/>
      <c r="AQ816" s="147"/>
      <c r="AR816" s="147"/>
      <c r="AS816" s="147"/>
      <c r="AT816" s="147"/>
      <c r="AU816" s="147"/>
      <c r="AV816" s="147"/>
      <c r="AW816" s="147"/>
      <c r="AX816" s="147"/>
      <c r="AY816" s="147"/>
      <c r="AZ816" s="147"/>
      <c r="BA816" s="147"/>
      <c r="BB816" s="147"/>
      <c r="BC816" s="147"/>
      <c r="BD816" s="147"/>
      <c r="BE816" s="147"/>
      <c r="BF816" s="147"/>
      <c r="BG816" s="147"/>
      <c r="BH816" s="147"/>
      <c r="BI816" s="147"/>
      <c r="BJ816" s="147"/>
      <c r="BK816" s="147"/>
      <c r="BL816" s="147"/>
      <c r="BM816" s="147"/>
      <c r="BN816" s="147"/>
      <c r="BO816" s="147"/>
      <c r="BP816" s="147"/>
      <c r="BQ816" s="147"/>
      <c r="BR816" s="147"/>
      <c r="BS816" s="147"/>
      <c r="BT816" s="147"/>
      <c r="BU816" s="147"/>
      <c r="BV816" s="147"/>
      <c r="BW816" s="147"/>
      <c r="BX816" s="147"/>
      <c r="BY816" s="147"/>
      <c r="BZ816" s="147"/>
      <c r="CA816" s="147"/>
      <c r="CB816" s="147"/>
      <c r="CC816" s="147"/>
      <c r="CD816" s="147"/>
      <c r="CE816" s="147"/>
      <c r="CF816" s="147"/>
      <c r="CG816" s="147"/>
      <c r="CH816" s="147"/>
      <c r="CI816" s="147"/>
      <c r="CJ816" s="147"/>
      <c r="CK816" s="147"/>
    </row>
    <row r="817" spans="1:89">
      <c r="A817" s="157"/>
      <c r="F817" s="3"/>
      <c r="G817" s="3"/>
      <c r="L817" s="157"/>
      <c r="M817" s="157"/>
      <c r="O817" s="147"/>
      <c r="P817" s="147"/>
      <c r="Q817" s="147"/>
      <c r="R817" s="147"/>
      <c r="S817" s="147"/>
      <c r="T817" s="147"/>
      <c r="U817" s="147"/>
      <c r="V817" s="147"/>
      <c r="W817" s="147"/>
      <c r="X817" s="147"/>
      <c r="Y817" s="147"/>
      <c r="Z817" s="147"/>
      <c r="AA817" s="147"/>
      <c r="AB817" s="147"/>
      <c r="AC817" s="147"/>
      <c r="AD817" s="147"/>
      <c r="AE817" s="147"/>
      <c r="AF817" s="147"/>
      <c r="AG817" s="147"/>
      <c r="AH817" s="147"/>
      <c r="AI817" s="147"/>
      <c r="AJ817" s="147"/>
      <c r="AK817" s="147"/>
      <c r="AL817" s="147"/>
      <c r="AM817" s="151"/>
      <c r="AN817" s="147"/>
      <c r="AO817" s="147"/>
      <c r="AP817" s="147"/>
      <c r="AQ817" s="147"/>
      <c r="AR817" s="147"/>
      <c r="AS817" s="147"/>
      <c r="AT817" s="147"/>
      <c r="AU817" s="147"/>
      <c r="AV817" s="147"/>
      <c r="AW817" s="147"/>
      <c r="AX817" s="147"/>
      <c r="AY817" s="147"/>
      <c r="AZ817" s="147"/>
      <c r="BA817" s="147"/>
      <c r="BB817" s="147"/>
      <c r="BC817" s="147"/>
      <c r="BD817" s="147"/>
      <c r="BE817" s="147"/>
      <c r="BF817" s="147"/>
      <c r="BG817" s="147"/>
      <c r="BH817" s="147"/>
      <c r="BI817" s="147"/>
      <c r="BJ817" s="147"/>
      <c r="BK817" s="147"/>
      <c r="BL817" s="147"/>
      <c r="BM817" s="147"/>
      <c r="BN817" s="147"/>
      <c r="BO817" s="147"/>
      <c r="BP817" s="147"/>
      <c r="BQ817" s="147"/>
      <c r="BR817" s="147"/>
      <c r="BS817" s="147"/>
      <c r="BT817" s="147"/>
      <c r="BU817" s="147"/>
      <c r="BV817" s="147"/>
      <c r="BW817" s="147"/>
      <c r="BX817" s="147"/>
      <c r="BY817" s="147"/>
      <c r="BZ817" s="147"/>
      <c r="CA817" s="147"/>
      <c r="CB817" s="147"/>
      <c r="CC817" s="147"/>
      <c r="CD817" s="147"/>
      <c r="CE817" s="147"/>
      <c r="CF817" s="147"/>
      <c r="CG817" s="147"/>
      <c r="CH817" s="147"/>
      <c r="CI817" s="147"/>
      <c r="CJ817" s="147"/>
      <c r="CK817" s="147"/>
    </row>
    <row r="818" spans="1:89">
      <c r="A818" s="157"/>
      <c r="F818" s="3"/>
      <c r="G818" s="3"/>
      <c r="L818" s="157"/>
      <c r="M818" s="157"/>
      <c r="O818" s="147"/>
      <c r="P818" s="147"/>
      <c r="Q818" s="147"/>
      <c r="R818" s="147"/>
      <c r="S818" s="147"/>
      <c r="T818" s="147"/>
      <c r="U818" s="147"/>
      <c r="V818" s="147"/>
      <c r="W818" s="147"/>
      <c r="X818" s="147"/>
      <c r="Y818" s="147"/>
      <c r="Z818" s="147"/>
      <c r="AA818" s="147"/>
      <c r="AB818" s="147"/>
      <c r="AC818" s="147"/>
      <c r="AD818" s="147"/>
      <c r="AE818" s="147"/>
      <c r="AF818" s="147"/>
      <c r="AG818" s="147"/>
      <c r="AH818" s="147"/>
      <c r="AI818" s="147"/>
      <c r="AJ818" s="147"/>
      <c r="AK818" s="147"/>
      <c r="AL818" s="147"/>
      <c r="AM818" s="151"/>
      <c r="AN818" s="147"/>
      <c r="AO818" s="147"/>
      <c r="AP818" s="147"/>
      <c r="AQ818" s="147"/>
      <c r="AR818" s="147"/>
      <c r="AS818" s="147"/>
      <c r="AT818" s="147"/>
      <c r="AU818" s="147"/>
      <c r="AV818" s="147"/>
      <c r="AW818" s="147"/>
      <c r="AX818" s="147"/>
      <c r="AY818" s="147"/>
      <c r="AZ818" s="147"/>
      <c r="BA818" s="147"/>
      <c r="BB818" s="147"/>
      <c r="BC818" s="147"/>
      <c r="BD818" s="147"/>
      <c r="BE818" s="147"/>
      <c r="BF818" s="147"/>
      <c r="BG818" s="147"/>
      <c r="BH818" s="147"/>
      <c r="BI818" s="147"/>
      <c r="BJ818" s="147"/>
      <c r="BK818" s="147"/>
      <c r="BL818" s="147"/>
      <c r="BM818" s="147"/>
      <c r="BN818" s="147"/>
      <c r="BO818" s="147"/>
      <c r="BP818" s="147"/>
      <c r="BQ818" s="147"/>
      <c r="BR818" s="147"/>
      <c r="BS818" s="147"/>
      <c r="BT818" s="147"/>
      <c r="BU818" s="147"/>
      <c r="BV818" s="147"/>
      <c r="BW818" s="147"/>
      <c r="BX818" s="147"/>
      <c r="BY818" s="147"/>
      <c r="BZ818" s="147"/>
      <c r="CA818" s="147"/>
      <c r="CB818" s="147"/>
      <c r="CC818" s="147"/>
      <c r="CD818" s="147"/>
      <c r="CE818" s="147"/>
      <c r="CF818" s="147"/>
      <c r="CG818" s="147"/>
      <c r="CH818" s="147"/>
      <c r="CI818" s="147"/>
      <c r="CJ818" s="147"/>
      <c r="CK818" s="147"/>
    </row>
    <row r="819" spans="1:89">
      <c r="A819" s="157"/>
      <c r="F819" s="3"/>
      <c r="G819" s="3"/>
      <c r="L819" s="157"/>
      <c r="M819" s="157"/>
      <c r="O819" s="147"/>
      <c r="P819" s="147"/>
      <c r="Q819" s="147"/>
      <c r="R819" s="147"/>
      <c r="S819" s="147"/>
      <c r="T819" s="147"/>
      <c r="U819" s="147"/>
      <c r="V819" s="147"/>
      <c r="W819" s="147"/>
      <c r="X819" s="147"/>
      <c r="Y819" s="147"/>
      <c r="Z819" s="147"/>
      <c r="AA819" s="147"/>
      <c r="AB819" s="147"/>
      <c r="AC819" s="147"/>
      <c r="AD819" s="147"/>
      <c r="AE819" s="147"/>
      <c r="AF819" s="147"/>
      <c r="AG819" s="147"/>
      <c r="AH819" s="147"/>
      <c r="AI819" s="147"/>
      <c r="AJ819" s="147"/>
      <c r="AK819" s="147"/>
      <c r="AL819" s="147"/>
      <c r="AM819" s="151"/>
      <c r="AN819" s="147"/>
      <c r="AO819" s="147"/>
      <c r="AP819" s="147"/>
      <c r="AQ819" s="147"/>
      <c r="AR819" s="147"/>
      <c r="AS819" s="147"/>
      <c r="AT819" s="147"/>
      <c r="AU819" s="147"/>
      <c r="AV819" s="147"/>
      <c r="AW819" s="147"/>
      <c r="AX819" s="147"/>
      <c r="AY819" s="147"/>
      <c r="AZ819" s="147"/>
      <c r="BA819" s="147"/>
      <c r="BB819" s="147"/>
      <c r="BC819" s="147"/>
      <c r="BD819" s="147"/>
      <c r="BE819" s="147"/>
      <c r="BF819" s="147"/>
      <c r="BG819" s="147"/>
      <c r="BH819" s="147"/>
      <c r="BI819" s="147"/>
      <c r="BJ819" s="147"/>
      <c r="BK819" s="147"/>
      <c r="BL819" s="147"/>
      <c r="BM819" s="147"/>
      <c r="BN819" s="147"/>
      <c r="BO819" s="147"/>
      <c r="BP819" s="147"/>
      <c r="BQ819" s="147"/>
      <c r="BR819" s="147"/>
      <c r="BS819" s="147"/>
      <c r="BT819" s="147"/>
      <c r="BU819" s="147"/>
      <c r="BV819" s="147"/>
      <c r="BW819" s="147"/>
      <c r="BX819" s="147"/>
      <c r="BY819" s="147"/>
      <c r="BZ819" s="147"/>
      <c r="CA819" s="147"/>
      <c r="CB819" s="147"/>
      <c r="CC819" s="147"/>
      <c r="CD819" s="147"/>
      <c r="CE819" s="147"/>
      <c r="CF819" s="147"/>
      <c r="CG819" s="147"/>
      <c r="CH819" s="147"/>
      <c r="CI819" s="147"/>
      <c r="CJ819" s="147"/>
      <c r="CK819" s="147"/>
    </row>
    <row r="820" spans="1:89">
      <c r="A820" s="157"/>
      <c r="F820" s="3"/>
      <c r="G820" s="3"/>
      <c r="L820" s="157"/>
      <c r="M820" s="157"/>
      <c r="O820" s="147"/>
      <c r="P820" s="147"/>
      <c r="Q820" s="147"/>
      <c r="R820" s="147"/>
      <c r="S820" s="147"/>
      <c r="T820" s="147"/>
      <c r="U820" s="147"/>
      <c r="V820" s="147"/>
      <c r="W820" s="147"/>
      <c r="X820" s="147"/>
      <c r="Y820" s="147"/>
      <c r="Z820" s="147"/>
      <c r="AA820" s="147"/>
      <c r="AB820" s="147"/>
      <c r="AC820" s="147"/>
      <c r="AD820" s="147"/>
      <c r="AE820" s="147"/>
      <c r="AF820" s="147"/>
      <c r="AG820" s="147"/>
      <c r="AH820" s="147"/>
      <c r="AI820" s="147"/>
      <c r="AJ820" s="147"/>
      <c r="AK820" s="147"/>
      <c r="AL820" s="147"/>
      <c r="AM820" s="151"/>
      <c r="AN820" s="147"/>
      <c r="AO820" s="147"/>
      <c r="AP820" s="147"/>
      <c r="AQ820" s="147"/>
      <c r="AR820" s="147"/>
      <c r="AS820" s="147"/>
      <c r="AT820" s="147"/>
      <c r="AU820" s="147"/>
      <c r="AV820" s="147"/>
      <c r="AW820" s="147"/>
      <c r="AX820" s="147"/>
      <c r="AY820" s="147"/>
      <c r="AZ820" s="147"/>
      <c r="BA820" s="147"/>
      <c r="BB820" s="147"/>
      <c r="BC820" s="147"/>
      <c r="BD820" s="147"/>
      <c r="BE820" s="147"/>
      <c r="BF820" s="147"/>
      <c r="BG820" s="147"/>
      <c r="BH820" s="147"/>
      <c r="BI820" s="147"/>
      <c r="BJ820" s="147"/>
      <c r="BK820" s="147"/>
      <c r="BL820" s="147"/>
      <c r="BM820" s="147"/>
      <c r="BN820" s="147"/>
      <c r="BO820" s="147"/>
      <c r="BP820" s="147"/>
      <c r="BQ820" s="147"/>
      <c r="BR820" s="147"/>
      <c r="BS820" s="147"/>
      <c r="BT820" s="147"/>
      <c r="BU820" s="147"/>
      <c r="BV820" s="147"/>
      <c r="BW820" s="147"/>
      <c r="BX820" s="147"/>
      <c r="BY820" s="147"/>
      <c r="BZ820" s="147"/>
      <c r="CA820" s="147"/>
      <c r="CB820" s="147"/>
      <c r="CC820" s="147"/>
      <c r="CD820" s="147"/>
      <c r="CE820" s="147"/>
      <c r="CF820" s="147"/>
      <c r="CG820" s="147"/>
      <c r="CH820" s="147"/>
      <c r="CI820" s="147"/>
      <c r="CJ820" s="147"/>
      <c r="CK820" s="147"/>
    </row>
    <row r="821" spans="1:89">
      <c r="A821" s="157"/>
      <c r="F821" s="3"/>
      <c r="G821" s="3"/>
      <c r="L821" s="157"/>
      <c r="M821" s="157"/>
      <c r="O821" s="147"/>
      <c r="P821" s="147"/>
      <c r="Q821" s="147"/>
      <c r="R821" s="147"/>
      <c r="S821" s="147"/>
      <c r="T821" s="147"/>
      <c r="U821" s="147"/>
      <c r="V821" s="147"/>
      <c r="W821" s="147"/>
      <c r="X821" s="147"/>
      <c r="Y821" s="147"/>
      <c r="Z821" s="147"/>
      <c r="AA821" s="147"/>
      <c r="AB821" s="147"/>
      <c r="AC821" s="147"/>
      <c r="AD821" s="147"/>
      <c r="AE821" s="147"/>
      <c r="AF821" s="147"/>
      <c r="AG821" s="147"/>
      <c r="AH821" s="147"/>
      <c r="AI821" s="147"/>
      <c r="AJ821" s="147"/>
      <c r="AK821" s="147"/>
      <c r="AL821" s="147"/>
      <c r="AM821" s="151"/>
      <c r="AN821" s="147"/>
      <c r="AO821" s="147"/>
      <c r="AP821" s="147"/>
      <c r="AQ821" s="147"/>
      <c r="AR821" s="147"/>
      <c r="AS821" s="147"/>
      <c r="AT821" s="147"/>
      <c r="AU821" s="147"/>
      <c r="AV821" s="147"/>
      <c r="AW821" s="147"/>
      <c r="AX821" s="147"/>
      <c r="AY821" s="147"/>
      <c r="AZ821" s="147"/>
      <c r="BA821" s="147"/>
      <c r="BB821" s="147"/>
      <c r="BC821" s="147"/>
      <c r="BD821" s="147"/>
      <c r="BE821" s="147"/>
      <c r="BF821" s="147"/>
      <c r="BG821" s="147"/>
      <c r="BH821" s="147"/>
      <c r="BI821" s="147"/>
      <c r="BJ821" s="147"/>
      <c r="BK821" s="147"/>
      <c r="BL821" s="147"/>
      <c r="BM821" s="147"/>
      <c r="BN821" s="147"/>
      <c r="BO821" s="147"/>
      <c r="BP821" s="147"/>
      <c r="BQ821" s="147"/>
      <c r="BR821" s="147"/>
      <c r="BS821" s="147"/>
      <c r="BT821" s="147"/>
      <c r="BU821" s="147"/>
      <c r="BV821" s="147"/>
      <c r="BW821" s="147"/>
      <c r="BX821" s="147"/>
      <c r="BY821" s="147"/>
      <c r="BZ821" s="147"/>
      <c r="CA821" s="147"/>
      <c r="CB821" s="147"/>
      <c r="CC821" s="147"/>
      <c r="CD821" s="147"/>
      <c r="CE821" s="147"/>
      <c r="CF821" s="147"/>
      <c r="CG821" s="147"/>
      <c r="CH821" s="147"/>
      <c r="CI821" s="147"/>
      <c r="CJ821" s="147"/>
      <c r="CK821" s="147"/>
    </row>
    <row r="822" spans="1:89">
      <c r="A822" s="157"/>
      <c r="F822" s="3"/>
      <c r="G822" s="3"/>
      <c r="L822" s="157"/>
      <c r="M822" s="157"/>
      <c r="O822" s="147"/>
      <c r="P822" s="147"/>
      <c r="Q822" s="147"/>
      <c r="R822" s="147"/>
      <c r="S822" s="147"/>
      <c r="T822" s="147"/>
      <c r="U822" s="147"/>
      <c r="V822" s="147"/>
      <c r="W822" s="147"/>
      <c r="X822" s="147"/>
      <c r="Y822" s="147"/>
      <c r="Z822" s="147"/>
      <c r="AA822" s="147"/>
      <c r="AB822" s="147"/>
      <c r="AC822" s="147"/>
      <c r="AD822" s="147"/>
      <c r="AE822" s="147"/>
      <c r="AF822" s="147"/>
      <c r="AG822" s="147"/>
      <c r="AH822" s="147"/>
      <c r="AI822" s="147"/>
      <c r="AJ822" s="147"/>
      <c r="AK822" s="147"/>
      <c r="AL822" s="147"/>
      <c r="AM822" s="151"/>
      <c r="AN822" s="147"/>
      <c r="AO822" s="147"/>
      <c r="AP822" s="147"/>
      <c r="AQ822" s="147"/>
      <c r="AR822" s="147"/>
      <c r="AS822" s="147"/>
      <c r="AT822" s="147"/>
      <c r="AU822" s="147"/>
      <c r="AV822" s="147"/>
      <c r="AW822" s="147"/>
      <c r="AX822" s="147"/>
      <c r="AY822" s="147"/>
      <c r="AZ822" s="147"/>
      <c r="BA822" s="147"/>
      <c r="BB822" s="147"/>
      <c r="BC822" s="147"/>
      <c r="BD822" s="147"/>
      <c r="BE822" s="147"/>
      <c r="BF822" s="147"/>
      <c r="BG822" s="147"/>
      <c r="BH822" s="147"/>
      <c r="BI822" s="147"/>
      <c r="BJ822" s="147"/>
      <c r="BK822" s="147"/>
      <c r="BL822" s="147"/>
      <c r="BM822" s="147"/>
      <c r="BN822" s="147"/>
      <c r="BO822" s="147"/>
      <c r="BP822" s="147"/>
      <c r="BQ822" s="147"/>
      <c r="BR822" s="147"/>
      <c r="BS822" s="147"/>
      <c r="BT822" s="147"/>
      <c r="BU822" s="147"/>
      <c r="BV822" s="147"/>
      <c r="BW822" s="147"/>
      <c r="BX822" s="147"/>
      <c r="BY822" s="147"/>
      <c r="BZ822" s="147"/>
      <c r="CA822" s="147"/>
      <c r="CB822" s="147"/>
      <c r="CC822" s="147"/>
      <c r="CD822" s="147"/>
      <c r="CE822" s="147"/>
      <c r="CF822" s="147"/>
      <c r="CG822" s="147"/>
      <c r="CH822" s="147"/>
      <c r="CI822" s="147"/>
      <c r="CJ822" s="147"/>
      <c r="CK822" s="147"/>
    </row>
    <row r="823" spans="1:89">
      <c r="A823" s="157"/>
      <c r="F823" s="3"/>
      <c r="G823" s="3"/>
      <c r="L823" s="157"/>
      <c r="M823" s="157"/>
      <c r="O823" s="147"/>
      <c r="P823" s="147"/>
      <c r="Q823" s="147"/>
      <c r="R823" s="147"/>
      <c r="S823" s="147"/>
      <c r="T823" s="147"/>
      <c r="U823" s="147"/>
      <c r="V823" s="147"/>
      <c r="W823" s="147"/>
      <c r="X823" s="147"/>
      <c r="Y823" s="147"/>
      <c r="Z823" s="147"/>
      <c r="AA823" s="147"/>
      <c r="AB823" s="147"/>
      <c r="AC823" s="147"/>
      <c r="AD823" s="147"/>
      <c r="AE823" s="147"/>
      <c r="AF823" s="147"/>
      <c r="AG823" s="147"/>
      <c r="AH823" s="147"/>
      <c r="AI823" s="147"/>
      <c r="AJ823" s="147"/>
      <c r="AK823" s="147"/>
      <c r="AL823" s="147"/>
      <c r="AM823" s="151"/>
      <c r="AN823" s="147"/>
      <c r="AO823" s="147"/>
      <c r="AP823" s="147"/>
      <c r="AQ823" s="147"/>
      <c r="AR823" s="147"/>
      <c r="AS823" s="147"/>
      <c r="AT823" s="147"/>
      <c r="AU823" s="147"/>
      <c r="AV823" s="147"/>
      <c r="AW823" s="147"/>
      <c r="AX823" s="147"/>
      <c r="AY823" s="147"/>
      <c r="AZ823" s="147"/>
      <c r="BA823" s="147"/>
      <c r="BB823" s="147"/>
      <c r="BC823" s="147"/>
      <c r="BD823" s="147"/>
      <c r="BE823" s="147"/>
      <c r="BF823" s="147"/>
      <c r="BG823" s="147"/>
      <c r="BH823" s="147"/>
      <c r="BI823" s="147"/>
      <c r="BJ823" s="147"/>
      <c r="BK823" s="147"/>
      <c r="BL823" s="147"/>
      <c r="BM823" s="147"/>
      <c r="BN823" s="147"/>
      <c r="BO823" s="147"/>
      <c r="BP823" s="147"/>
      <c r="BQ823" s="147"/>
      <c r="BR823" s="147"/>
      <c r="BS823" s="147"/>
      <c r="BT823" s="147"/>
      <c r="BU823" s="147"/>
      <c r="BV823" s="147"/>
      <c r="BW823" s="147"/>
      <c r="BX823" s="147"/>
      <c r="BY823" s="147"/>
      <c r="BZ823" s="147"/>
      <c r="CA823" s="147"/>
      <c r="CB823" s="147"/>
      <c r="CC823" s="147"/>
      <c r="CD823" s="147"/>
      <c r="CE823" s="147"/>
      <c r="CF823" s="147"/>
      <c r="CG823" s="147"/>
      <c r="CH823" s="147"/>
      <c r="CI823" s="147"/>
      <c r="CJ823" s="147"/>
      <c r="CK823" s="147"/>
    </row>
    <row r="824" spans="1:89">
      <c r="A824" s="157"/>
      <c r="F824" s="3"/>
      <c r="G824" s="3"/>
      <c r="L824" s="157"/>
      <c r="M824" s="157"/>
      <c r="O824" s="147"/>
      <c r="P824" s="147"/>
      <c r="Q824" s="147"/>
      <c r="R824" s="147"/>
      <c r="S824" s="147"/>
      <c r="T824" s="147"/>
      <c r="U824" s="147"/>
      <c r="V824" s="147"/>
      <c r="W824" s="147"/>
      <c r="X824" s="147"/>
      <c r="Y824" s="147"/>
      <c r="Z824" s="147"/>
      <c r="AA824" s="147"/>
      <c r="AB824" s="147"/>
      <c r="AC824" s="147"/>
      <c r="AD824" s="147"/>
      <c r="AE824" s="147"/>
      <c r="AF824" s="147"/>
      <c r="AG824" s="147"/>
      <c r="AH824" s="147"/>
      <c r="AI824" s="147"/>
      <c r="AJ824" s="147"/>
      <c r="AK824" s="147"/>
      <c r="AL824" s="147"/>
      <c r="AM824" s="151"/>
      <c r="AN824" s="147"/>
      <c r="AO824" s="147"/>
      <c r="AP824" s="147"/>
      <c r="AQ824" s="147"/>
      <c r="AR824" s="147"/>
      <c r="AS824" s="147"/>
      <c r="AT824" s="147"/>
      <c r="AU824" s="147"/>
      <c r="AV824" s="147"/>
      <c r="AW824" s="147"/>
      <c r="AX824" s="147"/>
      <c r="AY824" s="147"/>
      <c r="AZ824" s="147"/>
      <c r="BA824" s="147"/>
      <c r="BB824" s="147"/>
      <c r="BC824" s="147"/>
      <c r="BD824" s="147"/>
      <c r="BE824" s="147"/>
      <c r="BF824" s="147"/>
      <c r="BG824" s="147"/>
      <c r="BH824" s="147"/>
      <c r="BI824" s="147"/>
      <c r="BJ824" s="147"/>
      <c r="BK824" s="147"/>
      <c r="BL824" s="147"/>
      <c r="BM824" s="147"/>
      <c r="BN824" s="147"/>
      <c r="BO824" s="147"/>
      <c r="BP824" s="147"/>
      <c r="BQ824" s="147"/>
      <c r="BR824" s="147"/>
      <c r="BS824" s="147"/>
      <c r="BT824" s="147"/>
      <c r="BU824" s="147"/>
      <c r="BV824" s="147"/>
      <c r="BW824" s="147"/>
      <c r="BX824" s="147"/>
      <c r="BY824" s="147"/>
      <c r="BZ824" s="147"/>
      <c r="CA824" s="147"/>
      <c r="CB824" s="147"/>
      <c r="CC824" s="147"/>
      <c r="CD824" s="147"/>
      <c r="CE824" s="147"/>
      <c r="CF824" s="147"/>
      <c r="CG824" s="147"/>
      <c r="CH824" s="147"/>
      <c r="CI824" s="147"/>
      <c r="CJ824" s="147"/>
      <c r="CK824" s="147"/>
    </row>
    <row r="825" spans="1:89">
      <c r="A825" s="157"/>
      <c r="F825" s="3"/>
      <c r="G825" s="3"/>
      <c r="L825" s="157"/>
      <c r="M825" s="157"/>
      <c r="O825" s="147"/>
      <c r="P825" s="147"/>
      <c r="Q825" s="147"/>
      <c r="R825" s="147"/>
      <c r="S825" s="147"/>
      <c r="T825" s="147"/>
      <c r="U825" s="147"/>
      <c r="V825" s="147"/>
      <c r="W825" s="147"/>
      <c r="X825" s="147"/>
      <c r="Y825" s="147"/>
      <c r="Z825" s="147"/>
      <c r="AA825" s="147"/>
      <c r="AB825" s="147"/>
      <c r="AC825" s="147"/>
      <c r="AD825" s="147"/>
      <c r="AE825" s="147"/>
      <c r="AF825" s="147"/>
      <c r="AG825" s="147"/>
      <c r="AH825" s="147"/>
      <c r="AI825" s="147"/>
      <c r="AJ825" s="147"/>
      <c r="AK825" s="147"/>
      <c r="AL825" s="147"/>
      <c r="AM825" s="151"/>
      <c r="AN825" s="147"/>
      <c r="AO825" s="147"/>
      <c r="AP825" s="147"/>
      <c r="AQ825" s="147"/>
      <c r="AR825" s="147"/>
      <c r="AS825" s="147"/>
      <c r="AT825" s="147"/>
      <c r="AU825" s="147"/>
      <c r="AV825" s="147"/>
      <c r="AW825" s="147"/>
      <c r="AX825" s="147"/>
      <c r="AY825" s="147"/>
      <c r="AZ825" s="147"/>
      <c r="BA825" s="147"/>
      <c r="BB825" s="147"/>
      <c r="BC825" s="147"/>
      <c r="BD825" s="147"/>
      <c r="BE825" s="147"/>
      <c r="BF825" s="147"/>
      <c r="BG825" s="147"/>
      <c r="BH825" s="147"/>
      <c r="BI825" s="147"/>
      <c r="BJ825" s="147"/>
      <c r="BK825" s="147"/>
      <c r="BL825" s="147"/>
      <c r="BM825" s="147"/>
      <c r="BN825" s="147"/>
      <c r="BO825" s="147"/>
      <c r="BP825" s="147"/>
      <c r="BQ825" s="147"/>
      <c r="BR825" s="147"/>
      <c r="BS825" s="147"/>
      <c r="BT825" s="147"/>
      <c r="BU825" s="147"/>
      <c r="BV825" s="147"/>
      <c r="BW825" s="147"/>
      <c r="BX825" s="147"/>
      <c r="BY825" s="147"/>
      <c r="BZ825" s="147"/>
      <c r="CA825" s="147"/>
      <c r="CB825" s="147"/>
      <c r="CC825" s="147"/>
      <c r="CD825" s="147"/>
      <c r="CE825" s="147"/>
      <c r="CF825" s="147"/>
      <c r="CG825" s="147"/>
      <c r="CH825" s="147"/>
      <c r="CI825" s="147"/>
      <c r="CJ825" s="147"/>
      <c r="CK825" s="147"/>
    </row>
    <row r="826" spans="1:89">
      <c r="A826" s="157"/>
      <c r="F826" s="3"/>
      <c r="G826" s="3"/>
      <c r="L826" s="157"/>
      <c r="M826" s="157"/>
      <c r="O826" s="147"/>
      <c r="P826" s="147"/>
      <c r="Q826" s="147"/>
      <c r="R826" s="147"/>
      <c r="S826" s="147"/>
      <c r="T826" s="147"/>
      <c r="U826" s="147"/>
      <c r="V826" s="147"/>
      <c r="W826" s="147"/>
      <c r="X826" s="147"/>
      <c r="Y826" s="147"/>
      <c r="Z826" s="147"/>
      <c r="AA826" s="147"/>
      <c r="AB826" s="147"/>
      <c r="AC826" s="147"/>
      <c r="AD826" s="147"/>
      <c r="AE826" s="147"/>
      <c r="AF826" s="147"/>
      <c r="AG826" s="147"/>
      <c r="AH826" s="147"/>
      <c r="AI826" s="147"/>
      <c r="AJ826" s="147"/>
      <c r="AK826" s="147"/>
      <c r="AL826" s="147"/>
      <c r="AM826" s="151"/>
      <c r="AN826" s="147"/>
      <c r="AO826" s="147"/>
      <c r="AP826" s="147"/>
      <c r="AQ826" s="147"/>
      <c r="AR826" s="147"/>
      <c r="AS826" s="147"/>
      <c r="AT826" s="147"/>
      <c r="AU826" s="147"/>
      <c r="AV826" s="147"/>
      <c r="AW826" s="147"/>
      <c r="AX826" s="147"/>
      <c r="AY826" s="147"/>
      <c r="AZ826" s="147"/>
      <c r="BA826" s="147"/>
      <c r="BB826" s="147"/>
      <c r="BC826" s="147"/>
      <c r="BD826" s="147"/>
      <c r="BE826" s="147"/>
      <c r="BF826" s="147"/>
      <c r="BG826" s="147"/>
      <c r="BH826" s="147"/>
      <c r="BI826" s="147"/>
      <c r="BJ826" s="147"/>
      <c r="BK826" s="147"/>
      <c r="BL826" s="147"/>
      <c r="BM826" s="147"/>
      <c r="BN826" s="147"/>
      <c r="BO826" s="147"/>
      <c r="BP826" s="147"/>
      <c r="BQ826" s="147"/>
      <c r="BR826" s="147"/>
      <c r="BS826" s="147"/>
      <c r="BT826" s="147"/>
      <c r="BU826" s="147"/>
      <c r="BV826" s="147"/>
      <c r="BW826" s="147"/>
      <c r="BX826" s="147"/>
      <c r="BY826" s="147"/>
      <c r="BZ826" s="147"/>
      <c r="CA826" s="147"/>
      <c r="CB826" s="147"/>
      <c r="CC826" s="147"/>
      <c r="CD826" s="147"/>
      <c r="CE826" s="147"/>
      <c r="CF826" s="147"/>
      <c r="CG826" s="147"/>
      <c r="CH826" s="147"/>
      <c r="CI826" s="147"/>
      <c r="CJ826" s="147"/>
      <c r="CK826" s="147"/>
    </row>
    <row r="827" spans="1:89">
      <c r="A827" s="157"/>
      <c r="F827" s="3"/>
      <c r="G827" s="3"/>
      <c r="L827" s="157"/>
      <c r="M827" s="157"/>
      <c r="O827" s="147"/>
      <c r="P827" s="147"/>
      <c r="Q827" s="147"/>
      <c r="R827" s="147"/>
      <c r="S827" s="147"/>
      <c r="T827" s="147"/>
      <c r="U827" s="147"/>
      <c r="V827" s="147"/>
      <c r="W827" s="147"/>
      <c r="X827" s="147"/>
      <c r="Y827" s="147"/>
      <c r="Z827" s="147"/>
      <c r="AA827" s="147"/>
      <c r="AB827" s="147"/>
      <c r="AC827" s="147"/>
      <c r="AD827" s="147"/>
      <c r="AE827" s="147"/>
      <c r="AF827" s="147"/>
      <c r="AG827" s="147"/>
      <c r="AH827" s="147"/>
      <c r="AI827" s="147"/>
      <c r="AJ827" s="147"/>
      <c r="AK827" s="147"/>
      <c r="AL827" s="147"/>
      <c r="AM827" s="151"/>
      <c r="AN827" s="147"/>
      <c r="AO827" s="147"/>
      <c r="AP827" s="147"/>
      <c r="AQ827" s="147"/>
      <c r="AR827" s="147"/>
      <c r="AS827" s="147"/>
      <c r="AT827" s="147"/>
      <c r="AU827" s="147"/>
      <c r="AV827" s="147"/>
      <c r="AW827" s="147"/>
      <c r="AX827" s="147"/>
      <c r="AY827" s="147"/>
      <c r="AZ827" s="147"/>
      <c r="BA827" s="147"/>
      <c r="BB827" s="147"/>
      <c r="BC827" s="147"/>
      <c r="BD827" s="147"/>
      <c r="BE827" s="147"/>
      <c r="BF827" s="147"/>
      <c r="BG827" s="147"/>
      <c r="BH827" s="147"/>
      <c r="BI827" s="147"/>
      <c r="BJ827" s="147"/>
      <c r="BK827" s="147"/>
      <c r="BL827" s="147"/>
      <c r="BM827" s="147"/>
      <c r="BN827" s="147"/>
      <c r="BO827" s="147"/>
      <c r="BP827" s="147"/>
      <c r="BQ827" s="147"/>
      <c r="BR827" s="147"/>
      <c r="BS827" s="147"/>
      <c r="BT827" s="147"/>
      <c r="BU827" s="147"/>
      <c r="BV827" s="147"/>
      <c r="BW827" s="147"/>
      <c r="BX827" s="147"/>
      <c r="BY827" s="147"/>
      <c r="BZ827" s="147"/>
      <c r="CA827" s="147"/>
      <c r="CB827" s="147"/>
      <c r="CC827" s="147"/>
      <c r="CD827" s="147"/>
      <c r="CE827" s="147"/>
      <c r="CF827" s="147"/>
      <c r="CG827" s="147"/>
      <c r="CH827" s="147"/>
      <c r="CI827" s="147"/>
      <c r="CJ827" s="147"/>
      <c r="CK827" s="147"/>
    </row>
    <row r="828" spans="1:89">
      <c r="A828" s="157"/>
      <c r="F828" s="3"/>
      <c r="G828" s="3"/>
      <c r="L828" s="157"/>
      <c r="M828" s="157"/>
      <c r="O828" s="147"/>
      <c r="P828" s="147"/>
      <c r="Q828" s="147"/>
      <c r="R828" s="147"/>
      <c r="S828" s="147"/>
      <c r="T828" s="147"/>
      <c r="U828" s="147"/>
      <c r="V828" s="147"/>
      <c r="W828" s="147"/>
      <c r="X828" s="147"/>
      <c r="Y828" s="147"/>
      <c r="Z828" s="147"/>
      <c r="AA828" s="147"/>
      <c r="AB828" s="147"/>
      <c r="AC828" s="147"/>
      <c r="AD828" s="147"/>
      <c r="AE828" s="147"/>
      <c r="AF828" s="147"/>
      <c r="AG828" s="147"/>
      <c r="AH828" s="147"/>
      <c r="AI828" s="147"/>
      <c r="AJ828" s="147"/>
      <c r="AK828" s="147"/>
      <c r="AL828" s="147"/>
      <c r="AM828" s="151"/>
      <c r="AN828" s="147"/>
      <c r="AO828" s="147"/>
      <c r="AP828" s="147"/>
      <c r="AQ828" s="147"/>
      <c r="AR828" s="147"/>
      <c r="AS828" s="147"/>
      <c r="AT828" s="147"/>
      <c r="AU828" s="147"/>
      <c r="AV828" s="147"/>
      <c r="AW828" s="147"/>
      <c r="AX828" s="147"/>
      <c r="AY828" s="147"/>
      <c r="AZ828" s="147"/>
      <c r="BA828" s="147"/>
      <c r="BB828" s="147"/>
      <c r="BC828" s="147"/>
      <c r="BD828" s="147"/>
      <c r="BE828" s="147"/>
      <c r="BF828" s="147"/>
      <c r="BG828" s="147"/>
      <c r="BH828" s="147"/>
      <c r="BI828" s="147"/>
      <c r="BJ828" s="147"/>
      <c r="BK828" s="147"/>
      <c r="BL828" s="147"/>
      <c r="BM828" s="147"/>
      <c r="BN828" s="147"/>
      <c r="BO828" s="147"/>
      <c r="BP828" s="147"/>
      <c r="BQ828" s="147"/>
      <c r="BR828" s="147"/>
      <c r="BS828" s="147"/>
      <c r="BT828" s="147"/>
      <c r="BU828" s="147"/>
      <c r="BV828" s="147"/>
      <c r="BW828" s="147"/>
      <c r="BX828" s="147"/>
      <c r="BY828" s="147"/>
      <c r="BZ828" s="147"/>
      <c r="CA828" s="147"/>
      <c r="CB828" s="147"/>
      <c r="CC828" s="147"/>
      <c r="CD828" s="147"/>
      <c r="CE828" s="147"/>
      <c r="CF828" s="147"/>
      <c r="CG828" s="147"/>
      <c r="CH828" s="147"/>
      <c r="CI828" s="147"/>
      <c r="CJ828" s="147"/>
      <c r="CK828" s="147"/>
    </row>
    <row r="829" spans="1:89">
      <c r="A829" s="157"/>
      <c r="F829" s="3"/>
      <c r="G829" s="3"/>
      <c r="L829" s="157"/>
      <c r="M829" s="157"/>
      <c r="O829" s="147"/>
      <c r="P829" s="147"/>
      <c r="Q829" s="147"/>
      <c r="R829" s="147"/>
      <c r="S829" s="147"/>
      <c r="T829" s="147"/>
      <c r="U829" s="147"/>
      <c r="V829" s="147"/>
      <c r="W829" s="147"/>
      <c r="X829" s="147"/>
      <c r="Y829" s="147"/>
      <c r="Z829" s="147"/>
      <c r="AA829" s="147"/>
      <c r="AB829" s="147"/>
      <c r="AC829" s="147"/>
      <c r="AD829" s="147"/>
      <c r="AE829" s="147"/>
      <c r="AF829" s="147"/>
      <c r="AG829" s="147"/>
      <c r="AH829" s="147"/>
      <c r="AI829" s="147"/>
      <c r="AJ829" s="147"/>
      <c r="AK829" s="147"/>
      <c r="AL829" s="147"/>
      <c r="AM829" s="151"/>
      <c r="AN829" s="147"/>
      <c r="AO829" s="147"/>
      <c r="AP829" s="147"/>
      <c r="AQ829" s="147"/>
      <c r="AR829" s="147"/>
      <c r="AS829" s="147"/>
      <c r="AT829" s="147"/>
      <c r="AU829" s="147"/>
      <c r="AV829" s="147"/>
      <c r="AW829" s="147"/>
      <c r="AX829" s="147"/>
      <c r="AY829" s="147"/>
      <c r="AZ829" s="147"/>
      <c r="BA829" s="147"/>
      <c r="BB829" s="147"/>
      <c r="BC829" s="147"/>
      <c r="BD829" s="147"/>
      <c r="BE829" s="147"/>
      <c r="BF829" s="147"/>
      <c r="BG829" s="147"/>
      <c r="BH829" s="147"/>
      <c r="BI829" s="147"/>
      <c r="BJ829" s="147"/>
      <c r="BK829" s="147"/>
      <c r="BL829" s="147"/>
      <c r="BM829" s="147"/>
      <c r="BN829" s="147"/>
      <c r="BO829" s="147"/>
      <c r="BP829" s="147"/>
      <c r="BQ829" s="147"/>
      <c r="BR829" s="147"/>
      <c r="BS829" s="147"/>
      <c r="BT829" s="147"/>
      <c r="BU829" s="147"/>
      <c r="BV829" s="147"/>
      <c r="BW829" s="147"/>
      <c r="BX829" s="147"/>
      <c r="BY829" s="147"/>
      <c r="BZ829" s="147"/>
      <c r="CA829" s="147"/>
      <c r="CB829" s="147"/>
      <c r="CC829" s="147"/>
      <c r="CD829" s="147"/>
      <c r="CE829" s="147"/>
      <c r="CF829" s="147"/>
      <c r="CG829" s="147"/>
      <c r="CH829" s="147"/>
      <c r="CI829" s="147"/>
      <c r="CJ829" s="147"/>
      <c r="CK829" s="147"/>
    </row>
    <row r="830" spans="1:89">
      <c r="A830" s="157"/>
      <c r="F830" s="3"/>
      <c r="G830" s="3"/>
      <c r="L830" s="157"/>
      <c r="M830" s="157"/>
      <c r="O830" s="147"/>
      <c r="P830" s="147"/>
      <c r="Q830" s="147"/>
      <c r="R830" s="147"/>
      <c r="S830" s="147"/>
      <c r="T830" s="147"/>
      <c r="U830" s="147"/>
      <c r="V830" s="147"/>
      <c r="W830" s="147"/>
      <c r="X830" s="147"/>
      <c r="Y830" s="147"/>
      <c r="Z830" s="147"/>
      <c r="AA830" s="147"/>
      <c r="AB830" s="147"/>
      <c r="AC830" s="147"/>
      <c r="AD830" s="147"/>
      <c r="AE830" s="147"/>
      <c r="AF830" s="147"/>
      <c r="AG830" s="147"/>
      <c r="AH830" s="147"/>
      <c r="AI830" s="147"/>
      <c r="AJ830" s="147"/>
      <c r="AK830" s="147"/>
      <c r="AL830" s="147"/>
      <c r="AM830" s="151"/>
      <c r="AN830" s="147"/>
      <c r="AO830" s="147"/>
      <c r="AP830" s="147"/>
      <c r="AQ830" s="147"/>
      <c r="AR830" s="147"/>
      <c r="AS830" s="147"/>
      <c r="AT830" s="147"/>
      <c r="AU830" s="147"/>
      <c r="AV830" s="147"/>
      <c r="AW830" s="147"/>
      <c r="AX830" s="147"/>
      <c r="AY830" s="147"/>
      <c r="AZ830" s="147"/>
      <c r="BA830" s="147"/>
      <c r="BB830" s="147"/>
      <c r="BC830" s="147"/>
      <c r="BD830" s="147"/>
      <c r="BE830" s="147"/>
      <c r="BF830" s="147"/>
      <c r="BG830" s="147"/>
      <c r="BH830" s="147"/>
      <c r="BI830" s="147"/>
      <c r="BJ830" s="147"/>
      <c r="BK830" s="147"/>
      <c r="BL830" s="147"/>
      <c r="BM830" s="147"/>
      <c r="BN830" s="147"/>
      <c r="BO830" s="147"/>
      <c r="BP830" s="147"/>
      <c r="BQ830" s="147"/>
      <c r="BR830" s="147"/>
      <c r="BS830" s="147"/>
      <c r="BT830" s="147"/>
      <c r="BU830" s="147"/>
      <c r="BV830" s="147"/>
      <c r="BW830" s="147"/>
      <c r="BX830" s="147"/>
      <c r="BY830" s="147"/>
      <c r="BZ830" s="147"/>
      <c r="CA830" s="147"/>
      <c r="CB830" s="147"/>
      <c r="CC830" s="147"/>
      <c r="CD830" s="147"/>
      <c r="CE830" s="147"/>
      <c r="CF830" s="147"/>
      <c r="CG830" s="147"/>
      <c r="CH830" s="147"/>
      <c r="CI830" s="147"/>
      <c r="CJ830" s="147"/>
      <c r="CK830" s="147"/>
    </row>
    <row r="831" spans="1:89">
      <c r="A831" s="157"/>
      <c r="F831" s="3"/>
      <c r="G831" s="3"/>
      <c r="L831" s="157"/>
      <c r="M831" s="157"/>
      <c r="O831" s="147"/>
      <c r="P831" s="147"/>
      <c r="Q831" s="147"/>
      <c r="R831" s="147"/>
      <c r="S831" s="147"/>
      <c r="T831" s="147"/>
      <c r="U831" s="147"/>
      <c r="V831" s="147"/>
      <c r="W831" s="147"/>
      <c r="X831" s="147"/>
      <c r="Y831" s="147"/>
      <c r="Z831" s="147"/>
      <c r="AA831" s="147"/>
      <c r="AB831" s="147"/>
      <c r="AC831" s="147"/>
      <c r="AD831" s="147"/>
      <c r="AE831" s="147"/>
      <c r="AF831" s="147"/>
      <c r="AG831" s="147"/>
      <c r="AH831" s="147"/>
      <c r="AI831" s="147"/>
      <c r="AJ831" s="147"/>
      <c r="AK831" s="147"/>
      <c r="AL831" s="147"/>
      <c r="AM831" s="151"/>
      <c r="AN831" s="147"/>
      <c r="AO831" s="147"/>
      <c r="AP831" s="147"/>
      <c r="AQ831" s="147"/>
      <c r="AR831" s="147"/>
      <c r="AS831" s="147"/>
      <c r="AT831" s="147"/>
      <c r="AU831" s="147"/>
      <c r="AV831" s="147"/>
      <c r="AW831" s="147"/>
      <c r="AX831" s="147"/>
      <c r="AY831" s="147"/>
      <c r="AZ831" s="147"/>
      <c r="BA831" s="147"/>
      <c r="BB831" s="147"/>
      <c r="BC831" s="147"/>
      <c r="BD831" s="147"/>
      <c r="BE831" s="147"/>
      <c r="BF831" s="147"/>
      <c r="BG831" s="147"/>
      <c r="BH831" s="147"/>
      <c r="BI831" s="147"/>
      <c r="BJ831" s="147"/>
      <c r="BK831" s="147"/>
      <c r="BL831" s="147"/>
      <c r="BM831" s="147"/>
      <c r="BN831" s="147"/>
      <c r="BO831" s="147"/>
      <c r="BP831" s="147"/>
      <c r="BQ831" s="147"/>
      <c r="BR831" s="147"/>
      <c r="BS831" s="147"/>
      <c r="BT831" s="147"/>
      <c r="BU831" s="147"/>
      <c r="BV831" s="147"/>
      <c r="BW831" s="147"/>
      <c r="BX831" s="147"/>
      <c r="BY831" s="147"/>
      <c r="BZ831" s="147"/>
      <c r="CA831" s="147"/>
      <c r="CB831" s="147"/>
      <c r="CC831" s="147"/>
      <c r="CD831" s="147"/>
      <c r="CE831" s="147"/>
      <c r="CF831" s="147"/>
      <c r="CG831" s="147"/>
      <c r="CH831" s="147"/>
      <c r="CI831" s="147"/>
      <c r="CJ831" s="147"/>
      <c r="CK831" s="147"/>
    </row>
    <row r="832" spans="1:89">
      <c r="A832" s="157"/>
      <c r="F832" s="3"/>
      <c r="G832" s="3"/>
      <c r="L832" s="157"/>
      <c r="M832" s="157"/>
      <c r="O832" s="147"/>
      <c r="P832" s="147"/>
      <c r="Q832" s="147"/>
      <c r="R832" s="147"/>
      <c r="S832" s="147"/>
      <c r="T832" s="147"/>
      <c r="U832" s="147"/>
      <c r="V832" s="147"/>
      <c r="W832" s="147"/>
      <c r="X832" s="147"/>
      <c r="Y832" s="147"/>
      <c r="Z832" s="147"/>
      <c r="AA832" s="147"/>
      <c r="AB832" s="147"/>
      <c r="AC832" s="147"/>
      <c r="AD832" s="147"/>
      <c r="AE832" s="147"/>
      <c r="AF832" s="147"/>
      <c r="AG832" s="147"/>
      <c r="AH832" s="147"/>
      <c r="AI832" s="147"/>
      <c r="AJ832" s="147"/>
      <c r="AK832" s="147"/>
      <c r="AL832" s="147"/>
      <c r="AM832" s="151"/>
      <c r="AN832" s="147"/>
      <c r="AO832" s="147"/>
      <c r="AP832" s="147"/>
      <c r="AQ832" s="147"/>
      <c r="AR832" s="147"/>
      <c r="AS832" s="147"/>
      <c r="AT832" s="147"/>
      <c r="AU832" s="147"/>
      <c r="AV832" s="147"/>
      <c r="AW832" s="147"/>
      <c r="AX832" s="147"/>
      <c r="AY832" s="147"/>
      <c r="AZ832" s="147"/>
      <c r="BA832" s="147"/>
      <c r="BB832" s="147"/>
      <c r="BC832" s="147"/>
      <c r="BD832" s="147"/>
      <c r="BE832" s="147"/>
      <c r="BF832" s="147"/>
      <c r="BG832" s="147"/>
      <c r="BH832" s="147"/>
      <c r="BI832" s="147"/>
      <c r="BJ832" s="147"/>
      <c r="BK832" s="147"/>
      <c r="BL832" s="147"/>
      <c r="BM832" s="147"/>
      <c r="BN832" s="147"/>
      <c r="BO832" s="147"/>
      <c r="BP832" s="147"/>
      <c r="BQ832" s="147"/>
      <c r="BR832" s="147"/>
      <c r="BS832" s="147"/>
      <c r="BT832" s="147"/>
      <c r="BU832" s="147"/>
      <c r="BV832" s="147"/>
      <c r="BW832" s="147"/>
      <c r="BX832" s="147"/>
      <c r="BY832" s="147"/>
      <c r="BZ832" s="147"/>
      <c r="CA832" s="147"/>
      <c r="CB832" s="147"/>
      <c r="CC832" s="147"/>
      <c r="CD832" s="147"/>
      <c r="CE832" s="147"/>
      <c r="CF832" s="147"/>
      <c r="CG832" s="147"/>
      <c r="CH832" s="147"/>
      <c r="CI832" s="147"/>
      <c r="CJ832" s="147"/>
      <c r="CK832" s="147"/>
    </row>
    <row r="833" spans="1:89">
      <c r="A833" s="157"/>
      <c r="F833" s="3"/>
      <c r="G833" s="3"/>
      <c r="L833" s="157"/>
      <c r="M833" s="157"/>
      <c r="O833" s="147"/>
      <c r="P833" s="147"/>
      <c r="Q833" s="147"/>
      <c r="R833" s="147"/>
      <c r="S833" s="147"/>
      <c r="T833" s="147"/>
      <c r="U833" s="147"/>
      <c r="V833" s="147"/>
      <c r="W833" s="147"/>
      <c r="X833" s="147"/>
      <c r="Y833" s="147"/>
      <c r="Z833" s="147"/>
      <c r="AA833" s="147"/>
      <c r="AB833" s="147"/>
      <c r="AC833" s="147"/>
      <c r="AD833" s="147"/>
      <c r="AE833" s="147"/>
      <c r="AF833" s="147"/>
      <c r="AG833" s="147"/>
      <c r="AH833" s="147"/>
      <c r="AI833" s="147"/>
      <c r="AJ833" s="147"/>
      <c r="AK833" s="147"/>
      <c r="AL833" s="147"/>
      <c r="AM833" s="151"/>
      <c r="AN833" s="147"/>
      <c r="AO833" s="147"/>
      <c r="AP833" s="147"/>
      <c r="AQ833" s="147"/>
      <c r="AR833" s="147"/>
      <c r="AS833" s="147"/>
      <c r="AT833" s="147"/>
      <c r="AU833" s="147"/>
      <c r="AV833" s="147"/>
      <c r="AW833" s="147"/>
      <c r="AX833" s="147"/>
      <c r="AY833" s="147"/>
      <c r="AZ833" s="147"/>
      <c r="BA833" s="147"/>
      <c r="BB833" s="147"/>
      <c r="BC833" s="147"/>
      <c r="BD833" s="147"/>
      <c r="BE833" s="147"/>
      <c r="BF833" s="147"/>
      <c r="BG833" s="147"/>
      <c r="BH833" s="147"/>
      <c r="BI833" s="147"/>
      <c r="BJ833" s="147"/>
      <c r="BK833" s="147"/>
      <c r="BL833" s="147"/>
      <c r="BM833" s="147"/>
      <c r="BN833" s="147"/>
      <c r="BO833" s="147"/>
      <c r="BP833" s="147"/>
      <c r="BQ833" s="147"/>
      <c r="BR833" s="147"/>
      <c r="BS833" s="147"/>
      <c r="BT833" s="147"/>
      <c r="BU833" s="147"/>
      <c r="BV833" s="147"/>
      <c r="BW833" s="147"/>
      <c r="BX833" s="147"/>
      <c r="BY833" s="147"/>
      <c r="BZ833" s="147"/>
      <c r="CA833" s="147"/>
      <c r="CB833" s="147"/>
      <c r="CC833" s="147"/>
      <c r="CD833" s="147"/>
      <c r="CE833" s="147"/>
      <c r="CF833" s="147"/>
      <c r="CG833" s="147"/>
      <c r="CH833" s="147"/>
      <c r="CI833" s="147"/>
      <c r="CJ833" s="147"/>
      <c r="CK833" s="147"/>
    </row>
    <row r="834" spans="1:89">
      <c r="A834" s="157"/>
      <c r="F834" s="3"/>
      <c r="G834" s="3"/>
      <c r="L834" s="157"/>
      <c r="M834" s="157"/>
      <c r="O834" s="147"/>
      <c r="P834" s="147"/>
      <c r="Q834" s="147"/>
      <c r="R834" s="147"/>
      <c r="S834" s="147"/>
      <c r="T834" s="147"/>
      <c r="U834" s="147"/>
      <c r="V834" s="147"/>
      <c r="W834" s="147"/>
      <c r="X834" s="147"/>
      <c r="Y834" s="147"/>
      <c r="Z834" s="147"/>
      <c r="AA834" s="147"/>
      <c r="AB834" s="147"/>
      <c r="AC834" s="147"/>
      <c r="AD834" s="147"/>
      <c r="AE834" s="147"/>
      <c r="AF834" s="147"/>
      <c r="AG834" s="147"/>
      <c r="AH834" s="147"/>
      <c r="AI834" s="147"/>
      <c r="AJ834" s="147"/>
      <c r="AK834" s="147"/>
      <c r="AL834" s="147"/>
      <c r="AM834" s="151"/>
      <c r="AN834" s="147"/>
      <c r="AO834" s="147"/>
      <c r="AP834" s="147"/>
      <c r="AQ834" s="147"/>
      <c r="AR834" s="147"/>
      <c r="AS834" s="147"/>
      <c r="AT834" s="147"/>
      <c r="AU834" s="147"/>
      <c r="AV834" s="147"/>
      <c r="AW834" s="147"/>
      <c r="AX834" s="147"/>
      <c r="AY834" s="147"/>
      <c r="AZ834" s="147"/>
      <c r="BA834" s="147"/>
      <c r="BB834" s="147"/>
      <c r="BC834" s="147"/>
      <c r="BD834" s="147"/>
      <c r="BE834" s="147"/>
      <c r="BF834" s="147"/>
      <c r="BG834" s="147"/>
      <c r="BH834" s="147"/>
      <c r="BI834" s="147"/>
      <c r="BJ834" s="147"/>
      <c r="BK834" s="147"/>
      <c r="BL834" s="147"/>
      <c r="BM834" s="147"/>
      <c r="BN834" s="147"/>
      <c r="BO834" s="147"/>
      <c r="BP834" s="147"/>
      <c r="BQ834" s="147"/>
      <c r="BR834" s="147"/>
      <c r="BS834" s="147"/>
      <c r="BT834" s="147"/>
      <c r="BU834" s="147"/>
      <c r="BV834" s="147"/>
      <c r="BW834" s="147"/>
      <c r="BX834" s="147"/>
      <c r="BY834" s="147"/>
      <c r="BZ834" s="147"/>
      <c r="CA834" s="147"/>
      <c r="CB834" s="147"/>
      <c r="CC834" s="147"/>
      <c r="CD834" s="147"/>
      <c r="CE834" s="147"/>
      <c r="CF834" s="147"/>
      <c r="CG834" s="147"/>
      <c r="CH834" s="147"/>
      <c r="CI834" s="147"/>
      <c r="CJ834" s="147"/>
      <c r="CK834" s="147"/>
    </row>
    <row r="835" spans="1:89">
      <c r="A835" s="157"/>
      <c r="F835" s="3"/>
      <c r="G835" s="3"/>
      <c r="L835" s="157"/>
      <c r="M835" s="157"/>
      <c r="O835" s="147"/>
      <c r="P835" s="147"/>
      <c r="Q835" s="147"/>
      <c r="R835" s="147"/>
      <c r="S835" s="147"/>
      <c r="T835" s="147"/>
      <c r="U835" s="147"/>
      <c r="V835" s="147"/>
      <c r="W835" s="147"/>
      <c r="X835" s="147"/>
      <c r="Y835" s="147"/>
      <c r="Z835" s="147"/>
      <c r="AA835" s="147"/>
      <c r="AB835" s="147"/>
      <c r="AC835" s="147"/>
      <c r="AD835" s="147"/>
      <c r="AE835" s="147"/>
      <c r="AF835" s="147"/>
      <c r="AG835" s="147"/>
      <c r="AH835" s="147"/>
      <c r="AI835" s="147"/>
      <c r="AJ835" s="147"/>
      <c r="AK835" s="147"/>
      <c r="AL835" s="147"/>
      <c r="AM835" s="151"/>
      <c r="AN835" s="147"/>
      <c r="AO835" s="147"/>
      <c r="AP835" s="147"/>
      <c r="AQ835" s="147"/>
      <c r="AR835" s="147"/>
      <c r="AS835" s="147"/>
      <c r="AT835" s="147"/>
      <c r="AU835" s="147"/>
      <c r="AV835" s="147"/>
      <c r="AW835" s="147"/>
      <c r="AX835" s="147"/>
      <c r="AY835" s="147"/>
      <c r="AZ835" s="147"/>
      <c r="BA835" s="147"/>
      <c r="BB835" s="147"/>
      <c r="BC835" s="147"/>
      <c r="BD835" s="147"/>
      <c r="BE835" s="147"/>
      <c r="BF835" s="147"/>
      <c r="BG835" s="147"/>
      <c r="BH835" s="147"/>
      <c r="BI835" s="147"/>
      <c r="BJ835" s="147"/>
      <c r="BK835" s="147"/>
      <c r="BL835" s="147"/>
      <c r="BM835" s="147"/>
      <c r="BN835" s="147"/>
      <c r="BO835" s="147"/>
      <c r="BP835" s="147"/>
      <c r="BQ835" s="147"/>
      <c r="BR835" s="147"/>
      <c r="BS835" s="147"/>
      <c r="BT835" s="147"/>
      <c r="BU835" s="147"/>
      <c r="BV835" s="147"/>
      <c r="BW835" s="147"/>
      <c r="BX835" s="147"/>
      <c r="BY835" s="147"/>
      <c r="BZ835" s="147"/>
      <c r="CA835" s="147"/>
      <c r="CB835" s="147"/>
      <c r="CC835" s="147"/>
      <c r="CD835" s="147"/>
      <c r="CE835" s="147"/>
      <c r="CF835" s="147"/>
      <c r="CG835" s="147"/>
      <c r="CH835" s="147"/>
      <c r="CI835" s="147"/>
      <c r="CJ835" s="147"/>
      <c r="CK835" s="147"/>
    </row>
    <row r="836" spans="1:89">
      <c r="A836" s="157"/>
      <c r="F836" s="3"/>
      <c r="G836" s="3"/>
      <c r="L836" s="157"/>
      <c r="M836" s="157"/>
      <c r="O836" s="147"/>
      <c r="P836" s="147"/>
      <c r="Q836" s="147"/>
      <c r="R836" s="147"/>
      <c r="S836" s="147"/>
      <c r="T836" s="147"/>
      <c r="U836" s="147"/>
      <c r="V836" s="147"/>
      <c r="W836" s="147"/>
      <c r="X836" s="147"/>
      <c r="Y836" s="147"/>
      <c r="Z836" s="147"/>
      <c r="AA836" s="147"/>
      <c r="AB836" s="147"/>
      <c r="AC836" s="147"/>
      <c r="AD836" s="147"/>
      <c r="AE836" s="147"/>
      <c r="AF836" s="147"/>
      <c r="AG836" s="147"/>
      <c r="AH836" s="147"/>
      <c r="AI836" s="147"/>
      <c r="AJ836" s="147"/>
      <c r="AK836" s="147"/>
      <c r="AL836" s="147"/>
      <c r="AM836" s="151"/>
      <c r="AN836" s="147"/>
      <c r="AO836" s="147"/>
      <c r="AP836" s="147"/>
      <c r="AQ836" s="147"/>
      <c r="AR836" s="147"/>
      <c r="AS836" s="147"/>
      <c r="AT836" s="147"/>
      <c r="AU836" s="147"/>
      <c r="AV836" s="147"/>
      <c r="AW836" s="147"/>
      <c r="AX836" s="147"/>
      <c r="AY836" s="147"/>
      <c r="AZ836" s="147"/>
      <c r="BA836" s="147"/>
      <c r="BB836" s="147"/>
      <c r="BC836" s="147"/>
      <c r="BD836" s="147"/>
      <c r="BE836" s="147"/>
      <c r="BF836" s="147"/>
      <c r="BG836" s="147"/>
      <c r="BH836" s="147"/>
      <c r="BI836" s="147"/>
      <c r="BJ836" s="147"/>
      <c r="BK836" s="147"/>
      <c r="BL836" s="147"/>
      <c r="BM836" s="147"/>
      <c r="BN836" s="147"/>
      <c r="BO836" s="147"/>
      <c r="BP836" s="147"/>
      <c r="BQ836" s="147"/>
      <c r="BR836" s="147"/>
      <c r="BS836" s="147"/>
      <c r="BT836" s="147"/>
      <c r="BU836" s="147"/>
      <c r="BV836" s="147"/>
      <c r="BW836" s="147"/>
      <c r="BX836" s="147"/>
      <c r="BY836" s="147"/>
      <c r="BZ836" s="147"/>
      <c r="CA836" s="147"/>
      <c r="CB836" s="147"/>
      <c r="CC836" s="147"/>
      <c r="CD836" s="147"/>
      <c r="CE836" s="147"/>
      <c r="CF836" s="147"/>
      <c r="CG836" s="147"/>
      <c r="CH836" s="147"/>
      <c r="CI836" s="147"/>
      <c r="CJ836" s="147"/>
      <c r="CK836" s="147"/>
    </row>
    <row r="837" spans="1:89">
      <c r="A837" s="157"/>
      <c r="F837" s="3"/>
      <c r="G837" s="3"/>
      <c r="L837" s="157"/>
      <c r="M837" s="157"/>
      <c r="O837" s="147"/>
      <c r="P837" s="147"/>
      <c r="Q837" s="147"/>
      <c r="R837" s="147"/>
      <c r="S837" s="147"/>
      <c r="T837" s="147"/>
      <c r="U837" s="147"/>
      <c r="V837" s="147"/>
      <c r="W837" s="147"/>
      <c r="X837" s="147"/>
      <c r="Y837" s="147"/>
      <c r="Z837" s="147"/>
      <c r="AA837" s="147"/>
      <c r="AB837" s="147"/>
      <c r="AC837" s="147"/>
      <c r="AD837" s="147"/>
      <c r="AE837" s="147"/>
      <c r="AF837" s="147"/>
      <c r="AG837" s="147"/>
      <c r="AH837" s="147"/>
      <c r="AI837" s="147"/>
      <c r="AJ837" s="147"/>
      <c r="AK837" s="147"/>
      <c r="AL837" s="147"/>
      <c r="AM837" s="151"/>
      <c r="AN837" s="147"/>
      <c r="AO837" s="147"/>
      <c r="AP837" s="147"/>
      <c r="AQ837" s="147"/>
      <c r="AR837" s="147"/>
      <c r="AS837" s="147"/>
      <c r="AT837" s="147"/>
      <c r="AU837" s="147"/>
      <c r="AV837" s="147"/>
      <c r="AW837" s="147"/>
      <c r="AX837" s="147"/>
      <c r="AY837" s="147"/>
      <c r="AZ837" s="147"/>
      <c r="BA837" s="147"/>
      <c r="BB837" s="147"/>
      <c r="BC837" s="147"/>
      <c r="BD837" s="147"/>
      <c r="BE837" s="147"/>
      <c r="BF837" s="147"/>
      <c r="BG837" s="147"/>
      <c r="BH837" s="147"/>
      <c r="BI837" s="147"/>
      <c r="BJ837" s="147"/>
      <c r="BK837" s="147"/>
      <c r="BL837" s="147"/>
      <c r="BM837" s="147"/>
      <c r="BN837" s="147"/>
      <c r="BO837" s="147"/>
      <c r="BP837" s="147"/>
      <c r="BQ837" s="147"/>
      <c r="BR837" s="147"/>
      <c r="BS837" s="147"/>
      <c r="BT837" s="147"/>
      <c r="BU837" s="147"/>
      <c r="BV837" s="147"/>
      <c r="BW837" s="147"/>
      <c r="BX837" s="147"/>
      <c r="BY837" s="147"/>
      <c r="BZ837" s="147"/>
      <c r="CA837" s="147"/>
      <c r="CB837" s="147"/>
      <c r="CC837" s="147"/>
      <c r="CD837" s="147"/>
      <c r="CE837" s="147"/>
      <c r="CF837" s="147"/>
      <c r="CG837" s="147"/>
      <c r="CH837" s="147"/>
      <c r="CI837" s="147"/>
      <c r="CJ837" s="147"/>
      <c r="CK837" s="147"/>
    </row>
    <row r="838" spans="1:89">
      <c r="A838" s="157"/>
      <c r="F838" s="3"/>
      <c r="G838" s="3"/>
      <c r="L838" s="157"/>
      <c r="M838" s="157"/>
      <c r="O838" s="147"/>
      <c r="P838" s="147"/>
      <c r="Q838" s="147"/>
      <c r="R838" s="147"/>
      <c r="S838" s="147"/>
      <c r="T838" s="147"/>
      <c r="U838" s="147"/>
      <c r="V838" s="147"/>
      <c r="W838" s="147"/>
      <c r="X838" s="147"/>
      <c r="Y838" s="147"/>
      <c r="Z838" s="147"/>
      <c r="AA838" s="147"/>
      <c r="AB838" s="147"/>
      <c r="AC838" s="147"/>
      <c r="AD838" s="147"/>
      <c r="AE838" s="147"/>
      <c r="AF838" s="147"/>
      <c r="AG838" s="147"/>
      <c r="AH838" s="147"/>
      <c r="AI838" s="147"/>
      <c r="AJ838" s="147"/>
      <c r="AK838" s="147"/>
      <c r="AL838" s="147"/>
      <c r="AM838" s="151"/>
      <c r="AN838" s="147"/>
      <c r="AO838" s="147"/>
      <c r="AP838" s="147"/>
      <c r="AQ838" s="147"/>
      <c r="AR838" s="147"/>
      <c r="AS838" s="147"/>
      <c r="AT838" s="147"/>
      <c r="AU838" s="147"/>
      <c r="AV838" s="147"/>
      <c r="AW838" s="147"/>
      <c r="AX838" s="147"/>
      <c r="AY838" s="147"/>
      <c r="AZ838" s="147"/>
      <c r="BA838" s="147"/>
      <c r="BB838" s="147"/>
      <c r="BC838" s="147"/>
      <c r="BD838" s="147"/>
      <c r="BE838" s="147"/>
      <c r="BF838" s="147"/>
      <c r="BG838" s="147"/>
      <c r="BH838" s="147"/>
      <c r="BI838" s="147"/>
      <c r="BJ838" s="147"/>
      <c r="BK838" s="147"/>
      <c r="BL838" s="147"/>
      <c r="BM838" s="147"/>
      <c r="BN838" s="147"/>
      <c r="BO838" s="147"/>
      <c r="BP838" s="147"/>
      <c r="BQ838" s="147"/>
      <c r="BR838" s="147"/>
      <c r="BS838" s="147"/>
      <c r="BT838" s="147"/>
      <c r="BU838" s="147"/>
      <c r="BV838" s="147"/>
      <c r="BW838" s="147"/>
      <c r="BX838" s="147"/>
      <c r="BY838" s="147"/>
      <c r="BZ838" s="147"/>
      <c r="CA838" s="147"/>
      <c r="CB838" s="147"/>
      <c r="CC838" s="147"/>
      <c r="CD838" s="147"/>
      <c r="CE838" s="147"/>
      <c r="CF838" s="147"/>
      <c r="CG838" s="147"/>
      <c r="CH838" s="147"/>
      <c r="CI838" s="147"/>
      <c r="CJ838" s="147"/>
      <c r="CK838" s="147"/>
    </row>
    <row r="839" spans="1:89">
      <c r="A839" s="157"/>
      <c r="F839" s="3"/>
      <c r="G839" s="3"/>
      <c r="L839" s="157"/>
      <c r="M839" s="157"/>
      <c r="O839" s="147"/>
      <c r="P839" s="147"/>
      <c r="Q839" s="147"/>
      <c r="R839" s="147"/>
      <c r="S839" s="147"/>
      <c r="T839" s="147"/>
      <c r="U839" s="147"/>
      <c r="V839" s="147"/>
      <c r="W839" s="147"/>
      <c r="X839" s="147"/>
      <c r="Y839" s="147"/>
      <c r="Z839" s="147"/>
      <c r="AA839" s="147"/>
      <c r="AB839" s="147"/>
      <c r="AC839" s="147"/>
      <c r="AD839" s="147"/>
      <c r="AE839" s="147"/>
      <c r="AF839" s="147"/>
      <c r="AG839" s="147"/>
      <c r="AH839" s="147"/>
      <c r="AI839" s="147"/>
      <c r="AJ839" s="147"/>
      <c r="AK839" s="147"/>
      <c r="AL839" s="147"/>
      <c r="AM839" s="151"/>
      <c r="AN839" s="147"/>
      <c r="AO839" s="147"/>
      <c r="AP839" s="147"/>
      <c r="AQ839" s="147"/>
      <c r="AR839" s="147"/>
      <c r="AS839" s="147"/>
      <c r="AT839" s="147"/>
      <c r="AU839" s="147"/>
      <c r="AV839" s="147"/>
      <c r="AW839" s="147"/>
      <c r="AX839" s="147"/>
      <c r="AY839" s="147"/>
      <c r="AZ839" s="147"/>
      <c r="BA839" s="147"/>
      <c r="BB839" s="147"/>
      <c r="BC839" s="147"/>
      <c r="BD839" s="147"/>
      <c r="BE839" s="147"/>
      <c r="BF839" s="147"/>
      <c r="BG839" s="147"/>
      <c r="BH839" s="147"/>
      <c r="BI839" s="147"/>
      <c r="BJ839" s="147"/>
      <c r="BK839" s="147"/>
      <c r="BL839" s="147"/>
      <c r="BM839" s="147"/>
      <c r="BN839" s="147"/>
      <c r="BO839" s="147"/>
      <c r="BP839" s="147"/>
      <c r="BQ839" s="147"/>
      <c r="BR839" s="147"/>
      <c r="BS839" s="147"/>
      <c r="BT839" s="147"/>
      <c r="BU839" s="147"/>
      <c r="BV839" s="147"/>
      <c r="BW839" s="147"/>
      <c r="BX839" s="147"/>
      <c r="BY839" s="147"/>
      <c r="BZ839" s="147"/>
      <c r="CA839" s="147"/>
      <c r="CB839" s="147"/>
      <c r="CC839" s="147"/>
      <c r="CD839" s="147"/>
      <c r="CE839" s="147"/>
      <c r="CF839" s="147"/>
      <c r="CG839" s="147"/>
      <c r="CH839" s="147"/>
      <c r="CI839" s="147"/>
      <c r="CJ839" s="147"/>
      <c r="CK839" s="147"/>
    </row>
    <row r="840" spans="1:89">
      <c r="A840" s="157"/>
      <c r="F840" s="3"/>
      <c r="G840" s="3"/>
      <c r="L840" s="157"/>
      <c r="M840" s="157"/>
      <c r="O840" s="147"/>
      <c r="P840" s="147"/>
      <c r="Q840" s="147"/>
      <c r="R840" s="147"/>
      <c r="S840" s="147"/>
      <c r="T840" s="147"/>
      <c r="U840" s="147"/>
      <c r="V840" s="147"/>
      <c r="W840" s="147"/>
      <c r="X840" s="147"/>
      <c r="Y840" s="147"/>
      <c r="Z840" s="147"/>
      <c r="AA840" s="147"/>
      <c r="AB840" s="147"/>
      <c r="AC840" s="147"/>
      <c r="AD840" s="147"/>
      <c r="AE840" s="147"/>
      <c r="AF840" s="147"/>
      <c r="AG840" s="147"/>
      <c r="AH840" s="147"/>
      <c r="AI840" s="147"/>
      <c r="AJ840" s="147"/>
      <c r="AK840" s="147"/>
      <c r="AL840" s="147"/>
      <c r="AM840" s="151"/>
      <c r="AN840" s="147"/>
      <c r="AO840" s="147"/>
      <c r="AP840" s="147"/>
      <c r="AQ840" s="147"/>
      <c r="AR840" s="147"/>
      <c r="AS840" s="147"/>
      <c r="AT840" s="147"/>
      <c r="AU840" s="147"/>
      <c r="AV840" s="147"/>
      <c r="AW840" s="147"/>
      <c r="AX840" s="147"/>
      <c r="AY840" s="147"/>
      <c r="AZ840" s="147"/>
      <c r="BA840" s="147"/>
      <c r="BB840" s="147"/>
      <c r="BC840" s="147"/>
      <c r="BD840" s="147"/>
      <c r="BE840" s="147"/>
      <c r="BF840" s="147"/>
      <c r="BG840" s="147"/>
      <c r="BH840" s="147"/>
      <c r="BI840" s="147"/>
      <c r="BJ840" s="147"/>
      <c r="BK840" s="147"/>
      <c r="BL840" s="147"/>
      <c r="BM840" s="147"/>
      <c r="BN840" s="147"/>
      <c r="BO840" s="147"/>
      <c r="BP840" s="147"/>
      <c r="BQ840" s="147"/>
      <c r="BR840" s="147"/>
      <c r="BS840" s="147"/>
      <c r="BT840" s="147"/>
      <c r="BU840" s="147"/>
      <c r="BV840" s="147"/>
      <c r="BW840" s="147"/>
      <c r="BX840" s="147"/>
      <c r="BY840" s="147"/>
      <c r="BZ840" s="147"/>
      <c r="CA840" s="147"/>
      <c r="CB840" s="147"/>
      <c r="CC840" s="147"/>
      <c r="CD840" s="147"/>
      <c r="CE840" s="147"/>
      <c r="CF840" s="147"/>
      <c r="CG840" s="147"/>
      <c r="CH840" s="147"/>
      <c r="CI840" s="147"/>
      <c r="CJ840" s="147"/>
      <c r="CK840" s="147"/>
    </row>
    <row r="841" spans="1:89">
      <c r="A841" s="157"/>
      <c r="F841" s="3"/>
      <c r="G841" s="3"/>
      <c r="L841" s="157"/>
      <c r="M841" s="157"/>
      <c r="O841" s="147"/>
      <c r="P841" s="147"/>
      <c r="Q841" s="147"/>
      <c r="R841" s="147"/>
      <c r="S841" s="147"/>
      <c r="T841" s="147"/>
      <c r="U841" s="147"/>
      <c r="V841" s="147"/>
      <c r="W841" s="147"/>
      <c r="X841" s="147"/>
      <c r="Y841" s="147"/>
      <c r="Z841" s="147"/>
      <c r="AA841" s="147"/>
      <c r="AB841" s="147"/>
      <c r="AC841" s="147"/>
      <c r="AD841" s="147"/>
      <c r="AE841" s="147"/>
      <c r="AF841" s="147"/>
      <c r="AG841" s="147"/>
      <c r="AH841" s="147"/>
      <c r="AI841" s="147"/>
      <c r="AJ841" s="147"/>
      <c r="AK841" s="147"/>
      <c r="AL841" s="147"/>
      <c r="AM841" s="151"/>
      <c r="AN841" s="147"/>
      <c r="AO841" s="147"/>
      <c r="AP841" s="147"/>
      <c r="AQ841" s="147"/>
      <c r="AR841" s="147"/>
      <c r="AS841" s="147"/>
      <c r="AT841" s="147"/>
      <c r="AU841" s="147"/>
      <c r="AV841" s="147"/>
      <c r="AW841" s="147"/>
      <c r="AX841" s="147"/>
      <c r="AY841" s="147"/>
      <c r="AZ841" s="147"/>
      <c r="BA841" s="147"/>
      <c r="BB841" s="147"/>
      <c r="BC841" s="147"/>
      <c r="BD841" s="147"/>
      <c r="BE841" s="147"/>
      <c r="BF841" s="147"/>
      <c r="BG841" s="147"/>
      <c r="BH841" s="147"/>
      <c r="BI841" s="147"/>
      <c r="BJ841" s="147"/>
      <c r="BK841" s="147"/>
      <c r="BL841" s="147"/>
      <c r="BM841" s="147"/>
      <c r="BN841" s="147"/>
      <c r="BO841" s="147"/>
      <c r="BP841" s="147"/>
      <c r="BQ841" s="147"/>
      <c r="BR841" s="147"/>
      <c r="BS841" s="147"/>
      <c r="BT841" s="147"/>
      <c r="BU841" s="147"/>
      <c r="BV841" s="147"/>
      <c r="BW841" s="147"/>
      <c r="BX841" s="147"/>
      <c r="BY841" s="147"/>
      <c r="BZ841" s="147"/>
      <c r="CA841" s="147"/>
      <c r="CB841" s="147"/>
      <c r="CC841" s="147"/>
      <c r="CD841" s="147"/>
      <c r="CE841" s="147"/>
      <c r="CF841" s="147"/>
      <c r="CG841" s="147"/>
      <c r="CH841" s="147"/>
      <c r="CI841" s="147"/>
      <c r="CJ841" s="147"/>
      <c r="CK841" s="147"/>
    </row>
    <row r="842" spans="1:89">
      <c r="A842" s="157"/>
      <c r="F842" s="3"/>
      <c r="G842" s="3"/>
      <c r="L842" s="157"/>
      <c r="M842" s="157"/>
      <c r="O842" s="147"/>
      <c r="P842" s="147"/>
      <c r="Q842" s="147"/>
      <c r="R842" s="147"/>
      <c r="S842" s="147"/>
      <c r="T842" s="147"/>
      <c r="U842" s="147"/>
      <c r="V842" s="147"/>
      <c r="W842" s="147"/>
      <c r="X842" s="147"/>
      <c r="Y842" s="147"/>
      <c r="Z842" s="147"/>
      <c r="AA842" s="147"/>
      <c r="AB842" s="147"/>
      <c r="AC842" s="147"/>
      <c r="AD842" s="147"/>
      <c r="AE842" s="147"/>
      <c r="AF842" s="147"/>
      <c r="AG842" s="147"/>
      <c r="AH842" s="147"/>
      <c r="AI842" s="147"/>
      <c r="AJ842" s="147"/>
      <c r="AK842" s="147"/>
      <c r="AL842" s="147"/>
      <c r="AM842" s="151"/>
      <c r="AN842" s="147"/>
      <c r="AO842" s="147"/>
      <c r="AP842" s="147"/>
      <c r="AQ842" s="147"/>
      <c r="AR842" s="147"/>
      <c r="AS842" s="147"/>
      <c r="AT842" s="147"/>
      <c r="AU842" s="147"/>
      <c r="AV842" s="147"/>
      <c r="AW842" s="147"/>
      <c r="AX842" s="147"/>
      <c r="AY842" s="147"/>
      <c r="AZ842" s="147"/>
      <c r="BA842" s="147"/>
      <c r="BB842" s="147"/>
      <c r="BC842" s="147"/>
      <c r="BD842" s="147"/>
      <c r="BE842" s="147"/>
      <c r="BF842" s="147"/>
      <c r="BG842" s="147"/>
      <c r="BH842" s="147"/>
      <c r="BI842" s="147"/>
      <c r="BJ842" s="147"/>
      <c r="BK842" s="147"/>
      <c r="BL842" s="147"/>
      <c r="BM842" s="147"/>
      <c r="BN842" s="147"/>
      <c r="BO842" s="147"/>
      <c r="BP842" s="147"/>
      <c r="BQ842" s="147"/>
      <c r="BR842" s="147"/>
      <c r="BS842" s="147"/>
      <c r="BT842" s="147"/>
      <c r="BU842" s="147"/>
      <c r="BV842" s="147"/>
      <c r="BW842" s="147"/>
      <c r="BX842" s="147"/>
      <c r="BY842" s="147"/>
      <c r="BZ842" s="147"/>
      <c r="CA842" s="147"/>
      <c r="CB842" s="147"/>
      <c r="CC842" s="147"/>
      <c r="CD842" s="147"/>
      <c r="CE842" s="147"/>
      <c r="CF842" s="147"/>
      <c r="CG842" s="147"/>
      <c r="CH842" s="147"/>
      <c r="CI842" s="147"/>
      <c r="CJ842" s="147"/>
      <c r="CK842" s="147"/>
    </row>
    <row r="843" spans="1:89">
      <c r="A843" s="157"/>
      <c r="F843" s="3"/>
      <c r="G843" s="3"/>
      <c r="L843" s="157"/>
      <c r="M843" s="157"/>
      <c r="O843" s="147"/>
      <c r="P843" s="147"/>
      <c r="Q843" s="147"/>
      <c r="R843" s="147"/>
      <c r="S843" s="147"/>
      <c r="T843" s="147"/>
      <c r="U843" s="147"/>
      <c r="V843" s="147"/>
      <c r="W843" s="147"/>
      <c r="X843" s="147"/>
      <c r="Y843" s="147"/>
      <c r="Z843" s="147"/>
      <c r="AA843" s="147"/>
      <c r="AB843" s="147"/>
      <c r="AC843" s="147"/>
      <c r="AD843" s="147"/>
      <c r="AE843" s="147"/>
      <c r="AF843" s="147"/>
      <c r="AG843" s="147"/>
      <c r="AH843" s="147"/>
      <c r="AI843" s="147"/>
      <c r="AJ843" s="147"/>
      <c r="AK843" s="147"/>
      <c r="AL843" s="147"/>
      <c r="AM843" s="151"/>
      <c r="AN843" s="147"/>
      <c r="AO843" s="147"/>
      <c r="AP843" s="147"/>
      <c r="AQ843" s="147"/>
      <c r="AR843" s="147"/>
      <c r="AS843" s="147"/>
      <c r="AT843" s="147"/>
      <c r="AU843" s="147"/>
      <c r="AV843" s="147"/>
      <c r="AW843" s="147"/>
      <c r="AX843" s="147"/>
      <c r="AY843" s="147"/>
      <c r="AZ843" s="147"/>
      <c r="BA843" s="147"/>
      <c r="BB843" s="147"/>
      <c r="BC843" s="147"/>
      <c r="BD843" s="147"/>
      <c r="BE843" s="147"/>
      <c r="BF843" s="147"/>
      <c r="BG843" s="147"/>
      <c r="BH843" s="147"/>
      <c r="BI843" s="147"/>
      <c r="BJ843" s="147"/>
      <c r="BK843" s="147"/>
      <c r="BL843" s="147"/>
      <c r="BM843" s="147"/>
      <c r="BN843" s="147"/>
      <c r="BO843" s="147"/>
      <c r="BP843" s="147"/>
      <c r="BQ843" s="147"/>
      <c r="BR843" s="147"/>
      <c r="BS843" s="147"/>
      <c r="BT843" s="147"/>
      <c r="BU843" s="147"/>
      <c r="BV843" s="147"/>
      <c r="BW843" s="147"/>
      <c r="BX843" s="147"/>
      <c r="BY843" s="147"/>
      <c r="BZ843" s="147"/>
      <c r="CA843" s="147"/>
      <c r="CB843" s="147"/>
      <c r="CC843" s="147"/>
      <c r="CD843" s="147"/>
      <c r="CE843" s="147"/>
      <c r="CF843" s="147"/>
      <c r="CG843" s="147"/>
      <c r="CH843" s="147"/>
      <c r="CI843" s="147"/>
      <c r="CJ843" s="147"/>
      <c r="CK843" s="147"/>
    </row>
    <row r="844" spans="1:89">
      <c r="A844" s="157"/>
      <c r="F844" s="3"/>
      <c r="G844" s="3"/>
      <c r="L844" s="157"/>
      <c r="M844" s="157"/>
      <c r="O844" s="147"/>
      <c r="P844" s="147"/>
      <c r="Q844" s="147"/>
      <c r="R844" s="147"/>
      <c r="S844" s="147"/>
      <c r="T844" s="147"/>
      <c r="U844" s="147"/>
      <c r="V844" s="147"/>
      <c r="W844" s="147"/>
      <c r="X844" s="147"/>
      <c r="Y844" s="147"/>
      <c r="Z844" s="147"/>
      <c r="AA844" s="147"/>
      <c r="AB844" s="147"/>
      <c r="AC844" s="147"/>
      <c r="AD844" s="147"/>
      <c r="AE844" s="147"/>
      <c r="AF844" s="147"/>
      <c r="AG844" s="147"/>
      <c r="AH844" s="147"/>
      <c r="AI844" s="147"/>
      <c r="AJ844" s="147"/>
      <c r="AK844" s="147"/>
      <c r="AL844" s="147"/>
      <c r="AM844" s="151"/>
      <c r="AN844" s="147"/>
      <c r="AO844" s="147"/>
      <c r="AP844" s="147"/>
      <c r="AQ844" s="147"/>
      <c r="AR844" s="147"/>
      <c r="AS844" s="147"/>
      <c r="AT844" s="147"/>
      <c r="AU844" s="147"/>
      <c r="AV844" s="147"/>
      <c r="AW844" s="147"/>
      <c r="AX844" s="147"/>
      <c r="AY844" s="147"/>
      <c r="AZ844" s="147"/>
      <c r="BA844" s="147"/>
      <c r="BB844" s="147"/>
      <c r="BC844" s="147"/>
      <c r="BD844" s="147"/>
      <c r="BE844" s="147"/>
      <c r="BF844" s="147"/>
      <c r="BG844" s="147"/>
      <c r="BH844" s="147"/>
      <c r="BI844" s="147"/>
      <c r="BJ844" s="147"/>
      <c r="BK844" s="147"/>
      <c r="BL844" s="147"/>
      <c r="BM844" s="147"/>
      <c r="BN844" s="147"/>
      <c r="BO844" s="147"/>
      <c r="BP844" s="147"/>
      <c r="BQ844" s="147"/>
      <c r="BR844" s="147"/>
      <c r="BS844" s="147"/>
      <c r="BT844" s="147"/>
      <c r="BU844" s="147"/>
      <c r="BV844" s="147"/>
      <c r="BW844" s="147"/>
      <c r="BX844" s="147"/>
      <c r="BY844" s="147"/>
      <c r="BZ844" s="147"/>
      <c r="CA844" s="147"/>
      <c r="CB844" s="147"/>
      <c r="CC844" s="147"/>
      <c r="CD844" s="147"/>
      <c r="CE844" s="147"/>
      <c r="CF844" s="147"/>
      <c r="CG844" s="147"/>
      <c r="CH844" s="147"/>
      <c r="CI844" s="147"/>
      <c r="CJ844" s="147"/>
      <c r="CK844" s="147"/>
    </row>
    <row r="845" spans="1:89">
      <c r="A845" s="157"/>
      <c r="F845" s="3"/>
      <c r="G845" s="3"/>
      <c r="L845" s="157"/>
      <c r="M845" s="157"/>
      <c r="O845" s="147"/>
      <c r="P845" s="147"/>
      <c r="Q845" s="147"/>
      <c r="R845" s="147"/>
      <c r="S845" s="147"/>
      <c r="T845" s="147"/>
      <c r="U845" s="147"/>
      <c r="V845" s="147"/>
      <c r="W845" s="147"/>
      <c r="X845" s="147"/>
      <c r="Y845" s="147"/>
      <c r="Z845" s="147"/>
      <c r="AA845" s="147"/>
      <c r="AB845" s="147"/>
      <c r="AC845" s="147"/>
      <c r="AD845" s="147"/>
      <c r="AE845" s="147"/>
      <c r="AF845" s="147"/>
      <c r="AG845" s="147"/>
      <c r="AH845" s="147"/>
      <c r="AI845" s="147"/>
      <c r="AJ845" s="147"/>
      <c r="AK845" s="147"/>
      <c r="AL845" s="147"/>
      <c r="AM845" s="151"/>
      <c r="AN845" s="147"/>
      <c r="AO845" s="147"/>
      <c r="AP845" s="147"/>
      <c r="AQ845" s="147"/>
      <c r="AR845" s="147"/>
      <c r="AS845" s="147"/>
      <c r="AT845" s="147"/>
      <c r="AU845" s="147"/>
      <c r="AV845" s="147"/>
      <c r="AW845" s="147"/>
      <c r="AX845" s="147"/>
      <c r="AY845" s="147"/>
      <c r="AZ845" s="147"/>
      <c r="BA845" s="147"/>
      <c r="BB845" s="147"/>
      <c r="BC845" s="147"/>
      <c r="BD845" s="147"/>
      <c r="BE845" s="147"/>
      <c r="BF845" s="147"/>
      <c r="BG845" s="147"/>
      <c r="BH845" s="147"/>
      <c r="BI845" s="147"/>
      <c r="BJ845" s="147"/>
      <c r="BK845" s="147"/>
      <c r="BL845" s="147"/>
      <c r="BM845" s="147"/>
      <c r="BN845" s="147"/>
      <c r="BO845" s="147"/>
      <c r="BP845" s="147"/>
      <c r="BQ845" s="147"/>
      <c r="BR845" s="147"/>
      <c r="BS845" s="147"/>
      <c r="BT845" s="147"/>
      <c r="BU845" s="147"/>
      <c r="BV845" s="147"/>
      <c r="BW845" s="147"/>
      <c r="BX845" s="147"/>
      <c r="BY845" s="147"/>
      <c r="BZ845" s="147"/>
      <c r="CA845" s="147"/>
      <c r="CB845" s="147"/>
      <c r="CC845" s="147"/>
      <c r="CD845" s="147"/>
      <c r="CE845" s="147"/>
      <c r="CF845" s="147"/>
      <c r="CG845" s="147"/>
      <c r="CH845" s="147"/>
      <c r="CI845" s="147"/>
      <c r="CJ845" s="147"/>
      <c r="CK845" s="147"/>
    </row>
    <row r="846" spans="1:89">
      <c r="A846" s="157"/>
      <c r="F846" s="3"/>
      <c r="G846" s="3"/>
      <c r="L846" s="157"/>
      <c r="M846" s="157"/>
      <c r="O846" s="147"/>
      <c r="P846" s="147"/>
      <c r="Q846" s="147"/>
      <c r="R846" s="147"/>
      <c r="S846" s="147"/>
      <c r="T846" s="147"/>
      <c r="U846" s="147"/>
      <c r="V846" s="147"/>
      <c r="W846" s="147"/>
      <c r="X846" s="147"/>
      <c r="Y846" s="147"/>
      <c r="Z846" s="147"/>
      <c r="AA846" s="147"/>
      <c r="AB846" s="147"/>
      <c r="AC846" s="147"/>
      <c r="AD846" s="147"/>
      <c r="AE846" s="147"/>
      <c r="AF846" s="147"/>
      <c r="AG846" s="147"/>
      <c r="AH846" s="147"/>
      <c r="AI846" s="147"/>
      <c r="AJ846" s="147"/>
      <c r="AK846" s="147"/>
      <c r="AL846" s="147"/>
      <c r="AM846" s="151"/>
      <c r="AN846" s="147"/>
      <c r="AO846" s="147"/>
      <c r="AP846" s="147"/>
      <c r="AQ846" s="147"/>
      <c r="AR846" s="147"/>
      <c r="AS846" s="147"/>
      <c r="AT846" s="147"/>
      <c r="AU846" s="147"/>
      <c r="AV846" s="147"/>
      <c r="AW846" s="147"/>
      <c r="AX846" s="147"/>
      <c r="AY846" s="147"/>
      <c r="AZ846" s="147"/>
      <c r="BA846" s="147"/>
      <c r="BB846" s="147"/>
      <c r="BC846" s="147"/>
      <c r="BD846" s="147"/>
      <c r="BE846" s="147"/>
      <c r="BF846" s="147"/>
      <c r="BG846" s="147"/>
      <c r="BH846" s="147"/>
      <c r="BI846" s="147"/>
      <c r="BJ846" s="147"/>
      <c r="BK846" s="147"/>
      <c r="BL846" s="147"/>
      <c r="BM846" s="147"/>
      <c r="BN846" s="147"/>
      <c r="BO846" s="147"/>
      <c r="BP846" s="147"/>
      <c r="BQ846" s="147"/>
      <c r="BR846" s="147"/>
      <c r="BS846" s="147"/>
      <c r="BT846" s="147"/>
      <c r="BU846" s="147"/>
      <c r="BV846" s="147"/>
      <c r="BW846" s="147"/>
      <c r="BX846" s="147"/>
      <c r="BY846" s="147"/>
      <c r="BZ846" s="147"/>
      <c r="CA846" s="147"/>
      <c r="CB846" s="147"/>
      <c r="CC846" s="147"/>
      <c r="CD846" s="147"/>
      <c r="CE846" s="147"/>
      <c r="CF846" s="147"/>
      <c r="CG846" s="147"/>
      <c r="CH846" s="147"/>
      <c r="CI846" s="147"/>
      <c r="CJ846" s="147"/>
      <c r="CK846" s="147"/>
    </row>
    <row r="847" spans="1:89">
      <c r="A847" s="157"/>
      <c r="F847" s="3"/>
      <c r="G847" s="3"/>
      <c r="L847" s="157"/>
      <c r="M847" s="157"/>
      <c r="O847" s="147"/>
      <c r="P847" s="147"/>
      <c r="Q847" s="147"/>
      <c r="R847" s="147"/>
      <c r="S847" s="147"/>
      <c r="T847" s="147"/>
      <c r="U847" s="147"/>
      <c r="V847" s="147"/>
      <c r="W847" s="147"/>
      <c r="X847" s="147"/>
      <c r="Y847" s="147"/>
      <c r="Z847" s="147"/>
      <c r="AA847" s="147"/>
      <c r="AB847" s="147"/>
      <c r="AC847" s="147"/>
      <c r="AD847" s="147"/>
      <c r="AE847" s="147"/>
      <c r="AF847" s="147"/>
      <c r="AG847" s="147"/>
      <c r="AH847" s="147"/>
      <c r="AI847" s="147"/>
      <c r="AJ847" s="147"/>
      <c r="AK847" s="147"/>
      <c r="AL847" s="147"/>
      <c r="AM847" s="151"/>
      <c r="AN847" s="147"/>
      <c r="AO847" s="147"/>
      <c r="AP847" s="147"/>
      <c r="AQ847" s="147"/>
      <c r="AR847" s="147"/>
      <c r="AS847" s="147"/>
      <c r="AT847" s="147"/>
      <c r="AU847" s="147"/>
      <c r="AV847" s="147"/>
      <c r="AW847" s="147"/>
      <c r="AX847" s="147"/>
      <c r="AY847" s="147"/>
      <c r="AZ847" s="147"/>
      <c r="BA847" s="147"/>
      <c r="BB847" s="147"/>
      <c r="BC847" s="147"/>
      <c r="BD847" s="147"/>
      <c r="BE847" s="147"/>
      <c r="BF847" s="147"/>
      <c r="BG847" s="147"/>
      <c r="BH847" s="147"/>
      <c r="BI847" s="147"/>
      <c r="BJ847" s="147"/>
      <c r="BK847" s="147"/>
      <c r="BL847" s="147"/>
      <c r="BM847" s="147"/>
      <c r="BN847" s="147"/>
      <c r="BO847" s="147"/>
      <c r="BP847" s="147"/>
      <c r="BQ847" s="147"/>
      <c r="BR847" s="147"/>
      <c r="BS847" s="147"/>
      <c r="BT847" s="147"/>
      <c r="BU847" s="147"/>
      <c r="BV847" s="147"/>
      <c r="BW847" s="147"/>
      <c r="BX847" s="147"/>
      <c r="BY847" s="147"/>
      <c r="BZ847" s="147"/>
      <c r="CA847" s="147"/>
      <c r="CB847" s="147"/>
      <c r="CC847" s="147"/>
      <c r="CD847" s="147"/>
      <c r="CE847" s="147"/>
      <c r="CF847" s="147"/>
      <c r="CG847" s="147"/>
      <c r="CH847" s="147"/>
      <c r="CI847" s="147"/>
      <c r="CJ847" s="147"/>
      <c r="CK847" s="147"/>
    </row>
    <row r="848" spans="1:89">
      <c r="A848" s="157"/>
      <c r="F848" s="3"/>
      <c r="G848" s="3"/>
      <c r="L848" s="157"/>
      <c r="M848" s="157"/>
      <c r="O848" s="147"/>
      <c r="P848" s="147"/>
      <c r="Q848" s="147"/>
      <c r="R848" s="147"/>
      <c r="S848" s="147"/>
      <c r="T848" s="147"/>
      <c r="U848" s="147"/>
      <c r="V848" s="147"/>
      <c r="W848" s="147"/>
      <c r="X848" s="147"/>
      <c r="Y848" s="147"/>
      <c r="Z848" s="147"/>
      <c r="AA848" s="147"/>
      <c r="AB848" s="147"/>
      <c r="AC848" s="147"/>
      <c r="AD848" s="147"/>
      <c r="AE848" s="147"/>
      <c r="AF848" s="147"/>
      <c r="AG848" s="147"/>
      <c r="AH848" s="147"/>
      <c r="AI848" s="147"/>
      <c r="AJ848" s="147"/>
      <c r="AK848" s="147"/>
      <c r="AL848" s="147"/>
      <c r="AM848" s="151"/>
      <c r="AN848" s="147"/>
      <c r="AO848" s="147"/>
      <c r="AP848" s="147"/>
      <c r="AQ848" s="147"/>
      <c r="AR848" s="147"/>
      <c r="AS848" s="147"/>
      <c r="AT848" s="147"/>
      <c r="AU848" s="147"/>
      <c r="AV848" s="147"/>
      <c r="AW848" s="147"/>
      <c r="AX848" s="147"/>
      <c r="AY848" s="147"/>
      <c r="AZ848" s="147"/>
      <c r="BA848" s="147"/>
      <c r="BB848" s="147"/>
      <c r="BC848" s="147"/>
      <c r="BD848" s="147"/>
      <c r="BE848" s="147"/>
      <c r="BF848" s="147"/>
      <c r="BG848" s="147"/>
      <c r="BH848" s="147"/>
      <c r="BI848" s="147"/>
      <c r="BJ848" s="147"/>
      <c r="BK848" s="147"/>
      <c r="BL848" s="147"/>
      <c r="BM848" s="147"/>
      <c r="BN848" s="147"/>
      <c r="BO848" s="147"/>
      <c r="BP848" s="147"/>
      <c r="BQ848" s="147"/>
      <c r="BR848" s="147"/>
      <c r="BS848" s="147"/>
      <c r="BT848" s="147"/>
      <c r="BU848" s="147"/>
      <c r="BV848" s="147"/>
      <c r="BW848" s="147"/>
      <c r="BX848" s="147"/>
      <c r="BY848" s="147"/>
      <c r="BZ848" s="147"/>
      <c r="CA848" s="147"/>
      <c r="CB848" s="147"/>
      <c r="CC848" s="147"/>
      <c r="CD848" s="147"/>
      <c r="CE848" s="147"/>
      <c r="CF848" s="147"/>
      <c r="CG848" s="147"/>
      <c r="CH848" s="147"/>
      <c r="CI848" s="147"/>
      <c r="CJ848" s="147"/>
      <c r="CK848" s="147"/>
    </row>
    <row r="849" spans="1:89">
      <c r="A849" s="157"/>
      <c r="F849" s="3"/>
      <c r="G849" s="3"/>
      <c r="L849" s="157"/>
      <c r="M849" s="157"/>
      <c r="O849" s="147"/>
      <c r="P849" s="147"/>
      <c r="Q849" s="147"/>
      <c r="R849" s="147"/>
      <c r="S849" s="147"/>
      <c r="T849" s="147"/>
      <c r="U849" s="147"/>
      <c r="V849" s="147"/>
      <c r="W849" s="147"/>
      <c r="X849" s="147"/>
      <c r="Y849" s="147"/>
      <c r="Z849" s="147"/>
      <c r="AA849" s="147"/>
      <c r="AB849" s="147"/>
      <c r="AC849" s="147"/>
      <c r="AD849" s="147"/>
      <c r="AE849" s="147"/>
      <c r="AF849" s="147"/>
      <c r="AG849" s="147"/>
      <c r="AH849" s="147"/>
      <c r="AI849" s="147"/>
      <c r="AJ849" s="147"/>
      <c r="AK849" s="147"/>
      <c r="AL849" s="147"/>
      <c r="AM849" s="151"/>
      <c r="AN849" s="147"/>
      <c r="AO849" s="147"/>
      <c r="AP849" s="147"/>
      <c r="AQ849" s="147"/>
      <c r="AR849" s="147"/>
      <c r="AS849" s="147"/>
      <c r="AT849" s="147"/>
      <c r="AU849" s="147"/>
      <c r="AV849" s="147"/>
      <c r="AW849" s="147"/>
      <c r="AX849" s="147"/>
      <c r="AY849" s="147"/>
      <c r="AZ849" s="147"/>
      <c r="BA849" s="147"/>
      <c r="BB849" s="147"/>
      <c r="BC849" s="147"/>
      <c r="BD849" s="147"/>
      <c r="BE849" s="147"/>
      <c r="BF849" s="147"/>
      <c r="BG849" s="147"/>
      <c r="BH849" s="147"/>
      <c r="BI849" s="147"/>
      <c r="BJ849" s="147"/>
      <c r="BK849" s="147"/>
      <c r="BL849" s="147"/>
      <c r="BM849" s="147"/>
      <c r="BN849" s="147"/>
      <c r="BO849" s="147"/>
      <c r="BP849" s="147"/>
      <c r="BQ849" s="147"/>
      <c r="BR849" s="147"/>
      <c r="BS849" s="147"/>
      <c r="BT849" s="147"/>
      <c r="BU849" s="147"/>
      <c r="BV849" s="147"/>
      <c r="BW849" s="147"/>
      <c r="BX849" s="147"/>
      <c r="BY849" s="147"/>
      <c r="BZ849" s="147"/>
      <c r="CA849" s="147"/>
      <c r="CB849" s="147"/>
      <c r="CC849" s="147"/>
      <c r="CD849" s="147"/>
      <c r="CE849" s="147"/>
      <c r="CF849" s="147"/>
      <c r="CG849" s="147"/>
      <c r="CH849" s="147"/>
      <c r="CI849" s="147"/>
      <c r="CJ849" s="147"/>
      <c r="CK849" s="147"/>
    </row>
    <row r="850" spans="1:89">
      <c r="A850" s="157"/>
      <c r="F850" s="3"/>
      <c r="G850" s="3"/>
      <c r="L850" s="157"/>
      <c r="M850" s="157"/>
      <c r="O850" s="147"/>
      <c r="P850" s="147"/>
      <c r="Q850" s="147"/>
      <c r="R850" s="147"/>
      <c r="S850" s="147"/>
      <c r="T850" s="147"/>
      <c r="U850" s="147"/>
      <c r="V850" s="147"/>
      <c r="W850" s="147"/>
      <c r="X850" s="147"/>
      <c r="Y850" s="147"/>
      <c r="Z850" s="147"/>
      <c r="AA850" s="147"/>
      <c r="AB850" s="147"/>
      <c r="AC850" s="147"/>
      <c r="AD850" s="147"/>
      <c r="AE850" s="147"/>
      <c r="AF850" s="147"/>
      <c r="AG850" s="147"/>
      <c r="AH850" s="147"/>
      <c r="AI850" s="147"/>
      <c r="AJ850" s="147"/>
      <c r="AK850" s="147"/>
      <c r="AL850" s="147"/>
      <c r="AM850" s="151"/>
      <c r="AN850" s="147"/>
      <c r="AO850" s="147"/>
      <c r="AP850" s="147"/>
      <c r="AQ850" s="147"/>
      <c r="AR850" s="147"/>
      <c r="AS850" s="147"/>
      <c r="AT850" s="147"/>
      <c r="AU850" s="147"/>
      <c r="AV850" s="147"/>
      <c r="AW850" s="147"/>
      <c r="AX850" s="147"/>
      <c r="AY850" s="147"/>
      <c r="AZ850" s="147"/>
      <c r="BA850" s="147"/>
      <c r="BB850" s="147"/>
      <c r="BC850" s="147"/>
      <c r="BD850" s="147"/>
      <c r="BE850" s="147"/>
      <c r="BF850" s="147"/>
      <c r="BG850" s="147"/>
      <c r="BH850" s="147"/>
      <c r="BI850" s="147"/>
      <c r="BJ850" s="147"/>
      <c r="BK850" s="147"/>
      <c r="BL850" s="147"/>
      <c r="BM850" s="147"/>
      <c r="BN850" s="147"/>
      <c r="BO850" s="147"/>
      <c r="BP850" s="147"/>
      <c r="BQ850" s="147"/>
      <c r="BR850" s="147"/>
      <c r="BS850" s="147"/>
      <c r="BT850" s="147"/>
      <c r="BU850" s="147"/>
      <c r="BV850" s="147"/>
      <c r="BW850" s="147"/>
      <c r="BX850" s="147"/>
      <c r="BY850" s="147"/>
      <c r="BZ850" s="147"/>
      <c r="CA850" s="147"/>
      <c r="CB850" s="147"/>
      <c r="CC850" s="147"/>
      <c r="CD850" s="147"/>
      <c r="CE850" s="147"/>
      <c r="CF850" s="147"/>
      <c r="CG850" s="147"/>
      <c r="CH850" s="147"/>
      <c r="CI850" s="147"/>
      <c r="CJ850" s="147"/>
      <c r="CK850" s="147"/>
    </row>
    <row r="851" spans="1:89">
      <c r="A851" s="157"/>
      <c r="F851" s="3"/>
      <c r="G851" s="3"/>
      <c r="L851" s="157"/>
      <c r="M851" s="157"/>
      <c r="O851" s="147"/>
      <c r="P851" s="147"/>
      <c r="Q851" s="147"/>
      <c r="R851" s="147"/>
      <c r="S851" s="147"/>
      <c r="T851" s="147"/>
      <c r="U851" s="147"/>
      <c r="V851" s="147"/>
      <c r="W851" s="147"/>
      <c r="X851" s="147"/>
      <c r="Y851" s="147"/>
      <c r="Z851" s="147"/>
      <c r="AA851" s="147"/>
      <c r="AB851" s="147"/>
      <c r="AC851" s="147"/>
      <c r="AD851" s="147"/>
      <c r="AE851" s="147"/>
      <c r="AF851" s="147"/>
      <c r="AG851" s="147"/>
      <c r="AH851" s="147"/>
      <c r="AI851" s="147"/>
      <c r="AJ851" s="147"/>
      <c r="AK851" s="147"/>
      <c r="AL851" s="147"/>
      <c r="AM851" s="151"/>
      <c r="AN851" s="147"/>
      <c r="AO851" s="147"/>
      <c r="AP851" s="147"/>
      <c r="AQ851" s="147"/>
      <c r="AR851" s="147"/>
      <c r="AS851" s="147"/>
      <c r="AT851" s="147"/>
      <c r="AU851" s="147"/>
      <c r="AV851" s="147"/>
      <c r="AW851" s="147"/>
      <c r="AX851" s="147"/>
      <c r="AY851" s="147"/>
      <c r="AZ851" s="147"/>
      <c r="BA851" s="147"/>
      <c r="BB851" s="147"/>
      <c r="BC851" s="147"/>
      <c r="BD851" s="147"/>
      <c r="BE851" s="147"/>
      <c r="BF851" s="147"/>
      <c r="BG851" s="147"/>
      <c r="BH851" s="147"/>
      <c r="BI851" s="147"/>
      <c r="BJ851" s="147"/>
      <c r="BK851" s="147"/>
      <c r="BL851" s="147"/>
      <c r="BM851" s="147"/>
      <c r="BN851" s="147"/>
      <c r="BO851" s="147"/>
      <c r="BP851" s="147"/>
      <c r="BQ851" s="147"/>
      <c r="BR851" s="147"/>
      <c r="BS851" s="147"/>
      <c r="BT851" s="147"/>
      <c r="BU851" s="147"/>
      <c r="BV851" s="147"/>
      <c r="BW851" s="147"/>
      <c r="BX851" s="147"/>
      <c r="BY851" s="147"/>
      <c r="BZ851" s="147"/>
      <c r="CA851" s="147"/>
      <c r="CB851" s="147"/>
      <c r="CC851" s="147"/>
      <c r="CD851" s="147"/>
      <c r="CE851" s="147"/>
      <c r="CF851" s="147"/>
      <c r="CG851" s="147"/>
      <c r="CH851" s="147"/>
      <c r="CI851" s="147"/>
      <c r="CJ851" s="147"/>
      <c r="CK851" s="147"/>
    </row>
    <row r="852" spans="1:89">
      <c r="A852" s="157"/>
      <c r="F852" s="3"/>
      <c r="G852" s="3"/>
      <c r="L852" s="157"/>
      <c r="M852" s="157"/>
      <c r="O852" s="147"/>
      <c r="P852" s="147"/>
      <c r="Q852" s="147"/>
      <c r="R852" s="147"/>
      <c r="S852" s="147"/>
      <c r="T852" s="147"/>
      <c r="U852" s="147"/>
      <c r="V852" s="147"/>
      <c r="W852" s="147"/>
      <c r="X852" s="147"/>
      <c r="Y852" s="147"/>
      <c r="Z852" s="147"/>
      <c r="AA852" s="147"/>
      <c r="AB852" s="147"/>
      <c r="AC852" s="147"/>
      <c r="AD852" s="147"/>
      <c r="AE852" s="147"/>
      <c r="AF852" s="147"/>
      <c r="AG852" s="147"/>
      <c r="AH852" s="147"/>
      <c r="AI852" s="147"/>
      <c r="AJ852" s="147"/>
      <c r="AK852" s="147"/>
      <c r="AL852" s="147"/>
      <c r="AM852" s="151"/>
      <c r="AN852" s="147"/>
      <c r="AO852" s="147"/>
      <c r="AP852" s="147"/>
      <c r="AQ852" s="147"/>
      <c r="AR852" s="147"/>
      <c r="AS852" s="147"/>
      <c r="AT852" s="147"/>
      <c r="AU852" s="147"/>
      <c r="AV852" s="147"/>
      <c r="AW852" s="147"/>
      <c r="AX852" s="147"/>
      <c r="AY852" s="147"/>
      <c r="AZ852" s="147"/>
      <c r="BA852" s="147"/>
      <c r="BB852" s="147"/>
      <c r="BC852" s="147"/>
      <c r="BD852" s="147"/>
      <c r="BE852" s="147"/>
      <c r="BF852" s="147"/>
      <c r="BG852" s="147"/>
      <c r="BH852" s="147"/>
      <c r="BI852" s="147"/>
      <c r="BJ852" s="147"/>
      <c r="BK852" s="147"/>
      <c r="BL852" s="147"/>
      <c r="BM852" s="147"/>
      <c r="BN852" s="147"/>
      <c r="BO852" s="147"/>
      <c r="BP852" s="147"/>
      <c r="BQ852" s="147"/>
      <c r="BR852" s="147"/>
      <c r="BS852" s="147"/>
      <c r="BT852" s="147"/>
      <c r="BU852" s="147"/>
      <c r="BV852" s="147"/>
      <c r="BW852" s="147"/>
      <c r="BX852" s="147"/>
      <c r="BY852" s="147"/>
      <c r="BZ852" s="147"/>
      <c r="CA852" s="147"/>
      <c r="CB852" s="147"/>
      <c r="CC852" s="147"/>
      <c r="CD852" s="147"/>
      <c r="CE852" s="147"/>
      <c r="CF852" s="147"/>
      <c r="CG852" s="147"/>
      <c r="CH852" s="147"/>
      <c r="CI852" s="147"/>
      <c r="CJ852" s="147"/>
      <c r="CK852" s="147"/>
    </row>
    <row r="853" spans="1:89">
      <c r="A853" s="157"/>
      <c r="F853" s="3"/>
      <c r="G853" s="3"/>
      <c r="L853" s="157"/>
      <c r="M853" s="157"/>
      <c r="O853" s="147"/>
      <c r="P853" s="147"/>
      <c r="Q853" s="147"/>
      <c r="R853" s="147"/>
      <c r="S853" s="147"/>
      <c r="T853" s="147"/>
      <c r="U853" s="147"/>
      <c r="V853" s="147"/>
      <c r="W853" s="147"/>
      <c r="X853" s="147"/>
      <c r="Y853" s="147"/>
      <c r="Z853" s="147"/>
      <c r="AA853" s="147"/>
      <c r="AB853" s="147"/>
      <c r="AC853" s="147"/>
      <c r="AD853" s="147"/>
      <c r="AE853" s="147"/>
      <c r="AF853" s="147"/>
      <c r="AG853" s="147"/>
      <c r="AH853" s="147"/>
      <c r="AI853" s="147"/>
      <c r="AJ853" s="147"/>
      <c r="AK853" s="147"/>
      <c r="AL853" s="147"/>
      <c r="AM853" s="151"/>
      <c r="AN853" s="147"/>
      <c r="AO853" s="147"/>
      <c r="AP853" s="147"/>
      <c r="AQ853" s="147"/>
      <c r="AR853" s="147"/>
      <c r="AS853" s="147"/>
      <c r="AT853" s="147"/>
      <c r="AU853" s="147"/>
      <c r="AV853" s="147"/>
      <c r="AW853" s="147"/>
      <c r="AX853" s="147"/>
      <c r="AY853" s="147"/>
      <c r="AZ853" s="147"/>
      <c r="BA853" s="147"/>
      <c r="BB853" s="147"/>
      <c r="BC853" s="147"/>
      <c r="BD853" s="147"/>
      <c r="BE853" s="147"/>
      <c r="BF853" s="147"/>
      <c r="BG853" s="147"/>
      <c r="BH853" s="147"/>
      <c r="BI853" s="147"/>
      <c r="BJ853" s="147"/>
      <c r="BK853" s="147"/>
      <c r="BL853" s="147"/>
      <c r="BM853" s="147"/>
      <c r="BN853" s="147"/>
      <c r="BO853" s="147"/>
      <c r="BP853" s="147"/>
      <c r="BQ853" s="147"/>
      <c r="BR853" s="147"/>
      <c r="BS853" s="147"/>
      <c r="BT853" s="147"/>
      <c r="BU853" s="147"/>
      <c r="BV853" s="147"/>
      <c r="BW853" s="147"/>
      <c r="BX853" s="147"/>
      <c r="BY853" s="147"/>
      <c r="BZ853" s="147"/>
      <c r="CA853" s="147"/>
      <c r="CB853" s="147"/>
      <c r="CC853" s="147"/>
      <c r="CD853" s="147"/>
      <c r="CE853" s="147"/>
      <c r="CF853" s="147"/>
      <c r="CG853" s="147"/>
      <c r="CH853" s="147"/>
      <c r="CI853" s="147"/>
      <c r="CJ853" s="147"/>
      <c r="CK853" s="147"/>
    </row>
    <row r="854" spans="1:89">
      <c r="A854" s="157"/>
      <c r="F854" s="3"/>
      <c r="G854" s="3"/>
      <c r="L854" s="157"/>
      <c r="M854" s="157"/>
      <c r="O854" s="147"/>
      <c r="P854" s="147"/>
      <c r="Q854" s="147"/>
      <c r="R854" s="147"/>
      <c r="S854" s="147"/>
      <c r="T854" s="147"/>
      <c r="U854" s="147"/>
      <c r="V854" s="147"/>
      <c r="W854" s="147"/>
      <c r="X854" s="147"/>
      <c r="Y854" s="147"/>
      <c r="Z854" s="147"/>
      <c r="AA854" s="147"/>
      <c r="AB854" s="147"/>
      <c r="AC854" s="147"/>
      <c r="AD854" s="147"/>
      <c r="AE854" s="147"/>
      <c r="AF854" s="147"/>
      <c r="AG854" s="147"/>
      <c r="AH854" s="147"/>
      <c r="AI854" s="147"/>
      <c r="AJ854" s="147"/>
      <c r="AK854" s="147"/>
      <c r="AL854" s="147"/>
      <c r="AM854" s="151"/>
      <c r="AN854" s="147"/>
      <c r="AO854" s="147"/>
      <c r="AP854" s="147"/>
      <c r="AQ854" s="147"/>
      <c r="AR854" s="147"/>
      <c r="AS854" s="147"/>
      <c r="AT854" s="147"/>
      <c r="AU854" s="147"/>
      <c r="AV854" s="147"/>
      <c r="AW854" s="147"/>
      <c r="AX854" s="147"/>
      <c r="AY854" s="147"/>
      <c r="AZ854" s="147"/>
      <c r="BA854" s="147"/>
      <c r="BB854" s="147"/>
      <c r="BC854" s="147"/>
      <c r="BD854" s="147"/>
      <c r="BE854" s="147"/>
      <c r="BF854" s="147"/>
      <c r="BG854" s="147"/>
      <c r="BH854" s="147"/>
      <c r="BI854" s="147"/>
      <c r="BJ854" s="147"/>
      <c r="BK854" s="147"/>
      <c r="BL854" s="147"/>
      <c r="BM854" s="147"/>
      <c r="BN854" s="147"/>
      <c r="BO854" s="147"/>
      <c r="BP854" s="147"/>
      <c r="BQ854" s="147"/>
      <c r="BR854" s="147"/>
      <c r="BS854" s="147"/>
      <c r="BT854" s="147"/>
      <c r="BU854" s="147"/>
      <c r="BV854" s="147"/>
      <c r="BW854" s="147"/>
      <c r="BX854" s="147"/>
      <c r="BY854" s="147"/>
      <c r="BZ854" s="147"/>
      <c r="CA854" s="147"/>
      <c r="CB854" s="147"/>
      <c r="CC854" s="147"/>
      <c r="CD854" s="147"/>
      <c r="CE854" s="147"/>
      <c r="CF854" s="147"/>
      <c r="CG854" s="147"/>
      <c r="CH854" s="147"/>
      <c r="CI854" s="147"/>
      <c r="CJ854" s="147"/>
      <c r="CK854" s="147"/>
    </row>
    <row r="855" spans="1:89">
      <c r="A855" s="157"/>
      <c r="F855" s="3"/>
      <c r="G855" s="3"/>
      <c r="L855" s="157"/>
      <c r="M855" s="157"/>
      <c r="O855" s="147"/>
      <c r="P855" s="147"/>
      <c r="Q855" s="147"/>
      <c r="R855" s="147"/>
      <c r="S855" s="147"/>
      <c r="T855" s="147"/>
      <c r="U855" s="147"/>
      <c r="V855" s="147"/>
      <c r="W855" s="147"/>
      <c r="X855" s="147"/>
      <c r="Y855" s="147"/>
      <c r="Z855" s="147"/>
      <c r="AA855" s="147"/>
      <c r="AB855" s="147"/>
      <c r="AC855" s="147"/>
      <c r="AD855" s="147"/>
      <c r="AE855" s="147"/>
      <c r="AF855" s="147"/>
      <c r="AG855" s="147"/>
      <c r="AH855" s="147"/>
      <c r="AI855" s="147"/>
      <c r="AJ855" s="147"/>
      <c r="AK855" s="147"/>
      <c r="AL855" s="147"/>
      <c r="AM855" s="151"/>
      <c r="AN855" s="147"/>
      <c r="AO855" s="147"/>
      <c r="AP855" s="147"/>
      <c r="AQ855" s="147"/>
      <c r="AR855" s="147"/>
      <c r="AS855" s="147"/>
      <c r="AT855" s="147"/>
      <c r="AU855" s="147"/>
      <c r="AV855" s="147"/>
      <c r="AW855" s="147"/>
      <c r="AX855" s="147"/>
      <c r="AY855" s="147"/>
      <c r="AZ855" s="147"/>
      <c r="BA855" s="147"/>
      <c r="BB855" s="147"/>
      <c r="BC855" s="147"/>
      <c r="BD855" s="147"/>
      <c r="BE855" s="147"/>
      <c r="BF855" s="147"/>
      <c r="BG855" s="147"/>
      <c r="BH855" s="147"/>
      <c r="BI855" s="147"/>
      <c r="BJ855" s="147"/>
      <c r="BK855" s="147"/>
      <c r="BL855" s="147"/>
      <c r="BM855" s="147"/>
      <c r="BN855" s="147"/>
      <c r="BO855" s="147"/>
      <c r="BP855" s="147"/>
      <c r="BQ855" s="147"/>
      <c r="BR855" s="147"/>
      <c r="BS855" s="147"/>
      <c r="BT855" s="147"/>
      <c r="BU855" s="147"/>
      <c r="BV855" s="147"/>
      <c r="BW855" s="147"/>
      <c r="BX855" s="147"/>
      <c r="BY855" s="147"/>
      <c r="BZ855" s="147"/>
      <c r="CA855" s="147"/>
      <c r="CB855" s="147"/>
      <c r="CC855" s="147"/>
      <c r="CD855" s="147"/>
      <c r="CE855" s="147"/>
      <c r="CF855" s="147"/>
      <c r="CG855" s="147"/>
      <c r="CH855" s="147"/>
      <c r="CI855" s="147"/>
      <c r="CJ855" s="147"/>
      <c r="CK855" s="147"/>
    </row>
    <row r="856" spans="1:89">
      <c r="A856" s="157"/>
      <c r="F856" s="3"/>
      <c r="G856" s="3"/>
      <c r="L856" s="157"/>
      <c r="M856" s="157"/>
      <c r="O856" s="147"/>
      <c r="P856" s="147"/>
      <c r="Q856" s="147"/>
      <c r="R856" s="147"/>
      <c r="S856" s="147"/>
      <c r="T856" s="147"/>
      <c r="U856" s="147"/>
      <c r="V856" s="147"/>
      <c r="W856" s="147"/>
      <c r="X856" s="147"/>
      <c r="Y856" s="147"/>
      <c r="Z856" s="147"/>
      <c r="AA856" s="147"/>
      <c r="AB856" s="147"/>
      <c r="AC856" s="147"/>
      <c r="AD856" s="147"/>
      <c r="AE856" s="147"/>
      <c r="AF856" s="147"/>
      <c r="AG856" s="147"/>
      <c r="AH856" s="147"/>
      <c r="AI856" s="147"/>
      <c r="AJ856" s="147"/>
      <c r="AK856" s="147"/>
      <c r="AL856" s="147"/>
      <c r="AM856" s="151"/>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c r="BI856" s="147"/>
      <c r="BJ856" s="147"/>
      <c r="BK856" s="147"/>
      <c r="BL856" s="147"/>
      <c r="BM856" s="147"/>
      <c r="BN856" s="147"/>
      <c r="BO856" s="147"/>
      <c r="BP856" s="147"/>
      <c r="BQ856" s="147"/>
      <c r="BR856" s="147"/>
      <c r="BS856" s="147"/>
      <c r="BT856" s="147"/>
      <c r="BU856" s="147"/>
      <c r="BV856" s="147"/>
      <c r="BW856" s="147"/>
      <c r="BX856" s="147"/>
      <c r="BY856" s="147"/>
      <c r="BZ856" s="147"/>
      <c r="CA856" s="147"/>
      <c r="CB856" s="147"/>
      <c r="CC856" s="147"/>
      <c r="CD856" s="147"/>
      <c r="CE856" s="147"/>
      <c r="CF856" s="147"/>
      <c r="CG856" s="147"/>
      <c r="CH856" s="147"/>
      <c r="CI856" s="147"/>
      <c r="CJ856" s="147"/>
      <c r="CK856" s="147"/>
    </row>
    <row r="857" spans="1:89">
      <c r="A857" s="157"/>
      <c r="F857" s="3"/>
      <c r="G857" s="3"/>
      <c r="L857" s="157"/>
      <c r="M857" s="157"/>
      <c r="O857" s="147"/>
      <c r="P857" s="147"/>
      <c r="Q857" s="147"/>
      <c r="R857" s="147"/>
      <c r="S857" s="147"/>
      <c r="T857" s="147"/>
      <c r="U857" s="147"/>
      <c r="V857" s="147"/>
      <c r="W857" s="147"/>
      <c r="X857" s="147"/>
      <c r="Y857" s="147"/>
      <c r="Z857" s="147"/>
      <c r="AA857" s="147"/>
      <c r="AB857" s="147"/>
      <c r="AC857" s="147"/>
      <c r="AD857" s="147"/>
      <c r="AE857" s="147"/>
      <c r="AF857" s="147"/>
      <c r="AG857" s="147"/>
      <c r="AH857" s="147"/>
      <c r="AI857" s="147"/>
      <c r="AJ857" s="147"/>
      <c r="AK857" s="147"/>
      <c r="AL857" s="147"/>
      <c r="AM857" s="151"/>
      <c r="AN857" s="147"/>
      <c r="AO857" s="147"/>
      <c r="AP857" s="147"/>
      <c r="AQ857" s="147"/>
      <c r="AR857" s="147"/>
      <c r="AS857" s="147"/>
      <c r="AT857" s="147"/>
      <c r="AU857" s="147"/>
      <c r="AV857" s="147"/>
      <c r="AW857" s="147"/>
      <c r="AX857" s="147"/>
      <c r="AY857" s="147"/>
      <c r="AZ857" s="147"/>
      <c r="BA857" s="147"/>
      <c r="BB857" s="147"/>
      <c r="BC857" s="147"/>
      <c r="BD857" s="147"/>
      <c r="BE857" s="147"/>
      <c r="BF857" s="147"/>
      <c r="BG857" s="147"/>
      <c r="BH857" s="147"/>
      <c r="BI857" s="147"/>
      <c r="BJ857" s="147"/>
      <c r="BK857" s="147"/>
      <c r="BL857" s="147"/>
      <c r="BM857" s="147"/>
      <c r="BN857" s="147"/>
      <c r="BO857" s="147"/>
      <c r="BP857" s="147"/>
      <c r="BQ857" s="147"/>
      <c r="BR857" s="147"/>
      <c r="BS857" s="147"/>
      <c r="BT857" s="147"/>
      <c r="BU857" s="147"/>
      <c r="BV857" s="147"/>
      <c r="BW857" s="147"/>
      <c r="BX857" s="147"/>
      <c r="BY857" s="147"/>
      <c r="BZ857" s="147"/>
      <c r="CA857" s="147"/>
      <c r="CB857" s="147"/>
      <c r="CC857" s="147"/>
      <c r="CD857" s="147"/>
      <c r="CE857" s="147"/>
      <c r="CF857" s="147"/>
      <c r="CG857" s="147"/>
      <c r="CH857" s="147"/>
      <c r="CI857" s="147"/>
      <c r="CJ857" s="147"/>
      <c r="CK857" s="147"/>
    </row>
    <row r="858" spans="1:89">
      <c r="A858" s="157"/>
      <c r="F858" s="3"/>
      <c r="G858" s="3"/>
      <c r="L858" s="157"/>
      <c r="M858" s="157"/>
      <c r="O858" s="147"/>
      <c r="P858" s="147"/>
      <c r="Q858" s="147"/>
      <c r="R858" s="147"/>
      <c r="S858" s="147"/>
      <c r="T858" s="147"/>
      <c r="U858" s="147"/>
      <c r="V858" s="147"/>
      <c r="W858" s="147"/>
      <c r="X858" s="147"/>
      <c r="Y858" s="147"/>
      <c r="Z858" s="147"/>
      <c r="AA858" s="147"/>
      <c r="AB858" s="147"/>
      <c r="AC858" s="147"/>
      <c r="AD858" s="147"/>
      <c r="AE858" s="147"/>
      <c r="AF858" s="147"/>
      <c r="AG858" s="147"/>
      <c r="AH858" s="147"/>
      <c r="AI858" s="147"/>
      <c r="AJ858" s="147"/>
      <c r="AK858" s="147"/>
      <c r="AL858" s="147"/>
      <c r="AM858" s="151"/>
      <c r="AN858" s="147"/>
      <c r="AO858" s="147"/>
      <c r="AP858" s="147"/>
      <c r="AQ858" s="147"/>
      <c r="AR858" s="147"/>
      <c r="AS858" s="147"/>
      <c r="AT858" s="147"/>
      <c r="AU858" s="147"/>
      <c r="AV858" s="147"/>
      <c r="AW858" s="147"/>
      <c r="AX858" s="147"/>
      <c r="AY858" s="147"/>
      <c r="AZ858" s="147"/>
      <c r="BA858" s="147"/>
      <c r="BB858" s="147"/>
      <c r="BC858" s="147"/>
      <c r="BD858" s="147"/>
      <c r="BE858" s="147"/>
      <c r="BF858" s="147"/>
      <c r="BG858" s="147"/>
      <c r="BH858" s="147"/>
      <c r="BI858" s="147"/>
      <c r="BJ858" s="147"/>
      <c r="BK858" s="147"/>
      <c r="BL858" s="147"/>
      <c r="BM858" s="147"/>
      <c r="BN858" s="147"/>
      <c r="BO858" s="147"/>
      <c r="BP858" s="147"/>
      <c r="BQ858" s="147"/>
      <c r="BR858" s="147"/>
      <c r="BS858" s="147"/>
      <c r="BT858" s="147"/>
      <c r="BU858" s="147"/>
      <c r="BV858" s="147"/>
      <c r="BW858" s="147"/>
      <c r="BX858" s="147"/>
      <c r="BY858" s="147"/>
      <c r="BZ858" s="147"/>
      <c r="CA858" s="147"/>
      <c r="CB858" s="147"/>
      <c r="CC858" s="147"/>
      <c r="CD858" s="147"/>
      <c r="CE858" s="147"/>
      <c r="CF858" s="147"/>
      <c r="CG858" s="147"/>
      <c r="CH858" s="147"/>
      <c r="CI858" s="147"/>
      <c r="CJ858" s="147"/>
      <c r="CK858" s="147"/>
    </row>
    <row r="859" spans="1:89">
      <c r="A859" s="157"/>
      <c r="F859" s="3"/>
      <c r="G859" s="3"/>
      <c r="L859" s="157"/>
      <c r="M859" s="157"/>
      <c r="O859" s="147"/>
      <c r="P859" s="147"/>
      <c r="Q859" s="147"/>
      <c r="R859" s="147"/>
      <c r="S859" s="147"/>
      <c r="T859" s="147"/>
      <c r="U859" s="147"/>
      <c r="V859" s="147"/>
      <c r="W859" s="147"/>
      <c r="X859" s="147"/>
      <c r="Y859" s="147"/>
      <c r="Z859" s="147"/>
      <c r="AA859" s="147"/>
      <c r="AB859" s="147"/>
      <c r="AC859" s="147"/>
      <c r="AD859" s="147"/>
      <c r="AE859" s="147"/>
      <c r="AF859" s="147"/>
      <c r="AG859" s="147"/>
      <c r="AH859" s="147"/>
      <c r="AI859" s="147"/>
      <c r="AJ859" s="147"/>
      <c r="AK859" s="147"/>
      <c r="AL859" s="147"/>
      <c r="AM859" s="151"/>
      <c r="AN859" s="147"/>
      <c r="AO859" s="147"/>
      <c r="AP859" s="147"/>
      <c r="AQ859" s="147"/>
      <c r="AR859" s="147"/>
      <c r="AS859" s="147"/>
      <c r="AT859" s="147"/>
      <c r="AU859" s="147"/>
      <c r="AV859" s="147"/>
      <c r="AW859" s="147"/>
      <c r="AX859" s="147"/>
      <c r="AY859" s="147"/>
      <c r="AZ859" s="147"/>
      <c r="BA859" s="147"/>
      <c r="BB859" s="147"/>
      <c r="BC859" s="147"/>
      <c r="BD859" s="147"/>
      <c r="BE859" s="147"/>
      <c r="BF859" s="147"/>
      <c r="BG859" s="147"/>
      <c r="BH859" s="147"/>
      <c r="BI859" s="147"/>
      <c r="BJ859" s="147"/>
      <c r="BK859" s="147"/>
      <c r="BL859" s="147"/>
      <c r="BM859" s="147"/>
      <c r="BN859" s="147"/>
      <c r="BO859" s="147"/>
      <c r="BP859" s="147"/>
      <c r="BQ859" s="147"/>
      <c r="BR859" s="147"/>
      <c r="BS859" s="147"/>
      <c r="BT859" s="147"/>
      <c r="BU859" s="147"/>
      <c r="BV859" s="147"/>
      <c r="BW859" s="147"/>
      <c r="BX859" s="147"/>
      <c r="BY859" s="147"/>
      <c r="BZ859" s="147"/>
      <c r="CA859" s="147"/>
      <c r="CB859" s="147"/>
      <c r="CC859" s="147"/>
      <c r="CD859" s="147"/>
      <c r="CE859" s="147"/>
      <c r="CF859" s="147"/>
      <c r="CG859" s="147"/>
      <c r="CH859" s="147"/>
      <c r="CI859" s="147"/>
      <c r="CJ859" s="147"/>
      <c r="CK859" s="147"/>
    </row>
    <row r="860" spans="1:89">
      <c r="A860" s="157"/>
      <c r="F860" s="3"/>
      <c r="G860" s="3"/>
      <c r="L860" s="157"/>
      <c r="M860" s="157"/>
      <c r="O860" s="147"/>
      <c r="P860" s="147"/>
      <c r="Q860" s="147"/>
      <c r="R860" s="147"/>
      <c r="S860" s="147"/>
      <c r="T860" s="147"/>
      <c r="U860" s="147"/>
      <c r="V860" s="147"/>
      <c r="W860" s="147"/>
      <c r="X860" s="147"/>
      <c r="Y860" s="147"/>
      <c r="Z860" s="147"/>
      <c r="AA860" s="147"/>
      <c r="AB860" s="147"/>
      <c r="AC860" s="147"/>
      <c r="AD860" s="147"/>
      <c r="AE860" s="147"/>
      <c r="AF860" s="147"/>
      <c r="AG860" s="147"/>
      <c r="AH860" s="147"/>
      <c r="AI860" s="147"/>
      <c r="AJ860" s="147"/>
      <c r="AK860" s="147"/>
      <c r="AL860" s="147"/>
      <c r="AM860" s="151"/>
      <c r="AN860" s="147"/>
      <c r="AO860" s="147"/>
      <c r="AP860" s="147"/>
      <c r="AQ860" s="147"/>
      <c r="AR860" s="147"/>
      <c r="AS860" s="147"/>
      <c r="AT860" s="147"/>
      <c r="AU860" s="147"/>
      <c r="AV860" s="147"/>
      <c r="AW860" s="147"/>
      <c r="AX860" s="147"/>
      <c r="AY860" s="147"/>
      <c r="AZ860" s="147"/>
      <c r="BA860" s="147"/>
      <c r="BB860" s="147"/>
      <c r="BC860" s="147"/>
      <c r="BD860" s="147"/>
      <c r="BE860" s="147"/>
      <c r="BF860" s="147"/>
      <c r="BG860" s="147"/>
      <c r="BH860" s="147"/>
      <c r="BI860" s="147"/>
      <c r="BJ860" s="147"/>
      <c r="BK860" s="147"/>
      <c r="BL860" s="147"/>
      <c r="BM860" s="147"/>
      <c r="BN860" s="147"/>
      <c r="BO860" s="147"/>
      <c r="BP860" s="147"/>
      <c r="BQ860" s="147"/>
      <c r="BR860" s="147"/>
      <c r="BS860" s="147"/>
      <c r="BT860" s="147"/>
      <c r="BU860" s="147"/>
      <c r="BV860" s="147"/>
      <c r="BW860" s="147"/>
      <c r="BX860" s="147"/>
      <c r="BY860" s="147"/>
      <c r="BZ860" s="147"/>
      <c r="CA860" s="147"/>
      <c r="CB860" s="147"/>
      <c r="CC860" s="147"/>
      <c r="CD860" s="147"/>
      <c r="CE860" s="147"/>
      <c r="CF860" s="147"/>
      <c r="CG860" s="147"/>
      <c r="CH860" s="147"/>
      <c r="CI860" s="147"/>
      <c r="CJ860" s="147"/>
      <c r="CK860" s="147"/>
    </row>
    <row r="861" spans="1:89">
      <c r="A861" s="157"/>
      <c r="F861" s="3"/>
      <c r="G861" s="3"/>
      <c r="L861" s="157"/>
      <c r="M861" s="157"/>
      <c r="O861" s="147"/>
      <c r="P861" s="147"/>
      <c r="Q861" s="147"/>
      <c r="R861" s="147"/>
      <c r="S861" s="147"/>
      <c r="T861" s="147"/>
      <c r="U861" s="147"/>
      <c r="V861" s="147"/>
      <c r="W861" s="147"/>
      <c r="X861" s="147"/>
      <c r="Y861" s="147"/>
      <c r="Z861" s="147"/>
      <c r="AA861" s="147"/>
      <c r="AB861" s="147"/>
      <c r="AC861" s="147"/>
      <c r="AD861" s="147"/>
      <c r="AE861" s="147"/>
      <c r="AF861" s="147"/>
      <c r="AG861" s="147"/>
      <c r="AH861" s="147"/>
      <c r="AI861" s="147"/>
      <c r="AJ861" s="147"/>
      <c r="AK861" s="147"/>
      <c r="AL861" s="147"/>
      <c r="AM861" s="151"/>
      <c r="AN861" s="147"/>
      <c r="AO861" s="147"/>
      <c r="AP861" s="147"/>
      <c r="AQ861" s="147"/>
      <c r="AR861" s="147"/>
      <c r="AS861" s="147"/>
      <c r="AT861" s="147"/>
      <c r="AU861" s="147"/>
      <c r="AV861" s="147"/>
      <c r="AW861" s="147"/>
      <c r="AX861" s="147"/>
      <c r="AY861" s="147"/>
      <c r="AZ861" s="147"/>
      <c r="BA861" s="147"/>
      <c r="BB861" s="147"/>
      <c r="BC861" s="147"/>
      <c r="BD861" s="147"/>
      <c r="BE861" s="147"/>
      <c r="BF861" s="147"/>
      <c r="BG861" s="147"/>
      <c r="BH861" s="147"/>
      <c r="BI861" s="147"/>
      <c r="BJ861" s="147"/>
      <c r="BK861" s="147"/>
      <c r="BL861" s="147"/>
      <c r="BM861" s="147"/>
      <c r="BN861" s="147"/>
      <c r="BO861" s="147"/>
      <c r="BP861" s="147"/>
      <c r="BQ861" s="147"/>
      <c r="BR861" s="147"/>
      <c r="BS861" s="147"/>
      <c r="BT861" s="147"/>
      <c r="BU861" s="147"/>
      <c r="BV861" s="147"/>
      <c r="BW861" s="147"/>
      <c r="BX861" s="147"/>
      <c r="BY861" s="147"/>
      <c r="BZ861" s="147"/>
      <c r="CA861" s="147"/>
      <c r="CB861" s="147"/>
      <c r="CC861" s="147"/>
      <c r="CD861" s="147"/>
      <c r="CE861" s="147"/>
      <c r="CF861" s="147"/>
      <c r="CG861" s="147"/>
      <c r="CH861" s="147"/>
      <c r="CI861" s="147"/>
      <c r="CJ861" s="147"/>
      <c r="CK861" s="147"/>
    </row>
    <row r="862" spans="1:89">
      <c r="A862" s="157"/>
      <c r="F862" s="3"/>
      <c r="G862" s="3"/>
      <c r="L862" s="157"/>
      <c r="M862" s="157"/>
      <c r="O862" s="147"/>
      <c r="P862" s="147"/>
      <c r="Q862" s="147"/>
      <c r="R862" s="147"/>
      <c r="S862" s="147"/>
      <c r="T862" s="147"/>
      <c r="U862" s="147"/>
      <c r="V862" s="147"/>
      <c r="W862" s="147"/>
      <c r="X862" s="147"/>
      <c r="Y862" s="147"/>
      <c r="Z862" s="147"/>
      <c r="AA862" s="147"/>
      <c r="AB862" s="147"/>
      <c r="AC862" s="147"/>
      <c r="AD862" s="147"/>
      <c r="AE862" s="147"/>
      <c r="AF862" s="147"/>
      <c r="AG862" s="147"/>
      <c r="AH862" s="147"/>
      <c r="AI862" s="147"/>
      <c r="AJ862" s="147"/>
      <c r="AK862" s="147"/>
      <c r="AL862" s="147"/>
      <c r="AM862" s="151"/>
      <c r="AN862" s="147"/>
      <c r="AO862" s="147"/>
      <c r="AP862" s="147"/>
      <c r="AQ862" s="147"/>
      <c r="AR862" s="147"/>
      <c r="AS862" s="147"/>
      <c r="AT862" s="147"/>
      <c r="AU862" s="147"/>
      <c r="AV862" s="147"/>
      <c r="AW862" s="147"/>
      <c r="AX862" s="147"/>
      <c r="AY862" s="147"/>
      <c r="AZ862" s="147"/>
      <c r="BA862" s="147"/>
      <c r="BB862" s="147"/>
      <c r="BC862" s="147"/>
      <c r="BD862" s="147"/>
      <c r="BE862" s="147"/>
      <c r="BF862" s="147"/>
      <c r="BG862" s="147"/>
      <c r="BH862" s="147"/>
      <c r="BI862" s="147"/>
      <c r="BJ862" s="147"/>
      <c r="BK862" s="147"/>
      <c r="BL862" s="147"/>
      <c r="BM862" s="147"/>
      <c r="BN862" s="147"/>
      <c r="BO862" s="147"/>
      <c r="BP862" s="147"/>
      <c r="BQ862" s="147"/>
      <c r="BR862" s="147"/>
      <c r="BS862" s="147"/>
      <c r="BT862" s="147"/>
      <c r="BU862" s="147"/>
      <c r="BV862" s="147"/>
      <c r="BW862" s="147"/>
      <c r="BX862" s="147"/>
      <c r="BY862" s="147"/>
      <c r="BZ862" s="147"/>
      <c r="CA862" s="147"/>
      <c r="CB862" s="147"/>
      <c r="CC862" s="147"/>
      <c r="CD862" s="147"/>
      <c r="CE862" s="147"/>
      <c r="CF862" s="147"/>
      <c r="CG862" s="147"/>
      <c r="CH862" s="147"/>
      <c r="CI862" s="147"/>
      <c r="CJ862" s="147"/>
      <c r="CK862" s="147"/>
    </row>
    <row r="863" spans="1:89">
      <c r="A863" s="157"/>
      <c r="F863" s="3"/>
      <c r="G863" s="3"/>
      <c r="L863" s="157"/>
      <c r="M863" s="157"/>
      <c r="O863" s="147"/>
      <c r="P863" s="147"/>
      <c r="Q863" s="147"/>
      <c r="R863" s="147"/>
      <c r="S863" s="147"/>
      <c r="T863" s="147"/>
      <c r="U863" s="147"/>
      <c r="V863" s="147"/>
      <c r="W863" s="147"/>
      <c r="X863" s="147"/>
      <c r="Y863" s="147"/>
      <c r="Z863" s="147"/>
      <c r="AA863" s="147"/>
      <c r="AB863" s="147"/>
      <c r="AC863" s="147"/>
      <c r="AD863" s="147"/>
      <c r="AE863" s="147"/>
      <c r="AF863" s="147"/>
      <c r="AG863" s="147"/>
      <c r="AH863" s="147"/>
      <c r="AI863" s="147"/>
      <c r="AJ863" s="147"/>
      <c r="AK863" s="147"/>
      <c r="AL863" s="147"/>
      <c r="AM863" s="151"/>
      <c r="AN863" s="147"/>
      <c r="AO863" s="147"/>
      <c r="AP863" s="147"/>
      <c r="AQ863" s="147"/>
      <c r="AR863" s="147"/>
      <c r="AS863" s="147"/>
      <c r="AT863" s="147"/>
      <c r="AU863" s="147"/>
      <c r="AV863" s="147"/>
      <c r="AW863" s="147"/>
      <c r="AX863" s="147"/>
      <c r="AY863" s="147"/>
      <c r="AZ863" s="147"/>
      <c r="BA863" s="147"/>
      <c r="BB863" s="147"/>
      <c r="BC863" s="147"/>
      <c r="BD863" s="147"/>
      <c r="BE863" s="147"/>
      <c r="BF863" s="147"/>
      <c r="BG863" s="147"/>
      <c r="BH863" s="147"/>
      <c r="BI863" s="147"/>
      <c r="BJ863" s="147"/>
      <c r="BK863" s="147"/>
      <c r="BL863" s="147"/>
      <c r="BM863" s="147"/>
      <c r="BN863" s="147"/>
      <c r="BO863" s="147"/>
      <c r="BP863" s="147"/>
      <c r="BQ863" s="147"/>
      <c r="BR863" s="147"/>
      <c r="BS863" s="147"/>
      <c r="BT863" s="147"/>
      <c r="BU863" s="147"/>
      <c r="BV863" s="147"/>
      <c r="BW863" s="147"/>
      <c r="BX863" s="147"/>
      <c r="BY863" s="147"/>
      <c r="BZ863" s="147"/>
      <c r="CA863" s="147"/>
      <c r="CB863" s="147"/>
      <c r="CC863" s="147"/>
      <c r="CD863" s="147"/>
      <c r="CE863" s="147"/>
      <c r="CF863" s="147"/>
      <c r="CG863" s="147"/>
      <c r="CH863" s="147"/>
      <c r="CI863" s="147"/>
      <c r="CJ863" s="147"/>
      <c r="CK863" s="147"/>
    </row>
    <row r="864" spans="1:89">
      <c r="A864" s="157"/>
      <c r="F864" s="3"/>
      <c r="G864" s="3"/>
      <c r="L864" s="157"/>
      <c r="M864" s="157"/>
      <c r="O864" s="147"/>
      <c r="P864" s="147"/>
      <c r="Q864" s="147"/>
      <c r="R864" s="147"/>
      <c r="S864" s="147"/>
      <c r="T864" s="147"/>
      <c r="U864" s="147"/>
      <c r="V864" s="147"/>
      <c r="W864" s="147"/>
      <c r="X864" s="147"/>
      <c r="Y864" s="147"/>
      <c r="Z864" s="147"/>
      <c r="AA864" s="147"/>
      <c r="AB864" s="147"/>
      <c r="AC864" s="147"/>
      <c r="AD864" s="147"/>
      <c r="AE864" s="147"/>
      <c r="AF864" s="147"/>
      <c r="AG864" s="147"/>
      <c r="AH864" s="147"/>
      <c r="AI864" s="147"/>
      <c r="AJ864" s="147"/>
      <c r="AK864" s="147"/>
      <c r="AL864" s="147"/>
      <c r="AM864" s="151"/>
      <c r="AN864" s="147"/>
      <c r="AO864" s="147"/>
      <c r="AP864" s="147"/>
      <c r="AQ864" s="147"/>
      <c r="AR864" s="147"/>
      <c r="AS864" s="147"/>
      <c r="AT864" s="147"/>
      <c r="AU864" s="147"/>
      <c r="AV864" s="147"/>
      <c r="AW864" s="147"/>
      <c r="AX864" s="147"/>
      <c r="AY864" s="147"/>
      <c r="AZ864" s="147"/>
      <c r="BA864" s="147"/>
      <c r="BB864" s="147"/>
      <c r="BC864" s="147"/>
      <c r="BD864" s="147"/>
      <c r="BE864" s="147"/>
      <c r="BF864" s="147"/>
      <c r="BG864" s="147"/>
      <c r="BH864" s="147"/>
      <c r="BI864" s="147"/>
      <c r="BJ864" s="147"/>
      <c r="BK864" s="147"/>
      <c r="BL864" s="147"/>
      <c r="BM864" s="147"/>
      <c r="BN864" s="147"/>
      <c r="BO864" s="147"/>
      <c r="BP864" s="147"/>
      <c r="BQ864" s="147"/>
      <c r="BR864" s="147"/>
      <c r="BS864" s="147"/>
      <c r="BT864" s="147"/>
      <c r="BU864" s="147"/>
      <c r="BV864" s="147"/>
      <c r="BW864" s="147"/>
      <c r="BX864" s="147"/>
      <c r="BY864" s="147"/>
      <c r="BZ864" s="147"/>
      <c r="CA864" s="147"/>
      <c r="CB864" s="147"/>
      <c r="CC864" s="147"/>
      <c r="CD864" s="147"/>
      <c r="CE864" s="147"/>
      <c r="CF864" s="147"/>
      <c r="CG864" s="147"/>
      <c r="CH864" s="147"/>
      <c r="CI864" s="147"/>
      <c r="CJ864" s="147"/>
      <c r="CK864" s="147"/>
    </row>
    <row r="865" spans="1:89">
      <c r="A865" s="157"/>
      <c r="F865" s="3"/>
      <c r="G865" s="3"/>
      <c r="L865" s="157"/>
      <c r="M865" s="157"/>
      <c r="O865" s="147"/>
      <c r="P865" s="147"/>
      <c r="Q865" s="147"/>
      <c r="R865" s="147"/>
      <c r="S865" s="147"/>
      <c r="T865" s="147"/>
      <c r="U865" s="147"/>
      <c r="V865" s="147"/>
      <c r="W865" s="147"/>
      <c r="X865" s="147"/>
      <c r="Y865" s="147"/>
      <c r="Z865" s="147"/>
      <c r="AA865" s="147"/>
      <c r="AB865" s="147"/>
      <c r="AC865" s="147"/>
      <c r="AD865" s="147"/>
      <c r="AE865" s="147"/>
      <c r="AF865" s="147"/>
      <c r="AG865" s="147"/>
      <c r="AH865" s="147"/>
      <c r="AI865" s="147"/>
      <c r="AJ865" s="147"/>
      <c r="AK865" s="147"/>
      <c r="AL865" s="147"/>
      <c r="AM865" s="151"/>
      <c r="AN865" s="147"/>
      <c r="AO865" s="147"/>
      <c r="AP865" s="147"/>
      <c r="AQ865" s="147"/>
      <c r="AR865" s="147"/>
      <c r="AS865" s="147"/>
      <c r="AT865" s="147"/>
      <c r="AU865" s="147"/>
      <c r="AV865" s="147"/>
      <c r="AW865" s="147"/>
      <c r="AX865" s="147"/>
      <c r="AY865" s="147"/>
      <c r="AZ865" s="147"/>
      <c r="BA865" s="147"/>
      <c r="BB865" s="147"/>
      <c r="BC865" s="147"/>
      <c r="BD865" s="147"/>
      <c r="BE865" s="147"/>
      <c r="BF865" s="147"/>
      <c r="BG865" s="147"/>
      <c r="BH865" s="147"/>
      <c r="BI865" s="147"/>
      <c r="BJ865" s="147"/>
      <c r="BK865" s="147"/>
      <c r="BL865" s="147"/>
      <c r="BM865" s="147"/>
      <c r="BN865" s="147"/>
      <c r="BO865" s="147"/>
      <c r="BP865" s="147"/>
      <c r="BQ865" s="147"/>
      <c r="BR865" s="147"/>
      <c r="BS865" s="147"/>
      <c r="BT865" s="147"/>
      <c r="BU865" s="147"/>
      <c r="BV865" s="147"/>
      <c r="BW865" s="147"/>
      <c r="BX865" s="147"/>
      <c r="BY865" s="147"/>
      <c r="BZ865" s="147"/>
      <c r="CA865" s="147"/>
      <c r="CB865" s="147"/>
      <c r="CC865" s="147"/>
      <c r="CD865" s="147"/>
      <c r="CE865" s="147"/>
      <c r="CF865" s="147"/>
      <c r="CG865" s="147"/>
      <c r="CH865" s="147"/>
      <c r="CI865" s="147"/>
      <c r="CJ865" s="147"/>
      <c r="CK865" s="147"/>
    </row>
    <row r="866" spans="1:89">
      <c r="A866" s="157"/>
      <c r="F866" s="3"/>
      <c r="G866" s="3"/>
      <c r="L866" s="157"/>
      <c r="M866" s="157"/>
      <c r="O866" s="147"/>
      <c r="P866" s="147"/>
      <c r="Q866" s="147"/>
      <c r="R866" s="147"/>
      <c r="S866" s="147"/>
      <c r="T866" s="147"/>
      <c r="U866" s="147"/>
      <c r="V866" s="147"/>
      <c r="W866" s="147"/>
      <c r="X866" s="147"/>
      <c r="Y866" s="147"/>
      <c r="Z866" s="147"/>
      <c r="AA866" s="147"/>
      <c r="AB866" s="147"/>
      <c r="AC866" s="147"/>
      <c r="AD866" s="147"/>
      <c r="AE866" s="147"/>
      <c r="AF866" s="147"/>
      <c r="AG866" s="147"/>
      <c r="AH866" s="147"/>
      <c r="AI866" s="147"/>
      <c r="AJ866" s="147"/>
      <c r="AK866" s="147"/>
      <c r="AL866" s="147"/>
      <c r="AM866" s="151"/>
      <c r="AN866" s="147"/>
      <c r="AO866" s="147"/>
      <c r="AP866" s="147"/>
      <c r="AQ866" s="147"/>
      <c r="AR866" s="147"/>
      <c r="AS866" s="147"/>
      <c r="AT866" s="147"/>
      <c r="AU866" s="147"/>
      <c r="AV866" s="147"/>
      <c r="AW866" s="147"/>
      <c r="AX866" s="147"/>
      <c r="AY866" s="147"/>
      <c r="AZ866" s="147"/>
      <c r="BA866" s="147"/>
      <c r="BB866" s="147"/>
      <c r="BC866" s="147"/>
      <c r="BD866" s="147"/>
      <c r="BE866" s="147"/>
      <c r="BF866" s="147"/>
      <c r="BG866" s="147"/>
      <c r="BH866" s="147"/>
      <c r="BI866" s="147"/>
      <c r="BJ866" s="147"/>
      <c r="BK866" s="147"/>
      <c r="BL866" s="147"/>
      <c r="BM866" s="147"/>
      <c r="BN866" s="147"/>
      <c r="BO866" s="147"/>
      <c r="BP866" s="147"/>
      <c r="BQ866" s="147"/>
      <c r="BR866" s="147"/>
      <c r="BS866" s="147"/>
      <c r="BT866" s="147"/>
      <c r="BU866" s="147"/>
      <c r="BV866" s="147"/>
      <c r="BW866" s="147"/>
      <c r="BX866" s="147"/>
      <c r="BY866" s="147"/>
      <c r="BZ866" s="147"/>
      <c r="CA866" s="147"/>
      <c r="CB866" s="147"/>
      <c r="CC866" s="147"/>
      <c r="CD866" s="147"/>
      <c r="CE866" s="147"/>
      <c r="CF866" s="147"/>
      <c r="CG866" s="147"/>
      <c r="CH866" s="147"/>
      <c r="CI866" s="147"/>
      <c r="CJ866" s="147"/>
      <c r="CK866" s="147"/>
    </row>
    <row r="867" spans="1:89">
      <c r="A867" s="157"/>
      <c r="F867" s="3"/>
      <c r="G867" s="3"/>
      <c r="L867" s="157"/>
      <c r="M867" s="157"/>
      <c r="O867" s="147"/>
      <c r="P867" s="147"/>
      <c r="Q867" s="147"/>
      <c r="R867" s="147"/>
      <c r="S867" s="147"/>
      <c r="T867" s="147"/>
      <c r="U867" s="147"/>
      <c r="V867" s="147"/>
      <c r="W867" s="147"/>
      <c r="X867" s="147"/>
      <c r="Y867" s="147"/>
      <c r="Z867" s="147"/>
      <c r="AA867" s="147"/>
      <c r="AB867" s="147"/>
      <c r="AC867" s="147"/>
      <c r="AD867" s="147"/>
      <c r="AE867" s="147"/>
      <c r="AF867" s="147"/>
      <c r="AG867" s="147"/>
      <c r="AH867" s="147"/>
      <c r="AI867" s="147"/>
      <c r="AJ867" s="147"/>
      <c r="AK867" s="147"/>
      <c r="AL867" s="147"/>
      <c r="AM867" s="151"/>
      <c r="AN867" s="147"/>
      <c r="AO867" s="147"/>
      <c r="AP867" s="147"/>
      <c r="AQ867" s="147"/>
      <c r="AR867" s="147"/>
      <c r="AS867" s="147"/>
      <c r="AT867" s="147"/>
      <c r="AU867" s="147"/>
      <c r="AV867" s="147"/>
      <c r="AW867" s="147"/>
      <c r="AX867" s="147"/>
      <c r="AY867" s="147"/>
      <c r="AZ867" s="147"/>
      <c r="BA867" s="147"/>
      <c r="BB867" s="147"/>
      <c r="BC867" s="147"/>
      <c r="BD867" s="147"/>
      <c r="BE867" s="147"/>
      <c r="BF867" s="147"/>
      <c r="BG867" s="147"/>
      <c r="BH867" s="147"/>
      <c r="BI867" s="147"/>
      <c r="BJ867" s="147"/>
      <c r="BK867" s="147"/>
      <c r="BL867" s="147"/>
      <c r="BM867" s="147"/>
      <c r="BN867" s="147"/>
      <c r="BO867" s="147"/>
      <c r="BP867" s="147"/>
      <c r="BQ867" s="147"/>
      <c r="BR867" s="147"/>
      <c r="BS867" s="147"/>
      <c r="BT867" s="147"/>
      <c r="BU867" s="147"/>
      <c r="BV867" s="147"/>
      <c r="BW867" s="147"/>
      <c r="BX867" s="147"/>
      <c r="BY867" s="147"/>
      <c r="BZ867" s="147"/>
      <c r="CA867" s="147"/>
      <c r="CB867" s="147"/>
      <c r="CC867" s="147"/>
      <c r="CD867" s="147"/>
      <c r="CE867" s="147"/>
      <c r="CF867" s="147"/>
      <c r="CG867" s="147"/>
      <c r="CH867" s="147"/>
      <c r="CI867" s="147"/>
      <c r="CJ867" s="147"/>
      <c r="CK867" s="147"/>
    </row>
    <row r="868" spans="1:89">
      <c r="A868" s="157"/>
      <c r="F868" s="3"/>
      <c r="G868" s="3"/>
      <c r="L868" s="157"/>
      <c r="M868" s="157"/>
      <c r="O868" s="147"/>
      <c r="P868" s="147"/>
      <c r="Q868" s="147"/>
      <c r="R868" s="147"/>
      <c r="S868" s="147"/>
      <c r="T868" s="147"/>
      <c r="U868" s="147"/>
      <c r="V868" s="147"/>
      <c r="W868" s="147"/>
      <c r="X868" s="147"/>
      <c r="Y868" s="147"/>
      <c r="Z868" s="147"/>
      <c r="AA868" s="147"/>
      <c r="AB868" s="147"/>
      <c r="AC868" s="147"/>
      <c r="AD868" s="147"/>
      <c r="AE868" s="147"/>
      <c r="AF868" s="147"/>
      <c r="AG868" s="147"/>
      <c r="AH868" s="147"/>
      <c r="AI868" s="147"/>
      <c r="AJ868" s="147"/>
      <c r="AK868" s="147"/>
      <c r="AL868" s="147"/>
      <c r="AM868" s="151"/>
      <c r="AN868" s="147"/>
      <c r="AO868" s="147"/>
      <c r="AP868" s="147"/>
      <c r="AQ868" s="147"/>
      <c r="AR868" s="147"/>
      <c r="AS868" s="147"/>
      <c r="AT868" s="147"/>
      <c r="AU868" s="147"/>
      <c r="AV868" s="147"/>
      <c r="AW868" s="147"/>
      <c r="AX868" s="147"/>
      <c r="AY868" s="147"/>
      <c r="AZ868" s="147"/>
      <c r="BA868" s="147"/>
      <c r="BB868" s="147"/>
      <c r="BC868" s="147"/>
      <c r="BD868" s="147"/>
      <c r="BE868" s="147"/>
      <c r="BF868" s="147"/>
      <c r="BG868" s="147"/>
      <c r="BH868" s="147"/>
      <c r="BI868" s="147"/>
      <c r="BJ868" s="147"/>
      <c r="BK868" s="147"/>
      <c r="BL868" s="147"/>
      <c r="BM868" s="147"/>
      <c r="BN868" s="147"/>
      <c r="BO868" s="147"/>
      <c r="BP868" s="147"/>
      <c r="BQ868" s="147"/>
      <c r="BR868" s="147"/>
      <c r="BS868" s="147"/>
      <c r="BT868" s="147"/>
      <c r="BU868" s="147"/>
      <c r="BV868" s="147"/>
      <c r="BW868" s="147"/>
      <c r="BX868" s="147"/>
      <c r="BY868" s="147"/>
      <c r="BZ868" s="147"/>
      <c r="CA868" s="147"/>
      <c r="CB868" s="147"/>
      <c r="CC868" s="147"/>
      <c r="CD868" s="147"/>
      <c r="CE868" s="147"/>
      <c r="CF868" s="147"/>
      <c r="CG868" s="147"/>
      <c r="CH868" s="147"/>
      <c r="CI868" s="147"/>
      <c r="CJ868" s="147"/>
      <c r="CK868" s="147"/>
    </row>
    <row r="869" spans="1:89">
      <c r="A869" s="157"/>
      <c r="F869" s="3"/>
      <c r="G869" s="3"/>
      <c r="L869" s="157"/>
      <c r="M869" s="157"/>
      <c r="O869" s="147"/>
      <c r="P869" s="147"/>
      <c r="Q869" s="147"/>
      <c r="R869" s="147"/>
      <c r="S869" s="147"/>
      <c r="T869" s="147"/>
      <c r="U869" s="147"/>
      <c r="V869" s="147"/>
      <c r="W869" s="147"/>
      <c r="X869" s="147"/>
      <c r="Y869" s="147"/>
      <c r="Z869" s="147"/>
      <c r="AA869" s="147"/>
      <c r="AB869" s="147"/>
      <c r="AC869" s="147"/>
      <c r="AD869" s="147"/>
      <c r="AE869" s="147"/>
      <c r="AF869" s="147"/>
      <c r="AG869" s="147"/>
      <c r="AH869" s="147"/>
      <c r="AI869" s="147"/>
      <c r="AJ869" s="147"/>
      <c r="AK869" s="147"/>
      <c r="AL869" s="147"/>
      <c r="AM869" s="151"/>
      <c r="AN869" s="147"/>
      <c r="AO869" s="147"/>
      <c r="AP869" s="147"/>
      <c r="AQ869" s="147"/>
      <c r="AR869" s="147"/>
      <c r="AS869" s="147"/>
      <c r="AT869" s="147"/>
      <c r="AU869" s="147"/>
      <c r="AV869" s="147"/>
      <c r="AW869" s="147"/>
      <c r="AX869" s="147"/>
      <c r="AY869" s="147"/>
      <c r="AZ869" s="147"/>
      <c r="BA869" s="147"/>
      <c r="BB869" s="147"/>
      <c r="BC869" s="147"/>
      <c r="BD869" s="147"/>
      <c r="BE869" s="147"/>
      <c r="BF869" s="147"/>
      <c r="BG869" s="147"/>
      <c r="BH869" s="147"/>
      <c r="BI869" s="147"/>
      <c r="BJ869" s="147"/>
      <c r="BK869" s="147"/>
      <c r="BL869" s="147"/>
      <c r="BM869" s="147"/>
      <c r="BN869" s="147"/>
      <c r="BO869" s="147"/>
      <c r="BP869" s="147"/>
      <c r="BQ869" s="147"/>
      <c r="BR869" s="147"/>
      <c r="BS869" s="147"/>
      <c r="BT869" s="147"/>
      <c r="BU869" s="147"/>
      <c r="BV869" s="147"/>
      <c r="BW869" s="147"/>
      <c r="BX869" s="147"/>
      <c r="BY869" s="147"/>
      <c r="BZ869" s="147"/>
      <c r="CA869" s="147"/>
      <c r="CB869" s="147"/>
      <c r="CC869" s="147"/>
      <c r="CD869" s="147"/>
      <c r="CE869" s="147"/>
      <c r="CF869" s="147"/>
      <c r="CG869" s="147"/>
      <c r="CH869" s="147"/>
      <c r="CI869" s="147"/>
      <c r="CJ869" s="147"/>
      <c r="CK869" s="147"/>
    </row>
    <row r="870" spans="1:89">
      <c r="A870" s="157"/>
      <c r="F870" s="3"/>
      <c r="G870" s="3"/>
      <c r="L870" s="157"/>
      <c r="M870" s="157"/>
      <c r="O870" s="147"/>
      <c r="P870" s="147"/>
      <c r="Q870" s="147"/>
      <c r="R870" s="147"/>
      <c r="S870" s="147"/>
      <c r="T870" s="147"/>
      <c r="U870" s="147"/>
      <c r="V870" s="147"/>
      <c r="W870" s="147"/>
      <c r="X870" s="147"/>
      <c r="Y870" s="147"/>
      <c r="Z870" s="147"/>
      <c r="AA870" s="147"/>
      <c r="AB870" s="147"/>
      <c r="AC870" s="147"/>
      <c r="AD870" s="147"/>
      <c r="AE870" s="147"/>
      <c r="AF870" s="147"/>
      <c r="AG870" s="147"/>
      <c r="AH870" s="147"/>
      <c r="AI870" s="147"/>
      <c r="AJ870" s="147"/>
      <c r="AK870" s="147"/>
      <c r="AL870" s="147"/>
      <c r="AM870" s="151"/>
      <c r="AN870" s="147"/>
      <c r="AO870" s="147"/>
      <c r="AP870" s="147"/>
      <c r="AQ870" s="147"/>
      <c r="AR870" s="147"/>
      <c r="AS870" s="147"/>
      <c r="AT870" s="147"/>
      <c r="AU870" s="147"/>
      <c r="AV870" s="147"/>
      <c r="AW870" s="147"/>
      <c r="AX870" s="147"/>
      <c r="AY870" s="147"/>
      <c r="AZ870" s="147"/>
      <c r="BA870" s="147"/>
      <c r="BB870" s="147"/>
      <c r="BC870" s="147"/>
      <c r="BD870" s="147"/>
      <c r="BE870" s="147"/>
      <c r="BF870" s="147"/>
      <c r="BG870" s="147"/>
      <c r="BH870" s="147"/>
      <c r="BI870" s="147"/>
      <c r="BJ870" s="147"/>
      <c r="BK870" s="147"/>
      <c r="BL870" s="147"/>
      <c r="BM870" s="147"/>
      <c r="BN870" s="147"/>
      <c r="BO870" s="147"/>
      <c r="BP870" s="147"/>
      <c r="BQ870" s="147"/>
      <c r="BR870" s="147"/>
      <c r="BS870" s="147"/>
      <c r="BT870" s="147"/>
      <c r="BU870" s="147"/>
      <c r="BV870" s="147"/>
      <c r="BW870" s="147"/>
      <c r="BX870" s="147"/>
      <c r="BY870" s="147"/>
      <c r="BZ870" s="147"/>
      <c r="CA870" s="147"/>
      <c r="CB870" s="147"/>
      <c r="CC870" s="147"/>
      <c r="CD870" s="147"/>
      <c r="CE870" s="147"/>
      <c r="CF870" s="147"/>
      <c r="CG870" s="147"/>
      <c r="CH870" s="147"/>
      <c r="CI870" s="147"/>
      <c r="CJ870" s="147"/>
      <c r="CK870" s="147"/>
    </row>
    <row r="871" spans="1:89">
      <c r="A871" s="157"/>
      <c r="F871" s="3"/>
      <c r="G871" s="3"/>
      <c r="L871" s="157"/>
      <c r="M871" s="157"/>
      <c r="O871" s="147"/>
      <c r="P871" s="147"/>
      <c r="Q871" s="147"/>
      <c r="R871" s="147"/>
      <c r="S871" s="147"/>
      <c r="T871" s="147"/>
      <c r="U871" s="147"/>
      <c r="V871" s="147"/>
      <c r="W871" s="147"/>
      <c r="X871" s="147"/>
      <c r="Y871" s="147"/>
      <c r="Z871" s="147"/>
      <c r="AA871" s="147"/>
      <c r="AB871" s="147"/>
      <c r="AC871" s="147"/>
      <c r="AD871" s="147"/>
      <c r="AE871" s="147"/>
      <c r="AF871" s="147"/>
      <c r="AG871" s="147"/>
      <c r="AH871" s="147"/>
      <c r="AI871" s="147"/>
      <c r="AJ871" s="147"/>
      <c r="AK871" s="147"/>
      <c r="AL871" s="147"/>
      <c r="AM871" s="151"/>
      <c r="AN871" s="147"/>
      <c r="AO871" s="147"/>
      <c r="AP871" s="147"/>
      <c r="AQ871" s="147"/>
      <c r="AR871" s="147"/>
      <c r="AS871" s="147"/>
      <c r="AT871" s="147"/>
      <c r="AU871" s="147"/>
      <c r="AV871" s="147"/>
      <c r="AW871" s="147"/>
      <c r="AX871" s="147"/>
      <c r="AY871" s="147"/>
      <c r="AZ871" s="147"/>
      <c r="BA871" s="147"/>
      <c r="BB871" s="147"/>
      <c r="BC871" s="147"/>
      <c r="BD871" s="147"/>
      <c r="BE871" s="147"/>
      <c r="BF871" s="147"/>
      <c r="BG871" s="147"/>
      <c r="BH871" s="147"/>
      <c r="BI871" s="147"/>
      <c r="BJ871" s="147"/>
      <c r="BK871" s="147"/>
      <c r="BL871" s="147"/>
      <c r="BM871" s="147"/>
      <c r="BN871" s="147"/>
      <c r="BO871" s="147"/>
      <c r="BP871" s="147"/>
      <c r="BQ871" s="147"/>
      <c r="BR871" s="147"/>
      <c r="BS871" s="147"/>
      <c r="BT871" s="147"/>
      <c r="BU871" s="147"/>
      <c r="BV871" s="147"/>
      <c r="BW871" s="147"/>
      <c r="BX871" s="147"/>
      <c r="BY871" s="147"/>
      <c r="BZ871" s="147"/>
      <c r="CA871" s="147"/>
      <c r="CB871" s="147"/>
      <c r="CC871" s="147"/>
      <c r="CD871" s="147"/>
      <c r="CE871" s="147"/>
      <c r="CF871" s="147"/>
      <c r="CG871" s="147"/>
      <c r="CH871" s="147"/>
      <c r="CI871" s="147"/>
      <c r="CJ871" s="147"/>
      <c r="CK871" s="147"/>
    </row>
    <row r="872" spans="1:89">
      <c r="A872" s="157"/>
      <c r="F872" s="3"/>
      <c r="G872" s="3"/>
      <c r="L872" s="157"/>
      <c r="M872" s="157"/>
      <c r="O872" s="147"/>
      <c r="P872" s="147"/>
      <c r="Q872" s="147"/>
      <c r="R872" s="147"/>
      <c r="S872" s="147"/>
      <c r="T872" s="147"/>
      <c r="U872" s="147"/>
      <c r="V872" s="147"/>
      <c r="W872" s="147"/>
      <c r="X872" s="147"/>
      <c r="Y872" s="147"/>
      <c r="Z872" s="147"/>
      <c r="AA872" s="147"/>
      <c r="AB872" s="147"/>
      <c r="AC872" s="147"/>
      <c r="AD872" s="147"/>
      <c r="AE872" s="147"/>
      <c r="AF872" s="147"/>
      <c r="AG872" s="147"/>
      <c r="AH872" s="147"/>
      <c r="AI872" s="147"/>
      <c r="AJ872" s="147"/>
      <c r="AK872" s="147"/>
      <c r="AL872" s="147"/>
      <c r="AM872" s="151"/>
      <c r="AN872" s="147"/>
      <c r="AO872" s="147"/>
      <c r="AP872" s="147"/>
      <c r="AQ872" s="147"/>
      <c r="AR872" s="147"/>
      <c r="AS872" s="147"/>
      <c r="AT872" s="147"/>
      <c r="AU872" s="147"/>
      <c r="AV872" s="147"/>
      <c r="AW872" s="147"/>
      <c r="AX872" s="147"/>
      <c r="AY872" s="147"/>
      <c r="AZ872" s="147"/>
      <c r="BA872" s="147"/>
      <c r="BB872" s="147"/>
      <c r="BC872" s="147"/>
      <c r="BD872" s="147"/>
      <c r="BE872" s="147"/>
      <c r="BF872" s="147"/>
      <c r="BG872" s="147"/>
      <c r="BH872" s="147"/>
      <c r="BI872" s="147"/>
      <c r="BJ872" s="147"/>
      <c r="BK872" s="147"/>
      <c r="BL872" s="147"/>
      <c r="BM872" s="147"/>
      <c r="BN872" s="147"/>
      <c r="BO872" s="147"/>
      <c r="BP872" s="147"/>
      <c r="BQ872" s="147"/>
      <c r="BR872" s="147"/>
      <c r="BS872" s="147"/>
      <c r="BT872" s="147"/>
      <c r="BU872" s="147"/>
      <c r="BV872" s="147"/>
      <c r="BW872" s="147"/>
      <c r="BX872" s="147"/>
      <c r="BY872" s="147"/>
      <c r="BZ872" s="147"/>
      <c r="CA872" s="147"/>
      <c r="CB872" s="147"/>
      <c r="CC872" s="147"/>
      <c r="CD872" s="147"/>
      <c r="CE872" s="147"/>
      <c r="CF872" s="147"/>
      <c r="CG872" s="147"/>
      <c r="CH872" s="147"/>
      <c r="CI872" s="147"/>
      <c r="CJ872" s="147"/>
      <c r="CK872" s="147"/>
    </row>
    <row r="873" spans="1:89">
      <c r="A873" s="157"/>
      <c r="F873" s="3"/>
      <c r="G873" s="3"/>
      <c r="L873" s="157"/>
      <c r="M873" s="157"/>
      <c r="O873" s="147"/>
      <c r="P873" s="147"/>
      <c r="Q873" s="147"/>
      <c r="R873" s="147"/>
      <c r="S873" s="147"/>
      <c r="T873" s="147"/>
      <c r="U873" s="147"/>
      <c r="V873" s="147"/>
      <c r="W873" s="147"/>
      <c r="X873" s="147"/>
      <c r="Y873" s="147"/>
      <c r="Z873" s="147"/>
      <c r="AA873" s="147"/>
      <c r="AB873" s="147"/>
      <c r="AC873" s="147"/>
      <c r="AD873" s="147"/>
      <c r="AE873" s="147"/>
      <c r="AF873" s="147"/>
      <c r="AG873" s="147"/>
      <c r="AH873" s="147"/>
      <c r="AI873" s="147"/>
      <c r="AJ873" s="147"/>
      <c r="AK873" s="147"/>
      <c r="AL873" s="147"/>
      <c r="AM873" s="151"/>
      <c r="AN873" s="147"/>
      <c r="AO873" s="147"/>
      <c r="AP873" s="147"/>
      <c r="AQ873" s="147"/>
      <c r="AR873" s="147"/>
      <c r="AS873" s="147"/>
      <c r="AT873" s="147"/>
      <c r="AU873" s="147"/>
      <c r="AV873" s="147"/>
      <c r="AW873" s="147"/>
      <c r="AX873" s="147"/>
      <c r="AY873" s="147"/>
      <c r="AZ873" s="147"/>
      <c r="BA873" s="147"/>
      <c r="BB873" s="147"/>
      <c r="BC873" s="147"/>
      <c r="BD873" s="147"/>
      <c r="BE873" s="147"/>
      <c r="BF873" s="147"/>
      <c r="BG873" s="147"/>
      <c r="BH873" s="147"/>
      <c r="BI873" s="147"/>
      <c r="BJ873" s="147"/>
      <c r="BK873" s="147"/>
      <c r="BL873" s="147"/>
      <c r="BM873" s="147"/>
      <c r="BN873" s="147"/>
      <c r="BO873" s="147"/>
      <c r="BP873" s="147"/>
      <c r="BQ873" s="147"/>
      <c r="BR873" s="147"/>
      <c r="BS873" s="147"/>
      <c r="BT873" s="147"/>
      <c r="BU873" s="147"/>
      <c r="BV873" s="147"/>
      <c r="BW873" s="147"/>
      <c r="BX873" s="147"/>
      <c r="BY873" s="147"/>
      <c r="BZ873" s="147"/>
      <c r="CA873" s="147"/>
      <c r="CB873" s="147"/>
      <c r="CC873" s="147"/>
      <c r="CD873" s="147"/>
      <c r="CE873" s="147"/>
      <c r="CF873" s="147"/>
      <c r="CG873" s="147"/>
      <c r="CH873" s="147"/>
      <c r="CI873" s="147"/>
      <c r="CJ873" s="147"/>
      <c r="CK873" s="147"/>
    </row>
    <row r="874" spans="1:89">
      <c r="A874" s="157"/>
      <c r="F874" s="3"/>
      <c r="G874" s="3"/>
      <c r="L874" s="157"/>
      <c r="M874" s="157"/>
      <c r="O874" s="147"/>
      <c r="P874" s="147"/>
      <c r="Q874" s="147"/>
      <c r="R874" s="147"/>
      <c r="S874" s="147"/>
      <c r="T874" s="147"/>
      <c r="U874" s="147"/>
      <c r="V874" s="147"/>
      <c r="W874" s="147"/>
      <c r="X874" s="147"/>
      <c r="Y874" s="147"/>
      <c r="Z874" s="147"/>
      <c r="AA874" s="147"/>
      <c r="AB874" s="147"/>
      <c r="AC874" s="147"/>
      <c r="AD874" s="147"/>
      <c r="AE874" s="147"/>
      <c r="AF874" s="147"/>
      <c r="AG874" s="147"/>
      <c r="AH874" s="147"/>
      <c r="AI874" s="147"/>
      <c r="AJ874" s="147"/>
      <c r="AK874" s="147"/>
      <c r="AL874" s="147"/>
      <c r="AM874" s="151"/>
      <c r="AN874" s="147"/>
      <c r="AO874" s="147"/>
      <c r="AP874" s="147"/>
      <c r="AQ874" s="147"/>
      <c r="AR874" s="147"/>
      <c r="AS874" s="147"/>
      <c r="AT874" s="147"/>
      <c r="AU874" s="147"/>
      <c r="AV874" s="147"/>
      <c r="AW874" s="147"/>
      <c r="AX874" s="147"/>
      <c r="AY874" s="147"/>
      <c r="AZ874" s="147"/>
      <c r="BA874" s="147"/>
      <c r="BB874" s="147"/>
      <c r="BC874" s="147"/>
      <c r="BD874" s="147"/>
      <c r="BE874" s="147"/>
      <c r="BF874" s="147"/>
      <c r="BG874" s="147"/>
      <c r="BH874" s="147"/>
      <c r="BI874" s="147"/>
      <c r="BJ874" s="147"/>
      <c r="BK874" s="147"/>
      <c r="BL874" s="147"/>
      <c r="BM874" s="147"/>
      <c r="BN874" s="147"/>
      <c r="BO874" s="147"/>
      <c r="BP874" s="147"/>
      <c r="BQ874" s="147"/>
      <c r="BR874" s="147"/>
      <c r="BS874" s="147"/>
      <c r="BT874" s="147"/>
      <c r="BU874" s="147"/>
      <c r="BV874" s="147"/>
      <c r="BW874" s="147"/>
      <c r="BX874" s="147"/>
      <c r="BY874" s="147"/>
      <c r="BZ874" s="147"/>
      <c r="CA874" s="147"/>
      <c r="CB874" s="147"/>
      <c r="CC874" s="147"/>
      <c r="CD874" s="147"/>
      <c r="CE874" s="147"/>
      <c r="CF874" s="147"/>
      <c r="CG874" s="147"/>
      <c r="CH874" s="147"/>
      <c r="CI874" s="147"/>
      <c r="CJ874" s="147"/>
      <c r="CK874" s="147"/>
    </row>
    <row r="875" spans="1:89">
      <c r="A875" s="157"/>
      <c r="F875" s="3"/>
      <c r="G875" s="3"/>
      <c r="L875" s="157"/>
      <c r="M875" s="157"/>
      <c r="O875" s="147"/>
      <c r="P875" s="147"/>
      <c r="Q875" s="147"/>
      <c r="R875" s="147"/>
      <c r="S875" s="147"/>
      <c r="T875" s="147"/>
      <c r="U875" s="147"/>
      <c r="V875" s="147"/>
      <c r="W875" s="147"/>
      <c r="X875" s="147"/>
      <c r="Y875" s="147"/>
      <c r="Z875" s="147"/>
      <c r="AA875" s="147"/>
      <c r="AB875" s="147"/>
      <c r="AC875" s="147"/>
      <c r="AD875" s="147"/>
      <c r="AE875" s="147"/>
      <c r="AF875" s="147"/>
      <c r="AG875" s="147"/>
      <c r="AH875" s="147"/>
      <c r="AI875" s="147"/>
      <c r="AJ875" s="147"/>
      <c r="AK875" s="147"/>
      <c r="AL875" s="147"/>
      <c r="AM875" s="151"/>
      <c r="AN875" s="147"/>
      <c r="AO875" s="147"/>
      <c r="AP875" s="147"/>
      <c r="AQ875" s="147"/>
      <c r="AR875" s="147"/>
      <c r="AS875" s="147"/>
      <c r="AT875" s="147"/>
      <c r="AU875" s="147"/>
      <c r="AV875" s="147"/>
      <c r="AW875" s="147"/>
      <c r="AX875" s="147"/>
      <c r="AY875" s="147"/>
      <c r="AZ875" s="147"/>
      <c r="BA875" s="147"/>
      <c r="BB875" s="147"/>
      <c r="BC875" s="147"/>
      <c r="BD875" s="147"/>
      <c r="BE875" s="147"/>
      <c r="BF875" s="147"/>
      <c r="BG875" s="147"/>
      <c r="BH875" s="147"/>
      <c r="BI875" s="147"/>
      <c r="BJ875" s="147"/>
      <c r="BK875" s="147"/>
      <c r="BL875" s="147"/>
      <c r="BM875" s="147"/>
      <c r="BN875" s="147"/>
      <c r="BO875" s="147"/>
      <c r="BP875" s="147"/>
      <c r="BQ875" s="147"/>
      <c r="BR875" s="147"/>
      <c r="BS875" s="147"/>
      <c r="BT875" s="147"/>
      <c r="BU875" s="147"/>
      <c r="BV875" s="147"/>
      <c r="BW875" s="147"/>
      <c r="BX875" s="147"/>
      <c r="BY875" s="147"/>
      <c r="BZ875" s="147"/>
      <c r="CA875" s="147"/>
      <c r="CB875" s="147"/>
      <c r="CC875" s="147"/>
      <c r="CD875" s="147"/>
      <c r="CE875" s="147"/>
      <c r="CF875" s="147"/>
      <c r="CG875" s="147"/>
      <c r="CH875" s="147"/>
      <c r="CI875" s="147"/>
      <c r="CJ875" s="147"/>
      <c r="CK875" s="147"/>
    </row>
    <row r="876" spans="1:89">
      <c r="A876" s="157"/>
      <c r="F876" s="3"/>
      <c r="G876" s="3"/>
      <c r="L876" s="157"/>
      <c r="M876" s="157"/>
      <c r="O876" s="147"/>
      <c r="P876" s="147"/>
      <c r="Q876" s="147"/>
      <c r="R876" s="147"/>
      <c r="S876" s="147"/>
      <c r="T876" s="147"/>
      <c r="U876" s="147"/>
      <c r="V876" s="147"/>
      <c r="W876" s="147"/>
      <c r="X876" s="147"/>
      <c r="Y876" s="147"/>
      <c r="Z876" s="147"/>
      <c r="AA876" s="147"/>
      <c r="AB876" s="147"/>
      <c r="AC876" s="147"/>
      <c r="AD876" s="147"/>
      <c r="AE876" s="147"/>
      <c r="AF876" s="147"/>
      <c r="AG876" s="147"/>
      <c r="AH876" s="147"/>
      <c r="AI876" s="147"/>
      <c r="AJ876" s="147"/>
      <c r="AK876" s="147"/>
      <c r="AL876" s="147"/>
      <c r="AM876" s="151"/>
      <c r="AN876" s="147"/>
      <c r="AO876" s="147"/>
      <c r="AP876" s="147"/>
      <c r="AQ876" s="147"/>
      <c r="AR876" s="147"/>
      <c r="AS876" s="147"/>
      <c r="AT876" s="147"/>
      <c r="AU876" s="147"/>
      <c r="AV876" s="147"/>
      <c r="AW876" s="147"/>
      <c r="AX876" s="147"/>
      <c r="AY876" s="147"/>
      <c r="AZ876" s="147"/>
      <c r="BA876" s="147"/>
      <c r="BB876" s="147"/>
      <c r="BC876" s="147"/>
      <c r="BD876" s="147"/>
      <c r="BE876" s="147"/>
      <c r="BF876" s="147"/>
      <c r="BG876" s="147"/>
      <c r="BH876" s="147"/>
      <c r="BI876" s="147"/>
      <c r="BJ876" s="147"/>
      <c r="BK876" s="147"/>
      <c r="BL876" s="147"/>
      <c r="BM876" s="147"/>
      <c r="BN876" s="147"/>
      <c r="BO876" s="147"/>
      <c r="BP876" s="147"/>
      <c r="BQ876" s="147"/>
      <c r="BR876" s="147"/>
      <c r="BS876" s="147"/>
      <c r="BT876" s="147"/>
      <c r="BU876" s="147"/>
      <c r="BV876" s="147"/>
      <c r="BW876" s="147"/>
      <c r="BX876" s="147"/>
      <c r="BY876" s="147"/>
      <c r="BZ876" s="147"/>
      <c r="CA876" s="147"/>
      <c r="CB876" s="147"/>
      <c r="CC876" s="147"/>
      <c r="CD876" s="147"/>
      <c r="CE876" s="147"/>
      <c r="CF876" s="147"/>
      <c r="CG876" s="147"/>
      <c r="CH876" s="147"/>
      <c r="CI876" s="147"/>
      <c r="CJ876" s="147"/>
      <c r="CK876" s="147"/>
    </row>
    <row r="877" spans="1:89">
      <c r="A877" s="157"/>
      <c r="F877" s="3"/>
      <c r="G877" s="3"/>
      <c r="L877" s="157"/>
      <c r="M877" s="157"/>
      <c r="O877" s="147"/>
      <c r="P877" s="147"/>
      <c r="Q877" s="147"/>
      <c r="R877" s="147"/>
      <c r="S877" s="147"/>
      <c r="T877" s="147"/>
      <c r="U877" s="147"/>
      <c r="V877" s="147"/>
      <c r="W877" s="147"/>
      <c r="X877" s="147"/>
      <c r="Y877" s="147"/>
      <c r="Z877" s="147"/>
      <c r="AA877" s="147"/>
      <c r="AB877" s="147"/>
      <c r="AC877" s="147"/>
      <c r="AD877" s="147"/>
      <c r="AE877" s="147"/>
      <c r="AF877" s="147"/>
      <c r="AG877" s="147"/>
      <c r="AH877" s="147"/>
      <c r="AI877" s="147"/>
      <c r="AJ877" s="147"/>
      <c r="AK877" s="147"/>
      <c r="AL877" s="147"/>
      <c r="AM877" s="151"/>
      <c r="AN877" s="147"/>
      <c r="AO877" s="147"/>
      <c r="AP877" s="147"/>
      <c r="AQ877" s="147"/>
      <c r="AR877" s="147"/>
      <c r="AS877" s="147"/>
      <c r="AT877" s="147"/>
      <c r="AU877" s="147"/>
      <c r="AV877" s="147"/>
      <c r="AW877" s="147"/>
      <c r="AX877" s="147"/>
      <c r="AY877" s="147"/>
      <c r="AZ877" s="147"/>
      <c r="BA877" s="147"/>
      <c r="BB877" s="147"/>
      <c r="BC877" s="147"/>
      <c r="BD877" s="147"/>
      <c r="BE877" s="147"/>
      <c r="BF877" s="147"/>
      <c r="BG877" s="147"/>
      <c r="BH877" s="147"/>
      <c r="BI877" s="147"/>
      <c r="BJ877" s="147"/>
      <c r="BK877" s="147"/>
      <c r="BL877" s="147"/>
      <c r="BM877" s="147"/>
      <c r="BN877" s="147"/>
      <c r="BO877" s="147"/>
      <c r="BP877" s="147"/>
      <c r="BQ877" s="147"/>
      <c r="BR877" s="147"/>
      <c r="BS877" s="147"/>
      <c r="BT877" s="147"/>
      <c r="BU877" s="147"/>
      <c r="BV877" s="147"/>
      <c r="BW877" s="147"/>
      <c r="BX877" s="147"/>
      <c r="BY877" s="147"/>
      <c r="BZ877" s="147"/>
      <c r="CA877" s="147"/>
      <c r="CB877" s="147"/>
      <c r="CC877" s="147"/>
      <c r="CD877" s="147"/>
      <c r="CE877" s="147"/>
      <c r="CF877" s="147"/>
      <c r="CG877" s="147"/>
      <c r="CH877" s="147"/>
      <c r="CI877" s="147"/>
      <c r="CJ877" s="147"/>
      <c r="CK877" s="147"/>
    </row>
    <row r="878" spans="1:89">
      <c r="A878" s="157"/>
      <c r="F878" s="3"/>
      <c r="G878" s="3"/>
      <c r="L878" s="157"/>
      <c r="M878" s="157"/>
      <c r="O878" s="147"/>
      <c r="P878" s="147"/>
      <c r="Q878" s="147"/>
      <c r="R878" s="147"/>
      <c r="S878" s="147"/>
      <c r="T878" s="147"/>
      <c r="U878" s="147"/>
      <c r="V878" s="147"/>
      <c r="W878" s="147"/>
      <c r="X878" s="147"/>
      <c r="Y878" s="147"/>
      <c r="Z878" s="147"/>
      <c r="AA878" s="147"/>
      <c r="AB878" s="147"/>
      <c r="AC878" s="147"/>
      <c r="AD878" s="147"/>
      <c r="AE878" s="147"/>
      <c r="AF878" s="147"/>
      <c r="AG878" s="147"/>
      <c r="AH878" s="147"/>
      <c r="AI878" s="147"/>
      <c r="AJ878" s="147"/>
      <c r="AK878" s="147"/>
      <c r="AL878" s="147"/>
      <c r="AM878" s="151"/>
      <c r="AN878" s="147"/>
      <c r="AO878" s="147"/>
      <c r="AP878" s="147"/>
      <c r="AQ878" s="147"/>
      <c r="AR878" s="147"/>
      <c r="AS878" s="147"/>
      <c r="AT878" s="147"/>
      <c r="AU878" s="147"/>
      <c r="AV878" s="147"/>
      <c r="AW878" s="147"/>
      <c r="AX878" s="147"/>
      <c r="AY878" s="147"/>
      <c r="AZ878" s="147"/>
      <c r="BA878" s="147"/>
      <c r="BB878" s="147"/>
      <c r="BC878" s="147"/>
      <c r="BD878" s="147"/>
      <c r="BE878" s="147"/>
      <c r="BF878" s="147"/>
      <c r="BG878" s="147"/>
      <c r="BH878" s="147"/>
      <c r="BI878" s="147"/>
      <c r="BJ878" s="147"/>
      <c r="BK878" s="147"/>
      <c r="BL878" s="147"/>
      <c r="BM878" s="147"/>
      <c r="BN878" s="147"/>
      <c r="BO878" s="147"/>
      <c r="BP878" s="147"/>
      <c r="BQ878" s="147"/>
      <c r="BR878" s="147"/>
      <c r="BS878" s="147"/>
      <c r="BT878" s="147"/>
      <c r="BU878" s="147"/>
      <c r="BV878" s="147"/>
      <c r="BW878" s="147"/>
      <c r="BX878" s="147"/>
      <c r="BY878" s="147"/>
      <c r="BZ878" s="147"/>
      <c r="CA878" s="147"/>
      <c r="CB878" s="147"/>
      <c r="CC878" s="147"/>
      <c r="CD878" s="147"/>
      <c r="CE878" s="147"/>
      <c r="CF878" s="147"/>
      <c r="CG878" s="147"/>
      <c r="CH878" s="147"/>
      <c r="CI878" s="147"/>
      <c r="CJ878" s="147"/>
      <c r="CK878" s="147"/>
    </row>
    <row r="879" spans="1:89">
      <c r="A879" s="157"/>
      <c r="F879" s="3"/>
      <c r="G879" s="3"/>
      <c r="L879" s="157"/>
      <c r="M879" s="157"/>
      <c r="O879" s="147"/>
      <c r="P879" s="147"/>
      <c r="Q879" s="147"/>
      <c r="R879" s="147"/>
      <c r="S879" s="147"/>
      <c r="T879" s="147"/>
      <c r="U879" s="147"/>
      <c r="V879" s="147"/>
      <c r="W879" s="147"/>
      <c r="X879" s="147"/>
      <c r="Y879" s="147"/>
      <c r="Z879" s="147"/>
      <c r="AA879" s="147"/>
      <c r="AB879" s="147"/>
      <c r="AC879" s="147"/>
      <c r="AD879" s="147"/>
      <c r="AE879" s="147"/>
      <c r="AF879" s="147"/>
      <c r="AG879" s="147"/>
      <c r="AH879" s="147"/>
      <c r="AI879" s="147"/>
      <c r="AJ879" s="147"/>
      <c r="AK879" s="147"/>
      <c r="AL879" s="147"/>
      <c r="AM879" s="151"/>
      <c r="AN879" s="147"/>
      <c r="AO879" s="147"/>
      <c r="AP879" s="147"/>
      <c r="AQ879" s="147"/>
      <c r="AR879" s="147"/>
      <c r="AS879" s="147"/>
      <c r="AT879" s="147"/>
      <c r="AU879" s="147"/>
      <c r="AV879" s="147"/>
      <c r="AW879" s="147"/>
      <c r="AX879" s="147"/>
      <c r="AY879" s="147"/>
      <c r="AZ879" s="147"/>
      <c r="BA879" s="147"/>
      <c r="BB879" s="147"/>
      <c r="BC879" s="147"/>
      <c r="BD879" s="147"/>
      <c r="BE879" s="147"/>
      <c r="BF879" s="147"/>
      <c r="BG879" s="147"/>
      <c r="BH879" s="147"/>
      <c r="BI879" s="147"/>
      <c r="BJ879" s="147"/>
      <c r="BK879" s="147"/>
      <c r="BL879" s="147"/>
      <c r="BM879" s="147"/>
      <c r="BN879" s="147"/>
      <c r="BO879" s="147"/>
      <c r="BP879" s="147"/>
      <c r="BQ879" s="147"/>
      <c r="BR879" s="147"/>
      <c r="BS879" s="147"/>
      <c r="BT879" s="147"/>
      <c r="BU879" s="147"/>
      <c r="BV879" s="147"/>
      <c r="BW879" s="147"/>
      <c r="BX879" s="147"/>
      <c r="BY879" s="147"/>
      <c r="BZ879" s="147"/>
      <c r="CA879" s="147"/>
      <c r="CB879" s="147"/>
      <c r="CC879" s="147"/>
      <c r="CD879" s="147"/>
      <c r="CE879" s="147"/>
      <c r="CF879" s="147"/>
      <c r="CG879" s="147"/>
      <c r="CH879" s="147"/>
      <c r="CI879" s="147"/>
      <c r="CJ879" s="147"/>
      <c r="CK879" s="147"/>
    </row>
    <row r="880" spans="1:89">
      <c r="A880" s="157"/>
      <c r="F880" s="3"/>
      <c r="G880" s="3"/>
      <c r="L880" s="157"/>
      <c r="M880" s="157"/>
      <c r="O880" s="147"/>
      <c r="P880" s="147"/>
      <c r="Q880" s="147"/>
      <c r="R880" s="147"/>
      <c r="S880" s="147"/>
      <c r="T880" s="147"/>
      <c r="U880" s="147"/>
      <c r="V880" s="147"/>
      <c r="W880" s="147"/>
      <c r="X880" s="147"/>
      <c r="Y880" s="147"/>
      <c r="Z880" s="147"/>
      <c r="AA880" s="147"/>
      <c r="AB880" s="147"/>
      <c r="AC880" s="147"/>
      <c r="AD880" s="147"/>
      <c r="AE880" s="147"/>
      <c r="AF880" s="147"/>
      <c r="AG880" s="147"/>
      <c r="AH880" s="147"/>
      <c r="AI880" s="147"/>
      <c r="AJ880" s="147"/>
      <c r="AK880" s="147"/>
      <c r="AL880" s="147"/>
      <c r="AM880" s="151"/>
      <c r="AN880" s="147"/>
      <c r="AO880" s="147"/>
      <c r="AP880" s="147"/>
      <c r="AQ880" s="147"/>
      <c r="AR880" s="147"/>
      <c r="AS880" s="147"/>
      <c r="AT880" s="147"/>
      <c r="AU880" s="147"/>
      <c r="AV880" s="147"/>
      <c r="AW880" s="147"/>
      <c r="AX880" s="147"/>
      <c r="AY880" s="147"/>
      <c r="AZ880" s="147"/>
      <c r="BA880" s="147"/>
      <c r="BB880" s="147"/>
      <c r="BC880" s="147"/>
      <c r="BD880" s="147"/>
      <c r="BE880" s="147"/>
      <c r="BF880" s="147"/>
      <c r="BG880" s="147"/>
      <c r="BH880" s="147"/>
      <c r="BI880" s="147"/>
      <c r="BJ880" s="147"/>
      <c r="BK880" s="147"/>
      <c r="BL880" s="147"/>
      <c r="BM880" s="147"/>
      <c r="BN880" s="147"/>
      <c r="BO880" s="147"/>
      <c r="BP880" s="147"/>
      <c r="BQ880" s="147"/>
      <c r="BR880" s="147"/>
      <c r="BS880" s="147"/>
      <c r="BT880" s="147"/>
      <c r="BU880" s="147"/>
      <c r="BV880" s="147"/>
      <c r="BW880" s="147"/>
      <c r="BX880" s="147"/>
      <c r="BY880" s="147"/>
      <c r="BZ880" s="147"/>
      <c r="CA880" s="147"/>
      <c r="CB880" s="147"/>
      <c r="CC880" s="147"/>
      <c r="CD880" s="147"/>
      <c r="CE880" s="147"/>
      <c r="CF880" s="147"/>
      <c r="CG880" s="147"/>
      <c r="CH880" s="147"/>
      <c r="CI880" s="147"/>
      <c r="CJ880" s="147"/>
      <c r="CK880" s="147"/>
    </row>
    <row r="881" spans="1:89">
      <c r="A881" s="157"/>
      <c r="F881" s="3"/>
      <c r="G881" s="3"/>
      <c r="L881" s="157"/>
      <c r="M881" s="157"/>
      <c r="O881" s="147"/>
      <c r="P881" s="147"/>
      <c r="Q881" s="147"/>
      <c r="R881" s="147"/>
      <c r="S881" s="147"/>
      <c r="T881" s="147"/>
      <c r="U881" s="147"/>
      <c r="V881" s="147"/>
      <c r="W881" s="147"/>
      <c r="X881" s="147"/>
      <c r="Y881" s="147"/>
      <c r="Z881" s="147"/>
      <c r="AA881" s="147"/>
      <c r="AB881" s="147"/>
      <c r="AC881" s="147"/>
      <c r="AD881" s="147"/>
      <c r="AE881" s="147"/>
      <c r="AF881" s="147"/>
      <c r="AG881" s="147"/>
      <c r="AH881" s="147"/>
      <c r="AI881" s="147"/>
      <c r="AJ881" s="147"/>
      <c r="AK881" s="147"/>
      <c r="AL881" s="147"/>
      <c r="AM881" s="151"/>
      <c r="AN881" s="147"/>
      <c r="AO881" s="147"/>
      <c r="AP881" s="147"/>
      <c r="AQ881" s="147"/>
      <c r="AR881" s="147"/>
      <c r="AS881" s="147"/>
      <c r="AT881" s="147"/>
      <c r="AU881" s="147"/>
      <c r="AV881" s="147"/>
      <c r="AW881" s="147"/>
      <c r="AX881" s="147"/>
      <c r="AY881" s="147"/>
      <c r="AZ881" s="147"/>
      <c r="BA881" s="147"/>
      <c r="BB881" s="147"/>
      <c r="BC881" s="147"/>
      <c r="BD881" s="147"/>
      <c r="BE881" s="147"/>
      <c r="BF881" s="147"/>
      <c r="BG881" s="147"/>
      <c r="BH881" s="147"/>
      <c r="BI881" s="147"/>
      <c r="BJ881" s="147"/>
      <c r="BK881" s="147"/>
      <c r="BL881" s="147"/>
      <c r="BM881" s="147"/>
      <c r="BN881" s="147"/>
      <c r="BO881" s="147"/>
      <c r="BP881" s="147"/>
      <c r="BQ881" s="147"/>
      <c r="BR881" s="147"/>
      <c r="BS881" s="147"/>
      <c r="BT881" s="147"/>
      <c r="BU881" s="147"/>
      <c r="BV881" s="147"/>
      <c r="BW881" s="147"/>
      <c r="BX881" s="147"/>
      <c r="BY881" s="147"/>
      <c r="BZ881" s="147"/>
      <c r="CA881" s="147"/>
      <c r="CB881" s="147"/>
      <c r="CC881" s="147"/>
      <c r="CD881" s="147"/>
      <c r="CE881" s="147"/>
      <c r="CF881" s="147"/>
      <c r="CG881" s="147"/>
      <c r="CH881" s="147"/>
      <c r="CI881" s="147"/>
      <c r="CJ881" s="147"/>
      <c r="CK881" s="147"/>
    </row>
    <row r="882" spans="1:89">
      <c r="A882" s="157"/>
      <c r="F882" s="3"/>
      <c r="G882" s="3"/>
      <c r="L882" s="157"/>
      <c r="M882" s="157"/>
      <c r="O882" s="147"/>
      <c r="P882" s="147"/>
      <c r="Q882" s="147"/>
      <c r="R882" s="147"/>
      <c r="S882" s="147"/>
      <c r="T882" s="147"/>
      <c r="U882" s="147"/>
      <c r="V882" s="147"/>
      <c r="W882" s="147"/>
      <c r="X882" s="147"/>
      <c r="Y882" s="147"/>
      <c r="Z882" s="147"/>
      <c r="AA882" s="147"/>
      <c r="AB882" s="147"/>
      <c r="AC882" s="147"/>
      <c r="AD882" s="147"/>
      <c r="AE882" s="147"/>
      <c r="AF882" s="147"/>
      <c r="AG882" s="147"/>
      <c r="AH882" s="147"/>
      <c r="AI882" s="147"/>
      <c r="AJ882" s="147"/>
      <c r="AK882" s="147"/>
      <c r="AL882" s="147"/>
      <c r="AM882" s="151"/>
      <c r="AN882" s="147"/>
      <c r="AO882" s="147"/>
      <c r="AP882" s="147"/>
      <c r="AQ882" s="147"/>
      <c r="AR882" s="147"/>
      <c r="AS882" s="147"/>
      <c r="AT882" s="147"/>
      <c r="AU882" s="147"/>
      <c r="AV882" s="147"/>
      <c r="AW882" s="147"/>
      <c r="AX882" s="147"/>
      <c r="AY882" s="147"/>
      <c r="AZ882" s="147"/>
      <c r="BA882" s="147"/>
      <c r="BB882" s="147"/>
      <c r="BC882" s="147"/>
      <c r="BD882" s="147"/>
      <c r="BE882" s="147"/>
      <c r="BF882" s="147"/>
      <c r="BG882" s="147"/>
      <c r="BH882" s="147"/>
      <c r="BI882" s="147"/>
      <c r="BJ882" s="147"/>
      <c r="BK882" s="147"/>
      <c r="BL882" s="147"/>
      <c r="BM882" s="147"/>
      <c r="BN882" s="147"/>
      <c r="BO882" s="147"/>
      <c r="BP882" s="147"/>
      <c r="BQ882" s="147"/>
      <c r="BR882" s="147"/>
      <c r="BS882" s="147"/>
      <c r="BT882" s="147"/>
      <c r="BU882" s="147"/>
      <c r="BV882" s="147"/>
      <c r="BW882" s="147"/>
      <c r="BX882" s="147"/>
      <c r="BY882" s="147"/>
      <c r="BZ882" s="147"/>
      <c r="CA882" s="147"/>
      <c r="CB882" s="147"/>
      <c r="CC882" s="147"/>
      <c r="CD882" s="147"/>
      <c r="CE882" s="147"/>
      <c r="CF882" s="147"/>
      <c r="CG882" s="147"/>
      <c r="CH882" s="147"/>
      <c r="CI882" s="147"/>
      <c r="CJ882" s="147"/>
      <c r="CK882" s="147"/>
    </row>
    <row r="883" spans="1:89">
      <c r="A883" s="157"/>
      <c r="F883" s="3"/>
      <c r="G883" s="3"/>
      <c r="L883" s="157"/>
      <c r="M883" s="157"/>
      <c r="O883" s="147"/>
      <c r="P883" s="147"/>
      <c r="Q883" s="147"/>
      <c r="R883" s="147"/>
      <c r="S883" s="147"/>
      <c r="T883" s="147"/>
      <c r="U883" s="147"/>
      <c r="V883" s="147"/>
      <c r="W883" s="147"/>
      <c r="X883" s="147"/>
      <c r="Y883" s="147"/>
      <c r="Z883" s="147"/>
      <c r="AA883" s="147"/>
      <c r="AB883" s="147"/>
      <c r="AC883" s="147"/>
      <c r="AD883" s="147"/>
      <c r="AE883" s="147"/>
      <c r="AF883" s="147"/>
      <c r="AG883" s="147"/>
      <c r="AH883" s="147"/>
      <c r="AI883" s="147"/>
      <c r="AJ883" s="147"/>
      <c r="AK883" s="147"/>
      <c r="AL883" s="147"/>
      <c r="AM883" s="151"/>
      <c r="AN883" s="147"/>
      <c r="AO883" s="147"/>
      <c r="AP883" s="147"/>
      <c r="AQ883" s="147"/>
      <c r="AR883" s="147"/>
      <c r="AS883" s="147"/>
      <c r="AT883" s="147"/>
      <c r="AU883" s="147"/>
      <c r="AV883" s="147"/>
      <c r="AW883" s="147"/>
      <c r="AX883" s="147"/>
      <c r="AY883" s="147"/>
      <c r="AZ883" s="147"/>
      <c r="BA883" s="147"/>
      <c r="BB883" s="147"/>
      <c r="BC883" s="147"/>
      <c r="BD883" s="147"/>
      <c r="BE883" s="147"/>
      <c r="BF883" s="147"/>
      <c r="BG883" s="147"/>
      <c r="BH883" s="147"/>
      <c r="BI883" s="147"/>
      <c r="BJ883" s="147"/>
      <c r="BK883" s="147"/>
      <c r="BL883" s="147"/>
      <c r="BM883" s="147"/>
      <c r="BN883" s="147"/>
      <c r="BO883" s="147"/>
      <c r="BP883" s="147"/>
      <c r="BQ883" s="147"/>
      <c r="BR883" s="147"/>
      <c r="BS883" s="147"/>
      <c r="BT883" s="147"/>
      <c r="BU883" s="147"/>
      <c r="BV883" s="147"/>
      <c r="BW883" s="147"/>
      <c r="BX883" s="147"/>
      <c r="BY883" s="147"/>
      <c r="BZ883" s="147"/>
      <c r="CA883" s="147"/>
      <c r="CB883" s="147"/>
      <c r="CC883" s="147"/>
      <c r="CD883" s="147"/>
      <c r="CE883" s="147"/>
      <c r="CF883" s="147"/>
      <c r="CG883" s="147"/>
      <c r="CH883" s="147"/>
      <c r="CI883" s="147"/>
      <c r="CJ883" s="147"/>
      <c r="CK883" s="147"/>
    </row>
    <row r="884" spans="1:89">
      <c r="A884" s="157"/>
      <c r="F884" s="3"/>
      <c r="G884" s="3"/>
      <c r="L884" s="157"/>
      <c r="M884" s="157"/>
      <c r="O884" s="147"/>
      <c r="P884" s="147"/>
      <c r="Q884" s="147"/>
      <c r="R884" s="147"/>
      <c r="S884" s="147"/>
      <c r="T884" s="147"/>
      <c r="U884" s="147"/>
      <c r="V884" s="147"/>
      <c r="W884" s="147"/>
      <c r="X884" s="147"/>
      <c r="Y884" s="147"/>
      <c r="Z884" s="147"/>
      <c r="AA884" s="147"/>
      <c r="AB884" s="147"/>
      <c r="AC884" s="147"/>
      <c r="AD884" s="147"/>
      <c r="AE884" s="147"/>
      <c r="AF884" s="147"/>
      <c r="AG884" s="147"/>
      <c r="AH884" s="147"/>
      <c r="AI884" s="147"/>
      <c r="AJ884" s="147"/>
      <c r="AK884" s="147"/>
      <c r="AL884" s="147"/>
      <c r="AM884" s="151"/>
      <c r="AN884" s="147"/>
      <c r="AO884" s="147"/>
      <c r="AP884" s="147"/>
      <c r="AQ884" s="147"/>
      <c r="AR884" s="147"/>
      <c r="AS884" s="147"/>
      <c r="AT884" s="147"/>
      <c r="AU884" s="147"/>
      <c r="AV884" s="147"/>
      <c r="AW884" s="147"/>
      <c r="AX884" s="147"/>
      <c r="AY884" s="147"/>
      <c r="AZ884" s="147"/>
      <c r="BA884" s="147"/>
      <c r="BB884" s="147"/>
      <c r="BC884" s="147"/>
      <c r="BD884" s="147"/>
      <c r="BE884" s="147"/>
      <c r="BF884" s="147"/>
      <c r="BG884" s="147"/>
      <c r="BH884" s="147"/>
      <c r="BI884" s="147"/>
      <c r="BJ884" s="147"/>
      <c r="BK884" s="147"/>
      <c r="BL884" s="147"/>
      <c r="BM884" s="147"/>
      <c r="BN884" s="147"/>
      <c r="BO884" s="147"/>
      <c r="BP884" s="147"/>
      <c r="BQ884" s="147"/>
      <c r="BR884" s="147"/>
      <c r="BS884" s="147"/>
      <c r="BT884" s="147"/>
      <c r="BU884" s="147"/>
      <c r="BV884" s="147"/>
      <c r="BW884" s="147"/>
      <c r="BX884" s="147"/>
      <c r="BY884" s="147"/>
      <c r="BZ884" s="147"/>
      <c r="CA884" s="147"/>
      <c r="CB884" s="147"/>
      <c r="CC884" s="147"/>
      <c r="CD884" s="147"/>
      <c r="CE884" s="147"/>
      <c r="CF884" s="147"/>
      <c r="CG884" s="147"/>
      <c r="CH884" s="147"/>
      <c r="CI884" s="147"/>
      <c r="CJ884" s="147"/>
      <c r="CK884" s="147"/>
    </row>
    <row r="885" spans="1:89">
      <c r="A885" s="157"/>
      <c r="F885" s="3"/>
      <c r="G885" s="3"/>
      <c r="L885" s="157"/>
      <c r="M885" s="157"/>
      <c r="O885" s="147"/>
      <c r="P885" s="147"/>
      <c r="Q885" s="147"/>
      <c r="R885" s="147"/>
      <c r="S885" s="147"/>
      <c r="T885" s="147"/>
      <c r="U885" s="147"/>
      <c r="V885" s="147"/>
      <c r="W885" s="147"/>
      <c r="X885" s="147"/>
      <c r="Y885" s="147"/>
      <c r="Z885" s="147"/>
      <c r="AA885" s="147"/>
      <c r="AB885" s="147"/>
      <c r="AC885" s="147"/>
      <c r="AD885" s="147"/>
      <c r="AE885" s="147"/>
      <c r="AF885" s="147"/>
      <c r="AG885" s="147"/>
      <c r="AH885" s="147"/>
      <c r="AI885" s="147"/>
      <c r="AJ885" s="147"/>
      <c r="AK885" s="147"/>
      <c r="AL885" s="147"/>
      <c r="AM885" s="151"/>
      <c r="AN885" s="147"/>
      <c r="AO885" s="147"/>
      <c r="AP885" s="147"/>
      <c r="AQ885" s="147"/>
      <c r="AR885" s="147"/>
      <c r="AS885" s="147"/>
      <c r="AT885" s="147"/>
      <c r="AU885" s="147"/>
      <c r="AV885" s="147"/>
      <c r="AW885" s="147"/>
      <c r="AX885" s="147"/>
      <c r="AY885" s="147"/>
      <c r="AZ885" s="147"/>
      <c r="BA885" s="147"/>
      <c r="BB885" s="147"/>
      <c r="BC885" s="147"/>
      <c r="BD885" s="147"/>
      <c r="BE885" s="147"/>
      <c r="BF885" s="147"/>
      <c r="BG885" s="147"/>
      <c r="BH885" s="147"/>
      <c r="BI885" s="147"/>
      <c r="BJ885" s="147"/>
      <c r="BK885" s="147"/>
      <c r="BL885" s="147"/>
      <c r="BM885" s="147"/>
      <c r="BN885" s="147"/>
      <c r="BO885" s="147"/>
      <c r="BP885" s="147"/>
      <c r="BQ885" s="147"/>
      <c r="BR885" s="147"/>
      <c r="BS885" s="147"/>
      <c r="BT885" s="147"/>
      <c r="BU885" s="147"/>
      <c r="BV885" s="147"/>
      <c r="BW885" s="147"/>
      <c r="BX885" s="147"/>
      <c r="BY885" s="147"/>
      <c r="BZ885" s="147"/>
      <c r="CA885" s="147"/>
      <c r="CB885" s="147"/>
      <c r="CC885" s="147"/>
      <c r="CD885" s="147"/>
      <c r="CE885" s="147"/>
      <c r="CF885" s="147"/>
      <c r="CG885" s="147"/>
      <c r="CH885" s="147"/>
      <c r="CI885" s="147"/>
      <c r="CJ885" s="147"/>
      <c r="CK885" s="147"/>
    </row>
    <row r="886" spans="1:89">
      <c r="A886" s="157"/>
      <c r="F886" s="3"/>
      <c r="G886" s="3"/>
      <c r="L886" s="157"/>
      <c r="M886" s="157"/>
      <c r="O886" s="147"/>
      <c r="P886" s="147"/>
      <c r="Q886" s="147"/>
      <c r="R886" s="147"/>
      <c r="S886" s="147"/>
      <c r="T886" s="147"/>
      <c r="U886" s="147"/>
      <c r="V886" s="147"/>
      <c r="W886" s="147"/>
      <c r="X886" s="147"/>
      <c r="Y886" s="147"/>
      <c r="Z886" s="147"/>
      <c r="AA886" s="147"/>
      <c r="AB886" s="147"/>
      <c r="AC886" s="147"/>
      <c r="AD886" s="147"/>
      <c r="AE886" s="147"/>
      <c r="AF886" s="147"/>
      <c r="AG886" s="147"/>
      <c r="AH886" s="147"/>
      <c r="AI886" s="147"/>
      <c r="AJ886" s="147"/>
      <c r="AK886" s="147"/>
      <c r="AL886" s="147"/>
      <c r="AM886" s="151"/>
      <c r="AN886" s="147"/>
      <c r="AO886" s="147"/>
      <c r="AP886" s="147"/>
      <c r="AQ886" s="147"/>
      <c r="AR886" s="147"/>
      <c r="AS886" s="147"/>
      <c r="AT886" s="147"/>
      <c r="AU886" s="147"/>
      <c r="AV886" s="147"/>
      <c r="AW886" s="147"/>
      <c r="AX886" s="147"/>
      <c r="AY886" s="147"/>
      <c r="AZ886" s="147"/>
      <c r="BA886" s="147"/>
      <c r="BB886" s="147"/>
      <c r="BC886" s="147"/>
      <c r="BD886" s="147"/>
      <c r="BE886" s="147"/>
      <c r="BF886" s="147"/>
      <c r="BG886" s="147"/>
      <c r="BH886" s="147"/>
      <c r="BI886" s="147"/>
      <c r="BJ886" s="147"/>
      <c r="BK886" s="147"/>
      <c r="BL886" s="147"/>
      <c r="BM886" s="147"/>
      <c r="BN886" s="147"/>
      <c r="BO886" s="147"/>
      <c r="BP886" s="147"/>
      <c r="BQ886" s="147"/>
      <c r="BR886" s="147"/>
      <c r="BS886" s="147"/>
      <c r="BT886" s="147"/>
      <c r="BU886" s="147"/>
      <c r="BV886" s="147"/>
      <c r="BW886" s="147"/>
      <c r="BX886" s="147"/>
      <c r="BY886" s="147"/>
      <c r="BZ886" s="147"/>
      <c r="CA886" s="147"/>
      <c r="CB886" s="147"/>
      <c r="CC886" s="147"/>
      <c r="CD886" s="147"/>
      <c r="CE886" s="147"/>
      <c r="CF886" s="147"/>
      <c r="CG886" s="147"/>
      <c r="CH886" s="147"/>
      <c r="CI886" s="147"/>
      <c r="CJ886" s="147"/>
      <c r="CK886" s="147"/>
    </row>
    <row r="887" spans="1:89">
      <c r="A887" s="157"/>
      <c r="F887" s="3"/>
      <c r="G887" s="3"/>
      <c r="L887" s="157"/>
      <c r="M887" s="157"/>
      <c r="O887" s="147"/>
      <c r="P887" s="147"/>
      <c r="Q887" s="147"/>
      <c r="R887" s="147"/>
      <c r="S887" s="147"/>
      <c r="T887" s="147"/>
      <c r="U887" s="147"/>
      <c r="V887" s="147"/>
      <c r="W887" s="147"/>
      <c r="X887" s="147"/>
      <c r="Y887" s="147"/>
      <c r="Z887" s="147"/>
      <c r="AA887" s="147"/>
      <c r="AB887" s="147"/>
      <c r="AC887" s="147"/>
      <c r="AD887" s="147"/>
      <c r="AE887" s="147"/>
      <c r="AF887" s="147"/>
      <c r="AG887" s="147"/>
      <c r="AH887" s="147"/>
      <c r="AI887" s="147"/>
      <c r="AJ887" s="147"/>
      <c r="AK887" s="147"/>
      <c r="AL887" s="147"/>
      <c r="AM887" s="151"/>
      <c r="AN887" s="147"/>
      <c r="AO887" s="147"/>
      <c r="AP887" s="147"/>
      <c r="AQ887" s="147"/>
      <c r="AR887" s="147"/>
      <c r="AS887" s="147"/>
      <c r="AT887" s="147"/>
      <c r="AU887" s="147"/>
      <c r="AV887" s="147"/>
      <c r="AW887" s="147"/>
      <c r="AX887" s="147"/>
      <c r="AY887" s="147"/>
      <c r="AZ887" s="147"/>
      <c r="BA887" s="147"/>
      <c r="BB887" s="147"/>
      <c r="BC887" s="147"/>
      <c r="BD887" s="147"/>
      <c r="BE887" s="147"/>
      <c r="BF887" s="147"/>
      <c r="BG887" s="147"/>
      <c r="BH887" s="147"/>
      <c r="BI887" s="147"/>
      <c r="BJ887" s="147"/>
      <c r="BK887" s="147"/>
      <c r="BL887" s="147"/>
      <c r="BM887" s="147"/>
      <c r="BN887" s="147"/>
      <c r="BO887" s="147"/>
      <c r="BP887" s="147"/>
      <c r="BQ887" s="147"/>
      <c r="BR887" s="147"/>
      <c r="BS887" s="147"/>
      <c r="BT887" s="147"/>
      <c r="BU887" s="147"/>
      <c r="BV887" s="147"/>
      <c r="BW887" s="147"/>
      <c r="BX887" s="147"/>
      <c r="BY887" s="147"/>
      <c r="BZ887" s="147"/>
      <c r="CA887" s="147"/>
      <c r="CB887" s="147"/>
      <c r="CC887" s="147"/>
      <c r="CD887" s="147"/>
      <c r="CE887" s="147"/>
      <c r="CF887" s="147"/>
      <c r="CG887" s="147"/>
      <c r="CH887" s="147"/>
      <c r="CI887" s="147"/>
      <c r="CJ887" s="147"/>
      <c r="CK887" s="147"/>
    </row>
    <row r="888" spans="1:89">
      <c r="A888" s="157"/>
      <c r="F888" s="3"/>
      <c r="G888" s="3"/>
      <c r="L888" s="157"/>
      <c r="M888" s="157"/>
      <c r="O888" s="147"/>
      <c r="P888" s="147"/>
      <c r="Q888" s="147"/>
      <c r="R888" s="147"/>
      <c r="S888" s="147"/>
      <c r="T888" s="147"/>
      <c r="U888" s="147"/>
      <c r="V888" s="147"/>
      <c r="W888" s="147"/>
      <c r="X888" s="147"/>
      <c r="Y888" s="147"/>
      <c r="Z888" s="147"/>
      <c r="AA888" s="147"/>
      <c r="AB888" s="147"/>
      <c r="AC888" s="147"/>
      <c r="AD888" s="147"/>
      <c r="AE888" s="147"/>
      <c r="AF888" s="147"/>
      <c r="AG888" s="147"/>
      <c r="AH888" s="147"/>
      <c r="AI888" s="147"/>
      <c r="AJ888" s="147"/>
      <c r="AK888" s="147"/>
      <c r="AL888" s="147"/>
      <c r="AM888" s="151"/>
      <c r="AN888" s="147"/>
      <c r="AO888" s="147"/>
      <c r="AP888" s="147"/>
      <c r="AQ888" s="147"/>
      <c r="AR888" s="147"/>
      <c r="AS888" s="147"/>
      <c r="AT888" s="147"/>
      <c r="AU888" s="147"/>
      <c r="AV888" s="147"/>
      <c r="AW888" s="147"/>
      <c r="AX888" s="147"/>
      <c r="AY888" s="147"/>
      <c r="AZ888" s="147"/>
      <c r="BA888" s="147"/>
      <c r="BB888" s="147"/>
      <c r="BC888" s="147"/>
      <c r="BD888" s="147"/>
      <c r="BE888" s="147"/>
      <c r="BF888" s="147"/>
      <c r="BG888" s="147"/>
      <c r="BH888" s="147"/>
      <c r="BI888" s="147"/>
      <c r="BJ888" s="147"/>
      <c r="BK888" s="147"/>
      <c r="BL888" s="147"/>
      <c r="BM888" s="147"/>
      <c r="BN888" s="147"/>
      <c r="BO888" s="147"/>
      <c r="BP888" s="147"/>
      <c r="BQ888" s="147"/>
      <c r="BR888" s="147"/>
      <c r="BS888" s="147"/>
      <c r="BT888" s="147"/>
      <c r="BU888" s="147"/>
      <c r="BV888" s="147"/>
      <c r="BW888" s="147"/>
      <c r="BX888" s="147"/>
      <c r="BY888" s="147"/>
      <c r="BZ888" s="147"/>
      <c r="CA888" s="147"/>
      <c r="CB888" s="147"/>
      <c r="CC888" s="147"/>
      <c r="CD888" s="147"/>
      <c r="CE888" s="147"/>
      <c r="CF888" s="147"/>
      <c r="CG888" s="147"/>
      <c r="CH888" s="147"/>
      <c r="CI888" s="147"/>
      <c r="CJ888" s="147"/>
      <c r="CK888" s="147"/>
    </row>
    <row r="889" spans="1:89">
      <c r="A889" s="157"/>
      <c r="F889" s="3"/>
      <c r="G889" s="3"/>
      <c r="L889" s="157"/>
      <c r="M889" s="157"/>
      <c r="O889" s="147"/>
      <c r="P889" s="147"/>
      <c r="Q889" s="147"/>
      <c r="R889" s="147"/>
      <c r="S889" s="147"/>
      <c r="T889" s="147"/>
      <c r="U889" s="147"/>
      <c r="V889" s="147"/>
      <c r="W889" s="147"/>
      <c r="X889" s="147"/>
      <c r="Y889" s="147"/>
      <c r="Z889" s="147"/>
      <c r="AA889" s="147"/>
      <c r="AB889" s="147"/>
      <c r="AC889" s="147"/>
      <c r="AD889" s="147"/>
      <c r="AE889" s="147"/>
      <c r="AF889" s="147"/>
      <c r="AG889" s="147"/>
      <c r="AH889" s="147"/>
      <c r="AI889" s="147"/>
      <c r="AJ889" s="147"/>
      <c r="AK889" s="147"/>
      <c r="AL889" s="147"/>
      <c r="AM889" s="151"/>
      <c r="AN889" s="147"/>
      <c r="AO889" s="147"/>
      <c r="AP889" s="147"/>
      <c r="AQ889" s="147"/>
      <c r="AR889" s="147"/>
      <c r="AS889" s="147"/>
      <c r="AT889" s="147"/>
      <c r="AU889" s="147"/>
      <c r="AV889" s="147"/>
      <c r="AW889" s="147"/>
      <c r="AX889" s="147"/>
      <c r="AY889" s="147"/>
      <c r="AZ889" s="147"/>
      <c r="BA889" s="147"/>
      <c r="BB889" s="147"/>
      <c r="BC889" s="147"/>
      <c r="BD889" s="147"/>
      <c r="BE889" s="147"/>
      <c r="BF889" s="147"/>
      <c r="BG889" s="147"/>
      <c r="BH889" s="147"/>
      <c r="BI889" s="147"/>
      <c r="BJ889" s="147"/>
      <c r="BK889" s="147"/>
      <c r="BL889" s="147"/>
      <c r="BM889" s="147"/>
      <c r="BN889" s="147"/>
      <c r="BO889" s="147"/>
      <c r="BP889" s="147"/>
      <c r="BQ889" s="147"/>
      <c r="BR889" s="147"/>
      <c r="BS889" s="147"/>
      <c r="BT889" s="147"/>
      <c r="BU889" s="147"/>
      <c r="BV889" s="147"/>
      <c r="BW889" s="147"/>
      <c r="BX889" s="147"/>
      <c r="BY889" s="147"/>
      <c r="BZ889" s="147"/>
      <c r="CA889" s="147"/>
      <c r="CB889" s="147"/>
      <c r="CC889" s="147"/>
      <c r="CD889" s="147"/>
      <c r="CE889" s="147"/>
      <c r="CF889" s="147"/>
      <c r="CG889" s="147"/>
      <c r="CH889" s="147"/>
      <c r="CI889" s="147"/>
      <c r="CJ889" s="147"/>
      <c r="CK889" s="147"/>
    </row>
    <row r="890" spans="1:89">
      <c r="A890" s="157"/>
      <c r="F890" s="3"/>
      <c r="G890" s="3"/>
      <c r="L890" s="157"/>
      <c r="M890" s="157"/>
      <c r="O890" s="147"/>
      <c r="P890" s="147"/>
      <c r="Q890" s="147"/>
      <c r="R890" s="147"/>
      <c r="S890" s="147"/>
      <c r="T890" s="147"/>
      <c r="U890" s="147"/>
      <c r="V890" s="147"/>
      <c r="W890" s="147"/>
      <c r="X890" s="147"/>
      <c r="Y890" s="147"/>
      <c r="Z890" s="147"/>
      <c r="AA890" s="147"/>
      <c r="AB890" s="147"/>
      <c r="AC890" s="147"/>
      <c r="AD890" s="147"/>
      <c r="AE890" s="147"/>
      <c r="AF890" s="147"/>
      <c r="AG890" s="147"/>
      <c r="AH890" s="147"/>
      <c r="AI890" s="147"/>
      <c r="AJ890" s="147"/>
      <c r="AK890" s="147"/>
      <c r="AL890" s="147"/>
      <c r="AM890" s="151"/>
      <c r="AN890" s="147"/>
      <c r="AO890" s="147"/>
      <c r="AP890" s="147"/>
      <c r="AQ890" s="147"/>
      <c r="AR890" s="147"/>
      <c r="AS890" s="147"/>
      <c r="AT890" s="147"/>
      <c r="AU890" s="147"/>
      <c r="AV890" s="147"/>
      <c r="AW890" s="147"/>
      <c r="AX890" s="147"/>
      <c r="AY890" s="147"/>
      <c r="AZ890" s="147"/>
      <c r="BA890" s="147"/>
      <c r="BB890" s="147"/>
      <c r="BC890" s="147"/>
      <c r="BD890" s="147"/>
      <c r="BE890" s="147"/>
      <c r="BF890" s="147"/>
      <c r="BG890" s="147"/>
      <c r="BH890" s="147"/>
      <c r="BI890" s="147"/>
      <c r="BJ890" s="147"/>
      <c r="BK890" s="147"/>
      <c r="BL890" s="147"/>
      <c r="BM890" s="147"/>
      <c r="BN890" s="147"/>
      <c r="BO890" s="147"/>
      <c r="BP890" s="147"/>
      <c r="BQ890" s="147"/>
      <c r="BR890" s="147"/>
      <c r="BS890" s="147"/>
      <c r="BT890" s="147"/>
      <c r="BU890" s="147"/>
      <c r="BV890" s="147"/>
      <c r="BW890" s="147"/>
      <c r="BX890" s="147"/>
      <c r="BY890" s="147"/>
      <c r="BZ890" s="147"/>
      <c r="CA890" s="147"/>
      <c r="CB890" s="147"/>
      <c r="CC890" s="147"/>
      <c r="CD890" s="147"/>
      <c r="CE890" s="147"/>
      <c r="CF890" s="147"/>
      <c r="CG890" s="147"/>
      <c r="CH890" s="147"/>
      <c r="CI890" s="147"/>
      <c r="CJ890" s="147"/>
      <c r="CK890" s="147"/>
    </row>
    <row r="891" spans="1:89">
      <c r="A891" s="157"/>
      <c r="F891" s="3"/>
      <c r="G891" s="3"/>
      <c r="L891" s="157"/>
      <c r="M891" s="157"/>
      <c r="O891" s="147"/>
      <c r="P891" s="147"/>
      <c r="Q891" s="147"/>
      <c r="R891" s="147"/>
      <c r="S891" s="147"/>
      <c r="T891" s="147"/>
      <c r="U891" s="147"/>
      <c r="V891" s="147"/>
      <c r="W891" s="147"/>
      <c r="X891" s="147"/>
      <c r="Y891" s="147"/>
      <c r="Z891" s="147"/>
      <c r="AA891" s="147"/>
      <c r="AB891" s="147"/>
      <c r="AC891" s="147"/>
      <c r="AD891" s="147"/>
      <c r="AE891" s="147"/>
      <c r="AF891" s="147"/>
      <c r="AG891" s="147"/>
      <c r="AH891" s="147"/>
      <c r="AI891" s="147"/>
      <c r="AJ891" s="147"/>
      <c r="AK891" s="147"/>
      <c r="AL891" s="147"/>
      <c r="AM891" s="151"/>
      <c r="AN891" s="147"/>
      <c r="AO891" s="147"/>
      <c r="AP891" s="147"/>
      <c r="AQ891" s="147"/>
      <c r="AR891" s="147"/>
      <c r="AS891" s="147"/>
      <c r="AT891" s="147"/>
      <c r="AU891" s="147"/>
      <c r="AV891" s="147"/>
      <c r="AW891" s="147"/>
      <c r="AX891" s="147"/>
      <c r="AY891" s="147"/>
      <c r="AZ891" s="147"/>
      <c r="BA891" s="147"/>
      <c r="BB891" s="147"/>
      <c r="BC891" s="147"/>
      <c r="BD891" s="147"/>
      <c r="BE891" s="147"/>
      <c r="BF891" s="147"/>
      <c r="BG891" s="147"/>
      <c r="BH891" s="147"/>
      <c r="BI891" s="147"/>
      <c r="BJ891" s="147"/>
      <c r="BK891" s="147"/>
      <c r="BL891" s="147"/>
      <c r="BM891" s="147"/>
      <c r="BN891" s="147"/>
      <c r="BO891" s="147"/>
      <c r="BP891" s="147"/>
      <c r="BQ891" s="147"/>
      <c r="BR891" s="147"/>
      <c r="BS891" s="147"/>
      <c r="BT891" s="147"/>
      <c r="BU891" s="147"/>
      <c r="BV891" s="147"/>
      <c r="BW891" s="147"/>
      <c r="BX891" s="147"/>
      <c r="BY891" s="147"/>
      <c r="BZ891" s="147"/>
      <c r="CA891" s="147"/>
      <c r="CB891" s="147"/>
      <c r="CC891" s="147"/>
      <c r="CD891" s="147"/>
      <c r="CE891" s="147"/>
      <c r="CF891" s="147"/>
      <c r="CG891" s="147"/>
      <c r="CH891" s="147"/>
      <c r="CI891" s="147"/>
      <c r="CJ891" s="147"/>
      <c r="CK891" s="147"/>
    </row>
    <row r="892" spans="1:89">
      <c r="A892" s="157"/>
      <c r="F892" s="3"/>
      <c r="G892" s="3"/>
      <c r="L892" s="157"/>
      <c r="M892" s="157"/>
      <c r="O892" s="147"/>
      <c r="P892" s="147"/>
      <c r="Q892" s="147"/>
      <c r="R892" s="147"/>
      <c r="S892" s="147"/>
      <c r="T892" s="147"/>
      <c r="U892" s="147"/>
      <c r="V892" s="147"/>
      <c r="W892" s="147"/>
      <c r="X892" s="147"/>
      <c r="Y892" s="147"/>
      <c r="Z892" s="147"/>
      <c r="AA892" s="147"/>
      <c r="AB892" s="147"/>
      <c r="AC892" s="147"/>
      <c r="AD892" s="147"/>
      <c r="AE892" s="147"/>
      <c r="AF892" s="147"/>
      <c r="AG892" s="147"/>
      <c r="AH892" s="147"/>
      <c r="AI892" s="147"/>
      <c r="AJ892" s="147"/>
      <c r="AK892" s="147"/>
      <c r="AL892" s="147"/>
      <c r="AM892" s="151"/>
      <c r="AN892" s="147"/>
      <c r="AO892" s="147"/>
      <c r="AP892" s="147"/>
      <c r="AQ892" s="147"/>
      <c r="AR892" s="147"/>
      <c r="AS892" s="147"/>
      <c r="AT892" s="147"/>
      <c r="AU892" s="147"/>
      <c r="AV892" s="147"/>
      <c r="AW892" s="147"/>
      <c r="AX892" s="147"/>
      <c r="AY892" s="147"/>
      <c r="AZ892" s="147"/>
      <c r="BA892" s="147"/>
      <c r="BB892" s="147"/>
      <c r="BC892" s="147"/>
      <c r="BD892" s="147"/>
      <c r="BE892" s="147"/>
      <c r="BF892" s="147"/>
      <c r="BG892" s="147"/>
      <c r="BH892" s="147"/>
      <c r="BI892" s="147"/>
      <c r="BJ892" s="147"/>
      <c r="BK892" s="147"/>
      <c r="BL892" s="147"/>
      <c r="BM892" s="147"/>
      <c r="BN892" s="147"/>
      <c r="BO892" s="147"/>
      <c r="BP892" s="147"/>
      <c r="BQ892" s="147"/>
      <c r="BR892" s="147"/>
      <c r="BS892" s="147"/>
      <c r="BT892" s="147"/>
      <c r="BU892" s="147"/>
      <c r="BV892" s="147"/>
      <c r="BW892" s="147"/>
      <c r="BX892" s="147"/>
      <c r="BY892" s="147"/>
      <c r="BZ892" s="147"/>
      <c r="CA892" s="147"/>
      <c r="CB892" s="147"/>
      <c r="CC892" s="147"/>
      <c r="CD892" s="147"/>
      <c r="CE892" s="147"/>
      <c r="CF892" s="147"/>
      <c r="CG892" s="147"/>
      <c r="CH892" s="147"/>
      <c r="CI892" s="147"/>
      <c r="CJ892" s="147"/>
      <c r="CK892" s="147"/>
    </row>
    <row r="893" spans="1:89">
      <c r="A893" s="157"/>
      <c r="F893" s="3"/>
      <c r="G893" s="3"/>
      <c r="L893" s="157"/>
      <c r="M893" s="157"/>
      <c r="O893" s="147"/>
      <c r="P893" s="147"/>
      <c r="Q893" s="147"/>
      <c r="R893" s="147"/>
      <c r="S893" s="147"/>
      <c r="T893" s="147"/>
      <c r="U893" s="147"/>
      <c r="V893" s="147"/>
      <c r="W893" s="147"/>
      <c r="X893" s="147"/>
      <c r="Y893" s="147"/>
      <c r="Z893" s="147"/>
      <c r="AA893" s="147"/>
      <c r="AB893" s="147"/>
      <c r="AC893" s="147"/>
      <c r="AD893" s="147"/>
      <c r="AE893" s="147"/>
      <c r="AF893" s="147"/>
      <c r="AG893" s="147"/>
      <c r="AH893" s="147"/>
      <c r="AI893" s="147"/>
      <c r="AJ893" s="147"/>
      <c r="AK893" s="147"/>
      <c r="AL893" s="147"/>
      <c r="AM893" s="151"/>
      <c r="AN893" s="147"/>
      <c r="AO893" s="147"/>
      <c r="AP893" s="147"/>
      <c r="AQ893" s="147"/>
      <c r="AR893" s="147"/>
      <c r="AS893" s="147"/>
      <c r="AT893" s="147"/>
      <c r="AU893" s="147"/>
      <c r="AV893" s="147"/>
      <c r="AW893" s="147"/>
      <c r="AX893" s="147"/>
      <c r="AY893" s="147"/>
      <c r="AZ893" s="147"/>
      <c r="BA893" s="147"/>
      <c r="BB893" s="147"/>
      <c r="BC893" s="147"/>
      <c r="BD893" s="147"/>
      <c r="BE893" s="147"/>
      <c r="BF893" s="147"/>
      <c r="BG893" s="147"/>
      <c r="BH893" s="147"/>
      <c r="BI893" s="147"/>
      <c r="BJ893" s="147"/>
      <c r="BK893" s="147"/>
      <c r="BL893" s="147"/>
      <c r="BM893" s="147"/>
      <c r="BN893" s="147"/>
      <c r="BO893" s="147"/>
      <c r="BP893" s="147"/>
      <c r="BQ893" s="147"/>
      <c r="BR893" s="147"/>
      <c r="BS893" s="147"/>
      <c r="BT893" s="147"/>
      <c r="BU893" s="147"/>
      <c r="BV893" s="147"/>
      <c r="BW893" s="147"/>
      <c r="BX893" s="147"/>
      <c r="BY893" s="147"/>
      <c r="BZ893" s="147"/>
      <c r="CA893" s="147"/>
      <c r="CB893" s="147"/>
      <c r="CC893" s="147"/>
      <c r="CD893" s="147"/>
      <c r="CE893" s="147"/>
      <c r="CF893" s="147"/>
      <c r="CG893" s="147"/>
      <c r="CH893" s="147"/>
      <c r="CI893" s="147"/>
      <c r="CJ893" s="147"/>
      <c r="CK893" s="147"/>
    </row>
    <row r="894" spans="1:89">
      <c r="A894" s="157"/>
      <c r="F894" s="3"/>
      <c r="G894" s="3"/>
      <c r="L894" s="157"/>
      <c r="M894" s="157"/>
      <c r="O894" s="147"/>
      <c r="P894" s="147"/>
      <c r="Q894" s="147"/>
      <c r="R894" s="147"/>
      <c r="S894" s="147"/>
      <c r="T894" s="147"/>
      <c r="U894" s="147"/>
      <c r="V894" s="147"/>
      <c r="W894" s="147"/>
      <c r="X894" s="147"/>
      <c r="Y894" s="147"/>
      <c r="Z894" s="147"/>
      <c r="AA894" s="147"/>
      <c r="AB894" s="147"/>
      <c r="AC894" s="147"/>
      <c r="AD894" s="147"/>
      <c r="AE894" s="147"/>
      <c r="AF894" s="147"/>
      <c r="AG894" s="147"/>
      <c r="AH894" s="147"/>
      <c r="AI894" s="147"/>
      <c r="AJ894" s="147"/>
      <c r="AK894" s="147"/>
      <c r="AL894" s="147"/>
      <c r="AM894" s="151"/>
      <c r="AN894" s="147"/>
      <c r="AO894" s="147"/>
      <c r="AP894" s="147"/>
      <c r="AQ894" s="147"/>
      <c r="AR894" s="147"/>
      <c r="AS894" s="147"/>
      <c r="AT894" s="147"/>
      <c r="AU894" s="147"/>
      <c r="AV894" s="147"/>
      <c r="AW894" s="147"/>
      <c r="AX894" s="147"/>
      <c r="AY894" s="147"/>
      <c r="AZ894" s="147"/>
      <c r="BA894" s="147"/>
      <c r="BB894" s="147"/>
      <c r="BC894" s="147"/>
      <c r="BD894" s="147"/>
      <c r="BE894" s="147"/>
      <c r="BF894" s="147"/>
      <c r="BG894" s="147"/>
      <c r="BH894" s="147"/>
      <c r="BI894" s="147"/>
      <c r="BJ894" s="147"/>
      <c r="BK894" s="147"/>
      <c r="BL894" s="147"/>
      <c r="BM894" s="147"/>
      <c r="BN894" s="147"/>
      <c r="BO894" s="147"/>
      <c r="BP894" s="147"/>
      <c r="BQ894" s="147"/>
      <c r="BR894" s="147"/>
      <c r="BS894" s="147"/>
      <c r="BT894" s="147"/>
      <c r="BU894" s="147"/>
      <c r="BV894" s="147"/>
      <c r="BW894" s="147"/>
      <c r="BX894" s="147"/>
      <c r="BY894" s="147"/>
      <c r="BZ894" s="147"/>
      <c r="CA894" s="147"/>
      <c r="CB894" s="147"/>
      <c r="CC894" s="147"/>
      <c r="CD894" s="147"/>
      <c r="CE894" s="147"/>
      <c r="CF894" s="147"/>
      <c r="CG894" s="147"/>
      <c r="CH894" s="147"/>
      <c r="CI894" s="147"/>
      <c r="CJ894" s="147"/>
      <c r="CK894" s="147"/>
    </row>
    <row r="895" spans="1:89">
      <c r="A895" s="157"/>
      <c r="F895" s="3"/>
      <c r="G895" s="3"/>
      <c r="L895" s="157"/>
      <c r="M895" s="157"/>
      <c r="O895" s="147"/>
      <c r="P895" s="147"/>
      <c r="Q895" s="147"/>
      <c r="R895" s="147"/>
      <c r="S895" s="147"/>
      <c r="T895" s="147"/>
      <c r="U895" s="147"/>
      <c r="V895" s="147"/>
      <c r="W895" s="147"/>
      <c r="X895" s="147"/>
      <c r="Y895" s="147"/>
      <c r="Z895" s="147"/>
      <c r="AA895" s="147"/>
      <c r="AB895" s="147"/>
      <c r="AC895" s="147"/>
      <c r="AD895" s="147"/>
      <c r="AE895" s="147"/>
      <c r="AF895" s="147"/>
      <c r="AG895" s="147"/>
      <c r="AH895" s="147"/>
      <c r="AI895" s="147"/>
      <c r="AJ895" s="147"/>
      <c r="AK895" s="147"/>
      <c r="AL895" s="147"/>
      <c r="AM895" s="151"/>
      <c r="AN895" s="147"/>
      <c r="AO895" s="147"/>
      <c r="AP895" s="147"/>
      <c r="AQ895" s="147"/>
      <c r="AR895" s="147"/>
      <c r="AS895" s="147"/>
      <c r="AT895" s="147"/>
      <c r="AU895" s="147"/>
      <c r="AV895" s="147"/>
      <c r="AW895" s="147"/>
      <c r="AX895" s="147"/>
      <c r="AY895" s="147"/>
      <c r="AZ895" s="147"/>
      <c r="BA895" s="147"/>
      <c r="BB895" s="147"/>
      <c r="BC895" s="147"/>
      <c r="BD895" s="147"/>
      <c r="BE895" s="147"/>
      <c r="BF895" s="147"/>
      <c r="BG895" s="147"/>
      <c r="BH895" s="147"/>
      <c r="BI895" s="147"/>
      <c r="BJ895" s="147"/>
      <c r="BK895" s="147"/>
      <c r="BL895" s="147"/>
      <c r="BM895" s="147"/>
      <c r="BN895" s="147"/>
      <c r="BO895" s="147"/>
      <c r="BP895" s="147"/>
      <c r="BQ895" s="147"/>
      <c r="BR895" s="147"/>
      <c r="BS895" s="147"/>
      <c r="BT895" s="147"/>
      <c r="BU895" s="147"/>
      <c r="BV895" s="147"/>
      <c r="BW895" s="147"/>
      <c r="BX895" s="147"/>
      <c r="BY895" s="147"/>
      <c r="BZ895" s="147"/>
      <c r="CA895" s="147"/>
      <c r="CB895" s="147"/>
      <c r="CC895" s="147"/>
      <c r="CD895" s="147"/>
      <c r="CE895" s="147"/>
      <c r="CF895" s="147"/>
      <c r="CG895" s="147"/>
      <c r="CH895" s="147"/>
      <c r="CI895" s="147"/>
      <c r="CJ895" s="147"/>
      <c r="CK895" s="147"/>
    </row>
    <row r="896" spans="1:89">
      <c r="A896" s="157"/>
      <c r="F896" s="3"/>
      <c r="G896" s="3"/>
      <c r="L896" s="157"/>
      <c r="M896" s="157"/>
      <c r="O896" s="147"/>
      <c r="P896" s="147"/>
      <c r="Q896" s="147"/>
      <c r="R896" s="147"/>
      <c r="S896" s="147"/>
      <c r="T896" s="147"/>
      <c r="U896" s="147"/>
      <c r="V896" s="147"/>
      <c r="W896" s="147"/>
      <c r="X896" s="147"/>
      <c r="Y896" s="147"/>
      <c r="Z896" s="147"/>
      <c r="AA896" s="147"/>
      <c r="AB896" s="147"/>
      <c r="AC896" s="147"/>
      <c r="AD896" s="147"/>
      <c r="AE896" s="147"/>
      <c r="AF896" s="147"/>
      <c r="AG896" s="147"/>
      <c r="AH896" s="147"/>
      <c r="AI896" s="147"/>
      <c r="AJ896" s="147"/>
      <c r="AK896" s="147"/>
      <c r="AL896" s="147"/>
      <c r="AM896" s="151"/>
      <c r="AN896" s="147"/>
      <c r="AO896" s="147"/>
      <c r="AP896" s="147"/>
      <c r="AQ896" s="147"/>
      <c r="AR896" s="147"/>
      <c r="AS896" s="147"/>
      <c r="AT896" s="147"/>
      <c r="AU896" s="147"/>
      <c r="AV896" s="147"/>
      <c r="AW896" s="147"/>
      <c r="AX896" s="147"/>
      <c r="AY896" s="147"/>
      <c r="AZ896" s="147"/>
      <c r="BA896" s="147"/>
      <c r="BB896" s="147"/>
      <c r="BC896" s="147"/>
      <c r="BD896" s="147"/>
      <c r="BE896" s="147"/>
      <c r="BF896" s="147"/>
      <c r="BG896" s="147"/>
      <c r="BH896" s="147"/>
      <c r="BI896" s="147"/>
      <c r="BJ896" s="147"/>
      <c r="BK896" s="147"/>
      <c r="BL896" s="147"/>
      <c r="BM896" s="147"/>
      <c r="BN896" s="147"/>
      <c r="BO896" s="147"/>
      <c r="BP896" s="147"/>
      <c r="BQ896" s="147"/>
      <c r="BR896" s="147"/>
      <c r="BS896" s="147"/>
      <c r="BT896" s="147"/>
      <c r="BU896" s="147"/>
      <c r="BV896" s="147"/>
      <c r="BW896" s="147"/>
      <c r="BX896" s="147"/>
      <c r="BY896" s="147"/>
      <c r="BZ896" s="147"/>
      <c r="CA896" s="147"/>
      <c r="CB896" s="147"/>
      <c r="CC896" s="147"/>
      <c r="CD896" s="147"/>
      <c r="CE896" s="147"/>
      <c r="CF896" s="147"/>
      <c r="CG896" s="147"/>
      <c r="CH896" s="147"/>
      <c r="CI896" s="147"/>
      <c r="CJ896" s="147"/>
      <c r="CK896" s="147"/>
    </row>
    <row r="897" spans="1:89">
      <c r="A897" s="157"/>
      <c r="F897" s="3"/>
      <c r="G897" s="3"/>
      <c r="L897" s="157"/>
      <c r="M897" s="157"/>
      <c r="O897" s="147"/>
      <c r="P897" s="147"/>
      <c r="Q897" s="147"/>
      <c r="R897" s="147"/>
      <c r="S897" s="147"/>
      <c r="T897" s="147"/>
      <c r="U897" s="147"/>
      <c r="V897" s="147"/>
      <c r="W897" s="147"/>
      <c r="X897" s="147"/>
      <c r="Y897" s="147"/>
      <c r="Z897" s="147"/>
      <c r="AA897" s="147"/>
      <c r="AB897" s="147"/>
      <c r="AC897" s="147"/>
      <c r="AD897" s="147"/>
      <c r="AE897" s="147"/>
      <c r="AF897" s="147"/>
      <c r="AG897" s="147"/>
      <c r="AH897" s="147"/>
      <c r="AI897" s="147"/>
      <c r="AJ897" s="147"/>
      <c r="AK897" s="147"/>
      <c r="AL897" s="147"/>
      <c r="AM897" s="151"/>
      <c r="AN897" s="147"/>
      <c r="AO897" s="147"/>
      <c r="AP897" s="147"/>
      <c r="AQ897" s="147"/>
      <c r="AR897" s="147"/>
      <c r="AS897" s="147"/>
      <c r="AT897" s="147"/>
      <c r="AU897" s="147"/>
      <c r="AV897" s="147"/>
      <c r="AW897" s="147"/>
      <c r="AX897" s="147"/>
      <c r="AY897" s="147"/>
      <c r="AZ897" s="147"/>
      <c r="BA897" s="147"/>
      <c r="BB897" s="147"/>
      <c r="BC897" s="147"/>
      <c r="BD897" s="147"/>
      <c r="BE897" s="147"/>
      <c r="BF897" s="147"/>
      <c r="BG897" s="147"/>
      <c r="BH897" s="147"/>
      <c r="BI897" s="147"/>
      <c r="BJ897" s="147"/>
      <c r="BK897" s="147"/>
      <c r="BL897" s="147"/>
      <c r="BM897" s="147"/>
      <c r="BN897" s="147"/>
      <c r="BO897" s="147"/>
      <c r="BP897" s="147"/>
      <c r="BQ897" s="147"/>
      <c r="BR897" s="147"/>
      <c r="BS897" s="147"/>
      <c r="BT897" s="147"/>
      <c r="BU897" s="147"/>
      <c r="BV897" s="147"/>
      <c r="BW897" s="147"/>
      <c r="BX897" s="147"/>
      <c r="BY897" s="147"/>
      <c r="BZ897" s="147"/>
      <c r="CA897" s="147"/>
      <c r="CB897" s="147"/>
      <c r="CC897" s="147"/>
      <c r="CD897" s="147"/>
      <c r="CE897" s="147"/>
      <c r="CF897" s="147"/>
      <c r="CG897" s="147"/>
      <c r="CH897" s="147"/>
      <c r="CI897" s="147"/>
      <c r="CJ897" s="147"/>
      <c r="CK897" s="147"/>
    </row>
    <row r="898" spans="1:89">
      <c r="A898" s="157"/>
      <c r="F898" s="3"/>
      <c r="G898" s="3"/>
      <c r="L898" s="157"/>
      <c r="M898" s="157"/>
      <c r="O898" s="147"/>
      <c r="P898" s="147"/>
      <c r="Q898" s="147"/>
      <c r="R898" s="147"/>
      <c r="S898" s="147"/>
      <c r="T898" s="147"/>
      <c r="U898" s="147"/>
      <c r="V898" s="147"/>
      <c r="W898" s="147"/>
      <c r="X898" s="147"/>
      <c r="Y898" s="147"/>
      <c r="Z898" s="147"/>
      <c r="AA898" s="147"/>
      <c r="AB898" s="147"/>
      <c r="AC898" s="147"/>
      <c r="AD898" s="147"/>
      <c r="AE898" s="147"/>
      <c r="AF898" s="147"/>
      <c r="AG898" s="147"/>
      <c r="AH898" s="147"/>
      <c r="AI898" s="147"/>
      <c r="AJ898" s="147"/>
      <c r="AK898" s="147"/>
      <c r="AL898" s="147"/>
      <c r="AM898" s="151"/>
      <c r="AN898" s="147"/>
      <c r="AO898" s="147"/>
      <c r="AP898" s="147"/>
      <c r="AQ898" s="147"/>
      <c r="AR898" s="147"/>
      <c r="AS898" s="147"/>
      <c r="AT898" s="147"/>
      <c r="AU898" s="147"/>
      <c r="AV898" s="147"/>
      <c r="AW898" s="147"/>
      <c r="AX898" s="147"/>
      <c r="AY898" s="147"/>
      <c r="AZ898" s="147"/>
      <c r="BA898" s="147"/>
      <c r="BB898" s="147"/>
      <c r="BC898" s="147"/>
      <c r="BD898" s="147"/>
      <c r="BE898" s="147"/>
      <c r="BF898" s="147"/>
      <c r="BG898" s="147"/>
      <c r="BH898" s="147"/>
      <c r="BI898" s="147"/>
      <c r="BJ898" s="147"/>
      <c r="BK898" s="147"/>
      <c r="BL898" s="147"/>
      <c r="BM898" s="147"/>
      <c r="BN898" s="147"/>
      <c r="BO898" s="147"/>
      <c r="BP898" s="147"/>
      <c r="BQ898" s="147"/>
      <c r="BR898" s="147"/>
      <c r="BS898" s="147"/>
      <c r="BT898" s="147"/>
      <c r="BU898" s="147"/>
      <c r="BV898" s="147"/>
      <c r="BW898" s="147"/>
      <c r="BX898" s="147"/>
      <c r="BY898" s="147"/>
      <c r="BZ898" s="147"/>
      <c r="CA898" s="147"/>
      <c r="CB898" s="147"/>
      <c r="CC898" s="147"/>
      <c r="CD898" s="147"/>
      <c r="CE898" s="147"/>
      <c r="CF898" s="147"/>
      <c r="CG898" s="147"/>
      <c r="CH898" s="147"/>
      <c r="CI898" s="147"/>
      <c r="CJ898" s="147"/>
      <c r="CK898" s="147"/>
    </row>
    <row r="899" spans="1:89">
      <c r="A899" s="157"/>
      <c r="F899" s="3"/>
      <c r="G899" s="3"/>
      <c r="L899" s="157"/>
      <c r="M899" s="157"/>
      <c r="O899" s="147"/>
      <c r="P899" s="147"/>
      <c r="Q899" s="147"/>
      <c r="R899" s="147"/>
      <c r="S899" s="147"/>
      <c r="T899" s="147"/>
      <c r="U899" s="147"/>
      <c r="V899" s="147"/>
      <c r="W899" s="147"/>
      <c r="X899" s="147"/>
      <c r="Y899" s="147"/>
      <c r="Z899" s="147"/>
      <c r="AA899" s="147"/>
      <c r="AB899" s="147"/>
      <c r="AC899" s="147"/>
      <c r="AD899" s="147"/>
      <c r="AE899" s="147"/>
      <c r="AF899" s="147"/>
      <c r="AG899" s="147"/>
      <c r="AH899" s="147"/>
      <c r="AI899" s="147"/>
      <c r="AJ899" s="147"/>
      <c r="AK899" s="147"/>
      <c r="AL899" s="147"/>
      <c r="AM899" s="151"/>
      <c r="AN899" s="147"/>
      <c r="AO899" s="147"/>
      <c r="AP899" s="147"/>
      <c r="AQ899" s="147"/>
      <c r="AR899" s="147"/>
      <c r="AS899" s="147"/>
      <c r="AT899" s="147"/>
      <c r="AU899" s="147"/>
      <c r="AV899" s="147"/>
      <c r="AW899" s="147"/>
      <c r="AX899" s="147"/>
      <c r="AY899" s="147"/>
      <c r="AZ899" s="147"/>
      <c r="BA899" s="147"/>
      <c r="BB899" s="147"/>
      <c r="BC899" s="147"/>
      <c r="BD899" s="147"/>
      <c r="BE899" s="147"/>
      <c r="BF899" s="147"/>
      <c r="BG899" s="147"/>
      <c r="BH899" s="147"/>
      <c r="BI899" s="147"/>
      <c r="BJ899" s="147"/>
      <c r="BK899" s="147"/>
      <c r="BL899" s="147"/>
      <c r="BM899" s="147"/>
      <c r="BN899" s="147"/>
      <c r="BO899" s="147"/>
      <c r="BP899" s="147"/>
      <c r="BQ899" s="147"/>
      <c r="BR899" s="147"/>
      <c r="BS899" s="147"/>
      <c r="BT899" s="147"/>
      <c r="BU899" s="147"/>
      <c r="BV899" s="147"/>
      <c r="BW899" s="147"/>
      <c r="BX899" s="147"/>
      <c r="BY899" s="147"/>
      <c r="BZ899" s="147"/>
      <c r="CA899" s="147"/>
      <c r="CB899" s="147"/>
      <c r="CC899" s="147"/>
      <c r="CD899" s="147"/>
      <c r="CE899" s="147"/>
      <c r="CF899" s="147"/>
      <c r="CG899" s="147"/>
      <c r="CH899" s="147"/>
      <c r="CI899" s="147"/>
      <c r="CJ899" s="147"/>
      <c r="CK899" s="147"/>
    </row>
    <row r="900" spans="1:89">
      <c r="A900" s="157"/>
      <c r="F900" s="3"/>
      <c r="G900" s="3"/>
      <c r="L900" s="157"/>
      <c r="M900" s="157"/>
      <c r="O900" s="147"/>
      <c r="P900" s="147"/>
      <c r="Q900" s="147"/>
      <c r="R900" s="147"/>
      <c r="S900" s="147"/>
      <c r="T900" s="147"/>
      <c r="U900" s="147"/>
      <c r="V900" s="147"/>
      <c r="W900" s="147"/>
      <c r="X900" s="147"/>
      <c r="Y900" s="147"/>
      <c r="Z900" s="147"/>
      <c r="AA900" s="147"/>
      <c r="AB900" s="147"/>
      <c r="AC900" s="147"/>
      <c r="AD900" s="147"/>
      <c r="AE900" s="147"/>
      <c r="AF900" s="147"/>
      <c r="AG900" s="147"/>
      <c r="AH900" s="147"/>
      <c r="AI900" s="147"/>
      <c r="AJ900" s="147"/>
      <c r="AK900" s="147"/>
      <c r="AL900" s="147"/>
      <c r="AM900" s="151"/>
      <c r="AN900" s="147"/>
      <c r="AO900" s="147"/>
      <c r="AP900" s="147"/>
      <c r="AQ900" s="147"/>
      <c r="AR900" s="147"/>
      <c r="AS900" s="147"/>
      <c r="AT900" s="147"/>
      <c r="AU900" s="147"/>
      <c r="AV900" s="147"/>
      <c r="AW900" s="147"/>
      <c r="AX900" s="147"/>
      <c r="AY900" s="147"/>
      <c r="AZ900" s="147"/>
      <c r="BA900" s="147"/>
      <c r="BB900" s="147"/>
      <c r="BC900" s="147"/>
      <c r="BD900" s="147"/>
      <c r="BE900" s="147"/>
      <c r="BF900" s="147"/>
      <c r="BG900" s="147"/>
      <c r="BH900" s="147"/>
      <c r="BI900" s="147"/>
      <c r="BJ900" s="147"/>
      <c r="BK900" s="147"/>
      <c r="BL900" s="147"/>
      <c r="BM900" s="147"/>
      <c r="BN900" s="147"/>
      <c r="BO900" s="147"/>
      <c r="BP900" s="147"/>
      <c r="BQ900" s="147"/>
      <c r="BR900" s="147"/>
      <c r="BS900" s="147"/>
      <c r="BT900" s="147"/>
      <c r="BU900" s="147"/>
      <c r="BV900" s="147"/>
      <c r="BW900" s="147"/>
      <c r="BX900" s="147"/>
      <c r="BY900" s="147"/>
      <c r="BZ900" s="147"/>
      <c r="CA900" s="147"/>
      <c r="CB900" s="147"/>
      <c r="CC900" s="147"/>
      <c r="CD900" s="147"/>
      <c r="CE900" s="147"/>
      <c r="CF900" s="147"/>
      <c r="CG900" s="147"/>
      <c r="CH900" s="147"/>
      <c r="CI900" s="147"/>
      <c r="CJ900" s="147"/>
      <c r="CK900" s="147"/>
    </row>
    <row r="901" spans="1:89">
      <c r="A901" s="157"/>
      <c r="F901" s="3"/>
      <c r="G901" s="3"/>
      <c r="L901" s="157"/>
      <c r="M901" s="157"/>
      <c r="O901" s="147"/>
      <c r="P901" s="147"/>
      <c r="Q901" s="147"/>
      <c r="R901" s="147"/>
      <c r="S901" s="147"/>
      <c r="T901" s="147"/>
      <c r="U901" s="147"/>
      <c r="V901" s="147"/>
      <c r="W901" s="147"/>
      <c r="X901" s="147"/>
      <c r="Y901" s="147"/>
      <c r="Z901" s="147"/>
      <c r="AA901" s="147"/>
      <c r="AB901" s="147"/>
      <c r="AC901" s="147"/>
      <c r="AD901" s="147"/>
      <c r="AE901" s="147"/>
      <c r="AF901" s="147"/>
      <c r="AG901" s="147"/>
      <c r="AH901" s="147"/>
      <c r="AI901" s="147"/>
      <c r="AJ901" s="147"/>
      <c r="AK901" s="147"/>
      <c r="AL901" s="147"/>
      <c r="AM901" s="151"/>
      <c r="AN901" s="147"/>
      <c r="AO901" s="147"/>
      <c r="AP901" s="147"/>
      <c r="AQ901" s="147"/>
      <c r="AR901" s="147"/>
      <c r="AS901" s="147"/>
      <c r="AT901" s="147"/>
      <c r="AU901" s="147"/>
      <c r="AV901" s="147"/>
      <c r="AW901" s="147"/>
      <c r="AX901" s="147"/>
      <c r="AY901" s="147"/>
      <c r="AZ901" s="147"/>
      <c r="BA901" s="147"/>
      <c r="BB901" s="147"/>
      <c r="BC901" s="147"/>
      <c r="BD901" s="147"/>
      <c r="BE901" s="147"/>
      <c r="BF901" s="147"/>
      <c r="BG901" s="147"/>
      <c r="BH901" s="147"/>
      <c r="BI901" s="147"/>
      <c r="BJ901" s="147"/>
      <c r="BK901" s="147"/>
      <c r="BL901" s="147"/>
      <c r="BM901" s="147"/>
      <c r="BN901" s="147"/>
      <c r="BO901" s="147"/>
      <c r="BP901" s="147"/>
      <c r="BQ901" s="147"/>
      <c r="BR901" s="147"/>
      <c r="BS901" s="147"/>
      <c r="BT901" s="147"/>
      <c r="BU901" s="147"/>
      <c r="BV901" s="147"/>
      <c r="BW901" s="147"/>
      <c r="BX901" s="147"/>
      <c r="BY901" s="147"/>
      <c r="BZ901" s="147"/>
      <c r="CA901" s="147"/>
      <c r="CB901" s="147"/>
      <c r="CC901" s="147"/>
      <c r="CD901" s="147"/>
      <c r="CE901" s="147"/>
      <c r="CF901" s="147"/>
      <c r="CG901" s="147"/>
      <c r="CH901" s="147"/>
      <c r="CI901" s="147"/>
      <c r="CJ901" s="147"/>
      <c r="CK901" s="147"/>
    </row>
    <row r="902" spans="1:89">
      <c r="A902" s="157"/>
      <c r="F902" s="3"/>
      <c r="G902" s="3"/>
      <c r="L902" s="157"/>
      <c r="M902" s="157"/>
      <c r="O902" s="147"/>
      <c r="P902" s="147"/>
      <c r="Q902" s="147"/>
      <c r="R902" s="147"/>
      <c r="S902" s="147"/>
      <c r="T902" s="147"/>
      <c r="U902" s="147"/>
      <c r="V902" s="147"/>
      <c r="W902" s="147"/>
      <c r="X902" s="147"/>
      <c r="Y902" s="147"/>
      <c r="Z902" s="147"/>
      <c r="AA902" s="147"/>
      <c r="AB902" s="147"/>
      <c r="AC902" s="147"/>
      <c r="AD902" s="147"/>
      <c r="AE902" s="147"/>
      <c r="AF902" s="147"/>
      <c r="AG902" s="147"/>
      <c r="AH902" s="147"/>
      <c r="AI902" s="147"/>
      <c r="AJ902" s="147"/>
      <c r="AK902" s="147"/>
      <c r="AL902" s="147"/>
      <c r="AM902" s="151"/>
      <c r="AN902" s="147"/>
      <c r="AO902" s="147"/>
      <c r="AP902" s="147"/>
      <c r="AQ902" s="147"/>
      <c r="AR902" s="147"/>
      <c r="AS902" s="147"/>
      <c r="AT902" s="147"/>
      <c r="AU902" s="147"/>
      <c r="AV902" s="147"/>
      <c r="AW902" s="147"/>
      <c r="AX902" s="147"/>
      <c r="AY902" s="147"/>
      <c r="AZ902" s="147"/>
      <c r="BA902" s="147"/>
      <c r="BB902" s="147"/>
      <c r="BC902" s="147"/>
      <c r="BD902" s="147"/>
      <c r="BE902" s="147"/>
      <c r="BF902" s="147"/>
      <c r="BG902" s="147"/>
      <c r="BH902" s="147"/>
      <c r="BI902" s="147"/>
      <c r="BJ902" s="147"/>
      <c r="BK902" s="147"/>
      <c r="BL902" s="147"/>
      <c r="BM902" s="147"/>
      <c r="BN902" s="147"/>
      <c r="BO902" s="147"/>
      <c r="BP902" s="147"/>
      <c r="BQ902" s="147"/>
      <c r="BR902" s="147"/>
      <c r="BS902" s="147"/>
      <c r="BT902" s="147"/>
      <c r="BU902" s="147"/>
      <c r="BV902" s="147"/>
      <c r="BW902" s="147"/>
      <c r="BX902" s="147"/>
      <c r="BY902" s="147"/>
      <c r="BZ902" s="147"/>
      <c r="CA902" s="147"/>
      <c r="CB902" s="147"/>
      <c r="CC902" s="147"/>
      <c r="CD902" s="147"/>
      <c r="CE902" s="147"/>
      <c r="CF902" s="147"/>
      <c r="CG902" s="147"/>
      <c r="CH902" s="147"/>
      <c r="CI902" s="147"/>
      <c r="CJ902" s="147"/>
      <c r="CK902" s="147"/>
    </row>
    <row r="903" spans="1:89">
      <c r="A903" s="157"/>
      <c r="F903" s="3"/>
      <c r="G903" s="3"/>
      <c r="L903" s="157"/>
      <c r="M903" s="157"/>
      <c r="O903" s="147"/>
      <c r="P903" s="147"/>
      <c r="Q903" s="147"/>
      <c r="R903" s="147"/>
      <c r="S903" s="147"/>
      <c r="T903" s="147"/>
      <c r="U903" s="147"/>
      <c r="V903" s="147"/>
      <c r="W903" s="147"/>
      <c r="X903" s="147"/>
      <c r="Y903" s="147"/>
      <c r="Z903" s="147"/>
      <c r="AA903" s="147"/>
      <c r="AB903" s="147"/>
      <c r="AC903" s="147"/>
      <c r="AD903" s="147"/>
      <c r="AE903" s="147"/>
      <c r="AF903" s="147"/>
      <c r="AG903" s="147"/>
      <c r="AH903" s="147"/>
      <c r="AI903" s="147"/>
      <c r="AJ903" s="147"/>
      <c r="AK903" s="147"/>
      <c r="AL903" s="147"/>
      <c r="AM903" s="151"/>
      <c r="AN903" s="147"/>
      <c r="AO903" s="147"/>
      <c r="AP903" s="147"/>
      <c r="AQ903" s="147"/>
      <c r="AR903" s="147"/>
      <c r="AS903" s="147"/>
      <c r="AT903" s="147"/>
      <c r="AU903" s="147"/>
      <c r="AV903" s="147"/>
      <c r="AW903" s="147"/>
      <c r="AX903" s="147"/>
      <c r="AY903" s="147"/>
      <c r="AZ903" s="147"/>
      <c r="BA903" s="147"/>
      <c r="BB903" s="147"/>
      <c r="BC903" s="147"/>
      <c r="BD903" s="147"/>
      <c r="BE903" s="147"/>
      <c r="BF903" s="147"/>
      <c r="BG903" s="147"/>
      <c r="BH903" s="147"/>
      <c r="BI903" s="147"/>
      <c r="BJ903" s="147"/>
      <c r="BK903" s="147"/>
      <c r="BL903" s="147"/>
      <c r="BM903" s="147"/>
      <c r="BN903" s="147"/>
      <c r="BO903" s="147"/>
      <c r="BP903" s="147"/>
      <c r="BQ903" s="147"/>
      <c r="BR903" s="147"/>
      <c r="BS903" s="147"/>
      <c r="BT903" s="147"/>
      <c r="BU903" s="147"/>
      <c r="BV903" s="147"/>
      <c r="BW903" s="147"/>
      <c r="BX903" s="147"/>
      <c r="BY903" s="147"/>
      <c r="BZ903" s="147"/>
      <c r="CA903" s="147"/>
      <c r="CB903" s="147"/>
      <c r="CC903" s="147"/>
      <c r="CD903" s="147"/>
      <c r="CE903" s="147"/>
      <c r="CF903" s="147"/>
      <c r="CG903" s="147"/>
      <c r="CH903" s="147"/>
      <c r="CI903" s="147"/>
      <c r="CJ903" s="147"/>
      <c r="CK903" s="147"/>
    </row>
    <row r="904" spans="1:89">
      <c r="A904" s="157"/>
      <c r="F904" s="3"/>
      <c r="G904" s="3"/>
      <c r="L904" s="157"/>
      <c r="M904" s="157"/>
      <c r="O904" s="147"/>
      <c r="P904" s="147"/>
      <c r="Q904" s="147"/>
      <c r="R904" s="147"/>
      <c r="S904" s="147"/>
      <c r="T904" s="147"/>
      <c r="U904" s="147"/>
      <c r="V904" s="147"/>
      <c r="W904" s="147"/>
      <c r="X904" s="147"/>
      <c r="Y904" s="147"/>
      <c r="Z904" s="147"/>
      <c r="AA904" s="147"/>
      <c r="AB904" s="147"/>
      <c r="AC904" s="147"/>
      <c r="AD904" s="147"/>
      <c r="AE904" s="147"/>
      <c r="AF904" s="147"/>
      <c r="AG904" s="147"/>
      <c r="AH904" s="147"/>
      <c r="AI904" s="147"/>
      <c r="AJ904" s="147"/>
      <c r="AK904" s="147"/>
      <c r="AL904" s="147"/>
      <c r="AM904" s="151"/>
      <c r="AN904" s="147"/>
      <c r="AO904" s="147"/>
      <c r="AP904" s="147"/>
      <c r="AQ904" s="147"/>
      <c r="AR904" s="147"/>
      <c r="AS904" s="147"/>
      <c r="AT904" s="147"/>
      <c r="AU904" s="147"/>
      <c r="AV904" s="147"/>
      <c r="AW904" s="147"/>
      <c r="AX904" s="147"/>
      <c r="AY904" s="147"/>
      <c r="AZ904" s="147"/>
      <c r="BA904" s="147"/>
      <c r="BB904" s="147"/>
      <c r="BC904" s="147"/>
      <c r="BD904" s="147"/>
      <c r="BE904" s="147"/>
      <c r="BF904" s="147"/>
      <c r="BG904" s="147"/>
      <c r="BH904" s="147"/>
      <c r="BI904" s="147"/>
      <c r="BJ904" s="147"/>
      <c r="BK904" s="147"/>
      <c r="BL904" s="147"/>
      <c r="BM904" s="147"/>
      <c r="BN904" s="147"/>
      <c r="BO904" s="147"/>
      <c r="BP904" s="147"/>
      <c r="BQ904" s="147"/>
      <c r="BR904" s="147"/>
      <c r="BS904" s="147"/>
      <c r="BT904" s="147"/>
      <c r="BU904" s="147"/>
      <c r="BV904" s="147"/>
      <c r="BW904" s="147"/>
      <c r="BX904" s="147"/>
      <c r="BY904" s="147"/>
      <c r="BZ904" s="147"/>
      <c r="CA904" s="147"/>
      <c r="CB904" s="147"/>
      <c r="CC904" s="147"/>
      <c r="CD904" s="147"/>
      <c r="CE904" s="147"/>
      <c r="CF904" s="147"/>
      <c r="CG904" s="147"/>
      <c r="CH904" s="147"/>
      <c r="CI904" s="147"/>
      <c r="CJ904" s="147"/>
      <c r="CK904" s="147"/>
    </row>
    <row r="905" spans="1:89">
      <c r="A905" s="157"/>
      <c r="F905" s="3"/>
      <c r="G905" s="3"/>
      <c r="L905" s="157"/>
      <c r="M905" s="157"/>
      <c r="O905" s="147"/>
      <c r="P905" s="147"/>
      <c r="Q905" s="147"/>
      <c r="R905" s="147"/>
      <c r="S905" s="147"/>
      <c r="T905" s="147"/>
      <c r="U905" s="147"/>
      <c r="V905" s="147"/>
      <c r="W905" s="147"/>
      <c r="X905" s="147"/>
      <c r="Y905" s="147"/>
      <c r="Z905" s="147"/>
      <c r="AA905" s="147"/>
      <c r="AB905" s="147"/>
      <c r="AC905" s="147"/>
      <c r="AD905" s="147"/>
      <c r="AE905" s="147"/>
      <c r="AF905" s="147"/>
      <c r="AG905" s="147"/>
      <c r="AH905" s="147"/>
      <c r="AI905" s="147"/>
      <c r="AJ905" s="147"/>
      <c r="AK905" s="147"/>
      <c r="AL905" s="147"/>
      <c r="AM905" s="151"/>
      <c r="AN905" s="147"/>
      <c r="AO905" s="147"/>
      <c r="AP905" s="147"/>
      <c r="AQ905" s="147"/>
      <c r="AR905" s="147"/>
      <c r="AS905" s="147"/>
      <c r="AT905" s="147"/>
      <c r="AU905" s="147"/>
      <c r="AV905" s="147"/>
      <c r="AW905" s="147"/>
      <c r="AX905" s="147"/>
      <c r="AY905" s="147"/>
      <c r="AZ905" s="147"/>
      <c r="BA905" s="147"/>
      <c r="BB905" s="147"/>
      <c r="BC905" s="147"/>
      <c r="BD905" s="147"/>
      <c r="BE905" s="147"/>
      <c r="BF905" s="147"/>
      <c r="BG905" s="147"/>
      <c r="BH905" s="147"/>
      <c r="BI905" s="147"/>
      <c r="BJ905" s="147"/>
      <c r="BK905" s="147"/>
      <c r="BL905" s="147"/>
      <c r="BM905" s="147"/>
      <c r="BN905" s="147"/>
      <c r="BO905" s="147"/>
      <c r="BP905" s="147"/>
      <c r="BQ905" s="147"/>
      <c r="BR905" s="147"/>
      <c r="BS905" s="147"/>
      <c r="BT905" s="147"/>
      <c r="BU905" s="147"/>
      <c r="BV905" s="147"/>
      <c r="BW905" s="147"/>
      <c r="BX905" s="147"/>
      <c r="BY905" s="147"/>
      <c r="BZ905" s="147"/>
      <c r="CA905" s="147"/>
      <c r="CB905" s="147"/>
      <c r="CC905" s="147"/>
      <c r="CD905" s="147"/>
      <c r="CE905" s="147"/>
      <c r="CF905" s="147"/>
      <c r="CG905" s="147"/>
      <c r="CH905" s="147"/>
      <c r="CI905" s="147"/>
      <c r="CJ905" s="147"/>
      <c r="CK905" s="147"/>
    </row>
    <row r="906" spans="1:89">
      <c r="A906" s="157"/>
      <c r="F906" s="3"/>
      <c r="G906" s="3"/>
      <c r="L906" s="157"/>
      <c r="M906" s="157"/>
      <c r="O906" s="147"/>
      <c r="P906" s="147"/>
      <c r="Q906" s="147"/>
      <c r="R906" s="147"/>
      <c r="S906" s="147"/>
      <c r="T906" s="147"/>
      <c r="U906" s="147"/>
      <c r="V906" s="147"/>
      <c r="W906" s="147"/>
      <c r="X906" s="147"/>
      <c r="Y906" s="147"/>
      <c r="Z906" s="147"/>
      <c r="AA906" s="147"/>
      <c r="AB906" s="147"/>
      <c r="AC906" s="147"/>
      <c r="AD906" s="147"/>
      <c r="AE906" s="147"/>
      <c r="AF906" s="147"/>
      <c r="AG906" s="147"/>
      <c r="AH906" s="147"/>
      <c r="AI906" s="147"/>
      <c r="AJ906" s="147"/>
      <c r="AK906" s="147"/>
      <c r="AL906" s="147"/>
      <c r="AM906" s="151"/>
      <c r="AN906" s="147"/>
      <c r="AO906" s="147"/>
      <c r="AP906" s="147"/>
      <c r="AQ906" s="147"/>
      <c r="AR906" s="147"/>
      <c r="AS906" s="147"/>
      <c r="AT906" s="147"/>
      <c r="AU906" s="147"/>
      <c r="AV906" s="147"/>
      <c r="AW906" s="147"/>
      <c r="AX906" s="147"/>
      <c r="AY906" s="147"/>
      <c r="AZ906" s="147"/>
      <c r="BA906" s="147"/>
      <c r="BB906" s="147"/>
      <c r="BC906" s="147"/>
      <c r="BD906" s="147"/>
      <c r="BE906" s="147"/>
      <c r="BF906" s="147"/>
      <c r="BG906" s="147"/>
      <c r="BH906" s="147"/>
      <c r="BI906" s="147"/>
      <c r="BJ906" s="147"/>
      <c r="BK906" s="147"/>
      <c r="BL906" s="147"/>
      <c r="BM906" s="147"/>
      <c r="BN906" s="147"/>
      <c r="BO906" s="147"/>
      <c r="BP906" s="147"/>
      <c r="BQ906" s="147"/>
      <c r="BR906" s="147"/>
      <c r="BS906" s="147"/>
      <c r="BT906" s="147"/>
      <c r="BU906" s="147"/>
      <c r="BV906" s="147"/>
      <c r="BW906" s="147"/>
      <c r="BX906" s="147"/>
      <c r="BY906" s="147"/>
      <c r="BZ906" s="147"/>
      <c r="CA906" s="147"/>
      <c r="CB906" s="147"/>
      <c r="CC906" s="147"/>
      <c r="CD906" s="147"/>
      <c r="CE906" s="147"/>
      <c r="CF906" s="147"/>
      <c r="CG906" s="147"/>
      <c r="CH906" s="147"/>
      <c r="CI906" s="147"/>
      <c r="CJ906" s="147"/>
      <c r="CK906" s="147"/>
    </row>
    <row r="907" spans="1:89">
      <c r="A907" s="157"/>
      <c r="F907" s="3"/>
      <c r="G907" s="3"/>
      <c r="L907" s="157"/>
      <c r="M907" s="157"/>
      <c r="O907" s="147"/>
      <c r="P907" s="147"/>
      <c r="Q907" s="147"/>
      <c r="R907" s="147"/>
      <c r="S907" s="147"/>
      <c r="T907" s="147"/>
      <c r="U907" s="147"/>
      <c r="V907" s="147"/>
      <c r="W907" s="147"/>
      <c r="X907" s="147"/>
      <c r="Y907" s="147"/>
      <c r="Z907" s="147"/>
      <c r="AA907" s="147"/>
      <c r="AB907" s="147"/>
      <c r="AC907" s="147"/>
      <c r="AD907" s="147"/>
      <c r="AE907" s="147"/>
      <c r="AF907" s="147"/>
      <c r="AG907" s="147"/>
      <c r="AH907" s="147"/>
      <c r="AI907" s="147"/>
      <c r="AJ907" s="147"/>
      <c r="AK907" s="147"/>
      <c r="AL907" s="147"/>
      <c r="AM907" s="151"/>
      <c r="AN907" s="147"/>
      <c r="AO907" s="147"/>
      <c r="AP907" s="147"/>
      <c r="AQ907" s="147"/>
      <c r="AR907" s="147"/>
      <c r="AS907" s="147"/>
      <c r="AT907" s="147"/>
      <c r="AU907" s="147"/>
      <c r="AV907" s="147"/>
      <c r="AW907" s="147"/>
      <c r="AX907" s="147"/>
      <c r="AY907" s="147"/>
      <c r="AZ907" s="147"/>
      <c r="BA907" s="147"/>
      <c r="BB907" s="147"/>
      <c r="BC907" s="147"/>
      <c r="BD907" s="147"/>
      <c r="BE907" s="147"/>
      <c r="BF907" s="147"/>
      <c r="BG907" s="147"/>
      <c r="BH907" s="147"/>
      <c r="BI907" s="147"/>
      <c r="BJ907" s="147"/>
      <c r="BK907" s="147"/>
      <c r="BL907" s="147"/>
      <c r="BM907" s="147"/>
      <c r="BN907" s="147"/>
      <c r="BO907" s="147"/>
      <c r="BP907" s="147"/>
      <c r="BQ907" s="147"/>
      <c r="BR907" s="147"/>
      <c r="BS907" s="147"/>
      <c r="BT907" s="147"/>
      <c r="BU907" s="147"/>
      <c r="BV907" s="147"/>
      <c r="BW907" s="147"/>
      <c r="BX907" s="147"/>
      <c r="BY907" s="147"/>
      <c r="BZ907" s="147"/>
      <c r="CA907" s="147"/>
      <c r="CB907" s="147"/>
      <c r="CC907" s="147"/>
      <c r="CD907" s="147"/>
      <c r="CE907" s="147"/>
      <c r="CF907" s="147"/>
      <c r="CG907" s="147"/>
      <c r="CH907" s="147"/>
      <c r="CI907" s="147"/>
      <c r="CJ907" s="147"/>
      <c r="CK907" s="147"/>
    </row>
    <row r="908" spans="1:89">
      <c r="A908" s="157"/>
      <c r="F908" s="3"/>
      <c r="G908" s="3"/>
      <c r="L908" s="157"/>
      <c r="M908" s="157"/>
      <c r="O908" s="147"/>
      <c r="P908" s="147"/>
      <c r="Q908" s="147"/>
      <c r="R908" s="147"/>
      <c r="S908" s="147"/>
      <c r="T908" s="147"/>
      <c r="U908" s="147"/>
      <c r="V908" s="147"/>
      <c r="W908" s="147"/>
      <c r="X908" s="147"/>
      <c r="Y908" s="147"/>
      <c r="Z908" s="147"/>
      <c r="AA908" s="147"/>
      <c r="AB908" s="147"/>
      <c r="AC908" s="147"/>
      <c r="AD908" s="147"/>
      <c r="AE908" s="147"/>
      <c r="AF908" s="147"/>
      <c r="AG908" s="147"/>
      <c r="AH908" s="147"/>
      <c r="AI908" s="147"/>
      <c r="AJ908" s="147"/>
      <c r="AK908" s="147"/>
      <c r="AL908" s="147"/>
      <c r="AM908" s="151"/>
      <c r="AN908" s="147"/>
      <c r="AO908" s="147"/>
      <c r="AP908" s="147"/>
      <c r="AQ908" s="147"/>
      <c r="AR908" s="147"/>
      <c r="AS908" s="147"/>
      <c r="AT908" s="147"/>
      <c r="AU908" s="147"/>
      <c r="AV908" s="147"/>
      <c r="AW908" s="147"/>
      <c r="AX908" s="147"/>
      <c r="AY908" s="147"/>
      <c r="AZ908" s="147"/>
      <c r="BA908" s="147"/>
      <c r="BB908" s="147"/>
      <c r="BC908" s="147"/>
      <c r="BD908" s="147"/>
      <c r="BE908" s="147"/>
      <c r="BF908" s="147"/>
      <c r="BG908" s="147"/>
      <c r="BH908" s="147"/>
      <c r="BI908" s="147"/>
      <c r="BJ908" s="147"/>
      <c r="BK908" s="147"/>
      <c r="BL908" s="147"/>
      <c r="BM908" s="147"/>
      <c r="BN908" s="147"/>
      <c r="BO908" s="147"/>
      <c r="BP908" s="147"/>
      <c r="BQ908" s="147"/>
      <c r="BR908" s="147"/>
      <c r="BS908" s="147"/>
      <c r="BT908" s="147"/>
      <c r="BU908" s="147"/>
      <c r="BV908" s="147"/>
      <c r="BW908" s="147"/>
      <c r="BX908" s="147"/>
      <c r="BY908" s="147"/>
      <c r="BZ908" s="147"/>
      <c r="CA908" s="147"/>
      <c r="CB908" s="147"/>
      <c r="CC908" s="147"/>
      <c r="CD908" s="147"/>
      <c r="CE908" s="147"/>
      <c r="CF908" s="147"/>
      <c r="CG908" s="147"/>
      <c r="CH908" s="147"/>
      <c r="CI908" s="147"/>
      <c r="CJ908" s="147"/>
      <c r="CK908" s="147"/>
    </row>
    <row r="909" spans="1:89">
      <c r="A909" s="157"/>
      <c r="F909" s="3"/>
      <c r="G909" s="3"/>
      <c r="L909" s="157"/>
      <c r="M909" s="157"/>
      <c r="O909" s="147"/>
      <c r="P909" s="147"/>
      <c r="Q909" s="147"/>
      <c r="R909" s="147"/>
      <c r="S909" s="147"/>
      <c r="T909" s="147"/>
      <c r="U909" s="147"/>
      <c r="V909" s="147"/>
      <c r="W909" s="147"/>
      <c r="X909" s="147"/>
      <c r="Y909" s="147"/>
      <c r="Z909" s="147"/>
      <c r="AA909" s="147"/>
      <c r="AB909" s="147"/>
      <c r="AC909" s="147"/>
      <c r="AD909" s="147"/>
      <c r="AE909" s="147"/>
      <c r="AF909" s="147"/>
      <c r="AG909" s="147"/>
      <c r="AH909" s="147"/>
      <c r="AI909" s="147"/>
      <c r="AJ909" s="147"/>
      <c r="AK909" s="147"/>
      <c r="AL909" s="147"/>
      <c r="AM909" s="151"/>
      <c r="AN909" s="147"/>
      <c r="AO909" s="147"/>
      <c r="AP909" s="147"/>
      <c r="AQ909" s="147"/>
      <c r="AR909" s="147"/>
      <c r="AS909" s="147"/>
      <c r="AT909" s="147"/>
      <c r="AU909" s="147"/>
      <c r="AV909" s="147"/>
      <c r="AW909" s="147"/>
      <c r="AX909" s="147"/>
      <c r="AY909" s="147"/>
      <c r="AZ909" s="147"/>
      <c r="BA909" s="147"/>
      <c r="BB909" s="147"/>
      <c r="BC909" s="147"/>
      <c r="BD909" s="147"/>
      <c r="BE909" s="147"/>
      <c r="BF909" s="147"/>
      <c r="BG909" s="147"/>
      <c r="BH909" s="147"/>
      <c r="BI909" s="147"/>
      <c r="BJ909" s="147"/>
      <c r="BK909" s="147"/>
      <c r="BL909" s="147"/>
      <c r="BM909" s="147"/>
      <c r="BN909" s="147"/>
      <c r="BO909" s="147"/>
      <c r="BP909" s="147"/>
      <c r="BQ909" s="147"/>
      <c r="BR909" s="147"/>
      <c r="BS909" s="147"/>
      <c r="BT909" s="147"/>
      <c r="BU909" s="147"/>
      <c r="BV909" s="147"/>
      <c r="BW909" s="147"/>
      <c r="BX909" s="147"/>
      <c r="BY909" s="147"/>
      <c r="BZ909" s="147"/>
      <c r="CA909" s="147"/>
      <c r="CB909" s="147"/>
      <c r="CC909" s="147"/>
      <c r="CD909" s="147"/>
      <c r="CE909" s="147"/>
      <c r="CF909" s="147"/>
      <c r="CG909" s="147"/>
      <c r="CH909" s="147"/>
      <c r="CI909" s="147"/>
      <c r="CJ909" s="147"/>
      <c r="CK909" s="147"/>
    </row>
    <row r="910" spans="1:89">
      <c r="A910" s="157"/>
      <c r="F910" s="3"/>
      <c r="G910" s="3"/>
      <c r="L910" s="157"/>
      <c r="M910" s="157"/>
      <c r="O910" s="147"/>
      <c r="P910" s="147"/>
      <c r="Q910" s="147"/>
      <c r="R910" s="147"/>
      <c r="S910" s="147"/>
      <c r="T910" s="147"/>
      <c r="U910" s="147"/>
      <c r="V910" s="147"/>
      <c r="W910" s="147"/>
      <c r="X910" s="147"/>
      <c r="Y910" s="147"/>
      <c r="Z910" s="147"/>
      <c r="AA910" s="147"/>
      <c r="AB910" s="147"/>
      <c r="AC910" s="147"/>
      <c r="AD910" s="147"/>
      <c r="AE910" s="147"/>
      <c r="AF910" s="147"/>
      <c r="AG910" s="147"/>
      <c r="AH910" s="147"/>
      <c r="AI910" s="147"/>
      <c r="AJ910" s="147"/>
      <c r="AK910" s="147"/>
      <c r="AL910" s="147"/>
      <c r="AM910" s="151"/>
      <c r="AN910" s="147"/>
      <c r="AO910" s="147"/>
      <c r="AP910" s="147"/>
      <c r="AQ910" s="147"/>
      <c r="AR910" s="147"/>
      <c r="AS910" s="147"/>
      <c r="AT910" s="147"/>
      <c r="AU910" s="147"/>
      <c r="AV910" s="147"/>
      <c r="AW910" s="147"/>
      <c r="AX910" s="147"/>
      <c r="AY910" s="147"/>
      <c r="AZ910" s="147"/>
      <c r="BA910" s="147"/>
      <c r="BB910" s="147"/>
      <c r="BC910" s="147"/>
      <c r="BD910" s="147"/>
      <c r="BE910" s="147"/>
      <c r="BF910" s="147"/>
      <c r="BG910" s="147"/>
      <c r="BH910" s="147"/>
      <c r="BI910" s="147"/>
      <c r="BJ910" s="147"/>
      <c r="BK910" s="147"/>
      <c r="BL910" s="147"/>
      <c r="BM910" s="147"/>
      <c r="BN910" s="147"/>
      <c r="BO910" s="147"/>
      <c r="BP910" s="147"/>
      <c r="BQ910" s="147"/>
      <c r="BR910" s="147"/>
      <c r="BS910" s="147"/>
      <c r="BT910" s="147"/>
      <c r="BU910" s="147"/>
      <c r="BV910" s="147"/>
      <c r="BW910" s="147"/>
      <c r="BX910" s="147"/>
      <c r="BY910" s="147"/>
      <c r="BZ910" s="147"/>
      <c r="CA910" s="147"/>
      <c r="CB910" s="147"/>
      <c r="CC910" s="147"/>
      <c r="CD910" s="147"/>
      <c r="CE910" s="147"/>
      <c r="CF910" s="147"/>
      <c r="CG910" s="147"/>
      <c r="CH910" s="147"/>
      <c r="CI910" s="147"/>
      <c r="CJ910" s="147"/>
      <c r="CK910" s="147"/>
    </row>
    <row r="911" spans="1:89">
      <c r="A911" s="157"/>
      <c r="F911" s="3"/>
      <c r="G911" s="3"/>
      <c r="L911" s="157"/>
      <c r="M911" s="157"/>
      <c r="O911" s="147"/>
      <c r="P911" s="147"/>
      <c r="Q911" s="147"/>
      <c r="R911" s="147"/>
      <c r="S911" s="147"/>
      <c r="T911" s="147"/>
      <c r="U911" s="147"/>
      <c r="V911" s="147"/>
      <c r="W911" s="147"/>
      <c r="X911" s="147"/>
      <c r="Y911" s="147"/>
      <c r="Z911" s="147"/>
      <c r="AA911" s="147"/>
      <c r="AB911" s="147"/>
      <c r="AC911" s="147"/>
      <c r="AD911" s="147"/>
      <c r="AE911" s="147"/>
      <c r="AF911" s="147"/>
      <c r="AG911" s="147"/>
      <c r="AH911" s="147"/>
      <c r="AI911" s="147"/>
      <c r="AJ911" s="147"/>
      <c r="AK911" s="147"/>
      <c r="AL911" s="147"/>
      <c r="AM911" s="151"/>
      <c r="AN911" s="147"/>
      <c r="AO911" s="147"/>
      <c r="AP911" s="147"/>
      <c r="AQ911" s="147"/>
      <c r="AR911" s="147"/>
      <c r="AS911" s="147"/>
      <c r="AT911" s="147"/>
      <c r="AU911" s="147"/>
      <c r="AV911" s="147"/>
      <c r="AW911" s="147"/>
      <c r="AX911" s="147"/>
      <c r="AY911" s="147"/>
      <c r="AZ911" s="147"/>
      <c r="BA911" s="147"/>
      <c r="BB911" s="147"/>
      <c r="BC911" s="147"/>
      <c r="BD911" s="147"/>
      <c r="BE911" s="147"/>
      <c r="BF911" s="147"/>
      <c r="BG911" s="147"/>
      <c r="BH911" s="147"/>
      <c r="BI911" s="147"/>
      <c r="BJ911" s="147"/>
      <c r="BK911" s="147"/>
      <c r="BL911" s="147"/>
      <c r="BM911" s="147"/>
      <c r="BN911" s="147"/>
      <c r="BO911" s="147"/>
      <c r="BP911" s="147"/>
      <c r="BQ911" s="147"/>
      <c r="BR911" s="147"/>
      <c r="BS911" s="147"/>
      <c r="BT911" s="147"/>
      <c r="BU911" s="147"/>
      <c r="BV911" s="147"/>
      <c r="BW911" s="147"/>
      <c r="BX911" s="147"/>
      <c r="BY911" s="147"/>
      <c r="BZ911" s="147"/>
      <c r="CA911" s="147"/>
      <c r="CB911" s="147"/>
      <c r="CC911" s="147"/>
      <c r="CD911" s="147"/>
      <c r="CE911" s="147"/>
      <c r="CF911" s="147"/>
      <c r="CG911" s="147"/>
      <c r="CH911" s="147"/>
      <c r="CI911" s="147"/>
      <c r="CJ911" s="147"/>
      <c r="CK911" s="147"/>
    </row>
    <row r="912" spans="1:89">
      <c r="A912" s="157"/>
      <c r="F912" s="3"/>
      <c r="G912" s="3"/>
      <c r="L912" s="157"/>
      <c r="M912" s="157"/>
      <c r="O912" s="147"/>
      <c r="P912" s="147"/>
      <c r="Q912" s="147"/>
      <c r="R912" s="147"/>
      <c r="S912" s="147"/>
      <c r="T912" s="147"/>
      <c r="U912" s="147"/>
      <c r="V912" s="147"/>
      <c r="W912" s="147"/>
      <c r="X912" s="147"/>
      <c r="Y912" s="147"/>
      <c r="Z912" s="147"/>
      <c r="AA912" s="147"/>
      <c r="AB912" s="147"/>
      <c r="AC912" s="147"/>
      <c r="AD912" s="147"/>
      <c r="AE912" s="147"/>
      <c r="AF912" s="147"/>
      <c r="AG912" s="147"/>
      <c r="AH912" s="147"/>
      <c r="AI912" s="147"/>
      <c r="AJ912" s="147"/>
      <c r="AK912" s="147"/>
      <c r="AL912" s="147"/>
      <c r="AM912" s="151"/>
      <c r="AN912" s="147"/>
      <c r="AO912" s="147"/>
      <c r="AP912" s="147"/>
      <c r="AQ912" s="147"/>
      <c r="AR912" s="147"/>
      <c r="AS912" s="147"/>
      <c r="AT912" s="147"/>
      <c r="AU912" s="147"/>
      <c r="AV912" s="147"/>
      <c r="AW912" s="147"/>
      <c r="AX912" s="147"/>
      <c r="AY912" s="147"/>
      <c r="AZ912" s="147"/>
      <c r="BA912" s="147"/>
      <c r="BB912" s="147"/>
      <c r="BC912" s="147"/>
      <c r="BD912" s="147"/>
      <c r="BE912" s="147"/>
      <c r="BF912" s="147"/>
      <c r="BG912" s="147"/>
      <c r="BH912" s="147"/>
      <c r="BI912" s="147"/>
      <c r="BJ912" s="147"/>
      <c r="BK912" s="147"/>
      <c r="BL912" s="147"/>
      <c r="BM912" s="147"/>
      <c r="BN912" s="147"/>
      <c r="BO912" s="147"/>
      <c r="BP912" s="147"/>
      <c r="BQ912" s="147"/>
      <c r="BR912" s="147"/>
      <c r="BS912" s="147"/>
      <c r="BT912" s="147"/>
      <c r="BU912" s="147"/>
      <c r="BV912" s="147"/>
      <c r="BW912" s="147"/>
      <c r="BX912" s="147"/>
      <c r="BY912" s="147"/>
      <c r="BZ912" s="147"/>
      <c r="CA912" s="147"/>
      <c r="CB912" s="147"/>
      <c r="CC912" s="147"/>
      <c r="CD912" s="147"/>
      <c r="CE912" s="147"/>
      <c r="CF912" s="147"/>
      <c r="CG912" s="147"/>
      <c r="CH912" s="147"/>
      <c r="CI912" s="147"/>
      <c r="CJ912" s="147"/>
      <c r="CK912" s="147"/>
    </row>
    <row r="913" spans="1:89">
      <c r="A913" s="157"/>
      <c r="F913" s="3"/>
      <c r="G913" s="3"/>
      <c r="L913" s="157"/>
      <c r="M913" s="157"/>
      <c r="O913" s="147"/>
      <c r="P913" s="147"/>
      <c r="Q913" s="147"/>
      <c r="R913" s="147"/>
      <c r="S913" s="147"/>
      <c r="T913" s="147"/>
      <c r="U913" s="147"/>
      <c r="V913" s="147"/>
      <c r="W913" s="147"/>
      <c r="X913" s="147"/>
      <c r="Y913" s="147"/>
      <c r="Z913" s="147"/>
      <c r="AA913" s="147"/>
      <c r="AB913" s="147"/>
      <c r="AC913" s="147"/>
      <c r="AD913" s="147"/>
      <c r="AE913" s="147"/>
      <c r="AF913" s="147"/>
      <c r="AG913" s="147"/>
      <c r="AH913" s="147"/>
      <c r="AI913" s="147"/>
      <c r="AJ913" s="147"/>
      <c r="AK913" s="147"/>
      <c r="AL913" s="147"/>
      <c r="AM913" s="151"/>
      <c r="AN913" s="147"/>
      <c r="AO913" s="147"/>
      <c r="AP913" s="147"/>
      <c r="AQ913" s="147"/>
      <c r="AR913" s="147"/>
      <c r="AS913" s="147"/>
      <c r="AT913" s="147"/>
      <c r="AU913" s="147"/>
      <c r="AV913" s="147"/>
      <c r="AW913" s="147"/>
      <c r="AX913" s="147"/>
      <c r="AY913" s="147"/>
      <c r="AZ913" s="147"/>
      <c r="BA913" s="147"/>
      <c r="BB913" s="147"/>
      <c r="BC913" s="147"/>
      <c r="BD913" s="147"/>
      <c r="BE913" s="147"/>
      <c r="BF913" s="147"/>
      <c r="BG913" s="147"/>
      <c r="BH913" s="147"/>
      <c r="BI913" s="147"/>
      <c r="BJ913" s="147"/>
      <c r="BK913" s="147"/>
      <c r="BL913" s="147"/>
      <c r="BM913" s="147"/>
      <c r="BN913" s="147"/>
      <c r="BO913" s="147"/>
      <c r="BP913" s="147"/>
      <c r="BQ913" s="147"/>
      <c r="BR913" s="147"/>
      <c r="BS913" s="147"/>
      <c r="BT913" s="147"/>
      <c r="BU913" s="147"/>
      <c r="BV913" s="147"/>
      <c r="BW913" s="147"/>
      <c r="BX913" s="147"/>
      <c r="BY913" s="147"/>
      <c r="BZ913" s="147"/>
      <c r="CA913" s="147"/>
      <c r="CB913" s="147"/>
      <c r="CC913" s="147"/>
      <c r="CD913" s="147"/>
      <c r="CE913" s="147"/>
      <c r="CF913" s="147"/>
      <c r="CG913" s="147"/>
      <c r="CH913" s="147"/>
      <c r="CI913" s="147"/>
      <c r="CJ913" s="147"/>
      <c r="CK913" s="147"/>
    </row>
    <row r="914" spans="1:89">
      <c r="A914" s="157"/>
      <c r="F914" s="3"/>
      <c r="G914" s="3"/>
      <c r="L914" s="157"/>
      <c r="M914" s="157"/>
      <c r="O914" s="147"/>
      <c r="P914" s="147"/>
      <c r="Q914" s="147"/>
      <c r="R914" s="147"/>
      <c r="S914" s="147"/>
      <c r="T914" s="147"/>
      <c r="U914" s="147"/>
      <c r="V914" s="147"/>
      <c r="W914" s="147"/>
      <c r="X914" s="147"/>
      <c r="Y914" s="147"/>
      <c r="Z914" s="147"/>
      <c r="AA914" s="147"/>
      <c r="AB914" s="147"/>
      <c r="AC914" s="147"/>
      <c r="AD914" s="147"/>
      <c r="AE914" s="147"/>
      <c r="AF914" s="147"/>
      <c r="AG914" s="147"/>
      <c r="AH914" s="147"/>
      <c r="AI914" s="147"/>
      <c r="AJ914" s="147"/>
      <c r="AK914" s="147"/>
      <c r="AL914" s="147"/>
      <c r="AM914" s="151"/>
      <c r="AN914" s="147"/>
      <c r="AO914" s="147"/>
      <c r="AP914" s="147"/>
      <c r="AQ914" s="147"/>
      <c r="AR914" s="147"/>
      <c r="AS914" s="147"/>
      <c r="AT914" s="147"/>
      <c r="AU914" s="147"/>
      <c r="AV914" s="147"/>
      <c r="AW914" s="147"/>
      <c r="AX914" s="147"/>
      <c r="AY914" s="147"/>
      <c r="AZ914" s="147"/>
      <c r="BA914" s="147"/>
      <c r="BB914" s="147"/>
      <c r="BC914" s="147"/>
      <c r="BD914" s="147"/>
      <c r="BE914" s="147"/>
      <c r="BF914" s="147"/>
      <c r="BG914" s="147"/>
      <c r="BH914" s="147"/>
      <c r="BI914" s="147"/>
      <c r="BJ914" s="147"/>
      <c r="BK914" s="147"/>
      <c r="BL914" s="147"/>
      <c r="BM914" s="147"/>
      <c r="BN914" s="147"/>
      <c r="BO914" s="147"/>
      <c r="BP914" s="147"/>
      <c r="BQ914" s="147"/>
      <c r="BR914" s="147"/>
      <c r="BS914" s="147"/>
      <c r="BT914" s="147"/>
      <c r="BU914" s="147"/>
      <c r="BV914" s="147"/>
      <c r="BW914" s="147"/>
      <c r="BX914" s="147"/>
      <c r="BY914" s="147"/>
      <c r="BZ914" s="147"/>
      <c r="CA914" s="147"/>
      <c r="CB914" s="147"/>
      <c r="CC914" s="147"/>
      <c r="CD914" s="147"/>
      <c r="CE914" s="147"/>
      <c r="CF914" s="147"/>
      <c r="CG914" s="147"/>
      <c r="CH914" s="147"/>
      <c r="CI914" s="147"/>
      <c r="CJ914" s="147"/>
      <c r="CK914" s="147"/>
    </row>
    <row r="915" spans="1:89">
      <c r="A915" s="157"/>
      <c r="F915" s="3"/>
      <c r="G915" s="3"/>
      <c r="L915" s="157"/>
      <c r="M915" s="157"/>
      <c r="O915" s="147"/>
      <c r="P915" s="147"/>
      <c r="Q915" s="147"/>
      <c r="R915" s="147"/>
      <c r="S915" s="147"/>
      <c r="T915" s="147"/>
      <c r="U915" s="147"/>
      <c r="V915" s="147"/>
      <c r="W915" s="147"/>
      <c r="X915" s="147"/>
      <c r="Y915" s="147"/>
      <c r="Z915" s="147"/>
      <c r="AA915" s="147"/>
      <c r="AB915" s="147"/>
      <c r="AC915" s="147"/>
      <c r="AD915" s="147"/>
      <c r="AE915" s="147"/>
      <c r="AF915" s="147"/>
      <c r="AG915" s="147"/>
      <c r="AH915" s="147"/>
      <c r="AI915" s="147"/>
      <c r="AJ915" s="147"/>
      <c r="AK915" s="147"/>
      <c r="AL915" s="147"/>
      <c r="AM915" s="151"/>
      <c r="AN915" s="147"/>
      <c r="AO915" s="147"/>
      <c r="AP915" s="147"/>
      <c r="AQ915" s="147"/>
      <c r="AR915" s="147"/>
      <c r="AS915" s="147"/>
      <c r="AT915" s="147"/>
      <c r="AU915" s="147"/>
      <c r="AV915" s="147"/>
      <c r="AW915" s="147"/>
      <c r="AX915" s="147"/>
      <c r="AY915" s="147"/>
      <c r="AZ915" s="147"/>
      <c r="BA915" s="147"/>
      <c r="BB915" s="147"/>
      <c r="BC915" s="147"/>
      <c r="BD915" s="147"/>
      <c r="BE915" s="147"/>
      <c r="BF915" s="147"/>
      <c r="BG915" s="147"/>
      <c r="BH915" s="147"/>
      <c r="BI915" s="147"/>
      <c r="BJ915" s="147"/>
      <c r="BK915" s="147"/>
      <c r="BL915" s="147"/>
      <c r="BM915" s="147"/>
      <c r="BN915" s="147"/>
      <c r="BO915" s="147"/>
      <c r="BP915" s="147"/>
      <c r="BQ915" s="147"/>
      <c r="BR915" s="147"/>
      <c r="BS915" s="147"/>
      <c r="BT915" s="147"/>
      <c r="BU915" s="147"/>
      <c r="BV915" s="147"/>
      <c r="BW915" s="147"/>
      <c r="BX915" s="147"/>
      <c r="BY915" s="147"/>
      <c r="BZ915" s="147"/>
      <c r="CA915" s="147"/>
      <c r="CB915" s="147"/>
      <c r="CC915" s="147"/>
      <c r="CD915" s="147"/>
      <c r="CE915" s="147"/>
      <c r="CF915" s="147"/>
      <c r="CG915" s="147"/>
      <c r="CH915" s="147"/>
      <c r="CI915" s="147"/>
      <c r="CJ915" s="147"/>
      <c r="CK915" s="147"/>
    </row>
    <row r="916" spans="1:89">
      <c r="A916" s="157"/>
      <c r="F916" s="3"/>
      <c r="G916" s="3"/>
      <c r="L916" s="157"/>
      <c r="M916" s="157"/>
      <c r="O916" s="147"/>
      <c r="P916" s="147"/>
      <c r="Q916" s="147"/>
      <c r="R916" s="147"/>
      <c r="S916" s="147"/>
      <c r="T916" s="147"/>
      <c r="U916" s="147"/>
      <c r="V916" s="147"/>
      <c r="W916" s="147"/>
      <c r="X916" s="147"/>
      <c r="Y916" s="147"/>
      <c r="Z916" s="147"/>
      <c r="AA916" s="147"/>
      <c r="AB916" s="147"/>
      <c r="AC916" s="147"/>
      <c r="AD916" s="147"/>
      <c r="AE916" s="147"/>
      <c r="AF916" s="147"/>
      <c r="AG916" s="147"/>
      <c r="AH916" s="147"/>
      <c r="AI916" s="147"/>
      <c r="AJ916" s="147"/>
      <c r="AK916" s="147"/>
      <c r="AL916" s="147"/>
      <c r="AM916" s="151"/>
      <c r="AN916" s="147"/>
      <c r="AO916" s="147"/>
      <c r="AP916" s="147"/>
      <c r="AQ916" s="147"/>
      <c r="AR916" s="147"/>
      <c r="AS916" s="147"/>
      <c r="AT916" s="147"/>
      <c r="AU916" s="147"/>
      <c r="AV916" s="147"/>
      <c r="AW916" s="147"/>
      <c r="AX916" s="147"/>
      <c r="AY916" s="147"/>
      <c r="AZ916" s="147"/>
      <c r="BA916" s="147"/>
      <c r="BB916" s="147"/>
      <c r="BC916" s="147"/>
      <c r="BD916" s="147"/>
      <c r="BE916" s="147"/>
      <c r="BF916" s="147"/>
      <c r="BG916" s="147"/>
      <c r="BH916" s="147"/>
      <c r="BI916" s="147"/>
      <c r="BJ916" s="147"/>
      <c r="BK916" s="147"/>
      <c r="BL916" s="147"/>
      <c r="BM916" s="147"/>
      <c r="BN916" s="147"/>
      <c r="BO916" s="147"/>
      <c r="BP916" s="147"/>
      <c r="BQ916" s="147"/>
      <c r="BR916" s="147"/>
      <c r="BS916" s="147"/>
      <c r="BT916" s="147"/>
      <c r="BU916" s="147"/>
      <c r="BV916" s="147"/>
      <c r="BW916" s="147"/>
      <c r="BX916" s="147"/>
      <c r="BY916" s="147"/>
      <c r="BZ916" s="147"/>
      <c r="CA916" s="147"/>
      <c r="CB916" s="147"/>
      <c r="CC916" s="147"/>
      <c r="CD916" s="147"/>
      <c r="CE916" s="147"/>
      <c r="CF916" s="147"/>
      <c r="CG916" s="147"/>
      <c r="CH916" s="147"/>
      <c r="CI916" s="147"/>
      <c r="CJ916" s="147"/>
      <c r="CK916" s="147"/>
    </row>
    <row r="917" spans="1:89">
      <c r="A917" s="157"/>
      <c r="F917" s="3"/>
      <c r="G917" s="3"/>
      <c r="L917" s="157"/>
      <c r="M917" s="157"/>
      <c r="O917" s="147"/>
      <c r="P917" s="147"/>
      <c r="Q917" s="147"/>
      <c r="R917" s="147"/>
      <c r="S917" s="147"/>
      <c r="T917" s="147"/>
      <c r="U917" s="147"/>
      <c r="V917" s="147"/>
      <c r="W917" s="147"/>
      <c r="X917" s="147"/>
      <c r="Y917" s="147"/>
      <c r="Z917" s="147"/>
      <c r="AA917" s="147"/>
      <c r="AB917" s="147"/>
      <c r="AC917" s="147"/>
      <c r="AD917" s="147"/>
      <c r="AE917" s="147"/>
      <c r="AF917" s="147"/>
      <c r="AG917" s="147"/>
      <c r="AH917" s="147"/>
      <c r="AI917" s="147"/>
      <c r="AJ917" s="147"/>
      <c r="AK917" s="147"/>
      <c r="AL917" s="147"/>
      <c r="AM917" s="151"/>
      <c r="AN917" s="147"/>
      <c r="AO917" s="147"/>
      <c r="AP917" s="147"/>
      <c r="AQ917" s="147"/>
      <c r="AR917" s="147"/>
      <c r="AS917" s="147"/>
      <c r="AT917" s="147"/>
      <c r="AU917" s="147"/>
      <c r="AV917" s="147"/>
      <c r="AW917" s="147"/>
      <c r="AX917" s="147"/>
      <c r="AY917" s="147"/>
      <c r="AZ917" s="147"/>
      <c r="BA917" s="147"/>
      <c r="BB917" s="147"/>
      <c r="BC917" s="147"/>
      <c r="BD917" s="147"/>
      <c r="BE917" s="147"/>
      <c r="BF917" s="147"/>
      <c r="BG917" s="147"/>
      <c r="BH917" s="147"/>
      <c r="BI917" s="147"/>
      <c r="BJ917" s="147"/>
      <c r="BK917" s="147"/>
      <c r="BL917" s="147"/>
      <c r="BM917" s="147"/>
      <c r="BN917" s="147"/>
      <c r="BO917" s="147"/>
      <c r="BP917" s="147"/>
      <c r="BQ917" s="147"/>
      <c r="BR917" s="147"/>
      <c r="BS917" s="147"/>
      <c r="BT917" s="147"/>
      <c r="BU917" s="147"/>
      <c r="BV917" s="147"/>
      <c r="BW917" s="147"/>
      <c r="BX917" s="147"/>
      <c r="BY917" s="147"/>
      <c r="BZ917" s="147"/>
      <c r="CA917" s="147"/>
      <c r="CB917" s="147"/>
      <c r="CC917" s="147"/>
      <c r="CD917" s="147"/>
      <c r="CE917" s="147"/>
      <c r="CF917" s="147"/>
      <c r="CG917" s="147"/>
      <c r="CH917" s="147"/>
      <c r="CI917" s="147"/>
      <c r="CJ917" s="147"/>
      <c r="CK917" s="147"/>
    </row>
    <row r="918" spans="1:89">
      <c r="A918" s="157"/>
      <c r="F918" s="3"/>
      <c r="G918" s="3"/>
      <c r="L918" s="157"/>
      <c r="M918" s="157"/>
      <c r="O918" s="147"/>
      <c r="P918" s="147"/>
      <c r="Q918" s="147"/>
      <c r="R918" s="147"/>
      <c r="S918" s="147"/>
      <c r="T918" s="147"/>
      <c r="U918" s="147"/>
      <c r="V918" s="147"/>
      <c r="W918" s="147"/>
      <c r="X918" s="147"/>
      <c r="Y918" s="147"/>
      <c r="Z918" s="147"/>
      <c r="AA918" s="147"/>
      <c r="AB918" s="147"/>
      <c r="AC918" s="147"/>
      <c r="AD918" s="147"/>
      <c r="AE918" s="147"/>
      <c r="AF918" s="147"/>
      <c r="AG918" s="147"/>
      <c r="AH918" s="147"/>
      <c r="AI918" s="147"/>
      <c r="AJ918" s="147"/>
      <c r="AK918" s="147"/>
      <c r="AL918" s="147"/>
      <c r="AM918" s="151"/>
      <c r="AN918" s="147"/>
      <c r="AO918" s="147"/>
      <c r="AP918" s="147"/>
      <c r="AQ918" s="147"/>
      <c r="AR918" s="147"/>
      <c r="AS918" s="147"/>
      <c r="AT918" s="147"/>
      <c r="AU918" s="147"/>
      <c r="AV918" s="147"/>
      <c r="AW918" s="147"/>
      <c r="AX918" s="147"/>
      <c r="AY918" s="147"/>
      <c r="AZ918" s="147"/>
      <c r="BA918" s="147"/>
      <c r="BB918" s="147"/>
      <c r="BC918" s="147"/>
      <c r="BD918" s="147"/>
      <c r="BE918" s="147"/>
      <c r="BF918" s="147"/>
      <c r="BG918" s="147"/>
      <c r="BH918" s="147"/>
      <c r="BI918" s="147"/>
      <c r="BJ918" s="147"/>
      <c r="BK918" s="147"/>
      <c r="BL918" s="147"/>
      <c r="BM918" s="147"/>
      <c r="BN918" s="147"/>
      <c r="BO918" s="147"/>
      <c r="BP918" s="147"/>
      <c r="BQ918" s="147"/>
      <c r="BR918" s="147"/>
      <c r="BS918" s="147"/>
      <c r="BT918" s="147"/>
      <c r="BU918" s="147"/>
      <c r="BV918" s="147"/>
      <c r="BW918" s="147"/>
      <c r="BX918" s="147"/>
      <c r="BY918" s="147"/>
      <c r="BZ918" s="147"/>
      <c r="CA918" s="147"/>
      <c r="CB918" s="147"/>
      <c r="CC918" s="147"/>
      <c r="CD918" s="147"/>
      <c r="CE918" s="147"/>
      <c r="CF918" s="147"/>
      <c r="CG918" s="147"/>
      <c r="CH918" s="147"/>
      <c r="CI918" s="147"/>
      <c r="CJ918" s="147"/>
      <c r="CK918" s="147"/>
    </row>
    <row r="919" spans="1:89">
      <c r="A919" s="157"/>
      <c r="F919" s="3"/>
      <c r="G919" s="3"/>
      <c r="L919" s="157"/>
      <c r="M919" s="157"/>
      <c r="O919" s="147"/>
      <c r="P919" s="147"/>
      <c r="Q919" s="147"/>
      <c r="R919" s="147"/>
      <c r="S919" s="147"/>
      <c r="T919" s="147"/>
      <c r="U919" s="147"/>
      <c r="V919" s="147"/>
      <c r="W919" s="147"/>
      <c r="X919" s="147"/>
      <c r="Y919" s="147"/>
      <c r="Z919" s="147"/>
      <c r="AA919" s="147"/>
      <c r="AB919" s="147"/>
      <c r="AC919" s="147"/>
      <c r="AD919" s="147"/>
      <c r="AE919" s="147"/>
      <c r="AF919" s="147"/>
      <c r="AG919" s="147"/>
      <c r="AH919" s="147"/>
      <c r="AI919" s="147"/>
      <c r="AJ919" s="147"/>
      <c r="AK919" s="147"/>
      <c r="AL919" s="147"/>
      <c r="AM919" s="151"/>
      <c r="AN919" s="147"/>
      <c r="AO919" s="147"/>
      <c r="AP919" s="147"/>
      <c r="AQ919" s="147"/>
      <c r="AR919" s="147"/>
      <c r="AS919" s="147"/>
      <c r="AT919" s="147"/>
      <c r="AU919" s="147"/>
      <c r="AV919" s="147"/>
      <c r="AW919" s="147"/>
      <c r="AX919" s="147"/>
      <c r="AY919" s="147"/>
      <c r="AZ919" s="147"/>
      <c r="BA919" s="147"/>
      <c r="BB919" s="147"/>
      <c r="BC919" s="147"/>
      <c r="BD919" s="147"/>
      <c r="BE919" s="147"/>
      <c r="BF919" s="147"/>
      <c r="BG919" s="147"/>
      <c r="BH919" s="147"/>
      <c r="BI919" s="147"/>
      <c r="BJ919" s="147"/>
      <c r="BK919" s="147"/>
      <c r="BL919" s="147"/>
      <c r="BM919" s="147"/>
      <c r="BN919" s="147"/>
      <c r="BO919" s="147"/>
      <c r="BP919" s="147"/>
      <c r="BQ919" s="147"/>
      <c r="BR919" s="147"/>
      <c r="BS919" s="147"/>
      <c r="BT919" s="147"/>
      <c r="BU919" s="147"/>
      <c r="BV919" s="147"/>
      <c r="BW919" s="147"/>
      <c r="BX919" s="147"/>
      <c r="BY919" s="147"/>
      <c r="BZ919" s="147"/>
      <c r="CA919" s="147"/>
      <c r="CB919" s="147"/>
      <c r="CC919" s="147"/>
      <c r="CD919" s="147"/>
      <c r="CE919" s="147"/>
      <c r="CF919" s="147"/>
      <c r="CG919" s="147"/>
      <c r="CH919" s="147"/>
      <c r="CI919" s="147"/>
      <c r="CJ919" s="147"/>
      <c r="CK919" s="147"/>
    </row>
    <row r="920" spans="1:89">
      <c r="A920" s="157"/>
      <c r="F920" s="3"/>
      <c r="G920" s="3"/>
      <c r="L920" s="157"/>
      <c r="M920" s="157"/>
      <c r="O920" s="147"/>
      <c r="P920" s="147"/>
      <c r="Q920" s="147"/>
      <c r="R920" s="147"/>
      <c r="S920" s="147"/>
      <c r="T920" s="147"/>
      <c r="U920" s="147"/>
      <c r="V920" s="147"/>
      <c r="W920" s="147"/>
      <c r="X920" s="147"/>
      <c r="Y920" s="147"/>
      <c r="Z920" s="147"/>
      <c r="AA920" s="147"/>
      <c r="AB920" s="147"/>
      <c r="AC920" s="147"/>
      <c r="AD920" s="147"/>
      <c r="AE920" s="147"/>
      <c r="AF920" s="147"/>
      <c r="AG920" s="147"/>
      <c r="AH920" s="147"/>
      <c r="AI920" s="147"/>
      <c r="AJ920" s="147"/>
      <c r="AK920" s="147"/>
      <c r="AL920" s="147"/>
      <c r="AM920" s="151"/>
      <c r="AN920" s="147"/>
      <c r="AO920" s="147"/>
      <c r="AP920" s="147"/>
      <c r="AQ920" s="147"/>
      <c r="AR920" s="147"/>
      <c r="AS920" s="147"/>
      <c r="AT920" s="147"/>
      <c r="AU920" s="147"/>
      <c r="AV920" s="147"/>
      <c r="AW920" s="147"/>
      <c r="AX920" s="147"/>
      <c r="AY920" s="147"/>
      <c r="AZ920" s="147"/>
      <c r="BA920" s="147"/>
      <c r="BB920" s="147"/>
      <c r="BC920" s="147"/>
      <c r="BD920" s="147"/>
      <c r="BE920" s="147"/>
      <c r="BF920" s="147"/>
      <c r="BG920" s="147"/>
      <c r="BH920" s="147"/>
      <c r="BI920" s="147"/>
      <c r="BJ920" s="147"/>
      <c r="BK920" s="147"/>
      <c r="BL920" s="147"/>
      <c r="BM920" s="147"/>
      <c r="BN920" s="147"/>
      <c r="BO920" s="147"/>
      <c r="BP920" s="147"/>
      <c r="BQ920" s="147"/>
      <c r="BR920" s="147"/>
      <c r="BS920" s="147"/>
      <c r="BT920" s="147"/>
      <c r="BU920" s="147"/>
      <c r="BV920" s="147"/>
      <c r="BW920" s="147"/>
      <c r="BX920" s="147"/>
      <c r="BY920" s="147"/>
      <c r="BZ920" s="147"/>
      <c r="CA920" s="147"/>
      <c r="CB920" s="147"/>
      <c r="CC920" s="147"/>
      <c r="CD920" s="147"/>
      <c r="CE920" s="147"/>
      <c r="CF920" s="147"/>
      <c r="CG920" s="147"/>
      <c r="CH920" s="147"/>
      <c r="CI920" s="147"/>
      <c r="CJ920" s="147"/>
      <c r="CK920" s="147"/>
    </row>
    <row r="921" spans="1:89">
      <c r="A921" s="157"/>
      <c r="F921" s="3"/>
      <c r="G921" s="3"/>
      <c r="L921" s="157"/>
      <c r="M921" s="157"/>
      <c r="O921" s="147"/>
      <c r="P921" s="147"/>
      <c r="Q921" s="147"/>
      <c r="R921" s="147"/>
      <c r="S921" s="147"/>
      <c r="T921" s="147"/>
      <c r="U921" s="147"/>
      <c r="V921" s="147"/>
      <c r="W921" s="147"/>
      <c r="X921" s="147"/>
      <c r="Y921" s="147"/>
      <c r="Z921" s="147"/>
      <c r="AA921" s="147"/>
      <c r="AB921" s="147"/>
      <c r="AC921" s="147"/>
      <c r="AD921" s="147"/>
      <c r="AE921" s="147"/>
      <c r="AF921" s="147"/>
      <c r="AG921" s="147"/>
      <c r="AH921" s="147"/>
      <c r="AI921" s="147"/>
      <c r="AJ921" s="147"/>
      <c r="AK921" s="147"/>
      <c r="AL921" s="147"/>
      <c r="AM921" s="151"/>
      <c r="AN921" s="147"/>
      <c r="AO921" s="147"/>
      <c r="AP921" s="147"/>
      <c r="AQ921" s="147"/>
      <c r="AR921" s="147"/>
      <c r="AS921" s="147"/>
      <c r="AT921" s="147"/>
      <c r="AU921" s="147"/>
      <c r="AV921" s="147"/>
      <c r="AW921" s="147"/>
      <c r="AX921" s="147"/>
      <c r="AY921" s="147"/>
      <c r="AZ921" s="147"/>
      <c r="BA921" s="147"/>
      <c r="BB921" s="147"/>
      <c r="BC921" s="147"/>
      <c r="BD921" s="147"/>
      <c r="BE921" s="147"/>
      <c r="BF921" s="147"/>
      <c r="BG921" s="147"/>
      <c r="BH921" s="147"/>
      <c r="BI921" s="147"/>
      <c r="BJ921" s="147"/>
      <c r="BK921" s="147"/>
      <c r="BL921" s="147"/>
      <c r="BM921" s="147"/>
      <c r="BN921" s="147"/>
      <c r="BO921" s="147"/>
      <c r="BP921" s="147"/>
      <c r="BQ921" s="147"/>
      <c r="BR921" s="147"/>
      <c r="BS921" s="147"/>
      <c r="BT921" s="147"/>
      <c r="BU921" s="147"/>
      <c r="BV921" s="147"/>
      <c r="BW921" s="147"/>
      <c r="BX921" s="147"/>
      <c r="BY921" s="147"/>
      <c r="BZ921" s="147"/>
      <c r="CA921" s="147"/>
      <c r="CB921" s="147"/>
      <c r="CC921" s="147"/>
      <c r="CD921" s="147"/>
      <c r="CE921" s="147"/>
      <c r="CF921" s="147"/>
      <c r="CG921" s="147"/>
      <c r="CH921" s="147"/>
      <c r="CI921" s="147"/>
      <c r="CJ921" s="147"/>
      <c r="CK921" s="147"/>
    </row>
    <row r="922" spans="1:89">
      <c r="A922" s="157"/>
      <c r="F922" s="3"/>
      <c r="G922" s="3"/>
      <c r="L922" s="157"/>
      <c r="M922" s="157"/>
      <c r="O922" s="147"/>
      <c r="P922" s="147"/>
      <c r="Q922" s="147"/>
      <c r="R922" s="147"/>
      <c r="S922" s="147"/>
      <c r="T922" s="147"/>
      <c r="U922" s="147"/>
      <c r="V922" s="147"/>
      <c r="W922" s="147"/>
      <c r="X922" s="147"/>
      <c r="Y922" s="147"/>
      <c r="Z922" s="147"/>
      <c r="AA922" s="147"/>
      <c r="AB922" s="147"/>
      <c r="AC922" s="147"/>
      <c r="AD922" s="147"/>
      <c r="AE922" s="147"/>
      <c r="AF922" s="147"/>
      <c r="AG922" s="147"/>
      <c r="AH922" s="147"/>
      <c r="AI922" s="147"/>
      <c r="AJ922" s="147"/>
      <c r="AK922" s="147"/>
      <c r="AL922" s="147"/>
      <c r="AM922" s="151"/>
      <c r="AN922" s="147"/>
      <c r="AO922" s="147"/>
      <c r="AP922" s="147"/>
      <c r="AQ922" s="147"/>
      <c r="AR922" s="147"/>
      <c r="AS922" s="147"/>
      <c r="AT922" s="147"/>
      <c r="AU922" s="147"/>
      <c r="AV922" s="147"/>
      <c r="AW922" s="147"/>
      <c r="AX922" s="147"/>
      <c r="AY922" s="147"/>
      <c r="AZ922" s="147"/>
      <c r="BA922" s="147"/>
      <c r="BB922" s="147"/>
      <c r="BC922" s="147"/>
      <c r="BD922" s="147"/>
      <c r="BE922" s="147"/>
      <c r="BF922" s="147"/>
      <c r="BG922" s="147"/>
      <c r="BH922" s="147"/>
      <c r="BI922" s="147"/>
      <c r="BJ922" s="147"/>
      <c r="BK922" s="147"/>
      <c r="BL922" s="147"/>
      <c r="BM922" s="147"/>
      <c r="BN922" s="147"/>
      <c r="BO922" s="147"/>
      <c r="BP922" s="147"/>
      <c r="BQ922" s="147"/>
      <c r="BR922" s="147"/>
      <c r="BS922" s="147"/>
      <c r="BT922" s="147"/>
      <c r="BU922" s="147"/>
      <c r="BV922" s="147"/>
      <c r="BW922" s="147"/>
      <c r="BX922" s="147"/>
      <c r="BY922" s="147"/>
      <c r="BZ922" s="147"/>
      <c r="CA922" s="147"/>
      <c r="CB922" s="147"/>
      <c r="CC922" s="147"/>
      <c r="CD922" s="147"/>
      <c r="CE922" s="147"/>
      <c r="CF922" s="147"/>
      <c r="CG922" s="147"/>
      <c r="CH922" s="147"/>
      <c r="CI922" s="147"/>
      <c r="CJ922" s="147"/>
      <c r="CK922" s="147"/>
    </row>
    <row r="923" spans="1:89">
      <c r="A923" s="157"/>
      <c r="F923" s="3"/>
      <c r="G923" s="3"/>
      <c r="L923" s="157"/>
      <c r="M923" s="157"/>
      <c r="O923" s="147"/>
      <c r="P923" s="147"/>
      <c r="Q923" s="147"/>
      <c r="R923" s="147"/>
      <c r="S923" s="147"/>
      <c r="T923" s="147"/>
      <c r="U923" s="147"/>
      <c r="V923" s="147"/>
      <c r="W923" s="147"/>
      <c r="X923" s="147"/>
      <c r="Y923" s="147"/>
      <c r="Z923" s="147"/>
      <c r="AA923" s="147"/>
      <c r="AB923" s="147"/>
      <c r="AC923" s="147"/>
      <c r="AD923" s="147"/>
      <c r="AE923" s="147"/>
      <c r="AF923" s="147"/>
      <c r="AG923" s="147"/>
      <c r="AH923" s="147"/>
      <c r="AI923" s="147"/>
      <c r="AJ923" s="147"/>
      <c r="AK923" s="147"/>
      <c r="AL923" s="147"/>
      <c r="AM923" s="151"/>
      <c r="AN923" s="147"/>
      <c r="AO923" s="147"/>
      <c r="AP923" s="147"/>
      <c r="AQ923" s="147"/>
      <c r="AR923" s="147"/>
      <c r="AS923" s="147"/>
      <c r="AT923" s="147"/>
      <c r="AU923" s="147"/>
      <c r="AV923" s="147"/>
      <c r="AW923" s="147"/>
      <c r="AX923" s="147"/>
      <c r="AY923" s="147"/>
      <c r="AZ923" s="147"/>
      <c r="BA923" s="147"/>
      <c r="BB923" s="147"/>
      <c r="BC923" s="147"/>
      <c r="BD923" s="147"/>
      <c r="BE923" s="147"/>
      <c r="BF923" s="147"/>
      <c r="BG923" s="147"/>
      <c r="BH923" s="147"/>
      <c r="BI923" s="147"/>
      <c r="BJ923" s="147"/>
      <c r="BK923" s="147"/>
      <c r="BL923" s="147"/>
      <c r="BM923" s="147"/>
      <c r="BN923" s="147"/>
      <c r="BO923" s="147"/>
      <c r="BP923" s="147"/>
      <c r="BQ923" s="147"/>
      <c r="BR923" s="147"/>
      <c r="BS923" s="147"/>
      <c r="BT923" s="147"/>
      <c r="BU923" s="147"/>
      <c r="BV923" s="147"/>
      <c r="BW923" s="147"/>
      <c r="BX923" s="147"/>
      <c r="BY923" s="147"/>
      <c r="BZ923" s="147"/>
      <c r="CA923" s="147"/>
      <c r="CB923" s="147"/>
      <c r="CC923" s="147"/>
      <c r="CD923" s="147"/>
      <c r="CE923" s="147"/>
      <c r="CF923" s="147"/>
      <c r="CG923" s="147"/>
      <c r="CH923" s="147"/>
      <c r="CI923" s="147"/>
      <c r="CJ923" s="147"/>
      <c r="CK923" s="147"/>
    </row>
    <row r="924" spans="1:89">
      <c r="A924" s="157"/>
      <c r="F924" s="3"/>
      <c r="G924" s="3"/>
      <c r="L924" s="157"/>
      <c r="M924" s="157"/>
      <c r="O924" s="147"/>
      <c r="P924" s="147"/>
      <c r="Q924" s="147"/>
      <c r="R924" s="147"/>
      <c r="S924" s="147"/>
      <c r="T924" s="147"/>
      <c r="U924" s="147"/>
      <c r="V924" s="147"/>
      <c r="W924" s="147"/>
      <c r="X924" s="147"/>
      <c r="Y924" s="147"/>
      <c r="Z924" s="147"/>
      <c r="AA924" s="147"/>
      <c r="AB924" s="147"/>
      <c r="AC924" s="147"/>
      <c r="AD924" s="147"/>
      <c r="AE924" s="147"/>
      <c r="AF924" s="147"/>
      <c r="AG924" s="147"/>
      <c r="AH924" s="147"/>
      <c r="AI924" s="147"/>
      <c r="AJ924" s="147"/>
      <c r="AK924" s="147"/>
      <c r="AL924" s="147"/>
      <c r="AM924" s="151"/>
      <c r="AN924" s="147"/>
      <c r="AO924" s="147"/>
      <c r="AP924" s="147"/>
      <c r="AQ924" s="147"/>
      <c r="AR924" s="147"/>
      <c r="AS924" s="147"/>
      <c r="AT924" s="147"/>
      <c r="AU924" s="147"/>
      <c r="AV924" s="147"/>
      <c r="AW924" s="147"/>
      <c r="AX924" s="147"/>
      <c r="AY924" s="147"/>
      <c r="AZ924" s="147"/>
      <c r="BA924" s="147"/>
      <c r="BB924" s="147"/>
      <c r="BC924" s="147"/>
      <c r="BD924" s="147"/>
      <c r="BE924" s="147"/>
      <c r="BF924" s="147"/>
      <c r="BG924" s="147"/>
      <c r="BH924" s="147"/>
      <c r="BI924" s="147"/>
      <c r="BJ924" s="147"/>
      <c r="BK924" s="147"/>
      <c r="BL924" s="147"/>
      <c r="BM924" s="147"/>
      <c r="BN924" s="147"/>
      <c r="BO924" s="147"/>
      <c r="BP924" s="147"/>
      <c r="BQ924" s="147"/>
      <c r="BR924" s="147"/>
      <c r="BS924" s="147"/>
      <c r="BT924" s="147"/>
      <c r="BU924" s="147"/>
      <c r="BV924" s="147"/>
      <c r="BW924" s="147"/>
      <c r="BX924" s="147"/>
      <c r="BY924" s="147"/>
      <c r="BZ924" s="147"/>
      <c r="CA924" s="147"/>
      <c r="CB924" s="147"/>
      <c r="CC924" s="147"/>
      <c r="CD924" s="147"/>
      <c r="CE924" s="147"/>
      <c r="CF924" s="147"/>
      <c r="CG924" s="147"/>
      <c r="CH924" s="147"/>
      <c r="CI924" s="147"/>
      <c r="CJ924" s="147"/>
      <c r="CK924" s="147"/>
    </row>
    <row r="925" spans="1:89">
      <c r="A925" s="157"/>
      <c r="F925" s="3"/>
      <c r="G925" s="3"/>
      <c r="L925" s="157"/>
      <c r="M925" s="157"/>
      <c r="O925" s="147"/>
      <c r="P925" s="147"/>
      <c r="Q925" s="147"/>
      <c r="R925" s="147"/>
      <c r="S925" s="147"/>
      <c r="T925" s="147"/>
      <c r="U925" s="147"/>
      <c r="V925" s="147"/>
      <c r="W925" s="147"/>
      <c r="X925" s="147"/>
      <c r="Y925" s="147"/>
      <c r="Z925" s="147"/>
      <c r="AA925" s="147"/>
      <c r="AB925" s="147"/>
      <c r="AC925" s="147"/>
      <c r="AD925" s="147"/>
      <c r="AE925" s="147"/>
      <c r="AF925" s="147"/>
      <c r="AG925" s="147"/>
      <c r="AH925" s="147"/>
      <c r="AI925" s="147"/>
      <c r="AJ925" s="147"/>
      <c r="AK925" s="147"/>
      <c r="AL925" s="147"/>
      <c r="AM925" s="151"/>
      <c r="AN925" s="147"/>
      <c r="AO925" s="147"/>
      <c r="AP925" s="147"/>
      <c r="AQ925" s="147"/>
      <c r="AR925" s="147"/>
      <c r="AS925" s="147"/>
      <c r="AT925" s="147"/>
      <c r="AU925" s="147"/>
      <c r="AV925" s="147"/>
      <c r="AW925" s="147"/>
      <c r="AX925" s="147"/>
      <c r="AY925" s="147"/>
      <c r="AZ925" s="147"/>
      <c r="BA925" s="147"/>
      <c r="BB925" s="147"/>
      <c r="BC925" s="147"/>
      <c r="BD925" s="147"/>
      <c r="BE925" s="147"/>
      <c r="BF925" s="147"/>
      <c r="BG925" s="147"/>
      <c r="BH925" s="147"/>
      <c r="BI925" s="147"/>
      <c r="BJ925" s="147"/>
      <c r="BK925" s="147"/>
      <c r="BL925" s="147"/>
      <c r="BM925" s="147"/>
      <c r="BN925" s="147"/>
      <c r="BO925" s="147"/>
      <c r="BP925" s="147"/>
      <c r="BQ925" s="147"/>
      <c r="BR925" s="147"/>
      <c r="BS925" s="147"/>
      <c r="BT925" s="147"/>
      <c r="BU925" s="147"/>
      <c r="BV925" s="147"/>
      <c r="BW925" s="147"/>
      <c r="BX925" s="147"/>
      <c r="BY925" s="147"/>
      <c r="BZ925" s="147"/>
      <c r="CA925" s="147"/>
      <c r="CB925" s="147"/>
      <c r="CC925" s="147"/>
      <c r="CD925" s="147"/>
      <c r="CE925" s="147"/>
      <c r="CF925" s="147"/>
      <c r="CG925" s="147"/>
      <c r="CH925" s="147"/>
      <c r="CI925" s="147"/>
      <c r="CJ925" s="147"/>
      <c r="CK925" s="147"/>
    </row>
    <row r="926" spans="1:89">
      <c r="A926" s="157"/>
      <c r="F926" s="3"/>
      <c r="G926" s="3"/>
      <c r="L926" s="157"/>
      <c r="M926" s="157"/>
      <c r="O926" s="147"/>
      <c r="P926" s="147"/>
      <c r="Q926" s="147"/>
      <c r="R926" s="147"/>
      <c r="S926" s="147"/>
      <c r="T926" s="147"/>
      <c r="U926" s="147"/>
      <c r="V926" s="147"/>
      <c r="W926" s="147"/>
      <c r="X926" s="147"/>
      <c r="Y926" s="147"/>
      <c r="Z926" s="147"/>
      <c r="AA926" s="147"/>
      <c r="AB926" s="147"/>
      <c r="AC926" s="147"/>
      <c r="AD926" s="147"/>
      <c r="AE926" s="147"/>
      <c r="AF926" s="147"/>
      <c r="AG926" s="147"/>
      <c r="AH926" s="147"/>
      <c r="AI926" s="147"/>
      <c r="AJ926" s="147"/>
      <c r="AK926" s="147"/>
      <c r="AL926" s="147"/>
      <c r="AM926" s="151"/>
      <c r="AN926" s="147"/>
      <c r="AO926" s="147"/>
      <c r="AP926" s="147"/>
      <c r="AQ926" s="147"/>
      <c r="AR926" s="147"/>
      <c r="AS926" s="147"/>
      <c r="AT926" s="147"/>
      <c r="AU926" s="147"/>
      <c r="AV926" s="147"/>
      <c r="AW926" s="147"/>
      <c r="AX926" s="147"/>
      <c r="AY926" s="147"/>
      <c r="AZ926" s="147"/>
      <c r="BA926" s="147"/>
      <c r="BB926" s="147"/>
      <c r="BC926" s="147"/>
      <c r="BD926" s="147"/>
      <c r="BE926" s="147"/>
      <c r="BF926" s="147"/>
      <c r="BG926" s="147"/>
      <c r="BH926" s="147"/>
      <c r="BI926" s="147"/>
      <c r="BJ926" s="147"/>
      <c r="BK926" s="147"/>
      <c r="BL926" s="147"/>
      <c r="BM926" s="147"/>
      <c r="BN926" s="147"/>
      <c r="BO926" s="147"/>
      <c r="BP926" s="147"/>
      <c r="BQ926" s="147"/>
      <c r="BR926" s="147"/>
      <c r="BS926" s="147"/>
      <c r="BT926" s="147"/>
      <c r="BU926" s="147"/>
      <c r="BV926" s="147"/>
      <c r="BW926" s="147"/>
      <c r="BX926" s="147"/>
      <c r="BY926" s="147"/>
      <c r="BZ926" s="147"/>
      <c r="CA926" s="147"/>
      <c r="CB926" s="147"/>
      <c r="CC926" s="147"/>
      <c r="CD926" s="147"/>
      <c r="CE926" s="147"/>
      <c r="CF926" s="147"/>
      <c r="CG926" s="147"/>
      <c r="CH926" s="147"/>
      <c r="CI926" s="147"/>
      <c r="CJ926" s="147"/>
      <c r="CK926" s="147"/>
    </row>
    <row r="927" spans="1:89">
      <c r="A927" s="157"/>
      <c r="F927" s="3"/>
      <c r="G927" s="3"/>
      <c r="L927" s="157"/>
      <c r="M927" s="157"/>
      <c r="O927" s="147"/>
      <c r="P927" s="147"/>
      <c r="Q927" s="147"/>
      <c r="R927" s="147"/>
      <c r="S927" s="147"/>
      <c r="T927" s="147"/>
      <c r="U927" s="147"/>
      <c r="V927" s="147"/>
      <c r="W927" s="147"/>
      <c r="X927" s="147"/>
      <c r="Y927" s="147"/>
      <c r="Z927" s="147"/>
      <c r="AA927" s="147"/>
      <c r="AB927" s="147"/>
      <c r="AC927" s="147"/>
      <c r="AD927" s="147"/>
      <c r="AE927" s="147"/>
      <c r="AF927" s="147"/>
      <c r="AG927" s="147"/>
      <c r="AH927" s="147"/>
      <c r="AI927" s="147"/>
      <c r="AJ927" s="147"/>
      <c r="AK927" s="147"/>
      <c r="AL927" s="147"/>
      <c r="AM927" s="151"/>
      <c r="AN927" s="147"/>
      <c r="AO927" s="147"/>
      <c r="AP927" s="147"/>
      <c r="AQ927" s="147"/>
      <c r="AR927" s="147"/>
      <c r="AS927" s="147"/>
      <c r="AT927" s="147"/>
      <c r="AU927" s="147"/>
      <c r="AV927" s="147"/>
      <c r="AW927" s="147"/>
      <c r="AX927" s="147"/>
      <c r="AY927" s="147"/>
      <c r="AZ927" s="147"/>
      <c r="BA927" s="147"/>
      <c r="BB927" s="147"/>
      <c r="BC927" s="147"/>
      <c r="BD927" s="147"/>
      <c r="BE927" s="147"/>
      <c r="BF927" s="147"/>
      <c r="BG927" s="147"/>
      <c r="BH927" s="147"/>
      <c r="BI927" s="147"/>
      <c r="BJ927" s="147"/>
      <c r="BK927" s="147"/>
      <c r="BL927" s="147"/>
      <c r="BM927" s="147"/>
      <c r="BN927" s="147"/>
      <c r="BO927" s="147"/>
      <c r="BP927" s="147"/>
      <c r="BQ927" s="147"/>
      <c r="BR927" s="147"/>
      <c r="BS927" s="147"/>
      <c r="BT927" s="147"/>
      <c r="BU927" s="147"/>
      <c r="BV927" s="147"/>
      <c r="BW927" s="147"/>
      <c r="BX927" s="147"/>
      <c r="BY927" s="147"/>
      <c r="BZ927" s="147"/>
      <c r="CA927" s="147"/>
      <c r="CB927" s="147"/>
      <c r="CC927" s="147"/>
      <c r="CD927" s="147"/>
      <c r="CE927" s="147"/>
      <c r="CF927" s="147"/>
      <c r="CG927" s="147"/>
      <c r="CH927" s="147"/>
      <c r="CI927" s="147"/>
      <c r="CJ927" s="147"/>
      <c r="CK927" s="147"/>
    </row>
    <row r="928" spans="1:89">
      <c r="A928" s="157"/>
      <c r="F928" s="3"/>
      <c r="G928" s="3"/>
      <c r="L928" s="157"/>
      <c r="M928" s="157"/>
      <c r="O928" s="147"/>
      <c r="P928" s="147"/>
      <c r="Q928" s="147"/>
      <c r="R928" s="147"/>
      <c r="S928" s="147"/>
      <c r="T928" s="147"/>
      <c r="U928" s="147"/>
      <c r="V928" s="147"/>
      <c r="W928" s="147"/>
      <c r="X928" s="147"/>
      <c r="Y928" s="147"/>
      <c r="Z928" s="147"/>
      <c r="AA928" s="147"/>
      <c r="AB928" s="147"/>
      <c r="AC928" s="147"/>
      <c r="AD928" s="147"/>
      <c r="AE928" s="147"/>
      <c r="AF928" s="147"/>
      <c r="AG928" s="147"/>
      <c r="AH928" s="147"/>
      <c r="AI928" s="147"/>
      <c r="AJ928" s="147"/>
      <c r="AK928" s="147"/>
      <c r="AL928" s="147"/>
      <c r="AM928" s="151"/>
      <c r="AN928" s="147"/>
      <c r="AO928" s="147"/>
      <c r="AP928" s="147"/>
      <c r="AQ928" s="147"/>
      <c r="AR928" s="147"/>
      <c r="AS928" s="147"/>
      <c r="AT928" s="147"/>
      <c r="AU928" s="147"/>
      <c r="AV928" s="147"/>
      <c r="AW928" s="147"/>
      <c r="AX928" s="147"/>
      <c r="AY928" s="147"/>
      <c r="AZ928" s="147"/>
      <c r="BA928" s="147"/>
      <c r="BB928" s="147"/>
      <c r="BC928" s="147"/>
      <c r="BD928" s="147"/>
      <c r="BE928" s="147"/>
      <c r="BF928" s="147"/>
      <c r="BG928" s="147"/>
      <c r="BH928" s="147"/>
      <c r="BI928" s="147"/>
      <c r="BJ928" s="147"/>
      <c r="BK928" s="147"/>
      <c r="BL928" s="147"/>
      <c r="BM928" s="147"/>
      <c r="BN928" s="147"/>
      <c r="BO928" s="147"/>
      <c r="BP928" s="147"/>
      <c r="BQ928" s="147"/>
      <c r="BR928" s="147"/>
      <c r="BS928" s="147"/>
      <c r="BT928" s="147"/>
      <c r="BU928" s="147"/>
      <c r="BV928" s="147"/>
      <c r="BW928" s="147"/>
      <c r="BX928" s="147"/>
      <c r="BY928" s="147"/>
      <c r="BZ928" s="147"/>
      <c r="CA928" s="147"/>
      <c r="CB928" s="147"/>
      <c r="CC928" s="147"/>
      <c r="CD928" s="147"/>
      <c r="CE928" s="147"/>
      <c r="CF928" s="147"/>
      <c r="CG928" s="147"/>
      <c r="CH928" s="147"/>
      <c r="CI928" s="147"/>
      <c r="CJ928" s="147"/>
      <c r="CK928" s="147"/>
    </row>
    <row r="929" spans="1:89">
      <c r="A929" s="157"/>
      <c r="F929" s="3"/>
      <c r="G929" s="3"/>
      <c r="L929" s="157"/>
      <c r="M929" s="157"/>
      <c r="O929" s="147"/>
      <c r="P929" s="147"/>
      <c r="Q929" s="147"/>
      <c r="R929" s="147"/>
      <c r="S929" s="147"/>
      <c r="T929" s="147"/>
      <c r="U929" s="147"/>
      <c r="V929" s="147"/>
      <c r="W929" s="147"/>
      <c r="X929" s="147"/>
      <c r="Y929" s="147"/>
      <c r="Z929" s="147"/>
      <c r="AA929" s="147"/>
      <c r="AB929" s="147"/>
      <c r="AC929" s="147"/>
      <c r="AD929" s="147"/>
      <c r="AE929" s="147"/>
      <c r="AF929" s="147"/>
      <c r="AG929" s="147"/>
      <c r="AH929" s="147"/>
      <c r="AI929" s="147"/>
      <c r="AJ929" s="147"/>
      <c r="AK929" s="147"/>
      <c r="AL929" s="147"/>
      <c r="AM929" s="151"/>
      <c r="AN929" s="147"/>
      <c r="AO929" s="147"/>
      <c r="AP929" s="147"/>
      <c r="AQ929" s="147"/>
      <c r="AR929" s="147"/>
      <c r="AS929" s="147"/>
      <c r="AT929" s="147"/>
      <c r="AU929" s="147"/>
      <c r="AV929" s="147"/>
      <c r="AW929" s="147"/>
      <c r="AX929" s="147"/>
      <c r="AY929" s="147"/>
      <c r="AZ929" s="147"/>
      <c r="BA929" s="147"/>
      <c r="BB929" s="147"/>
      <c r="BC929" s="147"/>
      <c r="BD929" s="147"/>
      <c r="BE929" s="147"/>
      <c r="BF929" s="147"/>
      <c r="BG929" s="147"/>
      <c r="BH929" s="147"/>
      <c r="BI929" s="147"/>
      <c r="BJ929" s="147"/>
      <c r="BK929" s="147"/>
      <c r="BL929" s="147"/>
      <c r="BM929" s="147"/>
      <c r="BN929" s="147"/>
      <c r="BO929" s="147"/>
      <c r="BP929" s="147"/>
      <c r="BQ929" s="147"/>
      <c r="BR929" s="147"/>
      <c r="BS929" s="147"/>
      <c r="BT929" s="147"/>
      <c r="BU929" s="147"/>
      <c r="BV929" s="147"/>
      <c r="BW929" s="147"/>
      <c r="BX929" s="147"/>
      <c r="BY929" s="147"/>
      <c r="BZ929" s="147"/>
      <c r="CA929" s="147"/>
      <c r="CB929" s="147"/>
      <c r="CC929" s="147"/>
      <c r="CD929" s="147"/>
      <c r="CE929" s="147"/>
      <c r="CF929" s="147"/>
      <c r="CG929" s="147"/>
      <c r="CH929" s="147"/>
      <c r="CI929" s="147"/>
      <c r="CJ929" s="147"/>
      <c r="CK929" s="147"/>
    </row>
    <row r="930" spans="1:89">
      <c r="A930" s="157"/>
      <c r="F930" s="3"/>
      <c r="G930" s="3"/>
      <c r="L930" s="157"/>
      <c r="M930" s="157"/>
      <c r="O930" s="147"/>
      <c r="P930" s="147"/>
      <c r="Q930" s="147"/>
      <c r="R930" s="147"/>
      <c r="S930" s="147"/>
      <c r="T930" s="147"/>
      <c r="U930" s="147"/>
      <c r="V930" s="147"/>
      <c r="W930" s="147"/>
      <c r="X930" s="147"/>
      <c r="Y930" s="147"/>
      <c r="Z930" s="147"/>
      <c r="AA930" s="147"/>
      <c r="AB930" s="147"/>
      <c r="AC930" s="147"/>
      <c r="AD930" s="147"/>
      <c r="AE930" s="147"/>
      <c r="AF930" s="147"/>
      <c r="AG930" s="147"/>
      <c r="AH930" s="147"/>
      <c r="AI930" s="147"/>
      <c r="AJ930" s="147"/>
      <c r="AK930" s="147"/>
      <c r="AL930" s="147"/>
      <c r="AM930" s="151"/>
      <c r="AN930" s="147"/>
      <c r="AO930" s="147"/>
      <c r="AP930" s="147"/>
      <c r="AQ930" s="147"/>
      <c r="AR930" s="147"/>
      <c r="AS930" s="147"/>
      <c r="AT930" s="147"/>
      <c r="AU930" s="147"/>
      <c r="AV930" s="147"/>
      <c r="AW930" s="147"/>
      <c r="AX930" s="147"/>
      <c r="AY930" s="147"/>
      <c r="AZ930" s="147"/>
      <c r="BA930" s="147"/>
      <c r="BB930" s="147"/>
      <c r="BC930" s="147"/>
      <c r="BD930" s="147"/>
      <c r="BE930" s="147"/>
      <c r="BF930" s="147"/>
      <c r="BG930" s="147"/>
      <c r="BH930" s="147"/>
      <c r="BI930" s="147"/>
      <c r="BJ930" s="147"/>
      <c r="BK930" s="147"/>
      <c r="BL930" s="147"/>
      <c r="BM930" s="147"/>
      <c r="BN930" s="147"/>
      <c r="BO930" s="147"/>
      <c r="BP930" s="147"/>
      <c r="BQ930" s="147"/>
      <c r="BR930" s="147"/>
      <c r="BS930" s="147"/>
      <c r="BT930" s="147"/>
      <c r="BU930" s="147"/>
      <c r="BV930" s="147"/>
      <c r="BW930" s="147"/>
      <c r="BX930" s="147"/>
      <c r="BY930" s="147"/>
      <c r="BZ930" s="147"/>
      <c r="CA930" s="147"/>
      <c r="CB930" s="147"/>
      <c r="CC930" s="147"/>
      <c r="CD930" s="147"/>
      <c r="CE930" s="147"/>
      <c r="CF930" s="147"/>
      <c r="CG930" s="147"/>
      <c r="CH930" s="147"/>
      <c r="CI930" s="147"/>
      <c r="CJ930" s="147"/>
      <c r="CK930" s="147"/>
    </row>
    <row r="931" spans="1:89">
      <c r="A931" s="157"/>
      <c r="F931" s="3"/>
      <c r="G931" s="3"/>
      <c r="L931" s="157"/>
      <c r="M931" s="157"/>
      <c r="O931" s="147"/>
      <c r="P931" s="147"/>
      <c r="Q931" s="147"/>
      <c r="R931" s="147"/>
      <c r="S931" s="147"/>
      <c r="T931" s="147"/>
      <c r="U931" s="147"/>
      <c r="V931" s="147"/>
      <c r="W931" s="147"/>
      <c r="X931" s="147"/>
      <c r="Y931" s="147"/>
      <c r="Z931" s="147"/>
      <c r="AA931" s="147"/>
      <c r="AB931" s="147"/>
      <c r="AC931" s="147"/>
      <c r="AD931" s="147"/>
      <c r="AE931" s="147"/>
      <c r="AF931" s="147"/>
      <c r="AG931" s="147"/>
      <c r="AH931" s="147"/>
      <c r="AI931" s="147"/>
      <c r="AJ931" s="147"/>
      <c r="AK931" s="147"/>
      <c r="AL931" s="147"/>
      <c r="AM931" s="151"/>
      <c r="AN931" s="147"/>
      <c r="AO931" s="147"/>
      <c r="AP931" s="147"/>
      <c r="AQ931" s="147"/>
      <c r="AR931" s="147"/>
      <c r="AS931" s="147"/>
      <c r="AT931" s="147"/>
      <c r="AU931" s="147"/>
      <c r="AV931" s="147"/>
      <c r="AW931" s="147"/>
      <c r="AX931" s="147"/>
      <c r="AY931" s="147"/>
      <c r="AZ931" s="147"/>
      <c r="BA931" s="147"/>
      <c r="BB931" s="147"/>
      <c r="BC931" s="147"/>
      <c r="BD931" s="147"/>
      <c r="BE931" s="147"/>
      <c r="BF931" s="147"/>
      <c r="BG931" s="147"/>
      <c r="BH931" s="147"/>
      <c r="BI931" s="147"/>
      <c r="BJ931" s="147"/>
      <c r="BK931" s="147"/>
      <c r="BL931" s="147"/>
      <c r="BM931" s="147"/>
      <c r="BN931" s="147"/>
      <c r="BO931" s="147"/>
      <c r="BP931" s="147"/>
      <c r="BQ931" s="147"/>
      <c r="BR931" s="147"/>
      <c r="BS931" s="147"/>
      <c r="BT931" s="147"/>
      <c r="BU931" s="147"/>
      <c r="BV931" s="147"/>
      <c r="BW931" s="147"/>
      <c r="BX931" s="147"/>
      <c r="BY931" s="147"/>
      <c r="BZ931" s="147"/>
      <c r="CA931" s="147"/>
      <c r="CB931" s="147"/>
      <c r="CC931" s="147"/>
      <c r="CD931" s="147"/>
      <c r="CE931" s="147"/>
      <c r="CF931" s="147"/>
      <c r="CG931" s="147"/>
      <c r="CH931" s="147"/>
      <c r="CI931" s="147"/>
      <c r="CJ931" s="147"/>
      <c r="CK931" s="147"/>
    </row>
    <row r="932" spans="1:89">
      <c r="A932" s="157"/>
      <c r="F932" s="3"/>
      <c r="G932" s="3"/>
      <c r="L932" s="157"/>
      <c r="M932" s="157"/>
      <c r="O932" s="147"/>
      <c r="P932" s="147"/>
      <c r="Q932" s="147"/>
      <c r="R932" s="147"/>
      <c r="S932" s="147"/>
      <c r="T932" s="147"/>
      <c r="U932" s="147"/>
      <c r="V932" s="147"/>
      <c r="W932" s="147"/>
      <c r="X932" s="147"/>
      <c r="Y932" s="147"/>
      <c r="Z932" s="147"/>
      <c r="AA932" s="147"/>
      <c r="AB932" s="147"/>
      <c r="AC932" s="147"/>
      <c r="AD932" s="147"/>
      <c r="AE932" s="147"/>
      <c r="AF932" s="147"/>
      <c r="AG932" s="147"/>
      <c r="AH932" s="147"/>
      <c r="AI932" s="147"/>
      <c r="AJ932" s="147"/>
      <c r="AK932" s="147"/>
      <c r="AL932" s="147"/>
      <c r="AM932" s="151"/>
      <c r="AN932" s="147"/>
      <c r="AO932" s="147"/>
      <c r="AP932" s="147"/>
      <c r="AQ932" s="147"/>
      <c r="AR932" s="147"/>
      <c r="AS932" s="147"/>
      <c r="AT932" s="147"/>
      <c r="AU932" s="147"/>
      <c r="AV932" s="147"/>
      <c r="AW932" s="147"/>
      <c r="AX932" s="147"/>
      <c r="AY932" s="147"/>
      <c r="AZ932" s="147"/>
      <c r="BA932" s="147"/>
      <c r="BB932" s="147"/>
      <c r="BC932" s="147"/>
      <c r="BD932" s="147"/>
      <c r="BE932" s="147"/>
      <c r="BF932" s="147"/>
      <c r="BG932" s="147"/>
      <c r="BH932" s="147"/>
      <c r="BI932" s="147"/>
      <c r="BJ932" s="147"/>
      <c r="BK932" s="147"/>
      <c r="BL932" s="147"/>
      <c r="BM932" s="147"/>
      <c r="BN932" s="147"/>
      <c r="BO932" s="147"/>
      <c r="BP932" s="147"/>
      <c r="BQ932" s="147"/>
      <c r="BR932" s="147"/>
      <c r="BS932" s="147"/>
      <c r="BT932" s="147"/>
      <c r="BU932" s="147"/>
      <c r="BV932" s="147"/>
      <c r="BW932" s="147"/>
      <c r="BX932" s="147"/>
      <c r="BY932" s="147"/>
      <c r="BZ932" s="147"/>
      <c r="CA932" s="147"/>
      <c r="CB932" s="147"/>
      <c r="CC932" s="147"/>
      <c r="CD932" s="147"/>
      <c r="CE932" s="147"/>
      <c r="CF932" s="147"/>
      <c r="CG932" s="147"/>
      <c r="CH932" s="147"/>
      <c r="CI932" s="147"/>
      <c r="CJ932" s="147"/>
      <c r="CK932" s="147"/>
    </row>
    <row r="933" spans="1:89">
      <c r="A933" s="157"/>
      <c r="F933" s="3"/>
      <c r="G933" s="3"/>
      <c r="L933" s="157"/>
      <c r="M933" s="157"/>
      <c r="O933" s="147"/>
      <c r="P933" s="147"/>
      <c r="Q933" s="147"/>
      <c r="R933" s="147"/>
      <c r="S933" s="147"/>
      <c r="T933" s="147"/>
      <c r="U933" s="147"/>
      <c r="V933" s="147"/>
      <c r="W933" s="147"/>
      <c r="X933" s="147"/>
      <c r="Y933" s="147"/>
      <c r="Z933" s="147"/>
      <c r="AA933" s="147"/>
      <c r="AB933" s="147"/>
      <c r="AC933" s="147"/>
      <c r="AD933" s="147"/>
      <c r="AE933" s="147"/>
      <c r="AF933" s="147"/>
      <c r="AG933" s="147"/>
      <c r="AH933" s="147"/>
      <c r="AI933" s="147"/>
      <c r="AJ933" s="147"/>
      <c r="AK933" s="147"/>
      <c r="AL933" s="147"/>
      <c r="AM933" s="151"/>
      <c r="AN933" s="147"/>
      <c r="AO933" s="147"/>
      <c r="AP933" s="147"/>
      <c r="AQ933" s="147"/>
      <c r="AR933" s="147"/>
      <c r="AS933" s="147"/>
      <c r="AT933" s="147"/>
      <c r="AU933" s="147"/>
      <c r="AV933" s="147"/>
      <c r="AW933" s="147"/>
      <c r="AX933" s="147"/>
      <c r="AY933" s="147"/>
      <c r="AZ933" s="147"/>
      <c r="BA933" s="147"/>
      <c r="BB933" s="147"/>
      <c r="BC933" s="147"/>
      <c r="BD933" s="147"/>
      <c r="BE933" s="147"/>
      <c r="BF933" s="147"/>
      <c r="BG933" s="147"/>
      <c r="BH933" s="147"/>
      <c r="BI933" s="147"/>
      <c r="BJ933" s="147"/>
      <c r="BK933" s="147"/>
      <c r="BL933" s="147"/>
      <c r="BM933" s="147"/>
      <c r="BN933" s="147"/>
      <c r="BO933" s="147"/>
      <c r="BP933" s="147"/>
      <c r="BQ933" s="147"/>
      <c r="BR933" s="147"/>
      <c r="BS933" s="147"/>
      <c r="BT933" s="147"/>
      <c r="BU933" s="147"/>
      <c r="BV933" s="147"/>
      <c r="BW933" s="147"/>
      <c r="BX933" s="147"/>
      <c r="BY933" s="147"/>
      <c r="BZ933" s="147"/>
      <c r="CA933" s="147"/>
      <c r="CB933" s="147"/>
      <c r="CC933" s="147"/>
      <c r="CD933" s="147"/>
      <c r="CE933" s="147"/>
      <c r="CF933" s="147"/>
      <c r="CG933" s="147"/>
      <c r="CH933" s="147"/>
      <c r="CI933" s="147"/>
      <c r="CJ933" s="147"/>
      <c r="CK933" s="147"/>
    </row>
    <row r="934" spans="1:89">
      <c r="A934" s="157"/>
      <c r="F934" s="3"/>
      <c r="G934" s="3"/>
      <c r="L934" s="157"/>
      <c r="M934" s="157"/>
      <c r="O934" s="147"/>
      <c r="P934" s="147"/>
      <c r="Q934" s="147"/>
      <c r="R934" s="147"/>
      <c r="S934" s="147"/>
      <c r="T934" s="147"/>
      <c r="U934" s="147"/>
      <c r="V934" s="147"/>
      <c r="W934" s="147"/>
      <c r="X934" s="147"/>
      <c r="Y934" s="147"/>
      <c r="Z934" s="147"/>
      <c r="AA934" s="147"/>
      <c r="AB934" s="147"/>
      <c r="AC934" s="147"/>
      <c r="AD934" s="147"/>
      <c r="AE934" s="147"/>
      <c r="AF934" s="147"/>
      <c r="AG934" s="147"/>
      <c r="AH934" s="147"/>
      <c r="AI934" s="147"/>
      <c r="AJ934" s="147"/>
      <c r="AK934" s="147"/>
      <c r="AL934" s="147"/>
      <c r="AM934" s="151"/>
      <c r="AN934" s="147"/>
      <c r="AO934" s="147"/>
      <c r="AP934" s="147"/>
      <c r="AQ934" s="147"/>
      <c r="AR934" s="147"/>
      <c r="AS934" s="147"/>
      <c r="AT934" s="147"/>
      <c r="AU934" s="147"/>
      <c r="AV934" s="147"/>
      <c r="AW934" s="147"/>
      <c r="AX934" s="147"/>
      <c r="AY934" s="147"/>
      <c r="AZ934" s="147"/>
      <c r="BA934" s="147"/>
      <c r="BB934" s="147"/>
      <c r="BC934" s="147"/>
      <c r="BD934" s="147"/>
      <c r="BE934" s="147"/>
      <c r="BF934" s="147"/>
      <c r="BG934" s="147"/>
      <c r="BH934" s="147"/>
      <c r="BI934" s="147"/>
      <c r="BJ934" s="147"/>
      <c r="BK934" s="147"/>
      <c r="BL934" s="147"/>
      <c r="BM934" s="147"/>
      <c r="BN934" s="147"/>
      <c r="BO934" s="147"/>
      <c r="BP934" s="147"/>
      <c r="BQ934" s="147"/>
      <c r="BR934" s="147"/>
      <c r="BS934" s="147"/>
      <c r="BT934" s="147"/>
      <c r="BU934" s="147"/>
      <c r="BV934" s="147"/>
      <c r="BW934" s="147"/>
      <c r="BX934" s="147"/>
      <c r="BY934" s="147"/>
      <c r="BZ934" s="147"/>
      <c r="CA934" s="147"/>
      <c r="CB934" s="147"/>
      <c r="CC934" s="147"/>
      <c r="CD934" s="147"/>
      <c r="CE934" s="147"/>
      <c r="CF934" s="147"/>
      <c r="CG934" s="147"/>
      <c r="CH934" s="147"/>
      <c r="CI934" s="147"/>
      <c r="CJ934" s="147"/>
      <c r="CK934" s="147"/>
    </row>
    <row r="935" spans="1:89">
      <c r="A935" s="157"/>
      <c r="F935" s="3"/>
      <c r="G935" s="3"/>
      <c r="L935" s="157"/>
      <c r="M935" s="157"/>
      <c r="O935" s="147"/>
      <c r="P935" s="147"/>
      <c r="Q935" s="147"/>
      <c r="R935" s="147"/>
      <c r="S935" s="147"/>
      <c r="T935" s="147"/>
      <c r="U935" s="147"/>
      <c r="V935" s="147"/>
      <c r="W935" s="147"/>
      <c r="X935" s="147"/>
      <c r="Y935" s="147"/>
      <c r="Z935" s="147"/>
      <c r="AA935" s="147"/>
      <c r="AB935" s="147"/>
      <c r="AC935" s="147"/>
      <c r="AD935" s="147"/>
      <c r="AE935" s="147"/>
      <c r="AF935" s="147"/>
      <c r="AG935" s="147"/>
      <c r="AH935" s="147"/>
      <c r="AI935" s="147"/>
      <c r="AJ935" s="147"/>
      <c r="AK935" s="147"/>
      <c r="AL935" s="147"/>
      <c r="AM935" s="151"/>
      <c r="AN935" s="147"/>
      <c r="AO935" s="147"/>
      <c r="AP935" s="147"/>
      <c r="AQ935" s="147"/>
      <c r="AR935" s="147"/>
      <c r="AS935" s="147"/>
      <c r="AT935" s="147"/>
      <c r="AU935" s="147"/>
      <c r="AV935" s="147"/>
      <c r="AW935" s="147"/>
      <c r="AX935" s="147"/>
      <c r="AY935" s="147"/>
      <c r="AZ935" s="147"/>
      <c r="BA935" s="147"/>
      <c r="BB935" s="147"/>
      <c r="BC935" s="147"/>
      <c r="BD935" s="147"/>
      <c r="BE935" s="147"/>
      <c r="BF935" s="147"/>
      <c r="BG935" s="147"/>
      <c r="BH935" s="147"/>
      <c r="BI935" s="147"/>
      <c r="BJ935" s="147"/>
      <c r="BK935" s="147"/>
      <c r="BL935" s="147"/>
      <c r="BM935" s="147"/>
      <c r="BN935" s="147"/>
      <c r="BO935" s="147"/>
      <c r="BP935" s="147"/>
      <c r="BQ935" s="147"/>
      <c r="BR935" s="147"/>
      <c r="BS935" s="147"/>
      <c r="BT935" s="147"/>
      <c r="BU935" s="147"/>
      <c r="BV935" s="147"/>
      <c r="BW935" s="147"/>
      <c r="BX935" s="147"/>
      <c r="BY935" s="147"/>
      <c r="BZ935" s="147"/>
      <c r="CA935" s="147"/>
      <c r="CB935" s="147"/>
      <c r="CC935" s="147"/>
      <c r="CD935" s="147"/>
      <c r="CE935" s="147"/>
      <c r="CF935" s="147"/>
      <c r="CG935" s="147"/>
      <c r="CH935" s="147"/>
      <c r="CI935" s="147"/>
      <c r="CJ935" s="147"/>
      <c r="CK935" s="147"/>
    </row>
    <row r="936" spans="1:89">
      <c r="A936" s="157"/>
      <c r="F936" s="3"/>
      <c r="G936" s="3"/>
      <c r="L936" s="157"/>
      <c r="M936" s="157"/>
      <c r="O936" s="147"/>
      <c r="P936" s="147"/>
      <c r="Q936" s="147"/>
      <c r="R936" s="147"/>
      <c r="S936" s="147"/>
      <c r="T936" s="147"/>
      <c r="U936" s="147"/>
      <c r="V936" s="147"/>
      <c r="W936" s="147"/>
      <c r="X936" s="147"/>
      <c r="Y936" s="147"/>
      <c r="Z936" s="147"/>
      <c r="AA936" s="147"/>
      <c r="AB936" s="147"/>
      <c r="AC936" s="147"/>
      <c r="AD936" s="147"/>
      <c r="AE936" s="147"/>
      <c r="AF936" s="147"/>
      <c r="AG936" s="147"/>
      <c r="AH936" s="147"/>
      <c r="AI936" s="147"/>
      <c r="AJ936" s="147"/>
      <c r="AK936" s="147"/>
      <c r="AL936" s="147"/>
      <c r="AM936" s="151"/>
      <c r="AN936" s="147"/>
      <c r="AO936" s="147"/>
      <c r="AP936" s="147"/>
      <c r="AQ936" s="147"/>
      <c r="AR936" s="147"/>
      <c r="AS936" s="147"/>
      <c r="AT936" s="147"/>
      <c r="AU936" s="147"/>
      <c r="AV936" s="147"/>
      <c r="AW936" s="147"/>
      <c r="AX936" s="147"/>
      <c r="AY936" s="147"/>
      <c r="AZ936" s="147"/>
      <c r="BA936" s="147"/>
      <c r="BB936" s="147"/>
      <c r="BC936" s="147"/>
      <c r="BD936" s="147"/>
      <c r="BE936" s="147"/>
      <c r="BF936" s="147"/>
      <c r="BG936" s="147"/>
      <c r="BH936" s="147"/>
      <c r="BI936" s="147"/>
      <c r="BJ936" s="147"/>
      <c r="BK936" s="147"/>
      <c r="BL936" s="147"/>
      <c r="BM936" s="147"/>
      <c r="BN936" s="147"/>
      <c r="BO936" s="147"/>
      <c r="BP936" s="147"/>
      <c r="BQ936" s="147"/>
      <c r="BR936" s="147"/>
      <c r="BS936" s="147"/>
      <c r="BT936" s="147"/>
      <c r="BU936" s="147"/>
      <c r="BV936" s="147"/>
      <c r="BW936" s="147"/>
      <c r="BX936" s="147"/>
      <c r="BY936" s="147"/>
      <c r="BZ936" s="147"/>
      <c r="CA936" s="147"/>
      <c r="CB936" s="147"/>
      <c r="CC936" s="147"/>
      <c r="CD936" s="147"/>
      <c r="CE936" s="147"/>
      <c r="CF936" s="147"/>
      <c r="CG936" s="147"/>
      <c r="CH936" s="147"/>
      <c r="CI936" s="147"/>
      <c r="CJ936" s="147"/>
      <c r="CK936" s="147"/>
    </row>
    <row r="937" spans="1:89">
      <c r="A937" s="157"/>
      <c r="F937" s="3"/>
      <c r="G937" s="3"/>
      <c r="L937" s="157"/>
      <c r="M937" s="157"/>
      <c r="O937" s="147"/>
      <c r="P937" s="147"/>
      <c r="Q937" s="147"/>
      <c r="R937" s="147"/>
      <c r="S937" s="147"/>
      <c r="T937" s="147"/>
      <c r="U937" s="147"/>
      <c r="V937" s="147"/>
      <c r="W937" s="147"/>
      <c r="X937" s="147"/>
      <c r="Y937" s="147"/>
      <c r="Z937" s="147"/>
      <c r="AA937" s="147"/>
      <c r="AB937" s="147"/>
      <c r="AC937" s="147"/>
      <c r="AD937" s="147"/>
      <c r="AE937" s="147"/>
      <c r="AF937" s="147"/>
      <c r="AG937" s="147"/>
      <c r="AH937" s="147"/>
      <c r="AI937" s="147"/>
      <c r="AJ937" s="147"/>
      <c r="AK937" s="147"/>
      <c r="AL937" s="147"/>
      <c r="AM937" s="151"/>
      <c r="AN937" s="147"/>
      <c r="AO937" s="147"/>
      <c r="AP937" s="147"/>
      <c r="AQ937" s="147"/>
      <c r="AR937" s="147"/>
      <c r="AS937" s="147"/>
      <c r="AT937" s="147"/>
      <c r="AU937" s="147"/>
      <c r="AV937" s="147"/>
      <c r="AW937" s="147"/>
      <c r="AX937" s="147"/>
      <c r="AY937" s="147"/>
      <c r="AZ937" s="147"/>
      <c r="BA937" s="147"/>
      <c r="BB937" s="147"/>
      <c r="BC937" s="147"/>
      <c r="BD937" s="147"/>
      <c r="BE937" s="147"/>
      <c r="BF937" s="147"/>
      <c r="BG937" s="147"/>
      <c r="BH937" s="147"/>
      <c r="BI937" s="147"/>
      <c r="BJ937" s="147"/>
      <c r="BK937" s="147"/>
      <c r="BL937" s="147"/>
      <c r="BM937" s="147"/>
      <c r="BN937" s="147"/>
      <c r="BO937" s="147"/>
      <c r="BP937" s="147"/>
      <c r="BQ937" s="147"/>
      <c r="BR937" s="147"/>
      <c r="BS937" s="147"/>
      <c r="BT937" s="147"/>
      <c r="BU937" s="147"/>
      <c r="BV937" s="147"/>
      <c r="BW937" s="147"/>
      <c r="BX937" s="147"/>
      <c r="BY937" s="147"/>
      <c r="BZ937" s="147"/>
      <c r="CA937" s="147"/>
      <c r="CB937" s="147"/>
      <c r="CC937" s="147"/>
      <c r="CD937" s="147"/>
      <c r="CE937" s="147"/>
      <c r="CF937" s="147"/>
      <c r="CG937" s="147"/>
      <c r="CH937" s="147"/>
      <c r="CI937" s="147"/>
      <c r="CJ937" s="147"/>
      <c r="CK937" s="147"/>
    </row>
    <row r="938" spans="1:89">
      <c r="A938" s="157"/>
      <c r="F938" s="3"/>
      <c r="G938" s="3"/>
      <c r="L938" s="157"/>
      <c r="M938" s="157"/>
      <c r="O938" s="147"/>
      <c r="P938" s="147"/>
      <c r="Q938" s="147"/>
      <c r="R938" s="147"/>
      <c r="S938" s="147"/>
      <c r="T938" s="147"/>
      <c r="U938" s="147"/>
      <c r="V938" s="147"/>
      <c r="W938" s="147"/>
      <c r="X938" s="147"/>
      <c r="Y938" s="147"/>
      <c r="Z938" s="147"/>
      <c r="AA938" s="147"/>
      <c r="AB938" s="147"/>
      <c r="AC938" s="147"/>
      <c r="AD938" s="147"/>
      <c r="AE938" s="147"/>
      <c r="AF938" s="147"/>
      <c r="AG938" s="147"/>
      <c r="AH938" s="147"/>
      <c r="AI938" s="147"/>
      <c r="AJ938" s="147"/>
      <c r="AK938" s="147"/>
      <c r="AL938" s="147"/>
      <c r="AM938" s="151"/>
      <c r="AN938" s="147"/>
      <c r="AO938" s="147"/>
      <c r="AP938" s="147"/>
      <c r="AQ938" s="147"/>
      <c r="AR938" s="147"/>
      <c r="AS938" s="147"/>
      <c r="AT938" s="147"/>
      <c r="AU938" s="147"/>
      <c r="AV938" s="147"/>
      <c r="AW938" s="147"/>
      <c r="AX938" s="147"/>
      <c r="AY938" s="147"/>
      <c r="AZ938" s="147"/>
      <c r="BA938" s="147"/>
      <c r="BB938" s="147"/>
      <c r="BC938" s="147"/>
      <c r="BD938" s="147"/>
      <c r="BE938" s="147"/>
      <c r="BF938" s="147"/>
      <c r="BG938" s="147"/>
      <c r="BH938" s="147"/>
      <c r="BI938" s="147"/>
      <c r="BJ938" s="147"/>
      <c r="BK938" s="147"/>
      <c r="BL938" s="147"/>
      <c r="BM938" s="147"/>
      <c r="BN938" s="147"/>
      <c r="BO938" s="147"/>
      <c r="BP938" s="147"/>
      <c r="BQ938" s="147"/>
      <c r="BR938" s="147"/>
      <c r="BS938" s="147"/>
      <c r="BT938" s="147"/>
      <c r="BU938" s="147"/>
      <c r="BV938" s="147"/>
      <c r="BW938" s="147"/>
      <c r="BX938" s="147"/>
      <c r="BY938" s="147"/>
      <c r="BZ938" s="147"/>
      <c r="CA938" s="147"/>
      <c r="CB938" s="147"/>
      <c r="CC938" s="147"/>
      <c r="CD938" s="147"/>
      <c r="CE938" s="147"/>
      <c r="CF938" s="147"/>
      <c r="CG938" s="147"/>
      <c r="CH938" s="147"/>
      <c r="CI938" s="147"/>
      <c r="CJ938" s="147"/>
      <c r="CK938" s="147"/>
    </row>
    <row r="939" spans="1:89">
      <c r="A939" s="157"/>
      <c r="F939" s="3"/>
      <c r="G939" s="3"/>
      <c r="L939" s="157"/>
      <c r="M939" s="157"/>
      <c r="O939" s="147"/>
      <c r="P939" s="147"/>
      <c r="Q939" s="147"/>
      <c r="R939" s="147"/>
      <c r="S939" s="147"/>
      <c r="T939" s="147"/>
      <c r="U939" s="147"/>
      <c r="V939" s="147"/>
      <c r="W939" s="147"/>
      <c r="X939" s="147"/>
      <c r="Y939" s="147"/>
      <c r="Z939" s="147"/>
      <c r="AA939" s="147"/>
      <c r="AB939" s="147"/>
      <c r="AC939" s="147"/>
      <c r="AD939" s="147"/>
      <c r="AE939" s="147"/>
      <c r="AF939" s="147"/>
      <c r="AG939" s="147"/>
      <c r="AH939" s="147"/>
      <c r="AI939" s="147"/>
      <c r="AJ939" s="147"/>
      <c r="AK939" s="147"/>
      <c r="AL939" s="147"/>
      <c r="AM939" s="151"/>
      <c r="AN939" s="147"/>
      <c r="AO939" s="147"/>
      <c r="AP939" s="147"/>
      <c r="AQ939" s="147"/>
      <c r="AR939" s="147"/>
      <c r="AS939" s="147"/>
      <c r="AT939" s="147"/>
      <c r="AU939" s="147"/>
      <c r="AV939" s="147"/>
      <c r="AW939" s="147"/>
      <c r="AX939" s="147"/>
      <c r="AY939" s="147"/>
      <c r="AZ939" s="147"/>
      <c r="BA939" s="147"/>
      <c r="BB939" s="147"/>
      <c r="BC939" s="147"/>
      <c r="BD939" s="147"/>
      <c r="BE939" s="147"/>
      <c r="BF939" s="147"/>
      <c r="BG939" s="147"/>
      <c r="BH939" s="147"/>
      <c r="BI939" s="147"/>
      <c r="BJ939" s="147"/>
      <c r="BK939" s="147"/>
      <c r="BL939" s="147"/>
      <c r="BM939" s="147"/>
      <c r="BN939" s="147"/>
      <c r="BO939" s="147"/>
      <c r="BP939" s="147"/>
      <c r="BQ939" s="147"/>
      <c r="BR939" s="147"/>
      <c r="BS939" s="147"/>
      <c r="BT939" s="147"/>
      <c r="BU939" s="147"/>
      <c r="BV939" s="147"/>
      <c r="BW939" s="147"/>
      <c r="BX939" s="147"/>
      <c r="BY939" s="147"/>
      <c r="BZ939" s="147"/>
      <c r="CA939" s="147"/>
      <c r="CB939" s="147"/>
      <c r="CC939" s="147"/>
      <c r="CD939" s="147"/>
      <c r="CE939" s="147"/>
      <c r="CF939" s="147"/>
      <c r="CG939" s="147"/>
      <c r="CH939" s="147"/>
      <c r="CI939" s="147"/>
      <c r="CJ939" s="147"/>
      <c r="CK939" s="147"/>
    </row>
    <row r="940" spans="1:89">
      <c r="A940" s="157"/>
      <c r="F940" s="3"/>
      <c r="G940" s="3"/>
      <c r="L940" s="157"/>
      <c r="M940" s="157"/>
      <c r="O940" s="147"/>
      <c r="P940" s="147"/>
      <c r="Q940" s="147"/>
      <c r="R940" s="147"/>
      <c r="S940" s="147"/>
      <c r="T940" s="147"/>
      <c r="U940" s="147"/>
      <c r="V940" s="147"/>
      <c r="W940" s="147"/>
      <c r="X940" s="147"/>
      <c r="Y940" s="147"/>
      <c r="Z940" s="147"/>
      <c r="AA940" s="147"/>
      <c r="AB940" s="147"/>
      <c r="AC940" s="147"/>
      <c r="AD940" s="147"/>
      <c r="AE940" s="147"/>
      <c r="AF940" s="147"/>
      <c r="AG940" s="147"/>
      <c r="AH940" s="147"/>
      <c r="AI940" s="147"/>
      <c r="AJ940" s="147"/>
      <c r="AK940" s="147"/>
      <c r="AL940" s="147"/>
      <c r="AM940" s="151"/>
      <c r="AN940" s="147"/>
      <c r="AO940" s="147"/>
      <c r="AP940" s="147"/>
      <c r="AQ940" s="147"/>
      <c r="AR940" s="147"/>
      <c r="AS940" s="147"/>
      <c r="AT940" s="147"/>
      <c r="AU940" s="147"/>
      <c r="AV940" s="147"/>
      <c r="AW940" s="147"/>
      <c r="AX940" s="147"/>
      <c r="AY940" s="147"/>
      <c r="AZ940" s="147"/>
      <c r="BA940" s="147"/>
      <c r="BB940" s="147"/>
      <c r="BC940" s="147"/>
      <c r="BD940" s="147"/>
      <c r="BE940" s="147"/>
      <c r="BF940" s="147"/>
      <c r="BG940" s="147"/>
      <c r="BH940" s="147"/>
      <c r="BI940" s="147"/>
      <c r="BJ940" s="147"/>
      <c r="BK940" s="147"/>
      <c r="BL940" s="147"/>
      <c r="BM940" s="147"/>
      <c r="BN940" s="147"/>
      <c r="BO940" s="147"/>
      <c r="BP940" s="147"/>
      <c r="BQ940" s="147"/>
      <c r="BR940" s="147"/>
      <c r="BS940" s="147"/>
      <c r="BT940" s="147"/>
      <c r="BU940" s="147"/>
      <c r="BV940" s="147"/>
      <c r="BW940" s="147"/>
      <c r="BX940" s="147"/>
      <c r="BY940" s="147"/>
      <c r="BZ940" s="147"/>
      <c r="CA940" s="147"/>
      <c r="CB940" s="147"/>
      <c r="CC940" s="147"/>
      <c r="CD940" s="147"/>
      <c r="CE940" s="147"/>
      <c r="CF940" s="147"/>
      <c r="CG940" s="147"/>
      <c r="CH940" s="147"/>
      <c r="CI940" s="147"/>
      <c r="CJ940" s="147"/>
      <c r="CK940" s="147"/>
    </row>
    <row r="941" spans="1:89">
      <c r="A941" s="157"/>
      <c r="F941" s="3"/>
      <c r="G941" s="3"/>
      <c r="L941" s="157"/>
      <c r="M941" s="157"/>
      <c r="O941" s="147"/>
      <c r="P941" s="147"/>
      <c r="Q941" s="147"/>
      <c r="R941" s="147"/>
      <c r="S941" s="147"/>
      <c r="T941" s="147"/>
      <c r="U941" s="147"/>
      <c r="V941" s="147"/>
      <c r="W941" s="147"/>
      <c r="X941" s="147"/>
      <c r="Y941" s="147"/>
      <c r="Z941" s="147"/>
      <c r="AA941" s="147"/>
      <c r="AB941" s="147"/>
      <c r="AC941" s="147"/>
      <c r="AD941" s="147"/>
      <c r="AE941" s="147"/>
      <c r="AF941" s="147"/>
      <c r="AG941" s="147"/>
      <c r="AH941" s="147"/>
      <c r="AI941" s="147"/>
      <c r="AJ941" s="147"/>
      <c r="AK941" s="147"/>
      <c r="AL941" s="147"/>
      <c r="AM941" s="151"/>
      <c r="AN941" s="147"/>
      <c r="AO941" s="147"/>
      <c r="AP941" s="147"/>
      <c r="AQ941" s="147"/>
      <c r="AR941" s="147"/>
      <c r="AS941" s="147"/>
      <c r="AT941" s="147"/>
      <c r="AU941" s="147"/>
      <c r="AV941" s="147"/>
      <c r="AW941" s="147"/>
      <c r="AX941" s="147"/>
      <c r="AY941" s="147"/>
      <c r="AZ941" s="147"/>
      <c r="BA941" s="147"/>
      <c r="BB941" s="147"/>
      <c r="BC941" s="147"/>
      <c r="BD941" s="147"/>
      <c r="BE941" s="147"/>
      <c r="BF941" s="147"/>
      <c r="BG941" s="147"/>
      <c r="BH941" s="147"/>
      <c r="BI941" s="147"/>
      <c r="BJ941" s="147"/>
      <c r="BK941" s="147"/>
      <c r="BL941" s="147"/>
      <c r="BM941" s="147"/>
      <c r="BN941" s="147"/>
      <c r="BO941" s="147"/>
      <c r="BP941" s="147"/>
      <c r="BQ941" s="147"/>
      <c r="BR941" s="147"/>
      <c r="BS941" s="147"/>
      <c r="BT941" s="147"/>
      <c r="BU941" s="147"/>
      <c r="BV941" s="147"/>
      <c r="BW941" s="147"/>
      <c r="BX941" s="147"/>
      <c r="BY941" s="147"/>
      <c r="BZ941" s="147"/>
      <c r="CA941" s="147"/>
      <c r="CB941" s="147"/>
      <c r="CC941" s="147"/>
      <c r="CD941" s="147"/>
      <c r="CE941" s="147"/>
      <c r="CF941" s="147"/>
      <c r="CG941" s="147"/>
      <c r="CH941" s="147"/>
      <c r="CI941" s="147"/>
      <c r="CJ941" s="147"/>
      <c r="CK941" s="147"/>
    </row>
    <row r="942" spans="1:89">
      <c r="A942" s="157"/>
      <c r="F942" s="3"/>
      <c r="G942" s="3"/>
      <c r="L942" s="157"/>
      <c r="M942" s="157"/>
      <c r="O942" s="147"/>
      <c r="P942" s="147"/>
      <c r="Q942" s="147"/>
      <c r="R942" s="147"/>
      <c r="S942" s="147"/>
      <c r="T942" s="147"/>
      <c r="U942" s="147"/>
      <c r="V942" s="147"/>
      <c r="W942" s="147"/>
      <c r="X942" s="147"/>
      <c r="Y942" s="147"/>
      <c r="Z942" s="147"/>
      <c r="AA942" s="147"/>
      <c r="AB942" s="147"/>
      <c r="AC942" s="147"/>
      <c r="AD942" s="147"/>
      <c r="AE942" s="147"/>
      <c r="AF942" s="147"/>
      <c r="AG942" s="147"/>
      <c r="AH942" s="147"/>
      <c r="AI942" s="147"/>
      <c r="AJ942" s="147"/>
      <c r="AK942" s="147"/>
      <c r="AL942" s="147"/>
      <c r="AM942" s="151"/>
      <c r="AN942" s="147"/>
      <c r="AO942" s="147"/>
      <c r="AP942" s="147"/>
      <c r="AQ942" s="147"/>
      <c r="AR942" s="147"/>
      <c r="AS942" s="147"/>
      <c r="AT942" s="147"/>
      <c r="AU942" s="147"/>
      <c r="AV942" s="147"/>
      <c r="AW942" s="147"/>
      <c r="AX942" s="147"/>
      <c r="AY942" s="147"/>
      <c r="AZ942" s="147"/>
      <c r="BA942" s="147"/>
      <c r="BB942" s="147"/>
      <c r="BC942" s="147"/>
      <c r="BD942" s="147"/>
      <c r="BE942" s="147"/>
      <c r="BF942" s="147"/>
      <c r="BG942" s="147"/>
      <c r="BH942" s="147"/>
      <c r="BI942" s="147"/>
      <c r="BJ942" s="147"/>
      <c r="BK942" s="147"/>
      <c r="BL942" s="147"/>
      <c r="BM942" s="147"/>
      <c r="BN942" s="147"/>
      <c r="BO942" s="147"/>
      <c r="BP942" s="147"/>
      <c r="BQ942" s="147"/>
      <c r="BR942" s="147"/>
      <c r="BS942" s="147"/>
      <c r="BT942" s="147"/>
      <c r="BU942" s="147"/>
      <c r="BV942" s="147"/>
      <c r="BW942" s="147"/>
      <c r="BX942" s="147"/>
      <c r="BY942" s="147"/>
      <c r="BZ942" s="147"/>
      <c r="CA942" s="147"/>
      <c r="CB942" s="147"/>
      <c r="CC942" s="147"/>
      <c r="CD942" s="147"/>
      <c r="CE942" s="147"/>
      <c r="CF942" s="147"/>
      <c r="CG942" s="147"/>
      <c r="CH942" s="147"/>
      <c r="CI942" s="147"/>
      <c r="CJ942" s="147"/>
      <c r="CK942" s="147"/>
    </row>
    <row r="943" spans="1:89">
      <c r="A943" s="157"/>
      <c r="F943" s="3"/>
      <c r="G943" s="3"/>
      <c r="L943" s="157"/>
      <c r="M943" s="157"/>
      <c r="O943" s="147"/>
      <c r="P943" s="147"/>
      <c r="Q943" s="147"/>
      <c r="R943" s="147"/>
      <c r="S943" s="147"/>
      <c r="T943" s="147"/>
      <c r="U943" s="147"/>
      <c r="V943" s="147"/>
      <c r="W943" s="147"/>
      <c r="X943" s="147"/>
      <c r="Y943" s="147"/>
      <c r="Z943" s="147"/>
      <c r="AA943" s="147"/>
      <c r="AB943" s="147"/>
      <c r="AC943" s="147"/>
      <c r="AD943" s="147"/>
      <c r="AE943" s="147"/>
      <c r="AF943" s="147"/>
      <c r="AG943" s="147"/>
      <c r="AH943" s="147"/>
      <c r="AI943" s="147"/>
      <c r="AJ943" s="147"/>
      <c r="AK943" s="147"/>
      <c r="AL943" s="147"/>
      <c r="AM943" s="151"/>
      <c r="AN943" s="147"/>
      <c r="AO943" s="147"/>
      <c r="AP943" s="147"/>
      <c r="AQ943" s="147"/>
      <c r="AR943" s="147"/>
      <c r="AS943" s="147"/>
      <c r="AT943" s="147"/>
      <c r="AU943" s="147"/>
      <c r="AV943" s="147"/>
      <c r="AW943" s="147"/>
      <c r="AX943" s="147"/>
      <c r="AY943" s="147"/>
      <c r="AZ943" s="147"/>
      <c r="BA943" s="147"/>
      <c r="BB943" s="147"/>
      <c r="BC943" s="147"/>
      <c r="BD943" s="147"/>
      <c r="BE943" s="147"/>
      <c r="BF943" s="147"/>
      <c r="BG943" s="147"/>
      <c r="BH943" s="147"/>
      <c r="BI943" s="147"/>
      <c r="BJ943" s="147"/>
      <c r="BK943" s="147"/>
      <c r="BL943" s="147"/>
      <c r="BM943" s="147"/>
      <c r="BN943" s="147"/>
      <c r="BO943" s="147"/>
      <c r="BP943" s="147"/>
      <c r="BQ943" s="147"/>
      <c r="BR943" s="147"/>
      <c r="BS943" s="147"/>
      <c r="BT943" s="147"/>
      <c r="BU943" s="147"/>
      <c r="BV943" s="147"/>
      <c r="BW943" s="147"/>
      <c r="BX943" s="147"/>
      <c r="BY943" s="147"/>
      <c r="BZ943" s="147"/>
      <c r="CA943" s="147"/>
      <c r="CB943" s="147"/>
      <c r="CC943" s="147"/>
      <c r="CD943" s="147"/>
      <c r="CE943" s="147"/>
      <c r="CF943" s="147"/>
      <c r="CG943" s="147"/>
      <c r="CH943" s="147"/>
      <c r="CI943" s="147"/>
      <c r="CJ943" s="147"/>
      <c r="CK943" s="147"/>
    </row>
    <row r="944" spans="1:89">
      <c r="A944" s="157"/>
      <c r="F944" s="3"/>
      <c r="G944" s="3"/>
      <c r="L944" s="157"/>
      <c r="M944" s="157"/>
      <c r="O944" s="147"/>
      <c r="P944" s="147"/>
      <c r="Q944" s="147"/>
      <c r="R944" s="147"/>
      <c r="S944" s="147"/>
      <c r="T944" s="147"/>
      <c r="U944" s="147"/>
      <c r="V944" s="147"/>
      <c r="W944" s="147"/>
      <c r="X944" s="147"/>
      <c r="Y944" s="147"/>
      <c r="Z944" s="147"/>
      <c r="AA944" s="147"/>
      <c r="AB944" s="147"/>
      <c r="AC944" s="147"/>
      <c r="AD944" s="147"/>
      <c r="AE944" s="147"/>
      <c r="AF944" s="147"/>
      <c r="AG944" s="147"/>
      <c r="AH944" s="147"/>
      <c r="AI944" s="147"/>
      <c r="AJ944" s="147"/>
      <c r="AK944" s="147"/>
      <c r="AL944" s="147"/>
      <c r="AM944" s="151"/>
      <c r="AN944" s="147"/>
      <c r="AO944" s="147"/>
      <c r="AP944" s="147"/>
      <c r="AQ944" s="147"/>
      <c r="AR944" s="147"/>
      <c r="AS944" s="147"/>
      <c r="AT944" s="147"/>
      <c r="AU944" s="147"/>
      <c r="AV944" s="147"/>
      <c r="AW944" s="147"/>
      <c r="AX944" s="147"/>
      <c r="AY944" s="147"/>
      <c r="AZ944" s="147"/>
      <c r="BA944" s="147"/>
      <c r="BB944" s="147"/>
      <c r="BC944" s="147"/>
      <c r="BD944" s="147"/>
      <c r="BE944" s="147"/>
      <c r="BF944" s="147"/>
      <c r="BG944" s="147"/>
      <c r="BH944" s="147"/>
      <c r="BI944" s="147"/>
      <c r="BJ944" s="147"/>
      <c r="BK944" s="147"/>
      <c r="BL944" s="147"/>
      <c r="BM944" s="147"/>
      <c r="BN944" s="147"/>
      <c r="BO944" s="147"/>
      <c r="BP944" s="147"/>
      <c r="BQ944" s="147"/>
      <c r="BR944" s="147"/>
      <c r="BS944" s="147"/>
      <c r="BT944" s="147"/>
      <c r="BU944" s="147"/>
      <c r="BV944" s="147"/>
      <c r="BW944" s="147"/>
      <c r="BX944" s="147"/>
      <c r="BY944" s="147"/>
      <c r="BZ944" s="147"/>
      <c r="CA944" s="147"/>
      <c r="CB944" s="147"/>
      <c r="CC944" s="147"/>
      <c r="CD944" s="147"/>
      <c r="CE944" s="147"/>
      <c r="CF944" s="147"/>
      <c r="CG944" s="147"/>
      <c r="CH944" s="147"/>
      <c r="CI944" s="147"/>
      <c r="CJ944" s="147"/>
      <c r="CK944" s="147"/>
    </row>
    <row r="945" spans="1:89">
      <c r="A945" s="157"/>
      <c r="F945" s="3"/>
      <c r="G945" s="3"/>
      <c r="L945" s="157"/>
      <c r="M945" s="157"/>
      <c r="O945" s="147"/>
      <c r="P945" s="147"/>
      <c r="Q945" s="147"/>
      <c r="R945" s="147"/>
      <c r="S945" s="147"/>
      <c r="T945" s="147"/>
      <c r="U945" s="147"/>
      <c r="V945" s="147"/>
      <c r="W945" s="147"/>
      <c r="X945" s="147"/>
      <c r="Y945" s="147"/>
      <c r="Z945" s="147"/>
      <c r="AA945" s="147"/>
      <c r="AB945" s="147"/>
      <c r="AC945" s="147"/>
      <c r="AD945" s="147"/>
      <c r="AE945" s="147"/>
      <c r="AF945" s="147"/>
      <c r="AG945" s="147"/>
      <c r="AH945" s="147"/>
      <c r="AI945" s="147"/>
      <c r="AJ945" s="147"/>
      <c r="AK945" s="147"/>
      <c r="AL945" s="147"/>
      <c r="AM945" s="151"/>
      <c r="AN945" s="147"/>
      <c r="AO945" s="147"/>
      <c r="AP945" s="147"/>
      <c r="AQ945" s="147"/>
      <c r="AR945" s="147"/>
      <c r="AS945" s="147"/>
      <c r="AT945" s="147"/>
      <c r="AU945" s="147"/>
      <c r="AV945" s="147"/>
      <c r="AW945" s="147"/>
      <c r="AX945" s="147"/>
      <c r="AY945" s="147"/>
      <c r="AZ945" s="147"/>
      <c r="BA945" s="147"/>
      <c r="BB945" s="147"/>
      <c r="BC945" s="147"/>
      <c r="BD945" s="147"/>
      <c r="BE945" s="147"/>
      <c r="BF945" s="147"/>
      <c r="BG945" s="147"/>
      <c r="BH945" s="147"/>
      <c r="BI945" s="147"/>
      <c r="BJ945" s="147"/>
      <c r="BK945" s="147"/>
      <c r="BL945" s="147"/>
      <c r="BM945" s="147"/>
      <c r="BN945" s="147"/>
      <c r="BO945" s="147"/>
      <c r="BP945" s="147"/>
      <c r="BQ945" s="147"/>
      <c r="BR945" s="147"/>
      <c r="BS945" s="147"/>
      <c r="BT945" s="147"/>
      <c r="BU945" s="147"/>
      <c r="BV945" s="147"/>
      <c r="BW945" s="147"/>
      <c r="BX945" s="147"/>
      <c r="BY945" s="147"/>
      <c r="BZ945" s="147"/>
      <c r="CA945" s="147"/>
      <c r="CB945" s="147"/>
      <c r="CC945" s="147"/>
      <c r="CD945" s="147"/>
      <c r="CE945" s="147"/>
      <c r="CF945" s="147"/>
      <c r="CG945" s="147"/>
      <c r="CH945" s="147"/>
      <c r="CI945" s="147"/>
      <c r="CJ945" s="147"/>
      <c r="CK945" s="147"/>
    </row>
    <row r="946" spans="1:89">
      <c r="A946" s="157"/>
      <c r="F946" s="3"/>
      <c r="G946" s="3"/>
      <c r="L946" s="157"/>
      <c r="M946" s="157"/>
      <c r="O946" s="147"/>
      <c r="P946" s="147"/>
      <c r="Q946" s="147"/>
      <c r="R946" s="147"/>
      <c r="S946" s="147"/>
      <c r="T946" s="147"/>
      <c r="U946" s="147"/>
      <c r="V946" s="147"/>
      <c r="W946" s="147"/>
      <c r="X946" s="147"/>
      <c r="Y946" s="147"/>
      <c r="Z946" s="147"/>
      <c r="AA946" s="147"/>
      <c r="AB946" s="147"/>
      <c r="AC946" s="147"/>
      <c r="AD946" s="147"/>
      <c r="AE946" s="147"/>
      <c r="AF946" s="147"/>
      <c r="AG946" s="147"/>
      <c r="AH946" s="147"/>
      <c r="AI946" s="147"/>
      <c r="AJ946" s="147"/>
      <c r="AK946" s="147"/>
      <c r="AL946" s="147"/>
      <c r="AM946" s="151"/>
      <c r="AN946" s="147"/>
      <c r="AO946" s="147"/>
      <c r="AP946" s="147"/>
      <c r="AQ946" s="147"/>
      <c r="AR946" s="147"/>
      <c r="AS946" s="147"/>
      <c r="AT946" s="147"/>
      <c r="AU946" s="147"/>
      <c r="AV946" s="147"/>
      <c r="AW946" s="147"/>
      <c r="AX946" s="147"/>
      <c r="AY946" s="147"/>
      <c r="AZ946" s="147"/>
      <c r="BA946" s="147"/>
      <c r="BB946" s="147"/>
      <c r="BC946" s="147"/>
      <c r="BD946" s="147"/>
      <c r="BE946" s="147"/>
      <c r="BF946" s="147"/>
      <c r="BG946" s="147"/>
      <c r="BH946" s="147"/>
      <c r="BI946" s="147"/>
      <c r="BJ946" s="147"/>
      <c r="BK946" s="147"/>
      <c r="BL946" s="147"/>
      <c r="BM946" s="147"/>
      <c r="BN946" s="147"/>
      <c r="BO946" s="147"/>
      <c r="BP946" s="147"/>
      <c r="BQ946" s="147"/>
      <c r="BR946" s="147"/>
      <c r="BS946" s="147"/>
      <c r="BT946" s="147"/>
      <c r="BU946" s="147"/>
      <c r="BV946" s="147"/>
      <c r="BW946" s="147"/>
      <c r="BX946" s="147"/>
      <c r="BY946" s="147"/>
      <c r="BZ946" s="147"/>
      <c r="CA946" s="147"/>
      <c r="CB946" s="147"/>
      <c r="CC946" s="147"/>
      <c r="CD946" s="147"/>
      <c r="CE946" s="147"/>
      <c r="CF946" s="147"/>
      <c r="CG946" s="147"/>
      <c r="CH946" s="147"/>
      <c r="CI946" s="147"/>
      <c r="CJ946" s="147"/>
      <c r="CK946" s="147"/>
    </row>
    <row r="947" spans="1:89">
      <c r="A947" s="157"/>
      <c r="F947" s="3"/>
      <c r="G947" s="3"/>
      <c r="L947" s="157"/>
      <c r="M947" s="157"/>
      <c r="O947" s="147"/>
      <c r="P947" s="147"/>
      <c r="Q947" s="147"/>
      <c r="R947" s="147"/>
      <c r="S947" s="147"/>
      <c r="T947" s="147"/>
      <c r="U947" s="147"/>
      <c r="V947" s="147"/>
      <c r="W947" s="147"/>
      <c r="X947" s="147"/>
      <c r="Y947" s="147"/>
      <c r="Z947" s="147"/>
      <c r="AA947" s="147"/>
      <c r="AB947" s="147"/>
      <c r="AC947" s="147"/>
      <c r="AD947" s="147"/>
      <c r="AE947" s="147"/>
      <c r="AF947" s="147"/>
      <c r="AG947" s="147"/>
      <c r="AH947" s="147"/>
      <c r="AI947" s="147"/>
      <c r="AJ947" s="147"/>
      <c r="AK947" s="147"/>
      <c r="AL947" s="147"/>
      <c r="AM947" s="151"/>
      <c r="AN947" s="147"/>
      <c r="AO947" s="147"/>
      <c r="AP947" s="147"/>
      <c r="AQ947" s="147"/>
      <c r="AR947" s="147"/>
      <c r="AS947" s="147"/>
      <c r="AT947" s="147"/>
      <c r="AU947" s="147"/>
      <c r="AV947" s="147"/>
      <c r="AW947" s="147"/>
      <c r="AX947" s="147"/>
      <c r="AY947" s="147"/>
      <c r="AZ947" s="147"/>
      <c r="BA947" s="147"/>
      <c r="BB947" s="147"/>
      <c r="BC947" s="147"/>
      <c r="BD947" s="147"/>
      <c r="BE947" s="147"/>
      <c r="BF947" s="147"/>
      <c r="BG947" s="147"/>
      <c r="BH947" s="147"/>
      <c r="BI947" s="147"/>
      <c r="BJ947" s="147"/>
      <c r="BK947" s="147"/>
      <c r="BL947" s="147"/>
      <c r="BM947" s="147"/>
      <c r="BN947" s="147"/>
      <c r="BO947" s="147"/>
      <c r="BP947" s="147"/>
      <c r="BQ947" s="147"/>
      <c r="BR947" s="147"/>
      <c r="BS947" s="147"/>
      <c r="BT947" s="147"/>
      <c r="BU947" s="147"/>
      <c r="BV947" s="147"/>
      <c r="BW947" s="147"/>
      <c r="BX947" s="147"/>
      <c r="BY947" s="147"/>
      <c r="BZ947" s="147"/>
      <c r="CA947" s="147"/>
      <c r="CB947" s="147"/>
      <c r="CC947" s="147"/>
      <c r="CD947" s="147"/>
      <c r="CE947" s="147"/>
      <c r="CF947" s="147"/>
      <c r="CG947" s="147"/>
      <c r="CH947" s="147"/>
      <c r="CI947" s="147"/>
      <c r="CJ947" s="147"/>
      <c r="CK947" s="147"/>
    </row>
    <row r="948" spans="1:89">
      <c r="A948" s="157"/>
      <c r="F948" s="3"/>
      <c r="G948" s="3"/>
      <c r="L948" s="157"/>
      <c r="M948" s="157"/>
      <c r="O948" s="147"/>
      <c r="P948" s="147"/>
      <c r="Q948" s="147"/>
      <c r="R948" s="147"/>
      <c r="S948" s="147"/>
      <c r="T948" s="147"/>
      <c r="U948" s="147"/>
      <c r="V948" s="147"/>
      <c r="W948" s="147"/>
      <c r="X948" s="147"/>
      <c r="Y948" s="147"/>
      <c r="Z948" s="147"/>
      <c r="AA948" s="147"/>
      <c r="AB948" s="147"/>
      <c r="AC948" s="147"/>
      <c r="AD948" s="147"/>
      <c r="AE948" s="147"/>
      <c r="AF948" s="147"/>
      <c r="AG948" s="147"/>
      <c r="AH948" s="147"/>
      <c r="AI948" s="147"/>
      <c r="AJ948" s="147"/>
      <c r="AK948" s="147"/>
      <c r="AL948" s="147"/>
      <c r="AM948" s="151"/>
      <c r="AN948" s="147"/>
      <c r="AO948" s="147"/>
      <c r="AP948" s="147"/>
      <c r="AQ948" s="147"/>
      <c r="AR948" s="147"/>
      <c r="AS948" s="147"/>
      <c r="AT948" s="147"/>
      <c r="AU948" s="147"/>
      <c r="AV948" s="147"/>
      <c r="AW948" s="147"/>
      <c r="AX948" s="147"/>
      <c r="AY948" s="147"/>
      <c r="AZ948" s="147"/>
      <c r="BA948" s="147"/>
      <c r="BB948" s="147"/>
      <c r="BC948" s="147"/>
      <c r="BD948" s="147"/>
      <c r="BE948" s="147"/>
      <c r="BF948" s="147"/>
      <c r="BG948" s="147"/>
      <c r="BH948" s="147"/>
      <c r="BI948" s="147"/>
      <c r="BJ948" s="147"/>
      <c r="BK948" s="147"/>
      <c r="BL948" s="147"/>
      <c r="BM948" s="147"/>
      <c r="BN948" s="147"/>
      <c r="BO948" s="147"/>
      <c r="BP948" s="147"/>
      <c r="BQ948" s="147"/>
      <c r="BR948" s="147"/>
      <c r="BS948" s="147"/>
      <c r="BT948" s="147"/>
      <c r="BU948" s="147"/>
      <c r="BV948" s="147"/>
      <c r="BW948" s="147"/>
      <c r="BX948" s="147"/>
      <c r="BY948" s="147"/>
      <c r="BZ948" s="147"/>
      <c r="CA948" s="147"/>
      <c r="CB948" s="147"/>
      <c r="CC948" s="147"/>
      <c r="CD948" s="147"/>
      <c r="CE948" s="147"/>
      <c r="CF948" s="147"/>
      <c r="CG948" s="147"/>
      <c r="CH948" s="147"/>
      <c r="CI948" s="147"/>
      <c r="CJ948" s="147"/>
      <c r="CK948" s="147"/>
    </row>
    <row r="949" spans="1:89">
      <c r="A949" s="157"/>
      <c r="F949" s="3"/>
      <c r="G949" s="3"/>
      <c r="L949" s="157"/>
      <c r="M949" s="157"/>
      <c r="O949" s="147"/>
      <c r="P949" s="147"/>
      <c r="Q949" s="147"/>
      <c r="R949" s="147"/>
      <c r="S949" s="147"/>
      <c r="T949" s="147"/>
      <c r="U949" s="147"/>
      <c r="V949" s="147"/>
      <c r="W949" s="147"/>
      <c r="X949" s="147"/>
      <c r="Y949" s="147"/>
      <c r="Z949" s="147"/>
      <c r="AA949" s="147"/>
      <c r="AB949" s="147"/>
      <c r="AC949" s="147"/>
      <c r="AD949" s="147"/>
      <c r="AE949" s="147"/>
      <c r="AF949" s="147"/>
      <c r="AG949" s="147"/>
      <c r="AH949" s="147"/>
      <c r="AI949" s="147"/>
      <c r="AJ949" s="147"/>
      <c r="AK949" s="147"/>
      <c r="AL949" s="147"/>
      <c r="AM949" s="151"/>
      <c r="AN949" s="147"/>
      <c r="AO949" s="147"/>
      <c r="AP949" s="147"/>
      <c r="AQ949" s="147"/>
      <c r="AR949" s="147"/>
      <c r="AS949" s="147"/>
      <c r="AT949" s="147"/>
      <c r="AU949" s="147"/>
      <c r="AV949" s="147"/>
      <c r="AW949" s="147"/>
      <c r="AX949" s="147"/>
      <c r="AY949" s="147"/>
      <c r="AZ949" s="147"/>
      <c r="BA949" s="147"/>
      <c r="BB949" s="147"/>
      <c r="BC949" s="147"/>
      <c r="BD949" s="147"/>
      <c r="BE949" s="147"/>
      <c r="BF949" s="147"/>
      <c r="BG949" s="147"/>
      <c r="BH949" s="147"/>
      <c r="BI949" s="147"/>
      <c r="BJ949" s="147"/>
      <c r="BK949" s="147"/>
      <c r="BL949" s="147"/>
      <c r="BM949" s="147"/>
      <c r="BN949" s="147"/>
      <c r="BO949" s="147"/>
      <c r="BP949" s="147"/>
      <c r="BQ949" s="147"/>
      <c r="BR949" s="147"/>
      <c r="BS949" s="147"/>
      <c r="BT949" s="147"/>
      <c r="BU949" s="147"/>
      <c r="BV949" s="147"/>
      <c r="BW949" s="147"/>
      <c r="BX949" s="147"/>
      <c r="BY949" s="147"/>
      <c r="BZ949" s="147"/>
      <c r="CA949" s="147"/>
      <c r="CB949" s="147"/>
      <c r="CC949" s="147"/>
      <c r="CD949" s="147"/>
      <c r="CE949" s="147"/>
      <c r="CF949" s="147"/>
      <c r="CG949" s="147"/>
      <c r="CH949" s="147"/>
      <c r="CI949" s="147"/>
      <c r="CJ949" s="147"/>
      <c r="CK949" s="147"/>
    </row>
    <row r="950" spans="1:89">
      <c r="A950" s="157"/>
      <c r="F950" s="3"/>
      <c r="G950" s="3"/>
      <c r="L950" s="157"/>
      <c r="M950" s="157"/>
      <c r="O950" s="147"/>
      <c r="P950" s="147"/>
      <c r="Q950" s="147"/>
      <c r="R950" s="147"/>
      <c r="S950" s="147"/>
      <c r="T950" s="147"/>
      <c r="U950" s="147"/>
      <c r="V950" s="147"/>
      <c r="W950" s="147"/>
      <c r="X950" s="147"/>
      <c r="Y950" s="147"/>
      <c r="Z950" s="147"/>
      <c r="AA950" s="147"/>
      <c r="AB950" s="147"/>
      <c r="AC950" s="147"/>
      <c r="AD950" s="147"/>
      <c r="AE950" s="147"/>
      <c r="AF950" s="147"/>
      <c r="AG950" s="147"/>
      <c r="AH950" s="147"/>
      <c r="AI950" s="147"/>
      <c r="AJ950" s="147"/>
      <c r="AK950" s="147"/>
      <c r="AL950" s="147"/>
      <c r="AM950" s="151"/>
      <c r="AN950" s="147"/>
      <c r="AO950" s="147"/>
      <c r="AP950" s="147"/>
      <c r="AQ950" s="147"/>
      <c r="AR950" s="147"/>
      <c r="AS950" s="147"/>
      <c r="AT950" s="147"/>
      <c r="AU950" s="147"/>
      <c r="AV950" s="147"/>
      <c r="AW950" s="147"/>
      <c r="AX950" s="147"/>
      <c r="AY950" s="147"/>
      <c r="AZ950" s="147"/>
      <c r="BA950" s="147"/>
      <c r="BB950" s="147"/>
      <c r="BC950" s="147"/>
      <c r="BD950" s="147"/>
      <c r="BE950" s="147"/>
      <c r="BF950" s="147"/>
      <c r="BG950" s="147"/>
      <c r="BH950" s="147"/>
      <c r="BI950" s="147"/>
      <c r="BJ950" s="147"/>
      <c r="BK950" s="147"/>
      <c r="BL950" s="147"/>
      <c r="BM950" s="147"/>
      <c r="BN950" s="147"/>
      <c r="BO950" s="147"/>
      <c r="BP950" s="147"/>
      <c r="BQ950" s="147"/>
      <c r="BR950" s="147"/>
      <c r="BS950" s="147"/>
      <c r="BT950" s="147"/>
      <c r="BU950" s="147"/>
      <c r="BV950" s="147"/>
      <c r="BW950" s="147"/>
      <c r="BX950" s="147"/>
      <c r="BY950" s="147"/>
      <c r="BZ950" s="147"/>
      <c r="CA950" s="147"/>
      <c r="CB950" s="147"/>
      <c r="CC950" s="147"/>
      <c r="CD950" s="147"/>
      <c r="CE950" s="147"/>
      <c r="CF950" s="147"/>
      <c r="CG950" s="147"/>
      <c r="CH950" s="147"/>
      <c r="CI950" s="147"/>
      <c r="CJ950" s="147"/>
      <c r="CK950" s="147"/>
    </row>
    <row r="951" spans="1:89">
      <c r="A951" s="157"/>
      <c r="F951" s="3"/>
      <c r="G951" s="3"/>
      <c r="L951" s="157"/>
      <c r="M951" s="157"/>
      <c r="O951" s="147"/>
      <c r="P951" s="147"/>
      <c r="Q951" s="147"/>
      <c r="R951" s="147"/>
      <c r="S951" s="147"/>
      <c r="T951" s="147"/>
      <c r="U951" s="147"/>
      <c r="V951" s="147"/>
      <c r="W951" s="147"/>
      <c r="X951" s="147"/>
      <c r="Y951" s="147"/>
      <c r="Z951" s="147"/>
      <c r="AA951" s="147"/>
      <c r="AB951" s="147"/>
      <c r="AC951" s="147"/>
      <c r="AD951" s="147"/>
      <c r="AE951" s="147"/>
      <c r="AF951" s="147"/>
      <c r="AG951" s="147"/>
      <c r="AH951" s="147"/>
      <c r="AI951" s="147"/>
      <c r="AJ951" s="147"/>
      <c r="AK951" s="147"/>
      <c r="AL951" s="147"/>
      <c r="AM951" s="151"/>
      <c r="AN951" s="147"/>
      <c r="AO951" s="147"/>
      <c r="AP951" s="147"/>
      <c r="AQ951" s="147"/>
      <c r="AR951" s="147"/>
      <c r="AS951" s="147"/>
      <c r="AT951" s="147"/>
      <c r="AU951" s="147"/>
      <c r="AV951" s="147"/>
      <c r="AW951" s="147"/>
      <c r="AX951" s="147"/>
      <c r="AY951" s="147"/>
      <c r="AZ951" s="147"/>
      <c r="BA951" s="147"/>
      <c r="BB951" s="147"/>
      <c r="BC951" s="147"/>
      <c r="BD951" s="147"/>
      <c r="BE951" s="147"/>
      <c r="BF951" s="147"/>
      <c r="BG951" s="147"/>
      <c r="BH951" s="147"/>
      <c r="BI951" s="147"/>
      <c r="BJ951" s="147"/>
      <c r="BK951" s="147"/>
      <c r="BL951" s="147"/>
      <c r="BM951" s="147"/>
      <c r="BN951" s="147"/>
      <c r="BO951" s="147"/>
      <c r="BP951" s="147"/>
      <c r="BQ951" s="147"/>
      <c r="BR951" s="147"/>
      <c r="BS951" s="147"/>
      <c r="BT951" s="147"/>
      <c r="BU951" s="147"/>
      <c r="BV951" s="147"/>
      <c r="BW951" s="147"/>
      <c r="BX951" s="147"/>
      <c r="BY951" s="147"/>
      <c r="BZ951" s="147"/>
      <c r="CA951" s="147"/>
      <c r="CB951" s="147"/>
      <c r="CC951" s="147"/>
      <c r="CD951" s="147"/>
      <c r="CE951" s="147"/>
      <c r="CF951" s="147"/>
      <c r="CG951" s="147"/>
      <c r="CH951" s="147"/>
      <c r="CI951" s="147"/>
      <c r="CJ951" s="147"/>
      <c r="CK951" s="147"/>
    </row>
    <row r="952" spans="1:89">
      <c r="A952" s="157"/>
      <c r="F952" s="3"/>
      <c r="G952" s="3"/>
      <c r="L952" s="157"/>
      <c r="M952" s="157"/>
      <c r="O952" s="147"/>
      <c r="P952" s="147"/>
      <c r="Q952" s="147"/>
      <c r="R952" s="147"/>
      <c r="S952" s="147"/>
      <c r="T952" s="147"/>
      <c r="U952" s="147"/>
      <c r="V952" s="147"/>
      <c r="W952" s="147"/>
      <c r="X952" s="147"/>
      <c r="Y952" s="147"/>
      <c r="Z952" s="147"/>
      <c r="AA952" s="147"/>
      <c r="AB952" s="147"/>
      <c r="AC952" s="147"/>
      <c r="AD952" s="147"/>
      <c r="AE952" s="147"/>
      <c r="AF952" s="147"/>
      <c r="AG952" s="147"/>
      <c r="AH952" s="147"/>
      <c r="AI952" s="147"/>
      <c r="AJ952" s="147"/>
      <c r="AK952" s="147"/>
      <c r="AL952" s="147"/>
      <c r="AM952" s="151"/>
      <c r="AN952" s="147"/>
      <c r="AO952" s="147"/>
      <c r="AP952" s="147"/>
      <c r="AQ952" s="147"/>
      <c r="AR952" s="147"/>
      <c r="AS952" s="147"/>
      <c r="AT952" s="147"/>
      <c r="AU952" s="147"/>
      <c r="AV952" s="147"/>
      <c r="AW952" s="147"/>
      <c r="AX952" s="147"/>
      <c r="AY952" s="147"/>
      <c r="AZ952" s="147"/>
      <c r="BA952" s="147"/>
      <c r="BB952" s="147"/>
      <c r="BC952" s="147"/>
      <c r="BD952" s="147"/>
      <c r="BE952" s="147"/>
      <c r="BF952" s="147"/>
      <c r="BG952" s="147"/>
      <c r="BH952" s="147"/>
      <c r="BI952" s="147"/>
      <c r="BJ952" s="147"/>
      <c r="BK952" s="147"/>
      <c r="BL952" s="147"/>
      <c r="BM952" s="147"/>
      <c r="BN952" s="147"/>
      <c r="BO952" s="147"/>
      <c r="BP952" s="147"/>
      <c r="BQ952" s="147"/>
      <c r="BR952" s="147"/>
      <c r="BS952" s="147"/>
      <c r="BT952" s="147"/>
      <c r="BU952" s="147"/>
      <c r="BV952" s="147"/>
      <c r="BW952" s="147"/>
      <c r="BX952" s="147"/>
      <c r="BY952" s="147"/>
      <c r="BZ952" s="147"/>
      <c r="CA952" s="147"/>
      <c r="CB952" s="147"/>
      <c r="CC952" s="147"/>
      <c r="CD952" s="147"/>
      <c r="CE952" s="147"/>
      <c r="CF952" s="147"/>
      <c r="CG952" s="147"/>
      <c r="CH952" s="147"/>
      <c r="CI952" s="147"/>
      <c r="CJ952" s="147"/>
      <c r="CK952" s="147"/>
    </row>
    <row r="953" spans="1:89">
      <c r="A953" s="157"/>
      <c r="F953" s="3"/>
      <c r="G953" s="3"/>
      <c r="L953" s="157"/>
      <c r="M953" s="157"/>
      <c r="O953" s="147"/>
      <c r="P953" s="147"/>
      <c r="Q953" s="147"/>
      <c r="R953" s="147"/>
      <c r="S953" s="147"/>
      <c r="T953" s="147"/>
      <c r="U953" s="147"/>
      <c r="V953" s="147"/>
      <c r="W953" s="147"/>
      <c r="X953" s="147"/>
      <c r="Y953" s="147"/>
      <c r="Z953" s="147"/>
      <c r="AA953" s="147"/>
      <c r="AB953" s="147"/>
      <c r="AC953" s="147"/>
      <c r="AD953" s="147"/>
      <c r="AE953" s="147"/>
      <c r="AF953" s="147"/>
      <c r="AG953" s="147"/>
      <c r="AH953" s="147"/>
      <c r="AI953" s="147"/>
      <c r="AJ953" s="147"/>
      <c r="AK953" s="147"/>
      <c r="AL953" s="147"/>
      <c r="AM953" s="151"/>
      <c r="AN953" s="147"/>
      <c r="AO953" s="147"/>
      <c r="AP953" s="147"/>
      <c r="AQ953" s="147"/>
      <c r="AR953" s="147"/>
      <c r="AS953" s="147"/>
      <c r="AT953" s="147"/>
      <c r="AU953" s="147"/>
      <c r="AV953" s="147"/>
      <c r="AW953" s="147"/>
      <c r="AX953" s="147"/>
      <c r="AY953" s="147"/>
      <c r="AZ953" s="147"/>
      <c r="BA953" s="147"/>
      <c r="BB953" s="147"/>
      <c r="BC953" s="147"/>
      <c r="BD953" s="147"/>
      <c r="BE953" s="147"/>
      <c r="BF953" s="147"/>
      <c r="BG953" s="147"/>
      <c r="BH953" s="147"/>
      <c r="BI953" s="147"/>
      <c r="BJ953" s="147"/>
      <c r="BK953" s="147"/>
      <c r="BL953" s="147"/>
      <c r="BM953" s="147"/>
      <c r="BN953" s="147"/>
      <c r="BO953" s="147"/>
      <c r="BP953" s="147"/>
      <c r="BQ953" s="147"/>
      <c r="BR953" s="147"/>
      <c r="BS953" s="147"/>
      <c r="BT953" s="147"/>
      <c r="BU953" s="147"/>
      <c r="BV953" s="147"/>
      <c r="BW953" s="147"/>
      <c r="BX953" s="147"/>
      <c r="BY953" s="147"/>
      <c r="BZ953" s="147"/>
      <c r="CA953" s="147"/>
      <c r="CB953" s="147"/>
      <c r="CC953" s="147"/>
      <c r="CD953" s="147"/>
      <c r="CE953" s="147"/>
      <c r="CF953" s="147"/>
      <c r="CG953" s="147"/>
      <c r="CH953" s="147"/>
      <c r="CI953" s="147"/>
      <c r="CJ953" s="147"/>
      <c r="CK953" s="147"/>
    </row>
    <row r="954" spans="1:89">
      <c r="A954" s="157"/>
      <c r="F954" s="3"/>
      <c r="G954" s="3"/>
      <c r="L954" s="157"/>
      <c r="M954" s="157"/>
      <c r="O954" s="147"/>
      <c r="P954" s="147"/>
      <c r="Q954" s="147"/>
      <c r="R954" s="147"/>
      <c r="S954" s="147"/>
      <c r="T954" s="147"/>
      <c r="U954" s="147"/>
      <c r="V954" s="147"/>
      <c r="W954" s="147"/>
      <c r="X954" s="147"/>
      <c r="Y954" s="147"/>
      <c r="Z954" s="147"/>
      <c r="AA954" s="147"/>
      <c r="AB954" s="147"/>
      <c r="AC954" s="147"/>
      <c r="AD954" s="147"/>
      <c r="AE954" s="147"/>
      <c r="AF954" s="147"/>
      <c r="AG954" s="147"/>
      <c r="AH954" s="147"/>
      <c r="AI954" s="147"/>
      <c r="AJ954" s="147"/>
      <c r="AK954" s="147"/>
      <c r="AL954" s="147"/>
      <c r="AM954" s="151"/>
      <c r="AN954" s="147"/>
      <c r="AO954" s="147"/>
      <c r="AP954" s="147"/>
      <c r="AQ954" s="147"/>
      <c r="AR954" s="147"/>
      <c r="AS954" s="147"/>
      <c r="AT954" s="147"/>
      <c r="AU954" s="147"/>
      <c r="AV954" s="147"/>
      <c r="AW954" s="147"/>
      <c r="AX954" s="147"/>
      <c r="AY954" s="147"/>
      <c r="AZ954" s="147"/>
      <c r="BA954" s="147"/>
      <c r="BB954" s="147"/>
      <c r="BC954" s="147"/>
      <c r="BD954" s="147"/>
      <c r="BE954" s="147"/>
      <c r="BF954" s="147"/>
      <c r="BG954" s="147"/>
      <c r="BH954" s="147"/>
      <c r="BI954" s="147"/>
      <c r="BJ954" s="147"/>
      <c r="BK954" s="147"/>
      <c r="BL954" s="147"/>
      <c r="BM954" s="147"/>
      <c r="BN954" s="147"/>
      <c r="BO954" s="147"/>
      <c r="BP954" s="147"/>
      <c r="BQ954" s="147"/>
      <c r="BR954" s="147"/>
      <c r="BS954" s="147"/>
      <c r="BT954" s="147"/>
      <c r="BU954" s="147"/>
      <c r="BV954" s="147"/>
      <c r="BW954" s="147"/>
      <c r="BX954" s="147"/>
      <c r="BY954" s="147"/>
      <c r="BZ954" s="147"/>
      <c r="CA954" s="147"/>
      <c r="CB954" s="147"/>
      <c r="CC954" s="147"/>
      <c r="CD954" s="147"/>
      <c r="CE954" s="147"/>
      <c r="CF954" s="147"/>
      <c r="CG954" s="147"/>
      <c r="CH954" s="147"/>
      <c r="CI954" s="147"/>
      <c r="CJ954" s="147"/>
      <c r="CK954" s="147"/>
    </row>
    <row r="955" spans="1:89">
      <c r="A955" s="157"/>
      <c r="F955" s="3"/>
      <c r="G955" s="3"/>
      <c r="L955" s="157"/>
      <c r="M955" s="157"/>
      <c r="O955" s="147"/>
      <c r="P955" s="147"/>
      <c r="Q955" s="147"/>
      <c r="R955" s="147"/>
      <c r="S955" s="147"/>
      <c r="T955" s="147"/>
      <c r="U955" s="147"/>
      <c r="V955" s="147"/>
      <c r="W955" s="147"/>
      <c r="X955" s="147"/>
      <c r="Y955" s="147"/>
      <c r="Z955" s="147"/>
      <c r="AA955" s="147"/>
      <c r="AB955" s="147"/>
      <c r="AC955" s="147"/>
      <c r="AD955" s="147"/>
      <c r="AE955" s="147"/>
      <c r="AF955" s="147"/>
      <c r="AG955" s="147"/>
      <c r="AH955" s="147"/>
      <c r="AI955" s="147"/>
      <c r="AJ955" s="147"/>
      <c r="AK955" s="147"/>
      <c r="AL955" s="147"/>
      <c r="AM955" s="151"/>
      <c r="AN955" s="147"/>
      <c r="AO955" s="147"/>
      <c r="AP955" s="147"/>
      <c r="AQ955" s="147"/>
      <c r="AR955" s="147"/>
      <c r="AS955" s="147"/>
      <c r="AT955" s="147"/>
      <c r="AU955" s="147"/>
      <c r="AV955" s="147"/>
      <c r="AW955" s="147"/>
      <c r="AX955" s="147"/>
      <c r="AY955" s="147"/>
      <c r="AZ955" s="147"/>
      <c r="BA955" s="147"/>
      <c r="BB955" s="147"/>
      <c r="BC955" s="147"/>
      <c r="BD955" s="147"/>
      <c r="BE955" s="147"/>
      <c r="BF955" s="147"/>
      <c r="BG955" s="147"/>
      <c r="BH955" s="147"/>
      <c r="BI955" s="147"/>
      <c r="BJ955" s="147"/>
      <c r="BK955" s="147"/>
      <c r="BL955" s="147"/>
      <c r="BM955" s="147"/>
      <c r="BN955" s="147"/>
      <c r="BO955" s="147"/>
      <c r="BP955" s="147"/>
      <c r="BQ955" s="147"/>
      <c r="BR955" s="147"/>
      <c r="BS955" s="147"/>
      <c r="BT955" s="147"/>
      <c r="BU955" s="147"/>
      <c r="BV955" s="147"/>
      <c r="BW955" s="147"/>
      <c r="BX955" s="147"/>
      <c r="BY955" s="147"/>
      <c r="BZ955" s="147"/>
      <c r="CA955" s="147"/>
      <c r="CB955" s="147"/>
      <c r="CC955" s="147"/>
      <c r="CD955" s="147"/>
      <c r="CE955" s="147"/>
      <c r="CF955" s="147"/>
      <c r="CG955" s="147"/>
      <c r="CH955" s="147"/>
      <c r="CI955" s="147"/>
      <c r="CJ955" s="147"/>
      <c r="CK955" s="147"/>
    </row>
    <row r="956" spans="1:89">
      <c r="A956" s="157"/>
      <c r="F956" s="3"/>
      <c r="G956" s="3"/>
      <c r="L956" s="157"/>
      <c r="M956" s="157"/>
      <c r="O956" s="147"/>
      <c r="P956" s="147"/>
      <c r="Q956" s="147"/>
      <c r="R956" s="147"/>
      <c r="S956" s="147"/>
      <c r="T956" s="147"/>
      <c r="U956" s="147"/>
      <c r="V956" s="147"/>
      <c r="W956" s="147"/>
      <c r="X956" s="147"/>
      <c r="Y956" s="147"/>
      <c r="Z956" s="147"/>
      <c r="AA956" s="147"/>
      <c r="AB956" s="147"/>
      <c r="AC956" s="147"/>
      <c r="AD956" s="147"/>
      <c r="AE956" s="147"/>
      <c r="AF956" s="147"/>
      <c r="AG956" s="147"/>
      <c r="AH956" s="147"/>
      <c r="AI956" s="147"/>
      <c r="AJ956" s="147"/>
      <c r="AK956" s="147"/>
      <c r="AL956" s="147"/>
      <c r="AM956" s="151"/>
      <c r="AN956" s="147"/>
      <c r="AO956" s="147"/>
      <c r="AP956" s="147"/>
      <c r="AQ956" s="147"/>
      <c r="AR956" s="147"/>
      <c r="AS956" s="147"/>
      <c r="AT956" s="147"/>
      <c r="AU956" s="147"/>
      <c r="AV956" s="147"/>
      <c r="AW956" s="147"/>
      <c r="AX956" s="147"/>
      <c r="AY956" s="147"/>
      <c r="AZ956" s="147"/>
      <c r="BA956" s="147"/>
      <c r="BB956" s="147"/>
      <c r="BC956" s="147"/>
      <c r="BD956" s="147"/>
      <c r="BE956" s="147"/>
      <c r="BF956" s="147"/>
      <c r="BG956" s="147"/>
      <c r="BH956" s="147"/>
      <c r="BI956" s="147"/>
      <c r="BJ956" s="147"/>
      <c r="BK956" s="147"/>
      <c r="BL956" s="147"/>
      <c r="BM956" s="147"/>
      <c r="BN956" s="147"/>
      <c r="BO956" s="147"/>
      <c r="BP956" s="147"/>
      <c r="BQ956" s="147"/>
      <c r="BR956" s="147"/>
      <c r="BS956" s="147"/>
      <c r="BT956" s="147"/>
      <c r="BU956" s="147"/>
      <c r="BV956" s="147"/>
      <c r="BW956" s="147"/>
      <c r="BX956" s="147"/>
      <c r="BY956" s="147"/>
      <c r="BZ956" s="147"/>
      <c r="CA956" s="147"/>
      <c r="CB956" s="147"/>
      <c r="CC956" s="147"/>
      <c r="CD956" s="147"/>
      <c r="CE956" s="147"/>
      <c r="CF956" s="147"/>
      <c r="CG956" s="147"/>
      <c r="CH956" s="147"/>
      <c r="CI956" s="147"/>
      <c r="CJ956" s="147"/>
      <c r="CK956" s="147"/>
    </row>
    <row r="957" spans="1:89">
      <c r="A957" s="157"/>
      <c r="F957" s="3"/>
      <c r="G957" s="3"/>
      <c r="L957" s="157"/>
      <c r="M957" s="157"/>
      <c r="O957" s="147"/>
      <c r="P957" s="147"/>
      <c r="Q957" s="147"/>
      <c r="R957" s="147"/>
      <c r="S957" s="147"/>
      <c r="T957" s="147"/>
      <c r="U957" s="147"/>
      <c r="V957" s="147"/>
      <c r="W957" s="147"/>
      <c r="X957" s="147"/>
      <c r="Y957" s="147"/>
      <c r="Z957" s="147"/>
      <c r="AA957" s="147"/>
      <c r="AB957" s="147"/>
      <c r="AC957" s="147"/>
      <c r="AD957" s="147"/>
      <c r="AE957" s="147"/>
      <c r="AF957" s="147"/>
      <c r="AG957" s="147"/>
      <c r="AH957" s="147"/>
      <c r="AI957" s="147"/>
      <c r="AJ957" s="147"/>
      <c r="AK957" s="147"/>
      <c r="AL957" s="147"/>
      <c r="AM957" s="151"/>
      <c r="AN957" s="147"/>
      <c r="AO957" s="147"/>
      <c r="AP957" s="147"/>
      <c r="AQ957" s="147"/>
      <c r="AR957" s="147"/>
      <c r="AS957" s="147"/>
      <c r="AT957" s="147"/>
      <c r="AU957" s="147"/>
      <c r="AV957" s="147"/>
      <c r="AW957" s="147"/>
      <c r="AX957" s="147"/>
      <c r="AY957" s="147"/>
      <c r="AZ957" s="147"/>
      <c r="BA957" s="147"/>
      <c r="BB957" s="147"/>
      <c r="BC957" s="147"/>
      <c r="BD957" s="147"/>
      <c r="BE957" s="147"/>
      <c r="BF957" s="147"/>
      <c r="BG957" s="147"/>
      <c r="BH957" s="147"/>
      <c r="BI957" s="147"/>
      <c r="BJ957" s="147"/>
      <c r="BK957" s="147"/>
      <c r="BL957" s="147"/>
      <c r="BM957" s="147"/>
      <c r="BN957" s="147"/>
      <c r="BO957" s="147"/>
      <c r="BP957" s="147"/>
      <c r="BQ957" s="147"/>
      <c r="BR957" s="147"/>
      <c r="BS957" s="147"/>
      <c r="BT957" s="147"/>
      <c r="BU957" s="147"/>
      <c r="BV957" s="147"/>
      <c r="BW957" s="147"/>
      <c r="BX957" s="147"/>
      <c r="BY957" s="147"/>
      <c r="BZ957" s="147"/>
      <c r="CA957" s="147"/>
      <c r="CB957" s="147"/>
      <c r="CC957" s="147"/>
      <c r="CD957" s="147"/>
      <c r="CE957" s="147"/>
      <c r="CF957" s="147"/>
      <c r="CG957" s="147"/>
      <c r="CH957" s="147"/>
      <c r="CI957" s="147"/>
      <c r="CJ957" s="147"/>
      <c r="CK957" s="147"/>
    </row>
    <row r="958" spans="1:89">
      <c r="A958" s="157"/>
      <c r="F958" s="3"/>
      <c r="G958" s="3"/>
      <c r="L958" s="157"/>
      <c r="M958" s="157"/>
      <c r="O958" s="147"/>
      <c r="P958" s="147"/>
      <c r="Q958" s="147"/>
      <c r="R958" s="147"/>
      <c r="S958" s="147"/>
      <c r="T958" s="147"/>
      <c r="U958" s="147"/>
      <c r="V958" s="147"/>
      <c r="W958" s="147"/>
      <c r="X958" s="147"/>
      <c r="Y958" s="147"/>
      <c r="Z958" s="147"/>
      <c r="AA958" s="147"/>
      <c r="AB958" s="147"/>
      <c r="AC958" s="147"/>
      <c r="AD958" s="147"/>
      <c r="AE958" s="147"/>
      <c r="AF958" s="147"/>
      <c r="AG958" s="147"/>
      <c r="AH958" s="147"/>
      <c r="AI958" s="147"/>
      <c r="AJ958" s="147"/>
      <c r="AK958" s="147"/>
      <c r="AL958" s="147"/>
      <c r="AM958" s="151"/>
      <c r="AN958" s="147"/>
      <c r="AO958" s="147"/>
      <c r="AP958" s="147"/>
      <c r="AQ958" s="147"/>
      <c r="AR958" s="147"/>
      <c r="AS958" s="147"/>
      <c r="AT958" s="147"/>
      <c r="AU958" s="147"/>
      <c r="AV958" s="147"/>
      <c r="AW958" s="147"/>
      <c r="AX958" s="147"/>
      <c r="AY958" s="147"/>
      <c r="AZ958" s="147"/>
      <c r="BA958" s="147"/>
      <c r="BB958" s="147"/>
      <c r="BC958" s="147"/>
      <c r="BD958" s="147"/>
      <c r="BE958" s="147"/>
      <c r="BF958" s="147"/>
      <c r="BG958" s="147"/>
      <c r="BH958" s="147"/>
      <c r="BI958" s="147"/>
      <c r="BJ958" s="147"/>
      <c r="BK958" s="147"/>
      <c r="BL958" s="147"/>
      <c r="BM958" s="147"/>
      <c r="BN958" s="147"/>
      <c r="BO958" s="147"/>
      <c r="BP958" s="147"/>
      <c r="BQ958" s="147"/>
      <c r="BR958" s="147"/>
      <c r="BS958" s="147"/>
      <c r="BT958" s="147"/>
      <c r="BU958" s="147"/>
      <c r="BV958" s="147"/>
      <c r="BW958" s="147"/>
      <c r="BX958" s="147"/>
      <c r="BY958" s="147"/>
      <c r="BZ958" s="147"/>
      <c r="CA958" s="147"/>
      <c r="CB958" s="147"/>
      <c r="CC958" s="147"/>
      <c r="CD958" s="147"/>
      <c r="CE958" s="147"/>
      <c r="CF958" s="147"/>
      <c r="CG958" s="147"/>
      <c r="CH958" s="147"/>
      <c r="CI958" s="147"/>
      <c r="CJ958" s="147"/>
      <c r="CK958" s="147"/>
    </row>
    <row r="959" spans="1:89">
      <c r="A959" s="157"/>
      <c r="F959" s="3"/>
      <c r="G959" s="3"/>
      <c r="L959" s="157"/>
      <c r="M959" s="157"/>
      <c r="O959" s="147"/>
      <c r="P959" s="147"/>
      <c r="Q959" s="147"/>
      <c r="R959" s="147"/>
      <c r="S959" s="147"/>
      <c r="T959" s="147"/>
      <c r="U959" s="147"/>
      <c r="V959" s="147"/>
      <c r="W959" s="147"/>
      <c r="X959" s="147"/>
      <c r="Y959" s="147"/>
      <c r="Z959" s="147"/>
      <c r="AA959" s="147"/>
      <c r="AB959" s="147"/>
      <c r="AC959" s="147"/>
      <c r="AD959" s="147"/>
      <c r="AE959" s="147"/>
      <c r="AF959" s="147"/>
      <c r="AG959" s="147"/>
      <c r="AH959" s="147"/>
      <c r="AI959" s="147"/>
      <c r="AJ959" s="147"/>
      <c r="AK959" s="147"/>
      <c r="AL959" s="147"/>
      <c r="AM959" s="151"/>
      <c r="AN959" s="147"/>
      <c r="AO959" s="147"/>
      <c r="AP959" s="147"/>
      <c r="AQ959" s="147"/>
      <c r="AR959" s="147"/>
      <c r="AS959" s="147"/>
      <c r="AT959" s="147"/>
      <c r="AU959" s="147"/>
      <c r="AV959" s="147"/>
      <c r="AW959" s="147"/>
      <c r="AX959" s="147"/>
      <c r="AY959" s="147"/>
      <c r="AZ959" s="147"/>
      <c r="BA959" s="147"/>
      <c r="BB959" s="147"/>
      <c r="BC959" s="147"/>
      <c r="BD959" s="147"/>
      <c r="BE959" s="147"/>
      <c r="BF959" s="147"/>
      <c r="BG959" s="147"/>
      <c r="BH959" s="147"/>
      <c r="BI959" s="147"/>
      <c r="BJ959" s="147"/>
      <c r="BK959" s="147"/>
      <c r="BL959" s="147"/>
      <c r="BM959" s="147"/>
      <c r="BN959" s="147"/>
      <c r="BO959" s="147"/>
      <c r="BP959" s="147"/>
      <c r="BQ959" s="147"/>
      <c r="BR959" s="147"/>
      <c r="BS959" s="147"/>
      <c r="BT959" s="147"/>
      <c r="BU959" s="147"/>
      <c r="BV959" s="147"/>
      <c r="BW959" s="147"/>
      <c r="BX959" s="147"/>
      <c r="BY959" s="147"/>
      <c r="BZ959" s="147"/>
      <c r="CA959" s="147"/>
      <c r="CB959" s="147"/>
      <c r="CC959" s="147"/>
      <c r="CD959" s="147"/>
      <c r="CE959" s="147"/>
      <c r="CF959" s="147"/>
      <c r="CG959" s="147"/>
      <c r="CH959" s="147"/>
      <c r="CI959" s="147"/>
      <c r="CJ959" s="147"/>
      <c r="CK959" s="147"/>
    </row>
    <row r="960" spans="1:89">
      <c r="A960" s="157"/>
      <c r="F960" s="3"/>
      <c r="G960" s="3"/>
      <c r="L960" s="157"/>
      <c r="M960" s="157"/>
      <c r="O960" s="147"/>
      <c r="P960" s="147"/>
      <c r="Q960" s="147"/>
      <c r="R960" s="147"/>
      <c r="S960" s="147"/>
      <c r="T960" s="147"/>
      <c r="U960" s="147"/>
      <c r="V960" s="147"/>
      <c r="W960" s="147"/>
      <c r="X960" s="147"/>
      <c r="Y960" s="147"/>
      <c r="Z960" s="147"/>
      <c r="AA960" s="147"/>
      <c r="AB960" s="147"/>
      <c r="AC960" s="147"/>
      <c r="AD960" s="147"/>
      <c r="AE960" s="147"/>
      <c r="AF960" s="147"/>
      <c r="AG960" s="147"/>
      <c r="AH960" s="147"/>
      <c r="AI960" s="147"/>
      <c r="AJ960" s="147"/>
      <c r="AK960" s="147"/>
      <c r="AL960" s="147"/>
      <c r="AM960" s="151"/>
      <c r="AN960" s="147"/>
      <c r="AO960" s="147"/>
      <c r="AP960" s="147"/>
      <c r="AQ960" s="147"/>
      <c r="AR960" s="147"/>
      <c r="AS960" s="147"/>
      <c r="AT960" s="147"/>
      <c r="AU960" s="147"/>
      <c r="AV960" s="147"/>
      <c r="AW960" s="147"/>
      <c r="AX960" s="147"/>
      <c r="AY960" s="147"/>
      <c r="AZ960" s="147"/>
      <c r="BA960" s="147"/>
      <c r="BB960" s="147"/>
      <c r="BC960" s="147"/>
      <c r="BD960" s="147"/>
      <c r="BE960" s="147"/>
      <c r="BF960" s="147"/>
      <c r="BG960" s="147"/>
      <c r="BH960" s="147"/>
      <c r="BI960" s="147"/>
      <c r="BJ960" s="147"/>
      <c r="BK960" s="147"/>
      <c r="BL960" s="147"/>
      <c r="BM960" s="147"/>
      <c r="BN960" s="147"/>
      <c r="BO960" s="147"/>
      <c r="BP960" s="147"/>
      <c r="BQ960" s="147"/>
      <c r="BR960" s="147"/>
      <c r="BS960" s="147"/>
      <c r="BT960" s="147"/>
      <c r="BU960" s="147"/>
      <c r="BV960" s="147"/>
      <c r="BW960" s="147"/>
      <c r="BX960" s="147"/>
      <c r="BY960" s="147"/>
      <c r="BZ960" s="147"/>
      <c r="CA960" s="147"/>
      <c r="CB960" s="147"/>
      <c r="CC960" s="147"/>
      <c r="CD960" s="147"/>
      <c r="CE960" s="147"/>
      <c r="CF960" s="147"/>
      <c r="CG960" s="147"/>
      <c r="CH960" s="147"/>
      <c r="CI960" s="147"/>
      <c r="CJ960" s="147"/>
      <c r="CK960" s="147"/>
    </row>
    <row r="961" spans="1:89">
      <c r="A961" s="157"/>
      <c r="F961" s="3"/>
      <c r="G961" s="3"/>
      <c r="L961" s="157"/>
      <c r="M961" s="157"/>
      <c r="O961" s="147"/>
      <c r="P961" s="147"/>
      <c r="Q961" s="147"/>
      <c r="R961" s="147"/>
      <c r="S961" s="147"/>
      <c r="T961" s="147"/>
      <c r="U961" s="147"/>
      <c r="V961" s="147"/>
      <c r="W961" s="147"/>
      <c r="X961" s="147"/>
      <c r="Y961" s="147"/>
      <c r="Z961" s="147"/>
      <c r="AA961" s="147"/>
      <c r="AB961" s="147"/>
      <c r="AC961" s="147"/>
      <c r="AD961" s="147"/>
      <c r="AE961" s="147"/>
      <c r="AF961" s="147"/>
      <c r="AG961" s="147"/>
      <c r="AH961" s="147"/>
      <c r="AI961" s="147"/>
      <c r="AJ961" s="147"/>
      <c r="AK961" s="147"/>
      <c r="AL961" s="147"/>
      <c r="AM961" s="151"/>
      <c r="AN961" s="147"/>
      <c r="AO961" s="147"/>
      <c r="AP961" s="147"/>
      <c r="AQ961" s="147"/>
      <c r="AR961" s="147"/>
      <c r="AS961" s="147"/>
      <c r="AT961" s="147"/>
      <c r="AU961" s="147"/>
      <c r="AV961" s="147"/>
      <c r="AW961" s="147"/>
      <c r="AX961" s="147"/>
      <c r="AY961" s="147"/>
      <c r="AZ961" s="147"/>
      <c r="BA961" s="147"/>
      <c r="BB961" s="147"/>
      <c r="BC961" s="147"/>
      <c r="BD961" s="147"/>
      <c r="BE961" s="147"/>
      <c r="BF961" s="147"/>
      <c r="BG961" s="147"/>
      <c r="BH961" s="147"/>
      <c r="BI961" s="147"/>
      <c r="BJ961" s="147"/>
      <c r="BK961" s="147"/>
      <c r="BL961" s="147"/>
      <c r="BM961" s="147"/>
      <c r="BN961" s="147"/>
      <c r="BO961" s="147"/>
      <c r="BP961" s="147"/>
      <c r="BQ961" s="147"/>
      <c r="BR961" s="147"/>
      <c r="BS961" s="147"/>
      <c r="BT961" s="147"/>
      <c r="BU961" s="147"/>
      <c r="BV961" s="147"/>
      <c r="BW961" s="147"/>
      <c r="BX961" s="147"/>
      <c r="BY961" s="147"/>
      <c r="BZ961" s="147"/>
      <c r="CA961" s="147"/>
      <c r="CB961" s="147"/>
      <c r="CC961" s="147"/>
      <c r="CD961" s="147"/>
      <c r="CE961" s="147"/>
      <c r="CF961" s="147"/>
      <c r="CG961" s="147"/>
      <c r="CH961" s="147"/>
      <c r="CI961" s="147"/>
      <c r="CJ961" s="147"/>
      <c r="CK961" s="147"/>
    </row>
    <row r="962" spans="1:89">
      <c r="A962" s="157"/>
      <c r="F962" s="3"/>
      <c r="G962" s="3"/>
      <c r="L962" s="157"/>
      <c r="M962" s="157"/>
      <c r="O962" s="147"/>
      <c r="P962" s="147"/>
      <c r="Q962" s="147"/>
      <c r="R962" s="147"/>
      <c r="S962" s="147"/>
      <c r="T962" s="147"/>
      <c r="U962" s="147"/>
      <c r="V962" s="147"/>
      <c r="W962" s="147"/>
      <c r="X962" s="147"/>
      <c r="Y962" s="147"/>
      <c r="Z962" s="147"/>
      <c r="AA962" s="147"/>
      <c r="AB962" s="147"/>
      <c r="AC962" s="147"/>
      <c r="AD962" s="147"/>
      <c r="AE962" s="147"/>
      <c r="AF962" s="147"/>
      <c r="AG962" s="147"/>
      <c r="AH962" s="147"/>
      <c r="AI962" s="147"/>
      <c r="AJ962" s="147"/>
      <c r="AK962" s="147"/>
      <c r="AL962" s="147"/>
      <c r="AM962" s="151"/>
      <c r="AN962" s="147"/>
      <c r="AO962" s="147"/>
      <c r="AP962" s="147"/>
      <c r="AQ962" s="147"/>
      <c r="AR962" s="147"/>
      <c r="AS962" s="147"/>
      <c r="AT962" s="147"/>
      <c r="AU962" s="147"/>
      <c r="AV962" s="147"/>
      <c r="AW962" s="147"/>
      <c r="AX962" s="147"/>
      <c r="AY962" s="147"/>
      <c r="AZ962" s="147"/>
      <c r="BA962" s="147"/>
      <c r="BB962" s="147"/>
      <c r="BC962" s="147"/>
      <c r="BD962" s="147"/>
      <c r="BE962" s="147"/>
      <c r="BF962" s="147"/>
      <c r="BG962" s="147"/>
      <c r="BH962" s="147"/>
      <c r="BI962" s="147"/>
      <c r="BJ962" s="147"/>
      <c r="BK962" s="147"/>
      <c r="BL962" s="147"/>
      <c r="BM962" s="147"/>
      <c r="BN962" s="147"/>
      <c r="BO962" s="147"/>
      <c r="BP962" s="147"/>
      <c r="BQ962" s="147"/>
      <c r="BR962" s="147"/>
      <c r="BS962" s="147"/>
      <c r="BT962" s="147"/>
      <c r="BU962" s="147"/>
      <c r="BV962" s="147"/>
      <c r="BW962" s="147"/>
      <c r="BX962" s="147"/>
      <c r="BY962" s="147"/>
      <c r="BZ962" s="147"/>
      <c r="CA962" s="147"/>
      <c r="CB962" s="147"/>
      <c r="CC962" s="147"/>
      <c r="CD962" s="147"/>
      <c r="CE962" s="147"/>
      <c r="CF962" s="147"/>
      <c r="CG962" s="147"/>
      <c r="CH962" s="147"/>
      <c r="CI962" s="147"/>
      <c r="CJ962" s="147"/>
      <c r="CK962" s="147"/>
    </row>
    <row r="963" spans="1:89">
      <c r="A963" s="157"/>
      <c r="F963" s="3"/>
      <c r="G963" s="3"/>
      <c r="L963" s="157"/>
      <c r="M963" s="157"/>
      <c r="O963" s="147"/>
      <c r="P963" s="147"/>
      <c r="Q963" s="147"/>
      <c r="R963" s="147"/>
      <c r="S963" s="147"/>
      <c r="T963" s="147"/>
      <c r="U963" s="147"/>
      <c r="V963" s="147"/>
      <c r="W963" s="147"/>
      <c r="X963" s="147"/>
      <c r="Y963" s="147"/>
      <c r="Z963" s="147"/>
      <c r="AA963" s="147"/>
      <c r="AB963" s="147"/>
      <c r="AC963" s="147"/>
      <c r="AD963" s="147"/>
      <c r="AE963" s="147"/>
      <c r="AF963" s="147"/>
      <c r="AG963" s="147"/>
      <c r="AH963" s="147"/>
      <c r="AI963" s="147"/>
      <c r="AJ963" s="147"/>
      <c r="AK963" s="147"/>
      <c r="AL963" s="147"/>
      <c r="AM963" s="151"/>
      <c r="AN963" s="147"/>
      <c r="AO963" s="147"/>
      <c r="AP963" s="147"/>
      <c r="AQ963" s="147"/>
      <c r="AR963" s="147"/>
      <c r="AS963" s="147"/>
      <c r="AT963" s="147"/>
      <c r="AU963" s="147"/>
      <c r="AV963" s="147"/>
      <c r="AW963" s="147"/>
      <c r="AX963" s="147"/>
      <c r="AY963" s="147"/>
      <c r="AZ963" s="147"/>
      <c r="BA963" s="147"/>
      <c r="BB963" s="147"/>
      <c r="BC963" s="147"/>
      <c r="BD963" s="147"/>
      <c r="BE963" s="147"/>
      <c r="BF963" s="147"/>
      <c r="BG963" s="147"/>
      <c r="BH963" s="147"/>
      <c r="BI963" s="147"/>
      <c r="BJ963" s="147"/>
      <c r="BK963" s="147"/>
      <c r="BL963" s="147"/>
      <c r="BM963" s="147"/>
      <c r="BN963" s="147"/>
      <c r="BO963" s="147"/>
      <c r="BP963" s="147"/>
      <c r="BQ963" s="147"/>
      <c r="BR963" s="147"/>
      <c r="BS963" s="147"/>
      <c r="BT963" s="147"/>
      <c r="BU963" s="147"/>
      <c r="BV963" s="147"/>
      <c r="BW963" s="147"/>
      <c r="BX963" s="147"/>
      <c r="BY963" s="147"/>
      <c r="BZ963" s="147"/>
      <c r="CA963" s="147"/>
      <c r="CB963" s="147"/>
      <c r="CC963" s="147"/>
      <c r="CD963" s="147"/>
      <c r="CE963" s="147"/>
      <c r="CF963" s="147"/>
      <c r="CG963" s="147"/>
      <c r="CH963" s="147"/>
      <c r="CI963" s="147"/>
      <c r="CJ963" s="147"/>
      <c r="CK963" s="147"/>
    </row>
    <row r="964" spans="1:89">
      <c r="A964" s="157"/>
      <c r="F964" s="3"/>
      <c r="G964" s="3"/>
      <c r="L964" s="157"/>
      <c r="M964" s="157"/>
      <c r="O964" s="147"/>
      <c r="P964" s="147"/>
      <c r="Q964" s="147"/>
      <c r="R964" s="147"/>
      <c r="S964" s="147"/>
      <c r="T964" s="147"/>
      <c r="U964" s="147"/>
      <c r="V964" s="147"/>
      <c r="W964" s="147"/>
      <c r="X964" s="147"/>
      <c r="Y964" s="147"/>
      <c r="Z964" s="147"/>
      <c r="AA964" s="147"/>
      <c r="AB964" s="147"/>
      <c r="AC964" s="147"/>
      <c r="AD964" s="147"/>
      <c r="AE964" s="147"/>
      <c r="AF964" s="147"/>
      <c r="AG964" s="147"/>
      <c r="AH964" s="147"/>
      <c r="AI964" s="147"/>
      <c r="AJ964" s="147"/>
      <c r="AK964" s="147"/>
      <c r="AL964" s="147"/>
      <c r="AM964" s="151"/>
      <c r="AN964" s="147"/>
      <c r="AO964" s="147"/>
      <c r="AP964" s="147"/>
      <c r="AQ964" s="147"/>
      <c r="AR964" s="147"/>
      <c r="AS964" s="147"/>
      <c r="AT964" s="147"/>
      <c r="AU964" s="147"/>
      <c r="AV964" s="147"/>
      <c r="AW964" s="147"/>
      <c r="AX964" s="147"/>
      <c r="AY964" s="147"/>
      <c r="AZ964" s="147"/>
      <c r="BA964" s="147"/>
      <c r="BB964" s="147"/>
      <c r="BC964" s="147"/>
      <c r="BD964" s="147"/>
      <c r="BE964" s="147"/>
      <c r="BF964" s="147"/>
      <c r="BG964" s="147"/>
      <c r="BH964" s="147"/>
      <c r="BI964" s="147"/>
      <c r="BJ964" s="147"/>
      <c r="BK964" s="147"/>
      <c r="BL964" s="147"/>
      <c r="BM964" s="147"/>
      <c r="BN964" s="147"/>
      <c r="BO964" s="147"/>
      <c r="BP964" s="147"/>
      <c r="BQ964" s="147"/>
      <c r="BR964" s="147"/>
      <c r="BS964" s="147"/>
      <c r="BT964" s="147"/>
      <c r="BU964" s="147"/>
      <c r="BV964" s="147"/>
      <c r="BW964" s="147"/>
      <c r="BX964" s="147"/>
      <c r="BY964" s="147"/>
      <c r="BZ964" s="147"/>
      <c r="CA964" s="147"/>
      <c r="CB964" s="147"/>
      <c r="CC964" s="147"/>
      <c r="CD964" s="147"/>
      <c r="CE964" s="147"/>
      <c r="CF964" s="147"/>
      <c r="CG964" s="147"/>
      <c r="CH964" s="147"/>
      <c r="CI964" s="147"/>
      <c r="CJ964" s="147"/>
      <c r="CK964" s="147"/>
    </row>
    <row r="965" spans="1:89">
      <c r="A965" s="157"/>
      <c r="F965" s="3"/>
      <c r="G965" s="3"/>
      <c r="L965" s="157"/>
      <c r="M965" s="157"/>
      <c r="O965" s="147"/>
      <c r="P965" s="147"/>
      <c r="Q965" s="147"/>
      <c r="R965" s="147"/>
      <c r="S965" s="147"/>
      <c r="T965" s="147"/>
      <c r="U965" s="147"/>
      <c r="V965" s="147"/>
      <c r="W965" s="147"/>
      <c r="X965" s="147"/>
      <c r="Y965" s="147"/>
      <c r="Z965" s="147"/>
      <c r="AA965" s="147"/>
      <c r="AB965" s="147"/>
      <c r="AC965" s="147"/>
      <c r="AD965" s="147"/>
      <c r="AE965" s="147"/>
      <c r="AF965" s="147"/>
      <c r="AG965" s="147"/>
      <c r="AH965" s="147"/>
      <c r="AI965" s="147"/>
      <c r="AJ965" s="147"/>
      <c r="AK965" s="147"/>
      <c r="AL965" s="147"/>
      <c r="AM965" s="151"/>
      <c r="AN965" s="147"/>
      <c r="AO965" s="147"/>
      <c r="AP965" s="147"/>
      <c r="AQ965" s="147"/>
      <c r="AR965" s="147"/>
      <c r="AS965" s="147"/>
      <c r="AT965" s="147"/>
      <c r="AU965" s="147"/>
      <c r="AV965" s="147"/>
      <c r="AW965" s="147"/>
      <c r="AX965" s="147"/>
      <c r="AY965" s="147"/>
      <c r="AZ965" s="147"/>
      <c r="BA965" s="147"/>
      <c r="BB965" s="147"/>
      <c r="BC965" s="147"/>
      <c r="BD965" s="147"/>
      <c r="BE965" s="147"/>
      <c r="BF965" s="147"/>
      <c r="BG965" s="147"/>
      <c r="BH965" s="147"/>
      <c r="BI965" s="147"/>
      <c r="BJ965" s="147"/>
      <c r="BK965" s="147"/>
      <c r="BL965" s="147"/>
      <c r="BM965" s="147"/>
      <c r="BN965" s="147"/>
      <c r="BO965" s="147"/>
      <c r="BP965" s="147"/>
      <c r="BQ965" s="147"/>
      <c r="BR965" s="147"/>
      <c r="BS965" s="147"/>
      <c r="BT965" s="147"/>
      <c r="BU965" s="147"/>
      <c r="BV965" s="147"/>
      <c r="BW965" s="147"/>
      <c r="BX965" s="147"/>
      <c r="BY965" s="147"/>
      <c r="BZ965" s="147"/>
      <c r="CA965" s="147"/>
      <c r="CB965" s="147"/>
      <c r="CC965" s="147"/>
      <c r="CD965" s="147"/>
      <c r="CE965" s="147"/>
      <c r="CF965" s="147"/>
      <c r="CG965" s="147"/>
      <c r="CH965" s="147"/>
      <c r="CI965" s="147"/>
      <c r="CJ965" s="147"/>
      <c r="CK965" s="147"/>
    </row>
    <row r="966" spans="1:89">
      <c r="A966" s="157"/>
      <c r="F966" s="3"/>
      <c r="G966" s="3"/>
      <c r="L966" s="157"/>
      <c r="M966" s="157"/>
      <c r="O966" s="147"/>
      <c r="P966" s="147"/>
      <c r="Q966" s="147"/>
      <c r="R966" s="147"/>
      <c r="S966" s="147"/>
      <c r="T966" s="147"/>
      <c r="U966" s="147"/>
      <c r="V966" s="147"/>
      <c r="W966" s="147"/>
      <c r="X966" s="147"/>
      <c r="Y966" s="147"/>
      <c r="Z966" s="147"/>
      <c r="AA966" s="147"/>
      <c r="AB966" s="147"/>
      <c r="AC966" s="147"/>
      <c r="AD966" s="147"/>
      <c r="AE966" s="147"/>
      <c r="AF966" s="147"/>
      <c r="AG966" s="147"/>
      <c r="AH966" s="147"/>
      <c r="AI966" s="147"/>
      <c r="AJ966" s="147"/>
      <c r="AK966" s="147"/>
      <c r="AL966" s="147"/>
      <c r="AM966" s="151"/>
      <c r="AN966" s="147"/>
      <c r="AO966" s="147"/>
      <c r="AP966" s="147"/>
      <c r="AQ966" s="147"/>
      <c r="AR966" s="147"/>
      <c r="AS966" s="147"/>
      <c r="AT966" s="147"/>
      <c r="AU966" s="147"/>
      <c r="AV966" s="147"/>
      <c r="AW966" s="147"/>
      <c r="AX966" s="147"/>
      <c r="AY966" s="147"/>
      <c r="AZ966" s="147"/>
      <c r="BA966" s="147"/>
      <c r="BB966" s="147"/>
      <c r="BC966" s="147"/>
      <c r="BD966" s="147"/>
      <c r="BE966" s="147"/>
      <c r="BF966" s="147"/>
      <c r="BG966" s="147"/>
      <c r="BH966" s="147"/>
      <c r="BI966" s="147"/>
      <c r="BJ966" s="147"/>
      <c r="BK966" s="147"/>
      <c r="BL966" s="147"/>
      <c r="BM966" s="147"/>
      <c r="BN966" s="147"/>
      <c r="BO966" s="147"/>
      <c r="BP966" s="147"/>
      <c r="BQ966" s="147"/>
      <c r="BR966" s="147"/>
      <c r="BS966" s="147"/>
      <c r="BT966" s="147"/>
      <c r="BU966" s="147"/>
      <c r="BV966" s="147"/>
      <c r="BW966" s="147"/>
      <c r="BX966" s="147"/>
      <c r="BY966" s="147"/>
      <c r="BZ966" s="147"/>
      <c r="CA966" s="147"/>
      <c r="CB966" s="147"/>
      <c r="CC966" s="147"/>
      <c r="CD966" s="147"/>
      <c r="CE966" s="147"/>
      <c r="CF966" s="147"/>
      <c r="CG966" s="147"/>
      <c r="CH966" s="147"/>
      <c r="CI966" s="147"/>
      <c r="CJ966" s="147"/>
      <c r="CK966" s="147"/>
    </row>
    <row r="967" spans="1:89">
      <c r="A967" s="157"/>
      <c r="F967" s="3"/>
      <c r="G967" s="3"/>
      <c r="L967" s="157"/>
      <c r="M967" s="157"/>
      <c r="O967" s="147"/>
      <c r="P967" s="147"/>
      <c r="Q967" s="147"/>
      <c r="R967" s="147"/>
      <c r="S967" s="147"/>
      <c r="T967" s="147"/>
      <c r="U967" s="147"/>
      <c r="V967" s="147"/>
      <c r="W967" s="147"/>
      <c r="X967" s="147"/>
      <c r="Y967" s="147"/>
      <c r="Z967" s="147"/>
      <c r="AA967" s="147"/>
      <c r="AB967" s="147"/>
      <c r="AC967" s="147"/>
      <c r="AD967" s="147"/>
      <c r="AE967" s="147"/>
      <c r="AF967" s="147"/>
      <c r="AG967" s="147"/>
      <c r="AH967" s="147"/>
      <c r="AI967" s="147"/>
      <c r="AJ967" s="147"/>
      <c r="AK967" s="147"/>
      <c r="AL967" s="147"/>
      <c r="AM967" s="151"/>
      <c r="AN967" s="147"/>
      <c r="AO967" s="147"/>
      <c r="AP967" s="147"/>
      <c r="AQ967" s="147"/>
      <c r="AR967" s="147"/>
      <c r="AS967" s="147"/>
      <c r="AT967" s="147"/>
      <c r="AU967" s="147"/>
      <c r="AV967" s="147"/>
      <c r="AW967" s="147"/>
      <c r="AX967" s="147"/>
      <c r="AY967" s="147"/>
      <c r="AZ967" s="147"/>
      <c r="BA967" s="147"/>
      <c r="BB967" s="147"/>
      <c r="BC967" s="147"/>
      <c r="BD967" s="147"/>
      <c r="BE967" s="147"/>
      <c r="BF967" s="147"/>
      <c r="BG967" s="147"/>
      <c r="BH967" s="147"/>
      <c r="BI967" s="147"/>
      <c r="BJ967" s="147"/>
      <c r="BK967" s="147"/>
      <c r="BL967" s="147"/>
      <c r="BM967" s="147"/>
      <c r="BN967" s="147"/>
      <c r="BO967" s="147"/>
      <c r="BP967" s="147"/>
      <c r="BQ967" s="147"/>
      <c r="BR967" s="147"/>
      <c r="BS967" s="147"/>
      <c r="BT967" s="147"/>
      <c r="BU967" s="147"/>
      <c r="BV967" s="147"/>
      <c r="BW967" s="147"/>
      <c r="BX967" s="147"/>
      <c r="BY967" s="147"/>
      <c r="BZ967" s="147"/>
      <c r="CA967" s="147"/>
      <c r="CB967" s="147"/>
      <c r="CC967" s="147"/>
      <c r="CD967" s="147"/>
      <c r="CE967" s="147"/>
      <c r="CF967" s="147"/>
      <c r="CG967" s="147"/>
      <c r="CH967" s="147"/>
      <c r="CI967" s="147"/>
      <c r="CJ967" s="147"/>
      <c r="CK967" s="147"/>
    </row>
    <row r="968" spans="1:89">
      <c r="A968" s="157"/>
      <c r="F968" s="3"/>
      <c r="G968" s="3"/>
      <c r="L968" s="157"/>
      <c r="M968" s="157"/>
      <c r="O968" s="147"/>
      <c r="P968" s="147"/>
      <c r="Q968" s="147"/>
      <c r="R968" s="147"/>
      <c r="S968" s="147"/>
      <c r="T968" s="147"/>
      <c r="U968" s="147"/>
      <c r="V968" s="147"/>
      <c r="W968" s="147"/>
      <c r="X968" s="147"/>
      <c r="Y968" s="147"/>
      <c r="Z968" s="147"/>
      <c r="AA968" s="147"/>
      <c r="AB968" s="147"/>
      <c r="AC968" s="147"/>
      <c r="AD968" s="147"/>
      <c r="AE968" s="147"/>
      <c r="AF968" s="147"/>
      <c r="AG968" s="147"/>
      <c r="AH968" s="147"/>
      <c r="AI968" s="147"/>
      <c r="AJ968" s="147"/>
      <c r="AK968" s="147"/>
      <c r="AL968" s="147"/>
      <c r="AM968" s="151"/>
      <c r="AN968" s="147"/>
      <c r="AO968" s="147"/>
      <c r="AP968" s="147"/>
      <c r="AQ968" s="147"/>
      <c r="AR968" s="147"/>
      <c r="AS968" s="147"/>
      <c r="AT968" s="147"/>
      <c r="AU968" s="147"/>
      <c r="AV968" s="147"/>
      <c r="AW968" s="147"/>
      <c r="AX968" s="147"/>
      <c r="AY968" s="147"/>
      <c r="AZ968" s="147"/>
      <c r="BA968" s="147"/>
      <c r="BB968" s="147"/>
      <c r="BC968" s="147"/>
      <c r="BD968" s="147"/>
      <c r="BE968" s="147"/>
      <c r="BF968" s="147"/>
      <c r="BG968" s="147"/>
      <c r="BH968" s="147"/>
      <c r="BI968" s="147"/>
      <c r="BJ968" s="147"/>
      <c r="BK968" s="147"/>
      <c r="BL968" s="147"/>
      <c r="BM968" s="147"/>
      <c r="BN968" s="147"/>
      <c r="BO968" s="147"/>
      <c r="BP968" s="147"/>
      <c r="BQ968" s="147"/>
      <c r="BR968" s="147"/>
      <c r="BS968" s="147"/>
      <c r="BT968" s="147"/>
      <c r="BU968" s="147"/>
      <c r="BV968" s="147"/>
      <c r="BW968" s="147"/>
      <c r="BX968" s="147"/>
      <c r="BY968" s="147"/>
      <c r="BZ968" s="147"/>
      <c r="CA968" s="147"/>
      <c r="CB968" s="147"/>
      <c r="CC968" s="147"/>
      <c r="CD968" s="147"/>
      <c r="CE968" s="147"/>
      <c r="CF968" s="147"/>
      <c r="CG968" s="147"/>
      <c r="CH968" s="147"/>
      <c r="CI968" s="147"/>
      <c r="CJ968" s="147"/>
      <c r="CK968" s="147"/>
    </row>
    <row r="969" spans="1:89">
      <c r="A969" s="157"/>
      <c r="F969" s="3"/>
      <c r="G969" s="3"/>
      <c r="L969" s="157"/>
      <c r="M969" s="157"/>
      <c r="O969" s="147"/>
      <c r="P969" s="147"/>
      <c r="Q969" s="147"/>
      <c r="R969" s="147"/>
      <c r="S969" s="147"/>
      <c r="T969" s="147"/>
      <c r="U969" s="147"/>
      <c r="V969" s="147"/>
      <c r="W969" s="147"/>
      <c r="X969" s="147"/>
      <c r="Y969" s="147"/>
      <c r="Z969" s="147"/>
      <c r="AA969" s="147"/>
      <c r="AB969" s="147"/>
      <c r="AC969" s="147"/>
      <c r="AD969" s="147"/>
      <c r="AE969" s="147"/>
      <c r="AF969" s="147"/>
      <c r="AG969" s="147"/>
      <c r="AH969" s="147"/>
      <c r="AI969" s="147"/>
      <c r="AJ969" s="147"/>
      <c r="AK969" s="147"/>
      <c r="AL969" s="147"/>
      <c r="AM969" s="151"/>
      <c r="AN969" s="147"/>
      <c r="AO969" s="147"/>
      <c r="AP969" s="147"/>
      <c r="AQ969" s="147"/>
      <c r="AR969" s="147"/>
      <c r="AS969" s="147"/>
      <c r="AT969" s="147"/>
      <c r="AU969" s="147"/>
      <c r="AV969" s="147"/>
      <c r="AW969" s="147"/>
      <c r="AX969" s="147"/>
      <c r="AY969" s="147"/>
      <c r="AZ969" s="147"/>
      <c r="BA969" s="147"/>
      <c r="BB969" s="147"/>
      <c r="BC969" s="147"/>
      <c r="BD969" s="147"/>
      <c r="BE969" s="147"/>
      <c r="BF969" s="147"/>
      <c r="BG969" s="147"/>
      <c r="BH969" s="147"/>
      <c r="BI969" s="147"/>
      <c r="BJ969" s="147"/>
      <c r="BK969" s="147"/>
      <c r="BL969" s="147"/>
      <c r="BM969" s="147"/>
      <c r="BN969" s="147"/>
      <c r="BO969" s="147"/>
      <c r="BP969" s="147"/>
      <c r="BQ969" s="147"/>
      <c r="BR969" s="147"/>
      <c r="BS969" s="147"/>
      <c r="BT969" s="147"/>
      <c r="BU969" s="147"/>
      <c r="BV969" s="147"/>
      <c r="BW969" s="147"/>
      <c r="BX969" s="147"/>
      <c r="BY969" s="147"/>
      <c r="BZ969" s="147"/>
      <c r="CA969" s="147"/>
      <c r="CB969" s="147"/>
      <c r="CC969" s="147"/>
      <c r="CD969" s="147"/>
      <c r="CE969" s="147"/>
      <c r="CF969" s="147"/>
      <c r="CG969" s="147"/>
      <c r="CH969" s="147"/>
      <c r="CI969" s="147"/>
      <c r="CJ969" s="147"/>
      <c r="CK969" s="147"/>
    </row>
    <row r="970" spans="1:89">
      <c r="A970" s="157"/>
      <c r="F970" s="3"/>
      <c r="G970" s="3"/>
      <c r="L970" s="157"/>
      <c r="M970" s="157"/>
      <c r="O970" s="147"/>
      <c r="P970" s="147"/>
      <c r="Q970" s="147"/>
      <c r="R970" s="147"/>
      <c r="S970" s="147"/>
      <c r="T970" s="147"/>
      <c r="U970" s="147"/>
      <c r="V970" s="147"/>
      <c r="W970" s="147"/>
      <c r="X970" s="147"/>
      <c r="Y970" s="147"/>
      <c r="Z970" s="147"/>
      <c r="AA970" s="147"/>
      <c r="AB970" s="147"/>
      <c r="AC970" s="147"/>
      <c r="AD970" s="147"/>
      <c r="AE970" s="147"/>
      <c r="AF970" s="147"/>
      <c r="AG970" s="147"/>
      <c r="AH970" s="147"/>
      <c r="AI970" s="147"/>
      <c r="AJ970" s="147"/>
      <c r="AK970" s="147"/>
      <c r="AL970" s="147"/>
      <c r="AM970" s="151"/>
      <c r="AN970" s="147"/>
      <c r="AO970" s="147"/>
      <c r="AP970" s="147"/>
      <c r="AQ970" s="147"/>
      <c r="AR970" s="147"/>
      <c r="AS970" s="147"/>
      <c r="AT970" s="147"/>
      <c r="AU970" s="147"/>
      <c r="AV970" s="147"/>
      <c r="AW970" s="147"/>
      <c r="AX970" s="147"/>
      <c r="AY970" s="147"/>
      <c r="AZ970" s="147"/>
      <c r="BA970" s="147"/>
      <c r="BB970" s="147"/>
      <c r="BC970" s="147"/>
      <c r="BD970" s="147"/>
      <c r="BE970" s="147"/>
      <c r="BF970" s="147"/>
      <c r="BG970" s="147"/>
      <c r="BH970" s="147"/>
      <c r="BI970" s="147"/>
      <c r="BJ970" s="147"/>
      <c r="BK970" s="147"/>
      <c r="BL970" s="147"/>
      <c r="BM970" s="147"/>
      <c r="BN970" s="147"/>
      <c r="BO970" s="147"/>
      <c r="BP970" s="147"/>
      <c r="BQ970" s="147"/>
      <c r="BR970" s="147"/>
      <c r="BS970" s="147"/>
      <c r="BT970" s="147"/>
      <c r="BU970" s="147"/>
      <c r="BV970" s="147"/>
      <c r="BW970" s="147"/>
      <c r="BX970" s="147"/>
      <c r="BY970" s="147"/>
      <c r="BZ970" s="147"/>
      <c r="CA970" s="147"/>
      <c r="CB970" s="147"/>
      <c r="CC970" s="147"/>
      <c r="CD970" s="147"/>
      <c r="CE970" s="147"/>
      <c r="CF970" s="147"/>
      <c r="CG970" s="147"/>
      <c r="CH970" s="147"/>
      <c r="CI970" s="147"/>
      <c r="CJ970" s="147"/>
      <c r="CK970" s="147"/>
    </row>
    <row r="971" spans="1:89">
      <c r="A971" s="157"/>
      <c r="F971" s="3"/>
      <c r="G971" s="3"/>
      <c r="L971" s="157"/>
      <c r="M971" s="157"/>
      <c r="O971" s="147"/>
      <c r="P971" s="147"/>
      <c r="Q971" s="147"/>
      <c r="R971" s="147"/>
      <c r="S971" s="147"/>
      <c r="T971" s="147"/>
      <c r="U971" s="147"/>
      <c r="V971" s="147"/>
      <c r="W971" s="147"/>
      <c r="X971" s="147"/>
      <c r="Y971" s="147"/>
      <c r="Z971" s="147"/>
      <c r="AA971" s="147"/>
      <c r="AB971" s="147"/>
      <c r="AC971" s="147"/>
      <c r="AD971" s="147"/>
      <c r="AE971" s="147"/>
      <c r="AF971" s="147"/>
      <c r="AG971" s="147"/>
      <c r="AH971" s="147"/>
      <c r="AI971" s="147"/>
      <c r="AJ971" s="147"/>
      <c r="AK971" s="147"/>
      <c r="AL971" s="147"/>
      <c r="AM971" s="151"/>
      <c r="AN971" s="147"/>
      <c r="AO971" s="147"/>
      <c r="AP971" s="147"/>
      <c r="AQ971" s="147"/>
      <c r="AR971" s="147"/>
      <c r="AS971" s="147"/>
      <c r="AT971" s="147"/>
      <c r="AU971" s="147"/>
      <c r="AV971" s="147"/>
      <c r="AW971" s="147"/>
      <c r="AX971" s="147"/>
      <c r="AY971" s="147"/>
      <c r="AZ971" s="147"/>
      <c r="BA971" s="147"/>
      <c r="BB971" s="147"/>
      <c r="BC971" s="147"/>
      <c r="BD971" s="147"/>
      <c r="BE971" s="147"/>
      <c r="BF971" s="147"/>
      <c r="BG971" s="147"/>
      <c r="BH971" s="147"/>
      <c r="BI971" s="147"/>
      <c r="BJ971" s="147"/>
      <c r="BK971" s="147"/>
      <c r="BL971" s="147"/>
      <c r="BM971" s="147"/>
      <c r="BN971" s="147"/>
      <c r="BO971" s="147"/>
      <c r="BP971" s="147"/>
      <c r="BQ971" s="147"/>
      <c r="BR971" s="147"/>
      <c r="BS971" s="147"/>
      <c r="BT971" s="147"/>
      <c r="BU971" s="147"/>
      <c r="BV971" s="147"/>
      <c r="BW971" s="147"/>
      <c r="BX971" s="147"/>
      <c r="BY971" s="147"/>
      <c r="BZ971" s="147"/>
      <c r="CA971" s="147"/>
      <c r="CB971" s="147"/>
      <c r="CC971" s="147"/>
      <c r="CD971" s="147"/>
      <c r="CE971" s="147"/>
      <c r="CF971" s="147"/>
      <c r="CG971" s="147"/>
      <c r="CH971" s="147"/>
      <c r="CI971" s="147"/>
      <c r="CJ971" s="147"/>
      <c r="CK971" s="147"/>
    </row>
    <row r="972" spans="1:89">
      <c r="A972" s="157"/>
      <c r="F972" s="3"/>
      <c r="G972" s="3"/>
      <c r="L972" s="157"/>
      <c r="M972" s="157"/>
      <c r="O972" s="147"/>
      <c r="P972" s="147"/>
      <c r="Q972" s="147"/>
      <c r="R972" s="147"/>
      <c r="S972" s="147"/>
      <c r="T972" s="147"/>
      <c r="U972" s="147"/>
      <c r="V972" s="147"/>
      <c r="W972" s="147"/>
      <c r="X972" s="147"/>
      <c r="Y972" s="147"/>
      <c r="Z972" s="147"/>
      <c r="AA972" s="147"/>
      <c r="AB972" s="147"/>
      <c r="AC972" s="147"/>
      <c r="AD972" s="147"/>
      <c r="AE972" s="147"/>
      <c r="AF972" s="147"/>
      <c r="AG972" s="147"/>
      <c r="AH972" s="147"/>
      <c r="AI972" s="147"/>
      <c r="AJ972" s="147"/>
      <c r="AK972" s="147"/>
      <c r="AL972" s="147"/>
      <c r="AM972" s="151"/>
      <c r="AN972" s="147"/>
      <c r="AO972" s="147"/>
      <c r="AP972" s="147"/>
      <c r="AQ972" s="147"/>
      <c r="AR972" s="147"/>
      <c r="AS972" s="147"/>
      <c r="AT972" s="147"/>
      <c r="AU972" s="147"/>
      <c r="AV972" s="147"/>
      <c r="AW972" s="147"/>
      <c r="AX972" s="147"/>
      <c r="AY972" s="147"/>
      <c r="AZ972" s="147"/>
      <c r="BA972" s="147"/>
      <c r="BB972" s="147"/>
      <c r="BC972" s="147"/>
      <c r="BD972" s="147"/>
      <c r="BE972" s="147"/>
      <c r="BF972" s="147"/>
      <c r="BG972" s="147"/>
      <c r="BH972" s="147"/>
      <c r="BI972" s="147"/>
      <c r="BJ972" s="147"/>
      <c r="BK972" s="147"/>
      <c r="BL972" s="147"/>
      <c r="BM972" s="147"/>
      <c r="BN972" s="147"/>
      <c r="BO972" s="147"/>
      <c r="BP972" s="147"/>
      <c r="BQ972" s="147"/>
      <c r="BR972" s="147"/>
      <c r="BS972" s="147"/>
      <c r="BT972" s="147"/>
      <c r="BU972" s="147"/>
      <c r="BV972" s="147"/>
      <c r="BW972" s="147"/>
      <c r="BX972" s="147"/>
      <c r="BY972" s="147"/>
      <c r="BZ972" s="147"/>
      <c r="CA972" s="147"/>
      <c r="CB972" s="147"/>
      <c r="CC972" s="147"/>
      <c r="CD972" s="147"/>
      <c r="CE972" s="147"/>
      <c r="CF972" s="147"/>
      <c r="CG972" s="147"/>
      <c r="CH972" s="147"/>
      <c r="CI972" s="147"/>
      <c r="CJ972" s="147"/>
      <c r="CK972" s="147"/>
    </row>
    <row r="973" spans="1:89">
      <c r="A973" s="157"/>
      <c r="F973" s="3"/>
      <c r="G973" s="3"/>
      <c r="L973" s="157"/>
      <c r="M973" s="157"/>
      <c r="O973" s="147"/>
      <c r="P973" s="147"/>
      <c r="Q973" s="147"/>
      <c r="R973" s="147"/>
      <c r="S973" s="147"/>
      <c r="T973" s="147"/>
      <c r="U973" s="147"/>
      <c r="V973" s="147"/>
      <c r="W973" s="147"/>
      <c r="X973" s="147"/>
      <c r="Y973" s="147"/>
      <c r="Z973" s="147"/>
      <c r="AA973" s="147"/>
      <c r="AB973" s="147"/>
      <c r="AC973" s="147"/>
      <c r="AD973" s="147"/>
      <c r="AE973" s="147"/>
      <c r="AF973" s="147"/>
      <c r="AG973" s="147"/>
      <c r="AH973" s="147"/>
      <c r="AI973" s="147"/>
      <c r="AJ973" s="147"/>
      <c r="AK973" s="147"/>
      <c r="AL973" s="147"/>
      <c r="AM973" s="151"/>
      <c r="AN973" s="147"/>
      <c r="AO973" s="147"/>
      <c r="AP973" s="147"/>
      <c r="AQ973" s="147"/>
      <c r="AR973" s="147"/>
      <c r="AS973" s="147"/>
      <c r="AT973" s="147"/>
      <c r="AU973" s="147"/>
      <c r="AV973" s="147"/>
      <c r="AW973" s="147"/>
      <c r="AX973" s="147"/>
      <c r="AY973" s="147"/>
      <c r="AZ973" s="147"/>
      <c r="BA973" s="147"/>
      <c r="BB973" s="147"/>
      <c r="BC973" s="147"/>
      <c r="BD973" s="147"/>
      <c r="BE973" s="147"/>
      <c r="BF973" s="147"/>
      <c r="BG973" s="147"/>
      <c r="BH973" s="147"/>
      <c r="BI973" s="147"/>
      <c r="BJ973" s="147"/>
      <c r="BK973" s="147"/>
      <c r="BL973" s="147"/>
      <c r="BM973" s="147"/>
      <c r="BN973" s="147"/>
      <c r="BO973" s="147"/>
      <c r="BP973" s="147"/>
      <c r="BQ973" s="147"/>
      <c r="BR973" s="147"/>
      <c r="BS973" s="147"/>
      <c r="BT973" s="147"/>
      <c r="BU973" s="147"/>
      <c r="BV973" s="147"/>
      <c r="BW973" s="147"/>
      <c r="BX973" s="147"/>
      <c r="BY973" s="147"/>
      <c r="BZ973" s="147"/>
      <c r="CA973" s="147"/>
      <c r="CB973" s="147"/>
      <c r="CC973" s="147"/>
      <c r="CD973" s="147"/>
      <c r="CE973" s="147"/>
      <c r="CF973" s="147"/>
      <c r="CG973" s="147"/>
      <c r="CH973" s="147"/>
      <c r="CI973" s="147"/>
      <c r="CJ973" s="147"/>
      <c r="CK973" s="147"/>
    </row>
    <row r="974" spans="1:89">
      <c r="A974" s="157"/>
      <c r="F974" s="3"/>
      <c r="G974" s="3"/>
      <c r="L974" s="157"/>
      <c r="M974" s="157"/>
      <c r="O974" s="147"/>
      <c r="P974" s="147"/>
      <c r="Q974" s="147"/>
      <c r="R974" s="147"/>
      <c r="S974" s="147"/>
      <c r="T974" s="147"/>
      <c r="U974" s="147"/>
      <c r="V974" s="147"/>
      <c r="W974" s="147"/>
      <c r="X974" s="147"/>
      <c r="Y974" s="147"/>
      <c r="Z974" s="147"/>
      <c r="AA974" s="147"/>
      <c r="AB974" s="147"/>
      <c r="AC974" s="147"/>
      <c r="AD974" s="147"/>
      <c r="AE974" s="147"/>
      <c r="AF974" s="147"/>
      <c r="AG974" s="147"/>
      <c r="AH974" s="147"/>
      <c r="AI974" s="147"/>
      <c r="AJ974" s="147"/>
      <c r="AK974" s="147"/>
      <c r="AL974" s="147"/>
      <c r="AM974" s="151"/>
      <c r="AN974" s="147"/>
      <c r="AO974" s="147"/>
      <c r="AP974" s="147"/>
      <c r="AQ974" s="147"/>
      <c r="AR974" s="147"/>
      <c r="AS974" s="147"/>
      <c r="AT974" s="147"/>
      <c r="AU974" s="147"/>
      <c r="AV974" s="147"/>
      <c r="AW974" s="147"/>
      <c r="AX974" s="147"/>
      <c r="AY974" s="147"/>
      <c r="AZ974" s="147"/>
      <c r="BA974" s="147"/>
      <c r="BB974" s="147"/>
      <c r="BC974" s="147"/>
      <c r="BD974" s="147"/>
      <c r="BE974" s="147"/>
      <c r="BF974" s="147"/>
      <c r="BG974" s="147"/>
      <c r="BH974" s="147"/>
      <c r="BI974" s="147"/>
      <c r="BJ974" s="147"/>
      <c r="BK974" s="147"/>
      <c r="BL974" s="147"/>
      <c r="BM974" s="147"/>
      <c r="BN974" s="147"/>
      <c r="BO974" s="147"/>
      <c r="BP974" s="147"/>
      <c r="BQ974" s="147"/>
      <c r="BR974" s="147"/>
      <c r="BS974" s="147"/>
      <c r="BT974" s="147"/>
      <c r="BU974" s="147"/>
      <c r="BV974" s="147"/>
      <c r="BW974" s="147"/>
      <c r="BX974" s="147"/>
      <c r="BY974" s="147"/>
      <c r="BZ974" s="147"/>
      <c r="CA974" s="147"/>
      <c r="CB974" s="147"/>
      <c r="CC974" s="147"/>
      <c r="CD974" s="147"/>
      <c r="CE974" s="147"/>
      <c r="CF974" s="147"/>
      <c r="CG974" s="147"/>
      <c r="CH974" s="147"/>
      <c r="CI974" s="147"/>
      <c r="CJ974" s="147"/>
      <c r="CK974" s="147"/>
    </row>
    <row r="975" spans="1:89">
      <c r="A975" s="157"/>
      <c r="F975" s="3"/>
      <c r="G975" s="3"/>
      <c r="L975" s="157"/>
      <c r="M975" s="157"/>
      <c r="O975" s="147"/>
      <c r="P975" s="147"/>
      <c r="Q975" s="147"/>
      <c r="R975" s="147"/>
      <c r="S975" s="147"/>
      <c r="T975" s="147"/>
      <c r="U975" s="147"/>
      <c r="V975" s="147"/>
      <c r="W975" s="147"/>
      <c r="X975" s="147"/>
      <c r="Y975" s="147"/>
      <c r="Z975" s="147"/>
      <c r="AA975" s="147"/>
      <c r="AB975" s="147"/>
      <c r="AC975" s="147"/>
      <c r="AD975" s="147"/>
      <c r="AE975" s="147"/>
      <c r="AF975" s="147"/>
      <c r="AG975" s="147"/>
      <c r="AH975" s="147"/>
      <c r="AI975" s="147"/>
      <c r="AJ975" s="147"/>
      <c r="AK975" s="147"/>
      <c r="AL975" s="147"/>
      <c r="AM975" s="151"/>
      <c r="AN975" s="147"/>
      <c r="AO975" s="147"/>
      <c r="AP975" s="147"/>
      <c r="AQ975" s="147"/>
      <c r="AR975" s="147"/>
      <c r="AS975" s="147"/>
      <c r="AT975" s="147"/>
      <c r="AU975" s="147"/>
      <c r="AV975" s="147"/>
      <c r="AW975" s="147"/>
      <c r="AX975" s="147"/>
      <c r="AY975" s="147"/>
      <c r="AZ975" s="147"/>
      <c r="BA975" s="147"/>
      <c r="BB975" s="147"/>
      <c r="BC975" s="147"/>
      <c r="BD975" s="147"/>
      <c r="BE975" s="147"/>
      <c r="BF975" s="147"/>
      <c r="BG975" s="147"/>
      <c r="BH975" s="147"/>
      <c r="BI975" s="147"/>
      <c r="BJ975" s="147"/>
      <c r="BK975" s="147"/>
      <c r="BL975" s="147"/>
      <c r="BM975" s="147"/>
      <c r="BN975" s="147"/>
      <c r="BO975" s="147"/>
      <c r="BP975" s="147"/>
      <c r="BQ975" s="147"/>
      <c r="BR975" s="147"/>
      <c r="BS975" s="147"/>
      <c r="BT975" s="147"/>
      <c r="BU975" s="147"/>
      <c r="BV975" s="147"/>
      <c r="BW975" s="147"/>
      <c r="BX975" s="147"/>
      <c r="BY975" s="147"/>
      <c r="BZ975" s="147"/>
      <c r="CA975" s="147"/>
      <c r="CB975" s="147"/>
      <c r="CC975" s="147"/>
      <c r="CD975" s="147"/>
      <c r="CE975" s="147"/>
      <c r="CF975" s="147"/>
      <c r="CG975" s="147"/>
      <c r="CH975" s="147"/>
      <c r="CI975" s="147"/>
      <c r="CJ975" s="147"/>
      <c r="CK975" s="147"/>
    </row>
    <row r="976" spans="1:89">
      <c r="A976" s="157"/>
      <c r="F976" s="3"/>
      <c r="G976" s="3"/>
      <c r="L976" s="157"/>
      <c r="M976" s="157"/>
      <c r="O976" s="147"/>
      <c r="P976" s="147"/>
      <c r="Q976" s="147"/>
      <c r="R976" s="147"/>
      <c r="S976" s="147"/>
      <c r="T976" s="147"/>
      <c r="U976" s="147"/>
      <c r="V976" s="147"/>
      <c r="W976" s="147"/>
      <c r="X976" s="147"/>
      <c r="Y976" s="147"/>
      <c r="Z976" s="147"/>
      <c r="AA976" s="147"/>
      <c r="AB976" s="147"/>
      <c r="AC976" s="147"/>
      <c r="AD976" s="147"/>
      <c r="AE976" s="147"/>
      <c r="AF976" s="147"/>
      <c r="AG976" s="147"/>
      <c r="AH976" s="147"/>
      <c r="AI976" s="147"/>
      <c r="AJ976" s="147"/>
      <c r="AK976" s="147"/>
      <c r="AL976" s="147"/>
      <c r="AM976" s="151"/>
      <c r="AN976" s="147"/>
      <c r="AO976" s="147"/>
      <c r="AP976" s="147"/>
      <c r="AQ976" s="147"/>
      <c r="AR976" s="147"/>
      <c r="AS976" s="147"/>
      <c r="AT976" s="147"/>
      <c r="AU976" s="147"/>
      <c r="AV976" s="147"/>
      <c r="AW976" s="147"/>
      <c r="AX976" s="147"/>
      <c r="AY976" s="147"/>
      <c r="AZ976" s="147"/>
      <c r="BA976" s="147"/>
      <c r="BB976" s="147"/>
      <c r="BC976" s="147"/>
      <c r="BD976" s="147"/>
      <c r="BE976" s="147"/>
      <c r="BF976" s="147"/>
      <c r="BG976" s="147"/>
      <c r="BH976" s="147"/>
      <c r="BI976" s="147"/>
      <c r="BJ976" s="147"/>
      <c r="BK976" s="147"/>
      <c r="BL976" s="147"/>
      <c r="BM976" s="147"/>
      <c r="BN976" s="147"/>
      <c r="BO976" s="147"/>
      <c r="BP976" s="147"/>
      <c r="BQ976" s="147"/>
      <c r="BR976" s="147"/>
      <c r="BS976" s="147"/>
      <c r="BT976" s="147"/>
      <c r="BU976" s="147"/>
      <c r="BV976" s="147"/>
      <c r="BW976" s="147"/>
      <c r="BX976" s="147"/>
      <c r="BY976" s="147"/>
      <c r="BZ976" s="147"/>
      <c r="CA976" s="147"/>
      <c r="CB976" s="147"/>
      <c r="CC976" s="147"/>
      <c r="CD976" s="147"/>
      <c r="CE976" s="147"/>
      <c r="CF976" s="147"/>
      <c r="CG976" s="147"/>
      <c r="CH976" s="147"/>
      <c r="CI976" s="147"/>
      <c r="CJ976" s="147"/>
      <c r="CK976" s="147"/>
    </row>
    <row r="977" spans="1:89">
      <c r="A977" s="157"/>
      <c r="F977" s="3"/>
      <c r="G977" s="3"/>
      <c r="L977" s="157"/>
      <c r="M977" s="157"/>
      <c r="O977" s="147"/>
      <c r="P977" s="147"/>
      <c r="Q977" s="147"/>
      <c r="R977" s="147"/>
      <c r="S977" s="147"/>
      <c r="T977" s="147"/>
      <c r="U977" s="147"/>
      <c r="V977" s="147"/>
      <c r="W977" s="147"/>
      <c r="X977" s="147"/>
      <c r="Y977" s="147"/>
      <c r="Z977" s="147"/>
      <c r="AA977" s="147"/>
      <c r="AB977" s="147"/>
      <c r="AC977" s="147"/>
      <c r="AD977" s="147"/>
      <c r="AE977" s="147"/>
      <c r="AF977" s="147"/>
      <c r="AG977" s="147"/>
      <c r="AH977" s="147"/>
      <c r="AI977" s="147"/>
      <c r="AJ977" s="147"/>
      <c r="AK977" s="147"/>
      <c r="AL977" s="147"/>
      <c r="AM977" s="151"/>
      <c r="AN977" s="147"/>
      <c r="AO977" s="147"/>
      <c r="AP977" s="147"/>
      <c r="AQ977" s="147"/>
      <c r="AR977" s="147"/>
      <c r="AS977" s="147"/>
      <c r="AT977" s="147"/>
      <c r="AU977" s="147"/>
      <c r="AV977" s="147"/>
      <c r="AW977" s="147"/>
      <c r="AX977" s="147"/>
      <c r="AY977" s="147"/>
      <c r="AZ977" s="147"/>
      <c r="BA977" s="147"/>
      <c r="BB977" s="147"/>
      <c r="BC977" s="147"/>
      <c r="BD977" s="147"/>
      <c r="BE977" s="147"/>
      <c r="BF977" s="147"/>
      <c r="BG977" s="147"/>
      <c r="BH977" s="147"/>
      <c r="BI977" s="147"/>
      <c r="BJ977" s="147"/>
      <c r="BK977" s="147"/>
      <c r="BL977" s="147"/>
      <c r="BM977" s="147"/>
      <c r="BN977" s="147"/>
      <c r="BO977" s="147"/>
      <c r="BP977" s="147"/>
      <c r="BQ977" s="147"/>
      <c r="BR977" s="147"/>
      <c r="BS977" s="147"/>
      <c r="BT977" s="147"/>
      <c r="BU977" s="147"/>
      <c r="BV977" s="147"/>
      <c r="BW977" s="147"/>
      <c r="BX977" s="147"/>
      <c r="BY977" s="147"/>
      <c r="BZ977" s="147"/>
      <c r="CA977" s="147"/>
      <c r="CB977" s="147"/>
      <c r="CC977" s="147"/>
      <c r="CD977" s="147"/>
      <c r="CE977" s="147"/>
      <c r="CF977" s="147"/>
      <c r="CG977" s="147"/>
      <c r="CH977" s="147"/>
      <c r="CI977" s="147"/>
      <c r="CJ977" s="147"/>
      <c r="CK977" s="147"/>
    </row>
    <row r="978" spans="1:89">
      <c r="A978" s="157"/>
      <c r="F978" s="3"/>
      <c r="G978" s="3"/>
      <c r="L978" s="157"/>
      <c r="M978" s="157"/>
      <c r="O978" s="147"/>
      <c r="P978" s="147"/>
      <c r="Q978" s="147"/>
      <c r="R978" s="147"/>
      <c r="S978" s="147"/>
      <c r="T978" s="147"/>
      <c r="U978" s="147"/>
      <c r="V978" s="147"/>
      <c r="W978" s="147"/>
      <c r="X978" s="147"/>
      <c r="Y978" s="147"/>
      <c r="Z978" s="147"/>
      <c r="AA978" s="147"/>
      <c r="AB978" s="147"/>
      <c r="AC978" s="147"/>
      <c r="AD978" s="147"/>
      <c r="AE978" s="147"/>
      <c r="AF978" s="147"/>
      <c r="AG978" s="147"/>
      <c r="AH978" s="147"/>
      <c r="AI978" s="147"/>
      <c r="AJ978" s="147"/>
      <c r="AK978" s="147"/>
      <c r="AL978" s="147"/>
      <c r="AM978" s="151"/>
      <c r="AN978" s="147"/>
      <c r="AO978" s="147"/>
      <c r="AP978" s="147"/>
      <c r="AQ978" s="147"/>
      <c r="AR978" s="147"/>
      <c r="AS978" s="147"/>
      <c r="AT978" s="147"/>
      <c r="AU978" s="147"/>
      <c r="AV978" s="147"/>
      <c r="AW978" s="147"/>
      <c r="AX978" s="147"/>
      <c r="AY978" s="147"/>
      <c r="AZ978" s="147"/>
      <c r="BA978" s="147"/>
      <c r="BB978" s="147"/>
      <c r="BC978" s="147"/>
      <c r="BD978" s="147"/>
      <c r="BE978" s="147"/>
      <c r="BF978" s="147"/>
      <c r="BG978" s="147"/>
      <c r="BH978" s="147"/>
      <c r="BI978" s="147"/>
      <c r="BJ978" s="147"/>
      <c r="BK978" s="147"/>
      <c r="BL978" s="147"/>
      <c r="BM978" s="147"/>
      <c r="BN978" s="147"/>
      <c r="BO978" s="147"/>
      <c r="BP978" s="147"/>
      <c r="BQ978" s="147"/>
      <c r="BR978" s="147"/>
      <c r="BS978" s="147"/>
      <c r="BT978" s="147"/>
      <c r="BU978" s="147"/>
      <c r="BV978" s="147"/>
      <c r="BW978" s="147"/>
      <c r="BX978" s="147"/>
      <c r="BY978" s="147"/>
      <c r="BZ978" s="147"/>
      <c r="CA978" s="147"/>
      <c r="CB978" s="147"/>
      <c r="CC978" s="147"/>
      <c r="CD978" s="147"/>
      <c r="CE978" s="147"/>
      <c r="CF978" s="147"/>
      <c r="CG978" s="147"/>
      <c r="CH978" s="147"/>
      <c r="CI978" s="147"/>
      <c r="CJ978" s="147"/>
      <c r="CK978" s="147"/>
    </row>
    <row r="979" spans="1:89">
      <c r="A979" s="157"/>
      <c r="F979" s="3"/>
      <c r="G979" s="3"/>
      <c r="L979" s="157"/>
      <c r="M979" s="157"/>
      <c r="O979" s="147"/>
      <c r="P979" s="147"/>
      <c r="Q979" s="147"/>
      <c r="R979" s="147"/>
      <c r="S979" s="147"/>
      <c r="T979" s="147"/>
      <c r="U979" s="147"/>
      <c r="V979" s="147"/>
      <c r="W979" s="147"/>
      <c r="X979" s="147"/>
      <c r="Y979" s="147"/>
      <c r="Z979" s="147"/>
      <c r="AA979" s="147"/>
      <c r="AB979" s="147"/>
      <c r="AC979" s="147"/>
      <c r="AD979" s="147"/>
      <c r="AE979" s="147"/>
      <c r="AF979" s="147"/>
      <c r="AG979" s="147"/>
      <c r="AH979" s="147"/>
      <c r="AI979" s="147"/>
      <c r="AJ979" s="147"/>
      <c r="AK979" s="147"/>
      <c r="AL979" s="147"/>
      <c r="AM979" s="151"/>
      <c r="AN979" s="147"/>
      <c r="AO979" s="147"/>
      <c r="AP979" s="147"/>
      <c r="AQ979" s="147"/>
      <c r="AR979" s="147"/>
      <c r="AS979" s="147"/>
      <c r="AT979" s="147"/>
      <c r="AU979" s="147"/>
      <c r="AV979" s="147"/>
      <c r="AW979" s="147"/>
      <c r="AX979" s="147"/>
      <c r="AY979" s="147"/>
      <c r="AZ979" s="147"/>
      <c r="BA979" s="147"/>
      <c r="BB979" s="147"/>
      <c r="BC979" s="147"/>
      <c r="BD979" s="147"/>
      <c r="BE979" s="147"/>
      <c r="BF979" s="147"/>
      <c r="BG979" s="147"/>
      <c r="BH979" s="147"/>
      <c r="BI979" s="147"/>
      <c r="BJ979" s="147"/>
      <c r="BK979" s="147"/>
      <c r="BL979" s="147"/>
      <c r="BM979" s="147"/>
      <c r="BN979" s="147"/>
      <c r="BO979" s="147"/>
      <c r="BP979" s="147"/>
      <c r="BQ979" s="147"/>
      <c r="BR979" s="147"/>
      <c r="BS979" s="147"/>
      <c r="BT979" s="147"/>
      <c r="BU979" s="147"/>
      <c r="BV979" s="147"/>
      <c r="BW979" s="147"/>
      <c r="BX979" s="147"/>
      <c r="BY979" s="147"/>
      <c r="BZ979" s="147"/>
      <c r="CA979" s="147"/>
      <c r="CB979" s="147"/>
      <c r="CC979" s="147"/>
      <c r="CD979" s="147"/>
      <c r="CE979" s="147"/>
      <c r="CF979" s="147"/>
      <c r="CG979" s="147"/>
      <c r="CH979" s="147"/>
      <c r="CI979" s="147"/>
      <c r="CJ979" s="147"/>
      <c r="CK979" s="147"/>
    </row>
    <row r="980" spans="1:89">
      <c r="A980" s="157"/>
      <c r="F980" s="3"/>
      <c r="G980" s="3"/>
      <c r="L980" s="157"/>
      <c r="M980" s="157"/>
      <c r="O980" s="147"/>
      <c r="P980" s="147"/>
      <c r="Q980" s="147"/>
      <c r="R980" s="147"/>
      <c r="S980" s="147"/>
      <c r="T980" s="147"/>
      <c r="U980" s="147"/>
      <c r="V980" s="147"/>
      <c r="W980" s="147"/>
      <c r="X980" s="147"/>
      <c r="Y980" s="147"/>
      <c r="Z980" s="147"/>
      <c r="AA980" s="147"/>
      <c r="AB980" s="147"/>
      <c r="AC980" s="147"/>
      <c r="AD980" s="147"/>
      <c r="AE980" s="147"/>
      <c r="AF980" s="147"/>
      <c r="AG980" s="147"/>
      <c r="AH980" s="147"/>
      <c r="AI980" s="147"/>
      <c r="AJ980" s="147"/>
      <c r="AK980" s="147"/>
      <c r="AL980" s="147"/>
      <c r="AM980" s="151"/>
      <c r="AN980" s="147"/>
      <c r="AO980" s="147"/>
      <c r="AP980" s="147"/>
      <c r="AQ980" s="147"/>
      <c r="AR980" s="147"/>
      <c r="AS980" s="147"/>
      <c r="AT980" s="147"/>
      <c r="AU980" s="147"/>
      <c r="AV980" s="147"/>
      <c r="AW980" s="147"/>
      <c r="AX980" s="147"/>
      <c r="AY980" s="147"/>
      <c r="AZ980" s="147"/>
      <c r="BA980" s="147"/>
      <c r="BB980" s="147"/>
      <c r="BC980" s="147"/>
      <c r="BD980" s="147"/>
      <c r="BE980" s="147"/>
      <c r="BF980" s="147"/>
      <c r="BG980" s="147"/>
      <c r="BH980" s="147"/>
      <c r="BI980" s="147"/>
      <c r="BJ980" s="147"/>
      <c r="BK980" s="147"/>
      <c r="BL980" s="147"/>
      <c r="BM980" s="147"/>
      <c r="BN980" s="147"/>
      <c r="BO980" s="147"/>
      <c r="BP980" s="147"/>
      <c r="BQ980" s="147"/>
      <c r="BR980" s="147"/>
      <c r="BS980" s="147"/>
      <c r="BT980" s="147"/>
      <c r="BU980" s="147"/>
      <c r="BV980" s="147"/>
      <c r="BW980" s="147"/>
      <c r="BX980" s="147"/>
      <c r="BY980" s="147"/>
      <c r="BZ980" s="147"/>
      <c r="CA980" s="147"/>
      <c r="CB980" s="147"/>
      <c r="CC980" s="147"/>
      <c r="CD980" s="147"/>
      <c r="CE980" s="147"/>
      <c r="CF980" s="147"/>
      <c r="CG980" s="147"/>
      <c r="CH980" s="147"/>
      <c r="CI980" s="147"/>
      <c r="CJ980" s="147"/>
      <c r="CK980" s="147"/>
    </row>
    <row r="981" spans="1:89">
      <c r="A981" s="157"/>
      <c r="F981" s="3"/>
      <c r="G981" s="3"/>
      <c r="L981" s="157"/>
      <c r="M981" s="157"/>
      <c r="O981" s="147"/>
      <c r="P981" s="147"/>
      <c r="Q981" s="147"/>
      <c r="R981" s="147"/>
      <c r="S981" s="147"/>
      <c r="T981" s="147"/>
      <c r="U981" s="147"/>
      <c r="V981" s="147"/>
      <c r="W981" s="147"/>
      <c r="X981" s="147"/>
      <c r="Y981" s="147"/>
      <c r="Z981" s="147"/>
      <c r="AA981" s="147"/>
      <c r="AB981" s="147"/>
      <c r="AC981" s="147"/>
      <c r="AD981" s="147"/>
      <c r="AE981" s="147"/>
      <c r="AF981" s="147"/>
      <c r="AG981" s="147"/>
      <c r="AH981" s="147"/>
      <c r="AI981" s="147"/>
      <c r="AJ981" s="147"/>
      <c r="AK981" s="147"/>
      <c r="AL981" s="147"/>
      <c r="AM981" s="151"/>
      <c r="AN981" s="147"/>
      <c r="AO981" s="147"/>
      <c r="AP981" s="147"/>
      <c r="AQ981" s="147"/>
      <c r="AR981" s="147"/>
      <c r="AS981" s="147"/>
      <c r="AT981" s="147"/>
      <c r="AU981" s="147"/>
      <c r="AV981" s="147"/>
      <c r="AW981" s="147"/>
      <c r="AX981" s="147"/>
      <c r="AY981" s="147"/>
      <c r="AZ981" s="147"/>
      <c r="BA981" s="147"/>
      <c r="BB981" s="147"/>
      <c r="BC981" s="147"/>
      <c r="BD981" s="147"/>
      <c r="BE981" s="147"/>
      <c r="BF981" s="147"/>
      <c r="BG981" s="147"/>
      <c r="BH981" s="147"/>
      <c r="BI981" s="147"/>
      <c r="BJ981" s="147"/>
      <c r="BK981" s="147"/>
      <c r="BL981" s="147"/>
      <c r="BM981" s="147"/>
      <c r="BN981" s="147"/>
      <c r="BO981" s="147"/>
      <c r="BP981" s="147"/>
      <c r="BQ981" s="147"/>
      <c r="BR981" s="147"/>
      <c r="BS981" s="147"/>
      <c r="BT981" s="147"/>
      <c r="BU981" s="147"/>
      <c r="BV981" s="147"/>
      <c r="BW981" s="147"/>
      <c r="BX981" s="147"/>
      <c r="BY981" s="147"/>
      <c r="BZ981" s="147"/>
      <c r="CA981" s="147"/>
      <c r="CB981" s="147"/>
      <c r="CC981" s="147"/>
      <c r="CD981" s="147"/>
      <c r="CE981" s="147"/>
      <c r="CF981" s="147"/>
      <c r="CG981" s="147"/>
      <c r="CH981" s="147"/>
      <c r="CI981" s="147"/>
      <c r="CJ981" s="147"/>
      <c r="CK981" s="147"/>
    </row>
    <row r="982" spans="1:89">
      <c r="A982" s="157"/>
      <c r="F982" s="3"/>
      <c r="G982" s="3"/>
      <c r="L982" s="157"/>
      <c r="M982" s="157"/>
      <c r="O982" s="147"/>
      <c r="P982" s="147"/>
      <c r="Q982" s="147"/>
      <c r="R982" s="147"/>
      <c r="S982" s="147"/>
      <c r="T982" s="147"/>
      <c r="U982" s="147"/>
      <c r="V982" s="147"/>
      <c r="W982" s="147"/>
      <c r="X982" s="147"/>
      <c r="Y982" s="147"/>
      <c r="Z982" s="147"/>
      <c r="AA982" s="147"/>
      <c r="AB982" s="147"/>
      <c r="AC982" s="147"/>
      <c r="AD982" s="147"/>
      <c r="AE982" s="147"/>
      <c r="AF982" s="147"/>
      <c r="AG982" s="147"/>
      <c r="AH982" s="147"/>
      <c r="AI982" s="147"/>
      <c r="AJ982" s="147"/>
      <c r="AK982" s="147"/>
      <c r="AL982" s="147"/>
      <c r="AM982" s="151"/>
      <c r="AN982" s="147"/>
      <c r="AO982" s="147"/>
      <c r="AP982" s="147"/>
      <c r="AQ982" s="147"/>
      <c r="AR982" s="147"/>
      <c r="AS982" s="147"/>
      <c r="AT982" s="147"/>
      <c r="AU982" s="147"/>
      <c r="AV982" s="147"/>
      <c r="AW982" s="147"/>
      <c r="AX982" s="147"/>
      <c r="AY982" s="147"/>
      <c r="AZ982" s="147"/>
      <c r="BA982" s="147"/>
      <c r="BB982" s="147"/>
      <c r="BC982" s="147"/>
      <c r="BD982" s="147"/>
      <c r="BE982" s="147"/>
      <c r="BF982" s="147"/>
      <c r="BG982" s="147"/>
      <c r="BH982" s="147"/>
      <c r="BI982" s="147"/>
      <c r="BJ982" s="147"/>
      <c r="BK982" s="147"/>
      <c r="BL982" s="147"/>
      <c r="BM982" s="147"/>
      <c r="BN982" s="147"/>
      <c r="BO982" s="147"/>
      <c r="BP982" s="147"/>
      <c r="BQ982" s="147"/>
      <c r="BR982" s="147"/>
      <c r="BS982" s="147"/>
      <c r="BT982" s="147"/>
      <c r="BU982" s="147"/>
      <c r="BV982" s="147"/>
      <c r="BW982" s="147"/>
      <c r="BX982" s="147"/>
      <c r="BY982" s="147"/>
      <c r="BZ982" s="147"/>
      <c r="CA982" s="147"/>
      <c r="CB982" s="147"/>
      <c r="CC982" s="147"/>
      <c r="CD982" s="147"/>
      <c r="CE982" s="147"/>
      <c r="CF982" s="147"/>
      <c r="CG982" s="147"/>
      <c r="CH982" s="147"/>
      <c r="CI982" s="147"/>
      <c r="CJ982" s="147"/>
      <c r="CK982" s="147"/>
    </row>
    <row r="983" spans="1:89">
      <c r="A983" s="157"/>
      <c r="F983" s="3"/>
      <c r="G983" s="3"/>
      <c r="L983" s="157"/>
      <c r="M983" s="157"/>
      <c r="O983" s="147"/>
      <c r="P983" s="147"/>
      <c r="Q983" s="147"/>
      <c r="R983" s="147"/>
      <c r="S983" s="147"/>
      <c r="T983" s="147"/>
      <c r="U983" s="147"/>
      <c r="V983" s="147"/>
      <c r="W983" s="147"/>
      <c r="X983" s="147"/>
      <c r="Y983" s="147"/>
      <c r="Z983" s="147"/>
      <c r="AA983" s="147"/>
      <c r="AB983" s="147"/>
      <c r="AC983" s="147"/>
      <c r="AD983" s="147"/>
      <c r="AE983" s="147"/>
      <c r="AF983" s="147"/>
      <c r="AG983" s="147"/>
      <c r="AH983" s="147"/>
      <c r="AI983" s="147"/>
      <c r="AJ983" s="147"/>
      <c r="AK983" s="147"/>
      <c r="AL983" s="147"/>
      <c r="AM983" s="151"/>
      <c r="AN983" s="147"/>
      <c r="AO983" s="147"/>
      <c r="AP983" s="147"/>
      <c r="AQ983" s="147"/>
      <c r="AR983" s="147"/>
      <c r="AS983" s="147"/>
      <c r="AT983" s="147"/>
      <c r="AU983" s="147"/>
      <c r="AV983" s="147"/>
      <c r="AW983" s="147"/>
      <c r="AX983" s="147"/>
      <c r="AY983" s="147"/>
      <c r="AZ983" s="147"/>
      <c r="BA983" s="147"/>
      <c r="BB983" s="147"/>
      <c r="BC983" s="147"/>
      <c r="BD983" s="147"/>
      <c r="BE983" s="147"/>
      <c r="BF983" s="147"/>
      <c r="BG983" s="147"/>
      <c r="BH983" s="147"/>
      <c r="BI983" s="147"/>
      <c r="BJ983" s="147"/>
      <c r="BK983" s="147"/>
      <c r="BL983" s="147"/>
      <c r="BM983" s="147"/>
      <c r="BN983" s="147"/>
      <c r="BO983" s="147"/>
      <c r="BP983" s="147"/>
      <c r="BQ983" s="147"/>
      <c r="BR983" s="147"/>
      <c r="BS983" s="147"/>
      <c r="BT983" s="147"/>
      <c r="BU983" s="147"/>
      <c r="BV983" s="147"/>
      <c r="BW983" s="147"/>
      <c r="BX983" s="147"/>
      <c r="BY983" s="147"/>
      <c r="BZ983" s="147"/>
      <c r="CA983" s="147"/>
      <c r="CB983" s="147"/>
      <c r="CC983" s="147"/>
      <c r="CD983" s="147"/>
      <c r="CE983" s="147"/>
      <c r="CF983" s="147"/>
      <c r="CG983" s="147"/>
      <c r="CH983" s="147"/>
      <c r="CI983" s="147"/>
      <c r="CJ983" s="147"/>
      <c r="CK983" s="147"/>
    </row>
    <row r="984" spans="1:89">
      <c r="A984" s="157"/>
      <c r="F984" s="3"/>
      <c r="G984" s="3"/>
      <c r="L984" s="157"/>
      <c r="M984" s="157"/>
      <c r="O984" s="147"/>
      <c r="P984" s="147"/>
      <c r="Q984" s="147"/>
      <c r="R984" s="147"/>
      <c r="S984" s="147"/>
      <c r="T984" s="147"/>
      <c r="U984" s="147"/>
      <c r="V984" s="147"/>
      <c r="W984" s="147"/>
      <c r="X984" s="147"/>
      <c r="Y984" s="147"/>
      <c r="Z984" s="147"/>
      <c r="AA984" s="147"/>
      <c r="AB984" s="147"/>
      <c r="AC984" s="147"/>
      <c r="AD984" s="147"/>
      <c r="AE984" s="147"/>
      <c r="AF984" s="147"/>
      <c r="AG984" s="147"/>
      <c r="AH984" s="147"/>
      <c r="AI984" s="147"/>
      <c r="AJ984" s="147"/>
      <c r="AK984" s="147"/>
      <c r="AL984" s="147"/>
      <c r="AM984" s="151"/>
      <c r="AN984" s="147"/>
      <c r="AO984" s="147"/>
      <c r="AP984" s="147"/>
      <c r="AQ984" s="147"/>
      <c r="AR984" s="147"/>
      <c r="AS984" s="147"/>
      <c r="AT984" s="147"/>
      <c r="AU984" s="147"/>
      <c r="AV984" s="147"/>
      <c r="AW984" s="147"/>
      <c r="AX984" s="147"/>
      <c r="AY984" s="147"/>
      <c r="AZ984" s="147"/>
      <c r="BA984" s="147"/>
      <c r="BB984" s="147"/>
      <c r="BC984" s="147"/>
      <c r="BD984" s="147"/>
      <c r="BE984" s="147"/>
      <c r="BF984" s="147"/>
      <c r="BG984" s="147"/>
      <c r="BH984" s="147"/>
      <c r="BI984" s="147"/>
      <c r="BJ984" s="147"/>
      <c r="BK984" s="147"/>
      <c r="BL984" s="147"/>
      <c r="BM984" s="147"/>
      <c r="BN984" s="147"/>
      <c r="BO984" s="147"/>
      <c r="BP984" s="147"/>
      <c r="BQ984" s="147"/>
      <c r="BR984" s="147"/>
      <c r="BS984" s="147"/>
      <c r="BT984" s="147"/>
      <c r="BU984" s="147"/>
      <c r="BV984" s="147"/>
      <c r="BW984" s="147"/>
      <c r="BX984" s="147"/>
      <c r="BY984" s="147"/>
      <c r="BZ984" s="147"/>
      <c r="CA984" s="147"/>
      <c r="CB984" s="147"/>
      <c r="CC984" s="147"/>
      <c r="CD984" s="147"/>
      <c r="CE984" s="147"/>
      <c r="CF984" s="147"/>
      <c r="CG984" s="147"/>
      <c r="CH984" s="147"/>
      <c r="CI984" s="147"/>
      <c r="CJ984" s="147"/>
      <c r="CK984" s="147"/>
    </row>
    <row r="985" spans="1:89">
      <c r="A985" s="157"/>
      <c r="F985" s="3"/>
      <c r="G985" s="3"/>
      <c r="L985" s="157"/>
      <c r="M985" s="157"/>
      <c r="O985" s="147"/>
      <c r="P985" s="147"/>
      <c r="Q985" s="147"/>
      <c r="R985" s="147"/>
      <c r="S985" s="147"/>
      <c r="T985" s="147"/>
      <c r="U985" s="147"/>
      <c r="V985" s="147"/>
      <c r="W985" s="147"/>
      <c r="X985" s="147"/>
      <c r="Y985" s="147"/>
      <c r="Z985" s="147"/>
      <c r="AA985" s="147"/>
      <c r="AB985" s="147"/>
      <c r="AC985" s="147"/>
      <c r="AD985" s="147"/>
      <c r="AE985" s="147"/>
      <c r="AF985" s="147"/>
      <c r="AG985" s="147"/>
      <c r="AH985" s="147"/>
      <c r="AI985" s="147"/>
      <c r="AJ985" s="147"/>
      <c r="AK985" s="147"/>
      <c r="AL985" s="147"/>
      <c r="AM985" s="151"/>
      <c r="AN985" s="147"/>
      <c r="AO985" s="147"/>
      <c r="AP985" s="147"/>
      <c r="AQ985" s="147"/>
      <c r="AR985" s="147"/>
      <c r="AS985" s="147"/>
      <c r="AT985" s="147"/>
      <c r="AU985" s="147"/>
      <c r="AV985" s="147"/>
      <c r="AW985" s="147"/>
      <c r="AX985" s="147"/>
      <c r="AY985" s="147"/>
      <c r="AZ985" s="147"/>
      <c r="BA985" s="147"/>
      <c r="BB985" s="147"/>
      <c r="BC985" s="147"/>
      <c r="BD985" s="147"/>
      <c r="BE985" s="147"/>
      <c r="BF985" s="147"/>
      <c r="BG985" s="147"/>
      <c r="BH985" s="147"/>
      <c r="BI985" s="147"/>
      <c r="BJ985" s="147"/>
      <c r="BK985" s="147"/>
      <c r="BL985" s="147"/>
      <c r="BM985" s="147"/>
      <c r="BN985" s="147"/>
      <c r="BO985" s="147"/>
      <c r="BP985" s="147"/>
      <c r="BQ985" s="147"/>
      <c r="BR985" s="147"/>
      <c r="BS985" s="147"/>
      <c r="BT985" s="147"/>
      <c r="BU985" s="147"/>
      <c r="BV985" s="147"/>
      <c r="BW985" s="147"/>
      <c r="BX985" s="147"/>
      <c r="BY985" s="147"/>
      <c r="BZ985" s="147"/>
      <c r="CA985" s="147"/>
      <c r="CB985" s="147"/>
      <c r="CC985" s="147"/>
      <c r="CD985" s="147"/>
      <c r="CE985" s="147"/>
      <c r="CF985" s="147"/>
      <c r="CG985" s="147"/>
      <c r="CH985" s="147"/>
      <c r="CI985" s="147"/>
      <c r="CJ985" s="147"/>
      <c r="CK985" s="147"/>
    </row>
    <row r="986" spans="1:89">
      <c r="A986" s="157"/>
      <c r="F986" s="3"/>
      <c r="G986" s="3"/>
      <c r="L986" s="157"/>
      <c r="M986" s="157"/>
      <c r="O986" s="147"/>
      <c r="P986" s="147"/>
      <c r="Q986" s="147"/>
      <c r="R986" s="147"/>
      <c r="S986" s="147"/>
      <c r="T986" s="147"/>
      <c r="U986" s="147"/>
      <c r="V986" s="147"/>
      <c r="W986" s="147"/>
      <c r="X986" s="147"/>
      <c r="Y986" s="147"/>
      <c r="Z986" s="147"/>
      <c r="AA986" s="147"/>
      <c r="AB986" s="147"/>
      <c r="AC986" s="147"/>
      <c r="AD986" s="147"/>
      <c r="AE986" s="147"/>
      <c r="AF986" s="147"/>
      <c r="AG986" s="147"/>
      <c r="AH986" s="147"/>
      <c r="AI986" s="147"/>
      <c r="AJ986" s="147"/>
      <c r="AK986" s="147"/>
      <c r="AL986" s="147"/>
      <c r="AM986" s="151"/>
      <c r="AN986" s="147"/>
      <c r="AO986" s="147"/>
      <c r="AP986" s="147"/>
      <c r="AQ986" s="147"/>
      <c r="AR986" s="147"/>
      <c r="AS986" s="147"/>
      <c r="AT986" s="147"/>
      <c r="AU986" s="147"/>
      <c r="AV986" s="147"/>
      <c r="AW986" s="147"/>
      <c r="AX986" s="147"/>
      <c r="AY986" s="147"/>
      <c r="AZ986" s="147"/>
      <c r="BA986" s="147"/>
      <c r="BB986" s="147"/>
      <c r="BC986" s="147"/>
      <c r="BD986" s="147"/>
      <c r="BE986" s="147"/>
      <c r="BF986" s="147"/>
      <c r="BG986" s="147"/>
      <c r="BH986" s="147"/>
      <c r="BI986" s="147"/>
      <c r="BJ986" s="147"/>
      <c r="BK986" s="147"/>
      <c r="BL986" s="147"/>
      <c r="BM986" s="147"/>
      <c r="BN986" s="147"/>
      <c r="BO986" s="147"/>
      <c r="BP986" s="147"/>
      <c r="BQ986" s="147"/>
      <c r="BR986" s="147"/>
      <c r="BS986" s="147"/>
      <c r="BT986" s="147"/>
      <c r="BU986" s="147"/>
      <c r="BV986" s="147"/>
      <c r="BW986" s="147"/>
      <c r="BX986" s="147"/>
      <c r="BY986" s="147"/>
      <c r="BZ986" s="147"/>
      <c r="CA986" s="147"/>
      <c r="CB986" s="147"/>
      <c r="CC986" s="147"/>
      <c r="CD986" s="147"/>
      <c r="CE986" s="147"/>
      <c r="CF986" s="147"/>
      <c r="CG986" s="147"/>
      <c r="CH986" s="147"/>
      <c r="CI986" s="147"/>
      <c r="CJ986" s="147"/>
      <c r="CK986" s="147"/>
    </row>
    <row r="987" spans="1:89">
      <c r="A987" s="157"/>
      <c r="F987" s="3"/>
      <c r="G987" s="3"/>
      <c r="L987" s="157"/>
      <c r="M987" s="157"/>
      <c r="O987" s="147"/>
      <c r="P987" s="147"/>
      <c r="Q987" s="147"/>
      <c r="R987" s="147"/>
      <c r="S987" s="147"/>
      <c r="T987" s="147"/>
      <c r="U987" s="147"/>
      <c r="V987" s="147"/>
      <c r="W987" s="147"/>
      <c r="X987" s="147"/>
      <c r="Y987" s="147"/>
      <c r="Z987" s="147"/>
      <c r="AA987" s="147"/>
      <c r="AB987" s="147"/>
      <c r="AC987" s="147"/>
      <c r="AD987" s="147"/>
      <c r="AE987" s="147"/>
      <c r="AF987" s="147"/>
      <c r="AG987" s="147"/>
      <c r="AH987" s="147"/>
      <c r="AI987" s="147"/>
      <c r="AJ987" s="147"/>
      <c r="AK987" s="147"/>
      <c r="AL987" s="147"/>
      <c r="AM987" s="151"/>
      <c r="AN987" s="147"/>
      <c r="AO987" s="147"/>
      <c r="AP987" s="147"/>
      <c r="AQ987" s="147"/>
      <c r="AR987" s="147"/>
      <c r="AS987" s="147"/>
      <c r="AT987" s="147"/>
      <c r="AU987" s="147"/>
      <c r="AV987" s="147"/>
      <c r="AW987" s="147"/>
      <c r="AX987" s="147"/>
      <c r="AY987" s="147"/>
      <c r="AZ987" s="147"/>
      <c r="BA987" s="147"/>
      <c r="BB987" s="147"/>
      <c r="BC987" s="147"/>
      <c r="BD987" s="147"/>
      <c r="BE987" s="147"/>
      <c r="BF987" s="147"/>
      <c r="BG987" s="147"/>
      <c r="BH987" s="147"/>
      <c r="BI987" s="147"/>
      <c r="BJ987" s="147"/>
      <c r="BK987" s="147"/>
      <c r="BL987" s="147"/>
      <c r="BM987" s="147"/>
      <c r="BN987" s="147"/>
      <c r="BO987" s="147"/>
      <c r="BP987" s="147"/>
      <c r="BQ987" s="147"/>
      <c r="BR987" s="147"/>
      <c r="BS987" s="147"/>
      <c r="BT987" s="147"/>
      <c r="BU987" s="147"/>
      <c r="BV987" s="147"/>
      <c r="BW987" s="147"/>
      <c r="BX987" s="147"/>
      <c r="BY987" s="147"/>
      <c r="BZ987" s="147"/>
      <c r="CA987" s="147"/>
      <c r="CB987" s="147"/>
      <c r="CC987" s="147"/>
      <c r="CD987" s="147"/>
      <c r="CE987" s="147"/>
      <c r="CF987" s="147"/>
      <c r="CG987" s="147"/>
      <c r="CH987" s="147"/>
      <c r="CI987" s="147"/>
      <c r="CJ987" s="147"/>
      <c r="CK987" s="147"/>
    </row>
    <row r="988" spans="1:89">
      <c r="A988" s="157"/>
      <c r="F988" s="3"/>
      <c r="G988" s="3"/>
      <c r="L988" s="157"/>
      <c r="M988" s="157"/>
      <c r="O988" s="147"/>
      <c r="P988" s="147"/>
      <c r="Q988" s="147"/>
      <c r="R988" s="147"/>
      <c r="S988" s="147"/>
      <c r="T988" s="147"/>
      <c r="U988" s="147"/>
      <c r="V988" s="147"/>
      <c r="W988" s="147"/>
      <c r="X988" s="147"/>
      <c r="Y988" s="147"/>
      <c r="Z988" s="147"/>
      <c r="AA988" s="147"/>
      <c r="AB988" s="147"/>
      <c r="AC988" s="147"/>
      <c r="AD988" s="147"/>
      <c r="AE988" s="147"/>
      <c r="AF988" s="147"/>
      <c r="AG988" s="147"/>
      <c r="AH988" s="147"/>
      <c r="AI988" s="147"/>
      <c r="AJ988" s="147"/>
      <c r="AK988" s="147"/>
      <c r="AL988" s="147"/>
      <c r="AM988" s="151"/>
      <c r="AN988" s="147"/>
      <c r="AO988" s="147"/>
      <c r="AP988" s="147"/>
      <c r="AQ988" s="147"/>
      <c r="AR988" s="147"/>
      <c r="AS988" s="147"/>
      <c r="AT988" s="147"/>
      <c r="AU988" s="147"/>
      <c r="AV988" s="147"/>
      <c r="AW988" s="147"/>
      <c r="AX988" s="147"/>
      <c r="AY988" s="147"/>
      <c r="AZ988" s="147"/>
      <c r="BA988" s="147"/>
      <c r="BB988" s="147"/>
      <c r="BC988" s="147"/>
      <c r="BD988" s="147"/>
      <c r="BE988" s="147"/>
      <c r="BF988" s="147"/>
      <c r="BG988" s="147"/>
      <c r="BH988" s="147"/>
      <c r="BI988" s="147"/>
      <c r="BJ988" s="147"/>
      <c r="BK988" s="147"/>
      <c r="BL988" s="147"/>
      <c r="BM988" s="147"/>
      <c r="BN988" s="147"/>
      <c r="BO988" s="147"/>
      <c r="BP988" s="147"/>
      <c r="BQ988" s="147"/>
      <c r="BR988" s="147"/>
      <c r="BS988" s="147"/>
      <c r="BT988" s="147"/>
      <c r="BU988" s="147"/>
      <c r="BV988" s="147"/>
      <c r="BW988" s="147"/>
      <c r="BX988" s="147"/>
      <c r="BY988" s="147"/>
      <c r="BZ988" s="147"/>
      <c r="CA988" s="147"/>
      <c r="CB988" s="147"/>
      <c r="CC988" s="147"/>
      <c r="CD988" s="147"/>
      <c r="CE988" s="147"/>
      <c r="CF988" s="147"/>
      <c r="CG988" s="147"/>
      <c r="CH988" s="147"/>
      <c r="CI988" s="147"/>
      <c r="CJ988" s="147"/>
      <c r="CK988" s="147"/>
    </row>
    <row r="989" spans="1:89">
      <c r="A989" s="157"/>
      <c r="F989" s="3"/>
      <c r="G989" s="3"/>
      <c r="L989" s="157"/>
      <c r="M989" s="157"/>
      <c r="O989" s="147"/>
      <c r="P989" s="147"/>
      <c r="Q989" s="147"/>
      <c r="R989" s="147"/>
      <c r="S989" s="147"/>
      <c r="T989" s="147"/>
      <c r="U989" s="147"/>
      <c r="V989" s="147"/>
      <c r="W989" s="147"/>
      <c r="X989" s="147"/>
      <c r="Y989" s="147"/>
      <c r="Z989" s="147"/>
      <c r="AA989" s="147"/>
      <c r="AB989" s="147"/>
      <c r="AC989" s="147"/>
      <c r="AD989" s="147"/>
      <c r="AE989" s="147"/>
      <c r="AF989" s="147"/>
      <c r="AG989" s="147"/>
      <c r="AH989" s="147"/>
      <c r="AI989" s="147"/>
      <c r="AJ989" s="147"/>
      <c r="AK989" s="147"/>
      <c r="AL989" s="147"/>
      <c r="AM989" s="151"/>
      <c r="AN989" s="147"/>
      <c r="AO989" s="147"/>
      <c r="AP989" s="147"/>
      <c r="AQ989" s="147"/>
      <c r="AR989" s="147"/>
      <c r="AS989" s="147"/>
      <c r="AT989" s="147"/>
      <c r="AU989" s="147"/>
      <c r="AV989" s="147"/>
      <c r="AW989" s="147"/>
      <c r="AX989" s="147"/>
      <c r="AY989" s="147"/>
      <c r="AZ989" s="147"/>
      <c r="BA989" s="147"/>
      <c r="BB989" s="147"/>
      <c r="BC989" s="147"/>
      <c r="BD989" s="147"/>
      <c r="BE989" s="147"/>
      <c r="BF989" s="147"/>
      <c r="BG989" s="147"/>
      <c r="BH989" s="147"/>
      <c r="BI989" s="147"/>
      <c r="BJ989" s="147"/>
      <c r="BK989" s="147"/>
      <c r="BL989" s="147"/>
      <c r="BM989" s="147"/>
      <c r="BN989" s="147"/>
      <c r="BO989" s="147"/>
      <c r="BP989" s="147"/>
      <c r="BQ989" s="147"/>
      <c r="BR989" s="147"/>
      <c r="BS989" s="147"/>
      <c r="BT989" s="147"/>
      <c r="BU989" s="147"/>
      <c r="BV989" s="147"/>
      <c r="BW989" s="147"/>
      <c r="BX989" s="147"/>
      <c r="BY989" s="147"/>
      <c r="BZ989" s="147"/>
      <c r="CA989" s="147"/>
      <c r="CB989" s="147"/>
      <c r="CC989" s="147"/>
      <c r="CD989" s="147"/>
      <c r="CE989" s="147"/>
      <c r="CF989" s="147"/>
      <c r="CG989" s="147"/>
      <c r="CH989" s="147"/>
      <c r="CI989" s="147"/>
      <c r="CJ989" s="147"/>
      <c r="CK989" s="147"/>
    </row>
    <row r="990" spans="1:89">
      <c r="A990" s="157"/>
      <c r="F990" s="3"/>
      <c r="G990" s="3"/>
      <c r="L990" s="157"/>
      <c r="M990" s="157"/>
      <c r="O990" s="147"/>
      <c r="P990" s="147"/>
      <c r="Q990" s="147"/>
      <c r="R990" s="147"/>
      <c r="S990" s="147"/>
      <c r="T990" s="147"/>
      <c r="U990" s="147"/>
      <c r="V990" s="147"/>
      <c r="W990" s="147"/>
      <c r="X990" s="147"/>
      <c r="Y990" s="147"/>
      <c r="Z990" s="147"/>
      <c r="AA990" s="147"/>
      <c r="AB990" s="147"/>
      <c r="AC990" s="147"/>
      <c r="AD990" s="147"/>
      <c r="AE990" s="147"/>
      <c r="AF990" s="147"/>
      <c r="AG990" s="147"/>
      <c r="AH990" s="147"/>
      <c r="AI990" s="147"/>
      <c r="AJ990" s="147"/>
      <c r="AK990" s="147"/>
      <c r="AL990" s="147"/>
      <c r="AM990" s="151"/>
      <c r="AN990" s="147"/>
      <c r="AO990" s="147"/>
      <c r="AP990" s="147"/>
      <c r="AQ990" s="147"/>
      <c r="AR990" s="147"/>
      <c r="AS990" s="147"/>
      <c r="AT990" s="147"/>
      <c r="AU990" s="147"/>
      <c r="AV990" s="147"/>
      <c r="AW990" s="147"/>
      <c r="AX990" s="147"/>
      <c r="AY990" s="147"/>
      <c r="AZ990" s="147"/>
      <c r="BA990" s="147"/>
      <c r="BB990" s="147"/>
      <c r="BC990" s="147"/>
      <c r="BD990" s="147"/>
      <c r="BE990" s="147"/>
      <c r="BF990" s="147"/>
      <c r="BG990" s="147"/>
      <c r="BH990" s="147"/>
      <c r="BI990" s="147"/>
      <c r="BJ990" s="147"/>
      <c r="BK990" s="147"/>
      <c r="BL990" s="147"/>
      <c r="BM990" s="147"/>
      <c r="BN990" s="147"/>
      <c r="BO990" s="147"/>
      <c r="BP990" s="147"/>
      <c r="BQ990" s="147"/>
      <c r="BR990" s="147"/>
      <c r="BS990" s="147"/>
      <c r="BT990" s="147"/>
      <c r="BU990" s="147"/>
      <c r="BV990" s="147"/>
      <c r="BW990" s="147"/>
      <c r="BX990" s="147"/>
      <c r="BY990" s="147"/>
      <c r="BZ990" s="147"/>
      <c r="CA990" s="147"/>
      <c r="CB990" s="147"/>
      <c r="CC990" s="147"/>
      <c r="CD990" s="147"/>
      <c r="CE990" s="147"/>
      <c r="CF990" s="147"/>
      <c r="CG990" s="147"/>
      <c r="CH990" s="147"/>
      <c r="CI990" s="147"/>
      <c r="CJ990" s="147"/>
      <c r="CK990" s="147"/>
    </row>
    <row r="991" spans="1:89">
      <c r="A991" s="157"/>
      <c r="F991" s="3"/>
      <c r="G991" s="3"/>
      <c r="L991" s="157"/>
      <c r="M991" s="157"/>
      <c r="O991" s="147"/>
      <c r="P991" s="147"/>
      <c r="Q991" s="147"/>
      <c r="R991" s="147"/>
      <c r="S991" s="147"/>
      <c r="T991" s="147"/>
      <c r="U991" s="147"/>
      <c r="V991" s="147"/>
      <c r="W991" s="147"/>
      <c r="X991" s="147"/>
      <c r="Y991" s="147"/>
      <c r="Z991" s="147"/>
      <c r="AA991" s="147"/>
      <c r="AB991" s="147"/>
      <c r="AC991" s="147"/>
      <c r="AD991" s="147"/>
      <c r="AE991" s="147"/>
      <c r="AF991" s="147"/>
      <c r="AG991" s="147"/>
      <c r="AH991" s="147"/>
      <c r="AI991" s="147"/>
      <c r="AJ991" s="147"/>
      <c r="AK991" s="147"/>
      <c r="AL991" s="147"/>
      <c r="AM991" s="151"/>
      <c r="AN991" s="147"/>
      <c r="AO991" s="147"/>
      <c r="AP991" s="147"/>
      <c r="AQ991" s="147"/>
      <c r="AR991" s="147"/>
      <c r="AS991" s="147"/>
      <c r="AT991" s="147"/>
      <c r="AU991" s="147"/>
      <c r="AV991" s="147"/>
      <c r="AW991" s="147"/>
      <c r="AX991" s="147"/>
      <c r="AY991" s="147"/>
      <c r="AZ991" s="147"/>
      <c r="BA991" s="147"/>
      <c r="BB991" s="147"/>
      <c r="BC991" s="147"/>
      <c r="BD991" s="147"/>
      <c r="BE991" s="147"/>
      <c r="BF991" s="147"/>
      <c r="BG991" s="147"/>
      <c r="BH991" s="147"/>
      <c r="BI991" s="147"/>
      <c r="BJ991" s="147"/>
      <c r="BK991" s="147"/>
      <c r="BL991" s="147"/>
      <c r="BM991" s="147"/>
      <c r="BN991" s="147"/>
      <c r="BO991" s="147"/>
      <c r="BP991" s="147"/>
      <c r="BQ991" s="147"/>
      <c r="BR991" s="147"/>
      <c r="BS991" s="147"/>
      <c r="BT991" s="147"/>
      <c r="BU991" s="147"/>
      <c r="BV991" s="147"/>
      <c r="BW991" s="147"/>
      <c r="BX991" s="147"/>
      <c r="BY991" s="147"/>
      <c r="BZ991" s="147"/>
      <c r="CA991" s="147"/>
      <c r="CB991" s="147"/>
      <c r="CC991" s="147"/>
      <c r="CD991" s="147"/>
      <c r="CE991" s="147"/>
      <c r="CF991" s="147"/>
      <c r="CG991" s="147"/>
      <c r="CH991" s="147"/>
      <c r="CI991" s="147"/>
      <c r="CJ991" s="147"/>
      <c r="CK991" s="147"/>
    </row>
    <row r="992" spans="1:89">
      <c r="A992" s="157"/>
      <c r="F992" s="3"/>
      <c r="G992" s="3"/>
      <c r="L992" s="157"/>
      <c r="M992" s="157"/>
      <c r="O992" s="147"/>
      <c r="P992" s="147"/>
      <c r="Q992" s="147"/>
      <c r="R992" s="147"/>
      <c r="S992" s="147"/>
      <c r="T992" s="147"/>
      <c r="U992" s="147"/>
      <c r="V992" s="147"/>
      <c r="W992" s="147"/>
      <c r="X992" s="147"/>
      <c r="Y992" s="147"/>
      <c r="Z992" s="147"/>
      <c r="AA992" s="147"/>
      <c r="AB992" s="147"/>
      <c r="AC992" s="147"/>
      <c r="AD992" s="147"/>
      <c r="AE992" s="147"/>
      <c r="AF992" s="147"/>
      <c r="AG992" s="147"/>
      <c r="AH992" s="147"/>
      <c r="AI992" s="147"/>
      <c r="AJ992" s="147"/>
      <c r="AK992" s="147"/>
      <c r="AL992" s="147"/>
      <c r="AM992" s="151"/>
      <c r="AN992" s="147"/>
      <c r="AO992" s="147"/>
      <c r="AP992" s="147"/>
      <c r="AQ992" s="147"/>
      <c r="AR992" s="147"/>
      <c r="AS992" s="147"/>
      <c r="AT992" s="147"/>
      <c r="AU992" s="147"/>
      <c r="AV992" s="147"/>
      <c r="AW992" s="147"/>
      <c r="AX992" s="147"/>
      <c r="AY992" s="147"/>
      <c r="AZ992" s="147"/>
      <c r="BA992" s="147"/>
      <c r="BB992" s="147"/>
      <c r="BC992" s="147"/>
      <c r="BD992" s="147"/>
      <c r="BE992" s="147"/>
      <c r="BF992" s="147"/>
      <c r="BG992" s="147"/>
      <c r="BH992" s="147"/>
      <c r="BI992" s="147"/>
      <c r="BJ992" s="147"/>
      <c r="BK992" s="147"/>
      <c r="BL992" s="147"/>
      <c r="BM992" s="147"/>
      <c r="BN992" s="147"/>
      <c r="BO992" s="147"/>
      <c r="BP992" s="147"/>
      <c r="BQ992" s="147"/>
      <c r="BR992" s="147"/>
      <c r="BS992" s="147"/>
      <c r="BT992" s="147"/>
      <c r="BU992" s="147"/>
      <c r="BV992" s="147"/>
      <c r="BW992" s="147"/>
      <c r="BX992" s="147"/>
      <c r="BY992" s="147"/>
      <c r="BZ992" s="147"/>
      <c r="CA992" s="147"/>
      <c r="CB992" s="147"/>
      <c r="CC992" s="147"/>
      <c r="CD992" s="147"/>
      <c r="CE992" s="147"/>
      <c r="CF992" s="147"/>
      <c r="CG992" s="147"/>
      <c r="CH992" s="147"/>
      <c r="CI992" s="147"/>
      <c r="CJ992" s="147"/>
      <c r="CK992" s="147"/>
    </row>
    <row r="993" spans="1:89">
      <c r="A993" s="157"/>
      <c r="F993" s="3"/>
      <c r="G993" s="3"/>
      <c r="L993" s="157"/>
      <c r="M993" s="157"/>
      <c r="O993" s="147"/>
      <c r="P993" s="147"/>
      <c r="Q993" s="147"/>
      <c r="R993" s="147"/>
      <c r="S993" s="147"/>
      <c r="T993" s="147"/>
      <c r="U993" s="147"/>
      <c r="V993" s="147"/>
      <c r="W993" s="147"/>
      <c r="X993" s="147"/>
      <c r="Y993" s="147"/>
      <c r="Z993" s="147"/>
      <c r="AA993" s="147"/>
      <c r="AB993" s="147"/>
      <c r="AC993" s="147"/>
      <c r="AD993" s="147"/>
      <c r="AE993" s="147"/>
      <c r="AF993" s="147"/>
      <c r="AG993" s="147"/>
      <c r="AH993" s="147"/>
      <c r="AI993" s="147"/>
      <c r="AJ993" s="147"/>
      <c r="AK993" s="147"/>
      <c r="AL993" s="147"/>
      <c r="AM993" s="151"/>
      <c r="AN993" s="147"/>
      <c r="AO993" s="147"/>
      <c r="AP993" s="147"/>
      <c r="AQ993" s="147"/>
      <c r="AR993" s="147"/>
      <c r="AS993" s="147"/>
      <c r="AT993" s="147"/>
      <c r="AU993" s="147"/>
      <c r="AV993" s="147"/>
      <c r="AW993" s="147"/>
      <c r="AX993" s="147"/>
      <c r="AY993" s="147"/>
      <c r="AZ993" s="147"/>
      <c r="BA993" s="147"/>
      <c r="BB993" s="147"/>
      <c r="BC993" s="147"/>
      <c r="BD993" s="147"/>
      <c r="BE993" s="147"/>
      <c r="BF993" s="147"/>
      <c r="BG993" s="147"/>
      <c r="BH993" s="147"/>
      <c r="BI993" s="147"/>
      <c r="BJ993" s="147"/>
      <c r="BK993" s="147"/>
      <c r="BL993" s="147"/>
      <c r="BM993" s="147"/>
      <c r="BN993" s="147"/>
      <c r="BO993" s="147"/>
      <c r="BP993" s="147"/>
      <c r="BQ993" s="147"/>
      <c r="BR993" s="147"/>
      <c r="BS993" s="147"/>
      <c r="BT993" s="147"/>
      <c r="BU993" s="147"/>
      <c r="BV993" s="147"/>
      <c r="BW993" s="147"/>
      <c r="BX993" s="147"/>
      <c r="BY993" s="147"/>
      <c r="BZ993" s="147"/>
      <c r="CA993" s="147"/>
      <c r="CB993" s="147"/>
      <c r="CC993" s="147"/>
      <c r="CD993" s="147"/>
      <c r="CE993" s="147"/>
      <c r="CF993" s="147"/>
      <c r="CG993" s="147"/>
      <c r="CH993" s="147"/>
      <c r="CI993" s="147"/>
      <c r="CJ993" s="147"/>
      <c r="CK993" s="147"/>
    </row>
    <row r="994" spans="1:89">
      <c r="A994" s="157"/>
      <c r="F994" s="3"/>
      <c r="G994" s="3"/>
      <c r="L994" s="157"/>
      <c r="M994" s="157"/>
      <c r="O994" s="147"/>
      <c r="P994" s="147"/>
      <c r="Q994" s="147"/>
      <c r="R994" s="147"/>
      <c r="S994" s="147"/>
      <c r="T994" s="147"/>
      <c r="U994" s="147"/>
      <c r="V994" s="147"/>
      <c r="W994" s="147"/>
      <c r="X994" s="147"/>
      <c r="Y994" s="147"/>
      <c r="Z994" s="147"/>
      <c r="AA994" s="147"/>
      <c r="AB994" s="147"/>
      <c r="AC994" s="147"/>
      <c r="AD994" s="147"/>
      <c r="AE994" s="147"/>
      <c r="AF994" s="147"/>
      <c r="AG994" s="147"/>
      <c r="AH994" s="147"/>
      <c r="AI994" s="147"/>
      <c r="AJ994" s="147"/>
      <c r="AK994" s="147"/>
      <c r="AL994" s="147"/>
      <c r="AM994" s="151"/>
      <c r="AN994" s="147"/>
      <c r="AO994" s="147"/>
      <c r="AP994" s="147"/>
      <c r="AQ994" s="147"/>
      <c r="AR994" s="147"/>
      <c r="AS994" s="147"/>
      <c r="AT994" s="147"/>
      <c r="AU994" s="147"/>
      <c r="AV994" s="147"/>
      <c r="AW994" s="147"/>
      <c r="AX994" s="147"/>
      <c r="AY994" s="147"/>
      <c r="AZ994" s="147"/>
      <c r="BA994" s="147"/>
      <c r="BB994" s="147"/>
      <c r="BC994" s="147"/>
      <c r="BD994" s="147"/>
      <c r="BE994" s="147"/>
      <c r="BF994" s="147"/>
      <c r="BG994" s="147"/>
      <c r="BH994" s="147"/>
      <c r="BI994" s="147"/>
      <c r="BJ994" s="147"/>
      <c r="BK994" s="147"/>
      <c r="BL994" s="147"/>
      <c r="BM994" s="147"/>
      <c r="BN994" s="147"/>
      <c r="BO994" s="147"/>
      <c r="BP994" s="147"/>
      <c r="BQ994" s="147"/>
      <c r="BR994" s="147"/>
      <c r="BS994" s="147"/>
      <c r="BT994" s="147"/>
      <c r="BU994" s="147"/>
      <c r="BV994" s="147"/>
      <c r="BW994" s="147"/>
      <c r="BX994" s="147"/>
      <c r="BY994" s="147"/>
      <c r="BZ994" s="147"/>
      <c r="CA994" s="147"/>
      <c r="CB994" s="147"/>
      <c r="CC994" s="147"/>
      <c r="CD994" s="147"/>
      <c r="CE994" s="147"/>
      <c r="CF994" s="147"/>
      <c r="CG994" s="147"/>
      <c r="CH994" s="147"/>
      <c r="CI994" s="147"/>
      <c r="CJ994" s="147"/>
      <c r="CK994" s="147"/>
    </row>
    <row r="995" spans="1:89">
      <c r="A995" s="157"/>
      <c r="F995" s="3"/>
      <c r="G995" s="3"/>
      <c r="L995" s="157"/>
      <c r="M995" s="157"/>
      <c r="O995" s="147"/>
      <c r="P995" s="147"/>
      <c r="Q995" s="147"/>
      <c r="R995" s="147"/>
      <c r="S995" s="147"/>
      <c r="T995" s="147"/>
      <c r="U995" s="147"/>
      <c r="V995" s="147"/>
      <c r="W995" s="147"/>
      <c r="X995" s="147"/>
      <c r="Y995" s="147"/>
      <c r="Z995" s="147"/>
      <c r="AA995" s="147"/>
      <c r="AB995" s="147"/>
      <c r="AC995" s="147"/>
      <c r="AD995" s="147"/>
      <c r="AE995" s="147"/>
      <c r="AF995" s="147"/>
      <c r="AG995" s="147"/>
      <c r="AH995" s="147"/>
      <c r="AI995" s="147"/>
      <c r="AJ995" s="147"/>
      <c r="AK995" s="147"/>
      <c r="AL995" s="147"/>
      <c r="AM995" s="151"/>
      <c r="AN995" s="147"/>
      <c r="AO995" s="147"/>
      <c r="AP995" s="147"/>
      <c r="AQ995" s="147"/>
      <c r="AR995" s="147"/>
      <c r="AS995" s="147"/>
      <c r="AT995" s="147"/>
      <c r="AU995" s="147"/>
      <c r="AV995" s="147"/>
      <c r="AW995" s="147"/>
      <c r="AX995" s="147"/>
      <c r="AY995" s="147"/>
      <c r="AZ995" s="147"/>
      <c r="BA995" s="147"/>
      <c r="BB995" s="147"/>
      <c r="BC995" s="147"/>
      <c r="BD995" s="147"/>
      <c r="BE995" s="147"/>
      <c r="BF995" s="147"/>
      <c r="BG995" s="147"/>
      <c r="BH995" s="147"/>
      <c r="BI995" s="147"/>
      <c r="BJ995" s="147"/>
      <c r="BK995" s="147"/>
      <c r="BL995" s="147"/>
      <c r="BM995" s="147"/>
      <c r="BN995" s="147"/>
      <c r="BO995" s="147"/>
      <c r="BP995" s="147"/>
      <c r="BQ995" s="147"/>
      <c r="BR995" s="147"/>
      <c r="BS995" s="147"/>
      <c r="BT995" s="147"/>
      <c r="BU995" s="147"/>
      <c r="BV995" s="147"/>
      <c r="BW995" s="147"/>
      <c r="BX995" s="147"/>
      <c r="BY995" s="147"/>
      <c r="BZ995" s="147"/>
      <c r="CA995" s="147"/>
      <c r="CB995" s="147"/>
      <c r="CC995" s="147"/>
      <c r="CD995" s="147"/>
      <c r="CE995" s="147"/>
      <c r="CF995" s="147"/>
      <c r="CG995" s="147"/>
      <c r="CH995" s="147"/>
      <c r="CI995" s="147"/>
      <c r="CJ995" s="147"/>
      <c r="CK995" s="147"/>
    </row>
    <row r="996" spans="1:89">
      <c r="A996" s="157"/>
      <c r="F996" s="3"/>
      <c r="G996" s="3"/>
      <c r="L996" s="157"/>
      <c r="M996" s="157"/>
      <c r="O996" s="147"/>
      <c r="P996" s="147"/>
      <c r="Q996" s="147"/>
      <c r="R996" s="147"/>
      <c r="S996" s="147"/>
      <c r="T996" s="147"/>
      <c r="U996" s="147"/>
      <c r="V996" s="147"/>
      <c r="W996" s="147"/>
      <c r="X996" s="147"/>
      <c r="Y996" s="147"/>
      <c r="Z996" s="147"/>
      <c r="AA996" s="147"/>
      <c r="AB996" s="147"/>
      <c r="AC996" s="147"/>
      <c r="AD996" s="147"/>
      <c r="AE996" s="147"/>
      <c r="AF996" s="147"/>
      <c r="AG996" s="147"/>
      <c r="AH996" s="147"/>
      <c r="AI996" s="147"/>
      <c r="AJ996" s="147"/>
      <c r="AK996" s="147"/>
      <c r="AL996" s="147"/>
      <c r="AM996" s="151"/>
      <c r="AN996" s="147"/>
      <c r="AO996" s="147"/>
      <c r="AP996" s="147"/>
      <c r="AQ996" s="147"/>
      <c r="AR996" s="147"/>
      <c r="AS996" s="147"/>
      <c r="AT996" s="147"/>
      <c r="AU996" s="147"/>
      <c r="AV996" s="147"/>
      <c r="AW996" s="147"/>
      <c r="AX996" s="147"/>
      <c r="AY996" s="147"/>
      <c r="AZ996" s="147"/>
      <c r="BA996" s="147"/>
      <c r="BB996" s="147"/>
      <c r="BC996" s="147"/>
      <c r="BD996" s="147"/>
      <c r="BE996" s="147"/>
      <c r="BF996" s="147"/>
      <c r="BG996" s="147"/>
      <c r="BH996" s="147"/>
      <c r="BI996" s="147"/>
      <c r="BJ996" s="147"/>
      <c r="BK996" s="147"/>
      <c r="BL996" s="147"/>
      <c r="BM996" s="147"/>
      <c r="BN996" s="147"/>
      <c r="BO996" s="147"/>
      <c r="BP996" s="147"/>
      <c r="BQ996" s="147"/>
      <c r="BR996" s="147"/>
      <c r="BS996" s="147"/>
      <c r="BT996" s="147"/>
      <c r="BU996" s="147"/>
      <c r="BV996" s="147"/>
      <c r="BW996" s="147"/>
      <c r="BX996" s="147"/>
      <c r="BY996" s="147"/>
      <c r="BZ996" s="147"/>
      <c r="CA996" s="147"/>
      <c r="CB996" s="147"/>
      <c r="CC996" s="147"/>
      <c r="CD996" s="147"/>
      <c r="CE996" s="147"/>
      <c r="CF996" s="147"/>
      <c r="CG996" s="147"/>
      <c r="CH996" s="147"/>
      <c r="CI996" s="147"/>
      <c r="CJ996" s="147"/>
      <c r="CK996" s="147"/>
    </row>
    <row r="997" spans="1:89">
      <c r="A997" s="157"/>
      <c r="F997" s="3"/>
      <c r="G997" s="3"/>
      <c r="L997" s="157"/>
      <c r="M997" s="157"/>
      <c r="O997" s="147"/>
      <c r="P997" s="147"/>
      <c r="Q997" s="147"/>
      <c r="R997" s="147"/>
      <c r="S997" s="147"/>
      <c r="T997" s="147"/>
      <c r="U997" s="147"/>
      <c r="V997" s="147"/>
      <c r="W997" s="147"/>
      <c r="X997" s="147"/>
      <c r="Y997" s="147"/>
      <c r="Z997" s="147"/>
      <c r="AA997" s="147"/>
      <c r="AB997" s="147"/>
      <c r="AC997" s="147"/>
      <c r="AD997" s="147"/>
      <c r="AE997" s="147"/>
      <c r="AF997" s="147"/>
      <c r="AG997" s="147"/>
      <c r="AH997" s="147"/>
      <c r="AI997" s="147"/>
      <c r="AJ997" s="147"/>
      <c r="AK997" s="147"/>
      <c r="AL997" s="147"/>
      <c r="AM997" s="151"/>
      <c r="AN997" s="147"/>
      <c r="AO997" s="147"/>
      <c r="AP997" s="147"/>
      <c r="AQ997" s="147"/>
      <c r="AR997" s="147"/>
      <c r="AS997" s="147"/>
      <c r="AT997" s="147"/>
      <c r="AU997" s="147"/>
      <c r="AV997" s="147"/>
      <c r="AW997" s="147"/>
      <c r="AX997" s="147"/>
      <c r="AY997" s="147"/>
      <c r="AZ997" s="147"/>
      <c r="BA997" s="147"/>
      <c r="BB997" s="147"/>
      <c r="BC997" s="147"/>
      <c r="BD997" s="147"/>
      <c r="BE997" s="147"/>
      <c r="BF997" s="147"/>
      <c r="BG997" s="147"/>
      <c r="BH997" s="147"/>
      <c r="BI997" s="147"/>
      <c r="BJ997" s="147"/>
      <c r="BK997" s="147"/>
      <c r="BL997" s="147"/>
      <c r="BM997" s="147"/>
      <c r="BN997" s="147"/>
      <c r="BO997" s="147"/>
      <c r="BP997" s="147"/>
      <c r="BQ997" s="147"/>
      <c r="BR997" s="147"/>
      <c r="BS997" s="147"/>
      <c r="BT997" s="147"/>
      <c r="BU997" s="147"/>
      <c r="BV997" s="147"/>
      <c r="BW997" s="147"/>
      <c r="BX997" s="147"/>
      <c r="BY997" s="147"/>
      <c r="BZ997" s="147"/>
      <c r="CA997" s="147"/>
      <c r="CB997" s="147"/>
      <c r="CC997" s="147"/>
      <c r="CD997" s="147"/>
      <c r="CE997" s="147"/>
      <c r="CF997" s="147"/>
      <c r="CG997" s="147"/>
      <c r="CH997" s="147"/>
      <c r="CI997" s="147"/>
      <c r="CJ997" s="147"/>
      <c r="CK997" s="147"/>
    </row>
    <row r="998" spans="1:89">
      <c r="A998" s="157"/>
      <c r="F998" s="3"/>
      <c r="G998" s="3"/>
      <c r="L998" s="157"/>
      <c r="M998" s="157"/>
      <c r="O998" s="147"/>
      <c r="P998" s="147"/>
      <c r="Q998" s="147"/>
      <c r="R998" s="147"/>
      <c r="S998" s="147"/>
      <c r="T998" s="147"/>
      <c r="U998" s="147"/>
      <c r="V998" s="147"/>
      <c r="W998" s="147"/>
      <c r="X998" s="147"/>
      <c r="Y998" s="147"/>
      <c r="Z998" s="147"/>
      <c r="AA998" s="147"/>
      <c r="AB998" s="147"/>
      <c r="AC998" s="147"/>
      <c r="AD998" s="147"/>
      <c r="AE998" s="147"/>
      <c r="AF998" s="147"/>
      <c r="AG998" s="147"/>
      <c r="AH998" s="147"/>
      <c r="AI998" s="147"/>
      <c r="AJ998" s="147"/>
      <c r="AK998" s="147"/>
      <c r="AL998" s="147"/>
      <c r="AM998" s="151"/>
      <c r="AN998" s="147"/>
      <c r="AO998" s="147"/>
      <c r="AP998" s="147"/>
      <c r="AQ998" s="147"/>
      <c r="AR998" s="147"/>
      <c r="AS998" s="147"/>
      <c r="AT998" s="147"/>
      <c r="AU998" s="147"/>
      <c r="AV998" s="147"/>
      <c r="AW998" s="147"/>
      <c r="AX998" s="147"/>
      <c r="AY998" s="147"/>
      <c r="AZ998" s="147"/>
      <c r="BA998" s="147"/>
      <c r="BB998" s="147"/>
      <c r="BC998" s="147"/>
      <c r="BD998" s="147"/>
      <c r="BE998" s="147"/>
      <c r="BF998" s="147"/>
      <c r="BG998" s="147"/>
      <c r="BH998" s="147"/>
      <c r="BI998" s="147"/>
      <c r="BJ998" s="147"/>
      <c r="BK998" s="147"/>
      <c r="BL998" s="147"/>
      <c r="BM998" s="147"/>
      <c r="BN998" s="147"/>
      <c r="BO998" s="147"/>
      <c r="BP998" s="147"/>
      <c r="BQ998" s="147"/>
      <c r="BR998" s="147"/>
      <c r="BS998" s="147"/>
      <c r="BT998" s="147"/>
      <c r="BU998" s="147"/>
      <c r="BV998" s="147"/>
      <c r="BW998" s="147"/>
      <c r="BX998" s="147"/>
      <c r="BY998" s="147"/>
      <c r="BZ998" s="147"/>
      <c r="CA998" s="147"/>
      <c r="CB998" s="147"/>
      <c r="CC998" s="147"/>
      <c r="CD998" s="147"/>
      <c r="CE998" s="147"/>
      <c r="CF998" s="147"/>
      <c r="CG998" s="147"/>
      <c r="CH998" s="147"/>
      <c r="CI998" s="147"/>
      <c r="CJ998" s="147"/>
      <c r="CK998" s="147"/>
    </row>
    <row r="999" spans="1:89">
      <c r="A999" s="157"/>
      <c r="F999" s="3"/>
      <c r="G999" s="3"/>
      <c r="L999" s="157"/>
      <c r="M999" s="157"/>
      <c r="O999" s="147"/>
      <c r="P999" s="147"/>
      <c r="Q999" s="147"/>
      <c r="R999" s="147"/>
      <c r="S999" s="147"/>
      <c r="T999" s="147"/>
      <c r="U999" s="147"/>
      <c r="V999" s="147"/>
      <c r="W999" s="147"/>
      <c r="X999" s="147"/>
      <c r="Y999" s="147"/>
      <c r="Z999" s="147"/>
      <c r="AA999" s="147"/>
      <c r="AB999" s="147"/>
      <c r="AC999" s="147"/>
      <c r="AD999" s="147"/>
      <c r="AE999" s="147"/>
      <c r="AF999" s="147"/>
      <c r="AG999" s="147"/>
      <c r="AH999" s="147"/>
      <c r="AI999" s="147"/>
      <c r="AJ999" s="147"/>
      <c r="AK999" s="147"/>
      <c r="AL999" s="147"/>
      <c r="AM999" s="151"/>
      <c r="AN999" s="147"/>
      <c r="AO999" s="147"/>
      <c r="AP999" s="147"/>
      <c r="AQ999" s="147"/>
      <c r="AR999" s="147"/>
      <c r="AS999" s="147"/>
      <c r="AT999" s="147"/>
      <c r="AU999" s="147"/>
      <c r="AV999" s="147"/>
      <c r="AW999" s="147"/>
      <c r="AX999" s="147"/>
      <c r="AY999" s="147"/>
      <c r="AZ999" s="147"/>
      <c r="BA999" s="147"/>
      <c r="BB999" s="147"/>
      <c r="BC999" s="147"/>
      <c r="BD999" s="147"/>
      <c r="BE999" s="147"/>
      <c r="BF999" s="147"/>
      <c r="BG999" s="147"/>
      <c r="BH999" s="147"/>
      <c r="BI999" s="147"/>
      <c r="BJ999" s="147"/>
      <c r="BK999" s="147"/>
      <c r="BL999" s="147"/>
      <c r="BM999" s="147"/>
      <c r="BN999" s="147"/>
      <c r="BO999" s="147"/>
      <c r="BP999" s="147"/>
      <c r="BQ999" s="147"/>
      <c r="BR999" s="147"/>
      <c r="BS999" s="147"/>
      <c r="BT999" s="147"/>
      <c r="BU999" s="147"/>
      <c r="BV999" s="147"/>
      <c r="BW999" s="147"/>
      <c r="BX999" s="147"/>
      <c r="BY999" s="147"/>
      <c r="BZ999" s="147"/>
      <c r="CA999" s="147"/>
      <c r="CB999" s="147"/>
      <c r="CC999" s="147"/>
      <c r="CD999" s="147"/>
      <c r="CE999" s="147"/>
      <c r="CF999" s="147"/>
      <c r="CG999" s="147"/>
      <c r="CH999" s="147"/>
      <c r="CI999" s="147"/>
      <c r="CJ999" s="147"/>
      <c r="CK999" s="147"/>
    </row>
    <row r="1000" spans="1:89">
      <c r="A1000" s="157"/>
      <c r="F1000" s="3"/>
      <c r="G1000" s="3"/>
      <c r="L1000" s="157"/>
      <c r="M1000" s="157"/>
      <c r="O1000" s="147"/>
      <c r="P1000" s="147"/>
      <c r="Q1000" s="147"/>
      <c r="R1000" s="147"/>
      <c r="S1000" s="147"/>
      <c r="T1000" s="147"/>
      <c r="U1000" s="147"/>
      <c r="V1000" s="147"/>
      <c r="W1000" s="147"/>
      <c r="X1000" s="147"/>
      <c r="Y1000" s="147"/>
      <c r="Z1000" s="147"/>
      <c r="AA1000" s="147"/>
      <c r="AB1000" s="147"/>
      <c r="AC1000" s="147"/>
      <c r="AD1000" s="147"/>
      <c r="AE1000" s="147"/>
      <c r="AF1000" s="147"/>
      <c r="AG1000" s="147"/>
      <c r="AH1000" s="147"/>
      <c r="AI1000" s="147"/>
      <c r="AJ1000" s="147"/>
      <c r="AK1000" s="147"/>
      <c r="AL1000" s="147"/>
      <c r="AM1000" s="151"/>
      <c r="AN1000" s="147"/>
      <c r="AO1000" s="147"/>
      <c r="AP1000" s="147"/>
      <c r="AQ1000" s="147"/>
      <c r="AR1000" s="147"/>
      <c r="AS1000" s="147"/>
      <c r="AT1000" s="147"/>
      <c r="AU1000" s="147"/>
      <c r="AV1000" s="147"/>
      <c r="AW1000" s="147"/>
      <c r="AX1000" s="147"/>
      <c r="AY1000" s="147"/>
      <c r="AZ1000" s="147"/>
      <c r="BA1000" s="147"/>
      <c r="BB1000" s="147"/>
      <c r="BC1000" s="147"/>
      <c r="BD1000" s="147"/>
      <c r="BE1000" s="147"/>
      <c r="BF1000" s="147"/>
      <c r="BG1000" s="147"/>
      <c r="BH1000" s="147"/>
      <c r="BI1000" s="147"/>
      <c r="BJ1000" s="147"/>
      <c r="BK1000" s="147"/>
      <c r="BL1000" s="147"/>
      <c r="BM1000" s="147"/>
      <c r="BN1000" s="147"/>
      <c r="BO1000" s="147"/>
      <c r="BP1000" s="147"/>
      <c r="BQ1000" s="147"/>
      <c r="BR1000" s="147"/>
      <c r="BS1000" s="147"/>
      <c r="BT1000" s="147"/>
      <c r="BU1000" s="147"/>
      <c r="BV1000" s="147"/>
      <c r="BW1000" s="147"/>
      <c r="BX1000" s="147"/>
      <c r="BY1000" s="147"/>
      <c r="BZ1000" s="147"/>
      <c r="CA1000" s="147"/>
      <c r="CB1000" s="147"/>
      <c r="CC1000" s="147"/>
      <c r="CD1000" s="147"/>
      <c r="CE1000" s="147"/>
      <c r="CF1000" s="147"/>
      <c r="CG1000" s="147"/>
      <c r="CH1000" s="147"/>
      <c r="CI1000" s="147"/>
      <c r="CJ1000" s="147"/>
      <c r="CK1000" s="147"/>
    </row>
    <row r="1001" spans="1:89">
      <c r="A1001" s="157"/>
      <c r="F1001" s="3"/>
      <c r="G1001" s="3"/>
      <c r="L1001" s="157"/>
      <c r="M1001" s="157"/>
      <c r="O1001" s="147"/>
      <c r="P1001" s="147"/>
      <c r="Q1001" s="147"/>
      <c r="R1001" s="147"/>
      <c r="S1001" s="147"/>
      <c r="T1001" s="147"/>
      <c r="U1001" s="147"/>
      <c r="V1001" s="147"/>
      <c r="W1001" s="147"/>
      <c r="X1001" s="147"/>
      <c r="Y1001" s="147"/>
      <c r="Z1001" s="147"/>
      <c r="AA1001" s="147"/>
      <c r="AB1001" s="147"/>
      <c r="AC1001" s="147"/>
      <c r="AD1001" s="147"/>
      <c r="AE1001" s="147"/>
      <c r="AF1001" s="147"/>
      <c r="AG1001" s="147"/>
      <c r="AH1001" s="147"/>
      <c r="AI1001" s="147"/>
      <c r="AJ1001" s="147"/>
      <c r="AK1001" s="147"/>
      <c r="AL1001" s="147"/>
      <c r="AM1001" s="151"/>
      <c r="AN1001" s="147"/>
      <c r="AO1001" s="147"/>
      <c r="AP1001" s="147"/>
      <c r="AQ1001" s="147"/>
      <c r="AR1001" s="147"/>
      <c r="AS1001" s="147"/>
      <c r="AT1001" s="147"/>
      <c r="AU1001" s="147"/>
      <c r="AV1001" s="147"/>
      <c r="AW1001" s="147"/>
      <c r="AX1001" s="147"/>
      <c r="AY1001" s="147"/>
      <c r="AZ1001" s="147"/>
      <c r="BA1001" s="147"/>
      <c r="BB1001" s="147"/>
      <c r="BC1001" s="147"/>
      <c r="BD1001" s="147"/>
      <c r="BE1001" s="147"/>
      <c r="BF1001" s="147"/>
      <c r="BG1001" s="147"/>
      <c r="BH1001" s="147"/>
      <c r="BI1001" s="147"/>
      <c r="BJ1001" s="147"/>
      <c r="BK1001" s="147"/>
      <c r="BL1001" s="147"/>
      <c r="BM1001" s="147"/>
      <c r="BN1001" s="147"/>
      <c r="BO1001" s="147"/>
      <c r="BP1001" s="147"/>
      <c r="BQ1001" s="147"/>
      <c r="BR1001" s="147"/>
      <c r="BS1001" s="147"/>
      <c r="BT1001" s="147"/>
      <c r="BU1001" s="147"/>
      <c r="BV1001" s="147"/>
      <c r="BW1001" s="147"/>
      <c r="BX1001" s="147"/>
      <c r="BY1001" s="147"/>
      <c r="BZ1001" s="147"/>
      <c r="CA1001" s="147"/>
      <c r="CB1001" s="147"/>
      <c r="CC1001" s="147"/>
      <c r="CD1001" s="147"/>
      <c r="CE1001" s="147"/>
      <c r="CF1001" s="147"/>
      <c r="CG1001" s="147"/>
      <c r="CH1001" s="147"/>
      <c r="CI1001" s="147"/>
      <c r="CJ1001" s="147"/>
      <c r="CK1001" s="147"/>
    </row>
    <row r="1002" spans="1:89">
      <c r="A1002" s="157"/>
      <c r="F1002" s="3"/>
      <c r="G1002" s="3"/>
      <c r="L1002" s="157"/>
      <c r="M1002" s="157"/>
      <c r="O1002" s="147"/>
      <c r="P1002" s="147"/>
      <c r="Q1002" s="147"/>
      <c r="R1002" s="147"/>
      <c r="S1002" s="147"/>
      <c r="T1002" s="147"/>
      <c r="U1002" s="147"/>
      <c r="V1002" s="147"/>
      <c r="W1002" s="147"/>
      <c r="X1002" s="147"/>
      <c r="Y1002" s="147"/>
      <c r="Z1002" s="147"/>
      <c r="AA1002" s="147"/>
      <c r="AB1002" s="147"/>
      <c r="AC1002" s="147"/>
      <c r="AD1002" s="147"/>
      <c r="AE1002" s="147"/>
      <c r="AF1002" s="147"/>
      <c r="AG1002" s="147"/>
      <c r="AH1002" s="147"/>
      <c r="AI1002" s="147"/>
      <c r="AJ1002" s="147"/>
      <c r="AK1002" s="147"/>
      <c r="AL1002" s="147"/>
      <c r="AM1002" s="151"/>
      <c r="AN1002" s="147"/>
      <c r="AO1002" s="147"/>
      <c r="AP1002" s="147"/>
      <c r="AQ1002" s="147"/>
      <c r="AR1002" s="147"/>
      <c r="AS1002" s="147"/>
      <c r="AT1002" s="147"/>
      <c r="AU1002" s="147"/>
      <c r="AV1002" s="147"/>
      <c r="AW1002" s="147"/>
      <c r="AX1002" s="147"/>
      <c r="AY1002" s="147"/>
      <c r="AZ1002" s="147"/>
      <c r="BA1002" s="147"/>
      <c r="BB1002" s="147"/>
      <c r="BC1002" s="147"/>
      <c r="BD1002" s="147"/>
      <c r="BE1002" s="147"/>
      <c r="BF1002" s="147"/>
      <c r="BG1002" s="147"/>
      <c r="BH1002" s="147"/>
      <c r="BI1002" s="147"/>
      <c r="BJ1002" s="147"/>
      <c r="BK1002" s="147"/>
      <c r="BL1002" s="147"/>
      <c r="BM1002" s="147"/>
      <c r="BN1002" s="147"/>
      <c r="BO1002" s="147"/>
      <c r="BP1002" s="147"/>
      <c r="BQ1002" s="147"/>
      <c r="BR1002" s="147"/>
      <c r="BS1002" s="147"/>
      <c r="BT1002" s="147"/>
      <c r="BU1002" s="147"/>
      <c r="BV1002" s="147"/>
      <c r="BW1002" s="147"/>
      <c r="BX1002" s="147"/>
      <c r="BY1002" s="147"/>
      <c r="BZ1002" s="147"/>
      <c r="CA1002" s="147"/>
      <c r="CB1002" s="147"/>
      <c r="CC1002" s="147"/>
      <c r="CD1002" s="147"/>
      <c r="CE1002" s="147"/>
      <c r="CF1002" s="147"/>
      <c r="CG1002" s="147"/>
      <c r="CH1002" s="147"/>
      <c r="CI1002" s="147"/>
      <c r="CJ1002" s="147"/>
      <c r="CK1002" s="147"/>
    </row>
    <row r="1003" spans="1:89">
      <c r="A1003" s="157"/>
      <c r="F1003" s="3"/>
      <c r="G1003" s="3"/>
      <c r="L1003" s="157"/>
      <c r="M1003" s="157"/>
      <c r="O1003" s="147"/>
      <c r="P1003" s="147"/>
      <c r="Q1003" s="147"/>
      <c r="R1003" s="147"/>
      <c r="S1003" s="147"/>
      <c r="T1003" s="147"/>
      <c r="U1003" s="147"/>
      <c r="V1003" s="147"/>
      <c r="W1003" s="147"/>
      <c r="X1003" s="147"/>
      <c r="Y1003" s="147"/>
      <c r="Z1003" s="147"/>
      <c r="AA1003" s="147"/>
      <c r="AB1003" s="147"/>
      <c r="AC1003" s="147"/>
      <c r="AD1003" s="147"/>
      <c r="AE1003" s="147"/>
      <c r="AF1003" s="147"/>
      <c r="AG1003" s="147"/>
      <c r="AH1003" s="147"/>
      <c r="AI1003" s="147"/>
      <c r="AJ1003" s="147"/>
      <c r="AK1003" s="147"/>
      <c r="AL1003" s="147"/>
      <c r="AM1003" s="151"/>
      <c r="AN1003" s="147"/>
      <c r="AO1003" s="147"/>
      <c r="AP1003" s="147"/>
      <c r="AQ1003" s="147"/>
      <c r="AR1003" s="147"/>
      <c r="AS1003" s="147"/>
      <c r="AT1003" s="147"/>
      <c r="AU1003" s="147"/>
      <c r="AV1003" s="147"/>
      <c r="AW1003" s="147"/>
      <c r="AX1003" s="147"/>
      <c r="AY1003" s="147"/>
      <c r="AZ1003" s="147"/>
      <c r="BA1003" s="147"/>
      <c r="BB1003" s="147"/>
      <c r="BC1003" s="147"/>
      <c r="BD1003" s="147"/>
      <c r="BE1003" s="147"/>
      <c r="BF1003" s="147"/>
      <c r="BG1003" s="147"/>
      <c r="BH1003" s="147"/>
      <c r="BI1003" s="147"/>
      <c r="BJ1003" s="147"/>
      <c r="BK1003" s="147"/>
      <c r="BL1003" s="147"/>
      <c r="BM1003" s="147"/>
      <c r="BN1003" s="147"/>
      <c r="BO1003" s="147"/>
      <c r="BP1003" s="147"/>
      <c r="BQ1003" s="147"/>
      <c r="BR1003" s="147"/>
      <c r="BS1003" s="147"/>
      <c r="BT1003" s="147"/>
      <c r="BU1003" s="147"/>
      <c r="BV1003" s="147"/>
      <c r="BW1003" s="147"/>
      <c r="BX1003" s="147"/>
      <c r="BY1003" s="147"/>
      <c r="BZ1003" s="147"/>
      <c r="CA1003" s="147"/>
      <c r="CB1003" s="147"/>
      <c r="CC1003" s="147"/>
      <c r="CD1003" s="147"/>
      <c r="CE1003" s="147"/>
      <c r="CF1003" s="147"/>
      <c r="CG1003" s="147"/>
      <c r="CH1003" s="147"/>
      <c r="CI1003" s="147"/>
      <c r="CJ1003" s="147"/>
      <c r="CK1003" s="147"/>
    </row>
    <row r="1004" spans="1:89">
      <c r="A1004" s="157"/>
      <c r="F1004" s="3"/>
      <c r="G1004" s="3"/>
      <c r="L1004" s="157"/>
      <c r="M1004" s="157"/>
      <c r="O1004" s="147"/>
      <c r="P1004" s="147"/>
      <c r="Q1004" s="147"/>
      <c r="R1004" s="147"/>
      <c r="S1004" s="147"/>
      <c r="T1004" s="147"/>
      <c r="U1004" s="147"/>
      <c r="V1004" s="147"/>
      <c r="W1004" s="147"/>
      <c r="X1004" s="147"/>
      <c r="Y1004" s="147"/>
      <c r="Z1004" s="147"/>
      <c r="AA1004" s="147"/>
      <c r="AB1004" s="147"/>
      <c r="AC1004" s="147"/>
      <c r="AD1004" s="147"/>
      <c r="AE1004" s="147"/>
      <c r="AF1004" s="147"/>
      <c r="AG1004" s="147"/>
      <c r="AH1004" s="147"/>
      <c r="AI1004" s="147"/>
      <c r="AJ1004" s="147"/>
      <c r="AK1004" s="147"/>
      <c r="AL1004" s="147"/>
      <c r="AM1004" s="151"/>
      <c r="AN1004" s="147"/>
      <c r="AO1004" s="147"/>
      <c r="AP1004" s="147"/>
      <c r="AQ1004" s="147"/>
      <c r="AR1004" s="147"/>
      <c r="AS1004" s="147"/>
      <c r="AT1004" s="147"/>
      <c r="AU1004" s="147"/>
      <c r="AV1004" s="147"/>
      <c r="AW1004" s="147"/>
      <c r="AX1004" s="147"/>
      <c r="AY1004" s="147"/>
      <c r="AZ1004" s="147"/>
      <c r="BA1004" s="147"/>
      <c r="BB1004" s="147"/>
      <c r="BC1004" s="147"/>
      <c r="BD1004" s="147"/>
      <c r="BE1004" s="147"/>
      <c r="BF1004" s="147"/>
      <c r="BG1004" s="147"/>
      <c r="BH1004" s="147"/>
      <c r="BI1004" s="147"/>
      <c r="BJ1004" s="147"/>
      <c r="BK1004" s="147"/>
      <c r="BL1004" s="147"/>
      <c r="BM1004" s="147"/>
      <c r="BN1004" s="147"/>
      <c r="BO1004" s="147"/>
      <c r="BP1004" s="147"/>
      <c r="BQ1004" s="147"/>
      <c r="BR1004" s="147"/>
      <c r="BS1004" s="147"/>
      <c r="BT1004" s="147"/>
      <c r="BU1004" s="147"/>
      <c r="BV1004" s="147"/>
      <c r="BW1004" s="147"/>
      <c r="BX1004" s="147"/>
      <c r="BY1004" s="147"/>
      <c r="BZ1004" s="147"/>
      <c r="CA1004" s="147"/>
      <c r="CB1004" s="147"/>
      <c r="CC1004" s="147"/>
      <c r="CD1004" s="147"/>
      <c r="CE1004" s="147"/>
      <c r="CF1004" s="147"/>
      <c r="CG1004" s="147"/>
      <c r="CH1004" s="147"/>
      <c r="CI1004" s="147"/>
      <c r="CJ1004" s="147"/>
      <c r="CK1004" s="147"/>
    </row>
    <row r="1005" spans="1:89">
      <c r="A1005" s="157"/>
      <c r="F1005" s="3"/>
      <c r="G1005" s="3"/>
      <c r="L1005" s="157"/>
      <c r="M1005" s="157"/>
      <c r="O1005" s="147"/>
      <c r="P1005" s="147"/>
      <c r="Q1005" s="147"/>
      <c r="R1005" s="147"/>
      <c r="S1005" s="147"/>
      <c r="T1005" s="147"/>
      <c r="U1005" s="147"/>
      <c r="V1005" s="147"/>
      <c r="W1005" s="147"/>
      <c r="X1005" s="147"/>
      <c r="Y1005" s="147"/>
      <c r="Z1005" s="147"/>
      <c r="AA1005" s="147"/>
      <c r="AB1005" s="147"/>
      <c r="AC1005" s="147"/>
      <c r="AD1005" s="147"/>
      <c r="AE1005" s="147"/>
      <c r="AF1005" s="147"/>
      <c r="AG1005" s="147"/>
      <c r="AH1005" s="147"/>
      <c r="AI1005" s="147"/>
      <c r="AJ1005" s="147"/>
      <c r="AK1005" s="147"/>
      <c r="AL1005" s="147"/>
      <c r="AM1005" s="151"/>
      <c r="AN1005" s="147"/>
      <c r="AO1005" s="147"/>
      <c r="AP1005" s="147"/>
      <c r="AQ1005" s="147"/>
      <c r="AR1005" s="147"/>
      <c r="AS1005" s="147"/>
      <c r="AT1005" s="147"/>
      <c r="AU1005" s="147"/>
      <c r="AV1005" s="147"/>
      <c r="AW1005" s="147"/>
      <c r="AX1005" s="147"/>
      <c r="AY1005" s="147"/>
      <c r="AZ1005" s="147"/>
      <c r="BA1005" s="147"/>
      <c r="BB1005" s="147"/>
      <c r="BC1005" s="147"/>
      <c r="BD1005" s="147"/>
      <c r="BE1005" s="147"/>
      <c r="BF1005" s="147"/>
      <c r="BG1005" s="147"/>
      <c r="BH1005" s="147"/>
      <c r="BI1005" s="147"/>
      <c r="BJ1005" s="147"/>
      <c r="BK1005" s="147"/>
      <c r="BL1005" s="147"/>
      <c r="BM1005" s="147"/>
      <c r="BN1005" s="147"/>
      <c r="BO1005" s="147"/>
      <c r="BP1005" s="147"/>
      <c r="BQ1005" s="147"/>
      <c r="BR1005" s="147"/>
      <c r="BS1005" s="147"/>
      <c r="BT1005" s="147"/>
      <c r="BU1005" s="147"/>
      <c r="BV1005" s="147"/>
      <c r="BW1005" s="147"/>
      <c r="BX1005" s="147"/>
      <c r="BY1005" s="147"/>
      <c r="BZ1005" s="147"/>
      <c r="CA1005" s="147"/>
      <c r="CB1005" s="147"/>
      <c r="CC1005" s="147"/>
      <c r="CD1005" s="147"/>
      <c r="CE1005" s="147"/>
      <c r="CF1005" s="147"/>
      <c r="CG1005" s="147"/>
      <c r="CH1005" s="147"/>
      <c r="CI1005" s="147"/>
      <c r="CJ1005" s="147"/>
      <c r="CK1005" s="147"/>
    </row>
    <row r="1006" spans="1:89">
      <c r="A1006" s="157"/>
      <c r="F1006" s="3"/>
      <c r="G1006" s="3"/>
      <c r="L1006" s="157"/>
      <c r="M1006" s="157"/>
      <c r="O1006" s="147"/>
      <c r="P1006" s="147"/>
      <c r="Q1006" s="147"/>
      <c r="R1006" s="147"/>
      <c r="S1006" s="147"/>
      <c r="T1006" s="147"/>
      <c r="U1006" s="147"/>
      <c r="V1006" s="147"/>
      <c r="W1006" s="147"/>
      <c r="X1006" s="147"/>
      <c r="Y1006" s="147"/>
      <c r="Z1006" s="147"/>
      <c r="AA1006" s="147"/>
      <c r="AB1006" s="147"/>
      <c r="AC1006" s="147"/>
      <c r="AD1006" s="147"/>
      <c r="AE1006" s="147"/>
      <c r="AF1006" s="147"/>
      <c r="AG1006" s="147"/>
      <c r="AH1006" s="147"/>
      <c r="AI1006" s="147"/>
      <c r="AJ1006" s="147"/>
      <c r="AK1006" s="147"/>
      <c r="AL1006" s="147"/>
      <c r="AM1006" s="151"/>
      <c r="AN1006" s="147"/>
      <c r="AO1006" s="147"/>
      <c r="AP1006" s="147"/>
      <c r="AQ1006" s="147"/>
      <c r="AR1006" s="147"/>
      <c r="AS1006" s="147"/>
      <c r="AT1006" s="147"/>
      <c r="AU1006" s="147"/>
      <c r="AV1006" s="147"/>
      <c r="AW1006" s="147"/>
      <c r="AX1006" s="147"/>
      <c r="AY1006" s="147"/>
      <c r="AZ1006" s="147"/>
      <c r="BA1006" s="147"/>
      <c r="BB1006" s="147"/>
      <c r="BC1006" s="147"/>
      <c r="BD1006" s="147"/>
      <c r="BE1006" s="147"/>
      <c r="BF1006" s="147"/>
      <c r="BG1006" s="147"/>
      <c r="BH1006" s="147"/>
      <c r="BI1006" s="147"/>
      <c r="BJ1006" s="147"/>
      <c r="BK1006" s="147"/>
      <c r="BL1006" s="147"/>
      <c r="BM1006" s="147"/>
      <c r="BN1006" s="147"/>
      <c r="BO1006" s="147"/>
      <c r="BP1006" s="147"/>
      <c r="BQ1006" s="147"/>
      <c r="BR1006" s="147"/>
      <c r="BS1006" s="147"/>
      <c r="BT1006" s="147"/>
      <c r="BU1006" s="147"/>
      <c r="BV1006" s="147"/>
      <c r="BW1006" s="147"/>
      <c r="BX1006" s="147"/>
      <c r="BY1006" s="147"/>
      <c r="BZ1006" s="147"/>
      <c r="CA1006" s="147"/>
      <c r="CB1006" s="147"/>
      <c r="CC1006" s="147"/>
      <c r="CD1006" s="147"/>
      <c r="CE1006" s="147"/>
      <c r="CF1006" s="147"/>
      <c r="CG1006" s="147"/>
      <c r="CH1006" s="147"/>
      <c r="CI1006" s="147"/>
      <c r="CJ1006" s="147"/>
      <c r="CK1006" s="147"/>
    </row>
    <row r="1007" spans="1:89">
      <c r="A1007" s="157"/>
      <c r="F1007" s="3"/>
      <c r="G1007" s="3"/>
      <c r="L1007" s="157"/>
      <c r="M1007" s="157"/>
      <c r="O1007" s="147"/>
      <c r="P1007" s="147"/>
      <c r="Q1007" s="147"/>
      <c r="R1007" s="147"/>
      <c r="S1007" s="147"/>
      <c r="T1007" s="147"/>
      <c r="U1007" s="147"/>
      <c r="V1007" s="147"/>
      <c r="W1007" s="147"/>
      <c r="X1007" s="147"/>
      <c r="Y1007" s="147"/>
      <c r="Z1007" s="147"/>
      <c r="AA1007" s="147"/>
      <c r="AB1007" s="147"/>
      <c r="AC1007" s="147"/>
      <c r="AD1007" s="147"/>
      <c r="AE1007" s="147"/>
      <c r="AF1007" s="147"/>
      <c r="AG1007" s="147"/>
      <c r="AH1007" s="147"/>
      <c r="AI1007" s="147"/>
      <c r="AJ1007" s="147"/>
      <c r="AK1007" s="147"/>
      <c r="AL1007" s="147"/>
      <c r="AM1007" s="151"/>
      <c r="AN1007" s="147"/>
      <c r="AO1007" s="147"/>
      <c r="AP1007" s="147"/>
      <c r="AQ1007" s="147"/>
      <c r="AR1007" s="147"/>
      <c r="AS1007" s="147"/>
      <c r="AT1007" s="147"/>
      <c r="AU1007" s="147"/>
      <c r="AV1007" s="147"/>
      <c r="AW1007" s="147"/>
      <c r="AX1007" s="147"/>
      <c r="AY1007" s="147"/>
      <c r="AZ1007" s="147"/>
      <c r="BA1007" s="147"/>
      <c r="BB1007" s="147"/>
      <c r="BC1007" s="147"/>
      <c r="BD1007" s="147"/>
      <c r="BE1007" s="147"/>
      <c r="BF1007" s="147"/>
      <c r="BG1007" s="147"/>
      <c r="BH1007" s="147"/>
      <c r="BI1007" s="147"/>
      <c r="BJ1007" s="147"/>
      <c r="BK1007" s="147"/>
      <c r="BL1007" s="147"/>
      <c r="BM1007" s="147"/>
      <c r="BN1007" s="147"/>
      <c r="BO1007" s="147"/>
      <c r="BP1007" s="147"/>
      <c r="BQ1007" s="147"/>
      <c r="BR1007" s="147"/>
      <c r="BS1007" s="147"/>
      <c r="BT1007" s="147"/>
      <c r="BU1007" s="147"/>
      <c r="BV1007" s="147"/>
      <c r="BW1007" s="147"/>
      <c r="BX1007" s="147"/>
      <c r="BY1007" s="147"/>
      <c r="BZ1007" s="147"/>
      <c r="CA1007" s="147"/>
      <c r="CB1007" s="147"/>
      <c r="CC1007" s="147"/>
      <c r="CD1007" s="147"/>
      <c r="CE1007" s="147"/>
      <c r="CF1007" s="147"/>
      <c r="CG1007" s="147"/>
      <c r="CH1007" s="147"/>
      <c r="CI1007" s="147"/>
      <c r="CJ1007" s="147"/>
      <c r="CK1007" s="147"/>
    </row>
    <row r="1008" spans="1:89">
      <c r="A1008" s="157"/>
      <c r="F1008" s="3"/>
      <c r="G1008" s="3"/>
      <c r="L1008" s="157"/>
      <c r="M1008" s="157"/>
      <c r="O1008" s="147"/>
      <c r="P1008" s="147"/>
      <c r="Q1008" s="147"/>
      <c r="R1008" s="147"/>
      <c r="S1008" s="147"/>
      <c r="T1008" s="147"/>
      <c r="U1008" s="147"/>
      <c r="V1008" s="147"/>
      <c r="W1008" s="147"/>
      <c r="X1008" s="147"/>
      <c r="Y1008" s="147"/>
      <c r="Z1008" s="147"/>
      <c r="AA1008" s="147"/>
      <c r="AB1008" s="147"/>
      <c r="AC1008" s="147"/>
      <c r="AD1008" s="147"/>
      <c r="AE1008" s="147"/>
      <c r="AF1008" s="147"/>
      <c r="AG1008" s="147"/>
      <c r="AH1008" s="147"/>
      <c r="AI1008" s="147"/>
      <c r="AJ1008" s="147"/>
      <c r="AK1008" s="147"/>
      <c r="AL1008" s="147"/>
      <c r="AM1008" s="151"/>
      <c r="AN1008" s="147"/>
      <c r="AO1008" s="147"/>
      <c r="AP1008" s="147"/>
      <c r="AQ1008" s="147"/>
      <c r="AR1008" s="147"/>
      <c r="AS1008" s="147"/>
      <c r="AT1008" s="147"/>
      <c r="AU1008" s="147"/>
      <c r="AV1008" s="147"/>
      <c r="AW1008" s="147"/>
      <c r="AX1008" s="147"/>
      <c r="AY1008" s="147"/>
      <c r="AZ1008" s="147"/>
      <c r="BA1008" s="147"/>
      <c r="BB1008" s="147"/>
      <c r="BC1008" s="147"/>
      <c r="BD1008" s="147"/>
      <c r="BE1008" s="147"/>
      <c r="BF1008" s="147"/>
      <c r="BG1008" s="147"/>
      <c r="BH1008" s="147"/>
      <c r="BI1008" s="147"/>
      <c r="BJ1008" s="147"/>
      <c r="BK1008" s="147"/>
      <c r="BL1008" s="147"/>
      <c r="BM1008" s="147"/>
      <c r="BN1008" s="147"/>
      <c r="BO1008" s="147"/>
      <c r="BP1008" s="147"/>
      <c r="BQ1008" s="147"/>
      <c r="BR1008" s="147"/>
      <c r="BS1008" s="147"/>
      <c r="BT1008" s="147"/>
      <c r="BU1008" s="147"/>
      <c r="BV1008" s="147"/>
      <c r="BW1008" s="147"/>
      <c r="BX1008" s="147"/>
      <c r="BY1008" s="147"/>
      <c r="BZ1008" s="147"/>
      <c r="CA1008" s="147"/>
      <c r="CB1008" s="147"/>
      <c r="CC1008" s="147"/>
      <c r="CD1008" s="147"/>
      <c r="CE1008" s="147"/>
      <c r="CF1008" s="147"/>
      <c r="CG1008" s="147"/>
      <c r="CH1008" s="147"/>
      <c r="CI1008" s="147"/>
      <c r="CJ1008" s="147"/>
      <c r="CK1008" s="147"/>
    </row>
    <row r="1009" spans="1:89">
      <c r="A1009" s="157"/>
      <c r="F1009" s="3"/>
      <c r="G1009" s="3"/>
      <c r="L1009" s="157"/>
      <c r="M1009" s="157"/>
      <c r="O1009" s="147"/>
      <c r="P1009" s="147"/>
      <c r="Q1009" s="147"/>
      <c r="R1009" s="147"/>
      <c r="S1009" s="147"/>
      <c r="T1009" s="147"/>
      <c r="U1009" s="147"/>
      <c r="V1009" s="147"/>
      <c r="W1009" s="147"/>
      <c r="X1009" s="147"/>
      <c r="Y1009" s="147"/>
      <c r="Z1009" s="147"/>
      <c r="AA1009" s="147"/>
      <c r="AB1009" s="147"/>
      <c r="AC1009" s="147"/>
      <c r="AD1009" s="147"/>
      <c r="AE1009" s="147"/>
      <c r="AF1009" s="147"/>
      <c r="AG1009" s="147"/>
      <c r="AH1009" s="147"/>
      <c r="AI1009" s="147"/>
      <c r="AJ1009" s="147"/>
      <c r="AK1009" s="147"/>
      <c r="AL1009" s="147"/>
      <c r="AM1009" s="151"/>
      <c r="AN1009" s="147"/>
      <c r="AO1009" s="147"/>
      <c r="AP1009" s="147"/>
      <c r="AQ1009" s="147"/>
      <c r="AR1009" s="147"/>
      <c r="AS1009" s="147"/>
      <c r="AT1009" s="147"/>
      <c r="AU1009" s="147"/>
      <c r="AV1009" s="147"/>
      <c r="AW1009" s="147"/>
      <c r="AX1009" s="147"/>
      <c r="AY1009" s="147"/>
      <c r="AZ1009" s="147"/>
      <c r="BA1009" s="147"/>
      <c r="BB1009" s="147"/>
      <c r="BC1009" s="147"/>
      <c r="BD1009" s="147"/>
      <c r="BE1009" s="147"/>
      <c r="BF1009" s="147"/>
      <c r="BG1009" s="147"/>
      <c r="BH1009" s="147"/>
      <c r="BI1009" s="147"/>
      <c r="BJ1009" s="147"/>
      <c r="BK1009" s="147"/>
      <c r="BL1009" s="147"/>
      <c r="BM1009" s="147"/>
      <c r="BN1009" s="147"/>
      <c r="BO1009" s="147"/>
      <c r="BP1009" s="147"/>
      <c r="BQ1009" s="147"/>
      <c r="BR1009" s="147"/>
      <c r="BS1009" s="147"/>
      <c r="BT1009" s="147"/>
      <c r="BU1009" s="147"/>
      <c r="BV1009" s="147"/>
      <c r="BW1009" s="147"/>
      <c r="BX1009" s="147"/>
      <c r="BY1009" s="147"/>
      <c r="BZ1009" s="147"/>
      <c r="CA1009" s="147"/>
      <c r="CB1009" s="147"/>
      <c r="CC1009" s="147"/>
      <c r="CD1009" s="147"/>
      <c r="CE1009" s="147"/>
      <c r="CF1009" s="147"/>
      <c r="CG1009" s="147"/>
      <c r="CH1009" s="147"/>
      <c r="CI1009" s="147"/>
      <c r="CJ1009" s="147"/>
      <c r="CK1009" s="147"/>
    </row>
    <row r="1010" spans="1:89">
      <c r="A1010" s="157"/>
      <c r="F1010" s="3"/>
      <c r="G1010" s="3"/>
      <c r="L1010" s="157"/>
      <c r="M1010" s="157"/>
      <c r="O1010" s="147"/>
      <c r="P1010" s="147"/>
      <c r="Q1010" s="147"/>
      <c r="R1010" s="147"/>
      <c r="S1010" s="147"/>
      <c r="T1010" s="147"/>
      <c r="U1010" s="147"/>
      <c r="V1010" s="147"/>
      <c r="W1010" s="147"/>
      <c r="X1010" s="147"/>
      <c r="Y1010" s="147"/>
      <c r="Z1010" s="147"/>
      <c r="AA1010" s="147"/>
      <c r="AB1010" s="147"/>
      <c r="AC1010" s="147"/>
      <c r="AD1010" s="147"/>
      <c r="AE1010" s="147"/>
      <c r="AF1010" s="147"/>
      <c r="AG1010" s="147"/>
      <c r="AH1010" s="147"/>
      <c r="AI1010" s="147"/>
      <c r="AJ1010" s="147"/>
      <c r="AK1010" s="147"/>
      <c r="AL1010" s="147"/>
      <c r="AM1010" s="151"/>
      <c r="AN1010" s="147"/>
      <c r="AO1010" s="147"/>
      <c r="AP1010" s="147"/>
      <c r="AQ1010" s="147"/>
      <c r="AR1010" s="147"/>
      <c r="AS1010" s="147"/>
      <c r="AT1010" s="147"/>
      <c r="AU1010" s="147"/>
      <c r="AV1010" s="147"/>
      <c r="AW1010" s="147"/>
      <c r="AX1010" s="147"/>
      <c r="AY1010" s="147"/>
      <c r="AZ1010" s="147"/>
      <c r="BA1010" s="147"/>
      <c r="BB1010" s="147"/>
      <c r="BC1010" s="147"/>
      <c r="BD1010" s="147"/>
      <c r="BE1010" s="147"/>
      <c r="BF1010" s="147"/>
      <c r="BG1010" s="147"/>
      <c r="BH1010" s="147"/>
      <c r="BI1010" s="147"/>
      <c r="BJ1010" s="147"/>
      <c r="BK1010" s="147"/>
      <c r="BL1010" s="147"/>
      <c r="BM1010" s="147"/>
      <c r="BN1010" s="147"/>
      <c r="BO1010" s="147"/>
      <c r="BP1010" s="147"/>
      <c r="BQ1010" s="147"/>
      <c r="BR1010" s="147"/>
      <c r="BS1010" s="147"/>
      <c r="BT1010" s="147"/>
      <c r="BU1010" s="147"/>
      <c r="BV1010" s="147"/>
      <c r="BW1010" s="147"/>
      <c r="BX1010" s="147"/>
      <c r="BY1010" s="147"/>
      <c r="BZ1010" s="147"/>
      <c r="CA1010" s="147"/>
      <c r="CB1010" s="147"/>
      <c r="CC1010" s="147"/>
      <c r="CD1010" s="147"/>
      <c r="CE1010" s="147"/>
      <c r="CF1010" s="147"/>
      <c r="CG1010" s="147"/>
      <c r="CH1010" s="147"/>
      <c r="CI1010" s="147"/>
      <c r="CJ1010" s="147"/>
      <c r="CK1010" s="147"/>
    </row>
    <row r="1011" spans="1:89">
      <c r="A1011" s="157"/>
      <c r="F1011" s="3"/>
      <c r="G1011" s="3"/>
      <c r="L1011" s="157"/>
      <c r="M1011" s="157"/>
      <c r="O1011" s="147"/>
      <c r="P1011" s="147"/>
      <c r="Q1011" s="147"/>
      <c r="R1011" s="147"/>
      <c r="S1011" s="147"/>
      <c r="T1011" s="147"/>
      <c r="U1011" s="147"/>
      <c r="V1011" s="147"/>
      <c r="W1011" s="147"/>
      <c r="X1011" s="147"/>
      <c r="Y1011" s="147"/>
      <c r="Z1011" s="147"/>
      <c r="AA1011" s="147"/>
      <c r="AB1011" s="147"/>
      <c r="AC1011" s="147"/>
      <c r="AD1011" s="147"/>
      <c r="AE1011" s="147"/>
      <c r="AF1011" s="147"/>
      <c r="AG1011" s="147"/>
      <c r="AH1011" s="147"/>
      <c r="AI1011" s="147"/>
      <c r="AJ1011" s="147"/>
      <c r="AK1011" s="147"/>
      <c r="AL1011" s="147"/>
      <c r="AM1011" s="151"/>
      <c r="AN1011" s="147"/>
      <c r="AO1011" s="147"/>
      <c r="AP1011" s="147"/>
      <c r="AQ1011" s="147"/>
      <c r="AR1011" s="147"/>
      <c r="AS1011" s="147"/>
      <c r="AT1011" s="147"/>
      <c r="AU1011" s="147"/>
      <c r="AV1011" s="147"/>
      <c r="AW1011" s="147"/>
      <c r="AX1011" s="147"/>
      <c r="AY1011" s="147"/>
      <c r="AZ1011" s="147"/>
      <c r="BA1011" s="147"/>
      <c r="BB1011" s="147"/>
      <c r="BC1011" s="147"/>
      <c r="BD1011" s="147"/>
      <c r="BE1011" s="147"/>
      <c r="BF1011" s="147"/>
      <c r="BG1011" s="147"/>
      <c r="BH1011" s="147"/>
      <c r="BI1011" s="147"/>
      <c r="BJ1011" s="147"/>
      <c r="BK1011" s="147"/>
      <c r="BL1011" s="147"/>
      <c r="BM1011" s="147"/>
      <c r="BN1011" s="147"/>
      <c r="BO1011" s="147"/>
      <c r="BP1011" s="147"/>
      <c r="BQ1011" s="147"/>
      <c r="BR1011" s="147"/>
      <c r="BS1011" s="147"/>
      <c r="BT1011" s="147"/>
      <c r="BU1011" s="147"/>
      <c r="BV1011" s="147"/>
      <c r="BW1011" s="147"/>
      <c r="BX1011" s="147"/>
      <c r="BY1011" s="147"/>
      <c r="BZ1011" s="147"/>
      <c r="CA1011" s="147"/>
      <c r="CB1011" s="147"/>
      <c r="CC1011" s="147"/>
      <c r="CD1011" s="147"/>
      <c r="CE1011" s="147"/>
      <c r="CF1011" s="147"/>
      <c r="CG1011" s="147"/>
      <c r="CH1011" s="147"/>
      <c r="CI1011" s="147"/>
      <c r="CJ1011" s="147"/>
      <c r="CK1011" s="147"/>
    </row>
    <row r="1012" spans="1:89">
      <c r="A1012" s="157"/>
      <c r="F1012" s="3"/>
      <c r="G1012" s="3"/>
      <c r="L1012" s="157"/>
      <c r="M1012" s="157"/>
      <c r="O1012" s="147"/>
      <c r="P1012" s="147"/>
      <c r="Q1012" s="147"/>
      <c r="R1012" s="147"/>
      <c r="S1012" s="147"/>
      <c r="T1012" s="147"/>
      <c r="U1012" s="147"/>
      <c r="V1012" s="147"/>
      <c r="W1012" s="147"/>
      <c r="X1012" s="147"/>
      <c r="Y1012" s="147"/>
      <c r="Z1012" s="147"/>
      <c r="AA1012" s="147"/>
      <c r="AB1012" s="147"/>
      <c r="AC1012" s="147"/>
      <c r="AD1012" s="147"/>
      <c r="AE1012" s="147"/>
      <c r="AF1012" s="147"/>
      <c r="AG1012" s="147"/>
      <c r="AH1012" s="147"/>
      <c r="AI1012" s="147"/>
      <c r="AJ1012" s="147"/>
      <c r="AK1012" s="147"/>
      <c r="AL1012" s="147"/>
      <c r="AM1012" s="151"/>
      <c r="AN1012" s="147"/>
      <c r="AO1012" s="147"/>
      <c r="AP1012" s="147"/>
      <c r="AQ1012" s="147"/>
      <c r="AR1012" s="147"/>
      <c r="AS1012" s="147"/>
      <c r="AT1012" s="147"/>
      <c r="AU1012" s="147"/>
      <c r="AV1012" s="147"/>
      <c r="AW1012" s="147"/>
      <c r="AX1012" s="147"/>
      <c r="AY1012" s="147"/>
      <c r="AZ1012" s="147"/>
      <c r="BA1012" s="147"/>
      <c r="BB1012" s="147"/>
      <c r="BC1012" s="147"/>
      <c r="BD1012" s="147"/>
      <c r="BE1012" s="147"/>
      <c r="BF1012" s="147"/>
      <c r="BG1012" s="147"/>
      <c r="BH1012" s="147"/>
      <c r="BI1012" s="147"/>
      <c r="BJ1012" s="147"/>
      <c r="BK1012" s="147"/>
      <c r="BL1012" s="147"/>
      <c r="BM1012" s="147"/>
      <c r="BN1012" s="147"/>
      <c r="BO1012" s="147"/>
      <c r="BP1012" s="147"/>
      <c r="BQ1012" s="147"/>
      <c r="BR1012" s="147"/>
      <c r="BS1012" s="147"/>
      <c r="BT1012" s="147"/>
      <c r="BU1012" s="147"/>
      <c r="BV1012" s="147"/>
      <c r="BW1012" s="147"/>
      <c r="BX1012" s="147"/>
      <c r="BY1012" s="147"/>
      <c r="BZ1012" s="147"/>
      <c r="CA1012" s="147"/>
      <c r="CB1012" s="147"/>
      <c r="CC1012" s="147"/>
      <c r="CD1012" s="147"/>
      <c r="CE1012" s="147"/>
      <c r="CF1012" s="147"/>
      <c r="CG1012" s="147"/>
      <c r="CH1012" s="147"/>
      <c r="CI1012" s="147"/>
      <c r="CJ1012" s="147"/>
      <c r="CK1012" s="147"/>
    </row>
    <row r="1013" spans="1:89">
      <c r="A1013" s="157"/>
      <c r="F1013" s="3"/>
      <c r="G1013" s="3"/>
      <c r="L1013" s="157"/>
      <c r="M1013" s="157"/>
      <c r="O1013" s="147"/>
      <c r="P1013" s="147"/>
      <c r="Q1013" s="147"/>
      <c r="R1013" s="147"/>
      <c r="S1013" s="147"/>
      <c r="T1013" s="147"/>
      <c r="U1013" s="147"/>
      <c r="V1013" s="147"/>
      <c r="W1013" s="147"/>
      <c r="X1013" s="147"/>
      <c r="Y1013" s="147"/>
      <c r="Z1013" s="147"/>
      <c r="AA1013" s="147"/>
      <c r="AB1013" s="147"/>
      <c r="AC1013" s="147"/>
      <c r="AD1013" s="147"/>
      <c r="AE1013" s="147"/>
      <c r="AF1013" s="147"/>
      <c r="AG1013" s="147"/>
      <c r="AH1013" s="147"/>
      <c r="AI1013" s="147"/>
      <c r="AJ1013" s="147"/>
      <c r="AK1013" s="147"/>
      <c r="AL1013" s="147"/>
      <c r="AM1013" s="151"/>
      <c r="AN1013" s="147"/>
      <c r="AO1013" s="147"/>
      <c r="AP1013" s="147"/>
      <c r="AQ1013" s="147"/>
      <c r="AR1013" s="147"/>
      <c r="AS1013" s="147"/>
      <c r="AT1013" s="147"/>
      <c r="AU1013" s="147"/>
      <c r="AV1013" s="147"/>
      <c r="AW1013" s="147"/>
      <c r="AX1013" s="147"/>
      <c r="AY1013" s="147"/>
      <c r="AZ1013" s="147"/>
      <c r="BA1013" s="147"/>
      <c r="BB1013" s="147"/>
      <c r="BC1013" s="147"/>
      <c r="BD1013" s="147"/>
      <c r="BE1013" s="147"/>
      <c r="BF1013" s="147"/>
      <c r="BG1013" s="147"/>
      <c r="BH1013" s="147"/>
      <c r="BI1013" s="147"/>
      <c r="BJ1013" s="147"/>
      <c r="BK1013" s="147"/>
      <c r="BL1013" s="147"/>
      <c r="BM1013" s="147"/>
      <c r="BN1013" s="147"/>
      <c r="BO1013" s="147"/>
      <c r="BP1013" s="147"/>
      <c r="BQ1013" s="147"/>
      <c r="BR1013" s="147"/>
      <c r="BS1013" s="147"/>
      <c r="BT1013" s="147"/>
      <c r="BU1013" s="147"/>
      <c r="BV1013" s="147"/>
      <c r="BW1013" s="147"/>
      <c r="BX1013" s="147"/>
      <c r="BY1013" s="147"/>
      <c r="BZ1013" s="147"/>
      <c r="CA1013" s="147"/>
      <c r="CB1013" s="147"/>
      <c r="CC1013" s="147"/>
      <c r="CD1013" s="147"/>
      <c r="CE1013" s="147"/>
      <c r="CF1013" s="147"/>
      <c r="CG1013" s="147"/>
      <c r="CH1013" s="147"/>
      <c r="CI1013" s="147"/>
      <c r="CJ1013" s="147"/>
      <c r="CK1013" s="147"/>
    </row>
    <row r="1014" spans="1:89">
      <c r="A1014" s="157"/>
      <c r="F1014" s="3"/>
      <c r="G1014" s="3"/>
      <c r="L1014" s="157"/>
      <c r="M1014" s="157"/>
      <c r="O1014" s="147"/>
      <c r="P1014" s="147"/>
      <c r="Q1014" s="147"/>
      <c r="R1014" s="147"/>
      <c r="S1014" s="147"/>
      <c r="T1014" s="147"/>
      <c r="U1014" s="147"/>
      <c r="V1014" s="147"/>
      <c r="W1014" s="147"/>
      <c r="X1014" s="147"/>
      <c r="Y1014" s="147"/>
      <c r="Z1014" s="147"/>
      <c r="AA1014" s="147"/>
      <c r="AB1014" s="147"/>
      <c r="AC1014" s="147"/>
      <c r="AD1014" s="147"/>
      <c r="AE1014" s="147"/>
      <c r="AF1014" s="147"/>
      <c r="AG1014" s="147"/>
      <c r="AH1014" s="147"/>
      <c r="AI1014" s="147"/>
      <c r="AJ1014" s="147"/>
      <c r="AK1014" s="147"/>
      <c r="AL1014" s="147"/>
      <c r="AM1014" s="151"/>
      <c r="AN1014" s="147"/>
      <c r="AO1014" s="147"/>
      <c r="AP1014" s="147"/>
      <c r="AQ1014" s="147"/>
      <c r="AR1014" s="147"/>
      <c r="AS1014" s="147"/>
      <c r="AT1014" s="147"/>
      <c r="AU1014" s="147"/>
      <c r="AV1014" s="147"/>
      <c r="AW1014" s="147"/>
      <c r="AX1014" s="147"/>
      <c r="AY1014" s="147"/>
      <c r="AZ1014" s="147"/>
      <c r="BA1014" s="147"/>
      <c r="BB1014" s="147"/>
      <c r="BC1014" s="147"/>
      <c r="BD1014" s="147"/>
      <c r="BE1014" s="147"/>
      <c r="BF1014" s="147"/>
      <c r="BG1014" s="147"/>
      <c r="BH1014" s="147"/>
      <c r="BI1014" s="147"/>
      <c r="BJ1014" s="147"/>
      <c r="BK1014" s="147"/>
      <c r="BL1014" s="147"/>
      <c r="BM1014" s="147"/>
      <c r="BN1014" s="147"/>
      <c r="BO1014" s="147"/>
      <c r="BP1014" s="147"/>
      <c r="BQ1014" s="147"/>
      <c r="BR1014" s="147"/>
      <c r="BS1014" s="147"/>
      <c r="BT1014" s="147"/>
      <c r="BU1014" s="147"/>
      <c r="BV1014" s="147"/>
      <c r="BW1014" s="147"/>
      <c r="BX1014" s="147"/>
      <c r="BY1014" s="147"/>
      <c r="BZ1014" s="147"/>
      <c r="CA1014" s="147"/>
      <c r="CB1014" s="147"/>
      <c r="CC1014" s="147"/>
      <c r="CD1014" s="147"/>
      <c r="CE1014" s="147"/>
      <c r="CF1014" s="147"/>
      <c r="CG1014" s="147"/>
      <c r="CH1014" s="147"/>
      <c r="CI1014" s="147"/>
      <c r="CJ1014" s="147"/>
      <c r="CK1014" s="147"/>
    </row>
    <row r="1015" spans="1:89">
      <c r="A1015" s="157"/>
      <c r="F1015" s="3"/>
      <c r="G1015" s="3"/>
      <c r="L1015" s="157"/>
      <c r="M1015" s="157"/>
      <c r="O1015" s="147"/>
      <c r="P1015" s="147"/>
      <c r="Q1015" s="147"/>
      <c r="R1015" s="147"/>
      <c r="S1015" s="147"/>
      <c r="T1015" s="147"/>
      <c r="U1015" s="147"/>
      <c r="V1015" s="147"/>
      <c r="W1015" s="147"/>
      <c r="X1015" s="147"/>
      <c r="Y1015" s="147"/>
      <c r="Z1015" s="147"/>
      <c r="AA1015" s="147"/>
      <c r="AB1015" s="147"/>
      <c r="AC1015" s="147"/>
      <c r="AD1015" s="147"/>
      <c r="AE1015" s="147"/>
      <c r="AF1015" s="147"/>
      <c r="AG1015" s="147"/>
      <c r="AH1015" s="147"/>
      <c r="AI1015" s="147"/>
      <c r="AJ1015" s="147"/>
      <c r="AK1015" s="147"/>
      <c r="AL1015" s="147"/>
      <c r="AM1015" s="151"/>
      <c r="AN1015" s="147"/>
      <c r="AO1015" s="147"/>
      <c r="AP1015" s="147"/>
      <c r="AQ1015" s="147"/>
      <c r="AR1015" s="147"/>
      <c r="AS1015" s="147"/>
      <c r="AT1015" s="147"/>
      <c r="AU1015" s="147"/>
      <c r="AV1015" s="147"/>
      <c r="AW1015" s="147"/>
      <c r="AX1015" s="147"/>
      <c r="AY1015" s="147"/>
      <c r="AZ1015" s="147"/>
      <c r="BA1015" s="147"/>
      <c r="BB1015" s="147"/>
      <c r="BC1015" s="147"/>
      <c r="BD1015" s="147"/>
      <c r="BE1015" s="147"/>
      <c r="BF1015" s="147"/>
      <c r="BG1015" s="147"/>
      <c r="BH1015" s="147"/>
      <c r="BI1015" s="147"/>
      <c r="BJ1015" s="147"/>
      <c r="BK1015" s="147"/>
      <c r="BL1015" s="147"/>
      <c r="BM1015" s="147"/>
      <c r="BN1015" s="147"/>
      <c r="BO1015" s="147"/>
      <c r="BP1015" s="147"/>
      <c r="BQ1015" s="147"/>
      <c r="BR1015" s="147"/>
      <c r="BS1015" s="147"/>
      <c r="BT1015" s="147"/>
      <c r="BU1015" s="147"/>
      <c r="BV1015" s="147"/>
      <c r="BW1015" s="147"/>
      <c r="BX1015" s="147"/>
      <c r="BY1015" s="147"/>
      <c r="BZ1015" s="147"/>
      <c r="CA1015" s="147"/>
      <c r="CB1015" s="147"/>
      <c r="CC1015" s="147"/>
      <c r="CD1015" s="147"/>
      <c r="CE1015" s="147"/>
      <c r="CF1015" s="147"/>
      <c r="CG1015" s="147"/>
      <c r="CH1015" s="147"/>
      <c r="CI1015" s="147"/>
      <c r="CJ1015" s="147"/>
      <c r="CK1015" s="147"/>
    </row>
    <row r="1016" spans="1:89">
      <c r="A1016" s="157"/>
      <c r="F1016" s="3"/>
      <c r="G1016" s="3"/>
      <c r="L1016" s="157"/>
      <c r="M1016" s="157"/>
      <c r="O1016" s="147"/>
      <c r="P1016" s="147"/>
      <c r="Q1016" s="147"/>
      <c r="R1016" s="147"/>
      <c r="S1016" s="147"/>
      <c r="T1016" s="147"/>
      <c r="U1016" s="147"/>
      <c r="V1016" s="147"/>
      <c r="W1016" s="147"/>
      <c r="X1016" s="147"/>
      <c r="Y1016" s="147"/>
      <c r="Z1016" s="147"/>
      <c r="AA1016" s="147"/>
      <c r="AB1016" s="147"/>
      <c r="AC1016" s="147"/>
      <c r="AD1016" s="147"/>
      <c r="AE1016" s="147"/>
      <c r="AF1016" s="147"/>
      <c r="AG1016" s="147"/>
      <c r="AH1016" s="147"/>
      <c r="AI1016" s="147"/>
      <c r="AJ1016" s="147"/>
      <c r="AK1016" s="147"/>
      <c r="AL1016" s="147"/>
      <c r="AM1016" s="151"/>
      <c r="AN1016" s="147"/>
      <c r="AO1016" s="147"/>
      <c r="AP1016" s="147"/>
      <c r="AQ1016" s="147"/>
      <c r="AR1016" s="147"/>
      <c r="AS1016" s="147"/>
      <c r="AT1016" s="147"/>
      <c r="AU1016" s="147"/>
      <c r="AV1016" s="147"/>
      <c r="AW1016" s="147"/>
      <c r="AX1016" s="147"/>
      <c r="AY1016" s="147"/>
      <c r="AZ1016" s="147"/>
      <c r="BA1016" s="147"/>
      <c r="BB1016" s="147"/>
      <c r="BC1016" s="147"/>
      <c r="BD1016" s="147"/>
      <c r="BE1016" s="147"/>
      <c r="BF1016" s="147"/>
      <c r="BG1016" s="147"/>
      <c r="BH1016" s="147"/>
      <c r="BI1016" s="147"/>
      <c r="BJ1016" s="147"/>
      <c r="BK1016" s="147"/>
      <c r="BL1016" s="147"/>
      <c r="BM1016" s="147"/>
      <c r="BN1016" s="147"/>
      <c r="BO1016" s="147"/>
      <c r="BP1016" s="147"/>
      <c r="BQ1016" s="147"/>
      <c r="BR1016" s="147"/>
      <c r="BS1016" s="147"/>
      <c r="BT1016" s="147"/>
      <c r="BU1016" s="147"/>
      <c r="BV1016" s="147"/>
      <c r="BW1016" s="147"/>
      <c r="BX1016" s="147"/>
      <c r="BY1016" s="147"/>
      <c r="BZ1016" s="147"/>
      <c r="CA1016" s="147"/>
      <c r="CB1016" s="147"/>
      <c r="CC1016" s="147"/>
      <c r="CD1016" s="147"/>
      <c r="CE1016" s="147"/>
      <c r="CF1016" s="147"/>
      <c r="CG1016" s="147"/>
      <c r="CH1016" s="147"/>
      <c r="CI1016" s="147"/>
      <c r="CJ1016" s="147"/>
      <c r="CK1016" s="147"/>
    </row>
    <row r="1017" spans="1:89">
      <c r="A1017" s="157"/>
      <c r="F1017" s="3"/>
      <c r="G1017" s="3"/>
      <c r="L1017" s="157"/>
      <c r="M1017" s="157"/>
      <c r="O1017" s="147"/>
      <c r="P1017" s="147"/>
      <c r="Q1017" s="147"/>
      <c r="R1017" s="147"/>
      <c r="S1017" s="147"/>
      <c r="T1017" s="147"/>
      <c r="U1017" s="147"/>
      <c r="V1017" s="147"/>
      <c r="W1017" s="147"/>
      <c r="X1017" s="147"/>
      <c r="Y1017" s="147"/>
      <c r="Z1017" s="147"/>
      <c r="AA1017" s="147"/>
      <c r="AB1017" s="147"/>
      <c r="AC1017" s="147"/>
      <c r="AD1017" s="147"/>
      <c r="AE1017" s="147"/>
      <c r="AF1017" s="147"/>
      <c r="AG1017" s="147"/>
      <c r="AH1017" s="147"/>
      <c r="AI1017" s="147"/>
      <c r="AJ1017" s="147"/>
      <c r="AK1017" s="147"/>
      <c r="AL1017" s="147"/>
      <c r="AM1017" s="151"/>
      <c r="AN1017" s="147"/>
      <c r="AO1017" s="147"/>
      <c r="AP1017" s="147"/>
      <c r="AQ1017" s="147"/>
      <c r="AR1017" s="147"/>
      <c r="AS1017" s="147"/>
      <c r="AT1017" s="147"/>
      <c r="AU1017" s="147"/>
      <c r="AV1017" s="147"/>
      <c r="AW1017" s="147"/>
      <c r="AX1017" s="147"/>
      <c r="AY1017" s="147"/>
      <c r="AZ1017" s="147"/>
      <c r="BA1017" s="147"/>
      <c r="BB1017" s="147"/>
      <c r="BC1017" s="147"/>
      <c r="BD1017" s="147"/>
      <c r="BE1017" s="147"/>
      <c r="BF1017" s="147"/>
      <c r="BG1017" s="147"/>
      <c r="BH1017" s="147"/>
      <c r="BI1017" s="147"/>
      <c r="BJ1017" s="147"/>
      <c r="BK1017" s="147"/>
      <c r="BL1017" s="147"/>
      <c r="BM1017" s="147"/>
      <c r="BN1017" s="147"/>
      <c r="BO1017" s="147"/>
      <c r="BP1017" s="147"/>
      <c r="BQ1017" s="147"/>
      <c r="BR1017" s="147"/>
      <c r="BS1017" s="147"/>
      <c r="BT1017" s="147"/>
      <c r="BU1017" s="147"/>
      <c r="BV1017" s="147"/>
      <c r="BW1017" s="147"/>
      <c r="BX1017" s="147"/>
      <c r="BY1017" s="147"/>
      <c r="BZ1017" s="147"/>
      <c r="CA1017" s="147"/>
      <c r="CB1017" s="147"/>
      <c r="CC1017" s="147"/>
      <c r="CD1017" s="147"/>
      <c r="CE1017" s="147"/>
      <c r="CF1017" s="147"/>
      <c r="CG1017" s="147"/>
      <c r="CH1017" s="147"/>
      <c r="CI1017" s="147"/>
      <c r="CJ1017" s="147"/>
      <c r="CK1017" s="147"/>
    </row>
    <row r="1018" spans="1:89">
      <c r="A1018" s="157"/>
      <c r="F1018" s="3"/>
      <c r="G1018" s="3"/>
      <c r="L1018" s="157"/>
      <c r="M1018" s="157"/>
      <c r="O1018" s="147"/>
      <c r="P1018" s="147"/>
      <c r="Q1018" s="147"/>
      <c r="R1018" s="147"/>
      <c r="S1018" s="147"/>
      <c r="T1018" s="147"/>
      <c r="U1018" s="147"/>
      <c r="V1018" s="147"/>
      <c r="W1018" s="147"/>
      <c r="X1018" s="147"/>
      <c r="Y1018" s="147"/>
      <c r="Z1018" s="147"/>
      <c r="AA1018" s="147"/>
      <c r="AB1018" s="147"/>
      <c r="AC1018" s="147"/>
      <c r="AD1018" s="147"/>
      <c r="AE1018" s="147"/>
      <c r="AF1018" s="147"/>
      <c r="AG1018" s="147"/>
      <c r="AH1018" s="147"/>
      <c r="AI1018" s="147"/>
      <c r="AJ1018" s="147"/>
      <c r="AK1018" s="147"/>
      <c r="AL1018" s="147"/>
      <c r="AM1018" s="151"/>
      <c r="AN1018" s="147"/>
      <c r="AO1018" s="147"/>
      <c r="AP1018" s="147"/>
      <c r="AQ1018" s="147"/>
      <c r="AR1018" s="147"/>
      <c r="AS1018" s="147"/>
      <c r="AT1018" s="147"/>
      <c r="AU1018" s="147"/>
      <c r="AV1018" s="147"/>
      <c r="AW1018" s="147"/>
      <c r="AX1018" s="147"/>
      <c r="AY1018" s="147"/>
      <c r="AZ1018" s="147"/>
      <c r="BA1018" s="147"/>
      <c r="BB1018" s="147"/>
      <c r="BC1018" s="147"/>
      <c r="BD1018" s="147"/>
      <c r="BE1018" s="147"/>
      <c r="BF1018" s="147"/>
      <c r="BG1018" s="147"/>
      <c r="BH1018" s="147"/>
      <c r="BI1018" s="147"/>
      <c r="BJ1018" s="147"/>
      <c r="BK1018" s="147"/>
      <c r="BL1018" s="147"/>
      <c r="BM1018" s="147"/>
      <c r="BN1018" s="147"/>
      <c r="BO1018" s="147"/>
      <c r="BP1018" s="147"/>
      <c r="BQ1018" s="147"/>
      <c r="BR1018" s="147"/>
      <c r="BS1018" s="147"/>
      <c r="BT1018" s="147"/>
      <c r="BU1018" s="147"/>
      <c r="BV1018" s="147"/>
      <c r="BW1018" s="147"/>
      <c r="BX1018" s="147"/>
      <c r="BY1018" s="147"/>
      <c r="BZ1018" s="147"/>
      <c r="CA1018" s="147"/>
      <c r="CB1018" s="147"/>
      <c r="CC1018" s="147"/>
      <c r="CD1018" s="147"/>
      <c r="CE1018" s="147"/>
      <c r="CF1018" s="147"/>
      <c r="CG1018" s="147"/>
      <c r="CH1018" s="147"/>
      <c r="CI1018" s="147"/>
      <c r="CJ1018" s="147"/>
      <c r="CK1018" s="147"/>
    </row>
    <row r="1019" spans="1:89">
      <c r="A1019" s="157"/>
      <c r="F1019" s="3"/>
      <c r="G1019" s="3"/>
      <c r="L1019" s="157"/>
      <c r="M1019" s="157"/>
      <c r="O1019" s="147"/>
      <c r="P1019" s="147"/>
      <c r="Q1019" s="147"/>
      <c r="R1019" s="147"/>
      <c r="S1019" s="147"/>
      <c r="T1019" s="147"/>
      <c r="U1019" s="147"/>
      <c r="V1019" s="147"/>
      <c r="W1019" s="147"/>
      <c r="X1019" s="147"/>
      <c r="Y1019" s="147"/>
      <c r="Z1019" s="147"/>
      <c r="AA1019" s="147"/>
      <c r="AB1019" s="147"/>
      <c r="AC1019" s="147"/>
      <c r="AD1019" s="147"/>
      <c r="AE1019" s="147"/>
      <c r="AF1019" s="147"/>
      <c r="AG1019" s="147"/>
      <c r="AH1019" s="147"/>
      <c r="AI1019" s="147"/>
      <c r="AJ1019" s="147"/>
      <c r="AK1019" s="147"/>
      <c r="AL1019" s="147"/>
      <c r="AM1019" s="151"/>
      <c r="AN1019" s="147"/>
      <c r="AO1019" s="147"/>
      <c r="AP1019" s="147"/>
      <c r="AQ1019" s="147"/>
      <c r="AR1019" s="147"/>
      <c r="AS1019" s="147"/>
      <c r="AT1019" s="147"/>
      <c r="AU1019" s="147"/>
      <c r="AV1019" s="147"/>
      <c r="AW1019" s="147"/>
      <c r="AX1019" s="147"/>
      <c r="AY1019" s="147"/>
      <c r="AZ1019" s="147"/>
      <c r="BA1019" s="147"/>
      <c r="BB1019" s="147"/>
      <c r="BC1019" s="147"/>
      <c r="BD1019" s="147"/>
      <c r="BE1019" s="147"/>
      <c r="BF1019" s="147"/>
      <c r="BG1019" s="147"/>
      <c r="BH1019" s="147"/>
      <c r="BI1019" s="147"/>
      <c r="BJ1019" s="147"/>
      <c r="BK1019" s="147"/>
      <c r="BL1019" s="147"/>
      <c r="BM1019" s="147"/>
      <c r="BN1019" s="147"/>
      <c r="BO1019" s="147"/>
      <c r="BP1019" s="147"/>
      <c r="BQ1019" s="147"/>
      <c r="BR1019" s="147"/>
      <c r="BS1019" s="147"/>
      <c r="BT1019" s="147"/>
      <c r="BU1019" s="147"/>
      <c r="BV1019" s="147"/>
      <c r="BW1019" s="147"/>
      <c r="BX1019" s="147"/>
      <c r="BY1019" s="147"/>
      <c r="BZ1019" s="147"/>
      <c r="CA1019" s="147"/>
      <c r="CB1019" s="147"/>
      <c r="CC1019" s="147"/>
      <c r="CD1019" s="147"/>
      <c r="CE1019" s="147"/>
      <c r="CF1019" s="147"/>
      <c r="CG1019" s="147"/>
      <c r="CH1019" s="147"/>
      <c r="CI1019" s="147"/>
      <c r="CJ1019" s="147"/>
      <c r="CK1019" s="147"/>
    </row>
    <row r="1020" spans="1:89">
      <c r="A1020" s="157"/>
      <c r="F1020" s="3"/>
      <c r="G1020" s="3"/>
      <c r="L1020" s="157"/>
      <c r="M1020" s="157"/>
      <c r="O1020" s="147"/>
      <c r="P1020" s="147"/>
      <c r="Q1020" s="147"/>
      <c r="R1020" s="147"/>
      <c r="S1020" s="147"/>
      <c r="T1020" s="147"/>
      <c r="U1020" s="147"/>
      <c r="V1020" s="147"/>
      <c r="W1020" s="147"/>
      <c r="X1020" s="147"/>
      <c r="Y1020" s="147"/>
      <c r="Z1020" s="147"/>
      <c r="AA1020" s="147"/>
      <c r="AB1020" s="147"/>
      <c r="AC1020" s="147"/>
      <c r="AD1020" s="147"/>
      <c r="AE1020" s="147"/>
      <c r="AF1020" s="147"/>
      <c r="AG1020" s="147"/>
      <c r="AH1020" s="147"/>
      <c r="AI1020" s="147"/>
      <c r="AJ1020" s="147"/>
      <c r="AK1020" s="147"/>
      <c r="AL1020" s="147"/>
      <c r="AM1020" s="151"/>
      <c r="AN1020" s="147"/>
      <c r="AO1020" s="147"/>
      <c r="AP1020" s="147"/>
      <c r="AQ1020" s="147"/>
      <c r="AR1020" s="147"/>
      <c r="AS1020" s="147"/>
      <c r="AT1020" s="147"/>
      <c r="AU1020" s="147"/>
      <c r="AV1020" s="147"/>
      <c r="AW1020" s="147"/>
      <c r="AX1020" s="147"/>
      <c r="AY1020" s="147"/>
      <c r="AZ1020" s="147"/>
      <c r="BA1020" s="147"/>
      <c r="BB1020" s="147"/>
      <c r="BC1020" s="147"/>
      <c r="BD1020" s="147"/>
      <c r="BE1020" s="147"/>
      <c r="BF1020" s="147"/>
      <c r="BG1020" s="147"/>
      <c r="BH1020" s="147"/>
      <c r="BI1020" s="147"/>
      <c r="BJ1020" s="147"/>
      <c r="BK1020" s="147"/>
      <c r="BL1020" s="147"/>
      <c r="BM1020" s="147"/>
      <c r="BN1020" s="147"/>
      <c r="BO1020" s="147"/>
      <c r="BP1020" s="147"/>
      <c r="BQ1020" s="147"/>
      <c r="BR1020" s="147"/>
      <c r="BS1020" s="147"/>
      <c r="BT1020" s="147"/>
      <c r="BU1020" s="147"/>
      <c r="BV1020" s="147"/>
      <c r="BW1020" s="147"/>
      <c r="BX1020" s="147"/>
      <c r="BY1020" s="147"/>
      <c r="BZ1020" s="147"/>
      <c r="CA1020" s="147"/>
      <c r="CB1020" s="147"/>
      <c r="CC1020" s="147"/>
      <c r="CD1020" s="147"/>
      <c r="CE1020" s="147"/>
      <c r="CF1020" s="147"/>
      <c r="CG1020" s="147"/>
      <c r="CH1020" s="147"/>
      <c r="CI1020" s="147"/>
      <c r="CJ1020" s="147"/>
      <c r="CK1020" s="147"/>
    </row>
    <row r="1021" spans="1:89">
      <c r="A1021" s="157"/>
      <c r="F1021" s="3"/>
      <c r="G1021" s="3"/>
      <c r="L1021" s="157"/>
      <c r="M1021" s="157"/>
      <c r="O1021" s="147"/>
      <c r="P1021" s="147"/>
      <c r="Q1021" s="147"/>
      <c r="R1021" s="147"/>
      <c r="S1021" s="147"/>
      <c r="T1021" s="147"/>
      <c r="U1021" s="147"/>
      <c r="V1021" s="147"/>
      <c r="W1021" s="147"/>
      <c r="X1021" s="147"/>
      <c r="Y1021" s="147"/>
      <c r="Z1021" s="147"/>
      <c r="AA1021" s="147"/>
      <c r="AB1021" s="147"/>
      <c r="AC1021" s="147"/>
      <c r="AD1021" s="147"/>
      <c r="AE1021" s="147"/>
      <c r="AF1021" s="147"/>
      <c r="AG1021" s="147"/>
      <c r="AH1021" s="147"/>
      <c r="AI1021" s="147"/>
      <c r="AJ1021" s="147"/>
      <c r="AK1021" s="147"/>
      <c r="AL1021" s="147"/>
      <c r="AM1021" s="151"/>
      <c r="AN1021" s="147"/>
      <c r="AO1021" s="147"/>
      <c r="AP1021" s="147"/>
      <c r="AQ1021" s="147"/>
      <c r="AR1021" s="147"/>
      <c r="AS1021" s="147"/>
      <c r="AT1021" s="147"/>
      <c r="AU1021" s="147"/>
      <c r="AV1021" s="147"/>
      <c r="AW1021" s="147"/>
      <c r="AX1021" s="147"/>
      <c r="AY1021" s="147"/>
      <c r="AZ1021" s="147"/>
      <c r="BA1021" s="147"/>
      <c r="BB1021" s="147"/>
      <c r="BC1021" s="147"/>
      <c r="BD1021" s="147"/>
      <c r="BE1021" s="147"/>
      <c r="BF1021" s="147"/>
      <c r="BG1021" s="147"/>
      <c r="BH1021" s="147"/>
      <c r="BI1021" s="147"/>
      <c r="BJ1021" s="147"/>
      <c r="BK1021" s="147"/>
      <c r="BL1021" s="147"/>
      <c r="BM1021" s="147"/>
      <c r="BN1021" s="147"/>
      <c r="BO1021" s="147"/>
      <c r="BP1021" s="147"/>
      <c r="BQ1021" s="147"/>
      <c r="BR1021" s="147"/>
      <c r="BS1021" s="147"/>
      <c r="BT1021" s="147"/>
      <c r="BU1021" s="147"/>
      <c r="BV1021" s="147"/>
      <c r="BW1021" s="147"/>
      <c r="BX1021" s="147"/>
      <c r="BY1021" s="147"/>
      <c r="BZ1021" s="147"/>
      <c r="CA1021" s="147"/>
      <c r="CB1021" s="147"/>
      <c r="CC1021" s="147"/>
      <c r="CD1021" s="147"/>
      <c r="CE1021" s="147"/>
      <c r="CF1021" s="147"/>
      <c r="CG1021" s="147"/>
      <c r="CH1021" s="147"/>
      <c r="CI1021" s="147"/>
      <c r="CJ1021" s="147"/>
      <c r="CK1021" s="147"/>
    </row>
    <row r="1022" spans="1:89">
      <c r="A1022" s="157"/>
      <c r="F1022" s="3"/>
      <c r="G1022" s="3"/>
      <c r="L1022" s="157"/>
      <c r="M1022" s="157"/>
      <c r="O1022" s="147"/>
      <c r="P1022" s="147"/>
      <c r="Q1022" s="147"/>
      <c r="R1022" s="147"/>
      <c r="S1022" s="147"/>
      <c r="T1022" s="147"/>
      <c r="U1022" s="147"/>
      <c r="V1022" s="147"/>
      <c r="W1022" s="147"/>
      <c r="X1022" s="147"/>
      <c r="Y1022" s="147"/>
      <c r="Z1022" s="147"/>
      <c r="AA1022" s="147"/>
      <c r="AB1022" s="147"/>
      <c r="AC1022" s="147"/>
      <c r="AD1022" s="147"/>
      <c r="AE1022" s="147"/>
      <c r="AF1022" s="147"/>
      <c r="AG1022" s="147"/>
      <c r="AH1022" s="147"/>
      <c r="AI1022" s="147"/>
      <c r="AJ1022" s="147"/>
      <c r="AK1022" s="147"/>
      <c r="AL1022" s="147"/>
      <c r="AM1022" s="151"/>
      <c r="AN1022" s="147"/>
      <c r="AO1022" s="147"/>
      <c r="AP1022" s="147"/>
      <c r="AQ1022" s="147"/>
      <c r="AR1022" s="147"/>
      <c r="AS1022" s="147"/>
      <c r="AT1022" s="147"/>
      <c r="AU1022" s="147"/>
      <c r="AV1022" s="147"/>
      <c r="AW1022" s="147"/>
      <c r="AX1022" s="147"/>
      <c r="AY1022" s="147"/>
      <c r="AZ1022" s="147"/>
      <c r="BA1022" s="147"/>
      <c r="BB1022" s="147"/>
      <c r="BC1022" s="147"/>
      <c r="BD1022" s="147"/>
      <c r="BE1022" s="147"/>
      <c r="BF1022" s="147"/>
      <c r="BG1022" s="147"/>
      <c r="BH1022" s="147"/>
      <c r="BI1022" s="147"/>
      <c r="BJ1022" s="147"/>
      <c r="BK1022" s="147"/>
      <c r="BL1022" s="147"/>
      <c r="BM1022" s="147"/>
      <c r="BN1022" s="147"/>
      <c r="BO1022" s="147"/>
      <c r="BP1022" s="147"/>
      <c r="BQ1022" s="147"/>
      <c r="BR1022" s="147"/>
      <c r="BS1022" s="147"/>
      <c r="BT1022" s="147"/>
      <c r="BU1022" s="147"/>
      <c r="BV1022" s="147"/>
      <c r="BW1022" s="147"/>
      <c r="BX1022" s="147"/>
      <c r="BY1022" s="147"/>
      <c r="BZ1022" s="147"/>
      <c r="CA1022" s="147"/>
      <c r="CB1022" s="147"/>
      <c r="CC1022" s="147"/>
      <c r="CD1022" s="147"/>
      <c r="CE1022" s="147"/>
      <c r="CF1022" s="147"/>
      <c r="CG1022" s="147"/>
      <c r="CH1022" s="147"/>
      <c r="CI1022" s="147"/>
      <c r="CJ1022" s="147"/>
      <c r="CK1022" s="147"/>
    </row>
    <row r="1023" spans="1:89">
      <c r="A1023" s="157"/>
      <c r="F1023" s="3"/>
      <c r="G1023" s="3"/>
      <c r="L1023" s="157"/>
      <c r="M1023" s="157"/>
      <c r="O1023" s="147"/>
      <c r="P1023" s="147"/>
      <c r="Q1023" s="147"/>
      <c r="R1023" s="147"/>
      <c r="S1023" s="147"/>
      <c r="T1023" s="147"/>
      <c r="U1023" s="147"/>
      <c r="V1023" s="147"/>
      <c r="W1023" s="147"/>
      <c r="X1023" s="147"/>
      <c r="Y1023" s="147"/>
      <c r="Z1023" s="147"/>
      <c r="AA1023" s="147"/>
      <c r="AB1023" s="147"/>
      <c r="AC1023" s="147"/>
      <c r="AD1023" s="147"/>
      <c r="AE1023" s="147"/>
      <c r="AF1023" s="147"/>
      <c r="AG1023" s="147"/>
      <c r="AH1023" s="147"/>
      <c r="AI1023" s="147"/>
      <c r="AJ1023" s="147"/>
      <c r="AK1023" s="147"/>
      <c r="AL1023" s="147"/>
      <c r="AM1023" s="151"/>
      <c r="AN1023" s="147"/>
      <c r="AO1023" s="147"/>
      <c r="AP1023" s="147"/>
      <c r="AQ1023" s="147"/>
      <c r="AR1023" s="147"/>
      <c r="AS1023" s="147"/>
      <c r="AT1023" s="147"/>
      <c r="AU1023" s="147"/>
      <c r="AV1023" s="147"/>
      <c r="AW1023" s="147"/>
      <c r="AX1023" s="147"/>
      <c r="AY1023" s="147"/>
      <c r="AZ1023" s="147"/>
      <c r="BA1023" s="147"/>
      <c r="BB1023" s="147"/>
      <c r="BC1023" s="147"/>
      <c r="BD1023" s="147"/>
      <c r="BE1023" s="147"/>
      <c r="BF1023" s="147"/>
      <c r="BG1023" s="147"/>
      <c r="BH1023" s="147"/>
      <c r="BI1023" s="147"/>
      <c r="BJ1023" s="147"/>
      <c r="BK1023" s="147"/>
      <c r="BL1023" s="147"/>
      <c r="BM1023" s="147"/>
      <c r="BN1023" s="147"/>
      <c r="BO1023" s="147"/>
      <c r="BP1023" s="147"/>
      <c r="BQ1023" s="147"/>
      <c r="BR1023" s="147"/>
      <c r="BS1023" s="147"/>
      <c r="BT1023" s="147"/>
      <c r="BU1023" s="147"/>
      <c r="BV1023" s="147"/>
      <c r="BW1023" s="147"/>
      <c r="BX1023" s="147"/>
      <c r="BY1023" s="147"/>
      <c r="BZ1023" s="147"/>
      <c r="CA1023" s="147"/>
      <c r="CB1023" s="147"/>
      <c r="CC1023" s="147"/>
      <c r="CD1023" s="147"/>
      <c r="CE1023" s="147"/>
      <c r="CF1023" s="147"/>
      <c r="CG1023" s="147"/>
      <c r="CH1023" s="147"/>
      <c r="CI1023" s="147"/>
      <c r="CJ1023" s="147"/>
      <c r="CK1023" s="147"/>
    </row>
    <row r="1024" spans="1:89">
      <c r="A1024" s="157"/>
      <c r="F1024" s="3"/>
      <c r="G1024" s="3"/>
      <c r="L1024" s="157"/>
      <c r="M1024" s="157"/>
      <c r="O1024" s="147"/>
      <c r="P1024" s="147"/>
      <c r="Q1024" s="147"/>
      <c r="R1024" s="147"/>
      <c r="S1024" s="147"/>
      <c r="T1024" s="147"/>
      <c r="U1024" s="147"/>
      <c r="V1024" s="147"/>
      <c r="W1024" s="147"/>
      <c r="X1024" s="147"/>
      <c r="Y1024" s="147"/>
      <c r="Z1024" s="147"/>
      <c r="AA1024" s="147"/>
      <c r="AB1024" s="147"/>
      <c r="AC1024" s="147"/>
      <c r="AD1024" s="147"/>
      <c r="AE1024" s="147"/>
      <c r="AF1024" s="147"/>
      <c r="AG1024" s="147"/>
      <c r="AH1024" s="147"/>
      <c r="AI1024" s="147"/>
      <c r="AJ1024" s="147"/>
      <c r="AK1024" s="147"/>
      <c r="AL1024" s="147"/>
      <c r="AM1024" s="151"/>
      <c r="AN1024" s="147"/>
      <c r="AO1024" s="147"/>
      <c r="AP1024" s="147"/>
      <c r="AQ1024" s="147"/>
      <c r="AR1024" s="147"/>
      <c r="AS1024" s="147"/>
      <c r="AT1024" s="147"/>
      <c r="AU1024" s="147"/>
      <c r="AV1024" s="147"/>
      <c r="AW1024" s="147"/>
      <c r="AX1024" s="147"/>
      <c r="AY1024" s="147"/>
      <c r="AZ1024" s="147"/>
      <c r="BA1024" s="147"/>
      <c r="BB1024" s="147"/>
      <c r="BC1024" s="147"/>
      <c r="BD1024" s="147"/>
      <c r="BE1024" s="147"/>
      <c r="BF1024" s="147"/>
      <c r="BG1024" s="147"/>
      <c r="BH1024" s="147"/>
      <c r="BI1024" s="147"/>
      <c r="BJ1024" s="147"/>
      <c r="BK1024" s="147"/>
      <c r="BL1024" s="147"/>
      <c r="BM1024" s="147"/>
      <c r="BN1024" s="147"/>
      <c r="BO1024" s="147"/>
      <c r="BP1024" s="147"/>
      <c r="BQ1024" s="147"/>
      <c r="BR1024" s="147"/>
      <c r="BS1024" s="147"/>
      <c r="BT1024" s="147"/>
      <c r="BU1024" s="147"/>
      <c r="BV1024" s="147"/>
      <c r="BW1024" s="147"/>
      <c r="BX1024" s="147"/>
      <c r="BY1024" s="147"/>
      <c r="BZ1024" s="147"/>
      <c r="CA1024" s="147"/>
      <c r="CB1024" s="147"/>
      <c r="CC1024" s="147"/>
      <c r="CD1024" s="147"/>
      <c r="CE1024" s="147"/>
      <c r="CF1024" s="147"/>
      <c r="CG1024" s="147"/>
      <c r="CH1024" s="147"/>
      <c r="CI1024" s="147"/>
      <c r="CJ1024" s="147"/>
      <c r="CK1024" s="147"/>
    </row>
    <row r="1025" spans="1:89">
      <c r="A1025" s="157"/>
      <c r="F1025" s="3"/>
      <c r="G1025" s="3"/>
      <c r="L1025" s="157"/>
      <c r="M1025" s="157"/>
      <c r="O1025" s="147"/>
      <c r="P1025" s="147"/>
      <c r="Q1025" s="147"/>
      <c r="R1025" s="147"/>
      <c r="S1025" s="147"/>
      <c r="T1025" s="147"/>
      <c r="U1025" s="147"/>
      <c r="V1025" s="147"/>
      <c r="W1025" s="147"/>
      <c r="X1025" s="147"/>
      <c r="Y1025" s="147"/>
      <c r="Z1025" s="147"/>
      <c r="AA1025" s="147"/>
      <c r="AB1025" s="147"/>
      <c r="AC1025" s="147"/>
      <c r="AD1025" s="147"/>
      <c r="AE1025" s="147"/>
      <c r="AF1025" s="147"/>
      <c r="AG1025" s="147"/>
      <c r="AH1025" s="147"/>
      <c r="AI1025" s="147"/>
      <c r="AJ1025" s="147"/>
      <c r="AK1025" s="147"/>
      <c r="AL1025" s="147"/>
      <c r="AM1025" s="151"/>
      <c r="AN1025" s="147"/>
      <c r="AO1025" s="147"/>
      <c r="AP1025" s="147"/>
      <c r="AQ1025" s="147"/>
      <c r="AR1025" s="147"/>
      <c r="AS1025" s="147"/>
      <c r="AT1025" s="147"/>
      <c r="AU1025" s="147"/>
      <c r="AV1025" s="147"/>
      <c r="AW1025" s="147"/>
      <c r="AX1025" s="147"/>
      <c r="AY1025" s="147"/>
      <c r="AZ1025" s="147"/>
      <c r="BA1025" s="147"/>
      <c r="BB1025" s="147"/>
      <c r="BC1025" s="147"/>
      <c r="BD1025" s="147"/>
      <c r="BE1025" s="147"/>
      <c r="BF1025" s="147"/>
      <c r="BG1025" s="147"/>
      <c r="BH1025" s="147"/>
      <c r="BI1025" s="147"/>
      <c r="BJ1025" s="147"/>
      <c r="BK1025" s="147"/>
      <c r="BL1025" s="147"/>
      <c r="BM1025" s="147"/>
      <c r="BN1025" s="147"/>
      <c r="BO1025" s="147"/>
      <c r="BP1025" s="147"/>
      <c r="BQ1025" s="147"/>
      <c r="BR1025" s="147"/>
      <c r="BS1025" s="147"/>
      <c r="BT1025" s="147"/>
      <c r="BU1025" s="147"/>
      <c r="BV1025" s="147"/>
      <c r="BW1025" s="147"/>
      <c r="BX1025" s="147"/>
      <c r="BY1025" s="147"/>
      <c r="BZ1025" s="147"/>
      <c r="CA1025" s="147"/>
      <c r="CB1025" s="147"/>
      <c r="CC1025" s="147"/>
      <c r="CD1025" s="147"/>
      <c r="CE1025" s="147"/>
      <c r="CF1025" s="147"/>
      <c r="CG1025" s="147"/>
      <c r="CH1025" s="147"/>
      <c r="CI1025" s="147"/>
      <c r="CJ1025" s="147"/>
      <c r="CK1025" s="147"/>
    </row>
    <row r="1026" spans="1:89">
      <c r="A1026" s="157"/>
      <c r="F1026" s="3"/>
      <c r="G1026" s="3"/>
      <c r="L1026" s="157"/>
      <c r="M1026" s="157"/>
      <c r="O1026" s="147"/>
      <c r="P1026" s="147"/>
      <c r="Q1026" s="147"/>
      <c r="R1026" s="147"/>
      <c r="S1026" s="147"/>
      <c r="T1026" s="147"/>
      <c r="U1026" s="147"/>
      <c r="V1026" s="147"/>
      <c r="W1026" s="147"/>
      <c r="X1026" s="147"/>
      <c r="Y1026" s="147"/>
      <c r="Z1026" s="147"/>
      <c r="AA1026" s="147"/>
      <c r="AB1026" s="147"/>
      <c r="AC1026" s="147"/>
      <c r="AD1026" s="147"/>
      <c r="AE1026" s="147"/>
      <c r="AF1026" s="147"/>
      <c r="AG1026" s="147"/>
      <c r="AH1026" s="147"/>
      <c r="AI1026" s="147"/>
      <c r="AJ1026" s="147"/>
      <c r="AK1026" s="147"/>
      <c r="AL1026" s="147"/>
      <c r="AM1026" s="151"/>
      <c r="AN1026" s="147"/>
      <c r="AO1026" s="147"/>
      <c r="AP1026" s="147"/>
      <c r="AQ1026" s="147"/>
      <c r="AR1026" s="147"/>
      <c r="AS1026" s="147"/>
      <c r="AT1026" s="147"/>
      <c r="AU1026" s="147"/>
      <c r="AV1026" s="147"/>
      <c r="AW1026" s="147"/>
      <c r="AX1026" s="147"/>
      <c r="AY1026" s="147"/>
      <c r="AZ1026" s="147"/>
      <c r="BA1026" s="147"/>
      <c r="BB1026" s="147"/>
      <c r="BC1026" s="147"/>
      <c r="BD1026" s="147"/>
      <c r="BE1026" s="147"/>
      <c r="BF1026" s="147"/>
      <c r="BG1026" s="147"/>
      <c r="BH1026" s="147"/>
      <c r="BI1026" s="147"/>
      <c r="BJ1026" s="147"/>
      <c r="BK1026" s="147"/>
      <c r="BL1026" s="147"/>
      <c r="BM1026" s="147"/>
      <c r="BN1026" s="147"/>
      <c r="BO1026" s="147"/>
      <c r="BP1026" s="147"/>
      <c r="BQ1026" s="147"/>
      <c r="BR1026" s="147"/>
      <c r="BS1026" s="147"/>
      <c r="BT1026" s="147"/>
      <c r="BU1026" s="147"/>
      <c r="BV1026" s="147"/>
      <c r="BW1026" s="147"/>
      <c r="BX1026" s="147"/>
      <c r="BY1026" s="147"/>
      <c r="BZ1026" s="147"/>
      <c r="CA1026" s="147"/>
      <c r="CB1026" s="147"/>
      <c r="CC1026" s="147"/>
      <c r="CD1026" s="147"/>
      <c r="CE1026" s="147"/>
      <c r="CF1026" s="147"/>
      <c r="CG1026" s="147"/>
      <c r="CH1026" s="147"/>
      <c r="CI1026" s="147"/>
      <c r="CJ1026" s="147"/>
      <c r="CK1026" s="147"/>
    </row>
    <row r="1027" spans="1:89">
      <c r="A1027" s="157"/>
      <c r="F1027" s="3"/>
      <c r="G1027" s="3"/>
      <c r="L1027" s="157"/>
      <c r="M1027" s="157"/>
      <c r="O1027" s="147"/>
      <c r="P1027" s="147"/>
      <c r="Q1027" s="147"/>
      <c r="R1027" s="147"/>
      <c r="S1027" s="147"/>
      <c r="T1027" s="147"/>
      <c r="U1027" s="147"/>
      <c r="V1027" s="147"/>
      <c r="W1027" s="147"/>
      <c r="X1027" s="147"/>
      <c r="Y1027" s="147"/>
      <c r="Z1027" s="147"/>
      <c r="AA1027" s="147"/>
      <c r="AB1027" s="147"/>
      <c r="AC1027" s="147"/>
      <c r="AD1027" s="147"/>
      <c r="AE1027" s="147"/>
      <c r="AF1027" s="147"/>
      <c r="AG1027" s="147"/>
      <c r="AH1027" s="147"/>
      <c r="AI1027" s="147"/>
      <c r="AJ1027" s="147"/>
      <c r="AK1027" s="147"/>
      <c r="AL1027" s="147"/>
      <c r="AM1027" s="151"/>
      <c r="AN1027" s="147"/>
      <c r="AO1027" s="147"/>
      <c r="AP1027" s="147"/>
      <c r="AQ1027" s="147"/>
      <c r="AR1027" s="147"/>
      <c r="AS1027" s="147"/>
      <c r="AT1027" s="147"/>
      <c r="AU1027" s="147"/>
      <c r="AV1027" s="147"/>
      <c r="AW1027" s="147"/>
      <c r="AX1027" s="147"/>
      <c r="AY1027" s="147"/>
      <c r="AZ1027" s="147"/>
      <c r="BA1027" s="147"/>
      <c r="BB1027" s="147"/>
      <c r="BC1027" s="147"/>
      <c r="BD1027" s="147"/>
      <c r="BE1027" s="147"/>
      <c r="BF1027" s="147"/>
      <c r="BG1027" s="147"/>
      <c r="BH1027" s="147"/>
      <c r="BI1027" s="147"/>
      <c r="BJ1027" s="147"/>
      <c r="BK1027" s="147"/>
      <c r="BL1027" s="147"/>
      <c r="BM1027" s="147"/>
      <c r="BN1027" s="147"/>
      <c r="BO1027" s="147"/>
      <c r="BP1027" s="147"/>
      <c r="BQ1027" s="147"/>
      <c r="BR1027" s="147"/>
      <c r="BS1027" s="147"/>
      <c r="BT1027" s="147"/>
      <c r="BU1027" s="147"/>
      <c r="BV1027" s="147"/>
      <c r="BW1027" s="147"/>
      <c r="BX1027" s="147"/>
      <c r="BY1027" s="147"/>
      <c r="BZ1027" s="147"/>
      <c r="CA1027" s="147"/>
      <c r="CB1027" s="147"/>
      <c r="CC1027" s="147"/>
      <c r="CD1027" s="147"/>
      <c r="CE1027" s="147"/>
      <c r="CF1027" s="147"/>
      <c r="CG1027" s="147"/>
      <c r="CH1027" s="147"/>
      <c r="CI1027" s="147"/>
      <c r="CJ1027" s="147"/>
      <c r="CK1027" s="147"/>
    </row>
    <row r="1028" spans="1:89">
      <c r="A1028" s="157"/>
      <c r="F1028" s="3"/>
      <c r="G1028" s="3"/>
      <c r="L1028" s="157"/>
      <c r="M1028" s="157"/>
      <c r="O1028" s="147"/>
      <c r="P1028" s="147"/>
      <c r="Q1028" s="147"/>
      <c r="R1028" s="147"/>
      <c r="S1028" s="147"/>
      <c r="T1028" s="147"/>
      <c r="U1028" s="147"/>
      <c r="V1028" s="147"/>
      <c r="W1028" s="147"/>
      <c r="X1028" s="147"/>
      <c r="Y1028" s="147"/>
      <c r="Z1028" s="147"/>
      <c r="AA1028" s="147"/>
      <c r="AB1028" s="147"/>
      <c r="AC1028" s="147"/>
      <c r="AD1028" s="147"/>
      <c r="AE1028" s="147"/>
      <c r="AF1028" s="147"/>
      <c r="AG1028" s="147"/>
      <c r="AH1028" s="147"/>
      <c r="AI1028" s="147"/>
      <c r="AJ1028" s="147"/>
      <c r="AK1028" s="147"/>
      <c r="AL1028" s="147"/>
      <c r="AM1028" s="151"/>
      <c r="AN1028" s="147"/>
      <c r="AO1028" s="147"/>
      <c r="AP1028" s="147"/>
      <c r="AQ1028" s="147"/>
      <c r="AR1028" s="147"/>
      <c r="AS1028" s="147"/>
      <c r="AT1028" s="147"/>
      <c r="AU1028" s="147"/>
      <c r="AV1028" s="147"/>
      <c r="AW1028" s="147"/>
      <c r="AX1028" s="147"/>
      <c r="AY1028" s="147"/>
      <c r="AZ1028" s="147"/>
      <c r="BA1028" s="147"/>
      <c r="BB1028" s="147"/>
      <c r="BC1028" s="147"/>
      <c r="BD1028" s="147"/>
      <c r="BE1028" s="147"/>
      <c r="BF1028" s="147"/>
      <c r="BG1028" s="147"/>
      <c r="BH1028" s="147"/>
      <c r="BI1028" s="147"/>
      <c r="BJ1028" s="147"/>
      <c r="BK1028" s="147"/>
      <c r="BL1028" s="147"/>
      <c r="BM1028" s="147"/>
      <c r="BN1028" s="147"/>
      <c r="BO1028" s="147"/>
      <c r="BP1028" s="147"/>
      <c r="BQ1028" s="147"/>
      <c r="BR1028" s="147"/>
      <c r="BS1028" s="147"/>
      <c r="BT1028" s="147"/>
      <c r="BU1028" s="147"/>
      <c r="BV1028" s="147"/>
      <c r="BW1028" s="147"/>
      <c r="BX1028" s="147"/>
      <c r="BY1028" s="147"/>
      <c r="BZ1028" s="147"/>
      <c r="CA1028" s="147"/>
      <c r="CB1028" s="147"/>
      <c r="CC1028" s="147"/>
      <c r="CD1028" s="147"/>
      <c r="CE1028" s="147"/>
      <c r="CF1028" s="147"/>
      <c r="CG1028" s="147"/>
      <c r="CH1028" s="147"/>
      <c r="CI1028" s="147"/>
      <c r="CJ1028" s="147"/>
      <c r="CK1028" s="147"/>
    </row>
    <row r="1029" spans="1:89">
      <c r="A1029" s="157"/>
      <c r="F1029" s="3"/>
      <c r="G1029" s="3"/>
      <c r="L1029" s="157"/>
      <c r="M1029" s="157"/>
      <c r="O1029" s="147"/>
      <c r="P1029" s="147"/>
      <c r="Q1029" s="147"/>
      <c r="R1029" s="147"/>
      <c r="S1029" s="147"/>
      <c r="T1029" s="147"/>
      <c r="U1029" s="147"/>
      <c r="V1029" s="147"/>
      <c r="W1029" s="147"/>
      <c r="X1029" s="147"/>
      <c r="Y1029" s="147"/>
      <c r="Z1029" s="147"/>
      <c r="AA1029" s="147"/>
      <c r="AB1029" s="147"/>
      <c r="AC1029" s="147"/>
      <c r="AD1029" s="147"/>
      <c r="AE1029" s="147"/>
      <c r="AF1029" s="147"/>
      <c r="AG1029" s="147"/>
      <c r="AH1029" s="147"/>
      <c r="AI1029" s="147"/>
      <c r="AJ1029" s="147"/>
      <c r="AK1029" s="147"/>
      <c r="AL1029" s="147"/>
      <c r="AM1029" s="151"/>
      <c r="AN1029" s="147"/>
      <c r="AO1029" s="147"/>
      <c r="AP1029" s="147"/>
      <c r="AQ1029" s="147"/>
      <c r="AR1029" s="147"/>
      <c r="AS1029" s="147"/>
      <c r="AT1029" s="147"/>
      <c r="AU1029" s="147"/>
      <c r="AV1029" s="147"/>
      <c r="AW1029" s="147"/>
      <c r="AX1029" s="147"/>
      <c r="AY1029" s="147"/>
      <c r="AZ1029" s="147"/>
      <c r="BA1029" s="147"/>
      <c r="BB1029" s="147"/>
      <c r="BC1029" s="147"/>
      <c r="BD1029" s="147"/>
      <c r="BE1029" s="147"/>
      <c r="BF1029" s="147"/>
      <c r="BG1029" s="147"/>
      <c r="BH1029" s="147"/>
      <c r="BI1029" s="147"/>
      <c r="BJ1029" s="147"/>
      <c r="BK1029" s="147"/>
      <c r="BL1029" s="147"/>
      <c r="BM1029" s="147"/>
      <c r="BN1029" s="147"/>
      <c r="BO1029" s="147"/>
      <c r="BP1029" s="147"/>
      <c r="BQ1029" s="147"/>
      <c r="BR1029" s="147"/>
      <c r="BS1029" s="147"/>
      <c r="BT1029" s="147"/>
      <c r="BU1029" s="147"/>
      <c r="BV1029" s="147"/>
      <c r="BW1029" s="147"/>
      <c r="BX1029" s="147"/>
      <c r="BY1029" s="147"/>
      <c r="BZ1029" s="147"/>
      <c r="CA1029" s="147"/>
      <c r="CB1029" s="147"/>
      <c r="CC1029" s="147"/>
      <c r="CD1029" s="147"/>
      <c r="CE1029" s="147"/>
      <c r="CF1029" s="147"/>
      <c r="CG1029" s="147"/>
      <c r="CH1029" s="147"/>
      <c r="CI1029" s="147"/>
      <c r="CJ1029" s="147"/>
      <c r="CK1029" s="147"/>
    </row>
    <row r="1030" spans="1:89">
      <c r="A1030" s="157"/>
      <c r="F1030" s="3"/>
      <c r="G1030" s="3"/>
      <c r="L1030" s="157"/>
      <c r="M1030" s="157"/>
      <c r="O1030" s="147"/>
      <c r="P1030" s="147"/>
      <c r="Q1030" s="147"/>
      <c r="R1030" s="147"/>
      <c r="S1030" s="147"/>
      <c r="T1030" s="147"/>
      <c r="U1030" s="147"/>
      <c r="V1030" s="147"/>
      <c r="W1030" s="147"/>
      <c r="X1030" s="147"/>
      <c r="Y1030" s="147"/>
      <c r="Z1030" s="147"/>
      <c r="AA1030" s="147"/>
      <c r="AB1030" s="147"/>
      <c r="AC1030" s="147"/>
      <c r="AD1030" s="147"/>
      <c r="AE1030" s="147"/>
      <c r="AF1030" s="147"/>
      <c r="AG1030" s="147"/>
      <c r="AH1030" s="147"/>
      <c r="AI1030" s="147"/>
      <c r="AJ1030" s="147"/>
      <c r="AK1030" s="147"/>
      <c r="AL1030" s="147"/>
      <c r="AM1030" s="151"/>
      <c r="AN1030" s="147"/>
      <c r="AO1030" s="147"/>
      <c r="AP1030" s="147"/>
      <c r="AQ1030" s="147"/>
      <c r="AR1030" s="147"/>
      <c r="AS1030" s="147"/>
      <c r="AT1030" s="147"/>
      <c r="AU1030" s="147"/>
      <c r="AV1030" s="147"/>
      <c r="AW1030" s="147"/>
      <c r="AX1030" s="147"/>
      <c r="AY1030" s="147"/>
      <c r="AZ1030" s="147"/>
      <c r="BA1030" s="147"/>
      <c r="BB1030" s="147"/>
      <c r="BC1030" s="147"/>
      <c r="BD1030" s="147"/>
      <c r="BE1030" s="147"/>
      <c r="BF1030" s="147"/>
      <c r="BG1030" s="147"/>
      <c r="BH1030" s="147"/>
      <c r="BI1030" s="147"/>
      <c r="BJ1030" s="147"/>
      <c r="BK1030" s="147"/>
      <c r="BL1030" s="147"/>
      <c r="BM1030" s="147"/>
      <c r="BN1030" s="147"/>
      <c r="BO1030" s="147"/>
      <c r="BP1030" s="147"/>
      <c r="BQ1030" s="147"/>
      <c r="BR1030" s="147"/>
      <c r="BS1030" s="147"/>
      <c r="BT1030" s="147"/>
      <c r="BU1030" s="147"/>
      <c r="BV1030" s="147"/>
      <c r="BW1030" s="147"/>
      <c r="BX1030" s="147"/>
      <c r="BY1030" s="147"/>
      <c r="BZ1030" s="147"/>
      <c r="CA1030" s="147"/>
      <c r="CB1030" s="147"/>
      <c r="CC1030" s="147"/>
      <c r="CD1030" s="147"/>
      <c r="CE1030" s="147"/>
      <c r="CF1030" s="147"/>
      <c r="CG1030" s="147"/>
      <c r="CH1030" s="147"/>
      <c r="CI1030" s="147"/>
      <c r="CJ1030" s="147"/>
      <c r="CK1030" s="147"/>
    </row>
    <row r="1031" spans="1:89">
      <c r="A1031" s="157"/>
      <c r="F1031" s="3"/>
      <c r="G1031" s="3"/>
      <c r="L1031" s="157"/>
      <c r="M1031" s="157"/>
      <c r="O1031" s="147"/>
      <c r="P1031" s="147"/>
      <c r="Q1031" s="147"/>
      <c r="R1031" s="147"/>
      <c r="S1031" s="147"/>
      <c r="T1031" s="147"/>
      <c r="U1031" s="147"/>
      <c r="V1031" s="147"/>
      <c r="W1031" s="147"/>
      <c r="X1031" s="147"/>
      <c r="Y1031" s="147"/>
      <c r="Z1031" s="147"/>
      <c r="AA1031" s="147"/>
      <c r="AB1031" s="147"/>
      <c r="AC1031" s="147"/>
      <c r="AD1031" s="147"/>
      <c r="AE1031" s="147"/>
      <c r="AF1031" s="147"/>
      <c r="AG1031" s="147"/>
      <c r="AH1031" s="147"/>
      <c r="AI1031" s="147"/>
      <c r="AJ1031" s="147"/>
      <c r="AK1031" s="147"/>
      <c r="AL1031" s="147"/>
      <c r="AM1031" s="151"/>
      <c r="AN1031" s="147"/>
      <c r="AO1031" s="147"/>
      <c r="AP1031" s="147"/>
      <c r="AQ1031" s="147"/>
      <c r="AR1031" s="147"/>
      <c r="AS1031" s="147"/>
      <c r="AT1031" s="147"/>
      <c r="AU1031" s="147"/>
      <c r="AV1031" s="147"/>
      <c r="AW1031" s="147"/>
      <c r="AX1031" s="147"/>
      <c r="AY1031" s="147"/>
      <c r="AZ1031" s="147"/>
      <c r="BA1031" s="147"/>
      <c r="BB1031" s="147"/>
      <c r="BC1031" s="147"/>
      <c r="BD1031" s="147"/>
      <c r="BE1031" s="147"/>
      <c r="BF1031" s="147"/>
      <c r="BG1031" s="147"/>
      <c r="BH1031" s="147"/>
      <c r="BI1031" s="147"/>
      <c r="BJ1031" s="147"/>
      <c r="BK1031" s="147"/>
      <c r="BL1031" s="147"/>
      <c r="BM1031" s="147"/>
      <c r="BN1031" s="147"/>
      <c r="BO1031" s="147"/>
      <c r="BP1031" s="147"/>
      <c r="BQ1031" s="147"/>
      <c r="BR1031" s="147"/>
      <c r="BS1031" s="147"/>
      <c r="BT1031" s="147"/>
      <c r="BU1031" s="147"/>
      <c r="BV1031" s="147"/>
      <c r="BW1031" s="147"/>
      <c r="BX1031" s="147"/>
      <c r="BY1031" s="147"/>
      <c r="BZ1031" s="147"/>
      <c r="CA1031" s="147"/>
      <c r="CB1031" s="147"/>
      <c r="CC1031" s="147"/>
      <c r="CD1031" s="147"/>
      <c r="CE1031" s="147"/>
      <c r="CF1031" s="147"/>
      <c r="CG1031" s="147"/>
      <c r="CH1031" s="147"/>
      <c r="CI1031" s="147"/>
      <c r="CJ1031" s="147"/>
      <c r="CK1031" s="147"/>
    </row>
    <row r="1032" spans="1:89">
      <c r="A1032" s="157"/>
      <c r="F1032" s="3"/>
      <c r="G1032" s="3"/>
      <c r="L1032" s="157"/>
      <c r="M1032" s="157"/>
      <c r="O1032" s="147"/>
      <c r="P1032" s="147"/>
      <c r="Q1032" s="147"/>
      <c r="R1032" s="147"/>
      <c r="S1032" s="147"/>
      <c r="T1032" s="147"/>
      <c r="U1032" s="147"/>
      <c r="V1032" s="147"/>
      <c r="W1032" s="147"/>
      <c r="X1032" s="147"/>
      <c r="Y1032" s="147"/>
      <c r="Z1032" s="147"/>
      <c r="AA1032" s="147"/>
      <c r="AB1032" s="147"/>
      <c r="AC1032" s="147"/>
      <c r="AD1032" s="147"/>
      <c r="AE1032" s="147"/>
      <c r="AF1032" s="147"/>
      <c r="AG1032" s="147"/>
      <c r="AH1032" s="147"/>
      <c r="AI1032" s="147"/>
      <c r="AJ1032" s="147"/>
      <c r="AK1032" s="147"/>
      <c r="AL1032" s="147"/>
      <c r="AM1032" s="151"/>
      <c r="AN1032" s="147"/>
      <c r="AO1032" s="147"/>
      <c r="AP1032" s="147"/>
      <c r="AQ1032" s="147"/>
      <c r="AR1032" s="147"/>
      <c r="AS1032" s="147"/>
      <c r="AT1032" s="147"/>
      <c r="AU1032" s="147"/>
      <c r="AV1032" s="147"/>
      <c r="AW1032" s="147"/>
      <c r="AX1032" s="147"/>
      <c r="AY1032" s="147"/>
      <c r="AZ1032" s="147"/>
      <c r="BA1032" s="147"/>
      <c r="BB1032" s="147"/>
      <c r="BC1032" s="147"/>
      <c r="BD1032" s="147"/>
      <c r="BE1032" s="147"/>
      <c r="BF1032" s="147"/>
      <c r="BG1032" s="147"/>
      <c r="BH1032" s="147"/>
      <c r="BI1032" s="147"/>
      <c r="BJ1032" s="147"/>
      <c r="BK1032" s="147"/>
      <c r="BL1032" s="147"/>
      <c r="BM1032" s="147"/>
      <c r="BN1032" s="147"/>
      <c r="BO1032" s="147"/>
      <c r="BP1032" s="147"/>
      <c r="BQ1032" s="147"/>
      <c r="BR1032" s="147"/>
      <c r="BS1032" s="147"/>
      <c r="BT1032" s="147"/>
      <c r="BU1032" s="147"/>
      <c r="BV1032" s="147"/>
      <c r="BW1032" s="147"/>
      <c r="BX1032" s="147"/>
      <c r="BY1032" s="147"/>
      <c r="BZ1032" s="147"/>
      <c r="CA1032" s="147"/>
      <c r="CB1032" s="147"/>
      <c r="CC1032" s="147"/>
      <c r="CD1032" s="147"/>
      <c r="CE1032" s="147"/>
      <c r="CF1032" s="147"/>
      <c r="CG1032" s="147"/>
      <c r="CH1032" s="147"/>
      <c r="CI1032" s="147"/>
      <c r="CJ1032" s="147"/>
      <c r="CK1032" s="147"/>
    </row>
    <row r="1033" spans="1:89">
      <c r="A1033" s="157"/>
      <c r="F1033" s="3"/>
      <c r="G1033" s="3"/>
      <c r="L1033" s="157"/>
      <c r="M1033" s="157"/>
      <c r="O1033" s="147"/>
      <c r="P1033" s="147"/>
      <c r="Q1033" s="147"/>
      <c r="R1033" s="147"/>
      <c r="S1033" s="147"/>
      <c r="T1033" s="147"/>
      <c r="U1033" s="147"/>
      <c r="V1033" s="147"/>
      <c r="W1033" s="147"/>
      <c r="X1033" s="147"/>
      <c r="Y1033" s="147"/>
      <c r="Z1033" s="147"/>
      <c r="AA1033" s="147"/>
      <c r="AB1033" s="147"/>
      <c r="AC1033" s="147"/>
      <c r="AD1033" s="147"/>
      <c r="AE1033" s="147"/>
      <c r="AF1033" s="147"/>
      <c r="AG1033" s="147"/>
      <c r="AH1033" s="147"/>
      <c r="AI1033" s="147"/>
      <c r="AJ1033" s="147"/>
      <c r="AK1033" s="147"/>
      <c r="AL1033" s="147"/>
      <c r="AM1033" s="151"/>
      <c r="AN1033" s="147"/>
      <c r="AO1033" s="147"/>
      <c r="AP1033" s="147"/>
      <c r="AQ1033" s="147"/>
      <c r="AR1033" s="147"/>
      <c r="AS1033" s="147"/>
      <c r="AT1033" s="147"/>
      <c r="AU1033" s="147"/>
      <c r="AV1033" s="147"/>
      <c r="AW1033" s="147"/>
      <c r="AX1033" s="147"/>
      <c r="AY1033" s="147"/>
      <c r="AZ1033" s="147"/>
      <c r="BA1033" s="147"/>
      <c r="BB1033" s="147"/>
      <c r="BC1033" s="147"/>
      <c r="BD1033" s="147"/>
      <c r="BE1033" s="147"/>
      <c r="BF1033" s="147"/>
      <c r="BG1033" s="147"/>
      <c r="BH1033" s="147"/>
      <c r="BI1033" s="147"/>
      <c r="BJ1033" s="147"/>
      <c r="BK1033" s="147"/>
      <c r="BL1033" s="147"/>
      <c r="BM1033" s="147"/>
      <c r="BN1033" s="147"/>
      <c r="BO1033" s="147"/>
      <c r="BP1033" s="147"/>
      <c r="BQ1033" s="147"/>
      <c r="BR1033" s="147"/>
      <c r="BS1033" s="147"/>
      <c r="BT1033" s="147"/>
      <c r="BU1033" s="147"/>
      <c r="BV1033" s="147"/>
      <c r="BW1033" s="147"/>
      <c r="BX1033" s="147"/>
      <c r="BY1033" s="147"/>
      <c r="BZ1033" s="147"/>
      <c r="CA1033" s="147"/>
      <c r="CB1033" s="147"/>
      <c r="CC1033" s="147"/>
      <c r="CD1033" s="147"/>
      <c r="CE1033" s="147"/>
      <c r="CF1033" s="147"/>
      <c r="CG1033" s="147"/>
      <c r="CH1033" s="147"/>
      <c r="CI1033" s="147"/>
      <c r="CJ1033" s="147"/>
      <c r="CK1033" s="147"/>
    </row>
    <row r="1034" spans="1:89">
      <c r="A1034" s="157"/>
      <c r="F1034" s="3"/>
      <c r="G1034" s="3"/>
      <c r="L1034" s="157"/>
      <c r="M1034" s="157"/>
      <c r="O1034" s="147"/>
      <c r="P1034" s="147"/>
      <c r="Q1034" s="147"/>
      <c r="R1034" s="147"/>
      <c r="S1034" s="147"/>
      <c r="T1034" s="147"/>
      <c r="U1034" s="147"/>
      <c r="V1034" s="147"/>
      <c r="W1034" s="147"/>
      <c r="X1034" s="147"/>
      <c r="Y1034" s="147"/>
      <c r="Z1034" s="147"/>
      <c r="AA1034" s="147"/>
      <c r="AB1034" s="147"/>
      <c r="AC1034" s="147"/>
      <c r="AD1034" s="147"/>
      <c r="AE1034" s="147"/>
      <c r="AF1034" s="147"/>
      <c r="AG1034" s="147"/>
      <c r="AH1034" s="147"/>
      <c r="AI1034" s="147"/>
      <c r="AJ1034" s="147"/>
      <c r="AK1034" s="147"/>
      <c r="AL1034" s="147"/>
      <c r="AM1034" s="151"/>
      <c r="AN1034" s="147"/>
      <c r="AO1034" s="147"/>
      <c r="AP1034" s="147"/>
      <c r="AQ1034" s="147"/>
      <c r="AR1034" s="147"/>
      <c r="AS1034" s="147"/>
      <c r="AT1034" s="147"/>
      <c r="AU1034" s="147"/>
      <c r="AV1034" s="147"/>
      <c r="AW1034" s="147"/>
      <c r="AX1034" s="147"/>
      <c r="AY1034" s="147"/>
      <c r="AZ1034" s="147"/>
      <c r="BA1034" s="147"/>
      <c r="BB1034" s="147"/>
      <c r="BC1034" s="147"/>
      <c r="BD1034" s="147"/>
      <c r="BE1034" s="147"/>
      <c r="BF1034" s="147"/>
      <c r="BG1034" s="147"/>
      <c r="BH1034" s="147"/>
      <c r="BI1034" s="147"/>
      <c r="BJ1034" s="147"/>
      <c r="BK1034" s="147"/>
      <c r="BL1034" s="147"/>
      <c r="BM1034" s="147"/>
      <c r="BN1034" s="147"/>
      <c r="BO1034" s="147"/>
      <c r="BP1034" s="147"/>
      <c r="BQ1034" s="147"/>
      <c r="BR1034" s="147"/>
      <c r="BS1034" s="147"/>
      <c r="BT1034" s="147"/>
      <c r="BU1034" s="147"/>
      <c r="BV1034" s="147"/>
      <c r="BW1034" s="147"/>
      <c r="BX1034" s="147"/>
      <c r="BY1034" s="147"/>
      <c r="BZ1034" s="147"/>
      <c r="CA1034" s="147"/>
      <c r="CB1034" s="147"/>
      <c r="CC1034" s="147"/>
      <c r="CD1034" s="147"/>
      <c r="CE1034" s="147"/>
      <c r="CF1034" s="147"/>
      <c r="CG1034" s="147"/>
      <c r="CH1034" s="147"/>
      <c r="CI1034" s="147"/>
      <c r="CJ1034" s="147"/>
      <c r="CK1034" s="147"/>
    </row>
    <row r="1035" spans="1:89">
      <c r="A1035" s="157"/>
      <c r="F1035" s="3"/>
      <c r="G1035" s="3"/>
      <c r="L1035" s="157"/>
      <c r="M1035" s="157"/>
      <c r="O1035" s="147"/>
      <c r="P1035" s="147"/>
      <c r="Q1035" s="147"/>
      <c r="R1035" s="147"/>
      <c r="S1035" s="147"/>
      <c r="T1035" s="147"/>
      <c r="U1035" s="147"/>
      <c r="V1035" s="147"/>
      <c r="W1035" s="147"/>
      <c r="X1035" s="147"/>
      <c r="Y1035" s="147"/>
      <c r="Z1035" s="147"/>
      <c r="AA1035" s="147"/>
      <c r="AB1035" s="147"/>
      <c r="AC1035" s="147"/>
      <c r="AD1035" s="147"/>
      <c r="AE1035" s="147"/>
      <c r="AF1035" s="147"/>
      <c r="AG1035" s="147"/>
      <c r="AH1035" s="147"/>
      <c r="AI1035" s="147"/>
      <c r="AJ1035" s="147"/>
      <c r="AK1035" s="147"/>
      <c r="AL1035" s="147"/>
      <c r="AM1035" s="151"/>
      <c r="AN1035" s="147"/>
      <c r="AO1035" s="147"/>
      <c r="AP1035" s="147"/>
      <c r="AQ1035" s="147"/>
      <c r="AR1035" s="147"/>
      <c r="AS1035" s="147"/>
      <c r="AT1035" s="147"/>
      <c r="AU1035" s="147"/>
      <c r="AV1035" s="147"/>
      <c r="AW1035" s="147"/>
      <c r="AX1035" s="147"/>
      <c r="AY1035" s="147"/>
      <c r="AZ1035" s="147"/>
      <c r="BA1035" s="147"/>
      <c r="BB1035" s="147"/>
      <c r="BC1035" s="147"/>
      <c r="BD1035" s="147"/>
      <c r="BE1035" s="147"/>
      <c r="BF1035" s="147"/>
      <c r="BG1035" s="147"/>
      <c r="BH1035" s="147"/>
      <c r="BI1035" s="147"/>
      <c r="BJ1035" s="147"/>
      <c r="BK1035" s="147"/>
      <c r="BL1035" s="147"/>
      <c r="BM1035" s="147"/>
      <c r="BN1035" s="147"/>
      <c r="BO1035" s="147"/>
      <c r="BP1035" s="147"/>
      <c r="BQ1035" s="147"/>
      <c r="BR1035" s="147"/>
      <c r="BS1035" s="147"/>
      <c r="BT1035" s="147"/>
      <c r="BU1035" s="147"/>
      <c r="BV1035" s="147"/>
      <c r="BW1035" s="147"/>
      <c r="BX1035" s="147"/>
      <c r="BY1035" s="147"/>
      <c r="BZ1035" s="147"/>
      <c r="CA1035" s="147"/>
      <c r="CB1035" s="147"/>
      <c r="CC1035" s="147"/>
      <c r="CD1035" s="147"/>
      <c r="CE1035" s="147"/>
      <c r="CF1035" s="147"/>
      <c r="CG1035" s="147"/>
      <c r="CH1035" s="147"/>
      <c r="CI1035" s="147"/>
      <c r="CJ1035" s="147"/>
      <c r="CK1035" s="147"/>
    </row>
    <row r="1036" spans="1:89">
      <c r="A1036" s="157"/>
      <c r="F1036" s="3"/>
      <c r="G1036" s="3"/>
      <c r="L1036" s="157"/>
      <c r="M1036" s="157"/>
      <c r="O1036" s="147"/>
      <c r="P1036" s="147"/>
      <c r="Q1036" s="147"/>
      <c r="R1036" s="147"/>
      <c r="S1036" s="147"/>
      <c r="T1036" s="147"/>
      <c r="U1036" s="147"/>
      <c r="V1036" s="147"/>
      <c r="W1036" s="147"/>
      <c r="X1036" s="147"/>
      <c r="Y1036" s="147"/>
      <c r="Z1036" s="147"/>
      <c r="AA1036" s="147"/>
      <c r="AB1036" s="147"/>
      <c r="AC1036" s="147"/>
      <c r="AD1036" s="147"/>
      <c r="AE1036" s="147"/>
      <c r="AF1036" s="147"/>
      <c r="AG1036" s="147"/>
      <c r="AH1036" s="147"/>
      <c r="AI1036" s="147"/>
      <c r="AJ1036" s="147"/>
      <c r="AK1036" s="147"/>
      <c r="AL1036" s="147"/>
      <c r="AM1036" s="151"/>
      <c r="AN1036" s="147"/>
      <c r="AO1036" s="147"/>
      <c r="AP1036" s="147"/>
      <c r="AQ1036" s="147"/>
      <c r="AR1036" s="147"/>
      <c r="AS1036" s="147"/>
      <c r="AT1036" s="147"/>
      <c r="AU1036" s="147"/>
      <c r="AV1036" s="147"/>
      <c r="AW1036" s="147"/>
      <c r="AX1036" s="147"/>
      <c r="AY1036" s="147"/>
      <c r="AZ1036" s="147"/>
      <c r="BA1036" s="147"/>
      <c r="BB1036" s="147"/>
      <c r="BC1036" s="147"/>
      <c r="BD1036" s="147"/>
      <c r="BE1036" s="147"/>
      <c r="BF1036" s="147"/>
      <c r="BG1036" s="147"/>
      <c r="BH1036" s="147"/>
      <c r="BI1036" s="147"/>
      <c r="BJ1036" s="147"/>
      <c r="BK1036" s="147"/>
      <c r="BL1036" s="147"/>
      <c r="BM1036" s="147"/>
      <c r="BN1036" s="147"/>
      <c r="BO1036" s="147"/>
      <c r="BP1036" s="147"/>
      <c r="BQ1036" s="147"/>
      <c r="BR1036" s="147"/>
      <c r="BS1036" s="147"/>
      <c r="BT1036" s="147"/>
      <c r="BU1036" s="147"/>
      <c r="BV1036" s="147"/>
      <c r="BW1036" s="147"/>
      <c r="BX1036" s="147"/>
      <c r="BY1036" s="147"/>
      <c r="BZ1036" s="147"/>
      <c r="CA1036" s="147"/>
      <c r="CB1036" s="147"/>
      <c r="CC1036" s="147"/>
      <c r="CD1036" s="147"/>
      <c r="CE1036" s="147"/>
      <c r="CF1036" s="147"/>
      <c r="CG1036" s="147"/>
      <c r="CH1036" s="147"/>
      <c r="CI1036" s="147"/>
      <c r="CJ1036" s="147"/>
      <c r="CK1036" s="147"/>
    </row>
    <row r="1037" spans="1:89">
      <c r="A1037" s="157"/>
      <c r="F1037" s="3"/>
      <c r="G1037" s="3"/>
      <c r="L1037" s="157"/>
      <c r="M1037" s="157"/>
      <c r="O1037" s="147"/>
      <c r="P1037" s="147"/>
      <c r="Q1037" s="147"/>
      <c r="R1037" s="147"/>
      <c r="S1037" s="147"/>
      <c r="T1037" s="147"/>
      <c r="U1037" s="147"/>
      <c r="V1037" s="147"/>
      <c r="W1037" s="147"/>
      <c r="X1037" s="147"/>
      <c r="Y1037" s="147"/>
      <c r="Z1037" s="147"/>
      <c r="AA1037" s="147"/>
      <c r="AB1037" s="147"/>
      <c r="AC1037" s="147"/>
      <c r="AD1037" s="147"/>
      <c r="AE1037" s="147"/>
      <c r="AF1037" s="147"/>
      <c r="AG1037" s="147"/>
      <c r="AH1037" s="147"/>
      <c r="AI1037" s="147"/>
      <c r="AJ1037" s="147"/>
      <c r="AK1037" s="147"/>
      <c r="AL1037" s="147"/>
      <c r="AM1037" s="151"/>
      <c r="AN1037" s="147"/>
      <c r="AO1037" s="147"/>
      <c r="AP1037" s="147"/>
      <c r="AQ1037" s="147"/>
      <c r="AR1037" s="147"/>
      <c r="AS1037" s="147"/>
      <c r="AT1037" s="147"/>
      <c r="AU1037" s="147"/>
      <c r="AV1037" s="147"/>
      <c r="AW1037" s="147"/>
      <c r="AX1037" s="147"/>
      <c r="AY1037" s="147"/>
      <c r="AZ1037" s="147"/>
      <c r="BA1037" s="147"/>
      <c r="BB1037" s="147"/>
      <c r="BC1037" s="147"/>
      <c r="BD1037" s="147"/>
      <c r="BE1037" s="147"/>
      <c r="BF1037" s="147"/>
      <c r="BG1037" s="147"/>
      <c r="BH1037" s="147"/>
      <c r="BI1037" s="147"/>
      <c r="BJ1037" s="147"/>
      <c r="BK1037" s="147"/>
      <c r="BL1037" s="147"/>
      <c r="BM1037" s="147"/>
      <c r="BN1037" s="147"/>
      <c r="BO1037" s="147"/>
      <c r="BP1037" s="147"/>
      <c r="BQ1037" s="147"/>
      <c r="BR1037" s="147"/>
      <c r="BS1037" s="147"/>
      <c r="BT1037" s="147"/>
      <c r="BU1037" s="147"/>
      <c r="BV1037" s="147"/>
      <c r="BW1037" s="147"/>
      <c r="BX1037" s="147"/>
      <c r="BY1037" s="147"/>
      <c r="BZ1037" s="147"/>
      <c r="CA1037" s="147"/>
      <c r="CB1037" s="147"/>
      <c r="CC1037" s="147"/>
      <c r="CD1037" s="147"/>
      <c r="CE1037" s="147"/>
      <c r="CF1037" s="147"/>
      <c r="CG1037" s="147"/>
      <c r="CH1037" s="147"/>
      <c r="CI1037" s="147"/>
      <c r="CJ1037" s="147"/>
      <c r="CK1037" s="147"/>
    </row>
    <row r="1038" spans="1:89">
      <c r="A1038" s="157"/>
      <c r="F1038" s="3"/>
      <c r="G1038" s="3"/>
      <c r="L1038" s="157"/>
      <c r="M1038" s="157"/>
      <c r="O1038" s="147"/>
      <c r="P1038" s="147"/>
      <c r="Q1038" s="147"/>
      <c r="R1038" s="147"/>
      <c r="S1038" s="147"/>
      <c r="T1038" s="147"/>
      <c r="U1038" s="147"/>
      <c r="V1038" s="147"/>
      <c r="W1038" s="147"/>
      <c r="X1038" s="147"/>
      <c r="Y1038" s="147"/>
      <c r="Z1038" s="147"/>
      <c r="AA1038" s="147"/>
      <c r="AB1038" s="147"/>
      <c r="AC1038" s="147"/>
      <c r="AD1038" s="147"/>
      <c r="AE1038" s="147"/>
      <c r="AF1038" s="147"/>
      <c r="AG1038" s="147"/>
      <c r="AH1038" s="147"/>
      <c r="AI1038" s="147"/>
      <c r="AJ1038" s="147"/>
      <c r="AK1038" s="147"/>
      <c r="AL1038" s="147"/>
      <c r="AM1038" s="151"/>
      <c r="AN1038" s="147"/>
      <c r="AO1038" s="147"/>
      <c r="AP1038" s="147"/>
      <c r="AQ1038" s="147"/>
      <c r="AR1038" s="147"/>
      <c r="AS1038" s="147"/>
      <c r="AT1038" s="147"/>
      <c r="AU1038" s="147"/>
      <c r="AV1038" s="147"/>
      <c r="AW1038" s="147"/>
      <c r="AX1038" s="147"/>
      <c r="AY1038" s="147"/>
      <c r="AZ1038" s="147"/>
      <c r="BA1038" s="147"/>
      <c r="BB1038" s="147"/>
      <c r="BC1038" s="147"/>
      <c r="BD1038" s="147"/>
      <c r="BE1038" s="147"/>
      <c r="BF1038" s="147"/>
      <c r="BG1038" s="147"/>
      <c r="BH1038" s="147"/>
      <c r="BI1038" s="147"/>
      <c r="BJ1038" s="147"/>
      <c r="BK1038" s="147"/>
      <c r="BL1038" s="147"/>
      <c r="BM1038" s="147"/>
      <c r="BN1038" s="147"/>
      <c r="BO1038" s="147"/>
      <c r="BP1038" s="147"/>
      <c r="BQ1038" s="147"/>
      <c r="BR1038" s="147"/>
      <c r="BS1038" s="147"/>
      <c r="BT1038" s="147"/>
      <c r="BU1038" s="147"/>
      <c r="BV1038" s="147"/>
      <c r="BW1038" s="147"/>
      <c r="BX1038" s="147"/>
      <c r="BY1038" s="147"/>
      <c r="BZ1038" s="147"/>
      <c r="CA1038" s="147"/>
      <c r="CB1038" s="147"/>
      <c r="CC1038" s="147"/>
      <c r="CD1038" s="147"/>
      <c r="CE1038" s="147"/>
      <c r="CF1038" s="147"/>
      <c r="CG1038" s="147"/>
      <c r="CH1038" s="147"/>
      <c r="CI1038" s="147"/>
      <c r="CJ1038" s="147"/>
      <c r="CK1038" s="147"/>
    </row>
    <row r="1039" spans="1:89">
      <c r="A1039" s="157"/>
      <c r="F1039" s="3"/>
      <c r="G1039" s="3"/>
      <c r="L1039" s="157"/>
      <c r="M1039" s="157"/>
      <c r="O1039" s="147"/>
      <c r="P1039" s="147"/>
      <c r="Q1039" s="147"/>
      <c r="R1039" s="147"/>
      <c r="S1039" s="147"/>
      <c r="T1039" s="147"/>
      <c r="U1039" s="147"/>
      <c r="V1039" s="147"/>
      <c r="W1039" s="147"/>
      <c r="X1039" s="147"/>
      <c r="Y1039" s="147"/>
      <c r="Z1039" s="147"/>
      <c r="AA1039" s="147"/>
      <c r="AB1039" s="147"/>
      <c r="AC1039" s="147"/>
      <c r="AD1039" s="147"/>
      <c r="AE1039" s="147"/>
      <c r="AF1039" s="147"/>
      <c r="AG1039" s="147"/>
      <c r="AH1039" s="147"/>
      <c r="AI1039" s="147"/>
      <c r="AJ1039" s="147"/>
      <c r="AK1039" s="147"/>
      <c r="AL1039" s="147"/>
      <c r="AM1039" s="151"/>
      <c r="AN1039" s="147"/>
      <c r="AO1039" s="147"/>
      <c r="AP1039" s="147"/>
      <c r="AQ1039" s="147"/>
      <c r="AR1039" s="147"/>
      <c r="AS1039" s="147"/>
      <c r="AT1039" s="147"/>
      <c r="AU1039" s="147"/>
      <c r="AV1039" s="147"/>
      <c r="AW1039" s="147"/>
      <c r="AX1039" s="147"/>
      <c r="AY1039" s="147"/>
      <c r="AZ1039" s="147"/>
      <c r="BA1039" s="147"/>
      <c r="BB1039" s="147"/>
      <c r="BC1039" s="147"/>
      <c r="BD1039" s="147"/>
      <c r="BE1039" s="147"/>
      <c r="BF1039" s="147"/>
      <c r="BG1039" s="147"/>
      <c r="BH1039" s="147"/>
      <c r="BI1039" s="147"/>
      <c r="BJ1039" s="147"/>
      <c r="BK1039" s="147"/>
      <c r="BL1039" s="147"/>
      <c r="BM1039" s="147"/>
      <c r="BN1039" s="147"/>
      <c r="BO1039" s="147"/>
      <c r="BP1039" s="147"/>
      <c r="BQ1039" s="147"/>
      <c r="BR1039" s="147"/>
      <c r="BS1039" s="147"/>
      <c r="BT1039" s="147"/>
      <c r="BU1039" s="147"/>
      <c r="BV1039" s="147"/>
      <c r="BW1039" s="147"/>
      <c r="BX1039" s="147"/>
      <c r="BY1039" s="147"/>
      <c r="BZ1039" s="147"/>
      <c r="CA1039" s="147"/>
      <c r="CB1039" s="147"/>
      <c r="CC1039" s="147"/>
      <c r="CD1039" s="147"/>
      <c r="CE1039" s="147"/>
      <c r="CF1039" s="147"/>
      <c r="CG1039" s="147"/>
      <c r="CH1039" s="147"/>
      <c r="CI1039" s="147"/>
      <c r="CJ1039" s="147"/>
      <c r="CK1039" s="147"/>
    </row>
    <row r="1040" spans="1:89">
      <c r="A1040" s="157"/>
      <c r="F1040" s="3"/>
      <c r="G1040" s="3"/>
      <c r="L1040" s="157"/>
      <c r="M1040" s="157"/>
      <c r="O1040" s="147"/>
      <c r="P1040" s="147"/>
      <c r="Q1040" s="147"/>
      <c r="R1040" s="147"/>
      <c r="S1040" s="147"/>
      <c r="T1040" s="147"/>
      <c r="U1040" s="147"/>
      <c r="V1040" s="147"/>
      <c r="W1040" s="147"/>
      <c r="X1040" s="147"/>
      <c r="Y1040" s="147"/>
      <c r="Z1040" s="147"/>
      <c r="AA1040" s="147"/>
      <c r="AB1040" s="147"/>
      <c r="AC1040" s="147"/>
      <c r="AD1040" s="147"/>
      <c r="AE1040" s="147"/>
      <c r="AF1040" s="147"/>
      <c r="AG1040" s="147"/>
      <c r="AH1040" s="147"/>
      <c r="AI1040" s="147"/>
      <c r="AJ1040" s="147"/>
      <c r="AK1040" s="147"/>
      <c r="AL1040" s="147"/>
      <c r="AM1040" s="151"/>
      <c r="AN1040" s="147"/>
      <c r="AO1040" s="147"/>
      <c r="AP1040" s="147"/>
      <c r="AQ1040" s="147"/>
      <c r="AR1040" s="147"/>
      <c r="AS1040" s="147"/>
      <c r="AT1040" s="147"/>
      <c r="AU1040" s="147"/>
      <c r="AV1040" s="147"/>
      <c r="AW1040" s="147"/>
      <c r="AX1040" s="147"/>
      <c r="AY1040" s="147"/>
      <c r="AZ1040" s="147"/>
      <c r="BA1040" s="147"/>
      <c r="BB1040" s="147"/>
      <c r="BC1040" s="147"/>
      <c r="BD1040" s="147"/>
      <c r="BE1040" s="147"/>
      <c r="BF1040" s="147"/>
      <c r="BG1040" s="147"/>
      <c r="BH1040" s="147"/>
      <c r="BI1040" s="147"/>
      <c r="BJ1040" s="147"/>
      <c r="BK1040" s="147"/>
      <c r="BL1040" s="147"/>
      <c r="BM1040" s="147"/>
      <c r="BN1040" s="147"/>
      <c r="BO1040" s="147"/>
      <c r="BP1040" s="147"/>
      <c r="BQ1040" s="147"/>
      <c r="BR1040" s="147"/>
      <c r="BS1040" s="147"/>
      <c r="BT1040" s="147"/>
      <c r="BU1040" s="147"/>
      <c r="BV1040" s="147"/>
      <c r="BW1040" s="147"/>
      <c r="BX1040" s="147"/>
      <c r="BY1040" s="147"/>
      <c r="BZ1040" s="147"/>
      <c r="CA1040" s="147"/>
      <c r="CB1040" s="147"/>
      <c r="CC1040" s="147"/>
      <c r="CD1040" s="147"/>
      <c r="CE1040" s="147"/>
      <c r="CF1040" s="147"/>
      <c r="CG1040" s="147"/>
      <c r="CH1040" s="147"/>
      <c r="CI1040" s="147"/>
      <c r="CJ1040" s="147"/>
      <c r="CK1040" s="147"/>
    </row>
    <row r="1041" spans="1:89">
      <c r="A1041" s="157"/>
      <c r="F1041" s="3"/>
      <c r="G1041" s="3"/>
      <c r="L1041" s="157"/>
      <c r="M1041" s="157"/>
      <c r="O1041" s="147"/>
      <c r="P1041" s="147"/>
      <c r="Q1041" s="147"/>
      <c r="R1041" s="147"/>
      <c r="S1041" s="147"/>
      <c r="T1041" s="147"/>
      <c r="U1041" s="147"/>
      <c r="V1041" s="147"/>
      <c r="W1041" s="147"/>
      <c r="X1041" s="147"/>
      <c r="Y1041" s="147"/>
      <c r="Z1041" s="147"/>
      <c r="AA1041" s="147"/>
      <c r="AB1041" s="147"/>
      <c r="AC1041" s="147"/>
      <c r="AD1041" s="147"/>
      <c r="AE1041" s="147"/>
      <c r="AF1041" s="147"/>
      <c r="AG1041" s="147"/>
      <c r="AH1041" s="147"/>
      <c r="AI1041" s="147"/>
      <c r="AJ1041" s="147"/>
      <c r="AK1041" s="147"/>
      <c r="AL1041" s="147"/>
      <c r="AM1041" s="151"/>
      <c r="AN1041" s="147"/>
      <c r="AO1041" s="147"/>
      <c r="AP1041" s="147"/>
      <c r="AQ1041" s="147"/>
      <c r="AR1041" s="147"/>
      <c r="AS1041" s="147"/>
      <c r="AT1041" s="147"/>
      <c r="AU1041" s="147"/>
      <c r="AV1041" s="147"/>
      <c r="AW1041" s="147"/>
      <c r="AX1041" s="147"/>
      <c r="AY1041" s="147"/>
      <c r="AZ1041" s="147"/>
      <c r="BA1041" s="147"/>
      <c r="BB1041" s="147"/>
      <c r="BC1041" s="147"/>
      <c r="BD1041" s="147"/>
      <c r="BE1041" s="147"/>
      <c r="BF1041" s="147"/>
      <c r="BG1041" s="147"/>
      <c r="BH1041" s="147"/>
      <c r="BI1041" s="147"/>
      <c r="BJ1041" s="147"/>
      <c r="BK1041" s="147"/>
      <c r="BL1041" s="147"/>
      <c r="BM1041" s="147"/>
      <c r="BN1041" s="147"/>
      <c r="BO1041" s="147"/>
      <c r="BP1041" s="147"/>
      <c r="BQ1041" s="147"/>
      <c r="BR1041" s="147"/>
      <c r="BS1041" s="147"/>
      <c r="BT1041" s="147"/>
      <c r="BU1041" s="147"/>
      <c r="BV1041" s="147"/>
      <c r="BW1041" s="147"/>
      <c r="BX1041" s="147"/>
      <c r="BY1041" s="147"/>
      <c r="BZ1041" s="147"/>
      <c r="CA1041" s="147"/>
      <c r="CB1041" s="147"/>
      <c r="CC1041" s="147"/>
      <c r="CD1041" s="147"/>
      <c r="CE1041" s="147"/>
      <c r="CF1041" s="147"/>
      <c r="CG1041" s="147"/>
      <c r="CH1041" s="147"/>
      <c r="CI1041" s="147"/>
      <c r="CJ1041" s="147"/>
      <c r="CK1041" s="147"/>
    </row>
    <row r="1042" spans="1:89">
      <c r="A1042" s="157"/>
      <c r="F1042" s="3"/>
      <c r="G1042" s="3"/>
      <c r="L1042" s="157"/>
      <c r="M1042" s="157"/>
      <c r="O1042" s="147"/>
      <c r="P1042" s="147"/>
      <c r="Q1042" s="147"/>
      <c r="R1042" s="147"/>
      <c r="S1042" s="147"/>
      <c r="T1042" s="147"/>
      <c r="U1042" s="147"/>
      <c r="V1042" s="147"/>
      <c r="W1042" s="147"/>
      <c r="X1042" s="147"/>
      <c r="Y1042" s="147"/>
      <c r="Z1042" s="147"/>
      <c r="AA1042" s="147"/>
      <c r="AB1042" s="147"/>
      <c r="AC1042" s="147"/>
      <c r="AD1042" s="147"/>
      <c r="AE1042" s="147"/>
      <c r="AF1042" s="147"/>
      <c r="AG1042" s="147"/>
      <c r="AH1042" s="147"/>
      <c r="AI1042" s="147"/>
      <c r="AJ1042" s="147"/>
      <c r="AK1042" s="147"/>
      <c r="AL1042" s="147"/>
      <c r="AM1042" s="151"/>
      <c r="AN1042" s="147"/>
      <c r="AO1042" s="147"/>
      <c r="AP1042" s="147"/>
      <c r="AQ1042" s="147"/>
      <c r="AR1042" s="147"/>
      <c r="AS1042" s="147"/>
      <c r="AT1042" s="147"/>
      <c r="AU1042" s="147"/>
      <c r="AV1042" s="147"/>
      <c r="AW1042" s="147"/>
      <c r="AX1042" s="147"/>
      <c r="AY1042" s="147"/>
      <c r="AZ1042" s="147"/>
      <c r="BA1042" s="147"/>
      <c r="BB1042" s="147"/>
      <c r="BC1042" s="147"/>
      <c r="BD1042" s="147"/>
      <c r="BE1042" s="147"/>
      <c r="BF1042" s="147"/>
      <c r="BG1042" s="147"/>
      <c r="BH1042" s="147"/>
      <c r="BI1042" s="147"/>
      <c r="BJ1042" s="147"/>
      <c r="BK1042" s="147"/>
      <c r="BL1042" s="147"/>
      <c r="BM1042" s="147"/>
      <c r="BN1042" s="147"/>
      <c r="BO1042" s="147"/>
      <c r="BP1042" s="147"/>
      <c r="BQ1042" s="147"/>
      <c r="BR1042" s="147"/>
      <c r="BS1042" s="147"/>
      <c r="BT1042" s="147"/>
      <c r="BU1042" s="147"/>
      <c r="BV1042" s="147"/>
      <c r="BW1042" s="147"/>
      <c r="BX1042" s="147"/>
      <c r="BY1042" s="147"/>
      <c r="BZ1042" s="147"/>
      <c r="CA1042" s="147"/>
      <c r="CB1042" s="147"/>
      <c r="CC1042" s="147"/>
      <c r="CD1042" s="147"/>
      <c r="CE1042" s="147"/>
      <c r="CF1042" s="147"/>
      <c r="CG1042" s="147"/>
      <c r="CH1042" s="147"/>
      <c r="CI1042" s="147"/>
      <c r="CJ1042" s="147"/>
      <c r="CK1042" s="147"/>
    </row>
    <row r="1043" spans="1:89">
      <c r="A1043" s="157"/>
      <c r="F1043" s="3"/>
      <c r="G1043" s="3"/>
      <c r="L1043" s="157"/>
      <c r="M1043" s="157"/>
      <c r="O1043" s="147"/>
      <c r="P1043" s="147"/>
      <c r="Q1043" s="147"/>
      <c r="R1043" s="147"/>
      <c r="S1043" s="147"/>
      <c r="T1043" s="147"/>
      <c r="U1043" s="147"/>
      <c r="V1043" s="147"/>
      <c r="W1043" s="147"/>
      <c r="X1043" s="147"/>
      <c r="Y1043" s="147"/>
      <c r="Z1043" s="147"/>
      <c r="AA1043" s="147"/>
      <c r="AB1043" s="147"/>
      <c r="AC1043" s="147"/>
      <c r="AD1043" s="147"/>
      <c r="AE1043" s="147"/>
      <c r="AF1043" s="147"/>
      <c r="AG1043" s="147"/>
      <c r="AH1043" s="147"/>
      <c r="AI1043" s="147"/>
      <c r="AJ1043" s="147"/>
      <c r="AK1043" s="147"/>
      <c r="AL1043" s="147"/>
      <c r="AM1043" s="151"/>
      <c r="AN1043" s="147"/>
      <c r="AO1043" s="147"/>
      <c r="AP1043" s="147"/>
      <c r="AQ1043" s="147"/>
      <c r="AR1043" s="147"/>
      <c r="AS1043" s="147"/>
      <c r="AT1043" s="147"/>
      <c r="AU1043" s="147"/>
      <c r="AV1043" s="147"/>
      <c r="AW1043" s="147"/>
      <c r="AX1043" s="147"/>
      <c r="AY1043" s="147"/>
      <c r="AZ1043" s="147"/>
      <c r="BA1043" s="147"/>
      <c r="BB1043" s="147"/>
      <c r="BC1043" s="147"/>
      <c r="BD1043" s="147"/>
      <c r="BE1043" s="147"/>
      <c r="BF1043" s="147"/>
      <c r="BG1043" s="147"/>
      <c r="BH1043" s="147"/>
      <c r="BI1043" s="147"/>
      <c r="BJ1043" s="147"/>
      <c r="BK1043" s="147"/>
      <c r="BL1043" s="147"/>
      <c r="BM1043" s="147"/>
      <c r="BN1043" s="147"/>
      <c r="BO1043" s="147"/>
      <c r="BP1043" s="147"/>
      <c r="BQ1043" s="147"/>
      <c r="BR1043" s="147"/>
      <c r="BS1043" s="147"/>
      <c r="BT1043" s="147"/>
      <c r="BU1043" s="147"/>
      <c r="BV1043" s="147"/>
      <c r="BW1043" s="147"/>
      <c r="BX1043" s="147"/>
      <c r="BY1043" s="147"/>
      <c r="BZ1043" s="147"/>
      <c r="CA1043" s="147"/>
      <c r="CB1043" s="147"/>
      <c r="CC1043" s="147"/>
      <c r="CD1043" s="147"/>
      <c r="CE1043" s="147"/>
      <c r="CF1043" s="147"/>
      <c r="CG1043" s="147"/>
      <c r="CH1043" s="147"/>
      <c r="CI1043" s="147"/>
      <c r="CJ1043" s="147"/>
      <c r="CK1043" s="147"/>
    </row>
    <row r="1044" spans="1:89">
      <c r="A1044" s="157"/>
      <c r="F1044" s="3"/>
      <c r="G1044" s="3"/>
      <c r="L1044" s="157"/>
      <c r="M1044" s="157"/>
      <c r="O1044" s="147"/>
      <c r="P1044" s="147"/>
      <c r="Q1044" s="147"/>
      <c r="R1044" s="147"/>
      <c r="S1044" s="147"/>
      <c r="T1044" s="147"/>
      <c r="U1044" s="147"/>
      <c r="V1044" s="147"/>
      <c r="W1044" s="147"/>
      <c r="X1044" s="147"/>
      <c r="Y1044" s="147"/>
      <c r="Z1044" s="147"/>
      <c r="AA1044" s="147"/>
      <c r="AB1044" s="147"/>
      <c r="AC1044" s="147"/>
      <c r="AD1044" s="147"/>
      <c r="AE1044" s="147"/>
      <c r="AF1044" s="147"/>
      <c r="AG1044" s="147"/>
      <c r="AH1044" s="147"/>
      <c r="AI1044" s="147"/>
      <c r="AJ1044" s="147"/>
      <c r="AK1044" s="147"/>
      <c r="AL1044" s="147"/>
      <c r="AM1044" s="151"/>
      <c r="AN1044" s="147"/>
      <c r="AO1044" s="147"/>
      <c r="AP1044" s="147"/>
      <c r="AQ1044" s="147"/>
      <c r="AR1044" s="147"/>
      <c r="AS1044" s="147"/>
      <c r="AT1044" s="147"/>
      <c r="AU1044" s="147"/>
      <c r="AV1044" s="147"/>
      <c r="AW1044" s="147"/>
      <c r="AX1044" s="147"/>
      <c r="AY1044" s="147"/>
      <c r="AZ1044" s="147"/>
      <c r="BA1044" s="147"/>
      <c r="BB1044" s="147"/>
      <c r="BC1044" s="147"/>
      <c r="BD1044" s="147"/>
      <c r="BE1044" s="147"/>
      <c r="BF1044" s="147"/>
      <c r="BG1044" s="147"/>
      <c r="BH1044" s="147"/>
      <c r="BI1044" s="147"/>
      <c r="BJ1044" s="147"/>
      <c r="BK1044" s="147"/>
      <c r="BL1044" s="147"/>
      <c r="BM1044" s="147"/>
      <c r="BN1044" s="147"/>
      <c r="BO1044" s="147"/>
      <c r="BP1044" s="147"/>
      <c r="BQ1044" s="147"/>
      <c r="BR1044" s="147"/>
      <c r="BS1044" s="147"/>
      <c r="BT1044" s="147"/>
      <c r="BU1044" s="147"/>
      <c r="BV1044" s="147"/>
      <c r="BW1044" s="147"/>
      <c r="BX1044" s="147"/>
      <c r="BY1044" s="147"/>
      <c r="BZ1044" s="147"/>
      <c r="CA1044" s="147"/>
      <c r="CB1044" s="147"/>
      <c r="CC1044" s="147"/>
      <c r="CD1044" s="147"/>
      <c r="CE1044" s="147"/>
      <c r="CF1044" s="147"/>
      <c r="CG1044" s="147"/>
      <c r="CH1044" s="147"/>
      <c r="CI1044" s="147"/>
      <c r="CJ1044" s="147"/>
      <c r="CK1044" s="147"/>
    </row>
    <row r="1045" spans="1:89">
      <c r="A1045" s="157"/>
      <c r="F1045" s="3"/>
      <c r="G1045" s="3"/>
      <c r="L1045" s="157"/>
      <c r="M1045" s="157"/>
      <c r="O1045" s="147"/>
      <c r="P1045" s="147"/>
      <c r="Q1045" s="147"/>
      <c r="R1045" s="147"/>
      <c r="S1045" s="147"/>
      <c r="T1045" s="147"/>
      <c r="U1045" s="147"/>
      <c r="V1045" s="147"/>
      <c r="W1045" s="147"/>
      <c r="X1045" s="147"/>
      <c r="Y1045" s="147"/>
      <c r="Z1045" s="147"/>
      <c r="AA1045" s="147"/>
      <c r="AB1045" s="147"/>
      <c r="AC1045" s="147"/>
      <c r="AD1045" s="147"/>
      <c r="AE1045" s="147"/>
      <c r="AF1045" s="147"/>
      <c r="AG1045" s="147"/>
      <c r="AH1045" s="147"/>
      <c r="AI1045" s="147"/>
      <c r="AJ1045" s="147"/>
      <c r="AK1045" s="147"/>
      <c r="AL1045" s="147"/>
      <c r="AM1045" s="151"/>
      <c r="AN1045" s="147"/>
      <c r="AO1045" s="147"/>
      <c r="AP1045" s="147"/>
      <c r="AQ1045" s="147"/>
      <c r="AR1045" s="147"/>
      <c r="AS1045" s="147"/>
      <c r="AT1045" s="147"/>
      <c r="AU1045" s="147"/>
      <c r="AV1045" s="147"/>
      <c r="AW1045" s="147"/>
      <c r="AX1045" s="147"/>
      <c r="AY1045" s="147"/>
      <c r="AZ1045" s="147"/>
      <c r="BA1045" s="147"/>
      <c r="BB1045" s="147"/>
      <c r="BC1045" s="147"/>
      <c r="BD1045" s="147"/>
      <c r="BE1045" s="147"/>
      <c r="BF1045" s="147"/>
      <c r="BG1045" s="147"/>
      <c r="BH1045" s="147"/>
      <c r="BI1045" s="147"/>
      <c r="BJ1045" s="147"/>
      <c r="BK1045" s="147"/>
      <c r="BL1045" s="147"/>
      <c r="BM1045" s="147"/>
      <c r="BN1045" s="147"/>
      <c r="BO1045" s="147"/>
      <c r="BP1045" s="147"/>
      <c r="BQ1045" s="147"/>
      <c r="BR1045" s="147"/>
      <c r="BS1045" s="147"/>
      <c r="BT1045" s="147"/>
      <c r="BU1045" s="147"/>
      <c r="BV1045" s="147"/>
      <c r="BW1045" s="147"/>
      <c r="BX1045" s="147"/>
      <c r="BY1045" s="147"/>
      <c r="BZ1045" s="147"/>
      <c r="CA1045" s="147"/>
      <c r="CB1045" s="147"/>
      <c r="CC1045" s="147"/>
      <c r="CD1045" s="147"/>
      <c r="CE1045" s="147"/>
      <c r="CF1045" s="147"/>
      <c r="CG1045" s="147"/>
      <c r="CH1045" s="147"/>
      <c r="CI1045" s="147"/>
      <c r="CJ1045" s="147"/>
      <c r="CK1045" s="147"/>
    </row>
    <row r="1046" spans="1:89">
      <c r="A1046" s="157"/>
      <c r="F1046" s="3"/>
      <c r="G1046" s="3"/>
      <c r="L1046" s="157"/>
      <c r="M1046" s="157"/>
      <c r="O1046" s="147"/>
      <c r="P1046" s="147"/>
      <c r="Q1046" s="147"/>
      <c r="R1046" s="147"/>
      <c r="S1046" s="147"/>
      <c r="T1046" s="147"/>
      <c r="U1046" s="147"/>
      <c r="V1046" s="147"/>
      <c r="W1046" s="147"/>
      <c r="X1046" s="147"/>
      <c r="Y1046" s="147"/>
      <c r="Z1046" s="147"/>
      <c r="AA1046" s="147"/>
      <c r="AB1046" s="147"/>
      <c r="AC1046" s="147"/>
      <c r="AD1046" s="147"/>
      <c r="AE1046" s="147"/>
      <c r="AF1046" s="147"/>
      <c r="AG1046" s="147"/>
      <c r="AH1046" s="147"/>
      <c r="AI1046" s="147"/>
      <c r="AJ1046" s="147"/>
      <c r="AK1046" s="147"/>
      <c r="AL1046" s="147"/>
      <c r="AM1046" s="151"/>
      <c r="AN1046" s="147"/>
      <c r="AO1046" s="147"/>
      <c r="AP1046" s="147"/>
      <c r="AQ1046" s="147"/>
      <c r="AR1046" s="147"/>
      <c r="AS1046" s="147"/>
      <c r="AT1046" s="147"/>
      <c r="AU1046" s="147"/>
      <c r="AV1046" s="147"/>
      <c r="AW1046" s="147"/>
      <c r="AX1046" s="147"/>
      <c r="AY1046" s="147"/>
      <c r="AZ1046" s="147"/>
      <c r="BA1046" s="147"/>
      <c r="BB1046" s="147"/>
      <c r="BC1046" s="147"/>
      <c r="BD1046" s="147"/>
      <c r="BE1046" s="147"/>
      <c r="BF1046" s="147"/>
      <c r="BG1046" s="147"/>
      <c r="BH1046" s="147"/>
      <c r="BI1046" s="147"/>
      <c r="BJ1046" s="147"/>
      <c r="BK1046" s="147"/>
      <c r="BL1046" s="147"/>
      <c r="BM1046" s="147"/>
      <c r="BN1046" s="147"/>
      <c r="BO1046" s="147"/>
      <c r="BP1046" s="147"/>
      <c r="BQ1046" s="147"/>
      <c r="BR1046" s="147"/>
      <c r="BS1046" s="147"/>
      <c r="BT1046" s="147"/>
      <c r="BU1046" s="147"/>
      <c r="BV1046" s="147"/>
      <c r="BW1046" s="147"/>
      <c r="BX1046" s="147"/>
      <c r="BY1046" s="147"/>
      <c r="BZ1046" s="147"/>
      <c r="CA1046" s="147"/>
      <c r="CB1046" s="147"/>
      <c r="CC1046" s="147"/>
      <c r="CD1046" s="147"/>
      <c r="CE1046" s="147"/>
      <c r="CF1046" s="147"/>
      <c r="CG1046" s="147"/>
      <c r="CH1046" s="147"/>
      <c r="CI1046" s="147"/>
      <c r="CJ1046" s="147"/>
      <c r="CK1046" s="147"/>
    </row>
    <row r="1047" spans="1:89">
      <c r="A1047" s="157"/>
      <c r="F1047" s="3"/>
      <c r="G1047" s="3"/>
      <c r="L1047" s="157"/>
      <c r="M1047" s="157"/>
      <c r="O1047" s="147"/>
      <c r="P1047" s="147"/>
      <c r="Q1047" s="147"/>
      <c r="R1047" s="147"/>
      <c r="S1047" s="147"/>
      <c r="T1047" s="147"/>
      <c r="U1047" s="147"/>
      <c r="V1047" s="147"/>
      <c r="W1047" s="147"/>
      <c r="X1047" s="147"/>
      <c r="Y1047" s="147"/>
      <c r="Z1047" s="147"/>
      <c r="AA1047" s="147"/>
      <c r="AB1047" s="147"/>
      <c r="AC1047" s="147"/>
      <c r="AD1047" s="147"/>
      <c r="AE1047" s="147"/>
      <c r="AF1047" s="147"/>
      <c r="AG1047" s="147"/>
      <c r="AH1047" s="147"/>
      <c r="AI1047" s="147"/>
      <c r="AJ1047" s="147"/>
      <c r="AK1047" s="147"/>
      <c r="AL1047" s="147"/>
      <c r="AM1047" s="151"/>
      <c r="AN1047" s="147"/>
      <c r="AO1047" s="147"/>
      <c r="AP1047" s="147"/>
      <c r="AQ1047" s="147"/>
      <c r="AR1047" s="147"/>
      <c r="AS1047" s="147"/>
      <c r="AT1047" s="147"/>
      <c r="AU1047" s="147"/>
      <c r="AV1047" s="147"/>
      <c r="AW1047" s="147"/>
      <c r="AX1047" s="147"/>
      <c r="AY1047" s="147"/>
      <c r="AZ1047" s="147"/>
      <c r="BA1047" s="147"/>
      <c r="BB1047" s="147"/>
      <c r="BC1047" s="147"/>
      <c r="BD1047" s="147"/>
      <c r="BE1047" s="147"/>
      <c r="BF1047" s="147"/>
      <c r="BG1047" s="147"/>
      <c r="BH1047" s="147"/>
      <c r="BI1047" s="147"/>
      <c r="BJ1047" s="147"/>
      <c r="BK1047" s="147"/>
      <c r="BL1047" s="147"/>
      <c r="BM1047" s="147"/>
      <c r="BN1047" s="147"/>
      <c r="BO1047" s="147"/>
      <c r="BP1047" s="147"/>
      <c r="BQ1047" s="147"/>
      <c r="BR1047" s="147"/>
      <c r="BS1047" s="147"/>
      <c r="BT1047" s="147"/>
      <c r="BU1047" s="147"/>
      <c r="BV1047" s="147"/>
      <c r="BW1047" s="147"/>
      <c r="BX1047" s="147"/>
      <c r="BY1047" s="147"/>
      <c r="BZ1047" s="147"/>
      <c r="CA1047" s="147"/>
      <c r="CB1047" s="147"/>
      <c r="CC1047" s="147"/>
      <c r="CD1047" s="147"/>
      <c r="CE1047" s="147"/>
      <c r="CF1047" s="147"/>
      <c r="CG1047" s="147"/>
      <c r="CH1047" s="147"/>
      <c r="CI1047" s="147"/>
      <c r="CJ1047" s="147"/>
      <c r="CK1047" s="147"/>
    </row>
    <row r="1048" spans="1:89">
      <c r="A1048" s="157"/>
      <c r="F1048" s="3"/>
      <c r="G1048" s="3"/>
      <c r="L1048" s="157"/>
      <c r="M1048" s="157"/>
      <c r="O1048" s="147"/>
      <c r="P1048" s="147"/>
      <c r="Q1048" s="147"/>
      <c r="R1048" s="147"/>
      <c r="S1048" s="147"/>
      <c r="T1048" s="147"/>
      <c r="U1048" s="147"/>
      <c r="V1048" s="147"/>
      <c r="W1048" s="147"/>
      <c r="X1048" s="147"/>
      <c r="Y1048" s="147"/>
      <c r="Z1048" s="147"/>
      <c r="AA1048" s="147"/>
      <c r="AB1048" s="147"/>
      <c r="AC1048" s="147"/>
      <c r="AD1048" s="147"/>
      <c r="AE1048" s="147"/>
      <c r="AF1048" s="147"/>
      <c r="AG1048" s="147"/>
      <c r="AH1048" s="147"/>
      <c r="AI1048" s="147"/>
      <c r="AJ1048" s="147"/>
      <c r="AK1048" s="147"/>
      <c r="AL1048" s="147"/>
      <c r="AM1048" s="151"/>
      <c r="AN1048" s="147"/>
      <c r="AO1048" s="147"/>
      <c r="AP1048" s="147"/>
      <c r="AQ1048" s="147"/>
      <c r="AR1048" s="147"/>
      <c r="AS1048" s="147"/>
      <c r="AT1048" s="147"/>
      <c r="AU1048" s="147"/>
      <c r="AV1048" s="147"/>
      <c r="AW1048" s="147"/>
      <c r="AX1048" s="147"/>
      <c r="AY1048" s="147"/>
      <c r="AZ1048" s="147"/>
      <c r="BA1048" s="147"/>
      <c r="BB1048" s="147"/>
      <c r="BC1048" s="147"/>
      <c r="BD1048" s="147"/>
      <c r="BE1048" s="147"/>
      <c r="BF1048" s="147"/>
      <c r="BG1048" s="147"/>
      <c r="BH1048" s="147"/>
      <c r="BI1048" s="147"/>
      <c r="BJ1048" s="147"/>
      <c r="BK1048" s="147"/>
      <c r="BL1048" s="147"/>
      <c r="BM1048" s="147"/>
      <c r="BN1048" s="147"/>
      <c r="BO1048" s="147"/>
      <c r="BP1048" s="147"/>
      <c r="BQ1048" s="147"/>
      <c r="BR1048" s="147"/>
      <c r="BS1048" s="147"/>
      <c r="BT1048" s="147"/>
      <c r="BU1048" s="147"/>
      <c r="BV1048" s="147"/>
      <c r="BW1048" s="147"/>
      <c r="BX1048" s="147"/>
      <c r="BY1048" s="147"/>
      <c r="BZ1048" s="147"/>
      <c r="CA1048" s="147"/>
      <c r="CB1048" s="147"/>
      <c r="CC1048" s="147"/>
      <c r="CD1048" s="147"/>
      <c r="CE1048" s="147"/>
      <c r="CF1048" s="147"/>
      <c r="CG1048" s="147"/>
      <c r="CH1048" s="147"/>
      <c r="CI1048" s="147"/>
      <c r="CJ1048" s="147"/>
      <c r="CK1048" s="147"/>
    </row>
    <row r="1049" spans="1:89">
      <c r="A1049" s="157"/>
      <c r="F1049" s="3"/>
      <c r="G1049" s="3"/>
      <c r="L1049" s="157"/>
      <c r="M1049" s="157"/>
      <c r="O1049" s="147"/>
      <c r="P1049" s="147"/>
      <c r="Q1049" s="147"/>
      <c r="R1049" s="147"/>
      <c r="S1049" s="147"/>
      <c r="T1049" s="147"/>
      <c r="U1049" s="147"/>
      <c r="V1049" s="147"/>
      <c r="W1049" s="147"/>
      <c r="X1049" s="147"/>
      <c r="Y1049" s="147"/>
      <c r="Z1049" s="147"/>
      <c r="AA1049" s="147"/>
      <c r="AB1049" s="147"/>
      <c r="AC1049" s="147"/>
      <c r="AD1049" s="147"/>
      <c r="AE1049" s="147"/>
      <c r="AF1049" s="147"/>
      <c r="AG1049" s="147"/>
      <c r="AH1049" s="147"/>
      <c r="AI1049" s="147"/>
      <c r="AJ1049" s="147"/>
      <c r="AK1049" s="147"/>
      <c r="AL1049" s="147"/>
      <c r="AM1049" s="151"/>
      <c r="AN1049" s="147"/>
      <c r="AO1049" s="147"/>
      <c r="AP1049" s="147"/>
      <c r="AQ1049" s="147"/>
      <c r="AR1049" s="147"/>
      <c r="AS1049" s="147"/>
      <c r="AT1049" s="147"/>
      <c r="AU1049" s="147"/>
      <c r="AV1049" s="147"/>
      <c r="AW1049" s="147"/>
      <c r="AX1049" s="147"/>
      <c r="AY1049" s="147"/>
      <c r="AZ1049" s="147"/>
      <c r="BA1049" s="147"/>
      <c r="BB1049" s="147"/>
      <c r="BC1049" s="147"/>
      <c r="BD1049" s="147"/>
      <c r="BE1049" s="147"/>
      <c r="BF1049" s="147"/>
      <c r="BG1049" s="147"/>
      <c r="BH1049" s="147"/>
      <c r="BI1049" s="147"/>
      <c r="BJ1049" s="147"/>
      <c r="BK1049" s="147"/>
      <c r="BL1049" s="147"/>
      <c r="BM1049" s="147"/>
      <c r="BN1049" s="147"/>
      <c r="BO1049" s="147"/>
      <c r="BP1049" s="147"/>
      <c r="BQ1049" s="147"/>
      <c r="BR1049" s="147"/>
      <c r="BS1049" s="147"/>
      <c r="BT1049" s="147"/>
      <c r="BU1049" s="147"/>
      <c r="BV1049" s="147"/>
      <c r="BW1049" s="147"/>
      <c r="BX1049" s="147"/>
      <c r="BY1049" s="147"/>
      <c r="BZ1049" s="147"/>
      <c r="CA1049" s="147"/>
      <c r="CB1049" s="147"/>
      <c r="CC1049" s="147"/>
      <c r="CD1049" s="147"/>
      <c r="CE1049" s="147"/>
      <c r="CF1049" s="147"/>
      <c r="CG1049" s="147"/>
      <c r="CH1049" s="147"/>
      <c r="CI1049" s="147"/>
      <c r="CJ1049" s="147"/>
      <c r="CK1049" s="147"/>
    </row>
    <row r="1050" spans="1:89">
      <c r="A1050" s="157"/>
      <c r="F1050" s="3"/>
      <c r="G1050" s="3"/>
      <c r="L1050" s="157"/>
      <c r="M1050" s="157"/>
      <c r="O1050" s="147"/>
      <c r="P1050" s="147"/>
      <c r="Q1050" s="147"/>
      <c r="R1050" s="147"/>
      <c r="S1050" s="147"/>
      <c r="T1050" s="147"/>
      <c r="U1050" s="147"/>
      <c r="V1050" s="147"/>
      <c r="W1050" s="147"/>
      <c r="X1050" s="147"/>
      <c r="Y1050" s="147"/>
      <c r="Z1050" s="147"/>
      <c r="AA1050" s="147"/>
      <c r="AB1050" s="147"/>
      <c r="AC1050" s="147"/>
      <c r="AD1050" s="147"/>
      <c r="AE1050" s="147"/>
      <c r="AF1050" s="147"/>
      <c r="AG1050" s="147"/>
      <c r="AH1050" s="147"/>
      <c r="AI1050" s="147"/>
      <c r="AJ1050" s="147"/>
      <c r="AK1050" s="147"/>
      <c r="AL1050" s="147"/>
      <c r="AM1050" s="151"/>
      <c r="AN1050" s="147"/>
      <c r="AO1050" s="147"/>
      <c r="AP1050" s="147"/>
      <c r="AQ1050" s="147"/>
      <c r="AR1050" s="147"/>
      <c r="AS1050" s="147"/>
      <c r="AT1050" s="147"/>
      <c r="AU1050" s="147"/>
      <c r="AV1050" s="147"/>
      <c r="AW1050" s="147"/>
      <c r="AX1050" s="147"/>
      <c r="AY1050" s="147"/>
      <c r="AZ1050" s="147"/>
      <c r="BA1050" s="147"/>
      <c r="BB1050" s="147"/>
      <c r="BC1050" s="147"/>
      <c r="BD1050" s="147"/>
      <c r="BE1050" s="147"/>
      <c r="BF1050" s="147"/>
      <c r="BG1050" s="147"/>
      <c r="BH1050" s="147"/>
      <c r="BI1050" s="147"/>
      <c r="BJ1050" s="147"/>
      <c r="BK1050" s="147"/>
      <c r="BL1050" s="147"/>
      <c r="BM1050" s="147"/>
      <c r="BN1050" s="147"/>
      <c r="BO1050" s="147"/>
      <c r="BP1050" s="147"/>
      <c r="BQ1050" s="147"/>
      <c r="BR1050" s="147"/>
      <c r="BS1050" s="147"/>
      <c r="BT1050" s="147"/>
      <c r="BU1050" s="147"/>
      <c r="BV1050" s="147"/>
      <c r="BW1050" s="147"/>
      <c r="BX1050" s="147"/>
      <c r="BY1050" s="147"/>
      <c r="BZ1050" s="147"/>
      <c r="CA1050" s="147"/>
      <c r="CB1050" s="147"/>
      <c r="CC1050" s="147"/>
      <c r="CD1050" s="147"/>
      <c r="CE1050" s="147"/>
      <c r="CF1050" s="147"/>
      <c r="CG1050" s="147"/>
      <c r="CH1050" s="147"/>
      <c r="CI1050" s="147"/>
      <c r="CJ1050" s="147"/>
      <c r="CK1050" s="147"/>
    </row>
    <row r="1051" spans="1:89">
      <c r="A1051" s="157"/>
      <c r="F1051" s="3"/>
      <c r="G1051" s="3"/>
      <c r="L1051" s="157"/>
      <c r="M1051" s="157"/>
      <c r="O1051" s="147"/>
      <c r="P1051" s="147"/>
      <c r="Q1051" s="147"/>
      <c r="R1051" s="147"/>
      <c r="S1051" s="147"/>
      <c r="T1051" s="147"/>
      <c r="U1051" s="147"/>
      <c r="V1051" s="147"/>
      <c r="W1051" s="147"/>
      <c r="X1051" s="147"/>
      <c r="Y1051" s="147"/>
      <c r="Z1051" s="147"/>
      <c r="AA1051" s="147"/>
      <c r="AB1051" s="147"/>
      <c r="AC1051" s="147"/>
      <c r="AD1051" s="147"/>
      <c r="AE1051" s="147"/>
      <c r="AF1051" s="147"/>
      <c r="AG1051" s="147"/>
      <c r="AH1051" s="147"/>
      <c r="AI1051" s="147"/>
      <c r="AJ1051" s="147"/>
      <c r="AK1051" s="147"/>
      <c r="AL1051" s="147"/>
      <c r="AM1051" s="151"/>
      <c r="AN1051" s="147"/>
      <c r="AO1051" s="147"/>
      <c r="AP1051" s="147"/>
      <c r="AQ1051" s="147"/>
      <c r="AR1051" s="147"/>
      <c r="AS1051" s="147"/>
      <c r="AT1051" s="147"/>
      <c r="AU1051" s="147"/>
      <c r="AV1051" s="147"/>
      <c r="AW1051" s="147"/>
      <c r="AX1051" s="147"/>
      <c r="AY1051" s="147"/>
      <c r="AZ1051" s="147"/>
      <c r="BA1051" s="147"/>
      <c r="BB1051" s="147"/>
      <c r="BC1051" s="147"/>
      <c r="BD1051" s="147"/>
      <c r="BE1051" s="147"/>
      <c r="BF1051" s="147"/>
      <c r="BG1051" s="147"/>
      <c r="BH1051" s="147"/>
      <c r="BI1051" s="147"/>
      <c r="BJ1051" s="147"/>
      <c r="BK1051" s="147"/>
      <c r="BL1051" s="147"/>
      <c r="BM1051" s="147"/>
      <c r="BN1051" s="147"/>
      <c r="BO1051" s="147"/>
      <c r="BP1051" s="147"/>
      <c r="BQ1051" s="147"/>
      <c r="BR1051" s="147"/>
      <c r="BS1051" s="147"/>
      <c r="BT1051" s="147"/>
      <c r="BU1051" s="147"/>
      <c r="BV1051" s="147"/>
      <c r="BW1051" s="147"/>
      <c r="BX1051" s="147"/>
      <c r="BY1051" s="147"/>
      <c r="BZ1051" s="147"/>
      <c r="CA1051" s="147"/>
      <c r="CB1051" s="147"/>
      <c r="CC1051" s="147"/>
      <c r="CD1051" s="147"/>
      <c r="CE1051" s="147"/>
      <c r="CF1051" s="147"/>
      <c r="CG1051" s="147"/>
      <c r="CH1051" s="147"/>
      <c r="CI1051" s="147"/>
      <c r="CJ1051" s="147"/>
      <c r="CK1051" s="147"/>
    </row>
    <row r="1052" spans="1:89">
      <c r="A1052" s="157"/>
      <c r="F1052" s="3"/>
      <c r="G1052" s="3"/>
      <c r="L1052" s="157"/>
      <c r="M1052" s="157"/>
      <c r="O1052" s="147"/>
      <c r="P1052" s="147"/>
      <c r="Q1052" s="147"/>
      <c r="R1052" s="147"/>
      <c r="S1052" s="147"/>
      <c r="T1052" s="147"/>
      <c r="U1052" s="147"/>
      <c r="V1052" s="147"/>
      <c r="W1052" s="147"/>
      <c r="X1052" s="147"/>
      <c r="Y1052" s="147"/>
      <c r="Z1052" s="147"/>
      <c r="AA1052" s="147"/>
      <c r="AB1052" s="147"/>
      <c r="AC1052" s="147"/>
      <c r="AD1052" s="147"/>
      <c r="AE1052" s="147"/>
      <c r="AF1052" s="147"/>
      <c r="AG1052" s="147"/>
      <c r="AH1052" s="147"/>
      <c r="AI1052" s="147"/>
      <c r="AJ1052" s="147"/>
      <c r="AK1052" s="147"/>
      <c r="AL1052" s="147"/>
      <c r="AM1052" s="151"/>
      <c r="AN1052" s="147"/>
      <c r="AO1052" s="147"/>
      <c r="AP1052" s="147"/>
      <c r="AQ1052" s="147"/>
      <c r="AR1052" s="147"/>
      <c r="AS1052" s="147"/>
      <c r="AT1052" s="147"/>
      <c r="AU1052" s="147"/>
      <c r="AV1052" s="147"/>
      <c r="AW1052" s="147"/>
      <c r="AX1052" s="147"/>
      <c r="AY1052" s="147"/>
      <c r="AZ1052" s="147"/>
      <c r="BA1052" s="147"/>
      <c r="BB1052" s="147"/>
      <c r="BC1052" s="147"/>
      <c r="BD1052" s="147"/>
      <c r="BE1052" s="147"/>
      <c r="BF1052" s="147"/>
      <c r="BG1052" s="147"/>
      <c r="BH1052" s="147"/>
      <c r="BI1052" s="147"/>
      <c r="BJ1052" s="147"/>
      <c r="BK1052" s="147"/>
      <c r="BL1052" s="147"/>
      <c r="BM1052" s="147"/>
      <c r="BN1052" s="147"/>
      <c r="BO1052" s="147"/>
      <c r="BP1052" s="147"/>
      <c r="BQ1052" s="147"/>
      <c r="BR1052" s="147"/>
      <c r="BS1052" s="147"/>
      <c r="BT1052" s="147"/>
      <c r="BU1052" s="147"/>
      <c r="BV1052" s="147"/>
      <c r="BW1052" s="147"/>
      <c r="BX1052" s="147"/>
      <c r="BY1052" s="147"/>
      <c r="BZ1052" s="147"/>
      <c r="CA1052" s="147"/>
      <c r="CB1052" s="147"/>
      <c r="CC1052" s="147"/>
      <c r="CD1052" s="147"/>
      <c r="CE1052" s="147"/>
      <c r="CF1052" s="147"/>
      <c r="CG1052" s="147"/>
      <c r="CH1052" s="147"/>
      <c r="CI1052" s="147"/>
      <c r="CJ1052" s="147"/>
      <c r="CK1052" s="147"/>
    </row>
    <row r="1053" spans="1:89">
      <c r="A1053" s="157"/>
      <c r="F1053" s="3"/>
      <c r="G1053" s="3"/>
      <c r="L1053" s="157"/>
      <c r="M1053" s="157"/>
      <c r="O1053" s="147"/>
      <c r="P1053" s="147"/>
      <c r="Q1053" s="147"/>
      <c r="R1053" s="147"/>
      <c r="S1053" s="147"/>
      <c r="T1053" s="147"/>
      <c r="U1053" s="147"/>
      <c r="V1053" s="147"/>
      <c r="W1053" s="147"/>
      <c r="X1053" s="147"/>
      <c r="Y1053" s="147"/>
      <c r="Z1053" s="147"/>
      <c r="AA1053" s="147"/>
      <c r="AB1053" s="147"/>
      <c r="AC1053" s="147"/>
      <c r="AD1053" s="147"/>
      <c r="AE1053" s="147"/>
      <c r="AF1053" s="147"/>
      <c r="AG1053" s="147"/>
      <c r="AH1053" s="147"/>
      <c r="AI1053" s="147"/>
      <c r="AJ1053" s="147"/>
      <c r="AK1053" s="147"/>
      <c r="AL1053" s="147"/>
      <c r="AM1053" s="151"/>
      <c r="AN1053" s="147"/>
      <c r="AO1053" s="147"/>
      <c r="AP1053" s="147"/>
      <c r="AQ1053" s="147"/>
      <c r="AR1053" s="147"/>
      <c r="AS1053" s="147"/>
      <c r="AT1053" s="147"/>
      <c r="AU1053" s="147"/>
      <c r="AV1053" s="147"/>
      <c r="AW1053" s="147"/>
      <c r="AX1053" s="147"/>
      <c r="AY1053" s="147"/>
      <c r="AZ1053" s="147"/>
      <c r="BA1053" s="147"/>
      <c r="BB1053" s="147"/>
      <c r="BC1053" s="147"/>
      <c r="BD1053" s="147"/>
      <c r="BE1053" s="147"/>
      <c r="BF1053" s="147"/>
      <c r="BG1053" s="147"/>
      <c r="BH1053" s="147"/>
      <c r="BI1053" s="147"/>
      <c r="BJ1053" s="147"/>
      <c r="BK1053" s="147"/>
      <c r="BL1053" s="147"/>
      <c r="BM1053" s="147"/>
      <c r="BN1053" s="147"/>
      <c r="BO1053" s="147"/>
      <c r="BP1053" s="147"/>
      <c r="BQ1053" s="147"/>
      <c r="BR1053" s="147"/>
      <c r="BS1053" s="147"/>
      <c r="BT1053" s="147"/>
      <c r="BU1053" s="147"/>
      <c r="BV1053" s="147"/>
      <c r="BW1053" s="147"/>
      <c r="BX1053" s="147"/>
      <c r="BY1053" s="147"/>
      <c r="BZ1053" s="147"/>
      <c r="CA1053" s="147"/>
      <c r="CB1053" s="147"/>
      <c r="CC1053" s="147"/>
      <c r="CD1053" s="147"/>
      <c r="CE1053" s="147"/>
      <c r="CF1053" s="147"/>
      <c r="CG1053" s="147"/>
      <c r="CH1053" s="147"/>
      <c r="CI1053" s="147"/>
      <c r="CJ1053" s="147"/>
      <c r="CK1053" s="147"/>
    </row>
    <row r="1054" spans="1:89">
      <c r="A1054" s="157"/>
      <c r="F1054" s="3"/>
      <c r="G1054" s="3"/>
      <c r="L1054" s="157"/>
      <c r="M1054" s="157"/>
      <c r="O1054" s="147"/>
      <c r="P1054" s="147"/>
      <c r="Q1054" s="147"/>
      <c r="R1054" s="147"/>
      <c r="S1054" s="147"/>
      <c r="T1054" s="147"/>
      <c r="U1054" s="147"/>
      <c r="V1054" s="147"/>
      <c r="W1054" s="147"/>
      <c r="X1054" s="147"/>
      <c r="Y1054" s="147"/>
      <c r="Z1054" s="147"/>
      <c r="AA1054" s="147"/>
      <c r="AB1054" s="147"/>
      <c r="AC1054" s="147"/>
      <c r="AD1054" s="147"/>
      <c r="AE1054" s="147"/>
      <c r="AF1054" s="147"/>
      <c r="AG1054" s="147"/>
      <c r="AH1054" s="147"/>
      <c r="AI1054" s="147"/>
      <c r="AJ1054" s="147"/>
      <c r="AK1054" s="147"/>
      <c r="AL1054" s="147"/>
      <c r="AM1054" s="151"/>
      <c r="AN1054" s="147"/>
      <c r="AO1054" s="147"/>
      <c r="AP1054" s="147"/>
      <c r="AQ1054" s="147"/>
      <c r="AR1054" s="147"/>
      <c r="AS1054" s="147"/>
      <c r="AT1054" s="147"/>
      <c r="AU1054" s="147"/>
      <c r="AV1054" s="147"/>
      <c r="AW1054" s="147"/>
      <c r="AX1054" s="147"/>
      <c r="AY1054" s="147"/>
      <c r="AZ1054" s="147"/>
      <c r="BA1054" s="147"/>
      <c r="BB1054" s="147"/>
      <c r="BC1054" s="147"/>
      <c r="BD1054" s="147"/>
      <c r="BE1054" s="147"/>
      <c r="BF1054" s="147"/>
      <c r="BG1054" s="147"/>
      <c r="BH1054" s="147"/>
      <c r="BI1054" s="147"/>
      <c r="BJ1054" s="147"/>
      <c r="BK1054" s="147"/>
      <c r="BL1054" s="147"/>
      <c r="BM1054" s="147"/>
      <c r="BN1054" s="147"/>
      <c r="BO1054" s="147"/>
      <c r="BP1054" s="147"/>
      <c r="BQ1054" s="147"/>
      <c r="BR1054" s="147"/>
      <c r="BS1054" s="147"/>
      <c r="BT1054" s="147"/>
      <c r="BU1054" s="147"/>
      <c r="BV1054" s="147"/>
      <c r="BW1054" s="147"/>
      <c r="BX1054" s="147"/>
      <c r="BY1054" s="147"/>
      <c r="BZ1054" s="147"/>
      <c r="CA1054" s="147"/>
      <c r="CB1054" s="147"/>
      <c r="CC1054" s="147"/>
      <c r="CD1054" s="147"/>
      <c r="CE1054" s="147"/>
      <c r="CF1054" s="147"/>
      <c r="CG1054" s="147"/>
      <c r="CH1054" s="147"/>
      <c r="CI1054" s="147"/>
      <c r="CJ1054" s="147"/>
      <c r="CK1054" s="147"/>
    </row>
    <row r="1055" spans="1:89">
      <c r="A1055" s="157"/>
      <c r="F1055" s="3"/>
      <c r="G1055" s="3"/>
      <c r="L1055" s="157"/>
      <c r="M1055" s="157"/>
      <c r="O1055" s="147"/>
      <c r="P1055" s="147"/>
      <c r="Q1055" s="147"/>
      <c r="R1055" s="147"/>
      <c r="S1055" s="147"/>
      <c r="T1055" s="147"/>
      <c r="U1055" s="147"/>
      <c r="V1055" s="147"/>
      <c r="W1055" s="147"/>
      <c r="X1055" s="147"/>
      <c r="Y1055" s="147"/>
      <c r="Z1055" s="147"/>
      <c r="AA1055" s="147"/>
      <c r="AB1055" s="147"/>
      <c r="AC1055" s="147"/>
      <c r="AD1055" s="147"/>
      <c r="AE1055" s="147"/>
      <c r="AF1055" s="147"/>
      <c r="AG1055" s="147"/>
      <c r="AH1055" s="147"/>
      <c r="AI1055" s="147"/>
      <c r="AJ1055" s="147"/>
      <c r="AK1055" s="147"/>
      <c r="AL1055" s="147"/>
      <c r="AM1055" s="151"/>
      <c r="AN1055" s="147"/>
      <c r="AO1055" s="147"/>
      <c r="AP1055" s="147"/>
      <c r="AQ1055" s="147"/>
      <c r="AR1055" s="147"/>
      <c r="AS1055" s="147"/>
      <c r="AT1055" s="147"/>
      <c r="AU1055" s="147"/>
      <c r="AV1055" s="147"/>
      <c r="AW1055" s="147"/>
      <c r="AX1055" s="147"/>
      <c r="AY1055" s="147"/>
      <c r="AZ1055" s="147"/>
      <c r="BA1055" s="147"/>
      <c r="BB1055" s="147"/>
      <c r="BC1055" s="147"/>
      <c r="BD1055" s="147"/>
      <c r="BE1055" s="147"/>
      <c r="BF1055" s="147"/>
      <c r="BG1055" s="147"/>
      <c r="BH1055" s="147"/>
      <c r="BI1055" s="147"/>
      <c r="BJ1055" s="147"/>
      <c r="BK1055" s="147"/>
      <c r="BL1055" s="147"/>
      <c r="BM1055" s="147"/>
      <c r="BN1055" s="147"/>
      <c r="BO1055" s="147"/>
      <c r="BP1055" s="147"/>
      <c r="BQ1055" s="147"/>
      <c r="BR1055" s="147"/>
      <c r="BS1055" s="147"/>
      <c r="BT1055" s="147"/>
      <c r="BU1055" s="147"/>
      <c r="BV1055" s="147"/>
      <c r="BW1055" s="147"/>
      <c r="BX1055" s="147"/>
      <c r="BY1055" s="147"/>
      <c r="BZ1055" s="147"/>
      <c r="CA1055" s="147"/>
      <c r="CB1055" s="147"/>
      <c r="CC1055" s="147"/>
      <c r="CD1055" s="147"/>
      <c r="CE1055" s="147"/>
      <c r="CF1055" s="147"/>
      <c r="CG1055" s="147"/>
      <c r="CH1055" s="147"/>
      <c r="CI1055" s="147"/>
      <c r="CJ1055" s="147"/>
      <c r="CK1055" s="147"/>
    </row>
    <row r="1056" spans="1:89">
      <c r="A1056" s="157"/>
      <c r="F1056" s="3"/>
      <c r="G1056" s="3"/>
      <c r="L1056" s="157"/>
      <c r="M1056" s="157"/>
      <c r="O1056" s="147"/>
      <c r="P1056" s="147"/>
      <c r="Q1056" s="147"/>
      <c r="R1056" s="147"/>
      <c r="S1056" s="147"/>
      <c r="T1056" s="147"/>
      <c r="U1056" s="147"/>
      <c r="V1056" s="147"/>
      <c r="W1056" s="147"/>
      <c r="X1056" s="147"/>
      <c r="Y1056" s="147"/>
      <c r="Z1056" s="147"/>
      <c r="AA1056" s="147"/>
      <c r="AB1056" s="147"/>
      <c r="AC1056" s="147"/>
      <c r="AD1056" s="147"/>
      <c r="AE1056" s="147"/>
      <c r="AF1056" s="147"/>
      <c r="AG1056" s="147"/>
      <c r="AH1056" s="147"/>
      <c r="AI1056" s="147"/>
      <c r="AJ1056" s="147"/>
      <c r="AK1056" s="147"/>
      <c r="AL1056" s="147"/>
      <c r="AM1056" s="151"/>
      <c r="AN1056" s="147"/>
      <c r="AO1056" s="147"/>
      <c r="AP1056" s="147"/>
      <c r="AQ1056" s="147"/>
      <c r="AR1056" s="147"/>
      <c r="AS1056" s="147"/>
      <c r="AT1056" s="147"/>
      <c r="AU1056" s="147"/>
      <c r="AV1056" s="147"/>
      <c r="AW1056" s="147"/>
      <c r="AX1056" s="147"/>
      <c r="AY1056" s="147"/>
      <c r="AZ1056" s="147"/>
      <c r="BA1056" s="147"/>
      <c r="BB1056" s="147"/>
      <c r="BC1056" s="147"/>
      <c r="BD1056" s="147"/>
      <c r="BE1056" s="147"/>
      <c r="BF1056" s="147"/>
      <c r="BG1056" s="147"/>
      <c r="BH1056" s="147"/>
      <c r="BI1056" s="147"/>
      <c r="BJ1056" s="147"/>
      <c r="BK1056" s="147"/>
      <c r="BL1056" s="147"/>
      <c r="BM1056" s="147"/>
      <c r="BN1056" s="147"/>
      <c r="BO1056" s="147"/>
      <c r="BP1056" s="147"/>
      <c r="BQ1056" s="147"/>
      <c r="BR1056" s="147"/>
      <c r="BS1056" s="147"/>
      <c r="BT1056" s="147"/>
      <c r="BU1056" s="147"/>
      <c r="BV1056" s="147"/>
      <c r="BW1056" s="147"/>
      <c r="BX1056" s="147"/>
      <c r="BY1056" s="147"/>
      <c r="BZ1056" s="147"/>
      <c r="CA1056" s="147"/>
      <c r="CB1056" s="147"/>
      <c r="CC1056" s="147"/>
      <c r="CD1056" s="147"/>
      <c r="CE1056" s="147"/>
      <c r="CF1056" s="147"/>
      <c r="CG1056" s="147"/>
      <c r="CH1056" s="147"/>
      <c r="CI1056" s="147"/>
      <c r="CJ1056" s="147"/>
      <c r="CK1056" s="147"/>
    </row>
    <row r="1057" spans="1:89">
      <c r="A1057" s="157"/>
      <c r="F1057" s="3"/>
      <c r="G1057" s="3"/>
      <c r="L1057" s="157"/>
      <c r="M1057" s="157"/>
      <c r="O1057" s="147"/>
      <c r="P1057" s="147"/>
      <c r="Q1057" s="147"/>
      <c r="R1057" s="147"/>
      <c r="S1057" s="147"/>
      <c r="T1057" s="147"/>
      <c r="U1057" s="147"/>
      <c r="V1057" s="147"/>
      <c r="W1057" s="147"/>
      <c r="X1057" s="147"/>
      <c r="Y1057" s="147"/>
      <c r="Z1057" s="147"/>
      <c r="AA1057" s="147"/>
      <c r="AB1057" s="147"/>
      <c r="AC1057" s="147"/>
      <c r="AD1057" s="147"/>
      <c r="AE1057" s="147"/>
      <c r="AF1057" s="147"/>
      <c r="AG1057" s="147"/>
      <c r="AH1057" s="147"/>
      <c r="AI1057" s="147"/>
      <c r="AJ1057" s="147"/>
      <c r="AK1057" s="147"/>
      <c r="AL1057" s="147"/>
      <c r="AM1057" s="151"/>
      <c r="AN1057" s="147"/>
      <c r="AO1057" s="147"/>
      <c r="AP1057" s="147"/>
      <c r="AQ1057" s="147"/>
      <c r="AR1057" s="147"/>
      <c r="AS1057" s="147"/>
      <c r="AT1057" s="147"/>
      <c r="AU1057" s="147"/>
      <c r="AV1057" s="147"/>
      <c r="AW1057" s="147"/>
      <c r="AX1057" s="147"/>
      <c r="AY1057" s="147"/>
      <c r="AZ1057" s="147"/>
      <c r="BA1057" s="147"/>
      <c r="BB1057" s="147"/>
      <c r="BC1057" s="147"/>
      <c r="BD1057" s="147"/>
      <c r="BE1057" s="147"/>
      <c r="BF1057" s="147"/>
      <c r="BG1057" s="147"/>
      <c r="BH1057" s="147"/>
      <c r="BI1057" s="147"/>
      <c r="BJ1057" s="147"/>
      <c r="BK1057" s="147"/>
      <c r="BL1057" s="147"/>
      <c r="BM1057" s="147"/>
      <c r="BN1057" s="147"/>
      <c r="BO1057" s="147"/>
      <c r="BP1057" s="147"/>
      <c r="BQ1057" s="147"/>
      <c r="BR1057" s="147"/>
      <c r="BS1057" s="147"/>
      <c r="BT1057" s="147"/>
      <c r="BU1057" s="147"/>
      <c r="BV1057" s="147"/>
      <c r="BW1057" s="147"/>
      <c r="BX1057" s="147"/>
      <c r="BY1057" s="147"/>
      <c r="BZ1057" s="147"/>
      <c r="CA1057" s="147"/>
      <c r="CB1057" s="147"/>
      <c r="CC1057" s="147"/>
      <c r="CD1057" s="147"/>
      <c r="CE1057" s="147"/>
      <c r="CF1057" s="147"/>
      <c r="CG1057" s="147"/>
      <c r="CH1057" s="147"/>
      <c r="CI1057" s="147"/>
      <c r="CJ1057" s="147"/>
      <c r="CK1057" s="147"/>
    </row>
    <row r="1058" spans="1:89">
      <c r="A1058" s="157"/>
      <c r="F1058" s="3"/>
      <c r="G1058" s="3"/>
      <c r="L1058" s="157"/>
      <c r="M1058" s="157"/>
      <c r="O1058" s="147"/>
      <c r="P1058" s="147"/>
      <c r="Q1058" s="147"/>
      <c r="R1058" s="147"/>
      <c r="S1058" s="147"/>
      <c r="T1058" s="147"/>
      <c r="U1058" s="147"/>
      <c r="V1058" s="147"/>
      <c r="W1058" s="147"/>
      <c r="X1058" s="147"/>
      <c r="Y1058" s="147"/>
      <c r="Z1058" s="147"/>
      <c r="AA1058" s="147"/>
      <c r="AB1058" s="147"/>
      <c r="AC1058" s="147"/>
      <c r="AD1058" s="147"/>
      <c r="AE1058" s="147"/>
      <c r="AF1058" s="147"/>
      <c r="AG1058" s="147"/>
      <c r="AH1058" s="147"/>
      <c r="AI1058" s="147"/>
      <c r="AJ1058" s="147"/>
      <c r="AK1058" s="147"/>
      <c r="AL1058" s="147"/>
      <c r="AM1058" s="151"/>
      <c r="AN1058" s="147"/>
      <c r="AO1058" s="147"/>
      <c r="AP1058" s="147"/>
      <c r="AQ1058" s="147"/>
      <c r="AR1058" s="147"/>
      <c r="AS1058" s="147"/>
      <c r="AT1058" s="147"/>
      <c r="AU1058" s="147"/>
      <c r="AV1058" s="147"/>
      <c r="AW1058" s="147"/>
      <c r="AX1058" s="147"/>
      <c r="AY1058" s="147"/>
      <c r="AZ1058" s="147"/>
      <c r="BA1058" s="147"/>
      <c r="BB1058" s="147"/>
      <c r="BC1058" s="147"/>
      <c r="BD1058" s="147"/>
      <c r="BE1058" s="147"/>
      <c r="BF1058" s="147"/>
      <c r="BG1058" s="147"/>
      <c r="BH1058" s="147"/>
      <c r="BI1058" s="147"/>
      <c r="BJ1058" s="147"/>
      <c r="BK1058" s="147"/>
      <c r="BL1058" s="147"/>
      <c r="BM1058" s="147"/>
      <c r="BN1058" s="147"/>
      <c r="BO1058" s="147"/>
      <c r="BP1058" s="147"/>
      <c r="BQ1058" s="147"/>
      <c r="BR1058" s="147"/>
      <c r="BS1058" s="147"/>
      <c r="BT1058" s="147"/>
      <c r="BU1058" s="147"/>
      <c r="BV1058" s="147"/>
      <c r="BW1058" s="147"/>
      <c r="BX1058" s="147"/>
      <c r="BY1058" s="147"/>
      <c r="BZ1058" s="147"/>
      <c r="CA1058" s="147"/>
      <c r="CB1058" s="147"/>
      <c r="CC1058" s="147"/>
      <c r="CD1058" s="147"/>
      <c r="CE1058" s="147"/>
      <c r="CF1058" s="147"/>
      <c r="CG1058" s="147"/>
      <c r="CH1058" s="147"/>
      <c r="CI1058" s="147"/>
      <c r="CJ1058" s="147"/>
      <c r="CK1058" s="147"/>
    </row>
    <row r="1059" spans="1:89">
      <c r="A1059" s="157"/>
      <c r="F1059" s="3"/>
      <c r="G1059" s="3"/>
      <c r="L1059" s="157"/>
      <c r="M1059" s="157"/>
      <c r="O1059" s="147"/>
      <c r="P1059" s="147"/>
      <c r="Q1059" s="147"/>
      <c r="R1059" s="147"/>
      <c r="S1059" s="147"/>
      <c r="T1059" s="147"/>
      <c r="U1059" s="147"/>
      <c r="V1059" s="147"/>
      <c r="W1059" s="147"/>
      <c r="X1059" s="147"/>
      <c r="Y1059" s="147"/>
      <c r="Z1059" s="147"/>
      <c r="AA1059" s="147"/>
      <c r="AB1059" s="147"/>
      <c r="AC1059" s="147"/>
      <c r="AD1059" s="147"/>
      <c r="AE1059" s="147"/>
      <c r="AF1059" s="147"/>
      <c r="AG1059" s="147"/>
      <c r="AH1059" s="147"/>
      <c r="AI1059" s="147"/>
      <c r="AJ1059" s="147"/>
      <c r="AK1059" s="147"/>
      <c r="AL1059" s="147"/>
      <c r="AM1059" s="151"/>
      <c r="AN1059" s="147"/>
      <c r="AO1059" s="147"/>
      <c r="AP1059" s="147"/>
      <c r="AQ1059" s="147"/>
      <c r="AR1059" s="147"/>
      <c r="AS1059" s="147"/>
      <c r="AT1059" s="147"/>
      <c r="AU1059" s="147"/>
      <c r="AV1059" s="147"/>
      <c r="AW1059" s="147"/>
      <c r="AX1059" s="147"/>
      <c r="AY1059" s="147"/>
      <c r="AZ1059" s="147"/>
      <c r="BA1059" s="147"/>
      <c r="BB1059" s="147"/>
      <c r="BC1059" s="147"/>
      <c r="BD1059" s="147"/>
      <c r="BE1059" s="147"/>
      <c r="BF1059" s="147"/>
      <c r="BG1059" s="147"/>
      <c r="BH1059" s="147"/>
      <c r="BI1059" s="147"/>
      <c r="BJ1059" s="147"/>
      <c r="BK1059" s="147"/>
      <c r="BL1059" s="147"/>
      <c r="BM1059" s="147"/>
      <c r="BN1059" s="147"/>
      <c r="BO1059" s="147"/>
      <c r="BP1059" s="147"/>
      <c r="BQ1059" s="147"/>
      <c r="BR1059" s="147"/>
      <c r="BS1059" s="147"/>
      <c r="BT1059" s="147"/>
      <c r="BU1059" s="147"/>
      <c r="BV1059" s="147"/>
      <c r="BW1059" s="147"/>
      <c r="BX1059" s="147"/>
      <c r="BY1059" s="147"/>
      <c r="BZ1059" s="147"/>
      <c r="CA1059" s="147"/>
      <c r="CB1059" s="147"/>
      <c r="CC1059" s="147"/>
      <c r="CD1059" s="147"/>
      <c r="CE1059" s="147"/>
      <c r="CF1059" s="147"/>
      <c r="CG1059" s="147"/>
      <c r="CH1059" s="147"/>
      <c r="CI1059" s="147"/>
      <c r="CJ1059" s="147"/>
      <c r="CK1059" s="147"/>
    </row>
    <row r="1060" spans="1:89">
      <c r="A1060" s="157"/>
      <c r="F1060" s="3"/>
      <c r="G1060" s="3"/>
      <c r="L1060" s="157"/>
      <c r="M1060" s="157"/>
      <c r="O1060" s="147"/>
      <c r="P1060" s="147"/>
      <c r="Q1060" s="147"/>
      <c r="R1060" s="147"/>
      <c r="S1060" s="147"/>
      <c r="T1060" s="147"/>
      <c r="U1060" s="147"/>
      <c r="V1060" s="147"/>
      <c r="W1060" s="147"/>
      <c r="X1060" s="147"/>
      <c r="Y1060" s="147"/>
      <c r="Z1060" s="147"/>
      <c r="AA1060" s="147"/>
      <c r="AB1060" s="147"/>
      <c r="AC1060" s="147"/>
      <c r="AD1060" s="147"/>
      <c r="AE1060" s="147"/>
      <c r="AF1060" s="147"/>
      <c r="AG1060" s="147"/>
      <c r="AH1060" s="147"/>
      <c r="AI1060" s="147"/>
      <c r="AJ1060" s="147"/>
      <c r="AK1060" s="147"/>
      <c r="AL1060" s="147"/>
      <c r="AM1060" s="151"/>
      <c r="AN1060" s="147"/>
      <c r="AO1060" s="147"/>
      <c r="AP1060" s="147"/>
      <c r="AQ1060" s="147"/>
      <c r="AR1060" s="147"/>
      <c r="AS1060" s="147"/>
      <c r="AT1060" s="147"/>
      <c r="AU1060" s="147"/>
      <c r="AV1060" s="147"/>
      <c r="AW1060" s="147"/>
      <c r="AX1060" s="147"/>
      <c r="AY1060" s="147"/>
      <c r="AZ1060" s="147"/>
      <c r="BA1060" s="147"/>
      <c r="BB1060" s="147"/>
      <c r="BC1060" s="147"/>
      <c r="BD1060" s="147"/>
      <c r="BE1060" s="147"/>
      <c r="BF1060" s="147"/>
      <c r="BG1060" s="147"/>
      <c r="BH1060" s="147"/>
      <c r="BI1060" s="147"/>
      <c r="BJ1060" s="147"/>
      <c r="BK1060" s="147"/>
      <c r="BL1060" s="147"/>
      <c r="BM1060" s="147"/>
      <c r="BN1060" s="147"/>
      <c r="BO1060" s="147"/>
      <c r="BP1060" s="147"/>
      <c r="BQ1060" s="147"/>
      <c r="BR1060" s="147"/>
      <c r="BS1060" s="147"/>
      <c r="BT1060" s="147"/>
      <c r="BU1060" s="147"/>
      <c r="BV1060" s="147"/>
      <c r="BW1060" s="147"/>
      <c r="BX1060" s="147"/>
      <c r="BY1060" s="147"/>
      <c r="BZ1060" s="147"/>
      <c r="CA1060" s="147"/>
      <c r="CB1060" s="147"/>
      <c r="CC1060" s="147"/>
      <c r="CD1060" s="147"/>
      <c r="CE1060" s="147"/>
      <c r="CF1060" s="147"/>
      <c r="CG1060" s="147"/>
      <c r="CH1060" s="147"/>
      <c r="CI1060" s="147"/>
      <c r="CJ1060" s="147"/>
      <c r="CK1060" s="147"/>
    </row>
    <row r="1061" spans="1:89">
      <c r="A1061" s="157"/>
      <c r="F1061" s="3"/>
      <c r="G1061" s="3"/>
      <c r="L1061" s="157"/>
      <c r="M1061" s="157"/>
      <c r="O1061" s="147"/>
      <c r="P1061" s="147"/>
      <c r="Q1061" s="147"/>
      <c r="R1061" s="147"/>
      <c r="S1061" s="147"/>
      <c r="T1061" s="147"/>
      <c r="U1061" s="147"/>
      <c r="V1061" s="147"/>
      <c r="W1061" s="147"/>
      <c r="X1061" s="147"/>
      <c r="Y1061" s="147"/>
      <c r="Z1061" s="147"/>
      <c r="AA1061" s="147"/>
      <c r="AB1061" s="147"/>
      <c r="AC1061" s="147"/>
      <c r="AD1061" s="147"/>
      <c r="AE1061" s="147"/>
      <c r="AF1061" s="147"/>
      <c r="AG1061" s="147"/>
      <c r="AH1061" s="147"/>
      <c r="AI1061" s="147"/>
      <c r="AJ1061" s="147"/>
      <c r="AK1061" s="147"/>
      <c r="AL1061" s="147"/>
      <c r="AM1061" s="151"/>
      <c r="AN1061" s="147"/>
      <c r="AO1061" s="147"/>
      <c r="AP1061" s="147"/>
      <c r="AQ1061" s="147"/>
      <c r="AR1061" s="147"/>
      <c r="AS1061" s="147"/>
      <c r="AT1061" s="147"/>
      <c r="AU1061" s="147"/>
      <c r="AV1061" s="147"/>
      <c r="AW1061" s="147"/>
      <c r="AX1061" s="147"/>
      <c r="AY1061" s="147"/>
      <c r="AZ1061" s="147"/>
      <c r="BA1061" s="147"/>
      <c r="BB1061" s="147"/>
      <c r="BC1061" s="147"/>
      <c r="BD1061" s="147"/>
      <c r="BE1061" s="147"/>
      <c r="BF1061" s="147"/>
      <c r="BG1061" s="147"/>
      <c r="BH1061" s="147"/>
      <c r="BI1061" s="147"/>
      <c r="BJ1061" s="147"/>
      <c r="BK1061" s="147"/>
      <c r="BL1061" s="147"/>
      <c r="BM1061" s="147"/>
      <c r="BN1061" s="147"/>
      <c r="BO1061" s="147"/>
      <c r="BP1061" s="147"/>
      <c r="BQ1061" s="147"/>
      <c r="BR1061" s="147"/>
      <c r="BS1061" s="147"/>
      <c r="BT1061" s="147"/>
      <c r="BU1061" s="147"/>
      <c r="BV1061" s="147"/>
      <c r="BW1061" s="147"/>
      <c r="BX1061" s="147"/>
      <c r="BY1061" s="147"/>
      <c r="BZ1061" s="147"/>
      <c r="CA1061" s="147"/>
      <c r="CB1061" s="147"/>
      <c r="CC1061" s="147"/>
      <c r="CD1061" s="147"/>
      <c r="CE1061" s="147"/>
      <c r="CF1061" s="147"/>
      <c r="CG1061" s="147"/>
      <c r="CH1061" s="147"/>
      <c r="CI1061" s="147"/>
      <c r="CJ1061" s="147"/>
      <c r="CK1061" s="147"/>
    </row>
    <row r="1062" spans="1:89">
      <c r="A1062" s="157"/>
      <c r="F1062" s="3"/>
      <c r="G1062" s="3"/>
      <c r="L1062" s="157"/>
      <c r="M1062" s="157"/>
      <c r="O1062" s="147"/>
      <c r="P1062" s="147"/>
      <c r="Q1062" s="147"/>
      <c r="R1062" s="147"/>
      <c r="S1062" s="147"/>
      <c r="T1062" s="147"/>
      <c r="U1062" s="147"/>
      <c r="V1062" s="147"/>
      <c r="W1062" s="147"/>
      <c r="X1062" s="147"/>
      <c r="Y1062" s="147"/>
      <c r="Z1062" s="147"/>
      <c r="AA1062" s="147"/>
      <c r="AB1062" s="147"/>
      <c r="AC1062" s="147"/>
      <c r="AD1062" s="147"/>
      <c r="AE1062" s="147"/>
      <c r="AF1062" s="147"/>
      <c r="AG1062" s="147"/>
      <c r="AH1062" s="147"/>
      <c r="AI1062" s="147"/>
      <c r="AJ1062" s="147"/>
      <c r="AK1062" s="147"/>
      <c r="AL1062" s="147"/>
      <c r="AM1062" s="151"/>
      <c r="AN1062" s="147"/>
      <c r="AO1062" s="147"/>
      <c r="AP1062" s="147"/>
      <c r="AQ1062" s="147"/>
      <c r="AR1062" s="147"/>
      <c r="AS1062" s="147"/>
      <c r="AT1062" s="147"/>
      <c r="AU1062" s="147"/>
      <c r="AV1062" s="147"/>
      <c r="AW1062" s="147"/>
      <c r="AX1062" s="147"/>
      <c r="AY1062" s="147"/>
      <c r="AZ1062" s="147"/>
      <c r="BA1062" s="147"/>
      <c r="BB1062" s="147"/>
      <c r="BC1062" s="147"/>
      <c r="BD1062" s="147"/>
      <c r="BE1062" s="147"/>
      <c r="BF1062" s="147"/>
      <c r="BG1062" s="147"/>
      <c r="BH1062" s="147"/>
      <c r="BI1062" s="147"/>
      <c r="BJ1062" s="147"/>
      <c r="BK1062" s="147"/>
      <c r="BL1062" s="147"/>
      <c r="BM1062" s="147"/>
      <c r="BN1062" s="147"/>
      <c r="BO1062" s="147"/>
      <c r="BP1062" s="147"/>
      <c r="BQ1062" s="147"/>
      <c r="BR1062" s="147"/>
      <c r="BS1062" s="147"/>
      <c r="BT1062" s="147"/>
      <c r="BU1062" s="147"/>
      <c r="BV1062" s="147"/>
      <c r="BW1062" s="147"/>
      <c r="BX1062" s="147"/>
      <c r="BY1062" s="147"/>
      <c r="BZ1062" s="147"/>
      <c r="CA1062" s="147"/>
      <c r="CB1062" s="147"/>
      <c r="CC1062" s="147"/>
      <c r="CD1062" s="147"/>
      <c r="CE1062" s="147"/>
      <c r="CF1062" s="147"/>
      <c r="CG1062" s="147"/>
      <c r="CH1062" s="147"/>
      <c r="CI1062" s="147"/>
      <c r="CJ1062" s="147"/>
      <c r="CK1062" s="147"/>
    </row>
    <row r="1063" spans="1:89">
      <c r="A1063" s="157"/>
      <c r="F1063" s="3"/>
      <c r="G1063" s="3"/>
      <c r="L1063" s="157"/>
      <c r="M1063" s="157"/>
      <c r="O1063" s="147"/>
      <c r="P1063" s="147"/>
      <c r="Q1063" s="147"/>
      <c r="R1063" s="147"/>
      <c r="S1063" s="147"/>
      <c r="T1063" s="147"/>
      <c r="U1063" s="147"/>
      <c r="V1063" s="147"/>
      <c r="W1063" s="147"/>
      <c r="X1063" s="147"/>
      <c r="Y1063" s="147"/>
      <c r="Z1063" s="147"/>
      <c r="AA1063" s="147"/>
      <c r="AB1063" s="147"/>
      <c r="AC1063" s="147"/>
      <c r="AD1063" s="147"/>
      <c r="AE1063" s="147"/>
      <c r="AF1063" s="147"/>
      <c r="AG1063" s="147"/>
      <c r="AH1063" s="147"/>
      <c r="AI1063" s="147"/>
      <c r="AJ1063" s="147"/>
      <c r="AK1063" s="147"/>
      <c r="AL1063" s="147"/>
      <c r="AM1063" s="151"/>
      <c r="AN1063" s="147"/>
      <c r="AO1063" s="147"/>
      <c r="AP1063" s="147"/>
      <c r="AQ1063" s="147"/>
      <c r="AR1063" s="147"/>
      <c r="AS1063" s="147"/>
      <c r="AT1063" s="147"/>
      <c r="AU1063" s="147"/>
      <c r="AV1063" s="147"/>
      <c r="AW1063" s="147"/>
      <c r="AX1063" s="147"/>
      <c r="AY1063" s="147"/>
      <c r="AZ1063" s="147"/>
      <c r="BA1063" s="147"/>
      <c r="BB1063" s="147"/>
      <c r="BC1063" s="147"/>
      <c r="BD1063" s="147"/>
      <c r="BE1063" s="147"/>
      <c r="BF1063" s="147"/>
      <c r="BG1063" s="147"/>
      <c r="BH1063" s="147"/>
      <c r="BI1063" s="147"/>
      <c r="BJ1063" s="147"/>
      <c r="BK1063" s="147"/>
      <c r="BL1063" s="147"/>
      <c r="BM1063" s="147"/>
      <c r="BN1063" s="147"/>
      <c r="BO1063" s="147"/>
      <c r="BP1063" s="147"/>
      <c r="BQ1063" s="147"/>
      <c r="BR1063" s="147"/>
      <c r="BS1063" s="147"/>
      <c r="BT1063" s="147"/>
      <c r="BU1063" s="147"/>
      <c r="BV1063" s="147"/>
      <c r="BW1063" s="147"/>
      <c r="BX1063" s="147"/>
      <c r="BY1063" s="147"/>
      <c r="BZ1063" s="147"/>
      <c r="CA1063" s="147"/>
      <c r="CB1063" s="147"/>
      <c r="CC1063" s="147"/>
      <c r="CD1063" s="147"/>
      <c r="CE1063" s="147"/>
      <c r="CF1063" s="147"/>
      <c r="CG1063" s="147"/>
      <c r="CH1063" s="147"/>
      <c r="CI1063" s="147"/>
      <c r="CJ1063" s="147"/>
      <c r="CK1063" s="147"/>
    </row>
    <row r="1064" spans="1:89">
      <c r="A1064" s="157"/>
      <c r="F1064" s="3"/>
      <c r="G1064" s="3"/>
      <c r="L1064" s="157"/>
      <c r="M1064" s="157"/>
      <c r="O1064" s="147"/>
      <c r="P1064" s="147"/>
      <c r="Q1064" s="147"/>
      <c r="R1064" s="147"/>
      <c r="S1064" s="147"/>
      <c r="T1064" s="147"/>
      <c r="U1064" s="147"/>
      <c r="V1064" s="147"/>
      <c r="W1064" s="147"/>
      <c r="X1064" s="147"/>
      <c r="Y1064" s="147"/>
      <c r="Z1064" s="147"/>
      <c r="AA1064" s="147"/>
      <c r="AB1064" s="147"/>
      <c r="AC1064" s="147"/>
      <c r="AD1064" s="147"/>
      <c r="AE1064" s="147"/>
      <c r="AF1064" s="147"/>
      <c r="AG1064" s="147"/>
      <c r="AH1064" s="147"/>
      <c r="AI1064" s="147"/>
      <c r="AJ1064" s="147"/>
      <c r="AK1064" s="147"/>
      <c r="AL1064" s="147"/>
      <c r="AM1064" s="151"/>
      <c r="AN1064" s="147"/>
      <c r="AO1064" s="147"/>
      <c r="AP1064" s="147"/>
      <c r="AQ1064" s="147"/>
      <c r="AR1064" s="147"/>
      <c r="AS1064" s="147"/>
      <c r="AT1064" s="147"/>
      <c r="AU1064" s="147"/>
      <c r="AV1064" s="147"/>
      <c r="AW1064" s="147"/>
      <c r="AX1064" s="147"/>
      <c r="AY1064" s="147"/>
      <c r="AZ1064" s="147"/>
      <c r="BA1064" s="147"/>
      <c r="BB1064" s="147"/>
      <c r="BC1064" s="147"/>
      <c r="BD1064" s="147"/>
      <c r="BE1064" s="147"/>
      <c r="BF1064" s="147"/>
      <c r="BG1064" s="147"/>
      <c r="BH1064" s="147"/>
      <c r="BI1064" s="147"/>
      <c r="BJ1064" s="147"/>
      <c r="BK1064" s="147"/>
      <c r="BL1064" s="147"/>
      <c r="BM1064" s="147"/>
      <c r="BN1064" s="147"/>
      <c r="BO1064" s="147"/>
      <c r="BP1064" s="147"/>
      <c r="BQ1064" s="147"/>
      <c r="BR1064" s="147"/>
      <c r="BS1064" s="147"/>
      <c r="BT1064" s="147"/>
      <c r="BU1064" s="147"/>
      <c r="BV1064" s="147"/>
      <c r="BW1064" s="147"/>
      <c r="BX1064" s="147"/>
      <c r="BY1064" s="147"/>
      <c r="BZ1064" s="147"/>
      <c r="CA1064" s="147"/>
      <c r="CB1064" s="147"/>
      <c r="CC1064" s="147"/>
      <c r="CD1064" s="147"/>
      <c r="CE1064" s="147"/>
      <c r="CF1064" s="147"/>
      <c r="CG1064" s="147"/>
      <c r="CH1064" s="147"/>
      <c r="CI1064" s="147"/>
      <c r="CJ1064" s="147"/>
      <c r="CK1064" s="147"/>
    </row>
    <row r="1065" spans="1:89">
      <c r="A1065" s="157"/>
      <c r="F1065" s="3"/>
      <c r="G1065" s="3"/>
      <c r="L1065" s="157"/>
      <c r="M1065" s="157"/>
      <c r="O1065" s="147"/>
      <c r="P1065" s="147"/>
      <c r="Q1065" s="147"/>
      <c r="R1065" s="147"/>
      <c r="S1065" s="147"/>
      <c r="T1065" s="147"/>
      <c r="U1065" s="147"/>
      <c r="V1065" s="147"/>
      <c r="W1065" s="147"/>
      <c r="X1065" s="147"/>
      <c r="Y1065" s="147"/>
      <c r="Z1065" s="147"/>
      <c r="AA1065" s="147"/>
      <c r="AB1065" s="147"/>
      <c r="AC1065" s="147"/>
      <c r="AD1065" s="147"/>
      <c r="AE1065" s="147"/>
      <c r="AF1065" s="147"/>
      <c r="AG1065" s="147"/>
      <c r="AH1065" s="147"/>
      <c r="AI1065" s="147"/>
      <c r="AJ1065" s="147"/>
      <c r="AK1065" s="147"/>
      <c r="AL1065" s="147"/>
      <c r="AM1065" s="151"/>
      <c r="AN1065" s="147"/>
      <c r="AO1065" s="147"/>
      <c r="AP1065" s="147"/>
      <c r="AQ1065" s="147"/>
      <c r="AR1065" s="147"/>
      <c r="AS1065" s="147"/>
      <c r="AT1065" s="147"/>
      <c r="AU1065" s="147"/>
      <c r="AV1065" s="147"/>
      <c r="AW1065" s="147"/>
      <c r="AX1065" s="147"/>
      <c r="AY1065" s="147"/>
      <c r="AZ1065" s="147"/>
      <c r="BA1065" s="147"/>
      <c r="BB1065" s="147"/>
      <c r="BC1065" s="147"/>
      <c r="BD1065" s="147"/>
      <c r="BE1065" s="147"/>
      <c r="BF1065" s="147"/>
      <c r="BG1065" s="147"/>
      <c r="BH1065" s="147"/>
      <c r="BI1065" s="147"/>
      <c r="BJ1065" s="147"/>
      <c r="BK1065" s="147"/>
      <c r="BL1065" s="147"/>
      <c r="BM1065" s="147"/>
      <c r="BN1065" s="147"/>
      <c r="BO1065" s="147"/>
      <c r="BP1065" s="147"/>
      <c r="BQ1065" s="147"/>
      <c r="BR1065" s="147"/>
      <c r="BS1065" s="147"/>
      <c r="BT1065" s="147"/>
      <c r="BU1065" s="147"/>
      <c r="BV1065" s="147"/>
      <c r="BW1065" s="147"/>
      <c r="BX1065" s="147"/>
      <c r="BY1065" s="147"/>
      <c r="BZ1065" s="147"/>
      <c r="CA1065" s="147"/>
      <c r="CB1065" s="147"/>
      <c r="CC1065" s="147"/>
      <c r="CD1065" s="147"/>
      <c r="CE1065" s="147"/>
      <c r="CF1065" s="147"/>
      <c r="CG1065" s="147"/>
      <c r="CH1065" s="147"/>
      <c r="CI1065" s="147"/>
      <c r="CJ1065" s="147"/>
      <c r="CK1065" s="147"/>
    </row>
    <row r="1066" spans="1:89">
      <c r="A1066" s="157"/>
      <c r="F1066" s="3"/>
      <c r="G1066" s="3"/>
      <c r="L1066" s="157"/>
      <c r="M1066" s="157"/>
      <c r="O1066" s="147"/>
      <c r="P1066" s="147"/>
      <c r="Q1066" s="147"/>
      <c r="R1066" s="147"/>
      <c r="S1066" s="147"/>
      <c r="T1066" s="147"/>
      <c r="U1066" s="147"/>
      <c r="V1066" s="147"/>
      <c r="W1066" s="147"/>
      <c r="X1066" s="147"/>
      <c r="Y1066" s="147"/>
      <c r="Z1066" s="147"/>
      <c r="AA1066" s="147"/>
      <c r="AB1066" s="147"/>
      <c r="AC1066" s="147"/>
      <c r="AD1066" s="147"/>
      <c r="AE1066" s="147"/>
      <c r="AF1066" s="147"/>
      <c r="AG1066" s="147"/>
      <c r="AH1066" s="147"/>
      <c r="AI1066" s="147"/>
      <c r="AJ1066" s="147"/>
      <c r="AK1066" s="147"/>
      <c r="AL1066" s="147"/>
      <c r="AM1066" s="151"/>
      <c r="AN1066" s="147"/>
      <c r="AO1066" s="147"/>
      <c r="AP1066" s="147"/>
      <c r="AQ1066" s="147"/>
      <c r="AR1066" s="147"/>
      <c r="AS1066" s="147"/>
      <c r="AT1066" s="147"/>
      <c r="AU1066" s="147"/>
      <c r="AV1066" s="147"/>
      <c r="AW1066" s="147"/>
      <c r="AX1066" s="147"/>
      <c r="AY1066" s="147"/>
      <c r="AZ1066" s="147"/>
      <c r="BA1066" s="147"/>
      <c r="BB1066" s="147"/>
      <c r="BC1066" s="147"/>
      <c r="BD1066" s="147"/>
      <c r="BE1066" s="147"/>
      <c r="BF1066" s="147"/>
      <c r="BG1066" s="147"/>
      <c r="BH1066" s="147"/>
      <c r="BI1066" s="147"/>
      <c r="BJ1066" s="147"/>
      <c r="BK1066" s="147"/>
      <c r="BL1066" s="147"/>
      <c r="BM1066" s="147"/>
      <c r="BN1066" s="147"/>
      <c r="BO1066" s="147"/>
      <c r="BP1066" s="147"/>
      <c r="BQ1066" s="147"/>
      <c r="BR1066" s="147"/>
      <c r="BS1066" s="147"/>
      <c r="BT1066" s="147"/>
      <c r="BU1066" s="147"/>
      <c r="BV1066" s="147"/>
      <c r="BW1066" s="147"/>
      <c r="BX1066" s="147"/>
      <c r="BY1066" s="147"/>
      <c r="BZ1066" s="147"/>
      <c r="CA1066" s="147"/>
      <c r="CB1066" s="147"/>
      <c r="CC1066" s="147"/>
      <c r="CD1066" s="147"/>
      <c r="CE1066" s="147"/>
      <c r="CF1066" s="147"/>
      <c r="CG1066" s="147"/>
      <c r="CH1066" s="147"/>
      <c r="CI1066" s="147"/>
      <c r="CJ1066" s="147"/>
      <c r="CK1066" s="147"/>
    </row>
    <row r="1067" spans="1:89">
      <c r="A1067" s="157"/>
      <c r="F1067" s="3"/>
      <c r="G1067" s="3"/>
      <c r="L1067" s="157"/>
      <c r="M1067" s="157"/>
      <c r="O1067" s="147"/>
      <c r="P1067" s="147"/>
      <c r="Q1067" s="147"/>
      <c r="R1067" s="147"/>
      <c r="S1067" s="147"/>
      <c r="T1067" s="147"/>
      <c r="U1067" s="147"/>
      <c r="V1067" s="147"/>
      <c r="W1067" s="147"/>
      <c r="X1067" s="147"/>
      <c r="Y1067" s="147"/>
      <c r="Z1067" s="147"/>
      <c r="AA1067" s="147"/>
      <c r="AB1067" s="147"/>
      <c r="AC1067" s="147"/>
      <c r="AD1067" s="147"/>
      <c r="AE1067" s="147"/>
      <c r="AF1067" s="147"/>
      <c r="AG1067" s="147"/>
      <c r="AH1067" s="147"/>
      <c r="AI1067" s="147"/>
      <c r="AJ1067" s="147"/>
      <c r="AK1067" s="147"/>
      <c r="AL1067" s="147"/>
      <c r="AM1067" s="151"/>
      <c r="AN1067" s="147"/>
      <c r="AO1067" s="147"/>
      <c r="AP1067" s="147"/>
      <c r="AQ1067" s="147"/>
      <c r="AR1067" s="147"/>
      <c r="AS1067" s="147"/>
      <c r="AT1067" s="147"/>
      <c r="AU1067" s="147"/>
      <c r="AV1067" s="147"/>
      <c r="AW1067" s="147"/>
      <c r="AX1067" s="147"/>
      <c r="AY1067" s="147"/>
      <c r="AZ1067" s="147"/>
      <c r="BA1067" s="147"/>
      <c r="BB1067" s="147"/>
      <c r="BC1067" s="147"/>
      <c r="BD1067" s="147"/>
      <c r="BE1067" s="147"/>
      <c r="BF1067" s="147"/>
      <c r="BG1067" s="147"/>
      <c r="BH1067" s="147"/>
      <c r="BI1067" s="147"/>
      <c r="BJ1067" s="147"/>
      <c r="BK1067" s="147"/>
      <c r="BL1067" s="147"/>
      <c r="BM1067" s="147"/>
      <c r="BN1067" s="147"/>
      <c r="BO1067" s="147"/>
      <c r="BP1067" s="147"/>
      <c r="BQ1067" s="147"/>
      <c r="BR1067" s="147"/>
      <c r="BS1067" s="147"/>
      <c r="BT1067" s="147"/>
      <c r="BU1067" s="147"/>
      <c r="BV1067" s="147"/>
      <c r="BW1067" s="147"/>
      <c r="BX1067" s="147"/>
      <c r="BY1067" s="147"/>
      <c r="BZ1067" s="147"/>
      <c r="CA1067" s="147"/>
      <c r="CB1067" s="147"/>
      <c r="CC1067" s="147"/>
      <c r="CD1067" s="147"/>
      <c r="CE1067" s="147"/>
      <c r="CF1067" s="147"/>
      <c r="CG1067" s="147"/>
      <c r="CH1067" s="147"/>
      <c r="CI1067" s="147"/>
      <c r="CJ1067" s="147"/>
      <c r="CK1067" s="147"/>
    </row>
    <row r="1068" spans="1:89">
      <c r="A1068" s="157"/>
      <c r="F1068" s="3"/>
      <c r="G1068" s="3"/>
      <c r="L1068" s="157"/>
      <c r="M1068" s="157"/>
      <c r="O1068" s="147"/>
      <c r="P1068" s="147"/>
      <c r="Q1068" s="147"/>
      <c r="R1068" s="147"/>
      <c r="S1068" s="147"/>
      <c r="T1068" s="147"/>
      <c r="U1068" s="147"/>
      <c r="V1068" s="147"/>
      <c r="W1068" s="147"/>
      <c r="X1068" s="147"/>
      <c r="Y1068" s="147"/>
      <c r="Z1068" s="147"/>
      <c r="AA1068" s="147"/>
      <c r="AB1068" s="147"/>
      <c r="AC1068" s="147"/>
      <c r="AD1068" s="147"/>
      <c r="AE1068" s="147"/>
      <c r="AF1068" s="147"/>
      <c r="AG1068" s="147"/>
      <c r="AH1068" s="147"/>
      <c r="AI1068" s="147"/>
      <c r="AJ1068" s="147"/>
      <c r="AK1068" s="147"/>
      <c r="AL1068" s="147"/>
      <c r="AM1068" s="151"/>
      <c r="AN1068" s="147"/>
      <c r="AO1068" s="147"/>
      <c r="AP1068" s="147"/>
      <c r="AQ1068" s="147"/>
      <c r="AR1068" s="147"/>
      <c r="AS1068" s="147"/>
      <c r="AT1068" s="147"/>
      <c r="AU1068" s="147"/>
      <c r="AV1068" s="147"/>
      <c r="AW1068" s="147"/>
      <c r="AX1068" s="147"/>
      <c r="AY1068" s="147"/>
      <c r="AZ1068" s="147"/>
      <c r="BA1068" s="147"/>
      <c r="BB1068" s="147"/>
      <c r="BC1068" s="147"/>
      <c r="BD1068" s="147"/>
      <c r="BE1068" s="147"/>
      <c r="BF1068" s="147"/>
      <c r="BG1068" s="147"/>
      <c r="BH1068" s="147"/>
      <c r="BI1068" s="147"/>
      <c r="BJ1068" s="147"/>
      <c r="BK1068" s="147"/>
      <c r="BL1068" s="147"/>
      <c r="BM1068" s="147"/>
      <c r="BN1068" s="147"/>
      <c r="BO1068" s="147"/>
      <c r="BP1068" s="147"/>
      <c r="BQ1068" s="147"/>
      <c r="BR1068" s="147"/>
      <c r="BS1068" s="147"/>
      <c r="BT1068" s="147"/>
      <c r="BU1068" s="147"/>
      <c r="BV1068" s="147"/>
      <c r="BW1068" s="147"/>
      <c r="BX1068" s="147"/>
      <c r="BY1068" s="147"/>
      <c r="BZ1068" s="147"/>
      <c r="CA1068" s="147"/>
      <c r="CB1068" s="147"/>
      <c r="CC1068" s="147"/>
      <c r="CD1068" s="147"/>
      <c r="CE1068" s="147"/>
      <c r="CF1068" s="147"/>
      <c r="CG1068" s="147"/>
      <c r="CH1068" s="147"/>
      <c r="CI1068" s="147"/>
      <c r="CJ1068" s="147"/>
      <c r="CK1068" s="147"/>
    </row>
    <row r="1069" spans="1:89">
      <c r="A1069" s="157"/>
      <c r="F1069" s="3"/>
      <c r="G1069" s="3"/>
      <c r="L1069" s="157"/>
      <c r="M1069" s="157"/>
      <c r="O1069" s="147"/>
      <c r="P1069" s="147"/>
      <c r="Q1069" s="147"/>
      <c r="R1069" s="147"/>
      <c r="S1069" s="147"/>
      <c r="T1069" s="147"/>
      <c r="U1069" s="147"/>
      <c r="V1069" s="147"/>
      <c r="W1069" s="147"/>
      <c r="X1069" s="147"/>
      <c r="Y1069" s="147"/>
      <c r="Z1069" s="147"/>
      <c r="AA1069" s="147"/>
      <c r="AB1069" s="147"/>
      <c r="AC1069" s="147"/>
      <c r="AD1069" s="147"/>
      <c r="AE1069" s="147"/>
      <c r="AF1069" s="147"/>
      <c r="AG1069" s="147"/>
      <c r="AH1069" s="147"/>
      <c r="AI1069" s="147"/>
      <c r="AJ1069" s="147"/>
      <c r="AK1069" s="147"/>
      <c r="AL1069" s="147"/>
      <c r="AM1069" s="151"/>
      <c r="AN1069" s="147"/>
      <c r="AO1069" s="147"/>
      <c r="AP1069" s="147"/>
      <c r="AQ1069" s="147"/>
      <c r="AR1069" s="147"/>
      <c r="AS1069" s="147"/>
      <c r="AT1069" s="147"/>
      <c r="AU1069" s="147"/>
      <c r="AV1069" s="147"/>
      <c r="AW1069" s="147"/>
      <c r="AX1069" s="147"/>
      <c r="AY1069" s="147"/>
      <c r="AZ1069" s="147"/>
      <c r="BA1069" s="147"/>
      <c r="BB1069" s="147"/>
      <c r="BC1069" s="147"/>
      <c r="BD1069" s="147"/>
      <c r="BE1069" s="147"/>
      <c r="BF1069" s="147"/>
      <c r="BG1069" s="147"/>
      <c r="BH1069" s="147"/>
      <c r="BI1069" s="147"/>
      <c r="BJ1069" s="147"/>
      <c r="BK1069" s="147"/>
      <c r="BL1069" s="147"/>
      <c r="BM1069" s="147"/>
      <c r="BN1069" s="147"/>
      <c r="BO1069" s="147"/>
      <c r="BP1069" s="147"/>
      <c r="BQ1069" s="147"/>
      <c r="BR1069" s="147"/>
      <c r="BS1069" s="147"/>
      <c r="BT1069" s="147"/>
      <c r="BU1069" s="147"/>
      <c r="BV1069" s="147"/>
      <c r="BW1069" s="147"/>
      <c r="BX1069" s="147"/>
      <c r="BY1069" s="147"/>
      <c r="BZ1069" s="147"/>
      <c r="CA1069" s="147"/>
      <c r="CB1069" s="147"/>
      <c r="CC1069" s="147"/>
      <c r="CD1069" s="147"/>
      <c r="CE1069" s="147"/>
      <c r="CF1069" s="147"/>
      <c r="CG1069" s="147"/>
      <c r="CH1069" s="147"/>
      <c r="CI1069" s="147"/>
      <c r="CJ1069" s="147"/>
      <c r="CK1069" s="147"/>
    </row>
    <row r="1070" spans="1:89">
      <c r="A1070" s="157"/>
      <c r="F1070" s="3"/>
      <c r="G1070" s="3"/>
      <c r="L1070" s="157"/>
      <c r="M1070" s="157"/>
      <c r="O1070" s="147"/>
      <c r="P1070" s="147"/>
      <c r="Q1070" s="147"/>
      <c r="R1070" s="147"/>
      <c r="S1070" s="147"/>
      <c r="T1070" s="147"/>
      <c r="U1070" s="147"/>
      <c r="V1070" s="147"/>
      <c r="W1070" s="147"/>
      <c r="X1070" s="147"/>
      <c r="Y1070" s="147"/>
      <c r="Z1070" s="147"/>
      <c r="AA1070" s="147"/>
      <c r="AB1070" s="147"/>
      <c r="AC1070" s="147"/>
      <c r="AD1070" s="147"/>
      <c r="AE1070" s="147"/>
      <c r="AF1070" s="147"/>
      <c r="AG1070" s="147"/>
      <c r="AH1070" s="147"/>
      <c r="AI1070" s="147"/>
      <c r="AJ1070" s="147"/>
      <c r="AK1070" s="147"/>
      <c r="AL1070" s="147"/>
      <c r="AM1070" s="151"/>
      <c r="AN1070" s="147"/>
      <c r="AO1070" s="147"/>
      <c r="AP1070" s="147"/>
      <c r="AQ1070" s="147"/>
      <c r="AR1070" s="147"/>
      <c r="AS1070" s="147"/>
      <c r="AT1070" s="147"/>
      <c r="AU1070" s="147"/>
      <c r="AV1070" s="147"/>
      <c r="AW1070" s="147"/>
      <c r="AX1070" s="147"/>
      <c r="AY1070" s="147"/>
      <c r="AZ1070" s="147"/>
      <c r="BA1070" s="147"/>
      <c r="BB1070" s="147"/>
      <c r="BC1070" s="147"/>
      <c r="BD1070" s="147"/>
      <c r="BE1070" s="147"/>
      <c r="BF1070" s="147"/>
      <c r="BG1070" s="147"/>
      <c r="BH1070" s="147"/>
      <c r="BI1070" s="147"/>
      <c r="BJ1070" s="147"/>
      <c r="BK1070" s="147"/>
      <c r="BL1070" s="147"/>
      <c r="BM1070" s="147"/>
      <c r="BN1070" s="147"/>
      <c r="BO1070" s="147"/>
      <c r="BP1070" s="147"/>
      <c r="BQ1070" s="147"/>
      <c r="BR1070" s="147"/>
      <c r="BS1070" s="147"/>
      <c r="BT1070" s="147"/>
      <c r="BU1070" s="147"/>
      <c r="BV1070" s="147"/>
      <c r="BW1070" s="147"/>
      <c r="BX1070" s="147"/>
      <c r="BY1070" s="147"/>
      <c r="BZ1070" s="147"/>
      <c r="CA1070" s="147"/>
      <c r="CB1070" s="147"/>
      <c r="CC1070" s="147"/>
      <c r="CD1070" s="147"/>
      <c r="CE1070" s="147"/>
      <c r="CF1070" s="147"/>
      <c r="CG1070" s="147"/>
      <c r="CH1070" s="147"/>
      <c r="CI1070" s="147"/>
      <c r="CJ1070" s="147"/>
      <c r="CK1070" s="147"/>
    </row>
    <row r="1071" spans="1:89">
      <c r="A1071" s="157"/>
      <c r="F1071" s="3"/>
      <c r="G1071" s="3"/>
      <c r="L1071" s="157"/>
      <c r="M1071" s="157"/>
      <c r="O1071" s="147"/>
      <c r="P1071" s="147"/>
      <c r="Q1071" s="147"/>
      <c r="R1071" s="147"/>
      <c r="S1071" s="147"/>
      <c r="T1071" s="147"/>
      <c r="U1071" s="147"/>
      <c r="V1071" s="147"/>
      <c r="W1071" s="147"/>
      <c r="X1071" s="147"/>
      <c r="Y1071" s="147"/>
      <c r="Z1071" s="147"/>
      <c r="AA1071" s="147"/>
      <c r="AB1071" s="147"/>
      <c r="AC1071" s="147"/>
      <c r="AD1071" s="147"/>
      <c r="AE1071" s="147"/>
      <c r="AF1071" s="147"/>
      <c r="AG1071" s="147"/>
      <c r="AH1071" s="147"/>
      <c r="AI1071" s="147"/>
      <c r="AJ1071" s="147"/>
      <c r="AK1071" s="147"/>
      <c r="AL1071" s="147"/>
      <c r="AM1071" s="151"/>
      <c r="AN1071" s="147"/>
      <c r="AO1071" s="147"/>
      <c r="AP1071" s="147"/>
      <c r="AQ1071" s="147"/>
      <c r="AR1071" s="147"/>
      <c r="AS1071" s="147"/>
      <c r="AT1071" s="147"/>
      <c r="AU1071" s="147"/>
      <c r="AV1071" s="147"/>
      <c r="AW1071" s="147"/>
      <c r="AX1071" s="147"/>
      <c r="AY1071" s="147"/>
      <c r="AZ1071" s="147"/>
      <c r="BA1071" s="147"/>
      <c r="BB1071" s="147"/>
      <c r="BC1071" s="147"/>
      <c r="BD1071" s="147"/>
      <c r="BE1071" s="147"/>
      <c r="BF1071" s="147"/>
      <c r="BG1071" s="147"/>
      <c r="BH1071" s="147"/>
      <c r="BI1071" s="147"/>
      <c r="BJ1071" s="147"/>
      <c r="BK1071" s="147"/>
      <c r="BL1071" s="147"/>
      <c r="BM1071" s="147"/>
      <c r="BN1071" s="147"/>
      <c r="BO1071" s="147"/>
      <c r="BP1071" s="147"/>
      <c r="BQ1071" s="147"/>
      <c r="BR1071" s="147"/>
      <c r="BS1071" s="147"/>
      <c r="BT1071" s="147"/>
      <c r="BU1071" s="147"/>
      <c r="BV1071" s="147"/>
      <c r="BW1071" s="147"/>
      <c r="BX1071" s="147"/>
      <c r="BY1071" s="147"/>
      <c r="BZ1071" s="147"/>
      <c r="CA1071" s="147"/>
      <c r="CB1071" s="147"/>
      <c r="CC1071" s="147"/>
      <c r="CD1071" s="147"/>
      <c r="CE1071" s="147"/>
      <c r="CF1071" s="147"/>
      <c r="CG1071" s="147"/>
      <c r="CH1071" s="147"/>
      <c r="CI1071" s="147"/>
      <c r="CJ1071" s="147"/>
      <c r="CK1071" s="147"/>
    </row>
    <row r="1072" spans="1:89">
      <c r="A1072" s="157"/>
      <c r="F1072" s="3"/>
      <c r="G1072" s="3"/>
      <c r="L1072" s="157"/>
      <c r="M1072" s="157"/>
      <c r="O1072" s="147"/>
      <c r="P1072" s="147"/>
      <c r="Q1072" s="147"/>
      <c r="R1072" s="147"/>
      <c r="S1072" s="147"/>
      <c r="T1072" s="147"/>
      <c r="U1072" s="147"/>
      <c r="V1072" s="147"/>
      <c r="W1072" s="147"/>
      <c r="X1072" s="147"/>
      <c r="Y1072" s="147"/>
      <c r="Z1072" s="147"/>
      <c r="AA1072" s="147"/>
      <c r="AB1072" s="147"/>
      <c r="AC1072" s="147"/>
      <c r="AD1072" s="147"/>
      <c r="AE1072" s="147"/>
      <c r="AF1072" s="147"/>
      <c r="AG1072" s="147"/>
      <c r="AH1072" s="147"/>
      <c r="AI1072" s="147"/>
      <c r="AJ1072" s="147"/>
      <c r="AK1072" s="147"/>
      <c r="AL1072" s="147"/>
      <c r="AM1072" s="151"/>
      <c r="AN1072" s="147"/>
      <c r="AO1072" s="147"/>
      <c r="AP1072" s="147"/>
      <c r="AQ1072" s="147"/>
      <c r="AR1072" s="147"/>
      <c r="AS1072" s="147"/>
      <c r="AT1072" s="147"/>
      <c r="AU1072" s="147"/>
      <c r="AV1072" s="147"/>
      <c r="AW1072" s="147"/>
      <c r="AX1072" s="147"/>
      <c r="AY1072" s="147"/>
      <c r="AZ1072" s="147"/>
      <c r="BA1072" s="147"/>
      <c r="BB1072" s="147"/>
      <c r="BC1072" s="147"/>
      <c r="BD1072" s="147"/>
      <c r="BE1072" s="147"/>
      <c r="BF1072" s="147"/>
      <c r="BG1072" s="147"/>
      <c r="BH1072" s="147"/>
      <c r="BI1072" s="147"/>
      <c r="BJ1072" s="147"/>
      <c r="BK1072" s="147"/>
      <c r="BL1072" s="147"/>
      <c r="BM1072" s="147"/>
      <c r="BN1072" s="147"/>
      <c r="BO1072" s="147"/>
      <c r="BP1072" s="147"/>
      <c r="BQ1072" s="147"/>
      <c r="BR1072" s="147"/>
      <c r="BS1072" s="147"/>
      <c r="BT1072" s="147"/>
      <c r="BU1072" s="147"/>
      <c r="BV1072" s="147"/>
      <c r="BW1072" s="147"/>
      <c r="BX1072" s="147"/>
      <c r="BY1072" s="147"/>
      <c r="BZ1072" s="147"/>
      <c r="CA1072" s="147"/>
      <c r="CB1072" s="147"/>
      <c r="CC1072" s="147"/>
      <c r="CD1072" s="147"/>
      <c r="CE1072" s="147"/>
      <c r="CF1072" s="147"/>
      <c r="CG1072" s="147"/>
      <c r="CH1072" s="147"/>
      <c r="CI1072" s="147"/>
      <c r="CJ1072" s="147"/>
      <c r="CK1072" s="147"/>
    </row>
    <row r="1073" spans="1:89">
      <c r="A1073" s="157"/>
      <c r="F1073" s="3"/>
      <c r="G1073" s="3"/>
      <c r="L1073" s="157"/>
      <c r="M1073" s="157"/>
      <c r="O1073" s="147"/>
      <c r="P1073" s="147"/>
      <c r="Q1073" s="147"/>
      <c r="R1073" s="147"/>
      <c r="S1073" s="147"/>
      <c r="T1073" s="147"/>
      <c r="U1073" s="147"/>
      <c r="V1073" s="147"/>
      <c r="W1073" s="147"/>
      <c r="X1073" s="147"/>
      <c r="Y1073" s="147"/>
      <c r="Z1073" s="147"/>
      <c r="AA1073" s="147"/>
      <c r="AB1073" s="147"/>
      <c r="AC1073" s="147"/>
      <c r="AD1073" s="147"/>
      <c r="AE1073" s="147"/>
      <c r="AF1073" s="147"/>
      <c r="AG1073" s="147"/>
      <c r="AH1073" s="147"/>
      <c r="AI1073" s="147"/>
      <c r="AJ1073" s="147"/>
      <c r="AK1073" s="147"/>
      <c r="AL1073" s="147"/>
      <c r="AM1073" s="151"/>
      <c r="AN1073" s="147"/>
      <c r="AO1073" s="147"/>
      <c r="AP1073" s="147"/>
      <c r="AQ1073" s="147"/>
      <c r="AR1073" s="147"/>
      <c r="AS1073" s="147"/>
      <c r="AT1073" s="147"/>
      <c r="AU1073" s="147"/>
      <c r="AV1073" s="147"/>
      <c r="AW1073" s="147"/>
      <c r="AX1073" s="147"/>
      <c r="AY1073" s="147"/>
      <c r="AZ1073" s="147"/>
      <c r="BA1073" s="147"/>
      <c r="BB1073" s="147"/>
      <c r="BC1073" s="147"/>
      <c r="BD1073" s="147"/>
      <c r="BE1073" s="147"/>
      <c r="BF1073" s="147"/>
      <c r="BG1073" s="147"/>
      <c r="BH1073" s="147"/>
      <c r="BI1073" s="147"/>
      <c r="BJ1073" s="147"/>
      <c r="BK1073" s="147"/>
      <c r="BL1073" s="147"/>
      <c r="BM1073" s="147"/>
      <c r="BN1073" s="147"/>
      <c r="BO1073" s="147"/>
      <c r="BP1073" s="147"/>
      <c r="BQ1073" s="147"/>
      <c r="BR1073" s="147"/>
      <c r="BS1073" s="147"/>
      <c r="BT1073" s="147"/>
      <c r="BU1073" s="147"/>
      <c r="BV1073" s="147"/>
      <c r="BW1073" s="147"/>
      <c r="BX1073" s="147"/>
      <c r="BY1073" s="147"/>
      <c r="BZ1073" s="147"/>
      <c r="CA1073" s="147"/>
      <c r="CB1073" s="147"/>
      <c r="CC1073" s="147"/>
      <c r="CD1073" s="147"/>
      <c r="CE1073" s="147"/>
      <c r="CF1073" s="147"/>
      <c r="CG1073" s="147"/>
      <c r="CH1073" s="147"/>
      <c r="CI1073" s="147"/>
      <c r="CJ1073" s="147"/>
      <c r="CK1073" s="147"/>
    </row>
    <row r="1074" spans="1:89">
      <c r="A1074" s="157"/>
      <c r="F1074" s="3"/>
      <c r="G1074" s="3"/>
      <c r="L1074" s="157"/>
      <c r="M1074" s="157"/>
      <c r="O1074" s="147"/>
      <c r="P1074" s="147"/>
      <c r="Q1074" s="147"/>
      <c r="R1074" s="147"/>
      <c r="S1074" s="147"/>
      <c r="T1074" s="147"/>
      <c r="U1074" s="147"/>
      <c r="V1074" s="147"/>
      <c r="W1074" s="147"/>
      <c r="X1074" s="147"/>
      <c r="Y1074" s="147"/>
      <c r="Z1074" s="147"/>
      <c r="AA1074" s="147"/>
      <c r="AB1074" s="147"/>
      <c r="AC1074" s="147"/>
      <c r="AD1074" s="147"/>
      <c r="AE1074" s="147"/>
      <c r="AF1074" s="147"/>
      <c r="AG1074" s="147"/>
      <c r="AH1074" s="147"/>
      <c r="AI1074" s="147"/>
      <c r="AJ1074" s="147"/>
      <c r="AK1074" s="147"/>
      <c r="AL1074" s="147"/>
      <c r="AM1074" s="151"/>
      <c r="AN1074" s="147"/>
      <c r="AO1074" s="147"/>
      <c r="AP1074" s="147"/>
      <c r="AQ1074" s="147"/>
      <c r="AR1074" s="147"/>
      <c r="AS1074" s="147"/>
      <c r="AT1074" s="147"/>
      <c r="AU1074" s="147"/>
      <c r="AV1074" s="147"/>
      <c r="AW1074" s="147"/>
      <c r="AX1074" s="147"/>
      <c r="AY1074" s="147"/>
      <c r="AZ1074" s="147"/>
      <c r="BA1074" s="147"/>
      <c r="BB1074" s="147"/>
      <c r="BC1074" s="147"/>
      <c r="BD1074" s="147"/>
      <c r="BE1074" s="147"/>
      <c r="BF1074" s="147"/>
      <c r="BG1074" s="147"/>
      <c r="BH1074" s="147"/>
      <c r="BI1074" s="147"/>
      <c r="BJ1074" s="147"/>
      <c r="BK1074" s="147"/>
      <c r="BL1074" s="147"/>
      <c r="BM1074" s="147"/>
      <c r="BN1074" s="147"/>
      <c r="BO1074" s="147"/>
      <c r="BP1074" s="147"/>
      <c r="BQ1074" s="147"/>
      <c r="BR1074" s="147"/>
      <c r="BS1074" s="147"/>
      <c r="BT1074" s="147"/>
      <c r="BU1074" s="147"/>
      <c r="BV1074" s="147"/>
      <c r="BW1074" s="147"/>
      <c r="BX1074" s="147"/>
      <c r="BY1074" s="147"/>
      <c r="BZ1074" s="147"/>
      <c r="CA1074" s="147"/>
      <c r="CB1074" s="147"/>
      <c r="CC1074" s="147"/>
      <c r="CD1074" s="147"/>
      <c r="CE1074" s="147"/>
      <c r="CF1074" s="147"/>
      <c r="CG1074" s="147"/>
      <c r="CH1074" s="147"/>
      <c r="CI1074" s="147"/>
      <c r="CJ1074" s="147"/>
      <c r="CK1074" s="147"/>
    </row>
    <row r="1075" spans="1:89">
      <c r="A1075" s="157"/>
      <c r="F1075" s="3"/>
      <c r="G1075" s="3"/>
      <c r="L1075" s="157"/>
      <c r="M1075" s="157"/>
      <c r="O1075" s="147"/>
      <c r="P1075" s="147"/>
      <c r="Q1075" s="147"/>
      <c r="R1075" s="147"/>
      <c r="S1075" s="147"/>
      <c r="T1075" s="147"/>
      <c r="U1075" s="147"/>
      <c r="V1075" s="147"/>
      <c r="W1075" s="147"/>
      <c r="X1075" s="147"/>
      <c r="Y1075" s="147"/>
      <c r="Z1075" s="147"/>
      <c r="AA1075" s="147"/>
      <c r="AB1075" s="147"/>
      <c r="AC1075" s="147"/>
      <c r="AD1075" s="147"/>
      <c r="AE1075" s="147"/>
      <c r="AF1075" s="147"/>
      <c r="AG1075" s="147"/>
      <c r="AH1075" s="147"/>
      <c r="AI1075" s="147"/>
      <c r="AJ1075" s="147"/>
      <c r="AK1075" s="147"/>
      <c r="AL1075" s="147"/>
      <c r="AM1075" s="151"/>
      <c r="AN1075" s="147"/>
      <c r="AO1075" s="147"/>
      <c r="AP1075" s="147"/>
      <c r="AQ1075" s="147"/>
      <c r="AR1075" s="147"/>
      <c r="AS1075" s="147"/>
      <c r="AT1075" s="147"/>
      <c r="AU1075" s="147"/>
      <c r="AV1075" s="147"/>
      <c r="AW1075" s="147"/>
      <c r="AX1075" s="147"/>
      <c r="AY1075" s="147"/>
      <c r="AZ1075" s="147"/>
      <c r="BA1075" s="147"/>
      <c r="BB1075" s="147"/>
      <c r="BC1075" s="147"/>
      <c r="BD1075" s="147"/>
      <c r="BE1075" s="147"/>
      <c r="BF1075" s="147"/>
      <c r="BG1075" s="147"/>
      <c r="BH1075" s="147"/>
      <c r="BI1075" s="147"/>
      <c r="BJ1075" s="147"/>
      <c r="BK1075" s="147"/>
      <c r="BL1075" s="147"/>
      <c r="BM1075" s="147"/>
      <c r="BN1075" s="147"/>
      <c r="BO1075" s="147"/>
      <c r="BP1075" s="147"/>
      <c r="BQ1075" s="147"/>
      <c r="BR1075" s="147"/>
      <c r="BS1075" s="147"/>
      <c r="BT1075" s="147"/>
      <c r="BU1075" s="147"/>
      <c r="BV1075" s="147"/>
      <c r="BW1075" s="147"/>
      <c r="BX1075" s="147"/>
      <c r="BY1075" s="147"/>
      <c r="BZ1075" s="147"/>
      <c r="CA1075" s="147"/>
      <c r="CB1075" s="147"/>
      <c r="CC1075" s="147"/>
      <c r="CD1075" s="147"/>
      <c r="CE1075" s="147"/>
      <c r="CF1075" s="147"/>
      <c r="CG1075" s="147"/>
      <c r="CH1075" s="147"/>
      <c r="CI1075" s="147"/>
      <c r="CJ1075" s="147"/>
      <c r="CK1075" s="147"/>
    </row>
    <row r="1076" spans="1:89">
      <c r="A1076" s="157"/>
      <c r="F1076" s="3"/>
      <c r="G1076" s="3"/>
      <c r="L1076" s="157"/>
      <c r="M1076" s="157"/>
      <c r="O1076" s="147"/>
      <c r="P1076" s="147"/>
      <c r="Q1076" s="147"/>
      <c r="R1076" s="147"/>
      <c r="S1076" s="147"/>
      <c r="T1076" s="147"/>
      <c r="U1076" s="147"/>
      <c r="V1076" s="147"/>
      <c r="W1076" s="147"/>
      <c r="X1076" s="147"/>
      <c r="Y1076" s="147"/>
      <c r="Z1076" s="147"/>
      <c r="AA1076" s="147"/>
      <c r="AB1076" s="147"/>
      <c r="AC1076" s="147"/>
      <c r="AD1076" s="147"/>
      <c r="AE1076" s="147"/>
      <c r="AF1076" s="147"/>
      <c r="AG1076" s="147"/>
      <c r="AH1076" s="147"/>
      <c r="AI1076" s="147"/>
      <c r="AJ1076" s="147"/>
      <c r="AK1076" s="147"/>
      <c r="AL1076" s="147"/>
      <c r="AM1076" s="151"/>
      <c r="AN1076" s="147"/>
      <c r="AO1076" s="147"/>
      <c r="AP1076" s="147"/>
      <c r="AQ1076" s="147"/>
      <c r="AR1076" s="147"/>
      <c r="AS1076" s="147"/>
      <c r="AT1076" s="147"/>
      <c r="AU1076" s="147"/>
      <c r="AV1076" s="147"/>
      <c r="AW1076" s="147"/>
      <c r="AX1076" s="147"/>
      <c r="AY1076" s="147"/>
      <c r="AZ1076" s="147"/>
      <c r="BA1076" s="147"/>
      <c r="BB1076" s="147"/>
      <c r="BC1076" s="147"/>
      <c r="BD1076" s="147"/>
      <c r="BE1076" s="147"/>
      <c r="BF1076" s="147"/>
      <c r="BG1076" s="147"/>
      <c r="BH1076" s="147"/>
      <c r="BI1076" s="147"/>
      <c r="BJ1076" s="147"/>
      <c r="BK1076" s="147"/>
      <c r="BL1076" s="147"/>
      <c r="BM1076" s="147"/>
      <c r="BN1076" s="147"/>
      <c r="BO1076" s="147"/>
      <c r="BP1076" s="147"/>
      <c r="BQ1076" s="147"/>
      <c r="BR1076" s="147"/>
      <c r="BS1076" s="147"/>
      <c r="BT1076" s="147"/>
      <c r="BU1076" s="147"/>
      <c r="BV1076" s="147"/>
      <c r="BW1076" s="147"/>
      <c r="BX1076" s="147"/>
      <c r="BY1076" s="147"/>
      <c r="BZ1076" s="147"/>
      <c r="CA1076" s="147"/>
      <c r="CB1076" s="147"/>
      <c r="CC1076" s="147"/>
      <c r="CD1076" s="147"/>
      <c r="CE1076" s="147"/>
      <c r="CF1076" s="147"/>
      <c r="CG1076" s="147"/>
      <c r="CH1076" s="147"/>
      <c r="CI1076" s="147"/>
      <c r="CJ1076" s="147"/>
      <c r="CK1076" s="147"/>
    </row>
    <row r="1077" spans="1:89">
      <c r="A1077" s="157"/>
      <c r="F1077" s="3"/>
      <c r="G1077" s="3"/>
      <c r="L1077" s="157"/>
      <c r="M1077" s="157"/>
      <c r="O1077" s="147"/>
      <c r="P1077" s="147"/>
      <c r="Q1077" s="147"/>
      <c r="R1077" s="147"/>
      <c r="S1077" s="147"/>
      <c r="T1077" s="147"/>
      <c r="U1077" s="147"/>
      <c r="V1077" s="147"/>
      <c r="W1077" s="147"/>
      <c r="X1077" s="147"/>
      <c r="Y1077" s="147"/>
      <c r="Z1077" s="147"/>
      <c r="AA1077" s="147"/>
      <c r="AB1077" s="147"/>
      <c r="AC1077" s="147"/>
      <c r="AD1077" s="147"/>
      <c r="AE1077" s="147"/>
      <c r="AF1077" s="147"/>
      <c r="AG1077" s="147"/>
      <c r="AH1077" s="147"/>
      <c r="AI1077" s="147"/>
      <c r="AJ1077" s="147"/>
      <c r="AK1077" s="147"/>
      <c r="AL1077" s="147"/>
      <c r="AM1077" s="151"/>
      <c r="AN1077" s="147"/>
      <c r="AO1077" s="147"/>
      <c r="AP1077" s="147"/>
      <c r="AQ1077" s="147"/>
      <c r="AR1077" s="147"/>
      <c r="AS1077" s="147"/>
      <c r="AT1077" s="147"/>
      <c r="AU1077" s="147"/>
      <c r="AV1077" s="147"/>
      <c r="AW1077" s="147"/>
      <c r="AX1077" s="147"/>
      <c r="AY1077" s="147"/>
      <c r="AZ1077" s="147"/>
      <c r="BA1077" s="147"/>
      <c r="BB1077" s="147"/>
      <c r="BC1077" s="147"/>
      <c r="BD1077" s="147"/>
      <c r="BE1077" s="147"/>
      <c r="BF1077" s="147"/>
      <c r="BG1077" s="147"/>
      <c r="BH1077" s="147"/>
      <c r="BI1077" s="147"/>
      <c r="BJ1077" s="147"/>
      <c r="BK1077" s="147"/>
      <c r="BL1077" s="147"/>
      <c r="BM1077" s="147"/>
      <c r="BN1077" s="147"/>
      <c r="BO1077" s="147"/>
      <c r="BP1077" s="147"/>
      <c r="BQ1077" s="147"/>
      <c r="BR1077" s="147"/>
      <c r="BS1077" s="147"/>
      <c r="BT1077" s="147"/>
      <c r="BU1077" s="147"/>
      <c r="BV1077" s="147"/>
      <c r="BW1077" s="147"/>
      <c r="BX1077" s="147"/>
      <c r="BY1077" s="147"/>
      <c r="BZ1077" s="147"/>
      <c r="CA1077" s="147"/>
      <c r="CB1077" s="147"/>
      <c r="CC1077" s="147"/>
      <c r="CD1077" s="147"/>
      <c r="CE1077" s="147"/>
      <c r="CF1077" s="147"/>
      <c r="CG1077" s="147"/>
      <c r="CH1077" s="147"/>
      <c r="CI1077" s="147"/>
      <c r="CJ1077" s="147"/>
      <c r="CK1077" s="147"/>
    </row>
    <row r="1078" spans="1:89">
      <c r="A1078" s="157"/>
      <c r="F1078" s="3"/>
      <c r="G1078" s="3"/>
      <c r="L1078" s="157"/>
      <c r="M1078" s="157"/>
      <c r="O1078" s="147"/>
      <c r="P1078" s="147"/>
      <c r="Q1078" s="147"/>
      <c r="R1078" s="147"/>
      <c r="S1078" s="147"/>
      <c r="T1078" s="147"/>
      <c r="U1078" s="147"/>
      <c r="V1078" s="147"/>
      <c r="W1078" s="147"/>
      <c r="X1078" s="147"/>
      <c r="Y1078" s="147"/>
      <c r="Z1078" s="147"/>
      <c r="AA1078" s="147"/>
      <c r="AB1078" s="147"/>
      <c r="AC1078" s="147"/>
      <c r="AD1078" s="147"/>
      <c r="AE1078" s="147"/>
      <c r="AF1078" s="147"/>
      <c r="AG1078" s="147"/>
      <c r="AH1078" s="147"/>
      <c r="AI1078" s="147"/>
      <c r="AJ1078" s="147"/>
      <c r="AK1078" s="147"/>
      <c r="AL1078" s="147"/>
      <c r="AM1078" s="151"/>
      <c r="AN1078" s="147"/>
      <c r="AO1078" s="147"/>
      <c r="AP1078" s="147"/>
      <c r="AQ1078" s="147"/>
      <c r="AR1078" s="147"/>
      <c r="AS1078" s="147"/>
      <c r="AT1078" s="147"/>
      <c r="AU1078" s="147"/>
      <c r="AV1078" s="147"/>
      <c r="AW1078" s="147"/>
      <c r="AX1078" s="147"/>
      <c r="AY1078" s="147"/>
      <c r="AZ1078" s="147"/>
      <c r="BA1078" s="147"/>
      <c r="BB1078" s="147"/>
      <c r="BC1078" s="147"/>
      <c r="BD1078" s="147"/>
      <c r="BE1078" s="147"/>
      <c r="BF1078" s="147"/>
      <c r="BG1078" s="147"/>
      <c r="BH1078" s="147"/>
      <c r="BI1078" s="147"/>
      <c r="BJ1078" s="147"/>
      <c r="BK1078" s="147"/>
      <c r="BL1078" s="147"/>
      <c r="BM1078" s="147"/>
      <c r="BN1078" s="147"/>
      <c r="BO1078" s="147"/>
      <c r="BP1078" s="147"/>
      <c r="BQ1078" s="147"/>
      <c r="BR1078" s="147"/>
      <c r="BS1078" s="147"/>
      <c r="BT1078" s="147"/>
      <c r="BU1078" s="147"/>
      <c r="BV1078" s="147"/>
      <c r="BW1078" s="147"/>
      <c r="BX1078" s="147"/>
      <c r="BY1078" s="147"/>
      <c r="BZ1078" s="147"/>
      <c r="CA1078" s="147"/>
      <c r="CB1078" s="147"/>
      <c r="CC1078" s="147"/>
      <c r="CD1078" s="147"/>
      <c r="CE1078" s="147"/>
      <c r="CF1078" s="147"/>
      <c r="CG1078" s="147"/>
      <c r="CH1078" s="147"/>
      <c r="CI1078" s="147"/>
      <c r="CJ1078" s="147"/>
      <c r="CK1078" s="147"/>
    </row>
    <row r="1079" spans="1:89">
      <c r="A1079" s="157"/>
      <c r="F1079" s="3"/>
      <c r="G1079" s="3"/>
      <c r="L1079" s="157"/>
      <c r="M1079" s="157"/>
      <c r="O1079" s="147"/>
      <c r="P1079" s="147"/>
      <c r="Q1079" s="147"/>
      <c r="R1079" s="147"/>
      <c r="S1079" s="147"/>
      <c r="T1079" s="147"/>
      <c r="U1079" s="147"/>
      <c r="V1079" s="147"/>
      <c r="W1079" s="147"/>
      <c r="X1079" s="147"/>
      <c r="Y1079" s="147"/>
      <c r="Z1079" s="147"/>
      <c r="AA1079" s="147"/>
      <c r="AB1079" s="147"/>
      <c r="AC1079" s="147"/>
      <c r="AD1079" s="147"/>
      <c r="AE1079" s="147"/>
      <c r="AF1079" s="147"/>
      <c r="AG1079" s="147"/>
      <c r="AH1079" s="147"/>
      <c r="AI1079" s="147"/>
      <c r="AJ1079" s="147"/>
      <c r="AK1079" s="147"/>
      <c r="AL1079" s="147"/>
      <c r="AM1079" s="151"/>
      <c r="AN1079" s="147"/>
      <c r="AO1079" s="147"/>
      <c r="AP1079" s="147"/>
      <c r="AQ1079" s="147"/>
      <c r="AR1079" s="147"/>
      <c r="AS1079" s="147"/>
      <c r="AT1079" s="147"/>
      <c r="AU1079" s="147"/>
      <c r="AV1079" s="147"/>
      <c r="AW1079" s="147"/>
      <c r="AX1079" s="147"/>
      <c r="AY1079" s="147"/>
      <c r="AZ1079" s="147"/>
      <c r="BA1079" s="147"/>
      <c r="BB1079" s="147"/>
      <c r="BC1079" s="147"/>
      <c r="BD1079" s="147"/>
      <c r="BE1079" s="147"/>
      <c r="BF1079" s="147"/>
      <c r="BG1079" s="147"/>
      <c r="BH1079" s="147"/>
      <c r="BI1079" s="147"/>
      <c r="BJ1079" s="147"/>
      <c r="BK1079" s="147"/>
      <c r="BL1079" s="147"/>
      <c r="BM1079" s="147"/>
      <c r="BN1079" s="147"/>
      <c r="BO1079" s="147"/>
      <c r="BP1079" s="147"/>
      <c r="BQ1079" s="147"/>
      <c r="BR1079" s="147"/>
      <c r="BS1079" s="147"/>
      <c r="BT1079" s="147"/>
      <c r="BU1079" s="147"/>
      <c r="BV1079" s="147"/>
      <c r="BW1079" s="147"/>
      <c r="BX1079" s="147"/>
      <c r="BY1079" s="147"/>
      <c r="BZ1079" s="147"/>
      <c r="CA1079" s="147"/>
      <c r="CB1079" s="147"/>
      <c r="CC1079" s="147"/>
      <c r="CD1079" s="147"/>
      <c r="CE1079" s="147"/>
      <c r="CF1079" s="147"/>
      <c r="CG1079" s="147"/>
      <c r="CH1079" s="147"/>
      <c r="CI1079" s="147"/>
      <c r="CJ1079" s="147"/>
      <c r="CK1079" s="147"/>
    </row>
    <row r="1080" spans="1:89">
      <c r="A1080" s="157"/>
      <c r="F1080" s="3"/>
      <c r="G1080" s="3"/>
      <c r="L1080" s="157"/>
      <c r="M1080" s="157"/>
      <c r="O1080" s="147"/>
      <c r="P1080" s="147"/>
      <c r="Q1080" s="147"/>
      <c r="R1080" s="147"/>
      <c r="S1080" s="147"/>
      <c r="T1080" s="147"/>
      <c r="U1080" s="147"/>
      <c r="V1080" s="147"/>
      <c r="W1080" s="147"/>
      <c r="X1080" s="147"/>
      <c r="Y1080" s="147"/>
      <c r="Z1080" s="147"/>
      <c r="AA1080" s="147"/>
      <c r="AB1080" s="147"/>
      <c r="AC1080" s="147"/>
      <c r="AD1080" s="147"/>
      <c r="AE1080" s="147"/>
      <c r="AF1080" s="147"/>
      <c r="AG1080" s="147"/>
      <c r="AH1080" s="147"/>
      <c r="AI1080" s="147"/>
      <c r="AJ1080" s="147"/>
      <c r="AK1080" s="147"/>
      <c r="AL1080" s="147"/>
      <c r="AM1080" s="151"/>
      <c r="AN1080" s="147"/>
      <c r="AO1080" s="147"/>
      <c r="AP1080" s="147"/>
      <c r="AQ1080" s="147"/>
      <c r="AR1080" s="147"/>
      <c r="AS1080" s="147"/>
      <c r="AT1080" s="147"/>
      <c r="AU1080" s="147"/>
      <c r="AV1080" s="147"/>
      <c r="AW1080" s="147"/>
      <c r="AX1080" s="147"/>
      <c r="AY1080" s="147"/>
      <c r="AZ1080" s="147"/>
      <c r="BA1080" s="147"/>
      <c r="BB1080" s="147"/>
      <c r="BC1080" s="147"/>
      <c r="BD1080" s="147"/>
      <c r="BE1080" s="147"/>
      <c r="BF1080" s="147"/>
      <c r="BG1080" s="147"/>
      <c r="BH1080" s="147"/>
      <c r="BI1080" s="147"/>
      <c r="BJ1080" s="147"/>
      <c r="BK1080" s="147"/>
      <c r="BL1080" s="147"/>
      <c r="BM1080" s="147"/>
      <c r="BN1080" s="147"/>
      <c r="BO1080" s="147"/>
      <c r="BP1080" s="147"/>
      <c r="BQ1080" s="147"/>
      <c r="BR1080" s="147"/>
      <c r="BS1080" s="147"/>
      <c r="BT1080" s="147"/>
      <c r="BU1080" s="147"/>
      <c r="BV1080" s="147"/>
      <c r="BW1080" s="147"/>
      <c r="BX1080" s="147"/>
      <c r="BY1080" s="147"/>
      <c r="BZ1080" s="147"/>
      <c r="CA1080" s="147"/>
      <c r="CB1080" s="147"/>
      <c r="CC1080" s="147"/>
      <c r="CD1080" s="147"/>
      <c r="CE1080" s="147"/>
      <c r="CF1080" s="147"/>
      <c r="CG1080" s="147"/>
      <c r="CH1080" s="147"/>
      <c r="CI1080" s="147"/>
      <c r="CJ1080" s="147"/>
      <c r="CK1080" s="147"/>
    </row>
    <row r="1081" spans="1:89">
      <c r="A1081" s="157"/>
      <c r="F1081" s="3"/>
      <c r="G1081" s="3"/>
      <c r="L1081" s="157"/>
      <c r="M1081" s="157"/>
      <c r="O1081" s="147"/>
      <c r="P1081" s="147"/>
      <c r="Q1081" s="147"/>
      <c r="R1081" s="147"/>
      <c r="S1081" s="147"/>
      <c r="T1081" s="147"/>
      <c r="U1081" s="147"/>
      <c r="V1081" s="147"/>
      <c r="W1081" s="147"/>
      <c r="X1081" s="147"/>
      <c r="Y1081" s="147"/>
      <c r="Z1081" s="147"/>
      <c r="AA1081" s="147"/>
      <c r="AB1081" s="147"/>
      <c r="AC1081" s="147"/>
      <c r="AD1081" s="147"/>
      <c r="AE1081" s="147"/>
      <c r="AF1081" s="147"/>
      <c r="AG1081" s="147"/>
      <c r="AH1081" s="147"/>
      <c r="AI1081" s="147"/>
      <c r="AJ1081" s="147"/>
      <c r="AK1081" s="147"/>
      <c r="AL1081" s="147"/>
      <c r="AM1081" s="151"/>
      <c r="AN1081" s="147"/>
      <c r="AO1081" s="147"/>
      <c r="AP1081" s="147"/>
      <c r="AQ1081" s="147"/>
      <c r="AR1081" s="147"/>
      <c r="AS1081" s="147"/>
      <c r="AT1081" s="147"/>
      <c r="AU1081" s="147"/>
      <c r="AV1081" s="147"/>
      <c r="AW1081" s="147"/>
      <c r="AX1081" s="147"/>
      <c r="AY1081" s="147"/>
      <c r="AZ1081" s="147"/>
      <c r="BA1081" s="147"/>
      <c r="BB1081" s="147"/>
      <c r="BC1081" s="147"/>
      <c r="BD1081" s="147"/>
      <c r="BE1081" s="147"/>
      <c r="BF1081" s="147"/>
      <c r="BG1081" s="147"/>
      <c r="BH1081" s="147"/>
      <c r="BI1081" s="147"/>
      <c r="BJ1081" s="147"/>
      <c r="BK1081" s="147"/>
      <c r="BL1081" s="147"/>
      <c r="BM1081" s="147"/>
      <c r="BN1081" s="147"/>
      <c r="BO1081" s="147"/>
      <c r="BP1081" s="147"/>
      <c r="BQ1081" s="147"/>
      <c r="BR1081" s="147"/>
      <c r="BS1081" s="147"/>
      <c r="BT1081" s="147"/>
      <c r="BU1081" s="147"/>
      <c r="BV1081" s="147"/>
      <c r="BW1081" s="147"/>
      <c r="BX1081" s="147"/>
      <c r="BY1081" s="147"/>
      <c r="BZ1081" s="147"/>
      <c r="CA1081" s="147"/>
      <c r="CB1081" s="147"/>
      <c r="CC1081" s="147"/>
      <c r="CD1081" s="147"/>
      <c r="CE1081" s="147"/>
      <c r="CF1081" s="147"/>
      <c r="CG1081" s="147"/>
      <c r="CH1081" s="147"/>
      <c r="CI1081" s="147"/>
      <c r="CJ1081" s="147"/>
      <c r="CK1081" s="147"/>
    </row>
    <row r="1082" spans="1:89">
      <c r="A1082" s="157"/>
      <c r="F1082" s="3"/>
      <c r="G1082" s="3"/>
      <c r="L1082" s="157"/>
      <c r="M1082" s="157"/>
      <c r="O1082" s="147"/>
      <c r="P1082" s="147"/>
      <c r="Q1082" s="147"/>
      <c r="R1082" s="147"/>
      <c r="S1082" s="147"/>
      <c r="T1082" s="147"/>
      <c r="U1082" s="147"/>
      <c r="V1082" s="147"/>
      <c r="W1082" s="147"/>
      <c r="X1082" s="147"/>
      <c r="Y1082" s="147"/>
      <c r="Z1082" s="147"/>
      <c r="AA1082" s="147"/>
      <c r="AB1082" s="147"/>
      <c r="AC1082" s="147"/>
      <c r="AD1082" s="147"/>
      <c r="AE1082" s="147"/>
      <c r="AF1082" s="147"/>
      <c r="AG1082" s="147"/>
      <c r="AH1082" s="147"/>
      <c r="AI1082" s="147"/>
      <c r="AJ1082" s="147"/>
      <c r="AK1082" s="147"/>
      <c r="AL1082" s="147"/>
      <c r="AM1082" s="151"/>
      <c r="AN1082" s="147"/>
      <c r="AO1082" s="147"/>
      <c r="AP1082" s="147"/>
      <c r="AQ1082" s="147"/>
      <c r="AR1082" s="147"/>
      <c r="AS1082" s="147"/>
      <c r="AT1082" s="147"/>
      <c r="AU1082" s="147"/>
      <c r="AV1082" s="147"/>
      <c r="AW1082" s="147"/>
      <c r="AX1082" s="147"/>
      <c r="AY1082" s="147"/>
      <c r="AZ1082" s="147"/>
      <c r="BA1082" s="147"/>
      <c r="BB1082" s="147"/>
      <c r="BC1082" s="147"/>
      <c r="BD1082" s="147"/>
      <c r="BE1082" s="147"/>
      <c r="BF1082" s="147"/>
      <c r="BG1082" s="147"/>
      <c r="BH1082" s="147"/>
      <c r="BI1082" s="147"/>
      <c r="BJ1082" s="147"/>
      <c r="BK1082" s="147"/>
      <c r="BL1082" s="147"/>
      <c r="BM1082" s="147"/>
      <c r="BN1082" s="147"/>
      <c r="BO1082" s="147"/>
      <c r="BP1082" s="147"/>
      <c r="BQ1082" s="147"/>
      <c r="BR1082" s="147"/>
      <c r="BS1082" s="147"/>
      <c r="BT1082" s="147"/>
      <c r="BU1082" s="147"/>
      <c r="BV1082" s="147"/>
      <c r="BW1082" s="147"/>
      <c r="BX1082" s="147"/>
      <c r="BY1082" s="147"/>
      <c r="BZ1082" s="147"/>
      <c r="CA1082" s="147"/>
      <c r="CB1082" s="147"/>
      <c r="CC1082" s="147"/>
      <c r="CD1082" s="147"/>
      <c r="CE1082" s="147"/>
      <c r="CF1082" s="147"/>
      <c r="CG1082" s="147"/>
      <c r="CH1082" s="147"/>
      <c r="CI1082" s="147"/>
      <c r="CJ1082" s="147"/>
      <c r="CK1082" s="147"/>
    </row>
    <row r="1083" spans="1:89">
      <c r="A1083" s="157"/>
      <c r="F1083" s="3"/>
      <c r="G1083" s="3"/>
      <c r="L1083" s="157"/>
      <c r="M1083" s="157"/>
      <c r="O1083" s="147"/>
      <c r="P1083" s="147"/>
      <c r="Q1083" s="147"/>
      <c r="R1083" s="147"/>
      <c r="S1083" s="147"/>
      <c r="T1083" s="147"/>
      <c r="U1083" s="147"/>
      <c r="V1083" s="147"/>
      <c r="W1083" s="147"/>
      <c r="X1083" s="147"/>
      <c r="Y1083" s="147"/>
      <c r="Z1083" s="147"/>
      <c r="AA1083" s="147"/>
      <c r="AB1083" s="147"/>
      <c r="AC1083" s="147"/>
      <c r="AD1083" s="147"/>
      <c r="AE1083" s="147"/>
      <c r="AF1083" s="147"/>
      <c r="AG1083" s="147"/>
      <c r="AH1083" s="147"/>
      <c r="AI1083" s="147"/>
      <c r="AJ1083" s="147"/>
      <c r="AK1083" s="147"/>
      <c r="AL1083" s="147"/>
      <c r="AM1083" s="151"/>
      <c r="AN1083" s="147"/>
      <c r="AO1083" s="147"/>
      <c r="AP1083" s="147"/>
      <c r="AQ1083" s="147"/>
      <c r="AR1083" s="147"/>
      <c r="AS1083" s="147"/>
      <c r="AT1083" s="147"/>
      <c r="AU1083" s="147"/>
      <c r="AV1083" s="147"/>
      <c r="AW1083" s="147"/>
      <c r="AX1083" s="147"/>
      <c r="AY1083" s="147"/>
      <c r="AZ1083" s="147"/>
      <c r="BA1083" s="147"/>
      <c r="BB1083" s="147"/>
      <c r="BC1083" s="147"/>
      <c r="BD1083" s="147"/>
      <c r="BE1083" s="147"/>
      <c r="BF1083" s="147"/>
      <c r="BG1083" s="147"/>
      <c r="BH1083" s="147"/>
      <c r="BI1083" s="147"/>
      <c r="BJ1083" s="147"/>
      <c r="BK1083" s="147"/>
      <c r="BL1083" s="147"/>
      <c r="BM1083" s="147"/>
      <c r="BN1083" s="147"/>
      <c r="BO1083" s="147"/>
      <c r="BP1083" s="147"/>
      <c r="BQ1083" s="147"/>
      <c r="BR1083" s="147"/>
      <c r="BS1083" s="147"/>
      <c r="BT1083" s="147"/>
      <c r="BU1083" s="147"/>
      <c r="BV1083" s="147"/>
      <c r="BW1083" s="147"/>
      <c r="BX1083" s="147"/>
      <c r="BY1083" s="147"/>
      <c r="BZ1083" s="147"/>
      <c r="CA1083" s="147"/>
      <c r="CB1083" s="147"/>
      <c r="CC1083" s="147"/>
      <c r="CD1083" s="147"/>
      <c r="CE1083" s="147"/>
      <c r="CF1083" s="147"/>
      <c r="CG1083" s="147"/>
      <c r="CH1083" s="147"/>
      <c r="CI1083" s="147"/>
      <c r="CJ1083" s="147"/>
      <c r="CK1083" s="147"/>
    </row>
    <row r="1084" spans="1:89">
      <c r="A1084" s="157"/>
      <c r="F1084" s="3"/>
      <c r="G1084" s="3"/>
      <c r="L1084" s="157"/>
      <c r="M1084" s="157"/>
      <c r="O1084" s="147"/>
      <c r="P1084" s="147"/>
      <c r="Q1084" s="147"/>
      <c r="R1084" s="147"/>
      <c r="S1084" s="147"/>
      <c r="T1084" s="147"/>
      <c r="U1084" s="147"/>
      <c r="V1084" s="147"/>
      <c r="W1084" s="147"/>
      <c r="X1084" s="147"/>
      <c r="Y1084" s="147"/>
      <c r="Z1084" s="147"/>
      <c r="AA1084" s="147"/>
      <c r="AB1084" s="147"/>
      <c r="AC1084" s="147"/>
      <c r="AD1084" s="147"/>
      <c r="AE1084" s="147"/>
      <c r="AF1084" s="147"/>
      <c r="AG1084" s="147"/>
      <c r="AH1084" s="147"/>
      <c r="AI1084" s="147"/>
      <c r="AJ1084" s="147"/>
      <c r="AK1084" s="147"/>
      <c r="AL1084" s="147"/>
      <c r="AM1084" s="151"/>
      <c r="AN1084" s="147"/>
      <c r="AO1084" s="147"/>
      <c r="AP1084" s="147"/>
      <c r="AQ1084" s="147"/>
      <c r="AR1084" s="147"/>
      <c r="AS1084" s="147"/>
      <c r="AT1084" s="147"/>
      <c r="AU1084" s="147"/>
      <c r="AV1084" s="147"/>
      <c r="AW1084" s="147"/>
      <c r="AX1084" s="147"/>
      <c r="AY1084" s="147"/>
      <c r="AZ1084" s="147"/>
      <c r="BA1084" s="147"/>
      <c r="BB1084" s="147"/>
      <c r="BC1084" s="147"/>
      <c r="BD1084" s="147"/>
      <c r="BE1084" s="147"/>
      <c r="BF1084" s="147"/>
      <c r="BG1084" s="147"/>
      <c r="BH1084" s="147"/>
      <c r="BI1084" s="147"/>
      <c r="BJ1084" s="147"/>
      <c r="BK1084" s="147"/>
      <c r="BL1084" s="147"/>
      <c r="BM1084" s="147"/>
      <c r="BN1084" s="147"/>
      <c r="BO1084" s="147"/>
      <c r="BP1084" s="147"/>
      <c r="BQ1084" s="147"/>
      <c r="BR1084" s="147"/>
      <c r="BS1084" s="147"/>
      <c r="BT1084" s="147"/>
      <c r="BU1084" s="147"/>
      <c r="BV1084" s="147"/>
      <c r="BW1084" s="147"/>
      <c r="BX1084" s="147"/>
      <c r="BY1084" s="147"/>
      <c r="BZ1084" s="147"/>
      <c r="CA1084" s="147"/>
      <c r="CB1084" s="147"/>
      <c r="CC1084" s="147"/>
      <c r="CD1084" s="147"/>
      <c r="CE1084" s="147"/>
      <c r="CF1084" s="147"/>
      <c r="CG1084" s="147"/>
      <c r="CH1084" s="147"/>
      <c r="CI1084" s="147"/>
      <c r="CJ1084" s="147"/>
      <c r="CK1084" s="147"/>
    </row>
    <row r="1085" spans="1:89">
      <c r="A1085" s="157"/>
      <c r="F1085" s="3"/>
      <c r="G1085" s="3"/>
      <c r="L1085" s="157"/>
      <c r="M1085" s="157"/>
      <c r="O1085" s="147"/>
      <c r="P1085" s="147"/>
      <c r="Q1085" s="147"/>
      <c r="R1085" s="147"/>
      <c r="S1085" s="147"/>
      <c r="T1085" s="147"/>
      <c r="U1085" s="147"/>
      <c r="V1085" s="147"/>
      <c r="W1085" s="147"/>
      <c r="X1085" s="147"/>
      <c r="Y1085" s="147"/>
      <c r="Z1085" s="147"/>
      <c r="AA1085" s="147"/>
      <c r="AB1085" s="147"/>
      <c r="AC1085" s="147"/>
      <c r="AD1085" s="147"/>
      <c r="AE1085" s="147"/>
      <c r="AF1085" s="147"/>
      <c r="AG1085" s="147"/>
      <c r="AH1085" s="147"/>
      <c r="AI1085" s="147"/>
      <c r="AJ1085" s="147"/>
      <c r="AK1085" s="147"/>
      <c r="AL1085" s="147"/>
      <c r="AM1085" s="151"/>
      <c r="AN1085" s="147"/>
      <c r="AO1085" s="147"/>
      <c r="AP1085" s="147"/>
      <c r="AQ1085" s="147"/>
      <c r="AR1085" s="147"/>
      <c r="AS1085" s="147"/>
      <c r="AT1085" s="147"/>
      <c r="AU1085" s="147"/>
      <c r="AV1085" s="147"/>
      <c r="AW1085" s="147"/>
      <c r="AX1085" s="147"/>
      <c r="AY1085" s="147"/>
      <c r="AZ1085" s="147"/>
      <c r="BA1085" s="147"/>
      <c r="BB1085" s="147"/>
      <c r="BC1085" s="147"/>
      <c r="BD1085" s="147"/>
      <c r="BE1085" s="147"/>
      <c r="BF1085" s="147"/>
      <c r="BG1085" s="147"/>
      <c r="BH1085" s="147"/>
      <c r="BI1085" s="147"/>
      <c r="BJ1085" s="147"/>
      <c r="BK1085" s="147"/>
      <c r="BL1085" s="147"/>
      <c r="BM1085" s="147"/>
      <c r="BN1085" s="147"/>
      <c r="BO1085" s="147"/>
      <c r="BP1085" s="147"/>
      <c r="BQ1085" s="147"/>
      <c r="BR1085" s="147"/>
      <c r="BS1085" s="147"/>
      <c r="BT1085" s="147"/>
      <c r="BU1085" s="147"/>
      <c r="BV1085" s="147"/>
      <c r="BW1085" s="147"/>
      <c r="BX1085" s="147"/>
      <c r="BY1085" s="147"/>
      <c r="BZ1085" s="147"/>
      <c r="CA1085" s="147"/>
      <c r="CB1085" s="147"/>
      <c r="CC1085" s="147"/>
      <c r="CD1085" s="147"/>
      <c r="CE1085" s="147"/>
      <c r="CF1085" s="147"/>
      <c r="CG1085" s="147"/>
      <c r="CH1085" s="147"/>
      <c r="CI1085" s="147"/>
      <c r="CJ1085" s="147"/>
      <c r="CK1085" s="147"/>
    </row>
    <row r="1086" spans="1:89">
      <c r="A1086" s="157"/>
      <c r="F1086" s="3"/>
      <c r="G1086" s="3"/>
      <c r="L1086" s="157"/>
      <c r="M1086" s="157"/>
      <c r="O1086" s="147"/>
      <c r="P1086" s="147"/>
      <c r="Q1086" s="147"/>
      <c r="R1086" s="147"/>
      <c r="S1086" s="147"/>
      <c r="T1086" s="147"/>
      <c r="U1086" s="147"/>
      <c r="V1086" s="147"/>
      <c r="W1086" s="147"/>
      <c r="X1086" s="147"/>
      <c r="Y1086" s="147"/>
      <c r="Z1086" s="147"/>
      <c r="AA1086" s="147"/>
      <c r="AB1086" s="147"/>
      <c r="AC1086" s="147"/>
      <c r="AD1086" s="147"/>
      <c r="AE1086" s="147"/>
      <c r="AF1086" s="147"/>
      <c r="AG1086" s="147"/>
      <c r="AH1086" s="147"/>
      <c r="AI1086" s="147"/>
      <c r="AJ1086" s="147"/>
      <c r="AK1086" s="147"/>
      <c r="AL1086" s="147"/>
      <c r="AM1086" s="151"/>
      <c r="AN1086" s="147"/>
      <c r="AO1086" s="147"/>
      <c r="AP1086" s="147"/>
      <c r="AQ1086" s="147"/>
      <c r="AR1086" s="147"/>
      <c r="AS1086" s="147"/>
      <c r="AT1086" s="147"/>
      <c r="AU1086" s="147"/>
      <c r="AV1086" s="147"/>
      <c r="AW1086" s="147"/>
      <c r="AX1086" s="147"/>
      <c r="AY1086" s="147"/>
      <c r="AZ1086" s="147"/>
      <c r="BA1086" s="147"/>
      <c r="BB1086" s="147"/>
      <c r="BC1086" s="147"/>
      <c r="BD1086" s="147"/>
      <c r="BE1086" s="147"/>
      <c r="BF1086" s="147"/>
      <c r="BG1086" s="147"/>
      <c r="BH1086" s="147"/>
      <c r="BI1086" s="147"/>
      <c r="BJ1086" s="147"/>
      <c r="BK1086" s="147"/>
      <c r="BL1086" s="147"/>
      <c r="BM1086" s="147"/>
      <c r="BN1086" s="147"/>
      <c r="BO1086" s="147"/>
      <c r="BP1086" s="147"/>
      <c r="BQ1086" s="147"/>
      <c r="BR1086" s="147"/>
      <c r="BS1086" s="147"/>
      <c r="BT1086" s="147"/>
      <c r="BU1086" s="147"/>
      <c r="BV1086" s="147"/>
      <c r="BW1086" s="147"/>
      <c r="BX1086" s="147"/>
      <c r="BY1086" s="147"/>
      <c r="BZ1086" s="147"/>
      <c r="CA1086" s="147"/>
      <c r="CB1086" s="147"/>
      <c r="CC1086" s="147"/>
      <c r="CD1086" s="147"/>
      <c r="CE1086" s="147"/>
      <c r="CF1086" s="147"/>
      <c r="CG1086" s="147"/>
      <c r="CH1086" s="147"/>
      <c r="CI1086" s="147"/>
      <c r="CJ1086" s="147"/>
      <c r="CK1086" s="147"/>
    </row>
    <row r="1087" spans="1:89">
      <c r="A1087" s="157"/>
      <c r="F1087" s="3"/>
      <c r="G1087" s="3"/>
      <c r="L1087" s="157"/>
      <c r="M1087" s="157"/>
      <c r="O1087" s="147"/>
      <c r="P1087" s="147"/>
      <c r="Q1087" s="147"/>
      <c r="R1087" s="147"/>
      <c r="S1087" s="147"/>
      <c r="T1087" s="147"/>
      <c r="U1087" s="147"/>
      <c r="V1087" s="147"/>
      <c r="W1087" s="147"/>
      <c r="X1087" s="147"/>
      <c r="Y1087" s="147"/>
      <c r="Z1087" s="147"/>
      <c r="AA1087" s="147"/>
      <c r="AB1087" s="147"/>
      <c r="AC1087" s="147"/>
      <c r="AD1087" s="147"/>
      <c r="AE1087" s="147"/>
      <c r="AF1087" s="147"/>
      <c r="AG1087" s="147"/>
      <c r="AH1087" s="147"/>
      <c r="AI1087" s="147"/>
      <c r="AJ1087" s="147"/>
      <c r="AK1087" s="147"/>
      <c r="AL1087" s="147"/>
      <c r="AM1087" s="151"/>
      <c r="AN1087" s="147"/>
      <c r="AO1087" s="147"/>
      <c r="AP1087" s="147"/>
      <c r="AQ1087" s="147"/>
      <c r="AR1087" s="147"/>
      <c r="AS1087" s="147"/>
      <c r="AT1087" s="147"/>
      <c r="AU1087" s="147"/>
      <c r="AV1087" s="147"/>
      <c r="AW1087" s="147"/>
      <c r="AX1087" s="147"/>
      <c r="AY1087" s="147"/>
      <c r="AZ1087" s="147"/>
      <c r="BA1087" s="147"/>
      <c r="BB1087" s="147"/>
      <c r="BC1087" s="147"/>
      <c r="BD1087" s="147"/>
      <c r="BE1087" s="147"/>
      <c r="BF1087" s="147"/>
      <c r="BG1087" s="147"/>
      <c r="BH1087" s="147"/>
      <c r="BI1087" s="147"/>
      <c r="BJ1087" s="147"/>
      <c r="BK1087" s="147"/>
      <c r="BL1087" s="147"/>
      <c r="BM1087" s="147"/>
      <c r="BN1087" s="147"/>
      <c r="BO1087" s="147"/>
      <c r="BP1087" s="147"/>
      <c r="BQ1087" s="147"/>
      <c r="BR1087" s="147"/>
      <c r="BS1087" s="147"/>
      <c r="BT1087" s="147"/>
      <c r="BU1087" s="147"/>
      <c r="BV1087" s="147"/>
      <c r="BW1087" s="147"/>
      <c r="BX1087" s="147"/>
      <c r="BY1087" s="147"/>
      <c r="BZ1087" s="147"/>
      <c r="CA1087" s="147"/>
      <c r="CB1087" s="147"/>
      <c r="CC1087" s="147"/>
      <c r="CD1087" s="147"/>
      <c r="CE1087" s="147"/>
      <c r="CF1087" s="147"/>
      <c r="CG1087" s="147"/>
      <c r="CH1087" s="147"/>
      <c r="CI1087" s="147"/>
      <c r="CJ1087" s="147"/>
      <c r="CK1087" s="147"/>
    </row>
    <row r="1088" spans="1:89">
      <c r="A1088" s="157"/>
      <c r="F1088" s="3"/>
      <c r="G1088" s="3"/>
      <c r="L1088" s="157"/>
      <c r="M1088" s="157"/>
      <c r="O1088" s="147"/>
      <c r="P1088" s="147"/>
      <c r="Q1088" s="147"/>
      <c r="R1088" s="147"/>
      <c r="S1088" s="147"/>
      <c r="T1088" s="147"/>
      <c r="U1088" s="147"/>
      <c r="V1088" s="147"/>
      <c r="W1088" s="147"/>
      <c r="X1088" s="147"/>
      <c r="Y1088" s="147"/>
      <c r="Z1088" s="147"/>
      <c r="AA1088" s="147"/>
      <c r="AB1088" s="147"/>
      <c r="AC1088" s="147"/>
      <c r="AD1088" s="147"/>
      <c r="AE1088" s="147"/>
      <c r="AF1088" s="147"/>
      <c r="AG1088" s="147"/>
      <c r="AH1088" s="147"/>
      <c r="AI1088" s="147"/>
      <c r="AJ1088" s="147"/>
      <c r="AK1088" s="147"/>
      <c r="AL1088" s="147"/>
      <c r="AM1088" s="151"/>
      <c r="AN1088" s="147"/>
      <c r="AO1088" s="147"/>
      <c r="AP1088" s="147"/>
      <c r="AQ1088" s="147"/>
      <c r="AR1088" s="147"/>
      <c r="AS1088" s="147"/>
      <c r="AT1088" s="147"/>
      <c r="AU1088" s="147"/>
      <c r="AV1088" s="147"/>
      <c r="AW1088" s="147"/>
      <c r="AX1088" s="147"/>
      <c r="AY1088" s="147"/>
      <c r="AZ1088" s="147"/>
      <c r="BA1088" s="147"/>
      <c r="BB1088" s="147"/>
      <c r="BC1088" s="147"/>
      <c r="BD1088" s="147"/>
      <c r="BE1088" s="147"/>
      <c r="BF1088" s="147"/>
      <c r="BG1088" s="147"/>
      <c r="BH1088" s="147"/>
      <c r="BI1088" s="147"/>
      <c r="BJ1088" s="147"/>
      <c r="BK1088" s="147"/>
      <c r="BL1088" s="147"/>
      <c r="BM1088" s="147"/>
      <c r="BN1088" s="147"/>
      <c r="BO1088" s="147"/>
      <c r="BP1088" s="147"/>
      <c r="BQ1088" s="147"/>
      <c r="BR1088" s="147"/>
      <c r="BS1088" s="147"/>
      <c r="BT1088" s="147"/>
      <c r="BU1088" s="147"/>
      <c r="BV1088" s="147"/>
      <c r="BW1088" s="147"/>
      <c r="BX1088" s="147"/>
      <c r="BY1088" s="147"/>
      <c r="BZ1088" s="147"/>
      <c r="CA1088" s="147"/>
      <c r="CB1088" s="147"/>
      <c r="CC1088" s="147"/>
      <c r="CD1088" s="147"/>
      <c r="CE1088" s="147"/>
      <c r="CF1088" s="147"/>
      <c r="CG1088" s="147"/>
      <c r="CH1088" s="147"/>
      <c r="CI1088" s="147"/>
      <c r="CJ1088" s="147"/>
      <c r="CK1088" s="147"/>
    </row>
    <row r="1089" spans="1:89">
      <c r="A1089" s="157"/>
      <c r="F1089" s="3"/>
      <c r="G1089" s="3"/>
      <c r="L1089" s="157"/>
      <c r="M1089" s="157"/>
      <c r="O1089" s="147"/>
      <c r="P1089" s="147"/>
      <c r="Q1089" s="147"/>
      <c r="R1089" s="147"/>
      <c r="S1089" s="147"/>
      <c r="T1089" s="147"/>
      <c r="U1089" s="147"/>
      <c r="V1089" s="147"/>
      <c r="W1089" s="147"/>
      <c r="X1089" s="147"/>
      <c r="Y1089" s="147"/>
      <c r="Z1089" s="147"/>
      <c r="AA1089" s="147"/>
      <c r="AB1089" s="147"/>
      <c r="AC1089" s="147"/>
      <c r="AD1089" s="147"/>
      <c r="AE1089" s="147"/>
      <c r="AF1089" s="147"/>
      <c r="AG1089" s="147"/>
      <c r="AH1089" s="147"/>
      <c r="AI1089" s="147"/>
      <c r="AJ1089" s="147"/>
      <c r="AK1089" s="147"/>
      <c r="AL1089" s="147"/>
      <c r="AM1089" s="151"/>
      <c r="AN1089" s="147"/>
      <c r="AO1089" s="147"/>
      <c r="AP1089" s="147"/>
      <c r="AQ1089" s="147"/>
      <c r="AR1089" s="147"/>
      <c r="AS1089" s="147"/>
      <c r="AT1089" s="147"/>
      <c r="AU1089" s="147"/>
      <c r="AV1089" s="147"/>
      <c r="AW1089" s="147"/>
      <c r="AX1089" s="147"/>
      <c r="AY1089" s="147"/>
      <c r="AZ1089" s="147"/>
      <c r="BA1089" s="147"/>
      <c r="BB1089" s="147"/>
      <c r="BC1089" s="147"/>
      <c r="BD1089" s="147"/>
      <c r="BE1089" s="147"/>
      <c r="BF1089" s="147"/>
      <c r="BG1089" s="147"/>
      <c r="BH1089" s="147"/>
      <c r="BI1089" s="147"/>
      <c r="BJ1089" s="147"/>
      <c r="BK1089" s="147"/>
      <c r="BL1089" s="147"/>
      <c r="BM1089" s="147"/>
      <c r="BN1089" s="147"/>
      <c r="BO1089" s="147"/>
      <c r="BP1089" s="147"/>
      <c r="BQ1089" s="147"/>
      <c r="BR1089" s="147"/>
      <c r="BS1089" s="147"/>
      <c r="BT1089" s="147"/>
      <c r="BU1089" s="147"/>
      <c r="BV1089" s="147"/>
      <c r="BW1089" s="147"/>
      <c r="BX1089" s="147"/>
      <c r="BY1089" s="147"/>
      <c r="BZ1089" s="147"/>
      <c r="CA1089" s="147"/>
      <c r="CB1089" s="147"/>
      <c r="CC1089" s="147"/>
      <c r="CD1089" s="147"/>
      <c r="CE1089" s="147"/>
      <c r="CF1089" s="147"/>
      <c r="CG1089" s="147"/>
      <c r="CH1089" s="147"/>
      <c r="CI1089" s="147"/>
      <c r="CJ1089" s="147"/>
      <c r="CK1089" s="147"/>
    </row>
    <row r="1090" spans="1:89">
      <c r="A1090" s="157"/>
      <c r="F1090" s="3"/>
      <c r="G1090" s="3"/>
      <c r="L1090" s="157"/>
      <c r="M1090" s="157"/>
      <c r="O1090" s="147"/>
      <c r="P1090" s="147"/>
      <c r="Q1090" s="147"/>
      <c r="R1090" s="147"/>
      <c r="S1090" s="147"/>
      <c r="T1090" s="147"/>
      <c r="U1090" s="147"/>
      <c r="V1090" s="147"/>
      <c r="W1090" s="147"/>
      <c r="X1090" s="147"/>
      <c r="Y1090" s="147"/>
      <c r="Z1090" s="147"/>
      <c r="AA1090" s="147"/>
      <c r="AB1090" s="147"/>
      <c r="AC1090" s="147"/>
      <c r="AD1090" s="147"/>
      <c r="AE1090" s="147"/>
      <c r="AF1090" s="147"/>
      <c r="AG1090" s="147"/>
      <c r="AH1090" s="147"/>
      <c r="AI1090" s="147"/>
      <c r="AJ1090" s="147"/>
      <c r="AK1090" s="147"/>
      <c r="AL1090" s="147"/>
      <c r="AM1090" s="151"/>
      <c r="AN1090" s="147"/>
      <c r="AO1090" s="147"/>
      <c r="AP1090" s="147"/>
      <c r="AQ1090" s="147"/>
      <c r="AR1090" s="147"/>
      <c r="AS1090" s="147"/>
      <c r="AT1090" s="147"/>
      <c r="AU1090" s="147"/>
      <c r="AV1090" s="147"/>
      <c r="AW1090" s="147"/>
      <c r="AX1090" s="147"/>
      <c r="AY1090" s="147"/>
      <c r="AZ1090" s="147"/>
      <c r="BA1090" s="147"/>
      <c r="BB1090" s="147"/>
      <c r="BC1090" s="147"/>
      <c r="BD1090" s="147"/>
      <c r="BE1090" s="147"/>
      <c r="BF1090" s="147"/>
      <c r="BG1090" s="147"/>
      <c r="BH1090" s="147"/>
      <c r="BI1090" s="147"/>
      <c r="BJ1090" s="147"/>
      <c r="BK1090" s="147"/>
      <c r="BL1090" s="147"/>
      <c r="BM1090" s="147"/>
      <c r="BN1090" s="147"/>
      <c r="BO1090" s="147"/>
      <c r="BP1090" s="147"/>
      <c r="BQ1090" s="147"/>
      <c r="BR1090" s="147"/>
      <c r="BS1090" s="147"/>
      <c r="BT1090" s="147"/>
      <c r="BU1090" s="147"/>
      <c r="BV1090" s="147"/>
      <c r="BW1090" s="147"/>
      <c r="BX1090" s="147"/>
      <c r="BY1090" s="147"/>
      <c r="BZ1090" s="147"/>
      <c r="CA1090" s="147"/>
      <c r="CB1090" s="147"/>
      <c r="CC1090" s="147"/>
      <c r="CD1090" s="147"/>
      <c r="CE1090" s="147"/>
      <c r="CF1090" s="147"/>
      <c r="CG1090" s="147"/>
      <c r="CH1090" s="147"/>
      <c r="CI1090" s="147"/>
      <c r="CJ1090" s="147"/>
      <c r="CK1090" s="147"/>
    </row>
    <row r="1091" spans="1:89">
      <c r="A1091" s="157"/>
      <c r="F1091" s="3"/>
      <c r="G1091" s="3"/>
      <c r="L1091" s="157"/>
      <c r="M1091" s="157"/>
      <c r="O1091" s="147"/>
      <c r="P1091" s="147"/>
      <c r="Q1091" s="147"/>
      <c r="R1091" s="147"/>
      <c r="S1091" s="147"/>
      <c r="T1091" s="147"/>
      <c r="U1091" s="147"/>
      <c r="V1091" s="147"/>
      <c r="W1091" s="147"/>
      <c r="X1091" s="147"/>
      <c r="Y1091" s="147"/>
      <c r="Z1091" s="147"/>
      <c r="AA1091" s="147"/>
      <c r="AB1091" s="147"/>
      <c r="AC1091" s="147"/>
      <c r="AD1091" s="147"/>
      <c r="AE1091" s="147"/>
      <c r="AF1091" s="147"/>
      <c r="AG1091" s="147"/>
      <c r="AH1091" s="147"/>
      <c r="AI1091" s="147"/>
      <c r="AJ1091" s="147"/>
      <c r="AK1091" s="147"/>
      <c r="AL1091" s="147"/>
      <c r="AM1091" s="151"/>
      <c r="AN1091" s="147"/>
      <c r="AO1091" s="147"/>
      <c r="AP1091" s="147"/>
      <c r="AQ1091" s="147"/>
      <c r="AR1091" s="147"/>
      <c r="AS1091" s="147"/>
      <c r="AT1091" s="147"/>
      <c r="AU1091" s="147"/>
      <c r="AV1091" s="147"/>
      <c r="AW1091" s="147"/>
      <c r="AX1091" s="147"/>
      <c r="AY1091" s="147"/>
      <c r="AZ1091" s="147"/>
      <c r="BA1091" s="147"/>
      <c r="BB1091" s="147"/>
      <c r="BC1091" s="147"/>
      <c r="BD1091" s="147"/>
      <c r="BE1091" s="147"/>
      <c r="BF1091" s="147"/>
      <c r="BG1091" s="147"/>
      <c r="BH1091" s="147"/>
      <c r="BI1091" s="147"/>
      <c r="BJ1091" s="147"/>
      <c r="BK1091" s="147"/>
      <c r="BL1091" s="147"/>
      <c r="BM1091" s="147"/>
      <c r="BN1091" s="147"/>
      <c r="BO1091" s="147"/>
      <c r="BP1091" s="147"/>
      <c r="BQ1091" s="147"/>
      <c r="BR1091" s="147"/>
      <c r="BS1091" s="147"/>
      <c r="BT1091" s="147"/>
      <c r="BU1091" s="147"/>
      <c r="BV1091" s="147"/>
      <c r="BW1091" s="147"/>
      <c r="BX1091" s="147"/>
      <c r="BY1091" s="147"/>
      <c r="BZ1091" s="147"/>
      <c r="CA1091" s="147"/>
      <c r="CB1091" s="147"/>
      <c r="CC1091" s="147"/>
      <c r="CD1091" s="147"/>
      <c r="CE1091" s="147"/>
      <c r="CF1091" s="147"/>
      <c r="CG1091" s="147"/>
      <c r="CH1091" s="147"/>
      <c r="CI1091" s="147"/>
      <c r="CJ1091" s="147"/>
      <c r="CK1091" s="147"/>
    </row>
    <row r="1092" spans="1:89">
      <c r="A1092" s="157"/>
      <c r="F1092" s="3"/>
      <c r="G1092" s="3"/>
      <c r="L1092" s="157"/>
      <c r="M1092" s="157"/>
      <c r="O1092" s="147"/>
      <c r="P1092" s="147"/>
      <c r="Q1092" s="147"/>
      <c r="R1092" s="147"/>
      <c r="S1092" s="147"/>
      <c r="T1092" s="147"/>
      <c r="U1092" s="147"/>
      <c r="V1092" s="147"/>
      <c r="W1092" s="147"/>
      <c r="X1092" s="147"/>
      <c r="Y1092" s="147"/>
      <c r="Z1092" s="147"/>
      <c r="AA1092" s="147"/>
      <c r="AB1092" s="147"/>
      <c r="AC1092" s="147"/>
      <c r="AD1092" s="147"/>
      <c r="AE1092" s="147"/>
      <c r="AF1092" s="147"/>
      <c r="AG1092" s="147"/>
      <c r="AH1092" s="147"/>
      <c r="AI1092" s="147"/>
      <c r="AJ1092" s="147"/>
      <c r="AK1092" s="147"/>
      <c r="AL1092" s="147"/>
      <c r="AM1092" s="151"/>
      <c r="AN1092" s="147"/>
      <c r="AO1092" s="147"/>
      <c r="AP1092" s="147"/>
      <c r="AQ1092" s="147"/>
      <c r="AR1092" s="147"/>
      <c r="AS1092" s="147"/>
      <c r="AT1092" s="147"/>
      <c r="AU1092" s="147"/>
      <c r="AV1092" s="147"/>
      <c r="AW1092" s="147"/>
      <c r="AX1092" s="147"/>
      <c r="AY1092" s="147"/>
      <c r="AZ1092" s="147"/>
      <c r="BA1092" s="147"/>
      <c r="BB1092" s="147"/>
      <c r="BC1092" s="147"/>
      <c r="BD1092" s="147"/>
      <c r="BE1092" s="147"/>
      <c r="BF1092" s="147"/>
      <c r="BG1092" s="147"/>
      <c r="BH1092" s="147"/>
      <c r="BI1092" s="147"/>
      <c r="BJ1092" s="147"/>
      <c r="BK1092" s="147"/>
      <c r="BL1092" s="147"/>
      <c r="BM1092" s="147"/>
      <c r="BN1092" s="147"/>
      <c r="BO1092" s="147"/>
      <c r="BP1092" s="147"/>
      <c r="BQ1092" s="147"/>
      <c r="BR1092" s="147"/>
      <c r="BS1092" s="147"/>
      <c r="BT1092" s="147"/>
      <c r="BU1092" s="147"/>
      <c r="BV1092" s="147"/>
      <c r="BW1092" s="147"/>
      <c r="BX1092" s="147"/>
      <c r="BY1092" s="147"/>
      <c r="BZ1092" s="147"/>
      <c r="CA1092" s="147"/>
      <c r="CB1092" s="147"/>
      <c r="CC1092" s="147"/>
      <c r="CD1092" s="147"/>
      <c r="CE1092" s="147"/>
      <c r="CF1092" s="147"/>
      <c r="CG1092" s="147"/>
      <c r="CH1092" s="147"/>
      <c r="CI1092" s="147"/>
      <c r="CJ1092" s="147"/>
      <c r="CK1092" s="147"/>
    </row>
    <row r="1093" spans="1:89">
      <c r="A1093" s="157"/>
      <c r="F1093" s="3"/>
      <c r="G1093" s="3"/>
      <c r="L1093" s="157"/>
      <c r="M1093" s="157"/>
      <c r="O1093" s="147"/>
      <c r="P1093" s="147"/>
      <c r="Q1093" s="147"/>
      <c r="R1093" s="147"/>
      <c r="S1093" s="147"/>
      <c r="T1093" s="147"/>
      <c r="U1093" s="147"/>
      <c r="V1093" s="147"/>
      <c r="W1093" s="147"/>
      <c r="X1093" s="147"/>
      <c r="Y1093" s="147"/>
      <c r="Z1093" s="147"/>
      <c r="AA1093" s="147"/>
      <c r="AB1093" s="147"/>
      <c r="AC1093" s="147"/>
      <c r="AD1093" s="147"/>
      <c r="AE1093" s="147"/>
      <c r="AF1093" s="147"/>
      <c r="AG1093" s="147"/>
      <c r="AH1093" s="147"/>
      <c r="AI1093" s="147"/>
      <c r="AJ1093" s="147"/>
      <c r="AK1093" s="147"/>
      <c r="AL1093" s="147"/>
      <c r="AM1093" s="151"/>
      <c r="AN1093" s="147"/>
      <c r="AO1093" s="147"/>
      <c r="AP1093" s="147"/>
      <c r="AQ1093" s="147"/>
      <c r="AR1093" s="147"/>
      <c r="AS1093" s="147"/>
      <c r="AT1093" s="147"/>
      <c r="AU1093" s="147"/>
      <c r="AV1093" s="147"/>
      <c r="AW1093" s="147"/>
      <c r="AX1093" s="147"/>
      <c r="AY1093" s="147"/>
      <c r="AZ1093" s="147"/>
      <c r="BA1093" s="147"/>
      <c r="BB1093" s="147"/>
      <c r="BC1093" s="147"/>
      <c r="BD1093" s="147"/>
      <c r="BE1093" s="147"/>
      <c r="BF1093" s="147"/>
      <c r="BG1093" s="147"/>
      <c r="BH1093" s="147"/>
      <c r="BI1093" s="147"/>
      <c r="BJ1093" s="147"/>
      <c r="BK1093" s="147"/>
      <c r="BL1093" s="147"/>
      <c r="BM1093" s="147"/>
      <c r="BN1093" s="147"/>
      <c r="BO1093" s="147"/>
      <c r="BP1093" s="147"/>
      <c r="BQ1093" s="147"/>
      <c r="BR1093" s="147"/>
      <c r="BS1093" s="147"/>
      <c r="BT1093" s="147"/>
      <c r="BU1093" s="147"/>
      <c r="BV1093" s="147"/>
      <c r="BW1093" s="147"/>
      <c r="BX1093" s="147"/>
      <c r="BY1093" s="147"/>
      <c r="BZ1093" s="147"/>
      <c r="CA1093" s="147"/>
      <c r="CB1093" s="147"/>
      <c r="CC1093" s="147"/>
      <c r="CD1093" s="147"/>
      <c r="CE1093" s="147"/>
      <c r="CF1093" s="147"/>
      <c r="CG1093" s="147"/>
      <c r="CH1093" s="147"/>
      <c r="CI1093" s="147"/>
      <c r="CJ1093" s="147"/>
      <c r="CK1093" s="147"/>
    </row>
    <row r="1094" spans="1:89">
      <c r="A1094" s="157"/>
      <c r="F1094" s="3"/>
      <c r="G1094" s="3"/>
      <c r="L1094" s="157"/>
      <c r="M1094" s="157"/>
      <c r="O1094" s="147"/>
      <c r="P1094" s="147"/>
      <c r="Q1094" s="147"/>
      <c r="R1094" s="147"/>
      <c r="S1094" s="147"/>
      <c r="T1094" s="147"/>
      <c r="U1094" s="147"/>
      <c r="V1094" s="147"/>
      <c r="W1094" s="147"/>
      <c r="X1094" s="147"/>
      <c r="Y1094" s="147"/>
      <c r="Z1094" s="147"/>
      <c r="AA1094" s="147"/>
      <c r="AB1094" s="147"/>
      <c r="AC1094" s="147"/>
      <c r="AD1094" s="147"/>
      <c r="AE1094" s="147"/>
      <c r="AF1094" s="147"/>
      <c r="AG1094" s="147"/>
      <c r="AH1094" s="147"/>
      <c r="AI1094" s="147"/>
      <c r="AJ1094" s="147"/>
      <c r="AK1094" s="147"/>
      <c r="AL1094" s="147"/>
      <c r="AM1094" s="151"/>
      <c r="AN1094" s="147"/>
      <c r="AO1094" s="147"/>
      <c r="AP1094" s="147"/>
      <c r="AQ1094" s="147"/>
      <c r="AR1094" s="147"/>
      <c r="AS1094" s="147"/>
      <c r="AT1094" s="147"/>
      <c r="AU1094" s="147"/>
      <c r="AV1094" s="147"/>
      <c r="AW1094" s="147"/>
      <c r="AX1094" s="147"/>
      <c r="AY1094" s="147"/>
      <c r="AZ1094" s="147"/>
      <c r="BA1094" s="147"/>
      <c r="BB1094" s="147"/>
      <c r="BC1094" s="147"/>
      <c r="BD1094" s="147"/>
      <c r="BE1094" s="147"/>
      <c r="BF1094" s="147"/>
      <c r="BG1094" s="147"/>
      <c r="BH1094" s="147"/>
      <c r="BI1094" s="147"/>
      <c r="BJ1094" s="147"/>
      <c r="BK1094" s="147"/>
      <c r="BL1094" s="147"/>
      <c r="BM1094" s="147"/>
      <c r="BN1094" s="147"/>
      <c r="BO1094" s="147"/>
      <c r="BP1094" s="147"/>
      <c r="BQ1094" s="147"/>
      <c r="BR1094" s="147"/>
      <c r="BS1094" s="147"/>
      <c r="BT1094" s="147"/>
      <c r="BU1094" s="147"/>
      <c r="BV1094" s="147"/>
      <c r="BW1094" s="147"/>
      <c r="BX1094" s="147"/>
      <c r="BY1094" s="147"/>
      <c r="BZ1094" s="147"/>
      <c r="CA1094" s="147"/>
      <c r="CB1094" s="147"/>
      <c r="CC1094" s="147"/>
      <c r="CD1094" s="147"/>
      <c r="CE1094" s="147"/>
      <c r="CF1094" s="147"/>
      <c r="CG1094" s="147"/>
      <c r="CH1094" s="147"/>
      <c r="CI1094" s="147"/>
      <c r="CJ1094" s="147"/>
      <c r="CK1094" s="147"/>
    </row>
    <row r="1095" spans="1:89">
      <c r="A1095" s="157"/>
      <c r="F1095" s="3"/>
      <c r="G1095" s="3"/>
      <c r="L1095" s="157"/>
      <c r="M1095" s="157"/>
      <c r="O1095" s="147"/>
      <c r="P1095" s="147"/>
      <c r="Q1095" s="147"/>
      <c r="R1095" s="147"/>
      <c r="S1095" s="147"/>
      <c r="T1095" s="147"/>
      <c r="U1095" s="147"/>
      <c r="V1095" s="147"/>
      <c r="W1095" s="147"/>
      <c r="X1095" s="147"/>
      <c r="Y1095" s="147"/>
      <c r="Z1095" s="147"/>
      <c r="AA1095" s="147"/>
      <c r="AB1095" s="147"/>
      <c r="AC1095" s="147"/>
      <c r="AD1095" s="147"/>
      <c r="AE1095" s="147"/>
      <c r="AF1095" s="147"/>
      <c r="AG1095" s="147"/>
      <c r="AH1095" s="147"/>
      <c r="AI1095" s="147"/>
      <c r="AJ1095" s="147"/>
      <c r="AK1095" s="147"/>
      <c r="AL1095" s="147"/>
      <c r="AM1095" s="151"/>
      <c r="AN1095" s="147"/>
      <c r="AO1095" s="147"/>
      <c r="AP1095" s="147"/>
      <c r="AQ1095" s="147"/>
      <c r="AR1095" s="147"/>
      <c r="AS1095" s="147"/>
      <c r="AT1095" s="147"/>
      <c r="AU1095" s="147"/>
      <c r="AV1095" s="147"/>
      <c r="AW1095" s="147"/>
      <c r="AX1095" s="147"/>
      <c r="AY1095" s="147"/>
      <c r="AZ1095" s="147"/>
      <c r="BA1095" s="147"/>
      <c r="BB1095" s="147"/>
      <c r="BC1095" s="147"/>
      <c r="BD1095" s="147"/>
      <c r="BE1095" s="147"/>
      <c r="BF1095" s="147"/>
      <c r="BG1095" s="147"/>
      <c r="BH1095" s="147"/>
      <c r="BI1095" s="147"/>
      <c r="BJ1095" s="147"/>
      <c r="BK1095" s="147"/>
      <c r="BL1095" s="147"/>
      <c r="BM1095" s="147"/>
      <c r="BN1095" s="147"/>
      <c r="BO1095" s="147"/>
      <c r="BP1095" s="147"/>
      <c r="BQ1095" s="147"/>
      <c r="BR1095" s="147"/>
      <c r="BS1095" s="147"/>
      <c r="BT1095" s="147"/>
      <c r="BU1095" s="147"/>
      <c r="BV1095" s="147"/>
      <c r="BW1095" s="147"/>
      <c r="BX1095" s="147"/>
      <c r="BY1095" s="147"/>
      <c r="BZ1095" s="147"/>
      <c r="CA1095" s="147"/>
      <c r="CB1095" s="147"/>
      <c r="CC1095" s="147"/>
      <c r="CD1095" s="147"/>
      <c r="CE1095" s="147"/>
      <c r="CF1095" s="147"/>
      <c r="CG1095" s="147"/>
      <c r="CH1095" s="147"/>
      <c r="CI1095" s="147"/>
      <c r="CJ1095" s="147"/>
      <c r="CK1095" s="147"/>
    </row>
    <row r="1096" spans="1:89">
      <c r="A1096" s="157"/>
      <c r="F1096" s="3"/>
      <c r="G1096" s="3"/>
      <c r="L1096" s="157"/>
      <c r="M1096" s="157"/>
      <c r="O1096" s="147"/>
      <c r="P1096" s="147"/>
      <c r="Q1096" s="147"/>
      <c r="R1096" s="147"/>
      <c r="S1096" s="147"/>
      <c r="T1096" s="147"/>
      <c r="U1096" s="147"/>
      <c r="V1096" s="147"/>
      <c r="W1096" s="147"/>
      <c r="X1096" s="147"/>
      <c r="Y1096" s="147"/>
      <c r="Z1096" s="147"/>
      <c r="AA1096" s="147"/>
      <c r="AB1096" s="147"/>
      <c r="AC1096" s="147"/>
      <c r="AD1096" s="147"/>
      <c r="AE1096" s="147"/>
      <c r="AF1096" s="147"/>
      <c r="AG1096" s="147"/>
      <c r="AH1096" s="147"/>
      <c r="AI1096" s="147"/>
      <c r="AJ1096" s="147"/>
      <c r="AK1096" s="147"/>
      <c r="AL1096" s="147"/>
      <c r="AM1096" s="151"/>
      <c r="AN1096" s="147"/>
      <c r="AO1096" s="147"/>
      <c r="AP1096" s="147"/>
      <c r="AQ1096" s="147"/>
      <c r="AR1096" s="147"/>
      <c r="AS1096" s="147"/>
      <c r="AT1096" s="147"/>
      <c r="AU1096" s="147"/>
      <c r="AV1096" s="147"/>
      <c r="AW1096" s="147"/>
      <c r="AX1096" s="147"/>
      <c r="AY1096" s="147"/>
      <c r="AZ1096" s="147"/>
      <c r="BA1096" s="147"/>
      <c r="BB1096" s="147"/>
      <c r="BC1096" s="147"/>
      <c r="BD1096" s="147"/>
      <c r="BE1096" s="147"/>
      <c r="BF1096" s="147"/>
      <c r="BG1096" s="147"/>
      <c r="BH1096" s="147"/>
      <c r="BI1096" s="147"/>
      <c r="BJ1096" s="147"/>
      <c r="BK1096" s="147"/>
      <c r="BL1096" s="147"/>
      <c r="BM1096" s="147"/>
      <c r="BN1096" s="147"/>
      <c r="BO1096" s="147"/>
      <c r="BP1096" s="147"/>
      <c r="BQ1096" s="147"/>
      <c r="BR1096" s="147"/>
      <c r="BS1096" s="147"/>
      <c r="BT1096" s="147"/>
      <c r="BU1096" s="147"/>
      <c r="BV1096" s="147"/>
      <c r="BW1096" s="147"/>
      <c r="BX1096" s="147"/>
      <c r="BY1096" s="147"/>
      <c r="BZ1096" s="147"/>
      <c r="CA1096" s="147"/>
      <c r="CB1096" s="147"/>
      <c r="CC1096" s="147"/>
      <c r="CD1096" s="147"/>
      <c r="CE1096" s="147"/>
      <c r="CF1096" s="147"/>
      <c r="CG1096" s="147"/>
      <c r="CH1096" s="147"/>
      <c r="CI1096" s="147"/>
      <c r="CJ1096" s="147"/>
      <c r="CK1096" s="147"/>
    </row>
    <row r="1097" spans="1:89">
      <c r="A1097" s="157"/>
      <c r="F1097" s="3"/>
      <c r="G1097" s="3"/>
      <c r="L1097" s="157"/>
      <c r="M1097" s="157"/>
      <c r="O1097" s="147"/>
      <c r="P1097" s="147"/>
      <c r="Q1097" s="147"/>
      <c r="R1097" s="147"/>
      <c r="S1097" s="147"/>
      <c r="T1097" s="147"/>
      <c r="U1097" s="147"/>
      <c r="V1097" s="147"/>
      <c r="W1097" s="147"/>
      <c r="X1097" s="147"/>
      <c r="Y1097" s="147"/>
      <c r="Z1097" s="147"/>
      <c r="AA1097" s="147"/>
      <c r="AB1097" s="147"/>
      <c r="AC1097" s="147"/>
      <c r="AD1097" s="147"/>
      <c r="AE1097" s="147"/>
      <c r="AF1097" s="147"/>
      <c r="AG1097" s="147"/>
      <c r="AH1097" s="147"/>
      <c r="AI1097" s="147"/>
      <c r="AJ1097" s="147"/>
      <c r="AK1097" s="147"/>
      <c r="AL1097" s="147"/>
      <c r="AM1097" s="151"/>
      <c r="AN1097" s="147"/>
      <c r="AO1097" s="147"/>
      <c r="AP1097" s="147"/>
      <c r="AQ1097" s="147"/>
      <c r="AR1097" s="147"/>
      <c r="AS1097" s="147"/>
      <c r="AT1097" s="147"/>
      <c r="AU1097" s="147"/>
      <c r="AV1097" s="147"/>
      <c r="AW1097" s="147"/>
      <c r="AX1097" s="147"/>
      <c r="AY1097" s="147"/>
      <c r="AZ1097" s="147"/>
      <c r="BA1097" s="147"/>
      <c r="BB1097" s="147"/>
      <c r="BC1097" s="147"/>
      <c r="BD1097" s="147"/>
      <c r="BE1097" s="147"/>
      <c r="BF1097" s="147"/>
      <c r="BG1097" s="147"/>
      <c r="BH1097" s="147"/>
      <c r="BI1097" s="147"/>
      <c r="BJ1097" s="147"/>
      <c r="BK1097" s="147"/>
      <c r="BL1097" s="147"/>
      <c r="BM1097" s="147"/>
      <c r="BN1097" s="147"/>
      <c r="BO1097" s="147"/>
      <c r="BP1097" s="147"/>
      <c r="BQ1097" s="147"/>
      <c r="BR1097" s="147"/>
      <c r="BS1097" s="147"/>
      <c r="BT1097" s="147"/>
      <c r="BU1097" s="147"/>
      <c r="BV1097" s="147"/>
      <c r="BW1097" s="147"/>
      <c r="BX1097" s="147"/>
      <c r="BY1097" s="147"/>
      <c r="BZ1097" s="147"/>
      <c r="CA1097" s="147"/>
      <c r="CB1097" s="147"/>
      <c r="CC1097" s="147"/>
      <c r="CD1097" s="147"/>
      <c r="CE1097" s="147"/>
      <c r="CF1097" s="147"/>
      <c r="CG1097" s="147"/>
      <c r="CH1097" s="147"/>
      <c r="CI1097" s="147"/>
      <c r="CJ1097" s="147"/>
      <c r="CK1097" s="147"/>
    </row>
    <row r="1098" spans="1:89">
      <c r="A1098" s="157"/>
      <c r="F1098" s="3"/>
      <c r="G1098" s="3"/>
      <c r="L1098" s="157"/>
      <c r="M1098" s="157"/>
      <c r="O1098" s="147"/>
      <c r="P1098" s="147"/>
      <c r="Q1098" s="147"/>
      <c r="R1098" s="147"/>
      <c r="S1098" s="147"/>
      <c r="T1098" s="147"/>
      <c r="U1098" s="147"/>
      <c r="V1098" s="147"/>
      <c r="W1098" s="147"/>
      <c r="X1098" s="147"/>
      <c r="Y1098" s="147"/>
      <c r="Z1098" s="147"/>
      <c r="AA1098" s="147"/>
      <c r="AB1098" s="147"/>
      <c r="AC1098" s="147"/>
      <c r="AD1098" s="147"/>
      <c r="AE1098" s="147"/>
      <c r="AF1098" s="147"/>
      <c r="AG1098" s="147"/>
      <c r="AH1098" s="147"/>
      <c r="AI1098" s="147"/>
      <c r="AJ1098" s="147"/>
      <c r="AK1098" s="147"/>
      <c r="AL1098" s="147"/>
      <c r="AM1098" s="151"/>
      <c r="AN1098" s="147"/>
      <c r="AO1098" s="147"/>
      <c r="AP1098" s="147"/>
      <c r="AQ1098" s="147"/>
      <c r="AR1098" s="147"/>
      <c r="AS1098" s="147"/>
      <c r="AT1098" s="147"/>
      <c r="AU1098" s="147"/>
      <c r="AV1098" s="147"/>
      <c r="AW1098" s="147"/>
      <c r="AX1098" s="147"/>
      <c r="AY1098" s="147"/>
      <c r="AZ1098" s="147"/>
      <c r="BA1098" s="147"/>
      <c r="BB1098" s="147"/>
      <c r="BC1098" s="147"/>
      <c r="BD1098" s="147"/>
      <c r="BE1098" s="147"/>
      <c r="BF1098" s="147"/>
      <c r="BG1098" s="147"/>
      <c r="BH1098" s="147"/>
      <c r="BI1098" s="147"/>
      <c r="BJ1098" s="147"/>
      <c r="BK1098" s="147"/>
      <c r="BL1098" s="147"/>
      <c r="BM1098" s="147"/>
      <c r="BN1098" s="147"/>
      <c r="BO1098" s="147"/>
      <c r="BP1098" s="147"/>
      <c r="BQ1098" s="147"/>
      <c r="BR1098" s="147"/>
      <c r="BS1098" s="147"/>
      <c r="BT1098" s="147"/>
      <c r="BU1098" s="147"/>
      <c r="BV1098" s="147"/>
      <c r="BW1098" s="147"/>
      <c r="BX1098" s="147"/>
      <c r="BY1098" s="147"/>
      <c r="BZ1098" s="147"/>
      <c r="CA1098" s="147"/>
      <c r="CB1098" s="147"/>
      <c r="CC1098" s="147"/>
      <c r="CD1098" s="147"/>
      <c r="CE1098" s="147"/>
      <c r="CF1098" s="147"/>
      <c r="CG1098" s="147"/>
      <c r="CH1098" s="147"/>
      <c r="CI1098" s="147"/>
      <c r="CJ1098" s="147"/>
      <c r="CK1098" s="147"/>
    </row>
    <row r="1099" spans="1:89">
      <c r="A1099" s="157"/>
      <c r="F1099" s="3"/>
      <c r="G1099" s="3"/>
      <c r="L1099" s="157"/>
      <c r="M1099" s="157"/>
      <c r="O1099" s="147"/>
      <c r="P1099" s="147"/>
      <c r="Q1099" s="147"/>
      <c r="R1099" s="147"/>
      <c r="S1099" s="147"/>
      <c r="T1099" s="147"/>
      <c r="U1099" s="147"/>
      <c r="V1099" s="147"/>
      <c r="W1099" s="147"/>
      <c r="X1099" s="147"/>
      <c r="Y1099" s="147"/>
      <c r="Z1099" s="147"/>
      <c r="AA1099" s="147"/>
      <c r="AB1099" s="147"/>
      <c r="AC1099" s="147"/>
      <c r="AD1099" s="147"/>
      <c r="AE1099" s="147"/>
      <c r="AF1099" s="147"/>
      <c r="AG1099" s="147"/>
      <c r="AH1099" s="147"/>
      <c r="AI1099" s="147"/>
      <c r="AJ1099" s="147"/>
      <c r="AK1099" s="147"/>
      <c r="AL1099" s="147"/>
      <c r="AM1099" s="151"/>
      <c r="AN1099" s="147"/>
      <c r="AO1099" s="147"/>
      <c r="AP1099" s="147"/>
      <c r="AQ1099" s="147"/>
      <c r="AR1099" s="147"/>
      <c r="AS1099" s="147"/>
      <c r="AT1099" s="147"/>
      <c r="AU1099" s="147"/>
      <c r="AV1099" s="147"/>
      <c r="AW1099" s="147"/>
      <c r="AX1099" s="147"/>
      <c r="AY1099" s="147"/>
      <c r="AZ1099" s="147"/>
      <c r="BA1099" s="147"/>
      <c r="BB1099" s="147"/>
      <c r="BC1099" s="147"/>
      <c r="BD1099" s="147"/>
      <c r="BE1099" s="147"/>
      <c r="BF1099" s="147"/>
      <c r="BG1099" s="147"/>
      <c r="BH1099" s="147"/>
      <c r="BI1099" s="147"/>
      <c r="BJ1099" s="147"/>
      <c r="BK1099" s="147"/>
      <c r="BL1099" s="147"/>
      <c r="BM1099" s="147"/>
      <c r="BN1099" s="147"/>
      <c r="BO1099" s="147"/>
      <c r="BP1099" s="147"/>
      <c r="BQ1099" s="147"/>
      <c r="BR1099" s="147"/>
      <c r="BS1099" s="147"/>
      <c r="BT1099" s="147"/>
      <c r="BU1099" s="147"/>
      <c r="BV1099" s="147"/>
      <c r="BW1099" s="147"/>
      <c r="BX1099" s="147"/>
      <c r="BY1099" s="147"/>
      <c r="BZ1099" s="147"/>
      <c r="CA1099" s="147"/>
      <c r="CB1099" s="147"/>
      <c r="CC1099" s="147"/>
      <c r="CD1099" s="147"/>
      <c r="CE1099" s="147"/>
      <c r="CF1099" s="147"/>
      <c r="CG1099" s="147"/>
      <c r="CH1099" s="147"/>
      <c r="CI1099" s="147"/>
      <c r="CJ1099" s="147"/>
      <c r="CK1099" s="147"/>
    </row>
    <row r="1100" spans="1:89">
      <c r="A1100" s="157"/>
      <c r="F1100" s="3"/>
      <c r="G1100" s="3"/>
      <c r="L1100" s="157"/>
      <c r="M1100" s="157"/>
      <c r="O1100" s="147"/>
      <c r="P1100" s="147"/>
      <c r="Q1100" s="147"/>
      <c r="R1100" s="147"/>
      <c r="S1100" s="147"/>
      <c r="T1100" s="147"/>
      <c r="U1100" s="147"/>
      <c r="V1100" s="147"/>
      <c r="W1100" s="147"/>
      <c r="X1100" s="147"/>
      <c r="Y1100" s="147"/>
      <c r="Z1100" s="147"/>
      <c r="AA1100" s="147"/>
      <c r="AB1100" s="147"/>
      <c r="AC1100" s="147"/>
      <c r="AD1100" s="147"/>
      <c r="AE1100" s="147"/>
      <c r="AF1100" s="147"/>
      <c r="AG1100" s="147"/>
      <c r="AH1100" s="147"/>
      <c r="AI1100" s="147"/>
      <c r="AJ1100" s="147"/>
      <c r="AK1100" s="147"/>
      <c r="AL1100" s="147"/>
      <c r="AM1100" s="151"/>
      <c r="AN1100" s="147"/>
      <c r="AO1100" s="147"/>
      <c r="AP1100" s="147"/>
      <c r="AQ1100" s="147"/>
      <c r="AR1100" s="147"/>
      <c r="AS1100" s="147"/>
      <c r="AT1100" s="147"/>
      <c r="AU1100" s="147"/>
      <c r="AV1100" s="147"/>
      <c r="AW1100" s="147"/>
      <c r="AX1100" s="147"/>
      <c r="AY1100" s="147"/>
      <c r="AZ1100" s="147"/>
      <c r="BA1100" s="147"/>
      <c r="BB1100" s="147"/>
      <c r="BC1100" s="147"/>
      <c r="BD1100" s="147"/>
      <c r="BE1100" s="147"/>
      <c r="BF1100" s="147"/>
      <c r="BG1100" s="147"/>
      <c r="BH1100" s="147"/>
      <c r="BI1100" s="147"/>
      <c r="BJ1100" s="147"/>
      <c r="BK1100" s="147"/>
      <c r="BL1100" s="147"/>
      <c r="BM1100" s="147"/>
      <c r="BN1100" s="147"/>
      <c r="BO1100" s="147"/>
      <c r="BP1100" s="147"/>
      <c r="BQ1100" s="147"/>
      <c r="BR1100" s="147"/>
      <c r="BS1100" s="147"/>
      <c r="BT1100" s="147"/>
      <c r="BU1100" s="147"/>
      <c r="BV1100" s="147"/>
      <c r="BW1100" s="147"/>
      <c r="BX1100" s="147"/>
      <c r="BY1100" s="147"/>
      <c r="BZ1100" s="147"/>
      <c r="CA1100" s="147"/>
      <c r="CB1100" s="147"/>
      <c r="CC1100" s="147"/>
      <c r="CD1100" s="147"/>
      <c r="CE1100" s="147"/>
      <c r="CF1100" s="147"/>
      <c r="CG1100" s="147"/>
      <c r="CH1100" s="147"/>
      <c r="CI1100" s="147"/>
      <c r="CJ1100" s="147"/>
      <c r="CK1100" s="147"/>
    </row>
    <row r="1101" spans="1:89">
      <c r="A1101" s="157"/>
      <c r="F1101" s="3"/>
      <c r="G1101" s="3"/>
      <c r="L1101" s="157"/>
      <c r="M1101" s="157"/>
      <c r="O1101" s="147"/>
      <c r="P1101" s="147"/>
      <c r="Q1101" s="147"/>
      <c r="R1101" s="147"/>
      <c r="S1101" s="147"/>
      <c r="T1101" s="147"/>
      <c r="U1101" s="147"/>
      <c r="V1101" s="147"/>
      <c r="W1101" s="147"/>
      <c r="X1101" s="147"/>
      <c r="Y1101" s="147"/>
      <c r="Z1101" s="147"/>
      <c r="AA1101" s="147"/>
      <c r="AB1101" s="147"/>
      <c r="AC1101" s="147"/>
      <c r="AD1101" s="147"/>
      <c r="AE1101" s="147"/>
      <c r="AF1101" s="147"/>
      <c r="AG1101" s="147"/>
      <c r="AH1101" s="147"/>
      <c r="AI1101" s="147"/>
      <c r="AJ1101" s="147"/>
      <c r="AK1101" s="147"/>
      <c r="AL1101" s="147"/>
      <c r="AM1101" s="151"/>
      <c r="AN1101" s="147"/>
      <c r="AO1101" s="147"/>
      <c r="AP1101" s="147"/>
      <c r="AQ1101" s="147"/>
      <c r="AR1101" s="147"/>
      <c r="AS1101" s="147"/>
      <c r="AT1101" s="147"/>
      <c r="AU1101" s="147"/>
      <c r="AV1101" s="147"/>
      <c r="AW1101" s="147"/>
      <c r="AX1101" s="147"/>
      <c r="AY1101" s="147"/>
      <c r="AZ1101" s="147"/>
      <c r="BA1101" s="147"/>
      <c r="BB1101" s="147"/>
      <c r="BC1101" s="147"/>
      <c r="BD1101" s="147"/>
      <c r="BE1101" s="147"/>
      <c r="BF1101" s="147"/>
      <c r="BG1101" s="147"/>
      <c r="BH1101" s="147"/>
      <c r="BI1101" s="147"/>
      <c r="BJ1101" s="147"/>
      <c r="BK1101" s="147"/>
      <c r="BL1101" s="147"/>
      <c r="BM1101" s="147"/>
      <c r="BN1101" s="147"/>
      <c r="BO1101" s="147"/>
      <c r="BP1101" s="147"/>
      <c r="BQ1101" s="147"/>
      <c r="BR1101" s="147"/>
      <c r="BS1101" s="147"/>
      <c r="BT1101" s="147"/>
      <c r="BU1101" s="147"/>
      <c r="BV1101" s="147"/>
      <c r="BW1101" s="147"/>
      <c r="BX1101" s="147"/>
      <c r="BY1101" s="147"/>
      <c r="BZ1101" s="147"/>
      <c r="CA1101" s="147"/>
      <c r="CB1101" s="147"/>
      <c r="CC1101" s="147"/>
      <c r="CD1101" s="147"/>
      <c r="CE1101" s="147"/>
      <c r="CF1101" s="147"/>
      <c r="CG1101" s="147"/>
      <c r="CH1101" s="147"/>
      <c r="CI1101" s="147"/>
      <c r="CJ1101" s="147"/>
      <c r="CK1101" s="147"/>
    </row>
    <row r="1102" spans="1:89">
      <c r="A1102" s="157"/>
      <c r="F1102" s="3"/>
      <c r="G1102" s="3"/>
      <c r="L1102" s="157"/>
      <c r="M1102" s="157"/>
      <c r="O1102" s="147"/>
      <c r="P1102" s="147"/>
      <c r="Q1102" s="147"/>
      <c r="R1102" s="147"/>
      <c r="S1102" s="147"/>
      <c r="T1102" s="147"/>
      <c r="U1102" s="147"/>
      <c r="V1102" s="147"/>
      <c r="W1102" s="147"/>
      <c r="X1102" s="147"/>
      <c r="Y1102" s="147"/>
      <c r="Z1102" s="147"/>
      <c r="AA1102" s="147"/>
      <c r="AB1102" s="147"/>
      <c r="AC1102" s="147"/>
      <c r="AD1102" s="147"/>
      <c r="AE1102" s="147"/>
      <c r="AF1102" s="147"/>
      <c r="AG1102" s="147"/>
      <c r="AH1102" s="147"/>
      <c r="AI1102" s="147"/>
      <c r="AJ1102" s="147"/>
      <c r="AK1102" s="147"/>
      <c r="AL1102" s="147"/>
      <c r="AM1102" s="151"/>
      <c r="AN1102" s="147"/>
      <c r="AO1102" s="147"/>
      <c r="AP1102" s="147"/>
      <c r="AQ1102" s="147"/>
      <c r="AR1102" s="147"/>
      <c r="AS1102" s="147"/>
      <c r="AT1102" s="147"/>
      <c r="AU1102" s="147"/>
      <c r="AV1102" s="147"/>
      <c r="AW1102" s="147"/>
      <c r="AX1102" s="147"/>
      <c r="AY1102" s="147"/>
      <c r="AZ1102" s="147"/>
      <c r="BA1102" s="147"/>
      <c r="BB1102" s="147"/>
      <c r="BC1102" s="147"/>
      <c r="BD1102" s="147"/>
      <c r="BE1102" s="147"/>
      <c r="BF1102" s="147"/>
      <c r="BG1102" s="147"/>
      <c r="BH1102" s="147"/>
      <c r="BI1102" s="147"/>
      <c r="BJ1102" s="147"/>
      <c r="BK1102" s="147"/>
      <c r="BL1102" s="147"/>
      <c r="BM1102" s="147"/>
      <c r="BN1102" s="147"/>
      <c r="BO1102" s="147"/>
      <c r="BP1102" s="147"/>
      <c r="BQ1102" s="147"/>
      <c r="BR1102" s="147"/>
      <c r="BS1102" s="147"/>
      <c r="BT1102" s="147"/>
      <c r="BU1102" s="147"/>
      <c r="BV1102" s="147"/>
      <c r="BW1102" s="147"/>
      <c r="BX1102" s="147"/>
      <c r="BY1102" s="147"/>
      <c r="BZ1102" s="147"/>
      <c r="CA1102" s="147"/>
      <c r="CB1102" s="147"/>
      <c r="CC1102" s="147"/>
      <c r="CD1102" s="147"/>
      <c r="CE1102" s="147"/>
      <c r="CF1102" s="147"/>
      <c r="CG1102" s="147"/>
      <c r="CH1102" s="147"/>
      <c r="CI1102" s="147"/>
      <c r="CJ1102" s="147"/>
      <c r="CK1102" s="147"/>
    </row>
    <row r="1103" spans="1:89">
      <c r="A1103" s="157"/>
      <c r="F1103" s="3"/>
      <c r="G1103" s="3"/>
      <c r="L1103" s="157"/>
      <c r="M1103" s="157"/>
      <c r="O1103" s="147"/>
      <c r="P1103" s="147"/>
      <c r="Q1103" s="147"/>
      <c r="R1103" s="147"/>
      <c r="S1103" s="147"/>
      <c r="T1103" s="147"/>
      <c r="U1103" s="147"/>
      <c r="V1103" s="147"/>
      <c r="W1103" s="147"/>
      <c r="X1103" s="147"/>
      <c r="Y1103" s="147"/>
      <c r="Z1103" s="147"/>
      <c r="AA1103" s="147"/>
      <c r="AB1103" s="147"/>
      <c r="AC1103" s="147"/>
      <c r="AD1103" s="147"/>
      <c r="AE1103" s="147"/>
      <c r="AF1103" s="147"/>
      <c r="AG1103" s="147"/>
      <c r="AH1103" s="147"/>
      <c r="AI1103" s="147"/>
      <c r="AJ1103" s="147"/>
      <c r="AK1103" s="147"/>
      <c r="AL1103" s="147"/>
      <c r="AM1103" s="151"/>
      <c r="AN1103" s="147"/>
      <c r="AO1103" s="147"/>
      <c r="AP1103" s="147"/>
      <c r="AQ1103" s="147"/>
      <c r="AR1103" s="147"/>
      <c r="AS1103" s="147"/>
      <c r="AT1103" s="147"/>
      <c r="AU1103" s="147"/>
      <c r="AV1103" s="147"/>
      <c r="AW1103" s="147"/>
      <c r="AX1103" s="147"/>
      <c r="AY1103" s="147"/>
      <c r="AZ1103" s="147"/>
      <c r="BA1103" s="147"/>
      <c r="BB1103" s="147"/>
      <c r="BC1103" s="147"/>
      <c r="BD1103" s="147"/>
      <c r="BE1103" s="147"/>
      <c r="BF1103" s="147"/>
      <c r="BG1103" s="147"/>
      <c r="BH1103" s="147"/>
      <c r="BI1103" s="147"/>
      <c r="BJ1103" s="147"/>
      <c r="BK1103" s="147"/>
      <c r="BL1103" s="147"/>
      <c r="BM1103" s="147"/>
      <c r="BN1103" s="147"/>
      <c r="BO1103" s="147"/>
      <c r="BP1103" s="147"/>
      <c r="BQ1103" s="147"/>
      <c r="BR1103" s="147"/>
      <c r="BS1103" s="147"/>
      <c r="BT1103" s="147"/>
      <c r="BU1103" s="147"/>
      <c r="BV1103" s="147"/>
      <c r="BW1103" s="147"/>
      <c r="BX1103" s="147"/>
      <c r="BY1103" s="147"/>
      <c r="BZ1103" s="147"/>
      <c r="CA1103" s="147"/>
      <c r="CB1103" s="147"/>
      <c r="CC1103" s="147"/>
      <c r="CD1103" s="147"/>
      <c r="CE1103" s="147"/>
      <c r="CF1103" s="147"/>
      <c r="CG1103" s="147"/>
      <c r="CH1103" s="147"/>
      <c r="CI1103" s="147"/>
      <c r="CJ1103" s="147"/>
      <c r="CK1103" s="147"/>
    </row>
    <row r="1104" spans="1:89">
      <c r="A1104" s="157"/>
      <c r="F1104" s="3"/>
      <c r="G1104" s="3"/>
      <c r="L1104" s="157"/>
      <c r="M1104" s="157"/>
      <c r="O1104" s="147"/>
      <c r="P1104" s="147"/>
      <c r="Q1104" s="147"/>
      <c r="R1104" s="147"/>
      <c r="S1104" s="147"/>
      <c r="T1104" s="147"/>
      <c r="U1104" s="147"/>
      <c r="V1104" s="147"/>
      <c r="W1104" s="147"/>
      <c r="X1104" s="147"/>
      <c r="Y1104" s="147"/>
      <c r="Z1104" s="147"/>
      <c r="AA1104" s="147"/>
      <c r="AB1104" s="147"/>
      <c r="AC1104" s="147"/>
      <c r="AD1104" s="147"/>
      <c r="AE1104" s="147"/>
      <c r="AF1104" s="147"/>
      <c r="AG1104" s="147"/>
      <c r="AH1104" s="147"/>
      <c r="AI1104" s="147"/>
      <c r="AJ1104" s="147"/>
      <c r="AK1104" s="147"/>
      <c r="AL1104" s="147"/>
      <c r="AM1104" s="151"/>
      <c r="AN1104" s="147"/>
      <c r="AO1104" s="147"/>
      <c r="AP1104" s="147"/>
      <c r="AQ1104" s="147"/>
      <c r="AR1104" s="147"/>
      <c r="AS1104" s="147"/>
      <c r="AT1104" s="147"/>
      <c r="AU1104" s="147"/>
      <c r="AV1104" s="147"/>
      <c r="AW1104" s="147"/>
      <c r="AX1104" s="147"/>
      <c r="AY1104" s="147"/>
      <c r="AZ1104" s="147"/>
      <c r="BA1104" s="147"/>
      <c r="BB1104" s="147"/>
      <c r="BC1104" s="147"/>
      <c r="BD1104" s="147"/>
      <c r="BE1104" s="147"/>
      <c r="BF1104" s="147"/>
      <c r="BG1104" s="147"/>
      <c r="BH1104" s="147"/>
      <c r="BI1104" s="147"/>
      <c r="BJ1104" s="147"/>
      <c r="BK1104" s="147"/>
      <c r="BL1104" s="147"/>
      <c r="BM1104" s="147"/>
      <c r="BN1104" s="147"/>
      <c r="BO1104" s="147"/>
      <c r="BP1104" s="147"/>
      <c r="BQ1104" s="147"/>
      <c r="BR1104" s="147"/>
      <c r="BS1104" s="147"/>
      <c r="BT1104" s="147"/>
      <c r="BU1104" s="147"/>
      <c r="BV1104" s="147"/>
      <c r="BW1104" s="147"/>
      <c r="BX1104" s="147"/>
      <c r="BY1104" s="147"/>
      <c r="BZ1104" s="147"/>
      <c r="CA1104" s="147"/>
      <c r="CB1104" s="147"/>
      <c r="CC1104" s="147"/>
      <c r="CD1104" s="147"/>
      <c r="CE1104" s="147"/>
      <c r="CF1104" s="147"/>
      <c r="CG1104" s="147"/>
      <c r="CH1104" s="147"/>
      <c r="CI1104" s="147"/>
      <c r="CJ1104" s="147"/>
      <c r="CK1104" s="147"/>
    </row>
    <row r="1105" spans="1:89">
      <c r="A1105" s="157"/>
      <c r="F1105" s="3"/>
      <c r="G1105" s="3"/>
      <c r="L1105" s="157"/>
      <c r="M1105" s="157"/>
      <c r="O1105" s="147"/>
      <c r="P1105" s="147"/>
      <c r="Q1105" s="147"/>
      <c r="R1105" s="147"/>
      <c r="S1105" s="147"/>
      <c r="T1105" s="147"/>
      <c r="U1105" s="147"/>
      <c r="V1105" s="147"/>
      <c r="W1105" s="147"/>
      <c r="X1105" s="147"/>
      <c r="Y1105" s="147"/>
      <c r="Z1105" s="147"/>
      <c r="AA1105" s="147"/>
      <c r="AB1105" s="147"/>
      <c r="AC1105" s="147"/>
      <c r="AD1105" s="147"/>
      <c r="AE1105" s="147"/>
      <c r="AF1105" s="147"/>
      <c r="AG1105" s="147"/>
      <c r="AH1105" s="147"/>
      <c r="AI1105" s="147"/>
      <c r="AJ1105" s="147"/>
      <c r="AK1105" s="147"/>
      <c r="AL1105" s="147"/>
      <c r="AM1105" s="151"/>
      <c r="AN1105" s="147"/>
      <c r="AO1105" s="147"/>
      <c r="AP1105" s="147"/>
      <c r="AQ1105" s="147"/>
      <c r="AR1105" s="147"/>
      <c r="AS1105" s="147"/>
      <c r="AT1105" s="147"/>
      <c r="AU1105" s="147"/>
      <c r="AV1105" s="147"/>
      <c r="AW1105" s="147"/>
      <c r="AX1105" s="147"/>
      <c r="AY1105" s="147"/>
      <c r="AZ1105" s="147"/>
      <c r="BA1105" s="147"/>
      <c r="BB1105" s="147"/>
      <c r="BC1105" s="147"/>
      <c r="BD1105" s="147"/>
      <c r="BE1105" s="147"/>
      <c r="BF1105" s="147"/>
      <c r="BG1105" s="147"/>
      <c r="BH1105" s="147"/>
      <c r="BI1105" s="147"/>
      <c r="BJ1105" s="147"/>
      <c r="BK1105" s="147"/>
      <c r="BL1105" s="147"/>
      <c r="BM1105" s="147"/>
      <c r="BN1105" s="147"/>
      <c r="BO1105" s="147"/>
      <c r="BP1105" s="147"/>
      <c r="BQ1105" s="147"/>
      <c r="BR1105" s="147"/>
      <c r="BS1105" s="147"/>
      <c r="BT1105" s="147"/>
      <c r="BU1105" s="147"/>
      <c r="BV1105" s="147"/>
      <c r="BW1105" s="147"/>
      <c r="BX1105" s="147"/>
      <c r="BY1105" s="147"/>
      <c r="BZ1105" s="147"/>
      <c r="CA1105" s="147"/>
      <c r="CB1105" s="147"/>
      <c r="CC1105" s="147"/>
      <c r="CD1105" s="147"/>
      <c r="CE1105" s="147"/>
      <c r="CF1105" s="147"/>
      <c r="CG1105" s="147"/>
      <c r="CH1105" s="147"/>
      <c r="CI1105" s="147"/>
      <c r="CJ1105" s="147"/>
      <c r="CK1105" s="147"/>
    </row>
    <row r="1106" spans="1:89">
      <c r="A1106" s="157"/>
      <c r="F1106" s="3"/>
      <c r="G1106" s="3"/>
      <c r="L1106" s="157"/>
      <c r="M1106" s="157"/>
      <c r="O1106" s="147"/>
      <c r="P1106" s="147"/>
      <c r="Q1106" s="147"/>
      <c r="R1106" s="147"/>
      <c r="S1106" s="147"/>
      <c r="T1106" s="147"/>
      <c r="U1106" s="147"/>
      <c r="V1106" s="147"/>
      <c r="W1106" s="147"/>
      <c r="X1106" s="147"/>
      <c r="Y1106" s="147"/>
      <c r="Z1106" s="147"/>
      <c r="AA1106" s="147"/>
      <c r="AB1106" s="147"/>
      <c r="AC1106" s="147"/>
      <c r="AD1106" s="147"/>
      <c r="AE1106" s="147"/>
      <c r="AF1106" s="147"/>
      <c r="AG1106" s="147"/>
      <c r="AH1106" s="147"/>
      <c r="AI1106" s="147"/>
      <c r="AJ1106" s="147"/>
      <c r="AK1106" s="147"/>
      <c r="AL1106" s="147"/>
      <c r="AM1106" s="151"/>
      <c r="AN1106" s="147"/>
      <c r="AO1106" s="147"/>
      <c r="AP1106" s="147"/>
      <c r="AQ1106" s="147"/>
      <c r="AR1106" s="147"/>
      <c r="AS1106" s="147"/>
      <c r="AT1106" s="147"/>
      <c r="AU1106" s="147"/>
      <c r="AV1106" s="147"/>
      <c r="AW1106" s="147"/>
      <c r="AX1106" s="147"/>
      <c r="AY1106" s="147"/>
      <c r="AZ1106" s="147"/>
      <c r="BA1106" s="147"/>
      <c r="BB1106" s="147"/>
      <c r="BC1106" s="147"/>
      <c r="BD1106" s="147"/>
      <c r="BE1106" s="147"/>
      <c r="BF1106" s="147"/>
      <c r="BG1106" s="147"/>
      <c r="BH1106" s="147"/>
      <c r="BI1106" s="147"/>
      <c r="BJ1106" s="147"/>
      <c r="BK1106" s="147"/>
      <c r="BL1106" s="147"/>
      <c r="BM1106" s="147"/>
      <c r="BN1106" s="147"/>
      <c r="BO1106" s="147"/>
      <c r="BP1106" s="147"/>
      <c r="BQ1106" s="147"/>
      <c r="BR1106" s="147"/>
      <c r="BS1106" s="147"/>
      <c r="BT1106" s="147"/>
      <c r="BU1106" s="147"/>
      <c r="BV1106" s="147"/>
      <c r="BW1106" s="147"/>
      <c r="BX1106" s="147"/>
      <c r="BY1106" s="147"/>
      <c r="BZ1106" s="147"/>
      <c r="CA1106" s="147"/>
      <c r="CB1106" s="147"/>
      <c r="CC1106" s="147"/>
      <c r="CD1106" s="147"/>
      <c r="CE1106" s="147"/>
      <c r="CF1106" s="147"/>
      <c r="CG1106" s="147"/>
      <c r="CH1106" s="147"/>
      <c r="CI1106" s="147"/>
      <c r="CJ1106" s="147"/>
      <c r="CK1106" s="147"/>
    </row>
    <row r="1107" spans="1:89">
      <c r="A1107" s="157"/>
      <c r="F1107" s="3"/>
      <c r="G1107" s="3"/>
      <c r="L1107" s="157"/>
      <c r="M1107" s="157"/>
      <c r="O1107" s="147"/>
      <c r="P1107" s="147"/>
      <c r="Q1107" s="147"/>
      <c r="R1107" s="147"/>
      <c r="S1107" s="147"/>
      <c r="T1107" s="147"/>
      <c r="U1107" s="147"/>
      <c r="V1107" s="147"/>
      <c r="W1107" s="147"/>
      <c r="X1107" s="147"/>
      <c r="Y1107" s="147"/>
      <c r="Z1107" s="147"/>
      <c r="AA1107" s="147"/>
      <c r="AB1107" s="147"/>
      <c r="AC1107" s="147"/>
      <c r="AD1107" s="147"/>
      <c r="AE1107" s="147"/>
      <c r="AF1107" s="147"/>
      <c r="AG1107" s="147"/>
      <c r="AH1107" s="147"/>
      <c r="AI1107" s="147"/>
      <c r="AJ1107" s="147"/>
      <c r="AK1107" s="147"/>
      <c r="AL1107" s="147"/>
      <c r="AM1107" s="151"/>
      <c r="AN1107" s="147"/>
      <c r="AO1107" s="147"/>
      <c r="AP1107" s="147"/>
      <c r="AQ1107" s="147"/>
      <c r="AR1107" s="147"/>
      <c r="AS1107" s="147"/>
      <c r="AT1107" s="147"/>
      <c r="AU1107" s="147"/>
      <c r="AV1107" s="147"/>
      <c r="AW1107" s="147"/>
      <c r="AX1107" s="147"/>
      <c r="AY1107" s="147"/>
      <c r="AZ1107" s="147"/>
      <c r="BA1107" s="147"/>
      <c r="BB1107" s="147"/>
      <c r="BC1107" s="147"/>
      <c r="BD1107" s="147"/>
      <c r="BE1107" s="147"/>
      <c r="BF1107" s="147"/>
      <c r="BG1107" s="147"/>
      <c r="BH1107" s="147"/>
      <c r="BI1107" s="147"/>
      <c r="BJ1107" s="147"/>
      <c r="BK1107" s="147"/>
      <c r="BL1107" s="147"/>
      <c r="BM1107" s="147"/>
      <c r="BN1107" s="147"/>
      <c r="BO1107" s="147"/>
      <c r="BP1107" s="147"/>
      <c r="BQ1107" s="147"/>
      <c r="BR1107" s="147"/>
      <c r="BS1107" s="147"/>
      <c r="BT1107" s="147"/>
      <c r="BU1107" s="147"/>
      <c r="BV1107" s="147"/>
      <c r="BW1107" s="147"/>
      <c r="BX1107" s="147"/>
      <c r="BY1107" s="147"/>
      <c r="BZ1107" s="147"/>
      <c r="CA1107" s="147"/>
      <c r="CB1107" s="147"/>
      <c r="CC1107" s="147"/>
      <c r="CD1107" s="147"/>
      <c r="CE1107" s="147"/>
      <c r="CF1107" s="147"/>
      <c r="CG1107" s="147"/>
      <c r="CH1107" s="147"/>
      <c r="CI1107" s="147"/>
      <c r="CJ1107" s="147"/>
      <c r="CK1107" s="147"/>
    </row>
    <row r="1108" spans="1:89">
      <c r="A1108" s="157"/>
      <c r="F1108" s="3"/>
      <c r="G1108" s="3"/>
      <c r="L1108" s="157"/>
      <c r="M1108" s="157"/>
      <c r="O1108" s="147"/>
      <c r="P1108" s="147"/>
      <c r="Q1108" s="147"/>
      <c r="R1108" s="147"/>
      <c r="S1108" s="147"/>
      <c r="T1108" s="147"/>
      <c r="U1108" s="147"/>
      <c r="V1108" s="147"/>
      <c r="W1108" s="147"/>
      <c r="X1108" s="147"/>
      <c r="Y1108" s="147"/>
      <c r="Z1108" s="147"/>
      <c r="AA1108" s="147"/>
      <c r="AB1108" s="147"/>
      <c r="AC1108" s="147"/>
      <c r="AD1108" s="147"/>
      <c r="AE1108" s="147"/>
      <c r="AF1108" s="147"/>
      <c r="AG1108" s="147"/>
      <c r="AH1108" s="147"/>
      <c r="AI1108" s="147"/>
      <c r="AJ1108" s="147"/>
      <c r="AK1108" s="147"/>
      <c r="AL1108" s="147"/>
      <c r="AM1108" s="151"/>
      <c r="AN1108" s="147"/>
      <c r="AO1108" s="147"/>
      <c r="AP1108" s="147"/>
      <c r="AQ1108" s="147"/>
      <c r="AR1108" s="147"/>
      <c r="AS1108" s="147"/>
      <c r="AT1108" s="147"/>
      <c r="AU1108" s="147"/>
      <c r="AV1108" s="147"/>
      <c r="AW1108" s="147"/>
      <c r="AX1108" s="147"/>
      <c r="AY1108" s="147"/>
      <c r="AZ1108" s="147"/>
      <c r="BA1108" s="147"/>
      <c r="BB1108" s="147"/>
      <c r="BC1108" s="147"/>
      <c r="BD1108" s="147"/>
      <c r="BE1108" s="147"/>
      <c r="BF1108" s="147"/>
      <c r="BG1108" s="147"/>
      <c r="BH1108" s="147"/>
      <c r="BI1108" s="147"/>
      <c r="BJ1108" s="147"/>
      <c r="BK1108" s="147"/>
      <c r="BL1108" s="147"/>
      <c r="BM1108" s="147"/>
      <c r="BN1108" s="147"/>
      <c r="BO1108" s="147"/>
      <c r="BP1108" s="147"/>
      <c r="BQ1108" s="147"/>
      <c r="BR1108" s="147"/>
      <c r="BS1108" s="147"/>
      <c r="BT1108" s="147"/>
      <c r="BU1108" s="147"/>
      <c r="BV1108" s="147"/>
      <c r="BW1108" s="147"/>
      <c r="BX1108" s="147"/>
      <c r="BY1108" s="147"/>
      <c r="BZ1108" s="147"/>
      <c r="CA1108" s="147"/>
      <c r="CB1108" s="147"/>
      <c r="CC1108" s="147"/>
      <c r="CD1108" s="147"/>
      <c r="CE1108" s="147"/>
      <c r="CF1108" s="147"/>
      <c r="CG1108" s="147"/>
      <c r="CH1108" s="147"/>
      <c r="CI1108" s="147"/>
      <c r="CJ1108" s="147"/>
      <c r="CK1108" s="147"/>
    </row>
    <row r="1109" spans="1:89">
      <c r="A1109" s="157"/>
      <c r="F1109" s="3"/>
      <c r="G1109" s="3"/>
      <c r="L1109" s="157"/>
      <c r="M1109" s="157"/>
      <c r="O1109" s="147"/>
      <c r="P1109" s="147"/>
      <c r="Q1109" s="147"/>
      <c r="R1109" s="147"/>
      <c r="S1109" s="147"/>
      <c r="T1109" s="147"/>
      <c r="U1109" s="147"/>
      <c r="V1109" s="147"/>
      <c r="W1109" s="147"/>
      <c r="X1109" s="147"/>
      <c r="Y1109" s="147"/>
      <c r="Z1109" s="147"/>
      <c r="AA1109" s="147"/>
      <c r="AB1109" s="147"/>
      <c r="AC1109" s="147"/>
      <c r="AD1109" s="147"/>
      <c r="AE1109" s="147"/>
      <c r="AF1109" s="147"/>
      <c r="AG1109" s="147"/>
      <c r="AH1109" s="147"/>
      <c r="AI1109" s="147"/>
      <c r="AJ1109" s="147"/>
      <c r="AK1109" s="147"/>
      <c r="AL1109" s="147"/>
      <c r="AM1109" s="151"/>
      <c r="AN1109" s="147"/>
      <c r="AO1109" s="147"/>
      <c r="AP1109" s="147"/>
      <c r="AQ1109" s="147"/>
      <c r="AR1109" s="147"/>
      <c r="AS1109" s="147"/>
      <c r="AT1109" s="147"/>
      <c r="AU1109" s="147"/>
      <c r="AV1109" s="147"/>
      <c r="AW1109" s="147"/>
      <c r="AX1109" s="147"/>
      <c r="AY1109" s="147"/>
      <c r="AZ1109" s="147"/>
      <c r="BA1109" s="147"/>
      <c r="BB1109" s="147"/>
      <c r="BC1109" s="147"/>
      <c r="BD1109" s="147"/>
      <c r="BE1109" s="147"/>
      <c r="BF1109" s="147"/>
      <c r="BG1109" s="147"/>
      <c r="BH1109" s="147"/>
      <c r="BI1109" s="147"/>
      <c r="BJ1109" s="147"/>
      <c r="BK1109" s="147"/>
      <c r="BL1109" s="147"/>
      <c r="BM1109" s="147"/>
      <c r="BN1109" s="147"/>
      <c r="BO1109" s="147"/>
      <c r="BP1109" s="147"/>
      <c r="BQ1109" s="147"/>
      <c r="BR1109" s="147"/>
      <c r="BS1109" s="147"/>
      <c r="BT1109" s="147"/>
      <c r="BU1109" s="147"/>
      <c r="BV1109" s="147"/>
      <c r="BW1109" s="147"/>
      <c r="BX1109" s="147"/>
      <c r="BY1109" s="147"/>
      <c r="BZ1109" s="147"/>
      <c r="CA1109" s="147"/>
      <c r="CB1109" s="147"/>
      <c r="CC1109" s="147"/>
      <c r="CD1109" s="147"/>
      <c r="CE1109" s="147"/>
      <c r="CF1109" s="147"/>
      <c r="CG1109" s="147"/>
      <c r="CH1109" s="147"/>
      <c r="CI1109" s="147"/>
      <c r="CJ1109" s="147"/>
      <c r="CK1109" s="147"/>
    </row>
    <row r="1110" spans="1:89">
      <c r="A1110" s="157"/>
      <c r="F1110" s="3"/>
      <c r="G1110" s="3"/>
      <c r="L1110" s="157"/>
      <c r="M1110" s="157"/>
      <c r="O1110" s="147"/>
      <c r="P1110" s="147"/>
      <c r="Q1110" s="147"/>
      <c r="R1110" s="147"/>
      <c r="S1110" s="147"/>
      <c r="T1110" s="147"/>
      <c r="U1110" s="147"/>
      <c r="V1110" s="147"/>
      <c r="W1110" s="147"/>
      <c r="X1110" s="147"/>
      <c r="Y1110" s="147"/>
      <c r="Z1110" s="147"/>
      <c r="AA1110" s="147"/>
      <c r="AB1110" s="147"/>
      <c r="AC1110" s="147"/>
      <c r="AD1110" s="147"/>
      <c r="AE1110" s="147"/>
      <c r="AF1110" s="147"/>
      <c r="AG1110" s="147"/>
      <c r="AH1110" s="147"/>
      <c r="AI1110" s="147"/>
      <c r="AJ1110" s="147"/>
      <c r="AK1110" s="147"/>
      <c r="AL1110" s="147"/>
      <c r="AM1110" s="151"/>
      <c r="AN1110" s="147"/>
      <c r="AO1110" s="147"/>
      <c r="AP1110" s="147"/>
      <c r="AQ1110" s="147"/>
      <c r="AR1110" s="147"/>
      <c r="AS1110" s="147"/>
      <c r="AT1110" s="147"/>
      <c r="AU1110" s="147"/>
      <c r="AV1110" s="147"/>
      <c r="AW1110" s="147"/>
      <c r="AX1110" s="147"/>
      <c r="AY1110" s="147"/>
      <c r="AZ1110" s="147"/>
      <c r="BA1110" s="147"/>
      <c r="BB1110" s="147"/>
      <c r="BC1110" s="147"/>
      <c r="BD1110" s="147"/>
      <c r="BE1110" s="147"/>
      <c r="BF1110" s="147"/>
      <c r="BG1110" s="147"/>
      <c r="BH1110" s="147"/>
      <c r="BI1110" s="147"/>
      <c r="BJ1110" s="147"/>
      <c r="BK1110" s="147"/>
      <c r="BL1110" s="147"/>
      <c r="BM1110" s="147"/>
      <c r="BN1110" s="147"/>
      <c r="BO1110" s="147"/>
      <c r="BP1110" s="147"/>
      <c r="BQ1110" s="147"/>
      <c r="BR1110" s="147"/>
      <c r="BS1110" s="147"/>
      <c r="BT1110" s="147"/>
      <c r="BU1110" s="147"/>
      <c r="BV1110" s="147"/>
      <c r="BW1110" s="147"/>
      <c r="BX1110" s="147"/>
      <c r="BY1110" s="147"/>
      <c r="BZ1110" s="147"/>
      <c r="CA1110" s="147"/>
      <c r="CB1110" s="147"/>
      <c r="CC1110" s="147"/>
      <c r="CD1110" s="147"/>
      <c r="CE1110" s="147"/>
      <c r="CF1110" s="147"/>
      <c r="CG1110" s="147"/>
      <c r="CH1110" s="147"/>
      <c r="CI1110" s="147"/>
      <c r="CJ1110" s="147"/>
      <c r="CK1110" s="147"/>
    </row>
    <row r="1111" spans="1:89">
      <c r="A1111" s="157"/>
      <c r="F1111" s="3"/>
      <c r="G1111" s="3"/>
      <c r="L1111" s="157"/>
      <c r="M1111" s="157"/>
      <c r="O1111" s="147"/>
      <c r="P1111" s="147"/>
      <c r="Q1111" s="147"/>
      <c r="R1111" s="147"/>
      <c r="S1111" s="147"/>
      <c r="T1111" s="147"/>
      <c r="U1111" s="147"/>
      <c r="V1111" s="147"/>
      <c r="W1111" s="147"/>
      <c r="X1111" s="147"/>
      <c r="Y1111" s="147"/>
      <c r="Z1111" s="147"/>
      <c r="AA1111" s="147"/>
      <c r="AB1111" s="147"/>
      <c r="AC1111" s="147"/>
      <c r="AD1111" s="147"/>
      <c r="AE1111" s="147"/>
      <c r="AF1111" s="147"/>
      <c r="AG1111" s="147"/>
      <c r="AH1111" s="147"/>
      <c r="AI1111" s="147"/>
      <c r="AJ1111" s="147"/>
      <c r="AK1111" s="147"/>
      <c r="AL1111" s="147"/>
      <c r="AM1111" s="151"/>
      <c r="AN1111" s="147"/>
      <c r="AO1111" s="147"/>
      <c r="AP1111" s="147"/>
      <c r="AQ1111" s="147"/>
      <c r="AR1111" s="147"/>
      <c r="AS1111" s="147"/>
      <c r="AT1111" s="147"/>
      <c r="AU1111" s="147"/>
      <c r="AV1111" s="147"/>
      <c r="AW1111" s="147"/>
      <c r="AX1111" s="147"/>
      <c r="AY1111" s="147"/>
      <c r="AZ1111" s="147"/>
      <c r="BA1111" s="147"/>
      <c r="BB1111" s="147"/>
      <c r="BC1111" s="147"/>
      <c r="BD1111" s="147"/>
      <c r="BE1111" s="147"/>
      <c r="BF1111" s="147"/>
      <c r="BG1111" s="147"/>
      <c r="BH1111" s="147"/>
      <c r="BI1111" s="147"/>
      <c r="BJ1111" s="147"/>
      <c r="BK1111" s="147"/>
      <c r="BL1111" s="147"/>
      <c r="BM1111" s="147"/>
      <c r="BN1111" s="147"/>
      <c r="BO1111" s="147"/>
      <c r="BP1111" s="147"/>
      <c r="BQ1111" s="147"/>
      <c r="BR1111" s="147"/>
      <c r="BS1111" s="147"/>
      <c r="BT1111" s="147"/>
      <c r="BU1111" s="147"/>
      <c r="BV1111" s="147"/>
      <c r="BW1111" s="147"/>
      <c r="BX1111" s="147"/>
      <c r="BY1111" s="147"/>
      <c r="BZ1111" s="147"/>
      <c r="CA1111" s="147"/>
      <c r="CB1111" s="147"/>
      <c r="CC1111" s="147"/>
      <c r="CD1111" s="147"/>
      <c r="CE1111" s="147"/>
      <c r="CF1111" s="147"/>
      <c r="CG1111" s="147"/>
      <c r="CH1111" s="147"/>
      <c r="CI1111" s="147"/>
      <c r="CJ1111" s="147"/>
      <c r="CK1111" s="147"/>
    </row>
    <row r="1112" spans="1:89">
      <c r="A1112" s="157"/>
      <c r="F1112" s="3"/>
      <c r="G1112" s="3"/>
      <c r="L1112" s="157"/>
      <c r="M1112" s="157"/>
      <c r="O1112" s="147"/>
      <c r="P1112" s="147"/>
      <c r="Q1112" s="147"/>
      <c r="R1112" s="147"/>
      <c r="S1112" s="147"/>
      <c r="T1112" s="147"/>
      <c r="U1112" s="147"/>
      <c r="V1112" s="147"/>
      <c r="W1112" s="147"/>
      <c r="X1112" s="147"/>
      <c r="Y1112" s="147"/>
      <c r="Z1112" s="147"/>
      <c r="AA1112" s="147"/>
      <c r="AB1112" s="147"/>
      <c r="AC1112" s="147"/>
      <c r="AD1112" s="147"/>
      <c r="AE1112" s="147"/>
      <c r="AF1112" s="147"/>
      <c r="AG1112" s="147"/>
      <c r="AH1112" s="147"/>
      <c r="AI1112" s="147"/>
      <c r="AJ1112" s="147"/>
      <c r="AK1112" s="147"/>
      <c r="AL1112" s="147"/>
      <c r="AM1112" s="151"/>
      <c r="AN1112" s="147"/>
      <c r="AO1112" s="147"/>
      <c r="AP1112" s="147"/>
      <c r="AQ1112" s="147"/>
      <c r="AR1112" s="147"/>
      <c r="AS1112" s="147"/>
      <c r="AT1112" s="147"/>
      <c r="AU1112" s="147"/>
      <c r="AV1112" s="147"/>
      <c r="AW1112" s="147"/>
      <c r="AX1112" s="147"/>
      <c r="AY1112" s="147"/>
      <c r="AZ1112" s="147"/>
      <c r="BA1112" s="147"/>
      <c r="BB1112" s="147"/>
      <c r="BC1112" s="147"/>
      <c r="BD1112" s="147"/>
      <c r="BE1112" s="147"/>
      <c r="BF1112" s="147"/>
      <c r="BG1112" s="147"/>
      <c r="BH1112" s="147"/>
      <c r="BI1112" s="147"/>
      <c r="BJ1112" s="147"/>
      <c r="BK1112" s="147"/>
      <c r="BL1112" s="147"/>
      <c r="BM1112" s="147"/>
      <c r="BN1112" s="147"/>
      <c r="BO1112" s="147"/>
      <c r="BP1112" s="147"/>
      <c r="BQ1112" s="147"/>
      <c r="BR1112" s="147"/>
      <c r="BS1112" s="147"/>
      <c r="BT1112" s="147"/>
      <c r="BU1112" s="147"/>
      <c r="BV1112" s="147"/>
      <c r="BW1112" s="147"/>
      <c r="BX1112" s="147"/>
      <c r="BY1112" s="147"/>
      <c r="BZ1112" s="147"/>
      <c r="CA1112" s="147"/>
      <c r="CB1112" s="147"/>
      <c r="CC1112" s="147"/>
      <c r="CD1112" s="147"/>
      <c r="CE1112" s="147"/>
      <c r="CF1112" s="147"/>
      <c r="CG1112" s="147"/>
      <c r="CH1112" s="147"/>
      <c r="CI1112" s="147"/>
      <c r="CJ1112" s="147"/>
      <c r="CK1112" s="147"/>
    </row>
    <row r="1113" spans="1:89">
      <c r="A1113" s="157"/>
      <c r="F1113" s="3"/>
      <c r="G1113" s="3"/>
      <c r="L1113" s="157"/>
      <c r="M1113" s="157"/>
      <c r="O1113" s="147"/>
      <c r="P1113" s="147"/>
      <c r="Q1113" s="147"/>
      <c r="R1113" s="147"/>
      <c r="S1113" s="147"/>
      <c r="T1113" s="147"/>
      <c r="U1113" s="147"/>
      <c r="V1113" s="147"/>
      <c r="W1113" s="147"/>
      <c r="X1113" s="147"/>
      <c r="Y1113" s="147"/>
      <c r="Z1113" s="147"/>
      <c r="AA1113" s="147"/>
      <c r="AB1113" s="147"/>
      <c r="AC1113" s="147"/>
      <c r="AD1113" s="147"/>
      <c r="AE1113" s="147"/>
      <c r="AF1113" s="147"/>
      <c r="AG1113" s="147"/>
      <c r="AH1113" s="147"/>
      <c r="AI1113" s="147"/>
      <c r="AJ1113" s="147"/>
      <c r="AK1113" s="147"/>
      <c r="AL1113" s="147"/>
      <c r="AM1113" s="151"/>
      <c r="AN1113" s="147"/>
      <c r="AO1113" s="147"/>
      <c r="AP1113" s="147"/>
      <c r="AQ1113" s="147"/>
      <c r="AR1113" s="147"/>
      <c r="AS1113" s="147"/>
      <c r="AT1113" s="147"/>
      <c r="AU1113" s="147"/>
      <c r="AV1113" s="147"/>
      <c r="AW1113" s="147"/>
      <c r="AX1113" s="147"/>
      <c r="AY1113" s="147"/>
      <c r="AZ1113" s="147"/>
      <c r="BA1113" s="147"/>
      <c r="BB1113" s="147"/>
      <c r="BC1113" s="147"/>
      <c r="BD1113" s="147"/>
      <c r="BE1113" s="147"/>
      <c r="BF1113" s="147"/>
      <c r="BG1113" s="147"/>
      <c r="BH1113" s="147"/>
      <c r="BI1113" s="147"/>
      <c r="BJ1113" s="147"/>
      <c r="BK1113" s="147"/>
      <c r="BL1113" s="147"/>
      <c r="BM1113" s="147"/>
      <c r="BN1113" s="147"/>
      <c r="BO1113" s="147"/>
      <c r="BP1113" s="147"/>
      <c r="BQ1113" s="147"/>
      <c r="BR1113" s="147"/>
      <c r="BS1113" s="147"/>
      <c r="BT1113" s="147"/>
      <c r="BU1113" s="147"/>
      <c r="BV1113" s="147"/>
      <c r="BW1113" s="147"/>
      <c r="BX1113" s="147"/>
      <c r="BY1113" s="147"/>
      <c r="BZ1113" s="147"/>
      <c r="CA1113" s="147"/>
      <c r="CB1113" s="147"/>
      <c r="CC1113" s="147"/>
      <c r="CD1113" s="147"/>
      <c r="CE1113" s="147"/>
      <c r="CF1113" s="147"/>
      <c r="CG1113" s="147"/>
      <c r="CH1113" s="147"/>
      <c r="CI1113" s="147"/>
      <c r="CJ1113" s="147"/>
      <c r="CK1113" s="147"/>
    </row>
    <row r="1114" spans="1:89">
      <c r="A1114" s="157"/>
      <c r="F1114" s="3"/>
      <c r="G1114" s="3"/>
      <c r="L1114" s="157"/>
      <c r="M1114" s="157"/>
      <c r="O1114" s="147"/>
      <c r="P1114" s="147"/>
      <c r="Q1114" s="147"/>
      <c r="R1114" s="147"/>
      <c r="S1114" s="147"/>
      <c r="T1114" s="147"/>
      <c r="U1114" s="147"/>
      <c r="V1114" s="147"/>
      <c r="W1114" s="147"/>
      <c r="X1114" s="147"/>
      <c r="Y1114" s="147"/>
      <c r="Z1114" s="147"/>
      <c r="AA1114" s="147"/>
      <c r="AB1114" s="147"/>
      <c r="AC1114" s="147"/>
      <c r="AD1114" s="147"/>
      <c r="AE1114" s="147"/>
      <c r="AF1114" s="147"/>
      <c r="AG1114" s="147"/>
      <c r="AH1114" s="147"/>
      <c r="AI1114" s="147"/>
      <c r="AJ1114" s="147"/>
      <c r="AK1114" s="147"/>
      <c r="AL1114" s="147"/>
      <c r="AM1114" s="151"/>
      <c r="AN1114" s="147"/>
      <c r="AO1114" s="147"/>
      <c r="AP1114" s="147"/>
      <c r="AQ1114" s="147"/>
      <c r="AR1114" s="147"/>
      <c r="AS1114" s="147"/>
      <c r="AT1114" s="147"/>
      <c r="AU1114" s="147"/>
      <c r="AV1114" s="147"/>
      <c r="AW1114" s="147"/>
      <c r="AX1114" s="147"/>
      <c r="AY1114" s="147"/>
      <c r="AZ1114" s="147"/>
      <c r="BA1114" s="147"/>
      <c r="BB1114" s="147"/>
      <c r="BC1114" s="147"/>
      <c r="BD1114" s="147"/>
      <c r="BE1114" s="147"/>
      <c r="BF1114" s="147"/>
      <c r="BG1114" s="147"/>
      <c r="BH1114" s="147"/>
      <c r="BI1114" s="147"/>
      <c r="BJ1114" s="147"/>
      <c r="BK1114" s="147"/>
      <c r="BL1114" s="147"/>
      <c r="BM1114" s="147"/>
      <c r="BN1114" s="147"/>
      <c r="BO1114" s="147"/>
      <c r="BP1114" s="147"/>
      <c r="BQ1114" s="147"/>
      <c r="BR1114" s="147"/>
      <c r="BS1114" s="147"/>
      <c r="BT1114" s="147"/>
      <c r="BU1114" s="147"/>
      <c r="BV1114" s="147"/>
      <c r="BW1114" s="147"/>
      <c r="BX1114" s="147"/>
      <c r="BY1114" s="147"/>
      <c r="BZ1114" s="147"/>
      <c r="CA1114" s="147"/>
      <c r="CB1114" s="147"/>
      <c r="CC1114" s="147"/>
      <c r="CD1114" s="147"/>
      <c r="CE1114" s="147"/>
      <c r="CF1114" s="147"/>
      <c r="CG1114" s="147"/>
      <c r="CH1114" s="147"/>
      <c r="CI1114" s="147"/>
      <c r="CJ1114" s="147"/>
      <c r="CK1114" s="147"/>
    </row>
    <row r="1115" spans="1:89">
      <c r="A1115" s="157"/>
      <c r="F1115" s="3"/>
      <c r="G1115" s="3"/>
      <c r="L1115" s="157"/>
      <c r="M1115" s="157"/>
      <c r="O1115" s="147"/>
      <c r="P1115" s="147"/>
      <c r="Q1115" s="147"/>
      <c r="R1115" s="147"/>
      <c r="S1115" s="147"/>
      <c r="T1115" s="147"/>
      <c r="U1115" s="147"/>
      <c r="V1115" s="147"/>
      <c r="W1115" s="147"/>
      <c r="X1115" s="147"/>
      <c r="Y1115" s="147"/>
      <c r="Z1115" s="147"/>
      <c r="AA1115" s="147"/>
      <c r="AB1115" s="147"/>
      <c r="AC1115" s="147"/>
      <c r="AD1115" s="147"/>
      <c r="AE1115" s="147"/>
      <c r="AF1115" s="147"/>
      <c r="AG1115" s="147"/>
      <c r="AH1115" s="147"/>
      <c r="AI1115" s="147"/>
      <c r="AJ1115" s="147"/>
      <c r="AK1115" s="147"/>
      <c r="AL1115" s="147"/>
      <c r="AM1115" s="151"/>
      <c r="AN1115" s="147"/>
      <c r="AO1115" s="147"/>
      <c r="AP1115" s="147"/>
      <c r="AQ1115" s="147"/>
      <c r="AR1115" s="147"/>
      <c r="AS1115" s="147"/>
      <c r="AT1115" s="147"/>
      <c r="AU1115" s="147"/>
      <c r="AV1115" s="147"/>
      <c r="AW1115" s="147"/>
      <c r="AX1115" s="147"/>
      <c r="AY1115" s="147"/>
      <c r="AZ1115" s="147"/>
      <c r="BA1115" s="147"/>
      <c r="BB1115" s="147"/>
      <c r="BC1115" s="147"/>
      <c r="BD1115" s="147"/>
      <c r="BE1115" s="147"/>
      <c r="BF1115" s="147"/>
      <c r="BG1115" s="147"/>
      <c r="BH1115" s="147"/>
      <c r="BI1115" s="147"/>
      <c r="BJ1115" s="147"/>
      <c r="BK1115" s="147"/>
      <c r="BL1115" s="147"/>
      <c r="BM1115" s="147"/>
      <c r="BN1115" s="147"/>
      <c r="BO1115" s="147"/>
      <c r="BP1115" s="147"/>
      <c r="BQ1115" s="147"/>
      <c r="BR1115" s="147"/>
      <c r="BS1115" s="147"/>
      <c r="BT1115" s="147"/>
      <c r="BU1115" s="147"/>
      <c r="BV1115" s="147"/>
      <c r="BW1115" s="147"/>
      <c r="BX1115" s="147"/>
      <c r="BY1115" s="147"/>
      <c r="BZ1115" s="147"/>
      <c r="CA1115" s="147"/>
      <c r="CB1115" s="147"/>
      <c r="CC1115" s="147"/>
      <c r="CD1115" s="147"/>
      <c r="CE1115" s="147"/>
      <c r="CF1115" s="147"/>
      <c r="CG1115" s="147"/>
      <c r="CH1115" s="147"/>
      <c r="CI1115" s="147"/>
      <c r="CJ1115" s="147"/>
      <c r="CK1115" s="147"/>
    </row>
    <row r="1116" spans="1:89">
      <c r="A1116" s="157"/>
      <c r="F1116" s="3"/>
      <c r="G1116" s="3"/>
      <c r="L1116" s="157"/>
      <c r="M1116" s="157"/>
      <c r="O1116" s="147"/>
      <c r="P1116" s="147"/>
      <c r="Q1116" s="147"/>
      <c r="R1116" s="147"/>
      <c r="S1116" s="147"/>
      <c r="T1116" s="147"/>
      <c r="U1116" s="147"/>
      <c r="V1116" s="147"/>
      <c r="W1116" s="147"/>
      <c r="X1116" s="147"/>
      <c r="Y1116" s="147"/>
      <c r="Z1116" s="147"/>
      <c r="AA1116" s="147"/>
      <c r="AB1116" s="147"/>
      <c r="AC1116" s="147"/>
      <c r="AD1116" s="147"/>
      <c r="AE1116" s="147"/>
      <c r="AF1116" s="147"/>
      <c r="AG1116" s="147"/>
      <c r="AH1116" s="147"/>
      <c r="AI1116" s="147"/>
      <c r="AJ1116" s="147"/>
      <c r="AK1116" s="147"/>
      <c r="AL1116" s="147"/>
      <c r="AM1116" s="151"/>
      <c r="AN1116" s="147"/>
      <c r="AO1116" s="147"/>
      <c r="AP1116" s="147"/>
      <c r="AQ1116" s="147"/>
      <c r="AR1116" s="147"/>
      <c r="AS1116" s="147"/>
      <c r="AT1116" s="147"/>
      <c r="AU1116" s="147"/>
      <c r="AV1116" s="147"/>
      <c r="AW1116" s="147"/>
      <c r="AX1116" s="147"/>
      <c r="AY1116" s="147"/>
      <c r="AZ1116" s="147"/>
      <c r="BA1116" s="147"/>
      <c r="BB1116" s="147"/>
      <c r="BC1116" s="147"/>
      <c r="BD1116" s="147"/>
      <c r="BE1116" s="147"/>
      <c r="BF1116" s="147"/>
      <c r="BG1116" s="147"/>
      <c r="BH1116" s="147"/>
      <c r="BI1116" s="147"/>
      <c r="BJ1116" s="147"/>
      <c r="BK1116" s="147"/>
      <c r="BL1116" s="147"/>
      <c r="BM1116" s="147"/>
      <c r="BN1116" s="147"/>
      <c r="BO1116" s="147"/>
      <c r="BP1116" s="147"/>
      <c r="BQ1116" s="147"/>
      <c r="BR1116" s="147"/>
      <c r="BS1116" s="147"/>
      <c r="BT1116" s="147"/>
      <c r="BU1116" s="147"/>
      <c r="BV1116" s="147"/>
      <c r="BW1116" s="147"/>
      <c r="BX1116" s="147"/>
      <c r="BY1116" s="147"/>
      <c r="BZ1116" s="147"/>
      <c r="CA1116" s="147"/>
      <c r="CB1116" s="147"/>
      <c r="CC1116" s="147"/>
      <c r="CD1116" s="147"/>
      <c r="CE1116" s="147"/>
      <c r="CF1116" s="147"/>
      <c r="CG1116" s="147"/>
      <c r="CH1116" s="147"/>
      <c r="CI1116" s="147"/>
      <c r="CJ1116" s="147"/>
      <c r="CK1116" s="147"/>
    </row>
    <row r="1117" spans="1:89">
      <c r="A1117" s="157"/>
      <c r="F1117" s="3"/>
      <c r="G1117" s="3"/>
      <c r="L1117" s="157"/>
      <c r="M1117" s="157"/>
      <c r="O1117" s="147"/>
      <c r="P1117" s="147"/>
      <c r="Q1117" s="147"/>
      <c r="R1117" s="147"/>
      <c r="S1117" s="147"/>
      <c r="T1117" s="147"/>
      <c r="U1117" s="147"/>
      <c r="V1117" s="147"/>
      <c r="W1117" s="147"/>
      <c r="X1117" s="147"/>
      <c r="Y1117" s="147"/>
      <c r="Z1117" s="147"/>
      <c r="AA1117" s="147"/>
      <c r="AB1117" s="147"/>
      <c r="AC1117" s="147"/>
      <c r="AD1117" s="147"/>
      <c r="AE1117" s="147"/>
      <c r="AF1117" s="147"/>
      <c r="AG1117" s="147"/>
      <c r="AH1117" s="147"/>
      <c r="AI1117" s="147"/>
      <c r="AJ1117" s="147"/>
      <c r="AK1117" s="147"/>
      <c r="AL1117" s="147"/>
      <c r="AM1117" s="151"/>
      <c r="AN1117" s="147"/>
      <c r="AO1117" s="147"/>
      <c r="AP1117" s="147"/>
      <c r="AQ1117" s="147"/>
      <c r="AR1117" s="147"/>
      <c r="AS1117" s="147"/>
      <c r="AT1117" s="147"/>
      <c r="AU1117" s="147"/>
      <c r="AV1117" s="147"/>
      <c r="AW1117" s="147"/>
      <c r="AX1117" s="147"/>
      <c r="AY1117" s="147"/>
      <c r="AZ1117" s="147"/>
      <c r="BA1117" s="147"/>
      <c r="BB1117" s="147"/>
      <c r="BC1117" s="147"/>
      <c r="BD1117" s="147"/>
      <c r="BE1117" s="147"/>
      <c r="BF1117" s="147"/>
      <c r="BG1117" s="147"/>
      <c r="BH1117" s="147"/>
      <c r="BI1117" s="147"/>
      <c r="BJ1117" s="147"/>
      <c r="BK1117" s="147"/>
      <c r="BL1117" s="147"/>
      <c r="BM1117" s="147"/>
      <c r="BN1117" s="147"/>
      <c r="BO1117" s="147"/>
      <c r="BP1117" s="147"/>
      <c r="BQ1117" s="147"/>
      <c r="BR1117" s="147"/>
      <c r="BS1117" s="147"/>
      <c r="BT1117" s="147"/>
      <c r="BU1117" s="147"/>
      <c r="BV1117" s="147"/>
      <c r="BW1117" s="147"/>
      <c r="BX1117" s="147"/>
      <c r="BY1117" s="147"/>
      <c r="BZ1117" s="147"/>
      <c r="CA1117" s="147"/>
      <c r="CB1117" s="147"/>
      <c r="CC1117" s="147"/>
      <c r="CD1117" s="147"/>
      <c r="CE1117" s="147"/>
      <c r="CF1117" s="147"/>
      <c r="CG1117" s="147"/>
      <c r="CH1117" s="147"/>
      <c r="CI1117" s="147"/>
      <c r="CJ1117" s="147"/>
      <c r="CK1117" s="147"/>
    </row>
    <row r="1118" spans="1:89">
      <c r="A1118" s="157"/>
      <c r="F1118" s="3"/>
      <c r="G1118" s="3"/>
      <c r="L1118" s="157"/>
      <c r="M1118" s="157"/>
      <c r="O1118" s="147"/>
      <c r="P1118" s="147"/>
      <c r="Q1118" s="147"/>
      <c r="R1118" s="147"/>
      <c r="S1118" s="147"/>
      <c r="T1118" s="147"/>
      <c r="U1118" s="147"/>
      <c r="V1118" s="147"/>
      <c r="W1118" s="147"/>
      <c r="X1118" s="147"/>
      <c r="Y1118" s="147"/>
      <c r="Z1118" s="147"/>
      <c r="AA1118" s="147"/>
      <c r="AB1118" s="147"/>
      <c r="AC1118" s="147"/>
      <c r="AD1118" s="147"/>
      <c r="AE1118" s="147"/>
      <c r="AF1118" s="147"/>
      <c r="AG1118" s="147"/>
      <c r="AH1118" s="147"/>
      <c r="AI1118" s="147"/>
      <c r="AJ1118" s="147"/>
      <c r="AK1118" s="147"/>
      <c r="AL1118" s="147"/>
      <c r="AM1118" s="151"/>
      <c r="AN1118" s="147"/>
      <c r="AO1118" s="147"/>
      <c r="AP1118" s="147"/>
      <c r="AQ1118" s="147"/>
      <c r="AR1118" s="147"/>
      <c r="AS1118" s="147"/>
      <c r="AT1118" s="147"/>
      <c r="AU1118" s="147"/>
      <c r="AV1118" s="147"/>
      <c r="AW1118" s="147"/>
      <c r="AX1118" s="147"/>
      <c r="AY1118" s="147"/>
      <c r="AZ1118" s="147"/>
      <c r="BA1118" s="147"/>
      <c r="BB1118" s="147"/>
      <c r="BC1118" s="147"/>
      <c r="BD1118" s="147"/>
      <c r="BE1118" s="147"/>
      <c r="BF1118" s="147"/>
      <c r="BG1118" s="147"/>
      <c r="BH1118" s="147"/>
      <c r="BI1118" s="147"/>
      <c r="BJ1118" s="147"/>
      <c r="BK1118" s="147"/>
      <c r="BL1118" s="147"/>
      <c r="BM1118" s="147"/>
      <c r="BN1118" s="147"/>
      <c r="BO1118" s="147"/>
      <c r="BP1118" s="147"/>
      <c r="BQ1118" s="147"/>
      <c r="BR1118" s="147"/>
      <c r="BS1118" s="147"/>
      <c r="BT1118" s="147"/>
      <c r="BU1118" s="147"/>
      <c r="BV1118" s="147"/>
      <c r="BW1118" s="147"/>
      <c r="BX1118" s="147"/>
      <c r="BY1118" s="147"/>
      <c r="BZ1118" s="147"/>
      <c r="CA1118" s="147"/>
      <c r="CB1118" s="147"/>
      <c r="CC1118" s="147"/>
      <c r="CD1118" s="147"/>
      <c r="CE1118" s="147"/>
      <c r="CF1118" s="147"/>
      <c r="CG1118" s="147"/>
      <c r="CH1118" s="147"/>
      <c r="CI1118" s="147"/>
      <c r="CJ1118" s="147"/>
      <c r="CK1118" s="147"/>
    </row>
    <row r="1119" spans="1:89">
      <c r="A1119" s="157"/>
      <c r="F1119" s="3"/>
      <c r="G1119" s="3"/>
      <c r="L1119" s="157"/>
      <c r="M1119" s="157"/>
      <c r="O1119" s="147"/>
      <c r="P1119" s="147"/>
      <c r="Q1119" s="147"/>
      <c r="R1119" s="147"/>
      <c r="S1119" s="147"/>
      <c r="T1119" s="147"/>
      <c r="U1119" s="147"/>
      <c r="V1119" s="147"/>
      <c r="W1119" s="147"/>
      <c r="X1119" s="147"/>
      <c r="Y1119" s="147"/>
      <c r="Z1119" s="147"/>
      <c r="AA1119" s="147"/>
      <c r="AB1119" s="147"/>
      <c r="AC1119" s="147"/>
      <c r="AD1119" s="147"/>
      <c r="AE1119" s="147"/>
      <c r="AF1119" s="147"/>
      <c r="AG1119" s="147"/>
      <c r="AH1119" s="147"/>
      <c r="AI1119" s="147"/>
      <c r="AJ1119" s="147"/>
      <c r="AK1119" s="147"/>
      <c r="AL1119" s="147"/>
      <c r="AM1119" s="151"/>
      <c r="AN1119" s="147"/>
      <c r="AO1119" s="147"/>
      <c r="AP1119" s="147"/>
      <c r="AQ1119" s="147"/>
      <c r="AR1119" s="147"/>
      <c r="AS1119" s="147"/>
      <c r="AT1119" s="147"/>
      <c r="AU1119" s="147"/>
      <c r="AV1119" s="147"/>
      <c r="AW1119" s="147"/>
      <c r="AX1119" s="147"/>
      <c r="AY1119" s="147"/>
      <c r="AZ1119" s="147"/>
      <c r="BA1119" s="147"/>
      <c r="BB1119" s="147"/>
      <c r="BC1119" s="147"/>
      <c r="BD1119" s="147"/>
      <c r="BE1119" s="147"/>
      <c r="BF1119" s="147"/>
      <c r="BG1119" s="147"/>
      <c r="BH1119" s="147"/>
      <c r="BI1119" s="147"/>
      <c r="BJ1119" s="147"/>
      <c r="BK1119" s="147"/>
      <c r="BL1119" s="147"/>
      <c r="BM1119" s="147"/>
      <c r="BN1119" s="147"/>
      <c r="BO1119" s="147"/>
      <c r="BP1119" s="147"/>
      <c r="BQ1119" s="147"/>
      <c r="BR1119" s="147"/>
      <c r="BS1119" s="147"/>
      <c r="BT1119" s="147"/>
      <c r="BU1119" s="147"/>
      <c r="BV1119" s="147"/>
      <c r="BW1119" s="147"/>
      <c r="BX1119" s="147"/>
      <c r="BY1119" s="147"/>
      <c r="BZ1119" s="147"/>
      <c r="CA1119" s="147"/>
      <c r="CB1119" s="147"/>
      <c r="CC1119" s="147"/>
      <c r="CD1119" s="147"/>
      <c r="CE1119" s="147"/>
      <c r="CF1119" s="147"/>
      <c r="CG1119" s="147"/>
      <c r="CH1119" s="147"/>
      <c r="CI1119" s="147"/>
      <c r="CJ1119" s="147"/>
      <c r="CK1119" s="147"/>
    </row>
    <row r="1120" spans="1:89">
      <c r="A1120" s="157"/>
      <c r="F1120" s="3"/>
      <c r="G1120" s="3"/>
      <c r="L1120" s="157"/>
      <c r="M1120" s="157"/>
      <c r="O1120" s="147"/>
      <c r="P1120" s="147"/>
      <c r="Q1120" s="147"/>
      <c r="R1120" s="147"/>
      <c r="S1120" s="147"/>
      <c r="T1120" s="147"/>
      <c r="U1120" s="147"/>
      <c r="V1120" s="147"/>
      <c r="W1120" s="147"/>
      <c r="X1120" s="147"/>
      <c r="Y1120" s="147"/>
      <c r="Z1120" s="147"/>
      <c r="AA1120" s="147"/>
      <c r="AB1120" s="147"/>
      <c r="AC1120" s="147"/>
      <c r="AD1120" s="147"/>
      <c r="AE1120" s="147"/>
      <c r="AF1120" s="147"/>
      <c r="AG1120" s="147"/>
      <c r="AH1120" s="147"/>
      <c r="AI1120" s="147"/>
      <c r="AJ1120" s="147"/>
      <c r="AK1120" s="147"/>
      <c r="AL1120" s="147"/>
      <c r="AM1120" s="151"/>
      <c r="AN1120" s="147"/>
      <c r="AO1120" s="147"/>
      <c r="AP1120" s="147"/>
      <c r="AQ1120" s="147"/>
      <c r="AR1120" s="147"/>
      <c r="AS1120" s="147"/>
      <c r="AT1120" s="147"/>
      <c r="AU1120" s="147"/>
      <c r="AV1120" s="147"/>
      <c r="AW1120" s="147"/>
      <c r="AX1120" s="147"/>
      <c r="AY1120" s="147"/>
      <c r="AZ1120" s="147"/>
      <c r="BA1120" s="147"/>
      <c r="BB1120" s="147"/>
      <c r="BC1120" s="147"/>
      <c r="BD1120" s="147"/>
      <c r="BE1120" s="147"/>
      <c r="BF1120" s="147"/>
      <c r="BG1120" s="147"/>
      <c r="BH1120" s="147"/>
      <c r="BI1120" s="147"/>
      <c r="BJ1120" s="147"/>
      <c r="BK1120" s="147"/>
      <c r="BL1120" s="147"/>
      <c r="BM1120" s="147"/>
      <c r="BN1120" s="147"/>
      <c r="BO1120" s="147"/>
      <c r="BP1120" s="147"/>
      <c r="BQ1120" s="147"/>
      <c r="BR1120" s="147"/>
      <c r="BS1120" s="147"/>
      <c r="BT1120" s="147"/>
      <c r="BU1120" s="147"/>
      <c r="BV1120" s="147"/>
      <c r="BW1120" s="147"/>
      <c r="BX1120" s="147"/>
      <c r="BY1120" s="147"/>
      <c r="BZ1120" s="147"/>
      <c r="CA1120" s="147"/>
      <c r="CB1120" s="147"/>
      <c r="CC1120" s="147"/>
      <c r="CD1120" s="147"/>
      <c r="CE1120" s="147"/>
      <c r="CF1120" s="147"/>
      <c r="CG1120" s="147"/>
      <c r="CH1120" s="147"/>
      <c r="CI1120" s="147"/>
      <c r="CJ1120" s="147"/>
      <c r="CK1120" s="147"/>
    </row>
    <row r="1121" spans="1:89">
      <c r="A1121" s="157"/>
      <c r="F1121" s="3"/>
      <c r="G1121" s="3"/>
      <c r="L1121" s="157"/>
      <c r="M1121" s="157"/>
      <c r="O1121" s="147"/>
      <c r="P1121" s="147"/>
      <c r="Q1121" s="147"/>
      <c r="R1121" s="147"/>
      <c r="S1121" s="147"/>
      <c r="T1121" s="147"/>
      <c r="U1121" s="147"/>
      <c r="V1121" s="147"/>
      <c r="W1121" s="147"/>
      <c r="X1121" s="147"/>
      <c r="Y1121" s="147"/>
      <c r="Z1121" s="147"/>
      <c r="AA1121" s="147"/>
      <c r="AB1121" s="147"/>
      <c r="AC1121" s="147"/>
      <c r="AD1121" s="147"/>
      <c r="AE1121" s="147"/>
      <c r="AF1121" s="147"/>
      <c r="AG1121" s="147"/>
      <c r="AH1121" s="147"/>
      <c r="AI1121" s="147"/>
      <c r="AJ1121" s="147"/>
      <c r="AK1121" s="147"/>
      <c r="AL1121" s="147"/>
      <c r="AM1121" s="151"/>
      <c r="AN1121" s="147"/>
      <c r="AO1121" s="147"/>
      <c r="AP1121" s="147"/>
      <c r="AQ1121" s="147"/>
      <c r="AR1121" s="147"/>
      <c r="AS1121" s="147"/>
      <c r="AT1121" s="147"/>
      <c r="AU1121" s="147"/>
      <c r="AV1121" s="147"/>
      <c r="AW1121" s="147"/>
      <c r="AX1121" s="147"/>
      <c r="AY1121" s="147"/>
      <c r="AZ1121" s="147"/>
      <c r="BA1121" s="147"/>
      <c r="BB1121" s="147"/>
      <c r="BC1121" s="147"/>
      <c r="BD1121" s="147"/>
      <c r="BE1121" s="147"/>
      <c r="BF1121" s="147"/>
      <c r="BG1121" s="147"/>
      <c r="BH1121" s="147"/>
      <c r="BI1121" s="147"/>
      <c r="BJ1121" s="147"/>
      <c r="BK1121" s="147"/>
      <c r="BL1121" s="147"/>
      <c r="BM1121" s="147"/>
      <c r="BN1121" s="147"/>
      <c r="BO1121" s="147"/>
      <c r="BP1121" s="147"/>
      <c r="BQ1121" s="147"/>
      <c r="BR1121" s="147"/>
      <c r="BS1121" s="147"/>
      <c r="BT1121" s="147"/>
      <c r="BU1121" s="147"/>
      <c r="BV1121" s="147"/>
      <c r="BW1121" s="147"/>
      <c r="BX1121" s="147"/>
      <c r="BY1121" s="147"/>
      <c r="BZ1121" s="147"/>
      <c r="CA1121" s="147"/>
      <c r="CB1121" s="147"/>
      <c r="CC1121" s="147"/>
      <c r="CD1121" s="147"/>
      <c r="CE1121" s="147"/>
      <c r="CF1121" s="147"/>
      <c r="CG1121" s="147"/>
      <c r="CH1121" s="147"/>
      <c r="CI1121" s="147"/>
      <c r="CJ1121" s="147"/>
      <c r="CK1121" s="147"/>
    </row>
    <row r="1122" spans="1:89">
      <c r="A1122" s="157"/>
      <c r="F1122" s="3"/>
      <c r="G1122" s="3"/>
      <c r="L1122" s="157"/>
      <c r="M1122" s="157"/>
      <c r="O1122" s="147"/>
      <c r="P1122" s="147"/>
      <c r="Q1122" s="147"/>
      <c r="R1122" s="147"/>
      <c r="S1122" s="147"/>
      <c r="T1122" s="147"/>
      <c r="U1122" s="147"/>
      <c r="V1122" s="147"/>
      <c r="W1122" s="147"/>
      <c r="X1122" s="147"/>
      <c r="Y1122" s="147"/>
      <c r="Z1122" s="147"/>
      <c r="AA1122" s="147"/>
      <c r="AB1122" s="147"/>
      <c r="AC1122" s="147"/>
      <c r="AD1122" s="147"/>
      <c r="AE1122" s="147"/>
      <c r="AF1122" s="147"/>
      <c r="AG1122" s="147"/>
      <c r="AH1122" s="147"/>
      <c r="AI1122" s="147"/>
      <c r="AJ1122" s="147"/>
      <c r="AK1122" s="147"/>
      <c r="AL1122" s="147"/>
      <c r="AM1122" s="151"/>
      <c r="AN1122" s="147"/>
      <c r="AO1122" s="147"/>
      <c r="AP1122" s="147"/>
      <c r="AQ1122" s="147"/>
      <c r="AR1122" s="147"/>
      <c r="AS1122" s="147"/>
      <c r="AT1122" s="147"/>
      <c r="AU1122" s="147"/>
      <c r="AV1122" s="147"/>
      <c r="AW1122" s="147"/>
      <c r="AX1122" s="147"/>
      <c r="AY1122" s="147"/>
      <c r="AZ1122" s="147"/>
      <c r="BA1122" s="147"/>
      <c r="BB1122" s="147"/>
      <c r="BC1122" s="147"/>
      <c r="BD1122" s="147"/>
      <c r="BE1122" s="147"/>
      <c r="BF1122" s="147"/>
      <c r="BG1122" s="147"/>
      <c r="BH1122" s="147"/>
      <c r="BI1122" s="147"/>
      <c r="BJ1122" s="147"/>
      <c r="BK1122" s="147"/>
      <c r="BL1122" s="147"/>
      <c r="BM1122" s="147"/>
      <c r="BN1122" s="147"/>
      <c r="BO1122" s="147"/>
      <c r="BP1122" s="147"/>
      <c r="BQ1122" s="147"/>
      <c r="BR1122" s="147"/>
      <c r="BS1122" s="147"/>
      <c r="BT1122" s="147"/>
      <c r="BU1122" s="147"/>
      <c r="BV1122" s="147"/>
      <c r="BW1122" s="147"/>
      <c r="BX1122" s="147"/>
      <c r="BY1122" s="147"/>
      <c r="BZ1122" s="147"/>
      <c r="CA1122" s="147"/>
      <c r="CB1122" s="147"/>
      <c r="CC1122" s="147"/>
      <c r="CD1122" s="147"/>
      <c r="CE1122" s="147"/>
      <c r="CF1122" s="147"/>
      <c r="CG1122" s="147"/>
      <c r="CH1122" s="147"/>
      <c r="CI1122" s="147"/>
      <c r="CJ1122" s="147"/>
      <c r="CK1122" s="147"/>
    </row>
    <row r="1123" spans="1:89">
      <c r="A1123" s="157"/>
      <c r="F1123" s="3"/>
      <c r="G1123" s="3"/>
      <c r="L1123" s="157"/>
      <c r="M1123" s="157"/>
      <c r="O1123" s="147"/>
      <c r="P1123" s="147"/>
      <c r="Q1123" s="147"/>
      <c r="R1123" s="147"/>
      <c r="S1123" s="147"/>
      <c r="T1123" s="147"/>
      <c r="U1123" s="147"/>
      <c r="V1123" s="147"/>
      <c r="W1123" s="147"/>
      <c r="X1123" s="147"/>
      <c r="Y1123" s="147"/>
      <c r="Z1123" s="147"/>
      <c r="AA1123" s="147"/>
      <c r="AB1123" s="147"/>
      <c r="AC1123" s="147"/>
      <c r="AD1123" s="147"/>
      <c r="AE1123" s="147"/>
      <c r="AF1123" s="147"/>
      <c r="AG1123" s="147"/>
      <c r="AH1123" s="147"/>
      <c r="AI1123" s="147"/>
      <c r="AJ1123" s="147"/>
      <c r="AK1123" s="147"/>
      <c r="AL1123" s="147"/>
      <c r="AM1123" s="151"/>
      <c r="AN1123" s="147"/>
      <c r="AO1123" s="147"/>
      <c r="AP1123" s="147"/>
      <c r="AQ1123" s="147"/>
      <c r="AR1123" s="147"/>
      <c r="AS1123" s="147"/>
      <c r="AT1123" s="147"/>
      <c r="AU1123" s="147"/>
      <c r="AV1123" s="147"/>
      <c r="AW1123" s="147"/>
      <c r="AX1123" s="147"/>
      <c r="AY1123" s="147"/>
      <c r="AZ1123" s="147"/>
      <c r="BA1123" s="147"/>
      <c r="BB1123" s="147"/>
      <c r="BC1123" s="147"/>
      <c r="BD1123" s="147"/>
      <c r="BE1123" s="147"/>
      <c r="BF1123" s="147"/>
      <c r="BG1123" s="147"/>
      <c r="BH1123" s="147"/>
      <c r="BI1123" s="147"/>
      <c r="BJ1123" s="147"/>
      <c r="BK1123" s="147"/>
      <c r="BL1123" s="147"/>
      <c r="BM1123" s="147"/>
      <c r="BN1123" s="147"/>
      <c r="BO1123" s="147"/>
      <c r="BP1123" s="147"/>
      <c r="BQ1123" s="147"/>
      <c r="BR1123" s="147"/>
      <c r="BS1123" s="147"/>
      <c r="BT1123" s="147"/>
      <c r="BU1123" s="147"/>
      <c r="BV1123" s="147"/>
      <c r="BW1123" s="147"/>
      <c r="BX1123" s="147"/>
      <c r="BY1123" s="147"/>
      <c r="BZ1123" s="147"/>
      <c r="CA1123" s="147"/>
      <c r="CB1123" s="147"/>
      <c r="CC1123" s="147"/>
      <c r="CD1123" s="147"/>
      <c r="CE1123" s="147"/>
      <c r="CF1123" s="147"/>
      <c r="CG1123" s="147"/>
      <c r="CH1123" s="147"/>
      <c r="CI1123" s="147"/>
      <c r="CJ1123" s="147"/>
      <c r="CK1123" s="147"/>
    </row>
    <row r="1124" spans="1:89">
      <c r="A1124" s="157"/>
      <c r="F1124" s="3"/>
      <c r="G1124" s="3"/>
      <c r="L1124" s="157"/>
      <c r="M1124" s="157"/>
      <c r="O1124" s="147"/>
      <c r="P1124" s="147"/>
      <c r="Q1124" s="147"/>
      <c r="R1124" s="147"/>
      <c r="S1124" s="147"/>
      <c r="T1124" s="147"/>
      <c r="U1124" s="147"/>
      <c r="V1124" s="147"/>
      <c r="W1124" s="147"/>
      <c r="X1124" s="147"/>
      <c r="Y1124" s="147"/>
      <c r="Z1124" s="147"/>
      <c r="AA1124" s="147"/>
      <c r="AB1124" s="147"/>
      <c r="AC1124" s="147"/>
      <c r="AD1124" s="147"/>
      <c r="AE1124" s="147"/>
      <c r="AF1124" s="147"/>
      <c r="AG1124" s="147"/>
      <c r="AH1124" s="147"/>
      <c r="AI1124" s="147"/>
      <c r="AJ1124" s="147"/>
      <c r="AK1124" s="147"/>
      <c r="AL1124" s="147"/>
      <c r="AM1124" s="151"/>
      <c r="AN1124" s="147"/>
      <c r="AO1124" s="147"/>
      <c r="AP1124" s="147"/>
      <c r="AQ1124" s="147"/>
      <c r="AR1124" s="147"/>
      <c r="AS1124" s="147"/>
      <c r="AT1124" s="147"/>
      <c r="AU1124" s="147"/>
      <c r="AV1124" s="147"/>
      <c r="AW1124" s="147"/>
      <c r="AX1124" s="147"/>
      <c r="AY1124" s="147"/>
      <c r="AZ1124" s="147"/>
      <c r="BA1124" s="147"/>
      <c r="BB1124" s="147"/>
      <c r="BC1124" s="147"/>
      <c r="BD1124" s="147"/>
      <c r="BE1124" s="147"/>
      <c r="BF1124" s="147"/>
      <c r="BG1124" s="147"/>
      <c r="BH1124" s="147"/>
      <c r="BI1124" s="147"/>
      <c r="BJ1124" s="147"/>
      <c r="BK1124" s="147"/>
      <c r="BL1124" s="147"/>
      <c r="BM1124" s="147"/>
      <c r="BN1124" s="147"/>
      <c r="BO1124" s="147"/>
      <c r="BP1124" s="147"/>
      <c r="BQ1124" s="147"/>
      <c r="BR1124" s="147"/>
      <c r="BS1124" s="147"/>
      <c r="BT1124" s="147"/>
      <c r="BU1124" s="147"/>
      <c r="BV1124" s="147"/>
      <c r="BW1124" s="147"/>
      <c r="BX1124" s="147"/>
      <c r="BY1124" s="147"/>
      <c r="BZ1124" s="147"/>
      <c r="CA1124" s="147"/>
      <c r="CB1124" s="147"/>
      <c r="CC1124" s="147"/>
      <c r="CD1124" s="147"/>
      <c r="CE1124" s="147"/>
      <c r="CF1124" s="147"/>
      <c r="CG1124" s="147"/>
      <c r="CH1124" s="147"/>
      <c r="CI1124" s="147"/>
      <c r="CJ1124" s="147"/>
      <c r="CK1124" s="147"/>
    </row>
    <row r="1125" spans="1:89">
      <c r="A1125" s="157"/>
      <c r="F1125" s="3"/>
      <c r="G1125" s="3"/>
      <c r="L1125" s="157"/>
      <c r="M1125" s="157"/>
      <c r="O1125" s="147"/>
      <c r="P1125" s="147"/>
      <c r="Q1125" s="147"/>
      <c r="R1125" s="147"/>
      <c r="S1125" s="147"/>
      <c r="T1125" s="147"/>
      <c r="U1125" s="147"/>
      <c r="V1125" s="147"/>
      <c r="W1125" s="147"/>
      <c r="X1125" s="147"/>
      <c r="Y1125" s="147"/>
      <c r="Z1125" s="147"/>
      <c r="AA1125" s="147"/>
      <c r="AB1125" s="147"/>
      <c r="AC1125" s="147"/>
      <c r="AD1125" s="147"/>
      <c r="AE1125" s="147"/>
      <c r="AF1125" s="147"/>
      <c r="AG1125" s="147"/>
      <c r="AH1125" s="147"/>
      <c r="AI1125" s="147"/>
      <c r="AJ1125" s="147"/>
      <c r="AK1125" s="147"/>
      <c r="AL1125" s="147"/>
      <c r="AM1125" s="151"/>
      <c r="AN1125" s="147"/>
      <c r="AO1125" s="147"/>
      <c r="AP1125" s="147"/>
      <c r="AQ1125" s="147"/>
      <c r="AR1125" s="147"/>
      <c r="AS1125" s="147"/>
      <c r="AT1125" s="147"/>
      <c r="AU1125" s="147"/>
      <c r="AV1125" s="147"/>
      <c r="AW1125" s="147"/>
      <c r="AX1125" s="147"/>
      <c r="AY1125" s="147"/>
      <c r="AZ1125" s="147"/>
      <c r="BA1125" s="147"/>
      <c r="BB1125" s="147"/>
      <c r="BC1125" s="147"/>
      <c r="BD1125" s="147"/>
      <c r="BE1125" s="147"/>
      <c r="BF1125" s="147"/>
      <c r="BG1125" s="147"/>
      <c r="BH1125" s="147"/>
      <c r="BI1125" s="147"/>
      <c r="BJ1125" s="147"/>
      <c r="BK1125" s="147"/>
      <c r="BL1125" s="147"/>
      <c r="BM1125" s="147"/>
      <c r="BN1125" s="147"/>
      <c r="BO1125" s="147"/>
      <c r="BP1125" s="147"/>
      <c r="BQ1125" s="147"/>
      <c r="BR1125" s="147"/>
      <c r="BS1125" s="147"/>
      <c r="BT1125" s="147"/>
      <c r="BU1125" s="147"/>
      <c r="BV1125" s="147"/>
      <c r="BW1125" s="147"/>
      <c r="BX1125" s="147"/>
      <c r="BY1125" s="147"/>
      <c r="BZ1125" s="147"/>
      <c r="CA1125" s="147"/>
      <c r="CB1125" s="147"/>
      <c r="CC1125" s="147"/>
      <c r="CD1125" s="147"/>
      <c r="CE1125" s="147"/>
      <c r="CF1125" s="147"/>
      <c r="CG1125" s="147"/>
      <c r="CH1125" s="147"/>
      <c r="CI1125" s="147"/>
      <c r="CJ1125" s="147"/>
      <c r="CK1125" s="147"/>
    </row>
    <row r="1126" spans="1:89">
      <c r="A1126" s="157"/>
      <c r="F1126" s="3"/>
      <c r="G1126" s="3"/>
      <c r="L1126" s="157"/>
      <c r="M1126" s="157"/>
      <c r="O1126" s="147"/>
      <c r="P1126" s="147"/>
      <c r="Q1126" s="147"/>
      <c r="R1126" s="147"/>
      <c r="S1126" s="147"/>
      <c r="T1126" s="147"/>
      <c r="U1126" s="147"/>
      <c r="V1126" s="147"/>
      <c r="W1126" s="147"/>
      <c r="X1126" s="147"/>
      <c r="Y1126" s="147"/>
      <c r="Z1126" s="147"/>
      <c r="AA1126" s="147"/>
      <c r="AB1126" s="147"/>
      <c r="AC1126" s="147"/>
      <c r="AD1126" s="147"/>
      <c r="AE1126" s="147"/>
      <c r="AF1126" s="147"/>
      <c r="AG1126" s="147"/>
      <c r="AH1126" s="147"/>
      <c r="AI1126" s="147"/>
      <c r="AJ1126" s="147"/>
      <c r="AK1126" s="147"/>
      <c r="AL1126" s="147"/>
      <c r="AM1126" s="151"/>
      <c r="AN1126" s="147"/>
      <c r="AO1126" s="147"/>
      <c r="AP1126" s="147"/>
      <c r="AQ1126" s="147"/>
      <c r="AR1126" s="147"/>
      <c r="AS1126" s="147"/>
      <c r="AT1126" s="147"/>
      <c r="AU1126" s="147"/>
      <c r="AV1126" s="147"/>
      <c r="AW1126" s="147"/>
      <c r="AX1126" s="147"/>
      <c r="AY1126" s="147"/>
      <c r="AZ1126" s="147"/>
      <c r="BA1126" s="147"/>
      <c r="BB1126" s="147"/>
      <c r="BC1126" s="147"/>
      <c r="BD1126" s="147"/>
      <c r="BE1126" s="147"/>
      <c r="BF1126" s="147"/>
      <c r="BG1126" s="147"/>
      <c r="BH1126" s="147"/>
      <c r="BI1126" s="147"/>
      <c r="BJ1126" s="147"/>
      <c r="BK1126" s="147"/>
      <c r="BL1126" s="147"/>
      <c r="BM1126" s="147"/>
      <c r="BN1126" s="147"/>
      <c r="BO1126" s="147"/>
      <c r="BP1126" s="147"/>
      <c r="BQ1126" s="147"/>
      <c r="BR1126" s="147"/>
      <c r="BS1126" s="147"/>
      <c r="BT1126" s="147"/>
      <c r="BU1126" s="147"/>
      <c r="BV1126" s="147"/>
      <c r="BW1126" s="147"/>
      <c r="BX1126" s="147"/>
      <c r="BY1126" s="147"/>
      <c r="BZ1126" s="147"/>
      <c r="CA1126" s="147"/>
      <c r="CB1126" s="147"/>
      <c r="CC1126" s="147"/>
      <c r="CD1126" s="147"/>
      <c r="CE1126" s="147"/>
      <c r="CF1126" s="147"/>
      <c r="CG1126" s="147"/>
      <c r="CH1126" s="147"/>
      <c r="CI1126" s="147"/>
      <c r="CJ1126" s="147"/>
      <c r="CK1126" s="147"/>
    </row>
    <row r="1127" spans="1:89">
      <c r="A1127" s="157"/>
      <c r="F1127" s="3"/>
      <c r="G1127" s="3"/>
      <c r="L1127" s="157"/>
      <c r="M1127" s="157"/>
      <c r="O1127" s="147"/>
      <c r="P1127" s="147"/>
      <c r="Q1127" s="147"/>
      <c r="R1127" s="147"/>
      <c r="S1127" s="147"/>
      <c r="T1127" s="147"/>
      <c r="U1127" s="147"/>
      <c r="V1127" s="147"/>
      <c r="W1127" s="147"/>
      <c r="X1127" s="147"/>
      <c r="Y1127" s="147"/>
      <c r="Z1127" s="147"/>
      <c r="AA1127" s="147"/>
      <c r="AB1127" s="147"/>
      <c r="AC1127" s="147"/>
      <c r="AD1127" s="147"/>
      <c r="AE1127" s="147"/>
      <c r="AF1127" s="147"/>
      <c r="AG1127" s="147"/>
      <c r="AH1127" s="147"/>
      <c r="AI1127" s="147"/>
      <c r="AJ1127" s="147"/>
      <c r="AK1127" s="147"/>
      <c r="AL1127" s="147"/>
      <c r="AM1127" s="151"/>
      <c r="AN1127" s="147"/>
      <c r="AO1127" s="147"/>
      <c r="AP1127" s="147"/>
      <c r="AQ1127" s="147"/>
      <c r="AR1127" s="147"/>
      <c r="AS1127" s="147"/>
      <c r="AT1127" s="147"/>
      <c r="AU1127" s="147"/>
      <c r="AV1127" s="147"/>
      <c r="AW1127" s="147"/>
      <c r="AX1127" s="147"/>
      <c r="AY1127" s="147"/>
      <c r="AZ1127" s="147"/>
      <c r="BA1127" s="147"/>
      <c r="BB1127" s="147"/>
      <c r="BC1127" s="147"/>
      <c r="BD1127" s="147"/>
      <c r="BE1127" s="147"/>
      <c r="BF1127" s="147"/>
      <c r="BG1127" s="147"/>
      <c r="BH1127" s="147"/>
      <c r="BI1127" s="147"/>
      <c r="BJ1127" s="147"/>
      <c r="BK1127" s="147"/>
      <c r="BL1127" s="147"/>
      <c r="BM1127" s="147"/>
      <c r="BN1127" s="147"/>
      <c r="BO1127" s="147"/>
      <c r="BP1127" s="147"/>
      <c r="BQ1127" s="147"/>
      <c r="BR1127" s="147"/>
      <c r="BS1127" s="147"/>
      <c r="BT1127" s="147"/>
      <c r="BU1127" s="147"/>
      <c r="BV1127" s="147"/>
      <c r="BW1127" s="147"/>
      <c r="BX1127" s="147"/>
      <c r="BY1127" s="147"/>
      <c r="BZ1127" s="147"/>
      <c r="CA1127" s="147"/>
      <c r="CB1127" s="147"/>
      <c r="CC1127" s="147"/>
      <c r="CD1127" s="147"/>
      <c r="CE1127" s="147"/>
      <c r="CF1127" s="147"/>
      <c r="CG1127" s="147"/>
      <c r="CH1127" s="147"/>
      <c r="CI1127" s="147"/>
      <c r="CJ1127" s="147"/>
      <c r="CK1127" s="147"/>
    </row>
    <row r="1128" spans="1:89">
      <c r="A1128" s="157"/>
      <c r="F1128" s="3"/>
      <c r="G1128" s="3"/>
      <c r="L1128" s="157"/>
      <c r="M1128" s="157"/>
      <c r="O1128" s="147"/>
      <c r="P1128" s="147"/>
      <c r="Q1128" s="147"/>
      <c r="R1128" s="147"/>
      <c r="S1128" s="147"/>
      <c r="T1128" s="147"/>
      <c r="U1128" s="147"/>
      <c r="V1128" s="147"/>
      <c r="W1128" s="147"/>
      <c r="X1128" s="147"/>
      <c r="Y1128" s="147"/>
      <c r="Z1128" s="147"/>
      <c r="AA1128" s="147"/>
      <c r="AB1128" s="147"/>
      <c r="AC1128" s="147"/>
      <c r="AD1128" s="147"/>
      <c r="AE1128" s="147"/>
      <c r="AF1128" s="147"/>
      <c r="AG1128" s="147"/>
      <c r="AH1128" s="147"/>
      <c r="AI1128" s="147"/>
      <c r="AJ1128" s="147"/>
      <c r="AK1128" s="147"/>
      <c r="AL1128" s="147"/>
      <c r="AM1128" s="151"/>
      <c r="AN1128" s="147"/>
      <c r="AO1128" s="147"/>
      <c r="AP1128" s="147"/>
      <c r="AQ1128" s="147"/>
      <c r="AR1128" s="147"/>
      <c r="AS1128" s="147"/>
      <c r="AT1128" s="147"/>
      <c r="AU1128" s="147"/>
      <c r="AV1128" s="147"/>
      <c r="AW1128" s="147"/>
      <c r="AX1128" s="147"/>
      <c r="AY1128" s="147"/>
      <c r="AZ1128" s="147"/>
      <c r="BA1128" s="147"/>
      <c r="BB1128" s="147"/>
      <c r="BC1128" s="147"/>
      <c r="BD1128" s="147"/>
      <c r="BE1128" s="147"/>
      <c r="BF1128" s="147"/>
      <c r="BG1128" s="147"/>
      <c r="BH1128" s="147"/>
      <c r="BI1128" s="147"/>
      <c r="BJ1128" s="147"/>
      <c r="BK1128" s="147"/>
      <c r="BL1128" s="147"/>
      <c r="BM1128" s="147"/>
      <c r="BN1128" s="147"/>
      <c r="BO1128" s="147"/>
      <c r="BP1128" s="147"/>
      <c r="BQ1128" s="147"/>
      <c r="BR1128" s="147"/>
      <c r="BS1128" s="147"/>
      <c r="BT1128" s="147"/>
      <c r="BU1128" s="147"/>
      <c r="BV1128" s="147"/>
      <c r="BW1128" s="147"/>
      <c r="BX1128" s="147"/>
      <c r="BY1128" s="147"/>
      <c r="BZ1128" s="147"/>
      <c r="CA1128" s="147"/>
      <c r="CB1128" s="147"/>
      <c r="CC1128" s="147"/>
      <c r="CD1128" s="147"/>
      <c r="CE1128" s="147"/>
      <c r="CF1128" s="147"/>
      <c r="CG1128" s="147"/>
      <c r="CH1128" s="147"/>
      <c r="CI1128" s="147"/>
      <c r="CJ1128" s="147"/>
      <c r="CK1128" s="147"/>
    </row>
    <row r="1129" spans="1:89">
      <c r="A1129" s="157"/>
      <c r="F1129" s="3"/>
      <c r="G1129" s="3"/>
      <c r="L1129" s="157"/>
      <c r="M1129" s="157"/>
      <c r="O1129" s="147"/>
      <c r="P1129" s="147"/>
      <c r="Q1129" s="147"/>
      <c r="R1129" s="147"/>
      <c r="S1129" s="147"/>
      <c r="T1129" s="147"/>
      <c r="U1129" s="147"/>
      <c r="V1129" s="147"/>
      <c r="W1129" s="147"/>
      <c r="X1129" s="147"/>
      <c r="Y1129" s="147"/>
      <c r="Z1129" s="147"/>
      <c r="AA1129" s="147"/>
      <c r="AB1129" s="147"/>
      <c r="AC1129" s="147"/>
      <c r="AD1129" s="147"/>
      <c r="AE1129" s="147"/>
      <c r="AF1129" s="147"/>
      <c r="AG1129" s="147"/>
      <c r="AH1129" s="147"/>
      <c r="AI1129" s="147"/>
      <c r="AJ1129" s="147"/>
      <c r="AK1129" s="147"/>
      <c r="AL1129" s="147"/>
      <c r="AM1129" s="151"/>
      <c r="AN1129" s="147"/>
      <c r="AO1129" s="147"/>
      <c r="AP1129" s="147"/>
      <c r="AQ1129" s="147"/>
      <c r="AR1129" s="147"/>
      <c r="AS1129" s="147"/>
      <c r="AT1129" s="147"/>
      <c r="AU1129" s="147"/>
      <c r="AV1129" s="147"/>
      <c r="AW1129" s="147"/>
      <c r="AX1129" s="147"/>
      <c r="AY1129" s="147"/>
      <c r="AZ1129" s="147"/>
      <c r="BA1129" s="147"/>
      <c r="BB1129" s="147"/>
      <c r="BC1129" s="147"/>
      <c r="BD1129" s="147"/>
      <c r="BE1129" s="147"/>
      <c r="BF1129" s="147"/>
      <c r="BG1129" s="147"/>
      <c r="BH1129" s="147"/>
      <c r="BI1129" s="147"/>
      <c r="BJ1129" s="147"/>
      <c r="BK1129" s="147"/>
      <c r="BL1129" s="147"/>
      <c r="BM1129" s="147"/>
      <c r="BN1129" s="147"/>
      <c r="BO1129" s="147"/>
      <c r="BP1129" s="147"/>
      <c r="BQ1129" s="147"/>
      <c r="BR1129" s="147"/>
      <c r="BS1129" s="147"/>
      <c r="BT1129" s="147"/>
      <c r="BU1129" s="147"/>
      <c r="BV1129" s="147"/>
      <c r="BW1129" s="147"/>
      <c r="BX1129" s="147"/>
      <c r="BY1129" s="147"/>
      <c r="BZ1129" s="147"/>
      <c r="CA1129" s="147"/>
      <c r="CB1129" s="147"/>
      <c r="CC1129" s="147"/>
      <c r="CD1129" s="147"/>
      <c r="CE1129" s="147"/>
      <c r="CF1129" s="147"/>
      <c r="CG1129" s="147"/>
      <c r="CH1129" s="147"/>
      <c r="CI1129" s="147"/>
      <c r="CJ1129" s="147"/>
      <c r="CK1129" s="147"/>
    </row>
    <row r="1130" spans="1:89">
      <c r="A1130" s="157"/>
      <c r="F1130" s="3"/>
      <c r="G1130" s="3"/>
      <c r="L1130" s="157"/>
      <c r="M1130" s="157"/>
      <c r="O1130" s="147"/>
      <c r="P1130" s="147"/>
      <c r="Q1130" s="147"/>
      <c r="R1130" s="147"/>
      <c r="S1130" s="147"/>
      <c r="T1130" s="147"/>
      <c r="U1130" s="147"/>
      <c r="V1130" s="147"/>
      <c r="W1130" s="147"/>
      <c r="X1130" s="147"/>
      <c r="Y1130" s="147"/>
      <c r="Z1130" s="147"/>
      <c r="AA1130" s="147"/>
      <c r="AB1130" s="147"/>
      <c r="AC1130" s="147"/>
      <c r="AD1130" s="147"/>
      <c r="AE1130" s="147"/>
      <c r="AF1130" s="147"/>
      <c r="AG1130" s="147"/>
      <c r="AH1130" s="147"/>
      <c r="AI1130" s="147"/>
      <c r="AJ1130" s="147"/>
      <c r="AK1130" s="147"/>
      <c r="AL1130" s="147"/>
      <c r="AM1130" s="151"/>
      <c r="AN1130" s="147"/>
      <c r="AO1130" s="147"/>
      <c r="AP1130" s="147"/>
      <c r="AQ1130" s="147"/>
      <c r="AR1130" s="147"/>
      <c r="AS1130" s="147"/>
      <c r="AT1130" s="147"/>
      <c r="AU1130" s="147"/>
      <c r="AV1130" s="147"/>
      <c r="AW1130" s="147"/>
      <c r="AX1130" s="147"/>
      <c r="AY1130" s="147"/>
      <c r="AZ1130" s="147"/>
      <c r="BA1130" s="147"/>
      <c r="BB1130" s="147"/>
      <c r="BC1130" s="147"/>
      <c r="BD1130" s="147"/>
      <c r="BE1130" s="147"/>
      <c r="BF1130" s="147"/>
      <c r="BG1130" s="147"/>
      <c r="BH1130" s="147"/>
      <c r="BI1130" s="147"/>
      <c r="BJ1130" s="147"/>
      <c r="BK1130" s="147"/>
      <c r="BL1130" s="147"/>
      <c r="BM1130" s="147"/>
      <c r="BN1130" s="147"/>
      <c r="BO1130" s="147"/>
      <c r="BP1130" s="147"/>
      <c r="BQ1130" s="147"/>
      <c r="BR1130" s="147"/>
      <c r="BS1130" s="147"/>
      <c r="BT1130" s="147"/>
      <c r="BU1130" s="147"/>
      <c r="BV1130" s="147"/>
      <c r="BW1130" s="147"/>
      <c r="BX1130" s="147"/>
      <c r="BY1130" s="147"/>
      <c r="BZ1130" s="147"/>
      <c r="CA1130" s="147"/>
      <c r="CB1130" s="147"/>
      <c r="CC1130" s="147"/>
      <c r="CD1130" s="147"/>
      <c r="CE1130" s="147"/>
      <c r="CF1130" s="147"/>
      <c r="CG1130" s="147"/>
      <c r="CH1130" s="147"/>
      <c r="CI1130" s="147"/>
      <c r="CJ1130" s="147"/>
      <c r="CK1130" s="147"/>
    </row>
    <row r="1131" spans="1:89">
      <c r="A1131" s="157"/>
      <c r="F1131" s="3"/>
      <c r="G1131" s="3"/>
      <c r="L1131" s="157"/>
      <c r="M1131" s="157"/>
      <c r="O1131" s="147"/>
      <c r="P1131" s="147"/>
      <c r="Q1131" s="147"/>
      <c r="R1131" s="147"/>
      <c r="S1131" s="147"/>
      <c r="T1131" s="147"/>
      <c r="U1131" s="147"/>
      <c r="V1131" s="147"/>
      <c r="W1131" s="147"/>
      <c r="X1131" s="147"/>
      <c r="Y1131" s="147"/>
      <c r="Z1131" s="147"/>
      <c r="AA1131" s="147"/>
      <c r="AB1131" s="147"/>
      <c r="AC1131" s="147"/>
      <c r="AD1131" s="147"/>
      <c r="AE1131" s="147"/>
      <c r="AF1131" s="147"/>
      <c r="AG1131" s="147"/>
      <c r="AH1131" s="147"/>
      <c r="AI1131" s="147"/>
      <c r="AJ1131" s="147"/>
      <c r="AK1131" s="147"/>
      <c r="AL1131" s="147"/>
      <c r="AM1131" s="151"/>
      <c r="AN1131" s="147"/>
      <c r="AO1131" s="147"/>
      <c r="AP1131" s="147"/>
      <c r="AQ1131" s="147"/>
      <c r="AR1131" s="147"/>
      <c r="AS1131" s="147"/>
      <c r="AT1131" s="147"/>
      <c r="AU1131" s="147"/>
      <c r="AV1131" s="147"/>
      <c r="AW1131" s="147"/>
      <c r="AX1131" s="147"/>
      <c r="AY1131" s="147"/>
      <c r="AZ1131" s="147"/>
      <c r="BA1131" s="147"/>
      <c r="BB1131" s="147"/>
      <c r="BC1131" s="147"/>
      <c r="BD1131" s="147"/>
      <c r="BE1131" s="147"/>
      <c r="BF1131" s="147"/>
      <c r="BG1131" s="147"/>
      <c r="BH1131" s="147"/>
      <c r="BI1131" s="147"/>
      <c r="BJ1131" s="147"/>
      <c r="BK1131" s="147"/>
      <c r="BL1131" s="147"/>
      <c r="BM1131" s="147"/>
      <c r="BN1131" s="147"/>
      <c r="BO1131" s="147"/>
      <c r="BP1131" s="147"/>
      <c r="BQ1131" s="147"/>
      <c r="BR1131" s="147"/>
      <c r="BS1131" s="147"/>
      <c r="BT1131" s="147"/>
      <c r="BU1131" s="147"/>
      <c r="BV1131" s="147"/>
      <c r="BW1131" s="147"/>
      <c r="BX1131" s="147"/>
      <c r="BY1131" s="147"/>
      <c r="BZ1131" s="147"/>
      <c r="CA1131" s="147"/>
      <c r="CB1131" s="147"/>
      <c r="CC1131" s="147"/>
      <c r="CD1131" s="147"/>
      <c r="CE1131" s="147"/>
      <c r="CF1131" s="147"/>
      <c r="CG1131" s="147"/>
      <c r="CH1131" s="147"/>
      <c r="CI1131" s="147"/>
      <c r="CJ1131" s="147"/>
      <c r="CK1131" s="147"/>
    </row>
    <row r="1132" spans="1:89">
      <c r="A1132" s="157"/>
      <c r="F1132" s="3"/>
      <c r="G1132" s="3"/>
      <c r="L1132" s="157"/>
      <c r="M1132" s="157"/>
      <c r="O1132" s="147"/>
      <c r="P1132" s="147"/>
      <c r="Q1132" s="147"/>
      <c r="R1132" s="147"/>
      <c r="S1132" s="147"/>
      <c r="T1132" s="147"/>
      <c r="U1132" s="147"/>
      <c r="V1132" s="147"/>
      <c r="W1132" s="147"/>
      <c r="X1132" s="147"/>
      <c r="Y1132" s="147"/>
      <c r="Z1132" s="147"/>
      <c r="AA1132" s="147"/>
      <c r="AB1132" s="147"/>
      <c r="AC1132" s="147"/>
      <c r="AD1132" s="147"/>
      <c r="AE1132" s="147"/>
      <c r="AF1132" s="147"/>
      <c r="AG1132" s="147"/>
      <c r="AH1132" s="147"/>
      <c r="AI1132" s="147"/>
      <c r="AJ1132" s="147"/>
      <c r="AK1132" s="147"/>
      <c r="AL1132" s="147"/>
      <c r="AM1132" s="151"/>
      <c r="AN1132" s="147"/>
      <c r="AO1132" s="147"/>
      <c r="AP1132" s="147"/>
      <c r="AQ1132" s="147"/>
      <c r="AR1132" s="147"/>
      <c r="AS1132" s="147"/>
      <c r="AT1132" s="147"/>
      <c r="AU1132" s="147"/>
      <c r="AV1132" s="147"/>
      <c r="AW1132" s="147"/>
      <c r="AX1132" s="147"/>
      <c r="AY1132" s="147"/>
      <c r="AZ1132" s="147"/>
      <c r="BA1132" s="147"/>
      <c r="BB1132" s="147"/>
      <c r="BC1132" s="147"/>
      <c r="BD1132" s="147"/>
      <c r="BE1132" s="147"/>
      <c r="BF1132" s="147"/>
      <c r="BG1132" s="147"/>
      <c r="BH1132" s="147"/>
      <c r="BI1132" s="147"/>
      <c r="BJ1132" s="147"/>
      <c r="BK1132" s="147"/>
      <c r="BL1132" s="147"/>
      <c r="BM1132" s="147"/>
      <c r="BN1132" s="147"/>
      <c r="BO1132" s="147"/>
      <c r="BP1132" s="147"/>
      <c r="BQ1132" s="147"/>
      <c r="BR1132" s="147"/>
      <c r="BS1132" s="147"/>
      <c r="BT1132" s="147"/>
      <c r="BU1132" s="147"/>
      <c r="BV1132" s="147"/>
      <c r="BW1132" s="147"/>
      <c r="BX1132" s="147"/>
      <c r="BY1132" s="147"/>
      <c r="BZ1132" s="147"/>
      <c r="CA1132" s="147"/>
      <c r="CB1132" s="147"/>
      <c r="CC1132" s="147"/>
      <c r="CD1132" s="147"/>
      <c r="CE1132" s="147"/>
      <c r="CF1132" s="147"/>
      <c r="CG1132" s="147"/>
      <c r="CH1132" s="147"/>
      <c r="CI1132" s="147"/>
      <c r="CJ1132" s="147"/>
      <c r="CK1132" s="147"/>
    </row>
    <row r="1133" spans="1:89">
      <c r="A1133" s="157"/>
      <c r="F1133" s="3"/>
      <c r="G1133" s="3"/>
      <c r="L1133" s="157"/>
      <c r="M1133" s="157"/>
      <c r="O1133" s="147"/>
      <c r="P1133" s="147"/>
      <c r="Q1133" s="147"/>
      <c r="R1133" s="147"/>
      <c r="S1133" s="147"/>
      <c r="T1133" s="147"/>
      <c r="U1133" s="147"/>
      <c r="V1133" s="147"/>
      <c r="W1133" s="147"/>
      <c r="X1133" s="147"/>
      <c r="Y1133" s="147"/>
      <c r="Z1133" s="147"/>
      <c r="AA1133" s="147"/>
      <c r="AB1133" s="147"/>
      <c r="AC1133" s="147"/>
      <c r="AD1133" s="147"/>
      <c r="AE1133" s="147"/>
      <c r="AF1133" s="147"/>
      <c r="AG1133" s="147"/>
      <c r="AH1133" s="147"/>
      <c r="AI1133" s="147"/>
      <c r="AJ1133" s="147"/>
      <c r="AK1133" s="147"/>
      <c r="AL1133" s="147"/>
      <c r="AM1133" s="151"/>
      <c r="AN1133" s="147"/>
      <c r="AO1133" s="147"/>
      <c r="AP1133" s="147"/>
      <c r="AQ1133" s="147"/>
      <c r="AR1133" s="147"/>
      <c r="AS1133" s="147"/>
      <c r="AT1133" s="147"/>
      <c r="AU1133" s="147"/>
      <c r="AV1133" s="147"/>
      <c r="AW1133" s="147"/>
      <c r="AX1133" s="147"/>
      <c r="AY1133" s="147"/>
      <c r="AZ1133" s="147"/>
      <c r="BA1133" s="147"/>
      <c r="BB1133" s="147"/>
      <c r="BC1133" s="147"/>
      <c r="BD1133" s="147"/>
      <c r="BE1133" s="147"/>
      <c r="BF1133" s="147"/>
      <c r="BG1133" s="147"/>
      <c r="BH1133" s="147"/>
      <c r="BI1133" s="147"/>
      <c r="BJ1133" s="147"/>
      <c r="BK1133" s="147"/>
      <c r="BL1133" s="147"/>
      <c r="BM1133" s="147"/>
      <c r="BN1133" s="147"/>
      <c r="BO1133" s="147"/>
      <c r="BP1133" s="147"/>
      <c r="BQ1133" s="147"/>
      <c r="BR1133" s="147"/>
      <c r="BS1133" s="147"/>
      <c r="BT1133" s="147"/>
      <c r="BU1133" s="147"/>
      <c r="BV1133" s="147"/>
      <c r="BW1133" s="147"/>
      <c r="BX1133" s="147"/>
      <c r="BY1133" s="147"/>
      <c r="BZ1133" s="147"/>
      <c r="CA1133" s="147"/>
      <c r="CB1133" s="147"/>
      <c r="CC1133" s="147"/>
      <c r="CD1133" s="147"/>
      <c r="CE1133" s="147"/>
      <c r="CF1133" s="147"/>
      <c r="CG1133" s="147"/>
      <c r="CH1133" s="147"/>
      <c r="CI1133" s="147"/>
      <c r="CJ1133" s="147"/>
      <c r="CK1133" s="147"/>
    </row>
    <row r="1134" spans="1:89">
      <c r="A1134" s="157"/>
      <c r="F1134" s="3"/>
      <c r="G1134" s="3"/>
      <c r="L1134" s="157"/>
      <c r="M1134" s="157"/>
      <c r="O1134" s="147"/>
      <c r="P1134" s="147"/>
      <c r="Q1134" s="147"/>
      <c r="R1134" s="147"/>
      <c r="S1134" s="147"/>
      <c r="T1134" s="147"/>
      <c r="U1134" s="147"/>
      <c r="V1134" s="147"/>
      <c r="W1134" s="147"/>
      <c r="X1134" s="147"/>
      <c r="Y1134" s="147"/>
      <c r="Z1134" s="147"/>
      <c r="AA1134" s="147"/>
      <c r="AB1134" s="147"/>
      <c r="AC1134" s="147"/>
      <c r="AD1134" s="147"/>
      <c r="AE1134" s="147"/>
      <c r="AF1134" s="147"/>
      <c r="AG1134" s="147"/>
      <c r="AH1134" s="147"/>
      <c r="AI1134" s="147"/>
      <c r="AJ1134" s="147"/>
      <c r="AK1134" s="147"/>
      <c r="AL1134" s="147"/>
      <c r="AM1134" s="151"/>
      <c r="AN1134" s="147"/>
      <c r="AO1134" s="147"/>
      <c r="AP1134" s="147"/>
      <c r="AQ1134" s="147"/>
      <c r="AR1134" s="147"/>
      <c r="AS1134" s="147"/>
      <c r="AT1134" s="147"/>
      <c r="AU1134" s="147"/>
      <c r="AV1134" s="147"/>
      <c r="AW1134" s="147"/>
      <c r="AX1134" s="147"/>
      <c r="AY1134" s="147"/>
      <c r="AZ1134" s="147"/>
      <c r="BA1134" s="147"/>
      <c r="BB1134" s="147"/>
      <c r="BC1134" s="147"/>
      <c r="BD1134" s="147"/>
      <c r="BE1134" s="147"/>
      <c r="BF1134" s="147"/>
      <c r="BG1134" s="147"/>
      <c r="BH1134" s="147"/>
      <c r="BI1134" s="147"/>
      <c r="BJ1134" s="147"/>
      <c r="BK1134" s="147"/>
      <c r="BL1134" s="147"/>
      <c r="BM1134" s="147"/>
      <c r="BN1134" s="147"/>
      <c r="BO1134" s="147"/>
      <c r="BP1134" s="147"/>
      <c r="BQ1134" s="147"/>
      <c r="BR1134" s="147"/>
      <c r="BS1134" s="147"/>
      <c r="BT1134" s="147"/>
      <c r="BU1134" s="147"/>
      <c r="BV1134" s="147"/>
      <c r="BW1134" s="147"/>
      <c r="BX1134" s="147"/>
      <c r="BY1134" s="147"/>
      <c r="BZ1134" s="147"/>
      <c r="CA1134" s="147"/>
      <c r="CB1134" s="147"/>
      <c r="CC1134" s="147"/>
      <c r="CD1134" s="147"/>
      <c r="CE1134" s="147"/>
      <c r="CF1134" s="147"/>
      <c r="CG1134" s="147"/>
      <c r="CH1134" s="147"/>
      <c r="CI1134" s="147"/>
      <c r="CJ1134" s="147"/>
      <c r="CK1134" s="147"/>
    </row>
    <row r="1135" spans="1:89">
      <c r="A1135" s="157"/>
      <c r="F1135" s="3"/>
      <c r="G1135" s="3"/>
      <c r="L1135" s="157"/>
      <c r="M1135" s="157"/>
      <c r="O1135" s="147"/>
      <c r="P1135" s="147"/>
      <c r="Q1135" s="147"/>
      <c r="R1135" s="147"/>
      <c r="S1135" s="147"/>
      <c r="T1135" s="147"/>
      <c r="U1135" s="147"/>
      <c r="V1135" s="147"/>
      <c r="W1135" s="147"/>
      <c r="X1135" s="147"/>
      <c r="Y1135" s="147"/>
      <c r="Z1135" s="147"/>
      <c r="AA1135" s="147"/>
      <c r="AB1135" s="147"/>
      <c r="AC1135" s="147"/>
      <c r="AD1135" s="147"/>
      <c r="AE1135" s="147"/>
      <c r="AF1135" s="147"/>
      <c r="AG1135" s="147"/>
      <c r="AH1135" s="147"/>
      <c r="AI1135" s="147"/>
      <c r="AJ1135" s="147"/>
      <c r="AK1135" s="147"/>
      <c r="AL1135" s="147"/>
      <c r="AM1135" s="151"/>
      <c r="AN1135" s="147"/>
      <c r="AO1135" s="147"/>
      <c r="AP1135" s="147"/>
      <c r="AQ1135" s="147"/>
      <c r="AR1135" s="147"/>
      <c r="AS1135" s="147"/>
      <c r="AT1135" s="147"/>
      <c r="AU1135" s="147"/>
      <c r="AV1135" s="147"/>
      <c r="AW1135" s="147"/>
      <c r="AX1135" s="147"/>
      <c r="AY1135" s="147"/>
      <c r="AZ1135" s="147"/>
      <c r="BA1135" s="147"/>
      <c r="BB1135" s="147"/>
      <c r="BC1135" s="147"/>
      <c r="BD1135" s="147"/>
      <c r="BE1135" s="147"/>
      <c r="BF1135" s="147"/>
      <c r="BG1135" s="147"/>
      <c r="BH1135" s="147"/>
      <c r="BI1135" s="147"/>
      <c r="BJ1135" s="147"/>
      <c r="BK1135" s="147"/>
      <c r="BL1135" s="147"/>
      <c r="BM1135" s="147"/>
      <c r="BN1135" s="147"/>
      <c r="BO1135" s="147"/>
      <c r="BP1135" s="147"/>
      <c r="BQ1135" s="147"/>
      <c r="BR1135" s="147"/>
      <c r="BS1135" s="147"/>
      <c r="BT1135" s="147"/>
      <c r="BU1135" s="147"/>
      <c r="BV1135" s="147"/>
      <c r="BW1135" s="147"/>
      <c r="BX1135" s="147"/>
      <c r="BY1135" s="147"/>
      <c r="BZ1135" s="147"/>
      <c r="CA1135" s="147"/>
      <c r="CB1135" s="147"/>
      <c r="CC1135" s="147"/>
      <c r="CD1135" s="147"/>
      <c r="CE1135" s="147"/>
      <c r="CF1135" s="147"/>
      <c r="CG1135" s="147"/>
      <c r="CH1135" s="147"/>
      <c r="CI1135" s="147"/>
      <c r="CJ1135" s="147"/>
      <c r="CK1135" s="147"/>
    </row>
    <row r="1136" spans="1:89">
      <c r="A1136" s="157"/>
      <c r="F1136" s="3"/>
      <c r="G1136" s="3"/>
      <c r="L1136" s="157"/>
      <c r="M1136" s="157"/>
      <c r="O1136" s="147"/>
      <c r="P1136" s="147"/>
      <c r="Q1136" s="147"/>
      <c r="R1136" s="147"/>
      <c r="S1136" s="147"/>
      <c r="T1136" s="147"/>
      <c r="U1136" s="147"/>
      <c r="V1136" s="147"/>
      <c r="W1136" s="147"/>
      <c r="X1136" s="147"/>
      <c r="Y1136" s="147"/>
      <c r="Z1136" s="147"/>
      <c r="AA1136" s="147"/>
      <c r="AB1136" s="147"/>
      <c r="AC1136" s="147"/>
      <c r="AD1136" s="147"/>
      <c r="AE1136" s="147"/>
      <c r="AF1136" s="147"/>
      <c r="AG1136" s="147"/>
      <c r="AH1136" s="147"/>
      <c r="AI1136" s="147"/>
      <c r="AJ1136" s="147"/>
      <c r="AK1136" s="147"/>
      <c r="AL1136" s="147"/>
      <c r="AM1136" s="151"/>
      <c r="AN1136" s="147"/>
      <c r="AO1136" s="147"/>
      <c r="AP1136" s="147"/>
      <c r="AQ1136" s="147"/>
      <c r="AR1136" s="147"/>
      <c r="AS1136" s="147"/>
      <c r="AT1136" s="147"/>
      <c r="AU1136" s="147"/>
      <c r="AV1136" s="147"/>
      <c r="AW1136" s="147"/>
      <c r="AX1136" s="147"/>
      <c r="AY1136" s="147"/>
      <c r="AZ1136" s="147"/>
      <c r="BA1136" s="147"/>
      <c r="BB1136" s="147"/>
      <c r="BC1136" s="147"/>
      <c r="BD1136" s="147"/>
      <c r="BE1136" s="147"/>
      <c r="BF1136" s="147"/>
      <c r="BG1136" s="147"/>
      <c r="BH1136" s="147"/>
      <c r="BI1136" s="147"/>
      <c r="BJ1136" s="147"/>
      <c r="BK1136" s="147"/>
      <c r="BL1136" s="147"/>
      <c r="BM1136" s="147"/>
      <c r="BN1136" s="147"/>
      <c r="BO1136" s="147"/>
      <c r="BP1136" s="147"/>
      <c r="BQ1136" s="147"/>
      <c r="BR1136" s="147"/>
      <c r="BS1136" s="147"/>
      <c r="BT1136" s="147"/>
      <c r="BU1136" s="147"/>
      <c r="BV1136" s="147"/>
      <c r="BW1136" s="147"/>
      <c r="BX1136" s="147"/>
      <c r="BY1136" s="147"/>
      <c r="BZ1136" s="147"/>
      <c r="CA1136" s="147"/>
      <c r="CB1136" s="147"/>
      <c r="CC1136" s="147"/>
      <c r="CD1136" s="147"/>
      <c r="CE1136" s="147"/>
      <c r="CF1136" s="147"/>
      <c r="CG1136" s="147"/>
      <c r="CH1136" s="147"/>
      <c r="CI1136" s="147"/>
      <c r="CJ1136" s="147"/>
      <c r="CK1136" s="147"/>
    </row>
    <row r="1137" spans="1:89">
      <c r="A1137" s="157"/>
      <c r="F1137" s="3"/>
      <c r="G1137" s="3"/>
      <c r="L1137" s="157"/>
      <c r="M1137" s="157"/>
      <c r="O1137" s="147"/>
      <c r="P1137" s="147"/>
      <c r="Q1137" s="147"/>
      <c r="R1137" s="147"/>
      <c r="S1137" s="147"/>
      <c r="T1137" s="147"/>
      <c r="U1137" s="147"/>
      <c r="V1137" s="147"/>
      <c r="W1137" s="147"/>
      <c r="X1137" s="147"/>
      <c r="Y1137" s="147"/>
      <c r="Z1137" s="147"/>
      <c r="AA1137" s="147"/>
      <c r="AB1137" s="147"/>
      <c r="AC1137" s="147"/>
      <c r="AD1137" s="147"/>
      <c r="AE1137" s="147"/>
      <c r="AF1137" s="147"/>
      <c r="AG1137" s="147"/>
      <c r="AH1137" s="147"/>
      <c r="AI1137" s="147"/>
      <c r="AJ1137" s="147"/>
      <c r="AK1137" s="147"/>
      <c r="AL1137" s="147"/>
      <c r="AM1137" s="151"/>
      <c r="AN1137" s="147"/>
      <c r="AO1137" s="147"/>
      <c r="AP1137" s="147"/>
      <c r="AQ1137" s="147"/>
      <c r="AR1137" s="147"/>
      <c r="AS1137" s="147"/>
      <c r="AT1137" s="147"/>
      <c r="AU1137" s="147"/>
      <c r="AV1137" s="147"/>
      <c r="AW1137" s="147"/>
      <c r="AX1137" s="147"/>
      <c r="AY1137" s="147"/>
      <c r="AZ1137" s="147"/>
      <c r="BA1137" s="147"/>
      <c r="BB1137" s="147"/>
      <c r="BC1137" s="147"/>
      <c r="BD1137" s="147"/>
      <c r="BE1137" s="147"/>
      <c r="BF1137" s="147"/>
      <c r="BG1137" s="147"/>
      <c r="BH1137" s="147"/>
      <c r="BI1137" s="147"/>
      <c r="BJ1137" s="147"/>
      <c r="BK1137" s="147"/>
      <c r="BL1137" s="147"/>
      <c r="BM1137" s="147"/>
      <c r="BN1137" s="147"/>
      <c r="BO1137" s="147"/>
      <c r="BP1137" s="147"/>
      <c r="BQ1137" s="147"/>
      <c r="BR1137" s="147"/>
      <c r="BS1137" s="147"/>
      <c r="BT1137" s="147"/>
      <c r="BU1137" s="147"/>
      <c r="BV1137" s="147"/>
      <c r="BW1137" s="147"/>
      <c r="BX1137" s="147"/>
      <c r="BY1137" s="147"/>
      <c r="BZ1137" s="147"/>
      <c r="CA1137" s="147"/>
      <c r="CB1137" s="147"/>
      <c r="CC1137" s="147"/>
      <c r="CD1137" s="147"/>
      <c r="CE1137" s="147"/>
      <c r="CF1137" s="147"/>
      <c r="CG1137" s="147"/>
      <c r="CH1137" s="147"/>
      <c r="CI1137" s="147"/>
      <c r="CJ1137" s="147"/>
      <c r="CK1137" s="147"/>
    </row>
    <row r="1138" spans="1:89">
      <c r="A1138" s="157"/>
      <c r="F1138" s="3"/>
      <c r="G1138" s="3"/>
      <c r="L1138" s="157"/>
      <c r="M1138" s="157"/>
      <c r="O1138" s="147"/>
      <c r="P1138" s="147"/>
      <c r="Q1138" s="147"/>
      <c r="R1138" s="147"/>
      <c r="S1138" s="147"/>
      <c r="T1138" s="147"/>
      <c r="U1138" s="147"/>
      <c r="V1138" s="147"/>
      <c r="W1138" s="147"/>
      <c r="X1138" s="147"/>
      <c r="Y1138" s="147"/>
      <c r="Z1138" s="147"/>
      <c r="AA1138" s="147"/>
      <c r="AB1138" s="147"/>
      <c r="AC1138" s="147"/>
      <c r="AD1138" s="147"/>
      <c r="AE1138" s="147"/>
      <c r="AF1138" s="147"/>
      <c r="AG1138" s="147"/>
      <c r="AH1138" s="147"/>
      <c r="AI1138" s="147"/>
      <c r="AJ1138" s="147"/>
      <c r="AK1138" s="147"/>
      <c r="AL1138" s="147"/>
      <c r="AM1138" s="151"/>
      <c r="AN1138" s="147"/>
      <c r="AO1138" s="147"/>
      <c r="AP1138" s="147"/>
      <c r="AQ1138" s="147"/>
      <c r="AR1138" s="147"/>
      <c r="AS1138" s="147"/>
      <c r="AT1138" s="147"/>
      <c r="AU1138" s="147"/>
      <c r="AV1138" s="147"/>
      <c r="AW1138" s="147"/>
      <c r="AX1138" s="147"/>
      <c r="AY1138" s="147"/>
      <c r="AZ1138" s="147"/>
      <c r="BA1138" s="147"/>
      <c r="BB1138" s="147"/>
      <c r="BC1138" s="147"/>
      <c r="BD1138" s="147"/>
      <c r="BE1138" s="147"/>
      <c r="BF1138" s="147"/>
      <c r="BG1138" s="147"/>
      <c r="BH1138" s="147"/>
      <c r="BI1138" s="147"/>
      <c r="BJ1138" s="147"/>
      <c r="BK1138" s="147"/>
      <c r="BL1138" s="147"/>
      <c r="BM1138" s="147"/>
      <c r="BN1138" s="147"/>
      <c r="BO1138" s="147"/>
      <c r="BP1138" s="147"/>
      <c r="BQ1138" s="147"/>
      <c r="BR1138" s="147"/>
      <c r="BS1138" s="147"/>
      <c r="BT1138" s="147"/>
      <c r="BU1138" s="147"/>
      <c r="BV1138" s="147"/>
      <c r="BW1138" s="147"/>
      <c r="BX1138" s="147"/>
      <c r="BY1138" s="147"/>
      <c r="BZ1138" s="147"/>
      <c r="CA1138" s="147"/>
      <c r="CB1138" s="147"/>
      <c r="CC1138" s="147"/>
      <c r="CD1138" s="147"/>
      <c r="CE1138" s="147"/>
      <c r="CF1138" s="147"/>
      <c r="CG1138" s="147"/>
      <c r="CH1138" s="147"/>
      <c r="CI1138" s="147"/>
      <c r="CJ1138" s="147"/>
      <c r="CK1138" s="147"/>
    </row>
    <row r="1139" spans="1:89">
      <c r="A1139" s="157"/>
      <c r="F1139" s="3"/>
      <c r="G1139" s="3"/>
      <c r="L1139" s="157"/>
      <c r="M1139" s="157"/>
      <c r="O1139" s="147"/>
      <c r="P1139" s="147"/>
      <c r="Q1139" s="147"/>
      <c r="R1139" s="147"/>
      <c r="S1139" s="147"/>
      <c r="T1139" s="147"/>
      <c r="U1139" s="147"/>
      <c r="V1139" s="147"/>
      <c r="W1139" s="147"/>
      <c r="X1139" s="147"/>
      <c r="Y1139" s="147"/>
      <c r="Z1139" s="147"/>
      <c r="AA1139" s="147"/>
      <c r="AB1139" s="147"/>
      <c r="AC1139" s="147"/>
      <c r="AD1139" s="147"/>
      <c r="AE1139" s="147"/>
      <c r="AF1139" s="147"/>
      <c r="AG1139" s="147"/>
      <c r="AH1139" s="147"/>
      <c r="AI1139" s="147"/>
      <c r="AJ1139" s="147"/>
      <c r="AK1139" s="147"/>
      <c r="AL1139" s="147"/>
      <c r="AM1139" s="151"/>
      <c r="AN1139" s="147"/>
      <c r="AO1139" s="147"/>
      <c r="AP1139" s="147"/>
      <c r="AQ1139" s="147"/>
      <c r="AR1139" s="147"/>
      <c r="AS1139" s="147"/>
      <c r="AT1139" s="147"/>
      <c r="AU1139" s="147"/>
      <c r="AV1139" s="147"/>
      <c r="AW1139" s="147"/>
      <c r="AX1139" s="147"/>
      <c r="AY1139" s="147"/>
      <c r="AZ1139" s="147"/>
      <c r="BA1139" s="147"/>
      <c r="BB1139" s="147"/>
      <c r="BC1139" s="147"/>
      <c r="BD1139" s="147"/>
      <c r="BE1139" s="147"/>
      <c r="BF1139" s="147"/>
      <c r="BG1139" s="147"/>
      <c r="BH1139" s="147"/>
      <c r="BI1139" s="147"/>
      <c r="BJ1139" s="147"/>
      <c r="BK1139" s="147"/>
      <c r="BL1139" s="147"/>
      <c r="BM1139" s="147"/>
      <c r="BN1139" s="147"/>
      <c r="BO1139" s="147"/>
      <c r="BP1139" s="147"/>
      <c r="BQ1139" s="147"/>
      <c r="BR1139" s="147"/>
      <c r="BS1139" s="147"/>
      <c r="BT1139" s="147"/>
      <c r="BU1139" s="147"/>
      <c r="BV1139" s="147"/>
      <c r="BW1139" s="147"/>
      <c r="BX1139" s="147"/>
      <c r="BY1139" s="147"/>
      <c r="BZ1139" s="147"/>
      <c r="CA1139" s="147"/>
      <c r="CB1139" s="147"/>
      <c r="CC1139" s="147"/>
      <c r="CD1139" s="147"/>
      <c r="CE1139" s="147"/>
      <c r="CF1139" s="147"/>
      <c r="CG1139" s="147"/>
      <c r="CH1139" s="147"/>
      <c r="CI1139" s="147"/>
      <c r="CJ1139" s="147"/>
      <c r="CK1139" s="147"/>
    </row>
    <row r="1140" spans="1:89">
      <c r="A1140" s="157"/>
      <c r="F1140" s="3"/>
      <c r="G1140" s="3"/>
      <c r="L1140" s="157"/>
      <c r="M1140" s="157"/>
      <c r="O1140" s="147"/>
      <c r="P1140" s="147"/>
      <c r="Q1140" s="147"/>
      <c r="R1140" s="147"/>
      <c r="S1140" s="147"/>
      <c r="T1140" s="147"/>
      <c r="U1140" s="147"/>
      <c r="V1140" s="147"/>
      <c r="W1140" s="147"/>
      <c r="X1140" s="147"/>
      <c r="Y1140" s="147"/>
      <c r="Z1140" s="147"/>
      <c r="AA1140" s="147"/>
      <c r="AB1140" s="147"/>
      <c r="AC1140" s="147"/>
      <c r="AD1140" s="147"/>
      <c r="AE1140" s="147"/>
      <c r="AF1140" s="147"/>
      <c r="AG1140" s="147"/>
      <c r="AH1140" s="147"/>
      <c r="AI1140" s="147"/>
      <c r="AJ1140" s="147"/>
      <c r="AK1140" s="147"/>
      <c r="AL1140" s="147"/>
      <c r="AM1140" s="151"/>
      <c r="AN1140" s="147"/>
      <c r="AO1140" s="147"/>
      <c r="AP1140" s="147"/>
      <c r="AQ1140" s="147"/>
      <c r="AR1140" s="147"/>
      <c r="AS1140" s="147"/>
      <c r="AT1140" s="147"/>
      <c r="AU1140" s="147"/>
      <c r="AV1140" s="147"/>
      <c r="AW1140" s="147"/>
      <c r="AX1140" s="147"/>
      <c r="AY1140" s="147"/>
      <c r="AZ1140" s="147"/>
      <c r="BA1140" s="147"/>
      <c r="BB1140" s="147"/>
      <c r="BC1140" s="147"/>
      <c r="BD1140" s="147"/>
      <c r="BE1140" s="147"/>
      <c r="BF1140" s="147"/>
      <c r="BG1140" s="147"/>
      <c r="BH1140" s="147"/>
      <c r="BI1140" s="147"/>
      <c r="BJ1140" s="147"/>
      <c r="BK1140" s="147"/>
      <c r="BL1140" s="147"/>
      <c r="BM1140" s="147"/>
      <c r="BN1140" s="147"/>
      <c r="BO1140" s="147"/>
      <c r="BP1140" s="147"/>
      <c r="BQ1140" s="147"/>
      <c r="BR1140" s="147"/>
      <c r="BS1140" s="147"/>
      <c r="BT1140" s="147"/>
      <c r="BU1140" s="147"/>
      <c r="BV1140" s="147"/>
      <c r="BW1140" s="147"/>
      <c r="BX1140" s="147"/>
      <c r="BY1140" s="147"/>
      <c r="BZ1140" s="147"/>
      <c r="CA1140" s="147"/>
      <c r="CB1140" s="147"/>
      <c r="CC1140" s="147"/>
      <c r="CD1140" s="147"/>
      <c r="CE1140" s="147"/>
      <c r="CF1140" s="147"/>
      <c r="CG1140" s="147"/>
      <c r="CH1140" s="147"/>
      <c r="CI1140" s="147"/>
      <c r="CJ1140" s="147"/>
      <c r="CK1140" s="147"/>
    </row>
    <row r="1141" spans="1:89">
      <c r="A1141" s="157"/>
      <c r="F1141" s="3"/>
      <c r="G1141" s="3"/>
      <c r="L1141" s="157"/>
      <c r="M1141" s="157"/>
      <c r="O1141" s="147"/>
      <c r="P1141" s="147"/>
      <c r="Q1141" s="147"/>
      <c r="R1141" s="147"/>
      <c r="S1141" s="147"/>
      <c r="T1141" s="147"/>
      <c r="U1141" s="147"/>
      <c r="V1141" s="147"/>
      <c r="W1141" s="147"/>
      <c r="X1141" s="147"/>
      <c r="Y1141" s="147"/>
      <c r="Z1141" s="147"/>
      <c r="AA1141" s="147"/>
      <c r="AB1141" s="147"/>
      <c r="AC1141" s="147"/>
      <c r="AD1141" s="147"/>
      <c r="AE1141" s="147"/>
      <c r="AF1141" s="147"/>
      <c r="AG1141" s="147"/>
      <c r="AH1141" s="147"/>
      <c r="AI1141" s="147"/>
      <c r="AJ1141" s="147"/>
      <c r="AK1141" s="147"/>
      <c r="AL1141" s="147"/>
      <c r="AM1141" s="151"/>
      <c r="AN1141" s="147"/>
      <c r="AO1141" s="147"/>
      <c r="AP1141" s="147"/>
      <c r="AQ1141" s="147"/>
      <c r="AR1141" s="147"/>
      <c r="AS1141" s="147"/>
      <c r="AT1141" s="147"/>
      <c r="AU1141" s="147"/>
      <c r="AV1141" s="147"/>
      <c r="AW1141" s="147"/>
      <c r="AX1141" s="147"/>
      <c r="AY1141" s="147"/>
      <c r="AZ1141" s="147"/>
      <c r="BA1141" s="147"/>
      <c r="BB1141" s="147"/>
      <c r="BC1141" s="147"/>
      <c r="BD1141" s="147"/>
      <c r="BE1141" s="147"/>
      <c r="BF1141" s="147"/>
      <c r="BG1141" s="147"/>
      <c r="BH1141" s="147"/>
      <c r="BI1141" s="147"/>
      <c r="BJ1141" s="147"/>
      <c r="BK1141" s="147"/>
      <c r="BL1141" s="147"/>
      <c r="BM1141" s="147"/>
      <c r="BN1141" s="147"/>
      <c r="BO1141" s="147"/>
      <c r="BP1141" s="147"/>
      <c r="BQ1141" s="147"/>
      <c r="BR1141" s="147"/>
      <c r="BS1141" s="147"/>
      <c r="BT1141" s="147"/>
      <c r="BU1141" s="147"/>
      <c r="BV1141" s="147"/>
      <c r="BW1141" s="147"/>
      <c r="BX1141" s="147"/>
      <c r="BY1141" s="147"/>
      <c r="BZ1141" s="147"/>
      <c r="CA1141" s="147"/>
      <c r="CB1141" s="147"/>
      <c r="CC1141" s="147"/>
      <c r="CD1141" s="147"/>
      <c r="CE1141" s="147"/>
      <c r="CF1141" s="147"/>
      <c r="CG1141" s="147"/>
      <c r="CH1141" s="147"/>
      <c r="CI1141" s="147"/>
      <c r="CJ1141" s="147"/>
      <c r="CK1141" s="147"/>
    </row>
    <row r="1142" spans="1:89">
      <c r="A1142" s="157"/>
      <c r="F1142" s="3"/>
      <c r="G1142" s="3"/>
      <c r="L1142" s="157"/>
      <c r="M1142" s="157"/>
      <c r="O1142" s="147"/>
      <c r="P1142" s="147"/>
      <c r="Q1142" s="147"/>
      <c r="R1142" s="147"/>
      <c r="S1142" s="147"/>
      <c r="T1142" s="147"/>
      <c r="U1142" s="147"/>
      <c r="V1142" s="147"/>
      <c r="W1142" s="147"/>
      <c r="X1142" s="147"/>
      <c r="Y1142" s="147"/>
      <c r="Z1142" s="147"/>
      <c r="AA1142" s="147"/>
      <c r="AB1142" s="147"/>
      <c r="AC1142" s="147"/>
      <c r="AD1142" s="147"/>
      <c r="AE1142" s="147"/>
      <c r="AF1142" s="147"/>
      <c r="AG1142" s="147"/>
      <c r="AH1142" s="147"/>
      <c r="AI1142" s="147"/>
      <c r="AJ1142" s="147"/>
      <c r="AK1142" s="147"/>
      <c r="AL1142" s="147"/>
      <c r="AM1142" s="151"/>
      <c r="AN1142" s="147"/>
      <c r="AO1142" s="147"/>
      <c r="AP1142" s="147"/>
      <c r="AQ1142" s="147"/>
      <c r="AR1142" s="147"/>
      <c r="AS1142" s="147"/>
      <c r="AT1142" s="147"/>
      <c r="AU1142" s="147"/>
      <c r="AV1142" s="147"/>
      <c r="AW1142" s="147"/>
      <c r="AX1142" s="147"/>
      <c r="AY1142" s="147"/>
      <c r="AZ1142" s="147"/>
      <c r="BA1142" s="147"/>
      <c r="BB1142" s="147"/>
      <c r="BC1142" s="147"/>
      <c r="BD1142" s="147"/>
      <c r="BE1142" s="147"/>
      <c r="BF1142" s="147"/>
      <c r="BG1142" s="147"/>
      <c r="BH1142" s="147"/>
      <c r="BI1142" s="147"/>
      <c r="BJ1142" s="147"/>
      <c r="BK1142" s="147"/>
      <c r="BL1142" s="147"/>
      <c r="BM1142" s="147"/>
      <c r="BN1142" s="147"/>
      <c r="BO1142" s="147"/>
      <c r="BP1142" s="147"/>
      <c r="BQ1142" s="147"/>
      <c r="BR1142" s="147"/>
      <c r="BS1142" s="147"/>
      <c r="BT1142" s="147"/>
      <c r="BU1142" s="147"/>
      <c r="BV1142" s="147"/>
      <c r="BW1142" s="147"/>
      <c r="BX1142" s="147"/>
      <c r="BY1142" s="147"/>
      <c r="BZ1142" s="147"/>
      <c r="CA1142" s="147"/>
      <c r="CB1142" s="147"/>
      <c r="CC1142" s="147"/>
      <c r="CD1142" s="147"/>
      <c r="CE1142" s="147"/>
      <c r="CF1142" s="147"/>
      <c r="CG1142" s="147"/>
      <c r="CH1142" s="147"/>
      <c r="CI1142" s="147"/>
      <c r="CJ1142" s="147"/>
      <c r="CK1142" s="147"/>
    </row>
    <row r="1143" spans="1:89">
      <c r="A1143" s="157"/>
      <c r="F1143" s="3"/>
      <c r="G1143" s="3"/>
      <c r="L1143" s="157"/>
      <c r="M1143" s="157"/>
      <c r="O1143" s="147"/>
      <c r="P1143" s="147"/>
      <c r="Q1143" s="147"/>
      <c r="R1143" s="147"/>
      <c r="S1143" s="147"/>
      <c r="T1143" s="147"/>
      <c r="U1143" s="147"/>
      <c r="V1143" s="147"/>
      <c r="W1143" s="147"/>
      <c r="X1143" s="147"/>
      <c r="Y1143" s="147"/>
      <c r="Z1143" s="147"/>
      <c r="AA1143" s="147"/>
      <c r="AB1143" s="147"/>
      <c r="AC1143" s="147"/>
      <c r="AD1143" s="147"/>
      <c r="AE1143" s="147"/>
      <c r="AF1143" s="147"/>
      <c r="AG1143" s="147"/>
      <c r="AH1143" s="147"/>
      <c r="AI1143" s="147"/>
      <c r="AJ1143" s="147"/>
      <c r="AK1143" s="147"/>
      <c r="AL1143" s="147"/>
      <c r="AM1143" s="151"/>
      <c r="AN1143" s="147"/>
      <c r="AO1143" s="147"/>
      <c r="AP1143" s="147"/>
      <c r="AQ1143" s="147"/>
      <c r="AR1143" s="147"/>
      <c r="AS1143" s="147"/>
      <c r="AT1143" s="147"/>
      <c r="AU1143" s="147"/>
      <c r="AV1143" s="147"/>
      <c r="AW1143" s="147"/>
      <c r="AX1143" s="147"/>
      <c r="AY1143" s="147"/>
      <c r="AZ1143" s="147"/>
      <c r="BA1143" s="147"/>
      <c r="BB1143" s="147"/>
      <c r="BC1143" s="147"/>
      <c r="BD1143" s="147"/>
      <c r="BE1143" s="147"/>
      <c r="BF1143" s="147"/>
      <c r="BG1143" s="147"/>
      <c r="BH1143" s="147"/>
      <c r="BI1143" s="147"/>
      <c r="BJ1143" s="147"/>
      <c r="BK1143" s="147"/>
      <c r="BL1143" s="147"/>
      <c r="BM1143" s="147"/>
      <c r="BN1143" s="147"/>
      <c r="BO1143" s="147"/>
      <c r="BP1143" s="147"/>
      <c r="BQ1143" s="147"/>
      <c r="BR1143" s="147"/>
      <c r="BS1143" s="147"/>
      <c r="BT1143" s="147"/>
      <c r="BU1143" s="147"/>
      <c r="BV1143" s="147"/>
      <c r="BW1143" s="147"/>
      <c r="BX1143" s="147"/>
      <c r="BY1143" s="147"/>
      <c r="BZ1143" s="147"/>
      <c r="CA1143" s="147"/>
      <c r="CB1143" s="147"/>
      <c r="CC1143" s="147"/>
      <c r="CD1143" s="147"/>
      <c r="CE1143" s="147"/>
      <c r="CF1143" s="147"/>
      <c r="CG1143" s="147"/>
      <c r="CH1143" s="147"/>
      <c r="CI1143" s="147"/>
      <c r="CJ1143" s="147"/>
      <c r="CK1143" s="147"/>
    </row>
    <row r="1144" spans="1:89">
      <c r="A1144" s="157"/>
      <c r="F1144" s="3"/>
      <c r="G1144" s="3"/>
      <c r="L1144" s="157"/>
      <c r="M1144" s="157"/>
      <c r="O1144" s="147"/>
      <c r="P1144" s="147"/>
      <c r="Q1144" s="147"/>
      <c r="R1144" s="147"/>
      <c r="S1144" s="147"/>
      <c r="T1144" s="147"/>
      <c r="U1144" s="147"/>
      <c r="V1144" s="147"/>
      <c r="W1144" s="147"/>
      <c r="X1144" s="147"/>
      <c r="Y1144" s="147"/>
      <c r="Z1144" s="147"/>
      <c r="AA1144" s="147"/>
      <c r="AB1144" s="147"/>
      <c r="AC1144" s="147"/>
      <c r="AD1144" s="147"/>
      <c r="AE1144" s="147"/>
      <c r="AF1144" s="147"/>
      <c r="AG1144" s="147"/>
      <c r="AH1144" s="147"/>
      <c r="AI1144" s="147"/>
      <c r="AJ1144" s="147"/>
      <c r="AK1144" s="147"/>
      <c r="AL1144" s="147"/>
      <c r="AM1144" s="151"/>
      <c r="AN1144" s="147"/>
      <c r="AO1144" s="147"/>
      <c r="AP1144" s="147"/>
      <c r="AQ1144" s="147"/>
      <c r="AR1144" s="147"/>
      <c r="AS1144" s="147"/>
      <c r="AT1144" s="147"/>
      <c r="AU1144" s="147"/>
      <c r="AV1144" s="147"/>
      <c r="AW1144" s="147"/>
      <c r="AX1144" s="147"/>
      <c r="AY1144" s="147"/>
      <c r="AZ1144" s="147"/>
      <c r="BA1144" s="147"/>
      <c r="BB1144" s="147"/>
      <c r="BC1144" s="147"/>
      <c r="BD1144" s="147"/>
      <c r="BE1144" s="147"/>
      <c r="BF1144" s="147"/>
      <c r="BG1144" s="147"/>
      <c r="BH1144" s="147"/>
      <c r="BI1144" s="147"/>
      <c r="BJ1144" s="147"/>
      <c r="BK1144" s="147"/>
      <c r="BL1144" s="147"/>
      <c r="BM1144" s="147"/>
      <c r="BN1144" s="147"/>
      <c r="BO1144" s="147"/>
      <c r="BP1144" s="147"/>
      <c r="BQ1144" s="147"/>
      <c r="BR1144" s="147"/>
      <c r="BS1144" s="147"/>
      <c r="BT1144" s="147"/>
      <c r="BU1144" s="147"/>
      <c r="BV1144" s="147"/>
      <c r="BW1144" s="147"/>
      <c r="BX1144" s="147"/>
      <c r="BY1144" s="147"/>
      <c r="BZ1144" s="147"/>
      <c r="CA1144" s="147"/>
      <c r="CB1144" s="147"/>
      <c r="CC1144" s="147"/>
      <c r="CD1144" s="147"/>
      <c r="CE1144" s="147"/>
      <c r="CF1144" s="147"/>
      <c r="CG1144" s="147"/>
      <c r="CH1144" s="147"/>
      <c r="CI1144" s="147"/>
      <c r="CJ1144" s="147"/>
      <c r="CK1144" s="147"/>
    </row>
    <row r="1145" spans="1:89">
      <c r="A1145" s="157"/>
      <c r="F1145" s="3"/>
      <c r="G1145" s="3"/>
      <c r="L1145" s="157"/>
      <c r="M1145" s="157"/>
      <c r="O1145" s="147"/>
      <c r="P1145" s="147"/>
      <c r="Q1145" s="147"/>
      <c r="R1145" s="147"/>
      <c r="S1145" s="147"/>
      <c r="T1145" s="147"/>
      <c r="U1145" s="147"/>
      <c r="V1145" s="147"/>
      <c r="W1145" s="147"/>
      <c r="X1145" s="147"/>
      <c r="Y1145" s="147"/>
      <c r="Z1145" s="147"/>
      <c r="AA1145" s="147"/>
      <c r="AB1145" s="147"/>
      <c r="AC1145" s="147"/>
      <c r="AD1145" s="147"/>
      <c r="AE1145" s="147"/>
      <c r="AF1145" s="147"/>
      <c r="AG1145" s="147"/>
      <c r="AH1145" s="147"/>
      <c r="AI1145" s="147"/>
      <c r="AJ1145" s="147"/>
      <c r="AK1145" s="147"/>
      <c r="AL1145" s="147"/>
      <c r="AM1145" s="151"/>
      <c r="AN1145" s="147"/>
      <c r="AO1145" s="147"/>
      <c r="AP1145" s="147"/>
      <c r="AQ1145" s="147"/>
      <c r="AR1145" s="147"/>
      <c r="AS1145" s="147"/>
      <c r="AT1145" s="147"/>
      <c r="AU1145" s="147"/>
      <c r="AV1145" s="147"/>
      <c r="AW1145" s="147"/>
      <c r="AX1145" s="147"/>
      <c r="AY1145" s="147"/>
      <c r="AZ1145" s="147"/>
      <c r="BA1145" s="147"/>
      <c r="BB1145" s="147"/>
      <c r="BC1145" s="147"/>
      <c r="BD1145" s="147"/>
      <c r="BE1145" s="147"/>
      <c r="BF1145" s="147"/>
      <c r="BG1145" s="147"/>
      <c r="BH1145" s="147"/>
      <c r="BI1145" s="147"/>
      <c r="BJ1145" s="147"/>
      <c r="BK1145" s="147"/>
      <c r="BL1145" s="147"/>
      <c r="BM1145" s="147"/>
      <c r="BN1145" s="147"/>
      <c r="BO1145" s="147"/>
      <c r="BP1145" s="147"/>
      <c r="BQ1145" s="147"/>
      <c r="BR1145" s="147"/>
      <c r="BS1145" s="147"/>
      <c r="BT1145" s="147"/>
      <c r="BU1145" s="147"/>
      <c r="BV1145" s="147"/>
      <c r="BW1145" s="147"/>
      <c r="BX1145" s="147"/>
      <c r="BY1145" s="147"/>
      <c r="BZ1145" s="147"/>
      <c r="CA1145" s="147"/>
      <c r="CB1145" s="147"/>
      <c r="CC1145" s="147"/>
      <c r="CD1145" s="147"/>
      <c r="CE1145" s="147"/>
      <c r="CF1145" s="147"/>
      <c r="CG1145" s="147"/>
      <c r="CH1145" s="147"/>
      <c r="CI1145" s="147"/>
      <c r="CJ1145" s="147"/>
      <c r="CK1145" s="147"/>
    </row>
    <row r="1146" spans="1:89">
      <c r="A1146" s="157"/>
      <c r="F1146" s="3"/>
      <c r="G1146" s="3"/>
      <c r="L1146" s="157"/>
      <c r="M1146" s="157"/>
      <c r="O1146" s="147"/>
      <c r="P1146" s="147"/>
      <c r="Q1146" s="147"/>
      <c r="R1146" s="147"/>
      <c r="S1146" s="147"/>
      <c r="T1146" s="147"/>
      <c r="U1146" s="147"/>
      <c r="V1146" s="147"/>
      <c r="W1146" s="147"/>
      <c r="X1146" s="147"/>
      <c r="Y1146" s="147"/>
      <c r="Z1146" s="147"/>
      <c r="AA1146" s="147"/>
      <c r="AB1146" s="147"/>
      <c r="AC1146" s="147"/>
      <c r="AD1146" s="147"/>
      <c r="AE1146" s="147"/>
      <c r="AF1146" s="147"/>
      <c r="AG1146" s="147"/>
      <c r="AH1146" s="147"/>
      <c r="AI1146" s="147"/>
      <c r="AJ1146" s="147"/>
      <c r="AK1146" s="147"/>
      <c r="AL1146" s="147"/>
      <c r="AM1146" s="151"/>
      <c r="AN1146" s="147"/>
      <c r="AO1146" s="147"/>
      <c r="AP1146" s="147"/>
      <c r="AQ1146" s="147"/>
      <c r="AR1146" s="147"/>
      <c r="AS1146" s="147"/>
      <c r="AT1146" s="147"/>
      <c r="AU1146" s="147"/>
      <c r="AV1146" s="147"/>
      <c r="AW1146" s="147"/>
      <c r="AX1146" s="147"/>
      <c r="AY1146" s="147"/>
      <c r="AZ1146" s="147"/>
      <c r="BA1146" s="147"/>
      <c r="BB1146" s="147"/>
      <c r="BC1146" s="147"/>
      <c r="BD1146" s="147"/>
      <c r="BE1146" s="147"/>
      <c r="BF1146" s="147"/>
      <c r="BG1146" s="147"/>
      <c r="BH1146" s="147"/>
      <c r="BI1146" s="147"/>
      <c r="BJ1146" s="147"/>
      <c r="BK1146" s="147"/>
      <c r="BL1146" s="147"/>
      <c r="BM1146" s="147"/>
      <c r="BN1146" s="147"/>
      <c r="BO1146" s="147"/>
      <c r="BP1146" s="147"/>
      <c r="BQ1146" s="147"/>
      <c r="BR1146" s="147"/>
      <c r="BS1146" s="147"/>
      <c r="BT1146" s="147"/>
      <c r="BU1146" s="147"/>
      <c r="BV1146" s="147"/>
      <c r="BW1146" s="147"/>
      <c r="BX1146" s="147"/>
      <c r="BY1146" s="147"/>
      <c r="BZ1146" s="147"/>
      <c r="CA1146" s="147"/>
      <c r="CB1146" s="147"/>
      <c r="CC1146" s="147"/>
      <c r="CD1146" s="147"/>
      <c r="CE1146" s="147"/>
      <c r="CF1146" s="147"/>
      <c r="CG1146" s="147"/>
      <c r="CH1146" s="147"/>
      <c r="CI1146" s="147"/>
      <c r="CJ1146" s="147"/>
      <c r="CK1146" s="147"/>
    </row>
    <row r="1147" spans="1:89">
      <c r="A1147" s="157"/>
      <c r="F1147" s="3"/>
      <c r="G1147" s="3"/>
      <c r="L1147" s="157"/>
      <c r="M1147" s="157"/>
      <c r="O1147" s="147"/>
      <c r="P1147" s="147"/>
      <c r="Q1147" s="147"/>
      <c r="R1147" s="147"/>
      <c r="S1147" s="147"/>
      <c r="T1147" s="147"/>
      <c r="U1147" s="147"/>
      <c r="V1147" s="147"/>
      <c r="W1147" s="147"/>
      <c r="X1147" s="147"/>
      <c r="Y1147" s="147"/>
      <c r="Z1147" s="147"/>
      <c r="AA1147" s="147"/>
      <c r="AB1147" s="147"/>
      <c r="AC1147" s="147"/>
      <c r="AD1147" s="147"/>
      <c r="AE1147" s="147"/>
      <c r="AF1147" s="147"/>
      <c r="AG1147" s="147"/>
      <c r="AH1147" s="147"/>
      <c r="AI1147" s="147"/>
      <c r="AJ1147" s="147"/>
      <c r="AK1147" s="147"/>
      <c r="AL1147" s="147"/>
      <c r="AM1147" s="151"/>
      <c r="AN1147" s="147"/>
      <c r="AO1147" s="147"/>
      <c r="AP1147" s="147"/>
      <c r="AQ1147" s="147"/>
      <c r="AR1147" s="147"/>
      <c r="AS1147" s="147"/>
      <c r="AT1147" s="147"/>
      <c r="AU1147" s="147"/>
      <c r="AV1147" s="147"/>
      <c r="AW1147" s="147"/>
      <c r="AX1147" s="147"/>
      <c r="AY1147" s="147"/>
      <c r="AZ1147" s="147"/>
      <c r="BA1147" s="147"/>
      <c r="BB1147" s="147"/>
      <c r="BC1147" s="147"/>
      <c r="BD1147" s="147"/>
      <c r="BE1147" s="147"/>
      <c r="BF1147" s="147"/>
      <c r="BG1147" s="147"/>
      <c r="BH1147" s="147"/>
      <c r="BI1147" s="147"/>
      <c r="BJ1147" s="147"/>
      <c r="BK1147" s="147"/>
      <c r="BL1147" s="147"/>
      <c r="BM1147" s="147"/>
      <c r="BN1147" s="147"/>
      <c r="BO1147" s="147"/>
      <c r="BP1147" s="147"/>
      <c r="BQ1147" s="147"/>
      <c r="BR1147" s="147"/>
      <c r="BS1147" s="147"/>
      <c r="BT1147" s="147"/>
      <c r="BU1147" s="147"/>
      <c r="BV1147" s="147"/>
      <c r="BW1147" s="147"/>
      <c r="BX1147" s="147"/>
      <c r="BY1147" s="147"/>
      <c r="BZ1147" s="147"/>
      <c r="CA1147" s="147"/>
      <c r="CB1147" s="147"/>
      <c r="CC1147" s="147"/>
      <c r="CD1147" s="147"/>
      <c r="CE1147" s="147"/>
      <c r="CF1147" s="147"/>
      <c r="CG1147" s="147"/>
      <c r="CH1147" s="147"/>
      <c r="CI1147" s="147"/>
      <c r="CJ1147" s="147"/>
      <c r="CK1147" s="147"/>
    </row>
    <row r="1148" spans="1:89">
      <c r="A1148" s="157"/>
      <c r="F1148" s="3"/>
      <c r="G1148" s="3"/>
      <c r="L1148" s="157"/>
      <c r="M1148" s="157"/>
      <c r="O1148" s="147"/>
      <c r="P1148" s="147"/>
      <c r="Q1148" s="147"/>
      <c r="R1148" s="147"/>
      <c r="S1148" s="147"/>
      <c r="T1148" s="147"/>
      <c r="U1148" s="147"/>
      <c r="V1148" s="147"/>
      <c r="W1148" s="147"/>
      <c r="X1148" s="147"/>
      <c r="Y1148" s="147"/>
      <c r="Z1148" s="147"/>
      <c r="AA1148" s="147"/>
      <c r="AB1148" s="147"/>
      <c r="AC1148" s="147"/>
      <c r="AD1148" s="147"/>
      <c r="AE1148" s="147"/>
      <c r="AF1148" s="147"/>
      <c r="AG1148" s="147"/>
      <c r="AH1148" s="147"/>
      <c r="AI1148" s="147"/>
      <c r="AJ1148" s="147"/>
      <c r="AK1148" s="147"/>
      <c r="AL1148" s="147"/>
      <c r="AM1148" s="151"/>
      <c r="AN1148" s="147"/>
      <c r="AO1148" s="147"/>
      <c r="AP1148" s="147"/>
      <c r="AQ1148" s="147"/>
      <c r="AR1148" s="147"/>
      <c r="AS1148" s="147"/>
      <c r="AT1148" s="147"/>
      <c r="AU1148" s="147"/>
      <c r="AV1148" s="147"/>
      <c r="AW1148" s="147"/>
      <c r="AX1148" s="147"/>
      <c r="AY1148" s="147"/>
      <c r="AZ1148" s="147"/>
      <c r="BA1148" s="147"/>
      <c r="BB1148" s="147"/>
      <c r="BC1148" s="147"/>
      <c r="BD1148" s="147"/>
      <c r="BE1148" s="147"/>
      <c r="BF1148" s="147"/>
      <c r="BG1148" s="147"/>
      <c r="BH1148" s="147"/>
      <c r="BI1148" s="147"/>
      <c r="BJ1148" s="147"/>
      <c r="BK1148" s="147"/>
      <c r="BL1148" s="147"/>
      <c r="BM1148" s="147"/>
      <c r="BN1148" s="147"/>
      <c r="BO1148" s="147"/>
      <c r="BP1148" s="147"/>
      <c r="BQ1148" s="147"/>
      <c r="BR1148" s="147"/>
      <c r="BS1148" s="147"/>
      <c r="BT1148" s="147"/>
      <c r="BU1148" s="147"/>
      <c r="BV1148" s="147"/>
      <c r="BW1148" s="147"/>
      <c r="BX1148" s="147"/>
      <c r="BY1148" s="147"/>
      <c r="BZ1148" s="147"/>
      <c r="CA1148" s="147"/>
      <c r="CB1148" s="147"/>
      <c r="CC1148" s="147"/>
      <c r="CD1148" s="147"/>
      <c r="CE1148" s="147"/>
      <c r="CF1148" s="147"/>
      <c r="CG1148" s="147"/>
      <c r="CH1148" s="147"/>
      <c r="CI1148" s="147"/>
      <c r="CJ1148" s="147"/>
      <c r="CK1148" s="147"/>
    </row>
    <row r="1149" spans="1:89">
      <c r="A1149" s="157"/>
      <c r="F1149" s="3"/>
      <c r="G1149" s="3"/>
      <c r="L1149" s="157"/>
      <c r="M1149" s="157"/>
      <c r="O1149" s="147"/>
      <c r="P1149" s="147"/>
      <c r="Q1149" s="147"/>
      <c r="R1149" s="147"/>
      <c r="S1149" s="147"/>
      <c r="T1149" s="147"/>
      <c r="U1149" s="147"/>
      <c r="V1149" s="147"/>
      <c r="W1149" s="147"/>
      <c r="X1149" s="147"/>
      <c r="Y1149" s="147"/>
      <c r="Z1149" s="147"/>
      <c r="AA1149" s="147"/>
      <c r="AB1149" s="147"/>
      <c r="AC1149" s="147"/>
      <c r="AD1149" s="147"/>
      <c r="AE1149" s="147"/>
      <c r="AF1149" s="147"/>
      <c r="AG1149" s="147"/>
      <c r="AH1149" s="147"/>
      <c r="AI1149" s="147"/>
      <c r="AJ1149" s="147"/>
      <c r="AK1149" s="147"/>
      <c r="AL1149" s="147"/>
      <c r="AM1149" s="151"/>
      <c r="AN1149" s="147"/>
      <c r="AO1149" s="147"/>
      <c r="AP1149" s="147"/>
      <c r="AQ1149" s="147"/>
      <c r="AR1149" s="147"/>
      <c r="AS1149" s="147"/>
      <c r="AT1149" s="147"/>
      <c r="AU1149" s="147"/>
      <c r="AV1149" s="147"/>
      <c r="AW1149" s="147"/>
      <c r="AX1149" s="147"/>
      <c r="AY1149" s="147"/>
      <c r="AZ1149" s="147"/>
      <c r="BA1149" s="147"/>
      <c r="BB1149" s="147"/>
      <c r="BC1149" s="147"/>
      <c r="BD1149" s="147"/>
      <c r="BE1149" s="147"/>
      <c r="BF1149" s="147"/>
      <c r="BG1149" s="147"/>
      <c r="BH1149" s="147"/>
      <c r="BI1149" s="147"/>
      <c r="BJ1149" s="147"/>
      <c r="BK1149" s="147"/>
      <c r="BL1149" s="147"/>
      <c r="BM1149" s="147"/>
      <c r="BN1149" s="147"/>
      <c r="BO1149" s="147"/>
      <c r="BP1149" s="147"/>
      <c r="BQ1149" s="147"/>
      <c r="BR1149" s="147"/>
      <c r="BS1149" s="147"/>
      <c r="BT1149" s="147"/>
      <c r="BU1149" s="147"/>
      <c r="BV1149" s="147"/>
      <c r="BW1149" s="147"/>
      <c r="BX1149" s="147"/>
      <c r="BY1149" s="147"/>
      <c r="BZ1149" s="147"/>
      <c r="CA1149" s="147"/>
      <c r="CB1149" s="147"/>
      <c r="CC1149" s="147"/>
      <c r="CD1149" s="147"/>
      <c r="CE1149" s="147"/>
      <c r="CF1149" s="147"/>
      <c r="CG1149" s="147"/>
      <c r="CH1149" s="147"/>
      <c r="CI1149" s="147"/>
      <c r="CJ1149" s="147"/>
      <c r="CK1149" s="147"/>
    </row>
    <row r="1150" spans="1:89">
      <c r="A1150" s="157"/>
      <c r="F1150" s="3"/>
      <c r="G1150" s="3"/>
      <c r="L1150" s="157"/>
      <c r="M1150" s="157"/>
      <c r="O1150" s="147"/>
      <c r="P1150" s="147"/>
      <c r="Q1150" s="147"/>
      <c r="R1150" s="147"/>
      <c r="S1150" s="147"/>
      <c r="T1150" s="147"/>
      <c r="U1150" s="147"/>
      <c r="V1150" s="147"/>
      <c r="W1150" s="147"/>
      <c r="X1150" s="147"/>
      <c r="Y1150" s="147"/>
      <c r="Z1150" s="147"/>
      <c r="AA1150" s="147"/>
      <c r="AB1150" s="147"/>
      <c r="AC1150" s="147"/>
      <c r="AD1150" s="147"/>
      <c r="AE1150" s="147"/>
      <c r="AF1150" s="147"/>
      <c r="AG1150" s="147"/>
      <c r="AH1150" s="147"/>
      <c r="AI1150" s="147"/>
      <c r="AJ1150" s="147"/>
      <c r="AK1150" s="147"/>
      <c r="AL1150" s="147"/>
      <c r="AM1150" s="151"/>
      <c r="AN1150" s="147"/>
      <c r="AO1150" s="147"/>
      <c r="AP1150" s="147"/>
      <c r="AQ1150" s="147"/>
      <c r="AR1150" s="147"/>
      <c r="AS1150" s="147"/>
      <c r="AT1150" s="147"/>
      <c r="AU1150" s="147"/>
      <c r="AV1150" s="147"/>
      <c r="AW1150" s="147"/>
      <c r="AX1150" s="147"/>
      <c r="AY1150" s="147"/>
      <c r="AZ1150" s="147"/>
      <c r="BA1150" s="147"/>
      <c r="BB1150" s="147"/>
      <c r="BC1150" s="147"/>
      <c r="BD1150" s="147"/>
      <c r="BE1150" s="147"/>
      <c r="BF1150" s="147"/>
      <c r="BG1150" s="147"/>
      <c r="BH1150" s="147"/>
      <c r="BI1150" s="147"/>
      <c r="BJ1150" s="147"/>
      <c r="BK1150" s="147"/>
      <c r="BL1150" s="147"/>
      <c r="BM1150" s="147"/>
      <c r="BN1150" s="147"/>
      <c r="BO1150" s="147"/>
      <c r="BP1150" s="147"/>
      <c r="BQ1150" s="147"/>
      <c r="BR1150" s="147"/>
      <c r="BS1150" s="147"/>
      <c r="BT1150" s="147"/>
      <c r="BU1150" s="147"/>
      <c r="BV1150" s="147"/>
      <c r="BW1150" s="147"/>
      <c r="BX1150" s="147"/>
      <c r="BY1150" s="147"/>
      <c r="BZ1150" s="147"/>
      <c r="CA1150" s="147"/>
      <c r="CB1150" s="147"/>
      <c r="CC1150" s="147"/>
      <c r="CD1150" s="147"/>
      <c r="CE1150" s="147"/>
      <c r="CF1150" s="147"/>
      <c r="CG1150" s="147"/>
      <c r="CH1150" s="147"/>
      <c r="CI1150" s="147"/>
      <c r="CJ1150" s="147"/>
      <c r="CK1150" s="147"/>
    </row>
    <row r="1151" spans="1:89">
      <c r="A1151" s="157"/>
      <c r="F1151" s="3"/>
      <c r="G1151" s="3"/>
      <c r="L1151" s="157"/>
      <c r="M1151" s="157"/>
      <c r="O1151" s="147"/>
      <c r="P1151" s="147"/>
      <c r="Q1151" s="147"/>
      <c r="R1151" s="147"/>
      <c r="S1151" s="147"/>
      <c r="T1151" s="147"/>
      <c r="U1151" s="147"/>
      <c r="V1151" s="147"/>
      <c r="W1151" s="147"/>
      <c r="X1151" s="147"/>
      <c r="Y1151" s="147"/>
      <c r="Z1151" s="147"/>
      <c r="AA1151" s="147"/>
      <c r="AB1151" s="147"/>
      <c r="AC1151" s="147"/>
      <c r="AD1151" s="147"/>
      <c r="AE1151" s="147"/>
      <c r="AF1151" s="147"/>
      <c r="AG1151" s="147"/>
      <c r="AH1151" s="147"/>
      <c r="AI1151" s="147"/>
      <c r="AJ1151" s="147"/>
      <c r="AK1151" s="147"/>
      <c r="AL1151" s="147"/>
      <c r="AM1151" s="151"/>
      <c r="AN1151" s="147"/>
      <c r="AO1151" s="147"/>
      <c r="AP1151" s="147"/>
      <c r="AQ1151" s="147"/>
      <c r="AR1151" s="147"/>
      <c r="AS1151" s="147"/>
      <c r="AT1151" s="147"/>
      <c r="AU1151" s="147"/>
      <c r="AV1151" s="147"/>
      <c r="AW1151" s="147"/>
      <c r="AX1151" s="147"/>
      <c r="AY1151" s="147"/>
      <c r="AZ1151" s="147"/>
      <c r="BA1151" s="147"/>
      <c r="BB1151" s="147"/>
      <c r="BC1151" s="147"/>
      <c r="BD1151" s="147"/>
      <c r="BE1151" s="147"/>
      <c r="BF1151" s="147"/>
      <c r="BG1151" s="147"/>
      <c r="BH1151" s="147"/>
      <c r="BI1151" s="147"/>
      <c r="BJ1151" s="147"/>
      <c r="BK1151" s="147"/>
      <c r="BL1151" s="147"/>
      <c r="BM1151" s="147"/>
      <c r="BN1151" s="147"/>
      <c r="BO1151" s="147"/>
      <c r="BP1151" s="147"/>
      <c r="BQ1151" s="147"/>
      <c r="BR1151" s="147"/>
      <c r="BS1151" s="147"/>
      <c r="BT1151" s="147"/>
      <c r="BU1151" s="147"/>
      <c r="BV1151" s="147"/>
      <c r="BW1151" s="147"/>
      <c r="BX1151" s="147"/>
      <c r="BY1151" s="147"/>
      <c r="BZ1151" s="147"/>
      <c r="CA1151" s="147"/>
      <c r="CB1151" s="147"/>
      <c r="CC1151" s="147"/>
      <c r="CD1151" s="147"/>
      <c r="CE1151" s="147"/>
      <c r="CF1151" s="147"/>
      <c r="CG1151" s="147"/>
      <c r="CH1151" s="147"/>
      <c r="CI1151" s="147"/>
      <c r="CJ1151" s="147"/>
      <c r="CK1151" s="147"/>
    </row>
    <row r="1152" spans="1:89">
      <c r="A1152" s="157"/>
      <c r="F1152" s="3"/>
      <c r="G1152" s="3"/>
      <c r="L1152" s="157"/>
      <c r="M1152" s="157"/>
      <c r="O1152" s="147"/>
      <c r="P1152" s="147"/>
      <c r="Q1152" s="147"/>
      <c r="R1152" s="147"/>
      <c r="S1152" s="147"/>
      <c r="T1152" s="147"/>
      <c r="U1152" s="147"/>
      <c r="V1152" s="147"/>
      <c r="W1152" s="147"/>
      <c r="X1152" s="147"/>
      <c r="Y1152" s="147"/>
      <c r="Z1152" s="147"/>
      <c r="AA1152" s="147"/>
      <c r="AB1152" s="147"/>
      <c r="AC1152" s="147"/>
      <c r="AD1152" s="147"/>
      <c r="AE1152" s="147"/>
      <c r="AF1152" s="147"/>
      <c r="AG1152" s="147"/>
      <c r="AH1152" s="147"/>
      <c r="AI1152" s="147"/>
      <c r="AJ1152" s="147"/>
      <c r="AK1152" s="147"/>
      <c r="AL1152" s="147"/>
      <c r="AM1152" s="151"/>
      <c r="AN1152" s="147"/>
      <c r="AO1152" s="147"/>
      <c r="AP1152" s="147"/>
      <c r="AQ1152" s="147"/>
      <c r="AR1152" s="147"/>
      <c r="AS1152" s="147"/>
      <c r="AT1152" s="147"/>
      <c r="AU1152" s="147"/>
      <c r="AV1152" s="147"/>
      <c r="AW1152" s="147"/>
      <c r="AX1152" s="147"/>
      <c r="AY1152" s="147"/>
      <c r="AZ1152" s="147"/>
      <c r="BA1152" s="147"/>
      <c r="BB1152" s="147"/>
      <c r="BC1152" s="147"/>
      <c r="BD1152" s="147"/>
      <c r="BE1152" s="147"/>
      <c r="BF1152" s="147"/>
      <c r="BG1152" s="147"/>
      <c r="BH1152" s="147"/>
      <c r="BI1152" s="147"/>
      <c r="BJ1152" s="147"/>
      <c r="BK1152" s="147"/>
      <c r="BL1152" s="147"/>
      <c r="BM1152" s="147"/>
      <c r="BN1152" s="147"/>
      <c r="BO1152" s="147"/>
      <c r="BP1152" s="147"/>
      <c r="BQ1152" s="147"/>
      <c r="BR1152" s="147"/>
      <c r="BS1152" s="147"/>
      <c r="BT1152" s="147"/>
      <c r="BU1152" s="147"/>
      <c r="BV1152" s="147"/>
      <c r="BW1152" s="147"/>
      <c r="BX1152" s="147"/>
      <c r="BY1152" s="147"/>
      <c r="BZ1152" s="147"/>
      <c r="CA1152" s="147"/>
      <c r="CB1152" s="147"/>
      <c r="CC1152" s="147"/>
      <c r="CD1152" s="147"/>
      <c r="CE1152" s="147"/>
      <c r="CF1152" s="147"/>
      <c r="CG1152" s="147"/>
      <c r="CH1152" s="147"/>
      <c r="CI1152" s="147"/>
      <c r="CJ1152" s="147"/>
      <c r="CK1152" s="147"/>
    </row>
    <row r="1153" spans="1:89">
      <c r="A1153" s="157"/>
      <c r="F1153" s="3"/>
      <c r="G1153" s="3"/>
      <c r="L1153" s="157"/>
      <c r="M1153" s="157"/>
      <c r="O1153" s="147"/>
      <c r="P1153" s="147"/>
      <c r="Q1153" s="147"/>
      <c r="R1153" s="147"/>
      <c r="S1153" s="147"/>
      <c r="T1153" s="147"/>
      <c r="U1153" s="147"/>
      <c r="V1153" s="147"/>
      <c r="W1153" s="147"/>
      <c r="X1153" s="147"/>
      <c r="Y1153" s="147"/>
      <c r="Z1153" s="147"/>
      <c r="AA1153" s="147"/>
      <c r="AB1153" s="147"/>
      <c r="AC1153" s="147"/>
      <c r="AD1153" s="147"/>
      <c r="AE1153" s="147"/>
      <c r="AF1153" s="147"/>
      <c r="AG1153" s="147"/>
      <c r="AH1153" s="147"/>
      <c r="AI1153" s="147"/>
      <c r="AJ1153" s="147"/>
      <c r="AK1153" s="147"/>
      <c r="AL1153" s="147"/>
      <c r="AM1153" s="151"/>
      <c r="AN1153" s="147"/>
      <c r="AO1153" s="147"/>
      <c r="AP1153" s="147"/>
      <c r="AQ1153" s="147"/>
      <c r="AR1153" s="147"/>
      <c r="AS1153" s="147"/>
      <c r="AT1153" s="147"/>
      <c r="AU1153" s="147"/>
      <c r="AV1153" s="147"/>
      <c r="AW1153" s="147"/>
      <c r="AX1153" s="147"/>
      <c r="AY1153" s="147"/>
      <c r="AZ1153" s="147"/>
      <c r="BA1153" s="147"/>
      <c r="BB1153" s="147"/>
      <c r="BC1153" s="147"/>
      <c r="BD1153" s="147"/>
      <c r="BE1153" s="147"/>
      <c r="BF1153" s="147"/>
      <c r="BG1153" s="147"/>
      <c r="BH1153" s="147"/>
      <c r="BI1153" s="147"/>
      <c r="BJ1153" s="147"/>
      <c r="BK1153" s="147"/>
      <c r="BL1153" s="147"/>
      <c r="BM1153" s="147"/>
      <c r="BN1153" s="147"/>
      <c r="BO1153" s="147"/>
      <c r="BP1153" s="147"/>
      <c r="BQ1153" s="147"/>
      <c r="BR1153" s="147"/>
      <c r="BS1153" s="147"/>
      <c r="BT1153" s="147"/>
      <c r="BU1153" s="147"/>
      <c r="BV1153" s="147"/>
      <c r="BW1153" s="147"/>
      <c r="BX1153" s="147"/>
      <c r="BY1153" s="147"/>
      <c r="BZ1153" s="147"/>
      <c r="CA1153" s="147"/>
      <c r="CB1153" s="147"/>
      <c r="CC1153" s="147"/>
      <c r="CD1153" s="147"/>
      <c r="CE1153" s="147"/>
      <c r="CF1153" s="147"/>
      <c r="CG1153" s="147"/>
      <c r="CH1153" s="147"/>
      <c r="CI1153" s="147"/>
      <c r="CJ1153" s="147"/>
      <c r="CK1153" s="147"/>
    </row>
    <row r="1154" spans="1:89">
      <c r="A1154" s="157"/>
      <c r="F1154" s="3"/>
      <c r="G1154" s="3"/>
      <c r="L1154" s="157"/>
      <c r="M1154" s="157"/>
      <c r="O1154" s="147"/>
      <c r="P1154" s="147"/>
      <c r="Q1154" s="147"/>
      <c r="R1154" s="147"/>
      <c r="S1154" s="147"/>
      <c r="T1154" s="147"/>
      <c r="U1154" s="147"/>
      <c r="V1154" s="147"/>
      <c r="W1154" s="147"/>
      <c r="X1154" s="147"/>
      <c r="Y1154" s="147"/>
      <c r="Z1154" s="147"/>
      <c r="AA1154" s="147"/>
      <c r="AB1154" s="147"/>
      <c r="AC1154" s="147"/>
      <c r="AD1154" s="147"/>
      <c r="AE1154" s="147"/>
      <c r="AF1154" s="147"/>
      <c r="AG1154" s="147"/>
      <c r="AH1154" s="147"/>
      <c r="AI1154" s="147"/>
      <c r="AJ1154" s="147"/>
      <c r="AK1154" s="147"/>
      <c r="AL1154" s="147"/>
      <c r="AM1154" s="151"/>
      <c r="AN1154" s="147"/>
      <c r="AO1154" s="147"/>
      <c r="AP1154" s="147"/>
      <c r="AQ1154" s="147"/>
      <c r="AR1154" s="147"/>
      <c r="AS1154" s="147"/>
      <c r="AT1154" s="147"/>
      <c r="AU1154" s="147"/>
      <c r="AV1154" s="147"/>
      <c r="AW1154" s="147"/>
      <c r="AX1154" s="147"/>
      <c r="AY1154" s="147"/>
      <c r="AZ1154" s="147"/>
      <c r="BA1154" s="147"/>
      <c r="BB1154" s="147"/>
      <c r="BC1154" s="147"/>
      <c r="BD1154" s="147"/>
      <c r="BE1154" s="147"/>
      <c r="BF1154" s="147"/>
      <c r="BG1154" s="147"/>
      <c r="BH1154" s="147"/>
      <c r="BI1154" s="147"/>
      <c r="BJ1154" s="147"/>
      <c r="BK1154" s="147"/>
      <c r="BL1154" s="147"/>
      <c r="BM1154" s="147"/>
      <c r="BN1154" s="147"/>
      <c r="BO1154" s="147"/>
      <c r="BP1154" s="147"/>
      <c r="BQ1154" s="147"/>
      <c r="BR1154" s="147"/>
      <c r="BS1154" s="147"/>
      <c r="BT1154" s="147"/>
      <c r="BU1154" s="147"/>
      <c r="BV1154" s="147"/>
      <c r="BW1154" s="147"/>
      <c r="BX1154" s="147"/>
      <c r="BY1154" s="147"/>
      <c r="BZ1154" s="147"/>
      <c r="CA1154" s="147"/>
      <c r="CB1154" s="147"/>
      <c r="CC1154" s="147"/>
      <c r="CD1154" s="147"/>
      <c r="CE1154" s="147"/>
      <c r="CF1154" s="147"/>
      <c r="CG1154" s="147"/>
      <c r="CH1154" s="147"/>
      <c r="CI1154" s="147"/>
      <c r="CJ1154" s="147"/>
      <c r="CK1154" s="147"/>
    </row>
    <row r="1155" spans="1:89">
      <c r="A1155" s="157"/>
      <c r="F1155" s="3"/>
      <c r="G1155" s="3"/>
      <c r="L1155" s="157"/>
      <c r="M1155" s="157"/>
      <c r="O1155" s="147"/>
      <c r="P1155" s="147"/>
      <c r="Q1155" s="147"/>
      <c r="R1155" s="147"/>
      <c r="S1155" s="147"/>
      <c r="T1155" s="147"/>
      <c r="U1155" s="147"/>
      <c r="V1155" s="147"/>
      <c r="W1155" s="147"/>
      <c r="X1155" s="147"/>
      <c r="Y1155" s="147"/>
      <c r="Z1155" s="147"/>
      <c r="AA1155" s="147"/>
      <c r="AB1155" s="147"/>
      <c r="AC1155" s="147"/>
      <c r="AD1155" s="147"/>
      <c r="AE1155" s="147"/>
      <c r="AF1155" s="147"/>
      <c r="AG1155" s="147"/>
      <c r="AH1155" s="147"/>
      <c r="AI1155" s="147"/>
      <c r="AJ1155" s="147"/>
      <c r="AK1155" s="147"/>
      <c r="AL1155" s="147"/>
      <c r="AM1155" s="151"/>
      <c r="AN1155" s="147"/>
      <c r="AO1155" s="147"/>
      <c r="AP1155" s="147"/>
      <c r="AQ1155" s="147"/>
      <c r="AR1155" s="147"/>
      <c r="AS1155" s="147"/>
      <c r="AT1155" s="147"/>
      <c r="AU1155" s="147"/>
      <c r="AV1155" s="147"/>
      <c r="AW1155" s="147"/>
      <c r="AX1155" s="147"/>
      <c r="AY1155" s="147"/>
      <c r="AZ1155" s="147"/>
      <c r="BA1155" s="147"/>
      <c r="BB1155" s="147"/>
      <c r="BC1155" s="147"/>
      <c r="BD1155" s="147"/>
      <c r="BE1155" s="147"/>
      <c r="BF1155" s="147"/>
      <c r="BG1155" s="147"/>
      <c r="BH1155" s="147"/>
      <c r="BI1155" s="147"/>
      <c r="BJ1155" s="147"/>
      <c r="BK1155" s="147"/>
      <c r="BL1155" s="147"/>
      <c r="BM1155" s="147"/>
      <c r="BN1155" s="147"/>
      <c r="BO1155" s="147"/>
      <c r="BP1155" s="147"/>
      <c r="BQ1155" s="147"/>
      <c r="BR1155" s="147"/>
      <c r="BS1155" s="147"/>
      <c r="BT1155" s="147"/>
      <c r="BU1155" s="147"/>
      <c r="BV1155" s="147"/>
      <c r="BW1155" s="147"/>
      <c r="BX1155" s="147"/>
      <c r="BY1155" s="147"/>
      <c r="BZ1155" s="147"/>
      <c r="CA1155" s="147"/>
      <c r="CB1155" s="147"/>
      <c r="CC1155" s="147"/>
      <c r="CD1155" s="147"/>
      <c r="CE1155" s="147"/>
      <c r="CF1155" s="147"/>
      <c r="CG1155" s="147"/>
      <c r="CH1155" s="147"/>
      <c r="CI1155" s="147"/>
      <c r="CJ1155" s="147"/>
      <c r="CK1155" s="147"/>
    </row>
    <row r="1156" spans="1:89">
      <c r="A1156" s="157"/>
      <c r="F1156" s="3"/>
      <c r="G1156" s="3"/>
      <c r="L1156" s="157"/>
      <c r="M1156" s="157"/>
      <c r="O1156" s="147"/>
      <c r="P1156" s="147"/>
      <c r="Q1156" s="147"/>
      <c r="R1156" s="147"/>
      <c r="S1156" s="147"/>
      <c r="T1156" s="147"/>
      <c r="U1156" s="147"/>
      <c r="V1156" s="147"/>
      <c r="W1156" s="147"/>
      <c r="X1156" s="147"/>
      <c r="Y1156" s="147"/>
      <c r="Z1156" s="147"/>
      <c r="AA1156" s="147"/>
      <c r="AB1156" s="147"/>
      <c r="AC1156" s="147"/>
      <c r="AD1156" s="147"/>
      <c r="AE1156" s="147"/>
      <c r="AF1156" s="147"/>
      <c r="AG1156" s="147"/>
      <c r="AH1156" s="147"/>
      <c r="AI1156" s="147"/>
      <c r="AJ1156" s="147"/>
      <c r="AK1156" s="147"/>
      <c r="AL1156" s="147"/>
      <c r="AM1156" s="151"/>
      <c r="AN1156" s="147"/>
      <c r="AO1156" s="147"/>
      <c r="AP1156" s="147"/>
      <c r="AQ1156" s="147"/>
      <c r="AR1156" s="147"/>
      <c r="AS1156" s="147"/>
      <c r="AT1156" s="147"/>
      <c r="AU1156" s="147"/>
      <c r="AV1156" s="147"/>
      <c r="AW1156" s="147"/>
      <c r="AX1156" s="147"/>
      <c r="AY1156" s="147"/>
      <c r="AZ1156" s="147"/>
      <c r="BA1156" s="147"/>
      <c r="BB1156" s="147"/>
      <c r="BC1156" s="147"/>
      <c r="BD1156" s="147"/>
      <c r="BE1156" s="147"/>
      <c r="BF1156" s="147"/>
      <c r="BG1156" s="147"/>
      <c r="BH1156" s="147"/>
      <c r="BI1156" s="147"/>
      <c r="BJ1156" s="147"/>
      <c r="BK1156" s="147"/>
      <c r="BL1156" s="147"/>
      <c r="BM1156" s="147"/>
      <c r="BN1156" s="147"/>
      <c r="BO1156" s="147"/>
      <c r="BP1156" s="147"/>
      <c r="BQ1156" s="147"/>
      <c r="BR1156" s="147"/>
      <c r="BS1156" s="147"/>
      <c r="BT1156" s="147"/>
      <c r="BU1156" s="147"/>
      <c r="BV1156" s="147"/>
      <c r="BW1156" s="147"/>
      <c r="BX1156" s="147"/>
      <c r="BY1156" s="147"/>
      <c r="BZ1156" s="147"/>
      <c r="CA1156" s="147"/>
      <c r="CB1156" s="147"/>
      <c r="CC1156" s="147"/>
      <c r="CD1156" s="147"/>
      <c r="CE1156" s="147"/>
      <c r="CF1156" s="147"/>
      <c r="CG1156" s="147"/>
      <c r="CH1156" s="147"/>
      <c r="CI1156" s="147"/>
      <c r="CJ1156" s="147"/>
      <c r="CK1156" s="147"/>
    </row>
    <row r="1157" spans="1:89">
      <c r="A1157" s="157"/>
      <c r="F1157" s="3"/>
      <c r="G1157" s="3"/>
      <c r="L1157" s="157"/>
      <c r="M1157" s="157"/>
      <c r="O1157" s="147"/>
      <c r="P1157" s="147"/>
      <c r="Q1157" s="147"/>
      <c r="R1157" s="147"/>
      <c r="S1157" s="147"/>
      <c r="T1157" s="147"/>
      <c r="U1157" s="147"/>
      <c r="V1157" s="147"/>
      <c r="W1157" s="147"/>
      <c r="X1157" s="147"/>
      <c r="Y1157" s="147"/>
      <c r="Z1157" s="147"/>
      <c r="AA1157" s="147"/>
      <c r="AB1157" s="147"/>
      <c r="AC1157" s="147"/>
      <c r="AD1157" s="147"/>
      <c r="AE1157" s="147"/>
      <c r="AF1157" s="147"/>
      <c r="AG1157" s="147"/>
      <c r="AH1157" s="147"/>
      <c r="AI1157" s="147"/>
      <c r="AJ1157" s="147"/>
      <c r="AK1157" s="147"/>
      <c r="AL1157" s="147"/>
      <c r="AM1157" s="151"/>
      <c r="AN1157" s="147"/>
      <c r="AO1157" s="147"/>
      <c r="AP1157" s="147"/>
      <c r="AQ1157" s="147"/>
      <c r="AR1157" s="147"/>
      <c r="AS1157" s="147"/>
      <c r="AT1157" s="147"/>
      <c r="AU1157" s="147"/>
      <c r="AV1157" s="147"/>
      <c r="AW1157" s="147"/>
      <c r="AX1157" s="147"/>
      <c r="AY1157" s="147"/>
      <c r="AZ1157" s="147"/>
      <c r="BA1157" s="147"/>
      <c r="BB1157" s="147"/>
      <c r="BC1157" s="147"/>
      <c r="BD1157" s="147"/>
      <c r="BE1157" s="147"/>
      <c r="BF1157" s="147"/>
      <c r="BG1157" s="147"/>
      <c r="BH1157" s="147"/>
      <c r="BI1157" s="147"/>
      <c r="BJ1157" s="147"/>
      <c r="BK1157" s="147"/>
      <c r="BL1157" s="147"/>
      <c r="BM1157" s="147"/>
      <c r="BN1157" s="147"/>
      <c r="BO1157" s="147"/>
      <c r="BP1157" s="147"/>
      <c r="BQ1157" s="147"/>
      <c r="BR1157" s="147"/>
      <c r="BS1157" s="147"/>
      <c r="BT1157" s="147"/>
      <c r="BU1157" s="147"/>
      <c r="BV1157" s="147"/>
      <c r="BW1157" s="147"/>
      <c r="BX1157" s="147"/>
      <c r="BY1157" s="147"/>
      <c r="BZ1157" s="147"/>
      <c r="CA1157" s="147"/>
      <c r="CB1157" s="147"/>
      <c r="CC1157" s="147"/>
      <c r="CD1157" s="147"/>
      <c r="CE1157" s="147"/>
      <c r="CF1157" s="147"/>
      <c r="CG1157" s="147"/>
      <c r="CH1157" s="147"/>
      <c r="CI1157" s="147"/>
      <c r="CJ1157" s="147"/>
      <c r="CK1157" s="147"/>
    </row>
    <row r="1158" spans="1:89">
      <c r="A1158" s="157"/>
      <c r="F1158" s="3"/>
      <c r="G1158" s="3"/>
      <c r="L1158" s="157"/>
      <c r="M1158" s="157"/>
      <c r="O1158" s="147"/>
      <c r="P1158" s="147"/>
      <c r="Q1158" s="147"/>
      <c r="R1158" s="147"/>
      <c r="S1158" s="147"/>
      <c r="T1158" s="147"/>
      <c r="U1158" s="147"/>
      <c r="V1158" s="147"/>
      <c r="W1158" s="147"/>
      <c r="X1158" s="147"/>
      <c r="Y1158" s="147"/>
      <c r="Z1158" s="147"/>
      <c r="AA1158" s="147"/>
      <c r="AB1158" s="147"/>
      <c r="AC1158" s="147"/>
      <c r="AD1158" s="147"/>
      <c r="AE1158" s="147"/>
      <c r="AF1158" s="147"/>
      <c r="AG1158" s="147"/>
      <c r="AH1158" s="147"/>
      <c r="AI1158" s="147"/>
      <c r="AJ1158" s="147"/>
      <c r="AK1158" s="147"/>
      <c r="AL1158" s="147"/>
      <c r="AM1158" s="151"/>
      <c r="AN1158" s="147"/>
      <c r="AO1158" s="147"/>
      <c r="AP1158" s="147"/>
      <c r="AQ1158" s="147"/>
      <c r="AR1158" s="147"/>
      <c r="AS1158" s="147"/>
      <c r="AT1158" s="147"/>
      <c r="AU1158" s="147"/>
      <c r="AV1158" s="147"/>
      <c r="AW1158" s="147"/>
      <c r="AX1158" s="147"/>
      <c r="AY1158" s="147"/>
      <c r="AZ1158" s="147"/>
      <c r="BA1158" s="147"/>
      <c r="BB1158" s="147"/>
      <c r="BC1158" s="147"/>
      <c r="BD1158" s="147"/>
      <c r="BE1158" s="147"/>
      <c r="BF1158" s="147"/>
      <c r="BG1158" s="147"/>
      <c r="BH1158" s="147"/>
      <c r="BI1158" s="147"/>
      <c r="BJ1158" s="147"/>
      <c r="BK1158" s="147"/>
      <c r="BL1158" s="147"/>
      <c r="BM1158" s="147"/>
      <c r="BN1158" s="147"/>
      <c r="BO1158" s="147"/>
      <c r="BP1158" s="147"/>
      <c r="BQ1158" s="147"/>
      <c r="BR1158" s="147"/>
      <c r="BS1158" s="147"/>
      <c r="BT1158" s="147"/>
      <c r="BU1158" s="147"/>
      <c r="BV1158" s="147"/>
      <c r="BW1158" s="147"/>
      <c r="BX1158" s="147"/>
      <c r="BY1158" s="147"/>
      <c r="BZ1158" s="147"/>
      <c r="CA1158" s="147"/>
      <c r="CB1158" s="147"/>
      <c r="CC1158" s="147"/>
      <c r="CD1158" s="147"/>
      <c r="CE1158" s="147"/>
      <c r="CF1158" s="147"/>
      <c r="CG1158" s="147"/>
      <c r="CH1158" s="147"/>
      <c r="CI1158" s="147"/>
      <c r="CJ1158" s="147"/>
      <c r="CK1158" s="147"/>
    </row>
    <row r="1159" spans="1:89">
      <c r="A1159" s="157"/>
      <c r="F1159" s="3"/>
      <c r="G1159" s="3"/>
      <c r="L1159" s="157"/>
      <c r="M1159" s="157"/>
      <c r="O1159" s="147"/>
      <c r="P1159" s="147"/>
      <c r="Q1159" s="147"/>
      <c r="R1159" s="147"/>
      <c r="S1159" s="147"/>
      <c r="T1159" s="147"/>
      <c r="U1159" s="147"/>
      <c r="V1159" s="147"/>
      <c r="W1159" s="147"/>
      <c r="X1159" s="147"/>
      <c r="Y1159" s="147"/>
      <c r="Z1159" s="147"/>
      <c r="AA1159" s="147"/>
      <c r="AB1159" s="147"/>
      <c r="AC1159" s="147"/>
      <c r="AD1159" s="147"/>
      <c r="AE1159" s="147"/>
      <c r="AF1159" s="147"/>
      <c r="AG1159" s="147"/>
      <c r="AH1159" s="147"/>
      <c r="AI1159" s="147"/>
      <c r="AJ1159" s="147"/>
      <c r="AK1159" s="147"/>
      <c r="AL1159" s="147"/>
      <c r="AM1159" s="151"/>
      <c r="AN1159" s="147"/>
      <c r="AO1159" s="147"/>
      <c r="AP1159" s="147"/>
      <c r="AQ1159" s="147"/>
      <c r="AR1159" s="147"/>
      <c r="AS1159" s="147"/>
      <c r="AT1159" s="147"/>
      <c r="AU1159" s="147"/>
      <c r="AV1159" s="147"/>
      <c r="AW1159" s="147"/>
      <c r="AX1159" s="147"/>
      <c r="AY1159" s="147"/>
      <c r="AZ1159" s="147"/>
      <c r="BA1159" s="147"/>
      <c r="BB1159" s="147"/>
      <c r="BC1159" s="147"/>
      <c r="BD1159" s="147"/>
      <c r="BE1159" s="147"/>
      <c r="BF1159" s="147"/>
      <c r="BG1159" s="147"/>
      <c r="BH1159" s="147"/>
      <c r="BI1159" s="147"/>
      <c r="BJ1159" s="147"/>
      <c r="BK1159" s="147"/>
      <c r="BL1159" s="147"/>
      <c r="BM1159" s="147"/>
      <c r="BN1159" s="147"/>
      <c r="BO1159" s="147"/>
      <c r="BP1159" s="147"/>
      <c r="BQ1159" s="147"/>
      <c r="BR1159" s="147"/>
      <c r="BS1159" s="147"/>
      <c r="BT1159" s="147"/>
      <c r="BU1159" s="147"/>
      <c r="BV1159" s="147"/>
      <c r="BW1159" s="147"/>
      <c r="BX1159" s="147"/>
      <c r="BY1159" s="147"/>
      <c r="BZ1159" s="147"/>
      <c r="CA1159" s="147"/>
      <c r="CB1159" s="147"/>
      <c r="CC1159" s="147"/>
      <c r="CD1159" s="147"/>
      <c r="CE1159" s="147"/>
      <c r="CF1159" s="147"/>
      <c r="CG1159" s="147"/>
      <c r="CH1159" s="147"/>
      <c r="CI1159" s="147"/>
      <c r="CJ1159" s="147"/>
      <c r="CK1159" s="147"/>
    </row>
    <row r="1160" spans="1:89">
      <c r="A1160" s="157"/>
      <c r="F1160" s="3"/>
      <c r="G1160" s="3"/>
      <c r="L1160" s="157"/>
      <c r="M1160" s="157"/>
      <c r="O1160" s="147"/>
      <c r="P1160" s="147"/>
      <c r="Q1160" s="147"/>
      <c r="R1160" s="147"/>
      <c r="S1160" s="147"/>
      <c r="T1160" s="147"/>
      <c r="U1160" s="147"/>
      <c r="V1160" s="147"/>
      <c r="W1160" s="147"/>
      <c r="X1160" s="147"/>
      <c r="Y1160" s="147"/>
      <c r="Z1160" s="147"/>
      <c r="AA1160" s="147"/>
      <c r="AB1160" s="147"/>
      <c r="AC1160" s="147"/>
      <c r="AD1160" s="147"/>
      <c r="AE1160" s="147"/>
      <c r="AF1160" s="147"/>
      <c r="AG1160" s="147"/>
      <c r="AH1160" s="147"/>
      <c r="AI1160" s="147"/>
      <c r="AJ1160" s="147"/>
      <c r="AK1160" s="147"/>
      <c r="AL1160" s="147"/>
      <c r="AM1160" s="151"/>
      <c r="AN1160" s="147"/>
      <c r="AO1160" s="147"/>
      <c r="AP1160" s="147"/>
      <c r="AQ1160" s="147"/>
      <c r="AR1160" s="147"/>
      <c r="AS1160" s="147"/>
      <c r="AT1160" s="147"/>
      <c r="AU1160" s="147"/>
      <c r="AV1160" s="147"/>
      <c r="AW1160" s="147"/>
      <c r="AX1160" s="147"/>
      <c r="AY1160" s="147"/>
      <c r="AZ1160" s="147"/>
      <c r="BA1160" s="147"/>
      <c r="BB1160" s="147"/>
      <c r="BC1160" s="147"/>
      <c r="BD1160" s="147"/>
      <c r="BE1160" s="147"/>
      <c r="BF1160" s="147"/>
      <c r="BG1160" s="147"/>
      <c r="BH1160" s="147"/>
      <c r="BI1160" s="147"/>
      <c r="BJ1160" s="147"/>
      <c r="BK1160" s="147"/>
      <c r="BL1160" s="147"/>
      <c r="BM1160" s="147"/>
      <c r="BN1160" s="147"/>
      <c r="BO1160" s="147"/>
      <c r="BP1160" s="147"/>
      <c r="BQ1160" s="147"/>
      <c r="BR1160" s="147"/>
      <c r="BS1160" s="147"/>
      <c r="BT1160" s="147"/>
      <c r="BU1160" s="147"/>
      <c r="BV1160" s="147"/>
      <c r="BW1160" s="147"/>
      <c r="BX1160" s="147"/>
      <c r="BY1160" s="147"/>
      <c r="BZ1160" s="147"/>
      <c r="CA1160" s="147"/>
      <c r="CB1160" s="147"/>
      <c r="CC1160" s="147"/>
      <c r="CD1160" s="147"/>
      <c r="CE1160" s="147"/>
      <c r="CF1160" s="147"/>
      <c r="CG1160" s="147"/>
      <c r="CH1160" s="147"/>
      <c r="CI1160" s="147"/>
      <c r="CJ1160" s="147"/>
      <c r="CK1160" s="147"/>
    </row>
    <row r="1161" spans="1:89">
      <c r="A1161" s="157"/>
      <c r="F1161" s="3"/>
      <c r="G1161" s="3"/>
      <c r="L1161" s="157"/>
      <c r="M1161" s="157"/>
      <c r="O1161" s="147"/>
      <c r="P1161" s="147"/>
      <c r="Q1161" s="147"/>
      <c r="R1161" s="147"/>
      <c r="S1161" s="147"/>
      <c r="T1161" s="147"/>
      <c r="U1161" s="147"/>
      <c r="V1161" s="147"/>
      <c r="W1161" s="147"/>
      <c r="X1161" s="147"/>
      <c r="Y1161" s="147"/>
      <c r="Z1161" s="147"/>
      <c r="AA1161" s="147"/>
      <c r="AB1161" s="147"/>
      <c r="AC1161" s="147"/>
      <c r="AD1161" s="147"/>
      <c r="AE1161" s="147"/>
      <c r="AF1161" s="147"/>
      <c r="AG1161" s="147"/>
      <c r="AH1161" s="147"/>
      <c r="AI1161" s="147"/>
      <c r="AJ1161" s="147"/>
      <c r="AK1161" s="147"/>
      <c r="AL1161" s="147"/>
      <c r="AM1161" s="151"/>
      <c r="AN1161" s="147"/>
      <c r="AO1161" s="147"/>
      <c r="AP1161" s="147"/>
      <c r="AQ1161" s="147"/>
      <c r="AR1161" s="147"/>
      <c r="AS1161" s="147"/>
      <c r="AT1161" s="147"/>
      <c r="AU1161" s="147"/>
      <c r="AV1161" s="147"/>
      <c r="AW1161" s="147"/>
      <c r="AX1161" s="147"/>
      <c r="AY1161" s="147"/>
      <c r="AZ1161" s="147"/>
      <c r="BA1161" s="147"/>
      <c r="BB1161" s="147"/>
      <c r="BC1161" s="147"/>
      <c r="BD1161" s="147"/>
      <c r="BE1161" s="147"/>
      <c r="BF1161" s="147"/>
      <c r="BG1161" s="147"/>
      <c r="BH1161" s="147"/>
      <c r="BI1161" s="147"/>
      <c r="BJ1161" s="147"/>
      <c r="BK1161" s="147"/>
      <c r="BL1161" s="147"/>
      <c r="BM1161" s="147"/>
      <c r="BN1161" s="147"/>
      <c r="BO1161" s="147"/>
      <c r="BP1161" s="147"/>
      <c r="BQ1161" s="147"/>
      <c r="BR1161" s="147"/>
      <c r="BS1161" s="147"/>
      <c r="BT1161" s="147"/>
      <c r="BU1161" s="147"/>
      <c r="BV1161" s="147"/>
      <c r="BW1161" s="147"/>
      <c r="BX1161" s="147"/>
      <c r="BY1161" s="147"/>
      <c r="BZ1161" s="147"/>
      <c r="CA1161" s="147"/>
      <c r="CB1161" s="147"/>
      <c r="CC1161" s="147"/>
      <c r="CD1161" s="147"/>
      <c r="CE1161" s="147"/>
      <c r="CF1161" s="147"/>
      <c r="CG1161" s="147"/>
      <c r="CH1161" s="147"/>
      <c r="CI1161" s="147"/>
      <c r="CJ1161" s="147"/>
      <c r="CK1161" s="147"/>
    </row>
    <row r="1162" spans="1:89">
      <c r="A1162" s="157"/>
      <c r="F1162" s="3"/>
      <c r="G1162" s="3"/>
      <c r="L1162" s="157"/>
      <c r="M1162" s="157"/>
      <c r="O1162" s="147"/>
      <c r="P1162" s="147"/>
      <c r="Q1162" s="147"/>
      <c r="R1162" s="147"/>
      <c r="S1162" s="147"/>
      <c r="T1162" s="147"/>
      <c r="U1162" s="147"/>
      <c r="V1162" s="147"/>
      <c r="W1162" s="147"/>
      <c r="X1162" s="147"/>
      <c r="Y1162" s="147"/>
      <c r="Z1162" s="147"/>
      <c r="AA1162" s="147"/>
      <c r="AB1162" s="147"/>
      <c r="AC1162" s="147"/>
      <c r="AD1162" s="147"/>
      <c r="AE1162" s="147"/>
      <c r="AF1162" s="147"/>
      <c r="AG1162" s="147"/>
      <c r="AH1162" s="147"/>
      <c r="AI1162" s="147"/>
      <c r="AJ1162" s="147"/>
      <c r="AK1162" s="147"/>
      <c r="AL1162" s="147"/>
      <c r="AM1162" s="151"/>
      <c r="AN1162" s="147"/>
      <c r="AO1162" s="147"/>
      <c r="AP1162" s="147"/>
      <c r="AQ1162" s="147"/>
      <c r="AR1162" s="147"/>
      <c r="AS1162" s="147"/>
      <c r="AT1162" s="147"/>
      <c r="AU1162" s="147"/>
      <c r="AV1162" s="147"/>
      <c r="AW1162" s="147"/>
      <c r="AX1162" s="147"/>
      <c r="AY1162" s="147"/>
      <c r="AZ1162" s="147"/>
      <c r="BA1162" s="147"/>
      <c r="BB1162" s="147"/>
      <c r="BC1162" s="147"/>
      <c r="BD1162" s="147"/>
      <c r="BE1162" s="147"/>
      <c r="BF1162" s="147"/>
      <c r="BG1162" s="147"/>
      <c r="BH1162" s="147"/>
      <c r="BI1162" s="147"/>
      <c r="BJ1162" s="147"/>
      <c r="BK1162" s="147"/>
      <c r="BL1162" s="147"/>
      <c r="BM1162" s="147"/>
      <c r="BN1162" s="147"/>
      <c r="BO1162" s="147"/>
      <c r="BP1162" s="147"/>
      <c r="BQ1162" s="147"/>
      <c r="BR1162" s="147"/>
      <c r="BS1162" s="147"/>
      <c r="BT1162" s="147"/>
      <c r="BU1162" s="147"/>
      <c r="BV1162" s="147"/>
      <c r="BW1162" s="147"/>
      <c r="BX1162" s="147"/>
      <c r="BY1162" s="147"/>
      <c r="BZ1162" s="147"/>
      <c r="CA1162" s="147"/>
      <c r="CB1162" s="147"/>
      <c r="CC1162" s="147"/>
      <c r="CD1162" s="147"/>
      <c r="CE1162" s="147"/>
      <c r="CF1162" s="147"/>
      <c r="CG1162" s="147"/>
      <c r="CH1162" s="147"/>
      <c r="CI1162" s="147"/>
      <c r="CJ1162" s="147"/>
      <c r="CK1162" s="147"/>
    </row>
    <row r="1163" spans="1:89">
      <c r="A1163" s="157"/>
      <c r="F1163" s="3"/>
      <c r="G1163" s="3"/>
      <c r="L1163" s="157"/>
      <c r="M1163" s="157"/>
      <c r="O1163" s="147"/>
      <c r="P1163" s="147"/>
      <c r="Q1163" s="147"/>
      <c r="R1163" s="147"/>
      <c r="S1163" s="147"/>
      <c r="T1163" s="147"/>
      <c r="U1163" s="147"/>
      <c r="V1163" s="147"/>
      <c r="W1163" s="147"/>
      <c r="X1163" s="147"/>
      <c r="Y1163" s="147"/>
      <c r="Z1163" s="147"/>
      <c r="AA1163" s="147"/>
      <c r="AB1163" s="147"/>
      <c r="AC1163" s="147"/>
      <c r="AD1163" s="147"/>
      <c r="AE1163" s="147"/>
      <c r="AF1163" s="147"/>
      <c r="AG1163" s="147"/>
      <c r="AH1163" s="147"/>
      <c r="AI1163" s="147"/>
      <c r="AJ1163" s="147"/>
      <c r="AK1163" s="147"/>
      <c r="AL1163" s="147"/>
      <c r="AM1163" s="151"/>
      <c r="AN1163" s="147"/>
      <c r="AO1163" s="147"/>
      <c r="AP1163" s="147"/>
      <c r="AQ1163" s="147"/>
      <c r="AR1163" s="147"/>
      <c r="AS1163" s="147"/>
      <c r="AT1163" s="147"/>
      <c r="AU1163" s="147"/>
      <c r="AV1163" s="147"/>
      <c r="AW1163" s="147"/>
      <c r="AX1163" s="147"/>
      <c r="AY1163" s="147"/>
      <c r="AZ1163" s="147"/>
      <c r="BA1163" s="147"/>
      <c r="BB1163" s="147"/>
      <c r="BC1163" s="147"/>
      <c r="BD1163" s="147"/>
      <c r="BE1163" s="147"/>
      <c r="BF1163" s="147"/>
      <c r="BG1163" s="147"/>
      <c r="BH1163" s="147"/>
      <c r="BI1163" s="147"/>
      <c r="BJ1163" s="147"/>
      <c r="BK1163" s="147"/>
      <c r="BL1163" s="147"/>
      <c r="BM1163" s="147"/>
      <c r="BN1163" s="147"/>
      <c r="BO1163" s="147"/>
      <c r="BP1163" s="147"/>
      <c r="BQ1163" s="147"/>
      <c r="BR1163" s="147"/>
      <c r="BS1163" s="147"/>
      <c r="BT1163" s="147"/>
      <c r="BU1163" s="147"/>
      <c r="BV1163" s="147"/>
      <c r="BW1163" s="147"/>
      <c r="BX1163" s="147"/>
      <c r="BY1163" s="147"/>
      <c r="BZ1163" s="147"/>
      <c r="CA1163" s="147"/>
      <c r="CB1163" s="147"/>
      <c r="CC1163" s="147"/>
      <c r="CD1163" s="147"/>
      <c r="CE1163" s="147"/>
      <c r="CF1163" s="147"/>
      <c r="CG1163" s="147"/>
      <c r="CH1163" s="147"/>
      <c r="CI1163" s="147"/>
      <c r="CJ1163" s="147"/>
      <c r="CK1163" s="147"/>
    </row>
    <row r="1164" spans="1:89">
      <c r="A1164" s="157"/>
      <c r="F1164" s="3"/>
      <c r="G1164" s="3"/>
      <c r="L1164" s="157"/>
      <c r="M1164" s="157"/>
      <c r="O1164" s="147"/>
      <c r="P1164" s="147"/>
      <c r="Q1164" s="147"/>
      <c r="R1164" s="147"/>
      <c r="S1164" s="147"/>
      <c r="T1164" s="147"/>
      <c r="U1164" s="147"/>
      <c r="V1164" s="147"/>
      <c r="W1164" s="147"/>
      <c r="X1164" s="147"/>
      <c r="Y1164" s="147"/>
      <c r="Z1164" s="147"/>
      <c r="AA1164" s="147"/>
      <c r="AB1164" s="147"/>
      <c r="AC1164" s="147"/>
      <c r="AD1164" s="147"/>
      <c r="AE1164" s="147"/>
      <c r="AF1164" s="147"/>
      <c r="AG1164" s="147"/>
      <c r="AH1164" s="147"/>
      <c r="AI1164" s="147"/>
      <c r="AJ1164" s="147"/>
      <c r="AK1164" s="147"/>
      <c r="AL1164" s="147"/>
      <c r="AM1164" s="151"/>
      <c r="AN1164" s="147"/>
      <c r="AO1164" s="147"/>
      <c r="AP1164" s="147"/>
      <c r="AQ1164" s="147"/>
      <c r="AR1164" s="147"/>
      <c r="AS1164" s="147"/>
      <c r="AT1164" s="147"/>
      <c r="AU1164" s="147"/>
      <c r="AV1164" s="147"/>
      <c r="AW1164" s="147"/>
      <c r="AX1164" s="147"/>
      <c r="AY1164" s="147"/>
      <c r="AZ1164" s="147"/>
      <c r="BA1164" s="147"/>
      <c r="BB1164" s="147"/>
      <c r="BC1164" s="147"/>
      <c r="BD1164" s="147"/>
      <c r="BE1164" s="147"/>
      <c r="BF1164" s="147"/>
      <c r="BG1164" s="147"/>
      <c r="BH1164" s="147"/>
      <c r="BI1164" s="147"/>
      <c r="BJ1164" s="147"/>
      <c r="BK1164" s="147"/>
      <c r="BL1164" s="147"/>
      <c r="BM1164" s="147"/>
      <c r="BN1164" s="147"/>
      <c r="BO1164" s="147"/>
      <c r="BP1164" s="147"/>
      <c r="BQ1164" s="147"/>
      <c r="BR1164" s="147"/>
      <c r="BS1164" s="147"/>
      <c r="BT1164" s="147"/>
      <c r="BU1164" s="147"/>
      <c r="BV1164" s="147"/>
      <c r="BW1164" s="147"/>
      <c r="BX1164" s="147"/>
      <c r="BY1164" s="147"/>
      <c r="BZ1164" s="147"/>
      <c r="CA1164" s="147"/>
      <c r="CB1164" s="147"/>
      <c r="CC1164" s="147"/>
      <c r="CD1164" s="147"/>
      <c r="CE1164" s="147"/>
      <c r="CF1164" s="147"/>
      <c r="CG1164" s="147"/>
      <c r="CH1164" s="147"/>
      <c r="CI1164" s="147"/>
      <c r="CJ1164" s="147"/>
      <c r="CK1164" s="147"/>
    </row>
    <row r="1165" spans="1:89">
      <c r="A1165" s="157"/>
      <c r="F1165" s="3"/>
      <c r="G1165" s="3"/>
      <c r="L1165" s="157"/>
      <c r="M1165" s="157"/>
      <c r="O1165" s="147"/>
      <c r="P1165" s="147"/>
      <c r="Q1165" s="147"/>
      <c r="R1165" s="147"/>
      <c r="S1165" s="147"/>
      <c r="T1165" s="147"/>
      <c r="U1165" s="147"/>
      <c r="V1165" s="147"/>
      <c r="W1165" s="147"/>
      <c r="X1165" s="147"/>
      <c r="Y1165" s="147"/>
      <c r="Z1165" s="147"/>
      <c r="AA1165" s="147"/>
      <c r="AB1165" s="147"/>
      <c r="AC1165" s="147"/>
      <c r="AD1165" s="147"/>
      <c r="AE1165" s="147"/>
      <c r="AF1165" s="147"/>
      <c r="AG1165" s="147"/>
      <c r="AH1165" s="147"/>
      <c r="AI1165" s="147"/>
      <c r="AJ1165" s="147"/>
      <c r="AK1165" s="147"/>
      <c r="AL1165" s="147"/>
      <c r="AM1165" s="151"/>
      <c r="AN1165" s="147"/>
      <c r="AO1165" s="147"/>
      <c r="AP1165" s="147"/>
      <c r="AQ1165" s="147"/>
      <c r="AR1165" s="147"/>
      <c r="AS1165" s="147"/>
      <c r="AT1165" s="147"/>
      <c r="AU1165" s="147"/>
      <c r="AV1165" s="147"/>
      <c r="AW1165" s="147"/>
      <c r="AX1165" s="147"/>
      <c r="AY1165" s="147"/>
      <c r="AZ1165" s="147"/>
      <c r="BA1165" s="147"/>
      <c r="BB1165" s="147"/>
      <c r="BC1165" s="147"/>
      <c r="BD1165" s="147"/>
      <c r="BE1165" s="147"/>
      <c r="BF1165" s="147"/>
      <c r="BG1165" s="147"/>
      <c r="BH1165" s="147"/>
      <c r="BI1165" s="147"/>
      <c r="BJ1165" s="147"/>
      <c r="BK1165" s="147"/>
      <c r="BL1165" s="147"/>
      <c r="BM1165" s="147"/>
      <c r="BN1165" s="147"/>
      <c r="BO1165" s="147"/>
      <c r="BP1165" s="147"/>
      <c r="BQ1165" s="147"/>
      <c r="BR1165" s="147"/>
      <c r="BS1165" s="147"/>
      <c r="BT1165" s="147"/>
      <c r="BU1165" s="147"/>
      <c r="BV1165" s="147"/>
      <c r="BW1165" s="147"/>
      <c r="BX1165" s="147"/>
      <c r="BY1165" s="147"/>
      <c r="BZ1165" s="147"/>
      <c r="CA1165" s="147"/>
      <c r="CB1165" s="147"/>
      <c r="CC1165" s="147"/>
      <c r="CD1165" s="147"/>
      <c r="CE1165" s="147"/>
      <c r="CF1165" s="147"/>
      <c r="CG1165" s="147"/>
      <c r="CH1165" s="147"/>
      <c r="CI1165" s="147"/>
      <c r="CJ1165" s="147"/>
      <c r="CK1165" s="147"/>
    </row>
    <row r="1166" spans="1:89">
      <c r="A1166" s="157"/>
      <c r="F1166" s="3"/>
      <c r="G1166" s="3"/>
      <c r="L1166" s="157"/>
      <c r="M1166" s="157"/>
      <c r="O1166" s="147"/>
      <c r="P1166" s="147"/>
      <c r="Q1166" s="147"/>
      <c r="R1166" s="147"/>
      <c r="S1166" s="147"/>
      <c r="T1166" s="147"/>
      <c r="U1166" s="147"/>
      <c r="V1166" s="147"/>
      <c r="W1166" s="147"/>
      <c r="X1166" s="147"/>
      <c r="Y1166" s="147"/>
      <c r="Z1166" s="147"/>
      <c r="AA1166" s="147"/>
      <c r="AB1166" s="147"/>
      <c r="AC1166" s="147"/>
      <c r="AD1166" s="147"/>
      <c r="AE1166" s="147"/>
      <c r="AF1166" s="147"/>
      <c r="AG1166" s="147"/>
      <c r="AH1166" s="147"/>
      <c r="AI1166" s="147"/>
      <c r="AJ1166" s="147"/>
      <c r="AK1166" s="147"/>
      <c r="AL1166" s="147"/>
      <c r="AM1166" s="151"/>
      <c r="AN1166" s="147"/>
      <c r="AO1166" s="147"/>
      <c r="AP1166" s="147"/>
      <c r="AQ1166" s="147"/>
      <c r="AR1166" s="147"/>
      <c r="AS1166" s="147"/>
      <c r="AT1166" s="147"/>
      <c r="AU1166" s="147"/>
      <c r="AV1166" s="147"/>
      <c r="AW1166" s="147"/>
      <c r="AX1166" s="147"/>
      <c r="AY1166" s="147"/>
      <c r="AZ1166" s="147"/>
      <c r="BA1166" s="147"/>
      <c r="BB1166" s="147"/>
      <c r="BC1166" s="147"/>
      <c r="BD1166" s="147"/>
      <c r="BE1166" s="147"/>
      <c r="BF1166" s="147"/>
      <c r="BG1166" s="147"/>
      <c r="BH1166" s="147"/>
      <c r="BI1166" s="147"/>
      <c r="BJ1166" s="147"/>
      <c r="BK1166" s="147"/>
      <c r="BL1166" s="147"/>
      <c r="BM1166" s="147"/>
      <c r="BN1166" s="147"/>
      <c r="BO1166" s="147"/>
      <c r="BP1166" s="147"/>
      <c r="BQ1166" s="147"/>
      <c r="BR1166" s="147"/>
      <c r="BS1166" s="147"/>
      <c r="BT1166" s="147"/>
      <c r="BU1166" s="147"/>
      <c r="BV1166" s="147"/>
      <c r="BW1166" s="147"/>
      <c r="BX1166" s="147"/>
      <c r="BY1166" s="147"/>
      <c r="BZ1166" s="147"/>
      <c r="CA1166" s="147"/>
      <c r="CB1166" s="147"/>
      <c r="CC1166" s="147"/>
      <c r="CD1166" s="147"/>
      <c r="CE1166" s="147"/>
      <c r="CF1166" s="147"/>
      <c r="CG1166" s="147"/>
      <c r="CH1166" s="147"/>
      <c r="CI1166" s="147"/>
      <c r="CJ1166" s="147"/>
      <c r="CK1166" s="147"/>
    </row>
    <row r="1167" spans="1:89">
      <c r="A1167" s="157"/>
      <c r="F1167" s="3"/>
      <c r="G1167" s="3"/>
      <c r="L1167" s="157"/>
      <c r="M1167" s="157"/>
      <c r="O1167" s="147"/>
      <c r="P1167" s="147"/>
      <c r="Q1167" s="147"/>
      <c r="R1167" s="147"/>
      <c r="S1167" s="147"/>
      <c r="T1167" s="147"/>
      <c r="U1167" s="147"/>
      <c r="V1167" s="147"/>
      <c r="W1167" s="147"/>
      <c r="X1167" s="147"/>
      <c r="Y1167" s="147"/>
      <c r="Z1167" s="147"/>
      <c r="AA1167" s="147"/>
      <c r="AB1167" s="147"/>
      <c r="AC1167" s="147"/>
      <c r="AD1167" s="147"/>
      <c r="AE1167" s="147"/>
      <c r="AF1167" s="147"/>
      <c r="AG1167" s="147"/>
      <c r="AH1167" s="147"/>
      <c r="AI1167" s="147"/>
      <c r="AJ1167" s="147"/>
      <c r="AK1167" s="147"/>
      <c r="AL1167" s="147"/>
      <c r="AM1167" s="151"/>
      <c r="AN1167" s="147"/>
      <c r="AO1167" s="147"/>
      <c r="AP1167" s="147"/>
      <c r="AQ1167" s="147"/>
      <c r="AR1167" s="147"/>
      <c r="AS1167" s="147"/>
      <c r="AT1167" s="147"/>
      <c r="AU1167" s="147"/>
      <c r="AV1167" s="147"/>
      <c r="AW1167" s="147"/>
      <c r="AX1167" s="147"/>
      <c r="AY1167" s="147"/>
      <c r="AZ1167" s="147"/>
      <c r="BA1167" s="147"/>
      <c r="BB1167" s="147"/>
      <c r="BC1167" s="147"/>
      <c r="BD1167" s="147"/>
      <c r="BE1167" s="147"/>
      <c r="BF1167" s="147"/>
      <c r="BG1167" s="147"/>
      <c r="BH1167" s="147"/>
      <c r="BI1167" s="147"/>
      <c r="BJ1167" s="147"/>
      <c r="BK1167" s="147"/>
      <c r="BL1167" s="147"/>
      <c r="BM1167" s="147"/>
      <c r="BN1167" s="147"/>
      <c r="BO1167" s="147"/>
      <c r="BP1167" s="147"/>
      <c r="BQ1167" s="147"/>
      <c r="BR1167" s="147"/>
      <c r="BS1167" s="147"/>
      <c r="BT1167" s="147"/>
      <c r="BU1167" s="147"/>
      <c r="BV1167" s="147"/>
      <c r="BW1167" s="147"/>
      <c r="BX1167" s="147"/>
      <c r="BY1167" s="147"/>
      <c r="BZ1167" s="147"/>
      <c r="CA1167" s="147"/>
      <c r="CB1167" s="147"/>
      <c r="CC1167" s="147"/>
      <c r="CD1167" s="147"/>
      <c r="CE1167" s="147"/>
      <c r="CF1167" s="147"/>
      <c r="CG1167" s="147"/>
      <c r="CH1167" s="147"/>
      <c r="CI1167" s="147"/>
      <c r="CJ1167" s="147"/>
      <c r="CK1167" s="147"/>
    </row>
    <row r="1168" spans="1:89">
      <c r="A1168" s="157"/>
      <c r="F1168" s="3"/>
      <c r="G1168" s="3"/>
      <c r="L1168" s="157"/>
      <c r="M1168" s="157"/>
      <c r="O1168" s="147"/>
      <c r="P1168" s="147"/>
      <c r="Q1168" s="147"/>
      <c r="R1168" s="147"/>
      <c r="S1168" s="147"/>
      <c r="T1168" s="147"/>
      <c r="U1168" s="147"/>
      <c r="V1168" s="147"/>
      <c r="W1168" s="147"/>
      <c r="X1168" s="147"/>
      <c r="Y1168" s="147"/>
      <c r="Z1168" s="147"/>
      <c r="AA1168" s="147"/>
      <c r="AB1168" s="147"/>
      <c r="AC1168" s="147"/>
      <c r="AD1168" s="147"/>
      <c r="AE1168" s="147"/>
      <c r="AF1168" s="147"/>
      <c r="AG1168" s="147"/>
      <c r="AH1168" s="147"/>
      <c r="AI1168" s="147"/>
      <c r="AJ1168" s="147"/>
      <c r="AK1168" s="147"/>
      <c r="AL1168" s="147"/>
      <c r="AM1168" s="151"/>
      <c r="AN1168" s="147"/>
      <c r="AO1168" s="147"/>
      <c r="AP1168" s="147"/>
      <c r="AQ1168" s="147"/>
      <c r="AR1168" s="147"/>
      <c r="AS1168" s="147"/>
      <c r="AT1168" s="147"/>
      <c r="AU1168" s="147"/>
      <c r="AV1168" s="147"/>
      <c r="AW1168" s="147"/>
      <c r="AX1168" s="147"/>
      <c r="AY1168" s="147"/>
      <c r="AZ1168" s="147"/>
      <c r="BA1168" s="147"/>
      <c r="BB1168" s="147"/>
      <c r="BC1168" s="147"/>
      <c r="BD1168" s="147"/>
      <c r="BE1168" s="147"/>
      <c r="BF1168" s="147"/>
      <c r="BG1168" s="147"/>
      <c r="BH1168" s="147"/>
      <c r="BI1168" s="147"/>
      <c r="BJ1168" s="147"/>
      <c r="BK1168" s="147"/>
      <c r="BL1168" s="147"/>
      <c r="BM1168" s="147"/>
      <c r="BN1168" s="147"/>
      <c r="BO1168" s="147"/>
      <c r="BP1168" s="147"/>
      <c r="BQ1168" s="147"/>
      <c r="BR1168" s="147"/>
      <c r="BS1168" s="147"/>
      <c r="BT1168" s="147"/>
      <c r="BU1168" s="147"/>
      <c r="BV1168" s="147"/>
      <c r="BW1168" s="147"/>
      <c r="BX1168" s="147"/>
      <c r="BY1168" s="147"/>
      <c r="BZ1168" s="147"/>
      <c r="CA1168" s="147"/>
      <c r="CB1168" s="147"/>
      <c r="CC1168" s="147"/>
      <c r="CD1168" s="147"/>
      <c r="CE1168" s="147"/>
      <c r="CF1168" s="147"/>
      <c r="CG1168" s="147"/>
      <c r="CH1168" s="147"/>
      <c r="CI1168" s="147"/>
      <c r="CJ1168" s="147"/>
      <c r="CK1168" s="147"/>
    </row>
    <row r="1169" spans="1:89">
      <c r="A1169" s="157"/>
      <c r="F1169" s="3"/>
      <c r="G1169" s="3"/>
      <c r="L1169" s="157"/>
      <c r="M1169" s="157"/>
      <c r="O1169" s="147"/>
      <c r="P1169" s="147"/>
      <c r="Q1169" s="147"/>
      <c r="R1169" s="147"/>
      <c r="S1169" s="147"/>
      <c r="T1169" s="147"/>
      <c r="U1169" s="147"/>
      <c r="V1169" s="147"/>
      <c r="W1169" s="147"/>
      <c r="X1169" s="147"/>
      <c r="Y1169" s="147"/>
      <c r="Z1169" s="147"/>
      <c r="AA1169" s="147"/>
      <c r="AB1169" s="147"/>
      <c r="AC1169" s="147"/>
      <c r="AD1169" s="147"/>
      <c r="AE1169" s="147"/>
      <c r="AF1169" s="147"/>
      <c r="AG1169" s="147"/>
      <c r="AH1169" s="147"/>
      <c r="AI1169" s="147"/>
      <c r="AJ1169" s="147"/>
      <c r="AK1169" s="147"/>
      <c r="AL1169" s="147"/>
      <c r="AM1169" s="151"/>
      <c r="AN1169" s="147"/>
      <c r="AO1169" s="147"/>
      <c r="AP1169" s="147"/>
      <c r="AQ1169" s="147"/>
      <c r="AR1169" s="147"/>
      <c r="AS1169" s="147"/>
      <c r="AT1169" s="147"/>
      <c r="AU1169" s="147"/>
      <c r="AV1169" s="147"/>
      <c r="AW1169" s="147"/>
      <c r="AX1169" s="147"/>
      <c r="AY1169" s="147"/>
      <c r="AZ1169" s="147"/>
      <c r="BA1169" s="147"/>
      <c r="BB1169" s="147"/>
      <c r="BC1169" s="147"/>
      <c r="BD1169" s="147"/>
      <c r="BE1169" s="147"/>
      <c r="BF1169" s="147"/>
      <c r="BG1169" s="147"/>
      <c r="BH1169" s="147"/>
      <c r="BI1169" s="147"/>
      <c r="BJ1169" s="147"/>
      <c r="BK1169" s="147"/>
      <c r="BL1169" s="147"/>
      <c r="BM1169" s="147"/>
      <c r="BN1169" s="147"/>
      <c r="BO1169" s="147"/>
      <c r="BP1169" s="147"/>
      <c r="BQ1169" s="147"/>
      <c r="BR1169" s="147"/>
      <c r="BS1169" s="147"/>
      <c r="BT1169" s="147"/>
      <c r="BU1169" s="147"/>
      <c r="BV1169" s="147"/>
      <c r="BW1169" s="147"/>
      <c r="BX1169" s="147"/>
      <c r="BY1169" s="147"/>
      <c r="BZ1169" s="147"/>
      <c r="CA1169" s="147"/>
      <c r="CB1169" s="147"/>
      <c r="CC1169" s="147"/>
      <c r="CD1169" s="147"/>
      <c r="CE1169" s="147"/>
      <c r="CF1169" s="147"/>
      <c r="CG1169" s="147"/>
      <c r="CH1169" s="147"/>
      <c r="CI1169" s="147"/>
      <c r="CJ1169" s="147"/>
      <c r="CK1169" s="147"/>
    </row>
    <row r="1170" spans="1:89">
      <c r="A1170" s="157"/>
      <c r="F1170" s="3"/>
      <c r="G1170" s="3"/>
      <c r="L1170" s="157"/>
      <c r="M1170" s="157"/>
      <c r="O1170" s="147"/>
      <c r="P1170" s="147"/>
      <c r="Q1170" s="147"/>
      <c r="R1170" s="147"/>
      <c r="S1170" s="147"/>
      <c r="T1170" s="147"/>
      <c r="U1170" s="147"/>
      <c r="V1170" s="147"/>
      <c r="W1170" s="147"/>
      <c r="X1170" s="147"/>
      <c r="Y1170" s="147"/>
      <c r="Z1170" s="147"/>
      <c r="AA1170" s="147"/>
      <c r="AB1170" s="147"/>
      <c r="AC1170" s="147"/>
      <c r="AD1170" s="147"/>
      <c r="AE1170" s="147"/>
      <c r="AF1170" s="147"/>
      <c r="AG1170" s="147"/>
      <c r="AH1170" s="147"/>
      <c r="AI1170" s="147"/>
      <c r="AJ1170" s="147"/>
      <c r="AK1170" s="147"/>
      <c r="AL1170" s="147"/>
      <c r="AM1170" s="151"/>
      <c r="AN1170" s="147"/>
      <c r="AO1170" s="147"/>
      <c r="AP1170" s="147"/>
      <c r="AQ1170" s="147"/>
      <c r="AR1170" s="147"/>
      <c r="AS1170" s="147"/>
      <c r="AT1170" s="147"/>
      <c r="AU1170" s="147"/>
      <c r="AV1170" s="147"/>
      <c r="AW1170" s="147"/>
      <c r="AX1170" s="147"/>
      <c r="AY1170" s="147"/>
      <c r="AZ1170" s="147"/>
      <c r="BA1170" s="147"/>
      <c r="BB1170" s="147"/>
      <c r="BC1170" s="147"/>
      <c r="BD1170" s="147"/>
      <c r="BE1170" s="147"/>
      <c r="BF1170" s="147"/>
      <c r="BG1170" s="147"/>
      <c r="BH1170" s="147"/>
      <c r="BI1170" s="147"/>
      <c r="BJ1170" s="147"/>
      <c r="BK1170" s="147"/>
      <c r="BL1170" s="147"/>
      <c r="BM1170" s="147"/>
      <c r="BN1170" s="147"/>
      <c r="BO1170" s="147"/>
      <c r="BP1170" s="147"/>
      <c r="BQ1170" s="147"/>
      <c r="BR1170" s="147"/>
      <c r="BS1170" s="147"/>
      <c r="BT1170" s="147"/>
      <c r="BU1170" s="147"/>
      <c r="BV1170" s="147"/>
      <c r="BW1170" s="147"/>
      <c r="BX1170" s="147"/>
      <c r="BY1170" s="147"/>
      <c r="BZ1170" s="147"/>
      <c r="CA1170" s="147"/>
      <c r="CB1170" s="147"/>
      <c r="CC1170" s="147"/>
      <c r="CD1170" s="147"/>
      <c r="CE1170" s="147"/>
      <c r="CF1170" s="147"/>
      <c r="CG1170" s="147"/>
      <c r="CH1170" s="147"/>
      <c r="CI1170" s="147"/>
      <c r="CJ1170" s="147"/>
      <c r="CK1170" s="147"/>
    </row>
    <row r="1171" spans="1:89">
      <c r="A1171" s="157"/>
      <c r="F1171" s="3"/>
      <c r="G1171" s="3"/>
      <c r="L1171" s="157"/>
      <c r="M1171" s="157"/>
      <c r="O1171" s="147"/>
      <c r="P1171" s="147"/>
      <c r="Q1171" s="147"/>
      <c r="R1171" s="147"/>
      <c r="S1171" s="147"/>
      <c r="T1171" s="147"/>
      <c r="U1171" s="147"/>
      <c r="V1171" s="147"/>
      <c r="W1171" s="147"/>
      <c r="X1171" s="147"/>
      <c r="Y1171" s="147"/>
      <c r="Z1171" s="147"/>
      <c r="AA1171" s="147"/>
      <c r="AB1171" s="147"/>
      <c r="AC1171" s="147"/>
      <c r="AD1171" s="147"/>
      <c r="AE1171" s="147"/>
      <c r="AF1171" s="147"/>
      <c r="AG1171" s="147"/>
      <c r="AH1171" s="147"/>
      <c r="AI1171" s="147"/>
      <c r="AJ1171" s="147"/>
      <c r="AK1171" s="147"/>
      <c r="AL1171" s="147"/>
      <c r="AM1171" s="151"/>
      <c r="AN1171" s="147"/>
      <c r="AO1171" s="147"/>
      <c r="AP1171" s="147"/>
      <c r="AQ1171" s="147"/>
      <c r="AR1171" s="147"/>
      <c r="AS1171" s="147"/>
      <c r="AT1171" s="147"/>
      <c r="AU1171" s="147"/>
      <c r="AV1171" s="147"/>
      <c r="AW1171" s="147"/>
      <c r="AX1171" s="147"/>
      <c r="AY1171" s="147"/>
      <c r="AZ1171" s="147"/>
      <c r="BA1171" s="147"/>
      <c r="BB1171" s="147"/>
      <c r="BC1171" s="147"/>
      <c r="BD1171" s="147"/>
      <c r="BE1171" s="147"/>
      <c r="BF1171" s="147"/>
      <c r="BG1171" s="147"/>
      <c r="BH1171" s="147"/>
      <c r="BI1171" s="147"/>
      <c r="BJ1171" s="147"/>
      <c r="BK1171" s="147"/>
      <c r="BL1171" s="147"/>
      <c r="BM1171" s="147"/>
      <c r="BN1171" s="147"/>
      <c r="BO1171" s="147"/>
      <c r="BP1171" s="147"/>
      <c r="BQ1171" s="147"/>
      <c r="BR1171" s="147"/>
      <c r="BS1171" s="147"/>
      <c r="BT1171" s="147"/>
      <c r="BU1171" s="147"/>
      <c r="BV1171" s="147"/>
      <c r="BW1171" s="147"/>
      <c r="BX1171" s="147"/>
      <c r="BY1171" s="147"/>
      <c r="BZ1171" s="147"/>
      <c r="CA1171" s="147"/>
      <c r="CB1171" s="147"/>
      <c r="CC1171" s="147"/>
      <c r="CD1171" s="147"/>
      <c r="CE1171" s="147"/>
      <c r="CF1171" s="147"/>
      <c r="CG1171" s="147"/>
      <c r="CH1171" s="147"/>
      <c r="CI1171" s="147"/>
      <c r="CJ1171" s="147"/>
      <c r="CK1171" s="147"/>
    </row>
    <row r="1172" spans="1:89">
      <c r="A1172" s="157"/>
      <c r="F1172" s="3"/>
      <c r="G1172" s="3"/>
      <c r="L1172" s="157"/>
      <c r="M1172" s="157"/>
      <c r="O1172" s="147"/>
      <c r="P1172" s="147"/>
      <c r="Q1172" s="147"/>
      <c r="R1172" s="147"/>
      <c r="S1172" s="147"/>
      <c r="T1172" s="147"/>
      <c r="U1172" s="147"/>
      <c r="V1172" s="147"/>
      <c r="W1172" s="147"/>
      <c r="X1172" s="147"/>
      <c r="Y1172" s="147"/>
      <c r="Z1172" s="147"/>
      <c r="AA1172" s="147"/>
      <c r="AB1172" s="147"/>
      <c r="AC1172" s="147"/>
      <c r="AD1172" s="147"/>
      <c r="AE1172" s="147"/>
      <c r="AF1172" s="147"/>
      <c r="AG1172" s="147"/>
      <c r="AH1172" s="147"/>
      <c r="AI1172" s="147"/>
      <c r="AJ1172" s="147"/>
      <c r="AK1172" s="147"/>
      <c r="AL1172" s="147"/>
      <c r="AM1172" s="151"/>
      <c r="AN1172" s="147"/>
      <c r="AO1172" s="147"/>
      <c r="AP1172" s="147"/>
      <c r="AQ1172" s="147"/>
      <c r="AR1172" s="147"/>
      <c r="AS1172" s="147"/>
      <c r="AT1172" s="147"/>
      <c r="AU1172" s="147"/>
      <c r="AV1172" s="147"/>
      <c r="AW1172" s="147"/>
      <c r="AX1172" s="147"/>
      <c r="AY1172" s="147"/>
      <c r="AZ1172" s="147"/>
      <c r="BA1172" s="147"/>
      <c r="BB1172" s="147"/>
      <c r="BC1172" s="147"/>
      <c r="BD1172" s="147"/>
      <c r="BE1172" s="147"/>
      <c r="BF1172" s="147"/>
      <c r="BG1172" s="147"/>
      <c r="BH1172" s="147"/>
      <c r="BI1172" s="147"/>
      <c r="BJ1172" s="147"/>
      <c r="BK1172" s="147"/>
      <c r="BL1172" s="147"/>
      <c r="BM1172" s="147"/>
      <c r="BN1172" s="147"/>
      <c r="BO1172" s="147"/>
      <c r="BP1172" s="147"/>
      <c r="BQ1172" s="147"/>
      <c r="BR1172" s="147"/>
      <c r="BS1172" s="147"/>
      <c r="BT1172" s="147"/>
      <c r="BU1172" s="147"/>
      <c r="BV1172" s="147"/>
      <c r="BW1172" s="147"/>
      <c r="BX1172" s="147"/>
      <c r="BY1172" s="147"/>
      <c r="BZ1172" s="147"/>
      <c r="CA1172" s="147"/>
      <c r="CB1172" s="147"/>
      <c r="CC1172" s="147"/>
      <c r="CD1172" s="147"/>
      <c r="CE1172" s="147"/>
      <c r="CF1172" s="147"/>
      <c r="CG1172" s="147"/>
      <c r="CH1172" s="147"/>
      <c r="CI1172" s="147"/>
      <c r="CJ1172" s="147"/>
      <c r="CK1172" s="147"/>
    </row>
    <row r="1173" spans="1:89">
      <c r="A1173" s="157"/>
      <c r="F1173" s="3"/>
      <c r="G1173" s="3"/>
      <c r="L1173" s="157"/>
      <c r="M1173" s="157"/>
      <c r="O1173" s="147"/>
      <c r="P1173" s="147"/>
      <c r="Q1173" s="147"/>
      <c r="R1173" s="147"/>
      <c r="S1173" s="147"/>
      <c r="T1173" s="147"/>
      <c r="U1173" s="147"/>
      <c r="V1173" s="147"/>
      <c r="W1173" s="147"/>
      <c r="X1173" s="147"/>
      <c r="Y1173" s="147"/>
      <c r="Z1173" s="147"/>
      <c r="AA1173" s="147"/>
      <c r="AB1173" s="147"/>
      <c r="AC1173" s="147"/>
      <c r="AD1173" s="147"/>
      <c r="AE1173" s="147"/>
      <c r="AF1173" s="147"/>
      <c r="AG1173" s="147"/>
      <c r="AH1173" s="147"/>
      <c r="AI1173" s="147"/>
      <c r="AJ1173" s="147"/>
      <c r="AK1173" s="147"/>
      <c r="AL1173" s="147"/>
      <c r="AM1173" s="151"/>
      <c r="AN1173" s="147"/>
      <c r="AO1173" s="147"/>
      <c r="AP1173" s="147"/>
      <c r="AQ1173" s="147"/>
      <c r="AR1173" s="147"/>
      <c r="AS1173" s="147"/>
      <c r="AT1173" s="147"/>
      <c r="AU1173" s="147"/>
      <c r="AV1173" s="147"/>
      <c r="AW1173" s="147"/>
      <c r="AX1173" s="147"/>
      <c r="AY1173" s="147"/>
      <c r="AZ1173" s="147"/>
      <c r="BA1173" s="147"/>
      <c r="BB1173" s="147"/>
      <c r="BC1173" s="147"/>
      <c r="BD1173" s="147"/>
      <c r="BE1173" s="147"/>
      <c r="BF1173" s="147"/>
      <c r="BG1173" s="147"/>
      <c r="BH1173" s="147"/>
      <c r="BI1173" s="147"/>
      <c r="BJ1173" s="147"/>
      <c r="BK1173" s="147"/>
      <c r="BL1173" s="147"/>
      <c r="BM1173" s="147"/>
      <c r="BN1173" s="147"/>
      <c r="BO1173" s="147"/>
      <c r="BP1173" s="147"/>
      <c r="BQ1173" s="147"/>
      <c r="BR1173" s="147"/>
      <c r="BS1173" s="147"/>
      <c r="BT1173" s="147"/>
      <c r="BU1173" s="147"/>
      <c r="BV1173" s="147"/>
      <c r="BW1173" s="147"/>
      <c r="BX1173" s="147"/>
      <c r="BY1173" s="147"/>
      <c r="BZ1173" s="147"/>
      <c r="CA1173" s="147"/>
      <c r="CB1173" s="147"/>
      <c r="CC1173" s="147"/>
      <c r="CD1173" s="147"/>
      <c r="CE1173" s="147"/>
      <c r="CF1173" s="147"/>
      <c r="CG1173" s="147"/>
      <c r="CH1173" s="147"/>
      <c r="CI1173" s="147"/>
      <c r="CJ1173" s="147"/>
      <c r="CK1173" s="147"/>
    </row>
    <row r="1174" spans="1:89">
      <c r="A1174" s="157"/>
      <c r="F1174" s="3"/>
      <c r="G1174" s="3"/>
      <c r="L1174" s="157"/>
      <c r="M1174" s="157"/>
      <c r="O1174" s="147"/>
      <c r="P1174" s="147"/>
      <c r="Q1174" s="147"/>
      <c r="R1174" s="147"/>
      <c r="S1174" s="147"/>
      <c r="T1174" s="147"/>
      <c r="U1174" s="147"/>
      <c r="V1174" s="147"/>
      <c r="W1174" s="147"/>
      <c r="X1174" s="147"/>
      <c r="Y1174" s="147"/>
      <c r="Z1174" s="147"/>
      <c r="AA1174" s="147"/>
      <c r="AB1174" s="147"/>
      <c r="AC1174" s="147"/>
      <c r="AD1174" s="147"/>
      <c r="AE1174" s="147"/>
      <c r="AF1174" s="147"/>
      <c r="AG1174" s="147"/>
      <c r="AH1174" s="147"/>
      <c r="AI1174" s="147"/>
      <c r="AJ1174" s="147"/>
      <c r="AK1174" s="147"/>
      <c r="AL1174" s="147"/>
      <c r="AM1174" s="151"/>
      <c r="AN1174" s="147"/>
      <c r="AO1174" s="147"/>
      <c r="AP1174" s="147"/>
      <c r="AQ1174" s="147"/>
      <c r="AR1174" s="147"/>
      <c r="AS1174" s="147"/>
      <c r="AT1174" s="147"/>
      <c r="AU1174" s="147"/>
      <c r="AV1174" s="147"/>
      <c r="AW1174" s="147"/>
      <c r="AX1174" s="147"/>
      <c r="AY1174" s="147"/>
      <c r="AZ1174" s="147"/>
      <c r="BA1174" s="147"/>
      <c r="BB1174" s="147"/>
      <c r="BC1174" s="147"/>
      <c r="BD1174" s="147"/>
      <c r="BE1174" s="147"/>
      <c r="BF1174" s="147"/>
      <c r="BG1174" s="147"/>
      <c r="BH1174" s="147"/>
      <c r="BI1174" s="147"/>
      <c r="BJ1174" s="147"/>
      <c r="BK1174" s="147"/>
      <c r="BL1174" s="147"/>
      <c r="BM1174" s="147"/>
      <c r="BN1174" s="147"/>
      <c r="BO1174" s="147"/>
      <c r="BP1174" s="147"/>
      <c r="BQ1174" s="147"/>
      <c r="BR1174" s="147"/>
      <c r="BS1174" s="147"/>
      <c r="BT1174" s="147"/>
      <c r="BU1174" s="147"/>
      <c r="BV1174" s="147"/>
      <c r="BW1174" s="147"/>
      <c r="BX1174" s="147"/>
      <c r="BY1174" s="147"/>
      <c r="BZ1174" s="147"/>
      <c r="CA1174" s="147"/>
      <c r="CB1174" s="147"/>
      <c r="CC1174" s="147"/>
      <c r="CD1174" s="147"/>
      <c r="CE1174" s="147"/>
      <c r="CF1174" s="147"/>
      <c r="CG1174" s="147"/>
      <c r="CH1174" s="147"/>
      <c r="CI1174" s="147"/>
      <c r="CJ1174" s="147"/>
      <c r="CK1174" s="147"/>
    </row>
    <row r="1175" spans="1:89">
      <c r="A1175" s="157"/>
      <c r="F1175" s="3"/>
      <c r="G1175" s="3"/>
      <c r="L1175" s="157"/>
      <c r="M1175" s="157"/>
      <c r="O1175" s="147"/>
      <c r="P1175" s="147"/>
      <c r="Q1175" s="147"/>
      <c r="R1175" s="147"/>
      <c r="S1175" s="147"/>
      <c r="T1175" s="147"/>
      <c r="U1175" s="147"/>
      <c r="V1175" s="147"/>
      <c r="W1175" s="147"/>
      <c r="X1175" s="147"/>
      <c r="Y1175" s="147"/>
      <c r="Z1175" s="147"/>
      <c r="AA1175" s="147"/>
      <c r="AB1175" s="147"/>
      <c r="AC1175" s="147"/>
      <c r="AD1175" s="147"/>
      <c r="AE1175" s="147"/>
      <c r="AF1175" s="147"/>
      <c r="AG1175" s="147"/>
      <c r="AH1175" s="147"/>
      <c r="AI1175" s="147"/>
      <c r="AJ1175" s="147"/>
      <c r="AK1175" s="147"/>
      <c r="AL1175" s="147"/>
      <c r="AM1175" s="151"/>
      <c r="AN1175" s="147"/>
      <c r="AO1175" s="147"/>
      <c r="AP1175" s="147"/>
      <c r="AQ1175" s="147"/>
      <c r="AR1175" s="147"/>
      <c r="AS1175" s="147"/>
      <c r="AT1175" s="147"/>
      <c r="AU1175" s="147"/>
      <c r="AV1175" s="147"/>
      <c r="AW1175" s="147"/>
      <c r="AX1175" s="147"/>
      <c r="AY1175" s="147"/>
      <c r="AZ1175" s="147"/>
      <c r="BA1175" s="147"/>
      <c r="BB1175" s="147"/>
      <c r="BC1175" s="147"/>
      <c r="BD1175" s="147"/>
      <c r="BE1175" s="147"/>
      <c r="BF1175" s="147"/>
      <c r="BG1175" s="147"/>
      <c r="BH1175" s="147"/>
      <c r="BI1175" s="147"/>
      <c r="BJ1175" s="147"/>
      <c r="BK1175" s="147"/>
      <c r="BL1175" s="147"/>
      <c r="BM1175" s="147"/>
      <c r="BN1175" s="147"/>
      <c r="BO1175" s="147"/>
      <c r="BP1175" s="147"/>
      <c r="BQ1175" s="147"/>
      <c r="BR1175" s="147"/>
      <c r="BS1175" s="147"/>
      <c r="BT1175" s="147"/>
      <c r="BU1175" s="147"/>
      <c r="BV1175" s="147"/>
      <c r="BW1175" s="147"/>
      <c r="BX1175" s="147"/>
      <c r="BY1175" s="147"/>
      <c r="BZ1175" s="147"/>
      <c r="CA1175" s="147"/>
      <c r="CB1175" s="147"/>
      <c r="CC1175" s="147"/>
      <c r="CD1175" s="147"/>
      <c r="CE1175" s="147"/>
      <c r="CF1175" s="147"/>
      <c r="CG1175" s="147"/>
      <c r="CH1175" s="147"/>
      <c r="CI1175" s="147"/>
      <c r="CJ1175" s="147"/>
      <c r="CK1175" s="147"/>
    </row>
    <row r="1176" spans="1:89">
      <c r="A1176" s="157"/>
      <c r="F1176" s="3"/>
      <c r="G1176" s="3"/>
      <c r="L1176" s="157"/>
      <c r="M1176" s="157"/>
      <c r="O1176" s="147"/>
      <c r="P1176" s="147"/>
      <c r="Q1176" s="147"/>
      <c r="R1176" s="147"/>
      <c r="S1176" s="147"/>
      <c r="T1176" s="147"/>
      <c r="U1176" s="147"/>
      <c r="V1176" s="147"/>
      <c r="W1176" s="147"/>
      <c r="X1176" s="147"/>
      <c r="Y1176" s="147"/>
      <c r="Z1176" s="147"/>
      <c r="AA1176" s="147"/>
      <c r="AB1176" s="147"/>
      <c r="AC1176" s="147"/>
      <c r="AD1176" s="147"/>
      <c r="AE1176" s="147"/>
      <c r="AF1176" s="147"/>
      <c r="AG1176" s="147"/>
      <c r="AH1176" s="147"/>
      <c r="AI1176" s="147"/>
      <c r="AJ1176" s="147"/>
      <c r="AK1176" s="147"/>
      <c r="AL1176" s="147"/>
      <c r="AM1176" s="151"/>
      <c r="AN1176" s="147"/>
      <c r="AO1176" s="147"/>
      <c r="AP1176" s="147"/>
      <c r="AQ1176" s="147"/>
      <c r="AR1176" s="147"/>
      <c r="AS1176" s="147"/>
      <c r="AT1176" s="147"/>
      <c r="AU1176" s="147"/>
      <c r="AV1176" s="147"/>
      <c r="AW1176" s="147"/>
      <c r="AX1176" s="147"/>
      <c r="AY1176" s="147"/>
      <c r="AZ1176" s="147"/>
      <c r="BA1176" s="147"/>
      <c r="BB1176" s="147"/>
      <c r="BC1176" s="147"/>
      <c r="BD1176" s="147"/>
      <c r="BE1176" s="147"/>
      <c r="BF1176" s="147"/>
      <c r="BG1176" s="147"/>
      <c r="BH1176" s="147"/>
      <c r="BI1176" s="147"/>
      <c r="BJ1176" s="147"/>
      <c r="BK1176" s="147"/>
      <c r="BL1176" s="147"/>
      <c r="BM1176" s="147"/>
      <c r="BN1176" s="147"/>
      <c r="BO1176" s="147"/>
      <c r="BP1176" s="147"/>
      <c r="BQ1176" s="147"/>
      <c r="BR1176" s="147"/>
      <c r="BS1176" s="147"/>
      <c r="BT1176" s="147"/>
      <c r="BU1176" s="147"/>
      <c r="BV1176" s="147"/>
      <c r="BW1176" s="147"/>
      <c r="BX1176" s="147"/>
      <c r="BY1176" s="147"/>
      <c r="BZ1176" s="147"/>
      <c r="CA1176" s="147"/>
      <c r="CB1176" s="147"/>
      <c r="CC1176" s="147"/>
      <c r="CD1176" s="147"/>
      <c r="CE1176" s="147"/>
      <c r="CF1176" s="147"/>
      <c r="CG1176" s="147"/>
      <c r="CH1176" s="147"/>
      <c r="CI1176" s="147"/>
      <c r="CJ1176" s="147"/>
      <c r="CK1176" s="147"/>
    </row>
    <row r="1177" spans="1:89">
      <c r="A1177" s="157"/>
      <c r="F1177" s="3"/>
      <c r="G1177" s="3"/>
      <c r="L1177" s="157"/>
      <c r="M1177" s="157"/>
      <c r="O1177" s="147"/>
      <c r="P1177" s="147"/>
      <c r="Q1177" s="147"/>
      <c r="R1177" s="147"/>
      <c r="S1177" s="147"/>
      <c r="T1177" s="147"/>
      <c r="U1177" s="147"/>
      <c r="V1177" s="147"/>
      <c r="W1177" s="147"/>
      <c r="X1177" s="147"/>
      <c r="Y1177" s="147"/>
      <c r="Z1177" s="147"/>
      <c r="AA1177" s="147"/>
      <c r="AB1177" s="147"/>
      <c r="AC1177" s="147"/>
      <c r="AD1177" s="147"/>
      <c r="AE1177" s="147"/>
      <c r="AF1177" s="147"/>
      <c r="AG1177" s="147"/>
      <c r="AH1177" s="147"/>
      <c r="AI1177" s="147"/>
      <c r="AJ1177" s="147"/>
      <c r="AK1177" s="147"/>
      <c r="AL1177" s="147"/>
      <c r="AM1177" s="151"/>
      <c r="AN1177" s="147"/>
      <c r="AO1177" s="147"/>
      <c r="AP1177" s="147"/>
      <c r="AQ1177" s="147"/>
      <c r="AR1177" s="147"/>
      <c r="AS1177" s="147"/>
      <c r="AT1177" s="147"/>
      <c r="AU1177" s="147"/>
      <c r="AV1177" s="147"/>
      <c r="AW1177" s="147"/>
      <c r="AX1177" s="147"/>
      <c r="AY1177" s="147"/>
      <c r="AZ1177" s="147"/>
      <c r="BA1177" s="147"/>
      <c r="BB1177" s="147"/>
      <c r="BC1177" s="147"/>
      <c r="BD1177" s="147"/>
      <c r="BE1177" s="147"/>
      <c r="BF1177" s="147"/>
      <c r="BG1177" s="147"/>
      <c r="BH1177" s="147"/>
      <c r="BI1177" s="147"/>
      <c r="BJ1177" s="147"/>
      <c r="BK1177" s="147"/>
      <c r="BL1177" s="147"/>
      <c r="BM1177" s="147"/>
      <c r="BN1177" s="147"/>
      <c r="BO1177" s="147"/>
      <c r="BP1177" s="147"/>
      <c r="BQ1177" s="147"/>
      <c r="BR1177" s="147"/>
      <c r="BS1177" s="147"/>
      <c r="BT1177" s="147"/>
      <c r="BU1177" s="147"/>
      <c r="BV1177" s="147"/>
      <c r="BW1177" s="147"/>
      <c r="BX1177" s="147"/>
      <c r="BY1177" s="147"/>
      <c r="BZ1177" s="147"/>
      <c r="CA1177" s="147"/>
      <c r="CB1177" s="147"/>
      <c r="CC1177" s="147"/>
      <c r="CD1177" s="147"/>
      <c r="CE1177" s="147"/>
      <c r="CF1177" s="147"/>
      <c r="CG1177" s="147"/>
      <c r="CH1177" s="147"/>
      <c r="CI1177" s="147"/>
      <c r="CJ1177" s="147"/>
      <c r="CK1177" s="147"/>
    </row>
    <row r="1178" spans="1:89">
      <c r="A1178" s="157"/>
      <c r="F1178" s="3"/>
      <c r="G1178" s="3"/>
      <c r="L1178" s="157"/>
      <c r="M1178" s="157"/>
      <c r="O1178" s="147"/>
      <c r="P1178" s="147"/>
      <c r="Q1178" s="147"/>
      <c r="R1178" s="147"/>
      <c r="S1178" s="147"/>
      <c r="T1178" s="147"/>
      <c r="U1178" s="147"/>
      <c r="V1178" s="147"/>
      <c r="W1178" s="147"/>
      <c r="X1178" s="147"/>
      <c r="Y1178" s="147"/>
      <c r="Z1178" s="147"/>
      <c r="AA1178" s="147"/>
      <c r="AB1178" s="147"/>
      <c r="AC1178" s="147"/>
      <c r="AD1178" s="147"/>
      <c r="AE1178" s="147"/>
      <c r="AF1178" s="147"/>
      <c r="AG1178" s="147"/>
      <c r="AH1178" s="147"/>
      <c r="AI1178" s="147"/>
      <c r="AJ1178" s="147"/>
      <c r="AK1178" s="147"/>
      <c r="AL1178" s="147"/>
      <c r="AM1178" s="151"/>
      <c r="AN1178" s="147"/>
      <c r="AO1178" s="147"/>
      <c r="AP1178" s="147"/>
      <c r="AQ1178" s="147"/>
      <c r="AR1178" s="147"/>
      <c r="AS1178" s="147"/>
      <c r="AT1178" s="147"/>
      <c r="AU1178" s="147"/>
      <c r="AV1178" s="147"/>
      <c r="AW1178" s="147"/>
      <c r="AX1178" s="147"/>
      <c r="AY1178" s="147"/>
      <c r="AZ1178" s="147"/>
      <c r="BA1178" s="147"/>
      <c r="BB1178" s="147"/>
      <c r="BC1178" s="147"/>
      <c r="BD1178" s="147"/>
      <c r="BE1178" s="147"/>
      <c r="BF1178" s="147"/>
      <c r="BG1178" s="147"/>
      <c r="BH1178" s="147"/>
      <c r="BI1178" s="147"/>
      <c r="BJ1178" s="147"/>
      <c r="BK1178" s="147"/>
      <c r="BL1178" s="147"/>
      <c r="BM1178" s="147"/>
      <c r="BN1178" s="147"/>
      <c r="BO1178" s="147"/>
      <c r="BP1178" s="147"/>
      <c r="BQ1178" s="147"/>
      <c r="BR1178" s="147"/>
      <c r="BS1178" s="147"/>
      <c r="BT1178" s="147"/>
      <c r="BU1178" s="147"/>
      <c r="BV1178" s="147"/>
      <c r="BW1178" s="147"/>
      <c r="BX1178" s="147"/>
      <c r="BY1178" s="147"/>
      <c r="BZ1178" s="147"/>
      <c r="CA1178" s="147"/>
      <c r="CB1178" s="147"/>
      <c r="CC1178" s="147"/>
      <c r="CD1178" s="147"/>
      <c r="CE1178" s="147"/>
      <c r="CF1178" s="147"/>
      <c r="CG1178" s="147"/>
      <c r="CH1178" s="147"/>
      <c r="CI1178" s="147"/>
      <c r="CJ1178" s="147"/>
      <c r="CK1178" s="147"/>
    </row>
    <row r="1179" spans="1:89">
      <c r="A1179" s="157"/>
      <c r="F1179" s="3"/>
      <c r="G1179" s="3"/>
      <c r="L1179" s="157"/>
      <c r="M1179" s="157"/>
      <c r="O1179" s="147"/>
      <c r="P1179" s="147"/>
      <c r="Q1179" s="147"/>
      <c r="R1179" s="147"/>
      <c r="S1179" s="147"/>
      <c r="T1179" s="147"/>
      <c r="U1179" s="147"/>
      <c r="V1179" s="147"/>
      <c r="W1179" s="147"/>
      <c r="X1179" s="147"/>
      <c r="Y1179" s="147"/>
      <c r="Z1179" s="147"/>
      <c r="AA1179" s="147"/>
      <c r="AB1179" s="147"/>
      <c r="AC1179" s="147"/>
      <c r="AD1179" s="147"/>
      <c r="AE1179" s="147"/>
      <c r="AF1179" s="147"/>
      <c r="AG1179" s="147"/>
      <c r="AH1179" s="147"/>
      <c r="AI1179" s="147"/>
      <c r="AJ1179" s="147"/>
      <c r="AK1179" s="147"/>
      <c r="AL1179" s="147"/>
      <c r="AM1179" s="151"/>
      <c r="AN1179" s="147"/>
      <c r="AO1179" s="147"/>
      <c r="AP1179" s="147"/>
      <c r="AQ1179" s="147"/>
      <c r="AR1179" s="147"/>
      <c r="AS1179" s="147"/>
      <c r="AT1179" s="147"/>
      <c r="AU1179" s="147"/>
      <c r="AV1179" s="147"/>
      <c r="AW1179" s="147"/>
      <c r="AX1179" s="147"/>
      <c r="AY1179" s="147"/>
      <c r="AZ1179" s="147"/>
      <c r="BA1179" s="147"/>
      <c r="BB1179" s="147"/>
      <c r="BC1179" s="147"/>
      <c r="BD1179" s="147"/>
      <c r="BE1179" s="147"/>
      <c r="BF1179" s="147"/>
      <c r="BG1179" s="147"/>
      <c r="BH1179" s="147"/>
      <c r="BI1179" s="147"/>
      <c r="BJ1179" s="147"/>
      <c r="BK1179" s="147"/>
      <c r="BL1179" s="147"/>
      <c r="BM1179" s="147"/>
      <c r="BN1179" s="147"/>
      <c r="BO1179" s="147"/>
      <c r="BP1179" s="147"/>
      <c r="BQ1179" s="147"/>
      <c r="BR1179" s="147"/>
      <c r="BS1179" s="147"/>
      <c r="BT1179" s="147"/>
      <c r="BU1179" s="147"/>
      <c r="BV1179" s="147"/>
      <c r="BW1179" s="147"/>
      <c r="BX1179" s="147"/>
      <c r="BY1179" s="147"/>
      <c r="BZ1179" s="147"/>
      <c r="CA1179" s="147"/>
      <c r="CB1179" s="147"/>
      <c r="CC1179" s="147"/>
      <c r="CD1179" s="147"/>
      <c r="CE1179" s="147"/>
      <c r="CF1179" s="147"/>
      <c r="CG1179" s="147"/>
      <c r="CH1179" s="147"/>
      <c r="CI1179" s="147"/>
      <c r="CJ1179" s="147"/>
      <c r="CK1179" s="147"/>
    </row>
    <row r="1180" spans="1:89">
      <c r="A1180" s="157"/>
      <c r="F1180" s="3"/>
      <c r="G1180" s="3"/>
      <c r="L1180" s="157"/>
      <c r="M1180" s="157"/>
      <c r="O1180" s="147"/>
      <c r="P1180" s="147"/>
      <c r="Q1180" s="147"/>
      <c r="R1180" s="147"/>
      <c r="S1180" s="147"/>
      <c r="T1180" s="147"/>
      <c r="U1180" s="147"/>
      <c r="V1180" s="147"/>
      <c r="W1180" s="147"/>
      <c r="X1180" s="147"/>
      <c r="Y1180" s="147"/>
      <c r="Z1180" s="147"/>
      <c r="AA1180" s="147"/>
      <c r="AB1180" s="147"/>
      <c r="AC1180" s="147"/>
      <c r="AD1180" s="147"/>
      <c r="AE1180" s="147"/>
      <c r="AF1180" s="147"/>
      <c r="AG1180" s="147"/>
      <c r="AH1180" s="147"/>
      <c r="AI1180" s="147"/>
      <c r="AJ1180" s="147"/>
      <c r="AK1180" s="147"/>
      <c r="AL1180" s="147"/>
      <c r="AM1180" s="151"/>
      <c r="AN1180" s="147"/>
      <c r="AO1180" s="147"/>
      <c r="AP1180" s="147"/>
      <c r="AQ1180" s="147"/>
      <c r="AR1180" s="147"/>
      <c r="AS1180" s="147"/>
      <c r="AT1180" s="147"/>
      <c r="AU1180" s="147"/>
      <c r="AV1180" s="147"/>
      <c r="AW1180" s="147"/>
      <c r="AX1180" s="147"/>
      <c r="AY1180" s="147"/>
      <c r="AZ1180" s="147"/>
      <c r="BA1180" s="147"/>
      <c r="BB1180" s="147"/>
      <c r="BC1180" s="147"/>
      <c r="BD1180" s="147"/>
      <c r="BE1180" s="147"/>
      <c r="BF1180" s="147"/>
      <c r="BG1180" s="147"/>
      <c r="BH1180" s="147"/>
      <c r="BI1180" s="147"/>
      <c r="BJ1180" s="147"/>
      <c r="BK1180" s="147"/>
      <c r="BL1180" s="147"/>
      <c r="BM1180" s="147"/>
      <c r="BN1180" s="147"/>
      <c r="BO1180" s="147"/>
      <c r="BP1180" s="147"/>
      <c r="BQ1180" s="147"/>
      <c r="BR1180" s="147"/>
      <c r="BS1180" s="147"/>
      <c r="BT1180" s="147"/>
      <c r="BU1180" s="147"/>
      <c r="BV1180" s="147"/>
      <c r="BW1180" s="147"/>
      <c r="BX1180" s="147"/>
      <c r="BY1180" s="147"/>
      <c r="BZ1180" s="147"/>
      <c r="CA1180" s="147"/>
      <c r="CB1180" s="147"/>
      <c r="CC1180" s="147"/>
      <c r="CD1180" s="147"/>
      <c r="CE1180" s="147"/>
      <c r="CF1180" s="147"/>
      <c r="CG1180" s="147"/>
      <c r="CH1180" s="147"/>
      <c r="CI1180" s="147"/>
      <c r="CJ1180" s="147"/>
      <c r="CK1180" s="147"/>
    </row>
    <row r="1181" spans="1:89">
      <c r="A1181" s="157"/>
      <c r="F1181" s="3"/>
      <c r="G1181" s="3"/>
      <c r="L1181" s="157"/>
      <c r="M1181" s="157"/>
      <c r="O1181" s="147"/>
      <c r="P1181" s="147"/>
      <c r="Q1181" s="147"/>
      <c r="R1181" s="147"/>
      <c r="S1181" s="147"/>
      <c r="T1181" s="147"/>
      <c r="U1181" s="147"/>
      <c r="V1181" s="147"/>
      <c r="W1181" s="147"/>
      <c r="X1181" s="147"/>
      <c r="Y1181" s="147"/>
      <c r="Z1181" s="147"/>
      <c r="AA1181" s="147"/>
      <c r="AB1181" s="147"/>
      <c r="AC1181" s="147"/>
      <c r="AD1181" s="147"/>
      <c r="AE1181" s="147"/>
      <c r="AF1181" s="147"/>
      <c r="AG1181" s="147"/>
      <c r="AH1181" s="147"/>
      <c r="AI1181" s="147"/>
      <c r="AJ1181" s="147"/>
      <c r="AK1181" s="147"/>
      <c r="AL1181" s="147"/>
      <c r="AM1181" s="151"/>
      <c r="AN1181" s="147"/>
      <c r="AO1181" s="147"/>
      <c r="AP1181" s="147"/>
      <c r="AQ1181" s="147"/>
      <c r="AR1181" s="147"/>
      <c r="AS1181" s="147"/>
      <c r="AT1181" s="147"/>
      <c r="AU1181" s="147"/>
      <c r="AV1181" s="147"/>
      <c r="AW1181" s="147"/>
      <c r="AX1181" s="147"/>
      <c r="AY1181" s="147"/>
      <c r="AZ1181" s="147"/>
      <c r="BA1181" s="147"/>
      <c r="BB1181" s="147"/>
      <c r="BC1181" s="147"/>
      <c r="BD1181" s="147"/>
      <c r="BE1181" s="147"/>
      <c r="BF1181" s="147"/>
      <c r="BG1181" s="147"/>
      <c r="BH1181" s="147"/>
      <c r="BI1181" s="147"/>
      <c r="BJ1181" s="147"/>
      <c r="BK1181" s="147"/>
      <c r="BL1181" s="147"/>
      <c r="BM1181" s="147"/>
      <c r="BN1181" s="147"/>
      <c r="BO1181" s="147"/>
      <c r="BP1181" s="147"/>
      <c r="BQ1181" s="147"/>
      <c r="BR1181" s="147"/>
      <c r="BS1181" s="147"/>
      <c r="BT1181" s="147"/>
      <c r="BU1181" s="147"/>
      <c r="BV1181" s="147"/>
      <c r="BW1181" s="147"/>
      <c r="BX1181" s="147"/>
      <c r="BY1181" s="147"/>
      <c r="BZ1181" s="147"/>
      <c r="CA1181" s="147"/>
      <c r="CB1181" s="147"/>
      <c r="CC1181" s="147"/>
      <c r="CD1181" s="147"/>
      <c r="CE1181" s="147"/>
      <c r="CF1181" s="147"/>
      <c r="CG1181" s="147"/>
      <c r="CH1181" s="147"/>
      <c r="CI1181" s="147"/>
      <c r="CJ1181" s="147"/>
      <c r="CK1181" s="147"/>
    </row>
    <row r="1182" spans="1:89">
      <c r="A1182" s="157"/>
      <c r="F1182" s="3"/>
      <c r="G1182" s="3"/>
      <c r="L1182" s="157"/>
      <c r="M1182" s="157"/>
      <c r="O1182" s="147"/>
      <c r="P1182" s="147"/>
      <c r="Q1182" s="147"/>
      <c r="R1182" s="147"/>
      <c r="S1182" s="147"/>
      <c r="T1182" s="147"/>
      <c r="U1182" s="147"/>
      <c r="V1182" s="147"/>
      <c r="W1182" s="147"/>
      <c r="X1182" s="147"/>
      <c r="Y1182" s="147"/>
      <c r="Z1182" s="147"/>
      <c r="AA1182" s="147"/>
      <c r="AB1182" s="147"/>
      <c r="AC1182" s="147"/>
      <c r="AD1182" s="147"/>
      <c r="AE1182" s="147"/>
      <c r="AF1182" s="147"/>
      <c r="AG1182" s="147"/>
      <c r="AH1182" s="147"/>
      <c r="AI1182" s="147"/>
      <c r="AJ1182" s="147"/>
      <c r="AK1182" s="147"/>
      <c r="AL1182" s="147"/>
      <c r="AM1182" s="151"/>
      <c r="AN1182" s="147"/>
      <c r="AO1182" s="147"/>
      <c r="AP1182" s="147"/>
      <c r="AQ1182" s="147"/>
      <c r="AR1182" s="147"/>
      <c r="AS1182" s="147"/>
      <c r="AT1182" s="147"/>
      <c r="AU1182" s="147"/>
      <c r="AV1182" s="147"/>
      <c r="AW1182" s="147"/>
      <c r="AX1182" s="147"/>
      <c r="AY1182" s="147"/>
      <c r="AZ1182" s="147"/>
      <c r="BA1182" s="147"/>
      <c r="BB1182" s="147"/>
      <c r="BC1182" s="147"/>
      <c r="BD1182" s="147"/>
      <c r="BE1182" s="147"/>
      <c r="BF1182" s="147"/>
      <c r="BG1182" s="147"/>
      <c r="BH1182" s="147"/>
      <c r="BI1182" s="147"/>
      <c r="BJ1182" s="147"/>
      <c r="BK1182" s="147"/>
      <c r="BL1182" s="147"/>
      <c r="BM1182" s="147"/>
      <c r="BN1182" s="147"/>
      <c r="BO1182" s="147"/>
      <c r="BP1182" s="147"/>
      <c r="BQ1182" s="147"/>
      <c r="BR1182" s="147"/>
      <c r="BS1182" s="147"/>
      <c r="BT1182" s="147"/>
      <c r="BU1182" s="147"/>
      <c r="BV1182" s="147"/>
      <c r="BW1182" s="147"/>
      <c r="BX1182" s="147"/>
      <c r="BY1182" s="147"/>
      <c r="BZ1182" s="147"/>
      <c r="CA1182" s="147"/>
      <c r="CB1182" s="147"/>
      <c r="CC1182" s="147"/>
      <c r="CD1182" s="147"/>
      <c r="CE1182" s="147"/>
      <c r="CF1182" s="147"/>
      <c r="CG1182" s="147"/>
      <c r="CH1182" s="147"/>
      <c r="CI1182" s="147"/>
      <c r="CJ1182" s="147"/>
      <c r="CK1182" s="147"/>
    </row>
    <row r="1183" spans="1:89">
      <c r="A1183" s="157"/>
      <c r="F1183" s="3"/>
      <c r="G1183" s="3"/>
      <c r="L1183" s="157"/>
      <c r="M1183" s="157"/>
      <c r="O1183" s="147"/>
      <c r="P1183" s="147"/>
      <c r="Q1183" s="147"/>
      <c r="R1183" s="147"/>
      <c r="S1183" s="147"/>
      <c r="T1183" s="147"/>
      <c r="U1183" s="147"/>
      <c r="V1183" s="147"/>
      <c r="W1183" s="147"/>
      <c r="X1183" s="147"/>
      <c r="Y1183" s="147"/>
      <c r="Z1183" s="147"/>
      <c r="AA1183" s="147"/>
      <c r="AB1183" s="147"/>
      <c r="AC1183" s="147"/>
      <c r="AD1183" s="147"/>
      <c r="AE1183" s="147"/>
      <c r="AF1183" s="147"/>
      <c r="AG1183" s="147"/>
      <c r="AH1183" s="147"/>
      <c r="AI1183" s="147"/>
      <c r="AJ1183" s="147"/>
      <c r="AK1183" s="147"/>
      <c r="AL1183" s="147"/>
      <c r="AM1183" s="151"/>
      <c r="AN1183" s="147"/>
      <c r="AO1183" s="147"/>
      <c r="AP1183" s="147"/>
      <c r="AQ1183" s="147"/>
      <c r="AR1183" s="147"/>
      <c r="AS1183" s="147"/>
      <c r="AT1183" s="147"/>
      <c r="AU1183" s="147"/>
      <c r="AV1183" s="147"/>
      <c r="AW1183" s="147"/>
      <c r="AX1183" s="147"/>
      <c r="AY1183" s="147"/>
      <c r="AZ1183" s="147"/>
      <c r="BA1183" s="147"/>
      <c r="BB1183" s="147"/>
      <c r="BC1183" s="147"/>
      <c r="BD1183" s="147"/>
      <c r="BE1183" s="147"/>
      <c r="BF1183" s="147"/>
      <c r="BG1183" s="147"/>
      <c r="BH1183" s="147"/>
      <c r="BI1183" s="147"/>
      <c r="BJ1183" s="147"/>
      <c r="BK1183" s="147"/>
      <c r="BL1183" s="147"/>
      <c r="BM1183" s="147"/>
      <c r="BN1183" s="147"/>
      <c r="BO1183" s="147"/>
      <c r="BP1183" s="147"/>
      <c r="BQ1183" s="147"/>
      <c r="BR1183" s="147"/>
      <c r="BS1183" s="147"/>
      <c r="BT1183" s="147"/>
      <c r="BU1183" s="147"/>
      <c r="BV1183" s="147"/>
      <c r="BW1183" s="147"/>
      <c r="BX1183" s="147"/>
      <c r="BY1183" s="147"/>
      <c r="BZ1183" s="147"/>
      <c r="CA1183" s="147"/>
      <c r="CB1183" s="147"/>
      <c r="CC1183" s="147"/>
      <c r="CD1183" s="147"/>
      <c r="CE1183" s="147"/>
      <c r="CF1183" s="147"/>
      <c r="CG1183" s="147"/>
      <c r="CH1183" s="147"/>
      <c r="CI1183" s="147"/>
      <c r="CJ1183" s="147"/>
      <c r="CK1183" s="147"/>
    </row>
    <row r="1184" spans="1:89">
      <c r="A1184" s="157"/>
      <c r="F1184" s="3"/>
      <c r="G1184" s="3"/>
      <c r="L1184" s="157"/>
      <c r="M1184" s="157"/>
      <c r="O1184" s="147"/>
      <c r="P1184" s="147"/>
      <c r="Q1184" s="147"/>
      <c r="R1184" s="147"/>
      <c r="S1184" s="147"/>
      <c r="T1184" s="147"/>
      <c r="U1184" s="147"/>
      <c r="V1184" s="147"/>
      <c r="W1184" s="147"/>
      <c r="X1184" s="147"/>
      <c r="Y1184" s="147"/>
      <c r="Z1184" s="147"/>
      <c r="AA1184" s="147"/>
      <c r="AB1184" s="147"/>
      <c r="AC1184" s="147"/>
      <c r="AD1184" s="147"/>
      <c r="AE1184" s="147"/>
      <c r="AF1184" s="147"/>
      <c r="AG1184" s="147"/>
      <c r="AH1184" s="147"/>
      <c r="AI1184" s="147"/>
      <c r="AJ1184" s="147"/>
      <c r="AK1184" s="147"/>
      <c r="AL1184" s="147"/>
      <c r="AM1184" s="151"/>
      <c r="AN1184" s="147"/>
      <c r="AO1184" s="147"/>
      <c r="AP1184" s="147"/>
      <c r="AQ1184" s="147"/>
      <c r="AR1184" s="147"/>
      <c r="AS1184" s="147"/>
      <c r="AT1184" s="147"/>
      <c r="AU1184" s="147"/>
      <c r="AV1184" s="147"/>
      <c r="AW1184" s="147"/>
      <c r="AX1184" s="147"/>
      <c r="AY1184" s="147"/>
      <c r="AZ1184" s="147"/>
      <c r="BA1184" s="147"/>
      <c r="BB1184" s="147"/>
      <c r="BC1184" s="147"/>
      <c r="BD1184" s="147"/>
      <c r="BE1184" s="147"/>
      <c r="BF1184" s="147"/>
      <c r="BG1184" s="147"/>
      <c r="BH1184" s="147"/>
      <c r="BI1184" s="147"/>
      <c r="BJ1184" s="147"/>
      <c r="BK1184" s="147"/>
      <c r="BL1184" s="147"/>
      <c r="BM1184" s="147"/>
      <c r="BN1184" s="147"/>
      <c r="BO1184" s="147"/>
      <c r="BP1184" s="147"/>
      <c r="BQ1184" s="147"/>
      <c r="BR1184" s="147"/>
      <c r="BS1184" s="147"/>
      <c r="BT1184" s="147"/>
      <c r="BU1184" s="147"/>
      <c r="BV1184" s="147"/>
      <c r="BW1184" s="147"/>
      <c r="BX1184" s="147"/>
      <c r="BY1184" s="147"/>
      <c r="BZ1184" s="147"/>
      <c r="CA1184" s="147"/>
      <c r="CB1184" s="147"/>
      <c r="CC1184" s="147"/>
      <c r="CD1184" s="147"/>
      <c r="CE1184" s="147"/>
      <c r="CF1184" s="147"/>
      <c r="CG1184" s="147"/>
      <c r="CH1184" s="147"/>
      <c r="CI1184" s="147"/>
      <c r="CJ1184" s="147"/>
      <c r="CK1184" s="147"/>
    </row>
    <row r="1185" spans="1:89">
      <c r="A1185" s="157"/>
      <c r="F1185" s="3"/>
      <c r="G1185" s="3"/>
      <c r="L1185" s="157"/>
      <c r="M1185" s="157"/>
      <c r="O1185" s="147"/>
      <c r="P1185" s="147"/>
      <c r="Q1185" s="147"/>
      <c r="R1185" s="147"/>
      <c r="S1185" s="147"/>
      <c r="T1185" s="147"/>
      <c r="U1185" s="147"/>
      <c r="V1185" s="147"/>
      <c r="W1185" s="147"/>
      <c r="X1185" s="147"/>
      <c r="Y1185" s="147"/>
      <c r="Z1185" s="147"/>
      <c r="AA1185" s="147"/>
      <c r="AB1185" s="147"/>
      <c r="AC1185" s="147"/>
      <c r="AD1185" s="147"/>
      <c r="AE1185" s="147"/>
      <c r="AF1185" s="147"/>
      <c r="AG1185" s="147"/>
      <c r="AH1185" s="147"/>
      <c r="AI1185" s="147"/>
      <c r="AJ1185" s="147"/>
      <c r="AK1185" s="147"/>
      <c r="AL1185" s="147"/>
      <c r="AM1185" s="151"/>
      <c r="AN1185" s="147"/>
      <c r="AO1185" s="147"/>
      <c r="AP1185" s="147"/>
      <c r="AQ1185" s="147"/>
      <c r="AR1185" s="147"/>
      <c r="AS1185" s="147"/>
      <c r="AT1185" s="147"/>
      <c r="AU1185" s="147"/>
      <c r="AV1185" s="147"/>
      <c r="AW1185" s="147"/>
      <c r="AX1185" s="147"/>
      <c r="AY1185" s="147"/>
      <c r="AZ1185" s="147"/>
      <c r="BA1185" s="147"/>
      <c r="BB1185" s="147"/>
      <c r="BC1185" s="147"/>
      <c r="BD1185" s="147"/>
      <c r="BE1185" s="147"/>
      <c r="BF1185" s="147"/>
      <c r="BG1185" s="147"/>
      <c r="BH1185" s="147"/>
      <c r="BI1185" s="147"/>
      <c r="BJ1185" s="147"/>
      <c r="BK1185" s="147"/>
      <c r="BL1185" s="147"/>
      <c r="BM1185" s="147"/>
      <c r="BN1185" s="147"/>
      <c r="BO1185" s="147"/>
      <c r="BP1185" s="147"/>
      <c r="BQ1185" s="147"/>
      <c r="BR1185" s="147"/>
      <c r="BS1185" s="147"/>
      <c r="BT1185" s="147"/>
      <c r="BU1185" s="147"/>
      <c r="BV1185" s="147"/>
      <c r="BW1185" s="147"/>
      <c r="BX1185" s="147"/>
      <c r="BY1185" s="147"/>
      <c r="BZ1185" s="147"/>
      <c r="CA1185" s="147"/>
      <c r="CB1185" s="147"/>
      <c r="CC1185" s="147"/>
      <c r="CD1185" s="147"/>
      <c r="CE1185" s="147"/>
      <c r="CF1185" s="147"/>
      <c r="CG1185" s="147"/>
      <c r="CH1185" s="147"/>
      <c r="CI1185" s="147"/>
      <c r="CJ1185" s="147"/>
      <c r="CK1185" s="147"/>
    </row>
    <row r="1186" spans="1:89">
      <c r="A1186" s="157"/>
      <c r="F1186" s="3"/>
      <c r="G1186" s="3"/>
      <c r="L1186" s="157"/>
      <c r="M1186" s="157"/>
      <c r="O1186" s="147"/>
      <c r="P1186" s="147"/>
      <c r="Q1186" s="147"/>
      <c r="R1186" s="147"/>
      <c r="S1186" s="147"/>
      <c r="T1186" s="147"/>
      <c r="U1186" s="147"/>
      <c r="V1186" s="147"/>
      <c r="W1186" s="147"/>
      <c r="X1186" s="147"/>
      <c r="Y1186" s="147"/>
      <c r="Z1186" s="147"/>
      <c r="AA1186" s="147"/>
      <c r="AB1186" s="147"/>
      <c r="AC1186" s="147"/>
      <c r="AD1186" s="147"/>
      <c r="AE1186" s="147"/>
      <c r="AF1186" s="147"/>
      <c r="AG1186" s="147"/>
      <c r="AH1186" s="147"/>
      <c r="AI1186" s="147"/>
      <c r="AJ1186" s="147"/>
      <c r="AK1186" s="147"/>
      <c r="AL1186" s="147"/>
      <c r="AM1186" s="151"/>
      <c r="AN1186" s="147"/>
      <c r="AO1186" s="147"/>
      <c r="AP1186" s="147"/>
      <c r="AQ1186" s="147"/>
      <c r="AR1186" s="147"/>
      <c r="AS1186" s="147"/>
      <c r="AT1186" s="147"/>
      <c r="AU1186" s="147"/>
      <c r="AV1186" s="147"/>
      <c r="AW1186" s="147"/>
      <c r="AX1186" s="147"/>
      <c r="AY1186" s="147"/>
      <c r="AZ1186" s="147"/>
      <c r="BA1186" s="147"/>
      <c r="BB1186" s="147"/>
      <c r="BC1186" s="147"/>
      <c r="BD1186" s="147"/>
      <c r="BE1186" s="147"/>
      <c r="BF1186" s="147"/>
      <c r="BG1186" s="147"/>
      <c r="BH1186" s="147"/>
      <c r="BI1186" s="147"/>
      <c r="BJ1186" s="147"/>
      <c r="BK1186" s="147"/>
      <c r="BL1186" s="147"/>
      <c r="BM1186" s="147"/>
      <c r="BN1186" s="147"/>
      <c r="BO1186" s="147"/>
      <c r="BP1186" s="147"/>
      <c r="BQ1186" s="147"/>
      <c r="BR1186" s="147"/>
      <c r="BS1186" s="147"/>
      <c r="BT1186" s="147"/>
      <c r="BU1186" s="147"/>
      <c r="BV1186" s="147"/>
      <c r="BW1186" s="147"/>
      <c r="BX1186" s="147"/>
      <c r="BY1186" s="147"/>
      <c r="BZ1186" s="147"/>
      <c r="CA1186" s="147"/>
      <c r="CB1186" s="147"/>
      <c r="CC1186" s="147"/>
      <c r="CD1186" s="147"/>
      <c r="CE1186" s="147"/>
      <c r="CF1186" s="147"/>
      <c r="CG1186" s="147"/>
      <c r="CH1186" s="147"/>
      <c r="CI1186" s="147"/>
      <c r="CJ1186" s="147"/>
      <c r="CK1186" s="147"/>
    </row>
    <row r="1187" spans="1:89">
      <c r="A1187" s="157"/>
      <c r="F1187" s="3"/>
      <c r="G1187" s="3"/>
      <c r="L1187" s="157"/>
      <c r="M1187" s="157"/>
      <c r="O1187" s="147"/>
      <c r="P1187" s="147"/>
      <c r="Q1187" s="147"/>
      <c r="R1187" s="147"/>
      <c r="S1187" s="147"/>
      <c r="T1187" s="147"/>
      <c r="U1187" s="147"/>
      <c r="V1187" s="147"/>
      <c r="W1187" s="147"/>
      <c r="X1187" s="147"/>
      <c r="Y1187" s="147"/>
      <c r="Z1187" s="147"/>
      <c r="AA1187" s="147"/>
      <c r="AB1187" s="147"/>
      <c r="AC1187" s="147"/>
      <c r="AD1187" s="147"/>
      <c r="AE1187" s="147"/>
      <c r="AF1187" s="147"/>
      <c r="AG1187" s="147"/>
      <c r="AH1187" s="147"/>
      <c r="AI1187" s="147"/>
      <c r="AJ1187" s="147"/>
      <c r="AK1187" s="147"/>
      <c r="AL1187" s="147"/>
      <c r="AM1187" s="151"/>
      <c r="AN1187" s="147"/>
      <c r="AO1187" s="147"/>
      <c r="AP1187" s="147"/>
      <c r="AQ1187" s="147"/>
      <c r="AR1187" s="147"/>
      <c r="AS1187" s="147"/>
      <c r="AT1187" s="147"/>
      <c r="AU1187" s="147"/>
      <c r="AV1187" s="147"/>
      <c r="AW1187" s="147"/>
      <c r="AX1187" s="147"/>
      <c r="AY1187" s="147"/>
      <c r="AZ1187" s="147"/>
      <c r="BA1187" s="147"/>
      <c r="BB1187" s="147"/>
      <c r="BC1187" s="147"/>
      <c r="BD1187" s="147"/>
      <c r="BE1187" s="147"/>
      <c r="BF1187" s="147"/>
      <c r="BG1187" s="147"/>
      <c r="BH1187" s="147"/>
      <c r="BI1187" s="147"/>
      <c r="BJ1187" s="147"/>
      <c r="BK1187" s="147"/>
      <c r="BL1187" s="147"/>
      <c r="BM1187" s="147"/>
      <c r="BN1187" s="147"/>
      <c r="BO1187" s="147"/>
      <c r="BP1187" s="147"/>
      <c r="BQ1187" s="147"/>
      <c r="BR1187" s="147"/>
      <c r="BS1187" s="147"/>
      <c r="BT1187" s="147"/>
      <c r="BU1187" s="147"/>
      <c r="BV1187" s="147"/>
      <c r="BW1187" s="147"/>
      <c r="BX1187" s="147"/>
      <c r="BY1187" s="147"/>
      <c r="BZ1187" s="147"/>
      <c r="CA1187" s="147"/>
      <c r="CB1187" s="147"/>
      <c r="CC1187" s="147"/>
      <c r="CD1187" s="147"/>
      <c r="CE1187" s="147"/>
      <c r="CF1187" s="147"/>
      <c r="CG1187" s="147"/>
      <c r="CH1187" s="147"/>
      <c r="CI1187" s="147"/>
      <c r="CJ1187" s="147"/>
      <c r="CK1187" s="147"/>
    </row>
    <row r="1188" spans="1:89">
      <c r="A1188" s="157"/>
      <c r="F1188" s="3"/>
      <c r="G1188" s="3"/>
      <c r="L1188" s="157"/>
      <c r="M1188" s="157"/>
      <c r="O1188" s="147"/>
      <c r="P1188" s="147"/>
      <c r="Q1188" s="147"/>
      <c r="R1188" s="147"/>
      <c r="S1188" s="147"/>
      <c r="T1188" s="147"/>
      <c r="U1188" s="147"/>
      <c r="V1188" s="147"/>
      <c r="W1188" s="147"/>
      <c r="X1188" s="147"/>
      <c r="Y1188" s="147"/>
      <c r="Z1188" s="147"/>
      <c r="AA1188" s="147"/>
      <c r="AB1188" s="147"/>
      <c r="AC1188" s="147"/>
      <c r="AD1188" s="147"/>
      <c r="AE1188" s="147"/>
      <c r="AF1188" s="147"/>
      <c r="AG1188" s="147"/>
      <c r="AH1188" s="147"/>
      <c r="AI1188" s="147"/>
      <c r="AJ1188" s="147"/>
      <c r="AK1188" s="147"/>
      <c r="AL1188" s="147"/>
      <c r="AM1188" s="151"/>
      <c r="AN1188" s="147"/>
      <c r="AO1188" s="147"/>
      <c r="AP1188" s="147"/>
      <c r="AQ1188" s="147"/>
      <c r="AR1188" s="147"/>
      <c r="AS1188" s="147"/>
      <c r="AT1188" s="147"/>
      <c r="AU1188" s="147"/>
      <c r="AV1188" s="147"/>
      <c r="AW1188" s="147"/>
      <c r="AX1188" s="147"/>
      <c r="AY1188" s="147"/>
      <c r="AZ1188" s="147"/>
      <c r="BA1188" s="147"/>
      <c r="BB1188" s="147"/>
      <c r="BC1188" s="147"/>
      <c r="BD1188" s="147"/>
      <c r="BE1188" s="147"/>
      <c r="BF1188" s="147"/>
      <c r="BG1188" s="147"/>
      <c r="BH1188" s="147"/>
      <c r="BI1188" s="147"/>
      <c r="BJ1188" s="147"/>
      <c r="BK1188" s="147"/>
      <c r="BL1188" s="147"/>
      <c r="BM1188" s="147"/>
      <c r="BN1188" s="147"/>
      <c r="BO1188" s="147"/>
      <c r="BP1188" s="147"/>
      <c r="BQ1188" s="147"/>
      <c r="BR1188" s="147"/>
      <c r="BS1188" s="147"/>
      <c r="BT1188" s="147"/>
      <c r="BU1188" s="147"/>
      <c r="BV1188" s="147"/>
      <c r="BW1188" s="147"/>
      <c r="BX1188" s="147"/>
      <c r="BY1188" s="147"/>
      <c r="BZ1188" s="147"/>
      <c r="CA1188" s="147"/>
      <c r="CB1188" s="147"/>
      <c r="CC1188" s="147"/>
      <c r="CD1188" s="147"/>
      <c r="CE1188" s="147"/>
      <c r="CF1188" s="147"/>
      <c r="CG1188" s="147"/>
      <c r="CH1188" s="147"/>
      <c r="CI1188" s="147"/>
      <c r="CJ1188" s="147"/>
      <c r="CK1188" s="147"/>
    </row>
    <row r="1189" spans="1:89">
      <c r="A1189" s="157"/>
      <c r="F1189" s="3"/>
      <c r="G1189" s="3"/>
      <c r="L1189" s="157"/>
      <c r="M1189" s="157"/>
      <c r="O1189" s="147"/>
      <c r="P1189" s="147"/>
      <c r="Q1189" s="147"/>
      <c r="R1189" s="147"/>
      <c r="S1189" s="147"/>
      <c r="T1189" s="147"/>
      <c r="U1189" s="147"/>
      <c r="V1189" s="147"/>
      <c r="W1189" s="147"/>
      <c r="X1189" s="147"/>
      <c r="Y1189" s="147"/>
      <c r="Z1189" s="147"/>
      <c r="AA1189" s="147"/>
      <c r="AB1189" s="147"/>
      <c r="AC1189" s="147"/>
      <c r="AD1189" s="147"/>
      <c r="AE1189" s="147"/>
      <c r="AF1189" s="147"/>
      <c r="AG1189" s="147"/>
      <c r="AH1189" s="147"/>
      <c r="AI1189" s="147"/>
      <c r="AJ1189" s="147"/>
      <c r="AK1189" s="147"/>
      <c r="AL1189" s="147"/>
      <c r="AM1189" s="151"/>
      <c r="AN1189" s="147"/>
      <c r="AO1189" s="147"/>
      <c r="AP1189" s="147"/>
      <c r="AQ1189" s="147"/>
      <c r="AR1189" s="147"/>
      <c r="AS1189" s="147"/>
      <c r="AT1189" s="147"/>
      <c r="AU1189" s="147"/>
      <c r="AV1189" s="147"/>
      <c r="AW1189" s="147"/>
      <c r="AX1189" s="147"/>
      <c r="AY1189" s="147"/>
      <c r="AZ1189" s="147"/>
      <c r="BA1189" s="147"/>
      <c r="BB1189" s="147"/>
      <c r="BC1189" s="147"/>
      <c r="BD1189" s="147"/>
      <c r="BE1189" s="147"/>
      <c r="BF1189" s="147"/>
      <c r="BG1189" s="147"/>
      <c r="BH1189" s="147"/>
      <c r="BI1189" s="147"/>
      <c r="BJ1189" s="147"/>
      <c r="BK1189" s="147"/>
      <c r="BL1189" s="147"/>
      <c r="BM1189" s="147"/>
      <c r="BN1189" s="147"/>
      <c r="BO1189" s="147"/>
      <c r="BP1189" s="147"/>
      <c r="BQ1189" s="147"/>
      <c r="BR1189" s="147"/>
      <c r="BS1189" s="147"/>
      <c r="BT1189" s="147"/>
      <c r="BU1189" s="147"/>
      <c r="BV1189" s="147"/>
      <c r="BW1189" s="147"/>
      <c r="BX1189" s="147"/>
      <c r="BY1189" s="147"/>
      <c r="BZ1189" s="147"/>
      <c r="CA1189" s="147"/>
      <c r="CB1189" s="147"/>
      <c r="CC1189" s="147"/>
      <c r="CD1189" s="147"/>
      <c r="CE1189" s="147"/>
      <c r="CF1189" s="147"/>
      <c r="CG1189" s="147"/>
      <c r="CH1189" s="147"/>
      <c r="CI1189" s="147"/>
      <c r="CJ1189" s="147"/>
      <c r="CK1189" s="147"/>
    </row>
    <row r="1190" spans="1:89">
      <c r="A1190" s="157"/>
      <c r="F1190" s="3"/>
      <c r="G1190" s="3"/>
      <c r="L1190" s="157"/>
      <c r="M1190" s="157"/>
      <c r="O1190" s="147"/>
      <c r="P1190" s="147"/>
      <c r="Q1190" s="147"/>
      <c r="R1190" s="147"/>
      <c r="S1190" s="147"/>
      <c r="T1190" s="147"/>
      <c r="U1190" s="147"/>
      <c r="V1190" s="147"/>
      <c r="W1190" s="147"/>
      <c r="X1190" s="147"/>
      <c r="Y1190" s="147"/>
      <c r="Z1190" s="147"/>
      <c r="AA1190" s="147"/>
      <c r="AB1190" s="147"/>
      <c r="AC1190" s="147"/>
      <c r="AD1190" s="147"/>
      <c r="AE1190" s="147"/>
      <c r="AF1190" s="147"/>
      <c r="AG1190" s="147"/>
      <c r="AH1190" s="147"/>
      <c r="AI1190" s="147"/>
      <c r="AJ1190" s="147"/>
      <c r="AK1190" s="147"/>
      <c r="AL1190" s="147"/>
      <c r="AM1190" s="151"/>
      <c r="AN1190" s="147"/>
      <c r="AO1190" s="147"/>
      <c r="AP1190" s="147"/>
      <c r="AQ1190" s="147"/>
      <c r="AR1190" s="147"/>
      <c r="AS1190" s="147"/>
      <c r="AT1190" s="147"/>
      <c r="AU1190" s="147"/>
      <c r="AV1190" s="147"/>
      <c r="AW1190" s="147"/>
      <c r="AX1190" s="147"/>
      <c r="AY1190" s="147"/>
      <c r="AZ1190" s="147"/>
      <c r="BA1190" s="147"/>
      <c r="BB1190" s="147"/>
      <c r="BC1190" s="147"/>
      <c r="BD1190" s="147"/>
      <c r="BE1190" s="147"/>
      <c r="BF1190" s="147"/>
      <c r="BG1190" s="147"/>
      <c r="BH1190" s="147"/>
      <c r="BI1190" s="147"/>
      <c r="BJ1190" s="147"/>
      <c r="BK1190" s="147"/>
      <c r="BL1190" s="147"/>
      <c r="BM1190" s="147"/>
      <c r="BN1190" s="147"/>
      <c r="BO1190" s="147"/>
      <c r="BP1190" s="147"/>
      <c r="BQ1190" s="147"/>
      <c r="BR1190" s="147"/>
      <c r="BS1190" s="147"/>
      <c r="BT1190" s="147"/>
      <c r="BU1190" s="147"/>
      <c r="BV1190" s="147"/>
      <c r="BW1190" s="147"/>
      <c r="BX1190" s="147"/>
      <c r="BY1190" s="147"/>
      <c r="BZ1190" s="147"/>
      <c r="CA1190" s="147"/>
      <c r="CB1190" s="147"/>
      <c r="CC1190" s="147"/>
      <c r="CD1190" s="147"/>
      <c r="CE1190" s="147"/>
      <c r="CF1190" s="147"/>
      <c r="CG1190" s="147"/>
      <c r="CH1190" s="147"/>
      <c r="CI1190" s="147"/>
      <c r="CJ1190" s="147"/>
      <c r="CK1190" s="147"/>
    </row>
    <row r="1191" spans="1:89">
      <c r="A1191" s="157"/>
      <c r="F1191" s="3"/>
      <c r="G1191" s="3"/>
      <c r="L1191" s="157"/>
      <c r="M1191" s="157"/>
      <c r="O1191" s="147"/>
      <c r="P1191" s="147"/>
      <c r="Q1191" s="147"/>
      <c r="R1191" s="147"/>
      <c r="S1191" s="147"/>
      <c r="T1191" s="147"/>
      <c r="U1191" s="147"/>
      <c r="V1191" s="147"/>
      <c r="W1191" s="147"/>
      <c r="X1191" s="147"/>
      <c r="Y1191" s="147"/>
      <c r="Z1191" s="147"/>
      <c r="AA1191" s="147"/>
      <c r="AB1191" s="147"/>
      <c r="AC1191" s="147"/>
      <c r="AD1191" s="147"/>
      <c r="AE1191" s="147"/>
      <c r="AF1191" s="147"/>
      <c r="AG1191" s="147"/>
      <c r="AH1191" s="147"/>
      <c r="AI1191" s="147"/>
      <c r="AJ1191" s="147"/>
      <c r="AK1191" s="147"/>
      <c r="AL1191" s="147"/>
      <c r="AM1191" s="151"/>
      <c r="AN1191" s="147"/>
      <c r="AO1191" s="147"/>
      <c r="AP1191" s="147"/>
      <c r="AQ1191" s="147"/>
      <c r="AR1191" s="147"/>
      <c r="AS1191" s="147"/>
      <c r="AT1191" s="147"/>
      <c r="AU1191" s="147"/>
      <c r="AV1191" s="147"/>
      <c r="AW1191" s="147"/>
      <c r="AX1191" s="147"/>
      <c r="AY1191" s="147"/>
      <c r="AZ1191" s="147"/>
      <c r="BA1191" s="147"/>
      <c r="BB1191" s="147"/>
      <c r="BC1191" s="147"/>
      <c r="BD1191" s="147"/>
      <c r="BE1191" s="147"/>
      <c r="BF1191" s="147"/>
      <c r="BG1191" s="147"/>
      <c r="BH1191" s="147"/>
      <c r="BI1191" s="147"/>
      <c r="BJ1191" s="147"/>
      <c r="BK1191" s="147"/>
      <c r="BL1191" s="147"/>
      <c r="BM1191" s="147"/>
      <c r="BN1191" s="147"/>
      <c r="BO1191" s="147"/>
      <c r="BP1191" s="147"/>
      <c r="BQ1191" s="147"/>
      <c r="BR1191" s="147"/>
      <c r="BS1191" s="147"/>
      <c r="BT1191" s="147"/>
      <c r="BU1191" s="147"/>
      <c r="BV1191" s="147"/>
      <c r="BW1191" s="147"/>
      <c r="BX1191" s="147"/>
      <c r="BY1191" s="147"/>
      <c r="BZ1191" s="147"/>
      <c r="CA1191" s="147"/>
      <c r="CB1191" s="147"/>
      <c r="CC1191" s="147"/>
      <c r="CD1191" s="147"/>
      <c r="CE1191" s="147"/>
      <c r="CF1191" s="147"/>
      <c r="CG1191" s="147"/>
      <c r="CH1191" s="147"/>
      <c r="CI1191" s="147"/>
      <c r="CJ1191" s="147"/>
      <c r="CK1191" s="147"/>
    </row>
    <row r="1192" spans="1:89">
      <c r="A1192" s="157"/>
      <c r="F1192" s="3"/>
      <c r="G1192" s="3"/>
      <c r="L1192" s="157"/>
      <c r="M1192" s="157"/>
      <c r="O1192" s="147"/>
      <c r="P1192" s="147"/>
      <c r="Q1192" s="147"/>
      <c r="R1192" s="147"/>
      <c r="S1192" s="147"/>
      <c r="T1192" s="147"/>
      <c r="U1192" s="147"/>
      <c r="V1192" s="147"/>
      <c r="W1192" s="147"/>
      <c r="X1192" s="147"/>
      <c r="Y1192" s="147"/>
      <c r="Z1192" s="147"/>
      <c r="AA1192" s="147"/>
      <c r="AB1192" s="147"/>
      <c r="AC1192" s="147"/>
      <c r="AD1192" s="147"/>
      <c r="AE1192" s="147"/>
      <c r="AF1192" s="147"/>
      <c r="AG1192" s="147"/>
      <c r="AH1192" s="147"/>
      <c r="AI1192" s="147"/>
      <c r="AJ1192" s="147"/>
      <c r="AK1192" s="147"/>
      <c r="AL1192" s="147"/>
      <c r="AM1192" s="151"/>
      <c r="AN1192" s="147"/>
      <c r="AO1192" s="147"/>
      <c r="AP1192" s="147"/>
      <c r="AQ1192" s="147"/>
      <c r="AR1192" s="147"/>
      <c r="AS1192" s="147"/>
      <c r="AT1192" s="147"/>
      <c r="AU1192" s="147"/>
      <c r="AV1192" s="147"/>
      <c r="AW1192" s="147"/>
      <c r="AX1192" s="147"/>
      <c r="AY1192" s="147"/>
      <c r="AZ1192" s="147"/>
      <c r="BA1192" s="147"/>
      <c r="BB1192" s="147"/>
      <c r="BC1192" s="147"/>
      <c r="BD1192" s="147"/>
      <c r="BE1192" s="147"/>
      <c r="BF1192" s="147"/>
      <c r="BG1192" s="147"/>
      <c r="BH1192" s="147"/>
      <c r="BI1192" s="147"/>
      <c r="BJ1192" s="147"/>
      <c r="BK1192" s="147"/>
      <c r="BL1192" s="147"/>
      <c r="BM1192" s="147"/>
      <c r="BN1192" s="147"/>
      <c r="BO1192" s="147"/>
      <c r="BP1192" s="147"/>
      <c r="BQ1192" s="147"/>
      <c r="BR1192" s="147"/>
      <c r="BS1192" s="147"/>
      <c r="BT1192" s="147"/>
      <c r="BU1192" s="147"/>
      <c r="BV1192" s="147"/>
      <c r="BW1192" s="147"/>
      <c r="BX1192" s="147"/>
      <c r="BY1192" s="147"/>
      <c r="BZ1192" s="147"/>
      <c r="CA1192" s="147"/>
      <c r="CB1192" s="147"/>
      <c r="CC1192" s="147"/>
      <c r="CD1192" s="147"/>
      <c r="CE1192" s="147"/>
      <c r="CF1192" s="147"/>
      <c r="CG1192" s="147"/>
      <c r="CH1192" s="147"/>
      <c r="CI1192" s="147"/>
      <c r="CJ1192" s="147"/>
      <c r="CK1192" s="147"/>
    </row>
    <row r="1193" spans="1:89">
      <c r="A1193" s="157"/>
      <c r="F1193" s="3"/>
      <c r="G1193" s="3"/>
      <c r="L1193" s="157"/>
      <c r="M1193" s="157"/>
      <c r="O1193" s="147"/>
      <c r="P1193" s="147"/>
      <c r="Q1193" s="147"/>
      <c r="R1193" s="147"/>
      <c r="S1193" s="147"/>
      <c r="T1193" s="147"/>
      <c r="U1193" s="147"/>
      <c r="V1193" s="147"/>
      <c r="W1193" s="147"/>
      <c r="X1193" s="147"/>
      <c r="Y1193" s="147"/>
      <c r="Z1193" s="147"/>
      <c r="AA1193" s="147"/>
      <c r="AB1193" s="147"/>
      <c r="AC1193" s="147"/>
      <c r="AD1193" s="147"/>
      <c r="AE1193" s="147"/>
      <c r="AF1193" s="147"/>
      <c r="AG1193" s="147"/>
      <c r="AH1193" s="147"/>
      <c r="AI1193" s="147"/>
      <c r="AJ1193" s="147"/>
      <c r="AK1193" s="147"/>
      <c r="AL1193" s="147"/>
      <c r="AM1193" s="151"/>
      <c r="AN1193" s="147"/>
      <c r="AO1193" s="147"/>
      <c r="AP1193" s="147"/>
      <c r="AQ1193" s="147"/>
      <c r="AR1193" s="147"/>
      <c r="AS1193" s="147"/>
      <c r="AT1193" s="147"/>
      <c r="AU1193" s="147"/>
      <c r="AV1193" s="147"/>
      <c r="AW1193" s="147"/>
      <c r="AX1193" s="147"/>
      <c r="AY1193" s="147"/>
      <c r="AZ1193" s="147"/>
      <c r="BA1193" s="147"/>
      <c r="BB1193" s="147"/>
      <c r="BC1193" s="147"/>
      <c r="BD1193" s="147"/>
      <c r="BE1193" s="147"/>
      <c r="BF1193" s="147"/>
      <c r="BG1193" s="147"/>
      <c r="BH1193" s="147"/>
      <c r="BI1193" s="147"/>
      <c r="BJ1193" s="147"/>
      <c r="BK1193" s="147"/>
      <c r="BL1193" s="147"/>
      <c r="BM1193" s="147"/>
      <c r="BN1193" s="147"/>
      <c r="BO1193" s="147"/>
      <c r="BP1193" s="147"/>
      <c r="BQ1193" s="147"/>
      <c r="BR1193" s="147"/>
      <c r="BS1193" s="147"/>
      <c r="BT1193" s="147"/>
      <c r="BU1193" s="147"/>
      <c r="BV1193" s="147"/>
      <c r="BW1193" s="147"/>
      <c r="BX1193" s="147"/>
      <c r="BY1193" s="147"/>
      <c r="BZ1193" s="147"/>
      <c r="CA1193" s="147"/>
      <c r="CB1193" s="147"/>
      <c r="CC1193" s="147"/>
      <c r="CD1193" s="147"/>
      <c r="CE1193" s="147"/>
      <c r="CF1193" s="147"/>
      <c r="CG1193" s="147"/>
      <c r="CH1193" s="147"/>
      <c r="CI1193" s="147"/>
      <c r="CJ1193" s="147"/>
      <c r="CK1193" s="147"/>
    </row>
    <row r="1194" spans="1:89">
      <c r="A1194" s="157"/>
      <c r="F1194" s="3"/>
      <c r="G1194" s="3"/>
      <c r="L1194" s="157"/>
      <c r="M1194" s="157"/>
      <c r="O1194" s="147"/>
      <c r="P1194" s="147"/>
      <c r="Q1194" s="147"/>
      <c r="R1194" s="147"/>
      <c r="S1194" s="147"/>
      <c r="T1194" s="147"/>
      <c r="U1194" s="147"/>
      <c r="V1194" s="147"/>
      <c r="W1194" s="147"/>
      <c r="X1194" s="147"/>
      <c r="Y1194" s="147"/>
      <c r="Z1194" s="147"/>
      <c r="AA1194" s="147"/>
      <c r="AB1194" s="147"/>
      <c r="AC1194" s="147"/>
      <c r="AD1194" s="147"/>
      <c r="AE1194" s="147"/>
      <c r="AF1194" s="147"/>
      <c r="AG1194" s="147"/>
      <c r="AH1194" s="147"/>
      <c r="AI1194" s="147"/>
      <c r="AJ1194" s="147"/>
      <c r="AK1194" s="147"/>
      <c r="AL1194" s="147"/>
      <c r="AM1194" s="151"/>
      <c r="AN1194" s="147"/>
      <c r="AO1194" s="147"/>
      <c r="AP1194" s="147"/>
      <c r="AQ1194" s="147"/>
      <c r="AR1194" s="147"/>
      <c r="AS1194" s="147"/>
      <c r="AT1194" s="147"/>
      <c r="AU1194" s="147"/>
      <c r="AV1194" s="147"/>
      <c r="AW1194" s="147"/>
      <c r="AX1194" s="147"/>
      <c r="AY1194" s="147"/>
      <c r="AZ1194" s="147"/>
      <c r="BA1194" s="147"/>
      <c r="BB1194" s="147"/>
      <c r="BC1194" s="147"/>
      <c r="BD1194" s="147"/>
      <c r="BE1194" s="147"/>
      <c r="BF1194" s="147"/>
      <c r="BG1194" s="147"/>
      <c r="BH1194" s="147"/>
      <c r="BI1194" s="147"/>
      <c r="BJ1194" s="147"/>
      <c r="BK1194" s="147"/>
      <c r="BL1194" s="147"/>
      <c r="BM1194" s="147"/>
      <c r="BN1194" s="147"/>
      <c r="BO1194" s="147"/>
      <c r="BP1194" s="147"/>
      <c r="BQ1194" s="147"/>
      <c r="BR1194" s="147"/>
      <c r="BS1194" s="147"/>
      <c r="BT1194" s="147"/>
      <c r="BU1194" s="147"/>
      <c r="BV1194" s="147"/>
      <c r="BW1194" s="147"/>
      <c r="BX1194" s="147"/>
      <c r="BY1194" s="147"/>
      <c r="BZ1194" s="147"/>
      <c r="CA1194" s="147"/>
      <c r="CB1194" s="147"/>
      <c r="CC1194" s="147"/>
      <c r="CD1194" s="147"/>
      <c r="CE1194" s="147"/>
      <c r="CF1194" s="147"/>
      <c r="CG1194" s="147"/>
      <c r="CH1194" s="147"/>
      <c r="CI1194" s="147"/>
      <c r="CJ1194" s="147"/>
      <c r="CK1194" s="147"/>
    </row>
    <row r="1195" spans="1:89">
      <c r="A1195" s="157"/>
      <c r="F1195" s="3"/>
      <c r="G1195" s="3"/>
      <c r="L1195" s="157"/>
      <c r="M1195" s="157"/>
      <c r="O1195" s="147"/>
      <c r="P1195" s="147"/>
      <c r="Q1195" s="147"/>
      <c r="R1195" s="147"/>
      <c r="S1195" s="147"/>
      <c r="T1195" s="147"/>
      <c r="U1195" s="147"/>
      <c r="V1195" s="147"/>
      <c r="W1195" s="147"/>
      <c r="X1195" s="147"/>
      <c r="Y1195" s="147"/>
      <c r="Z1195" s="147"/>
      <c r="AA1195" s="147"/>
      <c r="AB1195" s="147"/>
      <c r="AC1195" s="147"/>
      <c r="AD1195" s="147"/>
      <c r="AE1195" s="147"/>
      <c r="AF1195" s="147"/>
      <c r="AG1195" s="147"/>
      <c r="AH1195" s="147"/>
      <c r="AI1195" s="147"/>
      <c r="AJ1195" s="147"/>
      <c r="AK1195" s="147"/>
      <c r="AL1195" s="147"/>
      <c r="AM1195" s="151"/>
      <c r="AN1195" s="147"/>
      <c r="AO1195" s="147"/>
      <c r="AP1195" s="147"/>
      <c r="AQ1195" s="147"/>
      <c r="AR1195" s="147"/>
      <c r="AS1195" s="147"/>
      <c r="AT1195" s="147"/>
      <c r="AU1195" s="147"/>
      <c r="AV1195" s="147"/>
      <c r="AW1195" s="147"/>
      <c r="AX1195" s="147"/>
      <c r="AY1195" s="147"/>
      <c r="AZ1195" s="147"/>
      <c r="BA1195" s="147"/>
      <c r="BB1195" s="147"/>
      <c r="BC1195" s="147"/>
      <c r="BD1195" s="147"/>
      <c r="BE1195" s="147"/>
      <c r="BF1195" s="147"/>
      <c r="BG1195" s="147"/>
      <c r="BH1195" s="147"/>
      <c r="BI1195" s="147"/>
      <c r="BJ1195" s="147"/>
      <c r="BK1195" s="147"/>
      <c r="BL1195" s="147"/>
      <c r="BM1195" s="147"/>
      <c r="BN1195" s="147"/>
      <c r="BO1195" s="147"/>
      <c r="BP1195" s="147"/>
      <c r="BQ1195" s="147"/>
      <c r="BR1195" s="147"/>
      <c r="BS1195" s="147"/>
      <c r="BT1195" s="147"/>
      <c r="BU1195" s="147"/>
      <c r="BV1195" s="147"/>
      <c r="BW1195" s="147"/>
      <c r="BX1195" s="147"/>
      <c r="BY1195" s="147"/>
      <c r="BZ1195" s="147"/>
      <c r="CA1195" s="147"/>
      <c r="CB1195" s="147"/>
      <c r="CC1195" s="147"/>
      <c r="CD1195" s="147"/>
      <c r="CE1195" s="147"/>
      <c r="CF1195" s="147"/>
      <c r="CG1195" s="147"/>
      <c r="CH1195" s="147"/>
      <c r="CI1195" s="147"/>
      <c r="CJ1195" s="147"/>
      <c r="CK1195" s="147"/>
    </row>
    <row r="1196" spans="1:89">
      <c r="A1196" s="157"/>
      <c r="F1196" s="3"/>
      <c r="G1196" s="3"/>
      <c r="L1196" s="157"/>
      <c r="M1196" s="157"/>
      <c r="O1196" s="147"/>
      <c r="P1196" s="147"/>
      <c r="Q1196" s="147"/>
      <c r="R1196" s="147"/>
      <c r="S1196" s="147"/>
      <c r="T1196" s="147"/>
      <c r="U1196" s="147"/>
      <c r="V1196" s="147"/>
      <c r="W1196" s="147"/>
      <c r="X1196" s="147"/>
      <c r="Y1196" s="147"/>
      <c r="Z1196" s="147"/>
      <c r="AA1196" s="147"/>
      <c r="AB1196" s="147"/>
      <c r="AC1196" s="147"/>
      <c r="AD1196" s="147"/>
      <c r="AE1196" s="147"/>
      <c r="AF1196" s="147"/>
      <c r="AG1196" s="147"/>
      <c r="AH1196" s="147"/>
      <c r="AI1196" s="147"/>
      <c r="AJ1196" s="147"/>
      <c r="AK1196" s="147"/>
      <c r="AL1196" s="147"/>
      <c r="AM1196" s="151"/>
      <c r="AN1196" s="147"/>
      <c r="AO1196" s="147"/>
      <c r="AP1196" s="147"/>
      <c r="AQ1196" s="147"/>
      <c r="AR1196" s="147"/>
      <c r="AS1196" s="147"/>
      <c r="AT1196" s="147"/>
      <c r="AU1196" s="147"/>
      <c r="AV1196" s="147"/>
      <c r="AW1196" s="147"/>
      <c r="AX1196" s="147"/>
      <c r="AY1196" s="147"/>
      <c r="AZ1196" s="147"/>
      <c r="BA1196" s="147"/>
      <c r="BB1196" s="147"/>
      <c r="BC1196" s="147"/>
      <c r="BD1196" s="147"/>
      <c r="BE1196" s="147"/>
      <c r="BF1196" s="147"/>
      <c r="BG1196" s="147"/>
      <c r="BH1196" s="147"/>
      <c r="BI1196" s="147"/>
      <c r="BJ1196" s="147"/>
      <c r="BK1196" s="147"/>
      <c r="BL1196" s="147"/>
      <c r="BM1196" s="147"/>
      <c r="BN1196" s="147"/>
      <c r="BO1196" s="147"/>
      <c r="BP1196" s="147"/>
      <c r="BQ1196" s="147"/>
      <c r="BR1196" s="147"/>
      <c r="BS1196" s="147"/>
      <c r="BT1196" s="147"/>
      <c r="BU1196" s="147"/>
      <c r="BV1196" s="147"/>
      <c r="BW1196" s="147"/>
      <c r="BX1196" s="147"/>
      <c r="BY1196" s="147"/>
      <c r="BZ1196" s="147"/>
      <c r="CA1196" s="147"/>
      <c r="CB1196" s="147"/>
      <c r="CC1196" s="147"/>
      <c r="CD1196" s="147"/>
      <c r="CE1196" s="147"/>
      <c r="CF1196" s="147"/>
      <c r="CG1196" s="147"/>
      <c r="CH1196" s="147"/>
      <c r="CI1196" s="147"/>
      <c r="CJ1196" s="147"/>
      <c r="CK1196" s="147"/>
    </row>
    <row r="1197" spans="1:89">
      <c r="A1197" s="157"/>
      <c r="F1197" s="3"/>
      <c r="G1197" s="3"/>
      <c r="L1197" s="157"/>
      <c r="M1197" s="157"/>
      <c r="O1197" s="147"/>
      <c r="P1197" s="147"/>
      <c r="Q1197" s="147"/>
      <c r="R1197" s="147"/>
      <c r="S1197" s="147"/>
      <c r="T1197" s="147"/>
      <c r="U1197" s="147"/>
      <c r="V1197" s="147"/>
      <c r="W1197" s="147"/>
      <c r="X1197" s="147"/>
      <c r="Y1197" s="147"/>
      <c r="Z1197" s="147"/>
      <c r="AA1197" s="147"/>
      <c r="AB1197" s="147"/>
      <c r="AC1197" s="147"/>
      <c r="AD1197" s="147"/>
      <c r="AE1197" s="147"/>
      <c r="AF1197" s="147"/>
      <c r="AG1197" s="147"/>
      <c r="AH1197" s="147"/>
      <c r="AI1197" s="147"/>
      <c r="AJ1197" s="147"/>
      <c r="AK1197" s="147"/>
      <c r="AL1197" s="147"/>
      <c r="AM1197" s="151"/>
      <c r="AN1197" s="147"/>
      <c r="AO1197" s="147"/>
      <c r="AP1197" s="147"/>
      <c r="AQ1197" s="147"/>
      <c r="AR1197" s="147"/>
      <c r="AS1197" s="147"/>
      <c r="AT1197" s="147"/>
      <c r="AU1197" s="147"/>
      <c r="AV1197" s="147"/>
      <c r="AW1197" s="147"/>
      <c r="AX1197" s="147"/>
      <c r="AY1197" s="147"/>
      <c r="AZ1197" s="147"/>
      <c r="BA1197" s="147"/>
      <c r="BB1197" s="147"/>
      <c r="BC1197" s="147"/>
      <c r="BD1197" s="147"/>
      <c r="BE1197" s="147"/>
      <c r="BF1197" s="147"/>
      <c r="BG1197" s="147"/>
      <c r="BH1197" s="147"/>
      <c r="BI1197" s="147"/>
      <c r="BJ1197" s="147"/>
      <c r="BK1197" s="147"/>
      <c r="BL1197" s="147"/>
      <c r="BM1197" s="147"/>
      <c r="BN1197" s="147"/>
      <c r="BO1197" s="147"/>
      <c r="BP1197" s="147"/>
      <c r="BQ1197" s="147"/>
      <c r="BR1197" s="147"/>
      <c r="BS1197" s="147"/>
      <c r="BT1197" s="147"/>
      <c r="BU1197" s="147"/>
      <c r="BV1197" s="147"/>
      <c r="BW1197" s="147"/>
      <c r="BX1197" s="147"/>
      <c r="BY1197" s="147"/>
      <c r="BZ1197" s="147"/>
      <c r="CA1197" s="147"/>
      <c r="CB1197" s="147"/>
      <c r="CC1197" s="147"/>
      <c r="CD1197" s="147"/>
      <c r="CE1197" s="147"/>
      <c r="CF1197" s="147"/>
      <c r="CG1197" s="147"/>
      <c r="CH1197" s="147"/>
      <c r="CI1197" s="147"/>
      <c r="CJ1197" s="147"/>
      <c r="CK1197" s="147"/>
    </row>
    <row r="1198" spans="1:89">
      <c r="A1198" s="157"/>
      <c r="F1198" s="3"/>
      <c r="G1198" s="3"/>
      <c r="L1198" s="157"/>
      <c r="M1198" s="157"/>
      <c r="O1198" s="147"/>
      <c r="P1198" s="147"/>
      <c r="Q1198" s="147"/>
      <c r="R1198" s="147"/>
      <c r="S1198" s="147"/>
      <c r="T1198" s="147"/>
      <c r="U1198" s="147"/>
      <c r="V1198" s="147"/>
      <c r="W1198" s="147"/>
      <c r="X1198" s="147"/>
      <c r="Y1198" s="147"/>
      <c r="Z1198" s="147"/>
      <c r="AA1198" s="147"/>
      <c r="AB1198" s="147"/>
      <c r="AC1198" s="147"/>
      <c r="AD1198" s="147"/>
      <c r="AE1198" s="147"/>
      <c r="AF1198" s="147"/>
      <c r="AG1198" s="147"/>
      <c r="AH1198" s="147"/>
      <c r="AI1198" s="147"/>
      <c r="AJ1198" s="147"/>
      <c r="AK1198" s="147"/>
      <c r="AL1198" s="147"/>
      <c r="AM1198" s="151"/>
      <c r="AN1198" s="147"/>
      <c r="AO1198" s="147"/>
      <c r="AP1198" s="147"/>
      <c r="AQ1198" s="147"/>
      <c r="AR1198" s="147"/>
      <c r="AS1198" s="147"/>
      <c r="AT1198" s="147"/>
      <c r="AU1198" s="147"/>
      <c r="AV1198" s="147"/>
      <c r="AW1198" s="147"/>
      <c r="AX1198" s="147"/>
      <c r="AY1198" s="147"/>
      <c r="AZ1198" s="147"/>
      <c r="BA1198" s="147"/>
      <c r="BB1198" s="147"/>
      <c r="BC1198" s="147"/>
      <c r="BD1198" s="147"/>
      <c r="BE1198" s="147"/>
      <c r="BF1198" s="147"/>
      <c r="BG1198" s="147"/>
      <c r="BH1198" s="147"/>
      <c r="BI1198" s="147"/>
      <c r="BJ1198" s="147"/>
      <c r="BK1198" s="147"/>
      <c r="BL1198" s="147"/>
      <c r="BM1198" s="147"/>
      <c r="BN1198" s="147"/>
      <c r="BO1198" s="147"/>
      <c r="BP1198" s="147"/>
      <c r="BQ1198" s="147"/>
      <c r="BR1198" s="147"/>
      <c r="BS1198" s="147"/>
      <c r="BT1198" s="147"/>
      <c r="BU1198" s="147"/>
      <c r="BV1198" s="147"/>
      <c r="BW1198" s="147"/>
      <c r="BX1198" s="147"/>
      <c r="BY1198" s="147"/>
      <c r="BZ1198" s="147"/>
      <c r="CA1198" s="147"/>
      <c r="CB1198" s="147"/>
      <c r="CC1198" s="147"/>
      <c r="CD1198" s="147"/>
      <c r="CE1198" s="147"/>
      <c r="CF1198" s="147"/>
      <c r="CG1198" s="147"/>
      <c r="CH1198" s="147"/>
      <c r="CI1198" s="147"/>
      <c r="CJ1198" s="147"/>
      <c r="CK1198" s="147"/>
    </row>
    <row r="1199" spans="1:89">
      <c r="A1199" s="157"/>
      <c r="F1199" s="3"/>
      <c r="G1199" s="3"/>
      <c r="L1199" s="157"/>
      <c r="M1199" s="157"/>
      <c r="O1199" s="147"/>
      <c r="P1199" s="147"/>
      <c r="Q1199" s="147"/>
      <c r="R1199" s="147"/>
      <c r="S1199" s="147"/>
      <c r="T1199" s="147"/>
      <c r="U1199" s="147"/>
      <c r="V1199" s="147"/>
      <c r="W1199" s="147"/>
      <c r="X1199" s="147"/>
      <c r="Y1199" s="147"/>
      <c r="Z1199" s="147"/>
      <c r="AA1199" s="147"/>
      <c r="AB1199" s="147"/>
      <c r="AC1199" s="147"/>
      <c r="AD1199" s="147"/>
      <c r="AE1199" s="147"/>
      <c r="AF1199" s="147"/>
      <c r="AG1199" s="147"/>
      <c r="AH1199" s="147"/>
      <c r="AI1199" s="147"/>
      <c r="AJ1199" s="147"/>
      <c r="AK1199" s="147"/>
      <c r="AL1199" s="147"/>
      <c r="AM1199" s="151"/>
      <c r="AN1199" s="147"/>
      <c r="AO1199" s="147"/>
      <c r="AP1199" s="147"/>
      <c r="AQ1199" s="147"/>
      <c r="AR1199" s="147"/>
      <c r="AS1199" s="147"/>
      <c r="AT1199" s="147"/>
      <c r="AU1199" s="147"/>
      <c r="AV1199" s="147"/>
      <c r="AW1199" s="147"/>
      <c r="AX1199" s="147"/>
      <c r="AY1199" s="147"/>
      <c r="AZ1199" s="147"/>
      <c r="BA1199" s="147"/>
      <c r="BB1199" s="147"/>
      <c r="BC1199" s="147"/>
      <c r="BD1199" s="147"/>
      <c r="BE1199" s="147"/>
      <c r="BF1199" s="147"/>
      <c r="BG1199" s="147"/>
      <c r="BH1199" s="147"/>
      <c r="BI1199" s="147"/>
      <c r="BJ1199" s="147"/>
      <c r="BK1199" s="147"/>
      <c r="BL1199" s="147"/>
      <c r="BM1199" s="147"/>
      <c r="BN1199" s="147"/>
      <c r="BO1199" s="147"/>
      <c r="BP1199" s="147"/>
      <c r="BQ1199" s="147"/>
      <c r="BR1199" s="147"/>
      <c r="BS1199" s="147"/>
      <c r="BT1199" s="147"/>
      <c r="BU1199" s="147"/>
      <c r="BV1199" s="147"/>
      <c r="BW1199" s="147"/>
      <c r="BX1199" s="147"/>
      <c r="BY1199" s="147"/>
      <c r="BZ1199" s="147"/>
      <c r="CA1199" s="147"/>
      <c r="CB1199" s="147"/>
      <c r="CC1199" s="147"/>
      <c r="CD1199" s="147"/>
      <c r="CE1199" s="147"/>
      <c r="CF1199" s="147"/>
      <c r="CG1199" s="147"/>
      <c r="CH1199" s="147"/>
      <c r="CI1199" s="147"/>
      <c r="CJ1199" s="147"/>
      <c r="CK1199" s="147"/>
    </row>
    <row r="1200" spans="1:89">
      <c r="A1200" s="157"/>
      <c r="F1200" s="3"/>
      <c r="G1200" s="3"/>
      <c r="L1200" s="157"/>
      <c r="M1200" s="157"/>
      <c r="O1200" s="147"/>
      <c r="P1200" s="147"/>
      <c r="Q1200" s="147"/>
      <c r="R1200" s="147"/>
      <c r="S1200" s="147"/>
      <c r="T1200" s="147"/>
      <c r="U1200" s="147"/>
      <c r="V1200" s="147"/>
      <c r="W1200" s="147"/>
      <c r="X1200" s="147"/>
      <c r="Y1200" s="147"/>
      <c r="Z1200" s="147"/>
      <c r="AA1200" s="147"/>
      <c r="AB1200" s="147"/>
      <c r="AC1200" s="147"/>
      <c r="AD1200" s="147"/>
      <c r="AE1200" s="147"/>
      <c r="AF1200" s="147"/>
      <c r="AG1200" s="147"/>
      <c r="AH1200" s="147"/>
      <c r="AI1200" s="147"/>
      <c r="AJ1200" s="147"/>
      <c r="AK1200" s="147"/>
      <c r="AL1200" s="147"/>
      <c r="AM1200" s="151"/>
      <c r="AN1200" s="147"/>
      <c r="AO1200" s="147"/>
      <c r="AP1200" s="147"/>
      <c r="AQ1200" s="147"/>
      <c r="AR1200" s="147"/>
      <c r="AS1200" s="147"/>
      <c r="AT1200" s="147"/>
      <c r="AU1200" s="147"/>
      <c r="AV1200" s="147"/>
      <c r="AW1200" s="147"/>
      <c r="AX1200" s="147"/>
      <c r="AY1200" s="147"/>
      <c r="AZ1200" s="147"/>
      <c r="BA1200" s="147"/>
      <c r="BB1200" s="147"/>
      <c r="BC1200" s="147"/>
      <c r="BD1200" s="147"/>
      <c r="BE1200" s="147"/>
      <c r="BF1200" s="147"/>
      <c r="BG1200" s="147"/>
      <c r="BH1200" s="147"/>
      <c r="BI1200" s="147"/>
      <c r="BJ1200" s="147"/>
      <c r="BK1200" s="147"/>
      <c r="BL1200" s="147"/>
      <c r="BM1200" s="147"/>
      <c r="BN1200" s="147"/>
      <c r="BO1200" s="147"/>
      <c r="BP1200" s="147"/>
      <c r="BQ1200" s="147"/>
      <c r="BR1200" s="147"/>
      <c r="BS1200" s="147"/>
      <c r="BT1200" s="147"/>
      <c r="BU1200" s="147"/>
      <c r="BV1200" s="147"/>
      <c r="BW1200" s="147"/>
      <c r="BX1200" s="147"/>
      <c r="BY1200" s="147"/>
      <c r="BZ1200" s="147"/>
      <c r="CA1200" s="147"/>
      <c r="CB1200" s="147"/>
      <c r="CC1200" s="147"/>
      <c r="CD1200" s="147"/>
      <c r="CE1200" s="147"/>
      <c r="CF1200" s="147"/>
      <c r="CG1200" s="147"/>
      <c r="CH1200" s="147"/>
      <c r="CI1200" s="147"/>
      <c r="CJ1200" s="147"/>
      <c r="CK1200" s="147"/>
    </row>
    <row r="1201" spans="1:89">
      <c r="A1201" s="157"/>
      <c r="F1201" s="3"/>
      <c r="G1201" s="3"/>
      <c r="L1201" s="157"/>
      <c r="M1201" s="157"/>
      <c r="O1201" s="147"/>
      <c r="P1201" s="147"/>
      <c r="Q1201" s="147"/>
      <c r="R1201" s="147"/>
      <c r="S1201" s="147"/>
      <c r="T1201" s="147"/>
      <c r="U1201" s="147"/>
      <c r="V1201" s="147"/>
      <c r="W1201" s="147"/>
      <c r="X1201" s="147"/>
      <c r="Y1201" s="147"/>
      <c r="Z1201" s="147"/>
      <c r="AA1201" s="147"/>
      <c r="AB1201" s="147"/>
      <c r="AC1201" s="147"/>
      <c r="AD1201" s="147"/>
      <c r="AE1201" s="147"/>
      <c r="AF1201" s="147"/>
      <c r="AG1201" s="147"/>
      <c r="AH1201" s="147"/>
      <c r="AI1201" s="147"/>
      <c r="AJ1201" s="147"/>
      <c r="AK1201" s="147"/>
      <c r="AL1201" s="147"/>
      <c r="AM1201" s="151"/>
      <c r="AN1201" s="147"/>
      <c r="AO1201" s="147"/>
      <c r="AP1201" s="147"/>
      <c r="AQ1201" s="147"/>
      <c r="AR1201" s="147"/>
      <c r="AS1201" s="147"/>
      <c r="AT1201" s="147"/>
      <c r="AU1201" s="147"/>
      <c r="AV1201" s="147"/>
      <c r="AW1201" s="147"/>
      <c r="AX1201" s="147"/>
      <c r="AY1201" s="147"/>
      <c r="AZ1201" s="147"/>
      <c r="BA1201" s="147"/>
      <c r="BB1201" s="147"/>
      <c r="BC1201" s="147"/>
      <c r="BD1201" s="147"/>
      <c r="BE1201" s="147"/>
      <c r="BF1201" s="147"/>
      <c r="BG1201" s="147"/>
      <c r="BH1201" s="147"/>
      <c r="BI1201" s="147"/>
      <c r="BJ1201" s="147"/>
      <c r="BK1201" s="147"/>
      <c r="BL1201" s="147"/>
      <c r="BM1201" s="147"/>
      <c r="BN1201" s="147"/>
      <c r="BO1201" s="147"/>
      <c r="BP1201" s="147"/>
      <c r="BQ1201" s="147"/>
      <c r="BR1201" s="147"/>
      <c r="BS1201" s="147"/>
      <c r="BT1201" s="147"/>
      <c r="BU1201" s="147"/>
      <c r="BV1201" s="147"/>
      <c r="BW1201" s="147"/>
      <c r="BX1201" s="147"/>
      <c r="BY1201" s="147"/>
      <c r="BZ1201" s="147"/>
      <c r="CA1201" s="147"/>
      <c r="CB1201" s="147"/>
      <c r="CC1201" s="147"/>
      <c r="CD1201" s="147"/>
      <c r="CE1201" s="147"/>
      <c r="CF1201" s="147"/>
      <c r="CG1201" s="147"/>
      <c r="CH1201" s="147"/>
      <c r="CI1201" s="147"/>
      <c r="CJ1201" s="147"/>
      <c r="CK1201" s="147"/>
    </row>
    <row r="1202" spans="1:89">
      <c r="A1202" s="157"/>
      <c r="F1202" s="3"/>
      <c r="G1202" s="3"/>
      <c r="L1202" s="157"/>
      <c r="M1202" s="157"/>
      <c r="O1202" s="147"/>
      <c r="P1202" s="147"/>
      <c r="Q1202" s="147"/>
      <c r="R1202" s="147"/>
      <c r="S1202" s="147"/>
      <c r="T1202" s="147"/>
      <c r="U1202" s="147"/>
      <c r="V1202" s="147"/>
      <c r="W1202" s="147"/>
      <c r="X1202" s="147"/>
      <c r="Y1202" s="147"/>
      <c r="Z1202" s="147"/>
      <c r="AA1202" s="147"/>
      <c r="AB1202" s="147"/>
      <c r="AC1202" s="147"/>
      <c r="AD1202" s="147"/>
      <c r="AE1202" s="147"/>
      <c r="AF1202" s="147"/>
      <c r="AG1202" s="147"/>
      <c r="AH1202" s="147"/>
      <c r="AI1202" s="147"/>
      <c r="AJ1202" s="147"/>
      <c r="AK1202" s="147"/>
      <c r="AL1202" s="147"/>
      <c r="AM1202" s="151"/>
      <c r="AN1202" s="147"/>
      <c r="AO1202" s="147"/>
      <c r="AP1202" s="147"/>
      <c r="AQ1202" s="147"/>
      <c r="AR1202" s="147"/>
      <c r="AS1202" s="147"/>
      <c r="AT1202" s="147"/>
      <c r="AU1202" s="147"/>
      <c r="AV1202" s="147"/>
      <c r="AW1202" s="147"/>
      <c r="AX1202" s="147"/>
      <c r="AY1202" s="147"/>
      <c r="AZ1202" s="147"/>
      <c r="BA1202" s="147"/>
      <c r="BB1202" s="147"/>
      <c r="BC1202" s="147"/>
      <c r="BD1202" s="147"/>
      <c r="BE1202" s="147"/>
      <c r="BF1202" s="147"/>
      <c r="BG1202" s="147"/>
      <c r="BH1202" s="147"/>
      <c r="BI1202" s="147"/>
      <c r="BJ1202" s="147"/>
      <c r="BK1202" s="147"/>
      <c r="BL1202" s="147"/>
      <c r="BM1202" s="147"/>
      <c r="BN1202" s="147"/>
      <c r="BO1202" s="147"/>
      <c r="BP1202" s="147"/>
      <c r="BQ1202" s="147"/>
      <c r="BR1202" s="147"/>
      <c r="BS1202" s="147"/>
      <c r="BT1202" s="147"/>
      <c r="BU1202" s="147"/>
      <c r="BV1202" s="147"/>
      <c r="BW1202" s="147"/>
      <c r="BX1202" s="147"/>
      <c r="BY1202" s="147"/>
      <c r="BZ1202" s="147"/>
      <c r="CA1202" s="147"/>
      <c r="CB1202" s="147"/>
      <c r="CC1202" s="147"/>
      <c r="CD1202" s="147"/>
      <c r="CE1202" s="147"/>
      <c r="CF1202" s="147"/>
      <c r="CG1202" s="147"/>
      <c r="CH1202" s="147"/>
      <c r="CI1202" s="147"/>
      <c r="CJ1202" s="147"/>
      <c r="CK1202" s="147"/>
    </row>
    <row r="1203" spans="1:89">
      <c r="A1203" s="157"/>
      <c r="F1203" s="3"/>
      <c r="G1203" s="3"/>
      <c r="L1203" s="157"/>
      <c r="M1203" s="157"/>
      <c r="O1203" s="147"/>
      <c r="P1203" s="147"/>
      <c r="Q1203" s="147"/>
      <c r="R1203" s="147"/>
      <c r="S1203" s="147"/>
      <c r="T1203" s="147"/>
      <c r="U1203" s="147"/>
      <c r="V1203" s="147"/>
      <c r="W1203" s="147"/>
      <c r="X1203" s="147"/>
      <c r="Y1203" s="147"/>
      <c r="Z1203" s="147"/>
      <c r="AA1203" s="147"/>
      <c r="AB1203" s="147"/>
      <c r="AC1203" s="147"/>
      <c r="AD1203" s="147"/>
      <c r="AE1203" s="147"/>
      <c r="AF1203" s="147"/>
      <c r="AG1203" s="147"/>
      <c r="AH1203" s="147"/>
      <c r="AI1203" s="147"/>
      <c r="AJ1203" s="147"/>
      <c r="AK1203" s="147"/>
      <c r="AL1203" s="147"/>
      <c r="AM1203" s="151"/>
      <c r="AN1203" s="147"/>
      <c r="AO1203" s="147"/>
      <c r="AP1203" s="147"/>
      <c r="AQ1203" s="147"/>
      <c r="AR1203" s="147"/>
      <c r="AS1203" s="147"/>
      <c r="AT1203" s="147"/>
      <c r="AU1203" s="147"/>
      <c r="AV1203" s="147"/>
      <c r="AW1203" s="147"/>
      <c r="AX1203" s="147"/>
      <c r="AY1203" s="147"/>
      <c r="AZ1203" s="147"/>
      <c r="BA1203" s="147"/>
      <c r="BB1203" s="147"/>
      <c r="BC1203" s="147"/>
      <c r="BD1203" s="147"/>
      <c r="BE1203" s="147"/>
      <c r="BF1203" s="147"/>
      <c r="BG1203" s="147"/>
      <c r="BH1203" s="147"/>
      <c r="BI1203" s="147"/>
      <c r="BJ1203" s="147"/>
      <c r="BK1203" s="147"/>
      <c r="BL1203" s="147"/>
      <c r="BM1203" s="147"/>
      <c r="BN1203" s="147"/>
      <c r="BO1203" s="147"/>
      <c r="BP1203" s="147"/>
      <c r="BQ1203" s="147"/>
      <c r="BR1203" s="147"/>
      <c r="BS1203" s="147"/>
      <c r="BT1203" s="147"/>
      <c r="BU1203" s="147"/>
      <c r="BV1203" s="147"/>
      <c r="BW1203" s="147"/>
      <c r="BX1203" s="147"/>
      <c r="BY1203" s="147"/>
      <c r="BZ1203" s="147"/>
      <c r="CA1203" s="147"/>
      <c r="CB1203" s="147"/>
      <c r="CC1203" s="147"/>
      <c r="CD1203" s="147"/>
      <c r="CE1203" s="147"/>
      <c r="CF1203" s="147"/>
      <c r="CG1203" s="147"/>
      <c r="CH1203" s="147"/>
      <c r="CI1203" s="147"/>
      <c r="CJ1203" s="147"/>
      <c r="CK1203" s="147"/>
    </row>
    <row r="1204" spans="1:89">
      <c r="A1204" s="157"/>
      <c r="F1204" s="3"/>
      <c r="G1204" s="3"/>
      <c r="L1204" s="157"/>
      <c r="M1204" s="157"/>
      <c r="O1204" s="147"/>
      <c r="P1204" s="147"/>
      <c r="Q1204" s="147"/>
      <c r="R1204" s="147"/>
      <c r="S1204" s="147"/>
      <c r="T1204" s="147"/>
      <c r="U1204" s="147"/>
      <c r="V1204" s="147"/>
      <c r="W1204" s="147"/>
      <c r="X1204" s="147"/>
      <c r="Y1204" s="147"/>
      <c r="Z1204" s="147"/>
      <c r="AA1204" s="147"/>
      <c r="AB1204" s="147"/>
      <c r="AC1204" s="147"/>
      <c r="AD1204" s="147"/>
      <c r="AE1204" s="147"/>
      <c r="AF1204" s="147"/>
      <c r="AG1204" s="147"/>
      <c r="AH1204" s="147"/>
      <c r="AI1204" s="147"/>
      <c r="AJ1204" s="147"/>
      <c r="AK1204" s="147"/>
      <c r="AL1204" s="147"/>
      <c r="AM1204" s="151"/>
      <c r="AN1204" s="147"/>
      <c r="AO1204" s="147"/>
      <c r="AP1204" s="147"/>
      <c r="AQ1204" s="147"/>
      <c r="AR1204" s="147"/>
      <c r="AS1204" s="147"/>
      <c r="AT1204" s="147"/>
      <c r="AU1204" s="147"/>
      <c r="AV1204" s="147"/>
      <c r="AW1204" s="147"/>
      <c r="AX1204" s="147"/>
      <c r="AY1204" s="147"/>
      <c r="AZ1204" s="147"/>
      <c r="BA1204" s="147"/>
      <c r="BB1204" s="147"/>
      <c r="BC1204" s="147"/>
      <c r="BD1204" s="147"/>
      <c r="BE1204" s="147"/>
      <c r="BF1204" s="147"/>
      <c r="BG1204" s="147"/>
      <c r="BH1204" s="147"/>
      <c r="BI1204" s="147"/>
      <c r="BJ1204" s="147"/>
      <c r="BK1204" s="147"/>
      <c r="BL1204" s="147"/>
      <c r="BM1204" s="147"/>
      <c r="BN1204" s="147"/>
      <c r="BO1204" s="147"/>
      <c r="BP1204" s="147"/>
      <c r="BQ1204" s="147"/>
      <c r="BR1204" s="147"/>
      <c r="BS1204" s="147"/>
      <c r="BT1204" s="147"/>
      <c r="BU1204" s="147"/>
      <c r="BV1204" s="147"/>
      <c r="BW1204" s="147"/>
      <c r="BX1204" s="147"/>
      <c r="BY1204" s="147"/>
      <c r="BZ1204" s="147"/>
      <c r="CA1204" s="147"/>
      <c r="CB1204" s="147"/>
      <c r="CC1204" s="147"/>
      <c r="CD1204" s="147"/>
      <c r="CE1204" s="147"/>
      <c r="CF1204" s="147"/>
      <c r="CG1204" s="147"/>
      <c r="CH1204" s="147"/>
      <c r="CI1204" s="147"/>
      <c r="CJ1204" s="147"/>
      <c r="CK1204" s="147"/>
    </row>
    <row r="1205" spans="1:89">
      <c r="A1205" s="157"/>
      <c r="F1205" s="3"/>
      <c r="G1205" s="3"/>
      <c r="L1205" s="157"/>
      <c r="M1205" s="157"/>
      <c r="O1205" s="147"/>
      <c r="P1205" s="147"/>
      <c r="Q1205" s="147"/>
      <c r="R1205" s="147"/>
      <c r="S1205" s="147"/>
      <c r="T1205" s="147"/>
      <c r="U1205" s="147"/>
      <c r="V1205" s="147"/>
      <c r="W1205" s="147"/>
      <c r="X1205" s="147"/>
      <c r="Y1205" s="147"/>
      <c r="Z1205" s="147"/>
      <c r="AA1205" s="147"/>
      <c r="AB1205" s="147"/>
      <c r="AC1205" s="147"/>
      <c r="AD1205" s="147"/>
      <c r="AE1205" s="147"/>
      <c r="AF1205" s="147"/>
      <c r="AG1205" s="147"/>
      <c r="AH1205" s="147"/>
      <c r="AI1205" s="147"/>
      <c r="AJ1205" s="147"/>
      <c r="AK1205" s="147"/>
      <c r="AL1205" s="147"/>
      <c r="AM1205" s="151"/>
      <c r="AN1205" s="147"/>
      <c r="AO1205" s="147"/>
      <c r="AP1205" s="147"/>
      <c r="AQ1205" s="147"/>
      <c r="AR1205" s="147"/>
      <c r="AS1205" s="147"/>
      <c r="AT1205" s="147"/>
      <c r="AU1205" s="147"/>
      <c r="AV1205" s="147"/>
      <c r="AW1205" s="147"/>
      <c r="AX1205" s="147"/>
      <c r="AY1205" s="147"/>
      <c r="AZ1205" s="147"/>
      <c r="BA1205" s="147"/>
      <c r="BB1205" s="147"/>
      <c r="BC1205" s="147"/>
      <c r="BD1205" s="147"/>
      <c r="BE1205" s="147"/>
      <c r="BF1205" s="147"/>
      <c r="BG1205" s="147"/>
      <c r="BH1205" s="147"/>
      <c r="BI1205" s="147"/>
      <c r="BJ1205" s="147"/>
      <c r="BK1205" s="147"/>
      <c r="BL1205" s="147"/>
      <c r="BM1205" s="147"/>
      <c r="BN1205" s="147"/>
      <c r="BO1205" s="147"/>
      <c r="BP1205" s="147"/>
      <c r="BQ1205" s="147"/>
      <c r="BR1205" s="147"/>
      <c r="BS1205" s="147"/>
      <c r="BT1205" s="147"/>
      <c r="BU1205" s="147"/>
      <c r="BV1205" s="147"/>
      <c r="BW1205" s="147"/>
      <c r="BX1205" s="147"/>
      <c r="BY1205" s="147"/>
      <c r="BZ1205" s="147"/>
      <c r="CA1205" s="147"/>
      <c r="CB1205" s="147"/>
      <c r="CC1205" s="147"/>
      <c r="CD1205" s="147"/>
      <c r="CE1205" s="147"/>
      <c r="CF1205" s="147"/>
      <c r="CG1205" s="147"/>
      <c r="CH1205" s="147"/>
      <c r="CI1205" s="147"/>
      <c r="CJ1205" s="147"/>
      <c r="CK1205" s="147"/>
    </row>
    <row r="1206" spans="1:89">
      <c r="A1206" s="157"/>
      <c r="F1206" s="3"/>
      <c r="G1206" s="3"/>
      <c r="L1206" s="157"/>
      <c r="M1206" s="157"/>
      <c r="O1206" s="147"/>
      <c r="P1206" s="147"/>
      <c r="Q1206" s="147"/>
      <c r="R1206" s="147"/>
      <c r="S1206" s="147"/>
      <c r="T1206" s="147"/>
      <c r="U1206" s="147"/>
      <c r="V1206" s="147"/>
      <c r="W1206" s="147"/>
      <c r="X1206" s="147"/>
      <c r="Y1206" s="147"/>
      <c r="Z1206" s="147"/>
      <c r="AA1206" s="147"/>
      <c r="AB1206" s="147"/>
      <c r="AC1206" s="147"/>
      <c r="AD1206" s="147"/>
      <c r="AE1206" s="147"/>
      <c r="AF1206" s="147"/>
      <c r="AG1206" s="147"/>
      <c r="AH1206" s="147"/>
      <c r="AI1206" s="147"/>
      <c r="AJ1206" s="147"/>
      <c r="AK1206" s="147"/>
      <c r="AL1206" s="147"/>
      <c r="AM1206" s="151"/>
      <c r="AN1206" s="147"/>
      <c r="AO1206" s="147"/>
      <c r="AP1206" s="147"/>
      <c r="AQ1206" s="147"/>
      <c r="AR1206" s="147"/>
      <c r="AS1206" s="147"/>
      <c r="AT1206" s="147"/>
      <c r="AU1206" s="147"/>
      <c r="AV1206" s="147"/>
      <c r="AW1206" s="147"/>
      <c r="AX1206" s="147"/>
      <c r="AY1206" s="147"/>
      <c r="AZ1206" s="147"/>
      <c r="BA1206" s="147"/>
      <c r="BB1206" s="147"/>
      <c r="BC1206" s="147"/>
      <c r="BD1206" s="147"/>
      <c r="BE1206" s="147"/>
      <c r="BF1206" s="147"/>
      <c r="BG1206" s="147"/>
      <c r="BH1206" s="147"/>
      <c r="BI1206" s="147"/>
      <c r="BJ1206" s="147"/>
      <c r="BK1206" s="147"/>
      <c r="BL1206" s="147"/>
      <c r="BM1206" s="147"/>
      <c r="BN1206" s="147"/>
      <c r="BO1206" s="147"/>
      <c r="BP1206" s="147"/>
      <c r="BQ1206" s="147"/>
      <c r="BR1206" s="147"/>
      <c r="BS1206" s="147"/>
      <c r="BT1206" s="147"/>
      <c r="BU1206" s="147"/>
      <c r="BV1206" s="147"/>
      <c r="BW1206" s="147"/>
      <c r="BX1206" s="147"/>
      <c r="BY1206" s="147"/>
      <c r="BZ1206" s="147"/>
      <c r="CA1206" s="147"/>
      <c r="CB1206" s="147"/>
      <c r="CC1206" s="147"/>
      <c r="CD1206" s="147"/>
      <c r="CE1206" s="147"/>
      <c r="CF1206" s="147"/>
      <c r="CG1206" s="147"/>
      <c r="CH1206" s="147"/>
      <c r="CI1206" s="147"/>
      <c r="CJ1206" s="147"/>
      <c r="CK1206" s="147"/>
    </row>
    <row r="1207" spans="1:89">
      <c r="A1207" s="157"/>
      <c r="F1207" s="3"/>
      <c r="G1207" s="3"/>
      <c r="L1207" s="157"/>
      <c r="M1207" s="157"/>
      <c r="O1207" s="147"/>
      <c r="P1207" s="147"/>
      <c r="Q1207" s="147"/>
      <c r="R1207" s="147"/>
      <c r="S1207" s="147"/>
      <c r="T1207" s="147"/>
      <c r="U1207" s="147"/>
      <c r="V1207" s="147"/>
      <c r="W1207" s="147"/>
      <c r="X1207" s="147"/>
      <c r="Y1207" s="147"/>
      <c r="Z1207" s="147"/>
      <c r="AA1207" s="147"/>
      <c r="AB1207" s="147"/>
      <c r="AC1207" s="147"/>
      <c r="AD1207" s="147"/>
      <c r="AE1207" s="147"/>
      <c r="AF1207" s="147"/>
      <c r="AG1207" s="147"/>
      <c r="AH1207" s="147"/>
      <c r="AI1207" s="147"/>
      <c r="AJ1207" s="147"/>
      <c r="AK1207" s="147"/>
      <c r="AL1207" s="147"/>
      <c r="AM1207" s="151"/>
      <c r="AN1207" s="147"/>
      <c r="AO1207" s="147"/>
      <c r="AP1207" s="147"/>
      <c r="AQ1207" s="147"/>
      <c r="AR1207" s="147"/>
      <c r="AS1207" s="147"/>
      <c r="AT1207" s="147"/>
      <c r="AU1207" s="147"/>
      <c r="AV1207" s="147"/>
      <c r="AW1207" s="147"/>
      <c r="AX1207" s="147"/>
      <c r="AY1207" s="147"/>
      <c r="AZ1207" s="147"/>
      <c r="BA1207" s="147"/>
      <c r="BB1207" s="147"/>
      <c r="BC1207" s="147"/>
      <c r="BD1207" s="147"/>
      <c r="BE1207" s="147"/>
      <c r="BF1207" s="147"/>
      <c r="BG1207" s="147"/>
      <c r="BH1207" s="147"/>
      <c r="BI1207" s="147"/>
      <c r="BJ1207" s="147"/>
      <c r="BK1207" s="147"/>
      <c r="BL1207" s="147"/>
      <c r="BM1207" s="147"/>
      <c r="BN1207" s="147"/>
      <c r="BO1207" s="147"/>
      <c r="BP1207" s="147"/>
      <c r="BQ1207" s="147"/>
      <c r="BR1207" s="147"/>
      <c r="BS1207" s="147"/>
      <c r="BT1207" s="147"/>
      <c r="BU1207" s="147"/>
      <c r="BV1207" s="147"/>
      <c r="BW1207" s="147"/>
      <c r="BX1207" s="147"/>
      <c r="BY1207" s="147"/>
      <c r="BZ1207" s="147"/>
      <c r="CA1207" s="147"/>
      <c r="CB1207" s="147"/>
      <c r="CC1207" s="147"/>
      <c r="CD1207" s="147"/>
      <c r="CE1207" s="147"/>
      <c r="CF1207" s="147"/>
      <c r="CG1207" s="147"/>
      <c r="CH1207" s="147"/>
      <c r="CI1207" s="147"/>
      <c r="CJ1207" s="147"/>
      <c r="CK1207" s="147"/>
    </row>
    <row r="1208" spans="1:89">
      <c r="A1208" s="157"/>
      <c r="F1208" s="3"/>
      <c r="G1208" s="3"/>
      <c r="L1208" s="157"/>
      <c r="M1208" s="157"/>
      <c r="O1208" s="147"/>
      <c r="P1208" s="147"/>
      <c r="Q1208" s="147"/>
      <c r="R1208" s="147"/>
      <c r="S1208" s="147"/>
      <c r="T1208" s="147"/>
      <c r="U1208" s="147"/>
      <c r="V1208" s="147"/>
      <c r="W1208" s="147"/>
      <c r="X1208" s="147"/>
      <c r="Y1208" s="147"/>
      <c r="Z1208" s="147"/>
      <c r="AA1208" s="147"/>
      <c r="AB1208" s="147"/>
      <c r="AC1208" s="147"/>
      <c r="AD1208" s="147"/>
      <c r="AE1208" s="147"/>
      <c r="AF1208" s="147"/>
      <c r="AG1208" s="147"/>
      <c r="AH1208" s="147"/>
      <c r="AI1208" s="147"/>
      <c r="AJ1208" s="147"/>
      <c r="AK1208" s="147"/>
      <c r="AL1208" s="147"/>
      <c r="AM1208" s="151"/>
      <c r="AN1208" s="147"/>
      <c r="AO1208" s="147"/>
      <c r="AP1208" s="147"/>
      <c r="AQ1208" s="147"/>
      <c r="AR1208" s="147"/>
      <c r="AS1208" s="147"/>
      <c r="AT1208" s="147"/>
      <c r="AU1208" s="147"/>
      <c r="AV1208" s="147"/>
      <c r="AW1208" s="147"/>
      <c r="AX1208" s="147"/>
      <c r="AY1208" s="147"/>
      <c r="AZ1208" s="147"/>
      <c r="BA1208" s="147"/>
      <c r="BB1208" s="147"/>
      <c r="BC1208" s="147"/>
      <c r="BD1208" s="147"/>
      <c r="BE1208" s="147"/>
      <c r="BF1208" s="147"/>
      <c r="BG1208" s="147"/>
      <c r="BH1208" s="147"/>
      <c r="BI1208" s="147"/>
      <c r="BJ1208" s="147"/>
      <c r="BK1208" s="147"/>
      <c r="BL1208" s="147"/>
      <c r="BM1208" s="147"/>
      <c r="BN1208" s="147"/>
      <c r="BO1208" s="147"/>
      <c r="BP1208" s="147"/>
      <c r="BQ1208" s="147"/>
      <c r="BR1208" s="147"/>
      <c r="BS1208" s="147"/>
      <c r="BT1208" s="147"/>
      <c r="BU1208" s="147"/>
      <c r="BV1208" s="147"/>
      <c r="BW1208" s="147"/>
      <c r="BX1208" s="147"/>
      <c r="BY1208" s="147"/>
      <c r="BZ1208" s="147"/>
      <c r="CA1208" s="147"/>
      <c r="CB1208" s="147"/>
      <c r="CC1208" s="147"/>
      <c r="CD1208" s="147"/>
      <c r="CE1208" s="147"/>
      <c r="CF1208" s="147"/>
      <c r="CG1208" s="147"/>
      <c r="CH1208" s="147"/>
      <c r="CI1208" s="147"/>
      <c r="CJ1208" s="147"/>
      <c r="CK1208" s="147"/>
    </row>
    <row r="1209" spans="1:89">
      <c r="A1209" s="157"/>
      <c r="F1209" s="3"/>
      <c r="G1209" s="3"/>
      <c r="L1209" s="157"/>
      <c r="M1209" s="157"/>
      <c r="O1209" s="147"/>
      <c r="P1209" s="147"/>
      <c r="Q1209" s="147"/>
      <c r="R1209" s="147"/>
      <c r="S1209" s="147"/>
      <c r="T1209" s="147"/>
      <c r="U1209" s="147"/>
      <c r="V1209" s="147"/>
      <c r="W1209" s="147"/>
      <c r="X1209" s="147"/>
      <c r="Y1209" s="147"/>
      <c r="Z1209" s="147"/>
      <c r="AA1209" s="147"/>
      <c r="AB1209" s="147"/>
      <c r="AC1209" s="147"/>
      <c r="AD1209" s="147"/>
      <c r="AE1209" s="147"/>
      <c r="AF1209" s="147"/>
      <c r="AG1209" s="147"/>
      <c r="AH1209" s="147"/>
      <c r="AI1209" s="147"/>
      <c r="AJ1209" s="147"/>
      <c r="AK1209" s="147"/>
      <c r="AL1209" s="147"/>
      <c r="AM1209" s="151"/>
      <c r="AN1209" s="147"/>
      <c r="AO1209" s="147"/>
      <c r="AP1209" s="147"/>
      <c r="AQ1209" s="147"/>
      <c r="AR1209" s="147"/>
      <c r="AS1209" s="147"/>
      <c r="AT1209" s="147"/>
      <c r="AU1209" s="147"/>
      <c r="AV1209" s="147"/>
      <c r="AW1209" s="147"/>
      <c r="AX1209" s="147"/>
      <c r="AY1209" s="147"/>
      <c r="AZ1209" s="147"/>
      <c r="BA1209" s="147"/>
      <c r="BB1209" s="147"/>
      <c r="BC1209" s="147"/>
      <c r="BD1209" s="147"/>
      <c r="BE1209" s="147"/>
      <c r="BF1209" s="147"/>
      <c r="BG1209" s="147"/>
      <c r="BH1209" s="147"/>
      <c r="BI1209" s="147"/>
      <c r="BJ1209" s="147"/>
      <c r="BK1209" s="147"/>
      <c r="BL1209" s="147"/>
      <c r="BM1209" s="147"/>
      <c r="BN1209" s="147"/>
      <c r="BO1209" s="147"/>
      <c r="BP1209" s="147"/>
      <c r="BQ1209" s="147"/>
      <c r="BR1209" s="147"/>
      <c r="BS1209" s="147"/>
      <c r="BT1209" s="147"/>
      <c r="BU1209" s="147"/>
      <c r="BV1209" s="147"/>
      <c r="BW1209" s="147"/>
      <c r="BX1209" s="147"/>
      <c r="BY1209" s="147"/>
      <c r="BZ1209" s="147"/>
      <c r="CA1209" s="147"/>
      <c r="CB1209" s="147"/>
      <c r="CC1209" s="147"/>
      <c r="CD1209" s="147"/>
      <c r="CE1209" s="147"/>
      <c r="CF1209" s="147"/>
      <c r="CG1209" s="147"/>
      <c r="CH1209" s="147"/>
      <c r="CI1209" s="147"/>
      <c r="CJ1209" s="147"/>
      <c r="CK1209" s="147"/>
    </row>
    <row r="1210" spans="1:89">
      <c r="A1210" s="157"/>
      <c r="F1210" s="3"/>
      <c r="G1210" s="3"/>
      <c r="L1210" s="157"/>
      <c r="M1210" s="157"/>
      <c r="O1210" s="147"/>
      <c r="P1210" s="147"/>
      <c r="Q1210" s="147"/>
      <c r="R1210" s="147"/>
      <c r="S1210" s="147"/>
      <c r="T1210" s="147"/>
      <c r="U1210" s="147"/>
      <c r="V1210" s="147"/>
      <c r="W1210" s="147"/>
      <c r="X1210" s="147"/>
      <c r="Y1210" s="147"/>
      <c r="Z1210" s="147"/>
      <c r="AA1210" s="147"/>
      <c r="AB1210" s="147"/>
      <c r="AC1210" s="147"/>
      <c r="AD1210" s="147"/>
      <c r="AE1210" s="147"/>
      <c r="AF1210" s="147"/>
      <c r="AG1210" s="147"/>
      <c r="AH1210" s="147"/>
      <c r="AI1210" s="147"/>
      <c r="AJ1210" s="147"/>
      <c r="AK1210" s="147"/>
      <c r="AL1210" s="147"/>
      <c r="AM1210" s="151"/>
      <c r="AN1210" s="147"/>
      <c r="AO1210" s="147"/>
      <c r="AP1210" s="147"/>
      <c r="AQ1210" s="147"/>
      <c r="AR1210" s="147"/>
      <c r="AS1210" s="147"/>
      <c r="AT1210" s="147"/>
      <c r="AU1210" s="147"/>
      <c r="AV1210" s="147"/>
      <c r="AW1210" s="147"/>
      <c r="AX1210" s="147"/>
      <c r="AY1210" s="147"/>
      <c r="AZ1210" s="147"/>
      <c r="BA1210" s="147"/>
      <c r="BB1210" s="147"/>
      <c r="BC1210" s="147"/>
      <c r="BD1210" s="147"/>
      <c r="BE1210" s="147"/>
      <c r="BF1210" s="147"/>
      <c r="BG1210" s="147"/>
      <c r="BH1210" s="147"/>
      <c r="BI1210" s="147"/>
      <c r="BJ1210" s="147"/>
      <c r="BK1210" s="147"/>
      <c r="BL1210" s="147"/>
      <c r="BM1210" s="147"/>
      <c r="BN1210" s="147"/>
      <c r="BO1210" s="147"/>
      <c r="BP1210" s="147"/>
      <c r="BQ1210" s="147"/>
      <c r="BR1210" s="147"/>
      <c r="BS1210" s="147"/>
      <c r="BT1210" s="147"/>
      <c r="BU1210" s="147"/>
      <c r="BV1210" s="147"/>
      <c r="BW1210" s="147"/>
      <c r="BX1210" s="147"/>
      <c r="BY1210" s="147"/>
      <c r="BZ1210" s="147"/>
      <c r="CA1210" s="147"/>
      <c r="CB1210" s="147"/>
      <c r="CC1210" s="147"/>
      <c r="CD1210" s="147"/>
      <c r="CE1210" s="147"/>
      <c r="CF1210" s="147"/>
      <c r="CG1210" s="147"/>
      <c r="CH1210" s="147"/>
      <c r="CI1210" s="147"/>
      <c r="CJ1210" s="147"/>
      <c r="CK1210" s="147"/>
    </row>
    <row r="1211" spans="1:89">
      <c r="A1211" s="157"/>
      <c r="F1211" s="3"/>
      <c r="G1211" s="3"/>
      <c r="L1211" s="157"/>
      <c r="M1211" s="157"/>
      <c r="O1211" s="147"/>
      <c r="P1211" s="147"/>
      <c r="Q1211" s="147"/>
      <c r="R1211" s="147"/>
      <c r="S1211" s="147"/>
      <c r="T1211" s="147"/>
      <c r="U1211" s="147"/>
      <c r="V1211" s="147"/>
      <c r="W1211" s="147"/>
      <c r="X1211" s="147"/>
      <c r="Y1211" s="147"/>
      <c r="Z1211" s="147"/>
      <c r="AA1211" s="147"/>
      <c r="AB1211" s="147"/>
      <c r="AC1211" s="147"/>
      <c r="AD1211" s="147"/>
      <c r="AE1211" s="147"/>
      <c r="AF1211" s="147"/>
      <c r="AG1211" s="147"/>
      <c r="AH1211" s="147"/>
      <c r="AI1211" s="147"/>
      <c r="AJ1211" s="147"/>
      <c r="AK1211" s="147"/>
      <c r="AL1211" s="147"/>
      <c r="AM1211" s="151"/>
      <c r="AN1211" s="147"/>
      <c r="AO1211" s="147"/>
      <c r="AP1211" s="147"/>
      <c r="AQ1211" s="147"/>
      <c r="AR1211" s="147"/>
      <c r="AS1211" s="147"/>
      <c r="AT1211" s="147"/>
      <c r="AU1211" s="147"/>
      <c r="AV1211" s="147"/>
      <c r="AW1211" s="147"/>
      <c r="AX1211" s="147"/>
      <c r="AY1211" s="147"/>
      <c r="AZ1211" s="147"/>
      <c r="BA1211" s="147"/>
      <c r="BB1211" s="147"/>
      <c r="BC1211" s="147"/>
      <c r="BD1211" s="147"/>
      <c r="BE1211" s="147"/>
      <c r="BF1211" s="147"/>
      <c r="BG1211" s="147"/>
      <c r="BH1211" s="147"/>
      <c r="BI1211" s="147"/>
      <c r="BJ1211" s="147"/>
      <c r="BK1211" s="147"/>
      <c r="BL1211" s="147"/>
      <c r="BM1211" s="147"/>
      <c r="BN1211" s="147"/>
      <c r="BO1211" s="147"/>
      <c r="BP1211" s="147"/>
      <c r="BQ1211" s="147"/>
      <c r="BR1211" s="147"/>
      <c r="BS1211" s="147"/>
      <c r="BT1211" s="147"/>
      <c r="BU1211" s="147"/>
      <c r="BV1211" s="147"/>
      <c r="BW1211" s="147"/>
      <c r="BX1211" s="147"/>
      <c r="BY1211" s="147"/>
      <c r="BZ1211" s="147"/>
      <c r="CA1211" s="147"/>
      <c r="CB1211" s="147"/>
      <c r="CC1211" s="147"/>
      <c r="CD1211" s="147"/>
      <c r="CE1211" s="147"/>
      <c r="CF1211" s="147"/>
      <c r="CG1211" s="147"/>
      <c r="CH1211" s="147"/>
      <c r="CI1211" s="147"/>
      <c r="CJ1211" s="147"/>
      <c r="CK1211" s="147"/>
    </row>
    <row r="1212" spans="1:89">
      <c r="A1212" s="157"/>
      <c r="F1212" s="3"/>
      <c r="G1212" s="3"/>
      <c r="L1212" s="157"/>
      <c r="M1212" s="157"/>
      <c r="O1212" s="147"/>
      <c r="P1212" s="147"/>
      <c r="Q1212" s="147"/>
      <c r="R1212" s="147"/>
      <c r="S1212" s="147"/>
      <c r="T1212" s="147"/>
      <c r="U1212" s="147"/>
      <c r="V1212" s="147"/>
      <c r="W1212" s="147"/>
      <c r="X1212" s="147"/>
      <c r="Y1212" s="147"/>
      <c r="Z1212" s="147"/>
      <c r="AA1212" s="147"/>
      <c r="AB1212" s="147"/>
      <c r="AC1212" s="147"/>
      <c r="AD1212" s="147"/>
      <c r="AE1212" s="147"/>
      <c r="AF1212" s="147"/>
      <c r="AG1212" s="147"/>
      <c r="AH1212" s="147"/>
      <c r="AI1212" s="147"/>
      <c r="AJ1212" s="147"/>
      <c r="AK1212" s="147"/>
      <c r="AL1212" s="147"/>
      <c r="AM1212" s="151"/>
      <c r="AN1212" s="147"/>
      <c r="AO1212" s="147"/>
      <c r="AP1212" s="147"/>
      <c r="AQ1212" s="147"/>
      <c r="AR1212" s="147"/>
      <c r="AS1212" s="147"/>
      <c r="AT1212" s="147"/>
      <c r="AU1212" s="147"/>
      <c r="AV1212" s="147"/>
      <c r="AW1212" s="147"/>
      <c r="AX1212" s="147"/>
      <c r="AY1212" s="147"/>
      <c r="AZ1212" s="147"/>
      <c r="BA1212" s="147"/>
      <c r="BB1212" s="147"/>
      <c r="BC1212" s="147"/>
      <c r="BD1212" s="147"/>
      <c r="BE1212" s="147"/>
      <c r="BF1212" s="147"/>
      <c r="BG1212" s="147"/>
      <c r="BH1212" s="147"/>
      <c r="BI1212" s="147"/>
      <c r="BJ1212" s="147"/>
      <c r="BK1212" s="147"/>
      <c r="BL1212" s="147"/>
      <c r="BM1212" s="147"/>
      <c r="BN1212" s="147"/>
      <c r="BO1212" s="147"/>
      <c r="BP1212" s="147"/>
      <c r="BQ1212" s="147"/>
      <c r="BR1212" s="147"/>
      <c r="BS1212" s="147"/>
      <c r="BT1212" s="147"/>
      <c r="BU1212" s="147"/>
      <c r="BV1212" s="147"/>
      <c r="BW1212" s="147"/>
      <c r="BX1212" s="147"/>
      <c r="BY1212" s="147"/>
      <c r="BZ1212" s="147"/>
      <c r="CA1212" s="147"/>
      <c r="CB1212" s="147"/>
      <c r="CC1212" s="147"/>
      <c r="CD1212" s="147"/>
      <c r="CE1212" s="147"/>
      <c r="CF1212" s="147"/>
      <c r="CG1212" s="147"/>
      <c r="CH1212" s="147"/>
      <c r="CI1212" s="147"/>
      <c r="CJ1212" s="147"/>
      <c r="CK1212" s="147"/>
    </row>
    <row r="1213" spans="1:89">
      <c r="A1213" s="157"/>
      <c r="F1213" s="3"/>
      <c r="G1213" s="3"/>
      <c r="L1213" s="157"/>
      <c r="M1213" s="157"/>
      <c r="O1213" s="147"/>
      <c r="P1213" s="147"/>
      <c r="Q1213" s="147"/>
      <c r="R1213" s="147"/>
      <c r="S1213" s="147"/>
      <c r="T1213" s="147"/>
      <c r="U1213" s="147"/>
      <c r="V1213" s="147"/>
      <c r="W1213" s="147"/>
      <c r="X1213" s="147"/>
      <c r="Y1213" s="147"/>
      <c r="Z1213" s="147"/>
      <c r="AA1213" s="147"/>
      <c r="AB1213" s="147"/>
      <c r="AC1213" s="147"/>
      <c r="AD1213" s="147"/>
      <c r="AE1213" s="147"/>
      <c r="AF1213" s="147"/>
      <c r="AG1213" s="147"/>
      <c r="AH1213" s="147"/>
      <c r="AI1213" s="147"/>
      <c r="AJ1213" s="147"/>
      <c r="AK1213" s="147"/>
      <c r="AL1213" s="147"/>
      <c r="AM1213" s="151"/>
      <c r="AN1213" s="147"/>
      <c r="AO1213" s="147"/>
      <c r="AP1213" s="147"/>
      <c r="AQ1213" s="147"/>
      <c r="AR1213" s="147"/>
      <c r="AS1213" s="147"/>
      <c r="AT1213" s="147"/>
      <c r="AU1213" s="147"/>
      <c r="AV1213" s="147"/>
      <c r="AW1213" s="147"/>
      <c r="AX1213" s="147"/>
      <c r="AY1213" s="147"/>
      <c r="AZ1213" s="147"/>
      <c r="BA1213" s="147"/>
      <c r="BB1213" s="147"/>
      <c r="BC1213" s="147"/>
      <c r="BD1213" s="147"/>
      <c r="BE1213" s="147"/>
      <c r="BF1213" s="147"/>
      <c r="BG1213" s="147"/>
      <c r="BH1213" s="147"/>
      <c r="BI1213" s="147"/>
      <c r="BJ1213" s="147"/>
      <c r="BK1213" s="147"/>
      <c r="BL1213" s="147"/>
      <c r="BM1213" s="147"/>
      <c r="BN1213" s="147"/>
      <c r="BO1213" s="147"/>
      <c r="BP1213" s="147"/>
      <c r="BQ1213" s="147"/>
      <c r="BR1213" s="147"/>
      <c r="BS1213" s="147"/>
      <c r="BT1213" s="147"/>
      <c r="BU1213" s="147"/>
      <c r="BV1213" s="147"/>
      <c r="BW1213" s="147"/>
      <c r="BX1213" s="147"/>
      <c r="BY1213" s="147"/>
      <c r="BZ1213" s="147"/>
      <c r="CA1213" s="147"/>
      <c r="CB1213" s="147"/>
      <c r="CC1213" s="147"/>
      <c r="CD1213" s="147"/>
      <c r="CE1213" s="147"/>
      <c r="CF1213" s="147"/>
      <c r="CG1213" s="147"/>
      <c r="CH1213" s="147"/>
      <c r="CI1213" s="147"/>
      <c r="CJ1213" s="147"/>
      <c r="CK1213" s="147"/>
    </row>
    <row r="1214" spans="1:89">
      <c r="A1214" s="157"/>
      <c r="F1214" s="3"/>
      <c r="G1214" s="3"/>
      <c r="L1214" s="157"/>
      <c r="M1214" s="157"/>
      <c r="O1214" s="147"/>
      <c r="P1214" s="147"/>
      <c r="Q1214" s="147"/>
      <c r="R1214" s="147"/>
      <c r="S1214" s="147"/>
      <c r="T1214" s="147"/>
      <c r="U1214" s="147"/>
      <c r="V1214" s="147"/>
      <c r="W1214" s="147"/>
      <c r="X1214" s="147"/>
      <c r="Y1214" s="147"/>
      <c r="Z1214" s="147"/>
      <c r="AA1214" s="147"/>
      <c r="AB1214" s="147"/>
      <c r="AC1214" s="147"/>
      <c r="AD1214" s="147"/>
      <c r="AE1214" s="147"/>
      <c r="AF1214" s="147"/>
      <c r="AG1214" s="147"/>
      <c r="AH1214" s="147"/>
      <c r="AI1214" s="147"/>
      <c r="AJ1214" s="147"/>
      <c r="AK1214" s="147"/>
      <c r="AL1214" s="147"/>
      <c r="AM1214" s="151"/>
      <c r="AN1214" s="147"/>
      <c r="AO1214" s="147"/>
      <c r="AP1214" s="147"/>
      <c r="AQ1214" s="147"/>
      <c r="AR1214" s="147"/>
      <c r="AS1214" s="147"/>
      <c r="AT1214" s="147"/>
      <c r="AU1214" s="147"/>
      <c r="AV1214" s="147"/>
      <c r="AW1214" s="147"/>
      <c r="AX1214" s="147"/>
      <c r="AY1214" s="147"/>
      <c r="AZ1214" s="147"/>
      <c r="BA1214" s="147"/>
      <c r="BB1214" s="147"/>
      <c r="BC1214" s="147"/>
      <c r="BD1214" s="147"/>
      <c r="BE1214" s="147"/>
      <c r="BF1214" s="147"/>
      <c r="BG1214" s="147"/>
      <c r="BH1214" s="147"/>
      <c r="BI1214" s="147"/>
      <c r="BJ1214" s="147"/>
      <c r="BK1214" s="147"/>
      <c r="BL1214" s="147"/>
      <c r="BM1214" s="147"/>
      <c r="BN1214" s="147"/>
      <c r="BO1214" s="147"/>
      <c r="BP1214" s="147"/>
      <c r="BQ1214" s="147"/>
      <c r="BR1214" s="147"/>
      <c r="BS1214" s="147"/>
      <c r="BT1214" s="147"/>
      <c r="BU1214" s="147"/>
      <c r="BV1214" s="147"/>
      <c r="BW1214" s="147"/>
      <c r="BX1214" s="147"/>
      <c r="BY1214" s="147"/>
      <c r="BZ1214" s="147"/>
      <c r="CA1214" s="147"/>
      <c r="CB1214" s="147"/>
      <c r="CC1214" s="147"/>
      <c r="CD1214" s="147"/>
      <c r="CE1214" s="147"/>
      <c r="CF1214" s="147"/>
      <c r="CG1214" s="147"/>
      <c r="CH1214" s="147"/>
      <c r="CI1214" s="147"/>
      <c r="CJ1214" s="147"/>
      <c r="CK1214" s="147"/>
    </row>
    <row r="1215" spans="1:89">
      <c r="A1215" s="157"/>
      <c r="F1215" s="3"/>
      <c r="G1215" s="3"/>
      <c r="L1215" s="157"/>
      <c r="M1215" s="157"/>
      <c r="O1215" s="147"/>
      <c r="P1215" s="147"/>
      <c r="Q1215" s="147"/>
      <c r="R1215" s="147"/>
      <c r="S1215" s="147"/>
      <c r="T1215" s="147"/>
      <c r="U1215" s="147"/>
      <c r="V1215" s="147"/>
      <c r="W1215" s="147"/>
      <c r="X1215" s="147"/>
      <c r="Y1215" s="147"/>
      <c r="Z1215" s="147"/>
      <c r="AA1215" s="147"/>
      <c r="AB1215" s="147"/>
      <c r="AC1215" s="147"/>
      <c r="AD1215" s="147"/>
      <c r="AE1215" s="147"/>
      <c r="AF1215" s="147"/>
      <c r="AG1215" s="147"/>
      <c r="AH1215" s="147"/>
      <c r="AI1215" s="147"/>
      <c r="AJ1215" s="147"/>
      <c r="AK1215" s="147"/>
      <c r="AL1215" s="147"/>
      <c r="AM1215" s="151"/>
      <c r="AN1215" s="147"/>
      <c r="AO1215" s="147"/>
      <c r="AP1215" s="147"/>
      <c r="AQ1215" s="147"/>
      <c r="AR1215" s="147"/>
      <c r="AS1215" s="147"/>
      <c r="AT1215" s="147"/>
      <c r="AU1215" s="147"/>
      <c r="AV1215" s="147"/>
      <c r="AW1215" s="147"/>
      <c r="AX1215" s="147"/>
      <c r="AY1215" s="147"/>
      <c r="AZ1215" s="147"/>
      <c r="BA1215" s="147"/>
      <c r="BB1215" s="147"/>
      <c r="BC1215" s="147"/>
      <c r="BD1215" s="147"/>
      <c r="BE1215" s="147"/>
      <c r="BF1215" s="147"/>
      <c r="BG1215" s="147"/>
      <c r="BH1215" s="147"/>
      <c r="BI1215" s="147"/>
      <c r="BJ1215" s="147"/>
      <c r="BK1215" s="147"/>
      <c r="BL1215" s="147"/>
      <c r="BM1215" s="147"/>
      <c r="BN1215" s="147"/>
      <c r="BO1215" s="147"/>
      <c r="BP1215" s="147"/>
      <c r="BQ1215" s="147"/>
      <c r="BR1215" s="147"/>
      <c r="BS1215" s="147"/>
      <c r="BT1215" s="147"/>
      <c r="BU1215" s="147"/>
      <c r="BV1215" s="147"/>
      <c r="BW1215" s="147"/>
      <c r="BX1215" s="147"/>
      <c r="BY1215" s="147"/>
      <c r="BZ1215" s="147"/>
      <c r="CA1215" s="147"/>
      <c r="CB1215" s="147"/>
      <c r="CC1215" s="147"/>
      <c r="CD1215" s="147"/>
      <c r="CE1215" s="147"/>
      <c r="CF1215" s="147"/>
      <c r="CG1215" s="147"/>
      <c r="CH1215" s="147"/>
      <c r="CI1215" s="147"/>
      <c r="CJ1215" s="147"/>
      <c r="CK1215" s="147"/>
    </row>
    <row r="1216" spans="1:89">
      <c r="A1216" s="157"/>
      <c r="F1216" s="3"/>
      <c r="G1216" s="3"/>
      <c r="L1216" s="157"/>
      <c r="M1216" s="157"/>
      <c r="O1216" s="147"/>
      <c r="P1216" s="147"/>
      <c r="Q1216" s="147"/>
      <c r="R1216" s="147"/>
      <c r="S1216" s="147"/>
      <c r="T1216" s="147"/>
      <c r="U1216" s="147"/>
      <c r="V1216" s="147"/>
      <c r="W1216" s="147"/>
      <c r="X1216" s="147"/>
      <c r="Y1216" s="147"/>
      <c r="Z1216" s="147"/>
      <c r="AA1216" s="147"/>
      <c r="AB1216" s="147"/>
      <c r="AC1216" s="147"/>
      <c r="AD1216" s="147"/>
      <c r="AE1216" s="147"/>
      <c r="AF1216" s="147"/>
      <c r="AG1216" s="147"/>
      <c r="AH1216" s="147"/>
      <c r="AI1216" s="147"/>
      <c r="AJ1216" s="147"/>
      <c r="AK1216" s="147"/>
      <c r="AL1216" s="147"/>
      <c r="AM1216" s="151"/>
      <c r="AN1216" s="147"/>
      <c r="AO1216" s="147"/>
      <c r="AP1216" s="147"/>
      <c r="AQ1216" s="147"/>
      <c r="AR1216" s="147"/>
      <c r="AS1216" s="147"/>
      <c r="AT1216" s="147"/>
      <c r="AU1216" s="147"/>
      <c r="AV1216" s="147"/>
      <c r="AW1216" s="147"/>
      <c r="AX1216" s="147"/>
      <c r="AY1216" s="147"/>
      <c r="AZ1216" s="147"/>
      <c r="BA1216" s="147"/>
      <c r="BB1216" s="147"/>
      <c r="BC1216" s="147"/>
      <c r="BD1216" s="147"/>
      <c r="BE1216" s="147"/>
      <c r="BF1216" s="147"/>
      <c r="BG1216" s="147"/>
      <c r="BH1216" s="147"/>
      <c r="BI1216" s="147"/>
      <c r="BJ1216" s="147"/>
      <c r="BK1216" s="147"/>
      <c r="BL1216" s="147"/>
      <c r="BM1216" s="147"/>
      <c r="BN1216" s="147"/>
      <c r="BO1216" s="147"/>
      <c r="BP1216" s="147"/>
      <c r="BQ1216" s="147"/>
      <c r="BR1216" s="147"/>
      <c r="BS1216" s="147"/>
      <c r="BT1216" s="147"/>
      <c r="BU1216" s="147"/>
      <c r="BV1216" s="147"/>
      <c r="BW1216" s="147"/>
      <c r="BX1216" s="147"/>
      <c r="BY1216" s="147"/>
      <c r="BZ1216" s="147"/>
      <c r="CA1216" s="147"/>
      <c r="CB1216" s="147"/>
      <c r="CC1216" s="147"/>
      <c r="CD1216" s="147"/>
      <c r="CE1216" s="147"/>
      <c r="CF1216" s="147"/>
      <c r="CG1216" s="147"/>
      <c r="CH1216" s="147"/>
      <c r="CI1216" s="147"/>
      <c r="CJ1216" s="147"/>
      <c r="CK1216" s="147"/>
    </row>
    <row r="1217" spans="1:89">
      <c r="A1217" s="157"/>
      <c r="F1217" s="3"/>
      <c r="G1217" s="3"/>
      <c r="L1217" s="157"/>
      <c r="M1217" s="157"/>
      <c r="O1217" s="147"/>
      <c r="P1217" s="147"/>
      <c r="Q1217" s="147"/>
      <c r="R1217" s="147"/>
      <c r="S1217" s="147"/>
      <c r="T1217" s="147"/>
      <c r="U1217" s="147"/>
      <c r="V1217" s="147"/>
      <c r="W1217" s="147"/>
      <c r="X1217" s="147"/>
      <c r="Y1217" s="147"/>
      <c r="Z1217" s="147"/>
      <c r="AA1217" s="147"/>
      <c r="AB1217" s="147"/>
      <c r="AC1217" s="147"/>
      <c r="AD1217" s="147"/>
      <c r="AE1217" s="147"/>
      <c r="AF1217" s="147"/>
      <c r="AG1217" s="147"/>
      <c r="AH1217" s="147"/>
      <c r="AI1217" s="147"/>
      <c r="AJ1217" s="147"/>
      <c r="AK1217" s="147"/>
      <c r="AL1217" s="147"/>
      <c r="AM1217" s="151"/>
      <c r="AN1217" s="147"/>
      <c r="AO1217" s="147"/>
      <c r="AP1217" s="147"/>
      <c r="AQ1217" s="147"/>
      <c r="AR1217" s="147"/>
      <c r="AS1217" s="147"/>
      <c r="AT1217" s="147"/>
      <c r="AU1217" s="147"/>
      <c r="AV1217" s="147"/>
      <c r="AW1217" s="147"/>
      <c r="AX1217" s="147"/>
      <c r="AY1217" s="147"/>
      <c r="AZ1217" s="147"/>
      <c r="BA1217" s="147"/>
      <c r="BB1217" s="147"/>
      <c r="BC1217" s="147"/>
      <c r="BD1217" s="147"/>
      <c r="BE1217" s="147"/>
      <c r="BF1217" s="147"/>
      <c r="BG1217" s="147"/>
      <c r="BH1217" s="147"/>
      <c r="BI1217" s="147"/>
      <c r="BJ1217" s="147"/>
      <c r="BK1217" s="147"/>
      <c r="BL1217" s="147"/>
      <c r="BM1217" s="147"/>
      <c r="BN1217" s="147"/>
      <c r="BO1217" s="147"/>
      <c r="BP1217" s="147"/>
      <c r="BQ1217" s="147"/>
      <c r="BR1217" s="147"/>
      <c r="BS1217" s="147"/>
      <c r="BT1217" s="147"/>
      <c r="BU1217" s="147"/>
      <c r="BV1217" s="147"/>
      <c r="BW1217" s="147"/>
      <c r="BX1217" s="147"/>
      <c r="BY1217" s="147"/>
      <c r="BZ1217" s="147"/>
      <c r="CA1217" s="147"/>
      <c r="CB1217" s="147"/>
      <c r="CC1217" s="147"/>
      <c r="CD1217" s="147"/>
      <c r="CE1217" s="147"/>
      <c r="CF1217" s="147"/>
      <c r="CG1217" s="147"/>
      <c r="CH1217" s="147"/>
      <c r="CI1217" s="147"/>
      <c r="CJ1217" s="147"/>
      <c r="CK1217" s="147"/>
    </row>
    <row r="1218" spans="1:89">
      <c r="A1218" s="157"/>
      <c r="F1218" s="3"/>
      <c r="G1218" s="3"/>
      <c r="L1218" s="157"/>
      <c r="M1218" s="157"/>
      <c r="O1218" s="147"/>
      <c r="P1218" s="147"/>
      <c r="Q1218" s="147"/>
      <c r="R1218" s="147"/>
      <c r="S1218" s="147"/>
      <c r="T1218" s="147"/>
      <c r="U1218" s="147"/>
      <c r="V1218" s="147"/>
      <c r="W1218" s="147"/>
      <c r="X1218" s="147"/>
      <c r="Y1218" s="147"/>
      <c r="Z1218" s="147"/>
      <c r="AA1218" s="147"/>
      <c r="AB1218" s="147"/>
      <c r="AC1218" s="147"/>
      <c r="AD1218" s="147"/>
      <c r="AE1218" s="147"/>
      <c r="AF1218" s="147"/>
      <c r="AG1218" s="147"/>
      <c r="AH1218" s="147"/>
      <c r="AI1218" s="147"/>
      <c r="AJ1218" s="147"/>
      <c r="AK1218" s="147"/>
      <c r="AL1218" s="147"/>
      <c r="AM1218" s="151"/>
      <c r="AN1218" s="147"/>
      <c r="AO1218" s="147"/>
      <c r="AP1218" s="147"/>
      <c r="AQ1218" s="147"/>
      <c r="AR1218" s="147"/>
      <c r="AS1218" s="147"/>
      <c r="AT1218" s="147"/>
      <c r="AU1218" s="147"/>
      <c r="AV1218" s="147"/>
      <c r="AW1218" s="147"/>
      <c r="AX1218" s="147"/>
      <c r="AY1218" s="147"/>
      <c r="AZ1218" s="147"/>
      <c r="BA1218" s="147"/>
      <c r="BB1218" s="147"/>
      <c r="BC1218" s="147"/>
      <c r="BD1218" s="147"/>
      <c r="BE1218" s="147"/>
      <c r="BF1218" s="147"/>
      <c r="BG1218" s="147"/>
      <c r="BH1218" s="147"/>
      <c r="BI1218" s="147"/>
      <c r="BJ1218" s="147"/>
      <c r="BK1218" s="147"/>
      <c r="BL1218" s="147"/>
      <c r="BM1218" s="147"/>
      <c r="BN1218" s="147"/>
      <c r="BO1218" s="147"/>
      <c r="BP1218" s="147"/>
      <c r="BQ1218" s="147"/>
      <c r="BR1218" s="147"/>
      <c r="BS1218" s="147"/>
      <c r="BT1218" s="147"/>
      <c r="BU1218" s="147"/>
      <c r="BV1218" s="147"/>
      <c r="BW1218" s="147"/>
      <c r="BX1218" s="147"/>
      <c r="BY1218" s="147"/>
      <c r="BZ1218" s="147"/>
      <c r="CA1218" s="147"/>
      <c r="CB1218" s="147"/>
      <c r="CC1218" s="147"/>
      <c r="CD1218" s="147"/>
      <c r="CE1218" s="147"/>
      <c r="CF1218" s="147"/>
      <c r="CG1218" s="147"/>
      <c r="CH1218" s="147"/>
      <c r="CI1218" s="147"/>
      <c r="CJ1218" s="147"/>
      <c r="CK1218" s="147"/>
    </row>
    <row r="1219" spans="1:89">
      <c r="A1219" s="157"/>
      <c r="F1219" s="3"/>
      <c r="G1219" s="3"/>
      <c r="L1219" s="157"/>
      <c r="M1219" s="157"/>
      <c r="O1219" s="147"/>
      <c r="P1219" s="147"/>
      <c r="Q1219" s="147"/>
      <c r="R1219" s="147"/>
      <c r="S1219" s="147"/>
      <c r="T1219" s="147"/>
      <c r="U1219" s="147"/>
      <c r="V1219" s="147"/>
      <c r="W1219" s="147"/>
      <c r="X1219" s="147"/>
      <c r="Y1219" s="147"/>
      <c r="Z1219" s="147"/>
      <c r="AA1219" s="147"/>
      <c r="AB1219" s="147"/>
      <c r="AC1219" s="147"/>
      <c r="AD1219" s="147"/>
      <c r="AE1219" s="147"/>
      <c r="AF1219" s="147"/>
      <c r="AG1219" s="147"/>
      <c r="AH1219" s="147"/>
      <c r="AI1219" s="147"/>
      <c r="AJ1219" s="147"/>
      <c r="AK1219" s="147"/>
      <c r="AL1219" s="147"/>
      <c r="AM1219" s="151"/>
      <c r="AN1219" s="147"/>
      <c r="AO1219" s="147"/>
      <c r="AP1219" s="147"/>
      <c r="AQ1219" s="147"/>
      <c r="AR1219" s="147"/>
      <c r="AS1219" s="147"/>
      <c r="AT1219" s="147"/>
      <c r="AU1219" s="147"/>
      <c r="AV1219" s="147"/>
      <c r="AW1219" s="147"/>
      <c r="AX1219" s="147"/>
      <c r="AY1219" s="147"/>
      <c r="AZ1219" s="147"/>
      <c r="BA1219" s="147"/>
      <c r="BB1219" s="147"/>
      <c r="BC1219" s="147"/>
      <c r="BD1219" s="147"/>
      <c r="BE1219" s="147"/>
      <c r="BF1219" s="147"/>
      <c r="BG1219" s="147"/>
      <c r="BH1219" s="147"/>
      <c r="BI1219" s="147"/>
      <c r="BJ1219" s="147"/>
      <c r="BK1219" s="147"/>
      <c r="BL1219" s="147"/>
      <c r="BM1219" s="147"/>
      <c r="BN1219" s="147"/>
      <c r="BO1219" s="147"/>
      <c r="BP1219" s="147"/>
      <c r="BQ1219" s="147"/>
      <c r="BR1219" s="147"/>
      <c r="BS1219" s="147"/>
      <c r="BT1219" s="147"/>
      <c r="BU1219" s="147"/>
      <c r="BV1219" s="147"/>
      <c r="BW1219" s="147"/>
      <c r="BX1219" s="147"/>
      <c r="BY1219" s="147"/>
      <c r="BZ1219" s="147"/>
      <c r="CA1219" s="147"/>
      <c r="CB1219" s="147"/>
      <c r="CC1219" s="147"/>
      <c r="CD1219" s="147"/>
      <c r="CE1219" s="147"/>
      <c r="CF1219" s="147"/>
      <c r="CG1219" s="147"/>
      <c r="CH1219" s="147"/>
      <c r="CI1219" s="147"/>
      <c r="CJ1219" s="147"/>
      <c r="CK1219" s="147"/>
    </row>
    <row r="1220" spans="1:89">
      <c r="A1220" s="157"/>
      <c r="F1220" s="3"/>
      <c r="G1220" s="3"/>
      <c r="L1220" s="157"/>
      <c r="M1220" s="157"/>
      <c r="O1220" s="147"/>
      <c r="P1220" s="147"/>
      <c r="Q1220" s="147"/>
      <c r="R1220" s="147"/>
      <c r="S1220" s="147"/>
      <c r="T1220" s="147"/>
      <c r="U1220" s="147"/>
      <c r="V1220" s="147"/>
      <c r="W1220" s="147"/>
      <c r="X1220" s="147"/>
      <c r="Y1220" s="147"/>
      <c r="Z1220" s="147"/>
      <c r="AA1220" s="147"/>
      <c r="AB1220" s="147"/>
      <c r="AC1220" s="147"/>
      <c r="AD1220" s="147"/>
      <c r="AE1220" s="147"/>
      <c r="AF1220" s="147"/>
      <c r="AG1220" s="147"/>
      <c r="AH1220" s="147"/>
      <c r="AI1220" s="147"/>
      <c r="AJ1220" s="147"/>
      <c r="AK1220" s="147"/>
      <c r="AL1220" s="147"/>
      <c r="AM1220" s="151"/>
      <c r="AN1220" s="147"/>
      <c r="AO1220" s="147"/>
      <c r="AP1220" s="147"/>
      <c r="AQ1220" s="147"/>
      <c r="AR1220" s="147"/>
      <c r="AS1220" s="147"/>
      <c r="AT1220" s="147"/>
      <c r="AU1220" s="147"/>
      <c r="AV1220" s="147"/>
      <c r="AW1220" s="147"/>
      <c r="AX1220" s="147"/>
      <c r="AY1220" s="147"/>
      <c r="AZ1220" s="147"/>
      <c r="BA1220" s="147"/>
      <c r="BB1220" s="147"/>
      <c r="BC1220" s="147"/>
      <c r="BD1220" s="147"/>
      <c r="BE1220" s="147"/>
      <c r="BF1220" s="147"/>
      <c r="BG1220" s="147"/>
      <c r="BH1220" s="147"/>
      <c r="BI1220" s="147"/>
      <c r="BJ1220" s="147"/>
      <c r="BK1220" s="147"/>
      <c r="BL1220" s="147"/>
      <c r="BM1220" s="147"/>
      <c r="BN1220" s="147"/>
      <c r="BO1220" s="147"/>
      <c r="BP1220" s="147"/>
      <c r="BQ1220" s="147"/>
      <c r="BR1220" s="147"/>
      <c r="BS1220" s="147"/>
      <c r="BT1220" s="147"/>
      <c r="BU1220" s="147"/>
      <c r="BV1220" s="147"/>
      <c r="BW1220" s="147"/>
      <c r="BX1220" s="147"/>
      <c r="BY1220" s="147"/>
      <c r="BZ1220" s="147"/>
      <c r="CA1220" s="147"/>
      <c r="CB1220" s="147"/>
      <c r="CC1220" s="147"/>
      <c r="CD1220" s="147"/>
      <c r="CE1220" s="147"/>
      <c r="CF1220" s="147"/>
      <c r="CG1220" s="147"/>
      <c r="CH1220" s="147"/>
      <c r="CI1220" s="147"/>
      <c r="CJ1220" s="147"/>
      <c r="CK1220" s="147"/>
    </row>
    <row r="1221" spans="1:89">
      <c r="A1221" s="157"/>
      <c r="F1221" s="3"/>
      <c r="G1221" s="3"/>
      <c r="L1221" s="157"/>
      <c r="M1221" s="157"/>
      <c r="O1221" s="147"/>
      <c r="P1221" s="147"/>
      <c r="Q1221" s="147"/>
      <c r="R1221" s="147"/>
      <c r="S1221" s="147"/>
      <c r="T1221" s="147"/>
      <c r="U1221" s="147"/>
      <c r="V1221" s="147"/>
      <c r="W1221" s="147"/>
      <c r="X1221" s="147"/>
      <c r="Y1221" s="147"/>
      <c r="Z1221" s="147"/>
      <c r="AA1221" s="147"/>
      <c r="AB1221" s="147"/>
      <c r="AC1221" s="147"/>
      <c r="AD1221" s="147"/>
      <c r="AE1221" s="147"/>
      <c r="AF1221" s="147"/>
      <c r="AG1221" s="147"/>
      <c r="AH1221" s="147"/>
      <c r="AI1221" s="147"/>
      <c r="AJ1221" s="147"/>
      <c r="AK1221" s="147"/>
      <c r="AL1221" s="147"/>
      <c r="AM1221" s="151"/>
      <c r="AN1221" s="147"/>
      <c r="AO1221" s="147"/>
      <c r="AP1221" s="147"/>
      <c r="AQ1221" s="147"/>
      <c r="AR1221" s="147"/>
      <c r="AS1221" s="147"/>
      <c r="AT1221" s="147"/>
      <c r="AU1221" s="147"/>
      <c r="AV1221" s="147"/>
      <c r="AW1221" s="147"/>
      <c r="AX1221" s="147"/>
      <c r="AY1221" s="147"/>
      <c r="AZ1221" s="147"/>
      <c r="BA1221" s="147"/>
      <c r="BB1221" s="147"/>
      <c r="BC1221" s="147"/>
      <c r="BD1221" s="147"/>
      <c r="BE1221" s="147"/>
      <c r="BF1221" s="147"/>
      <c r="BG1221" s="147"/>
      <c r="BH1221" s="147"/>
      <c r="BI1221" s="147"/>
      <c r="BJ1221" s="147"/>
      <c r="BK1221" s="147"/>
      <c r="BL1221" s="147"/>
      <c r="BM1221" s="147"/>
      <c r="BN1221" s="147"/>
      <c r="BO1221" s="147"/>
      <c r="BP1221" s="147"/>
      <c r="BQ1221" s="147"/>
      <c r="BR1221" s="147"/>
      <c r="BS1221" s="147"/>
      <c r="BT1221" s="147"/>
      <c r="BU1221" s="147"/>
      <c r="BV1221" s="147"/>
      <c r="BW1221" s="147"/>
      <c r="BX1221" s="147"/>
      <c r="BY1221" s="147"/>
      <c r="BZ1221" s="147"/>
      <c r="CA1221" s="147"/>
      <c r="CB1221" s="147"/>
      <c r="CC1221" s="147"/>
      <c r="CD1221" s="147"/>
      <c r="CE1221" s="147"/>
      <c r="CF1221" s="147"/>
      <c r="CG1221" s="147"/>
      <c r="CH1221" s="147"/>
      <c r="CI1221" s="147"/>
      <c r="CJ1221" s="147"/>
      <c r="CK1221" s="147"/>
    </row>
    <row r="1222" spans="1:89">
      <c r="A1222" s="157"/>
      <c r="F1222" s="3"/>
      <c r="G1222" s="3"/>
      <c r="L1222" s="157"/>
      <c r="M1222" s="157"/>
      <c r="O1222" s="147"/>
      <c r="P1222" s="147"/>
      <c r="Q1222" s="147"/>
      <c r="R1222" s="147"/>
      <c r="S1222" s="147"/>
      <c r="T1222" s="147"/>
      <c r="U1222" s="147"/>
      <c r="V1222" s="147"/>
      <c r="W1222" s="147"/>
      <c r="X1222" s="147"/>
      <c r="Y1222" s="147"/>
      <c r="Z1222" s="147"/>
      <c r="AA1222" s="147"/>
      <c r="AB1222" s="147"/>
      <c r="AC1222" s="147"/>
      <c r="AD1222" s="147"/>
      <c r="AE1222" s="147"/>
      <c r="AF1222" s="147"/>
      <c r="AG1222" s="147"/>
      <c r="AH1222" s="147"/>
      <c r="AI1222" s="147"/>
      <c r="AJ1222" s="147"/>
      <c r="AK1222" s="147"/>
      <c r="AL1222" s="147"/>
      <c r="AM1222" s="151"/>
      <c r="AN1222" s="147"/>
      <c r="AO1222" s="147"/>
      <c r="AP1222" s="147"/>
      <c r="AQ1222" s="147"/>
      <c r="AR1222" s="147"/>
      <c r="AS1222" s="147"/>
      <c r="AT1222" s="147"/>
      <c r="AU1222" s="147"/>
      <c r="AV1222" s="147"/>
      <c r="AW1222" s="147"/>
      <c r="AX1222" s="147"/>
      <c r="AY1222" s="147"/>
      <c r="AZ1222" s="147"/>
      <c r="BA1222" s="147"/>
      <c r="BB1222" s="147"/>
      <c r="BC1222" s="147"/>
      <c r="BD1222" s="147"/>
      <c r="BE1222" s="147"/>
      <c r="BF1222" s="147"/>
      <c r="BG1222" s="147"/>
      <c r="BH1222" s="147"/>
      <c r="BI1222" s="147"/>
      <c r="BJ1222" s="147"/>
      <c r="BK1222" s="147"/>
      <c r="BL1222" s="147"/>
      <c r="BM1222" s="147"/>
      <c r="BN1222" s="147"/>
      <c r="BO1222" s="147"/>
      <c r="BP1222" s="147"/>
      <c r="BQ1222" s="147"/>
      <c r="BR1222" s="147"/>
      <c r="BS1222" s="147"/>
      <c r="BT1222" s="147"/>
      <c r="BU1222" s="147"/>
      <c r="BV1222" s="147"/>
      <c r="BW1222" s="147"/>
      <c r="BX1222" s="147"/>
      <c r="BY1222" s="147"/>
      <c r="BZ1222" s="147"/>
      <c r="CA1222" s="147"/>
      <c r="CB1222" s="147"/>
      <c r="CC1222" s="147"/>
      <c r="CD1222" s="147"/>
      <c r="CE1222" s="147"/>
      <c r="CF1222" s="147"/>
      <c r="CG1222" s="147"/>
      <c r="CH1222" s="147"/>
      <c r="CI1222" s="147"/>
      <c r="CJ1222" s="147"/>
      <c r="CK1222" s="147"/>
    </row>
    <row r="1223" spans="1:89">
      <c r="A1223" s="157"/>
      <c r="F1223" s="3"/>
      <c r="G1223" s="3"/>
      <c r="L1223" s="157"/>
      <c r="M1223" s="157"/>
      <c r="O1223" s="147"/>
      <c r="P1223" s="147"/>
      <c r="Q1223" s="147"/>
      <c r="R1223" s="147"/>
      <c r="S1223" s="147"/>
      <c r="T1223" s="147"/>
      <c r="U1223" s="147"/>
      <c r="V1223" s="147"/>
      <c r="W1223" s="147"/>
      <c r="X1223" s="147"/>
      <c r="Y1223" s="147"/>
      <c r="Z1223" s="147"/>
      <c r="AA1223" s="147"/>
      <c r="AB1223" s="147"/>
      <c r="AC1223" s="147"/>
      <c r="AD1223" s="147"/>
      <c r="AE1223" s="147"/>
      <c r="AF1223" s="147"/>
      <c r="AG1223" s="147"/>
      <c r="AH1223" s="147"/>
      <c r="AI1223" s="147"/>
      <c r="AJ1223" s="147"/>
      <c r="AK1223" s="147"/>
      <c r="AL1223" s="147"/>
      <c r="AM1223" s="151"/>
      <c r="AN1223" s="147"/>
      <c r="AO1223" s="147"/>
      <c r="AP1223" s="147"/>
      <c r="AQ1223" s="147"/>
      <c r="AR1223" s="147"/>
      <c r="AS1223" s="147"/>
      <c r="AT1223" s="147"/>
      <c r="AU1223" s="147"/>
      <c r="AV1223" s="147"/>
      <c r="AW1223" s="147"/>
      <c r="AX1223" s="147"/>
      <c r="AY1223" s="147"/>
      <c r="AZ1223" s="147"/>
      <c r="BA1223" s="147"/>
      <c r="BB1223" s="147"/>
      <c r="BC1223" s="147"/>
      <c r="BD1223" s="147"/>
      <c r="BE1223" s="147"/>
      <c r="BF1223" s="147"/>
      <c r="BG1223" s="147"/>
      <c r="BH1223" s="147"/>
      <c r="BI1223" s="147"/>
      <c r="BJ1223" s="147"/>
      <c r="BK1223" s="147"/>
      <c r="BL1223" s="147"/>
      <c r="BM1223" s="147"/>
      <c r="BN1223" s="147"/>
      <c r="BO1223" s="147"/>
      <c r="BP1223" s="147"/>
      <c r="BQ1223" s="147"/>
      <c r="BR1223" s="147"/>
      <c r="BS1223" s="147"/>
      <c r="BT1223" s="147"/>
      <c r="BU1223" s="147"/>
      <c r="BV1223" s="147"/>
      <c r="BW1223" s="147"/>
      <c r="BX1223" s="147"/>
      <c r="BY1223" s="147"/>
      <c r="BZ1223" s="147"/>
      <c r="CA1223" s="147"/>
      <c r="CB1223" s="147"/>
      <c r="CC1223" s="147"/>
      <c r="CD1223" s="147"/>
      <c r="CE1223" s="147"/>
      <c r="CF1223" s="147"/>
      <c r="CG1223" s="147"/>
      <c r="CH1223" s="147"/>
      <c r="CI1223" s="147"/>
      <c r="CJ1223" s="147"/>
      <c r="CK1223" s="147"/>
    </row>
    <row r="1224" spans="1:89">
      <c r="A1224" s="157"/>
      <c r="F1224" s="3"/>
      <c r="G1224" s="3"/>
      <c r="L1224" s="157"/>
      <c r="M1224" s="157"/>
      <c r="O1224" s="147"/>
      <c r="P1224" s="147"/>
      <c r="Q1224" s="147"/>
      <c r="R1224" s="147"/>
      <c r="S1224" s="147"/>
      <c r="T1224" s="147"/>
      <c r="U1224" s="147"/>
      <c r="V1224" s="147"/>
      <c r="W1224" s="147"/>
      <c r="X1224" s="147"/>
      <c r="Y1224" s="147"/>
      <c r="Z1224" s="147"/>
      <c r="AA1224" s="147"/>
      <c r="AB1224" s="147"/>
      <c r="AC1224" s="147"/>
      <c r="AD1224" s="147"/>
      <c r="AE1224" s="147"/>
      <c r="AF1224" s="147"/>
      <c r="AG1224" s="147"/>
      <c r="AH1224" s="147"/>
      <c r="AI1224" s="147"/>
      <c r="AJ1224" s="147"/>
      <c r="AK1224" s="147"/>
      <c r="AL1224" s="147"/>
      <c r="AM1224" s="151"/>
      <c r="AN1224" s="147"/>
      <c r="AO1224" s="147"/>
      <c r="AP1224" s="147"/>
      <c r="AQ1224" s="147"/>
      <c r="AR1224" s="147"/>
      <c r="AS1224" s="147"/>
      <c r="AT1224" s="147"/>
      <c r="AU1224" s="147"/>
      <c r="AV1224" s="147"/>
      <c r="AW1224" s="147"/>
      <c r="AX1224" s="147"/>
      <c r="AY1224" s="147"/>
      <c r="AZ1224" s="147"/>
      <c r="BA1224" s="147"/>
      <c r="BB1224" s="147"/>
      <c r="BC1224" s="147"/>
      <c r="BD1224" s="147"/>
      <c r="BE1224" s="147"/>
      <c r="BF1224" s="147"/>
      <c r="BG1224" s="147"/>
      <c r="BH1224" s="147"/>
      <c r="BI1224" s="147"/>
      <c r="BJ1224" s="147"/>
      <c r="BK1224" s="147"/>
      <c r="BL1224" s="147"/>
      <c r="BM1224" s="147"/>
      <c r="BN1224" s="147"/>
      <c r="BO1224" s="147"/>
      <c r="BP1224" s="147"/>
      <c r="BQ1224" s="147"/>
      <c r="BR1224" s="147"/>
      <c r="BS1224" s="147"/>
      <c r="BT1224" s="147"/>
      <c r="BU1224" s="147"/>
      <c r="BV1224" s="147"/>
      <c r="BW1224" s="147"/>
      <c r="BX1224" s="147"/>
      <c r="BY1224" s="147"/>
      <c r="BZ1224" s="147"/>
      <c r="CA1224" s="147"/>
      <c r="CB1224" s="147"/>
      <c r="CC1224" s="147"/>
      <c r="CD1224" s="147"/>
      <c r="CE1224" s="147"/>
      <c r="CF1224" s="147"/>
      <c r="CG1224" s="147"/>
      <c r="CH1224" s="147"/>
      <c r="CI1224" s="147"/>
      <c r="CJ1224" s="147"/>
      <c r="CK1224" s="147"/>
    </row>
    <row r="1225" spans="1:89">
      <c r="A1225" s="157"/>
      <c r="F1225" s="3"/>
      <c r="G1225" s="3"/>
      <c r="L1225" s="157"/>
      <c r="M1225" s="157"/>
      <c r="O1225" s="147"/>
      <c r="P1225" s="147"/>
      <c r="Q1225" s="147"/>
      <c r="R1225" s="147"/>
      <c r="S1225" s="147"/>
      <c r="T1225" s="147"/>
      <c r="U1225" s="147"/>
      <c r="V1225" s="147"/>
      <c r="W1225" s="147"/>
      <c r="X1225" s="147"/>
      <c r="Y1225" s="147"/>
      <c r="Z1225" s="147"/>
      <c r="AA1225" s="147"/>
      <c r="AB1225" s="147"/>
      <c r="AC1225" s="147"/>
      <c r="AD1225" s="147"/>
      <c r="AE1225" s="147"/>
      <c r="AF1225" s="147"/>
      <c r="AG1225" s="147"/>
      <c r="AH1225" s="147"/>
      <c r="AI1225" s="147"/>
      <c r="AJ1225" s="147"/>
      <c r="AK1225" s="147"/>
      <c r="AL1225" s="147"/>
      <c r="AM1225" s="151"/>
      <c r="AN1225" s="147"/>
      <c r="AO1225" s="147"/>
      <c r="AP1225" s="147"/>
      <c r="AQ1225" s="147"/>
      <c r="AR1225" s="147"/>
      <c r="AS1225" s="147"/>
      <c r="AT1225" s="147"/>
      <c r="AU1225" s="147"/>
      <c r="AV1225" s="147"/>
      <c r="AW1225" s="147"/>
      <c r="AX1225" s="147"/>
      <c r="AY1225" s="147"/>
      <c r="AZ1225" s="147"/>
      <c r="BA1225" s="147"/>
      <c r="BB1225" s="147"/>
      <c r="BC1225" s="147"/>
      <c r="BD1225" s="147"/>
      <c r="BE1225" s="147"/>
      <c r="BF1225" s="147"/>
      <c r="BG1225" s="147"/>
      <c r="BH1225" s="147"/>
      <c r="BI1225" s="147"/>
      <c r="BJ1225" s="147"/>
      <c r="BK1225" s="147"/>
      <c r="BL1225" s="147"/>
      <c r="BM1225" s="147"/>
      <c r="BN1225" s="147"/>
      <c r="BO1225" s="147"/>
      <c r="BP1225" s="147"/>
      <c r="BQ1225" s="147"/>
      <c r="BR1225" s="147"/>
      <c r="BS1225" s="147"/>
      <c r="BT1225" s="147"/>
      <c r="BU1225" s="147"/>
      <c r="BV1225" s="147"/>
      <c r="BW1225" s="147"/>
      <c r="BX1225" s="147"/>
      <c r="BY1225" s="147"/>
      <c r="BZ1225" s="147"/>
      <c r="CA1225" s="147"/>
      <c r="CB1225" s="147"/>
      <c r="CC1225" s="147"/>
      <c r="CD1225" s="147"/>
      <c r="CE1225" s="147"/>
      <c r="CF1225" s="147"/>
      <c r="CG1225" s="147"/>
      <c r="CH1225" s="147"/>
      <c r="CI1225" s="147"/>
      <c r="CJ1225" s="147"/>
      <c r="CK1225" s="147"/>
    </row>
    <row r="1226" spans="1:89">
      <c r="A1226" s="157"/>
      <c r="F1226" s="3"/>
      <c r="G1226" s="3"/>
      <c r="L1226" s="157"/>
      <c r="M1226" s="157"/>
      <c r="O1226" s="147"/>
      <c r="P1226" s="147"/>
      <c r="Q1226" s="147"/>
      <c r="R1226" s="147"/>
      <c r="S1226" s="147"/>
      <c r="T1226" s="147"/>
      <c r="U1226" s="147"/>
      <c r="V1226" s="147"/>
      <c r="W1226" s="147"/>
      <c r="X1226" s="147"/>
      <c r="Y1226" s="147"/>
      <c r="Z1226" s="147"/>
      <c r="AA1226" s="147"/>
      <c r="AB1226" s="147"/>
      <c r="AC1226" s="147"/>
      <c r="AD1226" s="147"/>
      <c r="AE1226" s="147"/>
      <c r="AF1226" s="147"/>
      <c r="AG1226" s="147"/>
      <c r="AH1226" s="147"/>
      <c r="AI1226" s="147"/>
      <c r="AJ1226" s="147"/>
      <c r="AK1226" s="147"/>
      <c r="AL1226" s="147"/>
      <c r="AM1226" s="151"/>
      <c r="AN1226" s="147"/>
      <c r="AO1226" s="147"/>
      <c r="AP1226" s="147"/>
      <c r="AQ1226" s="147"/>
      <c r="AR1226" s="147"/>
      <c r="AS1226" s="147"/>
      <c r="AT1226" s="147"/>
      <c r="AU1226" s="147"/>
      <c r="AV1226" s="147"/>
      <c r="AW1226" s="147"/>
      <c r="AX1226" s="147"/>
      <c r="AY1226" s="147"/>
      <c r="AZ1226" s="147"/>
      <c r="BA1226" s="147"/>
      <c r="BB1226" s="147"/>
      <c r="BC1226" s="147"/>
      <c r="BD1226" s="147"/>
      <c r="BE1226" s="147"/>
      <c r="BF1226" s="147"/>
      <c r="BG1226" s="147"/>
      <c r="BH1226" s="147"/>
      <c r="BI1226" s="147"/>
      <c r="BJ1226" s="147"/>
      <c r="BK1226" s="147"/>
      <c r="BL1226" s="147"/>
      <c r="BM1226" s="147"/>
      <c r="BN1226" s="147"/>
      <c r="BO1226" s="147"/>
      <c r="BP1226" s="147"/>
      <c r="BQ1226" s="147"/>
      <c r="BR1226" s="147"/>
      <c r="BS1226" s="147"/>
      <c r="BT1226" s="147"/>
      <c r="BU1226" s="147"/>
      <c r="BV1226" s="147"/>
      <c r="BW1226" s="147"/>
      <c r="BX1226" s="147"/>
      <c r="BY1226" s="147"/>
      <c r="BZ1226" s="147"/>
      <c r="CA1226" s="147"/>
      <c r="CB1226" s="147"/>
      <c r="CC1226" s="147"/>
      <c r="CD1226" s="147"/>
      <c r="CE1226" s="147"/>
      <c r="CF1226" s="147"/>
      <c r="CG1226" s="147"/>
      <c r="CH1226" s="147"/>
      <c r="CI1226" s="147"/>
      <c r="CJ1226" s="147"/>
      <c r="CK1226" s="147"/>
    </row>
    <row r="1227" spans="1:89">
      <c r="A1227" s="157"/>
      <c r="F1227" s="3"/>
      <c r="G1227" s="3"/>
      <c r="L1227" s="157"/>
      <c r="M1227" s="157"/>
      <c r="O1227" s="147"/>
      <c r="P1227" s="147"/>
      <c r="Q1227" s="147"/>
      <c r="R1227" s="147"/>
      <c r="S1227" s="147"/>
      <c r="T1227" s="147"/>
      <c r="U1227" s="147"/>
      <c r="V1227" s="147"/>
      <c r="W1227" s="147"/>
      <c r="X1227" s="147"/>
      <c r="Y1227" s="147"/>
      <c r="Z1227" s="147"/>
      <c r="AA1227" s="147"/>
      <c r="AB1227" s="147"/>
      <c r="AC1227" s="147"/>
      <c r="AD1227" s="147"/>
      <c r="AE1227" s="147"/>
      <c r="AF1227" s="147"/>
      <c r="AG1227" s="147"/>
      <c r="AH1227" s="147"/>
      <c r="AI1227" s="147"/>
      <c r="AJ1227" s="147"/>
      <c r="AK1227" s="147"/>
      <c r="AL1227" s="147"/>
      <c r="AM1227" s="151"/>
      <c r="AN1227" s="147"/>
      <c r="AO1227" s="147"/>
      <c r="AP1227" s="147"/>
      <c r="AQ1227" s="147"/>
      <c r="AR1227" s="147"/>
      <c r="AS1227" s="147"/>
      <c r="AT1227" s="147"/>
      <c r="AU1227" s="147"/>
      <c r="AV1227" s="147"/>
      <c r="AW1227" s="147"/>
      <c r="AX1227" s="147"/>
      <c r="AY1227" s="147"/>
      <c r="AZ1227" s="147"/>
      <c r="BA1227" s="147"/>
      <c r="BB1227" s="147"/>
      <c r="BC1227" s="147"/>
      <c r="BD1227" s="147"/>
      <c r="BE1227" s="147"/>
      <c r="BF1227" s="147"/>
      <c r="BG1227" s="147"/>
      <c r="BH1227" s="147"/>
      <c r="BI1227" s="147"/>
      <c r="BJ1227" s="147"/>
      <c r="BK1227" s="147"/>
      <c r="BL1227" s="147"/>
      <c r="BM1227" s="147"/>
      <c r="BN1227" s="147"/>
      <c r="BO1227" s="147"/>
      <c r="BP1227" s="147"/>
      <c r="BQ1227" s="147"/>
      <c r="BR1227" s="147"/>
      <c r="BS1227" s="147"/>
      <c r="BT1227" s="147"/>
      <c r="BU1227" s="147"/>
      <c r="BV1227" s="147"/>
      <c r="BW1227" s="147"/>
      <c r="BX1227" s="147"/>
      <c r="BY1227" s="147"/>
      <c r="BZ1227" s="147"/>
      <c r="CA1227" s="147"/>
      <c r="CB1227" s="147"/>
      <c r="CC1227" s="147"/>
      <c r="CD1227" s="147"/>
      <c r="CE1227" s="147"/>
      <c r="CF1227" s="147"/>
      <c r="CG1227" s="147"/>
      <c r="CH1227" s="147"/>
      <c r="CI1227" s="147"/>
      <c r="CJ1227" s="147"/>
      <c r="CK1227" s="147"/>
    </row>
    <row r="1228" spans="1:89">
      <c r="A1228" s="157"/>
      <c r="F1228" s="3"/>
      <c r="G1228" s="3"/>
      <c r="L1228" s="157"/>
      <c r="M1228" s="157"/>
      <c r="O1228" s="147"/>
      <c r="P1228" s="147"/>
      <c r="Q1228" s="147"/>
      <c r="R1228" s="147"/>
      <c r="S1228" s="147"/>
      <c r="T1228" s="147"/>
      <c r="U1228" s="147"/>
      <c r="V1228" s="147"/>
      <c r="W1228" s="147"/>
      <c r="X1228" s="147"/>
      <c r="Y1228" s="147"/>
      <c r="Z1228" s="147"/>
      <c r="AA1228" s="147"/>
      <c r="AB1228" s="147"/>
      <c r="AC1228" s="147"/>
      <c r="AD1228" s="147"/>
      <c r="AE1228" s="147"/>
      <c r="AF1228" s="147"/>
      <c r="AG1228" s="147"/>
      <c r="AH1228" s="147"/>
      <c r="AI1228" s="147"/>
      <c r="AJ1228" s="147"/>
      <c r="AK1228" s="147"/>
      <c r="AL1228" s="147"/>
      <c r="AM1228" s="151"/>
      <c r="AN1228" s="147"/>
      <c r="AO1228" s="147"/>
      <c r="AP1228" s="147"/>
      <c r="AQ1228" s="147"/>
      <c r="AR1228" s="147"/>
      <c r="AS1228" s="147"/>
      <c r="AT1228" s="147"/>
      <c r="AU1228" s="147"/>
      <c r="AV1228" s="147"/>
      <c r="AW1228" s="147"/>
      <c r="AX1228" s="147"/>
      <c r="AY1228" s="147"/>
      <c r="AZ1228" s="147"/>
      <c r="BA1228" s="147"/>
      <c r="BB1228" s="147"/>
      <c r="BC1228" s="147"/>
      <c r="BD1228" s="147"/>
      <c r="BE1228" s="147"/>
      <c r="BF1228" s="147"/>
      <c r="BG1228" s="147"/>
      <c r="BH1228" s="147"/>
      <c r="BI1228" s="147"/>
      <c r="BJ1228" s="147"/>
      <c r="BK1228" s="147"/>
      <c r="BL1228" s="147"/>
      <c r="BM1228" s="147"/>
      <c r="BN1228" s="147"/>
      <c r="BO1228" s="147"/>
      <c r="BP1228" s="147"/>
      <c r="BQ1228" s="147"/>
      <c r="BR1228" s="147"/>
      <c r="BS1228" s="147"/>
      <c r="BT1228" s="147"/>
      <c r="BU1228" s="147"/>
      <c r="BV1228" s="147"/>
      <c r="BW1228" s="147"/>
      <c r="BX1228" s="147"/>
      <c r="BY1228" s="147"/>
      <c r="BZ1228" s="147"/>
      <c r="CA1228" s="147"/>
      <c r="CB1228" s="147"/>
      <c r="CC1228" s="147"/>
      <c r="CD1228" s="147"/>
      <c r="CE1228" s="147"/>
      <c r="CF1228" s="147"/>
      <c r="CG1228" s="147"/>
      <c r="CH1228" s="147"/>
      <c r="CI1228" s="147"/>
      <c r="CJ1228" s="147"/>
      <c r="CK1228" s="147"/>
    </row>
    <row r="1229" spans="1:89">
      <c r="A1229" s="157"/>
      <c r="F1229" s="3"/>
      <c r="G1229" s="3"/>
      <c r="L1229" s="157"/>
      <c r="M1229" s="157"/>
      <c r="O1229" s="147"/>
      <c r="P1229" s="147"/>
      <c r="Q1229" s="147"/>
      <c r="R1229" s="147"/>
      <c r="S1229" s="147"/>
      <c r="T1229" s="147"/>
      <c r="U1229" s="147"/>
      <c r="V1229" s="147"/>
      <c r="W1229" s="147"/>
      <c r="X1229" s="147"/>
      <c r="Y1229" s="147"/>
      <c r="Z1229" s="147"/>
      <c r="AA1229" s="147"/>
      <c r="AB1229" s="147"/>
      <c r="AC1229" s="147"/>
      <c r="AD1229" s="147"/>
      <c r="AE1229" s="147"/>
      <c r="AF1229" s="147"/>
      <c r="AG1229" s="147"/>
      <c r="AH1229" s="147"/>
      <c r="AI1229" s="147"/>
      <c r="AJ1229" s="147"/>
      <c r="AK1229" s="147"/>
      <c r="AL1229" s="147"/>
      <c r="AM1229" s="151"/>
      <c r="AN1229" s="147"/>
      <c r="AO1229" s="147"/>
      <c r="AP1229" s="147"/>
      <c r="AQ1229" s="147"/>
      <c r="AR1229" s="147"/>
      <c r="AS1229" s="147"/>
      <c r="AT1229" s="147"/>
      <c r="AU1229" s="147"/>
      <c r="AV1229" s="147"/>
      <c r="AW1229" s="147"/>
      <c r="AX1229" s="147"/>
      <c r="AY1229" s="147"/>
      <c r="AZ1229" s="147"/>
      <c r="BA1229" s="147"/>
      <c r="BB1229" s="147"/>
      <c r="BC1229" s="147"/>
      <c r="BD1229" s="147"/>
      <c r="BE1229" s="147"/>
      <c r="BF1229" s="147"/>
      <c r="BG1229" s="147"/>
      <c r="BH1229" s="147"/>
      <c r="BI1229" s="147"/>
      <c r="BJ1229" s="147"/>
      <c r="BK1229" s="147"/>
      <c r="BL1229" s="147"/>
      <c r="BM1229" s="147"/>
      <c r="BN1229" s="147"/>
      <c r="BO1229" s="147"/>
      <c r="BP1229" s="147"/>
      <c r="BQ1229" s="147"/>
      <c r="BR1229" s="147"/>
      <c r="BS1229" s="147"/>
      <c r="BT1229" s="147"/>
      <c r="BU1229" s="147"/>
      <c r="BV1229" s="147"/>
      <c r="BW1229" s="147"/>
      <c r="BX1229" s="147"/>
      <c r="BY1229" s="147"/>
      <c r="BZ1229" s="147"/>
      <c r="CA1229" s="147"/>
      <c r="CB1229" s="147"/>
      <c r="CC1229" s="147"/>
      <c r="CD1229" s="147"/>
      <c r="CE1229" s="147"/>
      <c r="CF1229" s="147"/>
      <c r="CG1229" s="147"/>
      <c r="CH1229" s="147"/>
      <c r="CI1229" s="147"/>
      <c r="CJ1229" s="147"/>
      <c r="CK1229" s="147"/>
    </row>
    <row r="1230" spans="1:89">
      <c r="A1230" s="157"/>
      <c r="F1230" s="3"/>
      <c r="G1230" s="3"/>
      <c r="L1230" s="157"/>
      <c r="M1230" s="157"/>
      <c r="O1230" s="147"/>
      <c r="P1230" s="147"/>
      <c r="Q1230" s="147"/>
      <c r="R1230" s="147"/>
      <c r="S1230" s="147"/>
      <c r="T1230" s="147"/>
      <c r="U1230" s="147"/>
      <c r="V1230" s="147"/>
      <c r="W1230" s="147"/>
      <c r="X1230" s="147"/>
      <c r="Y1230" s="147"/>
      <c r="Z1230" s="147"/>
      <c r="AA1230" s="147"/>
      <c r="AB1230" s="147"/>
      <c r="AC1230" s="147"/>
      <c r="AD1230" s="147"/>
      <c r="AE1230" s="147"/>
      <c r="AF1230" s="147"/>
      <c r="AG1230" s="147"/>
      <c r="AH1230" s="147"/>
      <c r="AI1230" s="147"/>
      <c r="AJ1230" s="147"/>
      <c r="AK1230" s="147"/>
      <c r="AL1230" s="147"/>
      <c r="AM1230" s="151"/>
      <c r="AN1230" s="147"/>
      <c r="AO1230" s="147"/>
      <c r="AP1230" s="147"/>
      <c r="AQ1230" s="147"/>
      <c r="AR1230" s="147"/>
      <c r="AS1230" s="147"/>
      <c r="AT1230" s="147"/>
      <c r="AU1230" s="147"/>
      <c r="AV1230" s="147"/>
      <c r="AW1230" s="147"/>
      <c r="AX1230" s="147"/>
      <c r="AY1230" s="147"/>
      <c r="AZ1230" s="147"/>
      <c r="BA1230" s="147"/>
      <c r="BB1230" s="147"/>
      <c r="BC1230" s="147"/>
      <c r="BD1230" s="147"/>
      <c r="BE1230" s="147"/>
      <c r="BF1230" s="147"/>
      <c r="BG1230" s="147"/>
      <c r="BH1230" s="147"/>
      <c r="BI1230" s="147"/>
      <c r="BJ1230" s="147"/>
      <c r="BK1230" s="147"/>
      <c r="BL1230" s="147"/>
      <c r="BM1230" s="147"/>
      <c r="BN1230" s="147"/>
      <c r="BO1230" s="147"/>
      <c r="BP1230" s="147"/>
      <c r="BQ1230" s="147"/>
      <c r="BR1230" s="147"/>
      <c r="BS1230" s="147"/>
      <c r="BT1230" s="147"/>
      <c r="BU1230" s="147"/>
      <c r="BV1230" s="147"/>
      <c r="BW1230" s="147"/>
      <c r="BX1230" s="147"/>
      <c r="BY1230" s="147"/>
      <c r="BZ1230" s="147"/>
      <c r="CA1230" s="147"/>
      <c r="CB1230" s="147"/>
      <c r="CC1230" s="147"/>
      <c r="CD1230" s="147"/>
      <c r="CE1230" s="147"/>
      <c r="CF1230" s="147"/>
      <c r="CG1230" s="147"/>
      <c r="CH1230" s="147"/>
      <c r="CI1230" s="147"/>
      <c r="CJ1230" s="147"/>
      <c r="CK1230" s="147"/>
    </row>
    <row r="1231" spans="1:89">
      <c r="A1231" s="157"/>
      <c r="F1231" s="3"/>
      <c r="G1231" s="3"/>
      <c r="L1231" s="157"/>
      <c r="M1231" s="157"/>
      <c r="O1231" s="147"/>
      <c r="P1231" s="147"/>
      <c r="Q1231" s="147"/>
      <c r="R1231" s="147"/>
      <c r="S1231" s="147"/>
      <c r="T1231" s="147"/>
      <c r="U1231" s="147"/>
      <c r="V1231" s="147"/>
      <c r="W1231" s="147"/>
      <c r="X1231" s="147"/>
      <c r="Y1231" s="147"/>
      <c r="Z1231" s="147"/>
      <c r="AA1231" s="147"/>
      <c r="AB1231" s="147"/>
      <c r="AC1231" s="147"/>
      <c r="AD1231" s="147"/>
      <c r="AE1231" s="147"/>
      <c r="AF1231" s="147"/>
      <c r="AG1231" s="147"/>
      <c r="AH1231" s="147"/>
      <c r="AI1231" s="147"/>
      <c r="AJ1231" s="147"/>
      <c r="AK1231" s="147"/>
      <c r="AL1231" s="147"/>
      <c r="AM1231" s="151"/>
      <c r="AN1231" s="147"/>
      <c r="AO1231" s="147"/>
      <c r="AP1231" s="147"/>
      <c r="AQ1231" s="147"/>
      <c r="AR1231" s="147"/>
      <c r="AS1231" s="147"/>
      <c r="AT1231" s="147"/>
      <c r="AU1231" s="147"/>
      <c r="AV1231" s="147"/>
      <c r="AW1231" s="147"/>
      <c r="AX1231" s="147"/>
      <c r="AY1231" s="147"/>
      <c r="AZ1231" s="147"/>
      <c r="BA1231" s="147"/>
      <c r="BB1231" s="147"/>
      <c r="BC1231" s="147"/>
      <c r="BD1231" s="147"/>
      <c r="BE1231" s="147"/>
      <c r="BF1231" s="147"/>
      <c r="BG1231" s="147"/>
      <c r="BH1231" s="147"/>
      <c r="BI1231" s="147"/>
      <c r="BJ1231" s="147"/>
      <c r="BK1231" s="147"/>
      <c r="BL1231" s="147"/>
      <c r="BM1231" s="147"/>
      <c r="BN1231" s="147"/>
      <c r="BO1231" s="147"/>
      <c r="BP1231" s="147"/>
      <c r="BQ1231" s="147"/>
      <c r="BR1231" s="147"/>
      <c r="BS1231" s="147"/>
      <c r="BT1231" s="147"/>
      <c r="BU1231" s="147"/>
      <c r="BV1231" s="147"/>
      <c r="BW1231" s="147"/>
      <c r="BX1231" s="147"/>
      <c r="BY1231" s="147"/>
      <c r="BZ1231" s="147"/>
      <c r="CA1231" s="147"/>
      <c r="CB1231" s="147"/>
      <c r="CC1231" s="147"/>
      <c r="CD1231" s="147"/>
      <c r="CE1231" s="147"/>
      <c r="CF1231" s="147"/>
      <c r="CG1231" s="147"/>
      <c r="CH1231" s="147"/>
      <c r="CI1231" s="147"/>
      <c r="CJ1231" s="147"/>
      <c r="CK1231" s="147"/>
    </row>
    <row r="1232" spans="1:89">
      <c r="A1232" s="157"/>
      <c r="F1232" s="3"/>
      <c r="G1232" s="3"/>
      <c r="L1232" s="157"/>
      <c r="M1232" s="157"/>
      <c r="O1232" s="147"/>
      <c r="P1232" s="147"/>
      <c r="Q1232" s="147"/>
      <c r="R1232" s="147"/>
      <c r="S1232" s="147"/>
      <c r="T1232" s="147"/>
      <c r="U1232" s="147"/>
      <c r="V1232" s="147"/>
      <c r="W1232" s="147"/>
      <c r="X1232" s="147"/>
      <c r="Y1232" s="147"/>
      <c r="Z1232" s="147"/>
      <c r="AA1232" s="147"/>
      <c r="AB1232" s="147"/>
      <c r="AC1232" s="147"/>
      <c r="AD1232" s="147"/>
      <c r="AE1232" s="147"/>
      <c r="AF1232" s="147"/>
      <c r="AG1232" s="147"/>
      <c r="AH1232" s="147"/>
      <c r="AI1232" s="147"/>
      <c r="AJ1232" s="147"/>
      <c r="AK1232" s="147"/>
      <c r="AL1232" s="147"/>
      <c r="AM1232" s="151"/>
      <c r="AN1232" s="147"/>
      <c r="AO1232" s="147"/>
      <c r="AP1232" s="147"/>
      <c r="AQ1232" s="147"/>
      <c r="AR1232" s="147"/>
      <c r="AS1232" s="147"/>
      <c r="AT1232" s="147"/>
      <c r="AU1232" s="147"/>
      <c r="AV1232" s="147"/>
      <c r="AW1232" s="147"/>
      <c r="AX1232" s="147"/>
      <c r="AY1232" s="147"/>
      <c r="AZ1232" s="147"/>
      <c r="BA1232" s="147"/>
      <c r="BB1232" s="147"/>
      <c r="BC1232" s="147"/>
      <c r="BD1232" s="147"/>
      <c r="BE1232" s="147"/>
      <c r="BF1232" s="147"/>
      <c r="BG1232" s="147"/>
      <c r="BH1232" s="147"/>
      <c r="BI1232" s="147"/>
      <c r="BJ1232" s="147"/>
      <c r="BK1232" s="147"/>
      <c r="BL1232" s="147"/>
      <c r="BM1232" s="147"/>
      <c r="BN1232" s="147"/>
      <c r="BO1232" s="147"/>
      <c r="BP1232" s="147"/>
      <c r="BQ1232" s="147"/>
      <c r="BR1232" s="147"/>
      <c r="BS1232" s="147"/>
      <c r="BT1232" s="147"/>
      <c r="BU1232" s="147"/>
      <c r="BV1232" s="147"/>
      <c r="BW1232" s="147"/>
      <c r="BX1232" s="147"/>
      <c r="BY1232" s="147"/>
      <c r="BZ1232" s="147"/>
      <c r="CA1232" s="147"/>
      <c r="CB1232" s="147"/>
      <c r="CC1232" s="147"/>
      <c r="CD1232" s="147"/>
      <c r="CE1232" s="147"/>
      <c r="CF1232" s="147"/>
      <c r="CG1232" s="147"/>
      <c r="CH1232" s="147"/>
      <c r="CI1232" s="147"/>
      <c r="CJ1232" s="147"/>
      <c r="CK1232" s="147"/>
    </row>
    <row r="1233" spans="1:89">
      <c r="A1233" s="157"/>
      <c r="F1233" s="3"/>
      <c r="G1233" s="3"/>
      <c r="L1233" s="157"/>
      <c r="M1233" s="157"/>
      <c r="O1233" s="147"/>
      <c r="P1233" s="147"/>
      <c r="Q1233" s="147"/>
      <c r="R1233" s="147"/>
      <c r="S1233" s="147"/>
      <c r="T1233" s="147"/>
      <c r="U1233" s="147"/>
      <c r="V1233" s="147"/>
      <c r="W1233" s="147"/>
      <c r="X1233" s="147"/>
      <c r="Y1233" s="147"/>
      <c r="Z1233" s="147"/>
      <c r="AA1233" s="147"/>
      <c r="AB1233" s="147"/>
      <c r="AC1233" s="147"/>
      <c r="AD1233" s="147"/>
      <c r="AE1233" s="147"/>
      <c r="AF1233" s="147"/>
      <c r="AG1233" s="147"/>
      <c r="AH1233" s="147"/>
      <c r="AI1233" s="147"/>
      <c r="AJ1233" s="147"/>
      <c r="AK1233" s="147"/>
      <c r="AL1233" s="147"/>
      <c r="AM1233" s="151"/>
      <c r="AN1233" s="147"/>
      <c r="AO1233" s="147"/>
      <c r="AP1233" s="147"/>
      <c r="AQ1233" s="147"/>
      <c r="AR1233" s="147"/>
      <c r="AS1233" s="147"/>
      <c r="AT1233" s="147"/>
      <c r="AU1233" s="147"/>
      <c r="AV1233" s="147"/>
      <c r="AW1233" s="147"/>
      <c r="AX1233" s="147"/>
      <c r="AY1233" s="147"/>
      <c r="AZ1233" s="147"/>
      <c r="BA1233" s="147"/>
      <c r="BB1233" s="147"/>
      <c r="BC1233" s="147"/>
      <c r="BD1233" s="147"/>
      <c r="BE1233" s="147"/>
      <c r="BF1233" s="147"/>
      <c r="BG1233" s="147"/>
      <c r="BH1233" s="147"/>
      <c r="BI1233" s="147"/>
      <c r="BJ1233" s="147"/>
      <c r="BK1233" s="147"/>
      <c r="BL1233" s="147"/>
      <c r="BM1233" s="147"/>
      <c r="BN1233" s="147"/>
      <c r="BO1233" s="147"/>
      <c r="BP1233" s="147"/>
      <c r="BQ1233" s="147"/>
      <c r="BR1233" s="147"/>
      <c r="BS1233" s="147"/>
      <c r="BT1233" s="147"/>
      <c r="BU1233" s="147"/>
      <c r="BV1233" s="147"/>
      <c r="BW1233" s="147"/>
      <c r="BX1233" s="147"/>
      <c r="BY1233" s="147"/>
      <c r="BZ1233" s="147"/>
      <c r="CA1233" s="147"/>
      <c r="CB1233" s="147"/>
      <c r="CC1233" s="147"/>
      <c r="CD1233" s="147"/>
      <c r="CE1233" s="147"/>
      <c r="CF1233" s="147"/>
      <c r="CG1233" s="147"/>
      <c r="CH1233" s="147"/>
      <c r="CI1233" s="147"/>
      <c r="CJ1233" s="147"/>
      <c r="CK1233" s="147"/>
    </row>
    <row r="1234" spans="1:89">
      <c r="A1234" s="157"/>
      <c r="F1234" s="3"/>
      <c r="G1234" s="3"/>
      <c r="L1234" s="157"/>
      <c r="M1234" s="157"/>
      <c r="O1234" s="147"/>
      <c r="P1234" s="147"/>
      <c r="Q1234" s="147"/>
      <c r="R1234" s="147"/>
      <c r="S1234" s="147"/>
      <c r="T1234" s="147"/>
      <c r="U1234" s="147"/>
      <c r="V1234" s="147"/>
      <c r="W1234" s="147"/>
      <c r="X1234" s="147"/>
      <c r="Y1234" s="147"/>
      <c r="Z1234" s="147"/>
      <c r="AA1234" s="147"/>
      <c r="AB1234" s="147"/>
      <c r="AC1234" s="147"/>
      <c r="AD1234" s="147"/>
      <c r="AE1234" s="147"/>
      <c r="AF1234" s="147"/>
      <c r="AG1234" s="147"/>
      <c r="AH1234" s="147"/>
      <c r="AI1234" s="147"/>
      <c r="AJ1234" s="147"/>
      <c r="AK1234" s="147"/>
      <c r="AL1234" s="147"/>
      <c r="AM1234" s="151"/>
      <c r="AN1234" s="147"/>
      <c r="AO1234" s="147"/>
      <c r="AP1234" s="147"/>
      <c r="AQ1234" s="147"/>
      <c r="AR1234" s="147"/>
      <c r="AS1234" s="147"/>
      <c r="AT1234" s="147"/>
      <c r="AU1234" s="147"/>
      <c r="AV1234" s="147"/>
      <c r="AW1234" s="147"/>
      <c r="AX1234" s="147"/>
      <c r="AY1234" s="147"/>
      <c r="AZ1234" s="147"/>
      <c r="BA1234" s="147"/>
      <c r="BB1234" s="147"/>
      <c r="BC1234" s="147"/>
      <c r="BD1234" s="147"/>
      <c r="BE1234" s="147"/>
      <c r="BF1234" s="147"/>
      <c r="BG1234" s="147"/>
      <c r="BH1234" s="147"/>
      <c r="BI1234" s="147"/>
      <c r="BJ1234" s="147"/>
      <c r="BK1234" s="147"/>
      <c r="BL1234" s="147"/>
      <c r="BM1234" s="147"/>
      <c r="BN1234" s="147"/>
      <c r="BO1234" s="147"/>
      <c r="BP1234" s="147"/>
      <c r="BQ1234" s="147"/>
      <c r="BR1234" s="147"/>
      <c r="BS1234" s="147"/>
      <c r="BT1234" s="147"/>
      <c r="BU1234" s="147"/>
      <c r="BV1234" s="147"/>
      <c r="BW1234" s="147"/>
      <c r="BX1234" s="147"/>
      <c r="BY1234" s="147"/>
      <c r="BZ1234" s="147"/>
      <c r="CA1234" s="147"/>
      <c r="CB1234" s="147"/>
      <c r="CC1234" s="147"/>
      <c r="CD1234" s="147"/>
      <c r="CE1234" s="147"/>
      <c r="CF1234" s="147"/>
      <c r="CG1234" s="147"/>
      <c r="CH1234" s="147"/>
      <c r="CI1234" s="147"/>
      <c r="CJ1234" s="147"/>
      <c r="CK1234" s="147"/>
    </row>
    <row r="1235" spans="1:89">
      <c r="A1235" s="157"/>
      <c r="F1235" s="3"/>
      <c r="G1235" s="3"/>
      <c r="L1235" s="157"/>
      <c r="M1235" s="157"/>
      <c r="O1235" s="147"/>
      <c r="P1235" s="147"/>
      <c r="Q1235" s="147"/>
      <c r="R1235" s="147"/>
      <c r="S1235" s="147"/>
      <c r="T1235" s="147"/>
      <c r="U1235" s="147"/>
      <c r="V1235" s="147"/>
      <c r="W1235" s="147"/>
      <c r="X1235" s="147"/>
      <c r="Y1235" s="147"/>
      <c r="Z1235" s="147"/>
      <c r="AA1235" s="147"/>
      <c r="AB1235" s="147"/>
      <c r="AC1235" s="147"/>
      <c r="AD1235" s="147"/>
      <c r="AE1235" s="147"/>
      <c r="AF1235" s="147"/>
      <c r="AG1235" s="147"/>
      <c r="AH1235" s="147"/>
      <c r="AI1235" s="147"/>
      <c r="AJ1235" s="147"/>
      <c r="AK1235" s="147"/>
      <c r="AL1235" s="147"/>
      <c r="AM1235" s="151"/>
      <c r="AN1235" s="147"/>
      <c r="AO1235" s="147"/>
      <c r="AP1235" s="147"/>
      <c r="AQ1235" s="147"/>
      <c r="AR1235" s="147"/>
      <c r="AS1235" s="147"/>
      <c r="AT1235" s="147"/>
      <c r="AU1235" s="147"/>
      <c r="AV1235" s="147"/>
      <c r="AW1235" s="147"/>
      <c r="AX1235" s="147"/>
      <c r="AY1235" s="147"/>
      <c r="AZ1235" s="147"/>
      <c r="BA1235" s="147"/>
      <c r="BB1235" s="147"/>
      <c r="BC1235" s="147"/>
      <c r="BD1235" s="147"/>
      <c r="BE1235" s="147"/>
      <c r="BF1235" s="147"/>
      <c r="BG1235" s="147"/>
      <c r="BH1235" s="147"/>
      <c r="BI1235" s="147"/>
      <c r="BJ1235" s="147"/>
      <c r="BK1235" s="147"/>
      <c r="BL1235" s="147"/>
      <c r="BM1235" s="147"/>
      <c r="BN1235" s="147"/>
      <c r="BO1235" s="147"/>
      <c r="BP1235" s="147"/>
      <c r="BQ1235" s="147"/>
      <c r="BR1235" s="147"/>
      <c r="BS1235" s="147"/>
      <c r="BT1235" s="147"/>
      <c r="BU1235" s="147"/>
      <c r="BV1235" s="147"/>
      <c r="BW1235" s="147"/>
      <c r="BX1235" s="147"/>
      <c r="BY1235" s="147"/>
      <c r="BZ1235" s="147"/>
      <c r="CA1235" s="147"/>
      <c r="CB1235" s="147"/>
      <c r="CC1235" s="147"/>
      <c r="CD1235" s="147"/>
      <c r="CE1235" s="147"/>
      <c r="CF1235" s="147"/>
      <c r="CG1235" s="147"/>
      <c r="CH1235" s="147"/>
      <c r="CI1235" s="147"/>
      <c r="CJ1235" s="147"/>
      <c r="CK1235" s="147"/>
    </row>
    <row r="1236" spans="1:89">
      <c r="A1236" s="157"/>
      <c r="F1236" s="3"/>
      <c r="G1236" s="3"/>
      <c r="L1236" s="157"/>
      <c r="M1236" s="157"/>
      <c r="O1236" s="147"/>
      <c r="P1236" s="147"/>
      <c r="Q1236" s="147"/>
      <c r="R1236" s="147"/>
      <c r="S1236" s="147"/>
      <c r="T1236" s="147"/>
      <c r="U1236" s="147"/>
      <c r="V1236" s="147"/>
      <c r="W1236" s="147"/>
      <c r="X1236" s="147"/>
      <c r="Y1236" s="147"/>
      <c r="Z1236" s="147"/>
      <c r="AA1236" s="147"/>
      <c r="AB1236" s="147"/>
      <c r="AC1236" s="147"/>
      <c r="AD1236" s="147"/>
      <c r="AE1236" s="147"/>
      <c r="AF1236" s="147"/>
      <c r="AG1236" s="147"/>
      <c r="AH1236" s="147"/>
      <c r="AI1236" s="147"/>
      <c r="AJ1236" s="147"/>
      <c r="AK1236" s="147"/>
      <c r="AL1236" s="147"/>
      <c r="AM1236" s="151"/>
      <c r="AN1236" s="147"/>
      <c r="AO1236" s="147"/>
      <c r="AP1236" s="147"/>
      <c r="AQ1236" s="147"/>
      <c r="AR1236" s="147"/>
      <c r="AS1236" s="147"/>
      <c r="AT1236" s="147"/>
      <c r="AU1236" s="147"/>
      <c r="AV1236" s="147"/>
      <c r="AW1236" s="147"/>
      <c r="AX1236" s="147"/>
      <c r="AY1236" s="147"/>
      <c r="AZ1236" s="147"/>
      <c r="BA1236" s="147"/>
      <c r="BB1236" s="147"/>
      <c r="BC1236" s="147"/>
      <c r="BD1236" s="147"/>
      <c r="BE1236" s="147"/>
      <c r="BF1236" s="147"/>
      <c r="BG1236" s="147"/>
      <c r="BH1236" s="147"/>
      <c r="BI1236" s="147"/>
      <c r="BJ1236" s="147"/>
      <c r="BK1236" s="147"/>
      <c r="BL1236" s="147"/>
      <c r="BM1236" s="147"/>
      <c r="BN1236" s="147"/>
      <c r="BO1236" s="147"/>
      <c r="BP1236" s="147"/>
      <c r="BQ1236" s="147"/>
      <c r="BR1236" s="147"/>
      <c r="BS1236" s="147"/>
      <c r="BT1236" s="147"/>
      <c r="BU1236" s="147"/>
      <c r="BV1236" s="147"/>
      <c r="BW1236" s="147"/>
      <c r="BX1236" s="147"/>
      <c r="BY1236" s="147"/>
      <c r="BZ1236" s="147"/>
      <c r="CA1236" s="147"/>
      <c r="CB1236" s="147"/>
      <c r="CC1236" s="147"/>
      <c r="CD1236" s="147"/>
      <c r="CE1236" s="147"/>
      <c r="CF1236" s="147"/>
      <c r="CG1236" s="147"/>
      <c r="CH1236" s="147"/>
      <c r="CI1236" s="147"/>
      <c r="CJ1236" s="147"/>
      <c r="CK1236" s="147"/>
    </row>
    <row r="1237" spans="1:89">
      <c r="A1237" s="157"/>
      <c r="F1237" s="3"/>
      <c r="G1237" s="3"/>
      <c r="L1237" s="157"/>
      <c r="M1237" s="157"/>
      <c r="O1237" s="147"/>
      <c r="P1237" s="147"/>
      <c r="Q1237" s="147"/>
      <c r="R1237" s="147"/>
      <c r="S1237" s="147"/>
      <c r="T1237" s="147"/>
      <c r="U1237" s="147"/>
      <c r="V1237" s="147"/>
      <c r="W1237" s="147"/>
      <c r="X1237" s="147"/>
      <c r="Y1237" s="147"/>
      <c r="Z1237" s="147"/>
      <c r="AA1237" s="147"/>
      <c r="AB1237" s="147"/>
      <c r="AC1237" s="147"/>
      <c r="AD1237" s="147"/>
      <c r="AE1237" s="147"/>
      <c r="AF1237" s="147"/>
      <c r="AG1237" s="147"/>
      <c r="AH1237" s="147"/>
      <c r="AI1237" s="147"/>
      <c r="AJ1237" s="147"/>
      <c r="AK1237" s="147"/>
      <c r="AL1237" s="147"/>
      <c r="AM1237" s="151"/>
      <c r="AN1237" s="147"/>
      <c r="AO1237" s="147"/>
      <c r="AP1237" s="147"/>
      <c r="AQ1237" s="147"/>
      <c r="AR1237" s="147"/>
      <c r="AS1237" s="147"/>
      <c r="AT1237" s="147"/>
      <c r="AU1237" s="147"/>
      <c r="AV1237" s="147"/>
      <c r="AW1237" s="147"/>
      <c r="AX1237" s="147"/>
      <c r="AY1237" s="147"/>
      <c r="AZ1237" s="147"/>
      <c r="BA1237" s="147"/>
      <c r="BB1237" s="147"/>
      <c r="BC1237" s="147"/>
      <c r="BD1237" s="147"/>
      <c r="BE1237" s="147"/>
      <c r="BF1237" s="147"/>
      <c r="BG1237" s="147"/>
      <c r="BH1237" s="147"/>
      <c r="BI1237" s="147"/>
      <c r="BJ1237" s="147"/>
      <c r="BK1237" s="147"/>
      <c r="BL1237" s="147"/>
      <c r="BM1237" s="147"/>
      <c r="BN1237" s="147"/>
      <c r="BO1237" s="147"/>
      <c r="BP1237" s="147"/>
      <c r="BQ1237" s="147"/>
      <c r="BR1237" s="147"/>
      <c r="BS1237" s="147"/>
      <c r="BT1237" s="147"/>
      <c r="BU1237" s="147"/>
      <c r="BV1237" s="147"/>
      <c r="BW1237" s="147"/>
      <c r="BX1237" s="147"/>
      <c r="BY1237" s="147"/>
      <c r="BZ1237" s="147"/>
      <c r="CA1237" s="147"/>
      <c r="CB1237" s="147"/>
      <c r="CC1237" s="147"/>
      <c r="CD1237" s="147"/>
      <c r="CE1237" s="147"/>
      <c r="CF1237" s="147"/>
      <c r="CG1237" s="147"/>
      <c r="CH1237" s="147"/>
      <c r="CI1237" s="147"/>
      <c r="CJ1237" s="147"/>
      <c r="CK1237" s="147"/>
    </row>
    <row r="1238" spans="1:89">
      <c r="A1238" s="157"/>
      <c r="F1238" s="3"/>
      <c r="G1238" s="3"/>
      <c r="L1238" s="157"/>
      <c r="M1238" s="157"/>
      <c r="O1238" s="147"/>
      <c r="P1238" s="147"/>
      <c r="Q1238" s="147"/>
      <c r="R1238" s="147"/>
      <c r="S1238" s="147"/>
      <c r="T1238" s="147"/>
      <c r="U1238" s="147"/>
      <c r="V1238" s="147"/>
      <c r="W1238" s="147"/>
      <c r="X1238" s="147"/>
      <c r="Y1238" s="147"/>
      <c r="Z1238" s="147"/>
      <c r="AA1238" s="147"/>
      <c r="AB1238" s="147"/>
      <c r="AC1238" s="147"/>
      <c r="AD1238" s="147"/>
      <c r="AE1238" s="147"/>
      <c r="AF1238" s="147"/>
      <c r="AG1238" s="147"/>
      <c r="AH1238" s="147"/>
      <c r="AI1238" s="147"/>
      <c r="AJ1238" s="147"/>
      <c r="AK1238" s="147"/>
      <c r="AL1238" s="147"/>
      <c r="AM1238" s="151"/>
      <c r="AN1238" s="147"/>
      <c r="AO1238" s="147"/>
      <c r="AP1238" s="147"/>
      <c r="AQ1238" s="147"/>
      <c r="AR1238" s="147"/>
      <c r="AS1238" s="147"/>
      <c r="AT1238" s="147"/>
      <c r="AU1238" s="147"/>
      <c r="AV1238" s="147"/>
      <c r="AW1238" s="147"/>
      <c r="AX1238" s="147"/>
      <c r="AY1238" s="147"/>
      <c r="AZ1238" s="147"/>
      <c r="BA1238" s="147"/>
      <c r="BB1238" s="147"/>
      <c r="BC1238" s="147"/>
      <c r="BD1238" s="147"/>
      <c r="BE1238" s="147"/>
      <c r="BF1238" s="147"/>
      <c r="BG1238" s="147"/>
      <c r="BH1238" s="147"/>
      <c r="BI1238" s="147"/>
      <c r="BJ1238" s="147"/>
      <c r="BK1238" s="147"/>
      <c r="BL1238" s="147"/>
      <c r="BM1238" s="147"/>
      <c r="BN1238" s="147"/>
      <c r="BO1238" s="147"/>
      <c r="BP1238" s="147"/>
      <c r="BQ1238" s="147"/>
      <c r="BR1238" s="147"/>
      <c r="BS1238" s="147"/>
      <c r="BT1238" s="147"/>
      <c r="BU1238" s="147"/>
      <c r="BV1238" s="147"/>
      <c r="BW1238" s="147"/>
      <c r="BX1238" s="147"/>
      <c r="BY1238" s="147"/>
      <c r="BZ1238" s="147"/>
      <c r="CA1238" s="147"/>
      <c r="CB1238" s="147"/>
      <c r="CC1238" s="147"/>
      <c r="CD1238" s="147"/>
      <c r="CE1238" s="147"/>
      <c r="CF1238" s="147"/>
      <c r="CG1238" s="147"/>
      <c r="CH1238" s="147"/>
      <c r="CI1238" s="147"/>
      <c r="CJ1238" s="147"/>
      <c r="CK1238" s="147"/>
    </row>
    <row r="1239" spans="1:89">
      <c r="A1239" s="157"/>
      <c r="F1239" s="3"/>
      <c r="G1239" s="3"/>
      <c r="L1239" s="157"/>
      <c r="M1239" s="157"/>
      <c r="O1239" s="147"/>
      <c r="P1239" s="147"/>
      <c r="Q1239" s="147"/>
      <c r="R1239" s="147"/>
      <c r="S1239" s="147"/>
      <c r="T1239" s="147"/>
      <c r="U1239" s="147"/>
      <c r="V1239" s="147"/>
      <c r="W1239" s="147"/>
      <c r="X1239" s="147"/>
      <c r="Y1239" s="147"/>
      <c r="Z1239" s="147"/>
      <c r="AA1239" s="147"/>
      <c r="AB1239" s="147"/>
      <c r="AC1239" s="147"/>
      <c r="AD1239" s="147"/>
      <c r="AE1239" s="147"/>
      <c r="AF1239" s="147"/>
      <c r="AG1239" s="147"/>
      <c r="AH1239" s="147"/>
      <c r="AI1239" s="147"/>
      <c r="AJ1239" s="147"/>
      <c r="AK1239" s="147"/>
      <c r="AL1239" s="147"/>
      <c r="AM1239" s="151"/>
      <c r="AN1239" s="147"/>
      <c r="AO1239" s="147"/>
      <c r="AP1239" s="147"/>
      <c r="AQ1239" s="147"/>
      <c r="AR1239" s="147"/>
      <c r="AS1239" s="147"/>
      <c r="AT1239" s="147"/>
      <c r="AU1239" s="147"/>
      <c r="AV1239" s="147"/>
      <c r="AW1239" s="147"/>
      <c r="AX1239" s="147"/>
      <c r="AY1239" s="147"/>
      <c r="AZ1239" s="147"/>
      <c r="BA1239" s="147"/>
      <c r="BB1239" s="147"/>
      <c r="BC1239" s="147"/>
      <c r="BD1239" s="147"/>
      <c r="BE1239" s="147"/>
      <c r="BF1239" s="147"/>
      <c r="BG1239" s="147"/>
      <c r="BH1239" s="147"/>
      <c r="BI1239" s="147"/>
      <c r="BJ1239" s="147"/>
      <c r="BK1239" s="147"/>
      <c r="BL1239" s="147"/>
      <c r="BM1239" s="147"/>
      <c r="BN1239" s="147"/>
      <c r="BO1239" s="147"/>
      <c r="BP1239" s="147"/>
      <c r="BQ1239" s="147"/>
      <c r="BR1239" s="147"/>
      <c r="BS1239" s="147"/>
      <c r="BT1239" s="147"/>
      <c r="BU1239" s="147"/>
      <c r="BV1239" s="147"/>
      <c r="BW1239" s="147"/>
      <c r="BX1239" s="147"/>
      <c r="BY1239" s="147"/>
      <c r="BZ1239" s="147"/>
      <c r="CA1239" s="147"/>
      <c r="CB1239" s="147"/>
      <c r="CC1239" s="147"/>
      <c r="CD1239" s="147"/>
      <c r="CE1239" s="147"/>
      <c r="CF1239" s="147"/>
      <c r="CG1239" s="147"/>
      <c r="CH1239" s="147"/>
      <c r="CI1239" s="147"/>
      <c r="CJ1239" s="147"/>
      <c r="CK1239" s="147"/>
    </row>
    <row r="1240" spans="1:89">
      <c r="A1240" s="157"/>
      <c r="F1240" s="3"/>
      <c r="G1240" s="3"/>
      <c r="L1240" s="157"/>
      <c r="M1240" s="157"/>
      <c r="O1240" s="147"/>
      <c r="P1240" s="147"/>
      <c r="Q1240" s="147"/>
      <c r="R1240" s="147"/>
      <c r="S1240" s="147"/>
      <c r="T1240" s="147"/>
      <c r="U1240" s="147"/>
      <c r="V1240" s="147"/>
      <c r="W1240" s="147"/>
      <c r="X1240" s="147"/>
      <c r="Y1240" s="147"/>
      <c r="Z1240" s="147"/>
      <c r="AA1240" s="147"/>
      <c r="AB1240" s="147"/>
      <c r="AC1240" s="147"/>
      <c r="AD1240" s="147"/>
      <c r="AE1240" s="147"/>
      <c r="AF1240" s="147"/>
      <c r="AG1240" s="147"/>
      <c r="AH1240" s="147"/>
      <c r="AI1240" s="147"/>
      <c r="AJ1240" s="147"/>
      <c r="AK1240" s="147"/>
      <c r="AL1240" s="147"/>
      <c r="AM1240" s="151"/>
      <c r="AN1240" s="147"/>
      <c r="AO1240" s="147"/>
      <c r="AP1240" s="147"/>
      <c r="AQ1240" s="147"/>
      <c r="AR1240" s="147"/>
      <c r="AS1240" s="147"/>
      <c r="AT1240" s="147"/>
      <c r="AU1240" s="147"/>
      <c r="AV1240" s="147"/>
      <c r="AW1240" s="147"/>
      <c r="AX1240" s="147"/>
      <c r="AY1240" s="147"/>
      <c r="AZ1240" s="147"/>
      <c r="BA1240" s="147"/>
      <c r="BB1240" s="147"/>
      <c r="BC1240" s="147"/>
      <c r="BD1240" s="147"/>
      <c r="BE1240" s="147"/>
      <c r="BF1240" s="147"/>
      <c r="BG1240" s="147"/>
      <c r="BH1240" s="147"/>
      <c r="BI1240" s="147"/>
      <c r="BJ1240" s="147"/>
      <c r="BK1240" s="147"/>
      <c r="BL1240" s="147"/>
      <c r="BM1240" s="147"/>
      <c r="BN1240" s="147"/>
      <c r="BO1240" s="147"/>
      <c r="BP1240" s="147"/>
      <c r="BQ1240" s="147"/>
      <c r="BR1240" s="147"/>
      <c r="BS1240" s="147"/>
      <c r="BT1240" s="147"/>
      <c r="BU1240" s="147"/>
      <c r="BV1240" s="147"/>
      <c r="BW1240" s="147"/>
      <c r="BX1240" s="147"/>
      <c r="BY1240" s="147"/>
      <c r="BZ1240" s="147"/>
      <c r="CA1240" s="147"/>
      <c r="CB1240" s="147"/>
      <c r="CC1240" s="147"/>
      <c r="CD1240" s="147"/>
      <c r="CE1240" s="147"/>
      <c r="CF1240" s="147"/>
      <c r="CG1240" s="147"/>
      <c r="CH1240" s="147"/>
      <c r="CI1240" s="147"/>
      <c r="CJ1240" s="147"/>
      <c r="CK1240" s="147"/>
    </row>
    <row r="1241" spans="1:89">
      <c r="A1241" s="157"/>
      <c r="F1241" s="3"/>
      <c r="G1241" s="3"/>
      <c r="L1241" s="157"/>
      <c r="M1241" s="157"/>
      <c r="O1241" s="147"/>
      <c r="P1241" s="147"/>
      <c r="Q1241" s="147"/>
      <c r="R1241" s="147"/>
      <c r="S1241" s="147"/>
      <c r="T1241" s="147"/>
      <c r="U1241" s="147"/>
      <c r="V1241" s="147"/>
      <c r="W1241" s="147"/>
      <c r="X1241" s="147"/>
      <c r="Y1241" s="147"/>
      <c r="Z1241" s="147"/>
      <c r="AA1241" s="147"/>
      <c r="AB1241" s="147"/>
      <c r="AC1241" s="147"/>
      <c r="AD1241" s="147"/>
      <c r="AE1241" s="147"/>
      <c r="AF1241" s="147"/>
      <c r="AG1241" s="147"/>
      <c r="AH1241" s="147"/>
      <c r="AI1241" s="147"/>
      <c r="AJ1241" s="147"/>
      <c r="AK1241" s="147"/>
      <c r="AL1241" s="147"/>
      <c r="AM1241" s="151"/>
      <c r="AN1241" s="147"/>
      <c r="AO1241" s="147"/>
      <c r="AP1241" s="147"/>
      <c r="AQ1241" s="147"/>
      <c r="AR1241" s="147"/>
      <c r="AS1241" s="147"/>
      <c r="AT1241" s="147"/>
      <c r="AU1241" s="147"/>
      <c r="AV1241" s="147"/>
      <c r="AW1241" s="147"/>
      <c r="AX1241" s="147"/>
      <c r="AY1241" s="147"/>
      <c r="AZ1241" s="147"/>
      <c r="BA1241" s="147"/>
      <c r="BB1241" s="147"/>
      <c r="BC1241" s="147"/>
      <c r="BD1241" s="147"/>
      <c r="BE1241" s="147"/>
      <c r="BF1241" s="147"/>
      <c r="BG1241" s="147"/>
      <c r="BH1241" s="147"/>
      <c r="BI1241" s="147"/>
      <c r="BJ1241" s="147"/>
      <c r="BK1241" s="147"/>
      <c r="BL1241" s="147"/>
      <c r="BM1241" s="147"/>
      <c r="BN1241" s="147"/>
      <c r="BO1241" s="147"/>
      <c r="BP1241" s="147"/>
      <c r="BQ1241" s="147"/>
      <c r="BR1241" s="147"/>
      <c r="BS1241" s="147"/>
      <c r="BT1241" s="147"/>
      <c r="BU1241" s="147"/>
      <c r="BV1241" s="147"/>
      <c r="BW1241" s="147"/>
      <c r="BX1241" s="147"/>
      <c r="BY1241" s="147"/>
      <c r="BZ1241" s="147"/>
      <c r="CA1241" s="147"/>
      <c r="CB1241" s="147"/>
      <c r="CC1241" s="147"/>
      <c r="CD1241" s="147"/>
      <c r="CE1241" s="147"/>
      <c r="CF1241" s="147"/>
      <c r="CG1241" s="147"/>
      <c r="CH1241" s="147"/>
      <c r="CI1241" s="147"/>
      <c r="CJ1241" s="147"/>
      <c r="CK1241" s="147"/>
    </row>
    <row r="1242" spans="1:89">
      <c r="A1242" s="157"/>
      <c r="F1242" s="3"/>
      <c r="G1242" s="3"/>
      <c r="L1242" s="157"/>
      <c r="M1242" s="157"/>
      <c r="O1242" s="147"/>
      <c r="P1242" s="147"/>
      <c r="Q1242" s="147"/>
      <c r="R1242" s="147"/>
      <c r="S1242" s="147"/>
      <c r="T1242" s="147"/>
      <c r="U1242" s="147"/>
      <c r="V1242" s="147"/>
      <c r="W1242" s="147"/>
      <c r="X1242" s="147"/>
      <c r="Y1242" s="147"/>
      <c r="Z1242" s="147"/>
      <c r="AA1242" s="147"/>
      <c r="AB1242" s="147"/>
      <c r="AC1242" s="147"/>
      <c r="AD1242" s="147"/>
      <c r="AE1242" s="147"/>
      <c r="AF1242" s="147"/>
      <c r="AG1242" s="147"/>
      <c r="AH1242" s="147"/>
      <c r="AI1242" s="147"/>
      <c r="AJ1242" s="147"/>
      <c r="AK1242" s="147"/>
      <c r="AL1242" s="147"/>
      <c r="AM1242" s="151"/>
      <c r="AN1242" s="147"/>
      <c r="AO1242" s="147"/>
      <c r="AP1242" s="147"/>
      <c r="AQ1242" s="147"/>
      <c r="AR1242" s="147"/>
      <c r="AS1242" s="147"/>
      <c r="AT1242" s="147"/>
      <c r="AU1242" s="147"/>
      <c r="AV1242" s="147"/>
      <c r="AW1242" s="147"/>
      <c r="AX1242" s="147"/>
      <c r="AY1242" s="147"/>
      <c r="AZ1242" s="147"/>
      <c r="BA1242" s="147"/>
      <c r="BB1242" s="147"/>
      <c r="BC1242" s="147"/>
      <c r="BD1242" s="147"/>
      <c r="BE1242" s="147"/>
      <c r="BF1242" s="147"/>
      <c r="BG1242" s="147"/>
      <c r="BH1242" s="147"/>
      <c r="BI1242" s="147"/>
      <c r="BJ1242" s="147"/>
      <c r="BK1242" s="147"/>
      <c r="BL1242" s="147"/>
      <c r="BM1242" s="147"/>
      <c r="BN1242" s="147"/>
      <c r="BO1242" s="147"/>
      <c r="BP1242" s="147"/>
      <c r="BQ1242" s="147"/>
      <c r="BR1242" s="147"/>
      <c r="BS1242" s="147"/>
      <c r="BT1242" s="147"/>
      <c r="BU1242" s="147"/>
      <c r="BV1242" s="147"/>
      <c r="BW1242" s="147"/>
      <c r="BX1242" s="147"/>
      <c r="BY1242" s="147"/>
      <c r="BZ1242" s="147"/>
      <c r="CA1242" s="147"/>
      <c r="CB1242" s="147"/>
      <c r="CC1242" s="147"/>
      <c r="CD1242" s="147"/>
      <c r="CE1242" s="147"/>
      <c r="CF1242" s="147"/>
      <c r="CG1242" s="147"/>
      <c r="CH1242" s="147"/>
      <c r="CI1242" s="147"/>
      <c r="CJ1242" s="147"/>
      <c r="CK1242" s="147"/>
    </row>
    <row r="1243" spans="1:89">
      <c r="A1243" s="157"/>
      <c r="F1243" s="3"/>
      <c r="G1243" s="3"/>
      <c r="L1243" s="157"/>
      <c r="M1243" s="157"/>
      <c r="O1243" s="147"/>
      <c r="P1243" s="147"/>
      <c r="Q1243" s="147"/>
      <c r="R1243" s="147"/>
      <c r="S1243" s="147"/>
      <c r="T1243" s="147"/>
      <c r="U1243" s="147"/>
      <c r="V1243" s="147"/>
      <c r="W1243" s="147"/>
      <c r="X1243" s="147"/>
      <c r="Y1243" s="147"/>
      <c r="Z1243" s="147"/>
      <c r="AA1243" s="147"/>
      <c r="AB1243" s="147"/>
      <c r="AC1243" s="147"/>
      <c r="AD1243" s="147"/>
      <c r="AE1243" s="147"/>
      <c r="AF1243" s="147"/>
      <c r="AG1243" s="147"/>
      <c r="AH1243" s="147"/>
      <c r="AI1243" s="147"/>
      <c r="AJ1243" s="147"/>
      <c r="AK1243" s="147"/>
      <c r="AL1243" s="147"/>
      <c r="AM1243" s="151"/>
      <c r="AN1243" s="147"/>
      <c r="AO1243" s="147"/>
      <c r="AP1243" s="147"/>
      <c r="AQ1243" s="147"/>
      <c r="AR1243" s="147"/>
      <c r="AS1243" s="147"/>
      <c r="AT1243" s="147"/>
      <c r="AU1243" s="147"/>
      <c r="AV1243" s="147"/>
      <c r="AW1243" s="147"/>
      <c r="AX1243" s="147"/>
      <c r="AY1243" s="147"/>
      <c r="AZ1243" s="147"/>
      <c r="BA1243" s="147"/>
      <c r="BB1243" s="147"/>
      <c r="BC1243" s="147"/>
      <c r="BD1243" s="147"/>
      <c r="BE1243" s="147"/>
      <c r="BF1243" s="147"/>
      <c r="BG1243" s="147"/>
      <c r="BH1243" s="147"/>
      <c r="BI1243" s="147"/>
      <c r="BJ1243" s="147"/>
      <c r="BK1243" s="147"/>
      <c r="BL1243" s="147"/>
      <c r="BM1243" s="147"/>
      <c r="BN1243" s="147"/>
      <c r="BO1243" s="147"/>
      <c r="BP1243" s="147"/>
      <c r="BQ1243" s="147"/>
      <c r="BR1243" s="147"/>
      <c r="BS1243" s="147"/>
      <c r="BT1243" s="147"/>
      <c r="BU1243" s="147"/>
      <c r="BV1243" s="147"/>
      <c r="BW1243" s="147"/>
      <c r="BX1243" s="147"/>
      <c r="BY1243" s="147"/>
      <c r="BZ1243" s="147"/>
      <c r="CA1243" s="147"/>
      <c r="CB1243" s="147"/>
      <c r="CC1243" s="147"/>
      <c r="CD1243" s="147"/>
      <c r="CE1243" s="147"/>
      <c r="CF1243" s="147"/>
      <c r="CG1243" s="147"/>
      <c r="CH1243" s="147"/>
      <c r="CI1243" s="147"/>
      <c r="CJ1243" s="147"/>
      <c r="CK1243" s="147"/>
    </row>
    <row r="1244" spans="1:89">
      <c r="A1244" s="157"/>
      <c r="F1244" s="3"/>
      <c r="G1244" s="3"/>
      <c r="L1244" s="157"/>
      <c r="M1244" s="157"/>
      <c r="O1244" s="147"/>
      <c r="P1244" s="147"/>
      <c r="Q1244" s="147"/>
      <c r="R1244" s="147"/>
      <c r="S1244" s="147"/>
      <c r="T1244" s="147"/>
      <c r="U1244" s="147"/>
      <c r="V1244" s="147"/>
      <c r="W1244" s="147"/>
      <c r="X1244" s="147"/>
      <c r="Y1244" s="147"/>
      <c r="Z1244" s="147"/>
      <c r="AA1244" s="147"/>
      <c r="AB1244" s="147"/>
      <c r="AC1244" s="147"/>
      <c r="AD1244" s="147"/>
      <c r="AE1244" s="147"/>
      <c r="AF1244" s="147"/>
      <c r="AG1244" s="147"/>
      <c r="AH1244" s="147"/>
      <c r="AI1244" s="147"/>
      <c r="AJ1244" s="147"/>
      <c r="AK1244" s="147"/>
      <c r="AL1244" s="147"/>
      <c r="AM1244" s="151"/>
      <c r="AN1244" s="147"/>
      <c r="AO1244" s="147"/>
      <c r="AP1244" s="147"/>
      <c r="AQ1244" s="147"/>
      <c r="AR1244" s="147"/>
      <c r="AS1244" s="147"/>
      <c r="AT1244" s="147"/>
      <c r="AU1244" s="147"/>
      <c r="AV1244" s="147"/>
      <c r="AW1244" s="147"/>
      <c r="AX1244" s="147"/>
      <c r="AY1244" s="147"/>
      <c r="AZ1244" s="147"/>
      <c r="BA1244" s="147"/>
      <c r="BB1244" s="147"/>
      <c r="BC1244" s="147"/>
      <c r="BD1244" s="147"/>
      <c r="BE1244" s="147"/>
      <c r="BF1244" s="147"/>
      <c r="BG1244" s="147"/>
      <c r="BH1244" s="147"/>
      <c r="BI1244" s="147"/>
      <c r="BJ1244" s="147"/>
      <c r="BK1244" s="147"/>
      <c r="BL1244" s="147"/>
      <c r="BM1244" s="147"/>
      <c r="BN1244" s="147"/>
      <c r="BO1244" s="147"/>
      <c r="BP1244" s="147"/>
      <c r="BQ1244" s="147"/>
      <c r="BR1244" s="147"/>
      <c r="BS1244" s="147"/>
      <c r="BT1244" s="147"/>
      <c r="BU1244" s="147"/>
      <c r="BV1244" s="147"/>
      <c r="BW1244" s="147"/>
      <c r="BX1244" s="147"/>
      <c r="BY1244" s="147"/>
      <c r="BZ1244" s="147"/>
      <c r="CA1244" s="147"/>
      <c r="CB1244" s="147"/>
      <c r="CC1244" s="147"/>
      <c r="CD1244" s="147"/>
      <c r="CE1244" s="147"/>
      <c r="CF1244" s="147"/>
      <c r="CG1244" s="147"/>
      <c r="CH1244" s="147"/>
      <c r="CI1244" s="147"/>
      <c r="CJ1244" s="147"/>
      <c r="CK1244" s="147"/>
    </row>
    <row r="1245" spans="1:89">
      <c r="A1245" s="157"/>
      <c r="F1245" s="3"/>
      <c r="G1245" s="3"/>
      <c r="L1245" s="157"/>
      <c r="M1245" s="157"/>
      <c r="O1245" s="147"/>
      <c r="P1245" s="147"/>
      <c r="Q1245" s="147"/>
      <c r="R1245" s="147"/>
      <c r="S1245" s="147"/>
      <c r="T1245" s="147"/>
      <c r="U1245" s="147"/>
      <c r="V1245" s="147"/>
      <c r="W1245" s="147"/>
      <c r="X1245" s="147"/>
      <c r="Y1245" s="147"/>
      <c r="Z1245" s="147"/>
      <c r="AA1245" s="147"/>
      <c r="AB1245" s="147"/>
      <c r="AC1245" s="147"/>
      <c r="AD1245" s="147"/>
      <c r="AE1245" s="147"/>
      <c r="AF1245" s="147"/>
      <c r="AG1245" s="147"/>
      <c r="AH1245" s="147"/>
      <c r="AI1245" s="147"/>
      <c r="AJ1245" s="147"/>
      <c r="AK1245" s="147"/>
      <c r="AL1245" s="147"/>
      <c r="AM1245" s="151"/>
      <c r="AN1245" s="147"/>
      <c r="AO1245" s="147"/>
      <c r="AP1245" s="147"/>
      <c r="AQ1245" s="147"/>
      <c r="AR1245" s="147"/>
      <c r="AS1245" s="147"/>
      <c r="AT1245" s="147"/>
      <c r="AU1245" s="147"/>
      <c r="AV1245" s="147"/>
      <c r="AW1245" s="147"/>
      <c r="AX1245" s="147"/>
      <c r="AY1245" s="147"/>
      <c r="AZ1245" s="147"/>
      <c r="BA1245" s="147"/>
      <c r="BB1245" s="147"/>
      <c r="BC1245" s="147"/>
      <c r="BD1245" s="147"/>
      <c r="BE1245" s="147"/>
      <c r="BF1245" s="147"/>
      <c r="BG1245" s="147"/>
      <c r="BH1245" s="147"/>
      <c r="BI1245" s="147"/>
      <c r="BJ1245" s="147"/>
      <c r="BK1245" s="147"/>
      <c r="BL1245" s="147"/>
      <c r="BM1245" s="147"/>
      <c r="BN1245" s="147"/>
      <c r="BO1245" s="147"/>
      <c r="BP1245" s="147"/>
      <c r="BQ1245" s="147"/>
      <c r="BR1245" s="147"/>
      <c r="BS1245" s="147"/>
      <c r="BT1245" s="147"/>
      <c r="BU1245" s="147"/>
      <c r="BV1245" s="147"/>
      <c r="BW1245" s="147"/>
      <c r="BX1245" s="147"/>
      <c r="BY1245" s="147"/>
      <c r="BZ1245" s="147"/>
      <c r="CA1245" s="147"/>
      <c r="CB1245" s="147"/>
      <c r="CC1245" s="147"/>
      <c r="CD1245" s="147"/>
      <c r="CE1245" s="147"/>
      <c r="CF1245" s="147"/>
      <c r="CG1245" s="147"/>
      <c r="CH1245" s="147"/>
      <c r="CI1245" s="147"/>
      <c r="CJ1245" s="147"/>
      <c r="CK1245" s="147"/>
    </row>
    <row r="1246" spans="1:89">
      <c r="A1246" s="157"/>
      <c r="F1246" s="3"/>
      <c r="G1246" s="3"/>
      <c r="L1246" s="157"/>
      <c r="M1246" s="157"/>
      <c r="O1246" s="147"/>
      <c r="P1246" s="147"/>
      <c r="Q1246" s="147"/>
      <c r="R1246" s="147"/>
      <c r="S1246" s="147"/>
      <c r="T1246" s="147"/>
      <c r="U1246" s="147"/>
      <c r="V1246" s="147"/>
      <c r="W1246" s="147"/>
      <c r="X1246" s="147"/>
      <c r="Y1246" s="147"/>
      <c r="Z1246" s="147"/>
      <c r="AA1246" s="147"/>
      <c r="AB1246" s="147"/>
      <c r="AC1246" s="147"/>
      <c r="AD1246" s="147"/>
      <c r="AE1246" s="147"/>
      <c r="AF1246" s="147"/>
      <c r="AG1246" s="147"/>
      <c r="AH1246" s="147"/>
      <c r="AI1246" s="147"/>
      <c r="AJ1246" s="147"/>
      <c r="AK1246" s="147"/>
      <c r="AL1246" s="147"/>
      <c r="AM1246" s="151"/>
      <c r="AN1246" s="147"/>
      <c r="AO1246" s="147"/>
      <c r="AP1246" s="147"/>
      <c r="AQ1246" s="147"/>
      <c r="AR1246" s="147"/>
      <c r="AS1246" s="147"/>
      <c r="AT1246" s="147"/>
      <c r="AU1246" s="147"/>
      <c r="AV1246" s="147"/>
      <c r="AW1246" s="147"/>
      <c r="AX1246" s="147"/>
      <c r="AY1246" s="147"/>
      <c r="AZ1246" s="147"/>
      <c r="BA1246" s="147"/>
      <c r="BB1246" s="147"/>
      <c r="BC1246" s="147"/>
      <c r="BD1246" s="147"/>
      <c r="BE1246" s="147"/>
      <c r="BF1246" s="147"/>
      <c r="BG1246" s="147"/>
      <c r="BH1246" s="147"/>
      <c r="BI1246" s="147"/>
      <c r="BJ1246" s="147"/>
      <c r="BK1246" s="147"/>
      <c r="BL1246" s="147"/>
      <c r="BM1246" s="147"/>
      <c r="BN1246" s="147"/>
      <c r="BO1246" s="147"/>
      <c r="BP1246" s="147"/>
      <c r="BQ1246" s="147"/>
      <c r="BR1246" s="147"/>
      <c r="BS1246" s="147"/>
      <c r="BT1246" s="147"/>
      <c r="BU1246" s="147"/>
      <c r="BV1246" s="147"/>
      <c r="BW1246" s="147"/>
      <c r="BX1246" s="147"/>
      <c r="BY1246" s="147"/>
      <c r="BZ1246" s="147"/>
      <c r="CA1246" s="147"/>
      <c r="CB1246" s="147"/>
      <c r="CC1246" s="147"/>
      <c r="CD1246" s="147"/>
      <c r="CE1246" s="147"/>
      <c r="CF1246" s="147"/>
      <c r="CG1246" s="147"/>
      <c r="CH1246" s="147"/>
      <c r="CI1246" s="147"/>
      <c r="CJ1246" s="147"/>
      <c r="CK1246" s="147"/>
    </row>
    <row r="1247" spans="1:89">
      <c r="A1247" s="157"/>
      <c r="F1247" s="3"/>
      <c r="G1247" s="3"/>
      <c r="L1247" s="157"/>
      <c r="M1247" s="157"/>
      <c r="O1247" s="147"/>
      <c r="P1247" s="147"/>
      <c r="Q1247" s="147"/>
      <c r="R1247" s="147"/>
      <c r="S1247" s="147"/>
      <c r="T1247" s="147"/>
      <c r="U1247" s="147"/>
      <c r="V1247" s="147"/>
      <c r="W1247" s="147"/>
      <c r="X1247" s="147"/>
      <c r="Y1247" s="147"/>
      <c r="Z1247" s="147"/>
      <c r="AA1247" s="147"/>
      <c r="AB1247" s="147"/>
      <c r="AC1247" s="147"/>
      <c r="AD1247" s="147"/>
      <c r="AE1247" s="147"/>
      <c r="AF1247" s="147"/>
      <c r="AG1247" s="147"/>
      <c r="AH1247" s="147"/>
      <c r="AI1247" s="147"/>
      <c r="AJ1247" s="147"/>
      <c r="AK1247" s="147"/>
      <c r="AL1247" s="147"/>
      <c r="AM1247" s="151"/>
      <c r="AN1247" s="147"/>
      <c r="AO1247" s="147"/>
      <c r="AP1247" s="147"/>
      <c r="AQ1247" s="147"/>
      <c r="AR1247" s="147"/>
      <c r="AS1247" s="147"/>
      <c r="AT1247" s="147"/>
      <c r="AU1247" s="147"/>
      <c r="AV1247" s="147"/>
      <c r="AW1247" s="147"/>
      <c r="AX1247" s="147"/>
      <c r="AY1247" s="147"/>
      <c r="AZ1247" s="147"/>
      <c r="BA1247" s="147"/>
      <c r="BB1247" s="147"/>
      <c r="BC1247" s="147"/>
      <c r="BD1247" s="147"/>
      <c r="BE1247" s="147"/>
      <c r="BF1247" s="147"/>
      <c r="BG1247" s="147"/>
      <c r="BH1247" s="147"/>
      <c r="BI1247" s="147"/>
      <c r="BJ1247" s="147"/>
      <c r="BK1247" s="147"/>
      <c r="BL1247" s="147"/>
      <c r="BM1247" s="147"/>
      <c r="BN1247" s="147"/>
      <c r="BO1247" s="147"/>
      <c r="BP1247" s="147"/>
      <c r="BQ1247" s="147"/>
      <c r="BR1247" s="147"/>
      <c r="BS1247" s="147"/>
      <c r="BT1247" s="147"/>
      <c r="BU1247" s="147"/>
      <c r="BV1247" s="147"/>
      <c r="BW1247" s="147"/>
      <c r="BX1247" s="147"/>
      <c r="BY1247" s="147"/>
      <c r="BZ1247" s="147"/>
      <c r="CA1247" s="147"/>
      <c r="CB1247" s="147"/>
      <c r="CC1247" s="147"/>
      <c r="CD1247" s="147"/>
      <c r="CE1247" s="147"/>
      <c r="CF1247" s="147"/>
      <c r="CG1247" s="147"/>
      <c r="CH1247" s="147"/>
      <c r="CI1247" s="147"/>
      <c r="CJ1247" s="147"/>
      <c r="CK1247" s="147"/>
    </row>
    <row r="1248" spans="1:89">
      <c r="A1248" s="157"/>
      <c r="F1248" s="3"/>
      <c r="G1248" s="3"/>
      <c r="L1248" s="157"/>
      <c r="M1248" s="157"/>
      <c r="O1248" s="147"/>
      <c r="P1248" s="147"/>
      <c r="Q1248" s="147"/>
      <c r="R1248" s="147"/>
      <c r="S1248" s="147"/>
      <c r="T1248" s="147"/>
      <c r="U1248" s="147"/>
      <c r="V1248" s="147"/>
      <c r="W1248" s="147"/>
      <c r="X1248" s="147"/>
      <c r="Y1248" s="147"/>
      <c r="Z1248" s="147"/>
      <c r="AA1248" s="147"/>
      <c r="AB1248" s="147"/>
      <c r="AC1248" s="147"/>
      <c r="AD1248" s="147"/>
      <c r="AE1248" s="147"/>
      <c r="AF1248" s="147"/>
      <c r="AG1248" s="147"/>
      <c r="AH1248" s="147"/>
      <c r="AI1248" s="147"/>
      <c r="AJ1248" s="147"/>
      <c r="AK1248" s="147"/>
      <c r="AL1248" s="147"/>
      <c r="AM1248" s="151"/>
      <c r="AN1248" s="147"/>
      <c r="AO1248" s="147"/>
      <c r="AP1248" s="147"/>
      <c r="AQ1248" s="147"/>
      <c r="AR1248" s="147"/>
      <c r="AS1248" s="147"/>
      <c r="AT1248" s="147"/>
      <c r="AU1248" s="147"/>
      <c r="AV1248" s="147"/>
      <c r="AW1248" s="147"/>
      <c r="AX1248" s="147"/>
      <c r="AY1248" s="147"/>
      <c r="AZ1248" s="147"/>
      <c r="BA1248" s="147"/>
      <c r="BB1248" s="147"/>
      <c r="BC1248" s="147"/>
      <c r="BD1248" s="147"/>
      <c r="BE1248" s="147"/>
      <c r="BF1248" s="147"/>
      <c r="BG1248" s="147"/>
      <c r="BH1248" s="147"/>
      <c r="BI1248" s="147"/>
      <c r="BJ1248" s="147"/>
      <c r="BK1248" s="147"/>
      <c r="BL1248" s="147"/>
      <c r="BM1248" s="147"/>
      <c r="BN1248" s="147"/>
      <c r="BO1248" s="147"/>
      <c r="BP1248" s="147"/>
      <c r="BQ1248" s="147"/>
      <c r="BR1248" s="147"/>
      <c r="BS1248" s="147"/>
      <c r="BT1248" s="147"/>
      <c r="BU1248" s="147"/>
      <c r="BV1248" s="147"/>
      <c r="BW1248" s="147"/>
      <c r="BX1248" s="147"/>
      <c r="BY1248" s="147"/>
      <c r="BZ1248" s="147"/>
      <c r="CA1248" s="147"/>
      <c r="CB1248" s="147"/>
      <c r="CC1248" s="147"/>
      <c r="CD1248" s="147"/>
      <c r="CE1248" s="147"/>
      <c r="CF1248" s="147"/>
      <c r="CG1248" s="147"/>
      <c r="CH1248" s="147"/>
      <c r="CI1248" s="147"/>
      <c r="CJ1248" s="147"/>
      <c r="CK1248" s="147"/>
    </row>
    <row r="1249" spans="1:89">
      <c r="A1249" s="157"/>
      <c r="F1249" s="3"/>
      <c r="G1249" s="3"/>
      <c r="L1249" s="157"/>
      <c r="M1249" s="157"/>
      <c r="O1249" s="147"/>
      <c r="P1249" s="147"/>
      <c r="Q1249" s="147"/>
      <c r="R1249" s="147"/>
      <c r="S1249" s="147"/>
      <c r="T1249" s="147"/>
      <c r="U1249" s="147"/>
      <c r="V1249" s="147"/>
      <c r="W1249" s="147"/>
      <c r="X1249" s="147"/>
      <c r="Y1249" s="147"/>
      <c r="Z1249" s="147"/>
      <c r="AA1249" s="147"/>
      <c r="AB1249" s="147"/>
      <c r="AC1249" s="147"/>
      <c r="AD1249" s="147"/>
      <c r="AE1249" s="147"/>
      <c r="AF1249" s="147"/>
      <c r="AG1249" s="147"/>
      <c r="AH1249" s="147"/>
      <c r="AI1249" s="147"/>
      <c r="AJ1249" s="147"/>
      <c r="AK1249" s="147"/>
      <c r="AL1249" s="147"/>
      <c r="AM1249" s="151"/>
      <c r="AN1249" s="147"/>
      <c r="AO1249" s="147"/>
      <c r="AP1249" s="147"/>
      <c r="AQ1249" s="147"/>
      <c r="AR1249" s="147"/>
      <c r="AS1249" s="147"/>
      <c r="AT1249" s="147"/>
      <c r="AU1249" s="147"/>
      <c r="AV1249" s="147"/>
      <c r="AW1249" s="147"/>
      <c r="AX1249" s="147"/>
      <c r="AY1249" s="147"/>
      <c r="AZ1249" s="147"/>
      <c r="BA1249" s="147"/>
      <c r="BB1249" s="147"/>
      <c r="BC1249" s="147"/>
      <c r="BD1249" s="147"/>
      <c r="BE1249" s="147"/>
      <c r="BF1249" s="147"/>
      <c r="BG1249" s="147"/>
      <c r="BH1249" s="147"/>
      <c r="BI1249" s="147"/>
      <c r="BJ1249" s="147"/>
      <c r="BK1249" s="147"/>
      <c r="BL1249" s="147"/>
      <c r="BM1249" s="147"/>
      <c r="BN1249" s="147"/>
      <c r="BO1249" s="147"/>
      <c r="BP1249" s="147"/>
      <c r="BQ1249" s="147"/>
      <c r="BR1249" s="147"/>
      <c r="BS1249" s="147"/>
      <c r="BT1249" s="147"/>
      <c r="BU1249" s="147"/>
      <c r="BV1249" s="147"/>
      <c r="BW1249" s="147"/>
      <c r="BX1249" s="147"/>
      <c r="BY1249" s="147"/>
      <c r="BZ1249" s="147"/>
      <c r="CA1249" s="147"/>
      <c r="CB1249" s="147"/>
      <c r="CC1249" s="147"/>
      <c r="CD1249" s="147"/>
      <c r="CE1249" s="147"/>
      <c r="CF1249" s="147"/>
      <c r="CG1249" s="147"/>
      <c r="CH1249" s="147"/>
      <c r="CI1249" s="147"/>
      <c r="CJ1249" s="147"/>
      <c r="CK1249" s="147"/>
    </row>
    <row r="1250" spans="1:89">
      <c r="A1250" s="157"/>
      <c r="F1250" s="3"/>
      <c r="G1250" s="3"/>
      <c r="L1250" s="157"/>
      <c r="M1250" s="157"/>
      <c r="O1250" s="147"/>
      <c r="P1250" s="147"/>
      <c r="Q1250" s="147"/>
      <c r="R1250" s="147"/>
      <c r="S1250" s="147"/>
      <c r="T1250" s="147"/>
      <c r="U1250" s="147"/>
      <c r="V1250" s="147"/>
      <c r="W1250" s="147"/>
      <c r="X1250" s="147"/>
      <c r="Y1250" s="147"/>
      <c r="Z1250" s="147"/>
      <c r="AA1250" s="147"/>
      <c r="AB1250" s="147"/>
      <c r="AC1250" s="147"/>
      <c r="AD1250" s="147"/>
      <c r="AE1250" s="147"/>
      <c r="AF1250" s="147"/>
      <c r="AG1250" s="147"/>
      <c r="AH1250" s="147"/>
      <c r="AI1250" s="147"/>
      <c r="AJ1250" s="147"/>
      <c r="AK1250" s="147"/>
      <c r="AL1250" s="147"/>
      <c r="AM1250" s="151"/>
      <c r="AN1250" s="147"/>
      <c r="AO1250" s="147"/>
      <c r="AP1250" s="147"/>
      <c r="AQ1250" s="147"/>
      <c r="AR1250" s="147"/>
      <c r="AS1250" s="147"/>
      <c r="AT1250" s="147"/>
      <c r="AU1250" s="147"/>
      <c r="AV1250" s="147"/>
      <c r="AW1250" s="147"/>
      <c r="AX1250" s="147"/>
      <c r="AY1250" s="147"/>
      <c r="AZ1250" s="147"/>
      <c r="BA1250" s="147"/>
      <c r="BB1250" s="147"/>
      <c r="BC1250" s="147"/>
      <c r="BD1250" s="147"/>
      <c r="BE1250" s="147"/>
      <c r="BF1250" s="147"/>
      <c r="BG1250" s="147"/>
      <c r="BH1250" s="147"/>
      <c r="BI1250" s="147"/>
      <c r="BJ1250" s="147"/>
      <c r="BK1250" s="147"/>
      <c r="BL1250" s="147"/>
      <c r="BM1250" s="147"/>
      <c r="BN1250" s="147"/>
      <c r="BO1250" s="147"/>
      <c r="BP1250" s="147"/>
      <c r="BQ1250" s="147"/>
      <c r="BR1250" s="147"/>
      <c r="BS1250" s="147"/>
      <c r="BT1250" s="147"/>
      <c r="BU1250" s="147"/>
      <c r="BV1250" s="147"/>
      <c r="BW1250" s="147"/>
      <c r="BX1250" s="147"/>
      <c r="BY1250" s="147"/>
      <c r="BZ1250" s="147"/>
      <c r="CA1250" s="147"/>
      <c r="CB1250" s="147"/>
      <c r="CC1250" s="147"/>
      <c r="CD1250" s="147"/>
      <c r="CE1250" s="147"/>
      <c r="CF1250" s="147"/>
      <c r="CG1250" s="147"/>
      <c r="CH1250" s="147"/>
      <c r="CI1250" s="147"/>
      <c r="CJ1250" s="147"/>
      <c r="CK1250" s="147"/>
    </row>
    <row r="1251" spans="1:89">
      <c r="A1251" s="157"/>
      <c r="F1251" s="3"/>
      <c r="G1251" s="3"/>
      <c r="L1251" s="157"/>
      <c r="M1251" s="157"/>
      <c r="O1251" s="147"/>
      <c r="P1251" s="147"/>
      <c r="Q1251" s="147"/>
      <c r="R1251" s="147"/>
      <c r="S1251" s="147"/>
      <c r="T1251" s="147"/>
      <c r="U1251" s="147"/>
      <c r="V1251" s="147"/>
      <c r="W1251" s="147"/>
      <c r="X1251" s="147"/>
      <c r="Y1251" s="147"/>
      <c r="Z1251" s="147"/>
      <c r="AA1251" s="147"/>
      <c r="AB1251" s="147"/>
      <c r="AC1251" s="147"/>
      <c r="AD1251" s="147"/>
      <c r="AE1251" s="147"/>
      <c r="AF1251" s="147"/>
      <c r="AG1251" s="147"/>
      <c r="AH1251" s="147"/>
      <c r="AI1251" s="147"/>
      <c r="AJ1251" s="147"/>
      <c r="AK1251" s="147"/>
      <c r="AL1251" s="147"/>
      <c r="AM1251" s="151"/>
      <c r="AN1251" s="147"/>
      <c r="AO1251" s="147"/>
      <c r="AP1251" s="147"/>
      <c r="AQ1251" s="147"/>
      <c r="AR1251" s="147"/>
      <c r="AS1251" s="147"/>
      <c r="AT1251" s="147"/>
      <c r="AU1251" s="147"/>
      <c r="AV1251" s="147"/>
      <c r="AW1251" s="147"/>
      <c r="AX1251" s="147"/>
      <c r="AY1251" s="147"/>
      <c r="AZ1251" s="147"/>
      <c r="BA1251" s="147"/>
      <c r="BB1251" s="147"/>
      <c r="BC1251" s="147"/>
      <c r="BD1251" s="147"/>
      <c r="BE1251" s="147"/>
      <c r="BF1251" s="147"/>
      <c r="BG1251" s="147"/>
      <c r="BH1251" s="147"/>
      <c r="BI1251" s="147"/>
      <c r="BJ1251" s="147"/>
      <c r="BK1251" s="147"/>
      <c r="BL1251" s="147"/>
      <c r="BM1251" s="147"/>
      <c r="BN1251" s="147"/>
      <c r="BO1251" s="147"/>
      <c r="BP1251" s="147"/>
      <c r="BQ1251" s="147"/>
      <c r="BR1251" s="147"/>
      <c r="BS1251" s="147"/>
      <c r="BT1251" s="147"/>
      <c r="BU1251" s="147"/>
      <c r="BV1251" s="147"/>
      <c r="BW1251" s="147"/>
      <c r="BX1251" s="147"/>
      <c r="BY1251" s="147"/>
      <c r="BZ1251" s="147"/>
      <c r="CA1251" s="147"/>
      <c r="CB1251" s="147"/>
      <c r="CC1251" s="147"/>
      <c r="CD1251" s="147"/>
      <c r="CE1251" s="147"/>
      <c r="CF1251" s="147"/>
      <c r="CG1251" s="147"/>
      <c r="CH1251" s="147"/>
      <c r="CI1251" s="147"/>
      <c r="CJ1251" s="147"/>
      <c r="CK1251" s="147"/>
    </row>
    <row r="1252" spans="1:89">
      <c r="A1252" s="157"/>
      <c r="F1252" s="3"/>
      <c r="G1252" s="3"/>
      <c r="L1252" s="157"/>
      <c r="M1252" s="157"/>
      <c r="O1252" s="147"/>
      <c r="P1252" s="147"/>
      <c r="Q1252" s="147"/>
      <c r="R1252" s="147"/>
      <c r="S1252" s="147"/>
      <c r="T1252" s="147"/>
      <c r="U1252" s="147"/>
      <c r="V1252" s="147"/>
      <c r="W1252" s="147"/>
      <c r="X1252" s="147"/>
      <c r="Y1252" s="147"/>
      <c r="Z1252" s="147"/>
      <c r="AA1252" s="147"/>
      <c r="AB1252" s="147"/>
      <c r="AC1252" s="147"/>
      <c r="AD1252" s="147"/>
      <c r="AE1252" s="147"/>
      <c r="AF1252" s="147"/>
      <c r="AG1252" s="147"/>
      <c r="AH1252" s="147"/>
      <c r="AI1252" s="147"/>
      <c r="AJ1252" s="147"/>
      <c r="AK1252" s="147"/>
      <c r="AL1252" s="147"/>
      <c r="AM1252" s="151"/>
      <c r="AN1252" s="147"/>
      <c r="AO1252" s="147"/>
      <c r="AP1252" s="147"/>
      <c r="AQ1252" s="147"/>
      <c r="AR1252" s="147"/>
      <c r="AS1252" s="147"/>
      <c r="AT1252" s="147"/>
      <c r="AU1252" s="147"/>
      <c r="AV1252" s="147"/>
      <c r="AW1252" s="147"/>
      <c r="AX1252" s="147"/>
      <c r="AY1252" s="147"/>
      <c r="AZ1252" s="147"/>
      <c r="BA1252" s="147"/>
      <c r="BB1252" s="147"/>
      <c r="BC1252" s="147"/>
      <c r="BD1252" s="147"/>
      <c r="BE1252" s="147"/>
      <c r="BF1252" s="147"/>
      <c r="BG1252" s="147"/>
      <c r="BH1252" s="147"/>
      <c r="BI1252" s="147"/>
      <c r="BJ1252" s="147"/>
      <c r="BK1252" s="147"/>
      <c r="BL1252" s="147"/>
      <c r="BM1252" s="147"/>
      <c r="BN1252" s="147"/>
      <c r="BO1252" s="147"/>
      <c r="BP1252" s="147"/>
      <c r="BQ1252" s="147"/>
      <c r="BR1252" s="147"/>
      <c r="BS1252" s="147"/>
      <c r="BT1252" s="147"/>
      <c r="BU1252" s="147"/>
      <c r="BV1252" s="147"/>
      <c r="BW1252" s="147"/>
      <c r="BX1252" s="147"/>
      <c r="BY1252" s="147"/>
      <c r="BZ1252" s="147"/>
      <c r="CA1252" s="147"/>
      <c r="CB1252" s="147"/>
      <c r="CC1252" s="147"/>
      <c r="CD1252" s="147"/>
      <c r="CE1252" s="147"/>
      <c r="CF1252" s="147"/>
      <c r="CG1252" s="147"/>
      <c r="CH1252" s="147"/>
      <c r="CI1252" s="147"/>
      <c r="CJ1252" s="147"/>
      <c r="CK1252" s="147"/>
    </row>
    <row r="1253" spans="1:89">
      <c r="A1253" s="157"/>
      <c r="F1253" s="3"/>
      <c r="G1253" s="3"/>
      <c r="L1253" s="157"/>
      <c r="M1253" s="157"/>
      <c r="O1253" s="147"/>
      <c r="P1253" s="147"/>
      <c r="Q1253" s="147"/>
      <c r="R1253" s="147"/>
      <c r="S1253" s="147"/>
      <c r="T1253" s="147"/>
      <c r="U1253" s="147"/>
      <c r="V1253" s="147"/>
      <c r="W1253" s="147"/>
      <c r="X1253" s="147"/>
      <c r="Y1253" s="147"/>
      <c r="Z1253" s="147"/>
      <c r="AA1253" s="147"/>
      <c r="AB1253" s="147"/>
      <c r="AC1253" s="147"/>
      <c r="AD1253" s="147"/>
      <c r="AE1253" s="147"/>
      <c r="AF1253" s="147"/>
      <c r="AG1253" s="147"/>
      <c r="AH1253" s="147"/>
      <c r="AI1253" s="147"/>
      <c r="AJ1253" s="147"/>
      <c r="AK1253" s="147"/>
      <c r="AL1253" s="147"/>
      <c r="AM1253" s="151"/>
      <c r="AN1253" s="147"/>
      <c r="AO1253" s="147"/>
      <c r="AP1253" s="147"/>
      <c r="AQ1253" s="147"/>
      <c r="AR1253" s="147"/>
      <c r="AS1253" s="147"/>
      <c r="AT1253" s="147"/>
      <c r="AU1253" s="147"/>
      <c r="AV1253" s="147"/>
      <c r="AW1253" s="147"/>
      <c r="AX1253" s="147"/>
      <c r="AY1253" s="147"/>
      <c r="AZ1253" s="147"/>
      <c r="BA1253" s="147"/>
      <c r="BB1253" s="147"/>
      <c r="BC1253" s="147"/>
      <c r="BD1253" s="147"/>
      <c r="BE1253" s="147"/>
      <c r="BF1253" s="147"/>
      <c r="BG1253" s="147"/>
      <c r="BH1253" s="147"/>
      <c r="BI1253" s="147"/>
      <c r="BJ1253" s="147"/>
      <c r="BK1253" s="147"/>
      <c r="BL1253" s="147"/>
      <c r="BM1253" s="147"/>
      <c r="BN1253" s="147"/>
      <c r="BO1253" s="147"/>
      <c r="BP1253" s="147"/>
      <c r="BQ1253" s="147"/>
      <c r="BR1253" s="147"/>
      <c r="BS1253" s="147"/>
      <c r="BT1253" s="147"/>
      <c r="BU1253" s="147"/>
      <c r="BV1253" s="147"/>
      <c r="BW1253" s="147"/>
      <c r="BX1253" s="147"/>
      <c r="BY1253" s="147"/>
      <c r="BZ1253" s="147"/>
      <c r="CA1253" s="147"/>
      <c r="CB1253" s="147"/>
      <c r="CC1253" s="147"/>
      <c r="CD1253" s="147"/>
      <c r="CE1253" s="147"/>
      <c r="CF1253" s="147"/>
      <c r="CG1253" s="147"/>
      <c r="CH1253" s="147"/>
      <c r="CI1253" s="147"/>
      <c r="CJ1253" s="147"/>
      <c r="CK1253" s="147"/>
    </row>
    <row r="1254" spans="1:89">
      <c r="A1254" s="157"/>
      <c r="F1254" s="3"/>
      <c r="G1254" s="3"/>
      <c r="L1254" s="157"/>
      <c r="M1254" s="157"/>
      <c r="O1254" s="147"/>
      <c r="P1254" s="147"/>
      <c r="Q1254" s="147"/>
      <c r="R1254" s="147"/>
      <c r="S1254" s="147"/>
      <c r="T1254" s="147"/>
      <c r="U1254" s="147"/>
      <c r="V1254" s="147"/>
      <c r="W1254" s="147"/>
      <c r="X1254" s="147"/>
      <c r="Y1254" s="147"/>
      <c r="Z1254" s="147"/>
      <c r="AA1254" s="147"/>
      <c r="AB1254" s="147"/>
      <c r="AC1254" s="147"/>
      <c r="AD1254" s="147"/>
      <c r="AE1254" s="147"/>
      <c r="AF1254" s="147"/>
      <c r="AG1254" s="147"/>
      <c r="AH1254" s="147"/>
      <c r="AI1254" s="147"/>
      <c r="AJ1254" s="147"/>
      <c r="AK1254" s="147"/>
      <c r="AL1254" s="147"/>
      <c r="AM1254" s="151"/>
      <c r="AN1254" s="147"/>
      <c r="AO1254" s="147"/>
      <c r="AP1254" s="147"/>
      <c r="AQ1254" s="147"/>
      <c r="AR1254" s="147"/>
      <c r="AS1254" s="147"/>
      <c r="AT1254" s="147"/>
      <c r="AU1254" s="147"/>
      <c r="AV1254" s="147"/>
      <c r="AW1254" s="147"/>
      <c r="AX1254" s="147"/>
      <c r="AY1254" s="147"/>
      <c r="AZ1254" s="147"/>
      <c r="BA1254" s="147"/>
      <c r="BB1254" s="147"/>
      <c r="BC1254" s="147"/>
      <c r="BD1254" s="147"/>
      <c r="BE1254" s="147"/>
      <c r="BF1254" s="147"/>
      <c r="BG1254" s="147"/>
      <c r="BH1254" s="147"/>
      <c r="BI1254" s="147"/>
      <c r="BJ1254" s="147"/>
      <c r="BK1254" s="147"/>
      <c r="BL1254" s="147"/>
      <c r="BM1254" s="147"/>
      <c r="BN1254" s="147"/>
      <c r="BO1254" s="147"/>
      <c r="BP1254" s="147"/>
      <c r="BQ1254" s="147"/>
      <c r="BR1254" s="147"/>
      <c r="BS1254" s="147"/>
      <c r="BT1254" s="147"/>
      <c r="BU1254" s="147"/>
      <c r="BV1254" s="147"/>
      <c r="BW1254" s="147"/>
      <c r="BX1254" s="147"/>
      <c r="BY1254" s="147"/>
      <c r="BZ1254" s="147"/>
      <c r="CA1254" s="147"/>
      <c r="CB1254" s="147"/>
      <c r="CC1254" s="147"/>
      <c r="CD1254" s="147"/>
      <c r="CE1254" s="147"/>
      <c r="CF1254" s="147"/>
      <c r="CG1254" s="147"/>
      <c r="CH1254" s="147"/>
      <c r="CI1254" s="147"/>
      <c r="CJ1254" s="147"/>
      <c r="CK1254" s="147"/>
    </row>
    <row r="1255" spans="1:89">
      <c r="A1255" s="157"/>
      <c r="F1255" s="3"/>
      <c r="G1255" s="3"/>
      <c r="L1255" s="157"/>
      <c r="M1255" s="157"/>
      <c r="O1255" s="147"/>
      <c r="P1255" s="147"/>
      <c r="Q1255" s="147"/>
      <c r="R1255" s="147"/>
      <c r="S1255" s="147"/>
      <c r="T1255" s="147"/>
      <c r="U1255" s="147"/>
      <c r="V1255" s="147"/>
      <c r="W1255" s="147"/>
      <c r="X1255" s="147"/>
      <c r="Y1255" s="147"/>
      <c r="Z1255" s="147"/>
      <c r="AA1255" s="147"/>
      <c r="AB1255" s="147"/>
      <c r="AC1255" s="147"/>
      <c r="AD1255" s="147"/>
      <c r="AE1255" s="147"/>
      <c r="AF1255" s="147"/>
      <c r="AG1255" s="147"/>
      <c r="AH1255" s="147"/>
      <c r="AI1255" s="147"/>
      <c r="AJ1255" s="147"/>
      <c r="AK1255" s="147"/>
      <c r="AL1255" s="147"/>
      <c r="AM1255" s="151"/>
      <c r="AN1255" s="147"/>
      <c r="AO1255" s="147"/>
      <c r="AP1255" s="147"/>
      <c r="AQ1255" s="147"/>
      <c r="AR1255" s="147"/>
      <c r="AS1255" s="147"/>
      <c r="AT1255" s="147"/>
      <c r="AU1255" s="147"/>
      <c r="AV1255" s="147"/>
      <c r="AW1255" s="147"/>
      <c r="AX1255" s="147"/>
      <c r="AY1255" s="147"/>
      <c r="AZ1255" s="147"/>
      <c r="BA1255" s="147"/>
      <c r="BB1255" s="147"/>
      <c r="BC1255" s="147"/>
      <c r="BD1255" s="147"/>
      <c r="BE1255" s="147"/>
      <c r="BF1255" s="147"/>
      <c r="BG1255" s="147"/>
      <c r="BH1255" s="147"/>
      <c r="BI1255" s="147"/>
      <c r="BJ1255" s="147"/>
      <c r="BK1255" s="147"/>
      <c r="BL1255" s="147"/>
      <c r="BM1255" s="147"/>
      <c r="BN1255" s="147"/>
      <c r="BO1255" s="147"/>
      <c r="BP1255" s="147"/>
      <c r="BQ1255" s="147"/>
      <c r="BR1255" s="147"/>
      <c r="BS1255" s="147"/>
      <c r="BT1255" s="147"/>
      <c r="BU1255" s="147"/>
      <c r="BV1255" s="147"/>
      <c r="BW1255" s="147"/>
      <c r="BX1255" s="147"/>
      <c r="BY1255" s="147"/>
      <c r="BZ1255" s="147"/>
      <c r="CA1255" s="147"/>
      <c r="CB1255" s="147"/>
      <c r="CC1255" s="147"/>
      <c r="CD1255" s="147"/>
      <c r="CE1255" s="147"/>
      <c r="CF1255" s="147"/>
      <c r="CG1255" s="147"/>
      <c r="CH1255" s="147"/>
      <c r="CI1255" s="147"/>
      <c r="CJ1255" s="147"/>
      <c r="CK1255" s="147"/>
    </row>
    <row r="1256" spans="1:89">
      <c r="A1256" s="157"/>
      <c r="F1256" s="3"/>
      <c r="G1256" s="3"/>
      <c r="L1256" s="157"/>
      <c r="M1256" s="157"/>
      <c r="O1256" s="147"/>
      <c r="P1256" s="147"/>
      <c r="Q1256" s="147"/>
      <c r="R1256" s="147"/>
      <c r="S1256" s="147"/>
      <c r="T1256" s="147"/>
      <c r="U1256" s="147"/>
      <c r="V1256" s="147"/>
      <c r="W1256" s="147"/>
      <c r="X1256" s="147"/>
      <c r="Y1256" s="147"/>
      <c r="Z1256" s="147"/>
      <c r="AA1256" s="147"/>
      <c r="AB1256" s="147"/>
      <c r="AC1256" s="147"/>
      <c r="AD1256" s="147"/>
      <c r="AE1256" s="147"/>
      <c r="AF1256" s="147"/>
      <c r="AG1256" s="147"/>
      <c r="AH1256" s="147"/>
      <c r="AI1256" s="147"/>
      <c r="AJ1256" s="147"/>
      <c r="AK1256" s="147"/>
      <c r="AL1256" s="147"/>
      <c r="AM1256" s="151"/>
      <c r="AN1256" s="147"/>
      <c r="AO1256" s="147"/>
      <c r="AP1256" s="147"/>
      <c r="AQ1256" s="147"/>
      <c r="AR1256" s="147"/>
      <c r="AS1256" s="147"/>
      <c r="AT1256" s="147"/>
      <c r="AU1256" s="147"/>
      <c r="AV1256" s="147"/>
      <c r="AW1256" s="147"/>
      <c r="AX1256" s="147"/>
      <c r="AY1256" s="147"/>
      <c r="AZ1256" s="147"/>
      <c r="BA1256" s="147"/>
      <c r="BB1256" s="147"/>
      <c r="BC1256" s="147"/>
      <c r="BD1256" s="147"/>
      <c r="BE1256" s="147"/>
      <c r="BF1256" s="147"/>
      <c r="BG1256" s="147"/>
      <c r="BH1256" s="147"/>
      <c r="BI1256" s="147"/>
      <c r="BJ1256" s="147"/>
      <c r="BK1256" s="147"/>
      <c r="BL1256" s="147"/>
      <c r="BM1256" s="147"/>
      <c r="BN1256" s="147"/>
      <c r="BO1256" s="147"/>
      <c r="BP1256" s="147"/>
      <c r="BQ1256" s="147"/>
      <c r="BR1256" s="147"/>
      <c r="BS1256" s="147"/>
      <c r="BT1256" s="147"/>
      <c r="BU1256" s="147"/>
      <c r="BV1256" s="147"/>
      <c r="BW1256" s="147"/>
      <c r="BX1256" s="147"/>
      <c r="BY1256" s="147"/>
      <c r="BZ1256" s="147"/>
      <c r="CA1256" s="147"/>
      <c r="CB1256" s="147"/>
      <c r="CC1256" s="147"/>
      <c r="CD1256" s="147"/>
      <c r="CE1256" s="147"/>
      <c r="CF1256" s="147"/>
      <c r="CG1256" s="147"/>
      <c r="CH1256" s="147"/>
      <c r="CI1256" s="147"/>
      <c r="CJ1256" s="147"/>
      <c r="CK1256" s="147"/>
    </row>
    <row r="1257" spans="1:89">
      <c r="A1257" s="157"/>
      <c r="F1257" s="3"/>
      <c r="G1257" s="3"/>
      <c r="L1257" s="157"/>
      <c r="M1257" s="157"/>
      <c r="O1257" s="147"/>
      <c r="P1257" s="147"/>
      <c r="Q1257" s="147"/>
      <c r="R1257" s="147"/>
      <c r="S1257" s="147"/>
      <c r="T1257" s="147"/>
      <c r="U1257" s="147"/>
      <c r="V1257" s="147"/>
      <c r="W1257" s="147"/>
      <c r="X1257" s="147"/>
      <c r="Y1257" s="147"/>
      <c r="Z1257" s="147"/>
      <c r="AA1257" s="147"/>
      <c r="AB1257" s="147"/>
      <c r="AC1257" s="147"/>
      <c r="AD1257" s="147"/>
      <c r="AE1257" s="147"/>
      <c r="AF1257" s="147"/>
      <c r="AG1257" s="147"/>
      <c r="AH1257" s="147"/>
      <c r="AI1257" s="147"/>
      <c r="AJ1257" s="147"/>
      <c r="AK1257" s="147"/>
      <c r="AL1257" s="147"/>
      <c r="AM1257" s="151"/>
      <c r="AN1257" s="147"/>
      <c r="AO1257" s="147"/>
      <c r="AP1257" s="147"/>
      <c r="AQ1257" s="147"/>
      <c r="AR1257" s="147"/>
      <c r="AS1257" s="147"/>
      <c r="AT1257" s="147"/>
      <c r="AU1257" s="147"/>
      <c r="AV1257" s="147"/>
      <c r="AW1257" s="147"/>
      <c r="AX1257" s="147"/>
      <c r="AY1257" s="147"/>
      <c r="AZ1257" s="147"/>
      <c r="BA1257" s="147"/>
      <c r="BB1257" s="147"/>
      <c r="BC1257" s="147"/>
      <c r="BD1257" s="147"/>
      <c r="BE1257" s="147"/>
      <c r="BF1257" s="147"/>
      <c r="BG1257" s="147"/>
      <c r="BH1257" s="147"/>
      <c r="BI1257" s="147"/>
      <c r="BJ1257" s="147"/>
      <c r="BK1257" s="147"/>
      <c r="BL1257" s="147"/>
      <c r="BM1257" s="147"/>
      <c r="BN1257" s="147"/>
      <c r="BO1257" s="147"/>
      <c r="BP1257" s="147"/>
      <c r="BQ1257" s="147"/>
      <c r="BR1257" s="147"/>
      <c r="BS1257" s="147"/>
      <c r="BT1257" s="147"/>
      <c r="BU1257" s="147"/>
      <c r="BV1257" s="147"/>
      <c r="BW1257" s="147"/>
      <c r="BX1257" s="147"/>
      <c r="BY1257" s="147"/>
      <c r="BZ1257" s="147"/>
      <c r="CA1257" s="147"/>
      <c r="CB1257" s="147"/>
      <c r="CC1257" s="147"/>
      <c r="CD1257" s="147"/>
      <c r="CE1257" s="147"/>
      <c r="CF1257" s="147"/>
      <c r="CG1257" s="147"/>
      <c r="CH1257" s="147"/>
      <c r="CI1257" s="147"/>
      <c r="CJ1257" s="147"/>
      <c r="CK1257" s="147"/>
    </row>
    <row r="1258" spans="1:89">
      <c r="A1258" s="157"/>
      <c r="F1258" s="3"/>
      <c r="G1258" s="3"/>
      <c r="L1258" s="157"/>
      <c r="M1258" s="157"/>
      <c r="O1258" s="147"/>
      <c r="P1258" s="147"/>
      <c r="Q1258" s="147"/>
      <c r="R1258" s="147"/>
      <c r="S1258" s="147"/>
      <c r="T1258" s="147"/>
      <c r="U1258" s="147"/>
      <c r="V1258" s="147"/>
      <c r="W1258" s="147"/>
      <c r="X1258" s="147"/>
      <c r="Y1258" s="147"/>
      <c r="Z1258" s="147"/>
      <c r="AA1258" s="147"/>
      <c r="AB1258" s="147"/>
      <c r="AC1258" s="147"/>
      <c r="AD1258" s="147"/>
      <c r="AE1258" s="147"/>
      <c r="AF1258" s="147"/>
      <c r="AG1258" s="147"/>
      <c r="AH1258" s="147"/>
      <c r="AI1258" s="147"/>
      <c r="AJ1258" s="147"/>
      <c r="AK1258" s="147"/>
      <c r="AL1258" s="147"/>
      <c r="AM1258" s="151"/>
      <c r="AN1258" s="147"/>
      <c r="AO1258" s="147"/>
      <c r="AP1258" s="147"/>
      <c r="AQ1258" s="147"/>
      <c r="AR1258" s="147"/>
      <c r="AS1258" s="147"/>
      <c r="AT1258" s="147"/>
      <c r="AU1258" s="147"/>
      <c r="AV1258" s="147"/>
      <c r="AW1258" s="147"/>
      <c r="AX1258" s="147"/>
      <c r="AY1258" s="147"/>
      <c r="AZ1258" s="147"/>
      <c r="BA1258" s="147"/>
      <c r="BB1258" s="147"/>
      <c r="BC1258" s="147"/>
      <c r="BD1258" s="147"/>
      <c r="BE1258" s="147"/>
      <c r="BF1258" s="147"/>
      <c r="BG1258" s="147"/>
      <c r="BH1258" s="147"/>
      <c r="BI1258" s="147"/>
      <c r="BJ1258" s="147"/>
      <c r="BK1258" s="147"/>
      <c r="BL1258" s="147"/>
      <c r="BM1258" s="147"/>
      <c r="BN1258" s="147"/>
      <c r="BO1258" s="147"/>
      <c r="BP1258" s="147"/>
      <c r="BQ1258" s="147"/>
      <c r="BR1258" s="147"/>
      <c r="BS1258" s="147"/>
      <c r="BT1258" s="147"/>
      <c r="BU1258" s="147"/>
      <c r="BV1258" s="147"/>
      <c r="BW1258" s="147"/>
      <c r="BX1258" s="147"/>
      <c r="BY1258" s="147"/>
      <c r="BZ1258" s="147"/>
      <c r="CA1258" s="147"/>
      <c r="CB1258" s="147"/>
      <c r="CC1258" s="147"/>
      <c r="CD1258" s="147"/>
      <c r="CE1258" s="147"/>
      <c r="CF1258" s="147"/>
      <c r="CG1258" s="147"/>
      <c r="CH1258" s="147"/>
      <c r="CI1258" s="147"/>
      <c r="CJ1258" s="147"/>
      <c r="CK1258" s="147"/>
    </row>
    <row r="1259" spans="1:89">
      <c r="A1259" s="157"/>
      <c r="F1259" s="3"/>
      <c r="G1259" s="3"/>
      <c r="L1259" s="157"/>
      <c r="M1259" s="157"/>
      <c r="O1259" s="147"/>
      <c r="P1259" s="147"/>
      <c r="Q1259" s="147"/>
      <c r="R1259" s="147"/>
      <c r="S1259" s="147"/>
      <c r="T1259" s="147"/>
      <c r="U1259" s="147"/>
      <c r="V1259" s="147"/>
      <c r="W1259" s="147"/>
      <c r="X1259" s="147"/>
      <c r="Y1259" s="147"/>
      <c r="Z1259" s="147"/>
      <c r="AA1259" s="147"/>
      <c r="AB1259" s="147"/>
      <c r="AC1259" s="147"/>
      <c r="AD1259" s="147"/>
      <c r="AE1259" s="147"/>
      <c r="AF1259" s="147"/>
      <c r="AG1259" s="147"/>
      <c r="AH1259" s="147"/>
      <c r="AI1259" s="147"/>
      <c r="AJ1259" s="147"/>
      <c r="AK1259" s="147"/>
      <c r="AL1259" s="147"/>
      <c r="AM1259" s="151"/>
      <c r="AN1259" s="147"/>
      <c r="AO1259" s="147"/>
      <c r="AP1259" s="147"/>
      <c r="AQ1259" s="147"/>
      <c r="AR1259" s="147"/>
      <c r="AS1259" s="147"/>
      <c r="AT1259" s="147"/>
      <c r="AU1259" s="147"/>
      <c r="AV1259" s="147"/>
      <c r="AW1259" s="147"/>
      <c r="AX1259" s="147"/>
      <c r="AY1259" s="147"/>
      <c r="AZ1259" s="147"/>
      <c r="BA1259" s="147"/>
      <c r="BB1259" s="147"/>
      <c r="BC1259" s="147"/>
      <c r="BD1259" s="147"/>
      <c r="BE1259" s="147"/>
      <c r="BF1259" s="147"/>
      <c r="BG1259" s="147"/>
      <c r="BH1259" s="147"/>
      <c r="BI1259" s="147"/>
      <c r="BJ1259" s="147"/>
      <c r="BK1259" s="147"/>
      <c r="BL1259" s="147"/>
      <c r="BM1259" s="147"/>
      <c r="BN1259" s="147"/>
      <c r="BO1259" s="147"/>
      <c r="BP1259" s="147"/>
      <c r="BQ1259" s="147"/>
      <c r="BR1259" s="147"/>
      <c r="BS1259" s="147"/>
      <c r="BT1259" s="147"/>
      <c r="BU1259" s="147"/>
      <c r="BV1259" s="147"/>
      <c r="BW1259" s="147"/>
      <c r="BX1259" s="147"/>
      <c r="BY1259" s="147"/>
      <c r="BZ1259" s="147"/>
      <c r="CA1259" s="147"/>
      <c r="CB1259" s="147"/>
      <c r="CC1259" s="147"/>
      <c r="CD1259" s="147"/>
      <c r="CE1259" s="147"/>
      <c r="CF1259" s="147"/>
      <c r="CG1259" s="147"/>
      <c r="CH1259" s="147"/>
      <c r="CI1259" s="147"/>
      <c r="CJ1259" s="147"/>
      <c r="CK1259" s="147"/>
    </row>
    <row r="1260" spans="1:89">
      <c r="A1260" s="157"/>
      <c r="F1260" s="3"/>
      <c r="G1260" s="3"/>
      <c r="L1260" s="157"/>
      <c r="M1260" s="157"/>
      <c r="O1260" s="147"/>
      <c r="P1260" s="147"/>
      <c r="Q1260" s="147"/>
      <c r="R1260" s="147"/>
      <c r="S1260" s="147"/>
      <c r="T1260" s="147"/>
      <c r="U1260" s="147"/>
      <c r="V1260" s="147"/>
      <c r="W1260" s="147"/>
      <c r="X1260" s="147"/>
      <c r="Y1260" s="147"/>
      <c r="Z1260" s="147"/>
      <c r="AA1260" s="147"/>
      <c r="AB1260" s="147"/>
      <c r="AC1260" s="147"/>
      <c r="AD1260" s="147"/>
      <c r="AE1260" s="147"/>
      <c r="AF1260" s="147"/>
      <c r="AG1260" s="147"/>
      <c r="AH1260" s="147"/>
      <c r="AI1260" s="147"/>
      <c r="AJ1260" s="147"/>
      <c r="AK1260" s="147"/>
      <c r="AL1260" s="147"/>
      <c r="AM1260" s="151"/>
      <c r="AN1260" s="147"/>
      <c r="AO1260" s="147"/>
      <c r="AP1260" s="147"/>
      <c r="AQ1260" s="147"/>
      <c r="AR1260" s="147"/>
      <c r="AS1260" s="147"/>
      <c r="AT1260" s="147"/>
      <c r="AU1260" s="147"/>
      <c r="AV1260" s="147"/>
      <c r="AW1260" s="147"/>
      <c r="AX1260" s="147"/>
      <c r="AY1260" s="147"/>
      <c r="AZ1260" s="147"/>
      <c r="BA1260" s="147"/>
      <c r="BB1260" s="147"/>
      <c r="BC1260" s="147"/>
      <c r="BD1260" s="147"/>
      <c r="BE1260" s="147"/>
      <c r="BF1260" s="147"/>
      <c r="BG1260" s="147"/>
      <c r="BH1260" s="147"/>
      <c r="BI1260" s="147"/>
      <c r="BJ1260" s="147"/>
      <c r="BK1260" s="147"/>
      <c r="BL1260" s="147"/>
      <c r="BM1260" s="147"/>
      <c r="BN1260" s="147"/>
      <c r="BO1260" s="147"/>
      <c r="BP1260" s="147"/>
      <c r="BQ1260" s="147"/>
      <c r="BR1260" s="147"/>
      <c r="BS1260" s="147"/>
      <c r="BT1260" s="147"/>
      <c r="BU1260" s="147"/>
      <c r="BV1260" s="147"/>
      <c r="BW1260" s="147"/>
      <c r="BX1260" s="147"/>
      <c r="BY1260" s="147"/>
      <c r="BZ1260" s="147"/>
      <c r="CA1260" s="147"/>
      <c r="CB1260" s="147"/>
      <c r="CC1260" s="147"/>
      <c r="CD1260" s="147"/>
      <c r="CE1260" s="147"/>
      <c r="CF1260" s="147"/>
      <c r="CG1260" s="147"/>
      <c r="CH1260" s="147"/>
      <c r="CI1260" s="147"/>
      <c r="CJ1260" s="147"/>
      <c r="CK1260" s="147"/>
    </row>
    <row r="1261" spans="1:89">
      <c r="A1261" s="157"/>
      <c r="F1261" s="3"/>
      <c r="G1261" s="3"/>
      <c r="L1261" s="157"/>
      <c r="M1261" s="157"/>
      <c r="O1261" s="147"/>
      <c r="P1261" s="147"/>
      <c r="Q1261" s="147"/>
      <c r="R1261" s="147"/>
      <c r="S1261" s="147"/>
      <c r="T1261" s="147"/>
      <c r="U1261" s="147"/>
      <c r="V1261" s="147"/>
      <c r="W1261" s="147"/>
      <c r="X1261" s="147"/>
      <c r="Y1261" s="147"/>
      <c r="Z1261" s="147"/>
      <c r="AA1261" s="147"/>
      <c r="AB1261" s="147"/>
      <c r="AC1261" s="147"/>
      <c r="AD1261" s="147"/>
      <c r="AE1261" s="147"/>
      <c r="AF1261" s="147"/>
      <c r="AG1261" s="147"/>
      <c r="AH1261" s="147"/>
      <c r="AI1261" s="147"/>
      <c r="AJ1261" s="147"/>
      <c r="AK1261" s="147"/>
      <c r="AL1261" s="147"/>
      <c r="AM1261" s="151"/>
      <c r="AN1261" s="147"/>
      <c r="AO1261" s="147"/>
      <c r="AP1261" s="147"/>
      <c r="AQ1261" s="147"/>
      <c r="AR1261" s="147"/>
      <c r="AS1261" s="147"/>
      <c r="AT1261" s="147"/>
      <c r="AU1261" s="147"/>
      <c r="AV1261" s="147"/>
      <c r="AW1261" s="147"/>
      <c r="AX1261" s="147"/>
      <c r="AY1261" s="147"/>
      <c r="AZ1261" s="147"/>
      <c r="BA1261" s="147"/>
      <c r="BB1261" s="147"/>
      <c r="BC1261" s="147"/>
      <c r="BD1261" s="147"/>
      <c r="BE1261" s="147"/>
      <c r="BF1261" s="147"/>
      <c r="BG1261" s="147"/>
      <c r="BH1261" s="147"/>
      <c r="BI1261" s="147"/>
      <c r="BJ1261" s="147"/>
      <c r="BK1261" s="147"/>
      <c r="BL1261" s="147"/>
      <c r="BM1261" s="147"/>
      <c r="BN1261" s="147"/>
      <c r="BO1261" s="147"/>
      <c r="BP1261" s="147"/>
      <c r="BQ1261" s="147"/>
      <c r="BR1261" s="147"/>
      <c r="BS1261" s="147"/>
      <c r="BT1261" s="147"/>
      <c r="BU1261" s="147"/>
      <c r="BV1261" s="147"/>
      <c r="BW1261" s="147"/>
      <c r="BX1261" s="147"/>
      <c r="BY1261" s="147"/>
      <c r="BZ1261" s="147"/>
      <c r="CA1261" s="147"/>
      <c r="CB1261" s="147"/>
      <c r="CC1261" s="147"/>
      <c r="CD1261" s="147"/>
      <c r="CE1261" s="147"/>
      <c r="CF1261" s="147"/>
      <c r="CG1261" s="147"/>
      <c r="CH1261" s="147"/>
      <c r="CI1261" s="147"/>
      <c r="CJ1261" s="147"/>
      <c r="CK1261" s="147"/>
    </row>
    <row r="1262" spans="1:89">
      <c r="A1262" s="157"/>
      <c r="F1262" s="3"/>
      <c r="G1262" s="3"/>
      <c r="L1262" s="157"/>
      <c r="M1262" s="157"/>
      <c r="O1262" s="147"/>
      <c r="P1262" s="147"/>
      <c r="Q1262" s="147"/>
      <c r="R1262" s="147"/>
      <c r="S1262" s="147"/>
      <c r="T1262" s="147"/>
      <c r="U1262" s="147"/>
      <c r="V1262" s="147"/>
      <c r="W1262" s="147"/>
      <c r="X1262" s="147"/>
      <c r="Y1262" s="147"/>
      <c r="Z1262" s="147"/>
      <c r="AA1262" s="147"/>
      <c r="AB1262" s="147"/>
      <c r="AC1262" s="147"/>
      <c r="AD1262" s="147"/>
      <c r="AE1262" s="147"/>
      <c r="AF1262" s="147"/>
      <c r="AG1262" s="147"/>
      <c r="AH1262" s="147"/>
      <c r="AI1262" s="147"/>
      <c r="AJ1262" s="147"/>
      <c r="AK1262" s="147"/>
      <c r="AL1262" s="147"/>
      <c r="AM1262" s="151"/>
      <c r="AN1262" s="147"/>
      <c r="AO1262" s="147"/>
      <c r="AP1262" s="147"/>
      <c r="AQ1262" s="147"/>
      <c r="AR1262" s="147"/>
      <c r="AS1262" s="147"/>
      <c r="AT1262" s="147"/>
      <c r="AU1262" s="147"/>
      <c r="AV1262" s="147"/>
      <c r="AW1262" s="147"/>
      <c r="AX1262" s="147"/>
      <c r="AY1262" s="147"/>
      <c r="AZ1262" s="147"/>
      <c r="BA1262" s="147"/>
      <c r="BB1262" s="147"/>
      <c r="BC1262" s="147"/>
      <c r="BD1262" s="147"/>
      <c r="BE1262" s="147"/>
      <c r="BF1262" s="147"/>
      <c r="BG1262" s="147"/>
      <c r="BH1262" s="147"/>
      <c r="BI1262" s="147"/>
      <c r="BJ1262" s="147"/>
      <c r="BK1262" s="147"/>
      <c r="BL1262" s="147"/>
      <c r="BM1262" s="147"/>
      <c r="BN1262" s="147"/>
      <c r="BO1262" s="147"/>
      <c r="BP1262" s="147"/>
      <c r="BQ1262" s="147"/>
      <c r="BR1262" s="147"/>
      <c r="BS1262" s="147"/>
      <c r="BT1262" s="147"/>
      <c r="BU1262" s="147"/>
      <c r="BV1262" s="147"/>
      <c r="BW1262" s="147"/>
      <c r="BX1262" s="147"/>
      <c r="BY1262" s="147"/>
      <c r="BZ1262" s="147"/>
      <c r="CA1262" s="147"/>
      <c r="CB1262" s="147"/>
      <c r="CC1262" s="147"/>
      <c r="CD1262" s="147"/>
      <c r="CE1262" s="147"/>
      <c r="CF1262" s="147"/>
      <c r="CG1262" s="147"/>
      <c r="CH1262" s="147"/>
      <c r="CI1262" s="147"/>
      <c r="CJ1262" s="147"/>
      <c r="CK1262" s="147"/>
    </row>
    <row r="1263" spans="1:89">
      <c r="A1263" s="157"/>
      <c r="F1263" s="3"/>
      <c r="G1263" s="3"/>
      <c r="L1263" s="157"/>
      <c r="M1263" s="157"/>
      <c r="O1263" s="147"/>
      <c r="P1263" s="147"/>
      <c r="Q1263" s="147"/>
      <c r="R1263" s="147"/>
      <c r="S1263" s="147"/>
      <c r="T1263" s="147"/>
      <c r="U1263" s="147"/>
      <c r="V1263" s="147"/>
      <c r="W1263" s="147"/>
      <c r="X1263" s="147"/>
      <c r="Y1263" s="147"/>
      <c r="Z1263" s="147"/>
      <c r="AA1263" s="147"/>
      <c r="AB1263" s="147"/>
      <c r="AC1263" s="147"/>
      <c r="AD1263" s="147"/>
      <c r="AE1263" s="147"/>
      <c r="AF1263" s="147"/>
      <c r="AG1263" s="147"/>
      <c r="AH1263" s="147"/>
      <c r="AI1263" s="147"/>
      <c r="AJ1263" s="147"/>
      <c r="AK1263" s="147"/>
      <c r="AL1263" s="147"/>
      <c r="AM1263" s="151"/>
      <c r="AN1263" s="147"/>
      <c r="AO1263" s="147"/>
      <c r="AP1263" s="147"/>
      <c r="AQ1263" s="147"/>
      <c r="AR1263" s="147"/>
      <c r="AS1263" s="147"/>
      <c r="AT1263" s="147"/>
      <c r="AU1263" s="147"/>
      <c r="AV1263" s="147"/>
      <c r="AW1263" s="147"/>
      <c r="AX1263" s="147"/>
      <c r="AY1263" s="147"/>
      <c r="AZ1263" s="147"/>
      <c r="BA1263" s="147"/>
      <c r="BB1263" s="147"/>
      <c r="BC1263" s="147"/>
      <c r="BD1263" s="147"/>
      <c r="BE1263" s="147"/>
      <c r="BF1263" s="147"/>
      <c r="BG1263" s="147"/>
      <c r="BH1263" s="147"/>
      <c r="BI1263" s="147"/>
      <c r="BJ1263" s="147"/>
      <c r="BK1263" s="147"/>
      <c r="BL1263" s="147"/>
      <c r="BM1263" s="147"/>
      <c r="BN1263" s="147"/>
      <c r="BO1263" s="147"/>
      <c r="BP1263" s="147"/>
      <c r="BQ1263" s="147"/>
      <c r="BR1263" s="147"/>
      <c r="BS1263" s="147"/>
      <c r="BT1263" s="147"/>
      <c r="BU1263" s="147"/>
      <c r="BV1263" s="147"/>
      <c r="BW1263" s="147"/>
      <c r="BX1263" s="147"/>
      <c r="BY1263" s="147"/>
      <c r="BZ1263" s="147"/>
      <c r="CA1263" s="147"/>
      <c r="CB1263" s="147"/>
      <c r="CC1263" s="147"/>
      <c r="CD1263" s="147"/>
      <c r="CE1263" s="147"/>
      <c r="CF1263" s="147"/>
      <c r="CG1263" s="147"/>
      <c r="CH1263" s="147"/>
      <c r="CI1263" s="147"/>
      <c r="CJ1263" s="147"/>
      <c r="CK1263" s="147"/>
    </row>
    <row r="1264" spans="1:89">
      <c r="A1264" s="157"/>
      <c r="F1264" s="3"/>
      <c r="G1264" s="3"/>
      <c r="L1264" s="157"/>
      <c r="M1264" s="157"/>
      <c r="O1264" s="147"/>
      <c r="P1264" s="147"/>
      <c r="Q1264" s="147"/>
      <c r="R1264" s="147"/>
      <c r="S1264" s="147"/>
      <c r="T1264" s="147"/>
      <c r="U1264" s="147"/>
      <c r="V1264" s="147"/>
      <c r="W1264" s="147"/>
      <c r="X1264" s="147"/>
      <c r="Y1264" s="147"/>
      <c r="Z1264" s="147"/>
      <c r="AA1264" s="147"/>
      <c r="AB1264" s="147"/>
      <c r="AC1264" s="147"/>
      <c r="AD1264" s="147"/>
      <c r="AE1264" s="147"/>
      <c r="AF1264" s="147"/>
      <c r="AG1264" s="147"/>
      <c r="AH1264" s="147"/>
      <c r="AI1264" s="147"/>
      <c r="AJ1264" s="147"/>
      <c r="AK1264" s="147"/>
      <c r="AL1264" s="147"/>
      <c r="AM1264" s="151"/>
      <c r="AN1264" s="147"/>
      <c r="AO1264" s="147"/>
      <c r="AP1264" s="147"/>
      <c r="AQ1264" s="147"/>
      <c r="AR1264" s="147"/>
      <c r="AS1264" s="147"/>
      <c r="AT1264" s="147"/>
      <c r="AU1264" s="147"/>
      <c r="AV1264" s="147"/>
      <c r="AW1264" s="147"/>
      <c r="AX1264" s="147"/>
      <c r="AY1264" s="147"/>
      <c r="AZ1264" s="147"/>
      <c r="BA1264" s="147"/>
      <c r="BB1264" s="147"/>
      <c r="BC1264" s="147"/>
      <c r="BD1264" s="147"/>
      <c r="BE1264" s="147"/>
      <c r="BF1264" s="147"/>
      <c r="BG1264" s="147"/>
      <c r="BH1264" s="147"/>
      <c r="BI1264" s="147"/>
      <c r="BJ1264" s="147"/>
      <c r="BK1264" s="147"/>
      <c r="BL1264" s="147"/>
      <c r="BM1264" s="147"/>
      <c r="BN1264" s="147"/>
      <c r="BO1264" s="147"/>
      <c r="BP1264" s="147"/>
      <c r="BQ1264" s="147"/>
      <c r="BR1264" s="147"/>
      <c r="BS1264" s="147"/>
      <c r="BT1264" s="147"/>
      <c r="BU1264" s="147"/>
      <c r="BV1264" s="147"/>
      <c r="BW1264" s="147"/>
      <c r="BX1264" s="147"/>
      <c r="BY1264" s="147"/>
      <c r="BZ1264" s="147"/>
      <c r="CA1264" s="147"/>
      <c r="CB1264" s="147"/>
      <c r="CC1264" s="147"/>
      <c r="CD1264" s="147"/>
      <c r="CE1264" s="147"/>
      <c r="CF1264" s="147"/>
      <c r="CG1264" s="147"/>
      <c r="CH1264" s="147"/>
      <c r="CI1264" s="147"/>
      <c r="CJ1264" s="147"/>
      <c r="CK1264" s="147"/>
    </row>
    <row r="1265" spans="1:89">
      <c r="A1265" s="157"/>
      <c r="F1265" s="3"/>
      <c r="G1265" s="3"/>
      <c r="L1265" s="157"/>
      <c r="M1265" s="157"/>
      <c r="O1265" s="147"/>
      <c r="P1265" s="147"/>
      <c r="Q1265" s="147"/>
      <c r="R1265" s="147"/>
      <c r="S1265" s="147"/>
      <c r="T1265" s="147"/>
      <c r="U1265" s="147"/>
      <c r="V1265" s="147"/>
      <c r="W1265" s="147"/>
      <c r="X1265" s="147"/>
      <c r="Y1265" s="147"/>
      <c r="Z1265" s="147"/>
      <c r="AA1265" s="147"/>
      <c r="AB1265" s="147"/>
      <c r="AC1265" s="147"/>
      <c r="AD1265" s="147"/>
      <c r="AE1265" s="147"/>
      <c r="AF1265" s="147"/>
      <c r="AG1265" s="147"/>
      <c r="AH1265" s="147"/>
      <c r="AI1265" s="147"/>
      <c r="AJ1265" s="147"/>
      <c r="AK1265" s="147"/>
      <c r="AL1265" s="147"/>
      <c r="AM1265" s="151"/>
      <c r="AN1265" s="147"/>
      <c r="AO1265" s="147"/>
      <c r="AP1265" s="147"/>
      <c r="AQ1265" s="147"/>
      <c r="AR1265" s="147"/>
      <c r="AS1265" s="147"/>
      <c r="AT1265" s="147"/>
      <c r="AU1265" s="147"/>
      <c r="AV1265" s="147"/>
      <c r="AW1265" s="147"/>
      <c r="AX1265" s="147"/>
      <c r="AY1265" s="147"/>
      <c r="AZ1265" s="147"/>
      <c r="BA1265" s="147"/>
      <c r="BB1265" s="147"/>
      <c r="BC1265" s="147"/>
      <c r="BD1265" s="147"/>
      <c r="BE1265" s="147"/>
      <c r="BF1265" s="147"/>
      <c r="BG1265" s="147"/>
      <c r="BH1265" s="147"/>
      <c r="BI1265" s="147"/>
      <c r="BJ1265" s="147"/>
      <c r="BK1265" s="147"/>
      <c r="BL1265" s="147"/>
      <c r="BM1265" s="147"/>
      <c r="BN1265" s="147"/>
      <c r="BO1265" s="147"/>
      <c r="BP1265" s="147"/>
      <c r="BQ1265" s="147"/>
      <c r="BR1265" s="147"/>
      <c r="BS1265" s="147"/>
      <c r="BT1265" s="147"/>
      <c r="BU1265" s="147"/>
      <c r="BV1265" s="147"/>
      <c r="BW1265" s="147"/>
      <c r="BX1265" s="147"/>
      <c r="BY1265" s="147"/>
      <c r="BZ1265" s="147"/>
      <c r="CA1265" s="147"/>
      <c r="CB1265" s="147"/>
      <c r="CC1265" s="147"/>
      <c r="CD1265" s="147"/>
      <c r="CE1265" s="147"/>
      <c r="CF1265" s="147"/>
      <c r="CG1265" s="147"/>
      <c r="CH1265" s="147"/>
      <c r="CI1265" s="147"/>
      <c r="CJ1265" s="147"/>
      <c r="CK1265" s="147"/>
    </row>
    <row r="1266" spans="1:89">
      <c r="A1266" s="157"/>
      <c r="F1266" s="3"/>
      <c r="G1266" s="3"/>
      <c r="L1266" s="157"/>
      <c r="M1266" s="157"/>
      <c r="O1266" s="147"/>
      <c r="P1266" s="147"/>
      <c r="Q1266" s="147"/>
      <c r="R1266" s="147"/>
      <c r="S1266" s="147"/>
      <c r="T1266" s="147"/>
      <c r="U1266" s="147"/>
      <c r="V1266" s="147"/>
      <c r="W1266" s="147"/>
      <c r="X1266" s="147"/>
      <c r="Y1266" s="147"/>
      <c r="Z1266" s="147"/>
      <c r="AA1266" s="147"/>
      <c r="AB1266" s="147"/>
      <c r="AC1266" s="147"/>
      <c r="AD1266" s="147"/>
      <c r="AE1266" s="147"/>
      <c r="AF1266" s="147"/>
      <c r="AG1266" s="147"/>
      <c r="AH1266" s="147"/>
      <c r="AI1266" s="147"/>
      <c r="AJ1266" s="147"/>
      <c r="AK1266" s="147"/>
      <c r="AL1266" s="147"/>
      <c r="AM1266" s="151"/>
      <c r="AN1266" s="147"/>
      <c r="AO1266" s="147"/>
      <c r="AP1266" s="147"/>
      <c r="AQ1266" s="147"/>
      <c r="AR1266" s="147"/>
      <c r="AS1266" s="147"/>
      <c r="AT1266" s="147"/>
      <c r="AU1266" s="147"/>
      <c r="AV1266" s="147"/>
      <c r="AW1266" s="147"/>
      <c r="AX1266" s="147"/>
      <c r="AY1266" s="147"/>
      <c r="AZ1266" s="147"/>
      <c r="BA1266" s="147"/>
      <c r="BB1266" s="147"/>
      <c r="BC1266" s="147"/>
      <c r="BD1266" s="147"/>
      <c r="BE1266" s="147"/>
      <c r="BF1266" s="147"/>
      <c r="BG1266" s="147"/>
      <c r="BH1266" s="147"/>
      <c r="BI1266" s="147"/>
      <c r="BJ1266" s="147"/>
      <c r="BK1266" s="147"/>
      <c r="BL1266" s="147"/>
      <c r="BM1266" s="147"/>
      <c r="BN1266" s="147"/>
      <c r="BO1266" s="147"/>
      <c r="BP1266" s="147"/>
      <c r="BQ1266" s="147"/>
      <c r="BR1266" s="147"/>
      <c r="BS1266" s="147"/>
      <c r="BT1266" s="147"/>
      <c r="BU1266" s="147"/>
      <c r="BV1266" s="147"/>
      <c r="BW1266" s="147"/>
      <c r="BX1266" s="147"/>
      <c r="BY1266" s="147"/>
      <c r="BZ1266" s="147"/>
      <c r="CA1266" s="147"/>
      <c r="CB1266" s="147"/>
      <c r="CC1266" s="147"/>
      <c r="CD1266" s="147"/>
      <c r="CE1266" s="147"/>
      <c r="CF1266" s="147"/>
      <c r="CG1266" s="147"/>
      <c r="CH1266" s="147"/>
      <c r="CI1266" s="147"/>
      <c r="CJ1266" s="147"/>
      <c r="CK1266" s="147"/>
    </row>
    <row r="1267" spans="1:89">
      <c r="A1267" s="157"/>
      <c r="F1267" s="3"/>
      <c r="G1267" s="3"/>
      <c r="L1267" s="157"/>
      <c r="M1267" s="157"/>
      <c r="O1267" s="147"/>
      <c r="P1267" s="147"/>
      <c r="Q1267" s="147"/>
      <c r="R1267" s="147"/>
      <c r="S1267" s="147"/>
      <c r="T1267" s="147"/>
      <c r="U1267" s="147"/>
      <c r="V1267" s="147"/>
      <c r="W1267" s="147"/>
      <c r="X1267" s="147"/>
      <c r="Y1267" s="147"/>
      <c r="Z1267" s="147"/>
      <c r="AA1267" s="147"/>
      <c r="AB1267" s="147"/>
      <c r="AC1267" s="147"/>
      <c r="AD1267" s="147"/>
      <c r="AE1267" s="147"/>
      <c r="AF1267" s="147"/>
      <c r="AG1267" s="147"/>
      <c r="AH1267" s="147"/>
      <c r="AI1267" s="147"/>
      <c r="AJ1267" s="147"/>
      <c r="AK1267" s="147"/>
      <c r="AL1267" s="147"/>
      <c r="AM1267" s="151"/>
      <c r="AN1267" s="147"/>
      <c r="AO1267" s="147"/>
      <c r="AP1267" s="147"/>
      <c r="AQ1267" s="147"/>
      <c r="AR1267" s="147"/>
      <c r="AS1267" s="147"/>
      <c r="AT1267" s="147"/>
      <c r="AU1267" s="147"/>
      <c r="AV1267" s="147"/>
      <c r="AW1267" s="147"/>
      <c r="AX1267" s="147"/>
      <c r="AY1267" s="147"/>
      <c r="AZ1267" s="147"/>
      <c r="BA1267" s="147"/>
      <c r="BB1267" s="147"/>
      <c r="BC1267" s="147"/>
      <c r="BD1267" s="147"/>
      <c r="BE1267" s="147"/>
      <c r="BF1267" s="147"/>
      <c r="BG1267" s="147"/>
      <c r="BH1267" s="147"/>
      <c r="BI1267" s="147"/>
      <c r="BJ1267" s="147"/>
      <c r="BK1267" s="147"/>
      <c r="BL1267" s="147"/>
      <c r="BM1267" s="147"/>
      <c r="BN1267" s="147"/>
      <c r="BO1267" s="147"/>
      <c r="BP1267" s="147"/>
      <c r="BQ1267" s="147"/>
      <c r="BR1267" s="147"/>
      <c r="BS1267" s="147"/>
      <c r="BT1267" s="147"/>
      <c r="BU1267" s="147"/>
      <c r="BV1267" s="147"/>
      <c r="BW1267" s="147"/>
      <c r="BX1267" s="147"/>
      <c r="BY1267" s="147"/>
      <c r="BZ1267" s="147"/>
      <c r="CA1267" s="147"/>
      <c r="CB1267" s="147"/>
      <c r="CC1267" s="147"/>
      <c r="CD1267" s="147"/>
      <c r="CE1267" s="147"/>
      <c r="CF1267" s="147"/>
      <c r="CG1267" s="147"/>
      <c r="CH1267" s="147"/>
      <c r="CI1267" s="147"/>
      <c r="CJ1267" s="147"/>
      <c r="CK1267" s="147"/>
    </row>
    <row r="1268" spans="1:89">
      <c r="A1268" s="157"/>
      <c r="F1268" s="3"/>
      <c r="G1268" s="3"/>
      <c r="L1268" s="157"/>
      <c r="M1268" s="157"/>
      <c r="O1268" s="147"/>
      <c r="P1268" s="147"/>
      <c r="Q1268" s="147"/>
      <c r="R1268" s="147"/>
      <c r="S1268" s="147"/>
      <c r="T1268" s="147"/>
      <c r="U1268" s="147"/>
      <c r="V1268" s="147"/>
      <c r="W1268" s="147"/>
      <c r="X1268" s="147"/>
      <c r="Y1268" s="147"/>
      <c r="Z1268" s="147"/>
      <c r="AA1268" s="147"/>
      <c r="AB1268" s="147"/>
      <c r="AC1268" s="147"/>
      <c r="AD1268" s="147"/>
      <c r="AE1268" s="147"/>
      <c r="AF1268" s="147"/>
      <c r="AG1268" s="147"/>
      <c r="AH1268" s="147"/>
      <c r="AI1268" s="147"/>
      <c r="AJ1268" s="147"/>
      <c r="AK1268" s="147"/>
      <c r="AL1268" s="147"/>
      <c r="AM1268" s="151"/>
      <c r="AN1268" s="147"/>
      <c r="AO1268" s="147"/>
      <c r="AP1268" s="147"/>
      <c r="AQ1268" s="147"/>
      <c r="AR1268" s="147"/>
      <c r="AS1268" s="147"/>
      <c r="AT1268" s="147"/>
      <c r="AU1268" s="147"/>
      <c r="AV1268" s="147"/>
      <c r="AW1268" s="147"/>
      <c r="AX1268" s="147"/>
      <c r="AY1268" s="147"/>
      <c r="AZ1268" s="147"/>
      <c r="BA1268" s="147"/>
      <c r="BB1268" s="147"/>
      <c r="BC1268" s="147"/>
      <c r="BD1268" s="147"/>
      <c r="BE1268" s="147"/>
      <c r="BF1268" s="147"/>
      <c r="BG1268" s="147"/>
      <c r="BH1268" s="147"/>
      <c r="BI1268" s="147"/>
      <c r="BJ1268" s="147"/>
      <c r="BK1268" s="147"/>
      <c r="BL1268" s="147"/>
      <c r="BM1268" s="147"/>
      <c r="BN1268" s="147"/>
      <c r="BO1268" s="147"/>
      <c r="BP1268" s="147"/>
      <c r="BQ1268" s="147"/>
      <c r="BR1268" s="147"/>
      <c r="BS1268" s="147"/>
      <c r="BT1268" s="147"/>
      <c r="BU1268" s="147"/>
      <c r="BV1268" s="147"/>
      <c r="BW1268" s="147"/>
      <c r="BX1268" s="147"/>
      <c r="BY1268" s="147"/>
      <c r="BZ1268" s="147"/>
      <c r="CA1268" s="147"/>
      <c r="CB1268" s="147"/>
      <c r="CC1268" s="147"/>
      <c r="CD1268" s="147"/>
      <c r="CE1268" s="147"/>
      <c r="CF1268" s="147"/>
      <c r="CG1268" s="147"/>
      <c r="CH1268" s="147"/>
      <c r="CI1268" s="147"/>
      <c r="CJ1268" s="147"/>
      <c r="CK1268" s="147"/>
    </row>
    <row r="1269" spans="1:89">
      <c r="A1269" s="157"/>
      <c r="F1269" s="3"/>
      <c r="G1269" s="3"/>
      <c r="L1269" s="157"/>
      <c r="M1269" s="157"/>
      <c r="O1269" s="147"/>
      <c r="P1269" s="147"/>
      <c r="Q1269" s="147"/>
      <c r="R1269" s="147"/>
      <c r="S1269" s="147"/>
      <c r="T1269" s="147"/>
      <c r="U1269" s="147"/>
      <c r="V1269" s="147"/>
      <c r="W1269" s="147"/>
      <c r="X1269" s="147"/>
      <c r="Y1269" s="147"/>
      <c r="Z1269" s="147"/>
      <c r="AA1269" s="147"/>
      <c r="AB1269" s="147"/>
      <c r="AC1269" s="147"/>
      <c r="AD1269" s="147"/>
      <c r="AE1269" s="147"/>
      <c r="AF1269" s="147"/>
      <c r="AG1269" s="147"/>
      <c r="AH1269" s="147"/>
      <c r="AI1269" s="147"/>
      <c r="AJ1269" s="147"/>
      <c r="AK1269" s="147"/>
      <c r="AL1269" s="147"/>
      <c r="AM1269" s="151"/>
      <c r="AN1269" s="147"/>
      <c r="AO1269" s="147"/>
      <c r="AP1269" s="147"/>
      <c r="AQ1269" s="147"/>
      <c r="AR1269" s="147"/>
      <c r="AS1269" s="147"/>
      <c r="AT1269" s="147"/>
      <c r="AU1269" s="147"/>
      <c r="AV1269" s="147"/>
      <c r="AW1269" s="147"/>
      <c r="AX1269" s="147"/>
      <c r="AY1269" s="147"/>
      <c r="AZ1269" s="147"/>
      <c r="BA1269" s="147"/>
      <c r="BB1269" s="147"/>
      <c r="BC1269" s="147"/>
      <c r="BD1269" s="147"/>
      <c r="BE1269" s="147"/>
      <c r="BF1269" s="147"/>
      <c r="BG1269" s="147"/>
      <c r="BH1269" s="147"/>
      <c r="BI1269" s="147"/>
      <c r="BJ1269" s="147"/>
      <c r="BK1269" s="147"/>
      <c r="BL1269" s="147"/>
      <c r="BM1269" s="147"/>
      <c r="BN1269" s="147"/>
      <c r="BO1269" s="147"/>
      <c r="BP1269" s="147"/>
      <c r="BQ1269" s="147"/>
      <c r="BR1269" s="147"/>
      <c r="BS1269" s="147"/>
      <c r="BT1269" s="147"/>
      <c r="BU1269" s="147"/>
      <c r="BV1269" s="147"/>
      <c r="BW1269" s="147"/>
      <c r="BX1269" s="147"/>
      <c r="BY1269" s="147"/>
      <c r="BZ1269" s="147"/>
      <c r="CA1269" s="147"/>
      <c r="CB1269" s="147"/>
      <c r="CC1269" s="147"/>
      <c r="CD1269" s="147"/>
      <c r="CE1269" s="147"/>
      <c r="CF1269" s="147"/>
      <c r="CG1269" s="147"/>
      <c r="CH1269" s="147"/>
      <c r="CI1269" s="147"/>
      <c r="CJ1269" s="147"/>
      <c r="CK1269" s="147"/>
    </row>
    <row r="1270" spans="1:89">
      <c r="A1270" s="157"/>
      <c r="F1270" s="3"/>
      <c r="G1270" s="3"/>
      <c r="L1270" s="157"/>
      <c r="M1270" s="157"/>
      <c r="O1270" s="147"/>
      <c r="P1270" s="147"/>
      <c r="Q1270" s="147"/>
      <c r="R1270" s="147"/>
      <c r="S1270" s="147"/>
      <c r="T1270" s="147"/>
      <c r="U1270" s="147"/>
      <c r="V1270" s="147"/>
      <c r="W1270" s="147"/>
      <c r="X1270" s="147"/>
      <c r="Y1270" s="147"/>
      <c r="Z1270" s="147"/>
      <c r="AA1270" s="147"/>
      <c r="AB1270" s="147"/>
      <c r="AC1270" s="147"/>
      <c r="AD1270" s="147"/>
      <c r="AE1270" s="147"/>
      <c r="AF1270" s="147"/>
      <c r="AG1270" s="147"/>
      <c r="AH1270" s="147"/>
      <c r="AI1270" s="147"/>
      <c r="AJ1270" s="147"/>
      <c r="AK1270" s="147"/>
      <c r="AL1270" s="147"/>
      <c r="AM1270" s="151"/>
      <c r="AN1270" s="147"/>
      <c r="AO1270" s="147"/>
      <c r="AP1270" s="147"/>
      <c r="AQ1270" s="147"/>
      <c r="AR1270" s="147"/>
      <c r="AS1270" s="147"/>
      <c r="AT1270" s="147"/>
      <c r="AU1270" s="147"/>
      <c r="AV1270" s="147"/>
      <c r="AW1270" s="147"/>
      <c r="AX1270" s="147"/>
      <c r="AY1270" s="147"/>
      <c r="AZ1270" s="147"/>
      <c r="BA1270" s="147"/>
      <c r="BB1270" s="147"/>
      <c r="BC1270" s="147"/>
      <c r="BD1270" s="147"/>
      <c r="BE1270" s="147"/>
      <c r="BF1270" s="147"/>
      <c r="BG1270" s="147"/>
      <c r="BH1270" s="147"/>
      <c r="BI1270" s="147"/>
      <c r="BJ1270" s="147"/>
      <c r="BK1270" s="147"/>
      <c r="BL1270" s="147"/>
      <c r="BM1270" s="147"/>
      <c r="BN1270" s="147"/>
      <c r="BO1270" s="147"/>
      <c r="BP1270" s="147"/>
      <c r="BQ1270" s="147"/>
      <c r="BR1270" s="147"/>
      <c r="BS1270" s="147"/>
      <c r="BT1270" s="147"/>
      <c r="BU1270" s="147"/>
      <c r="BV1270" s="147"/>
      <c r="BW1270" s="147"/>
      <c r="BX1270" s="147"/>
      <c r="BY1270" s="147"/>
      <c r="BZ1270" s="147"/>
      <c r="CA1270" s="147"/>
      <c r="CB1270" s="147"/>
      <c r="CC1270" s="147"/>
      <c r="CD1270" s="147"/>
      <c r="CE1270" s="147"/>
      <c r="CF1270" s="147"/>
      <c r="CG1270" s="147"/>
      <c r="CH1270" s="147"/>
      <c r="CI1270" s="147"/>
      <c r="CJ1270" s="147"/>
      <c r="CK1270" s="147"/>
    </row>
    <row r="1271" spans="1:89">
      <c r="A1271" s="157"/>
      <c r="F1271" s="3"/>
      <c r="G1271" s="3"/>
      <c r="L1271" s="157"/>
      <c r="M1271" s="157"/>
      <c r="O1271" s="147"/>
      <c r="P1271" s="147"/>
      <c r="Q1271" s="147"/>
      <c r="R1271" s="147"/>
      <c r="S1271" s="147"/>
      <c r="T1271" s="147"/>
      <c r="U1271" s="147"/>
      <c r="V1271" s="147"/>
      <c r="W1271" s="147"/>
      <c r="X1271" s="147"/>
      <c r="Y1271" s="147"/>
      <c r="Z1271" s="147"/>
      <c r="AA1271" s="147"/>
      <c r="AB1271" s="147"/>
      <c r="AC1271" s="147"/>
      <c r="AD1271" s="147"/>
      <c r="AE1271" s="147"/>
      <c r="AF1271" s="147"/>
      <c r="AG1271" s="147"/>
      <c r="AH1271" s="147"/>
      <c r="AI1271" s="147"/>
      <c r="AJ1271" s="147"/>
      <c r="AK1271" s="147"/>
      <c r="AL1271" s="147"/>
      <c r="AM1271" s="151"/>
      <c r="AN1271" s="147"/>
      <c r="AO1271" s="147"/>
      <c r="AP1271" s="147"/>
      <c r="AQ1271" s="147"/>
      <c r="AR1271" s="147"/>
      <c r="AS1271" s="147"/>
      <c r="AT1271" s="147"/>
      <c r="AU1271" s="147"/>
      <c r="AV1271" s="147"/>
      <c r="AW1271" s="147"/>
      <c r="AX1271" s="147"/>
      <c r="AY1271" s="147"/>
      <c r="AZ1271" s="147"/>
      <c r="BA1271" s="147"/>
      <c r="BB1271" s="147"/>
      <c r="BC1271" s="147"/>
      <c r="BD1271" s="147"/>
      <c r="BE1271" s="147"/>
      <c r="BF1271" s="147"/>
      <c r="BG1271" s="147"/>
      <c r="BH1271" s="147"/>
      <c r="BI1271" s="147"/>
      <c r="BJ1271" s="147"/>
      <c r="BK1271" s="147"/>
      <c r="BL1271" s="147"/>
      <c r="BM1271" s="147"/>
      <c r="BN1271" s="147"/>
      <c r="BO1271" s="147"/>
      <c r="BP1271" s="147"/>
      <c r="BQ1271" s="147"/>
      <c r="BR1271" s="147"/>
      <c r="BS1271" s="147"/>
      <c r="BT1271" s="147"/>
      <c r="BU1271" s="147"/>
      <c r="BV1271" s="147"/>
      <c r="BW1271" s="147"/>
      <c r="BX1271" s="147"/>
      <c r="BY1271" s="147"/>
      <c r="BZ1271" s="147"/>
      <c r="CA1271" s="147"/>
      <c r="CB1271" s="147"/>
      <c r="CC1271" s="147"/>
      <c r="CD1271" s="147"/>
      <c r="CE1271" s="147"/>
      <c r="CF1271" s="147"/>
      <c r="CG1271" s="147"/>
      <c r="CH1271" s="147"/>
      <c r="CI1271" s="147"/>
      <c r="CJ1271" s="147"/>
      <c r="CK1271" s="147"/>
    </row>
    <row r="1272" spans="1:89">
      <c r="A1272" s="157"/>
      <c r="F1272" s="3"/>
      <c r="G1272" s="3"/>
      <c r="L1272" s="157"/>
      <c r="M1272" s="157"/>
      <c r="O1272" s="147"/>
      <c r="P1272" s="147"/>
      <c r="Q1272" s="147"/>
      <c r="R1272" s="147"/>
      <c r="S1272" s="147"/>
      <c r="T1272" s="147"/>
      <c r="U1272" s="147"/>
      <c r="V1272" s="147"/>
      <c r="W1272" s="147"/>
      <c r="X1272" s="147"/>
      <c r="Y1272" s="147"/>
      <c r="Z1272" s="147"/>
      <c r="AA1272" s="147"/>
      <c r="AB1272" s="147"/>
      <c r="AC1272" s="147"/>
      <c r="AD1272" s="147"/>
      <c r="AE1272" s="147"/>
      <c r="AF1272" s="147"/>
      <c r="AG1272" s="147"/>
      <c r="AH1272" s="147"/>
      <c r="AI1272" s="147"/>
      <c r="AJ1272" s="147"/>
      <c r="AK1272" s="147"/>
      <c r="AL1272" s="147"/>
      <c r="AM1272" s="151"/>
      <c r="AN1272" s="147"/>
      <c r="AO1272" s="147"/>
      <c r="AP1272" s="147"/>
      <c r="AQ1272" s="147"/>
      <c r="AR1272" s="147"/>
      <c r="AS1272" s="147"/>
      <c r="AT1272" s="147"/>
      <c r="AU1272" s="147"/>
      <c r="AV1272" s="147"/>
      <c r="AW1272" s="147"/>
      <c r="AX1272" s="147"/>
      <c r="AY1272" s="147"/>
      <c r="AZ1272" s="147"/>
      <c r="BA1272" s="147"/>
      <c r="BB1272" s="147"/>
      <c r="BC1272" s="147"/>
      <c r="BD1272" s="147"/>
      <c r="BE1272" s="147"/>
      <c r="BF1272" s="147"/>
      <c r="BG1272" s="147"/>
      <c r="BH1272" s="147"/>
      <c r="BI1272" s="147"/>
      <c r="BJ1272" s="147"/>
      <c r="BK1272" s="147"/>
      <c r="BL1272" s="147"/>
      <c r="BM1272" s="147"/>
      <c r="BN1272" s="147"/>
      <c r="BO1272" s="147"/>
      <c r="BP1272" s="147"/>
      <c r="BQ1272" s="147"/>
      <c r="BR1272" s="147"/>
      <c r="BS1272" s="147"/>
      <c r="BT1272" s="147"/>
      <c r="BU1272" s="147"/>
      <c r="BV1272" s="147"/>
      <c r="BW1272" s="147"/>
      <c r="BX1272" s="147"/>
      <c r="BY1272" s="147"/>
      <c r="BZ1272" s="147"/>
      <c r="CA1272" s="147"/>
      <c r="CB1272" s="147"/>
      <c r="CC1272" s="147"/>
      <c r="CD1272" s="147"/>
      <c r="CE1272" s="147"/>
      <c r="CF1272" s="147"/>
      <c r="CG1272" s="147"/>
      <c r="CH1272" s="147"/>
      <c r="CI1272" s="147"/>
      <c r="CJ1272" s="147"/>
      <c r="CK1272" s="147"/>
    </row>
    <row r="1273" spans="1:89">
      <c r="A1273" s="157"/>
      <c r="F1273" s="3"/>
      <c r="G1273" s="3"/>
      <c r="L1273" s="157"/>
      <c r="M1273" s="157"/>
      <c r="O1273" s="147"/>
      <c r="P1273" s="147"/>
      <c r="Q1273" s="147"/>
      <c r="R1273" s="147"/>
      <c r="S1273" s="147"/>
      <c r="T1273" s="147"/>
      <c r="U1273" s="147"/>
      <c r="V1273" s="147"/>
      <c r="W1273" s="147"/>
      <c r="X1273" s="147"/>
      <c r="Y1273" s="147"/>
      <c r="Z1273" s="147"/>
      <c r="AA1273" s="147"/>
      <c r="AB1273" s="147"/>
      <c r="AC1273" s="147"/>
      <c r="AD1273" s="147"/>
      <c r="AE1273" s="147"/>
      <c r="AF1273" s="147"/>
      <c r="AG1273" s="147"/>
      <c r="AH1273" s="147"/>
      <c r="AI1273" s="147"/>
      <c r="AJ1273" s="147"/>
      <c r="AK1273" s="147"/>
      <c r="AL1273" s="147"/>
      <c r="AM1273" s="151"/>
      <c r="AN1273" s="147"/>
      <c r="AO1273" s="147"/>
      <c r="AP1273" s="147"/>
      <c r="AQ1273" s="147"/>
      <c r="AR1273" s="147"/>
      <c r="AS1273" s="147"/>
      <c r="AT1273" s="147"/>
      <c r="AU1273" s="147"/>
      <c r="AV1273" s="147"/>
      <c r="AW1273" s="147"/>
      <c r="AX1273" s="147"/>
      <c r="AY1273" s="147"/>
      <c r="AZ1273" s="147"/>
      <c r="BA1273" s="147"/>
      <c r="BB1273" s="147"/>
      <c r="BC1273" s="147"/>
      <c r="BD1273" s="147"/>
      <c r="BE1273" s="147"/>
      <c r="BF1273" s="147"/>
      <c r="BG1273" s="147"/>
      <c r="BH1273" s="147"/>
      <c r="BI1273" s="147"/>
      <c r="BJ1273" s="147"/>
      <c r="BK1273" s="147"/>
      <c r="BL1273" s="147"/>
      <c r="BM1273" s="147"/>
      <c r="BN1273" s="147"/>
      <c r="BO1273" s="147"/>
      <c r="BP1273" s="147"/>
      <c r="BQ1273" s="147"/>
      <c r="BR1273" s="147"/>
      <c r="BS1273" s="147"/>
      <c r="BT1273" s="147"/>
      <c r="BU1273" s="147"/>
      <c r="BV1273" s="147"/>
      <c r="BW1273" s="147"/>
      <c r="BX1273" s="147"/>
      <c r="BY1273" s="147"/>
      <c r="BZ1273" s="147"/>
      <c r="CA1273" s="147"/>
      <c r="CB1273" s="147"/>
      <c r="CC1273" s="147"/>
      <c r="CD1273" s="147"/>
      <c r="CE1273" s="147"/>
      <c r="CF1273" s="147"/>
      <c r="CG1273" s="147"/>
      <c r="CH1273" s="147"/>
      <c r="CI1273" s="147"/>
      <c r="CJ1273" s="147"/>
      <c r="CK1273" s="147"/>
    </row>
    <row r="1274" spans="1:89">
      <c r="A1274" s="157"/>
      <c r="F1274" s="3"/>
      <c r="G1274" s="3"/>
      <c r="L1274" s="157"/>
      <c r="M1274" s="157"/>
      <c r="O1274" s="147"/>
      <c r="P1274" s="147"/>
      <c r="Q1274" s="147"/>
      <c r="R1274" s="147"/>
      <c r="S1274" s="147"/>
      <c r="T1274" s="147"/>
      <c r="U1274" s="147"/>
      <c r="V1274" s="147"/>
      <c r="W1274" s="147"/>
      <c r="X1274" s="147"/>
      <c r="Y1274" s="147"/>
      <c r="Z1274" s="147"/>
      <c r="AA1274" s="147"/>
      <c r="AB1274" s="147"/>
      <c r="AC1274" s="147"/>
      <c r="AD1274" s="147"/>
      <c r="AE1274" s="147"/>
      <c r="AF1274" s="147"/>
      <c r="AG1274" s="147"/>
      <c r="AH1274" s="147"/>
      <c r="AI1274" s="147"/>
      <c r="AJ1274" s="147"/>
      <c r="AK1274" s="147"/>
      <c r="AL1274" s="147"/>
      <c r="AM1274" s="151"/>
      <c r="AN1274" s="147"/>
      <c r="AO1274" s="147"/>
      <c r="AP1274" s="147"/>
      <c r="AQ1274" s="147"/>
      <c r="AR1274" s="147"/>
      <c r="AS1274" s="147"/>
      <c r="AT1274" s="147"/>
      <c r="AU1274" s="147"/>
      <c r="AV1274" s="147"/>
      <c r="AW1274" s="147"/>
      <c r="AX1274" s="147"/>
      <c r="AY1274" s="147"/>
      <c r="AZ1274" s="147"/>
      <c r="BA1274" s="147"/>
      <c r="BB1274" s="147"/>
      <c r="BC1274" s="147"/>
      <c r="BD1274" s="147"/>
      <c r="BE1274" s="147"/>
      <c r="BF1274" s="147"/>
      <c r="BG1274" s="147"/>
      <c r="BH1274" s="147"/>
      <c r="BI1274" s="147"/>
      <c r="BJ1274" s="147"/>
      <c r="BK1274" s="147"/>
      <c r="BL1274" s="147"/>
      <c r="BM1274" s="147"/>
      <c r="BN1274" s="147"/>
      <c r="BO1274" s="147"/>
      <c r="BP1274" s="147"/>
      <c r="BQ1274" s="147"/>
      <c r="BR1274" s="147"/>
      <c r="BS1274" s="147"/>
      <c r="BT1274" s="147"/>
      <c r="BU1274" s="147"/>
      <c r="BV1274" s="147"/>
      <c r="BW1274" s="147"/>
      <c r="BX1274" s="147"/>
      <c r="BY1274" s="147"/>
      <c r="BZ1274" s="147"/>
      <c r="CA1274" s="147"/>
      <c r="CB1274" s="147"/>
      <c r="CC1274" s="147"/>
      <c r="CD1274" s="147"/>
      <c r="CE1274" s="147"/>
      <c r="CF1274" s="147"/>
      <c r="CG1274" s="147"/>
      <c r="CH1274" s="147"/>
      <c r="CI1274" s="147"/>
      <c r="CJ1274" s="147"/>
      <c r="CK1274" s="147"/>
    </row>
    <row r="1275" spans="1:89">
      <c r="A1275" s="157"/>
      <c r="F1275" s="3"/>
      <c r="G1275" s="3"/>
      <c r="L1275" s="157"/>
      <c r="M1275" s="157"/>
      <c r="O1275" s="147"/>
      <c r="P1275" s="147"/>
      <c r="Q1275" s="147"/>
      <c r="R1275" s="147"/>
      <c r="S1275" s="147"/>
      <c r="T1275" s="147"/>
      <c r="U1275" s="147"/>
      <c r="V1275" s="147"/>
      <c r="W1275" s="147"/>
      <c r="X1275" s="147"/>
      <c r="Y1275" s="147"/>
      <c r="Z1275" s="147"/>
      <c r="AA1275" s="147"/>
      <c r="AB1275" s="147"/>
      <c r="AC1275" s="147"/>
      <c r="AD1275" s="147"/>
      <c r="AE1275" s="147"/>
      <c r="AF1275" s="147"/>
      <c r="AG1275" s="147"/>
      <c r="AH1275" s="147"/>
      <c r="AI1275" s="147"/>
      <c r="AJ1275" s="147"/>
      <c r="AK1275" s="147"/>
      <c r="AL1275" s="147"/>
      <c r="AM1275" s="151"/>
      <c r="AN1275" s="147"/>
      <c r="AO1275" s="147"/>
      <c r="AP1275" s="147"/>
      <c r="AQ1275" s="147"/>
      <c r="AR1275" s="147"/>
      <c r="AS1275" s="147"/>
      <c r="AT1275" s="147"/>
      <c r="AU1275" s="147"/>
      <c r="AV1275" s="147"/>
      <c r="AW1275" s="147"/>
      <c r="AX1275" s="147"/>
      <c r="AY1275" s="147"/>
      <c r="AZ1275" s="147"/>
      <c r="BA1275" s="147"/>
      <c r="BB1275" s="147"/>
      <c r="BC1275" s="147"/>
      <c r="BD1275" s="147"/>
      <c r="BE1275" s="147"/>
      <c r="BF1275" s="147"/>
      <c r="BG1275" s="147"/>
      <c r="BH1275" s="147"/>
      <c r="BI1275" s="147"/>
      <c r="BJ1275" s="147"/>
      <c r="BK1275" s="147"/>
      <c r="BL1275" s="147"/>
      <c r="BM1275" s="147"/>
      <c r="BN1275" s="147"/>
      <c r="BO1275" s="147"/>
      <c r="BP1275" s="147"/>
      <c r="BQ1275" s="147"/>
      <c r="BR1275" s="147"/>
      <c r="BS1275" s="147"/>
      <c r="BT1275" s="147"/>
      <c r="BU1275" s="147"/>
      <c r="BV1275" s="147"/>
      <c r="BW1275" s="147"/>
      <c r="BX1275" s="147"/>
      <c r="BY1275" s="147"/>
      <c r="BZ1275" s="147"/>
      <c r="CA1275" s="147"/>
      <c r="CB1275" s="147"/>
      <c r="CC1275" s="147"/>
      <c r="CD1275" s="147"/>
      <c r="CE1275" s="147"/>
      <c r="CF1275" s="147"/>
      <c r="CG1275" s="147"/>
      <c r="CH1275" s="147"/>
      <c r="CI1275" s="147"/>
      <c r="CJ1275" s="147"/>
      <c r="CK1275" s="147"/>
    </row>
    <row r="1276" spans="1:89">
      <c r="A1276" s="157"/>
      <c r="F1276" s="3"/>
      <c r="G1276" s="3"/>
      <c r="L1276" s="157"/>
      <c r="M1276" s="157"/>
      <c r="O1276" s="147"/>
      <c r="P1276" s="147"/>
      <c r="Q1276" s="147"/>
      <c r="R1276" s="147"/>
      <c r="S1276" s="147"/>
      <c r="T1276" s="147"/>
      <c r="U1276" s="147"/>
      <c r="V1276" s="147"/>
      <c r="W1276" s="147"/>
      <c r="X1276" s="147"/>
      <c r="Y1276" s="147"/>
      <c r="Z1276" s="147"/>
      <c r="AA1276" s="147"/>
      <c r="AB1276" s="147"/>
      <c r="AC1276" s="147"/>
      <c r="AD1276" s="147"/>
      <c r="AE1276" s="147"/>
      <c r="AF1276" s="147"/>
      <c r="AG1276" s="147"/>
      <c r="AH1276" s="147"/>
      <c r="AI1276" s="147"/>
      <c r="AJ1276" s="147"/>
      <c r="AK1276" s="147"/>
      <c r="AL1276" s="147"/>
      <c r="AM1276" s="151"/>
      <c r="AN1276" s="147"/>
      <c r="AO1276" s="147"/>
      <c r="AP1276" s="147"/>
      <c r="AQ1276" s="147"/>
      <c r="AR1276" s="147"/>
      <c r="AS1276" s="147"/>
      <c r="AT1276" s="147"/>
      <c r="AU1276" s="147"/>
      <c r="AV1276" s="147"/>
      <c r="AW1276" s="147"/>
      <c r="AX1276" s="147"/>
      <c r="AY1276" s="147"/>
      <c r="AZ1276" s="147"/>
      <c r="BA1276" s="147"/>
      <c r="BB1276" s="147"/>
      <c r="BC1276" s="147"/>
      <c r="BD1276" s="147"/>
      <c r="BE1276" s="147"/>
      <c r="BF1276" s="147"/>
      <c r="BG1276" s="147"/>
      <c r="BH1276" s="147"/>
      <c r="BI1276" s="147"/>
      <c r="BJ1276" s="147"/>
      <c r="BK1276" s="147"/>
      <c r="BL1276" s="147"/>
      <c r="BM1276" s="147"/>
      <c r="BN1276" s="147"/>
      <c r="BO1276" s="147"/>
      <c r="BP1276" s="147"/>
      <c r="BQ1276" s="147"/>
      <c r="BR1276" s="147"/>
      <c r="BS1276" s="147"/>
      <c r="BT1276" s="147"/>
      <c r="BU1276" s="147"/>
      <c r="BV1276" s="147"/>
      <c r="BW1276" s="147"/>
      <c r="BX1276" s="147"/>
      <c r="BY1276" s="147"/>
      <c r="BZ1276" s="147"/>
      <c r="CA1276" s="147"/>
      <c r="CB1276" s="147"/>
      <c r="CC1276" s="147"/>
      <c r="CD1276" s="147"/>
      <c r="CE1276" s="147"/>
      <c r="CF1276" s="147"/>
      <c r="CG1276" s="147"/>
      <c r="CH1276" s="147"/>
      <c r="CI1276" s="147"/>
      <c r="CJ1276" s="147"/>
      <c r="CK1276" s="147"/>
    </row>
    <row r="1277" spans="1:89">
      <c r="A1277" s="157"/>
      <c r="F1277" s="3"/>
      <c r="G1277" s="3"/>
      <c r="L1277" s="157"/>
      <c r="M1277" s="157"/>
      <c r="O1277" s="147"/>
      <c r="P1277" s="147"/>
      <c r="Q1277" s="147"/>
      <c r="R1277" s="147"/>
      <c r="S1277" s="147"/>
      <c r="T1277" s="147"/>
      <c r="U1277" s="147"/>
      <c r="V1277" s="147"/>
      <c r="W1277" s="147"/>
      <c r="X1277" s="147"/>
      <c r="Y1277" s="147"/>
      <c r="Z1277" s="147"/>
      <c r="AA1277" s="147"/>
      <c r="AB1277" s="147"/>
      <c r="AC1277" s="147"/>
      <c r="AD1277" s="147"/>
      <c r="AE1277" s="147"/>
      <c r="AF1277" s="147"/>
      <c r="AG1277" s="147"/>
      <c r="AH1277" s="147"/>
      <c r="AI1277" s="147"/>
      <c r="AJ1277" s="147"/>
      <c r="AK1277" s="147"/>
      <c r="AL1277" s="147"/>
      <c r="AM1277" s="151"/>
      <c r="AN1277" s="147"/>
      <c r="AO1277" s="147"/>
      <c r="AP1277" s="147"/>
      <c r="AQ1277" s="147"/>
      <c r="AR1277" s="147"/>
      <c r="AS1277" s="147"/>
      <c r="AT1277" s="147"/>
      <c r="AU1277" s="147"/>
      <c r="AV1277" s="147"/>
      <c r="AW1277" s="147"/>
      <c r="AX1277" s="147"/>
      <c r="AY1277" s="147"/>
      <c r="AZ1277" s="147"/>
      <c r="BA1277" s="147"/>
      <c r="BB1277" s="147"/>
      <c r="BC1277" s="147"/>
      <c r="BD1277" s="147"/>
      <c r="BE1277" s="147"/>
      <c r="BF1277" s="147"/>
      <c r="BG1277" s="147"/>
      <c r="BH1277" s="147"/>
      <c r="BI1277" s="147"/>
      <c r="BJ1277" s="147"/>
      <c r="BK1277" s="147"/>
      <c r="BL1277" s="147"/>
      <c r="BM1277" s="147"/>
      <c r="BN1277" s="147"/>
      <c r="BO1277" s="147"/>
      <c r="BP1277" s="147"/>
      <c r="BQ1277" s="147"/>
      <c r="BR1277" s="147"/>
      <c r="BS1277" s="147"/>
      <c r="BT1277" s="147"/>
      <c r="BU1277" s="147"/>
      <c r="BV1277" s="147"/>
      <c r="BW1277" s="147"/>
      <c r="BX1277" s="147"/>
      <c r="BY1277" s="147"/>
      <c r="BZ1277" s="147"/>
      <c r="CA1277" s="147"/>
      <c r="CB1277" s="147"/>
      <c r="CC1277" s="147"/>
      <c r="CD1277" s="147"/>
      <c r="CE1277" s="147"/>
      <c r="CF1277" s="147"/>
      <c r="CG1277" s="147"/>
      <c r="CH1277" s="147"/>
      <c r="CI1277" s="147"/>
      <c r="CJ1277" s="147"/>
      <c r="CK1277" s="147"/>
    </row>
    <row r="1278" spans="1:89">
      <c r="A1278" s="157"/>
      <c r="F1278" s="3"/>
      <c r="G1278" s="3"/>
      <c r="L1278" s="157"/>
      <c r="M1278" s="157"/>
      <c r="O1278" s="147"/>
      <c r="P1278" s="147"/>
      <c r="Q1278" s="147"/>
      <c r="R1278" s="147"/>
      <c r="S1278" s="147"/>
      <c r="T1278" s="147"/>
      <c r="U1278" s="147"/>
      <c r="V1278" s="147"/>
      <c r="W1278" s="147"/>
      <c r="X1278" s="147"/>
      <c r="Y1278" s="147"/>
      <c r="Z1278" s="147"/>
      <c r="AA1278" s="147"/>
      <c r="AB1278" s="147"/>
      <c r="AC1278" s="147"/>
      <c r="AD1278" s="147"/>
      <c r="AE1278" s="147"/>
      <c r="AF1278" s="147"/>
      <c r="AG1278" s="147"/>
      <c r="AH1278" s="147"/>
      <c r="AI1278" s="147"/>
      <c r="AJ1278" s="147"/>
      <c r="AK1278" s="147"/>
      <c r="AL1278" s="147"/>
      <c r="AM1278" s="151"/>
      <c r="AN1278" s="147"/>
      <c r="AO1278" s="147"/>
      <c r="AP1278" s="147"/>
      <c r="AQ1278" s="147"/>
      <c r="AR1278" s="147"/>
      <c r="AS1278" s="147"/>
      <c r="AT1278" s="147"/>
      <c r="AU1278" s="147"/>
      <c r="AV1278" s="147"/>
      <c r="AW1278" s="147"/>
      <c r="AX1278" s="147"/>
      <c r="AY1278" s="147"/>
      <c r="AZ1278" s="147"/>
      <c r="BA1278" s="147"/>
      <c r="BB1278" s="147"/>
      <c r="BC1278" s="147"/>
      <c r="BD1278" s="147"/>
      <c r="BE1278" s="147"/>
      <c r="BF1278" s="147"/>
      <c r="BG1278" s="147"/>
      <c r="BH1278" s="147"/>
      <c r="BI1278" s="147"/>
      <c r="BJ1278" s="147"/>
      <c r="BK1278" s="147"/>
      <c r="BL1278" s="147"/>
      <c r="BM1278" s="147"/>
      <c r="BN1278" s="147"/>
      <c r="BO1278" s="147"/>
      <c r="BP1278" s="147"/>
      <c r="BQ1278" s="147"/>
      <c r="BR1278" s="147"/>
      <c r="BS1278" s="147"/>
      <c r="BT1278" s="147"/>
      <c r="BU1278" s="147"/>
      <c r="BV1278" s="147"/>
      <c r="BW1278" s="147"/>
      <c r="BX1278" s="147"/>
      <c r="BY1278" s="147"/>
      <c r="BZ1278" s="147"/>
      <c r="CA1278" s="147"/>
      <c r="CB1278" s="147"/>
      <c r="CC1278" s="147"/>
      <c r="CD1278" s="147"/>
      <c r="CE1278" s="147"/>
      <c r="CF1278" s="147"/>
      <c r="CG1278" s="147"/>
      <c r="CH1278" s="147"/>
      <c r="CI1278" s="147"/>
      <c r="CJ1278" s="147"/>
      <c r="CK1278" s="147"/>
    </row>
    <row r="1279" spans="1:89">
      <c r="A1279" s="157"/>
      <c r="F1279" s="3"/>
      <c r="G1279" s="3"/>
      <c r="L1279" s="157"/>
      <c r="M1279" s="157"/>
      <c r="O1279" s="147"/>
      <c r="P1279" s="147"/>
      <c r="Q1279" s="147"/>
      <c r="R1279" s="147"/>
      <c r="S1279" s="147"/>
      <c r="T1279" s="147"/>
      <c r="U1279" s="147"/>
      <c r="V1279" s="147"/>
      <c r="W1279" s="147"/>
      <c r="X1279" s="147"/>
      <c r="Y1279" s="147"/>
      <c r="Z1279" s="147"/>
      <c r="AA1279" s="147"/>
      <c r="AB1279" s="147"/>
      <c r="AC1279" s="147"/>
      <c r="AD1279" s="147"/>
      <c r="AE1279" s="147"/>
      <c r="AF1279" s="147"/>
      <c r="AG1279" s="147"/>
      <c r="AH1279" s="147"/>
      <c r="AI1279" s="147"/>
      <c r="AJ1279" s="147"/>
      <c r="AK1279" s="147"/>
      <c r="AL1279" s="147"/>
      <c r="AM1279" s="151"/>
      <c r="AN1279" s="147"/>
      <c r="AO1279" s="147"/>
      <c r="AP1279" s="147"/>
      <c r="AQ1279" s="147"/>
      <c r="AR1279" s="147"/>
      <c r="AS1279" s="147"/>
      <c r="AT1279" s="147"/>
      <c r="AU1279" s="147"/>
      <c r="AV1279" s="147"/>
      <c r="AW1279" s="147"/>
      <c r="AX1279" s="147"/>
      <c r="AY1279" s="147"/>
      <c r="AZ1279" s="147"/>
      <c r="BA1279" s="147"/>
      <c r="BB1279" s="147"/>
      <c r="BC1279" s="147"/>
      <c r="BD1279" s="147"/>
      <c r="BE1279" s="147"/>
      <c r="BF1279" s="147"/>
      <c r="BG1279" s="147"/>
      <c r="BH1279" s="147"/>
      <c r="BI1279" s="147"/>
      <c r="BJ1279" s="147"/>
      <c r="BK1279" s="147"/>
      <c r="BL1279" s="147"/>
      <c r="BM1279" s="147"/>
      <c r="BN1279" s="147"/>
      <c r="BO1279" s="147"/>
      <c r="BP1279" s="147"/>
      <c r="BQ1279" s="147"/>
      <c r="BR1279" s="147"/>
      <c r="BS1279" s="147"/>
      <c r="BT1279" s="147"/>
      <c r="BU1279" s="147"/>
      <c r="BV1279" s="147"/>
      <c r="BW1279" s="147"/>
      <c r="BX1279" s="147"/>
      <c r="BY1279" s="147"/>
      <c r="BZ1279" s="147"/>
      <c r="CA1279" s="147"/>
      <c r="CB1279" s="147"/>
      <c r="CC1279" s="147"/>
      <c r="CD1279" s="147"/>
      <c r="CE1279" s="147"/>
      <c r="CF1279" s="147"/>
      <c r="CG1279" s="147"/>
      <c r="CH1279" s="147"/>
      <c r="CI1279" s="147"/>
      <c r="CJ1279" s="147"/>
      <c r="CK1279" s="147"/>
    </row>
    <row r="1280" spans="1:89">
      <c r="A1280" s="157"/>
      <c r="F1280" s="3"/>
      <c r="G1280" s="3"/>
      <c r="L1280" s="157"/>
      <c r="M1280" s="157"/>
      <c r="O1280" s="147"/>
      <c r="P1280" s="147"/>
      <c r="Q1280" s="147"/>
      <c r="R1280" s="147"/>
      <c r="S1280" s="147"/>
      <c r="T1280" s="147"/>
      <c r="U1280" s="147"/>
      <c r="V1280" s="147"/>
      <c r="W1280" s="147"/>
      <c r="X1280" s="147"/>
      <c r="Y1280" s="147"/>
      <c r="Z1280" s="147"/>
      <c r="AA1280" s="147"/>
      <c r="AB1280" s="147"/>
      <c r="AC1280" s="147"/>
      <c r="AD1280" s="147"/>
      <c r="AE1280" s="147"/>
      <c r="AF1280" s="147"/>
      <c r="AG1280" s="147"/>
      <c r="AH1280" s="147"/>
      <c r="AI1280" s="147"/>
      <c r="AJ1280" s="147"/>
      <c r="AK1280" s="147"/>
      <c r="AL1280" s="147"/>
      <c r="AM1280" s="151"/>
      <c r="AN1280" s="147"/>
      <c r="AO1280" s="147"/>
      <c r="AP1280" s="147"/>
      <c r="AQ1280" s="147"/>
      <c r="AR1280" s="147"/>
      <c r="AS1280" s="147"/>
      <c r="AT1280" s="147"/>
      <c r="AU1280" s="147"/>
      <c r="AV1280" s="147"/>
      <c r="AW1280" s="147"/>
      <c r="AX1280" s="147"/>
      <c r="AY1280" s="147"/>
      <c r="AZ1280" s="147"/>
      <c r="BA1280" s="147"/>
      <c r="BB1280" s="147"/>
      <c r="BC1280" s="147"/>
      <c r="BD1280" s="147"/>
      <c r="BE1280" s="147"/>
      <c r="BF1280" s="147"/>
      <c r="BG1280" s="147"/>
      <c r="BH1280" s="147"/>
      <c r="BI1280" s="147"/>
      <c r="BJ1280" s="147"/>
      <c r="BK1280" s="147"/>
      <c r="BL1280" s="147"/>
      <c r="BM1280" s="147"/>
      <c r="BN1280" s="147"/>
      <c r="BO1280" s="147"/>
      <c r="BP1280" s="147"/>
      <c r="BQ1280" s="147"/>
      <c r="BR1280" s="147"/>
      <c r="BS1280" s="147"/>
      <c r="BT1280" s="147"/>
      <c r="BU1280" s="147"/>
      <c r="BV1280" s="147"/>
      <c r="BW1280" s="147"/>
      <c r="BX1280" s="147"/>
      <c r="BY1280" s="147"/>
      <c r="BZ1280" s="147"/>
      <c r="CA1280" s="147"/>
      <c r="CB1280" s="147"/>
      <c r="CC1280" s="147"/>
      <c r="CD1280" s="147"/>
      <c r="CE1280" s="147"/>
      <c r="CF1280" s="147"/>
      <c r="CG1280" s="147"/>
      <c r="CH1280" s="147"/>
      <c r="CI1280" s="147"/>
      <c r="CJ1280" s="147"/>
      <c r="CK1280" s="147"/>
    </row>
    <row r="1281" spans="1:89">
      <c r="A1281" s="157"/>
      <c r="F1281" s="3"/>
      <c r="G1281" s="3"/>
      <c r="L1281" s="157"/>
      <c r="M1281" s="157"/>
      <c r="O1281" s="147"/>
      <c r="P1281" s="147"/>
      <c r="Q1281" s="147"/>
      <c r="R1281" s="147"/>
      <c r="S1281" s="147"/>
      <c r="T1281" s="147"/>
      <c r="U1281" s="147"/>
      <c r="V1281" s="147"/>
      <c r="W1281" s="147"/>
      <c r="X1281" s="147"/>
      <c r="Y1281" s="147"/>
      <c r="Z1281" s="147"/>
      <c r="AA1281" s="147"/>
      <c r="AB1281" s="147"/>
      <c r="AC1281" s="147"/>
      <c r="AD1281" s="147"/>
      <c r="AE1281" s="147"/>
      <c r="AF1281" s="147"/>
      <c r="AG1281" s="147"/>
      <c r="AH1281" s="147"/>
      <c r="AI1281" s="147"/>
      <c r="AJ1281" s="147"/>
      <c r="AK1281" s="147"/>
      <c r="AL1281" s="147"/>
      <c r="AM1281" s="151"/>
      <c r="AN1281" s="147"/>
      <c r="AO1281" s="147"/>
      <c r="AP1281" s="147"/>
      <c r="AQ1281" s="147"/>
      <c r="AR1281" s="147"/>
      <c r="AS1281" s="147"/>
      <c r="AT1281" s="147"/>
      <c r="AU1281" s="147"/>
      <c r="AV1281" s="147"/>
      <c r="AW1281" s="147"/>
      <c r="AX1281" s="147"/>
      <c r="AY1281" s="147"/>
      <c r="AZ1281" s="147"/>
      <c r="BA1281" s="147"/>
      <c r="BB1281" s="147"/>
      <c r="BC1281" s="147"/>
      <c r="BD1281" s="147"/>
      <c r="BE1281" s="147"/>
      <c r="BF1281" s="147"/>
      <c r="BG1281" s="147"/>
      <c r="BH1281" s="147"/>
      <c r="BI1281" s="147"/>
      <c r="BJ1281" s="147"/>
      <c r="BK1281" s="147"/>
      <c r="BL1281" s="147"/>
      <c r="BM1281" s="147"/>
      <c r="BN1281" s="147"/>
      <c r="BO1281" s="147"/>
      <c r="BP1281" s="147"/>
      <c r="BQ1281" s="147"/>
      <c r="BR1281" s="147"/>
      <c r="BS1281" s="147"/>
      <c r="BT1281" s="147"/>
      <c r="BU1281" s="147"/>
      <c r="BV1281" s="147"/>
      <c r="BW1281" s="147"/>
      <c r="BX1281" s="147"/>
      <c r="BY1281" s="147"/>
      <c r="BZ1281" s="147"/>
      <c r="CA1281" s="147"/>
      <c r="CB1281" s="147"/>
      <c r="CC1281" s="147"/>
      <c r="CD1281" s="147"/>
      <c r="CE1281" s="147"/>
      <c r="CF1281" s="147"/>
      <c r="CG1281" s="147"/>
      <c r="CH1281" s="147"/>
      <c r="CI1281" s="147"/>
      <c r="CJ1281" s="147"/>
      <c r="CK1281" s="147"/>
    </row>
    <row r="1282" spans="1:89">
      <c r="A1282" s="157"/>
      <c r="F1282" s="3"/>
      <c r="G1282" s="3"/>
      <c r="L1282" s="157"/>
      <c r="M1282" s="157"/>
      <c r="O1282" s="147"/>
      <c r="P1282" s="147"/>
      <c r="Q1282" s="147"/>
      <c r="R1282" s="147"/>
      <c r="S1282" s="147"/>
      <c r="T1282" s="147"/>
      <c r="U1282" s="147"/>
      <c r="V1282" s="147"/>
      <c r="W1282" s="147"/>
      <c r="X1282" s="147"/>
      <c r="Y1282" s="147"/>
      <c r="Z1282" s="147"/>
      <c r="AA1282" s="147"/>
      <c r="AB1282" s="147"/>
      <c r="AC1282" s="147"/>
      <c r="AD1282" s="147"/>
      <c r="AE1282" s="147"/>
      <c r="AF1282" s="147"/>
      <c r="AG1282" s="147"/>
      <c r="AH1282" s="147"/>
      <c r="AI1282" s="147"/>
      <c r="AJ1282" s="147"/>
      <c r="AK1282" s="147"/>
      <c r="AL1282" s="147"/>
      <c r="AM1282" s="151"/>
      <c r="AN1282" s="147"/>
      <c r="AO1282" s="147"/>
      <c r="AP1282" s="147"/>
      <c r="AQ1282" s="147"/>
      <c r="AR1282" s="147"/>
      <c r="AS1282" s="147"/>
      <c r="AT1282" s="147"/>
      <c r="AU1282" s="147"/>
      <c r="AV1282" s="147"/>
      <c r="AW1282" s="147"/>
      <c r="AX1282" s="147"/>
      <c r="AY1282" s="147"/>
      <c r="AZ1282" s="147"/>
      <c r="BA1282" s="147"/>
      <c r="BB1282" s="147"/>
      <c r="BC1282" s="147"/>
      <c r="BD1282" s="147"/>
      <c r="BE1282" s="147"/>
      <c r="BF1282" s="147"/>
      <c r="BG1282" s="147"/>
      <c r="BH1282" s="147"/>
      <c r="BI1282" s="147"/>
      <c r="BJ1282" s="147"/>
      <c r="BK1282" s="147"/>
      <c r="BL1282" s="147"/>
      <c r="BM1282" s="147"/>
      <c r="BN1282" s="147"/>
      <c r="BO1282" s="147"/>
      <c r="BP1282" s="147"/>
      <c r="BQ1282" s="147"/>
      <c r="BR1282" s="147"/>
      <c r="BS1282" s="147"/>
      <c r="BT1282" s="147"/>
      <c r="BU1282" s="147"/>
      <c r="BV1282" s="147"/>
      <c r="BW1282" s="147"/>
      <c r="BX1282" s="147"/>
      <c r="BY1282" s="147"/>
      <c r="BZ1282" s="147"/>
      <c r="CA1282" s="147"/>
      <c r="CB1282" s="147"/>
      <c r="CC1282" s="147"/>
      <c r="CD1282" s="147"/>
      <c r="CE1282" s="147"/>
      <c r="CF1282" s="147"/>
      <c r="CG1282" s="147"/>
      <c r="CH1282" s="147"/>
      <c r="CI1282" s="147"/>
      <c r="CJ1282" s="147"/>
      <c r="CK1282" s="147"/>
    </row>
    <row r="1283" spans="1:89">
      <c r="A1283" s="157"/>
      <c r="F1283" s="3"/>
      <c r="G1283" s="3"/>
      <c r="L1283" s="157"/>
      <c r="M1283" s="157"/>
      <c r="O1283" s="147"/>
      <c r="P1283" s="147"/>
      <c r="Q1283" s="147"/>
      <c r="R1283" s="147"/>
      <c r="S1283" s="147"/>
      <c r="T1283" s="147"/>
      <c r="U1283" s="147"/>
      <c r="V1283" s="147"/>
      <c r="W1283" s="147"/>
      <c r="X1283" s="147"/>
      <c r="Y1283" s="147"/>
      <c r="Z1283" s="147"/>
      <c r="AA1283" s="147"/>
      <c r="AB1283" s="147"/>
      <c r="AC1283" s="147"/>
      <c r="AD1283" s="147"/>
      <c r="AE1283" s="147"/>
      <c r="AF1283" s="147"/>
      <c r="AG1283" s="147"/>
      <c r="AH1283" s="147"/>
      <c r="AI1283" s="147"/>
      <c r="AJ1283" s="147"/>
      <c r="AK1283" s="147"/>
      <c r="AL1283" s="147"/>
      <c r="AM1283" s="151"/>
      <c r="AN1283" s="147"/>
      <c r="AO1283" s="147"/>
      <c r="AP1283" s="147"/>
      <c r="AQ1283" s="147"/>
      <c r="AR1283" s="147"/>
      <c r="AS1283" s="147"/>
      <c r="AT1283" s="147"/>
      <c r="AU1283" s="147"/>
      <c r="AV1283" s="147"/>
      <c r="AW1283" s="147"/>
      <c r="AX1283" s="147"/>
      <c r="AY1283" s="147"/>
      <c r="AZ1283" s="147"/>
      <c r="BA1283" s="147"/>
      <c r="BB1283" s="147"/>
      <c r="BC1283" s="147"/>
      <c r="BD1283" s="147"/>
      <c r="BE1283" s="147"/>
      <c r="BF1283" s="147"/>
      <c r="BG1283" s="147"/>
      <c r="BH1283" s="147"/>
      <c r="BI1283" s="147"/>
      <c r="BJ1283" s="147"/>
      <c r="BK1283" s="147"/>
      <c r="BL1283" s="147"/>
      <c r="BM1283" s="147"/>
      <c r="BN1283" s="147"/>
      <c r="BO1283" s="147"/>
      <c r="BP1283" s="147"/>
      <c r="BQ1283" s="147"/>
      <c r="BR1283" s="147"/>
      <c r="BS1283" s="147"/>
      <c r="BT1283" s="147"/>
      <c r="BU1283" s="147"/>
      <c r="BV1283" s="147"/>
      <c r="BW1283" s="147"/>
      <c r="BX1283" s="147"/>
      <c r="BY1283" s="147"/>
      <c r="BZ1283" s="147"/>
      <c r="CA1283" s="147"/>
      <c r="CB1283" s="147"/>
      <c r="CC1283" s="147"/>
      <c r="CD1283" s="147"/>
      <c r="CE1283" s="147"/>
      <c r="CF1283" s="147"/>
      <c r="CG1283" s="147"/>
      <c r="CH1283" s="147"/>
      <c r="CI1283" s="147"/>
      <c r="CJ1283" s="147"/>
      <c r="CK1283" s="147"/>
    </row>
    <row r="1284" spans="1:89">
      <c r="A1284" s="157"/>
      <c r="F1284" s="3"/>
      <c r="G1284" s="3"/>
      <c r="L1284" s="157"/>
      <c r="M1284" s="157"/>
      <c r="O1284" s="147"/>
      <c r="P1284" s="147"/>
      <c r="Q1284" s="147"/>
      <c r="R1284" s="147"/>
      <c r="S1284" s="147"/>
      <c r="T1284" s="147"/>
      <c r="U1284" s="147"/>
      <c r="V1284" s="147"/>
      <c r="W1284" s="147"/>
      <c r="X1284" s="147"/>
      <c r="Y1284" s="147"/>
      <c r="Z1284" s="147"/>
      <c r="AA1284" s="147"/>
      <c r="AB1284" s="147"/>
      <c r="AC1284" s="147"/>
      <c r="AD1284" s="147"/>
      <c r="AE1284" s="147"/>
      <c r="AF1284" s="147"/>
      <c r="AG1284" s="147"/>
      <c r="AH1284" s="147"/>
      <c r="AI1284" s="147"/>
      <c r="AJ1284" s="147"/>
      <c r="AK1284" s="147"/>
      <c r="AL1284" s="147"/>
      <c r="AM1284" s="151"/>
      <c r="AN1284" s="147"/>
      <c r="AO1284" s="147"/>
      <c r="AP1284" s="147"/>
      <c r="AQ1284" s="147"/>
      <c r="AR1284" s="147"/>
      <c r="AS1284" s="147"/>
      <c r="AT1284" s="147"/>
      <c r="AU1284" s="147"/>
      <c r="AV1284" s="147"/>
      <c r="AW1284" s="147"/>
      <c r="AX1284" s="147"/>
      <c r="AY1284" s="147"/>
      <c r="AZ1284" s="147"/>
      <c r="BA1284" s="147"/>
      <c r="BB1284" s="147"/>
      <c r="BC1284" s="147"/>
      <c r="BD1284" s="147"/>
      <c r="BE1284" s="147"/>
      <c r="BF1284" s="147"/>
      <c r="BG1284" s="147"/>
      <c r="BH1284" s="147"/>
      <c r="BI1284" s="147"/>
      <c r="BJ1284" s="147"/>
      <c r="BK1284" s="147"/>
      <c r="BL1284" s="147"/>
      <c r="BM1284" s="147"/>
      <c r="BN1284" s="147"/>
      <c r="BO1284" s="147"/>
      <c r="BP1284" s="147"/>
      <c r="BQ1284" s="147"/>
      <c r="BR1284" s="147"/>
      <c r="BS1284" s="147"/>
      <c r="BT1284" s="147"/>
      <c r="BU1284" s="147"/>
      <c r="BV1284" s="147"/>
      <c r="BW1284" s="147"/>
      <c r="BX1284" s="147"/>
      <c r="BY1284" s="147"/>
      <c r="BZ1284" s="147"/>
      <c r="CA1284" s="147"/>
      <c r="CB1284" s="147"/>
      <c r="CC1284" s="147"/>
      <c r="CD1284" s="147"/>
      <c r="CE1284" s="147"/>
      <c r="CF1284" s="147"/>
      <c r="CG1284" s="147"/>
      <c r="CH1284" s="147"/>
      <c r="CI1284" s="147"/>
      <c r="CJ1284" s="147"/>
      <c r="CK1284" s="147"/>
    </row>
    <row r="1285" spans="1:89">
      <c r="A1285" s="157"/>
      <c r="F1285" s="3"/>
      <c r="G1285" s="3"/>
      <c r="L1285" s="157"/>
      <c r="M1285" s="157"/>
      <c r="O1285" s="147"/>
      <c r="P1285" s="147"/>
      <c r="Q1285" s="147"/>
      <c r="R1285" s="147"/>
      <c r="S1285" s="147"/>
      <c r="T1285" s="147"/>
      <c r="U1285" s="147"/>
      <c r="V1285" s="147"/>
      <c r="W1285" s="147"/>
      <c r="X1285" s="147"/>
      <c r="Y1285" s="147"/>
      <c r="Z1285" s="147"/>
      <c r="AA1285" s="147"/>
      <c r="AB1285" s="147"/>
      <c r="AC1285" s="147"/>
      <c r="AD1285" s="147"/>
      <c r="AE1285" s="147"/>
      <c r="AF1285" s="147"/>
      <c r="AG1285" s="147"/>
      <c r="AH1285" s="147"/>
      <c r="AI1285" s="147"/>
      <c r="AJ1285" s="147"/>
      <c r="AK1285" s="147"/>
      <c r="AL1285" s="147"/>
      <c r="AM1285" s="151"/>
      <c r="AN1285" s="147"/>
      <c r="AO1285" s="147"/>
      <c r="AP1285" s="147"/>
      <c r="AQ1285" s="147"/>
      <c r="AR1285" s="147"/>
      <c r="AS1285" s="147"/>
      <c r="AT1285" s="147"/>
      <c r="AU1285" s="147"/>
      <c r="AV1285" s="147"/>
      <c r="AW1285" s="147"/>
      <c r="AX1285" s="147"/>
      <c r="AY1285" s="147"/>
      <c r="AZ1285" s="147"/>
      <c r="BA1285" s="147"/>
      <c r="BB1285" s="147"/>
      <c r="BC1285" s="147"/>
      <c r="BD1285" s="147"/>
      <c r="BE1285" s="147"/>
      <c r="BF1285" s="147"/>
      <c r="BG1285" s="147"/>
      <c r="BH1285" s="147"/>
      <c r="BI1285" s="147"/>
      <c r="BJ1285" s="147"/>
      <c r="BK1285" s="147"/>
      <c r="BL1285" s="147"/>
      <c r="BM1285" s="147"/>
      <c r="BN1285" s="147"/>
      <c r="BO1285" s="147"/>
      <c r="BP1285" s="147"/>
      <c r="BQ1285" s="147"/>
      <c r="BR1285" s="147"/>
      <c r="BS1285" s="147"/>
      <c r="BT1285" s="147"/>
      <c r="BU1285" s="147"/>
      <c r="BV1285" s="147"/>
      <c r="BW1285" s="147"/>
      <c r="BX1285" s="147"/>
      <c r="BY1285" s="147"/>
      <c r="BZ1285" s="147"/>
      <c r="CA1285" s="147"/>
      <c r="CB1285" s="147"/>
      <c r="CC1285" s="147"/>
      <c r="CD1285" s="147"/>
      <c r="CE1285" s="147"/>
      <c r="CF1285" s="147"/>
      <c r="CG1285" s="147"/>
      <c r="CH1285" s="147"/>
      <c r="CI1285" s="147"/>
      <c r="CJ1285" s="147"/>
      <c r="CK1285" s="147"/>
    </row>
    <row r="1286" spans="1:89">
      <c r="A1286" s="157"/>
      <c r="F1286" s="3"/>
      <c r="G1286" s="3"/>
      <c r="L1286" s="157"/>
      <c r="M1286" s="157"/>
      <c r="O1286" s="147"/>
      <c r="P1286" s="147"/>
      <c r="Q1286" s="147"/>
      <c r="R1286" s="147"/>
      <c r="S1286" s="147"/>
      <c r="T1286" s="147"/>
      <c r="U1286" s="147"/>
      <c r="V1286" s="147"/>
      <c r="W1286" s="147"/>
      <c r="X1286" s="147"/>
      <c r="Y1286" s="147"/>
      <c r="Z1286" s="147"/>
      <c r="AA1286" s="147"/>
      <c r="AB1286" s="147"/>
      <c r="AC1286" s="147"/>
      <c r="AD1286" s="147"/>
      <c r="AE1286" s="147"/>
      <c r="AF1286" s="147"/>
      <c r="AG1286" s="147"/>
      <c r="AH1286" s="147"/>
      <c r="AI1286" s="147"/>
      <c r="AJ1286" s="147"/>
      <c r="AK1286" s="147"/>
      <c r="AL1286" s="147"/>
      <c r="AM1286" s="151"/>
      <c r="AN1286" s="147"/>
      <c r="AO1286" s="147"/>
      <c r="AP1286" s="147"/>
      <c r="AQ1286" s="147"/>
      <c r="AR1286" s="147"/>
      <c r="AS1286" s="147"/>
      <c r="AT1286" s="147"/>
      <c r="AU1286" s="147"/>
      <c r="AV1286" s="147"/>
      <c r="AW1286" s="147"/>
      <c r="AX1286" s="147"/>
      <c r="AY1286" s="147"/>
      <c r="AZ1286" s="147"/>
      <c r="BA1286" s="147"/>
      <c r="BB1286" s="147"/>
      <c r="BC1286" s="147"/>
      <c r="BD1286" s="147"/>
      <c r="BE1286" s="147"/>
      <c r="BF1286" s="147"/>
      <c r="BG1286" s="147"/>
      <c r="BH1286" s="147"/>
      <c r="BI1286" s="147"/>
      <c r="BJ1286" s="147"/>
      <c r="BK1286" s="147"/>
      <c r="BL1286" s="147"/>
      <c r="BM1286" s="147"/>
      <c r="BN1286" s="147"/>
      <c r="BO1286" s="147"/>
      <c r="BP1286" s="147"/>
      <c r="BQ1286" s="147"/>
      <c r="BR1286" s="147"/>
      <c r="BS1286" s="147"/>
      <c r="BT1286" s="147"/>
      <c r="BU1286" s="147"/>
      <c r="BV1286" s="147"/>
      <c r="BW1286" s="147"/>
      <c r="BX1286" s="147"/>
      <c r="BY1286" s="147"/>
      <c r="BZ1286" s="147"/>
      <c r="CA1286" s="147"/>
      <c r="CB1286" s="147"/>
      <c r="CC1286" s="147"/>
      <c r="CD1286" s="147"/>
      <c r="CE1286" s="147"/>
      <c r="CF1286" s="147"/>
      <c r="CG1286" s="147"/>
      <c r="CH1286" s="147"/>
      <c r="CI1286" s="147"/>
      <c r="CJ1286" s="147"/>
      <c r="CK1286" s="147"/>
    </row>
    <row r="1287" spans="1:89">
      <c r="A1287" s="157"/>
      <c r="F1287" s="3"/>
      <c r="G1287" s="3"/>
      <c r="L1287" s="157"/>
      <c r="M1287" s="157"/>
      <c r="O1287" s="147"/>
      <c r="P1287" s="147"/>
      <c r="Q1287" s="147"/>
      <c r="R1287" s="147"/>
      <c r="S1287" s="147"/>
      <c r="T1287" s="147"/>
      <c r="U1287" s="147"/>
      <c r="V1287" s="147"/>
      <c r="W1287" s="147"/>
      <c r="X1287" s="147"/>
      <c r="Y1287" s="147"/>
      <c r="Z1287" s="147"/>
      <c r="AA1287" s="147"/>
      <c r="AB1287" s="147"/>
      <c r="AC1287" s="147"/>
      <c r="AD1287" s="147"/>
      <c r="AE1287" s="147"/>
      <c r="AF1287" s="147"/>
      <c r="AG1287" s="147"/>
      <c r="AH1287" s="147"/>
      <c r="AI1287" s="147"/>
      <c r="AJ1287" s="147"/>
      <c r="AK1287" s="147"/>
      <c r="AL1287" s="147"/>
      <c r="AM1287" s="151"/>
      <c r="AN1287" s="147"/>
      <c r="AO1287" s="147"/>
      <c r="AP1287" s="147"/>
      <c r="AQ1287" s="147"/>
      <c r="AR1287" s="147"/>
      <c r="AS1287" s="147"/>
      <c r="AT1287" s="147"/>
      <c r="AU1287" s="147"/>
      <c r="AV1287" s="147"/>
      <c r="AW1287" s="147"/>
      <c r="AX1287" s="147"/>
      <c r="AY1287" s="147"/>
      <c r="AZ1287" s="147"/>
      <c r="BA1287" s="147"/>
      <c r="BB1287" s="147"/>
      <c r="BC1287" s="147"/>
      <c r="BD1287" s="147"/>
      <c r="BE1287" s="147"/>
      <c r="BF1287" s="147"/>
      <c r="BG1287" s="147"/>
      <c r="BH1287" s="147"/>
      <c r="BI1287" s="147"/>
      <c r="BJ1287" s="147"/>
      <c r="BK1287" s="147"/>
      <c r="BL1287" s="147"/>
      <c r="BM1287" s="147"/>
      <c r="BN1287" s="147"/>
      <c r="BO1287" s="147"/>
      <c r="BP1287" s="147"/>
      <c r="BQ1287" s="147"/>
      <c r="BR1287" s="147"/>
      <c r="BS1287" s="147"/>
      <c r="BT1287" s="147"/>
      <c r="BU1287" s="147"/>
      <c r="BV1287" s="147"/>
      <c r="BW1287" s="147"/>
      <c r="BX1287" s="147"/>
      <c r="BY1287" s="147"/>
      <c r="BZ1287" s="147"/>
      <c r="CA1287" s="147"/>
      <c r="CB1287" s="147"/>
      <c r="CC1287" s="147"/>
      <c r="CD1287" s="147"/>
      <c r="CE1287" s="147"/>
      <c r="CF1287" s="147"/>
      <c r="CG1287" s="147"/>
      <c r="CH1287" s="147"/>
      <c r="CI1287" s="147"/>
      <c r="CJ1287" s="147"/>
      <c r="CK1287" s="147"/>
    </row>
    <row r="1288" spans="1:89">
      <c r="A1288" s="157"/>
      <c r="F1288" s="3"/>
      <c r="G1288" s="3"/>
      <c r="L1288" s="157"/>
      <c r="M1288" s="157"/>
      <c r="O1288" s="147"/>
      <c r="P1288" s="147"/>
      <c r="Q1288" s="147"/>
      <c r="R1288" s="147"/>
      <c r="S1288" s="147"/>
      <c r="T1288" s="147"/>
      <c r="U1288" s="147"/>
      <c r="V1288" s="147"/>
      <c r="W1288" s="147"/>
      <c r="X1288" s="147"/>
      <c r="Y1288" s="147"/>
      <c r="Z1288" s="147"/>
      <c r="AA1288" s="147"/>
      <c r="AB1288" s="147"/>
      <c r="AC1288" s="147"/>
      <c r="AD1288" s="147"/>
      <c r="AE1288" s="147"/>
      <c r="AF1288" s="147"/>
      <c r="AG1288" s="147"/>
      <c r="AH1288" s="147"/>
      <c r="AI1288" s="147"/>
      <c r="AJ1288" s="147"/>
      <c r="AK1288" s="147"/>
      <c r="AL1288" s="147"/>
      <c r="AM1288" s="151"/>
      <c r="AN1288" s="147"/>
      <c r="AO1288" s="147"/>
      <c r="AP1288" s="147"/>
      <c r="AQ1288" s="147"/>
      <c r="AR1288" s="147"/>
      <c r="AS1288" s="147"/>
      <c r="AT1288" s="147"/>
      <c r="AU1288" s="147"/>
      <c r="AV1288" s="147"/>
      <c r="AW1288" s="147"/>
      <c r="AX1288" s="147"/>
      <c r="AY1288" s="147"/>
      <c r="AZ1288" s="147"/>
      <c r="BA1288" s="147"/>
      <c r="BB1288" s="147"/>
      <c r="BC1288" s="147"/>
      <c r="BD1288" s="147"/>
      <c r="BE1288" s="147"/>
      <c r="BF1288" s="147"/>
      <c r="BG1288" s="147"/>
      <c r="BH1288" s="147"/>
      <c r="BI1288" s="147"/>
      <c r="BJ1288" s="147"/>
      <c r="BK1288" s="147"/>
      <c r="BL1288" s="147"/>
      <c r="BM1288" s="147"/>
      <c r="BN1288" s="147"/>
      <c r="BO1288" s="147"/>
      <c r="BP1288" s="147"/>
      <c r="BQ1288" s="147"/>
      <c r="BR1288" s="147"/>
      <c r="BS1288" s="147"/>
      <c r="BT1288" s="147"/>
      <c r="BU1288" s="147"/>
      <c r="BV1288" s="147"/>
      <c r="BW1288" s="147"/>
      <c r="BX1288" s="147"/>
      <c r="BY1288" s="147"/>
      <c r="BZ1288" s="147"/>
      <c r="CA1288" s="147"/>
      <c r="CB1288" s="147"/>
      <c r="CC1288" s="147"/>
      <c r="CD1288" s="147"/>
      <c r="CE1288" s="147"/>
      <c r="CF1288" s="147"/>
      <c r="CG1288" s="147"/>
      <c r="CH1288" s="147"/>
      <c r="CI1288" s="147"/>
      <c r="CJ1288" s="147"/>
      <c r="CK1288" s="147"/>
    </row>
    <row r="1289" spans="1:89">
      <c r="A1289" s="157"/>
      <c r="F1289" s="3"/>
      <c r="G1289" s="3"/>
      <c r="L1289" s="157"/>
      <c r="M1289" s="157"/>
      <c r="O1289" s="147"/>
      <c r="P1289" s="147"/>
      <c r="Q1289" s="147"/>
      <c r="R1289" s="147"/>
      <c r="S1289" s="147"/>
      <c r="T1289" s="147"/>
      <c r="U1289" s="147"/>
      <c r="V1289" s="147"/>
      <c r="W1289" s="147"/>
      <c r="X1289" s="147"/>
      <c r="Y1289" s="147"/>
      <c r="Z1289" s="147"/>
      <c r="AA1289" s="147"/>
      <c r="AB1289" s="147"/>
      <c r="AC1289" s="147"/>
      <c r="AD1289" s="147"/>
      <c r="AE1289" s="147"/>
      <c r="AF1289" s="147"/>
      <c r="AG1289" s="147"/>
      <c r="AH1289" s="147"/>
      <c r="AI1289" s="147"/>
      <c r="AJ1289" s="147"/>
      <c r="AK1289" s="147"/>
      <c r="AL1289" s="147"/>
      <c r="AM1289" s="151"/>
      <c r="AN1289" s="147"/>
      <c r="AO1289" s="147"/>
      <c r="AP1289" s="147"/>
      <c r="AQ1289" s="147"/>
      <c r="AR1289" s="147"/>
      <c r="AS1289" s="147"/>
      <c r="AT1289" s="147"/>
      <c r="AU1289" s="147"/>
      <c r="AV1289" s="147"/>
      <c r="AW1289" s="147"/>
      <c r="AX1289" s="147"/>
      <c r="AY1289" s="147"/>
      <c r="AZ1289" s="147"/>
      <c r="BA1289" s="147"/>
      <c r="BB1289" s="147"/>
      <c r="BC1289" s="147"/>
      <c r="BD1289" s="147"/>
      <c r="BE1289" s="147"/>
      <c r="BF1289" s="147"/>
      <c r="BG1289" s="147"/>
      <c r="BH1289" s="147"/>
      <c r="BI1289" s="147"/>
      <c r="BJ1289" s="147"/>
      <c r="BK1289" s="147"/>
      <c r="BL1289" s="147"/>
      <c r="BM1289" s="147"/>
      <c r="BN1289" s="147"/>
      <c r="BO1289" s="147"/>
      <c r="BP1289" s="147"/>
      <c r="BQ1289" s="147"/>
      <c r="BR1289" s="147"/>
      <c r="BS1289" s="147"/>
      <c r="BT1289" s="147"/>
      <c r="BU1289" s="147"/>
      <c r="BV1289" s="147"/>
      <c r="BW1289" s="147"/>
      <c r="BX1289" s="147"/>
      <c r="BY1289" s="147"/>
      <c r="BZ1289" s="147"/>
      <c r="CA1289" s="147"/>
      <c r="CB1289" s="147"/>
      <c r="CC1289" s="147"/>
      <c r="CD1289" s="147"/>
      <c r="CE1289" s="147"/>
      <c r="CF1289" s="147"/>
      <c r="CG1289" s="147"/>
      <c r="CH1289" s="147"/>
      <c r="CI1289" s="147"/>
      <c r="CJ1289" s="147"/>
      <c r="CK1289" s="147"/>
    </row>
    <row r="1290" spans="1:89">
      <c r="A1290" s="157"/>
      <c r="F1290" s="3"/>
      <c r="G1290" s="3"/>
      <c r="L1290" s="157"/>
      <c r="M1290" s="157"/>
      <c r="O1290" s="147"/>
      <c r="P1290" s="147"/>
      <c r="Q1290" s="147"/>
      <c r="R1290" s="147"/>
      <c r="S1290" s="147"/>
      <c r="T1290" s="147"/>
      <c r="U1290" s="147"/>
      <c r="V1290" s="147"/>
      <c r="W1290" s="147"/>
      <c r="X1290" s="147"/>
      <c r="Y1290" s="147"/>
      <c r="Z1290" s="147"/>
      <c r="AA1290" s="147"/>
      <c r="AB1290" s="147"/>
      <c r="AC1290" s="147"/>
      <c r="AD1290" s="147"/>
      <c r="AE1290" s="147"/>
      <c r="AF1290" s="147"/>
      <c r="AG1290" s="147"/>
      <c r="AH1290" s="147"/>
      <c r="AI1290" s="147"/>
      <c r="AJ1290" s="147"/>
      <c r="AK1290" s="147"/>
      <c r="AL1290" s="147"/>
      <c r="AM1290" s="151"/>
      <c r="AN1290" s="147"/>
      <c r="AO1290" s="147"/>
      <c r="AP1290" s="147"/>
      <c r="AQ1290" s="147"/>
      <c r="AR1290" s="147"/>
      <c r="AS1290" s="147"/>
      <c r="AT1290" s="147"/>
      <c r="AU1290" s="147"/>
      <c r="AV1290" s="147"/>
      <c r="AW1290" s="147"/>
      <c r="AX1290" s="147"/>
      <c r="AY1290" s="147"/>
      <c r="AZ1290" s="147"/>
      <c r="BA1290" s="147"/>
      <c r="BB1290" s="147"/>
      <c r="BC1290" s="147"/>
      <c r="BD1290" s="147"/>
      <c r="BE1290" s="147"/>
      <c r="BF1290" s="147"/>
      <c r="BG1290" s="147"/>
      <c r="BH1290" s="147"/>
      <c r="BI1290" s="147"/>
      <c r="BJ1290" s="147"/>
      <c r="BK1290" s="147"/>
      <c r="BL1290" s="147"/>
      <c r="BM1290" s="147"/>
      <c r="BN1290" s="147"/>
      <c r="BO1290" s="147"/>
      <c r="BP1290" s="147"/>
      <c r="BQ1290" s="147"/>
      <c r="BR1290" s="147"/>
      <c r="BS1290" s="147"/>
      <c r="BT1290" s="147"/>
      <c r="BU1290" s="147"/>
      <c r="BV1290" s="147"/>
      <c r="BW1290" s="147"/>
      <c r="BX1290" s="147"/>
      <c r="BY1290" s="147"/>
      <c r="BZ1290" s="147"/>
      <c r="CA1290" s="147"/>
      <c r="CB1290" s="147"/>
      <c r="CC1290" s="147"/>
      <c r="CD1290" s="147"/>
      <c r="CE1290" s="147"/>
      <c r="CF1290" s="147"/>
      <c r="CG1290" s="147"/>
      <c r="CH1290" s="147"/>
      <c r="CI1290" s="147"/>
      <c r="CJ1290" s="147"/>
      <c r="CK1290" s="147"/>
    </row>
    <row r="1291" spans="1:89">
      <c r="A1291" s="157"/>
      <c r="F1291" s="3"/>
      <c r="G1291" s="3"/>
      <c r="L1291" s="157"/>
      <c r="M1291" s="157"/>
      <c r="O1291" s="147"/>
      <c r="P1291" s="147"/>
      <c r="Q1291" s="147"/>
      <c r="R1291" s="147"/>
      <c r="S1291" s="147"/>
      <c r="T1291" s="147"/>
      <c r="U1291" s="147"/>
      <c r="V1291" s="147"/>
      <c r="W1291" s="147"/>
      <c r="X1291" s="147"/>
      <c r="Y1291" s="147"/>
      <c r="Z1291" s="147"/>
      <c r="AA1291" s="147"/>
      <c r="AB1291" s="147"/>
      <c r="AC1291" s="147"/>
      <c r="AD1291" s="147"/>
      <c r="AE1291" s="147"/>
      <c r="AF1291" s="147"/>
      <c r="AG1291" s="147"/>
      <c r="AH1291" s="147"/>
      <c r="AI1291" s="147"/>
      <c r="AJ1291" s="147"/>
      <c r="AK1291" s="147"/>
      <c r="AL1291" s="147"/>
      <c r="AM1291" s="151"/>
      <c r="AN1291" s="147"/>
      <c r="AO1291" s="147"/>
      <c r="AP1291" s="147"/>
      <c r="AQ1291" s="147"/>
      <c r="AR1291" s="147"/>
      <c r="AS1291" s="147"/>
      <c r="AT1291" s="147"/>
      <c r="AU1291" s="147"/>
      <c r="AV1291" s="147"/>
      <c r="AW1291" s="147"/>
      <c r="AX1291" s="147"/>
      <c r="AY1291" s="147"/>
      <c r="AZ1291" s="147"/>
      <c r="BA1291" s="147"/>
      <c r="BB1291" s="147"/>
      <c r="BC1291" s="147"/>
      <c r="BD1291" s="147"/>
      <c r="BE1291" s="147"/>
      <c r="BF1291" s="147"/>
      <c r="BG1291" s="147"/>
      <c r="BH1291" s="147"/>
      <c r="BI1291" s="147"/>
      <c r="BJ1291" s="147"/>
      <c r="BK1291" s="147"/>
      <c r="BL1291" s="147"/>
      <c r="BM1291" s="147"/>
      <c r="BN1291" s="147"/>
      <c r="BO1291" s="147"/>
      <c r="BP1291" s="147"/>
      <c r="BQ1291" s="147"/>
      <c r="BR1291" s="147"/>
      <c r="BS1291" s="147"/>
      <c r="BT1291" s="147"/>
      <c r="BU1291" s="147"/>
      <c r="BV1291" s="147"/>
      <c r="BW1291" s="147"/>
      <c r="BX1291" s="147"/>
      <c r="BY1291" s="147"/>
      <c r="BZ1291" s="147"/>
      <c r="CA1291" s="147"/>
      <c r="CB1291" s="147"/>
      <c r="CC1291" s="147"/>
      <c r="CD1291" s="147"/>
      <c r="CE1291" s="147"/>
      <c r="CF1291" s="147"/>
      <c r="CG1291" s="147"/>
      <c r="CH1291" s="147"/>
      <c r="CI1291" s="147"/>
      <c r="CJ1291" s="147"/>
      <c r="CK1291" s="147"/>
    </row>
    <row r="1292" spans="1:89">
      <c r="A1292" s="157"/>
      <c r="F1292" s="3"/>
      <c r="G1292" s="3"/>
      <c r="L1292" s="157"/>
      <c r="M1292" s="157"/>
      <c r="O1292" s="147"/>
      <c r="P1292" s="147"/>
      <c r="Q1292" s="147"/>
      <c r="R1292" s="147"/>
      <c r="S1292" s="147"/>
      <c r="T1292" s="147"/>
      <c r="U1292" s="147"/>
      <c r="V1292" s="147"/>
      <c r="W1292" s="147"/>
      <c r="X1292" s="147"/>
      <c r="Y1292" s="147"/>
      <c r="Z1292" s="147"/>
      <c r="AA1292" s="147"/>
      <c r="AB1292" s="147"/>
      <c r="AC1292" s="147"/>
      <c r="AD1292" s="147"/>
      <c r="AE1292" s="147"/>
      <c r="AF1292" s="147"/>
      <c r="AG1292" s="147"/>
      <c r="AH1292" s="147"/>
      <c r="AI1292" s="147"/>
      <c r="AJ1292" s="147"/>
      <c r="AK1292" s="147"/>
      <c r="AL1292" s="147"/>
      <c r="AM1292" s="151"/>
      <c r="AN1292" s="147"/>
      <c r="AO1292" s="147"/>
      <c r="AP1292" s="147"/>
      <c r="AQ1292" s="147"/>
      <c r="AR1292" s="147"/>
      <c r="AS1292" s="147"/>
      <c r="AT1292" s="147"/>
      <c r="AU1292" s="147"/>
      <c r="AV1292" s="147"/>
      <c r="AW1292" s="147"/>
      <c r="AX1292" s="147"/>
      <c r="AY1292" s="147"/>
      <c r="AZ1292" s="147"/>
      <c r="BA1292" s="147"/>
      <c r="BB1292" s="147"/>
      <c r="BC1292" s="147"/>
      <c r="BD1292" s="147"/>
      <c r="BE1292" s="147"/>
      <c r="BF1292" s="147"/>
      <c r="BG1292" s="147"/>
      <c r="BH1292" s="147"/>
      <c r="BI1292" s="147"/>
      <c r="BJ1292" s="147"/>
      <c r="BK1292" s="147"/>
      <c r="BL1292" s="147"/>
      <c r="BM1292" s="147"/>
      <c r="BN1292" s="147"/>
      <c r="BO1292" s="147"/>
      <c r="BP1292" s="147"/>
      <c r="BQ1292" s="147"/>
      <c r="BR1292" s="147"/>
      <c r="BS1292" s="147"/>
      <c r="BT1292" s="147"/>
      <c r="BU1292" s="147"/>
      <c r="BV1292" s="147"/>
      <c r="BW1292" s="147"/>
      <c r="BX1292" s="147"/>
      <c r="BY1292" s="147"/>
      <c r="BZ1292" s="147"/>
      <c r="CA1292" s="147"/>
      <c r="CB1292" s="147"/>
      <c r="CC1292" s="147"/>
      <c r="CD1292" s="147"/>
      <c r="CE1292" s="147"/>
      <c r="CF1292" s="147"/>
      <c r="CG1292" s="147"/>
      <c r="CH1292" s="147"/>
      <c r="CI1292" s="147"/>
      <c r="CJ1292" s="147"/>
      <c r="CK1292" s="147"/>
    </row>
    <row r="1293" spans="1:89">
      <c r="A1293" s="157"/>
      <c r="F1293" s="3"/>
      <c r="G1293" s="3"/>
      <c r="L1293" s="157"/>
      <c r="M1293" s="157"/>
      <c r="O1293" s="147"/>
      <c r="P1293" s="147"/>
      <c r="Q1293" s="147"/>
      <c r="R1293" s="147"/>
      <c r="S1293" s="147"/>
      <c r="T1293" s="147"/>
      <c r="U1293" s="147"/>
      <c r="V1293" s="147"/>
      <c r="W1293" s="147"/>
      <c r="X1293" s="147"/>
      <c r="Y1293" s="147"/>
      <c r="Z1293" s="147"/>
      <c r="AA1293" s="147"/>
      <c r="AB1293" s="147"/>
      <c r="AC1293" s="147"/>
      <c r="AD1293" s="147"/>
      <c r="AE1293" s="147"/>
      <c r="AF1293" s="147"/>
      <c r="AG1293" s="147"/>
      <c r="AH1293" s="147"/>
      <c r="AI1293" s="147"/>
      <c r="AJ1293" s="147"/>
      <c r="AK1293" s="147"/>
      <c r="AL1293" s="147"/>
      <c r="AM1293" s="151"/>
      <c r="AN1293" s="147"/>
      <c r="AO1293" s="147"/>
      <c r="AP1293" s="147"/>
      <c r="AQ1293" s="147"/>
      <c r="AR1293" s="147"/>
      <c r="AS1293" s="147"/>
      <c r="AT1293" s="147"/>
      <c r="AU1293" s="147"/>
      <c r="AV1293" s="147"/>
      <c r="AW1293" s="147"/>
      <c r="AX1293" s="147"/>
      <c r="AY1293" s="147"/>
      <c r="AZ1293" s="147"/>
      <c r="BA1293" s="147"/>
      <c r="BB1293" s="147"/>
      <c r="BC1293" s="147"/>
      <c r="BD1293" s="147"/>
      <c r="BE1293" s="147"/>
      <c r="BF1293" s="147"/>
      <c r="BG1293" s="147"/>
      <c r="BH1293" s="147"/>
      <c r="BI1293" s="147"/>
      <c r="BJ1293" s="147"/>
      <c r="BK1293" s="147"/>
      <c r="BL1293" s="147"/>
      <c r="BM1293" s="147"/>
      <c r="BN1293" s="147"/>
      <c r="BO1293" s="147"/>
      <c r="BP1293" s="147"/>
      <c r="BQ1293" s="147"/>
      <c r="BR1293" s="147"/>
      <c r="BS1293" s="147"/>
      <c r="BT1293" s="147"/>
      <c r="BU1293" s="147"/>
      <c r="BV1293" s="147"/>
      <c r="BW1293" s="147"/>
      <c r="BX1293" s="147"/>
      <c r="BY1293" s="147"/>
      <c r="BZ1293" s="147"/>
      <c r="CA1293" s="147"/>
      <c r="CB1293" s="147"/>
      <c r="CC1293" s="147"/>
      <c r="CD1293" s="147"/>
      <c r="CE1293" s="147"/>
      <c r="CF1293" s="147"/>
      <c r="CG1293" s="147"/>
      <c r="CH1293" s="147"/>
      <c r="CI1293" s="147"/>
      <c r="CJ1293" s="147"/>
      <c r="CK1293" s="147"/>
    </row>
    <row r="1294" spans="1:89">
      <c r="A1294" s="157"/>
      <c r="F1294" s="3"/>
      <c r="G1294" s="3"/>
      <c r="L1294" s="157"/>
      <c r="M1294" s="157"/>
      <c r="O1294" s="147"/>
      <c r="P1294" s="147"/>
      <c r="Q1294" s="147"/>
      <c r="R1294" s="147"/>
      <c r="S1294" s="147"/>
      <c r="T1294" s="147"/>
      <c r="U1294" s="147"/>
      <c r="V1294" s="147"/>
      <c r="W1294" s="147"/>
      <c r="X1294" s="147"/>
      <c r="Y1294" s="147"/>
      <c r="Z1294" s="147"/>
      <c r="AA1294" s="147"/>
      <c r="AB1294" s="147"/>
      <c r="AC1294" s="147"/>
      <c r="AD1294" s="147"/>
      <c r="AE1294" s="147"/>
      <c r="AF1294" s="147"/>
      <c r="AG1294" s="147"/>
      <c r="AH1294" s="147"/>
      <c r="AI1294" s="147"/>
      <c r="AJ1294" s="147"/>
      <c r="AK1294" s="147"/>
      <c r="AL1294" s="147"/>
      <c r="AM1294" s="151"/>
      <c r="AN1294" s="147"/>
      <c r="AO1294" s="147"/>
      <c r="AP1294" s="147"/>
      <c r="AQ1294" s="147"/>
      <c r="AR1294" s="147"/>
      <c r="AS1294" s="147"/>
      <c r="AT1294" s="147"/>
      <c r="AU1294" s="147"/>
      <c r="AV1294" s="147"/>
      <c r="AW1294" s="147"/>
      <c r="AX1294" s="147"/>
      <c r="AY1294" s="147"/>
      <c r="AZ1294" s="147"/>
      <c r="BA1294" s="147"/>
      <c r="BB1294" s="147"/>
      <c r="BC1294" s="147"/>
      <c r="BD1294" s="147"/>
      <c r="BE1294" s="147"/>
      <c r="BF1294" s="147"/>
      <c r="BG1294" s="147"/>
      <c r="BH1294" s="147"/>
      <c r="BI1294" s="147"/>
      <c r="BJ1294" s="147"/>
      <c r="BK1294" s="147"/>
      <c r="BL1294" s="147"/>
      <c r="BM1294" s="147"/>
      <c r="BN1294" s="147"/>
      <c r="BO1294" s="147"/>
      <c r="BP1294" s="147"/>
      <c r="BQ1294" s="147"/>
      <c r="BR1294" s="147"/>
      <c r="BS1294" s="147"/>
      <c r="BT1294" s="147"/>
      <c r="BU1294" s="147"/>
      <c r="BV1294" s="147"/>
      <c r="BW1294" s="147"/>
      <c r="BX1294" s="147"/>
      <c r="BY1294" s="147"/>
      <c r="BZ1294" s="147"/>
      <c r="CA1294" s="147"/>
      <c r="CB1294" s="147"/>
      <c r="CC1294" s="147"/>
      <c r="CD1294" s="147"/>
      <c r="CE1294" s="147"/>
      <c r="CF1294" s="147"/>
      <c r="CG1294" s="147"/>
      <c r="CH1294" s="147"/>
      <c r="CI1294" s="147"/>
      <c r="CJ1294" s="147"/>
      <c r="CK1294" s="147"/>
    </row>
    <row r="1295" spans="1:89">
      <c r="A1295" s="157"/>
      <c r="F1295" s="3"/>
      <c r="G1295" s="3"/>
      <c r="L1295" s="157"/>
      <c r="M1295" s="157"/>
      <c r="O1295" s="147"/>
      <c r="P1295" s="147"/>
      <c r="Q1295" s="147"/>
      <c r="R1295" s="147"/>
      <c r="S1295" s="147"/>
      <c r="T1295" s="147"/>
      <c r="U1295" s="147"/>
      <c r="V1295" s="147"/>
      <c r="W1295" s="147"/>
      <c r="X1295" s="147"/>
      <c r="Y1295" s="147"/>
      <c r="Z1295" s="147"/>
      <c r="AA1295" s="147"/>
      <c r="AB1295" s="147"/>
      <c r="AC1295" s="147"/>
      <c r="AD1295" s="147"/>
      <c r="AE1295" s="147"/>
      <c r="AF1295" s="147"/>
      <c r="AG1295" s="147"/>
      <c r="AH1295" s="147"/>
      <c r="AI1295" s="147"/>
      <c r="AJ1295" s="147"/>
      <c r="AK1295" s="147"/>
      <c r="AL1295" s="147"/>
      <c r="AM1295" s="151"/>
      <c r="AN1295" s="147"/>
      <c r="AO1295" s="147"/>
      <c r="AP1295" s="147"/>
      <c r="AQ1295" s="147"/>
      <c r="AR1295" s="147"/>
      <c r="AS1295" s="147"/>
      <c r="AT1295" s="147"/>
      <c r="AU1295" s="147"/>
      <c r="AV1295" s="147"/>
      <c r="AW1295" s="147"/>
      <c r="AX1295" s="147"/>
      <c r="AY1295" s="147"/>
      <c r="AZ1295" s="147"/>
      <c r="BA1295" s="147"/>
      <c r="BB1295" s="147"/>
      <c r="BC1295" s="147"/>
      <c r="BD1295" s="147"/>
      <c r="BE1295" s="147"/>
      <c r="BF1295" s="147"/>
      <c r="BG1295" s="147"/>
      <c r="BH1295" s="147"/>
      <c r="BI1295" s="147"/>
      <c r="BJ1295" s="147"/>
      <c r="BK1295" s="147"/>
      <c r="BL1295" s="147"/>
      <c r="BM1295" s="147"/>
      <c r="BN1295" s="147"/>
      <c r="BO1295" s="147"/>
      <c r="BP1295" s="147"/>
      <c r="BQ1295" s="147"/>
      <c r="BR1295" s="147"/>
      <c r="BS1295" s="147"/>
      <c r="BT1295" s="147"/>
      <c r="BU1295" s="147"/>
      <c r="BV1295" s="147"/>
      <c r="BW1295" s="147"/>
      <c r="BX1295" s="147"/>
      <c r="BY1295" s="147"/>
      <c r="BZ1295" s="147"/>
      <c r="CA1295" s="147"/>
      <c r="CB1295" s="147"/>
      <c r="CC1295" s="147"/>
      <c r="CD1295" s="147"/>
      <c r="CE1295" s="147"/>
      <c r="CF1295" s="147"/>
      <c r="CG1295" s="147"/>
      <c r="CH1295" s="147"/>
      <c r="CI1295" s="147"/>
      <c r="CJ1295" s="147"/>
      <c r="CK1295" s="147"/>
    </row>
    <row r="1296" spans="1:89">
      <c r="A1296" s="157"/>
      <c r="F1296" s="3"/>
      <c r="G1296" s="3"/>
      <c r="L1296" s="157"/>
      <c r="M1296" s="157"/>
      <c r="O1296" s="147"/>
      <c r="P1296" s="147"/>
      <c r="Q1296" s="147"/>
      <c r="R1296" s="147"/>
      <c r="S1296" s="147"/>
      <c r="T1296" s="147"/>
      <c r="U1296" s="147"/>
      <c r="V1296" s="147"/>
      <c r="W1296" s="147"/>
      <c r="X1296" s="147"/>
      <c r="Y1296" s="147"/>
      <c r="Z1296" s="147"/>
      <c r="AA1296" s="147"/>
      <c r="AB1296" s="147"/>
      <c r="AC1296" s="147"/>
      <c r="AD1296" s="147"/>
      <c r="AE1296" s="147"/>
      <c r="AF1296" s="147"/>
      <c r="AG1296" s="147"/>
      <c r="AH1296" s="147"/>
      <c r="AI1296" s="147"/>
      <c r="AJ1296" s="147"/>
      <c r="AK1296" s="147"/>
      <c r="AL1296" s="147"/>
      <c r="AM1296" s="151"/>
      <c r="AN1296" s="147"/>
      <c r="AO1296" s="147"/>
      <c r="AP1296" s="147"/>
      <c r="AQ1296" s="147"/>
      <c r="AR1296" s="147"/>
      <c r="AS1296" s="147"/>
      <c r="AT1296" s="147"/>
      <c r="AU1296" s="147"/>
      <c r="AV1296" s="147"/>
      <c r="AW1296" s="147"/>
      <c r="AX1296" s="147"/>
      <c r="AY1296" s="147"/>
      <c r="AZ1296" s="147"/>
      <c r="BA1296" s="147"/>
      <c r="BB1296" s="147"/>
      <c r="BC1296" s="147"/>
      <c r="BD1296" s="147"/>
      <c r="BE1296" s="147"/>
      <c r="BF1296" s="147"/>
      <c r="BG1296" s="147"/>
      <c r="BH1296" s="147"/>
      <c r="BI1296" s="147"/>
      <c r="BJ1296" s="147"/>
      <c r="BK1296" s="147"/>
      <c r="BL1296" s="147"/>
      <c r="BM1296" s="147"/>
      <c r="BN1296" s="147"/>
      <c r="BO1296" s="147"/>
      <c r="BP1296" s="147"/>
      <c r="BQ1296" s="147"/>
      <c r="BR1296" s="147"/>
      <c r="BS1296" s="147"/>
      <c r="BT1296" s="147"/>
      <c r="BU1296" s="147"/>
      <c r="BV1296" s="147"/>
      <c r="BW1296" s="147"/>
      <c r="BX1296" s="147"/>
      <c r="BY1296" s="147"/>
      <c r="BZ1296" s="147"/>
      <c r="CA1296" s="147"/>
      <c r="CB1296" s="147"/>
      <c r="CC1296" s="147"/>
      <c r="CD1296" s="147"/>
      <c r="CE1296" s="147"/>
      <c r="CF1296" s="147"/>
      <c r="CG1296" s="147"/>
      <c r="CH1296" s="147"/>
      <c r="CI1296" s="147"/>
      <c r="CJ1296" s="147"/>
      <c r="CK1296" s="147"/>
    </row>
    <row r="1297" spans="1:89">
      <c r="A1297" s="157"/>
      <c r="F1297" s="3"/>
      <c r="G1297" s="3"/>
      <c r="L1297" s="157"/>
      <c r="M1297" s="157"/>
      <c r="O1297" s="147"/>
      <c r="P1297" s="147"/>
      <c r="Q1297" s="147"/>
      <c r="R1297" s="147"/>
      <c r="S1297" s="147"/>
      <c r="T1297" s="147"/>
      <c r="U1297" s="147"/>
      <c r="V1297" s="147"/>
      <c r="W1297" s="147"/>
      <c r="X1297" s="147"/>
      <c r="Y1297" s="147"/>
      <c r="Z1297" s="147"/>
      <c r="AA1297" s="147"/>
      <c r="AB1297" s="147"/>
      <c r="AC1297" s="147"/>
      <c r="AD1297" s="147"/>
      <c r="AE1297" s="147"/>
      <c r="AF1297" s="147"/>
      <c r="AG1297" s="147"/>
      <c r="AH1297" s="147"/>
      <c r="AI1297" s="147"/>
      <c r="AJ1297" s="147"/>
      <c r="AK1297" s="147"/>
      <c r="AL1297" s="147"/>
      <c r="AM1297" s="151"/>
      <c r="AN1297" s="147"/>
      <c r="AO1297" s="147"/>
      <c r="AP1297" s="147"/>
      <c r="AQ1297" s="147"/>
      <c r="AR1297" s="147"/>
      <c r="AS1297" s="147"/>
      <c r="AT1297" s="147"/>
      <c r="AU1297" s="147"/>
      <c r="AV1297" s="147"/>
      <c r="AW1297" s="147"/>
      <c r="AX1297" s="147"/>
      <c r="AY1297" s="147"/>
      <c r="AZ1297" s="147"/>
      <c r="BA1297" s="147"/>
      <c r="BB1297" s="147"/>
      <c r="BC1297" s="147"/>
      <c r="BD1297" s="147"/>
      <c r="BE1297" s="147"/>
      <c r="BF1297" s="147"/>
      <c r="BG1297" s="147"/>
      <c r="BH1297" s="147"/>
      <c r="BI1297" s="147"/>
      <c r="BJ1297" s="147"/>
      <c r="BK1297" s="147"/>
      <c r="BL1297" s="147"/>
      <c r="BM1297" s="147"/>
      <c r="BN1297" s="147"/>
      <c r="BO1297" s="147"/>
      <c r="BP1297" s="147"/>
      <c r="BQ1297" s="147"/>
      <c r="BR1297" s="147"/>
      <c r="BS1297" s="147"/>
      <c r="BT1297" s="147"/>
      <c r="BU1297" s="147"/>
      <c r="BV1297" s="147"/>
      <c r="BW1297" s="147"/>
      <c r="BX1297" s="147"/>
      <c r="BY1297" s="147"/>
      <c r="BZ1297" s="147"/>
      <c r="CA1297" s="147"/>
      <c r="CB1297" s="147"/>
      <c r="CC1297" s="147"/>
      <c r="CD1297" s="147"/>
      <c r="CE1297" s="147"/>
      <c r="CF1297" s="147"/>
      <c r="CG1297" s="147"/>
      <c r="CH1297" s="147"/>
      <c r="CI1297" s="147"/>
      <c r="CJ1297" s="147"/>
      <c r="CK1297" s="147"/>
    </row>
    <row r="1298" spans="1:89">
      <c r="A1298" s="157"/>
      <c r="F1298" s="3"/>
      <c r="G1298" s="3"/>
      <c r="L1298" s="157"/>
      <c r="M1298" s="157"/>
      <c r="O1298" s="147"/>
      <c r="P1298" s="147"/>
      <c r="Q1298" s="147"/>
      <c r="R1298" s="147"/>
      <c r="S1298" s="147"/>
      <c r="T1298" s="147"/>
      <c r="U1298" s="147"/>
      <c r="V1298" s="147"/>
      <c r="W1298" s="147"/>
      <c r="X1298" s="147"/>
      <c r="Y1298" s="147"/>
      <c r="Z1298" s="147"/>
      <c r="AA1298" s="147"/>
      <c r="AB1298" s="147"/>
      <c r="AC1298" s="147"/>
      <c r="AD1298" s="147"/>
      <c r="AE1298" s="147"/>
      <c r="AF1298" s="147"/>
      <c r="AG1298" s="147"/>
      <c r="AH1298" s="147"/>
      <c r="AI1298" s="147"/>
      <c r="AJ1298" s="147"/>
      <c r="AK1298" s="147"/>
      <c r="AL1298" s="147"/>
      <c r="AM1298" s="151"/>
      <c r="AN1298" s="147"/>
      <c r="AO1298" s="147"/>
      <c r="AP1298" s="147"/>
      <c r="AQ1298" s="147"/>
      <c r="AR1298" s="147"/>
      <c r="AS1298" s="147"/>
      <c r="AT1298" s="147"/>
      <c r="AU1298" s="147"/>
      <c r="AV1298" s="147"/>
      <c r="AW1298" s="147"/>
      <c r="AX1298" s="147"/>
      <c r="AY1298" s="147"/>
      <c r="AZ1298" s="147"/>
      <c r="BA1298" s="147"/>
      <c r="BB1298" s="147"/>
      <c r="BC1298" s="147"/>
      <c r="BD1298" s="147"/>
      <c r="BE1298" s="147"/>
      <c r="BF1298" s="147"/>
      <c r="BG1298" s="147"/>
      <c r="BH1298" s="147"/>
      <c r="BI1298" s="147"/>
      <c r="BJ1298" s="147"/>
      <c r="BK1298" s="147"/>
      <c r="BL1298" s="147"/>
      <c r="BM1298" s="147"/>
      <c r="BN1298" s="147"/>
      <c r="BO1298" s="147"/>
      <c r="BP1298" s="147"/>
      <c r="BQ1298" s="147"/>
      <c r="BR1298" s="147"/>
      <c r="BS1298" s="147"/>
      <c r="BT1298" s="147"/>
      <c r="BU1298" s="147"/>
      <c r="BV1298" s="147"/>
      <c r="BW1298" s="147"/>
      <c r="BX1298" s="147"/>
      <c r="BY1298" s="147"/>
      <c r="BZ1298" s="147"/>
      <c r="CA1298" s="147"/>
      <c r="CB1298" s="147"/>
      <c r="CC1298" s="147"/>
      <c r="CD1298" s="147"/>
      <c r="CE1298" s="147"/>
      <c r="CF1298" s="147"/>
      <c r="CG1298" s="147"/>
      <c r="CH1298" s="147"/>
      <c r="CI1298" s="147"/>
      <c r="CJ1298" s="147"/>
      <c r="CK1298" s="147"/>
    </row>
    <row r="1299" spans="1:89">
      <c r="A1299" s="157"/>
      <c r="F1299" s="3"/>
      <c r="G1299" s="3"/>
      <c r="L1299" s="157"/>
      <c r="M1299" s="157"/>
      <c r="O1299" s="147"/>
      <c r="P1299" s="147"/>
      <c r="Q1299" s="147"/>
      <c r="R1299" s="147"/>
      <c r="S1299" s="147"/>
      <c r="T1299" s="147"/>
      <c r="U1299" s="147"/>
      <c r="V1299" s="147"/>
      <c r="W1299" s="147"/>
      <c r="X1299" s="147"/>
      <c r="Y1299" s="147"/>
      <c r="Z1299" s="147"/>
      <c r="AA1299" s="147"/>
      <c r="AB1299" s="147"/>
      <c r="AC1299" s="147"/>
      <c r="AD1299" s="147"/>
      <c r="AE1299" s="147"/>
      <c r="AF1299" s="147"/>
      <c r="AG1299" s="147"/>
      <c r="AH1299" s="147"/>
      <c r="AI1299" s="147"/>
      <c r="AJ1299" s="147"/>
      <c r="AK1299" s="147"/>
      <c r="AL1299" s="147"/>
      <c r="AM1299" s="151"/>
      <c r="AN1299" s="147"/>
      <c r="AO1299" s="147"/>
      <c r="AP1299" s="147"/>
      <c r="AQ1299" s="147"/>
      <c r="AR1299" s="147"/>
      <c r="AS1299" s="147"/>
      <c r="AT1299" s="147"/>
      <c r="AU1299" s="147"/>
      <c r="AV1299" s="147"/>
      <c r="AW1299" s="147"/>
      <c r="AX1299" s="147"/>
      <c r="AY1299" s="147"/>
      <c r="AZ1299" s="147"/>
      <c r="BA1299" s="147"/>
      <c r="BB1299" s="147"/>
      <c r="BC1299" s="147"/>
      <c r="BD1299" s="147"/>
      <c r="BE1299" s="147"/>
      <c r="BF1299" s="147"/>
      <c r="BG1299" s="147"/>
      <c r="BH1299" s="147"/>
      <c r="BI1299" s="147"/>
      <c r="BJ1299" s="147"/>
      <c r="BK1299" s="147"/>
      <c r="BL1299" s="147"/>
      <c r="BM1299" s="147"/>
      <c r="BN1299" s="147"/>
      <c r="BO1299" s="147"/>
      <c r="BP1299" s="147"/>
      <c r="BQ1299" s="147"/>
      <c r="BR1299" s="147"/>
      <c r="BS1299" s="147"/>
      <c r="BT1299" s="147"/>
      <c r="BU1299" s="147"/>
      <c r="BV1299" s="147"/>
      <c r="BW1299" s="147"/>
      <c r="BX1299" s="147"/>
      <c r="BY1299" s="147"/>
      <c r="BZ1299" s="147"/>
      <c r="CA1299" s="147"/>
      <c r="CB1299" s="147"/>
      <c r="CC1299" s="147"/>
      <c r="CD1299" s="147"/>
      <c r="CE1299" s="147"/>
      <c r="CF1299" s="147"/>
      <c r="CG1299" s="147"/>
      <c r="CH1299" s="147"/>
      <c r="CI1299" s="147"/>
      <c r="CJ1299" s="147"/>
      <c r="CK1299" s="147"/>
    </row>
    <row r="1300" spans="1:89">
      <c r="A1300" s="157"/>
      <c r="F1300" s="3"/>
      <c r="G1300" s="3"/>
      <c r="L1300" s="157"/>
      <c r="M1300" s="157"/>
      <c r="O1300" s="147"/>
      <c r="P1300" s="147"/>
      <c r="Q1300" s="147"/>
      <c r="R1300" s="147"/>
      <c r="S1300" s="147"/>
      <c r="T1300" s="147"/>
      <c r="U1300" s="147"/>
      <c r="V1300" s="147"/>
      <c r="W1300" s="147"/>
      <c r="X1300" s="147"/>
      <c r="Y1300" s="147"/>
      <c r="Z1300" s="147"/>
      <c r="AA1300" s="147"/>
      <c r="AB1300" s="147"/>
      <c r="AC1300" s="147"/>
      <c r="AD1300" s="147"/>
      <c r="AE1300" s="147"/>
      <c r="AF1300" s="147"/>
      <c r="AG1300" s="147"/>
      <c r="AH1300" s="147"/>
      <c r="AI1300" s="147"/>
      <c r="AJ1300" s="147"/>
      <c r="AK1300" s="147"/>
      <c r="AL1300" s="147"/>
      <c r="AM1300" s="151"/>
      <c r="AN1300" s="147"/>
      <c r="AO1300" s="147"/>
      <c r="AP1300" s="147"/>
      <c r="AQ1300" s="147"/>
      <c r="AR1300" s="147"/>
      <c r="AS1300" s="147"/>
      <c r="AT1300" s="147"/>
      <c r="AU1300" s="147"/>
      <c r="AV1300" s="147"/>
      <c r="AW1300" s="147"/>
      <c r="AX1300" s="147"/>
      <c r="AY1300" s="147"/>
      <c r="AZ1300" s="147"/>
      <c r="BA1300" s="147"/>
      <c r="BB1300" s="147"/>
      <c r="BC1300" s="147"/>
      <c r="BD1300" s="147"/>
      <c r="BE1300" s="147"/>
      <c r="BF1300" s="147"/>
      <c r="BG1300" s="147"/>
      <c r="BH1300" s="147"/>
      <c r="BI1300" s="147"/>
      <c r="BJ1300" s="147"/>
      <c r="BK1300" s="147"/>
      <c r="BL1300" s="147"/>
      <c r="BM1300" s="147"/>
      <c r="BN1300" s="147"/>
      <c r="BO1300" s="147"/>
      <c r="BP1300" s="147"/>
      <c r="BQ1300" s="147"/>
      <c r="BR1300" s="147"/>
      <c r="BS1300" s="147"/>
      <c r="BT1300" s="147"/>
      <c r="BU1300" s="147"/>
      <c r="BV1300" s="147"/>
      <c r="BW1300" s="147"/>
      <c r="BX1300" s="147"/>
      <c r="BY1300" s="147"/>
      <c r="BZ1300" s="147"/>
      <c r="CA1300" s="147"/>
      <c r="CB1300" s="147"/>
      <c r="CC1300" s="147"/>
      <c r="CD1300" s="147"/>
      <c r="CE1300" s="147"/>
      <c r="CF1300" s="147"/>
      <c r="CG1300" s="147"/>
      <c r="CH1300" s="147"/>
      <c r="CI1300" s="147"/>
      <c r="CJ1300" s="147"/>
      <c r="CK1300" s="147"/>
    </row>
    <row r="1301" spans="1:89">
      <c r="A1301" s="157"/>
      <c r="F1301" s="3"/>
      <c r="G1301" s="3"/>
      <c r="L1301" s="157"/>
      <c r="M1301" s="157"/>
      <c r="O1301" s="147"/>
      <c r="P1301" s="147"/>
      <c r="Q1301" s="147"/>
      <c r="R1301" s="147"/>
      <c r="S1301" s="147"/>
      <c r="T1301" s="147"/>
      <c r="U1301" s="147"/>
      <c r="V1301" s="147"/>
      <c r="W1301" s="147"/>
      <c r="X1301" s="147"/>
      <c r="Y1301" s="147"/>
      <c r="Z1301" s="147"/>
      <c r="AA1301" s="147"/>
      <c r="AB1301" s="147"/>
      <c r="AC1301" s="147"/>
      <c r="AD1301" s="147"/>
      <c r="AE1301" s="147"/>
      <c r="AF1301" s="147"/>
      <c r="AG1301" s="147"/>
      <c r="AH1301" s="147"/>
      <c r="AI1301" s="147"/>
      <c r="AJ1301" s="147"/>
      <c r="AK1301" s="147"/>
      <c r="AL1301" s="147"/>
      <c r="AM1301" s="151"/>
      <c r="AN1301" s="147"/>
      <c r="AO1301" s="147"/>
      <c r="AP1301" s="147"/>
      <c r="AQ1301" s="147"/>
      <c r="AR1301" s="147"/>
      <c r="AS1301" s="147"/>
      <c r="AT1301" s="147"/>
      <c r="AU1301" s="147"/>
      <c r="AV1301" s="147"/>
      <c r="AW1301" s="147"/>
      <c r="AX1301" s="147"/>
      <c r="AY1301" s="147"/>
      <c r="AZ1301" s="147"/>
      <c r="BA1301" s="147"/>
      <c r="BB1301" s="147"/>
      <c r="BC1301" s="147"/>
      <c r="BD1301" s="147"/>
      <c r="BE1301" s="147"/>
      <c r="BF1301" s="147"/>
      <c r="BG1301" s="147"/>
      <c r="BH1301" s="147"/>
      <c r="BI1301" s="147"/>
      <c r="BJ1301" s="147"/>
      <c r="BK1301" s="147"/>
      <c r="BL1301" s="147"/>
      <c r="BM1301" s="147"/>
      <c r="BN1301" s="147"/>
      <c r="BO1301" s="147"/>
      <c r="BP1301" s="147"/>
      <c r="BQ1301" s="147"/>
      <c r="BR1301" s="147"/>
      <c r="BS1301" s="147"/>
      <c r="BT1301" s="147"/>
      <c r="BU1301" s="147"/>
      <c r="BV1301" s="147"/>
      <c r="BW1301" s="147"/>
      <c r="BX1301" s="147"/>
      <c r="BY1301" s="147"/>
      <c r="BZ1301" s="147"/>
      <c r="CA1301" s="147"/>
      <c r="CB1301" s="147"/>
      <c r="CC1301" s="147"/>
      <c r="CD1301" s="147"/>
      <c r="CE1301" s="147"/>
      <c r="CF1301" s="147"/>
      <c r="CG1301" s="147"/>
      <c r="CH1301" s="147"/>
      <c r="CI1301" s="147"/>
      <c r="CJ1301" s="147"/>
      <c r="CK1301" s="147"/>
    </row>
    <row r="1302" spans="1:89">
      <c r="A1302" s="157"/>
      <c r="F1302" s="3"/>
      <c r="G1302" s="3"/>
      <c r="L1302" s="157"/>
      <c r="M1302" s="157"/>
      <c r="O1302" s="147"/>
      <c r="P1302" s="147"/>
      <c r="Q1302" s="147"/>
      <c r="R1302" s="147"/>
      <c r="S1302" s="147"/>
      <c r="T1302" s="147"/>
      <c r="U1302" s="147"/>
      <c r="V1302" s="147"/>
      <c r="W1302" s="147"/>
      <c r="X1302" s="147"/>
      <c r="Y1302" s="147"/>
      <c r="Z1302" s="147"/>
      <c r="AA1302" s="147"/>
      <c r="AB1302" s="147"/>
      <c r="AC1302" s="147"/>
      <c r="AD1302" s="147"/>
      <c r="AE1302" s="147"/>
      <c r="AF1302" s="147"/>
      <c r="AG1302" s="147"/>
      <c r="AH1302" s="147"/>
      <c r="AI1302" s="147"/>
      <c r="AJ1302" s="147"/>
      <c r="AK1302" s="147"/>
      <c r="AL1302" s="147"/>
      <c r="AM1302" s="151"/>
      <c r="AN1302" s="147"/>
      <c r="AO1302" s="147"/>
      <c r="AP1302" s="147"/>
      <c r="AQ1302" s="147"/>
      <c r="AR1302" s="147"/>
      <c r="AS1302" s="147"/>
      <c r="AT1302" s="147"/>
      <c r="AU1302" s="147"/>
      <c r="AV1302" s="147"/>
      <c r="AW1302" s="147"/>
      <c r="AX1302" s="147"/>
      <c r="AY1302" s="147"/>
      <c r="AZ1302" s="147"/>
      <c r="BA1302" s="147"/>
      <c r="BB1302" s="147"/>
      <c r="BC1302" s="147"/>
      <c r="BD1302" s="147"/>
      <c r="BE1302" s="147"/>
      <c r="BF1302" s="147"/>
      <c r="BG1302" s="147"/>
      <c r="BH1302" s="147"/>
      <c r="BI1302" s="147"/>
      <c r="BJ1302" s="147"/>
      <c r="BK1302" s="147"/>
      <c r="BL1302" s="147"/>
      <c r="BM1302" s="147"/>
      <c r="BN1302" s="147"/>
      <c r="BO1302" s="147"/>
      <c r="BP1302" s="147"/>
      <c r="BQ1302" s="147"/>
      <c r="BR1302" s="147"/>
      <c r="BS1302" s="147"/>
      <c r="BT1302" s="147"/>
      <c r="BU1302" s="147"/>
      <c r="BV1302" s="147"/>
      <c r="BW1302" s="147"/>
      <c r="BX1302" s="147"/>
      <c r="BY1302" s="147"/>
      <c r="BZ1302" s="147"/>
      <c r="CA1302" s="147"/>
      <c r="CB1302" s="147"/>
      <c r="CC1302" s="147"/>
      <c r="CD1302" s="147"/>
      <c r="CE1302" s="147"/>
      <c r="CF1302" s="147"/>
      <c r="CG1302" s="147"/>
      <c r="CH1302" s="147"/>
      <c r="CI1302" s="147"/>
      <c r="CJ1302" s="147"/>
      <c r="CK1302" s="147"/>
    </row>
    <row r="1303" spans="1:89">
      <c r="A1303" s="157"/>
      <c r="F1303" s="3"/>
      <c r="G1303" s="3"/>
      <c r="L1303" s="157"/>
      <c r="M1303" s="157"/>
      <c r="O1303" s="147"/>
      <c r="P1303" s="147"/>
      <c r="Q1303" s="147"/>
      <c r="R1303" s="147"/>
      <c r="S1303" s="147"/>
      <c r="T1303" s="147"/>
      <c r="U1303" s="147"/>
      <c r="V1303" s="147"/>
      <c r="W1303" s="147"/>
      <c r="X1303" s="147"/>
      <c r="Y1303" s="147"/>
      <c r="Z1303" s="147"/>
      <c r="AA1303" s="147"/>
      <c r="AB1303" s="147"/>
      <c r="AC1303" s="147"/>
      <c r="AD1303" s="147"/>
      <c r="AE1303" s="147"/>
      <c r="AF1303" s="147"/>
      <c r="AG1303" s="147"/>
      <c r="AH1303" s="147"/>
      <c r="AI1303" s="147"/>
      <c r="AJ1303" s="147"/>
      <c r="AK1303" s="147"/>
      <c r="AL1303" s="147"/>
      <c r="AM1303" s="151"/>
      <c r="AN1303" s="147"/>
      <c r="AO1303" s="147"/>
      <c r="AP1303" s="147"/>
      <c r="AQ1303" s="147"/>
      <c r="AR1303" s="147"/>
      <c r="AS1303" s="147"/>
      <c r="AT1303" s="147"/>
      <c r="AU1303" s="147"/>
      <c r="AV1303" s="147"/>
      <c r="AW1303" s="147"/>
      <c r="AX1303" s="147"/>
      <c r="AY1303" s="147"/>
      <c r="AZ1303" s="147"/>
      <c r="BA1303" s="147"/>
      <c r="BB1303" s="147"/>
      <c r="BC1303" s="147"/>
      <c r="BD1303" s="147"/>
      <c r="BE1303" s="147"/>
      <c r="BF1303" s="147"/>
      <c r="BG1303" s="147"/>
      <c r="BH1303" s="147"/>
      <c r="BI1303" s="147"/>
      <c r="BJ1303" s="147"/>
      <c r="BK1303" s="147"/>
      <c r="BL1303" s="147"/>
      <c r="BM1303" s="147"/>
      <c r="BN1303" s="147"/>
      <c r="BO1303" s="147"/>
      <c r="BP1303" s="147"/>
      <c r="BQ1303" s="147"/>
      <c r="BR1303" s="147"/>
      <c r="BS1303" s="147"/>
      <c r="BT1303" s="147"/>
      <c r="BU1303" s="147"/>
      <c r="BV1303" s="147"/>
      <c r="BW1303" s="147"/>
      <c r="BX1303" s="147"/>
      <c r="BY1303" s="147"/>
      <c r="BZ1303" s="147"/>
      <c r="CA1303" s="147"/>
      <c r="CB1303" s="147"/>
      <c r="CC1303" s="147"/>
      <c r="CD1303" s="147"/>
      <c r="CE1303" s="147"/>
      <c r="CF1303" s="147"/>
      <c r="CG1303" s="147"/>
      <c r="CH1303" s="147"/>
      <c r="CI1303" s="147"/>
      <c r="CJ1303" s="147"/>
      <c r="CK1303" s="147"/>
    </row>
    <row r="1304" spans="1:89">
      <c r="A1304" s="157"/>
      <c r="F1304" s="3"/>
      <c r="G1304" s="3"/>
      <c r="L1304" s="157"/>
      <c r="M1304" s="157"/>
      <c r="O1304" s="147"/>
      <c r="P1304" s="147"/>
      <c r="Q1304" s="147"/>
      <c r="R1304" s="147"/>
      <c r="S1304" s="147"/>
      <c r="T1304" s="147"/>
      <c r="U1304" s="147"/>
      <c r="V1304" s="147"/>
      <c r="W1304" s="147"/>
      <c r="X1304" s="147"/>
      <c r="Y1304" s="147"/>
      <c r="Z1304" s="147"/>
      <c r="AA1304" s="147"/>
      <c r="AB1304" s="147"/>
      <c r="AC1304" s="147"/>
      <c r="AD1304" s="147"/>
      <c r="AE1304" s="147"/>
      <c r="AF1304" s="147"/>
      <c r="AG1304" s="147"/>
      <c r="AH1304" s="147"/>
      <c r="AI1304" s="147"/>
      <c r="AJ1304" s="147"/>
      <c r="AK1304" s="147"/>
      <c r="AL1304" s="147"/>
      <c r="AM1304" s="151"/>
      <c r="AN1304" s="147"/>
      <c r="AO1304" s="147"/>
      <c r="AP1304" s="147"/>
      <c r="AQ1304" s="147"/>
      <c r="AR1304" s="147"/>
      <c r="AS1304" s="147"/>
      <c r="AT1304" s="147"/>
      <c r="AU1304" s="147"/>
      <c r="AV1304" s="147"/>
      <c r="AW1304" s="147"/>
      <c r="AX1304" s="147"/>
      <c r="AY1304" s="147"/>
      <c r="AZ1304" s="147"/>
      <c r="BA1304" s="147"/>
      <c r="BB1304" s="147"/>
      <c r="BC1304" s="147"/>
      <c r="BD1304" s="147"/>
      <c r="BE1304" s="147"/>
      <c r="BF1304" s="147"/>
      <c r="BG1304" s="147"/>
      <c r="BH1304" s="147"/>
      <c r="BI1304" s="147"/>
      <c r="BJ1304" s="147"/>
      <c r="BK1304" s="147"/>
      <c r="BL1304" s="147"/>
      <c r="BM1304" s="147"/>
      <c r="BN1304" s="147"/>
      <c r="BO1304" s="147"/>
      <c r="BP1304" s="147"/>
      <c r="BQ1304" s="147"/>
      <c r="BR1304" s="147"/>
      <c r="BS1304" s="147"/>
      <c r="BT1304" s="147"/>
      <c r="BU1304" s="147"/>
      <c r="BV1304" s="147"/>
      <c r="BW1304" s="147"/>
      <c r="BX1304" s="147"/>
      <c r="BY1304" s="147"/>
      <c r="BZ1304" s="147"/>
      <c r="CA1304" s="147"/>
      <c r="CB1304" s="147"/>
      <c r="CC1304" s="147"/>
      <c r="CD1304" s="147"/>
      <c r="CE1304" s="147"/>
      <c r="CF1304" s="147"/>
      <c r="CG1304" s="147"/>
      <c r="CH1304" s="147"/>
      <c r="CI1304" s="147"/>
      <c r="CJ1304" s="147"/>
      <c r="CK1304" s="147"/>
    </row>
    <row r="1305" spans="1:89">
      <c r="A1305" s="157"/>
      <c r="F1305" s="3"/>
      <c r="G1305" s="3"/>
      <c r="L1305" s="157"/>
      <c r="M1305" s="157"/>
      <c r="O1305" s="147"/>
      <c r="P1305" s="147"/>
      <c r="Q1305" s="147"/>
      <c r="R1305" s="147"/>
      <c r="S1305" s="147"/>
      <c r="T1305" s="147"/>
      <c r="U1305" s="147"/>
      <c r="V1305" s="147"/>
      <c r="W1305" s="147"/>
      <c r="X1305" s="147"/>
      <c r="Y1305" s="147"/>
      <c r="Z1305" s="147"/>
      <c r="AA1305" s="147"/>
      <c r="AB1305" s="147"/>
      <c r="AC1305" s="147"/>
      <c r="AD1305" s="147"/>
      <c r="AE1305" s="147"/>
      <c r="AF1305" s="147"/>
      <c r="AG1305" s="147"/>
      <c r="AH1305" s="147"/>
      <c r="AI1305" s="147"/>
      <c r="AJ1305" s="147"/>
      <c r="AK1305" s="147"/>
      <c r="AL1305" s="147"/>
      <c r="AM1305" s="151"/>
      <c r="AN1305" s="147"/>
      <c r="AO1305" s="147"/>
      <c r="AP1305" s="147"/>
      <c r="AQ1305" s="147"/>
      <c r="AR1305" s="147"/>
      <c r="AS1305" s="147"/>
      <c r="AT1305" s="147"/>
      <c r="AU1305" s="147"/>
      <c r="AV1305" s="147"/>
      <c r="AW1305" s="147"/>
      <c r="AX1305" s="147"/>
      <c r="AY1305" s="147"/>
      <c r="AZ1305" s="147"/>
      <c r="BA1305" s="147"/>
      <c r="BB1305" s="147"/>
      <c r="BC1305" s="147"/>
      <c r="BD1305" s="147"/>
      <c r="BE1305" s="147"/>
      <c r="BF1305" s="147"/>
      <c r="BG1305" s="147"/>
      <c r="BH1305" s="147"/>
      <c r="BI1305" s="147"/>
      <c r="BJ1305" s="147"/>
      <c r="BK1305" s="147"/>
      <c r="BL1305" s="147"/>
      <c r="BM1305" s="147"/>
      <c r="BN1305" s="147"/>
      <c r="BO1305" s="147"/>
      <c r="BP1305" s="147"/>
      <c r="BQ1305" s="147"/>
      <c r="BR1305" s="147"/>
      <c r="BS1305" s="147"/>
      <c r="BT1305" s="147"/>
      <c r="BU1305" s="147"/>
      <c r="BV1305" s="147"/>
      <c r="BW1305" s="147"/>
      <c r="BX1305" s="147"/>
      <c r="BY1305" s="147"/>
      <c r="BZ1305" s="147"/>
      <c r="CA1305" s="147"/>
      <c r="CB1305" s="147"/>
      <c r="CC1305" s="147"/>
      <c r="CD1305" s="147"/>
      <c r="CE1305" s="147"/>
      <c r="CF1305" s="147"/>
      <c r="CG1305" s="147"/>
      <c r="CH1305" s="147"/>
      <c r="CI1305" s="147"/>
      <c r="CJ1305" s="147"/>
      <c r="CK1305" s="147"/>
    </row>
    <row r="1306" spans="1:89">
      <c r="A1306" s="157"/>
      <c r="F1306" s="3"/>
      <c r="G1306" s="3"/>
      <c r="L1306" s="157"/>
      <c r="M1306" s="157"/>
      <c r="O1306" s="147"/>
      <c r="P1306" s="147"/>
      <c r="Q1306" s="147"/>
      <c r="R1306" s="147"/>
      <c r="S1306" s="147"/>
      <c r="T1306" s="147"/>
      <c r="U1306" s="147"/>
      <c r="V1306" s="147"/>
      <c r="W1306" s="147"/>
      <c r="X1306" s="147"/>
      <c r="Y1306" s="147"/>
      <c r="Z1306" s="147"/>
      <c r="AA1306" s="147"/>
      <c r="AB1306" s="147"/>
      <c r="AC1306" s="147"/>
      <c r="AD1306" s="147"/>
      <c r="AE1306" s="147"/>
      <c r="AF1306" s="147"/>
      <c r="AG1306" s="147"/>
      <c r="AH1306" s="147"/>
      <c r="AI1306" s="147"/>
      <c r="AJ1306" s="147"/>
      <c r="AK1306" s="147"/>
      <c r="AL1306" s="147"/>
      <c r="AM1306" s="151"/>
      <c r="AN1306" s="147"/>
      <c r="AO1306" s="147"/>
      <c r="AP1306" s="147"/>
      <c r="AQ1306" s="147"/>
      <c r="AR1306" s="147"/>
      <c r="AS1306" s="147"/>
      <c r="AT1306" s="147"/>
      <c r="AU1306" s="147"/>
      <c r="AV1306" s="147"/>
      <c r="AW1306" s="147"/>
      <c r="AX1306" s="147"/>
      <c r="AY1306" s="147"/>
      <c r="AZ1306" s="147"/>
      <c r="BA1306" s="147"/>
      <c r="BB1306" s="147"/>
      <c r="BC1306" s="147"/>
      <c r="BD1306" s="147"/>
      <c r="BE1306" s="147"/>
      <c r="BF1306" s="147"/>
      <c r="BG1306" s="147"/>
      <c r="BH1306" s="147"/>
      <c r="BI1306" s="147"/>
      <c r="BJ1306" s="147"/>
      <c r="BK1306" s="147"/>
      <c r="BL1306" s="147"/>
      <c r="BM1306" s="147"/>
      <c r="BN1306" s="147"/>
      <c r="BO1306" s="147"/>
      <c r="BP1306" s="147"/>
      <c r="BQ1306" s="147"/>
      <c r="BR1306" s="147"/>
      <c r="BS1306" s="147"/>
      <c r="BT1306" s="147"/>
      <c r="BU1306" s="147"/>
      <c r="BV1306" s="147"/>
      <c r="BW1306" s="147"/>
      <c r="BX1306" s="147"/>
      <c r="BY1306" s="147"/>
      <c r="BZ1306" s="147"/>
      <c r="CA1306" s="147"/>
      <c r="CB1306" s="147"/>
      <c r="CC1306" s="147"/>
      <c r="CD1306" s="147"/>
      <c r="CE1306" s="147"/>
      <c r="CF1306" s="147"/>
      <c r="CG1306" s="147"/>
      <c r="CH1306" s="147"/>
      <c r="CI1306" s="147"/>
      <c r="CJ1306" s="147"/>
      <c r="CK1306" s="147"/>
    </row>
    <row r="1307" spans="1:89">
      <c r="A1307" s="157"/>
      <c r="F1307" s="3"/>
      <c r="G1307" s="3"/>
      <c r="L1307" s="157"/>
      <c r="M1307" s="157"/>
      <c r="O1307" s="147"/>
      <c r="P1307" s="147"/>
      <c r="Q1307" s="147"/>
      <c r="R1307" s="147"/>
      <c r="S1307" s="147"/>
      <c r="T1307" s="147"/>
      <c r="U1307" s="147"/>
      <c r="V1307" s="147"/>
      <c r="W1307" s="147"/>
      <c r="X1307" s="147"/>
      <c r="Y1307" s="147"/>
      <c r="Z1307" s="147"/>
      <c r="AA1307" s="147"/>
      <c r="AB1307" s="147"/>
      <c r="AC1307" s="147"/>
      <c r="AD1307" s="147"/>
      <c r="AE1307" s="147"/>
      <c r="AF1307" s="147"/>
      <c r="AG1307" s="147"/>
      <c r="AH1307" s="147"/>
      <c r="AI1307" s="147"/>
      <c r="AJ1307" s="147"/>
      <c r="AK1307" s="147"/>
      <c r="AL1307" s="147"/>
      <c r="AM1307" s="151"/>
      <c r="AN1307" s="147"/>
      <c r="AO1307" s="147"/>
      <c r="AP1307" s="147"/>
      <c r="AQ1307" s="147"/>
      <c r="AR1307" s="147"/>
      <c r="AS1307" s="147"/>
      <c r="AT1307" s="147"/>
      <c r="AU1307" s="147"/>
      <c r="AV1307" s="147"/>
      <c r="AW1307" s="147"/>
      <c r="AX1307" s="147"/>
      <c r="AY1307" s="147"/>
      <c r="AZ1307" s="147"/>
      <c r="BA1307" s="147"/>
      <c r="BB1307" s="147"/>
      <c r="BC1307" s="147"/>
      <c r="BD1307" s="147"/>
      <c r="BE1307" s="147"/>
      <c r="BF1307" s="147"/>
      <c r="BG1307" s="147"/>
      <c r="BH1307" s="147"/>
      <c r="BI1307" s="147"/>
      <c r="BJ1307" s="147"/>
      <c r="BK1307" s="147"/>
      <c r="BL1307" s="147"/>
      <c r="BM1307" s="147"/>
      <c r="BN1307" s="147"/>
      <c r="BO1307" s="147"/>
      <c r="BP1307" s="147"/>
      <c r="BQ1307" s="147"/>
      <c r="BR1307" s="147"/>
      <c r="BS1307" s="147"/>
      <c r="BT1307" s="147"/>
      <c r="BU1307" s="147"/>
      <c r="BV1307" s="147"/>
      <c r="BW1307" s="147"/>
      <c r="BX1307" s="147"/>
      <c r="BY1307" s="147"/>
      <c r="BZ1307" s="147"/>
      <c r="CA1307" s="147"/>
      <c r="CB1307" s="147"/>
      <c r="CC1307" s="147"/>
      <c r="CD1307" s="147"/>
      <c r="CE1307" s="147"/>
      <c r="CF1307" s="147"/>
      <c r="CG1307" s="147"/>
      <c r="CH1307" s="147"/>
      <c r="CI1307" s="147"/>
      <c r="CJ1307" s="147"/>
      <c r="CK1307" s="147"/>
    </row>
    <row r="1308" spans="1:89">
      <c r="A1308" s="157"/>
      <c r="F1308" s="3"/>
      <c r="G1308" s="3"/>
      <c r="L1308" s="157"/>
      <c r="M1308" s="157"/>
      <c r="O1308" s="147"/>
      <c r="P1308" s="147"/>
      <c r="Q1308" s="147"/>
      <c r="R1308" s="147"/>
      <c r="S1308" s="147"/>
      <c r="T1308" s="147"/>
      <c r="U1308" s="147"/>
      <c r="V1308" s="147"/>
      <c r="W1308" s="147"/>
      <c r="X1308" s="147"/>
      <c r="Y1308" s="147"/>
      <c r="Z1308" s="147"/>
      <c r="AA1308" s="147"/>
      <c r="AB1308" s="147"/>
      <c r="AC1308" s="147"/>
      <c r="AD1308" s="147"/>
      <c r="AE1308" s="147"/>
      <c r="AF1308" s="147"/>
      <c r="AG1308" s="147"/>
      <c r="AH1308" s="147"/>
      <c r="AI1308" s="147"/>
      <c r="AJ1308" s="147"/>
      <c r="AK1308" s="147"/>
      <c r="AL1308" s="147"/>
      <c r="AM1308" s="151"/>
      <c r="AN1308" s="147"/>
      <c r="AO1308" s="147"/>
      <c r="AP1308" s="147"/>
      <c r="AQ1308" s="147"/>
      <c r="AR1308" s="147"/>
      <c r="AS1308" s="147"/>
      <c r="AT1308" s="147"/>
      <c r="AU1308" s="147"/>
      <c r="AV1308" s="147"/>
      <c r="AW1308" s="147"/>
      <c r="AX1308" s="147"/>
      <c r="AY1308" s="147"/>
      <c r="AZ1308" s="147"/>
      <c r="BA1308" s="147"/>
      <c r="BB1308" s="147"/>
      <c r="BC1308" s="147"/>
      <c r="BD1308" s="147"/>
      <c r="BE1308" s="147"/>
      <c r="BF1308" s="147"/>
      <c r="BG1308" s="147"/>
      <c r="BH1308" s="147"/>
      <c r="BI1308" s="147"/>
      <c r="BJ1308" s="147"/>
      <c r="BK1308" s="147"/>
      <c r="BL1308" s="147"/>
      <c r="BM1308" s="147"/>
      <c r="BN1308" s="147"/>
      <c r="BO1308" s="147"/>
      <c r="BP1308" s="147"/>
      <c r="BQ1308" s="147"/>
      <c r="BR1308" s="147"/>
      <c r="BS1308" s="147"/>
      <c r="BT1308" s="147"/>
      <c r="BU1308" s="147"/>
      <c r="BV1308" s="147"/>
      <c r="BW1308" s="147"/>
      <c r="BX1308" s="147"/>
      <c r="BY1308" s="147"/>
      <c r="BZ1308" s="147"/>
      <c r="CA1308" s="147"/>
      <c r="CB1308" s="147"/>
      <c r="CC1308" s="147"/>
      <c r="CD1308" s="147"/>
      <c r="CE1308" s="147"/>
      <c r="CF1308" s="147"/>
      <c r="CG1308" s="147"/>
      <c r="CH1308" s="147"/>
      <c r="CI1308" s="147"/>
      <c r="CJ1308" s="147"/>
      <c r="CK1308" s="147"/>
    </row>
    <row r="1309" spans="1:89">
      <c r="A1309" s="157"/>
      <c r="F1309" s="3"/>
      <c r="G1309" s="3"/>
      <c r="L1309" s="157"/>
      <c r="M1309" s="157"/>
      <c r="O1309" s="147"/>
      <c r="P1309" s="147"/>
      <c r="Q1309" s="147"/>
      <c r="R1309" s="147"/>
      <c r="S1309" s="147"/>
      <c r="T1309" s="147"/>
      <c r="U1309" s="147"/>
      <c r="V1309" s="147"/>
      <c r="W1309" s="147"/>
      <c r="X1309" s="147"/>
      <c r="Y1309" s="147"/>
      <c r="Z1309" s="147"/>
      <c r="AA1309" s="147"/>
      <c r="AB1309" s="147"/>
      <c r="AC1309" s="147"/>
      <c r="AD1309" s="147"/>
      <c r="AE1309" s="147"/>
      <c r="AF1309" s="147"/>
      <c r="AG1309" s="147"/>
      <c r="AH1309" s="147"/>
      <c r="AI1309" s="147"/>
      <c r="AJ1309" s="147"/>
      <c r="AK1309" s="147"/>
      <c r="AL1309" s="147"/>
      <c r="AM1309" s="151"/>
      <c r="AN1309" s="147"/>
      <c r="AO1309" s="147"/>
      <c r="AP1309" s="147"/>
      <c r="AQ1309" s="147"/>
      <c r="AR1309" s="147"/>
      <c r="AS1309" s="147"/>
      <c r="AT1309" s="147"/>
      <c r="AU1309" s="147"/>
      <c r="AV1309" s="147"/>
      <c r="AW1309" s="147"/>
      <c r="AX1309" s="147"/>
      <c r="AY1309" s="147"/>
      <c r="AZ1309" s="147"/>
      <c r="BA1309" s="147"/>
      <c r="BB1309" s="147"/>
      <c r="BC1309" s="147"/>
      <c r="BD1309" s="147"/>
      <c r="BE1309" s="147"/>
      <c r="BF1309" s="147"/>
      <c r="BG1309" s="147"/>
      <c r="BH1309" s="147"/>
      <c r="BI1309" s="147"/>
      <c r="BJ1309" s="147"/>
      <c r="BK1309" s="147"/>
      <c r="BL1309" s="147"/>
      <c r="BM1309" s="147"/>
      <c r="BN1309" s="147"/>
      <c r="BO1309" s="147"/>
      <c r="BP1309" s="147"/>
      <c r="BQ1309" s="147"/>
      <c r="BR1309" s="147"/>
      <c r="BS1309" s="147"/>
      <c r="BT1309" s="147"/>
      <c r="BU1309" s="147"/>
      <c r="BV1309" s="147"/>
      <c r="BW1309" s="147"/>
      <c r="BX1309" s="147"/>
      <c r="BY1309" s="147"/>
      <c r="BZ1309" s="147"/>
      <c r="CA1309" s="147"/>
      <c r="CB1309" s="147"/>
      <c r="CC1309" s="147"/>
      <c r="CD1309" s="147"/>
      <c r="CE1309" s="147"/>
      <c r="CF1309" s="147"/>
      <c r="CG1309" s="147"/>
      <c r="CH1309" s="147"/>
      <c r="CI1309" s="147"/>
      <c r="CJ1309" s="147"/>
      <c r="CK1309" s="147"/>
    </row>
    <row r="1310" spans="1:89">
      <c r="A1310" s="157"/>
      <c r="F1310" s="3"/>
      <c r="G1310" s="3"/>
      <c r="L1310" s="157"/>
      <c r="M1310" s="157"/>
      <c r="O1310" s="147"/>
      <c r="P1310" s="147"/>
      <c r="Q1310" s="147"/>
      <c r="R1310" s="147"/>
      <c r="S1310" s="147"/>
      <c r="T1310" s="147"/>
      <c r="U1310" s="147"/>
      <c r="V1310" s="147"/>
      <c r="W1310" s="147"/>
      <c r="X1310" s="147"/>
      <c r="Y1310" s="147"/>
      <c r="Z1310" s="147"/>
      <c r="AA1310" s="147"/>
      <c r="AB1310" s="147"/>
      <c r="AC1310" s="147"/>
      <c r="AD1310" s="147"/>
      <c r="AE1310" s="147"/>
      <c r="AF1310" s="147"/>
      <c r="AG1310" s="147"/>
      <c r="AH1310" s="147"/>
      <c r="AI1310" s="147"/>
      <c r="AJ1310" s="147"/>
      <c r="AK1310" s="147"/>
      <c r="AL1310" s="147"/>
      <c r="AM1310" s="151"/>
      <c r="AN1310" s="147"/>
      <c r="AO1310" s="147"/>
      <c r="AP1310" s="147"/>
      <c r="AQ1310" s="147"/>
      <c r="AR1310" s="147"/>
      <c r="AS1310" s="147"/>
      <c r="AT1310" s="147"/>
      <c r="AU1310" s="147"/>
      <c r="AV1310" s="147"/>
      <c r="AW1310" s="147"/>
      <c r="AX1310" s="147"/>
      <c r="AY1310" s="147"/>
      <c r="AZ1310" s="147"/>
      <c r="BA1310" s="147"/>
      <c r="BB1310" s="147"/>
      <c r="BC1310" s="147"/>
      <c r="BD1310" s="147"/>
      <c r="BE1310" s="147"/>
      <c r="BF1310" s="147"/>
      <c r="BG1310" s="147"/>
      <c r="BH1310" s="147"/>
      <c r="BI1310" s="147"/>
      <c r="BJ1310" s="147"/>
      <c r="BK1310" s="147"/>
      <c r="BL1310" s="147"/>
      <c r="BM1310" s="147"/>
      <c r="BN1310" s="147"/>
      <c r="BO1310" s="147"/>
      <c r="BP1310" s="147"/>
      <c r="BQ1310" s="147"/>
      <c r="BR1310" s="147"/>
      <c r="BS1310" s="147"/>
      <c r="BT1310" s="147"/>
      <c r="BU1310" s="147"/>
      <c r="BV1310" s="147"/>
      <c r="BW1310" s="147"/>
      <c r="BX1310" s="147"/>
      <c r="BY1310" s="147"/>
      <c r="BZ1310" s="147"/>
      <c r="CA1310" s="147"/>
      <c r="CB1310" s="147"/>
      <c r="CC1310" s="147"/>
      <c r="CD1310" s="147"/>
      <c r="CE1310" s="147"/>
      <c r="CF1310" s="147"/>
      <c r="CG1310" s="147"/>
      <c r="CH1310" s="147"/>
      <c r="CI1310" s="147"/>
      <c r="CJ1310" s="147"/>
      <c r="CK1310" s="147"/>
    </row>
    <row r="1311" spans="1:89">
      <c r="A1311" s="157"/>
      <c r="F1311" s="3"/>
      <c r="G1311" s="3"/>
      <c r="L1311" s="157"/>
      <c r="M1311" s="157"/>
      <c r="O1311" s="147"/>
      <c r="P1311" s="147"/>
      <c r="Q1311" s="147"/>
      <c r="R1311" s="147"/>
      <c r="S1311" s="147"/>
      <c r="T1311" s="147"/>
      <c r="U1311" s="147"/>
      <c r="V1311" s="147"/>
      <c r="W1311" s="147"/>
      <c r="X1311" s="147"/>
      <c r="Y1311" s="147"/>
      <c r="Z1311" s="147"/>
      <c r="AA1311" s="147"/>
      <c r="AB1311" s="147"/>
      <c r="AC1311" s="147"/>
      <c r="AD1311" s="147"/>
      <c r="AE1311" s="147"/>
      <c r="AF1311" s="147"/>
      <c r="AG1311" s="147"/>
      <c r="AH1311" s="147"/>
      <c r="AI1311" s="147"/>
      <c r="AJ1311" s="147"/>
      <c r="AK1311" s="147"/>
      <c r="AL1311" s="147"/>
      <c r="AM1311" s="151"/>
      <c r="AN1311" s="147"/>
      <c r="AO1311" s="147"/>
      <c r="AP1311" s="147"/>
      <c r="AQ1311" s="147"/>
      <c r="AR1311" s="147"/>
      <c r="AS1311" s="147"/>
      <c r="AT1311" s="147"/>
      <c r="AU1311" s="147"/>
      <c r="AV1311" s="147"/>
      <c r="AW1311" s="147"/>
      <c r="AX1311" s="147"/>
      <c r="AY1311" s="147"/>
      <c r="AZ1311" s="147"/>
      <c r="BA1311" s="147"/>
      <c r="BB1311" s="147"/>
      <c r="BC1311" s="147"/>
      <c r="BD1311" s="147"/>
      <c r="BE1311" s="147"/>
      <c r="BF1311" s="147"/>
      <c r="BG1311" s="147"/>
      <c r="BH1311" s="147"/>
      <c r="BI1311" s="147"/>
      <c r="BJ1311" s="147"/>
      <c r="BK1311" s="147"/>
      <c r="BL1311" s="147"/>
      <c r="BM1311" s="147"/>
      <c r="BN1311" s="147"/>
      <c r="BO1311" s="147"/>
      <c r="BP1311" s="147"/>
      <c r="BQ1311" s="147"/>
      <c r="BR1311" s="147"/>
      <c r="BS1311" s="147"/>
      <c r="BT1311" s="147"/>
      <c r="BU1311" s="147"/>
      <c r="BV1311" s="147"/>
      <c r="BW1311" s="147"/>
      <c r="BX1311" s="147"/>
      <c r="BY1311" s="147"/>
      <c r="BZ1311" s="147"/>
      <c r="CA1311" s="147"/>
      <c r="CB1311" s="147"/>
      <c r="CC1311" s="147"/>
      <c r="CD1311" s="147"/>
      <c r="CE1311" s="147"/>
      <c r="CF1311" s="147"/>
      <c r="CG1311" s="147"/>
      <c r="CH1311" s="147"/>
      <c r="CI1311" s="147"/>
      <c r="CJ1311" s="147"/>
      <c r="CK1311" s="147"/>
    </row>
    <row r="1312" spans="1:89">
      <c r="A1312" s="157"/>
      <c r="F1312" s="3"/>
      <c r="G1312" s="3"/>
      <c r="L1312" s="157"/>
      <c r="M1312" s="157"/>
      <c r="O1312" s="147"/>
      <c r="P1312" s="147"/>
      <c r="Q1312" s="147"/>
      <c r="R1312" s="147"/>
      <c r="S1312" s="147"/>
      <c r="T1312" s="147"/>
      <c r="U1312" s="147"/>
      <c r="V1312" s="147"/>
      <c r="W1312" s="147"/>
      <c r="X1312" s="147"/>
      <c r="Y1312" s="147"/>
      <c r="Z1312" s="147"/>
      <c r="AA1312" s="147"/>
      <c r="AB1312" s="147"/>
      <c r="AC1312" s="147"/>
      <c r="AD1312" s="147"/>
      <c r="AE1312" s="147"/>
      <c r="AF1312" s="147"/>
      <c r="AG1312" s="147"/>
      <c r="AH1312" s="147"/>
      <c r="AI1312" s="147"/>
      <c r="AJ1312" s="147"/>
      <c r="AK1312" s="147"/>
      <c r="AL1312" s="147"/>
      <c r="AM1312" s="151"/>
      <c r="AN1312" s="147"/>
      <c r="AO1312" s="147"/>
      <c r="AP1312" s="147"/>
      <c r="AQ1312" s="147"/>
      <c r="AR1312" s="147"/>
      <c r="AS1312" s="147"/>
      <c r="AT1312" s="147"/>
      <c r="AU1312" s="147"/>
      <c r="AV1312" s="147"/>
      <c r="AW1312" s="147"/>
      <c r="AX1312" s="147"/>
      <c r="AY1312" s="147"/>
      <c r="AZ1312" s="147"/>
      <c r="BA1312" s="147"/>
      <c r="BB1312" s="147"/>
      <c r="BC1312" s="147"/>
      <c r="BD1312" s="147"/>
      <c r="BE1312" s="147"/>
      <c r="BF1312" s="147"/>
      <c r="BG1312" s="147"/>
      <c r="BH1312" s="147"/>
      <c r="BI1312" s="147"/>
      <c r="BJ1312" s="147"/>
      <c r="BK1312" s="147"/>
      <c r="BL1312" s="147"/>
      <c r="BM1312" s="147"/>
      <c r="BN1312" s="147"/>
      <c r="BO1312" s="147"/>
      <c r="BP1312" s="147"/>
      <c r="BQ1312" s="147"/>
      <c r="BR1312" s="147"/>
      <c r="BS1312" s="147"/>
      <c r="BT1312" s="147"/>
      <c r="BU1312" s="147"/>
      <c r="BV1312" s="147"/>
      <c r="BW1312" s="147"/>
      <c r="BX1312" s="147"/>
      <c r="BY1312" s="147"/>
      <c r="BZ1312" s="147"/>
      <c r="CA1312" s="147"/>
      <c r="CB1312" s="147"/>
      <c r="CC1312" s="147"/>
      <c r="CD1312" s="147"/>
      <c r="CE1312" s="147"/>
      <c r="CF1312" s="147"/>
      <c r="CG1312" s="147"/>
      <c r="CH1312" s="147"/>
      <c r="CI1312" s="147"/>
      <c r="CJ1312" s="147"/>
      <c r="CK1312" s="147"/>
    </row>
    <row r="1313" spans="1:89">
      <c r="A1313" s="157"/>
      <c r="F1313" s="3"/>
      <c r="G1313" s="3"/>
      <c r="L1313" s="157"/>
      <c r="M1313" s="157"/>
      <c r="O1313" s="147"/>
      <c r="P1313" s="147"/>
      <c r="Q1313" s="147"/>
      <c r="R1313" s="147"/>
      <c r="S1313" s="147"/>
      <c r="T1313" s="147"/>
      <c r="U1313" s="147"/>
      <c r="V1313" s="147"/>
      <c r="W1313" s="147"/>
      <c r="X1313" s="147"/>
      <c r="Y1313" s="147"/>
      <c r="Z1313" s="147"/>
      <c r="AA1313" s="147"/>
      <c r="AB1313" s="147"/>
      <c r="AC1313" s="147"/>
      <c r="AD1313" s="147"/>
      <c r="AE1313" s="147"/>
      <c r="AF1313" s="147"/>
      <c r="AG1313" s="147"/>
      <c r="AH1313" s="147"/>
      <c r="AI1313" s="147"/>
      <c r="AJ1313" s="147"/>
      <c r="AK1313" s="147"/>
      <c r="AL1313" s="147"/>
      <c r="AM1313" s="151"/>
      <c r="AN1313" s="147"/>
      <c r="AO1313" s="147"/>
      <c r="AP1313" s="147"/>
      <c r="AQ1313" s="147"/>
      <c r="AR1313" s="147"/>
      <c r="AS1313" s="147"/>
      <c r="AT1313" s="147"/>
      <c r="AU1313" s="147"/>
      <c r="AV1313" s="147"/>
      <c r="AW1313" s="147"/>
      <c r="AX1313" s="147"/>
      <c r="AY1313" s="147"/>
      <c r="AZ1313" s="147"/>
      <c r="BA1313" s="147"/>
      <c r="BB1313" s="147"/>
      <c r="BC1313" s="147"/>
      <c r="BD1313" s="147"/>
      <c r="BE1313" s="147"/>
      <c r="BF1313" s="147"/>
      <c r="BG1313" s="147"/>
      <c r="BH1313" s="147"/>
      <c r="BI1313" s="147"/>
      <c r="BJ1313" s="147"/>
      <c r="BK1313" s="147"/>
      <c r="BL1313" s="147"/>
      <c r="BM1313" s="147"/>
      <c r="BN1313" s="147"/>
      <c r="BO1313" s="147"/>
      <c r="BP1313" s="147"/>
      <c r="BQ1313" s="147"/>
      <c r="BR1313" s="147"/>
      <c r="BS1313" s="147"/>
      <c r="BT1313" s="147"/>
      <c r="BU1313" s="147"/>
      <c r="BV1313" s="147"/>
      <c r="BW1313" s="147"/>
      <c r="BX1313" s="147"/>
      <c r="BY1313" s="147"/>
      <c r="BZ1313" s="147"/>
      <c r="CA1313" s="147"/>
      <c r="CB1313" s="147"/>
      <c r="CC1313" s="147"/>
      <c r="CD1313" s="147"/>
      <c r="CE1313" s="147"/>
      <c r="CF1313" s="147"/>
      <c r="CG1313" s="147"/>
      <c r="CH1313" s="147"/>
      <c r="CI1313" s="147"/>
      <c r="CJ1313" s="147"/>
      <c r="CK1313" s="147"/>
    </row>
    <row r="1314" spans="1:89">
      <c r="A1314" s="157"/>
      <c r="F1314" s="3"/>
      <c r="G1314" s="3"/>
      <c r="L1314" s="157"/>
      <c r="M1314" s="157"/>
      <c r="O1314" s="147"/>
      <c r="P1314" s="147"/>
      <c r="Q1314" s="147"/>
      <c r="R1314" s="147"/>
      <c r="S1314" s="147"/>
      <c r="T1314" s="147"/>
      <c r="U1314" s="147"/>
      <c r="V1314" s="147"/>
      <c r="W1314" s="147"/>
      <c r="X1314" s="147"/>
      <c r="Y1314" s="147"/>
      <c r="Z1314" s="147"/>
      <c r="AA1314" s="147"/>
      <c r="AB1314" s="147"/>
      <c r="AC1314" s="147"/>
      <c r="AD1314" s="147"/>
      <c r="AE1314" s="147"/>
      <c r="AF1314" s="147"/>
      <c r="AG1314" s="147"/>
      <c r="AH1314" s="147"/>
      <c r="AI1314" s="147"/>
      <c r="AJ1314" s="147"/>
      <c r="AK1314" s="147"/>
      <c r="AL1314" s="147"/>
      <c r="AM1314" s="151"/>
      <c r="AN1314" s="147"/>
      <c r="AO1314" s="147"/>
      <c r="AP1314" s="147"/>
      <c r="AQ1314" s="147"/>
      <c r="AR1314" s="147"/>
      <c r="AS1314" s="147"/>
      <c r="AT1314" s="147"/>
      <c r="AU1314" s="147"/>
      <c r="AV1314" s="147"/>
      <c r="AW1314" s="147"/>
      <c r="AX1314" s="147"/>
      <c r="AY1314" s="147"/>
      <c r="AZ1314" s="147"/>
      <c r="BA1314" s="147"/>
      <c r="BB1314" s="147"/>
      <c r="BC1314" s="147"/>
      <c r="BD1314" s="147"/>
      <c r="BE1314" s="147"/>
      <c r="BF1314" s="147"/>
      <c r="BG1314" s="147"/>
      <c r="BH1314" s="147"/>
      <c r="BI1314" s="147"/>
      <c r="BJ1314" s="147"/>
      <c r="BK1314" s="147"/>
      <c r="BL1314" s="147"/>
      <c r="BM1314" s="147"/>
      <c r="BN1314" s="147"/>
      <c r="BO1314" s="147"/>
      <c r="BP1314" s="147"/>
      <c r="BQ1314" s="147"/>
      <c r="BR1314" s="147"/>
      <c r="BS1314" s="147"/>
      <c r="BT1314" s="147"/>
      <c r="BU1314" s="147"/>
      <c r="BV1314" s="147"/>
      <c r="BW1314" s="147"/>
      <c r="BX1314" s="147"/>
      <c r="BY1314" s="147"/>
      <c r="BZ1314" s="147"/>
      <c r="CA1314" s="147"/>
      <c r="CB1314" s="147"/>
      <c r="CC1314" s="147"/>
      <c r="CD1314" s="147"/>
      <c r="CE1314" s="147"/>
      <c r="CF1314" s="147"/>
      <c r="CG1314" s="147"/>
      <c r="CH1314" s="147"/>
      <c r="CI1314" s="147"/>
      <c r="CJ1314" s="147"/>
      <c r="CK1314" s="147"/>
    </row>
    <row r="1315" spans="1:89">
      <c r="A1315" s="157"/>
      <c r="F1315" s="3"/>
      <c r="G1315" s="3"/>
      <c r="L1315" s="157"/>
      <c r="M1315" s="157"/>
      <c r="O1315" s="147"/>
      <c r="P1315" s="147"/>
      <c r="Q1315" s="147"/>
      <c r="R1315" s="147"/>
      <c r="S1315" s="147"/>
      <c r="T1315" s="147"/>
      <c r="U1315" s="147"/>
      <c r="V1315" s="147"/>
      <c r="W1315" s="147"/>
      <c r="X1315" s="147"/>
      <c r="Y1315" s="147"/>
      <c r="Z1315" s="147"/>
      <c r="AA1315" s="147"/>
      <c r="AB1315" s="147"/>
      <c r="AC1315" s="147"/>
      <c r="AD1315" s="147"/>
      <c r="AE1315" s="147"/>
      <c r="AF1315" s="147"/>
      <c r="AG1315" s="147"/>
      <c r="AH1315" s="147"/>
      <c r="AI1315" s="147"/>
      <c r="AJ1315" s="147"/>
      <c r="AK1315" s="147"/>
      <c r="AL1315" s="147"/>
      <c r="AM1315" s="151"/>
      <c r="AN1315" s="147"/>
      <c r="AO1315" s="147"/>
      <c r="AP1315" s="147"/>
      <c r="AQ1315" s="147"/>
      <c r="AR1315" s="147"/>
      <c r="AS1315" s="147"/>
      <c r="AT1315" s="147"/>
      <c r="AU1315" s="147"/>
      <c r="AV1315" s="147"/>
      <c r="AW1315" s="147"/>
      <c r="AX1315" s="147"/>
      <c r="AY1315" s="147"/>
      <c r="AZ1315" s="147"/>
      <c r="BA1315" s="147"/>
      <c r="BB1315" s="147"/>
      <c r="BC1315" s="147"/>
      <c r="BD1315" s="147"/>
      <c r="BE1315" s="147"/>
      <c r="BF1315" s="147"/>
      <c r="BG1315" s="147"/>
      <c r="BH1315" s="147"/>
      <c r="BI1315" s="147"/>
      <c r="BJ1315" s="147"/>
      <c r="BK1315" s="147"/>
      <c r="BL1315" s="147"/>
      <c r="BM1315" s="147"/>
      <c r="BN1315" s="147"/>
      <c r="BO1315" s="147"/>
      <c r="BP1315" s="147"/>
      <c r="BQ1315" s="147"/>
      <c r="BR1315" s="147"/>
      <c r="BS1315" s="147"/>
      <c r="BT1315" s="147"/>
      <c r="BU1315" s="147"/>
      <c r="BV1315" s="147"/>
      <c r="BW1315" s="147"/>
      <c r="BX1315" s="147"/>
      <c r="BY1315" s="147"/>
      <c r="BZ1315" s="147"/>
      <c r="CA1315" s="147"/>
      <c r="CB1315" s="147"/>
      <c r="CC1315" s="147"/>
      <c r="CD1315" s="147"/>
      <c r="CE1315" s="147"/>
      <c r="CF1315" s="147"/>
      <c r="CG1315" s="147"/>
      <c r="CH1315" s="147"/>
      <c r="CI1315" s="147"/>
      <c r="CJ1315" s="147"/>
      <c r="CK1315" s="147"/>
    </row>
    <row r="1316" spans="1:89">
      <c r="A1316" s="157"/>
      <c r="F1316" s="3"/>
      <c r="G1316" s="3"/>
      <c r="L1316" s="157"/>
      <c r="M1316" s="157"/>
      <c r="O1316" s="147"/>
      <c r="P1316" s="147"/>
      <c r="Q1316" s="147"/>
      <c r="R1316" s="147"/>
      <c r="S1316" s="147"/>
      <c r="T1316" s="147"/>
      <c r="U1316" s="147"/>
      <c r="V1316" s="147"/>
      <c r="W1316" s="147"/>
      <c r="X1316" s="147"/>
      <c r="Y1316" s="147"/>
      <c r="Z1316" s="147"/>
      <c r="AA1316" s="147"/>
      <c r="AB1316" s="147"/>
      <c r="AC1316" s="147"/>
      <c r="AD1316" s="147"/>
      <c r="AE1316" s="147"/>
      <c r="AF1316" s="147"/>
      <c r="AG1316" s="147"/>
      <c r="AH1316" s="147"/>
      <c r="AI1316" s="147"/>
      <c r="AJ1316" s="147"/>
      <c r="AK1316" s="147"/>
      <c r="AL1316" s="147"/>
      <c r="AM1316" s="151"/>
      <c r="AN1316" s="147"/>
      <c r="AO1316" s="147"/>
      <c r="AP1316" s="147"/>
      <c r="AQ1316" s="147"/>
      <c r="AR1316" s="147"/>
      <c r="AS1316" s="147"/>
      <c r="AT1316" s="147"/>
      <c r="AU1316" s="147"/>
      <c r="AV1316" s="147"/>
      <c r="AW1316" s="147"/>
      <c r="AX1316" s="147"/>
      <c r="AY1316" s="147"/>
      <c r="AZ1316" s="147"/>
      <c r="BA1316" s="147"/>
      <c r="BB1316" s="147"/>
      <c r="BC1316" s="147"/>
      <c r="BD1316" s="147"/>
      <c r="BE1316" s="147"/>
      <c r="BF1316" s="147"/>
      <c r="BG1316" s="147"/>
      <c r="BH1316" s="147"/>
      <c r="BI1316" s="147"/>
      <c r="BJ1316" s="147"/>
      <c r="BK1316" s="147"/>
      <c r="BL1316" s="147"/>
      <c r="BM1316" s="147"/>
      <c r="BN1316" s="147"/>
      <c r="BO1316" s="147"/>
      <c r="BP1316" s="147"/>
      <c r="BQ1316" s="147"/>
      <c r="BR1316" s="147"/>
      <c r="BS1316" s="147"/>
      <c r="BT1316" s="147"/>
      <c r="BU1316" s="147"/>
      <c r="BV1316" s="147"/>
      <c r="BW1316" s="147"/>
      <c r="BX1316" s="147"/>
      <c r="BY1316" s="147"/>
      <c r="BZ1316" s="147"/>
      <c r="CA1316" s="147"/>
      <c r="CB1316" s="147"/>
      <c r="CC1316" s="147"/>
      <c r="CD1316" s="147"/>
      <c r="CE1316" s="147"/>
      <c r="CF1316" s="147"/>
      <c r="CG1316" s="147"/>
      <c r="CH1316" s="147"/>
      <c r="CI1316" s="147"/>
      <c r="CJ1316" s="147"/>
      <c r="CK1316" s="147"/>
    </row>
    <row r="1317" spans="1:89">
      <c r="A1317" s="157"/>
      <c r="F1317" s="3"/>
      <c r="G1317" s="3"/>
      <c r="L1317" s="157"/>
      <c r="M1317" s="157"/>
      <c r="O1317" s="147"/>
      <c r="P1317" s="147"/>
      <c r="Q1317" s="147"/>
      <c r="R1317" s="147"/>
      <c r="S1317" s="147"/>
      <c r="T1317" s="147"/>
      <c r="U1317" s="147"/>
      <c r="V1317" s="147"/>
      <c r="W1317" s="147"/>
      <c r="X1317" s="147"/>
      <c r="Y1317" s="147"/>
      <c r="Z1317" s="147"/>
      <c r="AA1317" s="147"/>
      <c r="AB1317" s="147"/>
      <c r="AC1317" s="147"/>
      <c r="AD1317" s="147"/>
      <c r="AE1317" s="147"/>
      <c r="AF1317" s="147"/>
      <c r="AG1317" s="147"/>
      <c r="AH1317" s="147"/>
      <c r="AI1317" s="147"/>
      <c r="AJ1317" s="147"/>
      <c r="AK1317" s="147"/>
      <c r="AL1317" s="147"/>
      <c r="AM1317" s="151"/>
      <c r="AN1317" s="147"/>
      <c r="AO1317" s="147"/>
      <c r="AP1317" s="147"/>
      <c r="AQ1317" s="147"/>
      <c r="AR1317" s="147"/>
      <c r="AS1317" s="147"/>
      <c r="AT1317" s="147"/>
      <c r="AU1317" s="147"/>
      <c r="AV1317" s="147"/>
      <c r="AW1317" s="147"/>
      <c r="AX1317" s="147"/>
      <c r="AY1317" s="147"/>
      <c r="AZ1317" s="147"/>
      <c r="BA1317" s="147"/>
      <c r="BB1317" s="147"/>
      <c r="BC1317" s="147"/>
      <c r="BD1317" s="147"/>
      <c r="BE1317" s="147"/>
      <c r="BF1317" s="147"/>
      <c r="BG1317" s="147"/>
      <c r="BH1317" s="147"/>
      <c r="BI1317" s="147"/>
      <c r="BJ1317" s="147"/>
      <c r="BK1317" s="147"/>
      <c r="BL1317" s="147"/>
      <c r="BM1317" s="147"/>
      <c r="BN1317" s="147"/>
      <c r="BO1317" s="147"/>
      <c r="BP1317" s="147"/>
      <c r="BQ1317" s="147"/>
      <c r="BR1317" s="147"/>
      <c r="BS1317" s="147"/>
      <c r="BT1317" s="147"/>
      <c r="BU1317" s="147"/>
      <c r="BV1317" s="147"/>
      <c r="BW1317" s="147"/>
      <c r="BX1317" s="147"/>
      <c r="BY1317" s="147"/>
      <c r="BZ1317" s="147"/>
      <c r="CA1317" s="147"/>
      <c r="CB1317" s="147"/>
      <c r="CC1317" s="147"/>
      <c r="CD1317" s="147"/>
      <c r="CE1317" s="147"/>
      <c r="CF1317" s="147"/>
      <c r="CG1317" s="147"/>
      <c r="CH1317" s="147"/>
      <c r="CI1317" s="147"/>
      <c r="CJ1317" s="147"/>
      <c r="CK1317" s="147"/>
    </row>
    <row r="1318" spans="1:89">
      <c r="A1318" s="157"/>
      <c r="F1318" s="3"/>
      <c r="G1318" s="3"/>
      <c r="L1318" s="157"/>
      <c r="M1318" s="157"/>
      <c r="O1318" s="147"/>
      <c r="P1318" s="147"/>
      <c r="Q1318" s="147"/>
      <c r="R1318" s="147"/>
      <c r="S1318" s="147"/>
      <c r="T1318" s="147"/>
      <c r="U1318" s="147"/>
      <c r="V1318" s="147"/>
      <c r="W1318" s="147"/>
      <c r="X1318" s="147"/>
      <c r="Y1318" s="147"/>
      <c r="Z1318" s="147"/>
      <c r="AA1318" s="147"/>
      <c r="AB1318" s="147"/>
      <c r="AC1318" s="147"/>
      <c r="AD1318" s="147"/>
      <c r="AE1318" s="147"/>
      <c r="AF1318" s="147"/>
      <c r="AG1318" s="147"/>
      <c r="AH1318" s="147"/>
      <c r="AI1318" s="147"/>
      <c r="AJ1318" s="147"/>
      <c r="AK1318" s="147"/>
      <c r="AL1318" s="147"/>
      <c r="AM1318" s="151"/>
      <c r="AN1318" s="147"/>
      <c r="AO1318" s="147"/>
      <c r="AP1318" s="147"/>
      <c r="AQ1318" s="147"/>
      <c r="AR1318" s="147"/>
      <c r="AS1318" s="147"/>
      <c r="AT1318" s="147"/>
      <c r="AU1318" s="147"/>
      <c r="AV1318" s="147"/>
      <c r="AW1318" s="147"/>
      <c r="AX1318" s="147"/>
      <c r="AY1318" s="147"/>
      <c r="AZ1318" s="147"/>
      <c r="BA1318" s="147"/>
      <c r="BB1318" s="147"/>
      <c r="BC1318" s="147"/>
      <c r="BD1318" s="147"/>
      <c r="BE1318" s="147"/>
      <c r="BF1318" s="147"/>
      <c r="BG1318" s="147"/>
      <c r="BH1318" s="147"/>
      <c r="BI1318" s="147"/>
      <c r="BJ1318" s="147"/>
      <c r="BK1318" s="147"/>
      <c r="BL1318" s="147"/>
      <c r="BM1318" s="147"/>
      <c r="BN1318" s="147"/>
      <c r="BO1318" s="147"/>
      <c r="BP1318" s="147"/>
      <c r="BQ1318" s="147"/>
      <c r="BR1318" s="147"/>
      <c r="BS1318" s="147"/>
      <c r="BT1318" s="147"/>
      <c r="BU1318" s="147"/>
      <c r="BV1318" s="147"/>
      <c r="BW1318" s="147"/>
      <c r="BX1318" s="147"/>
      <c r="BY1318" s="147"/>
      <c r="BZ1318" s="147"/>
      <c r="CA1318" s="147"/>
      <c r="CB1318" s="147"/>
      <c r="CC1318" s="147"/>
      <c r="CD1318" s="147"/>
      <c r="CE1318" s="147"/>
      <c r="CF1318" s="147"/>
      <c r="CG1318" s="147"/>
      <c r="CH1318" s="147"/>
      <c r="CI1318" s="147"/>
      <c r="CJ1318" s="147"/>
      <c r="CK1318" s="147"/>
    </row>
    <row r="1319" spans="1:89">
      <c r="A1319" s="157"/>
      <c r="F1319" s="3"/>
      <c r="G1319" s="3"/>
      <c r="L1319" s="157"/>
      <c r="M1319" s="157"/>
      <c r="O1319" s="147"/>
      <c r="P1319" s="147"/>
      <c r="Q1319" s="147"/>
      <c r="R1319" s="147"/>
      <c r="S1319" s="147"/>
      <c r="T1319" s="147"/>
      <c r="U1319" s="147"/>
      <c r="V1319" s="147"/>
      <c r="W1319" s="147"/>
      <c r="X1319" s="147"/>
      <c r="Y1319" s="147"/>
      <c r="Z1319" s="147"/>
      <c r="AA1319" s="147"/>
      <c r="AB1319" s="147"/>
      <c r="AC1319" s="147"/>
      <c r="AD1319" s="147"/>
      <c r="AE1319" s="147"/>
      <c r="AF1319" s="147"/>
      <c r="AG1319" s="147"/>
      <c r="AH1319" s="147"/>
      <c r="AI1319" s="147"/>
      <c r="AJ1319" s="147"/>
      <c r="AK1319" s="147"/>
      <c r="AL1319" s="147"/>
      <c r="AM1319" s="151"/>
      <c r="AN1319" s="147"/>
      <c r="AO1319" s="147"/>
      <c r="AP1319" s="147"/>
      <c r="AQ1319" s="147"/>
      <c r="AR1319" s="147"/>
      <c r="AS1319" s="147"/>
      <c r="AT1319" s="147"/>
      <c r="AU1319" s="147"/>
      <c r="AV1319" s="147"/>
      <c r="AW1319" s="147"/>
      <c r="AX1319" s="147"/>
      <c r="AY1319" s="147"/>
      <c r="AZ1319" s="147"/>
      <c r="BA1319" s="147"/>
      <c r="BB1319" s="147"/>
      <c r="BC1319" s="147"/>
      <c r="BD1319" s="147"/>
      <c r="BE1319" s="147"/>
      <c r="BF1319" s="147"/>
      <c r="BG1319" s="147"/>
      <c r="BH1319" s="147"/>
      <c r="BI1319" s="147"/>
      <c r="BJ1319" s="147"/>
      <c r="BK1319" s="147"/>
      <c r="BL1319" s="147"/>
      <c r="BM1319" s="147"/>
      <c r="BN1319" s="147"/>
      <c r="BO1319" s="147"/>
      <c r="BP1319" s="147"/>
      <c r="BQ1319" s="147"/>
      <c r="BR1319" s="147"/>
      <c r="BS1319" s="147"/>
      <c r="BT1319" s="147"/>
      <c r="BU1319" s="147"/>
      <c r="BV1319" s="147"/>
      <c r="BW1319" s="147"/>
      <c r="BX1319" s="147"/>
      <c r="BY1319" s="147"/>
      <c r="BZ1319" s="147"/>
      <c r="CA1319" s="147"/>
      <c r="CB1319" s="147"/>
      <c r="CC1319" s="147"/>
      <c r="CD1319" s="147"/>
      <c r="CE1319" s="147"/>
      <c r="CF1319" s="147"/>
      <c r="CG1319" s="147"/>
      <c r="CH1319" s="147"/>
      <c r="CI1319" s="147"/>
      <c r="CJ1319" s="147"/>
      <c r="CK1319" s="147"/>
    </row>
    <row r="1320" spans="1:89">
      <c r="A1320" s="157"/>
      <c r="F1320" s="3"/>
      <c r="G1320" s="3"/>
      <c r="L1320" s="157"/>
      <c r="M1320" s="157"/>
      <c r="O1320" s="147"/>
      <c r="P1320" s="147"/>
      <c r="Q1320" s="147"/>
      <c r="R1320" s="147"/>
      <c r="S1320" s="147"/>
      <c r="T1320" s="147"/>
      <c r="U1320" s="147"/>
      <c r="V1320" s="147"/>
      <c r="W1320" s="147"/>
      <c r="X1320" s="147"/>
      <c r="Y1320" s="147"/>
      <c r="Z1320" s="147"/>
      <c r="AA1320" s="147"/>
      <c r="AB1320" s="147"/>
      <c r="AC1320" s="147"/>
      <c r="AD1320" s="147"/>
      <c r="AE1320" s="147"/>
      <c r="AF1320" s="147"/>
      <c r="AG1320" s="147"/>
      <c r="AH1320" s="147"/>
      <c r="AI1320" s="147"/>
      <c r="AJ1320" s="147"/>
      <c r="AK1320" s="147"/>
      <c r="AL1320" s="147"/>
      <c r="AM1320" s="151"/>
      <c r="AN1320" s="147"/>
      <c r="AO1320" s="147"/>
      <c r="AP1320" s="147"/>
      <c r="AQ1320" s="147"/>
      <c r="AR1320" s="147"/>
      <c r="AS1320" s="147"/>
      <c r="AT1320" s="147"/>
      <c r="AU1320" s="147"/>
      <c r="AV1320" s="147"/>
      <c r="AW1320" s="147"/>
      <c r="AX1320" s="147"/>
      <c r="AY1320" s="147"/>
      <c r="AZ1320" s="147"/>
      <c r="BA1320" s="147"/>
      <c r="BB1320" s="147"/>
      <c r="BC1320" s="147"/>
      <c r="BD1320" s="147"/>
      <c r="BE1320" s="147"/>
      <c r="BF1320" s="147"/>
      <c r="BG1320" s="147"/>
      <c r="BH1320" s="147"/>
      <c r="BI1320" s="147"/>
      <c r="BJ1320" s="147"/>
      <c r="BK1320" s="147"/>
      <c r="BL1320" s="147"/>
      <c r="BM1320" s="147"/>
      <c r="BN1320" s="147"/>
      <c r="BO1320" s="147"/>
      <c r="BP1320" s="147"/>
      <c r="BQ1320" s="147"/>
      <c r="BR1320" s="147"/>
      <c r="BS1320" s="147"/>
      <c r="BT1320" s="147"/>
      <c r="BU1320" s="147"/>
      <c r="BV1320" s="147"/>
      <c r="BW1320" s="147"/>
      <c r="BX1320" s="147"/>
      <c r="BY1320" s="147"/>
      <c r="BZ1320" s="147"/>
      <c r="CA1320" s="147"/>
      <c r="CB1320" s="147"/>
      <c r="CC1320" s="147"/>
      <c r="CD1320" s="147"/>
      <c r="CE1320" s="147"/>
      <c r="CF1320" s="147"/>
      <c r="CG1320" s="147"/>
      <c r="CH1320" s="147"/>
      <c r="CI1320" s="147"/>
      <c r="CJ1320" s="147"/>
      <c r="CK1320" s="147"/>
    </row>
    <row r="1321" spans="1:89">
      <c r="A1321" s="157"/>
      <c r="F1321" s="3"/>
      <c r="G1321" s="3"/>
      <c r="L1321" s="157"/>
      <c r="M1321" s="157"/>
      <c r="O1321" s="147"/>
      <c r="P1321" s="147"/>
      <c r="Q1321" s="147"/>
      <c r="R1321" s="147"/>
      <c r="S1321" s="147"/>
      <c r="T1321" s="147"/>
      <c r="U1321" s="147"/>
      <c r="V1321" s="147"/>
      <c r="W1321" s="147"/>
      <c r="X1321" s="147"/>
      <c r="Y1321" s="147"/>
      <c r="Z1321" s="147"/>
      <c r="AA1321" s="147"/>
      <c r="AB1321" s="147"/>
      <c r="AC1321" s="147"/>
      <c r="AD1321" s="147"/>
      <c r="AE1321" s="147"/>
      <c r="AF1321" s="147"/>
      <c r="AG1321" s="147"/>
      <c r="AH1321" s="147"/>
      <c r="AI1321" s="147"/>
      <c r="AJ1321" s="147"/>
      <c r="AK1321" s="147"/>
      <c r="AL1321" s="147"/>
      <c r="AM1321" s="151"/>
      <c r="AN1321" s="147"/>
      <c r="AO1321" s="147"/>
      <c r="AP1321" s="147"/>
      <c r="AQ1321" s="147"/>
      <c r="AR1321" s="147"/>
      <c r="AS1321" s="147"/>
      <c r="AT1321" s="147"/>
      <c r="AU1321" s="147"/>
      <c r="AV1321" s="147"/>
      <c r="AW1321" s="147"/>
      <c r="AX1321" s="147"/>
      <c r="AY1321" s="147"/>
      <c r="AZ1321" s="147"/>
      <c r="BA1321" s="147"/>
      <c r="BB1321" s="147"/>
      <c r="BC1321" s="147"/>
      <c r="BD1321" s="147"/>
      <c r="BE1321" s="147"/>
      <c r="BF1321" s="147"/>
      <c r="BG1321" s="147"/>
      <c r="BH1321" s="147"/>
      <c r="BI1321" s="147"/>
      <c r="BJ1321" s="147"/>
      <c r="BK1321" s="147"/>
      <c r="BL1321" s="147"/>
      <c r="BM1321" s="147"/>
      <c r="BN1321" s="147"/>
      <c r="BO1321" s="147"/>
      <c r="BP1321" s="147"/>
      <c r="BQ1321" s="147"/>
      <c r="BR1321" s="147"/>
      <c r="BS1321" s="147"/>
      <c r="BT1321" s="147"/>
      <c r="BU1321" s="147"/>
      <c r="BV1321" s="147"/>
      <c r="BW1321" s="147"/>
      <c r="BX1321" s="147"/>
      <c r="BY1321" s="147"/>
      <c r="BZ1321" s="147"/>
      <c r="CA1321" s="147"/>
      <c r="CB1321" s="147"/>
      <c r="CC1321" s="147"/>
      <c r="CD1321" s="147"/>
      <c r="CE1321" s="147"/>
      <c r="CF1321" s="147"/>
      <c r="CG1321" s="147"/>
      <c r="CH1321" s="147"/>
      <c r="CI1321" s="147"/>
      <c r="CJ1321" s="147"/>
      <c r="CK1321" s="147"/>
    </row>
    <row r="1322" spans="1:89">
      <c r="A1322" s="157"/>
      <c r="F1322" s="3"/>
      <c r="G1322" s="3"/>
      <c r="L1322" s="157"/>
      <c r="M1322" s="157"/>
      <c r="O1322" s="147"/>
      <c r="P1322" s="147"/>
      <c r="Q1322" s="147"/>
      <c r="R1322" s="147"/>
      <c r="S1322" s="147"/>
      <c r="T1322" s="147"/>
      <c r="U1322" s="147"/>
      <c r="V1322" s="147"/>
      <c r="W1322" s="147"/>
      <c r="X1322" s="147"/>
      <c r="Y1322" s="147"/>
      <c r="Z1322" s="147"/>
      <c r="AA1322" s="147"/>
      <c r="AB1322" s="147"/>
      <c r="AC1322" s="147"/>
      <c r="AD1322" s="147"/>
      <c r="AE1322" s="147"/>
      <c r="AF1322" s="147"/>
      <c r="AG1322" s="147"/>
      <c r="AH1322" s="147"/>
      <c r="AI1322" s="147"/>
      <c r="AJ1322" s="147"/>
      <c r="AK1322" s="147"/>
      <c r="AL1322" s="147"/>
      <c r="AM1322" s="151"/>
      <c r="AN1322" s="147"/>
      <c r="AO1322" s="147"/>
      <c r="AP1322" s="147"/>
      <c r="AQ1322" s="147"/>
      <c r="AR1322" s="147"/>
      <c r="AS1322" s="147"/>
      <c r="AT1322" s="147"/>
      <c r="AU1322" s="147"/>
      <c r="AV1322" s="147"/>
      <c r="AW1322" s="147"/>
      <c r="AX1322" s="147"/>
      <c r="AY1322" s="147"/>
      <c r="AZ1322" s="147"/>
      <c r="BA1322" s="147"/>
      <c r="BB1322" s="147"/>
      <c r="BC1322" s="147"/>
      <c r="BD1322" s="147"/>
      <c r="BE1322" s="147"/>
      <c r="BF1322" s="147"/>
      <c r="BG1322" s="147"/>
      <c r="BH1322" s="147"/>
      <c r="BI1322" s="147"/>
      <c r="BJ1322" s="147"/>
      <c r="BK1322" s="147"/>
      <c r="BL1322" s="147"/>
      <c r="BM1322" s="147"/>
      <c r="BN1322" s="147"/>
      <c r="BO1322" s="147"/>
      <c r="BP1322" s="147"/>
      <c r="BQ1322" s="147"/>
      <c r="BR1322" s="147"/>
      <c r="BS1322" s="147"/>
      <c r="BT1322" s="147"/>
      <c r="BU1322" s="147"/>
      <c r="BV1322" s="147"/>
      <c r="BW1322" s="147"/>
      <c r="BX1322" s="147"/>
      <c r="BY1322" s="147"/>
      <c r="BZ1322" s="147"/>
      <c r="CA1322" s="147"/>
      <c r="CB1322" s="147"/>
      <c r="CC1322" s="147"/>
      <c r="CD1322" s="147"/>
      <c r="CE1322" s="147"/>
      <c r="CF1322" s="147"/>
      <c r="CG1322" s="147"/>
      <c r="CH1322" s="147"/>
      <c r="CI1322" s="147"/>
      <c r="CJ1322" s="147"/>
      <c r="CK1322" s="147"/>
    </row>
    <row r="1323" spans="1:89">
      <c r="A1323" s="157"/>
      <c r="F1323" s="3"/>
      <c r="G1323" s="3"/>
      <c r="L1323" s="157"/>
      <c r="M1323" s="157"/>
      <c r="O1323" s="147"/>
      <c r="P1323" s="147"/>
      <c r="Q1323" s="147"/>
      <c r="R1323" s="147"/>
      <c r="S1323" s="147"/>
      <c r="T1323" s="147"/>
      <c r="U1323" s="147"/>
      <c r="V1323" s="147"/>
      <c r="W1323" s="147"/>
      <c r="X1323" s="147"/>
      <c r="Y1323" s="147"/>
      <c r="Z1323" s="147"/>
      <c r="AA1323" s="147"/>
      <c r="AB1323" s="147"/>
      <c r="AC1323" s="147"/>
      <c r="AD1323" s="147"/>
      <c r="AE1323" s="147"/>
      <c r="AF1323" s="147"/>
      <c r="AG1323" s="147"/>
      <c r="AH1323" s="147"/>
      <c r="AI1323" s="147"/>
      <c r="AJ1323" s="147"/>
      <c r="AK1323" s="147"/>
      <c r="AL1323" s="147"/>
      <c r="AM1323" s="151"/>
      <c r="AN1323" s="147"/>
      <c r="AO1323" s="147"/>
      <c r="AP1323" s="147"/>
      <c r="AQ1323" s="147"/>
      <c r="AR1323" s="147"/>
      <c r="AS1323" s="147"/>
      <c r="AT1323" s="147"/>
      <c r="AU1323" s="147"/>
      <c r="AV1323" s="147"/>
      <c r="AW1323" s="147"/>
      <c r="AX1323" s="147"/>
      <c r="AY1323" s="147"/>
      <c r="AZ1323" s="147"/>
      <c r="BA1323" s="147"/>
      <c r="BB1323" s="147"/>
      <c r="BC1323" s="147"/>
      <c r="BD1323" s="147"/>
      <c r="BE1323" s="147"/>
      <c r="BF1323" s="147"/>
      <c r="BG1323" s="147"/>
      <c r="BH1323" s="147"/>
      <c r="BI1323" s="147"/>
      <c r="BJ1323" s="147"/>
      <c r="BK1323" s="147"/>
      <c r="BL1323" s="147"/>
      <c r="BM1323" s="147"/>
      <c r="BN1323" s="147"/>
      <c r="BO1323" s="147"/>
      <c r="BP1323" s="147"/>
      <c r="BQ1323" s="147"/>
      <c r="BR1323" s="147"/>
      <c r="BS1323" s="147"/>
      <c r="BT1323" s="147"/>
      <c r="BU1323" s="147"/>
      <c r="BV1323" s="147"/>
      <c r="BW1323" s="147"/>
      <c r="BX1323" s="147"/>
      <c r="BY1323" s="147"/>
      <c r="BZ1323" s="147"/>
      <c r="CA1323" s="147"/>
      <c r="CB1323" s="147"/>
      <c r="CC1323" s="147"/>
      <c r="CD1323" s="147"/>
      <c r="CE1323" s="147"/>
      <c r="CF1323" s="147"/>
      <c r="CG1323" s="147"/>
      <c r="CH1323" s="147"/>
      <c r="CI1323" s="147"/>
      <c r="CJ1323" s="147"/>
      <c r="CK1323" s="147"/>
    </row>
    <row r="1324" spans="1:89">
      <c r="A1324" s="157"/>
      <c r="F1324" s="3"/>
      <c r="G1324" s="3"/>
      <c r="L1324" s="157"/>
      <c r="M1324" s="157"/>
      <c r="O1324" s="147"/>
      <c r="P1324" s="147"/>
      <c r="Q1324" s="147"/>
      <c r="R1324" s="147"/>
      <c r="S1324" s="147"/>
      <c r="T1324" s="147"/>
      <c r="U1324" s="147"/>
      <c r="V1324" s="147"/>
      <c r="W1324" s="147"/>
      <c r="X1324" s="147"/>
      <c r="Y1324" s="147"/>
      <c r="Z1324" s="147"/>
      <c r="AA1324" s="147"/>
      <c r="AB1324" s="147"/>
      <c r="AC1324" s="147"/>
      <c r="AD1324" s="147"/>
      <c r="AE1324" s="147"/>
      <c r="AF1324" s="147"/>
      <c r="AG1324" s="147"/>
      <c r="AH1324" s="147"/>
      <c r="AI1324" s="147"/>
      <c r="AJ1324" s="147"/>
      <c r="AK1324" s="147"/>
      <c r="AL1324" s="147"/>
      <c r="AM1324" s="151"/>
      <c r="AN1324" s="147"/>
      <c r="AO1324" s="147"/>
      <c r="AP1324" s="147"/>
      <c r="AQ1324" s="147"/>
      <c r="AR1324" s="147"/>
      <c r="AS1324" s="147"/>
      <c r="AT1324" s="147"/>
      <c r="AU1324" s="147"/>
      <c r="AV1324" s="147"/>
      <c r="AW1324" s="147"/>
      <c r="AX1324" s="147"/>
      <c r="AY1324" s="147"/>
      <c r="AZ1324" s="147"/>
      <c r="BA1324" s="147"/>
      <c r="BB1324" s="147"/>
      <c r="BC1324" s="147"/>
      <c r="BD1324" s="147"/>
      <c r="BE1324" s="147"/>
      <c r="BF1324" s="147"/>
      <c r="BG1324" s="147"/>
      <c r="BH1324" s="147"/>
      <c r="BI1324" s="147"/>
      <c r="BJ1324" s="147"/>
      <c r="BK1324" s="147"/>
      <c r="BL1324" s="147"/>
      <c r="BM1324" s="147"/>
      <c r="BN1324" s="147"/>
      <c r="BO1324" s="147"/>
      <c r="BP1324" s="147"/>
      <c r="BQ1324" s="147"/>
      <c r="BR1324" s="147"/>
      <c r="BS1324" s="147"/>
      <c r="BT1324" s="147"/>
      <c r="BU1324" s="147"/>
      <c r="BV1324" s="147"/>
      <c r="BW1324" s="147"/>
      <c r="BX1324" s="147"/>
      <c r="BY1324" s="147"/>
      <c r="BZ1324" s="147"/>
      <c r="CA1324" s="147"/>
      <c r="CB1324" s="147"/>
      <c r="CC1324" s="147"/>
      <c r="CD1324" s="147"/>
      <c r="CE1324" s="147"/>
      <c r="CF1324" s="147"/>
      <c r="CG1324" s="147"/>
      <c r="CH1324" s="147"/>
      <c r="CI1324" s="147"/>
      <c r="CJ1324" s="147"/>
      <c r="CK1324" s="147"/>
    </row>
    <row r="1325" spans="1:89">
      <c r="A1325" s="157"/>
      <c r="F1325" s="3"/>
      <c r="G1325" s="3"/>
      <c r="L1325" s="157"/>
      <c r="M1325" s="157"/>
      <c r="O1325" s="147"/>
      <c r="P1325" s="147"/>
      <c r="Q1325" s="147"/>
      <c r="R1325" s="147"/>
      <c r="S1325" s="147"/>
      <c r="T1325" s="147"/>
      <c r="U1325" s="147"/>
      <c r="V1325" s="147"/>
      <c r="W1325" s="147"/>
      <c r="X1325" s="147"/>
      <c r="Y1325" s="147"/>
      <c r="Z1325" s="147"/>
      <c r="AA1325" s="147"/>
      <c r="AB1325" s="147"/>
      <c r="AC1325" s="147"/>
      <c r="AD1325" s="147"/>
      <c r="AE1325" s="147"/>
      <c r="AF1325" s="147"/>
      <c r="AG1325" s="147"/>
      <c r="AH1325" s="147"/>
      <c r="AI1325" s="147"/>
      <c r="AJ1325" s="147"/>
      <c r="AK1325" s="147"/>
      <c r="AL1325" s="147"/>
      <c r="AM1325" s="151"/>
      <c r="AN1325" s="147"/>
      <c r="AO1325" s="147"/>
      <c r="AP1325" s="147"/>
      <c r="AQ1325" s="147"/>
      <c r="AR1325" s="147"/>
      <c r="AS1325" s="147"/>
      <c r="AT1325" s="147"/>
      <c r="AU1325" s="147"/>
      <c r="AV1325" s="147"/>
      <c r="AW1325" s="147"/>
      <c r="AX1325" s="147"/>
      <c r="AY1325" s="147"/>
      <c r="AZ1325" s="147"/>
      <c r="BA1325" s="147"/>
      <c r="BB1325" s="147"/>
      <c r="BC1325" s="147"/>
      <c r="BD1325" s="147"/>
      <c r="BE1325" s="147"/>
      <c r="BF1325" s="147"/>
      <c r="BG1325" s="147"/>
      <c r="BH1325" s="147"/>
      <c r="BI1325" s="147"/>
      <c r="BJ1325" s="147"/>
      <c r="BK1325" s="147"/>
      <c r="BL1325" s="147"/>
      <c r="BM1325" s="147"/>
      <c r="BN1325" s="147"/>
      <c r="BO1325" s="147"/>
      <c r="BP1325" s="147"/>
      <c r="BQ1325" s="147"/>
      <c r="BR1325" s="147"/>
      <c r="BS1325" s="147"/>
      <c r="BT1325" s="147"/>
      <c r="BU1325" s="147"/>
      <c r="BV1325" s="147"/>
      <c r="BW1325" s="147"/>
      <c r="BX1325" s="147"/>
      <c r="BY1325" s="147"/>
      <c r="BZ1325" s="147"/>
      <c r="CA1325" s="147"/>
      <c r="CB1325" s="147"/>
      <c r="CC1325" s="147"/>
      <c r="CD1325" s="147"/>
      <c r="CE1325" s="147"/>
      <c r="CF1325" s="147"/>
      <c r="CG1325" s="147"/>
      <c r="CH1325" s="147"/>
      <c r="CI1325" s="147"/>
      <c r="CJ1325" s="147"/>
      <c r="CK1325" s="147"/>
    </row>
    <row r="1326" spans="1:89">
      <c r="A1326" s="157"/>
      <c r="F1326" s="3"/>
      <c r="G1326" s="3"/>
      <c r="L1326" s="157"/>
      <c r="M1326" s="157"/>
      <c r="O1326" s="147"/>
      <c r="P1326" s="147"/>
      <c r="Q1326" s="147"/>
      <c r="R1326" s="147"/>
      <c r="S1326" s="147"/>
      <c r="T1326" s="147"/>
      <c r="U1326" s="147"/>
      <c r="V1326" s="147"/>
      <c r="W1326" s="147"/>
      <c r="X1326" s="147"/>
      <c r="Y1326" s="147"/>
      <c r="Z1326" s="147"/>
      <c r="AA1326" s="147"/>
      <c r="AB1326" s="147"/>
      <c r="AC1326" s="147"/>
      <c r="AD1326" s="147"/>
      <c r="AE1326" s="147"/>
      <c r="AF1326" s="147"/>
      <c r="AG1326" s="147"/>
      <c r="AH1326" s="147"/>
      <c r="AI1326" s="147"/>
      <c r="AJ1326" s="147"/>
      <c r="AK1326" s="147"/>
      <c r="AL1326" s="147"/>
      <c r="AM1326" s="151"/>
      <c r="AN1326" s="147"/>
      <c r="AO1326" s="147"/>
      <c r="AP1326" s="147"/>
      <c r="AQ1326" s="147"/>
      <c r="AR1326" s="147"/>
      <c r="AS1326" s="147"/>
      <c r="AT1326" s="147"/>
      <c r="AU1326" s="147"/>
      <c r="AV1326" s="147"/>
      <c r="AW1326" s="147"/>
      <c r="AX1326" s="147"/>
      <c r="AY1326" s="147"/>
      <c r="AZ1326" s="147"/>
      <c r="BA1326" s="147"/>
      <c r="BB1326" s="147"/>
      <c r="BC1326" s="147"/>
      <c r="BD1326" s="147"/>
      <c r="BE1326" s="147"/>
      <c r="BF1326" s="147"/>
      <c r="BG1326" s="147"/>
      <c r="BH1326" s="147"/>
      <c r="BI1326" s="147"/>
      <c r="BJ1326" s="147"/>
      <c r="BK1326" s="147"/>
      <c r="BL1326" s="147"/>
      <c r="BM1326" s="147"/>
      <c r="BN1326" s="147"/>
      <c r="BO1326" s="147"/>
      <c r="BP1326" s="147"/>
      <c r="BQ1326" s="147"/>
      <c r="BR1326" s="147"/>
      <c r="BS1326" s="147"/>
      <c r="BT1326" s="147"/>
      <c r="BU1326" s="147"/>
      <c r="BV1326" s="147"/>
      <c r="BW1326" s="147"/>
      <c r="BX1326" s="147"/>
      <c r="BY1326" s="147"/>
      <c r="BZ1326" s="147"/>
      <c r="CA1326" s="147"/>
      <c r="CB1326" s="147"/>
      <c r="CC1326" s="147"/>
      <c r="CD1326" s="147"/>
      <c r="CE1326" s="147"/>
      <c r="CF1326" s="147"/>
      <c r="CG1326" s="147"/>
      <c r="CH1326" s="147"/>
      <c r="CI1326" s="147"/>
      <c r="CJ1326" s="147"/>
      <c r="CK1326" s="147"/>
    </row>
    <row r="1327" spans="1:89">
      <c r="A1327" s="157"/>
      <c r="F1327" s="3"/>
      <c r="G1327" s="3"/>
      <c r="L1327" s="157"/>
      <c r="M1327" s="157"/>
      <c r="O1327" s="147"/>
      <c r="P1327" s="147"/>
      <c r="Q1327" s="147"/>
      <c r="R1327" s="147"/>
      <c r="S1327" s="147"/>
      <c r="T1327" s="147"/>
      <c r="U1327" s="147"/>
      <c r="V1327" s="147"/>
      <c r="W1327" s="147"/>
      <c r="X1327" s="147"/>
      <c r="Y1327" s="147"/>
      <c r="Z1327" s="147"/>
      <c r="AA1327" s="147"/>
      <c r="AB1327" s="147"/>
      <c r="AC1327" s="147"/>
      <c r="AD1327" s="147"/>
      <c r="AE1327" s="147"/>
      <c r="AF1327" s="147"/>
      <c r="AG1327" s="147"/>
      <c r="AH1327" s="147"/>
      <c r="AI1327" s="147"/>
      <c r="AJ1327" s="147"/>
      <c r="AK1327" s="147"/>
      <c r="AL1327" s="147"/>
      <c r="AM1327" s="151"/>
      <c r="AN1327" s="147"/>
      <c r="AO1327" s="147"/>
      <c r="AP1327" s="147"/>
      <c r="AQ1327" s="147"/>
      <c r="AR1327" s="147"/>
      <c r="AS1327" s="147"/>
      <c r="AT1327" s="147"/>
      <c r="AU1327" s="147"/>
      <c r="AV1327" s="147"/>
      <c r="AW1327" s="147"/>
      <c r="AX1327" s="147"/>
      <c r="AY1327" s="147"/>
      <c r="AZ1327" s="147"/>
      <c r="BA1327" s="147"/>
      <c r="BB1327" s="147"/>
      <c r="BC1327" s="147"/>
      <c r="BD1327" s="147"/>
      <c r="BE1327" s="147"/>
      <c r="BF1327" s="147"/>
      <c r="BG1327" s="147"/>
      <c r="BH1327" s="147"/>
      <c r="BI1327" s="147"/>
      <c r="BJ1327" s="147"/>
      <c r="BK1327" s="147"/>
      <c r="BL1327" s="147"/>
      <c r="BM1327" s="147"/>
      <c r="BN1327" s="147"/>
      <c r="BO1327" s="147"/>
      <c r="BP1327" s="147"/>
      <c r="BQ1327" s="147"/>
      <c r="BR1327" s="147"/>
      <c r="BS1327" s="147"/>
      <c r="BT1327" s="147"/>
      <c r="BU1327" s="147"/>
      <c r="BV1327" s="147"/>
      <c r="BW1327" s="147"/>
      <c r="BX1327" s="147"/>
      <c r="BY1327" s="147"/>
      <c r="BZ1327" s="147"/>
      <c r="CA1327" s="147"/>
      <c r="CB1327" s="147"/>
      <c r="CC1327" s="147"/>
      <c r="CD1327" s="147"/>
      <c r="CE1327" s="147"/>
      <c r="CF1327" s="147"/>
      <c r="CG1327" s="147"/>
      <c r="CH1327" s="147"/>
      <c r="CI1327" s="147"/>
      <c r="CJ1327" s="147"/>
      <c r="CK1327" s="147"/>
    </row>
    <row r="1328" spans="1:89">
      <c r="A1328" s="157"/>
      <c r="F1328" s="3"/>
      <c r="G1328" s="3"/>
      <c r="L1328" s="157"/>
      <c r="M1328" s="157"/>
      <c r="O1328" s="147"/>
      <c r="P1328" s="147"/>
      <c r="Q1328" s="147"/>
      <c r="R1328" s="147"/>
      <c r="S1328" s="147"/>
      <c r="T1328" s="147"/>
      <c r="U1328" s="147"/>
      <c r="V1328" s="147"/>
      <c r="W1328" s="147"/>
      <c r="X1328" s="147"/>
      <c r="Y1328" s="147"/>
      <c r="Z1328" s="147"/>
      <c r="AA1328" s="147"/>
      <c r="AB1328" s="147"/>
      <c r="AC1328" s="147"/>
      <c r="AD1328" s="147"/>
      <c r="AE1328" s="147"/>
      <c r="AF1328" s="147"/>
      <c r="AG1328" s="147"/>
      <c r="AH1328" s="147"/>
      <c r="AI1328" s="147"/>
      <c r="AJ1328" s="147"/>
      <c r="AK1328" s="147"/>
      <c r="AL1328" s="147"/>
      <c r="AM1328" s="151"/>
      <c r="AN1328" s="147"/>
      <c r="AO1328" s="147"/>
      <c r="AP1328" s="147"/>
      <c r="AQ1328" s="147"/>
      <c r="AR1328" s="147"/>
      <c r="AS1328" s="147"/>
      <c r="AT1328" s="147"/>
      <c r="AU1328" s="147"/>
      <c r="AV1328" s="147"/>
      <c r="AW1328" s="147"/>
      <c r="AX1328" s="147"/>
      <c r="AY1328" s="147"/>
      <c r="AZ1328" s="147"/>
      <c r="BA1328" s="147"/>
      <c r="BB1328" s="147"/>
      <c r="BC1328" s="147"/>
      <c r="BD1328" s="147"/>
      <c r="BE1328" s="147"/>
      <c r="BF1328" s="147"/>
      <c r="BG1328" s="147"/>
      <c r="BH1328" s="147"/>
      <c r="BI1328" s="147"/>
      <c r="BJ1328" s="147"/>
      <c r="BK1328" s="147"/>
      <c r="BL1328" s="147"/>
      <c r="BM1328" s="147"/>
      <c r="BN1328" s="147"/>
      <c r="BO1328" s="147"/>
      <c r="BP1328" s="147"/>
      <c r="BQ1328" s="147"/>
      <c r="BR1328" s="147"/>
      <c r="BS1328" s="147"/>
      <c r="BT1328" s="147"/>
      <c r="BU1328" s="147"/>
      <c r="BV1328" s="147"/>
      <c r="BW1328" s="147"/>
      <c r="BX1328" s="147"/>
      <c r="BY1328" s="147"/>
      <c r="BZ1328" s="147"/>
      <c r="CA1328" s="147"/>
      <c r="CB1328" s="147"/>
      <c r="CC1328" s="147"/>
      <c r="CD1328" s="147"/>
      <c r="CE1328" s="147"/>
      <c r="CF1328" s="147"/>
      <c r="CG1328" s="147"/>
      <c r="CH1328" s="147"/>
      <c r="CI1328" s="147"/>
      <c r="CJ1328" s="147"/>
      <c r="CK1328" s="147"/>
    </row>
    <row r="1329" spans="1:89">
      <c r="A1329" s="157"/>
      <c r="F1329" s="3"/>
      <c r="G1329" s="3"/>
      <c r="L1329" s="157"/>
      <c r="M1329" s="157"/>
      <c r="O1329" s="147"/>
      <c r="P1329" s="147"/>
      <c r="Q1329" s="147"/>
      <c r="R1329" s="147"/>
      <c r="S1329" s="147"/>
      <c r="T1329" s="147"/>
      <c r="U1329" s="147"/>
      <c r="V1329" s="147"/>
      <c r="W1329" s="147"/>
      <c r="X1329" s="147"/>
      <c r="Y1329" s="147"/>
      <c r="Z1329" s="147"/>
      <c r="AA1329" s="147"/>
      <c r="AB1329" s="147"/>
      <c r="AC1329" s="147"/>
      <c r="AD1329" s="147"/>
      <c r="AE1329" s="147"/>
      <c r="AF1329" s="147"/>
      <c r="AG1329" s="147"/>
      <c r="AH1329" s="147"/>
      <c r="AI1329" s="147"/>
      <c r="AJ1329" s="147"/>
      <c r="AK1329" s="147"/>
      <c r="AL1329" s="147"/>
      <c r="AM1329" s="151"/>
      <c r="AN1329" s="147"/>
      <c r="AO1329" s="147"/>
      <c r="AP1329" s="147"/>
      <c r="AQ1329" s="147"/>
      <c r="AR1329" s="147"/>
      <c r="AS1329" s="147"/>
      <c r="AT1329" s="147"/>
      <c r="AU1329" s="147"/>
      <c r="AV1329" s="147"/>
      <c r="AW1329" s="147"/>
      <c r="AX1329" s="147"/>
      <c r="AY1329" s="147"/>
      <c r="AZ1329" s="147"/>
      <c r="BA1329" s="147"/>
      <c r="BB1329" s="147"/>
      <c r="BC1329" s="147"/>
      <c r="BD1329" s="147"/>
      <c r="BE1329" s="147"/>
      <c r="BF1329" s="147"/>
      <c r="BG1329" s="147"/>
      <c r="BH1329" s="147"/>
      <c r="BI1329" s="147"/>
      <c r="BJ1329" s="147"/>
      <c r="BK1329" s="147"/>
      <c r="BL1329" s="147"/>
      <c r="BM1329" s="147"/>
      <c r="BN1329" s="147"/>
      <c r="BO1329" s="147"/>
      <c r="BP1329" s="147"/>
      <c r="BQ1329" s="147"/>
      <c r="BR1329" s="147"/>
      <c r="BS1329" s="147"/>
      <c r="BT1329" s="147"/>
      <c r="BU1329" s="147"/>
      <c r="BV1329" s="147"/>
      <c r="BW1329" s="147"/>
      <c r="BX1329" s="147"/>
      <c r="BY1329" s="147"/>
      <c r="BZ1329" s="147"/>
      <c r="CA1329" s="147"/>
      <c r="CB1329" s="147"/>
      <c r="CC1329" s="147"/>
      <c r="CD1329" s="147"/>
      <c r="CE1329" s="147"/>
      <c r="CF1329" s="147"/>
      <c r="CG1329" s="147"/>
      <c r="CH1329" s="147"/>
      <c r="CI1329" s="147"/>
      <c r="CJ1329" s="147"/>
      <c r="CK1329" s="147"/>
    </row>
    <row r="1330" spans="1:89">
      <c r="A1330" s="157"/>
      <c r="F1330" s="3"/>
      <c r="G1330" s="3"/>
      <c r="L1330" s="157"/>
      <c r="M1330" s="157"/>
      <c r="O1330" s="147"/>
      <c r="P1330" s="147"/>
      <c r="Q1330" s="147"/>
      <c r="R1330" s="147"/>
      <c r="S1330" s="147"/>
      <c r="T1330" s="147"/>
      <c r="U1330" s="147"/>
      <c r="V1330" s="147"/>
      <c r="W1330" s="147"/>
      <c r="X1330" s="147"/>
      <c r="Y1330" s="147"/>
      <c r="Z1330" s="147"/>
      <c r="AA1330" s="147"/>
      <c r="AB1330" s="147"/>
      <c r="AC1330" s="147"/>
      <c r="AD1330" s="147"/>
      <c r="AE1330" s="147"/>
      <c r="AF1330" s="147"/>
      <c r="AG1330" s="147"/>
      <c r="AH1330" s="147"/>
      <c r="AI1330" s="147"/>
      <c r="AJ1330" s="147"/>
      <c r="AK1330" s="147"/>
      <c r="AL1330" s="147"/>
      <c r="AM1330" s="151"/>
      <c r="AN1330" s="147"/>
      <c r="AO1330" s="147"/>
      <c r="AP1330" s="147"/>
      <c r="AQ1330" s="147"/>
      <c r="AR1330" s="147"/>
      <c r="AS1330" s="147"/>
      <c r="AT1330" s="147"/>
      <c r="AU1330" s="147"/>
      <c r="AV1330" s="147"/>
      <c r="AW1330" s="147"/>
      <c r="AX1330" s="147"/>
      <c r="AY1330" s="147"/>
      <c r="AZ1330" s="147"/>
      <c r="BA1330" s="147"/>
      <c r="BB1330" s="147"/>
      <c r="BC1330" s="147"/>
      <c r="BD1330" s="147"/>
      <c r="BE1330" s="147"/>
      <c r="BF1330" s="147"/>
      <c r="BG1330" s="147"/>
      <c r="BH1330" s="147"/>
      <c r="BI1330" s="147"/>
      <c r="BJ1330" s="147"/>
      <c r="BK1330" s="147"/>
      <c r="BL1330" s="147"/>
      <c r="BM1330" s="147"/>
      <c r="BN1330" s="147"/>
      <c r="BO1330" s="147"/>
      <c r="BP1330" s="147"/>
      <c r="BQ1330" s="147"/>
      <c r="BR1330" s="147"/>
      <c r="BS1330" s="147"/>
      <c r="BT1330" s="147"/>
      <c r="BU1330" s="147"/>
      <c r="BV1330" s="147"/>
      <c r="BW1330" s="147"/>
      <c r="BX1330" s="147"/>
      <c r="BY1330" s="147"/>
      <c r="BZ1330" s="147"/>
      <c r="CA1330" s="147"/>
      <c r="CB1330" s="147"/>
      <c r="CC1330" s="147"/>
      <c r="CD1330" s="147"/>
      <c r="CE1330" s="147"/>
      <c r="CF1330" s="147"/>
      <c r="CG1330" s="147"/>
      <c r="CH1330" s="147"/>
      <c r="CI1330" s="147"/>
      <c r="CJ1330" s="147"/>
      <c r="CK1330" s="147"/>
    </row>
    <row r="1331" spans="1:89">
      <c r="A1331" s="157"/>
      <c r="F1331" s="3"/>
      <c r="G1331" s="3"/>
      <c r="L1331" s="157"/>
      <c r="M1331" s="157"/>
      <c r="O1331" s="147"/>
      <c r="P1331" s="147"/>
      <c r="Q1331" s="147"/>
      <c r="R1331" s="147"/>
      <c r="S1331" s="147"/>
      <c r="T1331" s="147"/>
      <c r="U1331" s="147"/>
      <c r="V1331" s="147"/>
      <c r="W1331" s="147"/>
      <c r="X1331" s="147"/>
      <c r="Y1331" s="147"/>
      <c r="Z1331" s="147"/>
      <c r="AA1331" s="147"/>
      <c r="AB1331" s="147"/>
      <c r="AC1331" s="147"/>
      <c r="AD1331" s="147"/>
      <c r="AE1331" s="147"/>
      <c r="AF1331" s="147"/>
      <c r="AG1331" s="147"/>
      <c r="AH1331" s="147"/>
      <c r="AI1331" s="147"/>
      <c r="AJ1331" s="147"/>
      <c r="AK1331" s="147"/>
      <c r="AL1331" s="147"/>
      <c r="AM1331" s="151"/>
      <c r="AN1331" s="147"/>
      <c r="AO1331" s="147"/>
      <c r="AP1331" s="147"/>
      <c r="AQ1331" s="147"/>
      <c r="AR1331" s="147"/>
      <c r="AS1331" s="147"/>
      <c r="AT1331" s="147"/>
      <c r="AU1331" s="147"/>
      <c r="AV1331" s="147"/>
      <c r="AW1331" s="147"/>
      <c r="AX1331" s="147"/>
      <c r="AY1331" s="147"/>
      <c r="AZ1331" s="147"/>
      <c r="BA1331" s="147"/>
      <c r="BB1331" s="147"/>
      <c r="BC1331" s="147"/>
      <c r="BD1331" s="147"/>
      <c r="BE1331" s="147"/>
      <c r="BF1331" s="147"/>
      <c r="BG1331" s="147"/>
      <c r="BH1331" s="147"/>
      <c r="BI1331" s="147"/>
      <c r="BJ1331" s="147"/>
      <c r="BK1331" s="147"/>
      <c r="BL1331" s="147"/>
      <c r="BM1331" s="147"/>
      <c r="BN1331" s="147"/>
      <c r="BO1331" s="147"/>
      <c r="BP1331" s="147"/>
      <c r="BQ1331" s="147"/>
      <c r="BR1331" s="147"/>
      <c r="BS1331" s="147"/>
      <c r="BT1331" s="147"/>
      <c r="BU1331" s="147"/>
      <c r="BV1331" s="147"/>
      <c r="BW1331" s="147"/>
      <c r="BX1331" s="147"/>
      <c r="BY1331" s="147"/>
      <c r="BZ1331" s="147"/>
      <c r="CA1331" s="147"/>
      <c r="CB1331" s="147"/>
      <c r="CC1331" s="147"/>
      <c r="CD1331" s="147"/>
      <c r="CE1331" s="147"/>
      <c r="CF1331" s="147"/>
      <c r="CG1331" s="147"/>
      <c r="CH1331" s="147"/>
      <c r="CI1331" s="147"/>
      <c r="CJ1331" s="147"/>
      <c r="CK1331" s="147"/>
    </row>
    <row r="1332" spans="1:89">
      <c r="A1332" s="157"/>
      <c r="F1332" s="3"/>
      <c r="G1332" s="3"/>
      <c r="L1332" s="157"/>
      <c r="M1332" s="157"/>
      <c r="O1332" s="147"/>
      <c r="P1332" s="147"/>
      <c r="Q1332" s="147"/>
      <c r="R1332" s="147"/>
      <c r="S1332" s="147"/>
      <c r="T1332" s="147"/>
      <c r="U1332" s="147"/>
      <c r="V1332" s="147"/>
      <c r="W1332" s="147"/>
      <c r="X1332" s="147"/>
      <c r="Y1332" s="147"/>
      <c r="Z1332" s="147"/>
      <c r="AA1332" s="147"/>
      <c r="AB1332" s="147"/>
      <c r="AC1332" s="147"/>
      <c r="AD1332" s="147"/>
      <c r="AE1332" s="147"/>
      <c r="AF1332" s="147"/>
      <c r="AG1332" s="147"/>
      <c r="AH1332" s="147"/>
      <c r="AI1332" s="147"/>
      <c r="AJ1332" s="147"/>
      <c r="AK1332" s="147"/>
      <c r="AL1332" s="147"/>
      <c r="AM1332" s="151"/>
      <c r="AN1332" s="147"/>
      <c r="AO1332" s="147"/>
      <c r="AP1332" s="147"/>
      <c r="AQ1332" s="147"/>
      <c r="AR1332" s="147"/>
      <c r="AS1332" s="147"/>
      <c r="AT1332" s="147"/>
      <c r="AU1332" s="147"/>
      <c r="AV1332" s="147"/>
      <c r="AW1332" s="147"/>
      <c r="AX1332" s="147"/>
      <c r="AY1332" s="147"/>
      <c r="AZ1332" s="147"/>
      <c r="BA1332" s="147"/>
      <c r="BB1332" s="147"/>
      <c r="BC1332" s="147"/>
      <c r="BD1332" s="147"/>
      <c r="BE1332" s="147"/>
      <c r="BF1332" s="147"/>
      <c r="BG1332" s="147"/>
      <c r="BH1332" s="147"/>
      <c r="BI1332" s="147"/>
      <c r="BJ1332" s="147"/>
      <c r="BK1332" s="147"/>
      <c r="BL1332" s="147"/>
      <c r="BM1332" s="147"/>
      <c r="BN1332" s="147"/>
      <c r="BO1332" s="147"/>
      <c r="BP1332" s="147"/>
      <c r="BQ1332" s="147"/>
      <c r="BR1332" s="147"/>
      <c r="BS1332" s="147"/>
      <c r="BT1332" s="147"/>
      <c r="BU1332" s="147"/>
      <c r="BV1332" s="147"/>
      <c r="BW1332" s="147"/>
      <c r="BX1332" s="147"/>
      <c r="BY1332" s="147"/>
      <c r="BZ1332" s="147"/>
      <c r="CA1332" s="147"/>
      <c r="CB1332" s="147"/>
      <c r="CC1332" s="147"/>
      <c r="CD1332" s="147"/>
      <c r="CE1332" s="147"/>
      <c r="CF1332" s="147"/>
      <c r="CG1332" s="147"/>
      <c r="CH1332" s="147"/>
      <c r="CI1332" s="147"/>
      <c r="CJ1332" s="147"/>
      <c r="CK1332" s="147"/>
    </row>
    <row r="1333" spans="1:89">
      <c r="A1333" s="157"/>
      <c r="F1333" s="3"/>
      <c r="G1333" s="3"/>
      <c r="L1333" s="157"/>
      <c r="M1333" s="157"/>
      <c r="O1333" s="147"/>
      <c r="P1333" s="147"/>
      <c r="Q1333" s="147"/>
      <c r="R1333" s="147"/>
      <c r="S1333" s="147"/>
      <c r="T1333" s="147"/>
      <c r="U1333" s="147"/>
      <c r="V1333" s="147"/>
      <c r="W1333" s="147"/>
      <c r="X1333" s="147"/>
      <c r="Y1333" s="147"/>
      <c r="Z1333" s="147"/>
      <c r="AA1333" s="147"/>
      <c r="AB1333" s="147"/>
      <c r="AC1333" s="147"/>
      <c r="AD1333" s="147"/>
      <c r="AE1333" s="147"/>
      <c r="AF1333" s="147"/>
      <c r="AG1333" s="147"/>
      <c r="AH1333" s="147"/>
      <c r="AI1333" s="147"/>
      <c r="AJ1333" s="147"/>
      <c r="AK1333" s="147"/>
      <c r="AL1333" s="147"/>
      <c r="AM1333" s="151"/>
      <c r="AN1333" s="147"/>
      <c r="AO1333" s="147"/>
      <c r="AP1333" s="147"/>
      <c r="AQ1333" s="147"/>
      <c r="AR1333" s="147"/>
      <c r="AS1333" s="147"/>
      <c r="AT1333" s="147"/>
      <c r="AU1333" s="147"/>
      <c r="AV1333" s="147"/>
      <c r="AW1333" s="147"/>
      <c r="AX1333" s="147"/>
      <c r="AY1333" s="147"/>
      <c r="AZ1333" s="147"/>
      <c r="BA1333" s="147"/>
      <c r="BB1333" s="147"/>
      <c r="BC1333" s="147"/>
      <c r="BD1333" s="147"/>
      <c r="BE1333" s="147"/>
      <c r="BF1333" s="147"/>
      <c r="BG1333" s="147"/>
      <c r="BH1333" s="147"/>
      <c r="BI1333" s="147"/>
      <c r="BJ1333" s="147"/>
      <c r="BK1333" s="147"/>
      <c r="BL1333" s="147"/>
      <c r="BM1333" s="147"/>
      <c r="BN1333" s="147"/>
      <c r="BO1333" s="147"/>
      <c r="BP1333" s="147"/>
      <c r="BQ1333" s="147"/>
      <c r="BR1333" s="147"/>
      <c r="BS1333" s="147"/>
      <c r="BT1333" s="147"/>
      <c r="BU1333" s="147"/>
      <c r="BV1333" s="147"/>
      <c r="BW1333" s="147"/>
      <c r="BX1333" s="147"/>
      <c r="BY1333" s="147"/>
      <c r="BZ1333" s="147"/>
      <c r="CA1333" s="147"/>
      <c r="CB1333" s="147"/>
      <c r="CC1333" s="147"/>
      <c r="CD1333" s="147"/>
      <c r="CE1333" s="147"/>
      <c r="CF1333" s="147"/>
      <c r="CG1333" s="147"/>
      <c r="CH1333" s="147"/>
      <c r="CI1333" s="147"/>
      <c r="CJ1333" s="147"/>
      <c r="CK1333" s="147"/>
    </row>
    <row r="1334" spans="1:89">
      <c r="A1334" s="157"/>
      <c r="F1334" s="3"/>
      <c r="G1334" s="3"/>
      <c r="L1334" s="157"/>
      <c r="M1334" s="157"/>
      <c r="O1334" s="147"/>
      <c r="P1334" s="147"/>
      <c r="Q1334" s="147"/>
      <c r="R1334" s="147"/>
      <c r="S1334" s="147"/>
      <c r="T1334" s="147"/>
      <c r="U1334" s="147"/>
      <c r="V1334" s="147"/>
      <c r="W1334" s="147"/>
      <c r="X1334" s="147"/>
      <c r="Y1334" s="147"/>
      <c r="Z1334" s="147"/>
      <c r="AA1334" s="147"/>
      <c r="AB1334" s="147"/>
      <c r="AC1334" s="147"/>
      <c r="AD1334" s="147"/>
      <c r="AE1334" s="147"/>
      <c r="AF1334" s="147"/>
      <c r="AG1334" s="147"/>
      <c r="AH1334" s="147"/>
      <c r="AI1334" s="147"/>
      <c r="AJ1334" s="147"/>
      <c r="AK1334" s="147"/>
      <c r="AL1334" s="147"/>
      <c r="AM1334" s="151"/>
      <c r="AN1334" s="147"/>
      <c r="AO1334" s="147"/>
      <c r="AP1334" s="147"/>
      <c r="AQ1334" s="147"/>
      <c r="AR1334" s="147"/>
      <c r="AS1334" s="147"/>
      <c r="AT1334" s="147"/>
      <c r="AU1334" s="147"/>
      <c r="AV1334" s="147"/>
      <c r="AW1334" s="147"/>
      <c r="AX1334" s="147"/>
      <c r="AY1334" s="147"/>
      <c r="AZ1334" s="147"/>
      <c r="BA1334" s="147"/>
      <c r="BB1334" s="147"/>
      <c r="BC1334" s="147"/>
      <c r="BD1334" s="147"/>
      <c r="BE1334" s="147"/>
      <c r="BF1334" s="147"/>
      <c r="BG1334" s="147"/>
      <c r="BH1334" s="147"/>
      <c r="BI1334" s="147"/>
      <c r="BJ1334" s="147"/>
      <c r="BK1334" s="147"/>
      <c r="BL1334" s="147"/>
      <c r="BM1334" s="147"/>
      <c r="BN1334" s="147"/>
      <c r="BO1334" s="147"/>
      <c r="BP1334" s="147"/>
      <c r="BQ1334" s="147"/>
      <c r="BR1334" s="147"/>
      <c r="BS1334" s="147"/>
      <c r="BT1334" s="147"/>
      <c r="BU1334" s="147"/>
      <c r="BV1334" s="147"/>
      <c r="BW1334" s="147"/>
      <c r="BX1334" s="147"/>
      <c r="BY1334" s="147"/>
      <c r="BZ1334" s="147"/>
      <c r="CA1334" s="147"/>
      <c r="CB1334" s="147"/>
      <c r="CC1334" s="147"/>
      <c r="CD1334" s="147"/>
      <c r="CE1334" s="147"/>
      <c r="CF1334" s="147"/>
      <c r="CG1334" s="147"/>
      <c r="CH1334" s="147"/>
      <c r="CI1334" s="147"/>
      <c r="CJ1334" s="147"/>
      <c r="CK1334" s="147"/>
    </row>
    <row r="1335" spans="1:89">
      <c r="A1335" s="157"/>
      <c r="F1335" s="3"/>
      <c r="G1335" s="3"/>
      <c r="L1335" s="157"/>
      <c r="M1335" s="157"/>
      <c r="O1335" s="147"/>
      <c r="P1335" s="147"/>
      <c r="Q1335" s="147"/>
      <c r="R1335" s="147"/>
      <c r="S1335" s="147"/>
      <c r="T1335" s="147"/>
      <c r="U1335" s="147"/>
      <c r="V1335" s="147"/>
      <c r="W1335" s="147"/>
      <c r="X1335" s="147"/>
      <c r="Y1335" s="147"/>
      <c r="Z1335" s="147"/>
      <c r="AA1335" s="147"/>
      <c r="AB1335" s="147"/>
      <c r="AC1335" s="147"/>
      <c r="AD1335" s="147"/>
      <c r="AE1335" s="147"/>
      <c r="AF1335" s="147"/>
      <c r="AG1335" s="147"/>
      <c r="AH1335" s="147"/>
      <c r="AI1335" s="147"/>
      <c r="AJ1335" s="147"/>
      <c r="AK1335" s="147"/>
      <c r="AL1335" s="147"/>
      <c r="AM1335" s="151"/>
      <c r="AN1335" s="147"/>
      <c r="AO1335" s="147"/>
      <c r="AP1335" s="147"/>
      <c r="AQ1335" s="147"/>
      <c r="AR1335" s="147"/>
      <c r="AS1335" s="147"/>
      <c r="AT1335" s="147"/>
      <c r="AU1335" s="147"/>
      <c r="AV1335" s="147"/>
      <c r="AW1335" s="147"/>
      <c r="AX1335" s="147"/>
      <c r="AY1335" s="147"/>
      <c r="AZ1335" s="147"/>
      <c r="BA1335" s="147"/>
      <c r="BB1335" s="147"/>
      <c r="BC1335" s="147"/>
      <c r="BD1335" s="147"/>
      <c r="BE1335" s="147"/>
      <c r="BF1335" s="147"/>
      <c r="BG1335" s="147"/>
      <c r="BH1335" s="147"/>
      <c r="BI1335" s="147"/>
      <c r="BJ1335" s="147"/>
      <c r="BK1335" s="147"/>
      <c r="BL1335" s="147"/>
      <c r="BM1335" s="147"/>
      <c r="BN1335" s="147"/>
      <c r="BO1335" s="147"/>
      <c r="BP1335" s="147"/>
      <c r="BQ1335" s="147"/>
      <c r="BR1335" s="147"/>
      <c r="BS1335" s="147"/>
      <c r="BT1335" s="147"/>
      <c r="BU1335" s="147"/>
      <c r="BV1335" s="147"/>
      <c r="BW1335" s="147"/>
      <c r="BX1335" s="147"/>
      <c r="BY1335" s="147"/>
      <c r="BZ1335" s="147"/>
      <c r="CA1335" s="147"/>
      <c r="CB1335" s="147"/>
      <c r="CC1335" s="147"/>
      <c r="CD1335" s="147"/>
      <c r="CE1335" s="147"/>
      <c r="CF1335" s="147"/>
      <c r="CG1335" s="147"/>
      <c r="CH1335" s="147"/>
      <c r="CI1335" s="147"/>
      <c r="CJ1335" s="147"/>
      <c r="CK1335" s="147"/>
    </row>
    <row r="1336" spans="1:89">
      <c r="A1336" s="157"/>
      <c r="F1336" s="3"/>
      <c r="G1336" s="3"/>
      <c r="L1336" s="157"/>
      <c r="M1336" s="157"/>
      <c r="O1336" s="147"/>
      <c r="P1336" s="147"/>
      <c r="Q1336" s="147"/>
      <c r="R1336" s="147"/>
      <c r="S1336" s="147"/>
      <c r="T1336" s="147"/>
      <c r="U1336" s="147"/>
      <c r="V1336" s="147"/>
      <c r="W1336" s="147"/>
      <c r="X1336" s="147"/>
      <c r="Y1336" s="147"/>
      <c r="Z1336" s="147"/>
      <c r="AA1336" s="147"/>
      <c r="AB1336" s="147"/>
      <c r="AC1336" s="147"/>
      <c r="AD1336" s="147"/>
      <c r="AE1336" s="147"/>
      <c r="AF1336" s="147"/>
      <c r="AG1336" s="147"/>
      <c r="AH1336" s="147"/>
      <c r="AI1336" s="147"/>
      <c r="AJ1336" s="147"/>
      <c r="AK1336" s="147"/>
      <c r="AL1336" s="147"/>
      <c r="AM1336" s="151"/>
      <c r="AN1336" s="147"/>
      <c r="AO1336" s="147"/>
      <c r="AP1336" s="147"/>
      <c r="AQ1336" s="147"/>
      <c r="AR1336" s="147"/>
      <c r="AS1336" s="147"/>
      <c r="AT1336" s="147"/>
      <c r="AU1336" s="147"/>
      <c r="AV1336" s="147"/>
      <c r="AW1336" s="147"/>
      <c r="AX1336" s="147"/>
      <c r="AY1336" s="147"/>
      <c r="AZ1336" s="147"/>
      <c r="BA1336" s="147"/>
      <c r="BB1336" s="147"/>
      <c r="BC1336" s="147"/>
      <c r="BD1336" s="147"/>
      <c r="BE1336" s="147"/>
      <c r="BF1336" s="147"/>
      <c r="BG1336" s="147"/>
      <c r="BH1336" s="147"/>
      <c r="BI1336" s="147"/>
      <c r="BJ1336" s="147"/>
      <c r="BK1336" s="147"/>
      <c r="BL1336" s="147"/>
      <c r="BM1336" s="147"/>
      <c r="BN1336" s="147"/>
      <c r="BO1336" s="147"/>
      <c r="BP1336" s="147"/>
      <c r="BQ1336" s="147"/>
      <c r="BR1336" s="147"/>
      <c r="BS1336" s="147"/>
      <c r="BT1336" s="147"/>
      <c r="BU1336" s="147"/>
      <c r="BV1336" s="147"/>
      <c r="BW1336" s="147"/>
      <c r="BX1336" s="147"/>
      <c r="BY1336" s="147"/>
      <c r="BZ1336" s="147"/>
      <c r="CA1336" s="147"/>
      <c r="CB1336" s="147"/>
      <c r="CC1336" s="147"/>
      <c r="CD1336" s="147"/>
      <c r="CE1336" s="147"/>
      <c r="CF1336" s="147"/>
      <c r="CG1336" s="147"/>
      <c r="CH1336" s="147"/>
      <c r="CI1336" s="147"/>
      <c r="CJ1336" s="147"/>
      <c r="CK1336" s="147"/>
    </row>
    <row r="1337" spans="1:89">
      <c r="A1337" s="157"/>
      <c r="F1337" s="3"/>
      <c r="G1337" s="3"/>
      <c r="L1337" s="157"/>
      <c r="M1337" s="157"/>
      <c r="O1337" s="147"/>
      <c r="P1337" s="147"/>
      <c r="Q1337" s="147"/>
      <c r="R1337" s="147"/>
      <c r="S1337" s="147"/>
      <c r="T1337" s="147"/>
      <c r="U1337" s="147"/>
      <c r="V1337" s="147"/>
      <c r="W1337" s="147"/>
      <c r="X1337" s="147"/>
      <c r="Y1337" s="147"/>
      <c r="Z1337" s="147"/>
      <c r="AA1337" s="147"/>
      <c r="AB1337" s="147"/>
      <c r="AC1337" s="147"/>
      <c r="AD1337" s="147"/>
      <c r="AE1337" s="147"/>
      <c r="AF1337" s="147"/>
      <c r="AG1337" s="147"/>
      <c r="AH1337" s="147"/>
      <c r="AI1337" s="147"/>
      <c r="AJ1337" s="147"/>
      <c r="AK1337" s="147"/>
      <c r="AL1337" s="147"/>
      <c r="AM1337" s="151"/>
      <c r="AN1337" s="147"/>
      <c r="AO1337" s="147"/>
      <c r="AP1337" s="147"/>
      <c r="AQ1337" s="147"/>
      <c r="AR1337" s="147"/>
      <c r="AS1337" s="147"/>
      <c r="AT1337" s="147"/>
      <c r="AU1337" s="147"/>
      <c r="AV1337" s="147"/>
      <c r="AW1337" s="147"/>
      <c r="AX1337" s="147"/>
      <c r="AY1337" s="147"/>
      <c r="AZ1337" s="147"/>
      <c r="BA1337" s="147"/>
      <c r="BB1337" s="147"/>
      <c r="BC1337" s="147"/>
      <c r="BD1337" s="147"/>
      <c r="BE1337" s="147"/>
      <c r="BF1337" s="147"/>
      <c r="BG1337" s="147"/>
      <c r="BH1337" s="147"/>
      <c r="BI1337" s="147"/>
      <c r="BJ1337" s="147"/>
      <c r="BK1337" s="147"/>
      <c r="BL1337" s="147"/>
      <c r="BM1337" s="147"/>
      <c r="BN1337" s="147"/>
      <c r="BO1337" s="147"/>
      <c r="BP1337" s="147"/>
      <c r="BQ1337" s="147"/>
      <c r="BR1337" s="147"/>
      <c r="BS1337" s="147"/>
      <c r="BT1337" s="147"/>
      <c r="BU1337" s="147"/>
      <c r="BV1337" s="147"/>
      <c r="BW1337" s="147"/>
      <c r="BX1337" s="147"/>
      <c r="BY1337" s="147"/>
      <c r="BZ1337" s="147"/>
      <c r="CA1337" s="147"/>
      <c r="CB1337" s="147"/>
      <c r="CC1337" s="147"/>
      <c r="CD1337" s="147"/>
      <c r="CE1337" s="147"/>
      <c r="CF1337" s="147"/>
      <c r="CG1337" s="147"/>
      <c r="CH1337" s="147"/>
      <c r="CI1337" s="147"/>
      <c r="CJ1337" s="147"/>
      <c r="CK1337" s="147"/>
    </row>
    <row r="1338" spans="1:89">
      <c r="A1338" s="157"/>
      <c r="F1338" s="3"/>
      <c r="G1338" s="3"/>
      <c r="L1338" s="157"/>
      <c r="M1338" s="157"/>
      <c r="O1338" s="147"/>
      <c r="P1338" s="147"/>
      <c r="Q1338" s="147"/>
      <c r="R1338" s="147"/>
      <c r="S1338" s="147"/>
      <c r="T1338" s="147"/>
      <c r="U1338" s="147"/>
      <c r="V1338" s="147"/>
      <c r="W1338" s="147"/>
      <c r="X1338" s="147"/>
      <c r="Y1338" s="147"/>
      <c r="Z1338" s="147"/>
      <c r="AA1338" s="147"/>
      <c r="AB1338" s="147"/>
      <c r="AC1338" s="147"/>
      <c r="AD1338" s="147"/>
      <c r="AE1338" s="147"/>
      <c r="AF1338" s="147"/>
      <c r="AG1338" s="147"/>
      <c r="AH1338" s="147"/>
      <c r="AI1338" s="147"/>
      <c r="AJ1338" s="147"/>
      <c r="AK1338" s="147"/>
      <c r="AL1338" s="147"/>
      <c r="AM1338" s="151"/>
      <c r="AN1338" s="147"/>
      <c r="AO1338" s="147"/>
      <c r="AP1338" s="147"/>
      <c r="AQ1338" s="147"/>
      <c r="AR1338" s="147"/>
      <c r="AS1338" s="147"/>
      <c r="AT1338" s="147"/>
      <c r="AU1338" s="147"/>
      <c r="AV1338" s="147"/>
      <c r="AW1338" s="147"/>
      <c r="AX1338" s="147"/>
      <c r="AY1338" s="147"/>
      <c r="AZ1338" s="147"/>
      <c r="BA1338" s="147"/>
      <c r="BB1338" s="147"/>
      <c r="BC1338" s="147"/>
      <c r="BD1338" s="147"/>
      <c r="BE1338" s="147"/>
      <c r="BF1338" s="147"/>
      <c r="BG1338" s="147"/>
      <c r="BH1338" s="147"/>
      <c r="BI1338" s="147"/>
      <c r="BJ1338" s="147"/>
      <c r="BK1338" s="147"/>
      <c r="BL1338" s="147"/>
      <c r="BM1338" s="147"/>
      <c r="BN1338" s="147"/>
      <c r="BO1338" s="147"/>
      <c r="BP1338" s="147"/>
      <c r="BQ1338" s="147"/>
      <c r="BR1338" s="147"/>
      <c r="BS1338" s="147"/>
      <c r="BT1338" s="147"/>
      <c r="BU1338" s="147"/>
      <c r="BV1338" s="147"/>
      <c r="BW1338" s="147"/>
      <c r="BX1338" s="147"/>
      <c r="BY1338" s="147"/>
      <c r="BZ1338" s="147"/>
      <c r="CA1338" s="147"/>
      <c r="CB1338" s="147"/>
      <c r="CC1338" s="147"/>
      <c r="CD1338" s="147"/>
      <c r="CE1338" s="147"/>
      <c r="CF1338" s="147"/>
      <c r="CG1338" s="147"/>
      <c r="CH1338" s="147"/>
      <c r="CI1338" s="147"/>
      <c r="CJ1338" s="147"/>
      <c r="CK1338" s="147"/>
    </row>
    <row r="1339" spans="1:89">
      <c r="A1339" s="157"/>
      <c r="F1339" s="3"/>
      <c r="G1339" s="3"/>
      <c r="L1339" s="157"/>
      <c r="M1339" s="157"/>
      <c r="O1339" s="147"/>
      <c r="P1339" s="147"/>
      <c r="Q1339" s="147"/>
      <c r="R1339" s="147"/>
      <c r="S1339" s="147"/>
      <c r="T1339" s="147"/>
      <c r="U1339" s="147"/>
      <c r="V1339" s="147"/>
      <c r="W1339" s="147"/>
      <c r="X1339" s="147"/>
      <c r="Y1339" s="147"/>
      <c r="Z1339" s="147"/>
      <c r="AA1339" s="147"/>
      <c r="AB1339" s="147"/>
      <c r="AC1339" s="147"/>
      <c r="AD1339" s="147"/>
      <c r="AE1339" s="147"/>
      <c r="AF1339" s="147"/>
      <c r="AG1339" s="147"/>
      <c r="AH1339" s="147"/>
      <c r="AI1339" s="147"/>
      <c r="AJ1339" s="147"/>
      <c r="AK1339" s="147"/>
      <c r="AL1339" s="147"/>
      <c r="AM1339" s="151"/>
      <c r="AN1339" s="147"/>
      <c r="AO1339" s="147"/>
      <c r="AP1339" s="147"/>
      <c r="AQ1339" s="147"/>
      <c r="AR1339" s="147"/>
      <c r="AS1339" s="147"/>
      <c r="AT1339" s="147"/>
      <c r="AU1339" s="147"/>
      <c r="AV1339" s="147"/>
      <c r="AW1339" s="147"/>
      <c r="AX1339" s="147"/>
      <c r="AY1339" s="147"/>
      <c r="AZ1339" s="147"/>
      <c r="BA1339" s="147"/>
      <c r="BB1339" s="147"/>
      <c r="BC1339" s="147"/>
      <c r="BD1339" s="147"/>
      <c r="BE1339" s="147"/>
      <c r="BF1339" s="147"/>
      <c r="BG1339" s="147"/>
      <c r="BH1339" s="147"/>
      <c r="BI1339" s="147"/>
      <c r="BJ1339" s="147"/>
      <c r="BK1339" s="147"/>
      <c r="BL1339" s="147"/>
      <c r="BM1339" s="147"/>
      <c r="BN1339" s="147"/>
      <c r="BO1339" s="147"/>
      <c r="BP1339" s="147"/>
      <c r="BQ1339" s="147"/>
      <c r="BR1339" s="147"/>
      <c r="BS1339" s="147"/>
      <c r="BT1339" s="147"/>
      <c r="BU1339" s="147"/>
      <c r="BV1339" s="147"/>
      <c r="BW1339" s="147"/>
      <c r="BX1339" s="147"/>
      <c r="BY1339" s="147"/>
      <c r="BZ1339" s="147"/>
      <c r="CA1339" s="147"/>
      <c r="CB1339" s="147"/>
      <c r="CC1339" s="147"/>
      <c r="CD1339" s="147"/>
      <c r="CE1339" s="147"/>
      <c r="CF1339" s="147"/>
      <c r="CG1339" s="147"/>
      <c r="CH1339" s="147"/>
      <c r="CI1339" s="147"/>
      <c r="CJ1339" s="147"/>
      <c r="CK1339" s="147"/>
    </row>
    <row r="1340" spans="1:89">
      <c r="A1340" s="157"/>
      <c r="F1340" s="3"/>
      <c r="G1340" s="3"/>
      <c r="L1340" s="157"/>
      <c r="M1340" s="157"/>
      <c r="O1340" s="147"/>
      <c r="P1340" s="147"/>
      <c r="Q1340" s="147"/>
      <c r="R1340" s="147"/>
      <c r="S1340" s="147"/>
      <c r="T1340" s="147"/>
      <c r="U1340" s="147"/>
      <c r="V1340" s="147"/>
      <c r="W1340" s="147"/>
      <c r="X1340" s="147"/>
      <c r="Y1340" s="147"/>
      <c r="Z1340" s="147"/>
      <c r="AA1340" s="147"/>
      <c r="AB1340" s="147"/>
      <c r="AC1340" s="147"/>
      <c r="AD1340" s="147"/>
      <c r="AE1340" s="147"/>
      <c r="AF1340" s="147"/>
      <c r="AG1340" s="147"/>
      <c r="AH1340" s="147"/>
      <c r="AI1340" s="147"/>
      <c r="AJ1340" s="147"/>
      <c r="AK1340" s="147"/>
      <c r="AL1340" s="147"/>
      <c r="AM1340" s="151"/>
      <c r="AN1340" s="147"/>
      <c r="AO1340" s="147"/>
      <c r="AP1340" s="147"/>
      <c r="AQ1340" s="147"/>
      <c r="AR1340" s="147"/>
      <c r="AS1340" s="147"/>
      <c r="AT1340" s="147"/>
      <c r="AU1340" s="147"/>
      <c r="AV1340" s="147"/>
      <c r="AW1340" s="147"/>
      <c r="AX1340" s="147"/>
      <c r="AY1340" s="147"/>
      <c r="AZ1340" s="147"/>
      <c r="BA1340" s="147"/>
      <c r="BB1340" s="147"/>
      <c r="BC1340" s="147"/>
      <c r="BD1340" s="147"/>
      <c r="BE1340" s="147"/>
      <c r="BF1340" s="147"/>
      <c r="BG1340" s="147"/>
      <c r="BH1340" s="147"/>
      <c r="BI1340" s="147"/>
      <c r="BJ1340" s="147"/>
      <c r="BK1340" s="147"/>
      <c r="BL1340" s="147"/>
      <c r="BM1340" s="147"/>
      <c r="BN1340" s="147"/>
      <c r="BO1340" s="147"/>
      <c r="BP1340" s="147"/>
      <c r="BQ1340" s="147"/>
      <c r="BR1340" s="147"/>
      <c r="BS1340" s="147"/>
      <c r="BT1340" s="147"/>
      <c r="BU1340" s="147"/>
      <c r="BV1340" s="147"/>
      <c r="BW1340" s="147"/>
      <c r="BX1340" s="147"/>
      <c r="BY1340" s="147"/>
      <c r="BZ1340" s="147"/>
      <c r="CA1340" s="147"/>
      <c r="CB1340" s="147"/>
      <c r="CC1340" s="147"/>
      <c r="CD1340" s="147"/>
      <c r="CE1340" s="147"/>
      <c r="CF1340" s="147"/>
      <c r="CG1340" s="147"/>
      <c r="CH1340" s="147"/>
      <c r="CI1340" s="147"/>
      <c r="CJ1340" s="147"/>
      <c r="CK1340" s="147"/>
    </row>
    <row r="1341" spans="1:89">
      <c r="A1341" s="157"/>
      <c r="F1341" s="3"/>
      <c r="G1341" s="3"/>
      <c r="L1341" s="157"/>
      <c r="M1341" s="157"/>
      <c r="O1341" s="147"/>
      <c r="P1341" s="147"/>
      <c r="Q1341" s="147"/>
      <c r="R1341" s="147"/>
      <c r="S1341" s="147"/>
      <c r="T1341" s="147"/>
      <c r="U1341" s="147"/>
      <c r="V1341" s="147"/>
      <c r="W1341" s="147"/>
      <c r="X1341" s="147"/>
      <c r="Y1341" s="147"/>
      <c r="Z1341" s="147"/>
      <c r="AA1341" s="147"/>
      <c r="AB1341" s="147"/>
      <c r="AC1341" s="147"/>
      <c r="AD1341" s="147"/>
      <c r="AE1341" s="147"/>
      <c r="AF1341" s="147"/>
      <c r="AG1341" s="147"/>
      <c r="AH1341" s="147"/>
      <c r="AI1341" s="147"/>
      <c r="AJ1341" s="147"/>
      <c r="AK1341" s="147"/>
      <c r="AL1341" s="147"/>
      <c r="AM1341" s="151"/>
      <c r="AN1341" s="147"/>
      <c r="AO1341" s="147"/>
      <c r="AP1341" s="147"/>
      <c r="AQ1341" s="147"/>
      <c r="AR1341" s="147"/>
      <c r="AS1341" s="147"/>
      <c r="AT1341" s="147"/>
      <c r="AU1341" s="147"/>
      <c r="AV1341" s="147"/>
      <c r="AW1341" s="147"/>
      <c r="AX1341" s="147"/>
      <c r="AY1341" s="147"/>
      <c r="AZ1341" s="147"/>
      <c r="BA1341" s="147"/>
      <c r="BB1341" s="147"/>
      <c r="BC1341" s="147"/>
      <c r="BD1341" s="147"/>
      <c r="BE1341" s="147"/>
      <c r="BF1341" s="147"/>
      <c r="BG1341" s="147"/>
      <c r="BH1341" s="147"/>
      <c r="BI1341" s="147"/>
      <c r="BJ1341" s="147"/>
      <c r="BK1341" s="147"/>
      <c r="BL1341" s="147"/>
      <c r="BM1341" s="147"/>
      <c r="BN1341" s="147"/>
      <c r="BO1341" s="147"/>
      <c r="BP1341" s="147"/>
      <c r="BQ1341" s="147"/>
      <c r="BR1341" s="147"/>
      <c r="BS1341" s="147"/>
      <c r="BT1341" s="147"/>
      <c r="BU1341" s="147"/>
      <c r="BV1341" s="147"/>
      <c r="BW1341" s="147"/>
      <c r="BX1341" s="147"/>
      <c r="BY1341" s="147"/>
      <c r="BZ1341" s="147"/>
      <c r="CA1341" s="147"/>
      <c r="CB1341" s="147"/>
      <c r="CC1341" s="147"/>
      <c r="CD1341" s="147"/>
      <c r="CE1341" s="147"/>
      <c r="CF1341" s="147"/>
      <c r="CG1341" s="147"/>
      <c r="CH1341" s="147"/>
      <c r="CI1341" s="147"/>
      <c r="CJ1341" s="147"/>
      <c r="CK1341" s="147"/>
    </row>
    <row r="1342" spans="1:89">
      <c r="A1342" s="157"/>
      <c r="F1342" s="3"/>
      <c r="G1342" s="3"/>
      <c r="L1342" s="157"/>
      <c r="M1342" s="157"/>
      <c r="O1342" s="147"/>
      <c r="P1342" s="147"/>
      <c r="Q1342" s="147"/>
      <c r="R1342" s="147"/>
      <c r="S1342" s="147"/>
      <c r="T1342" s="147"/>
      <c r="U1342" s="147"/>
      <c r="V1342" s="147"/>
      <c r="W1342" s="147"/>
      <c r="X1342" s="147"/>
      <c r="Y1342" s="147"/>
      <c r="Z1342" s="147"/>
      <c r="AA1342" s="147"/>
      <c r="AB1342" s="147"/>
      <c r="AC1342" s="147"/>
      <c r="AD1342" s="147"/>
      <c r="AE1342" s="147"/>
      <c r="AF1342" s="147"/>
      <c r="AG1342" s="147"/>
      <c r="AH1342" s="147"/>
      <c r="AI1342" s="147"/>
      <c r="AJ1342" s="147"/>
      <c r="AK1342" s="147"/>
      <c r="AL1342" s="147"/>
      <c r="AM1342" s="151"/>
      <c r="AN1342" s="147"/>
      <c r="AO1342" s="147"/>
      <c r="AP1342" s="147"/>
      <c r="AQ1342" s="147"/>
      <c r="AR1342" s="147"/>
      <c r="AS1342" s="147"/>
      <c r="AT1342" s="147"/>
      <c r="AU1342" s="147"/>
      <c r="AV1342" s="147"/>
      <c r="AW1342" s="147"/>
      <c r="AX1342" s="147"/>
      <c r="AY1342" s="147"/>
      <c r="AZ1342" s="147"/>
      <c r="BA1342" s="147"/>
      <c r="BB1342" s="147"/>
      <c r="BC1342" s="147"/>
      <c r="BD1342" s="147"/>
      <c r="BE1342" s="147"/>
      <c r="BF1342" s="147"/>
      <c r="BG1342" s="147"/>
      <c r="BH1342" s="147"/>
      <c r="BI1342" s="147"/>
      <c r="BJ1342" s="147"/>
      <c r="BK1342" s="147"/>
      <c r="BL1342" s="147"/>
      <c r="BM1342" s="147"/>
      <c r="BN1342" s="147"/>
      <c r="BO1342" s="147"/>
      <c r="BP1342" s="147"/>
      <c r="BQ1342" s="147"/>
      <c r="BR1342" s="147"/>
      <c r="BS1342" s="147"/>
      <c r="BT1342" s="147"/>
      <c r="BU1342" s="147"/>
      <c r="BV1342" s="147"/>
      <c r="BW1342" s="147"/>
      <c r="BX1342" s="147"/>
      <c r="BY1342" s="147"/>
      <c r="BZ1342" s="147"/>
      <c r="CA1342" s="147"/>
      <c r="CB1342" s="147"/>
      <c r="CC1342" s="147"/>
      <c r="CD1342" s="147"/>
      <c r="CE1342" s="147"/>
      <c r="CF1342" s="147"/>
      <c r="CG1342" s="147"/>
      <c r="CH1342" s="147"/>
      <c r="CI1342" s="147"/>
      <c r="CJ1342" s="147"/>
      <c r="CK1342" s="147"/>
    </row>
    <row r="1343" spans="1:89">
      <c r="A1343" s="157"/>
      <c r="F1343" s="3"/>
      <c r="G1343" s="3"/>
      <c r="L1343" s="157"/>
      <c r="M1343" s="157"/>
      <c r="O1343" s="147"/>
      <c r="P1343" s="147"/>
      <c r="Q1343" s="147"/>
      <c r="R1343" s="147"/>
      <c r="S1343" s="147"/>
      <c r="T1343" s="147"/>
      <c r="U1343" s="147"/>
      <c r="V1343" s="147"/>
      <c r="W1343" s="147"/>
      <c r="X1343" s="147"/>
      <c r="Y1343" s="147"/>
      <c r="Z1343" s="147"/>
      <c r="AA1343" s="147"/>
      <c r="AB1343" s="147"/>
      <c r="AC1343" s="147"/>
      <c r="AD1343" s="147"/>
      <c r="AE1343" s="147"/>
      <c r="AF1343" s="147"/>
      <c r="AG1343" s="147"/>
      <c r="AH1343" s="147"/>
      <c r="AI1343" s="147"/>
      <c r="AJ1343" s="147"/>
      <c r="AK1343" s="147"/>
      <c r="AL1343" s="147"/>
      <c r="AM1343" s="151"/>
      <c r="AN1343" s="147"/>
      <c r="AO1343" s="147"/>
      <c r="AP1343" s="147"/>
      <c r="AQ1343" s="147"/>
      <c r="AR1343" s="147"/>
      <c r="AS1343" s="147"/>
      <c r="AT1343" s="147"/>
      <c r="AU1343" s="147"/>
      <c r="AV1343" s="147"/>
      <c r="AW1343" s="147"/>
      <c r="AX1343" s="147"/>
      <c r="AY1343" s="147"/>
      <c r="AZ1343" s="147"/>
      <c r="BA1343" s="147"/>
      <c r="BB1343" s="147"/>
      <c r="BC1343" s="147"/>
      <c r="BD1343" s="147"/>
      <c r="BE1343" s="147"/>
      <c r="BF1343" s="147"/>
      <c r="BG1343" s="147"/>
      <c r="BH1343" s="147"/>
      <c r="BI1343" s="147"/>
      <c r="BJ1343" s="147"/>
      <c r="BK1343" s="147"/>
      <c r="BL1343" s="147"/>
      <c r="BM1343" s="147"/>
      <c r="BN1343" s="147"/>
      <c r="BO1343" s="147"/>
      <c r="BP1343" s="147"/>
      <c r="BQ1343" s="147"/>
      <c r="BR1343" s="147"/>
      <c r="BS1343" s="147"/>
      <c r="BT1343" s="147"/>
      <c r="BU1343" s="147"/>
      <c r="BV1343" s="147"/>
      <c r="BW1343" s="147"/>
      <c r="BX1343" s="147"/>
      <c r="BY1343" s="147"/>
      <c r="BZ1343" s="147"/>
      <c r="CA1343" s="147"/>
      <c r="CB1343" s="147"/>
      <c r="CC1343" s="147"/>
      <c r="CD1343" s="147"/>
      <c r="CE1343" s="147"/>
      <c r="CF1343" s="147"/>
      <c r="CG1343" s="147"/>
      <c r="CH1343" s="147"/>
      <c r="CI1343" s="147"/>
      <c r="CJ1343" s="147"/>
      <c r="CK1343" s="147"/>
    </row>
    <row r="1344" spans="1:89">
      <c r="A1344" s="157"/>
      <c r="F1344" s="3"/>
      <c r="G1344" s="3"/>
      <c r="L1344" s="157"/>
      <c r="M1344" s="157"/>
      <c r="O1344" s="147"/>
      <c r="P1344" s="147"/>
      <c r="Q1344" s="147"/>
      <c r="R1344" s="147"/>
      <c r="S1344" s="147"/>
      <c r="T1344" s="147"/>
      <c r="U1344" s="147"/>
      <c r="V1344" s="147"/>
      <c r="W1344" s="147"/>
      <c r="X1344" s="147"/>
      <c r="Y1344" s="147"/>
      <c r="Z1344" s="147"/>
      <c r="AA1344" s="147"/>
      <c r="AB1344" s="147"/>
      <c r="AC1344" s="147"/>
      <c r="AD1344" s="147"/>
      <c r="AE1344" s="147"/>
      <c r="AF1344" s="147"/>
      <c r="AG1344" s="147"/>
      <c r="AH1344" s="147"/>
      <c r="AI1344" s="147"/>
      <c r="AJ1344" s="147"/>
      <c r="AK1344" s="147"/>
      <c r="AL1344" s="147"/>
      <c r="AM1344" s="151"/>
      <c r="AN1344" s="147"/>
      <c r="AO1344" s="147"/>
      <c r="AP1344" s="147"/>
      <c r="AQ1344" s="147"/>
      <c r="AR1344" s="147"/>
      <c r="AS1344" s="147"/>
      <c r="AT1344" s="147"/>
      <c r="AU1344" s="147"/>
      <c r="AV1344" s="147"/>
      <c r="AW1344" s="147"/>
      <c r="AX1344" s="147"/>
      <c r="AY1344" s="147"/>
      <c r="AZ1344" s="147"/>
      <c r="BA1344" s="147"/>
      <c r="BB1344" s="147"/>
      <c r="BC1344" s="147"/>
      <c r="BD1344" s="147"/>
      <c r="BE1344" s="147"/>
      <c r="BF1344" s="147"/>
      <c r="BG1344" s="147"/>
      <c r="BH1344" s="147"/>
      <c r="BI1344" s="147"/>
      <c r="BJ1344" s="147"/>
      <c r="BK1344" s="147"/>
      <c r="BL1344" s="147"/>
      <c r="BM1344" s="147"/>
      <c r="BN1344" s="147"/>
      <c r="BO1344" s="147"/>
      <c r="BP1344" s="147"/>
      <c r="BQ1344" s="147"/>
      <c r="BR1344" s="147"/>
      <c r="BS1344" s="147"/>
      <c r="BT1344" s="147"/>
      <c r="BU1344" s="147"/>
      <c r="BV1344" s="147"/>
      <c r="BW1344" s="147"/>
      <c r="BX1344" s="147"/>
      <c r="BY1344" s="147"/>
      <c r="BZ1344" s="147"/>
      <c r="CA1344" s="147"/>
      <c r="CB1344" s="147"/>
      <c r="CC1344" s="147"/>
      <c r="CD1344" s="147"/>
      <c r="CE1344" s="147"/>
      <c r="CF1344" s="147"/>
      <c r="CG1344" s="147"/>
      <c r="CH1344" s="147"/>
      <c r="CI1344" s="147"/>
      <c r="CJ1344" s="147"/>
      <c r="CK1344" s="147"/>
    </row>
    <row r="1345" spans="1:89">
      <c r="A1345" s="157"/>
      <c r="F1345" s="3"/>
      <c r="G1345" s="3"/>
      <c r="L1345" s="157"/>
      <c r="M1345" s="157"/>
      <c r="O1345" s="147"/>
      <c r="P1345" s="147"/>
      <c r="Q1345" s="147"/>
      <c r="R1345" s="147"/>
      <c r="S1345" s="147"/>
      <c r="T1345" s="147"/>
      <c r="U1345" s="147"/>
      <c r="V1345" s="147"/>
      <c r="W1345" s="147"/>
      <c r="X1345" s="147"/>
      <c r="Y1345" s="147"/>
      <c r="Z1345" s="147"/>
      <c r="AA1345" s="147"/>
      <c r="AB1345" s="147"/>
      <c r="AC1345" s="147"/>
      <c r="AD1345" s="147"/>
      <c r="AE1345" s="147"/>
      <c r="AF1345" s="147"/>
      <c r="AG1345" s="147"/>
      <c r="AH1345" s="147"/>
      <c r="AI1345" s="147"/>
      <c r="AJ1345" s="147"/>
      <c r="AK1345" s="147"/>
      <c r="AL1345" s="147"/>
      <c r="AM1345" s="151"/>
      <c r="AN1345" s="147"/>
      <c r="AO1345" s="147"/>
      <c r="AP1345" s="147"/>
      <c r="AQ1345" s="147"/>
      <c r="AR1345" s="147"/>
      <c r="AS1345" s="147"/>
      <c r="AT1345" s="147"/>
      <c r="AU1345" s="147"/>
      <c r="AV1345" s="147"/>
      <c r="AW1345" s="147"/>
      <c r="AX1345" s="147"/>
      <c r="AY1345" s="147"/>
      <c r="AZ1345" s="147"/>
      <c r="BA1345" s="147"/>
      <c r="BB1345" s="147"/>
      <c r="BC1345" s="147"/>
      <c r="BD1345" s="147"/>
      <c r="BE1345" s="147"/>
      <c r="BF1345" s="147"/>
      <c r="BG1345" s="147"/>
      <c r="BH1345" s="147"/>
      <c r="BI1345" s="147"/>
      <c r="BJ1345" s="147"/>
      <c r="BK1345" s="147"/>
      <c r="BL1345" s="147"/>
      <c r="BM1345" s="147"/>
      <c r="BN1345" s="147"/>
      <c r="BO1345" s="147"/>
      <c r="BP1345" s="147"/>
      <c r="BQ1345" s="147"/>
      <c r="BR1345" s="147"/>
      <c r="BS1345" s="147"/>
      <c r="BT1345" s="147"/>
      <c r="BU1345" s="147"/>
      <c r="BV1345" s="147"/>
      <c r="BW1345" s="147"/>
      <c r="BX1345" s="147"/>
      <c r="BY1345" s="147"/>
      <c r="BZ1345" s="147"/>
      <c r="CA1345" s="147"/>
      <c r="CB1345" s="147"/>
      <c r="CC1345" s="147"/>
      <c r="CD1345" s="147"/>
      <c r="CE1345" s="147"/>
      <c r="CF1345" s="147"/>
      <c r="CG1345" s="147"/>
      <c r="CH1345" s="147"/>
      <c r="CI1345" s="147"/>
      <c r="CJ1345" s="147"/>
      <c r="CK1345" s="147"/>
    </row>
    <row r="1346" spans="1:89">
      <c r="A1346" s="157"/>
      <c r="F1346" s="3"/>
      <c r="G1346" s="3"/>
      <c r="L1346" s="157"/>
      <c r="M1346" s="157"/>
      <c r="O1346" s="147"/>
      <c r="P1346" s="147"/>
      <c r="Q1346" s="147"/>
      <c r="R1346" s="147"/>
      <c r="S1346" s="147"/>
      <c r="T1346" s="147"/>
      <c r="U1346" s="147"/>
      <c r="V1346" s="147"/>
      <c r="W1346" s="147"/>
      <c r="X1346" s="147"/>
      <c r="Y1346" s="147"/>
      <c r="Z1346" s="147"/>
      <c r="AA1346" s="147"/>
      <c r="AB1346" s="147"/>
      <c r="AC1346" s="147"/>
      <c r="AD1346" s="147"/>
      <c r="AE1346" s="147"/>
      <c r="AF1346" s="147"/>
      <c r="AG1346" s="147"/>
      <c r="AH1346" s="147"/>
      <c r="AI1346" s="147"/>
      <c r="AJ1346" s="147"/>
      <c r="AK1346" s="147"/>
      <c r="AL1346" s="147"/>
      <c r="AM1346" s="151"/>
      <c r="AN1346" s="147"/>
      <c r="AO1346" s="147"/>
      <c r="AP1346" s="147"/>
      <c r="AQ1346" s="147"/>
      <c r="AR1346" s="147"/>
      <c r="AS1346" s="147"/>
      <c r="AT1346" s="147"/>
      <c r="AU1346" s="147"/>
      <c r="AV1346" s="147"/>
      <c r="AW1346" s="147"/>
      <c r="AX1346" s="147"/>
      <c r="AY1346" s="147"/>
      <c r="AZ1346" s="147"/>
      <c r="BA1346" s="147"/>
      <c r="BB1346" s="147"/>
      <c r="BC1346" s="147"/>
      <c r="BD1346" s="147"/>
      <c r="BE1346" s="147"/>
      <c r="BF1346" s="147"/>
      <c r="BG1346" s="147"/>
      <c r="BH1346" s="147"/>
      <c r="BI1346" s="147"/>
      <c r="BJ1346" s="147"/>
      <c r="BK1346" s="147"/>
      <c r="BL1346" s="147"/>
      <c r="BM1346" s="147"/>
      <c r="BN1346" s="147"/>
      <c r="BO1346" s="147"/>
      <c r="BP1346" s="147"/>
      <c r="BQ1346" s="147"/>
      <c r="BR1346" s="147"/>
      <c r="BS1346" s="147"/>
      <c r="BT1346" s="147"/>
      <c r="BU1346" s="147"/>
      <c r="BV1346" s="147"/>
      <c r="BW1346" s="147"/>
      <c r="BX1346" s="147"/>
      <c r="BY1346" s="147"/>
      <c r="BZ1346" s="147"/>
      <c r="CA1346" s="147"/>
      <c r="CB1346" s="147"/>
      <c r="CC1346" s="147"/>
      <c r="CD1346" s="147"/>
      <c r="CE1346" s="147"/>
      <c r="CF1346" s="147"/>
      <c r="CG1346" s="147"/>
      <c r="CH1346" s="147"/>
      <c r="CI1346" s="147"/>
      <c r="CJ1346" s="147"/>
      <c r="CK1346" s="147"/>
    </row>
    <row r="1347" spans="1:89">
      <c r="A1347" s="157"/>
      <c r="F1347" s="3"/>
      <c r="G1347" s="3"/>
      <c r="L1347" s="157"/>
      <c r="M1347" s="157"/>
      <c r="O1347" s="147"/>
      <c r="P1347" s="147"/>
      <c r="Q1347" s="147"/>
      <c r="R1347" s="147"/>
      <c r="S1347" s="147"/>
      <c r="T1347" s="147"/>
      <c r="U1347" s="147"/>
      <c r="V1347" s="147"/>
      <c r="W1347" s="147"/>
      <c r="X1347" s="147"/>
      <c r="Y1347" s="147"/>
      <c r="Z1347" s="147"/>
      <c r="AA1347" s="147"/>
      <c r="AB1347" s="147"/>
      <c r="AC1347" s="147"/>
      <c r="AD1347" s="147"/>
      <c r="AE1347" s="147"/>
      <c r="AF1347" s="147"/>
      <c r="AG1347" s="147"/>
      <c r="AH1347" s="147"/>
      <c r="AI1347" s="147"/>
      <c r="AJ1347" s="147"/>
      <c r="AK1347" s="147"/>
      <c r="AL1347" s="147"/>
      <c r="AM1347" s="151"/>
      <c r="AN1347" s="147"/>
      <c r="AO1347" s="147"/>
      <c r="AP1347" s="147"/>
      <c r="AQ1347" s="147"/>
      <c r="AR1347" s="147"/>
      <c r="AS1347" s="147"/>
      <c r="AT1347" s="147"/>
      <c r="AU1347" s="147"/>
      <c r="AV1347" s="147"/>
      <c r="AW1347" s="147"/>
      <c r="AX1347" s="147"/>
      <c r="AY1347" s="147"/>
      <c r="AZ1347" s="147"/>
      <c r="BA1347" s="147"/>
      <c r="BB1347" s="147"/>
      <c r="BC1347" s="147"/>
      <c r="BD1347" s="147"/>
      <c r="BE1347" s="147"/>
      <c r="BF1347" s="147"/>
      <c r="BG1347" s="147"/>
      <c r="BH1347" s="147"/>
      <c r="BI1347" s="147"/>
      <c r="BJ1347" s="147"/>
      <c r="BK1347" s="147"/>
      <c r="BL1347" s="147"/>
      <c r="BM1347" s="147"/>
      <c r="BN1347" s="147"/>
      <c r="BO1347" s="147"/>
      <c r="BP1347" s="147"/>
      <c r="BQ1347" s="147"/>
      <c r="BR1347" s="147"/>
      <c r="BS1347" s="147"/>
      <c r="BT1347" s="147"/>
      <c r="BU1347" s="147"/>
      <c r="BV1347" s="147"/>
      <c r="BW1347" s="147"/>
      <c r="BX1347" s="147"/>
      <c r="BY1347" s="147"/>
      <c r="BZ1347" s="147"/>
      <c r="CA1347" s="147"/>
      <c r="CB1347" s="147"/>
      <c r="CC1347" s="147"/>
      <c r="CD1347" s="147"/>
      <c r="CE1347" s="147"/>
      <c r="CF1347" s="147"/>
      <c r="CG1347" s="147"/>
      <c r="CH1347" s="147"/>
      <c r="CI1347" s="147"/>
      <c r="CJ1347" s="147"/>
      <c r="CK1347" s="147"/>
    </row>
    <row r="1348" spans="1:89">
      <c r="A1348" s="157"/>
      <c r="F1348" s="3"/>
      <c r="G1348" s="3"/>
      <c r="L1348" s="157"/>
      <c r="M1348" s="157"/>
      <c r="O1348" s="147"/>
      <c r="P1348" s="147"/>
      <c r="Q1348" s="147"/>
      <c r="R1348" s="147"/>
      <c r="S1348" s="147"/>
      <c r="T1348" s="147"/>
      <c r="U1348" s="147"/>
      <c r="V1348" s="147"/>
      <c r="W1348" s="147"/>
      <c r="X1348" s="147"/>
      <c r="Y1348" s="147"/>
      <c r="Z1348" s="147"/>
      <c r="AA1348" s="147"/>
      <c r="AB1348" s="147"/>
      <c r="AC1348" s="147"/>
      <c r="AD1348" s="147"/>
      <c r="AE1348" s="147"/>
      <c r="AF1348" s="147"/>
      <c r="AG1348" s="147"/>
      <c r="AH1348" s="147"/>
      <c r="AI1348" s="147"/>
      <c r="AJ1348" s="147"/>
      <c r="AK1348" s="147"/>
      <c r="AL1348" s="147"/>
      <c r="AM1348" s="151"/>
      <c r="AN1348" s="147"/>
      <c r="AO1348" s="147"/>
      <c r="AP1348" s="147"/>
      <c r="AQ1348" s="147"/>
      <c r="AR1348" s="147"/>
      <c r="AS1348" s="147"/>
      <c r="AT1348" s="147"/>
      <c r="AU1348" s="147"/>
      <c r="AV1348" s="147"/>
      <c r="AW1348" s="147"/>
      <c r="AX1348" s="147"/>
      <c r="AY1348" s="147"/>
      <c r="AZ1348" s="147"/>
      <c r="BA1348" s="147"/>
      <c r="BB1348" s="147"/>
      <c r="BC1348" s="147"/>
      <c r="BD1348" s="147"/>
      <c r="BE1348" s="147"/>
      <c r="BF1348" s="147"/>
      <c r="BG1348" s="147"/>
      <c r="BH1348" s="147"/>
      <c r="BI1348" s="147"/>
      <c r="BJ1348" s="147"/>
      <c r="BK1348" s="147"/>
      <c r="BL1348" s="147"/>
      <c r="BM1348" s="147"/>
      <c r="BN1348" s="147"/>
      <c r="BO1348" s="147"/>
      <c r="BP1348" s="147"/>
      <c r="BQ1348" s="147"/>
      <c r="BR1348" s="147"/>
      <c r="BS1348" s="147"/>
      <c r="BT1348" s="147"/>
      <c r="BU1348" s="147"/>
      <c r="BV1348" s="147"/>
      <c r="BW1348" s="147"/>
      <c r="BX1348" s="147"/>
      <c r="BY1348" s="147"/>
      <c r="BZ1348" s="147"/>
      <c r="CA1348" s="147"/>
      <c r="CB1348" s="147"/>
      <c r="CC1348" s="147"/>
      <c r="CD1348" s="147"/>
      <c r="CE1348" s="147"/>
      <c r="CF1348" s="147"/>
      <c r="CG1348" s="147"/>
      <c r="CH1348" s="147"/>
      <c r="CI1348" s="147"/>
      <c r="CJ1348" s="147"/>
      <c r="CK1348" s="147"/>
    </row>
    <row r="1349" spans="1:89">
      <c r="A1349" s="157"/>
      <c r="F1349" s="3"/>
      <c r="G1349" s="3"/>
      <c r="L1349" s="157"/>
      <c r="M1349" s="157"/>
      <c r="O1349" s="147"/>
      <c r="P1349" s="147"/>
      <c r="Q1349" s="147"/>
      <c r="R1349" s="147"/>
      <c r="S1349" s="147"/>
      <c r="T1349" s="147"/>
      <c r="U1349" s="147"/>
      <c r="V1349" s="147"/>
      <c r="W1349" s="147"/>
      <c r="X1349" s="147"/>
      <c r="Y1349" s="147"/>
      <c r="Z1349" s="147"/>
      <c r="AA1349" s="147"/>
      <c r="AB1349" s="147"/>
      <c r="AC1349" s="147"/>
      <c r="AD1349" s="147"/>
      <c r="AE1349" s="147"/>
      <c r="AF1349" s="147"/>
      <c r="AG1349" s="147"/>
      <c r="AH1349" s="147"/>
      <c r="AI1349" s="147"/>
      <c r="AJ1349" s="147"/>
      <c r="AK1349" s="147"/>
      <c r="AL1349" s="147"/>
      <c r="AM1349" s="151"/>
      <c r="AN1349" s="147"/>
      <c r="AO1349" s="147"/>
      <c r="AP1349" s="147"/>
      <c r="AQ1349" s="147"/>
      <c r="AR1349" s="147"/>
      <c r="AS1349" s="147"/>
      <c r="AT1349" s="147"/>
      <c r="AU1349" s="147"/>
      <c r="AV1349" s="147"/>
      <c r="AW1349" s="147"/>
      <c r="AX1349" s="147"/>
      <c r="AY1349" s="147"/>
      <c r="AZ1349" s="147"/>
      <c r="BA1349" s="147"/>
      <c r="BB1349" s="147"/>
      <c r="BC1349" s="147"/>
      <c r="BD1349" s="147"/>
      <c r="BE1349" s="147"/>
      <c r="BF1349" s="147"/>
      <c r="BG1349" s="147"/>
      <c r="BH1349" s="147"/>
      <c r="BI1349" s="147"/>
      <c r="BJ1349" s="147"/>
      <c r="BK1349" s="147"/>
      <c r="BL1349" s="147"/>
      <c r="BM1349" s="147"/>
      <c r="BN1349" s="147"/>
      <c r="BO1349" s="147"/>
      <c r="BP1349" s="147"/>
      <c r="BQ1349" s="147"/>
      <c r="BR1349" s="147"/>
      <c r="BS1349" s="147"/>
      <c r="BT1349" s="147"/>
      <c r="BU1349" s="147"/>
      <c r="BV1349" s="147"/>
      <c r="BW1349" s="147"/>
      <c r="BX1349" s="147"/>
      <c r="BY1349" s="147"/>
      <c r="BZ1349" s="147"/>
      <c r="CA1349" s="147"/>
      <c r="CB1349" s="147"/>
      <c r="CC1349" s="147"/>
      <c r="CD1349" s="147"/>
      <c r="CE1349" s="147"/>
      <c r="CF1349" s="147"/>
      <c r="CG1349" s="147"/>
      <c r="CH1349" s="147"/>
      <c r="CI1349" s="147"/>
      <c r="CJ1349" s="147"/>
      <c r="CK1349" s="147"/>
    </row>
    <row r="1350" spans="1:89">
      <c r="A1350" s="157"/>
      <c r="F1350" s="3"/>
      <c r="G1350" s="3"/>
      <c r="L1350" s="157"/>
      <c r="M1350" s="157"/>
      <c r="O1350" s="147"/>
      <c r="P1350" s="147"/>
      <c r="Q1350" s="147"/>
      <c r="R1350" s="147"/>
      <c r="S1350" s="147"/>
      <c r="T1350" s="147"/>
      <c r="U1350" s="147"/>
      <c r="V1350" s="147"/>
      <c r="W1350" s="147"/>
      <c r="X1350" s="147"/>
      <c r="Y1350" s="147"/>
      <c r="Z1350" s="147"/>
      <c r="AA1350" s="147"/>
      <c r="AB1350" s="147"/>
      <c r="AC1350" s="147"/>
      <c r="AD1350" s="147"/>
      <c r="AE1350" s="147"/>
      <c r="AF1350" s="147"/>
      <c r="AG1350" s="147"/>
      <c r="AH1350" s="147"/>
      <c r="AI1350" s="147"/>
      <c r="AJ1350" s="147"/>
      <c r="AK1350" s="147"/>
      <c r="AL1350" s="147"/>
      <c r="AM1350" s="151"/>
      <c r="AN1350" s="147"/>
      <c r="AO1350" s="147"/>
      <c r="AP1350" s="147"/>
      <c r="AQ1350" s="147"/>
      <c r="AR1350" s="147"/>
      <c r="AS1350" s="147"/>
      <c r="AT1350" s="147"/>
      <c r="AU1350" s="147"/>
      <c r="AV1350" s="147"/>
      <c r="AW1350" s="147"/>
      <c r="AX1350" s="147"/>
      <c r="AY1350" s="147"/>
      <c r="AZ1350" s="147"/>
      <c r="BA1350" s="147"/>
      <c r="BB1350" s="147"/>
      <c r="BC1350" s="147"/>
      <c r="BD1350" s="147"/>
      <c r="BE1350" s="147"/>
      <c r="BF1350" s="147"/>
      <c r="BG1350" s="147"/>
      <c r="BH1350" s="147"/>
      <c r="BI1350" s="147"/>
      <c r="BJ1350" s="147"/>
      <c r="BK1350" s="147"/>
      <c r="BL1350" s="147"/>
      <c r="BM1350" s="147"/>
      <c r="BN1350" s="147"/>
      <c r="BO1350" s="147"/>
      <c r="BP1350" s="147"/>
      <c r="BQ1350" s="147"/>
      <c r="BR1350" s="147"/>
      <c r="BS1350" s="147"/>
      <c r="BT1350" s="147"/>
      <c r="BU1350" s="147"/>
      <c r="BV1350" s="147"/>
      <c r="BW1350" s="147"/>
      <c r="BX1350" s="147"/>
      <c r="BY1350" s="147"/>
      <c r="BZ1350" s="147"/>
      <c r="CA1350" s="147"/>
      <c r="CB1350" s="147"/>
      <c r="CC1350" s="147"/>
      <c r="CD1350" s="147"/>
      <c r="CE1350" s="147"/>
      <c r="CF1350" s="147"/>
      <c r="CG1350" s="147"/>
      <c r="CH1350" s="147"/>
      <c r="CI1350" s="147"/>
      <c r="CJ1350" s="147"/>
      <c r="CK1350" s="147"/>
    </row>
    <row r="1351" spans="1:89">
      <c r="A1351" s="157"/>
      <c r="F1351" s="3"/>
      <c r="G1351" s="3"/>
      <c r="L1351" s="157"/>
      <c r="M1351" s="157"/>
      <c r="O1351" s="147"/>
      <c r="P1351" s="147"/>
      <c r="Q1351" s="147"/>
      <c r="R1351" s="147"/>
      <c r="S1351" s="147"/>
      <c r="T1351" s="147"/>
      <c r="U1351" s="147"/>
      <c r="V1351" s="147"/>
      <c r="W1351" s="147"/>
      <c r="X1351" s="147"/>
      <c r="Y1351" s="147"/>
      <c r="Z1351" s="147"/>
      <c r="AA1351" s="147"/>
      <c r="AB1351" s="147"/>
      <c r="AC1351" s="147"/>
      <c r="AD1351" s="147"/>
      <c r="AE1351" s="147"/>
      <c r="AF1351" s="147"/>
      <c r="AG1351" s="147"/>
      <c r="AH1351" s="147"/>
      <c r="AI1351" s="147"/>
      <c r="AJ1351" s="147"/>
      <c r="AK1351" s="147"/>
      <c r="AL1351" s="147"/>
      <c r="AM1351" s="151"/>
      <c r="AN1351" s="147"/>
      <c r="AO1351" s="147"/>
      <c r="AP1351" s="147"/>
      <c r="AQ1351" s="147"/>
      <c r="AR1351" s="147"/>
      <c r="AS1351" s="147"/>
      <c r="AT1351" s="147"/>
      <c r="AU1351" s="147"/>
      <c r="AV1351" s="147"/>
      <c r="AW1351" s="147"/>
      <c r="AX1351" s="147"/>
      <c r="AY1351" s="147"/>
      <c r="AZ1351" s="147"/>
      <c r="BA1351" s="147"/>
      <c r="BB1351" s="147"/>
      <c r="BC1351" s="147"/>
      <c r="BD1351" s="147"/>
      <c r="BE1351" s="147"/>
      <c r="BF1351" s="147"/>
      <c r="BG1351" s="147"/>
      <c r="BH1351" s="147"/>
      <c r="BI1351" s="147"/>
      <c r="BJ1351" s="147"/>
      <c r="BK1351" s="147"/>
      <c r="BL1351" s="147"/>
      <c r="BM1351" s="147"/>
      <c r="BN1351" s="147"/>
      <c r="BO1351" s="147"/>
      <c r="BP1351" s="147"/>
      <c r="BQ1351" s="147"/>
      <c r="BR1351" s="147"/>
      <c r="BS1351" s="147"/>
      <c r="BT1351" s="147"/>
      <c r="BU1351" s="147"/>
      <c r="BV1351" s="147"/>
      <c r="BW1351" s="147"/>
      <c r="BX1351" s="147"/>
      <c r="BY1351" s="147"/>
      <c r="BZ1351" s="147"/>
      <c r="CA1351" s="147"/>
      <c r="CB1351" s="147"/>
      <c r="CC1351" s="147"/>
      <c r="CD1351" s="147"/>
      <c r="CE1351" s="147"/>
      <c r="CF1351" s="147"/>
      <c r="CG1351" s="147"/>
      <c r="CH1351" s="147"/>
      <c r="CI1351" s="147"/>
      <c r="CJ1351" s="147"/>
      <c r="CK1351" s="147"/>
    </row>
    <row r="1352" spans="1:89">
      <c r="A1352" s="157"/>
      <c r="F1352" s="3"/>
      <c r="G1352" s="3"/>
      <c r="L1352" s="157"/>
      <c r="M1352" s="157"/>
      <c r="O1352" s="147"/>
      <c r="P1352" s="147"/>
      <c r="Q1352" s="147"/>
      <c r="R1352" s="147"/>
      <c r="S1352" s="147"/>
      <c r="T1352" s="147"/>
      <c r="U1352" s="147"/>
      <c r="V1352" s="147"/>
      <c r="W1352" s="147"/>
      <c r="X1352" s="147"/>
      <c r="Y1352" s="147"/>
      <c r="Z1352" s="147"/>
      <c r="AA1352" s="147"/>
      <c r="AB1352" s="147"/>
      <c r="AC1352" s="147"/>
      <c r="AD1352" s="147"/>
      <c r="AE1352" s="147"/>
      <c r="AF1352" s="147"/>
      <c r="AG1352" s="147"/>
      <c r="AH1352" s="147"/>
      <c r="AI1352" s="147"/>
      <c r="AJ1352" s="147"/>
      <c r="AK1352" s="147"/>
      <c r="AL1352" s="147"/>
      <c r="AM1352" s="151"/>
      <c r="AN1352" s="147"/>
      <c r="AO1352" s="147"/>
      <c r="AP1352" s="147"/>
      <c r="AQ1352" s="147"/>
      <c r="AR1352" s="147"/>
      <c r="AS1352" s="147"/>
      <c r="AT1352" s="147"/>
      <c r="AU1352" s="147"/>
      <c r="AV1352" s="147"/>
      <c r="AW1352" s="147"/>
      <c r="AX1352" s="147"/>
      <c r="AY1352" s="147"/>
      <c r="AZ1352" s="147"/>
      <c r="BA1352" s="147"/>
      <c r="BB1352" s="147"/>
      <c r="BC1352" s="147"/>
      <c r="BD1352" s="147"/>
      <c r="BE1352" s="147"/>
      <c r="BF1352" s="147"/>
      <c r="BG1352" s="147"/>
      <c r="BH1352" s="147"/>
      <c r="BI1352" s="147"/>
      <c r="BJ1352" s="147"/>
      <c r="BK1352" s="147"/>
      <c r="BL1352" s="147"/>
      <c r="BM1352" s="147"/>
      <c r="BN1352" s="147"/>
      <c r="BO1352" s="147"/>
      <c r="BP1352" s="147"/>
      <c r="BQ1352" s="147"/>
      <c r="BR1352" s="147"/>
      <c r="BS1352" s="147"/>
      <c r="BT1352" s="147"/>
      <c r="BU1352" s="147"/>
      <c r="BV1352" s="147"/>
      <c r="BW1352" s="147"/>
      <c r="BX1352" s="147"/>
      <c r="BY1352" s="147"/>
      <c r="BZ1352" s="147"/>
      <c r="CA1352" s="147"/>
      <c r="CB1352" s="147"/>
      <c r="CC1352" s="147"/>
      <c r="CD1352" s="147"/>
      <c r="CE1352" s="147"/>
      <c r="CF1352" s="147"/>
      <c r="CG1352" s="147"/>
      <c r="CH1352" s="147"/>
      <c r="CI1352" s="147"/>
      <c r="CJ1352" s="147"/>
      <c r="CK1352" s="147"/>
    </row>
    <row r="1353" spans="1:89">
      <c r="A1353" s="157"/>
      <c r="F1353" s="3"/>
      <c r="G1353" s="3"/>
      <c r="L1353" s="157"/>
      <c r="M1353" s="157"/>
      <c r="O1353" s="147"/>
      <c r="P1353" s="147"/>
      <c r="Q1353" s="147"/>
      <c r="R1353" s="147"/>
      <c r="S1353" s="147"/>
      <c r="T1353" s="147"/>
      <c r="U1353" s="147"/>
      <c r="V1353" s="147"/>
      <c r="W1353" s="147"/>
      <c r="X1353" s="147"/>
      <c r="Y1353" s="147"/>
      <c r="Z1353" s="147"/>
      <c r="AA1353" s="147"/>
      <c r="AB1353" s="147"/>
      <c r="AC1353" s="147"/>
      <c r="AD1353" s="147"/>
      <c r="AE1353" s="147"/>
      <c r="AF1353" s="147"/>
      <c r="AG1353" s="147"/>
      <c r="AH1353" s="147"/>
      <c r="AI1353" s="147"/>
      <c r="AJ1353" s="147"/>
      <c r="AK1353" s="147"/>
      <c r="AL1353" s="147"/>
      <c r="AM1353" s="151"/>
      <c r="AN1353" s="147"/>
      <c r="AO1353" s="147"/>
      <c r="AP1353" s="147"/>
      <c r="AQ1353" s="147"/>
      <c r="AR1353" s="147"/>
      <c r="AS1353" s="147"/>
      <c r="AT1353" s="147"/>
      <c r="AU1353" s="147"/>
      <c r="AV1353" s="147"/>
      <c r="AW1353" s="147"/>
      <c r="AX1353" s="147"/>
      <c r="AY1353" s="147"/>
      <c r="AZ1353" s="147"/>
      <c r="BA1353" s="147"/>
      <c r="BB1353" s="147"/>
      <c r="BC1353" s="147"/>
      <c r="BD1353" s="147"/>
      <c r="BE1353" s="147"/>
      <c r="BF1353" s="147"/>
      <c r="BG1353" s="147"/>
      <c r="BH1353" s="147"/>
      <c r="BI1353" s="147"/>
      <c r="BJ1353" s="147"/>
      <c r="BK1353" s="147"/>
      <c r="BL1353" s="147"/>
      <c r="BM1353" s="147"/>
      <c r="BN1353" s="147"/>
      <c r="BO1353" s="147"/>
      <c r="BP1353" s="147"/>
      <c r="BQ1353" s="147"/>
      <c r="BR1353" s="147"/>
      <c r="BS1353" s="147"/>
      <c r="BT1353" s="147"/>
      <c r="BU1353" s="147"/>
      <c r="BV1353" s="147"/>
      <c r="BW1353" s="147"/>
      <c r="BX1353" s="147"/>
      <c r="BY1353" s="147"/>
      <c r="BZ1353" s="147"/>
      <c r="CA1353" s="147"/>
      <c r="CB1353" s="147"/>
      <c r="CC1353" s="147"/>
      <c r="CD1353" s="147"/>
      <c r="CE1353" s="147"/>
      <c r="CF1353" s="147"/>
      <c r="CG1353" s="147"/>
      <c r="CH1353" s="147"/>
      <c r="CI1353" s="147"/>
      <c r="CJ1353" s="147"/>
      <c r="CK1353" s="147"/>
    </row>
    <row r="1354" spans="1:89">
      <c r="A1354" s="157"/>
      <c r="F1354" s="3"/>
      <c r="G1354" s="3"/>
      <c r="L1354" s="157"/>
      <c r="M1354" s="157"/>
      <c r="O1354" s="147"/>
      <c r="P1354" s="147"/>
      <c r="Q1354" s="147"/>
      <c r="R1354" s="147"/>
      <c r="S1354" s="147"/>
      <c r="T1354" s="147"/>
      <c r="U1354" s="147"/>
      <c r="V1354" s="147"/>
      <c r="W1354" s="147"/>
      <c r="X1354" s="147"/>
      <c r="Y1354" s="147"/>
      <c r="Z1354" s="147"/>
      <c r="AA1354" s="147"/>
      <c r="AB1354" s="147"/>
      <c r="AC1354" s="147"/>
      <c r="AD1354" s="147"/>
      <c r="AE1354" s="147"/>
      <c r="AF1354" s="147"/>
      <c r="AG1354" s="147"/>
      <c r="AH1354" s="147"/>
      <c r="AI1354" s="147"/>
      <c r="AJ1354" s="147"/>
      <c r="AK1354" s="147"/>
      <c r="AL1354" s="147"/>
      <c r="AM1354" s="151"/>
      <c r="AN1354" s="147"/>
      <c r="AO1354" s="147"/>
      <c r="AP1354" s="147"/>
      <c r="AQ1354" s="147"/>
      <c r="AR1354" s="147"/>
      <c r="AS1354" s="147"/>
      <c r="AT1354" s="147"/>
      <c r="AU1354" s="147"/>
      <c r="AV1354" s="147"/>
      <c r="AW1354" s="147"/>
      <c r="AX1354" s="147"/>
      <c r="AY1354" s="147"/>
      <c r="AZ1354" s="147"/>
      <c r="BA1354" s="147"/>
      <c r="BB1354" s="147"/>
      <c r="BC1354" s="147"/>
      <c r="BD1354" s="147"/>
      <c r="BE1354" s="147"/>
      <c r="BF1354" s="147"/>
      <c r="BG1354" s="147"/>
      <c r="BH1354" s="147"/>
      <c r="BI1354" s="147"/>
      <c r="BJ1354" s="147"/>
      <c r="BK1354" s="147"/>
      <c r="BL1354" s="147"/>
      <c r="BM1354" s="147"/>
      <c r="BN1354" s="147"/>
      <c r="BO1354" s="147"/>
      <c r="BP1354" s="147"/>
      <c r="BQ1354" s="147"/>
      <c r="BR1354" s="147"/>
      <c r="BS1354" s="147"/>
      <c r="BT1354" s="147"/>
      <c r="BU1354" s="147"/>
      <c r="BV1354" s="147"/>
      <c r="BW1354" s="147"/>
      <c r="BX1354" s="147"/>
      <c r="BY1354" s="147"/>
      <c r="BZ1354" s="147"/>
      <c r="CA1354" s="147"/>
      <c r="CB1354" s="147"/>
      <c r="CC1354" s="147"/>
      <c r="CD1354" s="147"/>
      <c r="CE1354" s="147"/>
      <c r="CF1354" s="147"/>
      <c r="CG1354" s="147"/>
      <c r="CH1354" s="147"/>
      <c r="CI1354" s="147"/>
      <c r="CJ1354" s="147"/>
      <c r="CK1354" s="147"/>
    </row>
    <row r="1355" spans="1:89">
      <c r="A1355" s="157"/>
      <c r="F1355" s="3"/>
      <c r="G1355" s="3"/>
      <c r="L1355" s="157"/>
      <c r="M1355" s="157"/>
      <c r="O1355" s="147"/>
      <c r="P1355" s="147"/>
      <c r="Q1355" s="147"/>
      <c r="R1355" s="147"/>
      <c r="S1355" s="147"/>
      <c r="T1355" s="147"/>
      <c r="U1355" s="147"/>
      <c r="V1355" s="147"/>
      <c r="W1355" s="147"/>
      <c r="X1355" s="147"/>
      <c r="Y1355" s="147"/>
      <c r="Z1355" s="147"/>
      <c r="AA1355" s="147"/>
      <c r="AB1355" s="147"/>
      <c r="AC1355" s="147"/>
      <c r="AD1355" s="147"/>
      <c r="AE1355" s="147"/>
      <c r="AF1355" s="147"/>
      <c r="AG1355" s="147"/>
      <c r="AH1355" s="147"/>
      <c r="AI1355" s="147"/>
      <c r="AJ1355" s="147"/>
      <c r="AK1355" s="147"/>
      <c r="AL1355" s="147"/>
      <c r="AM1355" s="151"/>
      <c r="AN1355" s="147"/>
      <c r="AO1355" s="147"/>
      <c r="AP1355" s="147"/>
      <c r="AQ1355" s="147"/>
      <c r="AR1355" s="147"/>
      <c r="AS1355" s="147"/>
      <c r="AT1355" s="147"/>
      <c r="AU1355" s="147"/>
      <c r="AV1355" s="147"/>
      <c r="AW1355" s="147"/>
      <c r="AX1355" s="147"/>
      <c r="AY1355" s="147"/>
      <c r="AZ1355" s="147"/>
      <c r="BA1355" s="147"/>
      <c r="BB1355" s="147"/>
      <c r="BC1355" s="147"/>
      <c r="BD1355" s="147"/>
      <c r="BE1355" s="147"/>
      <c r="BF1355" s="147"/>
      <c r="BG1355" s="147"/>
      <c r="BH1355" s="147"/>
      <c r="BI1355" s="147"/>
      <c r="BJ1355" s="147"/>
      <c r="BK1355" s="147"/>
      <c r="BL1355" s="147"/>
      <c r="BM1355" s="147"/>
      <c r="BN1355" s="147"/>
      <c r="BO1355" s="147"/>
      <c r="BP1355" s="147"/>
      <c r="BQ1355" s="147"/>
      <c r="BR1355" s="147"/>
      <c r="BS1355" s="147"/>
      <c r="BT1355" s="147"/>
      <c r="BU1355" s="147"/>
      <c r="BV1355" s="147"/>
      <c r="BW1355" s="147"/>
      <c r="BX1355" s="147"/>
      <c r="BY1355" s="147"/>
      <c r="BZ1355" s="147"/>
      <c r="CA1355" s="147"/>
      <c r="CB1355" s="147"/>
      <c r="CC1355" s="147"/>
      <c r="CD1355" s="147"/>
      <c r="CE1355" s="147"/>
      <c r="CF1355" s="147"/>
      <c r="CG1355" s="147"/>
      <c r="CH1355" s="147"/>
      <c r="CI1355" s="147"/>
      <c r="CJ1355" s="147"/>
      <c r="CK1355" s="147"/>
    </row>
    <row r="1356" spans="1:89">
      <c r="A1356" s="157"/>
      <c r="F1356" s="3"/>
      <c r="G1356" s="3"/>
      <c r="L1356" s="157"/>
      <c r="M1356" s="157"/>
      <c r="O1356" s="147"/>
      <c r="P1356" s="147"/>
      <c r="Q1356" s="147"/>
      <c r="R1356" s="147"/>
      <c r="S1356" s="147"/>
      <c r="T1356" s="147"/>
      <c r="U1356" s="147"/>
      <c r="V1356" s="147"/>
      <c r="W1356" s="147"/>
      <c r="X1356" s="147"/>
      <c r="Y1356" s="147"/>
      <c r="Z1356" s="147"/>
      <c r="AA1356" s="147"/>
      <c r="AB1356" s="147"/>
      <c r="AC1356" s="147"/>
      <c r="AD1356" s="147"/>
      <c r="AE1356" s="147"/>
      <c r="AF1356" s="147"/>
      <c r="AG1356" s="147"/>
      <c r="AH1356" s="147"/>
      <c r="AI1356" s="147"/>
      <c r="AJ1356" s="147"/>
      <c r="AK1356" s="147"/>
      <c r="AL1356" s="147"/>
      <c r="AM1356" s="151"/>
      <c r="AN1356" s="147"/>
      <c r="AO1356" s="147"/>
      <c r="AP1356" s="147"/>
      <c r="AQ1356" s="147"/>
      <c r="AR1356" s="147"/>
      <c r="AS1356" s="147"/>
      <c r="AT1356" s="147"/>
      <c r="AU1356" s="147"/>
      <c r="AV1356" s="147"/>
      <c r="AW1356" s="147"/>
      <c r="AX1356" s="147"/>
      <c r="AY1356" s="147"/>
      <c r="AZ1356" s="147"/>
      <c r="BA1356" s="147"/>
      <c r="BB1356" s="147"/>
      <c r="BC1356" s="147"/>
      <c r="BD1356" s="147"/>
      <c r="BE1356" s="147"/>
      <c r="BF1356" s="147"/>
      <c r="BG1356" s="147"/>
      <c r="BH1356" s="147"/>
      <c r="BI1356" s="147"/>
      <c r="BJ1356" s="147"/>
      <c r="BK1356" s="147"/>
      <c r="BL1356" s="147"/>
      <c r="BM1356" s="147"/>
      <c r="BN1356" s="147"/>
      <c r="BO1356" s="147"/>
      <c r="BP1356" s="147"/>
      <c r="BQ1356" s="147"/>
      <c r="BR1356" s="147"/>
      <c r="BS1356" s="147"/>
      <c r="BT1356" s="147"/>
      <c r="BU1356" s="147"/>
      <c r="BV1356" s="147"/>
      <c r="BW1356" s="147"/>
      <c r="BX1356" s="147"/>
      <c r="BY1356" s="147"/>
      <c r="BZ1356" s="147"/>
      <c r="CA1356" s="147"/>
      <c r="CB1356" s="147"/>
      <c r="CC1356" s="147"/>
      <c r="CD1356" s="147"/>
      <c r="CE1356" s="147"/>
      <c r="CF1356" s="147"/>
      <c r="CG1356" s="147"/>
      <c r="CH1356" s="147"/>
      <c r="CI1356" s="147"/>
      <c r="CJ1356" s="147"/>
      <c r="CK1356" s="147"/>
    </row>
    <row r="1357" spans="1:89">
      <c r="A1357" s="157"/>
      <c r="F1357" s="3"/>
      <c r="G1357" s="3"/>
      <c r="L1357" s="157"/>
      <c r="M1357" s="157"/>
      <c r="O1357" s="147"/>
      <c r="P1357" s="147"/>
      <c r="Q1357" s="147"/>
      <c r="R1357" s="147"/>
      <c r="S1357" s="147"/>
      <c r="T1357" s="147"/>
      <c r="U1357" s="147"/>
      <c r="V1357" s="147"/>
      <c r="W1357" s="147"/>
      <c r="X1357" s="147"/>
      <c r="Y1357" s="147"/>
      <c r="Z1357" s="147"/>
      <c r="AA1357" s="147"/>
      <c r="AB1357" s="147"/>
      <c r="AC1357" s="147"/>
      <c r="AD1357" s="147"/>
      <c r="AE1357" s="147"/>
      <c r="AF1357" s="147"/>
      <c r="AG1357" s="147"/>
      <c r="AH1357" s="147"/>
      <c r="AI1357" s="147"/>
      <c r="AJ1357" s="147"/>
      <c r="AK1357" s="147"/>
      <c r="AL1357" s="147"/>
      <c r="AM1357" s="151"/>
      <c r="AN1357" s="147"/>
      <c r="AO1357" s="147"/>
      <c r="AP1357" s="147"/>
      <c r="AQ1357" s="147"/>
      <c r="AR1357" s="147"/>
      <c r="AS1357" s="147"/>
      <c r="AT1357" s="147"/>
      <c r="AU1357" s="147"/>
      <c r="AV1357" s="147"/>
      <c r="AW1357" s="147"/>
      <c r="AX1357" s="147"/>
      <c r="AY1357" s="147"/>
      <c r="AZ1357" s="147"/>
      <c r="BA1357" s="147"/>
      <c r="BB1357" s="147"/>
      <c r="BC1357" s="147"/>
      <c r="BD1357" s="147"/>
      <c r="BE1357" s="147"/>
      <c r="BF1357" s="147"/>
      <c r="BG1357" s="147"/>
      <c r="BH1357" s="147"/>
      <c r="BI1357" s="147"/>
      <c r="BJ1357" s="147"/>
      <c r="BK1357" s="147"/>
      <c r="BL1357" s="147"/>
      <c r="BM1357" s="147"/>
      <c r="BN1357" s="147"/>
      <c r="BO1357" s="147"/>
      <c r="BP1357" s="147"/>
      <c r="BQ1357" s="147"/>
      <c r="BR1357" s="147"/>
      <c r="BS1357" s="147"/>
      <c r="BT1357" s="147"/>
      <c r="BU1357" s="147"/>
      <c r="BV1357" s="147"/>
      <c r="BW1357" s="147"/>
      <c r="BX1357" s="147"/>
      <c r="BY1357" s="147"/>
      <c r="BZ1357" s="147"/>
      <c r="CA1357" s="147"/>
      <c r="CB1357" s="147"/>
      <c r="CC1357" s="147"/>
      <c r="CD1357" s="147"/>
      <c r="CE1357" s="147"/>
      <c r="CF1357" s="147"/>
      <c r="CG1357" s="147"/>
      <c r="CH1357" s="147"/>
      <c r="CI1357" s="147"/>
      <c r="CJ1357" s="147"/>
      <c r="CK1357" s="147"/>
    </row>
    <row r="1358" spans="1:89">
      <c r="A1358" s="157"/>
      <c r="F1358" s="3"/>
      <c r="G1358" s="3"/>
      <c r="L1358" s="157"/>
      <c r="M1358" s="157"/>
      <c r="O1358" s="147"/>
      <c r="P1358" s="147"/>
      <c r="Q1358" s="147"/>
      <c r="R1358" s="147"/>
      <c r="S1358" s="147"/>
      <c r="T1358" s="147"/>
      <c r="U1358" s="147"/>
      <c r="V1358" s="147"/>
      <c r="W1358" s="147"/>
      <c r="X1358" s="147"/>
      <c r="Y1358" s="147"/>
      <c r="Z1358" s="147"/>
      <c r="AA1358" s="147"/>
      <c r="AB1358" s="147"/>
      <c r="AC1358" s="147"/>
      <c r="AD1358" s="147"/>
      <c r="AE1358" s="147"/>
      <c r="AF1358" s="147"/>
      <c r="AG1358" s="147"/>
      <c r="AH1358" s="147"/>
      <c r="AI1358" s="147"/>
      <c r="AJ1358" s="147"/>
      <c r="AK1358" s="147"/>
      <c r="AL1358" s="147"/>
      <c r="AM1358" s="151"/>
      <c r="AN1358" s="147"/>
      <c r="AO1358" s="147"/>
      <c r="AP1358" s="147"/>
      <c r="AQ1358" s="147"/>
      <c r="AR1358" s="147"/>
      <c r="AS1358" s="147"/>
      <c r="AT1358" s="147"/>
      <c r="AU1358" s="147"/>
      <c r="AV1358" s="147"/>
      <c r="AW1358" s="147"/>
      <c r="AX1358" s="147"/>
      <c r="AY1358" s="147"/>
      <c r="AZ1358" s="147"/>
      <c r="BA1358" s="147"/>
      <c r="BB1358" s="147"/>
      <c r="BC1358" s="147"/>
      <c r="BD1358" s="147"/>
      <c r="BE1358" s="147"/>
      <c r="BF1358" s="147"/>
      <c r="BG1358" s="147"/>
      <c r="BH1358" s="147"/>
      <c r="BI1358" s="147"/>
      <c r="BJ1358" s="147"/>
      <c r="BK1358" s="147"/>
      <c r="BL1358" s="147"/>
      <c r="BM1358" s="147"/>
      <c r="BN1358" s="147"/>
      <c r="BO1358" s="147"/>
      <c r="BP1358" s="147"/>
      <c r="BQ1358" s="147"/>
      <c r="BR1358" s="147"/>
      <c r="BS1358" s="147"/>
      <c r="BT1358" s="147"/>
      <c r="BU1358" s="147"/>
      <c r="BV1358" s="147"/>
      <c r="BW1358" s="147"/>
      <c r="BX1358" s="147"/>
      <c r="BY1358" s="147"/>
      <c r="BZ1358" s="147"/>
      <c r="CA1358" s="147"/>
      <c r="CB1358" s="147"/>
      <c r="CC1358" s="147"/>
      <c r="CD1358" s="147"/>
      <c r="CE1358" s="147"/>
      <c r="CF1358" s="147"/>
      <c r="CG1358" s="147"/>
      <c r="CH1358" s="147"/>
      <c r="CI1358" s="147"/>
      <c r="CJ1358" s="147"/>
      <c r="CK1358" s="147"/>
    </row>
    <row r="1359" spans="1:89">
      <c r="A1359" s="157"/>
      <c r="F1359" s="3"/>
      <c r="G1359" s="3"/>
      <c r="L1359" s="157"/>
      <c r="M1359" s="157"/>
      <c r="O1359" s="147"/>
      <c r="P1359" s="147"/>
      <c r="Q1359" s="147"/>
      <c r="R1359" s="147"/>
      <c r="S1359" s="147"/>
      <c r="T1359" s="147"/>
      <c r="U1359" s="147"/>
      <c r="V1359" s="147"/>
      <c r="W1359" s="147"/>
      <c r="X1359" s="147"/>
      <c r="Y1359" s="147"/>
      <c r="Z1359" s="147"/>
      <c r="AA1359" s="147"/>
      <c r="AB1359" s="147"/>
      <c r="AC1359" s="147"/>
      <c r="AD1359" s="147"/>
      <c r="AE1359" s="147"/>
      <c r="AF1359" s="147"/>
      <c r="AG1359" s="147"/>
      <c r="AH1359" s="147"/>
      <c r="AI1359" s="147"/>
      <c r="AJ1359" s="147"/>
      <c r="AK1359" s="147"/>
      <c r="AL1359" s="147"/>
      <c r="AM1359" s="151"/>
      <c r="AN1359" s="147"/>
      <c r="AO1359" s="147"/>
      <c r="AP1359" s="147"/>
      <c r="AQ1359" s="147"/>
      <c r="AR1359" s="147"/>
      <c r="AS1359" s="147"/>
      <c r="AT1359" s="147"/>
      <c r="AU1359" s="147"/>
      <c r="AV1359" s="147"/>
      <c r="AW1359" s="147"/>
      <c r="AX1359" s="147"/>
      <c r="AY1359" s="147"/>
      <c r="AZ1359" s="147"/>
      <c r="BA1359" s="147"/>
      <c r="BB1359" s="147"/>
      <c r="BC1359" s="147"/>
      <c r="BD1359" s="147"/>
      <c r="BE1359" s="147"/>
      <c r="BF1359" s="147"/>
      <c r="BG1359" s="147"/>
      <c r="BH1359" s="147"/>
      <c r="BI1359" s="147"/>
      <c r="BJ1359" s="147"/>
      <c r="BK1359" s="147"/>
      <c r="BL1359" s="147"/>
      <c r="BM1359" s="147"/>
      <c r="BN1359" s="147"/>
      <c r="BO1359" s="147"/>
      <c r="BP1359" s="147"/>
      <c r="BQ1359" s="147"/>
      <c r="BR1359" s="147"/>
      <c r="BS1359" s="147"/>
      <c r="BT1359" s="147"/>
      <c r="BU1359" s="147"/>
      <c r="BV1359" s="147"/>
      <c r="BW1359" s="147"/>
      <c r="BX1359" s="147"/>
      <c r="BY1359" s="147"/>
      <c r="BZ1359" s="147"/>
      <c r="CA1359" s="147"/>
      <c r="CB1359" s="147"/>
      <c r="CC1359" s="147"/>
      <c r="CD1359" s="147"/>
      <c r="CE1359" s="147"/>
      <c r="CF1359" s="147"/>
      <c r="CG1359" s="147"/>
      <c r="CH1359" s="147"/>
      <c r="CI1359" s="147"/>
      <c r="CJ1359" s="147"/>
      <c r="CK1359" s="147"/>
    </row>
    <row r="1360" spans="1:89">
      <c r="A1360" s="157"/>
      <c r="F1360" s="3"/>
      <c r="G1360" s="3"/>
      <c r="L1360" s="157"/>
      <c r="M1360" s="157"/>
      <c r="O1360" s="147"/>
      <c r="P1360" s="147"/>
      <c r="Q1360" s="147"/>
      <c r="R1360" s="147"/>
      <c r="S1360" s="147"/>
      <c r="T1360" s="147"/>
      <c r="U1360" s="147"/>
      <c r="V1360" s="147"/>
      <c r="W1360" s="147"/>
      <c r="X1360" s="147"/>
      <c r="Y1360" s="147"/>
      <c r="Z1360" s="147"/>
      <c r="AA1360" s="147"/>
      <c r="AB1360" s="147"/>
      <c r="AC1360" s="147"/>
      <c r="AD1360" s="147"/>
      <c r="AE1360" s="147"/>
      <c r="AF1360" s="147"/>
      <c r="AG1360" s="147"/>
      <c r="AH1360" s="147"/>
      <c r="AI1360" s="147"/>
      <c r="AJ1360" s="147"/>
      <c r="AK1360" s="147"/>
      <c r="AL1360" s="147"/>
      <c r="AM1360" s="151"/>
      <c r="AN1360" s="147"/>
      <c r="AO1360" s="147"/>
      <c r="AP1360" s="147"/>
      <c r="AQ1360" s="147"/>
      <c r="AR1360" s="147"/>
      <c r="AS1360" s="147"/>
      <c r="AT1360" s="147"/>
      <c r="AU1360" s="147"/>
      <c r="AV1360" s="147"/>
      <c r="AW1360" s="147"/>
      <c r="AX1360" s="147"/>
      <c r="AY1360" s="147"/>
      <c r="AZ1360" s="147"/>
      <c r="BA1360" s="147"/>
      <c r="BB1360" s="147"/>
      <c r="BC1360" s="147"/>
      <c r="BD1360" s="147"/>
      <c r="BE1360" s="147"/>
      <c r="BF1360" s="147"/>
      <c r="BG1360" s="147"/>
      <c r="BH1360" s="147"/>
      <c r="BI1360" s="147"/>
      <c r="BJ1360" s="147"/>
      <c r="BK1360" s="147"/>
      <c r="BL1360" s="147"/>
      <c r="BM1360" s="147"/>
      <c r="BN1360" s="147"/>
      <c r="BO1360" s="147"/>
      <c r="BP1360" s="147"/>
      <c r="BQ1360" s="147"/>
      <c r="BR1360" s="147"/>
      <c r="BS1360" s="147"/>
      <c r="BT1360" s="147"/>
      <c r="BU1360" s="147"/>
      <c r="BV1360" s="147"/>
      <c r="BW1360" s="147"/>
      <c r="BX1360" s="147"/>
      <c r="BY1360" s="147"/>
      <c r="BZ1360" s="147"/>
      <c r="CA1360" s="147"/>
      <c r="CB1360" s="147"/>
      <c r="CC1360" s="147"/>
      <c r="CD1360" s="147"/>
      <c r="CE1360" s="147"/>
      <c r="CF1360" s="147"/>
      <c r="CG1360" s="147"/>
      <c r="CH1360" s="147"/>
      <c r="CI1360" s="147"/>
      <c r="CJ1360" s="147"/>
      <c r="CK1360" s="147"/>
    </row>
    <row r="1361" spans="1:89">
      <c r="A1361" s="157"/>
      <c r="F1361" s="3"/>
      <c r="G1361" s="3"/>
      <c r="L1361" s="157"/>
      <c r="M1361" s="157"/>
      <c r="O1361" s="147"/>
      <c r="P1361" s="147"/>
      <c r="Q1361" s="147"/>
      <c r="R1361" s="147"/>
      <c r="S1361" s="147"/>
      <c r="T1361" s="147"/>
      <c r="U1361" s="147"/>
      <c r="V1361" s="147"/>
      <c r="W1361" s="147"/>
      <c r="X1361" s="147"/>
      <c r="Y1361" s="147"/>
      <c r="Z1361" s="147"/>
      <c r="AA1361" s="147"/>
      <c r="AB1361" s="147"/>
      <c r="AC1361" s="147"/>
      <c r="AD1361" s="147"/>
      <c r="AE1361" s="147"/>
      <c r="AF1361" s="147"/>
      <c r="AG1361" s="147"/>
      <c r="AH1361" s="147"/>
      <c r="AI1361" s="147"/>
      <c r="AJ1361" s="147"/>
      <c r="AK1361" s="147"/>
      <c r="AL1361" s="147"/>
      <c r="AM1361" s="151"/>
      <c r="AN1361" s="147"/>
      <c r="AO1361" s="147"/>
      <c r="AP1361" s="147"/>
      <c r="AQ1361" s="147"/>
      <c r="AR1361" s="147"/>
      <c r="AS1361" s="147"/>
      <c r="AT1361" s="147"/>
      <c r="AU1361" s="147"/>
      <c r="AV1361" s="147"/>
      <c r="AW1361" s="147"/>
      <c r="AX1361" s="147"/>
      <c r="AY1361" s="147"/>
      <c r="AZ1361" s="147"/>
      <c r="BA1361" s="147"/>
      <c r="BB1361" s="147"/>
      <c r="BC1361" s="147"/>
      <c r="BD1361" s="147"/>
      <c r="BE1361" s="147"/>
      <c r="BF1361" s="147"/>
      <c r="BG1361" s="147"/>
      <c r="BH1361" s="147"/>
      <c r="BI1361" s="147"/>
      <c r="BJ1361" s="147"/>
      <c r="BK1361" s="147"/>
      <c r="BL1361" s="147"/>
      <c r="BM1361" s="147"/>
      <c r="BN1361" s="147"/>
      <c r="BO1361" s="147"/>
      <c r="BP1361" s="147"/>
      <c r="BQ1361" s="147"/>
      <c r="BR1361" s="147"/>
      <c r="BS1361" s="147"/>
      <c r="BT1361" s="147"/>
      <c r="BU1361" s="147"/>
      <c r="BV1361" s="147"/>
      <c r="BW1361" s="147"/>
      <c r="BX1361" s="147"/>
      <c r="BY1361" s="147"/>
      <c r="BZ1361" s="147"/>
      <c r="CA1361" s="147"/>
      <c r="CB1361" s="147"/>
      <c r="CC1361" s="147"/>
      <c r="CD1361" s="147"/>
      <c r="CE1361" s="147"/>
      <c r="CF1361" s="147"/>
      <c r="CG1361" s="147"/>
      <c r="CH1361" s="147"/>
      <c r="CI1361" s="147"/>
      <c r="CJ1361" s="147"/>
      <c r="CK1361" s="147"/>
    </row>
    <row r="1362" spans="1:89">
      <c r="A1362" s="157"/>
      <c r="F1362" s="3"/>
      <c r="G1362" s="3"/>
      <c r="L1362" s="157"/>
      <c r="M1362" s="157"/>
      <c r="O1362" s="147"/>
      <c r="P1362" s="147"/>
      <c r="Q1362" s="147"/>
      <c r="R1362" s="147"/>
      <c r="S1362" s="147"/>
      <c r="T1362" s="147"/>
      <c r="U1362" s="147"/>
      <c r="V1362" s="147"/>
      <c r="W1362" s="147"/>
      <c r="X1362" s="147"/>
      <c r="Y1362" s="147"/>
      <c r="Z1362" s="147"/>
      <c r="AA1362" s="147"/>
      <c r="AB1362" s="147"/>
      <c r="AC1362" s="147"/>
      <c r="AD1362" s="147"/>
      <c r="AE1362" s="147"/>
      <c r="AF1362" s="147"/>
      <c r="AG1362" s="147"/>
      <c r="AH1362" s="147"/>
      <c r="AI1362" s="147"/>
      <c r="AJ1362" s="147"/>
      <c r="AK1362" s="147"/>
      <c r="AL1362" s="147"/>
      <c r="AM1362" s="151"/>
      <c r="AN1362" s="147"/>
      <c r="AO1362" s="147"/>
      <c r="AP1362" s="147"/>
      <c r="AQ1362" s="147"/>
      <c r="AR1362" s="147"/>
      <c r="AS1362" s="147"/>
      <c r="AT1362" s="147"/>
      <c r="AU1362" s="147"/>
      <c r="AV1362" s="147"/>
      <c r="AW1362" s="147"/>
      <c r="AX1362" s="147"/>
      <c r="AY1362" s="147"/>
      <c r="AZ1362" s="147"/>
      <c r="BA1362" s="147"/>
      <c r="BB1362" s="147"/>
      <c r="BC1362" s="147"/>
      <c r="BD1362" s="147"/>
      <c r="BE1362" s="147"/>
      <c r="BF1362" s="147"/>
      <c r="BG1362" s="147"/>
      <c r="BH1362" s="147"/>
      <c r="BI1362" s="147"/>
      <c r="BJ1362" s="147"/>
      <c r="BK1362" s="147"/>
      <c r="BL1362" s="147"/>
      <c r="BM1362" s="147"/>
      <c r="BN1362" s="147"/>
      <c r="BO1362" s="147"/>
      <c r="BP1362" s="147"/>
      <c r="BQ1362" s="147"/>
      <c r="BR1362" s="147"/>
      <c r="BS1362" s="147"/>
      <c r="BT1362" s="147"/>
      <c r="BU1362" s="147"/>
      <c r="BV1362" s="147"/>
      <c r="BW1362" s="147"/>
      <c r="BX1362" s="147"/>
      <c r="BY1362" s="147"/>
      <c r="BZ1362" s="147"/>
      <c r="CA1362" s="147"/>
      <c r="CB1362" s="147"/>
      <c r="CC1362" s="147"/>
      <c r="CD1362" s="147"/>
      <c r="CE1362" s="147"/>
      <c r="CF1362" s="147"/>
      <c r="CG1362" s="147"/>
      <c r="CH1362" s="147"/>
      <c r="CI1362" s="147"/>
      <c r="CJ1362" s="147"/>
      <c r="CK1362" s="147"/>
    </row>
    <row r="1363" spans="1:89">
      <c r="A1363" s="157"/>
      <c r="F1363" s="3"/>
      <c r="G1363" s="3"/>
      <c r="L1363" s="157"/>
      <c r="M1363" s="157"/>
      <c r="O1363" s="147"/>
      <c r="P1363" s="147"/>
      <c r="Q1363" s="147"/>
      <c r="R1363" s="147"/>
      <c r="S1363" s="147"/>
      <c r="T1363" s="147"/>
      <c r="U1363" s="147"/>
      <c r="V1363" s="147"/>
      <c r="W1363" s="147"/>
      <c r="X1363" s="147"/>
      <c r="Y1363" s="147"/>
      <c r="Z1363" s="147"/>
      <c r="AA1363" s="147"/>
      <c r="AB1363" s="147"/>
      <c r="AC1363" s="147"/>
      <c r="AD1363" s="147"/>
      <c r="AE1363" s="147"/>
      <c r="AF1363" s="147"/>
      <c r="AG1363" s="147"/>
      <c r="AH1363" s="147"/>
      <c r="AI1363" s="147"/>
      <c r="AJ1363" s="147"/>
      <c r="AK1363" s="147"/>
      <c r="AL1363" s="147"/>
      <c r="AM1363" s="151"/>
      <c r="AN1363" s="147"/>
      <c r="AO1363" s="147"/>
      <c r="AP1363" s="147"/>
      <c r="AQ1363" s="147"/>
      <c r="AR1363" s="147"/>
      <c r="AS1363" s="147"/>
      <c r="AT1363" s="147"/>
      <c r="AU1363" s="147"/>
      <c r="AV1363" s="147"/>
      <c r="AW1363" s="147"/>
      <c r="AX1363" s="147"/>
      <c r="AY1363" s="147"/>
      <c r="AZ1363" s="147"/>
      <c r="BA1363" s="147"/>
      <c r="BB1363" s="147"/>
      <c r="BC1363" s="147"/>
      <c r="BD1363" s="147"/>
      <c r="BE1363" s="147"/>
      <c r="BF1363" s="147"/>
      <c r="BG1363" s="147"/>
      <c r="BH1363" s="147"/>
      <c r="BI1363" s="147"/>
      <c r="BJ1363" s="147"/>
      <c r="BK1363" s="147"/>
      <c r="BL1363" s="147"/>
      <c r="BM1363" s="147"/>
      <c r="BN1363" s="147"/>
      <c r="BO1363" s="147"/>
      <c r="BP1363" s="147"/>
      <c r="BQ1363" s="147"/>
      <c r="BR1363" s="147"/>
      <c r="BS1363" s="147"/>
      <c r="BT1363" s="147"/>
      <c r="BU1363" s="147"/>
      <c r="BV1363" s="147"/>
      <c r="BW1363" s="147"/>
      <c r="BX1363" s="147"/>
      <c r="BY1363" s="147"/>
      <c r="BZ1363" s="147"/>
      <c r="CA1363" s="147"/>
      <c r="CB1363" s="147"/>
      <c r="CC1363" s="147"/>
      <c r="CD1363" s="147"/>
      <c r="CE1363" s="147"/>
      <c r="CF1363" s="147"/>
      <c r="CG1363" s="147"/>
      <c r="CH1363" s="147"/>
      <c r="CI1363" s="147"/>
      <c r="CJ1363" s="147"/>
      <c r="CK1363" s="147"/>
    </row>
    <row r="1364" spans="1:89">
      <c r="A1364" s="157"/>
      <c r="F1364" s="3"/>
      <c r="G1364" s="3"/>
      <c r="L1364" s="157"/>
      <c r="M1364" s="157"/>
      <c r="O1364" s="147"/>
      <c r="P1364" s="147"/>
      <c r="Q1364" s="147"/>
      <c r="R1364" s="147"/>
      <c r="S1364" s="147"/>
      <c r="T1364" s="147"/>
      <c r="U1364" s="147"/>
      <c r="V1364" s="147"/>
      <c r="W1364" s="147"/>
      <c r="X1364" s="147"/>
      <c r="Y1364" s="147"/>
      <c r="Z1364" s="147"/>
      <c r="AA1364" s="147"/>
      <c r="AB1364" s="147"/>
      <c r="AC1364" s="147"/>
      <c r="AD1364" s="147"/>
      <c r="AE1364" s="147"/>
      <c r="AF1364" s="147"/>
      <c r="AG1364" s="147"/>
      <c r="AH1364" s="147"/>
      <c r="AI1364" s="147"/>
      <c r="AJ1364" s="147"/>
      <c r="AK1364" s="147"/>
      <c r="AL1364" s="147"/>
      <c r="AM1364" s="151"/>
      <c r="AN1364" s="147"/>
      <c r="AO1364" s="147"/>
      <c r="AP1364" s="147"/>
      <c r="AQ1364" s="147"/>
      <c r="AR1364" s="147"/>
      <c r="AS1364" s="147"/>
      <c r="AT1364" s="147"/>
      <c r="AU1364" s="147"/>
      <c r="AV1364" s="147"/>
      <c r="AW1364" s="147"/>
      <c r="AX1364" s="147"/>
      <c r="AY1364" s="147"/>
      <c r="AZ1364" s="147"/>
      <c r="BA1364" s="147"/>
      <c r="BB1364" s="147"/>
      <c r="BC1364" s="147"/>
      <c r="BD1364" s="147"/>
      <c r="BE1364" s="147"/>
      <c r="BF1364" s="147"/>
      <c r="BG1364" s="147"/>
      <c r="BH1364" s="147"/>
      <c r="BI1364" s="147"/>
      <c r="BJ1364" s="147"/>
      <c r="BK1364" s="147"/>
      <c r="BL1364" s="147"/>
      <c r="BM1364" s="147"/>
      <c r="BN1364" s="147"/>
      <c r="BO1364" s="147"/>
      <c r="BP1364" s="147"/>
      <c r="BQ1364" s="147"/>
      <c r="BR1364" s="147"/>
      <c r="BS1364" s="147"/>
      <c r="BT1364" s="147"/>
      <c r="BU1364" s="147"/>
      <c r="BV1364" s="147"/>
      <c r="BW1364" s="147"/>
      <c r="BX1364" s="147"/>
      <c r="BY1364" s="147"/>
      <c r="BZ1364" s="147"/>
      <c r="CA1364" s="147"/>
      <c r="CB1364" s="147"/>
      <c r="CC1364" s="147"/>
      <c r="CD1364" s="147"/>
      <c r="CE1364" s="147"/>
      <c r="CF1364" s="147"/>
      <c r="CG1364" s="147"/>
      <c r="CH1364" s="147"/>
      <c r="CI1364" s="147"/>
      <c r="CJ1364" s="147"/>
      <c r="CK1364" s="147"/>
    </row>
    <row r="1365" spans="1:89">
      <c r="A1365" s="157"/>
      <c r="F1365" s="3"/>
      <c r="G1365" s="3"/>
      <c r="L1365" s="157"/>
      <c r="M1365" s="157"/>
      <c r="O1365" s="147"/>
      <c r="P1365" s="147"/>
      <c r="Q1365" s="147"/>
      <c r="R1365" s="147"/>
      <c r="S1365" s="147"/>
      <c r="T1365" s="147"/>
      <c r="U1365" s="147"/>
      <c r="V1365" s="147"/>
      <c r="W1365" s="147"/>
      <c r="X1365" s="147"/>
      <c r="Y1365" s="147"/>
      <c r="Z1365" s="147"/>
      <c r="AA1365" s="147"/>
      <c r="AB1365" s="147"/>
      <c r="AC1365" s="147"/>
      <c r="AD1365" s="147"/>
      <c r="AE1365" s="147"/>
      <c r="AF1365" s="147"/>
      <c r="AG1365" s="147"/>
      <c r="AH1365" s="147"/>
      <c r="AI1365" s="147"/>
      <c r="AJ1365" s="147"/>
      <c r="AK1365" s="147"/>
      <c r="AL1365" s="147"/>
      <c r="AM1365" s="151"/>
      <c r="AN1365" s="147"/>
      <c r="AO1365" s="147"/>
      <c r="AP1365" s="147"/>
      <c r="AQ1365" s="147"/>
      <c r="AR1365" s="147"/>
      <c r="AS1365" s="147"/>
      <c r="AT1365" s="147"/>
      <c r="AU1365" s="147"/>
      <c r="AV1365" s="147"/>
      <c r="AW1365" s="147"/>
      <c r="AX1365" s="147"/>
      <c r="AY1365" s="147"/>
      <c r="AZ1365" s="147"/>
      <c r="BA1365" s="147"/>
      <c r="BB1365" s="147"/>
      <c r="BC1365" s="147"/>
      <c r="BD1365" s="147"/>
      <c r="BE1365" s="147"/>
      <c r="BF1365" s="147"/>
      <c r="BG1365" s="147"/>
      <c r="BH1365" s="147"/>
      <c r="BI1365" s="147"/>
      <c r="BJ1365" s="147"/>
      <c r="BK1365" s="147"/>
      <c r="BL1365" s="147"/>
      <c r="BM1365" s="147"/>
      <c r="BN1365" s="147"/>
      <c r="BO1365" s="147"/>
      <c r="BP1365" s="147"/>
      <c r="BQ1365" s="147"/>
      <c r="BR1365" s="147"/>
      <c r="BS1365" s="147"/>
      <c r="BT1365" s="147"/>
      <c r="BU1365" s="147"/>
      <c r="BV1365" s="147"/>
      <c r="BW1365" s="147"/>
      <c r="BX1365" s="147"/>
      <c r="BY1365" s="147"/>
      <c r="BZ1365" s="147"/>
      <c r="CA1365" s="147"/>
      <c r="CB1365" s="147"/>
      <c r="CC1365" s="147"/>
      <c r="CD1365" s="147"/>
      <c r="CE1365" s="147"/>
      <c r="CF1365" s="147"/>
      <c r="CG1365" s="147"/>
      <c r="CH1365" s="147"/>
      <c r="CI1365" s="147"/>
      <c r="CJ1365" s="147"/>
      <c r="CK1365" s="147"/>
    </row>
    <row r="1366" spans="1:89">
      <c r="A1366" s="157"/>
      <c r="F1366" s="3"/>
      <c r="G1366" s="3"/>
      <c r="L1366" s="157"/>
      <c r="M1366" s="157"/>
      <c r="O1366" s="147"/>
      <c r="P1366" s="147"/>
      <c r="Q1366" s="147"/>
      <c r="R1366" s="147"/>
      <c r="S1366" s="147"/>
      <c r="T1366" s="147"/>
      <c r="U1366" s="147"/>
      <c r="V1366" s="147"/>
      <c r="W1366" s="147"/>
      <c r="X1366" s="147"/>
      <c r="Y1366" s="147"/>
      <c r="Z1366" s="147"/>
      <c r="AA1366" s="147"/>
      <c r="AB1366" s="147"/>
      <c r="AC1366" s="147"/>
      <c r="AD1366" s="147"/>
      <c r="AE1366" s="147"/>
      <c r="AF1366" s="147"/>
      <c r="AG1366" s="147"/>
      <c r="AH1366" s="147"/>
      <c r="AI1366" s="147"/>
      <c r="AJ1366" s="147"/>
      <c r="AK1366" s="147"/>
      <c r="AL1366" s="147"/>
      <c r="AM1366" s="151"/>
      <c r="AN1366" s="147"/>
      <c r="AO1366" s="147"/>
      <c r="AP1366" s="147"/>
      <c r="AQ1366" s="147"/>
      <c r="AR1366" s="147"/>
      <c r="AS1366" s="147"/>
      <c r="AT1366" s="147"/>
      <c r="AU1366" s="147"/>
      <c r="AV1366" s="147"/>
      <c r="AW1366" s="147"/>
      <c r="AX1366" s="147"/>
      <c r="AY1366" s="147"/>
      <c r="AZ1366" s="147"/>
      <c r="BA1366" s="147"/>
      <c r="BB1366" s="147"/>
      <c r="BC1366" s="147"/>
      <c r="BD1366" s="147"/>
      <c r="BE1366" s="147"/>
      <c r="BF1366" s="147"/>
      <c r="BG1366" s="147"/>
      <c r="BH1366" s="147"/>
      <c r="BI1366" s="147"/>
      <c r="BJ1366" s="147"/>
      <c r="BK1366" s="147"/>
      <c r="BL1366" s="147"/>
      <c r="BM1366" s="147"/>
      <c r="BN1366" s="147"/>
      <c r="BO1366" s="147"/>
      <c r="BP1366" s="147"/>
      <c r="BQ1366" s="147"/>
      <c r="BR1366" s="147"/>
      <c r="BS1366" s="147"/>
      <c r="BT1366" s="147"/>
      <c r="BU1366" s="147"/>
      <c r="BV1366" s="147"/>
      <c r="BW1366" s="147"/>
      <c r="BX1366" s="147"/>
      <c r="BY1366" s="147"/>
      <c r="BZ1366" s="147"/>
      <c r="CA1366" s="147"/>
      <c r="CB1366" s="147"/>
      <c r="CC1366" s="147"/>
      <c r="CD1366" s="147"/>
      <c r="CE1366" s="147"/>
      <c r="CF1366" s="147"/>
      <c r="CG1366" s="147"/>
      <c r="CH1366" s="147"/>
      <c r="CI1366" s="147"/>
      <c r="CJ1366" s="147"/>
      <c r="CK1366" s="147"/>
    </row>
    <row r="1367" spans="1:89">
      <c r="A1367" s="157"/>
      <c r="F1367" s="3"/>
      <c r="G1367" s="3"/>
      <c r="L1367" s="157"/>
      <c r="M1367" s="157"/>
      <c r="O1367" s="147"/>
      <c r="P1367" s="147"/>
      <c r="Q1367" s="147"/>
      <c r="R1367" s="147"/>
      <c r="S1367" s="147"/>
      <c r="T1367" s="147"/>
      <c r="U1367" s="147"/>
      <c r="V1367" s="147"/>
      <c r="W1367" s="147"/>
      <c r="X1367" s="147"/>
      <c r="Y1367" s="147"/>
      <c r="Z1367" s="147"/>
      <c r="AA1367" s="147"/>
      <c r="AB1367" s="147"/>
      <c r="AC1367" s="147"/>
      <c r="AD1367" s="147"/>
      <c r="AE1367" s="147"/>
      <c r="AF1367" s="147"/>
      <c r="AG1367" s="147"/>
      <c r="AH1367" s="147"/>
      <c r="AI1367" s="147"/>
      <c r="AJ1367" s="147"/>
      <c r="AK1367" s="147"/>
      <c r="AL1367" s="147"/>
      <c r="AM1367" s="151"/>
      <c r="AN1367" s="147"/>
      <c r="AO1367" s="147"/>
      <c r="AP1367" s="147"/>
      <c r="AQ1367" s="147"/>
      <c r="AR1367" s="147"/>
      <c r="AS1367" s="147"/>
      <c r="AT1367" s="147"/>
      <c r="AU1367" s="147"/>
      <c r="AV1367" s="147"/>
      <c r="AW1367" s="147"/>
      <c r="AX1367" s="147"/>
      <c r="AY1367" s="147"/>
      <c r="AZ1367" s="147"/>
      <c r="BA1367" s="147"/>
      <c r="BB1367" s="147"/>
      <c r="BC1367" s="147"/>
      <c r="BD1367" s="147"/>
      <c r="BE1367" s="147"/>
      <c r="BF1367" s="147"/>
      <c r="BG1367" s="147"/>
      <c r="BH1367" s="147"/>
      <c r="BI1367" s="147"/>
      <c r="BJ1367" s="147"/>
      <c r="BK1367" s="147"/>
      <c r="BL1367" s="147"/>
      <c r="BM1367" s="147"/>
      <c r="BN1367" s="147"/>
      <c r="BO1367" s="147"/>
      <c r="BP1367" s="147"/>
      <c r="BQ1367" s="147"/>
      <c r="BR1367" s="147"/>
      <c r="BS1367" s="147"/>
      <c r="BT1367" s="147"/>
      <c r="BU1367" s="147"/>
      <c r="BV1367" s="147"/>
      <c r="BW1367" s="147"/>
      <c r="BX1367" s="147"/>
      <c r="BY1367" s="147"/>
      <c r="BZ1367" s="147"/>
      <c r="CA1367" s="147"/>
      <c r="CB1367" s="147"/>
      <c r="CC1367" s="147"/>
      <c r="CD1367" s="147"/>
      <c r="CE1367" s="147"/>
      <c r="CF1367" s="147"/>
      <c r="CG1367" s="147"/>
      <c r="CH1367" s="147"/>
      <c r="CI1367" s="147"/>
      <c r="CJ1367" s="147"/>
      <c r="CK1367" s="147"/>
    </row>
    <row r="1368" spans="1:89">
      <c r="A1368" s="157"/>
      <c r="F1368" s="3"/>
      <c r="G1368" s="3"/>
      <c r="L1368" s="157"/>
      <c r="M1368" s="157"/>
      <c r="O1368" s="147"/>
      <c r="P1368" s="147"/>
      <c r="Q1368" s="147"/>
      <c r="R1368" s="147"/>
      <c r="S1368" s="147"/>
      <c r="T1368" s="147"/>
      <c r="U1368" s="147"/>
      <c r="V1368" s="147"/>
      <c r="W1368" s="147"/>
      <c r="X1368" s="147"/>
      <c r="Y1368" s="147"/>
      <c r="Z1368" s="147"/>
      <c r="AA1368" s="147"/>
      <c r="AB1368" s="147"/>
      <c r="AC1368" s="147"/>
      <c r="AD1368" s="147"/>
      <c r="AE1368" s="147"/>
      <c r="AF1368" s="147"/>
      <c r="AG1368" s="147"/>
      <c r="AH1368" s="147"/>
      <c r="AI1368" s="147"/>
      <c r="AJ1368" s="147"/>
      <c r="AK1368" s="147"/>
      <c r="AL1368" s="147"/>
      <c r="AM1368" s="151"/>
      <c r="AN1368" s="147"/>
      <c r="AO1368" s="147"/>
      <c r="AP1368" s="147"/>
      <c r="AQ1368" s="147"/>
      <c r="AR1368" s="147"/>
      <c r="AS1368" s="147"/>
      <c r="AT1368" s="147"/>
      <c r="AU1368" s="147"/>
      <c r="AV1368" s="147"/>
      <c r="AW1368" s="147"/>
      <c r="AX1368" s="147"/>
      <c r="AY1368" s="147"/>
      <c r="AZ1368" s="147"/>
      <c r="BA1368" s="147"/>
      <c r="BB1368" s="147"/>
      <c r="BC1368" s="147"/>
      <c r="BD1368" s="147"/>
      <c r="BE1368" s="147"/>
      <c r="BF1368" s="147"/>
      <c r="BG1368" s="147"/>
      <c r="BH1368" s="147"/>
      <c r="BI1368" s="147"/>
      <c r="BJ1368" s="147"/>
      <c r="BK1368" s="147"/>
      <c r="BL1368" s="147"/>
      <c r="BM1368" s="147"/>
      <c r="BN1368" s="147"/>
      <c r="BO1368" s="147"/>
      <c r="BP1368" s="147"/>
      <c r="BQ1368" s="147"/>
      <c r="BR1368" s="147"/>
      <c r="BS1368" s="147"/>
      <c r="BT1368" s="147"/>
      <c r="BU1368" s="147"/>
      <c r="BV1368" s="147"/>
      <c r="BW1368" s="147"/>
      <c r="BX1368" s="147"/>
      <c r="BY1368" s="147"/>
      <c r="BZ1368" s="147"/>
      <c r="CA1368" s="147"/>
      <c r="CB1368" s="147"/>
      <c r="CC1368" s="147"/>
      <c r="CD1368" s="147"/>
      <c r="CE1368" s="147"/>
      <c r="CF1368" s="147"/>
      <c r="CG1368" s="147"/>
      <c r="CH1368" s="147"/>
      <c r="CI1368" s="147"/>
      <c r="CJ1368" s="147"/>
      <c r="CK1368" s="147"/>
    </row>
    <row r="1369" spans="1:89">
      <c r="A1369" s="157"/>
      <c r="F1369" s="3"/>
      <c r="G1369" s="3"/>
      <c r="L1369" s="157"/>
      <c r="M1369" s="157"/>
      <c r="O1369" s="147"/>
      <c r="P1369" s="147"/>
      <c r="Q1369" s="147"/>
      <c r="R1369" s="147"/>
      <c r="S1369" s="147"/>
      <c r="T1369" s="147"/>
      <c r="U1369" s="147"/>
      <c r="V1369" s="147"/>
      <c r="W1369" s="147"/>
      <c r="X1369" s="147"/>
      <c r="Y1369" s="147"/>
      <c r="Z1369" s="147"/>
      <c r="AA1369" s="147"/>
      <c r="AB1369" s="147"/>
      <c r="AC1369" s="147"/>
      <c r="AD1369" s="147"/>
      <c r="AE1369" s="147"/>
      <c r="AF1369" s="147"/>
      <c r="AG1369" s="147"/>
      <c r="AH1369" s="147"/>
      <c r="AI1369" s="147"/>
      <c r="AJ1369" s="147"/>
      <c r="AK1369" s="147"/>
      <c r="AL1369" s="147"/>
      <c r="AM1369" s="151"/>
      <c r="AN1369" s="147"/>
      <c r="AO1369" s="147"/>
      <c r="AP1369" s="147"/>
      <c r="AQ1369" s="147"/>
      <c r="AR1369" s="147"/>
      <c r="AS1369" s="147"/>
      <c r="AT1369" s="147"/>
      <c r="AU1369" s="147"/>
      <c r="AV1369" s="147"/>
      <c r="AW1369" s="147"/>
      <c r="AX1369" s="147"/>
      <c r="AY1369" s="147"/>
      <c r="AZ1369" s="147"/>
      <c r="BA1369" s="147"/>
      <c r="BB1369" s="147"/>
      <c r="BC1369" s="147"/>
      <c r="BD1369" s="147"/>
      <c r="BE1369" s="147"/>
      <c r="BF1369" s="147"/>
      <c r="BG1369" s="147"/>
      <c r="BH1369" s="147"/>
      <c r="BI1369" s="147"/>
      <c r="BJ1369" s="147"/>
      <c r="BK1369" s="147"/>
      <c r="BL1369" s="147"/>
      <c r="BM1369" s="147"/>
      <c r="BN1369" s="147"/>
      <c r="BO1369" s="147"/>
      <c r="BP1369" s="147"/>
      <c r="BQ1369" s="147"/>
      <c r="BR1369" s="147"/>
      <c r="BS1369" s="147"/>
      <c r="BT1369" s="147"/>
      <c r="BU1369" s="147"/>
      <c r="BV1369" s="147"/>
      <c r="BW1369" s="147"/>
      <c r="BX1369" s="147"/>
      <c r="BY1369" s="147"/>
      <c r="BZ1369" s="147"/>
      <c r="CA1369" s="147"/>
      <c r="CB1369" s="147"/>
      <c r="CC1369" s="147"/>
      <c r="CD1369" s="147"/>
      <c r="CE1369" s="147"/>
      <c r="CF1369" s="147"/>
      <c r="CG1369" s="147"/>
      <c r="CH1369" s="147"/>
      <c r="CI1369" s="147"/>
      <c r="CJ1369" s="147"/>
      <c r="CK1369" s="147"/>
    </row>
    <row r="1370" spans="1:89">
      <c r="A1370" s="157"/>
      <c r="F1370" s="3"/>
      <c r="G1370" s="3"/>
      <c r="L1370" s="157"/>
      <c r="M1370" s="157"/>
      <c r="O1370" s="147"/>
      <c r="P1370" s="147"/>
      <c r="Q1370" s="147"/>
      <c r="R1370" s="147"/>
      <c r="S1370" s="147"/>
      <c r="T1370" s="147"/>
      <c r="U1370" s="147"/>
      <c r="V1370" s="147"/>
      <c r="W1370" s="147"/>
      <c r="X1370" s="147"/>
      <c r="Y1370" s="147"/>
      <c r="Z1370" s="147"/>
      <c r="AA1370" s="147"/>
      <c r="AB1370" s="147"/>
      <c r="AC1370" s="147"/>
      <c r="AD1370" s="147"/>
      <c r="AE1370" s="147"/>
      <c r="AF1370" s="147"/>
      <c r="AG1370" s="147"/>
      <c r="AH1370" s="147"/>
      <c r="AI1370" s="147"/>
      <c r="AJ1370" s="147"/>
      <c r="AK1370" s="147"/>
      <c r="AL1370" s="147"/>
      <c r="AM1370" s="151"/>
      <c r="AN1370" s="147"/>
      <c r="AO1370" s="147"/>
      <c r="AP1370" s="147"/>
      <c r="AQ1370" s="147"/>
      <c r="AR1370" s="147"/>
      <c r="AS1370" s="147"/>
      <c r="AT1370" s="147"/>
      <c r="AU1370" s="147"/>
      <c r="AV1370" s="147"/>
      <c r="AW1370" s="147"/>
      <c r="AX1370" s="147"/>
      <c r="AY1370" s="147"/>
      <c r="AZ1370" s="147"/>
      <c r="BA1370" s="147"/>
      <c r="BB1370" s="147"/>
      <c r="BC1370" s="147"/>
      <c r="BD1370" s="147"/>
      <c r="BE1370" s="147"/>
      <c r="BF1370" s="147"/>
      <c r="BG1370" s="147"/>
      <c r="BH1370" s="147"/>
      <c r="BI1370" s="147"/>
      <c r="BJ1370" s="147"/>
      <c r="BK1370" s="147"/>
      <c r="BL1370" s="147"/>
      <c r="BM1370" s="147"/>
      <c r="BN1370" s="147"/>
      <c r="BO1370" s="147"/>
      <c r="BP1370" s="147"/>
      <c r="BQ1370" s="147"/>
      <c r="BR1370" s="147"/>
      <c r="BS1370" s="147"/>
      <c r="BT1370" s="147"/>
      <c r="BU1370" s="147"/>
      <c r="BV1370" s="147"/>
      <c r="BW1370" s="147"/>
      <c r="BX1370" s="147"/>
      <c r="BY1370" s="147"/>
      <c r="BZ1370" s="147"/>
      <c r="CA1370" s="147"/>
      <c r="CB1370" s="147"/>
      <c r="CC1370" s="147"/>
      <c r="CD1370" s="147"/>
      <c r="CE1370" s="147"/>
      <c r="CF1370" s="147"/>
      <c r="CG1370" s="147"/>
      <c r="CH1370" s="147"/>
      <c r="CI1370" s="147"/>
      <c r="CJ1370" s="147"/>
      <c r="CK1370" s="147"/>
    </row>
    <row r="1371" spans="1:89">
      <c r="A1371" s="157"/>
      <c r="F1371" s="3"/>
      <c r="G1371" s="3"/>
      <c r="L1371" s="157"/>
      <c r="M1371" s="157"/>
      <c r="O1371" s="147"/>
      <c r="P1371" s="147"/>
      <c r="Q1371" s="147"/>
      <c r="R1371" s="147"/>
      <c r="S1371" s="147"/>
      <c r="T1371" s="147"/>
      <c r="U1371" s="147"/>
      <c r="V1371" s="147"/>
      <c r="W1371" s="147"/>
      <c r="X1371" s="147"/>
      <c r="Y1371" s="147"/>
      <c r="Z1371" s="147"/>
      <c r="AA1371" s="147"/>
      <c r="AB1371" s="147"/>
      <c r="AC1371" s="147"/>
      <c r="AD1371" s="147"/>
      <c r="AE1371" s="147"/>
      <c r="AF1371" s="147"/>
      <c r="AG1371" s="147"/>
      <c r="AH1371" s="147"/>
      <c r="AI1371" s="147"/>
      <c r="AJ1371" s="147"/>
      <c r="AK1371" s="147"/>
      <c r="AL1371" s="147"/>
      <c r="AM1371" s="151"/>
      <c r="AN1371" s="147"/>
      <c r="AO1371" s="147"/>
      <c r="AP1371" s="147"/>
      <c r="AQ1371" s="147"/>
      <c r="AR1371" s="147"/>
      <c r="AS1371" s="147"/>
      <c r="AT1371" s="147"/>
      <c r="AU1371" s="147"/>
      <c r="AV1371" s="147"/>
      <c r="AW1371" s="147"/>
      <c r="AX1371" s="147"/>
      <c r="AY1371" s="147"/>
      <c r="AZ1371" s="147"/>
      <c r="BA1371" s="147"/>
      <c r="BB1371" s="147"/>
      <c r="BC1371" s="147"/>
      <c r="BD1371" s="147"/>
      <c r="BE1371" s="147"/>
      <c r="BF1371" s="147"/>
      <c r="BG1371" s="147"/>
      <c r="BH1371" s="147"/>
      <c r="BI1371" s="147"/>
      <c r="BJ1371" s="147"/>
      <c r="BK1371" s="147"/>
      <c r="BL1371" s="147"/>
      <c r="BM1371" s="147"/>
      <c r="BN1371" s="147"/>
      <c r="BO1371" s="147"/>
      <c r="BP1371" s="147"/>
      <c r="BQ1371" s="147"/>
      <c r="BR1371" s="147"/>
      <c r="BS1371" s="147"/>
      <c r="BT1371" s="147"/>
      <c r="BU1371" s="147"/>
      <c r="BV1371" s="147"/>
      <c r="BW1371" s="147"/>
      <c r="BX1371" s="147"/>
      <c r="BY1371" s="147"/>
      <c r="BZ1371" s="147"/>
      <c r="CA1371" s="147"/>
      <c r="CB1371" s="147"/>
      <c r="CC1371" s="147"/>
      <c r="CD1371" s="147"/>
      <c r="CE1371" s="147"/>
      <c r="CF1371" s="147"/>
      <c r="CG1371" s="147"/>
      <c r="CH1371" s="147"/>
      <c r="CI1371" s="147"/>
      <c r="CJ1371" s="147"/>
      <c r="CK1371" s="147"/>
    </row>
    <row r="1372" spans="1:89">
      <c r="A1372" s="157"/>
      <c r="F1372" s="3"/>
      <c r="G1372" s="3"/>
      <c r="L1372" s="157"/>
      <c r="M1372" s="157"/>
      <c r="O1372" s="147"/>
      <c r="P1372" s="147"/>
      <c r="Q1372" s="147"/>
      <c r="R1372" s="147"/>
      <c r="S1372" s="147"/>
      <c r="T1372" s="147"/>
      <c r="U1372" s="147"/>
      <c r="V1372" s="147"/>
      <c r="W1372" s="147"/>
      <c r="X1372" s="147"/>
      <c r="Y1372" s="147"/>
      <c r="Z1372" s="147"/>
      <c r="AA1372" s="147"/>
      <c r="AB1372" s="147"/>
      <c r="AC1372" s="147"/>
      <c r="AD1372" s="147"/>
      <c r="AE1372" s="147"/>
      <c r="AF1372" s="147"/>
      <c r="AG1372" s="147"/>
      <c r="AH1372" s="147"/>
      <c r="AI1372" s="147"/>
      <c r="AJ1372" s="147"/>
      <c r="AK1372" s="147"/>
      <c r="AL1372" s="147"/>
      <c r="AM1372" s="151"/>
      <c r="AN1372" s="147"/>
      <c r="AO1372" s="147"/>
      <c r="AP1372" s="147"/>
      <c r="AQ1372" s="147"/>
      <c r="AR1372" s="147"/>
      <c r="AS1372" s="147"/>
      <c r="AT1372" s="147"/>
      <c r="AU1372" s="147"/>
      <c r="AV1372" s="147"/>
      <c r="AW1372" s="147"/>
      <c r="AX1372" s="147"/>
      <c r="AY1372" s="147"/>
      <c r="AZ1372" s="147"/>
      <c r="BA1372" s="147"/>
      <c r="BB1372" s="147"/>
      <c r="BC1372" s="147"/>
      <c r="BD1372" s="147"/>
      <c r="BE1372" s="147"/>
      <c r="BF1372" s="147"/>
      <c r="BG1372" s="147"/>
      <c r="BH1372" s="147"/>
      <c r="BI1372" s="147"/>
      <c r="BJ1372" s="147"/>
      <c r="BK1372" s="147"/>
      <c r="BL1372" s="147"/>
      <c r="BM1372" s="147"/>
      <c r="BN1372" s="147"/>
      <c r="BO1372" s="147"/>
      <c r="BP1372" s="147"/>
      <c r="BQ1372" s="147"/>
      <c r="BR1372" s="147"/>
      <c r="BS1372" s="147"/>
      <c r="BT1372" s="147"/>
      <c r="BU1372" s="147"/>
      <c r="BV1372" s="147"/>
      <c r="BW1372" s="147"/>
      <c r="BX1372" s="147"/>
      <c r="BY1372" s="147"/>
      <c r="BZ1372" s="147"/>
      <c r="CA1372" s="147"/>
      <c r="CB1372" s="147"/>
      <c r="CC1372" s="147"/>
      <c r="CD1372" s="147"/>
      <c r="CE1372" s="147"/>
      <c r="CF1372" s="147"/>
      <c r="CG1372" s="147"/>
      <c r="CH1372" s="147"/>
      <c r="CI1372" s="147"/>
      <c r="CJ1372" s="147"/>
      <c r="CK1372" s="147"/>
    </row>
    <row r="1373" spans="1:89">
      <c r="A1373" s="157"/>
      <c r="F1373" s="3"/>
      <c r="G1373" s="3"/>
      <c r="L1373" s="157"/>
      <c r="M1373" s="157"/>
      <c r="O1373" s="147"/>
      <c r="P1373" s="147"/>
      <c r="Q1373" s="147"/>
      <c r="R1373" s="147"/>
      <c r="S1373" s="147"/>
      <c r="T1373" s="147"/>
      <c r="U1373" s="147"/>
      <c r="V1373" s="147"/>
      <c r="W1373" s="147"/>
      <c r="X1373" s="147"/>
      <c r="Y1373" s="147"/>
      <c r="Z1373" s="147"/>
      <c r="AA1373" s="147"/>
      <c r="AB1373" s="147"/>
      <c r="AC1373" s="147"/>
      <c r="AD1373" s="147"/>
      <c r="AE1373" s="147"/>
      <c r="AF1373" s="147"/>
      <c r="AG1373" s="147"/>
      <c r="AH1373" s="147"/>
      <c r="AI1373" s="147"/>
      <c r="AJ1373" s="147"/>
      <c r="AK1373" s="147"/>
      <c r="AL1373" s="147"/>
      <c r="AM1373" s="151"/>
      <c r="AN1373" s="147"/>
      <c r="AO1373" s="147"/>
      <c r="AP1373" s="147"/>
      <c r="AQ1373" s="147"/>
      <c r="AR1373" s="147"/>
      <c r="AS1373" s="147"/>
      <c r="AT1373" s="147"/>
      <c r="AU1373" s="147"/>
      <c r="AV1373" s="147"/>
      <c r="AW1373" s="147"/>
      <c r="AX1373" s="147"/>
      <c r="AY1373" s="147"/>
      <c r="AZ1373" s="147"/>
      <c r="BA1373" s="147"/>
      <c r="BB1373" s="147"/>
      <c r="BC1373" s="147"/>
      <c r="BD1373" s="147"/>
      <c r="BE1373" s="147"/>
      <c r="BF1373" s="147"/>
      <c r="BG1373" s="147"/>
      <c r="BH1373" s="147"/>
      <c r="BI1373" s="147"/>
      <c r="BJ1373" s="147"/>
      <c r="BK1373" s="147"/>
      <c r="BL1373" s="147"/>
      <c r="BM1373" s="147"/>
      <c r="BN1373" s="147"/>
      <c r="BO1373" s="147"/>
      <c r="BP1373" s="147"/>
      <c r="BQ1373" s="147"/>
      <c r="BR1373" s="147"/>
      <c r="BS1373" s="147"/>
      <c r="BT1373" s="147"/>
      <c r="BU1373" s="147"/>
      <c r="BV1373" s="147"/>
      <c r="BW1373" s="147"/>
      <c r="BX1373" s="147"/>
      <c r="BY1373" s="147"/>
      <c r="BZ1373" s="147"/>
      <c r="CA1373" s="147"/>
      <c r="CB1373" s="147"/>
      <c r="CC1373" s="147"/>
      <c r="CD1373" s="147"/>
      <c r="CE1373" s="147"/>
      <c r="CF1373" s="147"/>
      <c r="CG1373" s="147"/>
      <c r="CH1373" s="147"/>
      <c r="CI1373" s="147"/>
      <c r="CJ1373" s="147"/>
      <c r="CK1373" s="147"/>
    </row>
    <row r="1374" spans="1:89">
      <c r="A1374" s="157"/>
      <c r="F1374" s="3"/>
      <c r="G1374" s="3"/>
      <c r="L1374" s="157"/>
      <c r="M1374" s="157"/>
      <c r="O1374" s="147"/>
      <c r="P1374" s="147"/>
      <c r="Q1374" s="147"/>
      <c r="R1374" s="147"/>
      <c r="S1374" s="147"/>
      <c r="T1374" s="147"/>
      <c r="U1374" s="147"/>
      <c r="V1374" s="147"/>
      <c r="W1374" s="147"/>
      <c r="X1374" s="147"/>
      <c r="Y1374" s="147"/>
      <c r="Z1374" s="147"/>
      <c r="AA1374" s="147"/>
      <c r="AB1374" s="147"/>
      <c r="AC1374" s="147"/>
      <c r="AD1374" s="147"/>
      <c r="AE1374" s="147"/>
      <c r="AF1374" s="147"/>
      <c r="AG1374" s="147"/>
      <c r="AH1374" s="147"/>
      <c r="AI1374" s="147"/>
      <c r="AJ1374" s="147"/>
      <c r="AK1374" s="147"/>
      <c r="AL1374" s="147"/>
      <c r="AM1374" s="151"/>
      <c r="AN1374" s="147"/>
      <c r="AO1374" s="147"/>
      <c r="AP1374" s="147"/>
      <c r="AQ1374" s="147"/>
      <c r="AR1374" s="147"/>
      <c r="AS1374" s="147"/>
      <c r="AT1374" s="147"/>
      <c r="AU1374" s="147"/>
      <c r="AV1374" s="147"/>
      <c r="AW1374" s="147"/>
      <c r="AX1374" s="147"/>
      <c r="AY1374" s="147"/>
      <c r="AZ1374" s="147"/>
      <c r="BA1374" s="147"/>
      <c r="BB1374" s="147"/>
      <c r="BC1374" s="147"/>
      <c r="BD1374" s="147"/>
      <c r="BE1374" s="147"/>
      <c r="BF1374" s="147"/>
      <c r="BG1374" s="147"/>
      <c r="BH1374" s="147"/>
      <c r="BI1374" s="147"/>
      <c r="BJ1374" s="147"/>
      <c r="BK1374" s="147"/>
      <c r="BL1374" s="147"/>
      <c r="BM1374" s="147"/>
      <c r="BN1374" s="147"/>
      <c r="BO1374" s="147"/>
      <c r="BP1374" s="147"/>
      <c r="BQ1374" s="147"/>
      <c r="BR1374" s="147"/>
      <c r="BS1374" s="147"/>
      <c r="BT1374" s="147"/>
      <c r="BU1374" s="147"/>
      <c r="BV1374" s="147"/>
      <c r="BW1374" s="147"/>
      <c r="BX1374" s="147"/>
      <c r="BY1374" s="147"/>
      <c r="BZ1374" s="147"/>
      <c r="CA1374" s="147"/>
      <c r="CB1374" s="147"/>
      <c r="CC1374" s="147"/>
      <c r="CD1374" s="147"/>
      <c r="CE1374" s="147"/>
      <c r="CF1374" s="147"/>
      <c r="CG1374" s="147"/>
      <c r="CH1374" s="147"/>
      <c r="CI1374" s="147"/>
      <c r="CJ1374" s="147"/>
      <c r="CK1374" s="147"/>
    </row>
    <row r="1375" spans="1:89">
      <c r="A1375" s="157"/>
      <c r="F1375" s="3"/>
      <c r="G1375" s="3"/>
      <c r="L1375" s="157"/>
      <c r="M1375" s="157"/>
      <c r="O1375" s="147"/>
      <c r="P1375" s="147"/>
      <c r="Q1375" s="147"/>
      <c r="R1375" s="147"/>
      <c r="S1375" s="147"/>
      <c r="T1375" s="147"/>
      <c r="U1375" s="147"/>
      <c r="V1375" s="147"/>
      <c r="W1375" s="147"/>
      <c r="X1375" s="147"/>
      <c r="Y1375" s="147"/>
      <c r="Z1375" s="147"/>
      <c r="AA1375" s="147"/>
      <c r="AB1375" s="147"/>
      <c r="AC1375" s="147"/>
      <c r="AD1375" s="147"/>
      <c r="AE1375" s="147"/>
      <c r="AF1375" s="147"/>
      <c r="AG1375" s="147"/>
      <c r="AH1375" s="147"/>
      <c r="AI1375" s="147"/>
      <c r="AJ1375" s="147"/>
      <c r="AK1375" s="147"/>
      <c r="AL1375" s="147"/>
      <c r="AM1375" s="151"/>
      <c r="AN1375" s="147"/>
      <c r="AO1375" s="147"/>
      <c r="AP1375" s="147"/>
      <c r="AQ1375" s="147"/>
      <c r="AR1375" s="147"/>
      <c r="AS1375" s="147"/>
      <c r="AT1375" s="147"/>
      <c r="AU1375" s="147"/>
      <c r="AV1375" s="147"/>
      <c r="AW1375" s="147"/>
      <c r="AX1375" s="147"/>
      <c r="AY1375" s="147"/>
      <c r="AZ1375" s="147"/>
      <c r="BA1375" s="147"/>
      <c r="BB1375" s="147"/>
      <c r="BC1375" s="147"/>
      <c r="BD1375" s="147"/>
      <c r="BE1375" s="147"/>
      <c r="BF1375" s="147"/>
      <c r="BG1375" s="147"/>
      <c r="BH1375" s="147"/>
      <c r="BI1375" s="147"/>
      <c r="BJ1375" s="147"/>
      <c r="BK1375" s="147"/>
      <c r="BL1375" s="147"/>
      <c r="BM1375" s="147"/>
      <c r="BN1375" s="147"/>
      <c r="BO1375" s="147"/>
      <c r="BP1375" s="147"/>
      <c r="BQ1375" s="147"/>
      <c r="BR1375" s="147"/>
      <c r="BS1375" s="147"/>
      <c r="BT1375" s="147"/>
      <c r="BU1375" s="147"/>
      <c r="BV1375" s="147"/>
      <c r="BW1375" s="147"/>
      <c r="BX1375" s="147"/>
      <c r="BY1375" s="147"/>
      <c r="BZ1375" s="147"/>
      <c r="CA1375" s="147"/>
      <c r="CB1375" s="147"/>
      <c r="CC1375" s="147"/>
      <c r="CD1375" s="147"/>
      <c r="CE1375" s="147"/>
      <c r="CF1375" s="147"/>
      <c r="CG1375" s="147"/>
      <c r="CH1375" s="147"/>
      <c r="CI1375" s="147"/>
      <c r="CJ1375" s="147"/>
      <c r="CK1375" s="147"/>
    </row>
    <row r="1376" spans="1:89">
      <c r="A1376" s="157"/>
      <c r="F1376" s="3"/>
      <c r="G1376" s="3"/>
      <c r="L1376" s="157"/>
      <c r="M1376" s="157"/>
      <c r="O1376" s="147"/>
      <c r="P1376" s="147"/>
      <c r="Q1376" s="147"/>
      <c r="R1376" s="147"/>
      <c r="S1376" s="147"/>
      <c r="T1376" s="147"/>
      <c r="U1376" s="147"/>
      <c r="V1376" s="147"/>
      <c r="W1376" s="147"/>
      <c r="X1376" s="147"/>
      <c r="Y1376" s="147"/>
      <c r="Z1376" s="147"/>
      <c r="AA1376" s="147"/>
      <c r="AB1376" s="147"/>
      <c r="AC1376" s="147"/>
      <c r="AD1376" s="147"/>
      <c r="AE1376" s="147"/>
      <c r="AF1376" s="147"/>
      <c r="AG1376" s="147"/>
      <c r="AH1376" s="147"/>
      <c r="AI1376" s="147"/>
      <c r="AJ1376" s="147"/>
      <c r="AK1376" s="147"/>
      <c r="AL1376" s="147"/>
      <c r="AM1376" s="151"/>
      <c r="AN1376" s="147"/>
      <c r="AO1376" s="147"/>
      <c r="AP1376" s="147"/>
      <c r="AQ1376" s="147"/>
      <c r="AR1376" s="147"/>
      <c r="AS1376" s="147"/>
      <c r="AT1376" s="147"/>
      <c r="AU1376" s="147"/>
      <c r="AV1376" s="147"/>
      <c r="AW1376" s="147"/>
      <c r="AX1376" s="147"/>
      <c r="AY1376" s="147"/>
      <c r="AZ1376" s="147"/>
      <c r="BA1376" s="147"/>
      <c r="BB1376" s="147"/>
      <c r="BC1376" s="147"/>
      <c r="BD1376" s="147"/>
      <c r="BE1376" s="147"/>
      <c r="BF1376" s="147"/>
      <c r="BG1376" s="147"/>
      <c r="BH1376" s="147"/>
      <c r="BI1376" s="147"/>
      <c r="BJ1376" s="147"/>
      <c r="BK1376" s="147"/>
      <c r="BL1376" s="147"/>
      <c r="BM1376" s="147"/>
      <c r="BN1376" s="147"/>
      <c r="BO1376" s="147"/>
      <c r="BP1376" s="147"/>
      <c r="BQ1376" s="147"/>
      <c r="BR1376" s="147"/>
      <c r="BS1376" s="147"/>
      <c r="BT1376" s="147"/>
      <c r="BU1376" s="147"/>
      <c r="BV1376" s="147"/>
      <c r="BW1376" s="147"/>
      <c r="BX1376" s="147"/>
      <c r="BY1376" s="147"/>
      <c r="BZ1376" s="147"/>
      <c r="CA1376" s="147"/>
      <c r="CB1376" s="147"/>
      <c r="CC1376" s="147"/>
      <c r="CD1376" s="147"/>
      <c r="CE1376" s="147"/>
      <c r="CF1376" s="147"/>
      <c r="CG1376" s="147"/>
      <c r="CH1376" s="147"/>
      <c r="CI1376" s="147"/>
      <c r="CJ1376" s="147"/>
      <c r="CK1376" s="147"/>
    </row>
    <row r="1377" spans="1:89">
      <c r="A1377" s="157"/>
      <c r="F1377" s="3"/>
      <c r="G1377" s="3"/>
      <c r="L1377" s="157"/>
      <c r="M1377" s="157"/>
      <c r="O1377" s="147"/>
      <c r="P1377" s="147"/>
      <c r="Q1377" s="147"/>
      <c r="R1377" s="147"/>
      <c r="S1377" s="147"/>
      <c r="T1377" s="147"/>
      <c r="U1377" s="147"/>
      <c r="V1377" s="147"/>
      <c r="W1377" s="147"/>
      <c r="X1377" s="147"/>
      <c r="Y1377" s="147"/>
      <c r="Z1377" s="147"/>
      <c r="AA1377" s="147"/>
      <c r="AB1377" s="147"/>
      <c r="AC1377" s="147"/>
      <c r="AD1377" s="147"/>
      <c r="AE1377" s="147"/>
      <c r="AF1377" s="147"/>
      <c r="AG1377" s="147"/>
      <c r="AH1377" s="147"/>
      <c r="AI1377" s="147"/>
      <c r="AJ1377" s="147"/>
      <c r="AK1377" s="147"/>
      <c r="AL1377" s="147"/>
      <c r="AM1377" s="151"/>
      <c r="AN1377" s="147"/>
      <c r="AO1377" s="147"/>
      <c r="AP1377" s="147"/>
      <c r="AQ1377" s="147"/>
      <c r="AR1377" s="147"/>
      <c r="AS1377" s="147"/>
      <c r="AT1377" s="147"/>
      <c r="AU1377" s="147"/>
      <c r="AV1377" s="147"/>
      <c r="AW1377" s="147"/>
      <c r="AX1377" s="147"/>
      <c r="AY1377" s="147"/>
      <c r="AZ1377" s="147"/>
      <c r="BA1377" s="147"/>
      <c r="BB1377" s="147"/>
      <c r="BC1377" s="147"/>
      <c r="BD1377" s="147"/>
      <c r="BE1377" s="147"/>
      <c r="BF1377" s="147"/>
      <c r="BG1377" s="147"/>
      <c r="BH1377" s="147"/>
      <c r="BI1377" s="147"/>
      <c r="BJ1377" s="147"/>
      <c r="BK1377" s="147"/>
      <c r="BL1377" s="147"/>
      <c r="BM1377" s="147"/>
      <c r="BN1377" s="147"/>
      <c r="BO1377" s="147"/>
      <c r="BP1377" s="147"/>
      <c r="BQ1377" s="147"/>
      <c r="BR1377" s="147"/>
      <c r="BS1377" s="147"/>
      <c r="BT1377" s="147"/>
      <c r="BU1377" s="147"/>
      <c r="BV1377" s="147"/>
      <c r="BW1377" s="147"/>
      <c r="BX1377" s="147"/>
      <c r="BY1377" s="147"/>
      <c r="BZ1377" s="147"/>
      <c r="CA1377" s="147"/>
      <c r="CB1377" s="147"/>
      <c r="CC1377" s="147"/>
      <c r="CD1377" s="147"/>
      <c r="CE1377" s="147"/>
      <c r="CF1377" s="147"/>
      <c r="CG1377" s="147"/>
      <c r="CH1377" s="147"/>
      <c r="CI1377" s="147"/>
      <c r="CJ1377" s="147"/>
      <c r="CK1377" s="147"/>
    </row>
    <row r="1378" spans="1:89">
      <c r="A1378" s="157"/>
      <c r="F1378" s="3"/>
      <c r="G1378" s="3"/>
      <c r="L1378" s="157"/>
      <c r="M1378" s="157"/>
      <c r="O1378" s="147"/>
      <c r="P1378" s="147"/>
      <c r="Q1378" s="147"/>
      <c r="R1378" s="147"/>
      <c r="S1378" s="147"/>
      <c r="T1378" s="147"/>
      <c r="U1378" s="147"/>
      <c r="V1378" s="147"/>
      <c r="W1378" s="147"/>
      <c r="X1378" s="147"/>
      <c r="Y1378" s="147"/>
      <c r="Z1378" s="147"/>
      <c r="AA1378" s="147"/>
      <c r="AB1378" s="147"/>
      <c r="AC1378" s="147"/>
      <c r="AD1378" s="147"/>
      <c r="AE1378" s="147"/>
      <c r="AF1378" s="147"/>
      <c r="AG1378" s="147"/>
      <c r="AH1378" s="147"/>
      <c r="AI1378" s="147"/>
      <c r="AJ1378" s="147"/>
      <c r="AK1378" s="147"/>
      <c r="AL1378" s="147"/>
      <c r="AM1378" s="151"/>
      <c r="AN1378" s="147"/>
      <c r="AO1378" s="147"/>
      <c r="AP1378" s="147"/>
      <c r="AQ1378" s="147"/>
      <c r="AR1378" s="147"/>
      <c r="AS1378" s="147"/>
      <c r="AT1378" s="147"/>
      <c r="AU1378" s="147"/>
      <c r="AV1378" s="147"/>
      <c r="AW1378" s="147"/>
      <c r="AX1378" s="147"/>
      <c r="AY1378" s="147"/>
      <c r="AZ1378" s="147"/>
      <c r="BA1378" s="147"/>
      <c r="BB1378" s="147"/>
      <c r="BC1378" s="147"/>
      <c r="BD1378" s="147"/>
      <c r="BE1378" s="147"/>
      <c r="BF1378" s="147"/>
      <c r="BG1378" s="147"/>
      <c r="BH1378" s="147"/>
      <c r="BI1378" s="147"/>
      <c r="BJ1378" s="147"/>
      <c r="BK1378" s="147"/>
      <c r="BL1378" s="147"/>
      <c r="BM1378" s="147"/>
      <c r="BN1378" s="147"/>
      <c r="BO1378" s="147"/>
      <c r="BP1378" s="147"/>
      <c r="BQ1378" s="147"/>
      <c r="BR1378" s="147"/>
      <c r="BS1378" s="147"/>
      <c r="BT1378" s="147"/>
      <c r="BU1378" s="147"/>
      <c r="BV1378" s="147"/>
      <c r="BW1378" s="147"/>
      <c r="BX1378" s="147"/>
      <c r="BY1378" s="147"/>
      <c r="BZ1378" s="147"/>
      <c r="CA1378" s="147"/>
      <c r="CB1378" s="147"/>
      <c r="CC1378" s="147"/>
      <c r="CD1378" s="147"/>
      <c r="CE1378" s="147"/>
      <c r="CF1378" s="147"/>
      <c r="CG1378" s="147"/>
      <c r="CH1378" s="147"/>
      <c r="CI1378" s="147"/>
      <c r="CJ1378" s="147"/>
      <c r="CK1378" s="147"/>
    </row>
    <row r="1379" spans="1:89">
      <c r="A1379" s="157"/>
      <c r="F1379" s="3"/>
      <c r="G1379" s="3"/>
      <c r="L1379" s="157"/>
      <c r="M1379" s="157"/>
      <c r="O1379" s="147"/>
      <c r="P1379" s="147"/>
      <c r="Q1379" s="147"/>
      <c r="R1379" s="147"/>
      <c r="S1379" s="147"/>
      <c r="T1379" s="147"/>
      <c r="U1379" s="147"/>
      <c r="V1379" s="147"/>
      <c r="W1379" s="147"/>
      <c r="X1379" s="147"/>
      <c r="Y1379" s="147"/>
      <c r="Z1379" s="147"/>
      <c r="AA1379" s="147"/>
      <c r="AB1379" s="147"/>
      <c r="AC1379" s="147"/>
      <c r="AD1379" s="147"/>
      <c r="AE1379" s="147"/>
      <c r="AF1379" s="147"/>
      <c r="AG1379" s="147"/>
      <c r="AH1379" s="147"/>
      <c r="AI1379" s="147"/>
      <c r="AJ1379" s="147"/>
      <c r="AK1379" s="147"/>
      <c r="AL1379" s="147"/>
      <c r="AM1379" s="151"/>
      <c r="AN1379" s="147"/>
      <c r="AO1379" s="147"/>
      <c r="AP1379" s="147"/>
      <c r="AQ1379" s="147"/>
      <c r="AR1379" s="147"/>
      <c r="AS1379" s="147"/>
      <c r="AT1379" s="147"/>
      <c r="AU1379" s="147"/>
      <c r="AV1379" s="147"/>
      <c r="AW1379" s="147"/>
      <c r="AX1379" s="147"/>
      <c r="AY1379" s="147"/>
      <c r="AZ1379" s="147"/>
      <c r="BA1379" s="147"/>
      <c r="BB1379" s="147"/>
      <c r="BC1379" s="147"/>
      <c r="BD1379" s="147"/>
      <c r="BE1379" s="147"/>
      <c r="BF1379" s="147"/>
      <c r="BG1379" s="147"/>
      <c r="BH1379" s="147"/>
      <c r="BI1379" s="147"/>
      <c r="BJ1379" s="147"/>
      <c r="BK1379" s="147"/>
      <c r="BL1379" s="147"/>
      <c r="BM1379" s="147"/>
      <c r="BN1379" s="147"/>
      <c r="BO1379" s="147"/>
      <c r="BP1379" s="147"/>
      <c r="BQ1379" s="147"/>
      <c r="BR1379" s="147"/>
      <c r="BS1379" s="147"/>
      <c r="BT1379" s="147"/>
      <c r="BU1379" s="147"/>
      <c r="BV1379" s="147"/>
      <c r="BW1379" s="147"/>
      <c r="BX1379" s="147"/>
      <c r="BY1379" s="147"/>
      <c r="BZ1379" s="147"/>
      <c r="CA1379" s="147"/>
      <c r="CB1379" s="147"/>
      <c r="CC1379" s="147"/>
      <c r="CD1379" s="147"/>
      <c r="CE1379" s="147"/>
      <c r="CF1379" s="147"/>
      <c r="CG1379" s="147"/>
      <c r="CH1379" s="147"/>
      <c r="CI1379" s="147"/>
      <c r="CJ1379" s="147"/>
      <c r="CK1379" s="147"/>
    </row>
    <row r="1380" spans="1:89">
      <c r="A1380" s="157"/>
      <c r="F1380" s="3"/>
      <c r="G1380" s="3"/>
      <c r="L1380" s="157"/>
      <c r="M1380" s="157"/>
      <c r="O1380" s="147"/>
      <c r="P1380" s="147"/>
      <c r="Q1380" s="147"/>
      <c r="R1380" s="147"/>
      <c r="S1380" s="147"/>
      <c r="T1380" s="147"/>
      <c r="U1380" s="147"/>
      <c r="V1380" s="147"/>
      <c r="W1380" s="147"/>
      <c r="X1380" s="147"/>
      <c r="Y1380" s="147"/>
      <c r="Z1380" s="147"/>
      <c r="AA1380" s="147"/>
      <c r="AB1380" s="147"/>
      <c r="AC1380" s="147"/>
      <c r="AD1380" s="147"/>
      <c r="AE1380" s="147"/>
      <c r="AF1380" s="147"/>
      <c r="AG1380" s="147"/>
      <c r="AH1380" s="147"/>
      <c r="AI1380" s="147"/>
      <c r="AJ1380" s="147"/>
      <c r="AK1380" s="147"/>
      <c r="AL1380" s="147"/>
      <c r="AM1380" s="151"/>
      <c r="AN1380" s="147"/>
      <c r="AO1380" s="147"/>
      <c r="AP1380" s="147"/>
      <c r="AQ1380" s="147"/>
      <c r="AR1380" s="147"/>
      <c r="AS1380" s="147"/>
      <c r="AT1380" s="147"/>
      <c r="AU1380" s="147"/>
      <c r="AV1380" s="147"/>
      <c r="AW1380" s="147"/>
      <c r="AX1380" s="147"/>
      <c r="AY1380" s="147"/>
      <c r="AZ1380" s="147"/>
      <c r="BA1380" s="147"/>
      <c r="BB1380" s="147"/>
      <c r="BC1380" s="147"/>
      <c r="BD1380" s="147"/>
      <c r="BE1380" s="147"/>
      <c r="BF1380" s="147"/>
      <c r="BG1380" s="147"/>
      <c r="BH1380" s="147"/>
      <c r="BI1380" s="147"/>
      <c r="BJ1380" s="147"/>
      <c r="BK1380" s="147"/>
      <c r="BL1380" s="147"/>
      <c r="BM1380" s="147"/>
      <c r="BN1380" s="147"/>
      <c r="BO1380" s="147"/>
      <c r="BP1380" s="147"/>
      <c r="BQ1380" s="147"/>
      <c r="BR1380" s="147"/>
      <c r="BS1380" s="147"/>
      <c r="BT1380" s="147"/>
      <c r="BU1380" s="147"/>
      <c r="BV1380" s="147"/>
      <c r="BW1380" s="147"/>
      <c r="BX1380" s="147"/>
      <c r="BY1380" s="147"/>
      <c r="BZ1380" s="147"/>
      <c r="CA1380" s="147"/>
      <c r="CB1380" s="147"/>
      <c r="CC1380" s="147"/>
      <c r="CD1380" s="147"/>
      <c r="CE1380" s="147"/>
      <c r="CF1380" s="147"/>
      <c r="CG1380" s="147"/>
      <c r="CH1380" s="147"/>
      <c r="CI1380" s="147"/>
      <c r="CJ1380" s="147"/>
      <c r="CK1380" s="147"/>
    </row>
    <row r="1381" spans="1:89">
      <c r="A1381" s="157"/>
      <c r="F1381" s="3"/>
      <c r="G1381" s="3"/>
      <c r="L1381" s="157"/>
      <c r="M1381" s="157"/>
      <c r="O1381" s="147"/>
      <c r="P1381" s="147"/>
      <c r="Q1381" s="147"/>
      <c r="R1381" s="147"/>
      <c r="S1381" s="147"/>
      <c r="T1381" s="147"/>
      <c r="U1381" s="147"/>
      <c r="V1381" s="147"/>
      <c r="W1381" s="147"/>
      <c r="X1381" s="147"/>
      <c r="Y1381" s="147"/>
      <c r="Z1381" s="147"/>
      <c r="AA1381" s="147"/>
      <c r="AB1381" s="147"/>
      <c r="AC1381" s="147"/>
      <c r="AD1381" s="147"/>
      <c r="AE1381" s="147"/>
      <c r="AF1381" s="147"/>
      <c r="AG1381" s="147"/>
      <c r="AH1381" s="147"/>
      <c r="AI1381" s="147"/>
      <c r="AJ1381" s="147"/>
      <c r="AK1381" s="147"/>
      <c r="AL1381" s="147"/>
      <c r="AM1381" s="151"/>
      <c r="AN1381" s="147"/>
      <c r="AO1381" s="147"/>
      <c r="AP1381" s="147"/>
      <c r="AQ1381" s="147"/>
      <c r="AR1381" s="147"/>
      <c r="AS1381" s="147"/>
      <c r="AT1381" s="147"/>
      <c r="AU1381" s="147"/>
      <c r="AV1381" s="147"/>
      <c r="AW1381" s="147"/>
      <c r="AX1381" s="147"/>
      <c r="AY1381" s="147"/>
      <c r="AZ1381" s="147"/>
      <c r="BA1381" s="147"/>
      <c r="BB1381" s="147"/>
      <c r="BC1381" s="147"/>
      <c r="BD1381" s="147"/>
      <c r="BE1381" s="147"/>
      <c r="BF1381" s="147"/>
      <c r="BG1381" s="147"/>
      <c r="BH1381" s="147"/>
      <c r="BI1381" s="147"/>
      <c r="BJ1381" s="147"/>
      <c r="BK1381" s="147"/>
      <c r="BL1381" s="147"/>
      <c r="BM1381" s="147"/>
      <c r="BN1381" s="147"/>
      <c r="BO1381" s="147"/>
      <c r="BP1381" s="147"/>
      <c r="BQ1381" s="147"/>
      <c r="BR1381" s="147"/>
      <c r="BS1381" s="147"/>
      <c r="BT1381" s="147"/>
      <c r="BU1381" s="147"/>
      <c r="BV1381" s="147"/>
      <c r="BW1381" s="147"/>
      <c r="BX1381" s="147"/>
      <c r="BY1381" s="147"/>
      <c r="BZ1381" s="147"/>
      <c r="CA1381" s="147"/>
      <c r="CB1381" s="147"/>
      <c r="CC1381" s="147"/>
      <c r="CD1381" s="147"/>
      <c r="CE1381" s="147"/>
      <c r="CF1381" s="147"/>
      <c r="CG1381" s="147"/>
      <c r="CH1381" s="147"/>
      <c r="CI1381" s="147"/>
      <c r="CJ1381" s="147"/>
      <c r="CK1381" s="147"/>
    </row>
    <row r="1382" spans="1:89">
      <c r="A1382" s="157"/>
      <c r="F1382" s="3"/>
      <c r="G1382" s="3"/>
      <c r="L1382" s="157"/>
      <c r="M1382" s="157"/>
      <c r="O1382" s="147"/>
      <c r="P1382" s="147"/>
      <c r="Q1382" s="147"/>
      <c r="R1382" s="147"/>
      <c r="S1382" s="147"/>
      <c r="T1382" s="147"/>
      <c r="U1382" s="147"/>
      <c r="V1382" s="147"/>
      <c r="W1382" s="147"/>
      <c r="X1382" s="147"/>
      <c r="Y1382" s="147"/>
      <c r="Z1382" s="147"/>
      <c r="AA1382" s="147"/>
      <c r="AB1382" s="147"/>
      <c r="AC1382" s="147"/>
      <c r="AD1382" s="147"/>
      <c r="AE1382" s="147"/>
      <c r="AF1382" s="147"/>
      <c r="AG1382" s="147"/>
      <c r="AH1382" s="147"/>
      <c r="AI1382" s="147"/>
      <c r="AJ1382" s="147"/>
      <c r="AK1382" s="147"/>
      <c r="AL1382" s="147"/>
      <c r="AM1382" s="151"/>
      <c r="AN1382" s="147"/>
      <c r="AO1382" s="147"/>
      <c r="AP1382" s="147"/>
      <c r="AQ1382" s="147"/>
      <c r="AR1382" s="147"/>
      <c r="AS1382" s="147"/>
      <c r="AT1382" s="147"/>
      <c r="AU1382" s="147"/>
      <c r="AV1382" s="147"/>
      <c r="AW1382" s="147"/>
      <c r="AX1382" s="147"/>
      <c r="AY1382" s="147"/>
      <c r="AZ1382" s="147"/>
      <c r="BA1382" s="147"/>
      <c r="BB1382" s="147"/>
      <c r="BC1382" s="147"/>
      <c r="BD1382" s="147"/>
      <c r="BE1382" s="147"/>
      <c r="BF1382" s="147"/>
      <c r="BG1382" s="147"/>
      <c r="BH1382" s="147"/>
      <c r="BI1382" s="147"/>
      <c r="BJ1382" s="147"/>
      <c r="BK1382" s="147"/>
      <c r="BL1382" s="147"/>
      <c r="BM1382" s="147"/>
      <c r="BN1382" s="147"/>
      <c r="BO1382" s="147"/>
      <c r="BP1382" s="147"/>
      <c r="BQ1382" s="147"/>
      <c r="BR1382" s="147"/>
      <c r="BS1382" s="147"/>
      <c r="BT1382" s="147"/>
      <c r="BU1382" s="147"/>
      <c r="BV1382" s="147"/>
      <c r="BW1382" s="147"/>
      <c r="BX1382" s="147"/>
      <c r="BY1382" s="147"/>
      <c r="BZ1382" s="147"/>
      <c r="CA1382" s="147"/>
      <c r="CB1382" s="147"/>
      <c r="CC1382" s="147"/>
      <c r="CD1382" s="147"/>
      <c r="CE1382" s="147"/>
      <c r="CF1382" s="147"/>
      <c r="CG1382" s="147"/>
      <c r="CH1382" s="147"/>
      <c r="CI1382" s="147"/>
      <c r="CJ1382" s="147"/>
      <c r="CK1382" s="147"/>
    </row>
    <row r="1383" spans="1:89">
      <c r="A1383" s="157"/>
      <c r="F1383" s="3"/>
      <c r="G1383" s="3"/>
      <c r="L1383" s="157"/>
      <c r="M1383" s="157"/>
      <c r="O1383" s="147"/>
      <c r="P1383" s="147"/>
      <c r="Q1383" s="147"/>
      <c r="R1383" s="147"/>
      <c r="S1383" s="147"/>
      <c r="T1383" s="147"/>
      <c r="U1383" s="147"/>
      <c r="V1383" s="147"/>
      <c r="W1383" s="147"/>
      <c r="X1383" s="147"/>
      <c r="Y1383" s="147"/>
      <c r="Z1383" s="147"/>
      <c r="AA1383" s="147"/>
      <c r="AB1383" s="147"/>
      <c r="AC1383" s="147"/>
      <c r="AD1383" s="147"/>
      <c r="AE1383" s="147"/>
      <c r="AF1383" s="147"/>
      <c r="AG1383" s="147"/>
      <c r="AH1383" s="147"/>
      <c r="AI1383" s="147"/>
      <c r="AJ1383" s="147"/>
      <c r="AK1383" s="147"/>
      <c r="AL1383" s="147"/>
      <c r="AM1383" s="151"/>
      <c r="AN1383" s="147"/>
      <c r="AO1383" s="147"/>
      <c r="AP1383" s="147"/>
      <c r="AQ1383" s="147"/>
      <c r="AR1383" s="147"/>
      <c r="AS1383" s="147"/>
      <c r="AT1383" s="147"/>
      <c r="AU1383" s="147"/>
      <c r="AV1383" s="147"/>
      <c r="AW1383" s="147"/>
      <c r="AX1383" s="147"/>
      <c r="AY1383" s="147"/>
      <c r="AZ1383" s="147"/>
      <c r="BA1383" s="147"/>
      <c r="BB1383" s="147"/>
      <c r="BC1383" s="147"/>
      <c r="BD1383" s="147"/>
      <c r="BE1383" s="147"/>
      <c r="BF1383" s="147"/>
      <c r="BG1383" s="147"/>
      <c r="BH1383" s="147"/>
      <c r="BI1383" s="147"/>
      <c r="BJ1383" s="147"/>
      <c r="BK1383" s="147"/>
      <c r="BL1383" s="147"/>
      <c r="BM1383" s="147"/>
      <c r="BN1383" s="147"/>
      <c r="BO1383" s="147"/>
      <c r="BP1383" s="147"/>
      <c r="BQ1383" s="147"/>
      <c r="BR1383" s="147"/>
      <c r="BS1383" s="147"/>
      <c r="BT1383" s="147"/>
      <c r="BU1383" s="147"/>
      <c r="BV1383" s="147"/>
      <c r="BW1383" s="147"/>
      <c r="BX1383" s="147"/>
      <c r="BY1383" s="147"/>
      <c r="BZ1383" s="147"/>
      <c r="CA1383" s="147"/>
      <c r="CB1383" s="147"/>
      <c r="CC1383" s="147"/>
      <c r="CD1383" s="147"/>
      <c r="CE1383" s="147"/>
      <c r="CF1383" s="147"/>
      <c r="CG1383" s="147"/>
      <c r="CH1383" s="147"/>
      <c r="CI1383" s="147"/>
      <c r="CJ1383" s="147"/>
      <c r="CK1383" s="147"/>
    </row>
    <row r="1384" spans="1:89">
      <c r="A1384" s="157"/>
      <c r="F1384" s="3"/>
      <c r="G1384" s="3"/>
      <c r="L1384" s="157"/>
      <c r="M1384" s="157"/>
      <c r="O1384" s="147"/>
      <c r="P1384" s="147"/>
      <c r="Q1384" s="147"/>
      <c r="R1384" s="147"/>
      <c r="S1384" s="147"/>
      <c r="T1384" s="147"/>
      <c r="U1384" s="147"/>
      <c r="V1384" s="147"/>
      <c r="W1384" s="147"/>
      <c r="X1384" s="147"/>
      <c r="Y1384" s="147"/>
      <c r="Z1384" s="147"/>
      <c r="AA1384" s="147"/>
      <c r="AB1384" s="147"/>
      <c r="AC1384" s="147"/>
      <c r="AD1384" s="147"/>
      <c r="AE1384" s="147"/>
      <c r="AF1384" s="147"/>
      <c r="AG1384" s="147"/>
      <c r="AH1384" s="147"/>
      <c r="AI1384" s="147"/>
      <c r="AJ1384" s="147"/>
      <c r="AK1384" s="147"/>
      <c r="AL1384" s="147"/>
      <c r="AM1384" s="151"/>
      <c r="AN1384" s="147"/>
      <c r="AO1384" s="147"/>
      <c r="AP1384" s="147"/>
      <c r="AQ1384" s="147"/>
      <c r="AR1384" s="147"/>
      <c r="AS1384" s="147"/>
      <c r="AT1384" s="147"/>
      <c r="AU1384" s="147"/>
      <c r="AV1384" s="147"/>
      <c r="AW1384" s="147"/>
      <c r="AX1384" s="147"/>
      <c r="AY1384" s="147"/>
      <c r="AZ1384" s="147"/>
      <c r="BA1384" s="147"/>
      <c r="BB1384" s="147"/>
      <c r="BC1384" s="147"/>
      <c r="BD1384" s="147"/>
      <c r="BE1384" s="147"/>
      <c r="BF1384" s="147"/>
      <c r="BG1384" s="147"/>
      <c r="BH1384" s="147"/>
      <c r="BI1384" s="147"/>
      <c r="BJ1384" s="147"/>
      <c r="BK1384" s="147"/>
      <c r="BL1384" s="147"/>
      <c r="BM1384" s="147"/>
      <c r="BN1384" s="147"/>
      <c r="BO1384" s="147"/>
      <c r="BP1384" s="147"/>
      <c r="BQ1384" s="147"/>
      <c r="BR1384" s="147"/>
      <c r="BS1384" s="147"/>
      <c r="BT1384" s="147"/>
      <c r="BU1384" s="147"/>
      <c r="BV1384" s="147"/>
      <c r="BW1384" s="147"/>
      <c r="BX1384" s="147"/>
      <c r="BY1384" s="147"/>
      <c r="BZ1384" s="147"/>
      <c r="CA1384" s="147"/>
      <c r="CB1384" s="147"/>
      <c r="CC1384" s="147"/>
      <c r="CD1384" s="147"/>
      <c r="CE1384" s="147"/>
      <c r="CF1384" s="147"/>
      <c r="CG1384" s="147"/>
      <c r="CH1384" s="147"/>
      <c r="CI1384" s="147"/>
      <c r="CJ1384" s="147"/>
      <c r="CK1384" s="147"/>
    </row>
    <row r="1385" spans="1:89">
      <c r="A1385" s="157"/>
      <c r="F1385" s="3"/>
      <c r="G1385" s="3"/>
      <c r="L1385" s="157"/>
      <c r="M1385" s="157"/>
      <c r="O1385" s="147"/>
      <c r="P1385" s="147"/>
      <c r="Q1385" s="147"/>
      <c r="R1385" s="147"/>
      <c r="S1385" s="147"/>
      <c r="T1385" s="147"/>
      <c r="U1385" s="147"/>
      <c r="V1385" s="147"/>
      <c r="W1385" s="147"/>
      <c r="X1385" s="147"/>
      <c r="Y1385" s="147"/>
      <c r="Z1385" s="147"/>
      <c r="AA1385" s="147"/>
      <c r="AB1385" s="147"/>
      <c r="AC1385" s="147"/>
      <c r="AD1385" s="147"/>
      <c r="AE1385" s="147"/>
      <c r="AF1385" s="147"/>
      <c r="AG1385" s="147"/>
      <c r="AH1385" s="147"/>
      <c r="AI1385" s="147"/>
      <c r="AJ1385" s="147"/>
      <c r="AK1385" s="147"/>
      <c r="AL1385" s="147"/>
      <c r="AM1385" s="151"/>
      <c r="AN1385" s="147"/>
      <c r="AO1385" s="147"/>
      <c r="AP1385" s="147"/>
      <c r="AQ1385" s="147"/>
      <c r="AR1385" s="147"/>
      <c r="AS1385" s="147"/>
      <c r="AT1385" s="147"/>
      <c r="AU1385" s="147"/>
      <c r="AV1385" s="147"/>
      <c r="AW1385" s="147"/>
      <c r="AX1385" s="147"/>
      <c r="AY1385" s="147"/>
      <c r="AZ1385" s="147"/>
      <c r="BA1385" s="147"/>
      <c r="BB1385" s="147"/>
      <c r="BC1385" s="147"/>
      <c r="BD1385" s="147"/>
      <c r="BE1385" s="147"/>
      <c r="BF1385" s="147"/>
      <c r="BG1385" s="147"/>
      <c r="BH1385" s="147"/>
      <c r="BI1385" s="147"/>
      <c r="BJ1385" s="147"/>
      <c r="BK1385" s="147"/>
      <c r="BL1385" s="147"/>
      <c r="BM1385" s="147"/>
      <c r="BN1385" s="147"/>
      <c r="BO1385" s="147"/>
      <c r="BP1385" s="147"/>
      <c r="BQ1385" s="147"/>
      <c r="BR1385" s="147"/>
      <c r="BS1385" s="147"/>
      <c r="BT1385" s="147"/>
      <c r="BU1385" s="147"/>
      <c r="BV1385" s="147"/>
      <c r="BW1385" s="147"/>
      <c r="BX1385" s="147"/>
      <c r="BY1385" s="147"/>
      <c r="BZ1385" s="147"/>
      <c r="CA1385" s="147"/>
      <c r="CB1385" s="147"/>
      <c r="CC1385" s="147"/>
      <c r="CD1385" s="147"/>
      <c r="CE1385" s="147"/>
      <c r="CF1385" s="147"/>
      <c r="CG1385" s="147"/>
      <c r="CH1385" s="147"/>
      <c r="CI1385" s="147"/>
      <c r="CJ1385" s="147"/>
      <c r="CK1385" s="147"/>
    </row>
    <row r="1386" spans="1:89">
      <c r="A1386" s="157"/>
      <c r="F1386" s="3"/>
      <c r="G1386" s="3"/>
      <c r="L1386" s="157"/>
      <c r="M1386" s="157"/>
      <c r="O1386" s="147"/>
      <c r="P1386" s="147"/>
      <c r="Q1386" s="147"/>
      <c r="R1386" s="147"/>
      <c r="S1386" s="147"/>
      <c r="T1386" s="147"/>
      <c r="U1386" s="147"/>
      <c r="V1386" s="147"/>
      <c r="W1386" s="147"/>
      <c r="X1386" s="147"/>
      <c r="Y1386" s="147"/>
      <c r="Z1386" s="147"/>
      <c r="AA1386" s="147"/>
      <c r="AB1386" s="147"/>
      <c r="AC1386" s="147"/>
      <c r="AD1386" s="147"/>
      <c r="AE1386" s="147"/>
      <c r="AF1386" s="147"/>
      <c r="AG1386" s="147"/>
      <c r="AH1386" s="147"/>
      <c r="AI1386" s="147"/>
      <c r="AJ1386" s="147"/>
      <c r="AK1386" s="147"/>
      <c r="AL1386" s="147"/>
      <c r="AM1386" s="151"/>
      <c r="AN1386" s="147"/>
      <c r="AO1386" s="147"/>
      <c r="AP1386" s="147"/>
      <c r="AQ1386" s="147"/>
      <c r="AR1386" s="147"/>
      <c r="AS1386" s="147"/>
      <c r="AT1386" s="147"/>
      <c r="AU1386" s="147"/>
      <c r="AV1386" s="147"/>
      <c r="AW1386" s="147"/>
      <c r="AX1386" s="147"/>
      <c r="AY1386" s="147"/>
      <c r="AZ1386" s="147"/>
      <c r="BA1386" s="147"/>
      <c r="BB1386" s="147"/>
      <c r="BC1386" s="147"/>
      <c r="BD1386" s="147"/>
      <c r="BE1386" s="147"/>
      <c r="BF1386" s="147"/>
      <c r="BG1386" s="147"/>
      <c r="BH1386" s="147"/>
      <c r="BI1386" s="147"/>
      <c r="BJ1386" s="147"/>
      <c r="BK1386" s="147"/>
      <c r="BL1386" s="147"/>
      <c r="BM1386" s="147"/>
      <c r="BN1386" s="147"/>
      <c r="BO1386" s="147"/>
      <c r="BP1386" s="147"/>
      <c r="BQ1386" s="147"/>
      <c r="BR1386" s="147"/>
      <c r="BS1386" s="147"/>
      <c r="BT1386" s="147"/>
      <c r="BU1386" s="147"/>
      <c r="BV1386" s="147"/>
      <c r="BW1386" s="147"/>
      <c r="BX1386" s="147"/>
      <c r="BY1386" s="147"/>
      <c r="BZ1386" s="147"/>
      <c r="CA1386" s="147"/>
      <c r="CB1386" s="147"/>
      <c r="CC1386" s="147"/>
      <c r="CD1386" s="147"/>
      <c r="CE1386" s="147"/>
      <c r="CF1386" s="147"/>
      <c r="CG1386" s="147"/>
      <c r="CH1386" s="147"/>
      <c r="CI1386" s="147"/>
      <c r="CJ1386" s="147"/>
      <c r="CK1386" s="147"/>
    </row>
    <row r="1387" spans="1:89">
      <c r="A1387" s="157"/>
      <c r="F1387" s="3"/>
      <c r="G1387" s="3"/>
      <c r="L1387" s="157"/>
      <c r="M1387" s="157"/>
      <c r="O1387" s="147"/>
      <c r="P1387" s="147"/>
      <c r="Q1387" s="147"/>
      <c r="R1387" s="147"/>
      <c r="S1387" s="147"/>
      <c r="T1387" s="147"/>
      <c r="U1387" s="147"/>
      <c r="V1387" s="147"/>
      <c r="W1387" s="147"/>
      <c r="X1387" s="147"/>
      <c r="Y1387" s="147"/>
      <c r="Z1387" s="147"/>
      <c r="AA1387" s="147"/>
      <c r="AB1387" s="147"/>
      <c r="AC1387" s="147"/>
      <c r="AD1387" s="147"/>
      <c r="AE1387" s="147"/>
      <c r="AF1387" s="147"/>
      <c r="AG1387" s="147"/>
      <c r="AH1387" s="147"/>
      <c r="AI1387" s="147"/>
      <c r="AJ1387" s="147"/>
      <c r="AK1387" s="147"/>
      <c r="AL1387" s="147"/>
      <c r="AM1387" s="151"/>
      <c r="AN1387" s="147"/>
      <c r="AO1387" s="147"/>
      <c r="AP1387" s="147"/>
      <c r="AQ1387" s="147"/>
      <c r="AR1387" s="147"/>
      <c r="AS1387" s="147"/>
      <c r="AT1387" s="147"/>
      <c r="AU1387" s="147"/>
      <c r="AV1387" s="147"/>
      <c r="AW1387" s="147"/>
      <c r="AX1387" s="147"/>
      <c r="AY1387" s="147"/>
      <c r="AZ1387" s="147"/>
      <c r="BA1387" s="147"/>
      <c r="BB1387" s="147"/>
      <c r="BC1387" s="147"/>
      <c r="BD1387" s="147"/>
      <c r="BE1387" s="147"/>
      <c r="BF1387" s="147"/>
      <c r="BG1387" s="147"/>
      <c r="BH1387" s="147"/>
      <c r="BI1387" s="147"/>
      <c r="BJ1387" s="147"/>
      <c r="BK1387" s="147"/>
      <c r="BL1387" s="147"/>
      <c r="BM1387" s="147"/>
      <c r="BN1387" s="147"/>
      <c r="BO1387" s="147"/>
      <c r="BP1387" s="147"/>
      <c r="BQ1387" s="147"/>
      <c r="BR1387" s="147"/>
      <c r="BS1387" s="147"/>
      <c r="BT1387" s="147"/>
      <c r="BU1387" s="147"/>
      <c r="BV1387" s="147"/>
      <c r="BW1387" s="147"/>
      <c r="BX1387" s="147"/>
      <c r="BY1387" s="147"/>
      <c r="BZ1387" s="147"/>
      <c r="CA1387" s="147"/>
      <c r="CB1387" s="147"/>
      <c r="CC1387" s="147"/>
      <c r="CD1387" s="147"/>
      <c r="CE1387" s="147"/>
      <c r="CF1387" s="147"/>
      <c r="CG1387" s="147"/>
      <c r="CH1387" s="147"/>
      <c r="CI1387" s="147"/>
      <c r="CJ1387" s="147"/>
      <c r="CK1387" s="147"/>
    </row>
    <row r="1388" spans="1:89">
      <c r="A1388" s="157"/>
      <c r="F1388" s="3"/>
      <c r="G1388" s="3"/>
      <c r="L1388" s="157"/>
      <c r="M1388" s="157"/>
      <c r="O1388" s="147"/>
      <c r="P1388" s="147"/>
      <c r="Q1388" s="147"/>
      <c r="R1388" s="147"/>
      <c r="S1388" s="147"/>
      <c r="T1388" s="147"/>
      <c r="U1388" s="147"/>
      <c r="V1388" s="147"/>
      <c r="W1388" s="147"/>
      <c r="X1388" s="147"/>
      <c r="Y1388" s="147"/>
      <c r="Z1388" s="147"/>
      <c r="AA1388" s="147"/>
      <c r="AB1388" s="147"/>
      <c r="AC1388" s="147"/>
      <c r="AD1388" s="147"/>
      <c r="AE1388" s="147"/>
      <c r="AF1388" s="147"/>
      <c r="AG1388" s="147"/>
      <c r="AH1388" s="147"/>
      <c r="AI1388" s="147"/>
      <c r="AJ1388" s="147"/>
      <c r="AK1388" s="147"/>
      <c r="AL1388" s="147"/>
      <c r="AM1388" s="151"/>
      <c r="AN1388" s="147"/>
      <c r="AO1388" s="147"/>
      <c r="AP1388" s="147"/>
      <c r="AQ1388" s="147"/>
      <c r="AR1388" s="147"/>
      <c r="AS1388" s="147"/>
      <c r="AT1388" s="147"/>
      <c r="AU1388" s="147"/>
      <c r="AV1388" s="147"/>
      <c r="AW1388" s="147"/>
      <c r="AX1388" s="147"/>
      <c r="AY1388" s="147"/>
      <c r="AZ1388" s="147"/>
      <c r="BA1388" s="147"/>
      <c r="BB1388" s="147"/>
      <c r="BC1388" s="147"/>
      <c r="BD1388" s="147"/>
      <c r="BE1388" s="147"/>
      <c r="BF1388" s="147"/>
      <c r="BG1388" s="147"/>
      <c r="BH1388" s="147"/>
      <c r="BI1388" s="147"/>
      <c r="BJ1388" s="147"/>
      <c r="BK1388" s="147"/>
      <c r="BL1388" s="147"/>
      <c r="BM1388" s="147"/>
      <c r="BN1388" s="147"/>
      <c r="BO1388" s="147"/>
      <c r="BP1388" s="147"/>
      <c r="BQ1388" s="147"/>
      <c r="BR1388" s="147"/>
      <c r="BS1388" s="147"/>
      <c r="BT1388" s="147"/>
      <c r="BU1388" s="147"/>
      <c r="BV1388" s="147"/>
      <c r="BW1388" s="147"/>
      <c r="BX1388" s="147"/>
      <c r="BY1388" s="147"/>
      <c r="BZ1388" s="147"/>
      <c r="CA1388" s="147"/>
      <c r="CB1388" s="147"/>
      <c r="CC1388" s="147"/>
      <c r="CD1388" s="147"/>
      <c r="CE1388" s="147"/>
      <c r="CF1388" s="147"/>
      <c r="CG1388" s="147"/>
      <c r="CH1388" s="147"/>
      <c r="CI1388" s="147"/>
      <c r="CJ1388" s="147"/>
      <c r="CK1388" s="147"/>
    </row>
    <row r="1389" spans="1:89">
      <c r="A1389" s="157"/>
      <c r="F1389" s="3"/>
      <c r="G1389" s="3"/>
      <c r="L1389" s="157"/>
      <c r="M1389" s="157"/>
      <c r="O1389" s="147"/>
      <c r="P1389" s="147"/>
      <c r="Q1389" s="147"/>
      <c r="R1389" s="147"/>
      <c r="S1389" s="147"/>
      <c r="T1389" s="147"/>
      <c r="U1389" s="147"/>
      <c r="V1389" s="147"/>
      <c r="W1389" s="147"/>
      <c r="X1389" s="147"/>
      <c r="Y1389" s="147"/>
      <c r="Z1389" s="147"/>
      <c r="AA1389" s="147"/>
      <c r="AB1389" s="147"/>
      <c r="AC1389" s="147"/>
      <c r="AD1389" s="147"/>
      <c r="AE1389" s="147"/>
      <c r="AF1389" s="147"/>
      <c r="AG1389" s="147"/>
      <c r="AH1389" s="147"/>
      <c r="AI1389" s="147"/>
      <c r="AJ1389" s="147"/>
      <c r="AK1389" s="147"/>
      <c r="AL1389" s="147"/>
      <c r="AM1389" s="151"/>
      <c r="AN1389" s="147"/>
      <c r="AO1389" s="147"/>
      <c r="AP1389" s="147"/>
      <c r="AQ1389" s="147"/>
      <c r="AR1389" s="147"/>
      <c r="AS1389" s="147"/>
      <c r="AT1389" s="147"/>
      <c r="AU1389" s="147"/>
      <c r="AV1389" s="147"/>
      <c r="AW1389" s="147"/>
      <c r="AX1389" s="147"/>
      <c r="AY1389" s="147"/>
      <c r="AZ1389" s="147"/>
      <c r="BA1389" s="147"/>
      <c r="BB1389" s="147"/>
      <c r="BC1389" s="147"/>
      <c r="BD1389" s="147"/>
      <c r="BE1389" s="147"/>
      <c r="BF1389" s="147"/>
      <c r="BG1389" s="147"/>
      <c r="BH1389" s="147"/>
      <c r="BI1389" s="147"/>
      <c r="BJ1389" s="147"/>
      <c r="BK1389" s="147"/>
      <c r="BL1389" s="147"/>
      <c r="BM1389" s="147"/>
      <c r="BN1389" s="147"/>
      <c r="BO1389" s="147"/>
      <c r="BP1389" s="147"/>
      <c r="BQ1389" s="147"/>
      <c r="BR1389" s="147"/>
      <c r="BS1389" s="147"/>
      <c r="BT1389" s="147"/>
      <c r="BU1389" s="147"/>
      <c r="BV1389" s="147"/>
      <c r="BW1389" s="147"/>
      <c r="BX1389" s="147"/>
      <c r="BY1389" s="147"/>
      <c r="BZ1389" s="147"/>
      <c r="CA1389" s="147"/>
      <c r="CB1389" s="147"/>
      <c r="CC1389" s="147"/>
      <c r="CD1389" s="147"/>
      <c r="CE1389" s="147"/>
      <c r="CF1389" s="147"/>
      <c r="CG1389" s="147"/>
      <c r="CH1389" s="147"/>
      <c r="CI1389" s="147"/>
      <c r="CJ1389" s="147"/>
      <c r="CK1389" s="147"/>
    </row>
    <row r="1390" spans="1:89">
      <c r="A1390" s="157"/>
      <c r="F1390" s="3"/>
      <c r="G1390" s="3"/>
      <c r="L1390" s="157"/>
      <c r="M1390" s="157"/>
      <c r="O1390" s="147"/>
      <c r="P1390" s="147"/>
      <c r="Q1390" s="147"/>
      <c r="R1390" s="147"/>
      <c r="S1390" s="147"/>
      <c r="T1390" s="147"/>
      <c r="U1390" s="147"/>
      <c r="V1390" s="147"/>
      <c r="W1390" s="147"/>
      <c r="X1390" s="147"/>
      <c r="Y1390" s="147"/>
      <c r="Z1390" s="147"/>
      <c r="AA1390" s="147"/>
      <c r="AB1390" s="147"/>
      <c r="AC1390" s="147"/>
      <c r="AD1390" s="147"/>
      <c r="AE1390" s="147"/>
      <c r="AF1390" s="147"/>
      <c r="AG1390" s="147"/>
      <c r="AH1390" s="147"/>
      <c r="AI1390" s="147"/>
      <c r="AJ1390" s="147"/>
      <c r="AK1390" s="147"/>
      <c r="AL1390" s="147"/>
      <c r="AM1390" s="151"/>
      <c r="AN1390" s="147"/>
      <c r="AO1390" s="147"/>
      <c r="AP1390" s="147"/>
      <c r="AQ1390" s="147"/>
      <c r="AR1390" s="147"/>
      <c r="AS1390" s="147"/>
      <c r="AT1390" s="147"/>
      <c r="AU1390" s="147"/>
      <c r="AV1390" s="147"/>
      <c r="AW1390" s="147"/>
      <c r="AX1390" s="147"/>
      <c r="AY1390" s="147"/>
      <c r="AZ1390" s="147"/>
      <c r="BA1390" s="147"/>
      <c r="BB1390" s="147"/>
      <c r="BC1390" s="147"/>
      <c r="BD1390" s="147"/>
      <c r="BE1390" s="147"/>
      <c r="BF1390" s="147"/>
      <c r="BG1390" s="147"/>
      <c r="BH1390" s="147"/>
      <c r="BI1390" s="147"/>
      <c r="BJ1390" s="147"/>
      <c r="BK1390" s="147"/>
      <c r="BL1390" s="147"/>
      <c r="BM1390" s="147"/>
      <c r="BN1390" s="147"/>
      <c r="BO1390" s="147"/>
      <c r="BP1390" s="147"/>
      <c r="BQ1390" s="147"/>
      <c r="BR1390" s="147"/>
      <c r="BS1390" s="147"/>
      <c r="BT1390" s="147"/>
      <c r="BU1390" s="147"/>
      <c r="BV1390" s="147"/>
      <c r="BW1390" s="147"/>
      <c r="BX1390" s="147"/>
      <c r="BY1390" s="147"/>
      <c r="BZ1390" s="147"/>
      <c r="CA1390" s="147"/>
      <c r="CB1390" s="147"/>
      <c r="CC1390" s="147"/>
      <c r="CD1390" s="147"/>
      <c r="CE1390" s="147"/>
      <c r="CF1390" s="147"/>
      <c r="CG1390" s="147"/>
      <c r="CH1390" s="147"/>
      <c r="CI1390" s="147"/>
      <c r="CJ1390" s="147"/>
      <c r="CK1390" s="147"/>
    </row>
    <row r="1391" spans="1:89">
      <c r="A1391" s="157"/>
      <c r="F1391" s="3"/>
      <c r="G1391" s="3"/>
      <c r="L1391" s="157"/>
      <c r="M1391" s="157"/>
      <c r="O1391" s="147"/>
      <c r="P1391" s="147"/>
      <c r="Q1391" s="147"/>
      <c r="R1391" s="147"/>
      <c r="S1391" s="147"/>
      <c r="T1391" s="147"/>
      <c r="U1391" s="147"/>
      <c r="V1391" s="147"/>
      <c r="W1391" s="147"/>
      <c r="X1391" s="147"/>
      <c r="Y1391" s="147"/>
      <c r="Z1391" s="147"/>
      <c r="AA1391" s="147"/>
      <c r="AB1391" s="147"/>
      <c r="AC1391" s="147"/>
      <c r="AD1391" s="147"/>
      <c r="AE1391" s="147"/>
      <c r="AF1391" s="147"/>
      <c r="AG1391" s="147"/>
      <c r="AH1391" s="147"/>
      <c r="AI1391" s="147"/>
      <c r="AJ1391" s="147"/>
      <c r="AK1391" s="147"/>
      <c r="AL1391" s="147"/>
      <c r="AM1391" s="151"/>
      <c r="AN1391" s="147"/>
      <c r="AO1391" s="147"/>
      <c r="AP1391" s="147"/>
      <c r="AQ1391" s="147"/>
      <c r="AR1391" s="147"/>
      <c r="AS1391" s="147"/>
      <c r="AT1391" s="147"/>
      <c r="AU1391" s="147"/>
      <c r="AV1391" s="147"/>
      <c r="AW1391" s="147"/>
      <c r="AX1391" s="147"/>
      <c r="AY1391" s="147"/>
      <c r="AZ1391" s="147"/>
      <c r="BA1391" s="147"/>
      <c r="BB1391" s="147"/>
      <c r="BC1391" s="147"/>
      <c r="BD1391" s="147"/>
      <c r="BE1391" s="147"/>
      <c r="BF1391" s="147"/>
      <c r="BG1391" s="147"/>
      <c r="BH1391" s="147"/>
      <c r="BI1391" s="147"/>
      <c r="BJ1391" s="147"/>
      <c r="BK1391" s="147"/>
      <c r="BL1391" s="147"/>
      <c r="BM1391" s="147"/>
      <c r="BN1391" s="147"/>
      <c r="BO1391" s="147"/>
      <c r="BP1391" s="147"/>
      <c r="BQ1391" s="147"/>
      <c r="BR1391" s="147"/>
      <c r="BS1391" s="147"/>
      <c r="BT1391" s="147"/>
      <c r="BU1391" s="147"/>
      <c r="BV1391" s="147"/>
      <c r="BW1391" s="147"/>
      <c r="BX1391" s="147"/>
      <c r="BY1391" s="147"/>
      <c r="BZ1391" s="147"/>
      <c r="CA1391" s="147"/>
      <c r="CB1391" s="147"/>
      <c r="CC1391" s="147"/>
      <c r="CD1391" s="147"/>
      <c r="CE1391" s="147"/>
      <c r="CF1391" s="147"/>
      <c r="CG1391" s="147"/>
      <c r="CH1391" s="147"/>
      <c r="CI1391" s="147"/>
      <c r="CJ1391" s="147"/>
      <c r="CK1391" s="147"/>
    </row>
    <row r="1392" spans="1:89">
      <c r="A1392" s="157"/>
      <c r="F1392" s="3"/>
      <c r="G1392" s="3"/>
      <c r="L1392" s="157"/>
      <c r="M1392" s="157"/>
      <c r="O1392" s="147"/>
      <c r="P1392" s="147"/>
      <c r="Q1392" s="147"/>
      <c r="R1392" s="147"/>
      <c r="S1392" s="147"/>
      <c r="T1392" s="147"/>
      <c r="U1392" s="147"/>
      <c r="V1392" s="147"/>
      <c r="W1392" s="147"/>
      <c r="X1392" s="147"/>
      <c r="Y1392" s="147"/>
      <c r="Z1392" s="147"/>
      <c r="AA1392" s="147"/>
      <c r="AB1392" s="147"/>
      <c r="AC1392" s="147"/>
      <c r="AD1392" s="147"/>
      <c r="AE1392" s="147"/>
      <c r="AF1392" s="147"/>
      <c r="AG1392" s="147"/>
      <c r="AH1392" s="147"/>
      <c r="AI1392" s="147"/>
      <c r="AJ1392" s="147"/>
      <c r="AK1392" s="147"/>
      <c r="AL1392" s="147"/>
      <c r="AM1392" s="151"/>
      <c r="AN1392" s="147"/>
      <c r="AO1392" s="147"/>
      <c r="AP1392" s="147"/>
      <c r="AQ1392" s="147"/>
      <c r="AR1392" s="147"/>
      <c r="AS1392" s="147"/>
      <c r="AT1392" s="147"/>
      <c r="AU1392" s="147"/>
      <c r="AV1392" s="147"/>
      <c r="AW1392" s="147"/>
      <c r="AX1392" s="147"/>
      <c r="AY1392" s="147"/>
      <c r="AZ1392" s="147"/>
      <c r="BA1392" s="147"/>
      <c r="BB1392" s="147"/>
      <c r="BC1392" s="147"/>
      <c r="BD1392" s="147"/>
      <c r="BE1392" s="147"/>
      <c r="BF1392" s="147"/>
      <c r="BG1392" s="147"/>
      <c r="BH1392" s="147"/>
      <c r="BI1392" s="147"/>
      <c r="BJ1392" s="147"/>
      <c r="BK1392" s="147"/>
      <c r="BL1392" s="147"/>
      <c r="BM1392" s="147"/>
      <c r="BN1392" s="147"/>
      <c r="BO1392" s="147"/>
      <c r="BP1392" s="147"/>
      <c r="BQ1392" s="147"/>
      <c r="BR1392" s="147"/>
      <c r="BS1392" s="147"/>
      <c r="BT1392" s="147"/>
      <c r="BU1392" s="147"/>
      <c r="BV1392" s="147"/>
      <c r="BW1392" s="147"/>
      <c r="BX1392" s="147"/>
      <c r="BY1392" s="147"/>
      <c r="BZ1392" s="147"/>
      <c r="CA1392" s="147"/>
      <c r="CB1392" s="147"/>
      <c r="CC1392" s="147"/>
      <c r="CD1392" s="147"/>
      <c r="CE1392" s="147"/>
      <c r="CF1392" s="147"/>
      <c r="CG1392" s="147"/>
      <c r="CH1392" s="147"/>
      <c r="CI1392" s="147"/>
      <c r="CJ1392" s="147"/>
      <c r="CK1392" s="147"/>
    </row>
    <row r="1393" spans="1:89">
      <c r="A1393" s="157"/>
      <c r="F1393" s="3"/>
      <c r="G1393" s="3"/>
      <c r="L1393" s="157"/>
      <c r="M1393" s="157"/>
      <c r="O1393" s="147"/>
      <c r="P1393" s="147"/>
      <c r="Q1393" s="147"/>
      <c r="R1393" s="147"/>
      <c r="S1393" s="147"/>
      <c r="T1393" s="147"/>
      <c r="U1393" s="147"/>
      <c r="V1393" s="147"/>
      <c r="W1393" s="147"/>
      <c r="X1393" s="147"/>
      <c r="Y1393" s="147"/>
      <c r="Z1393" s="147"/>
      <c r="AA1393" s="147"/>
      <c r="AB1393" s="147"/>
      <c r="AC1393" s="147"/>
      <c r="AD1393" s="147"/>
      <c r="AE1393" s="147"/>
      <c r="AF1393" s="147"/>
      <c r="AG1393" s="147"/>
      <c r="AH1393" s="147"/>
      <c r="AI1393" s="147"/>
      <c r="AJ1393" s="147"/>
      <c r="AK1393" s="147"/>
      <c r="AL1393" s="147"/>
      <c r="AM1393" s="151"/>
      <c r="AN1393" s="147"/>
      <c r="AO1393" s="147"/>
      <c r="AP1393" s="147"/>
      <c r="AQ1393" s="147"/>
      <c r="AR1393" s="147"/>
      <c r="AS1393" s="147"/>
      <c r="AT1393" s="147"/>
      <c r="AU1393" s="147"/>
      <c r="AV1393" s="147"/>
      <c r="AW1393" s="147"/>
      <c r="AX1393" s="147"/>
      <c r="AY1393" s="147"/>
      <c r="AZ1393" s="147"/>
      <c r="BA1393" s="147"/>
      <c r="BB1393" s="147"/>
      <c r="BC1393" s="147"/>
      <c r="BD1393" s="147"/>
      <c r="BE1393" s="147"/>
      <c r="BF1393" s="147"/>
      <c r="BG1393" s="147"/>
      <c r="BH1393" s="147"/>
      <c r="BI1393" s="147"/>
      <c r="BJ1393" s="147"/>
      <c r="BK1393" s="147"/>
      <c r="BL1393" s="147"/>
      <c r="BM1393" s="147"/>
      <c r="BN1393" s="147"/>
      <c r="BO1393" s="147"/>
      <c r="BP1393" s="147"/>
      <c r="BQ1393" s="147"/>
      <c r="BR1393" s="147"/>
      <c r="BS1393" s="147"/>
      <c r="BT1393" s="147"/>
      <c r="BU1393" s="147"/>
      <c r="BV1393" s="147"/>
      <c r="BW1393" s="147"/>
      <c r="BX1393" s="147"/>
      <c r="BY1393" s="147"/>
      <c r="BZ1393" s="147"/>
      <c r="CA1393" s="147"/>
      <c r="CB1393" s="147"/>
      <c r="CC1393" s="147"/>
      <c r="CD1393" s="147"/>
      <c r="CE1393" s="147"/>
      <c r="CF1393" s="147"/>
      <c r="CG1393" s="147"/>
      <c r="CH1393" s="147"/>
      <c r="CI1393" s="147"/>
      <c r="CJ1393" s="147"/>
      <c r="CK1393" s="147"/>
    </row>
    <row r="1394" spans="1:89">
      <c r="A1394" s="157"/>
      <c r="F1394" s="3"/>
      <c r="G1394" s="3"/>
      <c r="L1394" s="157"/>
      <c r="M1394" s="157"/>
      <c r="O1394" s="147"/>
      <c r="P1394" s="147"/>
      <c r="Q1394" s="147"/>
      <c r="R1394" s="147"/>
      <c r="S1394" s="147"/>
      <c r="T1394" s="147"/>
      <c r="U1394" s="147"/>
      <c r="V1394" s="147"/>
      <c r="W1394" s="147"/>
      <c r="X1394" s="147"/>
      <c r="Y1394" s="147"/>
      <c r="Z1394" s="147"/>
      <c r="AA1394" s="147"/>
      <c r="AB1394" s="147"/>
      <c r="AC1394" s="147"/>
      <c r="AD1394" s="147"/>
      <c r="AE1394" s="147"/>
      <c r="AF1394" s="147"/>
      <c r="AG1394" s="147"/>
      <c r="AH1394" s="147"/>
      <c r="AI1394" s="147"/>
      <c r="AJ1394" s="147"/>
      <c r="AK1394" s="147"/>
      <c r="AL1394" s="147"/>
      <c r="AM1394" s="151"/>
      <c r="AN1394" s="147"/>
      <c r="AO1394" s="147"/>
      <c r="AP1394" s="147"/>
      <c r="AQ1394" s="147"/>
      <c r="AR1394" s="147"/>
      <c r="AS1394" s="147"/>
      <c r="AT1394" s="147"/>
      <c r="AU1394" s="147"/>
      <c r="AV1394" s="147"/>
      <c r="AW1394" s="147"/>
      <c r="AX1394" s="147"/>
      <c r="AY1394" s="147"/>
      <c r="AZ1394" s="147"/>
      <c r="BA1394" s="147"/>
      <c r="BB1394" s="147"/>
      <c r="BC1394" s="147"/>
      <c r="BD1394" s="147"/>
      <c r="BE1394" s="147"/>
      <c r="BF1394" s="147"/>
      <c r="BG1394" s="147"/>
      <c r="BH1394" s="147"/>
      <c r="BI1394" s="147"/>
      <c r="BJ1394" s="147"/>
      <c r="BK1394" s="147"/>
      <c r="BL1394" s="147"/>
      <c r="BM1394" s="147"/>
      <c r="BN1394" s="147"/>
      <c r="BO1394" s="147"/>
      <c r="BP1394" s="147"/>
      <c r="BQ1394" s="147"/>
      <c r="BR1394" s="147"/>
      <c r="BS1394" s="147"/>
      <c r="BT1394" s="147"/>
      <c r="BU1394" s="147"/>
      <c r="BV1394" s="147"/>
      <c r="BW1394" s="147"/>
      <c r="BX1394" s="147"/>
      <c r="BY1394" s="147"/>
      <c r="BZ1394" s="147"/>
      <c r="CA1394" s="147"/>
      <c r="CB1394" s="147"/>
      <c r="CC1394" s="147"/>
      <c r="CD1394" s="147"/>
      <c r="CE1394" s="147"/>
      <c r="CF1394" s="147"/>
      <c r="CG1394" s="147"/>
      <c r="CH1394" s="147"/>
      <c r="CI1394" s="147"/>
      <c r="CJ1394" s="147"/>
      <c r="CK1394" s="147"/>
    </row>
    <row r="1395" spans="1:89">
      <c r="A1395" s="157"/>
      <c r="F1395" s="3"/>
      <c r="G1395" s="3"/>
      <c r="L1395" s="157"/>
      <c r="M1395" s="157"/>
      <c r="O1395" s="147"/>
      <c r="P1395" s="147"/>
      <c r="Q1395" s="147"/>
      <c r="R1395" s="147"/>
      <c r="S1395" s="147"/>
      <c r="T1395" s="147"/>
      <c r="U1395" s="147"/>
      <c r="V1395" s="147"/>
      <c r="W1395" s="147"/>
      <c r="X1395" s="147"/>
      <c r="Y1395" s="147"/>
      <c r="Z1395" s="147"/>
      <c r="AA1395" s="147"/>
      <c r="AB1395" s="147"/>
      <c r="AC1395" s="147"/>
      <c r="AD1395" s="147"/>
      <c r="AE1395" s="147"/>
      <c r="AF1395" s="147"/>
      <c r="AG1395" s="147"/>
      <c r="AH1395" s="147"/>
      <c r="AI1395" s="147"/>
      <c r="AJ1395" s="147"/>
      <c r="AK1395" s="147"/>
      <c r="AL1395" s="147"/>
      <c r="AM1395" s="151"/>
      <c r="AN1395" s="147"/>
      <c r="AO1395" s="147"/>
      <c r="AP1395" s="147"/>
      <c r="AQ1395" s="147"/>
      <c r="AR1395" s="147"/>
      <c r="AS1395" s="147"/>
      <c r="AT1395" s="147"/>
      <c r="AU1395" s="147"/>
      <c r="AV1395" s="147"/>
      <c r="AW1395" s="147"/>
      <c r="AX1395" s="147"/>
      <c r="AY1395" s="147"/>
      <c r="AZ1395" s="147"/>
      <c r="BA1395" s="147"/>
      <c r="BB1395" s="147"/>
      <c r="BC1395" s="147"/>
      <c r="BD1395" s="147"/>
      <c r="BE1395" s="147"/>
      <c r="BF1395" s="147"/>
      <c r="BG1395" s="147"/>
      <c r="BH1395" s="147"/>
      <c r="BI1395" s="147"/>
      <c r="BJ1395" s="147"/>
      <c r="BK1395" s="147"/>
      <c r="BL1395" s="147"/>
      <c r="BM1395" s="147"/>
      <c r="BN1395" s="147"/>
      <c r="BO1395" s="147"/>
      <c r="BP1395" s="147"/>
      <c r="BQ1395" s="147"/>
      <c r="BR1395" s="147"/>
      <c r="BS1395" s="147"/>
      <c r="BT1395" s="147"/>
      <c r="BU1395" s="147"/>
      <c r="BV1395" s="147"/>
      <c r="BW1395" s="147"/>
      <c r="BX1395" s="147"/>
      <c r="BY1395" s="147"/>
      <c r="BZ1395" s="147"/>
      <c r="CA1395" s="147"/>
      <c r="CB1395" s="147"/>
      <c r="CC1395" s="147"/>
      <c r="CD1395" s="147"/>
      <c r="CE1395" s="147"/>
      <c r="CF1395" s="147"/>
      <c r="CG1395" s="147"/>
      <c r="CH1395" s="147"/>
      <c r="CI1395" s="147"/>
      <c r="CJ1395" s="147"/>
      <c r="CK1395" s="147"/>
    </row>
    <row r="1396" spans="1:89">
      <c r="A1396" s="157"/>
      <c r="F1396" s="3"/>
      <c r="G1396" s="3"/>
      <c r="L1396" s="157"/>
      <c r="M1396" s="157"/>
      <c r="O1396" s="147"/>
      <c r="P1396" s="147"/>
      <c r="Q1396" s="147"/>
      <c r="R1396" s="147"/>
      <c r="S1396" s="147"/>
      <c r="T1396" s="147"/>
      <c r="U1396" s="147"/>
      <c r="V1396" s="147"/>
      <c r="W1396" s="147"/>
      <c r="X1396" s="147"/>
      <c r="Y1396" s="147"/>
      <c r="Z1396" s="147"/>
      <c r="AA1396" s="147"/>
      <c r="AB1396" s="147"/>
      <c r="AC1396" s="147"/>
      <c r="AD1396" s="147"/>
      <c r="AE1396" s="147"/>
      <c r="AF1396" s="147"/>
      <c r="AG1396" s="147"/>
      <c r="AH1396" s="147"/>
      <c r="AI1396" s="147"/>
      <c r="AJ1396" s="147"/>
      <c r="AK1396" s="147"/>
      <c r="AL1396" s="147"/>
      <c r="AM1396" s="151"/>
      <c r="AN1396" s="147"/>
      <c r="AO1396" s="147"/>
      <c r="AP1396" s="147"/>
      <c r="AQ1396" s="147"/>
      <c r="AR1396" s="147"/>
      <c r="AS1396" s="147"/>
      <c r="AT1396" s="147"/>
      <c r="AU1396" s="147"/>
      <c r="AV1396" s="147"/>
      <c r="AW1396" s="147"/>
      <c r="AX1396" s="147"/>
      <c r="AY1396" s="147"/>
      <c r="AZ1396" s="147"/>
      <c r="BA1396" s="147"/>
      <c r="BB1396" s="147"/>
      <c r="BC1396" s="147"/>
      <c r="BD1396" s="147"/>
      <c r="BE1396" s="147"/>
      <c r="BF1396" s="147"/>
      <c r="BG1396" s="147"/>
      <c r="BH1396" s="147"/>
      <c r="BI1396" s="147"/>
      <c r="BJ1396" s="147"/>
      <c r="BK1396" s="147"/>
      <c r="BL1396" s="147"/>
      <c r="BM1396" s="147"/>
      <c r="BN1396" s="147"/>
      <c r="BO1396" s="147"/>
      <c r="BP1396" s="147"/>
      <c r="BQ1396" s="147"/>
      <c r="BR1396" s="147"/>
      <c r="BS1396" s="147"/>
      <c r="BT1396" s="147"/>
      <c r="BU1396" s="147"/>
      <c r="BV1396" s="147"/>
      <c r="BW1396" s="147"/>
      <c r="BX1396" s="147"/>
      <c r="BY1396" s="147"/>
      <c r="BZ1396" s="147"/>
      <c r="CA1396" s="147"/>
      <c r="CB1396" s="147"/>
      <c r="CC1396" s="147"/>
      <c r="CD1396" s="147"/>
      <c r="CE1396" s="147"/>
      <c r="CF1396" s="147"/>
      <c r="CG1396" s="147"/>
      <c r="CH1396" s="147"/>
      <c r="CI1396" s="147"/>
      <c r="CJ1396" s="147"/>
      <c r="CK1396" s="147"/>
    </row>
    <row r="1397" spans="1:89">
      <c r="A1397" s="157"/>
      <c r="F1397" s="3"/>
      <c r="G1397" s="3"/>
      <c r="L1397" s="157"/>
      <c r="M1397" s="157"/>
      <c r="O1397" s="147"/>
      <c r="P1397" s="147"/>
      <c r="Q1397" s="147"/>
      <c r="R1397" s="147"/>
      <c r="S1397" s="147"/>
      <c r="T1397" s="147"/>
      <c r="U1397" s="147"/>
      <c r="V1397" s="147"/>
      <c r="W1397" s="147"/>
      <c r="X1397" s="147"/>
      <c r="Y1397" s="147"/>
      <c r="Z1397" s="147"/>
      <c r="AA1397" s="147"/>
      <c r="AB1397" s="147"/>
      <c r="AC1397" s="147"/>
      <c r="AD1397" s="147"/>
      <c r="AE1397" s="147"/>
      <c r="AF1397" s="147"/>
      <c r="AG1397" s="147"/>
      <c r="AH1397" s="147"/>
      <c r="AI1397" s="147"/>
      <c r="AJ1397" s="147"/>
      <c r="AK1397" s="147"/>
      <c r="AL1397" s="147"/>
      <c r="AM1397" s="151"/>
      <c r="AN1397" s="147"/>
      <c r="AO1397" s="147"/>
      <c r="AP1397" s="147"/>
      <c r="AQ1397" s="147"/>
      <c r="AR1397" s="147"/>
      <c r="AS1397" s="147"/>
      <c r="AT1397" s="147"/>
      <c r="AU1397" s="147"/>
      <c r="AV1397" s="147"/>
      <c r="AW1397" s="147"/>
      <c r="AX1397" s="147"/>
      <c r="AY1397" s="147"/>
      <c r="AZ1397" s="147"/>
      <c r="BA1397" s="147"/>
      <c r="BB1397" s="147"/>
      <c r="BC1397" s="147"/>
      <c r="BD1397" s="147"/>
      <c r="BE1397" s="147"/>
      <c r="BF1397" s="147"/>
      <c r="BG1397" s="147"/>
      <c r="BH1397" s="147"/>
      <c r="BI1397" s="147"/>
      <c r="BJ1397" s="147"/>
      <c r="BK1397" s="147"/>
      <c r="BL1397" s="147"/>
      <c r="BM1397" s="147"/>
      <c r="BN1397" s="147"/>
      <c r="BO1397" s="147"/>
      <c r="BP1397" s="147"/>
      <c r="BQ1397" s="147"/>
      <c r="BR1397" s="147"/>
      <c r="BS1397" s="147"/>
      <c r="BT1397" s="147"/>
      <c r="BU1397" s="147"/>
      <c r="BV1397" s="147"/>
      <c r="BW1397" s="147"/>
      <c r="BX1397" s="147"/>
      <c r="BY1397" s="147"/>
      <c r="BZ1397" s="147"/>
      <c r="CA1397" s="147"/>
      <c r="CB1397" s="147"/>
      <c r="CC1397" s="147"/>
      <c r="CD1397" s="147"/>
      <c r="CE1397" s="147"/>
      <c r="CF1397" s="147"/>
      <c r="CG1397" s="147"/>
      <c r="CH1397" s="147"/>
      <c r="CI1397" s="147"/>
      <c r="CJ1397" s="147"/>
      <c r="CK1397" s="147"/>
    </row>
    <row r="1398" spans="1:89">
      <c r="A1398" s="157"/>
      <c r="F1398" s="3"/>
      <c r="G1398" s="3"/>
      <c r="L1398" s="157"/>
      <c r="M1398" s="157"/>
      <c r="O1398" s="147"/>
      <c r="P1398" s="147"/>
      <c r="Q1398" s="147"/>
      <c r="R1398" s="147"/>
      <c r="S1398" s="147"/>
      <c r="T1398" s="147"/>
      <c r="U1398" s="147"/>
      <c r="V1398" s="147"/>
      <c r="W1398" s="147"/>
      <c r="X1398" s="147"/>
      <c r="Y1398" s="147"/>
      <c r="Z1398" s="147"/>
      <c r="AA1398" s="147"/>
      <c r="AB1398" s="147"/>
      <c r="AC1398" s="147"/>
      <c r="AD1398" s="147"/>
      <c r="AE1398" s="147"/>
      <c r="AF1398" s="147"/>
      <c r="AG1398" s="147"/>
      <c r="AH1398" s="147"/>
      <c r="AI1398" s="147"/>
      <c r="AJ1398" s="147"/>
      <c r="AK1398" s="147"/>
      <c r="AL1398" s="147"/>
      <c r="AM1398" s="151"/>
      <c r="AN1398" s="147"/>
      <c r="AO1398" s="147"/>
      <c r="AP1398" s="147"/>
      <c r="AQ1398" s="147"/>
      <c r="AR1398" s="147"/>
      <c r="AS1398" s="147"/>
      <c r="AT1398" s="147"/>
      <c r="AU1398" s="147"/>
      <c r="AV1398" s="147"/>
      <c r="AW1398" s="147"/>
      <c r="AX1398" s="147"/>
      <c r="AY1398" s="147"/>
      <c r="AZ1398" s="147"/>
      <c r="BA1398" s="147"/>
      <c r="BB1398" s="147"/>
      <c r="BC1398" s="147"/>
      <c r="BD1398" s="147"/>
      <c r="BE1398" s="147"/>
      <c r="BF1398" s="147"/>
      <c r="BG1398" s="147"/>
      <c r="BH1398" s="147"/>
      <c r="BI1398" s="147"/>
      <c r="BJ1398" s="147"/>
      <c r="BK1398" s="147"/>
      <c r="BL1398" s="147"/>
      <c r="BM1398" s="147"/>
      <c r="BN1398" s="147"/>
      <c r="BO1398" s="147"/>
      <c r="BP1398" s="147"/>
      <c r="BQ1398" s="147"/>
      <c r="BR1398" s="147"/>
      <c r="BS1398" s="147"/>
      <c r="BT1398" s="147"/>
      <c r="BU1398" s="147"/>
      <c r="BV1398" s="147"/>
      <c r="BW1398" s="147"/>
      <c r="BX1398" s="147"/>
      <c r="BY1398" s="147"/>
      <c r="BZ1398" s="147"/>
      <c r="CA1398" s="147"/>
      <c r="CB1398" s="147"/>
      <c r="CC1398" s="147"/>
      <c r="CD1398" s="147"/>
      <c r="CE1398" s="147"/>
      <c r="CF1398" s="147"/>
      <c r="CG1398" s="147"/>
      <c r="CH1398" s="147"/>
      <c r="CI1398" s="147"/>
      <c r="CJ1398" s="147"/>
      <c r="CK1398" s="147"/>
    </row>
    <row r="1399" spans="1:89">
      <c r="A1399" s="157"/>
      <c r="F1399" s="3"/>
      <c r="G1399" s="3"/>
      <c r="L1399" s="157"/>
      <c r="M1399" s="157"/>
      <c r="O1399" s="147"/>
      <c r="P1399" s="147"/>
      <c r="Q1399" s="147"/>
      <c r="R1399" s="147"/>
      <c r="S1399" s="147"/>
      <c r="T1399" s="147"/>
      <c r="U1399" s="147"/>
      <c r="V1399" s="147"/>
      <c r="W1399" s="147"/>
      <c r="X1399" s="147"/>
      <c r="Y1399" s="147"/>
      <c r="Z1399" s="147"/>
      <c r="AA1399" s="147"/>
      <c r="AB1399" s="147"/>
      <c r="AC1399" s="147"/>
      <c r="AD1399" s="147"/>
      <c r="AE1399" s="147"/>
      <c r="AF1399" s="147"/>
      <c r="AG1399" s="147"/>
      <c r="AH1399" s="147"/>
      <c r="AI1399" s="147"/>
      <c r="AJ1399" s="147"/>
      <c r="AK1399" s="147"/>
      <c r="AL1399" s="147"/>
      <c r="AM1399" s="151"/>
      <c r="AN1399" s="147"/>
      <c r="AO1399" s="147"/>
      <c r="AP1399" s="147"/>
      <c r="AQ1399" s="147"/>
      <c r="AR1399" s="147"/>
      <c r="AS1399" s="147"/>
      <c r="AT1399" s="147"/>
      <c r="AU1399" s="147"/>
      <c r="AV1399" s="147"/>
      <c r="AW1399" s="147"/>
      <c r="AX1399" s="147"/>
      <c r="AY1399" s="147"/>
      <c r="AZ1399" s="147"/>
      <c r="BA1399" s="147"/>
      <c r="BB1399" s="147"/>
      <c r="BC1399" s="147"/>
      <c r="BD1399" s="147"/>
      <c r="BE1399" s="147"/>
      <c r="BF1399" s="147"/>
      <c r="BG1399" s="147"/>
      <c r="BH1399" s="147"/>
      <c r="BI1399" s="147"/>
      <c r="BJ1399" s="147"/>
      <c r="BK1399" s="147"/>
      <c r="BL1399" s="147"/>
      <c r="BM1399" s="147"/>
      <c r="BN1399" s="147"/>
      <c r="BO1399" s="147"/>
      <c r="BP1399" s="147"/>
      <c r="BQ1399" s="147"/>
      <c r="BR1399" s="147"/>
      <c r="BS1399" s="147"/>
      <c r="BT1399" s="147"/>
      <c r="BU1399" s="147"/>
      <c r="BV1399" s="147"/>
      <c r="BW1399" s="147"/>
      <c r="BX1399" s="147"/>
      <c r="BY1399" s="147"/>
      <c r="BZ1399" s="147"/>
      <c r="CA1399" s="147"/>
      <c r="CB1399" s="147"/>
      <c r="CC1399" s="147"/>
      <c r="CD1399" s="147"/>
      <c r="CE1399" s="147"/>
      <c r="CF1399" s="147"/>
      <c r="CG1399" s="147"/>
      <c r="CH1399" s="147"/>
      <c r="CI1399" s="147"/>
      <c r="CJ1399" s="147"/>
      <c r="CK1399" s="147"/>
    </row>
    <row r="1400" spans="1:89">
      <c r="A1400" s="157"/>
      <c r="F1400" s="3"/>
      <c r="G1400" s="3"/>
      <c r="L1400" s="157"/>
      <c r="M1400" s="157"/>
      <c r="O1400" s="147"/>
      <c r="P1400" s="147"/>
      <c r="Q1400" s="147"/>
      <c r="R1400" s="147"/>
      <c r="S1400" s="147"/>
      <c r="T1400" s="147"/>
      <c r="U1400" s="147"/>
      <c r="V1400" s="147"/>
      <c r="W1400" s="147"/>
      <c r="X1400" s="147"/>
      <c r="Y1400" s="147"/>
      <c r="Z1400" s="147"/>
      <c r="AA1400" s="147"/>
      <c r="AB1400" s="147"/>
      <c r="AC1400" s="147"/>
      <c r="AD1400" s="147"/>
      <c r="AE1400" s="147"/>
      <c r="AF1400" s="147"/>
      <c r="AG1400" s="147"/>
      <c r="AH1400" s="147"/>
      <c r="AI1400" s="147"/>
      <c r="AJ1400" s="147"/>
      <c r="AK1400" s="147"/>
      <c r="AL1400" s="147"/>
      <c r="AM1400" s="151"/>
      <c r="AN1400" s="147"/>
      <c r="AO1400" s="147"/>
      <c r="AP1400" s="147"/>
      <c r="AQ1400" s="147"/>
      <c r="AR1400" s="147"/>
      <c r="AS1400" s="147"/>
      <c r="AT1400" s="147"/>
      <c r="AU1400" s="147"/>
      <c r="AV1400" s="147"/>
      <c r="AW1400" s="147"/>
      <c r="AX1400" s="147"/>
      <c r="AY1400" s="147"/>
      <c r="AZ1400" s="147"/>
      <c r="BA1400" s="147"/>
      <c r="BB1400" s="147"/>
      <c r="BC1400" s="147"/>
      <c r="BD1400" s="147"/>
      <c r="BE1400" s="147"/>
      <c r="BF1400" s="147"/>
      <c r="BG1400" s="147"/>
      <c r="BH1400" s="147"/>
      <c r="BI1400" s="147"/>
      <c r="BJ1400" s="147"/>
      <c r="BK1400" s="147"/>
      <c r="BL1400" s="147"/>
      <c r="BM1400" s="147"/>
      <c r="BN1400" s="147"/>
      <c r="BO1400" s="147"/>
      <c r="BP1400" s="147"/>
      <c r="BQ1400" s="147"/>
      <c r="BR1400" s="147"/>
      <c r="BS1400" s="147"/>
      <c r="BT1400" s="147"/>
      <c r="BU1400" s="147"/>
      <c r="BV1400" s="147"/>
      <c r="BW1400" s="147"/>
      <c r="BX1400" s="147"/>
      <c r="BY1400" s="147"/>
      <c r="BZ1400" s="147"/>
      <c r="CA1400" s="147"/>
      <c r="CB1400" s="147"/>
      <c r="CC1400" s="147"/>
      <c r="CD1400" s="147"/>
      <c r="CE1400" s="147"/>
      <c r="CF1400" s="147"/>
      <c r="CG1400" s="147"/>
      <c r="CH1400" s="147"/>
      <c r="CI1400" s="147"/>
      <c r="CJ1400" s="147"/>
      <c r="CK1400" s="147"/>
    </row>
    <row r="1401" spans="1:89">
      <c r="A1401" s="157"/>
      <c r="F1401" s="3"/>
      <c r="G1401" s="3"/>
      <c r="L1401" s="157"/>
      <c r="M1401" s="157"/>
      <c r="O1401" s="147"/>
      <c r="P1401" s="147"/>
      <c r="Q1401" s="147"/>
      <c r="R1401" s="147"/>
      <c r="S1401" s="147"/>
      <c r="T1401" s="147"/>
      <c r="U1401" s="147"/>
      <c r="V1401" s="147"/>
      <c r="W1401" s="147"/>
      <c r="X1401" s="147"/>
      <c r="Y1401" s="147"/>
      <c r="Z1401" s="147"/>
      <c r="AA1401" s="147"/>
      <c r="AB1401" s="147"/>
      <c r="AC1401" s="147"/>
      <c r="AD1401" s="147"/>
      <c r="AE1401" s="147"/>
      <c r="AF1401" s="147"/>
      <c r="AG1401" s="147"/>
      <c r="AH1401" s="147"/>
      <c r="AI1401" s="147"/>
      <c r="AJ1401" s="147"/>
      <c r="AK1401" s="147"/>
      <c r="AL1401" s="147"/>
      <c r="AM1401" s="151"/>
      <c r="AN1401" s="147"/>
      <c r="AO1401" s="147"/>
      <c r="AP1401" s="147"/>
      <c r="AQ1401" s="147"/>
      <c r="AR1401" s="147"/>
      <c r="AS1401" s="147"/>
      <c r="AT1401" s="147"/>
      <c r="AU1401" s="147"/>
      <c r="AV1401" s="147"/>
      <c r="AW1401" s="147"/>
      <c r="AX1401" s="147"/>
      <c r="AY1401" s="147"/>
      <c r="AZ1401" s="147"/>
      <c r="BA1401" s="147"/>
      <c r="BB1401" s="147"/>
      <c r="BC1401" s="147"/>
      <c r="BD1401" s="147"/>
      <c r="BE1401" s="147"/>
      <c r="BF1401" s="147"/>
      <c r="BG1401" s="147"/>
      <c r="BH1401" s="147"/>
      <c r="BI1401" s="147"/>
      <c r="BJ1401" s="147"/>
      <c r="BK1401" s="147"/>
      <c r="BL1401" s="147"/>
      <c r="BM1401" s="147"/>
      <c r="BN1401" s="147"/>
      <c r="BO1401" s="147"/>
      <c r="BP1401" s="147"/>
      <c r="BQ1401" s="147"/>
      <c r="BR1401" s="147"/>
      <c r="BS1401" s="147"/>
      <c r="BT1401" s="147"/>
      <c r="BU1401" s="147"/>
      <c r="BV1401" s="147"/>
      <c r="BW1401" s="147"/>
      <c r="BX1401" s="147"/>
      <c r="BY1401" s="147"/>
      <c r="BZ1401" s="147"/>
      <c r="CA1401" s="147"/>
      <c r="CB1401" s="147"/>
      <c r="CC1401" s="147"/>
      <c r="CD1401" s="147"/>
      <c r="CE1401" s="147"/>
      <c r="CF1401" s="147"/>
      <c r="CG1401" s="147"/>
      <c r="CH1401" s="147"/>
      <c r="CI1401" s="147"/>
      <c r="CJ1401" s="147"/>
      <c r="CK1401" s="147"/>
    </row>
    <row r="1402" spans="1:89">
      <c r="A1402" s="157"/>
      <c r="F1402" s="3"/>
      <c r="G1402" s="3"/>
      <c r="L1402" s="157"/>
      <c r="M1402" s="157"/>
      <c r="O1402" s="147"/>
      <c r="P1402" s="147"/>
      <c r="Q1402" s="147"/>
      <c r="R1402" s="147"/>
      <c r="S1402" s="147"/>
      <c r="T1402" s="147"/>
      <c r="U1402" s="147"/>
      <c r="V1402" s="147"/>
      <c r="W1402" s="147"/>
      <c r="X1402" s="147"/>
      <c r="Y1402" s="147"/>
      <c r="Z1402" s="147"/>
      <c r="AA1402" s="147"/>
      <c r="AB1402" s="147"/>
      <c r="AC1402" s="147"/>
      <c r="AD1402" s="147"/>
      <c r="AE1402" s="147"/>
      <c r="AF1402" s="147"/>
      <c r="AG1402" s="147"/>
      <c r="AH1402" s="147"/>
      <c r="AI1402" s="147"/>
      <c r="AJ1402" s="147"/>
      <c r="AK1402" s="147"/>
      <c r="AL1402" s="147"/>
      <c r="AM1402" s="151"/>
      <c r="AN1402" s="147"/>
      <c r="AO1402" s="147"/>
      <c r="AP1402" s="147"/>
      <c r="AQ1402" s="147"/>
      <c r="AR1402" s="147"/>
      <c r="AS1402" s="147"/>
      <c r="AT1402" s="147"/>
      <c r="AU1402" s="147"/>
      <c r="AV1402" s="147"/>
      <c r="AW1402" s="147"/>
      <c r="AX1402" s="147"/>
      <c r="AY1402" s="147"/>
      <c r="AZ1402" s="147"/>
      <c r="BA1402" s="147"/>
      <c r="BB1402" s="147"/>
      <c r="BC1402" s="147"/>
      <c r="BD1402" s="147"/>
      <c r="BE1402" s="147"/>
      <c r="BF1402" s="147"/>
      <c r="BG1402" s="147"/>
      <c r="BH1402" s="147"/>
      <c r="BI1402" s="147"/>
      <c r="BJ1402" s="147"/>
      <c r="BK1402" s="147"/>
      <c r="BL1402" s="147"/>
      <c r="BM1402" s="147"/>
      <c r="BN1402" s="147"/>
      <c r="BO1402" s="147"/>
      <c r="BP1402" s="147"/>
      <c r="BQ1402" s="147"/>
      <c r="BR1402" s="147"/>
      <c r="BS1402" s="147"/>
      <c r="BT1402" s="147"/>
      <c r="BU1402" s="147"/>
      <c r="BV1402" s="147"/>
      <c r="BW1402" s="147"/>
      <c r="BX1402" s="147"/>
      <c r="BY1402" s="147"/>
      <c r="BZ1402" s="147"/>
      <c r="CA1402" s="147"/>
      <c r="CB1402" s="147"/>
      <c r="CC1402" s="147"/>
      <c r="CD1402" s="147"/>
      <c r="CE1402" s="147"/>
      <c r="CF1402" s="147"/>
      <c r="CG1402" s="147"/>
      <c r="CH1402" s="147"/>
      <c r="CI1402" s="147"/>
      <c r="CJ1402" s="147"/>
      <c r="CK1402" s="147"/>
    </row>
    <row r="1403" spans="1:89">
      <c r="A1403" s="157"/>
      <c r="F1403" s="3"/>
      <c r="G1403" s="3"/>
      <c r="L1403" s="157"/>
      <c r="M1403" s="157"/>
      <c r="O1403" s="147"/>
      <c r="P1403" s="147"/>
      <c r="Q1403" s="147"/>
      <c r="R1403" s="147"/>
      <c r="S1403" s="147"/>
      <c r="T1403" s="147"/>
      <c r="U1403" s="147"/>
      <c r="V1403" s="147"/>
      <c r="W1403" s="147"/>
      <c r="X1403" s="147"/>
      <c r="Y1403" s="147"/>
      <c r="Z1403" s="147"/>
      <c r="AA1403" s="147"/>
      <c r="AB1403" s="147"/>
      <c r="AC1403" s="147"/>
      <c r="AD1403" s="147"/>
      <c r="AE1403" s="147"/>
      <c r="AF1403" s="147"/>
      <c r="AG1403" s="147"/>
      <c r="AH1403" s="147"/>
      <c r="AI1403" s="147"/>
      <c r="AJ1403" s="147"/>
      <c r="AK1403" s="147"/>
      <c r="AL1403" s="147"/>
      <c r="AM1403" s="151"/>
      <c r="AN1403" s="147"/>
      <c r="AO1403" s="147"/>
      <c r="AP1403" s="147"/>
      <c r="AQ1403" s="147"/>
      <c r="AR1403" s="147"/>
      <c r="AS1403" s="147"/>
      <c r="AT1403" s="147"/>
      <c r="AU1403" s="147"/>
      <c r="AV1403" s="147"/>
      <c r="AW1403" s="147"/>
      <c r="AX1403" s="147"/>
      <c r="AY1403" s="147"/>
      <c r="AZ1403" s="147"/>
      <c r="BA1403" s="147"/>
      <c r="BB1403" s="147"/>
      <c r="BC1403" s="147"/>
      <c r="BD1403" s="147"/>
      <c r="BE1403" s="147"/>
      <c r="BF1403" s="147"/>
      <c r="BG1403" s="147"/>
      <c r="BH1403" s="147"/>
      <c r="BI1403" s="147"/>
      <c r="BJ1403" s="147"/>
      <c r="BK1403" s="147"/>
      <c r="BL1403" s="147"/>
      <c r="BM1403" s="147"/>
      <c r="BN1403" s="147"/>
      <c r="BO1403" s="147"/>
      <c r="BP1403" s="147"/>
      <c r="BQ1403" s="147"/>
      <c r="BR1403" s="147"/>
      <c r="BS1403" s="147"/>
      <c r="BT1403" s="147"/>
      <c r="BU1403" s="147"/>
      <c r="BV1403" s="147"/>
      <c r="BW1403" s="147"/>
      <c r="BX1403" s="147"/>
      <c r="BY1403" s="147"/>
      <c r="BZ1403" s="147"/>
      <c r="CA1403" s="147"/>
      <c r="CB1403" s="147"/>
      <c r="CC1403" s="147"/>
      <c r="CD1403" s="147"/>
      <c r="CE1403" s="147"/>
      <c r="CF1403" s="147"/>
      <c r="CG1403" s="147"/>
      <c r="CH1403" s="147"/>
      <c r="CI1403" s="147"/>
      <c r="CJ1403" s="147"/>
      <c r="CK1403" s="147"/>
    </row>
    <row r="1404" spans="1:89">
      <c r="A1404" s="157"/>
      <c r="F1404" s="3"/>
      <c r="G1404" s="3"/>
      <c r="L1404" s="157"/>
      <c r="M1404" s="157"/>
      <c r="O1404" s="147"/>
      <c r="P1404" s="147"/>
      <c r="Q1404" s="147"/>
      <c r="R1404" s="147"/>
      <c r="S1404" s="147"/>
      <c r="T1404" s="147"/>
      <c r="U1404" s="147"/>
      <c r="V1404" s="147"/>
      <c r="W1404" s="147"/>
      <c r="X1404" s="147"/>
      <c r="Y1404" s="147"/>
      <c r="Z1404" s="147"/>
      <c r="AA1404" s="147"/>
      <c r="AB1404" s="147"/>
      <c r="AC1404" s="147"/>
      <c r="AD1404" s="147"/>
      <c r="AE1404" s="147"/>
      <c r="AF1404" s="147"/>
      <c r="AG1404" s="147"/>
      <c r="AH1404" s="147"/>
      <c r="AI1404" s="147"/>
      <c r="AJ1404" s="147"/>
      <c r="AK1404" s="147"/>
      <c r="AL1404" s="147"/>
      <c r="AM1404" s="151"/>
      <c r="AN1404" s="147"/>
      <c r="AO1404" s="147"/>
      <c r="AP1404" s="147"/>
      <c r="AQ1404" s="147"/>
      <c r="AR1404" s="147"/>
      <c r="AS1404" s="147"/>
      <c r="AT1404" s="147"/>
      <c r="AU1404" s="147"/>
      <c r="AV1404" s="147"/>
      <c r="AW1404" s="147"/>
      <c r="AX1404" s="147"/>
      <c r="AY1404" s="147"/>
      <c r="AZ1404" s="147"/>
      <c r="BA1404" s="147"/>
      <c r="BB1404" s="147"/>
      <c r="BC1404" s="147"/>
      <c r="BD1404" s="147"/>
      <c r="BE1404" s="147"/>
      <c r="BF1404" s="147"/>
      <c r="BG1404" s="147"/>
      <c r="BH1404" s="147"/>
      <c r="BI1404" s="147"/>
      <c r="BJ1404" s="147"/>
      <c r="BK1404" s="147"/>
      <c r="BL1404" s="147"/>
      <c r="BM1404" s="147"/>
      <c r="BN1404" s="147"/>
      <c r="BO1404" s="147"/>
      <c r="BP1404" s="147"/>
      <c r="BQ1404" s="147"/>
      <c r="BR1404" s="147"/>
      <c r="BS1404" s="147"/>
      <c r="BT1404" s="147"/>
      <c r="BU1404" s="147"/>
      <c r="BV1404" s="147"/>
      <c r="BW1404" s="147"/>
      <c r="BX1404" s="147"/>
      <c r="BY1404" s="147"/>
      <c r="BZ1404" s="147"/>
      <c r="CA1404" s="147"/>
      <c r="CB1404" s="147"/>
      <c r="CC1404" s="147"/>
      <c r="CD1404" s="147"/>
      <c r="CE1404" s="147"/>
      <c r="CF1404" s="147"/>
      <c r="CG1404" s="147"/>
      <c r="CH1404" s="147"/>
      <c r="CI1404" s="147"/>
      <c r="CJ1404" s="147"/>
      <c r="CK1404" s="147"/>
    </row>
    <row r="1405" spans="1:89">
      <c r="A1405" s="157"/>
      <c r="F1405" s="3"/>
      <c r="G1405" s="3"/>
      <c r="L1405" s="157"/>
      <c r="M1405" s="157"/>
      <c r="O1405" s="147"/>
      <c r="P1405" s="147"/>
      <c r="Q1405" s="147"/>
      <c r="R1405" s="147"/>
      <c r="S1405" s="147"/>
      <c r="T1405" s="147"/>
      <c r="U1405" s="147"/>
      <c r="V1405" s="147"/>
      <c r="W1405" s="147"/>
      <c r="X1405" s="147"/>
      <c r="Y1405" s="147"/>
      <c r="Z1405" s="147"/>
      <c r="AA1405" s="147"/>
      <c r="AB1405" s="147"/>
      <c r="AC1405" s="147"/>
      <c r="AD1405" s="147"/>
      <c r="AE1405" s="147"/>
      <c r="AF1405" s="147"/>
      <c r="AG1405" s="147"/>
      <c r="AH1405" s="147"/>
      <c r="AI1405" s="147"/>
      <c r="AJ1405" s="147"/>
      <c r="AK1405" s="147"/>
      <c r="AL1405" s="147"/>
      <c r="AM1405" s="151"/>
      <c r="AN1405" s="147"/>
      <c r="AO1405" s="147"/>
      <c r="AP1405" s="147"/>
      <c r="AQ1405" s="147"/>
      <c r="AR1405" s="147"/>
      <c r="AS1405" s="147"/>
      <c r="AT1405" s="147"/>
      <c r="AU1405" s="147"/>
      <c r="AV1405" s="147"/>
      <c r="AW1405" s="147"/>
      <c r="AX1405" s="147"/>
      <c r="AY1405" s="147"/>
      <c r="AZ1405" s="147"/>
      <c r="BA1405" s="147"/>
      <c r="BB1405" s="147"/>
      <c r="BC1405" s="147"/>
      <c r="BD1405" s="147"/>
      <c r="BE1405" s="147"/>
      <c r="BF1405" s="147"/>
      <c r="BG1405" s="147"/>
      <c r="BH1405" s="147"/>
      <c r="BI1405" s="147"/>
      <c r="BJ1405" s="147"/>
      <c r="BK1405" s="147"/>
      <c r="BL1405" s="147"/>
      <c r="BM1405" s="147"/>
      <c r="BN1405" s="147"/>
      <c r="BO1405" s="147"/>
      <c r="BP1405" s="147"/>
      <c r="BQ1405" s="147"/>
      <c r="BR1405" s="147"/>
      <c r="BS1405" s="147"/>
      <c r="BT1405" s="147"/>
      <c r="BU1405" s="147"/>
      <c r="BV1405" s="147"/>
      <c r="BW1405" s="147"/>
      <c r="BX1405" s="147"/>
      <c r="BY1405" s="147"/>
      <c r="BZ1405" s="147"/>
      <c r="CA1405" s="147"/>
      <c r="CB1405" s="147"/>
      <c r="CC1405" s="147"/>
      <c r="CD1405" s="147"/>
      <c r="CE1405" s="147"/>
      <c r="CF1405" s="147"/>
      <c r="CG1405" s="147"/>
      <c r="CH1405" s="147"/>
      <c r="CI1405" s="147"/>
      <c r="CJ1405" s="147"/>
      <c r="CK1405" s="147"/>
    </row>
    <row r="1406" spans="1:89">
      <c r="A1406" s="157"/>
      <c r="F1406" s="3"/>
      <c r="G1406" s="3"/>
      <c r="L1406" s="157"/>
      <c r="M1406" s="157"/>
      <c r="O1406" s="147"/>
      <c r="P1406" s="147"/>
      <c r="Q1406" s="147"/>
      <c r="R1406" s="147"/>
      <c r="S1406" s="147"/>
      <c r="T1406" s="147"/>
      <c r="U1406" s="147"/>
      <c r="V1406" s="147"/>
      <c r="W1406" s="147"/>
      <c r="X1406" s="147"/>
      <c r="Y1406" s="147"/>
      <c r="Z1406" s="147"/>
      <c r="AA1406" s="147"/>
      <c r="AB1406" s="147"/>
      <c r="AC1406" s="147"/>
      <c r="AD1406" s="147"/>
      <c r="AE1406" s="147"/>
      <c r="AF1406" s="147"/>
      <c r="AG1406" s="147"/>
      <c r="AH1406" s="147"/>
      <c r="AI1406" s="147"/>
      <c r="AJ1406" s="147"/>
      <c r="AK1406" s="147"/>
      <c r="AL1406" s="147"/>
      <c r="AM1406" s="151"/>
      <c r="AN1406" s="147"/>
      <c r="AO1406" s="147"/>
      <c r="AP1406" s="147"/>
      <c r="AQ1406" s="147"/>
      <c r="AR1406" s="147"/>
      <c r="AS1406" s="147"/>
      <c r="AT1406" s="147"/>
      <c r="AU1406" s="147"/>
      <c r="AV1406" s="147"/>
      <c r="AW1406" s="147"/>
      <c r="AX1406" s="147"/>
      <c r="AY1406" s="147"/>
      <c r="AZ1406" s="147"/>
      <c r="BA1406" s="147"/>
      <c r="BB1406" s="147"/>
      <c r="BC1406" s="147"/>
      <c r="BD1406" s="147"/>
      <c r="BE1406" s="147"/>
      <c r="BF1406" s="147"/>
      <c r="BG1406" s="147"/>
      <c r="BH1406" s="147"/>
      <c r="BI1406" s="147"/>
      <c r="BJ1406" s="147"/>
      <c r="BK1406" s="147"/>
      <c r="BL1406" s="147"/>
      <c r="BM1406" s="147"/>
      <c r="BN1406" s="147"/>
      <c r="BO1406" s="147"/>
      <c r="BP1406" s="147"/>
      <c r="BQ1406" s="147"/>
      <c r="BR1406" s="147"/>
      <c r="BS1406" s="147"/>
      <c r="BT1406" s="147"/>
      <c r="BU1406" s="147"/>
      <c r="BV1406" s="147"/>
      <c r="BW1406" s="147"/>
      <c r="BX1406" s="147"/>
      <c r="BY1406" s="147"/>
      <c r="BZ1406" s="147"/>
      <c r="CA1406" s="147"/>
      <c r="CB1406" s="147"/>
      <c r="CC1406" s="147"/>
      <c r="CD1406" s="147"/>
      <c r="CE1406" s="147"/>
      <c r="CF1406" s="147"/>
      <c r="CG1406" s="147"/>
      <c r="CH1406" s="147"/>
      <c r="CI1406" s="147"/>
      <c r="CJ1406" s="147"/>
      <c r="CK1406" s="147"/>
    </row>
    <row r="1407" spans="1:89">
      <c r="A1407" s="157"/>
      <c r="F1407" s="3"/>
      <c r="G1407" s="3"/>
      <c r="L1407" s="157"/>
      <c r="M1407" s="157"/>
      <c r="O1407" s="147"/>
      <c r="P1407" s="147"/>
      <c r="Q1407" s="147"/>
      <c r="R1407" s="147"/>
      <c r="S1407" s="147"/>
      <c r="T1407" s="147"/>
      <c r="U1407" s="147"/>
      <c r="V1407" s="147"/>
      <c r="W1407" s="147"/>
      <c r="X1407" s="147"/>
      <c r="Y1407" s="147"/>
      <c r="Z1407" s="147"/>
      <c r="AA1407" s="147"/>
      <c r="AB1407" s="147"/>
      <c r="AC1407" s="147"/>
      <c r="AD1407" s="147"/>
      <c r="AE1407" s="147"/>
      <c r="AF1407" s="147"/>
      <c r="AG1407" s="147"/>
      <c r="AH1407" s="147"/>
      <c r="AI1407" s="147"/>
      <c r="AJ1407" s="147"/>
      <c r="AK1407" s="147"/>
      <c r="AL1407" s="147"/>
      <c r="AM1407" s="151"/>
      <c r="AN1407" s="147"/>
      <c r="AO1407" s="147"/>
      <c r="AP1407" s="147"/>
      <c r="AQ1407" s="147"/>
      <c r="AR1407" s="147"/>
      <c r="AS1407" s="147"/>
      <c r="AT1407" s="147"/>
      <c r="AU1407" s="147"/>
      <c r="AV1407" s="147"/>
      <c r="AW1407" s="147"/>
      <c r="AX1407" s="147"/>
      <c r="AY1407" s="147"/>
      <c r="AZ1407" s="147"/>
      <c r="BA1407" s="147"/>
      <c r="BB1407" s="147"/>
      <c r="BC1407" s="147"/>
      <c r="BD1407" s="147"/>
      <c r="BE1407" s="147"/>
      <c r="BF1407" s="147"/>
      <c r="BG1407" s="147"/>
      <c r="BH1407" s="147"/>
      <c r="BI1407" s="147"/>
      <c r="BJ1407" s="147"/>
      <c r="BK1407" s="147"/>
      <c r="BL1407" s="147"/>
      <c r="BM1407" s="147"/>
      <c r="BN1407" s="147"/>
      <c r="BO1407" s="147"/>
      <c r="BP1407" s="147"/>
      <c r="BQ1407" s="147"/>
      <c r="BR1407" s="147"/>
      <c r="BS1407" s="147"/>
      <c r="BT1407" s="147"/>
      <c r="BU1407" s="147"/>
      <c r="BV1407" s="147"/>
      <c r="BW1407" s="147"/>
      <c r="BX1407" s="147"/>
      <c r="BY1407" s="147"/>
      <c r="BZ1407" s="147"/>
      <c r="CA1407" s="147"/>
      <c r="CB1407" s="147"/>
      <c r="CC1407" s="147"/>
      <c r="CD1407" s="147"/>
      <c r="CE1407" s="147"/>
      <c r="CF1407" s="147"/>
      <c r="CG1407" s="147"/>
      <c r="CH1407" s="147"/>
      <c r="CI1407" s="147"/>
      <c r="CJ1407" s="147"/>
      <c r="CK1407" s="147"/>
    </row>
    <row r="1408" spans="1:89">
      <c r="A1408" s="157"/>
      <c r="F1408" s="3"/>
      <c r="G1408" s="3"/>
      <c r="L1408" s="157"/>
      <c r="M1408" s="157"/>
      <c r="O1408" s="147"/>
      <c r="P1408" s="147"/>
      <c r="Q1408" s="147"/>
      <c r="R1408" s="147"/>
      <c r="S1408" s="147"/>
      <c r="T1408" s="147"/>
      <c r="U1408" s="147"/>
      <c r="V1408" s="147"/>
      <c r="W1408" s="147"/>
      <c r="X1408" s="147"/>
      <c r="Y1408" s="147"/>
      <c r="Z1408" s="147"/>
      <c r="AA1408" s="147"/>
      <c r="AB1408" s="147"/>
      <c r="AC1408" s="147"/>
      <c r="AD1408" s="147"/>
      <c r="AE1408" s="147"/>
      <c r="AF1408" s="147"/>
      <c r="AG1408" s="147"/>
      <c r="AH1408" s="147"/>
      <c r="AI1408" s="147"/>
      <c r="AJ1408" s="147"/>
      <c r="AK1408" s="147"/>
      <c r="AL1408" s="147"/>
      <c r="AM1408" s="151"/>
      <c r="AN1408" s="147"/>
      <c r="AO1408" s="147"/>
      <c r="AP1408" s="147"/>
      <c r="AQ1408" s="147"/>
      <c r="AR1408" s="147"/>
      <c r="AS1408" s="147"/>
      <c r="AT1408" s="147"/>
      <c r="AU1408" s="147"/>
      <c r="AV1408" s="147"/>
      <c r="AW1408" s="147"/>
      <c r="AX1408" s="147"/>
      <c r="AY1408" s="147"/>
      <c r="AZ1408" s="147"/>
      <c r="BA1408" s="147"/>
      <c r="BB1408" s="147"/>
      <c r="BC1408" s="147"/>
      <c r="BD1408" s="147"/>
      <c r="BE1408" s="147"/>
      <c r="BF1408" s="147"/>
      <c r="BG1408" s="147"/>
      <c r="BH1408" s="147"/>
      <c r="BI1408" s="147"/>
      <c r="BJ1408" s="147"/>
      <c r="BK1408" s="147"/>
      <c r="BL1408" s="147"/>
      <c r="BM1408" s="147"/>
      <c r="BN1408" s="147"/>
      <c r="BO1408" s="147"/>
      <c r="BP1408" s="147"/>
      <c r="BQ1408" s="147"/>
      <c r="BR1408" s="147"/>
      <c r="BS1408" s="147"/>
      <c r="BT1408" s="147"/>
      <c r="BU1408" s="147"/>
      <c r="BV1408" s="147"/>
      <c r="BW1408" s="147"/>
      <c r="BX1408" s="147"/>
      <c r="BY1408" s="147"/>
      <c r="BZ1408" s="147"/>
      <c r="CA1408" s="147"/>
      <c r="CB1408" s="147"/>
      <c r="CC1408" s="147"/>
      <c r="CD1408" s="147"/>
      <c r="CE1408" s="147"/>
      <c r="CF1408" s="147"/>
      <c r="CG1408" s="147"/>
      <c r="CH1408" s="147"/>
      <c r="CI1408" s="147"/>
      <c r="CJ1408" s="147"/>
      <c r="CK1408" s="147"/>
    </row>
    <row r="1409" spans="1:89">
      <c r="A1409" s="157"/>
      <c r="F1409" s="3"/>
      <c r="G1409" s="3"/>
      <c r="L1409" s="157"/>
      <c r="M1409" s="157"/>
      <c r="O1409" s="147"/>
      <c r="P1409" s="147"/>
      <c r="Q1409" s="147"/>
      <c r="R1409" s="147"/>
      <c r="S1409" s="147"/>
      <c r="T1409" s="147"/>
      <c r="U1409" s="147"/>
      <c r="V1409" s="147"/>
      <c r="W1409" s="147"/>
      <c r="X1409" s="147"/>
      <c r="Y1409" s="147"/>
      <c r="Z1409" s="147"/>
      <c r="AA1409" s="147"/>
      <c r="AB1409" s="147"/>
      <c r="AC1409" s="147"/>
      <c r="AD1409" s="147"/>
      <c r="AE1409" s="147"/>
      <c r="AF1409" s="147"/>
      <c r="AG1409" s="147"/>
      <c r="AH1409" s="147"/>
      <c r="AI1409" s="147"/>
      <c r="AJ1409" s="147"/>
      <c r="AK1409" s="147"/>
      <c r="AL1409" s="147"/>
      <c r="AM1409" s="151"/>
      <c r="AN1409" s="147"/>
      <c r="AO1409" s="147"/>
      <c r="AP1409" s="147"/>
      <c r="AQ1409" s="147"/>
      <c r="AR1409" s="147"/>
      <c r="AS1409" s="147"/>
      <c r="AT1409" s="147"/>
      <c r="AU1409" s="147"/>
      <c r="AV1409" s="147"/>
      <c r="AW1409" s="147"/>
      <c r="AX1409" s="147"/>
      <c r="AY1409" s="147"/>
      <c r="AZ1409" s="147"/>
      <c r="BA1409" s="147"/>
      <c r="BB1409" s="147"/>
      <c r="BC1409" s="147"/>
      <c r="BD1409" s="147"/>
      <c r="BE1409" s="147"/>
      <c r="BF1409" s="147"/>
      <c r="BG1409" s="147"/>
      <c r="BH1409" s="147"/>
      <c r="BI1409" s="147"/>
      <c r="BJ1409" s="147"/>
      <c r="BK1409" s="147"/>
      <c r="BL1409" s="147"/>
      <c r="BM1409" s="147"/>
      <c r="BN1409" s="147"/>
      <c r="BO1409" s="147"/>
      <c r="BP1409" s="147"/>
      <c r="BQ1409" s="147"/>
      <c r="BR1409" s="147"/>
      <c r="BS1409" s="147"/>
      <c r="BT1409" s="147"/>
      <c r="BU1409" s="147"/>
      <c r="BV1409" s="147"/>
      <c r="BW1409" s="147"/>
      <c r="BX1409" s="147"/>
      <c r="BY1409" s="147"/>
      <c r="BZ1409" s="147"/>
      <c r="CA1409" s="147"/>
      <c r="CB1409" s="147"/>
      <c r="CC1409" s="147"/>
      <c r="CD1409" s="147"/>
      <c r="CE1409" s="147"/>
      <c r="CF1409" s="147"/>
      <c r="CG1409" s="147"/>
      <c r="CH1409" s="147"/>
      <c r="CI1409" s="147"/>
      <c r="CJ1409" s="147"/>
      <c r="CK1409" s="147"/>
    </row>
    <row r="1410" spans="1:89">
      <c r="A1410" s="157"/>
      <c r="F1410" s="3"/>
      <c r="G1410" s="3"/>
      <c r="L1410" s="157"/>
      <c r="M1410" s="157"/>
      <c r="O1410" s="147"/>
      <c r="P1410" s="147"/>
      <c r="Q1410" s="147"/>
      <c r="R1410" s="147"/>
      <c r="S1410" s="147"/>
      <c r="T1410" s="147"/>
      <c r="U1410" s="147"/>
      <c r="V1410" s="147"/>
      <c r="W1410" s="147"/>
      <c r="X1410" s="147"/>
      <c r="Y1410" s="147"/>
      <c r="Z1410" s="147"/>
      <c r="AA1410" s="147"/>
      <c r="AB1410" s="147"/>
      <c r="AC1410" s="147"/>
      <c r="AD1410" s="147"/>
      <c r="AE1410" s="147"/>
      <c r="AF1410" s="147"/>
      <c r="AG1410" s="147"/>
      <c r="AH1410" s="147"/>
      <c r="AI1410" s="147"/>
      <c r="AJ1410" s="147"/>
      <c r="AK1410" s="147"/>
      <c r="AL1410" s="147"/>
      <c r="AM1410" s="151"/>
      <c r="AN1410" s="147"/>
      <c r="AO1410" s="147"/>
      <c r="AP1410" s="147"/>
      <c r="AQ1410" s="147"/>
      <c r="AR1410" s="147"/>
      <c r="AS1410" s="147"/>
      <c r="AT1410" s="147"/>
      <c r="AU1410" s="147"/>
      <c r="AV1410" s="147"/>
      <c r="AW1410" s="147"/>
      <c r="AX1410" s="147"/>
      <c r="AY1410" s="147"/>
      <c r="AZ1410" s="147"/>
      <c r="BA1410" s="147"/>
      <c r="BB1410" s="147"/>
      <c r="BC1410" s="147"/>
      <c r="BD1410" s="147"/>
      <c r="BE1410" s="147"/>
      <c r="BF1410" s="147"/>
      <c r="BG1410" s="147"/>
      <c r="BH1410" s="147"/>
      <c r="BI1410" s="147"/>
      <c r="BJ1410" s="147"/>
      <c r="BK1410" s="147"/>
      <c r="BL1410" s="147"/>
      <c r="BM1410" s="147"/>
      <c r="BN1410" s="147"/>
      <c r="BO1410" s="147"/>
      <c r="BP1410" s="147"/>
      <c r="BQ1410" s="147"/>
      <c r="BR1410" s="147"/>
      <c r="BS1410" s="147"/>
      <c r="BT1410" s="147"/>
      <c r="BU1410" s="147"/>
      <c r="BV1410" s="147"/>
      <c r="BW1410" s="147"/>
      <c r="BX1410" s="147"/>
      <c r="BY1410" s="147"/>
      <c r="BZ1410" s="147"/>
      <c r="CA1410" s="147"/>
      <c r="CB1410" s="147"/>
      <c r="CC1410" s="147"/>
      <c r="CD1410" s="147"/>
      <c r="CE1410" s="147"/>
      <c r="CF1410" s="147"/>
      <c r="CG1410" s="147"/>
      <c r="CH1410" s="147"/>
      <c r="CI1410" s="147"/>
      <c r="CJ1410" s="147"/>
      <c r="CK1410" s="147"/>
    </row>
    <row r="1411" spans="1:89">
      <c r="A1411" s="157"/>
      <c r="F1411" s="3"/>
      <c r="G1411" s="3"/>
      <c r="L1411" s="157"/>
      <c r="M1411" s="157"/>
      <c r="O1411" s="147"/>
      <c r="P1411" s="147"/>
      <c r="Q1411" s="147"/>
      <c r="R1411" s="147"/>
      <c r="S1411" s="147"/>
      <c r="T1411" s="147"/>
      <c r="U1411" s="147"/>
      <c r="V1411" s="147"/>
      <c r="W1411" s="147"/>
      <c r="X1411" s="147"/>
      <c r="Y1411" s="147"/>
      <c r="Z1411" s="147"/>
      <c r="AA1411" s="147"/>
      <c r="AB1411" s="147"/>
      <c r="AC1411" s="147"/>
      <c r="AD1411" s="147"/>
      <c r="AE1411" s="147"/>
      <c r="AF1411" s="147"/>
      <c r="AG1411" s="147"/>
      <c r="AH1411" s="147"/>
      <c r="AI1411" s="147"/>
      <c r="AJ1411" s="147"/>
      <c r="AK1411" s="147"/>
      <c r="AL1411" s="147"/>
      <c r="AM1411" s="151"/>
      <c r="AN1411" s="147"/>
      <c r="AO1411" s="147"/>
      <c r="AP1411" s="147"/>
      <c r="AQ1411" s="147"/>
      <c r="AR1411" s="147"/>
      <c r="AS1411" s="147"/>
      <c r="AT1411" s="147"/>
      <c r="AU1411" s="147"/>
      <c r="AV1411" s="147"/>
      <c r="AW1411" s="147"/>
      <c r="AX1411" s="147"/>
      <c r="AY1411" s="147"/>
      <c r="AZ1411" s="147"/>
      <c r="BA1411" s="147"/>
      <c r="BB1411" s="147"/>
      <c r="BC1411" s="147"/>
      <c r="BD1411" s="147"/>
      <c r="BE1411" s="147"/>
      <c r="BF1411" s="147"/>
      <c r="BG1411" s="147"/>
      <c r="BH1411" s="147"/>
      <c r="BI1411" s="147"/>
      <c r="BJ1411" s="147"/>
      <c r="BK1411" s="147"/>
      <c r="BL1411" s="147"/>
      <c r="BM1411" s="147"/>
      <c r="BN1411" s="147"/>
      <c r="BO1411" s="147"/>
      <c r="BP1411" s="147"/>
      <c r="BQ1411" s="147"/>
      <c r="BR1411" s="147"/>
      <c r="BS1411" s="147"/>
      <c r="BT1411" s="147"/>
      <c r="BU1411" s="147"/>
      <c r="BV1411" s="147"/>
      <c r="BW1411" s="147"/>
      <c r="BX1411" s="147"/>
      <c r="BY1411" s="147"/>
      <c r="BZ1411" s="147"/>
      <c r="CA1411" s="147"/>
      <c r="CB1411" s="147"/>
      <c r="CC1411" s="147"/>
      <c r="CD1411" s="147"/>
      <c r="CE1411" s="147"/>
      <c r="CF1411" s="147"/>
      <c r="CG1411" s="147"/>
      <c r="CH1411" s="147"/>
      <c r="CI1411" s="147"/>
      <c r="CJ1411" s="147"/>
      <c r="CK1411" s="147"/>
    </row>
    <row r="1412" spans="1:89">
      <c r="A1412" s="157"/>
      <c r="F1412" s="3"/>
      <c r="G1412" s="3"/>
      <c r="L1412" s="157"/>
      <c r="M1412" s="157"/>
      <c r="O1412" s="147"/>
      <c r="P1412" s="147"/>
      <c r="Q1412" s="147"/>
      <c r="R1412" s="147"/>
      <c r="S1412" s="147"/>
      <c r="T1412" s="147"/>
      <c r="U1412" s="147"/>
      <c r="V1412" s="147"/>
      <c r="W1412" s="147"/>
      <c r="X1412" s="147"/>
      <c r="Y1412" s="147"/>
      <c r="Z1412" s="147"/>
      <c r="AA1412" s="147"/>
      <c r="AB1412" s="147"/>
      <c r="AC1412" s="147"/>
      <c r="AD1412" s="147"/>
      <c r="AE1412" s="147"/>
      <c r="AF1412" s="147"/>
      <c r="AG1412" s="147"/>
      <c r="AH1412" s="147"/>
      <c r="AI1412" s="147"/>
      <c r="AJ1412" s="147"/>
      <c r="AK1412" s="147"/>
      <c r="AL1412" s="147"/>
      <c r="AM1412" s="151"/>
      <c r="AN1412" s="147"/>
      <c r="AO1412" s="147"/>
      <c r="AP1412" s="147"/>
      <c r="AQ1412" s="147"/>
      <c r="AR1412" s="147"/>
      <c r="AS1412" s="147"/>
      <c r="AT1412" s="147"/>
      <c r="AU1412" s="147"/>
      <c r="AV1412" s="147"/>
      <c r="AW1412" s="147"/>
      <c r="AX1412" s="147"/>
      <c r="AY1412" s="147"/>
      <c r="AZ1412" s="147"/>
      <c r="BA1412" s="147"/>
      <c r="BB1412" s="147"/>
      <c r="BC1412" s="147"/>
      <c r="BD1412" s="147"/>
      <c r="BE1412" s="147"/>
      <c r="BF1412" s="147"/>
      <c r="BG1412" s="147"/>
      <c r="BH1412" s="147"/>
      <c r="BI1412" s="147"/>
      <c r="BJ1412" s="147"/>
      <c r="BK1412" s="147"/>
      <c r="BL1412" s="147"/>
      <c r="BM1412" s="147"/>
      <c r="BN1412" s="147"/>
      <c r="BO1412" s="147"/>
      <c r="BP1412" s="147"/>
      <c r="BQ1412" s="147"/>
      <c r="BR1412" s="147"/>
      <c r="BS1412" s="147"/>
      <c r="BT1412" s="147"/>
      <c r="BU1412" s="147"/>
      <c r="BV1412" s="147"/>
      <c r="BW1412" s="147"/>
      <c r="BX1412" s="147"/>
      <c r="BY1412" s="147"/>
      <c r="BZ1412" s="147"/>
      <c r="CA1412" s="147"/>
      <c r="CB1412" s="147"/>
      <c r="CC1412" s="147"/>
      <c r="CD1412" s="147"/>
      <c r="CE1412" s="147"/>
      <c r="CF1412" s="147"/>
      <c r="CG1412" s="147"/>
      <c r="CH1412" s="147"/>
      <c r="CI1412" s="147"/>
      <c r="CJ1412" s="147"/>
      <c r="CK1412" s="147"/>
    </row>
    <row r="1413" spans="1:89">
      <c r="A1413" s="157"/>
      <c r="F1413" s="3"/>
      <c r="G1413" s="3"/>
      <c r="L1413" s="157"/>
      <c r="M1413" s="157"/>
      <c r="O1413" s="147"/>
      <c r="P1413" s="147"/>
      <c r="Q1413" s="147"/>
      <c r="R1413" s="147"/>
      <c r="S1413" s="147"/>
      <c r="T1413" s="147"/>
      <c r="U1413" s="147"/>
      <c r="V1413" s="147"/>
      <c r="W1413" s="147"/>
      <c r="X1413" s="147"/>
      <c r="Y1413" s="147"/>
      <c r="Z1413" s="147"/>
      <c r="AA1413" s="147"/>
      <c r="AB1413" s="147"/>
      <c r="AC1413" s="147"/>
      <c r="AD1413" s="147"/>
      <c r="AE1413" s="147"/>
      <c r="AF1413" s="147"/>
      <c r="AG1413" s="147"/>
      <c r="AH1413" s="147"/>
      <c r="AI1413" s="147"/>
      <c r="AJ1413" s="147"/>
      <c r="AK1413" s="147"/>
      <c r="AL1413" s="147"/>
      <c r="AM1413" s="151"/>
      <c r="AN1413" s="147"/>
      <c r="AO1413" s="147"/>
      <c r="AP1413" s="147"/>
      <c r="AQ1413" s="147"/>
      <c r="AR1413" s="147"/>
      <c r="AS1413" s="147"/>
      <c r="AT1413" s="147"/>
      <c r="AU1413" s="147"/>
      <c r="AV1413" s="147"/>
      <c r="AW1413" s="147"/>
      <c r="AX1413" s="147"/>
      <c r="AY1413" s="147"/>
      <c r="AZ1413" s="147"/>
      <c r="BA1413" s="147"/>
      <c r="BB1413" s="147"/>
      <c r="BC1413" s="147"/>
      <c r="BD1413" s="147"/>
      <c r="BE1413" s="147"/>
      <c r="BF1413" s="147"/>
      <c r="BG1413" s="147"/>
      <c r="BH1413" s="147"/>
      <c r="BI1413" s="147"/>
      <c r="BJ1413" s="147"/>
      <c r="BK1413" s="147"/>
      <c r="BL1413" s="147"/>
      <c r="BM1413" s="147"/>
      <c r="BN1413" s="147"/>
      <c r="BO1413" s="147"/>
      <c r="BP1413" s="147"/>
      <c r="BQ1413" s="147"/>
      <c r="BR1413" s="147"/>
      <c r="BS1413" s="147"/>
      <c r="BT1413" s="147"/>
      <c r="BU1413" s="147"/>
      <c r="BV1413" s="147"/>
      <c r="BW1413" s="147"/>
      <c r="BX1413" s="147"/>
      <c r="BY1413" s="147"/>
      <c r="BZ1413" s="147"/>
      <c r="CA1413" s="147"/>
      <c r="CB1413" s="147"/>
      <c r="CC1413" s="147"/>
      <c r="CD1413" s="147"/>
      <c r="CE1413" s="147"/>
      <c r="CF1413" s="147"/>
      <c r="CG1413" s="147"/>
      <c r="CH1413" s="147"/>
      <c r="CI1413" s="147"/>
      <c r="CJ1413" s="147"/>
      <c r="CK1413" s="147"/>
    </row>
    <row r="1414" spans="1:89">
      <c r="A1414" s="157"/>
      <c r="F1414" s="3"/>
      <c r="G1414" s="3"/>
      <c r="L1414" s="157"/>
      <c r="M1414" s="157"/>
      <c r="O1414" s="147"/>
      <c r="P1414" s="147"/>
      <c r="Q1414" s="147"/>
      <c r="R1414" s="147"/>
      <c r="S1414" s="147"/>
      <c r="T1414" s="147"/>
      <c r="U1414" s="147"/>
      <c r="V1414" s="147"/>
      <c r="W1414" s="147"/>
      <c r="X1414" s="147"/>
      <c r="Y1414" s="147"/>
      <c r="Z1414" s="147"/>
      <c r="AA1414" s="147"/>
      <c r="AB1414" s="147"/>
      <c r="AC1414" s="147"/>
      <c r="AD1414" s="147"/>
      <c r="AE1414" s="147"/>
      <c r="AF1414" s="147"/>
      <c r="AG1414" s="147"/>
      <c r="AH1414" s="147"/>
      <c r="AI1414" s="147"/>
      <c r="AJ1414" s="147"/>
      <c r="AK1414" s="147"/>
      <c r="AL1414" s="147"/>
      <c r="AM1414" s="151"/>
      <c r="AN1414" s="147"/>
      <c r="AO1414" s="147"/>
      <c r="AP1414" s="147"/>
      <c r="AQ1414" s="147"/>
      <c r="AR1414" s="147"/>
      <c r="AS1414" s="147"/>
      <c r="AT1414" s="147"/>
      <c r="AU1414" s="147"/>
      <c r="AV1414" s="147"/>
      <c r="AW1414" s="147"/>
      <c r="AX1414" s="147"/>
      <c r="AY1414" s="147"/>
      <c r="AZ1414" s="147"/>
      <c r="BA1414" s="147"/>
      <c r="BB1414" s="147"/>
      <c r="BC1414" s="147"/>
      <c r="BD1414" s="147"/>
      <c r="BE1414" s="147"/>
      <c r="BF1414" s="147"/>
      <c r="BG1414" s="147"/>
      <c r="BH1414" s="147"/>
      <c r="BI1414" s="147"/>
      <c r="BJ1414" s="147"/>
      <c r="BK1414" s="147"/>
      <c r="BL1414" s="147"/>
      <c r="BM1414" s="147"/>
      <c r="BN1414" s="147"/>
      <c r="BO1414" s="147"/>
      <c r="BP1414" s="147"/>
      <c r="BQ1414" s="147"/>
      <c r="BR1414" s="147"/>
      <c r="BS1414" s="147"/>
      <c r="BT1414" s="147"/>
      <c r="BU1414" s="147"/>
      <c r="BV1414" s="147"/>
      <c r="BW1414" s="147"/>
      <c r="BX1414" s="147"/>
      <c r="BY1414" s="147"/>
      <c r="BZ1414" s="147"/>
      <c r="CA1414" s="147"/>
      <c r="CB1414" s="147"/>
      <c r="CC1414" s="147"/>
      <c r="CD1414" s="147"/>
      <c r="CE1414" s="147"/>
      <c r="CF1414" s="147"/>
      <c r="CG1414" s="147"/>
      <c r="CH1414" s="147"/>
      <c r="CI1414" s="147"/>
      <c r="CJ1414" s="147"/>
      <c r="CK1414" s="147"/>
    </row>
    <row r="1415" spans="1:89">
      <c r="A1415" s="157"/>
      <c r="F1415" s="3"/>
      <c r="G1415" s="3"/>
      <c r="L1415" s="157"/>
      <c r="M1415" s="157"/>
      <c r="O1415" s="147"/>
      <c r="P1415" s="147"/>
      <c r="Q1415" s="147"/>
      <c r="R1415" s="147"/>
      <c r="S1415" s="147"/>
      <c r="T1415" s="147"/>
      <c r="U1415" s="147"/>
      <c r="V1415" s="147"/>
      <c r="W1415" s="147"/>
      <c r="X1415" s="147"/>
      <c r="Y1415" s="147"/>
      <c r="Z1415" s="147"/>
      <c r="AA1415" s="147"/>
      <c r="AB1415" s="147"/>
      <c r="AC1415" s="147"/>
      <c r="AD1415" s="147"/>
      <c r="AE1415" s="147"/>
      <c r="AF1415" s="147"/>
      <c r="AG1415" s="147"/>
      <c r="AH1415" s="147"/>
      <c r="AI1415" s="147"/>
      <c r="AJ1415" s="147"/>
      <c r="AK1415" s="147"/>
      <c r="AL1415" s="147"/>
      <c r="AM1415" s="151"/>
      <c r="AN1415" s="147"/>
      <c r="AO1415" s="147"/>
      <c r="AP1415" s="147"/>
      <c r="AQ1415" s="147"/>
      <c r="AR1415" s="147"/>
      <c r="AS1415" s="147"/>
      <c r="AT1415" s="147"/>
      <c r="AU1415" s="147"/>
      <c r="AV1415" s="147"/>
      <c r="AW1415" s="147"/>
      <c r="AX1415" s="147"/>
      <c r="AY1415" s="147"/>
      <c r="AZ1415" s="147"/>
      <c r="BA1415" s="147"/>
      <c r="BB1415" s="147"/>
      <c r="BC1415" s="147"/>
      <c r="BD1415" s="147"/>
      <c r="BE1415" s="147"/>
      <c r="BF1415" s="147"/>
      <c r="BG1415" s="147"/>
      <c r="BH1415" s="147"/>
      <c r="BI1415" s="147"/>
      <c r="BJ1415" s="147"/>
      <c r="BK1415" s="147"/>
      <c r="BL1415" s="147"/>
      <c r="BM1415" s="147"/>
      <c r="BN1415" s="147"/>
      <c r="BO1415" s="147"/>
      <c r="BP1415" s="147"/>
      <c r="BQ1415" s="147"/>
      <c r="BR1415" s="147"/>
      <c r="BS1415" s="147"/>
      <c r="BT1415" s="147"/>
      <c r="BU1415" s="147"/>
      <c r="BV1415" s="147"/>
      <c r="BW1415" s="147"/>
      <c r="BX1415" s="147"/>
      <c r="BY1415" s="147"/>
      <c r="BZ1415" s="147"/>
      <c r="CA1415" s="147"/>
      <c r="CB1415" s="147"/>
      <c r="CC1415" s="147"/>
      <c r="CD1415" s="147"/>
      <c r="CE1415" s="147"/>
      <c r="CF1415" s="147"/>
      <c r="CG1415" s="147"/>
      <c r="CH1415" s="147"/>
      <c r="CI1415" s="147"/>
      <c r="CJ1415" s="147"/>
      <c r="CK1415" s="147"/>
    </row>
    <row r="1416" spans="1:89">
      <c r="A1416" s="157"/>
      <c r="F1416" s="3"/>
      <c r="G1416" s="3"/>
      <c r="L1416" s="157"/>
      <c r="M1416" s="157"/>
      <c r="O1416" s="147"/>
      <c r="P1416" s="147"/>
      <c r="Q1416" s="147"/>
      <c r="R1416" s="147"/>
      <c r="S1416" s="147"/>
      <c r="T1416" s="147"/>
      <c r="U1416" s="147"/>
      <c r="V1416" s="147"/>
      <c r="W1416" s="147"/>
      <c r="X1416" s="147"/>
      <c r="Y1416" s="147"/>
      <c r="Z1416" s="147"/>
      <c r="AA1416" s="147"/>
      <c r="AB1416" s="147"/>
      <c r="AC1416" s="147"/>
      <c r="AD1416" s="147"/>
      <c r="AE1416" s="147"/>
      <c r="AF1416" s="147"/>
      <c r="AG1416" s="147"/>
      <c r="AH1416" s="147"/>
      <c r="AI1416" s="147"/>
      <c r="AJ1416" s="147"/>
      <c r="AK1416" s="147"/>
      <c r="AL1416" s="147"/>
      <c r="AM1416" s="151"/>
      <c r="AN1416" s="147"/>
      <c r="AO1416" s="147"/>
      <c r="AP1416" s="147"/>
      <c r="AQ1416" s="147"/>
      <c r="AR1416" s="147"/>
      <c r="AS1416" s="147"/>
      <c r="AT1416" s="147"/>
      <c r="AU1416" s="147"/>
      <c r="AV1416" s="147"/>
      <c r="AW1416" s="147"/>
      <c r="AX1416" s="147"/>
      <c r="AY1416" s="147"/>
      <c r="AZ1416" s="147"/>
      <c r="BA1416" s="147"/>
      <c r="BB1416" s="147"/>
      <c r="BC1416" s="147"/>
      <c r="BD1416" s="147"/>
      <c r="BE1416" s="147"/>
      <c r="BF1416" s="147"/>
      <c r="BG1416" s="147"/>
      <c r="BH1416" s="147"/>
      <c r="BI1416" s="147"/>
      <c r="BJ1416" s="147"/>
      <c r="BK1416" s="147"/>
      <c r="BL1416" s="147"/>
      <c r="BM1416" s="147"/>
      <c r="BN1416" s="147"/>
      <c r="BO1416" s="147"/>
      <c r="BP1416" s="147"/>
      <c r="BQ1416" s="147"/>
      <c r="BR1416" s="147"/>
      <c r="BS1416" s="147"/>
      <c r="BT1416" s="147"/>
      <c r="BU1416" s="147"/>
      <c r="BV1416" s="147"/>
      <c r="BW1416" s="147"/>
      <c r="BX1416" s="147"/>
      <c r="BY1416" s="147"/>
      <c r="BZ1416" s="147"/>
      <c r="CA1416" s="147"/>
      <c r="CB1416" s="147"/>
      <c r="CC1416" s="147"/>
      <c r="CD1416" s="147"/>
      <c r="CE1416" s="147"/>
      <c r="CF1416" s="147"/>
      <c r="CG1416" s="147"/>
      <c r="CH1416" s="147"/>
      <c r="CI1416" s="147"/>
      <c r="CJ1416" s="147"/>
      <c r="CK1416" s="147"/>
    </row>
    <row r="1417" spans="1:89">
      <c r="A1417" s="157"/>
      <c r="F1417" s="3"/>
      <c r="G1417" s="3"/>
      <c r="L1417" s="157"/>
      <c r="M1417" s="157"/>
      <c r="O1417" s="147"/>
      <c r="P1417" s="147"/>
      <c r="Q1417" s="147"/>
      <c r="R1417" s="147"/>
      <c r="S1417" s="147"/>
      <c r="T1417" s="147"/>
      <c r="U1417" s="147"/>
      <c r="V1417" s="147"/>
      <c r="W1417" s="147"/>
      <c r="X1417" s="147"/>
      <c r="Y1417" s="147"/>
      <c r="Z1417" s="147"/>
      <c r="AA1417" s="147"/>
      <c r="AB1417" s="147"/>
      <c r="AC1417" s="147"/>
      <c r="AD1417" s="147"/>
      <c r="AE1417" s="147"/>
      <c r="AF1417" s="147"/>
      <c r="AG1417" s="147"/>
      <c r="AH1417" s="147"/>
      <c r="AI1417" s="147"/>
      <c r="AJ1417" s="147"/>
      <c r="AK1417" s="147"/>
      <c r="AL1417" s="147"/>
      <c r="AM1417" s="151"/>
      <c r="AN1417" s="147"/>
      <c r="AO1417" s="147"/>
      <c r="AP1417" s="147"/>
      <c r="AQ1417" s="147"/>
      <c r="AR1417" s="147"/>
      <c r="AS1417" s="147"/>
      <c r="AT1417" s="147"/>
      <c r="AU1417" s="147"/>
      <c r="AV1417" s="147"/>
      <c r="AW1417" s="147"/>
      <c r="AX1417" s="147"/>
      <c r="AY1417" s="147"/>
      <c r="AZ1417" s="147"/>
      <c r="BA1417" s="147"/>
      <c r="BB1417" s="147"/>
      <c r="BC1417" s="147"/>
      <c r="BD1417" s="147"/>
      <c r="BE1417" s="147"/>
      <c r="BF1417" s="147"/>
      <c r="BG1417" s="147"/>
      <c r="BH1417" s="147"/>
      <c r="BI1417" s="147"/>
      <c r="BJ1417" s="147"/>
      <c r="BK1417" s="147"/>
      <c r="BL1417" s="147"/>
      <c r="BM1417" s="147"/>
      <c r="BN1417" s="147"/>
      <c r="BO1417" s="147"/>
      <c r="BP1417" s="147"/>
      <c r="BQ1417" s="147"/>
      <c r="BR1417" s="147"/>
      <c r="BS1417" s="147"/>
      <c r="BT1417" s="147"/>
      <c r="BU1417" s="147"/>
      <c r="BV1417" s="147"/>
      <c r="BW1417" s="147"/>
      <c r="BX1417" s="147"/>
      <c r="BY1417" s="147"/>
      <c r="BZ1417" s="147"/>
      <c r="CA1417" s="147"/>
      <c r="CB1417" s="147"/>
      <c r="CC1417" s="147"/>
      <c r="CD1417" s="147"/>
      <c r="CE1417" s="147"/>
      <c r="CF1417" s="147"/>
      <c r="CG1417" s="147"/>
      <c r="CH1417" s="147"/>
      <c r="CI1417" s="147"/>
      <c r="CJ1417" s="147"/>
      <c r="CK1417" s="147"/>
    </row>
    <row r="1418" spans="1:89">
      <c r="A1418" s="157"/>
      <c r="F1418" s="3"/>
      <c r="G1418" s="3"/>
      <c r="L1418" s="157"/>
      <c r="M1418" s="157"/>
      <c r="O1418" s="147"/>
      <c r="P1418" s="147"/>
      <c r="Q1418" s="147"/>
      <c r="R1418" s="147"/>
      <c r="S1418" s="147"/>
      <c r="T1418" s="147"/>
      <c r="U1418" s="147"/>
      <c r="V1418" s="147"/>
      <c r="W1418" s="147"/>
      <c r="X1418" s="147"/>
      <c r="Y1418" s="147"/>
      <c r="Z1418" s="147"/>
      <c r="AA1418" s="147"/>
      <c r="AB1418" s="147"/>
      <c r="AC1418" s="147"/>
      <c r="AD1418" s="147"/>
      <c r="AE1418" s="147"/>
      <c r="AF1418" s="147"/>
      <c r="AG1418" s="147"/>
      <c r="AH1418" s="147"/>
      <c r="AI1418" s="147"/>
      <c r="AJ1418" s="147"/>
      <c r="AK1418" s="147"/>
      <c r="AL1418" s="147"/>
      <c r="AM1418" s="151"/>
      <c r="AN1418" s="147"/>
      <c r="AO1418" s="147"/>
      <c r="AP1418" s="147"/>
      <c r="AQ1418" s="147"/>
      <c r="AR1418" s="147"/>
      <c r="AS1418" s="147"/>
      <c r="AT1418" s="147"/>
      <c r="AU1418" s="147"/>
      <c r="AV1418" s="147"/>
      <c r="AW1418" s="147"/>
      <c r="AX1418" s="147"/>
      <c r="AY1418" s="147"/>
      <c r="AZ1418" s="147"/>
      <c r="BA1418" s="147"/>
      <c r="BB1418" s="147"/>
      <c r="BC1418" s="147"/>
      <c r="BD1418" s="147"/>
      <c r="BE1418" s="147"/>
      <c r="BF1418" s="147"/>
      <c r="BG1418" s="147"/>
      <c r="BH1418" s="147"/>
      <c r="BI1418" s="147"/>
      <c r="BJ1418" s="147"/>
      <c r="BK1418" s="147"/>
      <c r="BL1418" s="147"/>
      <c r="BM1418" s="147"/>
      <c r="BN1418" s="147"/>
      <c r="BO1418" s="147"/>
      <c r="BP1418" s="147"/>
      <c r="BQ1418" s="147"/>
      <c r="BR1418" s="147"/>
      <c r="BS1418" s="147"/>
      <c r="BT1418" s="147"/>
      <c r="BU1418" s="147"/>
      <c r="BV1418" s="147"/>
      <c r="BW1418" s="147"/>
      <c r="BX1418" s="147"/>
      <c r="BY1418" s="147"/>
      <c r="BZ1418" s="147"/>
      <c r="CA1418" s="147"/>
      <c r="CB1418" s="147"/>
      <c r="CC1418" s="147"/>
      <c r="CD1418" s="147"/>
      <c r="CE1418" s="147"/>
      <c r="CF1418" s="147"/>
      <c r="CG1418" s="147"/>
      <c r="CH1418" s="147"/>
      <c r="CI1418" s="147"/>
      <c r="CJ1418" s="147"/>
      <c r="CK1418" s="147"/>
    </row>
    <row r="1419" spans="1:89">
      <c r="A1419" s="157"/>
      <c r="F1419" s="3"/>
      <c r="G1419" s="3"/>
      <c r="L1419" s="157"/>
      <c r="M1419" s="157"/>
      <c r="O1419" s="147"/>
      <c r="P1419" s="147"/>
      <c r="Q1419" s="147"/>
      <c r="R1419" s="147"/>
      <c r="S1419" s="147"/>
      <c r="T1419" s="147"/>
      <c r="U1419" s="147"/>
      <c r="V1419" s="147"/>
      <c r="W1419" s="147"/>
      <c r="X1419" s="147"/>
      <c r="Y1419" s="147"/>
      <c r="Z1419" s="147"/>
      <c r="AA1419" s="147"/>
      <c r="AB1419" s="147"/>
      <c r="AC1419" s="147"/>
      <c r="AD1419" s="147"/>
      <c r="AE1419" s="147"/>
      <c r="AF1419" s="147"/>
      <c r="AG1419" s="147"/>
      <c r="AH1419" s="147"/>
      <c r="AI1419" s="147"/>
      <c r="AJ1419" s="147"/>
      <c r="AK1419" s="147"/>
      <c r="AL1419" s="147"/>
      <c r="AM1419" s="151"/>
      <c r="AN1419" s="147"/>
      <c r="AO1419" s="147"/>
      <c r="AP1419" s="147"/>
      <c r="AQ1419" s="147"/>
      <c r="AR1419" s="147"/>
      <c r="AS1419" s="147"/>
      <c r="AT1419" s="147"/>
      <c r="AU1419" s="147"/>
      <c r="AV1419" s="147"/>
      <c r="AW1419" s="147"/>
      <c r="AX1419" s="147"/>
      <c r="AY1419" s="147"/>
      <c r="AZ1419" s="147"/>
      <c r="BA1419" s="147"/>
      <c r="BB1419" s="147"/>
      <c r="BC1419" s="147"/>
      <c r="BD1419" s="147"/>
      <c r="BE1419" s="147"/>
      <c r="BF1419" s="147"/>
      <c r="BG1419" s="147"/>
      <c r="BH1419" s="147"/>
      <c r="BI1419" s="147"/>
      <c r="BJ1419" s="147"/>
      <c r="BK1419" s="147"/>
      <c r="BL1419" s="147"/>
      <c r="BM1419" s="147"/>
      <c r="BN1419" s="147"/>
      <c r="BO1419" s="147"/>
      <c r="BP1419" s="147"/>
      <c r="BQ1419" s="147"/>
      <c r="BR1419" s="147"/>
      <c r="BS1419" s="147"/>
      <c r="BT1419" s="147"/>
      <c r="BU1419" s="147"/>
      <c r="BV1419" s="147"/>
      <c r="BW1419" s="147"/>
      <c r="BX1419" s="147"/>
      <c r="BY1419" s="147"/>
      <c r="BZ1419" s="147"/>
      <c r="CA1419" s="147"/>
      <c r="CB1419" s="147"/>
      <c r="CC1419" s="147"/>
      <c r="CD1419" s="147"/>
      <c r="CE1419" s="147"/>
      <c r="CF1419" s="147"/>
      <c r="CG1419" s="147"/>
      <c r="CH1419" s="147"/>
      <c r="CI1419" s="147"/>
      <c r="CJ1419" s="147"/>
      <c r="CK1419" s="147"/>
    </row>
    <row r="1420" spans="1:89">
      <c r="A1420" s="157"/>
      <c r="F1420" s="3"/>
      <c r="G1420" s="3"/>
      <c r="L1420" s="157"/>
      <c r="M1420" s="157"/>
      <c r="O1420" s="147"/>
      <c r="P1420" s="147"/>
      <c r="Q1420" s="147"/>
      <c r="R1420" s="147"/>
      <c r="S1420" s="147"/>
      <c r="T1420" s="147"/>
      <c r="U1420" s="147"/>
      <c r="V1420" s="147"/>
      <c r="W1420" s="147"/>
      <c r="X1420" s="147"/>
      <c r="Y1420" s="147"/>
      <c r="Z1420" s="147"/>
      <c r="AA1420" s="147"/>
      <c r="AB1420" s="147"/>
      <c r="AC1420" s="147"/>
      <c r="AD1420" s="147"/>
      <c r="AE1420" s="147"/>
      <c r="AF1420" s="147"/>
      <c r="AG1420" s="147"/>
      <c r="AH1420" s="147"/>
      <c r="AI1420" s="147"/>
      <c r="AJ1420" s="147"/>
      <c r="AK1420" s="147"/>
      <c r="AL1420" s="147"/>
      <c r="AM1420" s="151"/>
      <c r="AN1420" s="147"/>
      <c r="AO1420" s="147"/>
      <c r="AP1420" s="147"/>
      <c r="AQ1420" s="147"/>
      <c r="AR1420" s="147"/>
      <c r="AS1420" s="147"/>
      <c r="AT1420" s="147"/>
      <c r="AU1420" s="147"/>
      <c r="AV1420" s="147"/>
      <c r="AW1420" s="147"/>
      <c r="AX1420" s="147"/>
      <c r="AY1420" s="147"/>
      <c r="AZ1420" s="147"/>
      <c r="BA1420" s="147"/>
      <c r="BB1420" s="147"/>
      <c r="BC1420" s="147"/>
      <c r="BD1420" s="147"/>
      <c r="BE1420" s="147"/>
      <c r="BF1420" s="147"/>
      <c r="BG1420" s="147"/>
      <c r="BH1420" s="147"/>
      <c r="BI1420" s="147"/>
      <c r="BJ1420" s="147"/>
      <c r="BK1420" s="147"/>
      <c r="BL1420" s="147"/>
      <c r="BM1420" s="147"/>
      <c r="BN1420" s="147"/>
      <c r="BO1420" s="147"/>
      <c r="BP1420" s="147"/>
      <c r="BQ1420" s="147"/>
      <c r="BR1420" s="147"/>
      <c r="BS1420" s="147"/>
      <c r="BT1420" s="147"/>
      <c r="BU1420" s="147"/>
      <c r="BV1420" s="147"/>
      <c r="BW1420" s="147"/>
      <c r="BX1420" s="147"/>
      <c r="BY1420" s="147"/>
      <c r="BZ1420" s="147"/>
      <c r="CA1420" s="147"/>
      <c r="CB1420" s="147"/>
      <c r="CC1420" s="147"/>
      <c r="CD1420" s="147"/>
      <c r="CE1420" s="147"/>
      <c r="CF1420" s="147"/>
      <c r="CG1420" s="147"/>
      <c r="CH1420" s="147"/>
      <c r="CI1420" s="147"/>
      <c r="CJ1420" s="147"/>
      <c r="CK1420" s="147"/>
    </row>
    <row r="1421" spans="1:89">
      <c r="A1421" s="157"/>
      <c r="F1421" s="3"/>
      <c r="G1421" s="3"/>
      <c r="L1421" s="157"/>
      <c r="M1421" s="157"/>
      <c r="O1421" s="147"/>
      <c r="P1421" s="147"/>
      <c r="Q1421" s="147"/>
      <c r="R1421" s="147"/>
      <c r="S1421" s="147"/>
      <c r="T1421" s="147"/>
      <c r="U1421" s="147"/>
      <c r="V1421" s="147"/>
      <c r="W1421" s="147"/>
      <c r="X1421" s="147"/>
      <c r="Y1421" s="147"/>
      <c r="Z1421" s="147"/>
      <c r="AA1421" s="147"/>
      <c r="AB1421" s="147"/>
      <c r="AC1421" s="147"/>
      <c r="AD1421" s="147"/>
      <c r="AE1421" s="147"/>
      <c r="AF1421" s="147"/>
      <c r="AG1421" s="147"/>
      <c r="AH1421" s="147"/>
      <c r="AI1421" s="147"/>
      <c r="AJ1421" s="147"/>
      <c r="AK1421" s="147"/>
      <c r="AL1421" s="147"/>
      <c r="AM1421" s="151"/>
      <c r="AN1421" s="147"/>
      <c r="AO1421" s="147"/>
      <c r="AP1421" s="147"/>
      <c r="AQ1421" s="147"/>
      <c r="AR1421" s="147"/>
      <c r="AS1421" s="147"/>
      <c r="AT1421" s="147"/>
      <c r="AU1421" s="147"/>
      <c r="AV1421" s="147"/>
      <c r="AW1421" s="147"/>
      <c r="AX1421" s="147"/>
      <c r="AY1421" s="147"/>
      <c r="AZ1421" s="147"/>
      <c r="BA1421" s="147"/>
      <c r="BB1421" s="147"/>
      <c r="BC1421" s="147"/>
      <c r="BD1421" s="147"/>
      <c r="BE1421" s="147"/>
      <c r="BF1421" s="147"/>
      <c r="BG1421" s="147"/>
      <c r="BH1421" s="147"/>
      <c r="BI1421" s="147"/>
      <c r="BJ1421" s="147"/>
      <c r="BK1421" s="147"/>
      <c r="BL1421" s="147"/>
      <c r="BM1421" s="147"/>
      <c r="BN1421" s="147"/>
      <c r="BO1421" s="147"/>
      <c r="BP1421" s="147"/>
      <c r="BQ1421" s="147"/>
      <c r="BR1421" s="147"/>
      <c r="BS1421" s="147"/>
      <c r="BT1421" s="147"/>
      <c r="BU1421" s="147"/>
      <c r="BV1421" s="147"/>
      <c r="BW1421" s="147"/>
      <c r="BX1421" s="147"/>
      <c r="BY1421" s="147"/>
      <c r="BZ1421" s="147"/>
      <c r="CA1421" s="147"/>
      <c r="CB1421" s="147"/>
      <c r="CC1421" s="147"/>
      <c r="CD1421" s="147"/>
      <c r="CE1421" s="147"/>
      <c r="CF1421" s="147"/>
      <c r="CG1421" s="147"/>
      <c r="CH1421" s="147"/>
      <c r="CI1421" s="147"/>
      <c r="CJ1421" s="147"/>
      <c r="CK1421" s="147"/>
    </row>
    <row r="1422" spans="1:89">
      <c r="A1422" s="157"/>
      <c r="F1422" s="3"/>
      <c r="G1422" s="3"/>
      <c r="L1422" s="157"/>
      <c r="M1422" s="157"/>
      <c r="O1422" s="147"/>
      <c r="P1422" s="147"/>
      <c r="Q1422" s="147"/>
      <c r="R1422" s="147"/>
      <c r="S1422" s="147"/>
      <c r="T1422" s="147"/>
      <c r="U1422" s="147"/>
      <c r="V1422" s="147"/>
      <c r="W1422" s="147"/>
      <c r="X1422" s="147"/>
      <c r="Y1422" s="147"/>
      <c r="Z1422" s="147"/>
      <c r="AA1422" s="147"/>
      <c r="AB1422" s="147"/>
      <c r="AC1422" s="147"/>
      <c r="AD1422" s="147"/>
      <c r="AE1422" s="147"/>
      <c r="AF1422" s="147"/>
      <c r="AG1422" s="147"/>
      <c r="AH1422" s="147"/>
      <c r="AI1422" s="147"/>
      <c r="AJ1422" s="147"/>
      <c r="AK1422" s="147"/>
      <c r="AL1422" s="147"/>
      <c r="AM1422" s="151"/>
      <c r="AN1422" s="147"/>
      <c r="AO1422" s="147"/>
      <c r="AP1422" s="147"/>
      <c r="AQ1422" s="147"/>
      <c r="AR1422" s="147"/>
      <c r="AS1422" s="147"/>
      <c r="AT1422" s="147"/>
      <c r="AU1422" s="147"/>
      <c r="AV1422" s="147"/>
      <c r="AW1422" s="147"/>
      <c r="AX1422" s="147"/>
      <c r="AY1422" s="147"/>
      <c r="AZ1422" s="147"/>
      <c r="BA1422" s="147"/>
      <c r="BB1422" s="147"/>
      <c r="BC1422" s="147"/>
      <c r="BD1422" s="147"/>
      <c r="BE1422" s="147"/>
      <c r="BF1422" s="147"/>
      <c r="BG1422" s="147"/>
      <c r="BH1422" s="147"/>
      <c r="BI1422" s="147"/>
      <c r="BJ1422" s="147"/>
      <c r="BK1422" s="147"/>
      <c r="BL1422" s="147"/>
      <c r="BM1422" s="147"/>
      <c r="BN1422" s="147"/>
      <c r="BO1422" s="147"/>
      <c r="BP1422" s="147"/>
      <c r="BQ1422" s="147"/>
      <c r="BR1422" s="147"/>
      <c r="BS1422" s="147"/>
      <c r="BT1422" s="147"/>
      <c r="BU1422" s="147"/>
      <c r="BV1422" s="147"/>
      <c r="BW1422" s="147"/>
      <c r="BX1422" s="147"/>
      <c r="BY1422" s="147"/>
      <c r="BZ1422" s="147"/>
      <c r="CA1422" s="147"/>
      <c r="CB1422" s="147"/>
      <c r="CC1422" s="147"/>
      <c r="CD1422" s="147"/>
      <c r="CE1422" s="147"/>
      <c r="CF1422" s="147"/>
      <c r="CG1422" s="147"/>
      <c r="CH1422" s="147"/>
      <c r="CI1422" s="147"/>
      <c r="CJ1422" s="147"/>
      <c r="CK1422" s="147"/>
    </row>
    <row r="1423" spans="1:89">
      <c r="A1423" s="157"/>
      <c r="F1423" s="3"/>
      <c r="G1423" s="3"/>
      <c r="L1423" s="157"/>
      <c r="M1423" s="157"/>
      <c r="O1423" s="147"/>
      <c r="P1423" s="147"/>
      <c r="Q1423" s="147"/>
      <c r="R1423" s="147"/>
      <c r="S1423" s="147"/>
      <c r="T1423" s="147"/>
      <c r="U1423" s="147"/>
      <c r="V1423" s="147"/>
      <c r="W1423" s="147"/>
      <c r="X1423" s="147"/>
      <c r="Y1423" s="147"/>
      <c r="Z1423" s="147"/>
      <c r="AA1423" s="147"/>
      <c r="AB1423" s="147"/>
      <c r="AC1423" s="147"/>
      <c r="AD1423" s="147"/>
      <c r="AE1423" s="147"/>
      <c r="AF1423" s="147"/>
      <c r="AG1423" s="147"/>
      <c r="AH1423" s="147"/>
      <c r="AI1423" s="147"/>
      <c r="AJ1423" s="147"/>
      <c r="AK1423" s="147"/>
      <c r="AL1423" s="147"/>
      <c r="AM1423" s="151"/>
      <c r="AN1423" s="147"/>
      <c r="AO1423" s="147"/>
      <c r="AP1423" s="147"/>
      <c r="AQ1423" s="147"/>
      <c r="AR1423" s="147"/>
      <c r="AS1423" s="147"/>
      <c r="AT1423" s="147"/>
      <c r="AU1423" s="147"/>
      <c r="AV1423" s="147"/>
      <c r="AW1423" s="147"/>
      <c r="AX1423" s="147"/>
      <c r="AY1423" s="147"/>
      <c r="AZ1423" s="147"/>
      <c r="BA1423" s="147"/>
      <c r="BB1423" s="147"/>
      <c r="BC1423" s="147"/>
      <c r="BD1423" s="147"/>
      <c r="BE1423" s="147"/>
      <c r="BF1423" s="147"/>
      <c r="BG1423" s="147"/>
      <c r="BH1423" s="147"/>
      <c r="BI1423" s="147"/>
      <c r="BJ1423" s="147"/>
      <c r="BK1423" s="147"/>
      <c r="BL1423" s="147"/>
      <c r="BM1423" s="147"/>
      <c r="BN1423" s="147"/>
      <c r="BO1423" s="147"/>
      <c r="BP1423" s="147"/>
      <c r="BQ1423" s="147"/>
      <c r="BR1423" s="147"/>
      <c r="BS1423" s="147"/>
      <c r="BT1423" s="147"/>
      <c r="BU1423" s="147"/>
      <c r="BV1423" s="147"/>
      <c r="BW1423" s="147"/>
      <c r="BX1423" s="147"/>
      <c r="BY1423" s="147"/>
      <c r="BZ1423" s="147"/>
      <c r="CA1423" s="147"/>
      <c r="CB1423" s="147"/>
      <c r="CC1423" s="147"/>
      <c r="CD1423" s="147"/>
      <c r="CE1423" s="147"/>
      <c r="CF1423" s="147"/>
      <c r="CG1423" s="147"/>
      <c r="CH1423" s="147"/>
      <c r="CI1423" s="147"/>
      <c r="CJ1423" s="147"/>
      <c r="CK1423" s="147"/>
    </row>
    <row r="1424" spans="1:89">
      <c r="A1424" s="157"/>
      <c r="F1424" s="3"/>
      <c r="G1424" s="3"/>
      <c r="L1424" s="157"/>
      <c r="M1424" s="157"/>
      <c r="O1424" s="147"/>
      <c r="P1424" s="147"/>
      <c r="Q1424" s="147"/>
      <c r="R1424" s="147"/>
      <c r="S1424" s="147"/>
      <c r="T1424" s="147"/>
      <c r="U1424" s="147"/>
      <c r="V1424" s="147"/>
      <c r="W1424" s="147"/>
      <c r="X1424" s="147"/>
      <c r="Y1424" s="147"/>
      <c r="Z1424" s="147"/>
      <c r="AA1424" s="147"/>
      <c r="AB1424" s="147"/>
      <c r="AC1424" s="147"/>
      <c r="AD1424" s="147"/>
      <c r="AE1424" s="147"/>
      <c r="AF1424" s="147"/>
      <c r="AG1424" s="147"/>
      <c r="AH1424" s="147"/>
      <c r="AI1424" s="147"/>
      <c r="AJ1424" s="147"/>
      <c r="AK1424" s="147"/>
      <c r="AL1424" s="147"/>
      <c r="AM1424" s="151"/>
      <c r="AN1424" s="147"/>
      <c r="AO1424" s="147"/>
      <c r="AP1424" s="147"/>
      <c r="AQ1424" s="147"/>
      <c r="AR1424" s="147"/>
      <c r="AS1424" s="147"/>
      <c r="AT1424" s="147"/>
      <c r="AU1424" s="147"/>
      <c r="AV1424" s="147"/>
      <c r="AW1424" s="147"/>
      <c r="AX1424" s="147"/>
      <c r="AY1424" s="147"/>
      <c r="AZ1424" s="147"/>
      <c r="BA1424" s="147"/>
      <c r="BB1424" s="147"/>
      <c r="BC1424" s="147"/>
      <c r="BD1424" s="147"/>
      <c r="BE1424" s="147"/>
      <c r="BF1424" s="147"/>
      <c r="BG1424" s="147"/>
      <c r="BH1424" s="147"/>
      <c r="BI1424" s="147"/>
      <c r="BJ1424" s="147"/>
      <c r="BK1424" s="147"/>
      <c r="BL1424" s="147"/>
      <c r="BM1424" s="147"/>
      <c r="BN1424" s="147"/>
      <c r="BO1424" s="147"/>
      <c r="BP1424" s="147"/>
      <c r="BQ1424" s="147"/>
      <c r="BR1424" s="147"/>
      <c r="BS1424" s="147"/>
      <c r="BT1424" s="147"/>
      <c r="BU1424" s="147"/>
      <c r="BV1424" s="147"/>
      <c r="BW1424" s="147"/>
      <c r="BX1424" s="147"/>
      <c r="BY1424" s="147"/>
      <c r="BZ1424" s="147"/>
      <c r="CA1424" s="147"/>
      <c r="CB1424" s="147"/>
      <c r="CC1424" s="147"/>
      <c r="CD1424" s="147"/>
      <c r="CE1424" s="147"/>
      <c r="CF1424" s="147"/>
      <c r="CG1424" s="147"/>
      <c r="CH1424" s="147"/>
      <c r="CI1424" s="147"/>
      <c r="CJ1424" s="147"/>
      <c r="CK1424" s="147"/>
    </row>
    <row r="1425" spans="1:89">
      <c r="A1425" s="157"/>
      <c r="F1425" s="3"/>
      <c r="G1425" s="3"/>
      <c r="L1425" s="157"/>
      <c r="M1425" s="157"/>
      <c r="O1425" s="147"/>
      <c r="P1425" s="147"/>
      <c r="Q1425" s="147"/>
      <c r="R1425" s="147"/>
      <c r="S1425" s="147"/>
      <c r="T1425" s="147"/>
      <c r="U1425" s="147"/>
      <c r="V1425" s="147"/>
      <c r="W1425" s="147"/>
      <c r="X1425" s="147"/>
      <c r="Y1425" s="147"/>
      <c r="Z1425" s="147"/>
      <c r="AA1425" s="147"/>
      <c r="AB1425" s="147"/>
      <c r="AC1425" s="147"/>
      <c r="AD1425" s="147"/>
      <c r="AE1425" s="147"/>
      <c r="AF1425" s="147"/>
      <c r="AG1425" s="147"/>
      <c r="AH1425" s="147"/>
      <c r="AI1425" s="147"/>
      <c r="AJ1425" s="147"/>
      <c r="AK1425" s="147"/>
      <c r="AL1425" s="147"/>
      <c r="AM1425" s="151"/>
      <c r="AN1425" s="147"/>
      <c r="AO1425" s="147"/>
      <c r="AP1425" s="147"/>
      <c r="AQ1425" s="147"/>
      <c r="AR1425" s="147"/>
      <c r="AS1425" s="147"/>
      <c r="AT1425" s="147"/>
      <c r="AU1425" s="147"/>
      <c r="AV1425" s="147"/>
      <c r="AW1425" s="147"/>
      <c r="AX1425" s="147"/>
      <c r="AY1425" s="147"/>
      <c r="AZ1425" s="147"/>
      <c r="BA1425" s="147"/>
      <c r="BB1425" s="147"/>
      <c r="BC1425" s="147"/>
      <c r="BD1425" s="147"/>
      <c r="BE1425" s="147"/>
      <c r="BF1425" s="147"/>
      <c r="BG1425" s="147"/>
      <c r="BH1425" s="147"/>
      <c r="BI1425" s="147"/>
      <c r="BJ1425" s="147"/>
      <c r="BK1425" s="147"/>
      <c r="BL1425" s="147"/>
      <c r="BM1425" s="147"/>
      <c r="BN1425" s="147"/>
      <c r="BO1425" s="147"/>
      <c r="BP1425" s="147"/>
      <c r="BQ1425" s="147"/>
      <c r="BR1425" s="147"/>
      <c r="BS1425" s="147"/>
      <c r="BT1425" s="147"/>
      <c r="BU1425" s="147"/>
      <c r="BV1425" s="147"/>
      <c r="BW1425" s="147"/>
      <c r="BX1425" s="147"/>
      <c r="BY1425" s="147"/>
      <c r="BZ1425" s="147"/>
      <c r="CA1425" s="147"/>
      <c r="CB1425" s="147"/>
      <c r="CC1425" s="147"/>
      <c r="CD1425" s="147"/>
      <c r="CE1425" s="147"/>
      <c r="CF1425" s="147"/>
      <c r="CG1425" s="147"/>
      <c r="CH1425" s="147"/>
      <c r="CI1425" s="147"/>
      <c r="CJ1425" s="147"/>
      <c r="CK1425" s="147"/>
    </row>
    <row r="1426" spans="1:89">
      <c r="A1426" s="157"/>
      <c r="F1426" s="3"/>
      <c r="G1426" s="3"/>
      <c r="L1426" s="157"/>
      <c r="M1426" s="157"/>
      <c r="O1426" s="147"/>
      <c r="P1426" s="147"/>
      <c r="Q1426" s="147"/>
      <c r="R1426" s="147"/>
      <c r="S1426" s="147"/>
      <c r="T1426" s="147"/>
      <c r="U1426" s="147"/>
      <c r="V1426" s="147"/>
      <c r="W1426" s="147"/>
      <c r="X1426" s="147"/>
      <c r="Y1426" s="147"/>
      <c r="Z1426" s="147"/>
      <c r="AA1426" s="147"/>
      <c r="AB1426" s="147"/>
      <c r="AC1426" s="147"/>
      <c r="AD1426" s="147"/>
      <c r="AE1426" s="147"/>
      <c r="AF1426" s="147"/>
      <c r="AG1426" s="147"/>
      <c r="AH1426" s="147"/>
      <c r="AI1426" s="147"/>
      <c r="AJ1426" s="147"/>
      <c r="AK1426" s="147"/>
      <c r="AL1426" s="147"/>
      <c r="AM1426" s="151"/>
      <c r="AN1426" s="147"/>
      <c r="AO1426" s="147"/>
      <c r="AP1426" s="147"/>
      <c r="AQ1426" s="147"/>
      <c r="AR1426" s="147"/>
      <c r="AS1426" s="147"/>
      <c r="AT1426" s="147"/>
      <c r="AU1426" s="147"/>
      <c r="AV1426" s="147"/>
      <c r="AW1426" s="147"/>
      <c r="AX1426" s="147"/>
      <c r="AY1426" s="147"/>
      <c r="AZ1426" s="147"/>
      <c r="BA1426" s="147"/>
      <c r="BB1426" s="147"/>
      <c r="BC1426" s="147"/>
      <c r="BD1426" s="147"/>
      <c r="BE1426" s="147"/>
      <c r="BF1426" s="147"/>
      <c r="BG1426" s="147"/>
      <c r="BH1426" s="147"/>
      <c r="BI1426" s="147"/>
      <c r="BJ1426" s="147"/>
      <c r="BK1426" s="147"/>
      <c r="BL1426" s="147"/>
      <c r="BM1426" s="147"/>
      <c r="BN1426" s="147"/>
      <c r="BO1426" s="147"/>
      <c r="BP1426" s="147"/>
      <c r="BQ1426" s="147"/>
      <c r="BR1426" s="147"/>
      <c r="BS1426" s="147"/>
      <c r="BT1426" s="147"/>
      <c r="BU1426" s="147"/>
      <c r="BV1426" s="147"/>
      <c r="BW1426" s="147"/>
      <c r="BX1426" s="147"/>
      <c r="BY1426" s="147"/>
      <c r="BZ1426" s="147"/>
      <c r="CA1426" s="147"/>
      <c r="CB1426" s="147"/>
      <c r="CC1426" s="147"/>
      <c r="CD1426" s="147"/>
      <c r="CE1426" s="147"/>
      <c r="CF1426" s="147"/>
      <c r="CG1426" s="147"/>
      <c r="CH1426" s="147"/>
      <c r="CI1426" s="147"/>
      <c r="CJ1426" s="147"/>
      <c r="CK1426" s="147"/>
    </row>
    <row r="1427" spans="1:89">
      <c r="A1427" s="157"/>
      <c r="F1427" s="3"/>
      <c r="G1427" s="3"/>
      <c r="L1427" s="157"/>
      <c r="M1427" s="157"/>
      <c r="O1427" s="147"/>
      <c r="P1427" s="147"/>
      <c r="Q1427" s="147"/>
      <c r="R1427" s="147"/>
      <c r="S1427" s="147"/>
      <c r="T1427" s="147"/>
      <c r="U1427" s="147"/>
      <c r="V1427" s="147"/>
      <c r="W1427" s="147"/>
      <c r="X1427" s="147"/>
      <c r="Y1427" s="147"/>
      <c r="Z1427" s="147"/>
      <c r="AA1427" s="147"/>
      <c r="AB1427" s="147"/>
      <c r="AC1427" s="147"/>
      <c r="AD1427" s="147"/>
      <c r="AE1427" s="147"/>
      <c r="AF1427" s="147"/>
      <c r="AG1427" s="147"/>
      <c r="AH1427" s="147"/>
      <c r="AI1427" s="147"/>
      <c r="AJ1427" s="147"/>
      <c r="AK1427" s="147"/>
      <c r="AL1427" s="147"/>
      <c r="AM1427" s="151"/>
      <c r="AN1427" s="147"/>
      <c r="AO1427" s="147"/>
      <c r="AP1427" s="147"/>
      <c r="AQ1427" s="147"/>
      <c r="AR1427" s="147"/>
      <c r="AS1427" s="147"/>
      <c r="AT1427" s="147"/>
      <c r="AU1427" s="147"/>
      <c r="AV1427" s="147"/>
      <c r="AW1427" s="147"/>
      <c r="AX1427" s="147"/>
      <c r="AY1427" s="147"/>
      <c r="AZ1427" s="147"/>
      <c r="BA1427" s="147"/>
      <c r="BB1427" s="147"/>
      <c r="BC1427" s="147"/>
      <c r="BD1427" s="147"/>
      <c r="BE1427" s="147"/>
      <c r="BF1427" s="147"/>
      <c r="BG1427" s="147"/>
      <c r="BH1427" s="147"/>
      <c r="BI1427" s="147"/>
      <c r="BJ1427" s="147"/>
      <c r="BK1427" s="147"/>
      <c r="BL1427" s="147"/>
      <c r="BM1427" s="147"/>
      <c r="BN1427" s="147"/>
      <c r="BO1427" s="147"/>
      <c r="BP1427" s="147"/>
      <c r="BQ1427" s="147"/>
      <c r="BR1427" s="147"/>
      <c r="BS1427" s="147"/>
      <c r="BT1427" s="147"/>
      <c r="BU1427" s="147"/>
      <c r="BV1427" s="147"/>
      <c r="BW1427" s="147"/>
      <c r="BX1427" s="147"/>
      <c r="BY1427" s="147"/>
      <c r="BZ1427" s="147"/>
      <c r="CA1427" s="147"/>
      <c r="CB1427" s="147"/>
      <c r="CC1427" s="147"/>
      <c r="CD1427" s="147"/>
      <c r="CE1427" s="147"/>
      <c r="CF1427" s="147"/>
      <c r="CG1427" s="147"/>
      <c r="CH1427" s="147"/>
      <c r="CI1427" s="147"/>
      <c r="CJ1427" s="147"/>
      <c r="CK1427" s="147"/>
    </row>
    <row r="1428" spans="1:89">
      <c r="A1428" s="157"/>
      <c r="F1428" s="3"/>
      <c r="G1428" s="3"/>
      <c r="L1428" s="157"/>
      <c r="M1428" s="157"/>
      <c r="O1428" s="147"/>
      <c r="P1428" s="147"/>
      <c r="Q1428" s="147"/>
      <c r="R1428" s="147"/>
      <c r="S1428" s="147"/>
      <c r="T1428" s="147"/>
      <c r="U1428" s="147"/>
      <c r="V1428" s="147"/>
      <c r="W1428" s="147"/>
      <c r="X1428" s="147"/>
      <c r="Y1428" s="147"/>
      <c r="Z1428" s="147"/>
      <c r="AA1428" s="147"/>
      <c r="AB1428" s="147"/>
      <c r="AC1428" s="147"/>
      <c r="AD1428" s="147"/>
      <c r="AE1428" s="147"/>
      <c r="AF1428" s="147"/>
      <c r="AG1428" s="147"/>
      <c r="AH1428" s="147"/>
      <c r="AI1428" s="147"/>
      <c r="AJ1428" s="147"/>
      <c r="AK1428" s="147"/>
      <c r="AL1428" s="147"/>
      <c r="AM1428" s="151"/>
      <c r="AN1428" s="147"/>
      <c r="AO1428" s="147"/>
      <c r="AP1428" s="147"/>
      <c r="AQ1428" s="147"/>
      <c r="AR1428" s="147"/>
      <c r="AS1428" s="147"/>
      <c r="AT1428" s="147"/>
      <c r="AU1428" s="147"/>
      <c r="AV1428" s="147"/>
      <c r="AW1428" s="147"/>
      <c r="AX1428" s="147"/>
      <c r="AY1428" s="147"/>
      <c r="AZ1428" s="147"/>
      <c r="BA1428" s="147"/>
      <c r="BB1428" s="147"/>
      <c r="BC1428" s="147"/>
      <c r="BD1428" s="147"/>
      <c r="BE1428" s="147"/>
      <c r="BF1428" s="147"/>
      <c r="BG1428" s="147"/>
      <c r="BH1428" s="147"/>
      <c r="BI1428" s="147"/>
      <c r="BJ1428" s="147"/>
      <c r="BK1428" s="147"/>
      <c r="BL1428" s="147"/>
      <c r="BM1428" s="147"/>
      <c r="BN1428" s="147"/>
      <c r="BO1428" s="147"/>
      <c r="BP1428" s="147"/>
      <c r="BQ1428" s="147"/>
      <c r="BR1428" s="147"/>
      <c r="BS1428" s="147"/>
      <c r="BT1428" s="147"/>
      <c r="BU1428" s="147"/>
      <c r="BV1428" s="147"/>
      <c r="BW1428" s="147"/>
      <c r="BX1428" s="147"/>
      <c r="BY1428" s="147"/>
      <c r="BZ1428" s="147"/>
      <c r="CA1428" s="147"/>
      <c r="CB1428" s="147"/>
      <c r="CC1428" s="147"/>
      <c r="CD1428" s="147"/>
      <c r="CE1428" s="147"/>
      <c r="CF1428" s="147"/>
      <c r="CG1428" s="147"/>
      <c r="CH1428" s="147"/>
      <c r="CI1428" s="147"/>
      <c r="CJ1428" s="147"/>
      <c r="CK1428" s="147"/>
    </row>
    <row r="1429" spans="1:89">
      <c r="A1429" s="157"/>
      <c r="F1429" s="3"/>
      <c r="G1429" s="3"/>
      <c r="L1429" s="157"/>
      <c r="M1429" s="157"/>
      <c r="O1429" s="147"/>
      <c r="P1429" s="147"/>
      <c r="Q1429" s="147"/>
      <c r="R1429" s="147"/>
      <c r="S1429" s="147"/>
      <c r="T1429" s="147"/>
      <c r="U1429" s="147"/>
      <c r="V1429" s="147"/>
      <c r="W1429" s="147"/>
      <c r="X1429" s="147"/>
      <c r="Y1429" s="147"/>
      <c r="Z1429" s="147"/>
      <c r="AA1429" s="147"/>
      <c r="AB1429" s="147"/>
      <c r="AC1429" s="147"/>
      <c r="AD1429" s="147"/>
      <c r="AE1429" s="147"/>
      <c r="AF1429" s="147"/>
      <c r="AG1429" s="147"/>
      <c r="AH1429" s="147"/>
      <c r="AI1429" s="147"/>
      <c r="AJ1429" s="147"/>
      <c r="AK1429" s="147"/>
      <c r="AL1429" s="147"/>
      <c r="AM1429" s="151"/>
      <c r="AN1429" s="147"/>
      <c r="AO1429" s="147"/>
      <c r="AP1429" s="147"/>
      <c r="AQ1429" s="147"/>
      <c r="AR1429" s="147"/>
      <c r="AS1429" s="147"/>
      <c r="AT1429" s="147"/>
      <c r="AU1429" s="147"/>
      <c r="AV1429" s="147"/>
      <c r="AW1429" s="147"/>
      <c r="AX1429" s="147"/>
      <c r="AY1429" s="147"/>
      <c r="AZ1429" s="147"/>
      <c r="BA1429" s="147"/>
      <c r="BB1429" s="147"/>
      <c r="BC1429" s="147"/>
      <c r="BD1429" s="147"/>
      <c r="BE1429" s="147"/>
      <c r="BF1429" s="147"/>
      <c r="BG1429" s="147"/>
      <c r="BH1429" s="147"/>
      <c r="BI1429" s="147"/>
      <c r="BJ1429" s="147"/>
      <c r="BK1429" s="147"/>
      <c r="BL1429" s="147"/>
      <c r="BM1429" s="147"/>
      <c r="BN1429" s="147"/>
      <c r="BO1429" s="147"/>
      <c r="BP1429" s="147"/>
      <c r="BQ1429" s="147"/>
      <c r="BR1429" s="147"/>
      <c r="BS1429" s="147"/>
      <c r="BT1429" s="147"/>
      <c r="BU1429" s="147"/>
      <c r="BV1429" s="147"/>
      <c r="BW1429" s="147"/>
      <c r="BX1429" s="147"/>
      <c r="BY1429" s="147"/>
      <c r="BZ1429" s="147"/>
      <c r="CA1429" s="147"/>
      <c r="CB1429" s="147"/>
      <c r="CC1429" s="147"/>
      <c r="CD1429" s="147"/>
      <c r="CE1429" s="147"/>
      <c r="CF1429" s="147"/>
      <c r="CG1429" s="147"/>
      <c r="CH1429" s="147"/>
      <c r="CI1429" s="147"/>
      <c r="CJ1429" s="147"/>
      <c r="CK1429" s="147"/>
    </row>
    <row r="1430" spans="1:89">
      <c r="A1430" s="157"/>
      <c r="F1430" s="3"/>
      <c r="G1430" s="3"/>
      <c r="L1430" s="157"/>
      <c r="M1430" s="157"/>
      <c r="O1430" s="147"/>
      <c r="P1430" s="147"/>
      <c r="Q1430" s="147"/>
      <c r="R1430" s="147"/>
      <c r="S1430" s="147"/>
      <c r="T1430" s="147"/>
      <c r="U1430" s="147"/>
      <c r="V1430" s="147"/>
      <c r="W1430" s="147"/>
      <c r="X1430" s="147"/>
      <c r="Y1430" s="147"/>
      <c r="Z1430" s="147"/>
      <c r="AA1430" s="147"/>
      <c r="AB1430" s="147"/>
      <c r="AC1430" s="147"/>
      <c r="AD1430" s="147"/>
      <c r="AE1430" s="147"/>
      <c r="AF1430" s="147"/>
      <c r="AG1430" s="147"/>
      <c r="AH1430" s="147"/>
      <c r="AI1430" s="147"/>
      <c r="AJ1430" s="147"/>
      <c r="AK1430" s="147"/>
      <c r="AL1430" s="147"/>
      <c r="AM1430" s="151"/>
      <c r="AN1430" s="147"/>
      <c r="AO1430" s="147"/>
      <c r="AP1430" s="147"/>
      <c r="AQ1430" s="147"/>
      <c r="AR1430" s="147"/>
      <c r="AS1430" s="147"/>
      <c r="AT1430" s="147"/>
      <c r="AU1430" s="147"/>
      <c r="AV1430" s="147"/>
      <c r="AW1430" s="147"/>
      <c r="AX1430" s="147"/>
      <c r="AY1430" s="147"/>
      <c r="AZ1430" s="147"/>
      <c r="BA1430" s="147"/>
      <c r="BB1430" s="147"/>
      <c r="BC1430" s="147"/>
      <c r="BD1430" s="147"/>
      <c r="BE1430" s="147"/>
      <c r="BF1430" s="147"/>
      <c r="BG1430" s="147"/>
      <c r="BH1430" s="147"/>
      <c r="BI1430" s="147"/>
      <c r="BJ1430" s="147"/>
      <c r="BK1430" s="147"/>
      <c r="BL1430" s="147"/>
      <c r="BM1430" s="147"/>
      <c r="BN1430" s="147"/>
      <c r="BO1430" s="147"/>
      <c r="BP1430" s="147"/>
      <c r="BQ1430" s="147"/>
      <c r="BR1430" s="147"/>
      <c r="BS1430" s="147"/>
      <c r="BT1430" s="147"/>
      <c r="BU1430" s="147"/>
      <c r="BV1430" s="147"/>
      <c r="BW1430" s="147"/>
      <c r="BX1430" s="147"/>
      <c r="BY1430" s="147"/>
      <c r="BZ1430" s="147"/>
      <c r="CA1430" s="147"/>
      <c r="CB1430" s="147"/>
      <c r="CC1430" s="147"/>
      <c r="CD1430" s="147"/>
      <c r="CE1430" s="147"/>
      <c r="CF1430" s="147"/>
      <c r="CG1430" s="147"/>
      <c r="CH1430" s="147"/>
      <c r="CI1430" s="147"/>
      <c r="CJ1430" s="147"/>
      <c r="CK1430" s="147"/>
    </row>
    <row r="1431" spans="1:89">
      <c r="A1431" s="157"/>
      <c r="F1431" s="3"/>
      <c r="G1431" s="3"/>
      <c r="L1431" s="157"/>
      <c r="M1431" s="157"/>
      <c r="O1431" s="147"/>
      <c r="P1431" s="147"/>
      <c r="Q1431" s="147"/>
      <c r="R1431" s="147"/>
      <c r="S1431" s="147"/>
      <c r="T1431" s="147"/>
      <c r="U1431" s="147"/>
      <c r="V1431" s="147"/>
      <c r="W1431" s="147"/>
      <c r="X1431" s="147"/>
      <c r="Y1431" s="147"/>
      <c r="Z1431" s="147"/>
      <c r="AA1431" s="147"/>
      <c r="AB1431" s="147"/>
      <c r="AC1431" s="147"/>
      <c r="AD1431" s="147"/>
      <c r="AE1431" s="147"/>
      <c r="AF1431" s="147"/>
      <c r="AG1431" s="147"/>
      <c r="AH1431" s="147"/>
      <c r="AI1431" s="147"/>
      <c r="AJ1431" s="147"/>
      <c r="AK1431" s="147"/>
      <c r="AL1431" s="147"/>
      <c r="AM1431" s="151"/>
      <c r="AN1431" s="147"/>
      <c r="AO1431" s="147"/>
      <c r="AP1431" s="147"/>
      <c r="AQ1431" s="147"/>
      <c r="AR1431" s="147"/>
      <c r="AS1431" s="147"/>
      <c r="AT1431" s="147"/>
      <c r="AU1431" s="147"/>
      <c r="AV1431" s="147"/>
      <c r="AW1431" s="147"/>
      <c r="AX1431" s="147"/>
      <c r="AY1431" s="147"/>
      <c r="AZ1431" s="147"/>
      <c r="BA1431" s="147"/>
      <c r="BB1431" s="147"/>
      <c r="BC1431" s="147"/>
      <c r="BD1431" s="147"/>
      <c r="BE1431" s="147"/>
      <c r="BF1431" s="147"/>
      <c r="BG1431" s="147"/>
      <c r="BH1431" s="147"/>
      <c r="BI1431" s="147"/>
      <c r="BJ1431" s="147"/>
      <c r="BK1431" s="147"/>
      <c r="BL1431" s="147"/>
      <c r="BM1431" s="147"/>
      <c r="BN1431" s="147"/>
      <c r="BO1431" s="147"/>
      <c r="BP1431" s="147"/>
      <c r="BQ1431" s="147"/>
      <c r="BR1431" s="147"/>
      <c r="BS1431" s="147"/>
      <c r="BT1431" s="147"/>
      <c r="BU1431" s="147"/>
      <c r="BV1431" s="147"/>
      <c r="BW1431" s="147"/>
      <c r="BX1431" s="147"/>
      <c r="BY1431" s="147"/>
      <c r="BZ1431" s="147"/>
      <c r="CA1431" s="147"/>
      <c r="CB1431" s="147"/>
      <c r="CC1431" s="147"/>
      <c r="CD1431" s="147"/>
      <c r="CE1431" s="147"/>
      <c r="CF1431" s="147"/>
      <c r="CG1431" s="147"/>
      <c r="CH1431" s="147"/>
      <c r="CI1431" s="147"/>
      <c r="CJ1431" s="147"/>
      <c r="CK1431" s="147"/>
    </row>
    <row r="1432" spans="1:89">
      <c r="A1432" s="157"/>
      <c r="F1432" s="3"/>
      <c r="G1432" s="3"/>
      <c r="L1432" s="157"/>
      <c r="M1432" s="157"/>
      <c r="O1432" s="147"/>
      <c r="P1432" s="147"/>
      <c r="Q1432" s="147"/>
      <c r="R1432" s="147"/>
      <c r="S1432" s="147"/>
      <c r="T1432" s="147"/>
      <c r="U1432" s="147"/>
      <c r="V1432" s="147"/>
      <c r="W1432" s="147"/>
      <c r="X1432" s="147"/>
      <c r="Y1432" s="147"/>
      <c r="Z1432" s="147"/>
      <c r="AA1432" s="147"/>
      <c r="AB1432" s="147"/>
      <c r="AC1432" s="147"/>
      <c r="AD1432" s="147"/>
      <c r="AE1432" s="147"/>
      <c r="AF1432" s="147"/>
      <c r="AG1432" s="147"/>
      <c r="AH1432" s="147"/>
      <c r="AI1432" s="147"/>
      <c r="AJ1432" s="147"/>
      <c r="AK1432" s="147"/>
      <c r="AL1432" s="147"/>
      <c r="AM1432" s="151"/>
      <c r="AN1432" s="147"/>
      <c r="AO1432" s="147"/>
      <c r="AP1432" s="147"/>
      <c r="AQ1432" s="147"/>
      <c r="AR1432" s="147"/>
      <c r="AS1432" s="147"/>
      <c r="AT1432" s="147"/>
      <c r="AU1432" s="147"/>
      <c r="AV1432" s="147"/>
      <c r="AW1432" s="147"/>
      <c r="AX1432" s="147"/>
      <c r="AY1432" s="147"/>
      <c r="AZ1432" s="147"/>
      <c r="BA1432" s="147"/>
      <c r="BB1432" s="147"/>
      <c r="BC1432" s="147"/>
      <c r="BD1432" s="147"/>
      <c r="BE1432" s="147"/>
      <c r="BF1432" s="147"/>
      <c r="BG1432" s="147"/>
      <c r="BH1432" s="147"/>
      <c r="BI1432" s="147"/>
      <c r="BJ1432" s="147"/>
      <c r="BK1432" s="147"/>
      <c r="BL1432" s="147"/>
      <c r="BM1432" s="147"/>
      <c r="BN1432" s="147"/>
      <c r="BO1432" s="147"/>
      <c r="BP1432" s="147"/>
      <c r="BQ1432" s="147"/>
      <c r="BR1432" s="147"/>
      <c r="BS1432" s="147"/>
      <c r="BT1432" s="147"/>
      <c r="BU1432" s="147"/>
      <c r="BV1432" s="147"/>
      <c r="BW1432" s="147"/>
      <c r="BX1432" s="147"/>
      <c r="BY1432" s="147"/>
      <c r="BZ1432" s="147"/>
      <c r="CA1432" s="147"/>
      <c r="CB1432" s="147"/>
      <c r="CC1432" s="147"/>
      <c r="CD1432" s="147"/>
      <c r="CE1432" s="147"/>
      <c r="CF1432" s="147"/>
      <c r="CG1432" s="147"/>
      <c r="CH1432" s="147"/>
      <c r="CI1432" s="147"/>
      <c r="CJ1432" s="147"/>
      <c r="CK1432" s="147"/>
    </row>
    <row r="1433" spans="1:89">
      <c r="A1433" s="157"/>
      <c r="F1433" s="3"/>
      <c r="G1433" s="3"/>
      <c r="L1433" s="157"/>
      <c r="M1433" s="157"/>
      <c r="O1433" s="147"/>
      <c r="P1433" s="147"/>
      <c r="Q1433" s="147"/>
      <c r="R1433" s="147"/>
      <c r="S1433" s="147"/>
      <c r="T1433" s="147"/>
      <c r="U1433" s="147"/>
      <c r="V1433" s="147"/>
      <c r="W1433" s="147"/>
      <c r="X1433" s="147"/>
      <c r="Y1433" s="147"/>
      <c r="Z1433" s="147"/>
      <c r="AA1433" s="147"/>
      <c r="AB1433" s="147"/>
      <c r="AC1433" s="147"/>
      <c r="AD1433" s="147"/>
      <c r="AE1433" s="147"/>
      <c r="AF1433" s="147"/>
      <c r="AG1433" s="147"/>
      <c r="AH1433" s="147"/>
      <c r="AI1433" s="147"/>
      <c r="AJ1433" s="147"/>
      <c r="AK1433" s="147"/>
      <c r="AL1433" s="147"/>
      <c r="AM1433" s="151"/>
      <c r="AN1433" s="147"/>
      <c r="AO1433" s="147"/>
      <c r="AP1433" s="147"/>
      <c r="AQ1433" s="147"/>
      <c r="AR1433" s="147"/>
      <c r="AS1433" s="147"/>
      <c r="AT1433" s="147"/>
      <c r="AU1433" s="147"/>
      <c r="AV1433" s="147"/>
      <c r="AW1433" s="147"/>
      <c r="AX1433" s="147"/>
      <c r="AY1433" s="147"/>
      <c r="AZ1433" s="147"/>
      <c r="BA1433" s="147"/>
      <c r="BB1433" s="147"/>
      <c r="BC1433" s="147"/>
      <c r="BD1433" s="147"/>
      <c r="BE1433" s="147"/>
      <c r="BF1433" s="147"/>
      <c r="BG1433" s="147"/>
      <c r="BH1433" s="147"/>
      <c r="BI1433" s="147"/>
      <c r="BJ1433" s="147"/>
      <c r="BK1433" s="147"/>
      <c r="BL1433" s="147"/>
      <c r="BM1433" s="147"/>
      <c r="BN1433" s="147"/>
      <c r="BO1433" s="147"/>
      <c r="BP1433" s="147"/>
      <c r="BQ1433" s="147"/>
      <c r="BR1433" s="147"/>
      <c r="BS1433" s="147"/>
      <c r="BT1433" s="147"/>
      <c r="BU1433" s="147"/>
      <c r="BV1433" s="147"/>
      <c r="BW1433" s="147"/>
      <c r="BX1433" s="147"/>
      <c r="BY1433" s="147"/>
      <c r="BZ1433" s="147"/>
      <c r="CA1433" s="147"/>
      <c r="CB1433" s="147"/>
      <c r="CC1433" s="147"/>
      <c r="CD1433" s="147"/>
      <c r="CE1433" s="147"/>
      <c r="CF1433" s="147"/>
      <c r="CG1433" s="147"/>
      <c r="CH1433" s="147"/>
      <c r="CI1433" s="147"/>
      <c r="CJ1433" s="147"/>
      <c r="CK1433" s="147"/>
    </row>
    <row r="1434" spans="1:89">
      <c r="A1434" s="157"/>
      <c r="F1434" s="3"/>
      <c r="G1434" s="3"/>
      <c r="L1434" s="157"/>
      <c r="M1434" s="157"/>
      <c r="O1434" s="147"/>
      <c r="P1434" s="147"/>
      <c r="Q1434" s="147"/>
      <c r="R1434" s="147"/>
      <c r="S1434" s="147"/>
      <c r="T1434" s="147"/>
      <c r="U1434" s="147"/>
      <c r="V1434" s="147"/>
      <c r="W1434" s="147"/>
      <c r="X1434" s="147"/>
      <c r="Y1434" s="147"/>
      <c r="Z1434" s="147"/>
      <c r="AA1434" s="147"/>
      <c r="AB1434" s="147"/>
      <c r="AC1434" s="147"/>
      <c r="AD1434" s="147"/>
      <c r="AE1434" s="147"/>
      <c r="AF1434" s="147"/>
      <c r="AG1434" s="147"/>
      <c r="AH1434" s="147"/>
      <c r="AI1434" s="147"/>
      <c r="AJ1434" s="147"/>
      <c r="AK1434" s="147"/>
      <c r="AL1434" s="147"/>
      <c r="AM1434" s="151"/>
      <c r="AN1434" s="147"/>
      <c r="AO1434" s="147"/>
      <c r="AP1434" s="147"/>
      <c r="AQ1434" s="147"/>
      <c r="AR1434" s="147"/>
      <c r="AS1434" s="147"/>
      <c r="AT1434" s="147"/>
      <c r="AU1434" s="147"/>
      <c r="AV1434" s="147"/>
      <c r="AW1434" s="147"/>
      <c r="AX1434" s="147"/>
      <c r="AY1434" s="147"/>
      <c r="AZ1434" s="147"/>
      <c r="BA1434" s="147"/>
      <c r="BB1434" s="147"/>
      <c r="BC1434" s="147"/>
      <c r="BD1434" s="147"/>
      <c r="BE1434" s="147"/>
      <c r="BF1434" s="147"/>
      <c r="BG1434" s="147"/>
      <c r="BH1434" s="147"/>
      <c r="BI1434" s="147"/>
      <c r="BJ1434" s="147"/>
      <c r="BK1434" s="147"/>
      <c r="BL1434" s="147"/>
      <c r="BM1434" s="147"/>
      <c r="BN1434" s="147"/>
      <c r="BO1434" s="147"/>
      <c r="BP1434" s="147"/>
      <c r="BQ1434" s="147"/>
      <c r="BR1434" s="147"/>
      <c r="BS1434" s="147"/>
      <c r="BT1434" s="147"/>
      <c r="BU1434" s="147"/>
      <c r="BV1434" s="147"/>
      <c r="BW1434" s="147"/>
      <c r="BX1434" s="147"/>
      <c r="BY1434" s="147"/>
      <c r="BZ1434" s="147"/>
      <c r="CA1434" s="147"/>
      <c r="CB1434" s="147"/>
      <c r="CC1434" s="147"/>
      <c r="CD1434" s="147"/>
      <c r="CE1434" s="147"/>
      <c r="CF1434" s="147"/>
      <c r="CG1434" s="147"/>
      <c r="CH1434" s="147"/>
      <c r="CI1434" s="147"/>
      <c r="CJ1434" s="147"/>
      <c r="CK1434" s="147"/>
    </row>
    <row r="1435" spans="1:89">
      <c r="A1435" s="157"/>
      <c r="F1435" s="3"/>
      <c r="G1435" s="3"/>
      <c r="L1435" s="157"/>
      <c r="M1435" s="157"/>
      <c r="O1435" s="147"/>
      <c r="P1435" s="147"/>
      <c r="Q1435" s="147"/>
      <c r="R1435" s="147"/>
      <c r="S1435" s="147"/>
      <c r="T1435" s="147"/>
      <c r="U1435" s="147"/>
      <c r="V1435" s="147"/>
      <c r="W1435" s="147"/>
      <c r="X1435" s="147"/>
      <c r="Y1435" s="147"/>
      <c r="Z1435" s="147"/>
      <c r="AA1435" s="147"/>
      <c r="AB1435" s="147"/>
      <c r="AC1435" s="147"/>
      <c r="AD1435" s="147"/>
      <c r="AE1435" s="147"/>
      <c r="AF1435" s="147"/>
      <c r="AG1435" s="147"/>
      <c r="AH1435" s="147"/>
      <c r="AI1435" s="147"/>
      <c r="AJ1435" s="147"/>
      <c r="AK1435" s="147"/>
      <c r="AL1435" s="147"/>
      <c r="AM1435" s="151"/>
      <c r="AN1435" s="147"/>
      <c r="AO1435" s="147"/>
      <c r="AP1435" s="147"/>
      <c r="AQ1435" s="147"/>
      <c r="AR1435" s="147"/>
      <c r="AS1435" s="147"/>
      <c r="AT1435" s="147"/>
      <c r="AU1435" s="147"/>
      <c r="AV1435" s="147"/>
      <c r="AW1435" s="147"/>
      <c r="AX1435" s="147"/>
      <c r="AY1435" s="147"/>
      <c r="AZ1435" s="147"/>
      <c r="BA1435" s="147"/>
      <c r="BB1435" s="147"/>
      <c r="BC1435" s="147"/>
      <c r="BD1435" s="147"/>
      <c r="BE1435" s="147"/>
      <c r="BF1435" s="147"/>
      <c r="BG1435" s="147"/>
      <c r="BH1435" s="147"/>
      <c r="BI1435" s="147"/>
      <c r="BJ1435" s="147"/>
      <c r="BK1435" s="147"/>
      <c r="BL1435" s="147"/>
      <c r="BM1435" s="147"/>
      <c r="BN1435" s="147"/>
      <c r="BO1435" s="147"/>
      <c r="BP1435" s="147"/>
      <c r="BQ1435" s="147"/>
      <c r="BR1435" s="147"/>
      <c r="BS1435" s="147"/>
      <c r="BT1435" s="147"/>
      <c r="BU1435" s="147"/>
      <c r="BV1435" s="147"/>
      <c r="BW1435" s="147"/>
      <c r="BX1435" s="147"/>
      <c r="BY1435" s="147"/>
      <c r="BZ1435" s="147"/>
      <c r="CA1435" s="147"/>
      <c r="CB1435" s="147"/>
      <c r="CC1435" s="147"/>
      <c r="CD1435" s="147"/>
      <c r="CE1435" s="147"/>
      <c r="CF1435" s="147"/>
      <c r="CG1435" s="147"/>
      <c r="CH1435" s="147"/>
      <c r="CI1435" s="147"/>
      <c r="CJ1435" s="147"/>
      <c r="CK1435" s="147"/>
    </row>
    <row r="1436" spans="1:89">
      <c r="A1436" s="157"/>
      <c r="F1436" s="3"/>
      <c r="G1436" s="3"/>
      <c r="L1436" s="157"/>
      <c r="M1436" s="157"/>
      <c r="O1436" s="147"/>
      <c r="P1436" s="147"/>
      <c r="Q1436" s="147"/>
      <c r="R1436" s="147"/>
      <c r="S1436" s="147"/>
      <c r="T1436" s="147"/>
      <c r="U1436" s="147"/>
      <c r="V1436" s="147"/>
      <c r="W1436" s="147"/>
      <c r="X1436" s="147"/>
      <c r="Y1436" s="147"/>
      <c r="Z1436" s="147"/>
      <c r="AA1436" s="147"/>
      <c r="AB1436" s="147"/>
      <c r="AC1436" s="147"/>
      <c r="AD1436" s="147"/>
      <c r="AE1436" s="147"/>
      <c r="AF1436" s="147"/>
      <c r="AG1436" s="147"/>
      <c r="AH1436" s="147"/>
      <c r="AI1436" s="147"/>
      <c r="AJ1436" s="147"/>
      <c r="AK1436" s="147"/>
      <c r="AL1436" s="147"/>
      <c r="AM1436" s="151"/>
      <c r="AN1436" s="147"/>
      <c r="AO1436" s="147"/>
      <c r="AP1436" s="147"/>
      <c r="AQ1436" s="147"/>
      <c r="AR1436" s="147"/>
      <c r="AS1436" s="147"/>
      <c r="AT1436" s="147"/>
      <c r="AU1436" s="147"/>
      <c r="AV1436" s="147"/>
      <c r="AW1436" s="147"/>
      <c r="AX1436" s="147"/>
      <c r="AY1436" s="147"/>
      <c r="AZ1436" s="147"/>
      <c r="BA1436" s="147"/>
      <c r="BB1436" s="147"/>
      <c r="BC1436" s="147"/>
      <c r="BD1436" s="147"/>
      <c r="BE1436" s="147"/>
      <c r="BF1436" s="147"/>
      <c r="BG1436" s="147"/>
      <c r="BH1436" s="147"/>
      <c r="BI1436" s="147"/>
      <c r="BJ1436" s="147"/>
      <c r="BK1436" s="147"/>
      <c r="BL1436" s="147"/>
      <c r="BM1436" s="147"/>
      <c r="BN1436" s="147"/>
      <c r="BO1436" s="147"/>
      <c r="BP1436" s="147"/>
      <c r="BQ1436" s="147"/>
      <c r="BR1436" s="147"/>
      <c r="BS1436" s="147"/>
      <c r="BT1436" s="147"/>
      <c r="BU1436" s="147"/>
      <c r="BV1436" s="147"/>
      <c r="BW1436" s="147"/>
      <c r="BX1436" s="147"/>
      <c r="BY1436" s="147"/>
      <c r="BZ1436" s="147"/>
      <c r="CA1436" s="147"/>
      <c r="CB1436" s="147"/>
      <c r="CC1436" s="147"/>
      <c r="CD1436" s="147"/>
      <c r="CE1436" s="147"/>
      <c r="CF1436" s="147"/>
      <c r="CG1436" s="147"/>
      <c r="CH1436" s="147"/>
      <c r="CI1436" s="147"/>
      <c r="CJ1436" s="147"/>
      <c r="CK1436" s="147"/>
    </row>
    <row r="1437" spans="1:89">
      <c r="A1437" s="157"/>
      <c r="F1437" s="3"/>
      <c r="G1437" s="3"/>
      <c r="L1437" s="157"/>
      <c r="M1437" s="157"/>
      <c r="O1437" s="147"/>
      <c r="P1437" s="147"/>
      <c r="Q1437" s="147"/>
      <c r="R1437" s="147"/>
      <c r="S1437" s="147"/>
      <c r="T1437" s="147"/>
      <c r="U1437" s="147"/>
      <c r="V1437" s="147"/>
      <c r="W1437" s="147"/>
      <c r="X1437" s="147"/>
      <c r="Y1437" s="147"/>
      <c r="Z1437" s="147"/>
      <c r="AA1437" s="147"/>
      <c r="AB1437" s="147"/>
      <c r="AC1437" s="147"/>
      <c r="AD1437" s="147"/>
      <c r="AE1437" s="147"/>
      <c r="AF1437" s="147"/>
      <c r="AG1437" s="147"/>
      <c r="AH1437" s="147"/>
      <c r="AI1437" s="147"/>
      <c r="AJ1437" s="147"/>
      <c r="AK1437" s="147"/>
      <c r="AL1437" s="147"/>
      <c r="AM1437" s="151"/>
      <c r="AN1437" s="147"/>
      <c r="AO1437" s="147"/>
      <c r="AP1437" s="147"/>
      <c r="AQ1437" s="147"/>
      <c r="AR1437" s="147"/>
      <c r="AS1437" s="147"/>
      <c r="AT1437" s="147"/>
      <c r="AU1437" s="147"/>
      <c r="AV1437" s="147"/>
      <c r="AW1437" s="147"/>
      <c r="AX1437" s="147"/>
      <c r="AY1437" s="147"/>
      <c r="AZ1437" s="147"/>
      <c r="BA1437" s="147"/>
      <c r="BB1437" s="147"/>
      <c r="BC1437" s="147"/>
      <c r="BD1437" s="147"/>
      <c r="BE1437" s="147"/>
      <c r="BF1437" s="147"/>
      <c r="BG1437" s="147"/>
      <c r="BH1437" s="147"/>
      <c r="BI1437" s="147"/>
      <c r="BJ1437" s="147"/>
      <c r="BK1437" s="147"/>
      <c r="BL1437" s="147"/>
      <c r="BM1437" s="147"/>
      <c r="BN1437" s="147"/>
      <c r="BO1437" s="147"/>
      <c r="BP1437" s="147"/>
      <c r="BQ1437" s="147"/>
      <c r="BR1437" s="147"/>
      <c r="BS1437" s="147"/>
      <c r="BT1437" s="147"/>
      <c r="BU1437" s="147"/>
      <c r="BV1437" s="147"/>
      <c r="BW1437" s="147"/>
      <c r="BX1437" s="147"/>
      <c r="BY1437" s="147"/>
      <c r="BZ1437" s="147"/>
      <c r="CA1437" s="147"/>
      <c r="CB1437" s="147"/>
      <c r="CC1437" s="147"/>
      <c r="CD1437" s="147"/>
      <c r="CE1437" s="147"/>
      <c r="CF1437" s="147"/>
      <c r="CG1437" s="147"/>
      <c r="CH1437" s="147"/>
      <c r="CI1437" s="147"/>
      <c r="CJ1437" s="147"/>
      <c r="CK1437" s="147"/>
    </row>
    <row r="1438" spans="1:89">
      <c r="A1438" s="157"/>
      <c r="F1438" s="3"/>
      <c r="G1438" s="3"/>
      <c r="L1438" s="157"/>
      <c r="M1438" s="157"/>
      <c r="O1438" s="147"/>
      <c r="P1438" s="147"/>
      <c r="Q1438" s="147"/>
      <c r="R1438" s="147"/>
      <c r="S1438" s="147"/>
      <c r="T1438" s="147"/>
      <c r="U1438" s="147"/>
      <c r="V1438" s="147"/>
      <c r="W1438" s="147"/>
      <c r="X1438" s="147"/>
      <c r="Y1438" s="147"/>
      <c r="Z1438" s="147"/>
      <c r="AA1438" s="147"/>
      <c r="AB1438" s="147"/>
      <c r="AC1438" s="147"/>
      <c r="AD1438" s="147"/>
      <c r="AE1438" s="147"/>
      <c r="AF1438" s="147"/>
      <c r="AG1438" s="147"/>
      <c r="AH1438" s="147"/>
      <c r="AI1438" s="147"/>
      <c r="AJ1438" s="147"/>
      <c r="AK1438" s="147"/>
      <c r="AL1438" s="147"/>
      <c r="AM1438" s="151"/>
      <c r="AN1438" s="147"/>
      <c r="AO1438" s="147"/>
      <c r="AP1438" s="147"/>
      <c r="AQ1438" s="147"/>
      <c r="AR1438" s="147"/>
      <c r="AS1438" s="147"/>
      <c r="AT1438" s="147"/>
      <c r="AU1438" s="147"/>
      <c r="AV1438" s="147"/>
      <c r="AW1438" s="147"/>
      <c r="AX1438" s="147"/>
      <c r="AY1438" s="147"/>
      <c r="AZ1438" s="147"/>
      <c r="BA1438" s="147"/>
      <c r="BB1438" s="147"/>
      <c r="BC1438" s="147"/>
      <c r="BD1438" s="147"/>
      <c r="BE1438" s="147"/>
      <c r="BF1438" s="147"/>
      <c r="BG1438" s="147"/>
      <c r="BH1438" s="147"/>
      <c r="BI1438" s="147"/>
      <c r="BJ1438" s="147"/>
      <c r="BK1438" s="147"/>
      <c r="BL1438" s="147"/>
      <c r="BM1438" s="147"/>
      <c r="BN1438" s="147"/>
      <c r="BO1438" s="147"/>
      <c r="BP1438" s="147"/>
      <c r="BQ1438" s="147"/>
      <c r="BR1438" s="147"/>
      <c r="BS1438" s="147"/>
      <c r="BT1438" s="147"/>
      <c r="BU1438" s="147"/>
      <c r="BV1438" s="147"/>
      <c r="BW1438" s="147"/>
      <c r="BX1438" s="147"/>
      <c r="BY1438" s="147"/>
      <c r="BZ1438" s="147"/>
      <c r="CA1438" s="147"/>
      <c r="CB1438" s="147"/>
      <c r="CC1438" s="147"/>
      <c r="CD1438" s="147"/>
      <c r="CE1438" s="147"/>
      <c r="CF1438" s="147"/>
      <c r="CG1438" s="147"/>
      <c r="CH1438" s="147"/>
      <c r="CI1438" s="147"/>
      <c r="CJ1438" s="147"/>
      <c r="CK1438" s="147"/>
    </row>
    <row r="1439" spans="1:89">
      <c r="A1439" s="157"/>
      <c r="F1439" s="3"/>
      <c r="G1439" s="3"/>
      <c r="L1439" s="157"/>
      <c r="M1439" s="157"/>
      <c r="O1439" s="147"/>
      <c r="P1439" s="147"/>
      <c r="Q1439" s="147"/>
      <c r="R1439" s="147"/>
      <c r="S1439" s="147"/>
      <c r="T1439" s="147"/>
      <c r="U1439" s="147"/>
      <c r="V1439" s="147"/>
      <c r="W1439" s="147"/>
      <c r="X1439" s="147"/>
      <c r="Y1439" s="147"/>
      <c r="Z1439" s="147"/>
      <c r="AA1439" s="147"/>
      <c r="AB1439" s="147"/>
      <c r="AC1439" s="147"/>
      <c r="AD1439" s="147"/>
      <c r="AE1439" s="147"/>
      <c r="AF1439" s="147"/>
      <c r="AG1439" s="147"/>
      <c r="AH1439" s="147"/>
      <c r="AI1439" s="147"/>
      <c r="AJ1439" s="147"/>
      <c r="AK1439" s="147"/>
      <c r="AL1439" s="147"/>
      <c r="AM1439" s="151"/>
      <c r="AN1439" s="147"/>
      <c r="AO1439" s="147"/>
      <c r="AP1439" s="147"/>
      <c r="AQ1439" s="147"/>
      <c r="AR1439" s="147"/>
      <c r="AS1439" s="147"/>
      <c r="AT1439" s="147"/>
      <c r="AU1439" s="147"/>
      <c r="AV1439" s="147"/>
      <c r="AW1439" s="147"/>
      <c r="AX1439" s="147"/>
      <c r="AY1439" s="147"/>
      <c r="AZ1439" s="147"/>
      <c r="BA1439" s="147"/>
      <c r="BB1439" s="147"/>
      <c r="BC1439" s="147"/>
      <c r="BD1439" s="147"/>
      <c r="BE1439" s="147"/>
      <c r="BF1439" s="147"/>
      <c r="BG1439" s="147"/>
      <c r="BH1439" s="147"/>
      <c r="BI1439" s="147"/>
      <c r="BJ1439" s="147"/>
      <c r="BK1439" s="147"/>
      <c r="BL1439" s="147"/>
      <c r="BM1439" s="147"/>
      <c r="BN1439" s="147"/>
      <c r="BO1439" s="147"/>
      <c r="BP1439" s="147"/>
      <c r="BQ1439" s="147"/>
      <c r="BR1439" s="147"/>
      <c r="BS1439" s="147"/>
      <c r="BT1439" s="147"/>
      <c r="BU1439" s="147"/>
      <c r="BV1439" s="147"/>
      <c r="BW1439" s="147"/>
      <c r="BX1439" s="147"/>
      <c r="BY1439" s="147"/>
      <c r="BZ1439" s="147"/>
      <c r="CA1439" s="147"/>
      <c r="CB1439" s="147"/>
      <c r="CC1439" s="147"/>
      <c r="CD1439" s="147"/>
      <c r="CE1439" s="147"/>
      <c r="CF1439" s="147"/>
      <c r="CG1439" s="147"/>
      <c r="CH1439" s="147"/>
      <c r="CI1439" s="147"/>
      <c r="CJ1439" s="147"/>
      <c r="CK1439" s="147"/>
    </row>
    <row r="1440" spans="1:89">
      <c r="A1440" s="157"/>
      <c r="F1440" s="3"/>
      <c r="G1440" s="3"/>
      <c r="L1440" s="157"/>
      <c r="M1440" s="157"/>
      <c r="O1440" s="147"/>
      <c r="P1440" s="147"/>
      <c r="Q1440" s="147"/>
      <c r="R1440" s="147"/>
      <c r="S1440" s="147"/>
      <c r="T1440" s="147"/>
      <c r="U1440" s="147"/>
      <c r="V1440" s="147"/>
      <c r="W1440" s="147"/>
      <c r="X1440" s="147"/>
      <c r="Y1440" s="147"/>
      <c r="Z1440" s="147"/>
      <c r="AA1440" s="147"/>
      <c r="AB1440" s="147"/>
      <c r="AC1440" s="147"/>
      <c r="AD1440" s="147"/>
      <c r="AE1440" s="147"/>
      <c r="AF1440" s="147"/>
      <c r="AG1440" s="147"/>
      <c r="AH1440" s="147"/>
      <c r="AI1440" s="147"/>
      <c r="AJ1440" s="147"/>
      <c r="AK1440" s="147"/>
      <c r="AL1440" s="147"/>
      <c r="AM1440" s="151"/>
      <c r="AN1440" s="147"/>
      <c r="AO1440" s="147"/>
      <c r="AP1440" s="147"/>
      <c r="AQ1440" s="147"/>
      <c r="AR1440" s="147"/>
      <c r="AS1440" s="147"/>
      <c r="AT1440" s="147"/>
      <c r="AU1440" s="147"/>
      <c r="AV1440" s="147"/>
      <c r="AW1440" s="147"/>
      <c r="AX1440" s="147"/>
      <c r="AY1440" s="147"/>
      <c r="AZ1440" s="147"/>
      <c r="BA1440" s="147"/>
      <c r="BB1440" s="147"/>
      <c r="BC1440" s="147"/>
      <c r="BD1440" s="147"/>
      <c r="BE1440" s="147"/>
      <c r="BF1440" s="147"/>
      <c r="BG1440" s="147"/>
      <c r="BH1440" s="147"/>
      <c r="BI1440" s="147"/>
      <c r="BJ1440" s="147"/>
      <c r="BK1440" s="147"/>
      <c r="BL1440" s="147"/>
      <c r="BM1440" s="147"/>
      <c r="BN1440" s="147"/>
      <c r="BO1440" s="147"/>
      <c r="BP1440" s="147"/>
      <c r="BQ1440" s="147"/>
      <c r="BR1440" s="147"/>
      <c r="BS1440" s="147"/>
      <c r="BT1440" s="147"/>
      <c r="BU1440" s="147"/>
      <c r="BV1440" s="147"/>
      <c r="BW1440" s="147"/>
      <c r="BX1440" s="147"/>
      <c r="BY1440" s="147"/>
      <c r="BZ1440" s="147"/>
      <c r="CA1440" s="147"/>
      <c r="CB1440" s="147"/>
      <c r="CC1440" s="147"/>
      <c r="CD1440" s="147"/>
      <c r="CE1440" s="147"/>
      <c r="CF1440" s="147"/>
      <c r="CG1440" s="147"/>
      <c r="CH1440" s="147"/>
      <c r="CI1440" s="147"/>
      <c r="CJ1440" s="147"/>
      <c r="CK1440" s="147"/>
    </row>
    <row r="1441" spans="1:89">
      <c r="A1441" s="157"/>
      <c r="F1441" s="3"/>
      <c r="G1441" s="3"/>
      <c r="L1441" s="157"/>
      <c r="M1441" s="157"/>
      <c r="O1441" s="147"/>
      <c r="P1441" s="147"/>
      <c r="Q1441" s="147"/>
      <c r="R1441" s="147"/>
      <c r="S1441" s="147"/>
      <c r="T1441" s="147"/>
      <c r="U1441" s="147"/>
      <c r="V1441" s="147"/>
      <c r="W1441" s="147"/>
      <c r="X1441" s="147"/>
      <c r="Y1441" s="147"/>
      <c r="Z1441" s="147"/>
      <c r="AA1441" s="147"/>
      <c r="AB1441" s="147"/>
      <c r="AC1441" s="147"/>
      <c r="AD1441" s="147"/>
      <c r="AE1441" s="147"/>
      <c r="AF1441" s="147"/>
      <c r="AG1441" s="147"/>
      <c r="AH1441" s="147"/>
      <c r="AI1441" s="147"/>
      <c r="AJ1441" s="147"/>
      <c r="AK1441" s="147"/>
      <c r="AL1441" s="147"/>
      <c r="AM1441" s="151"/>
      <c r="AN1441" s="147"/>
      <c r="AO1441" s="147"/>
      <c r="AP1441" s="147"/>
      <c r="AQ1441" s="147"/>
      <c r="AR1441" s="147"/>
      <c r="AS1441" s="147"/>
      <c r="AT1441" s="147"/>
      <c r="AU1441" s="147"/>
      <c r="AV1441" s="147"/>
      <c r="AW1441" s="147"/>
      <c r="AX1441" s="147"/>
      <c r="AY1441" s="147"/>
      <c r="AZ1441" s="147"/>
      <c r="BA1441" s="147"/>
      <c r="BB1441" s="147"/>
      <c r="BC1441" s="147"/>
      <c r="BD1441" s="147"/>
      <c r="BE1441" s="147"/>
      <c r="BF1441" s="147"/>
      <c r="BG1441" s="147"/>
      <c r="BH1441" s="147"/>
      <c r="BI1441" s="147"/>
      <c r="BJ1441" s="147"/>
      <c r="BK1441" s="147"/>
      <c r="BL1441" s="147"/>
      <c r="BM1441" s="147"/>
      <c r="BN1441" s="147"/>
      <c r="BO1441" s="147"/>
      <c r="BP1441" s="147"/>
      <c r="BQ1441" s="147"/>
      <c r="BR1441" s="147"/>
      <c r="BS1441" s="147"/>
      <c r="BT1441" s="147"/>
      <c r="BU1441" s="147"/>
      <c r="BV1441" s="147"/>
      <c r="BW1441" s="147"/>
      <c r="BX1441" s="147"/>
      <c r="BY1441" s="147"/>
      <c r="BZ1441" s="147"/>
      <c r="CA1441" s="147"/>
      <c r="CB1441" s="147"/>
      <c r="CC1441" s="147"/>
      <c r="CD1441" s="147"/>
      <c r="CE1441" s="147"/>
      <c r="CF1441" s="147"/>
      <c r="CG1441" s="147"/>
      <c r="CH1441" s="147"/>
      <c r="CI1441" s="147"/>
      <c r="CJ1441" s="147"/>
      <c r="CK1441" s="147"/>
    </row>
    <row r="1442" spans="1:89">
      <c r="A1442" s="157"/>
      <c r="F1442" s="3"/>
      <c r="G1442" s="3"/>
      <c r="L1442" s="157"/>
      <c r="M1442" s="157"/>
      <c r="O1442" s="147"/>
      <c r="P1442" s="147"/>
      <c r="Q1442" s="147"/>
      <c r="R1442" s="147"/>
      <c r="S1442" s="147"/>
      <c r="T1442" s="147"/>
      <c r="U1442" s="147"/>
      <c r="V1442" s="147"/>
      <c r="W1442" s="147"/>
      <c r="X1442" s="147"/>
      <c r="Y1442" s="147"/>
      <c r="Z1442" s="147"/>
      <c r="AA1442" s="147"/>
      <c r="AB1442" s="147"/>
      <c r="AC1442" s="147"/>
      <c r="AD1442" s="147"/>
      <c r="AE1442" s="147"/>
      <c r="AF1442" s="147"/>
      <c r="AG1442" s="147"/>
      <c r="AH1442" s="147"/>
      <c r="AI1442" s="147"/>
      <c r="AJ1442" s="147"/>
      <c r="AK1442" s="147"/>
      <c r="AL1442" s="147"/>
      <c r="AM1442" s="151"/>
      <c r="AN1442" s="147"/>
      <c r="AO1442" s="147"/>
      <c r="AP1442" s="147"/>
      <c r="AQ1442" s="147"/>
      <c r="AR1442" s="147"/>
      <c r="AS1442" s="147"/>
      <c r="AT1442" s="147"/>
      <c r="AU1442" s="147"/>
      <c r="AV1442" s="147"/>
      <c r="AW1442" s="147"/>
      <c r="AX1442" s="147"/>
      <c r="AY1442" s="147"/>
      <c r="AZ1442" s="147"/>
      <c r="BA1442" s="147"/>
      <c r="BB1442" s="147"/>
      <c r="BC1442" s="147"/>
      <c r="BD1442" s="147"/>
      <c r="BE1442" s="147"/>
      <c r="BF1442" s="147"/>
      <c r="BG1442" s="147"/>
      <c r="BH1442" s="147"/>
      <c r="BI1442" s="147"/>
      <c r="BJ1442" s="147"/>
      <c r="BK1442" s="147"/>
      <c r="BL1442" s="147"/>
      <c r="BM1442" s="147"/>
      <c r="BN1442" s="147"/>
      <c r="BO1442" s="147"/>
      <c r="BP1442" s="147"/>
      <c r="BQ1442" s="147"/>
      <c r="BR1442" s="147"/>
      <c r="BS1442" s="147"/>
      <c r="BT1442" s="147"/>
      <c r="BU1442" s="147"/>
      <c r="BV1442" s="147"/>
      <c r="BW1442" s="147"/>
      <c r="BX1442" s="147"/>
      <c r="BY1442" s="147"/>
      <c r="BZ1442" s="147"/>
      <c r="CA1442" s="147"/>
      <c r="CB1442" s="147"/>
      <c r="CC1442" s="147"/>
      <c r="CD1442" s="147"/>
      <c r="CE1442" s="147"/>
      <c r="CF1442" s="147"/>
      <c r="CG1442" s="147"/>
      <c r="CH1442" s="147"/>
      <c r="CI1442" s="147"/>
      <c r="CJ1442" s="147"/>
      <c r="CK1442" s="147"/>
    </row>
    <row r="1443" spans="1:89">
      <c r="A1443" s="157"/>
      <c r="F1443" s="3"/>
      <c r="G1443" s="3"/>
      <c r="L1443" s="157"/>
      <c r="M1443" s="157"/>
      <c r="O1443" s="147"/>
      <c r="P1443" s="147"/>
      <c r="Q1443" s="147"/>
      <c r="R1443" s="147"/>
      <c r="S1443" s="147"/>
      <c r="T1443" s="147"/>
      <c r="U1443" s="147"/>
      <c r="V1443" s="147"/>
      <c r="W1443" s="147"/>
      <c r="X1443" s="147"/>
      <c r="Y1443" s="147"/>
      <c r="Z1443" s="147"/>
      <c r="AA1443" s="147"/>
      <c r="AB1443" s="147"/>
      <c r="AC1443" s="147"/>
      <c r="AD1443" s="147"/>
      <c r="AE1443" s="147"/>
      <c r="AF1443" s="147"/>
      <c r="AG1443" s="147"/>
      <c r="AH1443" s="147"/>
      <c r="AI1443" s="147"/>
      <c r="AJ1443" s="147"/>
      <c r="AK1443" s="147"/>
      <c r="AL1443" s="147"/>
      <c r="AM1443" s="151"/>
      <c r="AN1443" s="147"/>
      <c r="AO1443" s="147"/>
      <c r="AP1443" s="147"/>
      <c r="AQ1443" s="147"/>
      <c r="AR1443" s="147"/>
      <c r="AS1443" s="147"/>
      <c r="AT1443" s="147"/>
      <c r="AU1443" s="147"/>
      <c r="AV1443" s="147"/>
      <c r="AW1443" s="147"/>
      <c r="AX1443" s="147"/>
      <c r="AY1443" s="147"/>
      <c r="AZ1443" s="147"/>
      <c r="BA1443" s="147"/>
      <c r="BB1443" s="147"/>
      <c r="BC1443" s="147"/>
      <c r="BD1443" s="147"/>
      <c r="BE1443" s="147"/>
      <c r="BF1443" s="147"/>
      <c r="BG1443" s="147"/>
      <c r="BH1443" s="147"/>
      <c r="BI1443" s="147"/>
      <c r="BJ1443" s="147"/>
      <c r="BK1443" s="147"/>
      <c r="BL1443" s="147"/>
      <c r="BM1443" s="147"/>
      <c r="BN1443" s="147"/>
      <c r="BO1443" s="147"/>
      <c r="BP1443" s="147"/>
      <c r="BQ1443" s="147"/>
      <c r="BR1443" s="147"/>
      <c r="BS1443" s="147"/>
      <c r="BT1443" s="147"/>
      <c r="BU1443" s="147"/>
      <c r="BV1443" s="147"/>
      <c r="BW1443" s="147"/>
      <c r="BX1443" s="147"/>
      <c r="BY1443" s="147"/>
      <c r="BZ1443" s="147"/>
      <c r="CA1443" s="147"/>
      <c r="CB1443" s="147"/>
      <c r="CC1443" s="147"/>
      <c r="CD1443" s="147"/>
      <c r="CE1443" s="147"/>
      <c r="CF1443" s="147"/>
      <c r="CG1443" s="147"/>
      <c r="CH1443" s="147"/>
      <c r="CI1443" s="147"/>
      <c r="CJ1443" s="147"/>
      <c r="CK1443" s="147"/>
    </row>
    <row r="1444" spans="1:89">
      <c r="A1444" s="157"/>
      <c r="F1444" s="3"/>
      <c r="G1444" s="3"/>
      <c r="L1444" s="157"/>
      <c r="M1444" s="157"/>
      <c r="O1444" s="147"/>
      <c r="P1444" s="147"/>
      <c r="Q1444" s="147"/>
      <c r="R1444" s="147"/>
      <c r="S1444" s="147"/>
      <c r="T1444" s="147"/>
      <c r="U1444" s="147"/>
      <c r="V1444" s="147"/>
      <c r="W1444" s="147"/>
      <c r="X1444" s="147"/>
      <c r="Y1444" s="147"/>
      <c r="Z1444" s="147"/>
      <c r="AA1444" s="147"/>
      <c r="AB1444" s="147"/>
      <c r="AC1444" s="147"/>
      <c r="AD1444" s="147"/>
      <c r="AE1444" s="147"/>
      <c r="AF1444" s="147"/>
      <c r="AG1444" s="147"/>
      <c r="AH1444" s="147"/>
      <c r="AI1444" s="147"/>
      <c r="AJ1444" s="147"/>
      <c r="AK1444" s="147"/>
      <c r="AL1444" s="147"/>
      <c r="AM1444" s="151"/>
      <c r="AN1444" s="147"/>
      <c r="AO1444" s="147"/>
      <c r="AP1444" s="147"/>
      <c r="AQ1444" s="147"/>
      <c r="AR1444" s="147"/>
      <c r="AS1444" s="147"/>
      <c r="AT1444" s="147"/>
      <c r="AU1444" s="147"/>
      <c r="AV1444" s="147"/>
      <c r="AW1444" s="147"/>
      <c r="AX1444" s="147"/>
      <c r="AY1444" s="147"/>
      <c r="AZ1444" s="147"/>
      <c r="BA1444" s="147"/>
      <c r="BB1444" s="147"/>
      <c r="BC1444" s="147"/>
      <c r="BD1444" s="147"/>
      <c r="BE1444" s="147"/>
      <c r="BF1444" s="147"/>
      <c r="BG1444" s="147"/>
      <c r="BH1444" s="147"/>
      <c r="BI1444" s="147"/>
      <c r="BJ1444" s="147"/>
      <c r="BK1444" s="147"/>
      <c r="BL1444" s="147"/>
      <c r="BM1444" s="147"/>
      <c r="BN1444" s="147"/>
      <c r="BO1444" s="147"/>
      <c r="BP1444" s="147"/>
      <c r="BQ1444" s="147"/>
      <c r="BR1444" s="147"/>
      <c r="BS1444" s="147"/>
      <c r="BT1444" s="147"/>
      <c r="BU1444" s="147"/>
      <c r="BV1444" s="147"/>
      <c r="BW1444" s="147"/>
      <c r="BX1444" s="147"/>
      <c r="BY1444" s="147"/>
      <c r="BZ1444" s="147"/>
      <c r="CA1444" s="147"/>
      <c r="CB1444" s="147"/>
      <c r="CC1444" s="147"/>
      <c r="CD1444" s="147"/>
      <c r="CE1444" s="147"/>
      <c r="CF1444" s="147"/>
      <c r="CG1444" s="147"/>
      <c r="CH1444" s="147"/>
      <c r="CI1444" s="147"/>
      <c r="CJ1444" s="147"/>
      <c r="CK1444" s="147"/>
    </row>
    <row r="1445" spans="1:89">
      <c r="A1445" s="157"/>
      <c r="F1445" s="3"/>
      <c r="G1445" s="3"/>
      <c r="L1445" s="157"/>
      <c r="M1445" s="157"/>
      <c r="O1445" s="147"/>
      <c r="P1445" s="147"/>
      <c r="Q1445" s="147"/>
      <c r="R1445" s="147"/>
      <c r="S1445" s="147"/>
      <c r="T1445" s="147"/>
      <c r="U1445" s="147"/>
      <c r="V1445" s="147"/>
      <c r="W1445" s="147"/>
      <c r="X1445" s="147"/>
      <c r="Y1445" s="147"/>
      <c r="Z1445" s="147"/>
      <c r="AA1445" s="147"/>
      <c r="AB1445" s="147"/>
      <c r="AC1445" s="147"/>
      <c r="AD1445" s="147"/>
      <c r="AE1445" s="147"/>
      <c r="AF1445" s="147"/>
      <c r="AG1445" s="147"/>
      <c r="AH1445" s="147"/>
      <c r="AI1445" s="147"/>
      <c r="AJ1445" s="147"/>
      <c r="AK1445" s="147"/>
      <c r="AL1445" s="147"/>
      <c r="AM1445" s="151"/>
      <c r="AN1445" s="147"/>
      <c r="AO1445" s="147"/>
      <c r="AP1445" s="147"/>
      <c r="AQ1445" s="147"/>
      <c r="AR1445" s="147"/>
      <c r="AS1445" s="147"/>
      <c r="AT1445" s="147"/>
      <c r="AU1445" s="147"/>
      <c r="AV1445" s="147"/>
      <c r="AW1445" s="147"/>
      <c r="AX1445" s="147"/>
      <c r="AY1445" s="147"/>
      <c r="AZ1445" s="147"/>
      <c r="BA1445" s="147"/>
      <c r="BB1445" s="147"/>
      <c r="BC1445" s="147"/>
      <c r="BD1445" s="147"/>
      <c r="BE1445" s="147"/>
      <c r="BF1445" s="147"/>
      <c r="BG1445" s="147"/>
      <c r="BH1445" s="147"/>
      <c r="BI1445" s="147"/>
      <c r="BJ1445" s="147"/>
      <c r="BK1445" s="147"/>
      <c r="BL1445" s="147"/>
      <c r="BM1445" s="147"/>
      <c r="BN1445" s="147"/>
      <c r="BO1445" s="147"/>
      <c r="BP1445" s="147"/>
      <c r="BQ1445" s="147"/>
      <c r="BR1445" s="147"/>
      <c r="BS1445" s="147"/>
      <c r="BT1445" s="147"/>
      <c r="BU1445" s="147"/>
      <c r="BV1445" s="147"/>
      <c r="BW1445" s="147"/>
      <c r="BX1445" s="147"/>
      <c r="BY1445" s="147"/>
      <c r="BZ1445" s="147"/>
      <c r="CA1445" s="147"/>
      <c r="CB1445" s="147"/>
      <c r="CC1445" s="147"/>
      <c r="CD1445" s="147"/>
      <c r="CE1445" s="147"/>
      <c r="CF1445" s="147"/>
      <c r="CG1445" s="147"/>
      <c r="CH1445" s="147"/>
      <c r="CI1445" s="147"/>
      <c r="CJ1445" s="147"/>
      <c r="CK1445" s="147"/>
    </row>
    <row r="1446" spans="1:89">
      <c r="A1446" s="157"/>
      <c r="F1446" s="3"/>
      <c r="G1446" s="3"/>
      <c r="L1446" s="157"/>
      <c r="M1446" s="157"/>
      <c r="O1446" s="147"/>
      <c r="P1446" s="147"/>
      <c r="Q1446" s="147"/>
      <c r="R1446" s="147"/>
      <c r="S1446" s="147"/>
      <c r="T1446" s="147"/>
      <c r="U1446" s="147"/>
      <c r="V1446" s="147"/>
      <c r="W1446" s="147"/>
      <c r="X1446" s="147"/>
      <c r="Y1446" s="147"/>
      <c r="Z1446" s="147"/>
      <c r="AA1446" s="147"/>
      <c r="AB1446" s="147"/>
      <c r="AC1446" s="147"/>
      <c r="AD1446" s="147"/>
      <c r="AE1446" s="147"/>
      <c r="AF1446" s="147"/>
      <c r="AG1446" s="147"/>
      <c r="AH1446" s="147"/>
      <c r="AI1446" s="147"/>
      <c r="AJ1446" s="147"/>
      <c r="AK1446" s="147"/>
      <c r="AL1446" s="147"/>
      <c r="AM1446" s="151"/>
      <c r="AN1446" s="147"/>
      <c r="AO1446" s="147"/>
      <c r="AP1446" s="147"/>
      <c r="AQ1446" s="147"/>
      <c r="AR1446" s="147"/>
      <c r="AS1446" s="147"/>
      <c r="AT1446" s="147"/>
      <c r="AU1446" s="147"/>
      <c r="AV1446" s="147"/>
      <c r="AW1446" s="147"/>
      <c r="AX1446" s="147"/>
      <c r="AY1446" s="147"/>
      <c r="AZ1446" s="147"/>
      <c r="BA1446" s="147"/>
      <c r="BB1446" s="147"/>
      <c r="BC1446" s="147"/>
      <c r="BD1446" s="147"/>
      <c r="BE1446" s="147"/>
      <c r="BF1446" s="147"/>
      <c r="BG1446" s="147"/>
      <c r="BH1446" s="147"/>
      <c r="BI1446" s="147"/>
      <c r="BJ1446" s="147"/>
      <c r="BK1446" s="147"/>
      <c r="BL1446" s="147"/>
      <c r="BM1446" s="147"/>
      <c r="BN1446" s="147"/>
      <c r="BO1446" s="147"/>
      <c r="BP1446" s="147"/>
      <c r="BQ1446" s="147"/>
      <c r="BR1446" s="147"/>
      <c r="BS1446" s="147"/>
      <c r="BT1446" s="147"/>
      <c r="BU1446" s="147"/>
      <c r="BV1446" s="147"/>
      <c r="BW1446" s="147"/>
      <c r="BX1446" s="147"/>
      <c r="BY1446" s="147"/>
      <c r="BZ1446" s="147"/>
      <c r="CA1446" s="147"/>
      <c r="CB1446" s="147"/>
      <c r="CC1446" s="147"/>
      <c r="CD1446" s="147"/>
      <c r="CE1446" s="147"/>
      <c r="CF1446" s="147"/>
      <c r="CG1446" s="147"/>
      <c r="CH1446" s="147"/>
      <c r="CI1446" s="147"/>
      <c r="CJ1446" s="147"/>
      <c r="CK1446" s="147"/>
    </row>
    <row r="1447" spans="1:89">
      <c r="A1447" s="157"/>
      <c r="F1447" s="3"/>
      <c r="G1447" s="3"/>
      <c r="L1447" s="157"/>
      <c r="M1447" s="157"/>
      <c r="O1447" s="147"/>
      <c r="P1447" s="147"/>
      <c r="Q1447" s="147"/>
      <c r="R1447" s="147"/>
      <c r="S1447" s="147"/>
      <c r="T1447" s="147"/>
      <c r="U1447" s="147"/>
      <c r="V1447" s="147"/>
      <c r="W1447" s="147"/>
      <c r="X1447" s="147"/>
      <c r="Y1447" s="147"/>
      <c r="Z1447" s="147"/>
      <c r="AA1447" s="147"/>
      <c r="AB1447" s="147"/>
      <c r="AC1447" s="147"/>
      <c r="AD1447" s="147"/>
      <c r="AE1447" s="147"/>
      <c r="AF1447" s="147"/>
      <c r="AG1447" s="147"/>
      <c r="AH1447" s="147"/>
      <c r="AI1447" s="147"/>
      <c r="AJ1447" s="147"/>
      <c r="AK1447" s="147"/>
      <c r="AL1447" s="147"/>
      <c r="AM1447" s="151"/>
      <c r="AN1447" s="147"/>
      <c r="AO1447" s="147"/>
      <c r="AP1447" s="147"/>
      <c r="AQ1447" s="147"/>
      <c r="AR1447" s="147"/>
      <c r="AS1447" s="147"/>
      <c r="AT1447" s="147"/>
      <c r="AU1447" s="147"/>
      <c r="AV1447" s="147"/>
      <c r="AW1447" s="147"/>
      <c r="AX1447" s="147"/>
      <c r="AY1447" s="147"/>
      <c r="AZ1447" s="147"/>
      <c r="BA1447" s="147"/>
      <c r="BB1447" s="147"/>
      <c r="BC1447" s="147"/>
      <c r="BD1447" s="147"/>
      <c r="BE1447" s="147"/>
      <c r="BF1447" s="147"/>
      <c r="BG1447" s="147"/>
      <c r="BH1447" s="147"/>
      <c r="BI1447" s="147"/>
      <c r="BJ1447" s="147"/>
      <c r="BK1447" s="147"/>
      <c r="BL1447" s="147"/>
      <c r="BM1447" s="147"/>
      <c r="BN1447" s="147"/>
      <c r="BO1447" s="147"/>
      <c r="BP1447" s="147"/>
      <c r="BQ1447" s="147"/>
      <c r="BR1447" s="147"/>
      <c r="BS1447" s="147"/>
      <c r="BT1447" s="147"/>
      <c r="BU1447" s="147"/>
      <c r="BV1447" s="147"/>
      <c r="BW1447" s="147"/>
      <c r="BX1447" s="147"/>
      <c r="BY1447" s="147"/>
      <c r="BZ1447" s="147"/>
      <c r="CA1447" s="147"/>
      <c r="CB1447" s="147"/>
      <c r="CC1447" s="147"/>
      <c r="CD1447" s="147"/>
      <c r="CE1447" s="147"/>
      <c r="CF1447" s="147"/>
      <c r="CG1447" s="147"/>
      <c r="CH1447" s="147"/>
      <c r="CI1447" s="147"/>
      <c r="CJ1447" s="147"/>
      <c r="CK1447" s="147"/>
    </row>
    <row r="1448" spans="1:89">
      <c r="A1448" s="157"/>
      <c r="F1448" s="3"/>
      <c r="G1448" s="3"/>
      <c r="L1448" s="157"/>
      <c r="M1448" s="157"/>
      <c r="O1448" s="147"/>
      <c r="P1448" s="147"/>
      <c r="Q1448" s="147"/>
      <c r="R1448" s="147"/>
      <c r="S1448" s="147"/>
      <c r="T1448" s="147"/>
      <c r="U1448" s="147"/>
      <c r="V1448" s="147"/>
      <c r="W1448" s="147"/>
      <c r="X1448" s="147"/>
      <c r="Y1448" s="147"/>
      <c r="Z1448" s="147"/>
      <c r="AA1448" s="147"/>
      <c r="AB1448" s="147"/>
      <c r="AC1448" s="147"/>
      <c r="AD1448" s="147"/>
      <c r="AE1448" s="147"/>
      <c r="AF1448" s="147"/>
      <c r="AG1448" s="147"/>
      <c r="AH1448" s="147"/>
      <c r="AI1448" s="147"/>
      <c r="AJ1448" s="147"/>
      <c r="AK1448" s="147"/>
      <c r="AL1448" s="147"/>
      <c r="AM1448" s="151"/>
      <c r="AN1448" s="147"/>
      <c r="AO1448" s="147"/>
      <c r="AP1448" s="147"/>
      <c r="AQ1448" s="147"/>
      <c r="AR1448" s="147"/>
      <c r="AS1448" s="147"/>
      <c r="AT1448" s="147"/>
      <c r="AU1448" s="147"/>
      <c r="AV1448" s="147"/>
      <c r="AW1448" s="147"/>
      <c r="AX1448" s="147"/>
      <c r="AY1448" s="147"/>
      <c r="AZ1448" s="147"/>
      <c r="BA1448" s="147"/>
      <c r="BB1448" s="147"/>
      <c r="BC1448" s="147"/>
      <c r="BD1448" s="147"/>
      <c r="BE1448" s="147"/>
      <c r="BF1448" s="147"/>
      <c r="BG1448" s="147"/>
      <c r="BH1448" s="147"/>
      <c r="BI1448" s="147"/>
      <c r="BJ1448" s="147"/>
      <c r="BK1448" s="147"/>
      <c r="BL1448" s="147"/>
      <c r="BM1448" s="147"/>
      <c r="BN1448" s="147"/>
      <c r="BO1448" s="147"/>
      <c r="BP1448" s="147"/>
      <c r="BQ1448" s="147"/>
      <c r="BR1448" s="147"/>
      <c r="BS1448" s="147"/>
      <c r="BT1448" s="147"/>
      <c r="BU1448" s="147"/>
      <c r="BV1448" s="147"/>
      <c r="BW1448" s="147"/>
      <c r="BX1448" s="147"/>
      <c r="BY1448" s="147"/>
      <c r="BZ1448" s="147"/>
      <c r="CA1448" s="147"/>
      <c r="CB1448" s="147"/>
      <c r="CC1448" s="147"/>
      <c r="CD1448" s="147"/>
      <c r="CE1448" s="147"/>
      <c r="CF1448" s="147"/>
      <c r="CG1448" s="147"/>
      <c r="CH1448" s="147"/>
      <c r="CI1448" s="147"/>
      <c r="CJ1448" s="147"/>
      <c r="CK1448" s="147"/>
    </row>
    <row r="1449" spans="1:89">
      <c r="A1449" s="157"/>
      <c r="F1449" s="3"/>
      <c r="G1449" s="3"/>
      <c r="L1449" s="157"/>
      <c r="M1449" s="157"/>
      <c r="O1449" s="147"/>
      <c r="P1449" s="147"/>
      <c r="Q1449" s="147"/>
      <c r="R1449" s="147"/>
      <c r="S1449" s="147"/>
      <c r="T1449" s="147"/>
      <c r="U1449" s="147"/>
      <c r="V1449" s="147"/>
      <c r="W1449" s="147"/>
      <c r="X1449" s="147"/>
      <c r="Y1449" s="147"/>
      <c r="Z1449" s="147"/>
      <c r="AA1449" s="147"/>
      <c r="AB1449" s="147"/>
      <c r="AC1449" s="147"/>
      <c r="AD1449" s="147"/>
      <c r="AE1449" s="147"/>
      <c r="AF1449" s="147"/>
      <c r="AG1449" s="147"/>
      <c r="AH1449" s="147"/>
      <c r="AI1449" s="147"/>
      <c r="AJ1449" s="147"/>
      <c r="AK1449" s="147"/>
      <c r="AL1449" s="147"/>
      <c r="AM1449" s="151"/>
      <c r="AN1449" s="147"/>
      <c r="AO1449" s="147"/>
      <c r="AP1449" s="147"/>
      <c r="AQ1449" s="147"/>
      <c r="AR1449" s="147"/>
      <c r="AS1449" s="147"/>
      <c r="AT1449" s="147"/>
      <c r="AU1449" s="147"/>
      <c r="AV1449" s="147"/>
      <c r="AW1449" s="147"/>
      <c r="AX1449" s="147"/>
      <c r="AY1449" s="147"/>
      <c r="AZ1449" s="147"/>
      <c r="BA1449" s="147"/>
      <c r="BB1449" s="147"/>
      <c r="BC1449" s="147"/>
      <c r="BD1449" s="147"/>
      <c r="BE1449" s="147"/>
      <c r="BF1449" s="147"/>
      <c r="BG1449" s="147"/>
      <c r="BH1449" s="147"/>
      <c r="BI1449" s="147"/>
      <c r="BJ1449" s="147"/>
      <c r="BK1449" s="147"/>
      <c r="BL1449" s="147"/>
      <c r="BM1449" s="147"/>
      <c r="BN1449" s="147"/>
      <c r="BO1449" s="147"/>
      <c r="BP1449" s="147"/>
      <c r="BQ1449" s="147"/>
      <c r="BR1449" s="147"/>
      <c r="BS1449" s="147"/>
      <c r="BT1449" s="147"/>
      <c r="BU1449" s="147"/>
      <c r="BV1449" s="147"/>
      <c r="BW1449" s="147"/>
      <c r="BX1449" s="147"/>
      <c r="BY1449" s="147"/>
      <c r="BZ1449" s="147"/>
      <c r="CA1449" s="147"/>
      <c r="CB1449" s="147"/>
      <c r="CC1449" s="147"/>
      <c r="CD1449" s="147"/>
      <c r="CE1449" s="147"/>
      <c r="CF1449" s="147"/>
      <c r="CG1449" s="147"/>
      <c r="CH1449" s="147"/>
      <c r="CI1449" s="147"/>
      <c r="CJ1449" s="147"/>
      <c r="CK1449" s="147"/>
    </row>
    <row r="1450" spans="1:89">
      <c r="A1450" s="157"/>
      <c r="F1450" s="3"/>
      <c r="G1450" s="3"/>
      <c r="L1450" s="157"/>
      <c r="M1450" s="157"/>
      <c r="O1450" s="147"/>
      <c r="P1450" s="147"/>
      <c r="Q1450" s="147"/>
      <c r="R1450" s="147"/>
      <c r="S1450" s="147"/>
      <c r="T1450" s="147"/>
      <c r="U1450" s="147"/>
      <c r="V1450" s="147"/>
      <c r="W1450" s="147"/>
      <c r="X1450" s="147"/>
      <c r="Y1450" s="147"/>
      <c r="Z1450" s="147"/>
      <c r="AA1450" s="147"/>
      <c r="AB1450" s="147"/>
      <c r="AC1450" s="147"/>
      <c r="AD1450" s="147"/>
      <c r="AE1450" s="147"/>
      <c r="AF1450" s="147"/>
      <c r="AG1450" s="147"/>
      <c r="AH1450" s="147"/>
      <c r="AI1450" s="147"/>
      <c r="AJ1450" s="147"/>
      <c r="AK1450" s="147"/>
      <c r="AL1450" s="147"/>
      <c r="AM1450" s="151"/>
      <c r="AN1450" s="147"/>
      <c r="AO1450" s="147"/>
      <c r="AP1450" s="147"/>
      <c r="AQ1450" s="147"/>
      <c r="AR1450" s="147"/>
      <c r="AS1450" s="147"/>
      <c r="AT1450" s="147"/>
      <c r="AU1450" s="147"/>
      <c r="AV1450" s="147"/>
      <c r="AW1450" s="147"/>
      <c r="AX1450" s="147"/>
      <c r="AY1450" s="147"/>
      <c r="AZ1450" s="147"/>
      <c r="BA1450" s="147"/>
      <c r="BB1450" s="147"/>
      <c r="BC1450" s="147"/>
      <c r="BD1450" s="147"/>
      <c r="BE1450" s="147"/>
      <c r="BF1450" s="147"/>
      <c r="BG1450" s="147"/>
      <c r="BH1450" s="147"/>
      <c r="BI1450" s="147"/>
      <c r="BJ1450" s="147"/>
      <c r="BK1450" s="147"/>
      <c r="BL1450" s="147"/>
      <c r="BM1450" s="147"/>
      <c r="BN1450" s="147"/>
      <c r="BO1450" s="147"/>
      <c r="BP1450" s="147"/>
      <c r="BQ1450" s="147"/>
      <c r="BR1450" s="147"/>
      <c r="BS1450" s="147"/>
      <c r="BT1450" s="147"/>
      <c r="BU1450" s="147"/>
      <c r="BV1450" s="147"/>
      <c r="BW1450" s="147"/>
      <c r="BX1450" s="147"/>
      <c r="BY1450" s="147"/>
      <c r="BZ1450" s="147"/>
      <c r="CA1450" s="147"/>
      <c r="CB1450" s="147"/>
      <c r="CC1450" s="147"/>
      <c r="CD1450" s="147"/>
      <c r="CE1450" s="147"/>
      <c r="CF1450" s="147"/>
      <c r="CG1450" s="147"/>
      <c r="CH1450" s="147"/>
      <c r="CI1450" s="147"/>
      <c r="CJ1450" s="147"/>
      <c r="CK1450" s="147"/>
    </row>
    <row r="1451" spans="1:89">
      <c r="A1451" s="157"/>
      <c r="F1451" s="3"/>
      <c r="G1451" s="3"/>
      <c r="L1451" s="157"/>
      <c r="M1451" s="157"/>
      <c r="O1451" s="147"/>
      <c r="P1451" s="147"/>
      <c r="Q1451" s="147"/>
      <c r="R1451" s="147"/>
      <c r="S1451" s="147"/>
      <c r="T1451" s="147"/>
      <c r="U1451" s="147"/>
      <c r="V1451" s="147"/>
      <c r="W1451" s="147"/>
      <c r="X1451" s="147"/>
      <c r="Y1451" s="147"/>
      <c r="Z1451" s="147"/>
      <c r="AA1451" s="147"/>
      <c r="AB1451" s="147"/>
      <c r="AC1451" s="147"/>
      <c r="AD1451" s="147"/>
      <c r="AE1451" s="147"/>
      <c r="AF1451" s="147"/>
      <c r="AG1451" s="147"/>
      <c r="AH1451" s="147"/>
      <c r="AI1451" s="147"/>
      <c r="AJ1451" s="147"/>
      <c r="AK1451" s="147"/>
      <c r="AL1451" s="147"/>
      <c r="AM1451" s="151"/>
      <c r="AN1451" s="147"/>
      <c r="AO1451" s="147"/>
      <c r="AP1451" s="147"/>
      <c r="AQ1451" s="147"/>
      <c r="AR1451" s="147"/>
      <c r="AS1451" s="147"/>
      <c r="AT1451" s="147"/>
      <c r="AU1451" s="147"/>
      <c r="AV1451" s="147"/>
      <c r="AW1451" s="147"/>
      <c r="AX1451" s="147"/>
      <c r="AY1451" s="147"/>
      <c r="AZ1451" s="147"/>
      <c r="BA1451" s="147"/>
      <c r="BB1451" s="147"/>
      <c r="BC1451" s="147"/>
      <c r="BD1451" s="147"/>
      <c r="BE1451" s="147"/>
      <c r="BF1451" s="147"/>
      <c r="BG1451" s="147"/>
      <c r="BH1451" s="147"/>
      <c r="BI1451" s="147"/>
      <c r="BJ1451" s="147"/>
      <c r="BK1451" s="147"/>
      <c r="BL1451" s="147"/>
      <c r="BM1451" s="147"/>
      <c r="BN1451" s="147"/>
      <c r="BO1451" s="147"/>
      <c r="BP1451" s="147"/>
      <c r="BQ1451" s="147"/>
      <c r="BR1451" s="147"/>
      <c r="BS1451" s="147"/>
      <c r="BT1451" s="147"/>
      <c r="BU1451" s="147"/>
      <c r="BV1451" s="147"/>
      <c r="BW1451" s="147"/>
      <c r="BX1451" s="147"/>
      <c r="BY1451" s="147"/>
      <c r="BZ1451" s="147"/>
      <c r="CA1451" s="147"/>
      <c r="CB1451" s="147"/>
      <c r="CC1451" s="147"/>
      <c r="CD1451" s="147"/>
      <c r="CE1451" s="147"/>
      <c r="CF1451" s="147"/>
      <c r="CG1451" s="147"/>
      <c r="CH1451" s="147"/>
      <c r="CI1451" s="147"/>
      <c r="CJ1451" s="147"/>
      <c r="CK1451" s="147"/>
    </row>
    <row r="1452" spans="1:89">
      <c r="A1452" s="157"/>
      <c r="F1452" s="3"/>
      <c r="G1452" s="3"/>
      <c r="L1452" s="157"/>
      <c r="M1452" s="157"/>
      <c r="O1452" s="147"/>
      <c r="P1452" s="147"/>
      <c r="Q1452" s="147"/>
      <c r="R1452" s="147"/>
      <c r="S1452" s="147"/>
      <c r="T1452" s="147"/>
      <c r="U1452" s="147"/>
      <c r="V1452" s="147"/>
      <c r="W1452" s="147"/>
      <c r="X1452" s="147"/>
      <c r="Y1452" s="147"/>
      <c r="Z1452" s="147"/>
      <c r="AA1452" s="147"/>
      <c r="AB1452" s="147"/>
      <c r="AC1452" s="147"/>
      <c r="AD1452" s="147"/>
      <c r="AE1452" s="147"/>
      <c r="AF1452" s="147"/>
      <c r="AG1452" s="147"/>
      <c r="AH1452" s="147"/>
      <c r="AI1452" s="147"/>
      <c r="AJ1452" s="147"/>
      <c r="AK1452" s="147"/>
      <c r="AL1452" s="147"/>
      <c r="AM1452" s="151"/>
      <c r="AN1452" s="147"/>
      <c r="AO1452" s="147"/>
      <c r="AP1452" s="147"/>
      <c r="AQ1452" s="147"/>
      <c r="AR1452" s="147"/>
      <c r="AS1452" s="147"/>
      <c r="AT1452" s="147"/>
      <c r="AU1452" s="147"/>
      <c r="AV1452" s="147"/>
      <c r="AW1452" s="147"/>
      <c r="AX1452" s="147"/>
      <c r="AY1452" s="147"/>
      <c r="AZ1452" s="147"/>
      <c r="BA1452" s="147"/>
      <c r="BB1452" s="147"/>
      <c r="BC1452" s="147"/>
      <c r="BD1452" s="147"/>
      <c r="BE1452" s="147"/>
      <c r="BF1452" s="147"/>
      <c r="BG1452" s="147"/>
      <c r="BH1452" s="147"/>
      <c r="BI1452" s="147"/>
      <c r="BJ1452" s="147"/>
      <c r="BK1452" s="147"/>
      <c r="BL1452" s="147"/>
      <c r="BM1452" s="147"/>
      <c r="BN1452" s="147"/>
      <c r="BO1452" s="147"/>
      <c r="BP1452" s="147"/>
      <c r="BQ1452" s="147"/>
      <c r="BR1452" s="147"/>
      <c r="BS1452" s="147"/>
      <c r="BT1452" s="147"/>
      <c r="BU1452" s="147"/>
      <c r="BV1452" s="147"/>
      <c r="BW1452" s="147"/>
      <c r="BX1452" s="147"/>
      <c r="BY1452" s="147"/>
      <c r="BZ1452" s="147"/>
      <c r="CA1452" s="147"/>
      <c r="CB1452" s="147"/>
      <c r="CC1452" s="147"/>
      <c r="CD1452" s="147"/>
      <c r="CE1452" s="147"/>
      <c r="CF1452" s="147"/>
      <c r="CG1452" s="147"/>
      <c r="CH1452" s="147"/>
      <c r="CI1452" s="147"/>
      <c r="CJ1452" s="147"/>
      <c r="CK1452" s="147"/>
    </row>
    <row r="1453" spans="1:89">
      <c r="A1453" s="157"/>
      <c r="F1453" s="3"/>
      <c r="G1453" s="3"/>
      <c r="L1453" s="157"/>
      <c r="M1453" s="157"/>
      <c r="O1453" s="147"/>
      <c r="P1453" s="147"/>
      <c r="Q1453" s="147"/>
      <c r="R1453" s="147"/>
      <c r="S1453" s="147"/>
      <c r="T1453" s="147"/>
      <c r="U1453" s="147"/>
      <c r="V1453" s="147"/>
      <c r="W1453" s="147"/>
      <c r="X1453" s="147"/>
      <c r="Y1453" s="147"/>
      <c r="Z1453" s="147"/>
      <c r="AA1453" s="147"/>
      <c r="AB1453" s="147"/>
      <c r="AC1453" s="147"/>
      <c r="AD1453" s="147"/>
      <c r="AE1453" s="147"/>
      <c r="AF1453" s="147"/>
      <c r="AG1453" s="147"/>
      <c r="AH1453" s="147"/>
      <c r="AI1453" s="147"/>
      <c r="AJ1453" s="147"/>
      <c r="AK1453" s="147"/>
      <c r="AL1453" s="147"/>
      <c r="AM1453" s="151"/>
      <c r="AN1453" s="147"/>
      <c r="AO1453" s="147"/>
      <c r="AP1453" s="147"/>
      <c r="AQ1453" s="147"/>
      <c r="AR1453" s="147"/>
      <c r="AS1453" s="147"/>
      <c r="AT1453" s="147"/>
      <c r="AU1453" s="147"/>
      <c r="AV1453" s="147"/>
      <c r="AW1453" s="147"/>
      <c r="AX1453" s="147"/>
      <c r="AY1453" s="147"/>
      <c r="AZ1453" s="147"/>
      <c r="BA1453" s="147"/>
      <c r="BB1453" s="147"/>
      <c r="BC1453" s="147"/>
      <c r="BD1453" s="147"/>
      <c r="BE1453" s="147"/>
      <c r="BF1453" s="147"/>
      <c r="BG1453" s="147"/>
      <c r="BH1453" s="147"/>
      <c r="BI1453" s="147"/>
      <c r="BJ1453" s="147"/>
      <c r="BK1453" s="147"/>
      <c r="BL1453" s="147"/>
      <c r="BM1453" s="147"/>
      <c r="BN1453" s="147"/>
      <c r="BO1453" s="147"/>
      <c r="BP1453" s="147"/>
      <c r="BQ1453" s="147"/>
      <c r="BR1453" s="147"/>
      <c r="BS1453" s="147"/>
      <c r="BT1453" s="147"/>
      <c r="BU1453" s="147"/>
      <c r="BV1453" s="147"/>
      <c r="BW1453" s="147"/>
      <c r="BX1453" s="147"/>
      <c r="BY1453" s="147"/>
      <c r="BZ1453" s="147"/>
      <c r="CA1453" s="147"/>
      <c r="CB1453" s="147"/>
      <c r="CC1453" s="147"/>
      <c r="CD1453" s="147"/>
      <c r="CE1453" s="147"/>
      <c r="CF1453" s="147"/>
      <c r="CG1453" s="147"/>
      <c r="CH1453" s="147"/>
      <c r="CI1453" s="147"/>
      <c r="CJ1453" s="147"/>
      <c r="CK1453" s="147"/>
    </row>
    <row r="1454" spans="1:89">
      <c r="A1454" s="157"/>
      <c r="F1454" s="3"/>
      <c r="G1454" s="3"/>
      <c r="L1454" s="157"/>
      <c r="M1454" s="157"/>
      <c r="O1454" s="147"/>
      <c r="P1454" s="147"/>
      <c r="Q1454" s="147"/>
      <c r="R1454" s="147"/>
      <c r="S1454" s="147"/>
      <c r="T1454" s="147"/>
      <c r="U1454" s="147"/>
      <c r="V1454" s="147"/>
      <c r="W1454" s="147"/>
      <c r="X1454" s="147"/>
      <c r="Y1454" s="147"/>
      <c r="Z1454" s="147"/>
      <c r="AA1454" s="147"/>
      <c r="AB1454" s="147"/>
      <c r="AC1454" s="147"/>
      <c r="AD1454" s="147"/>
      <c r="AE1454" s="147"/>
      <c r="AF1454" s="147"/>
      <c r="AG1454" s="147"/>
      <c r="AH1454" s="147"/>
      <c r="AI1454" s="147"/>
      <c r="AJ1454" s="147"/>
      <c r="AK1454" s="147"/>
      <c r="AL1454" s="147"/>
      <c r="AM1454" s="151"/>
      <c r="AN1454" s="147"/>
      <c r="AO1454" s="147"/>
      <c r="AP1454" s="147"/>
      <c r="AQ1454" s="147"/>
      <c r="AR1454" s="147"/>
      <c r="AS1454" s="147"/>
      <c r="AT1454" s="147"/>
      <c r="AU1454" s="147"/>
      <c r="AV1454" s="147"/>
      <c r="AW1454" s="147"/>
      <c r="AX1454" s="147"/>
      <c r="AY1454" s="147"/>
      <c r="AZ1454" s="147"/>
      <c r="BA1454" s="147"/>
      <c r="BB1454" s="147"/>
      <c r="BC1454" s="147"/>
      <c r="BD1454" s="147"/>
      <c r="BE1454" s="147"/>
      <c r="BF1454" s="147"/>
      <c r="BG1454" s="147"/>
      <c r="BH1454" s="147"/>
      <c r="BI1454" s="147"/>
      <c r="BJ1454" s="147"/>
      <c r="BK1454" s="147"/>
      <c r="BL1454" s="147"/>
      <c r="BM1454" s="147"/>
      <c r="BN1454" s="147"/>
      <c r="BO1454" s="147"/>
      <c r="BP1454" s="147"/>
      <c r="BQ1454" s="147"/>
      <c r="BR1454" s="147"/>
      <c r="BS1454" s="147"/>
      <c r="BT1454" s="147"/>
      <c r="BU1454" s="147"/>
      <c r="BV1454" s="147"/>
      <c r="BW1454" s="147"/>
      <c r="BX1454" s="147"/>
      <c r="BY1454" s="147"/>
      <c r="BZ1454" s="147"/>
      <c r="CA1454" s="147"/>
      <c r="CB1454" s="147"/>
      <c r="CC1454" s="147"/>
      <c r="CD1454" s="147"/>
      <c r="CE1454" s="147"/>
      <c r="CF1454" s="147"/>
      <c r="CG1454" s="147"/>
      <c r="CH1454" s="147"/>
      <c r="CI1454" s="147"/>
      <c r="CJ1454" s="147"/>
      <c r="CK1454" s="147"/>
    </row>
    <row r="1455" spans="1:89">
      <c r="A1455" s="157"/>
      <c r="F1455" s="3"/>
      <c r="G1455" s="3"/>
      <c r="L1455" s="157"/>
      <c r="M1455" s="157"/>
      <c r="O1455" s="147"/>
      <c r="P1455" s="147"/>
      <c r="Q1455" s="147"/>
      <c r="R1455" s="147"/>
      <c r="S1455" s="147"/>
      <c r="T1455" s="147"/>
      <c r="U1455" s="147"/>
      <c r="V1455" s="147"/>
      <c r="W1455" s="147"/>
      <c r="X1455" s="147"/>
      <c r="Y1455" s="147"/>
      <c r="Z1455" s="147"/>
      <c r="AA1455" s="147"/>
      <c r="AB1455" s="147"/>
      <c r="AC1455" s="147"/>
      <c r="AD1455" s="147"/>
      <c r="AE1455" s="147"/>
      <c r="AF1455" s="147"/>
      <c r="AG1455" s="147"/>
      <c r="AH1455" s="147"/>
      <c r="AI1455" s="147"/>
      <c r="AJ1455" s="147"/>
      <c r="AK1455" s="147"/>
      <c r="AL1455" s="147"/>
      <c r="AM1455" s="151"/>
      <c r="AN1455" s="147"/>
      <c r="AO1455" s="147"/>
      <c r="AP1455" s="147"/>
      <c r="AQ1455" s="147"/>
      <c r="AR1455" s="147"/>
      <c r="AS1455" s="147"/>
      <c r="AT1455" s="147"/>
      <c r="AU1455" s="147"/>
      <c r="AV1455" s="147"/>
      <c r="AW1455" s="147"/>
      <c r="AX1455" s="147"/>
      <c r="AY1455" s="147"/>
      <c r="AZ1455" s="147"/>
      <c r="BA1455" s="147"/>
      <c r="BB1455" s="147"/>
      <c r="BC1455" s="147"/>
      <c r="BD1455" s="147"/>
      <c r="BE1455" s="147"/>
      <c r="BF1455" s="147"/>
      <c r="BG1455" s="147"/>
      <c r="BH1455" s="147"/>
      <c r="BI1455" s="147"/>
      <c r="BJ1455" s="147"/>
      <c r="BK1455" s="147"/>
      <c r="BL1455" s="147"/>
      <c r="BM1455" s="147"/>
      <c r="BN1455" s="147"/>
      <c r="BO1455" s="147"/>
      <c r="BP1455" s="147"/>
      <c r="BQ1455" s="147"/>
      <c r="BR1455" s="147"/>
      <c r="BS1455" s="147"/>
      <c r="BT1455" s="147"/>
      <c r="BU1455" s="147"/>
      <c r="BV1455" s="147"/>
      <c r="BW1455" s="147"/>
      <c r="BX1455" s="147"/>
      <c r="BY1455" s="147"/>
      <c r="BZ1455" s="147"/>
      <c r="CA1455" s="147"/>
      <c r="CB1455" s="147"/>
      <c r="CC1455" s="147"/>
      <c r="CD1455" s="147"/>
      <c r="CE1455" s="147"/>
      <c r="CF1455" s="147"/>
      <c r="CG1455" s="147"/>
      <c r="CH1455" s="147"/>
      <c r="CI1455" s="147"/>
      <c r="CJ1455" s="147"/>
      <c r="CK1455" s="147"/>
    </row>
    <row r="1456" spans="1:89">
      <c r="A1456" s="157"/>
      <c r="F1456" s="3"/>
      <c r="G1456" s="3"/>
      <c r="L1456" s="157"/>
      <c r="M1456" s="157"/>
      <c r="O1456" s="147"/>
      <c r="P1456" s="147"/>
      <c r="Q1456" s="147"/>
      <c r="R1456" s="147"/>
      <c r="S1456" s="147"/>
      <c r="T1456" s="147"/>
      <c r="U1456" s="147"/>
      <c r="V1456" s="147"/>
      <c r="W1456" s="147"/>
      <c r="X1456" s="147"/>
      <c r="Y1456" s="147"/>
      <c r="Z1456" s="147"/>
      <c r="AA1456" s="147"/>
      <c r="AB1456" s="147"/>
      <c r="AC1456" s="147"/>
      <c r="AD1456" s="147"/>
      <c r="AE1456" s="147"/>
      <c r="AF1456" s="147"/>
      <c r="AG1456" s="147"/>
      <c r="AH1456" s="147"/>
      <c r="AI1456" s="147"/>
      <c r="AJ1456" s="147"/>
      <c r="AK1456" s="147"/>
      <c r="AL1456" s="147"/>
      <c r="AM1456" s="151"/>
      <c r="AN1456" s="147"/>
      <c r="AO1456" s="147"/>
      <c r="AP1456" s="147"/>
      <c r="AQ1456" s="147"/>
      <c r="AR1456" s="147"/>
      <c r="AS1456" s="147"/>
      <c r="AT1456" s="147"/>
      <c r="AU1456" s="147"/>
      <c r="AV1456" s="147"/>
      <c r="AW1456" s="147"/>
      <c r="AX1456" s="147"/>
      <c r="AY1456" s="147"/>
      <c r="AZ1456" s="147"/>
      <c r="BA1456" s="147"/>
      <c r="BB1456" s="147"/>
      <c r="BC1456" s="147"/>
      <c r="BD1456" s="147"/>
      <c r="BE1456" s="147"/>
      <c r="BF1456" s="147"/>
      <c r="BG1456" s="147"/>
      <c r="BH1456" s="147"/>
      <c r="BI1456" s="147"/>
      <c r="BJ1456" s="147"/>
      <c r="BK1456" s="147"/>
      <c r="BL1456" s="147"/>
      <c r="BM1456" s="147"/>
      <c r="BN1456" s="147"/>
      <c r="BO1456" s="147"/>
      <c r="BP1456" s="147"/>
      <c r="BQ1456" s="147"/>
      <c r="BR1456" s="147"/>
      <c r="BS1456" s="147"/>
      <c r="BT1456" s="147"/>
      <c r="BU1456" s="147"/>
      <c r="BV1456" s="147"/>
      <c r="BW1456" s="147"/>
      <c r="BX1456" s="147"/>
      <c r="BY1456" s="147"/>
      <c r="BZ1456" s="147"/>
      <c r="CA1456" s="147"/>
      <c r="CB1456" s="147"/>
      <c r="CC1456" s="147"/>
      <c r="CD1456" s="147"/>
      <c r="CE1456" s="147"/>
      <c r="CF1456" s="147"/>
      <c r="CG1456" s="147"/>
      <c r="CH1456" s="147"/>
      <c r="CI1456" s="147"/>
      <c r="CJ1456" s="147"/>
      <c r="CK1456" s="147"/>
    </row>
    <row r="1457" spans="1:89">
      <c r="A1457" s="157"/>
      <c r="F1457" s="3"/>
      <c r="G1457" s="3"/>
      <c r="L1457" s="157"/>
      <c r="M1457" s="157"/>
      <c r="O1457" s="147"/>
      <c r="P1457" s="147"/>
      <c r="Q1457" s="147"/>
      <c r="R1457" s="147"/>
      <c r="S1457" s="147"/>
      <c r="T1457" s="147"/>
      <c r="U1457" s="147"/>
      <c r="V1457" s="147"/>
      <c r="W1457" s="147"/>
      <c r="X1457" s="147"/>
      <c r="Y1457" s="147"/>
      <c r="Z1457" s="147"/>
      <c r="AA1457" s="147"/>
      <c r="AB1457" s="147"/>
      <c r="AC1457" s="147"/>
      <c r="AD1457" s="147"/>
      <c r="AE1457" s="147"/>
      <c r="AF1457" s="147"/>
      <c r="AG1457" s="147"/>
      <c r="AH1457" s="147"/>
      <c r="AI1457" s="147"/>
      <c r="AJ1457" s="147"/>
      <c r="AK1457" s="147"/>
      <c r="AL1457" s="147"/>
      <c r="AM1457" s="151"/>
      <c r="AN1457" s="147"/>
      <c r="AO1457" s="147"/>
      <c r="AP1457" s="147"/>
      <c r="AQ1457" s="147"/>
      <c r="AR1457" s="147"/>
      <c r="AS1457" s="147"/>
      <c r="AT1457" s="147"/>
      <c r="AU1457" s="147"/>
      <c r="AV1457" s="147"/>
      <c r="AW1457" s="147"/>
      <c r="AX1457" s="147"/>
      <c r="AY1457" s="147"/>
      <c r="AZ1457" s="147"/>
      <c r="BA1457" s="147"/>
      <c r="BB1457" s="147"/>
      <c r="BC1457" s="147"/>
      <c r="BD1457" s="147"/>
      <c r="BE1457" s="147"/>
      <c r="BF1457" s="147"/>
      <c r="BG1457" s="147"/>
      <c r="BH1457" s="147"/>
      <c r="BI1457" s="147"/>
      <c r="BJ1457" s="147"/>
      <c r="BK1457" s="147"/>
      <c r="BL1457" s="147"/>
      <c r="BM1457" s="147"/>
      <c r="BN1457" s="147"/>
      <c r="BO1457" s="147"/>
      <c r="BP1457" s="147"/>
      <c r="BQ1457" s="147"/>
      <c r="BR1457" s="147"/>
      <c r="BS1457" s="147"/>
      <c r="BT1457" s="147"/>
      <c r="BU1457" s="147"/>
      <c r="BV1457" s="147"/>
      <c r="BW1457" s="147"/>
      <c r="BX1457" s="147"/>
      <c r="BY1457" s="147"/>
      <c r="BZ1457" s="147"/>
      <c r="CA1457" s="147"/>
      <c r="CB1457" s="147"/>
      <c r="CC1457" s="147"/>
      <c r="CD1457" s="147"/>
      <c r="CE1457" s="147"/>
      <c r="CF1457" s="147"/>
      <c r="CG1457" s="147"/>
      <c r="CH1457" s="147"/>
      <c r="CI1457" s="147"/>
      <c r="CJ1457" s="147"/>
      <c r="CK1457" s="147"/>
    </row>
    <row r="1458" spans="1:89">
      <c r="A1458" s="157"/>
      <c r="F1458" s="3"/>
      <c r="G1458" s="3"/>
      <c r="L1458" s="157"/>
      <c r="M1458" s="157"/>
      <c r="O1458" s="147"/>
      <c r="P1458" s="147"/>
      <c r="Q1458" s="147"/>
      <c r="R1458" s="147"/>
      <c r="S1458" s="147"/>
      <c r="T1458" s="147"/>
      <c r="U1458" s="147"/>
      <c r="V1458" s="147"/>
      <c r="W1458" s="147"/>
      <c r="X1458" s="147"/>
      <c r="Y1458" s="147"/>
      <c r="Z1458" s="147"/>
      <c r="AA1458" s="147"/>
      <c r="AB1458" s="147"/>
      <c r="AC1458" s="147"/>
      <c r="AD1458" s="147"/>
      <c r="AE1458" s="147"/>
      <c r="AF1458" s="147"/>
      <c r="AG1458" s="147"/>
      <c r="AH1458" s="147"/>
      <c r="AI1458" s="147"/>
      <c r="AJ1458" s="147"/>
      <c r="AK1458" s="147"/>
      <c r="AL1458" s="147"/>
      <c r="AM1458" s="151"/>
      <c r="AN1458" s="147"/>
      <c r="AO1458" s="147"/>
      <c r="AP1458" s="147"/>
      <c r="AQ1458" s="147"/>
      <c r="AR1458" s="147"/>
      <c r="AS1458" s="147"/>
      <c r="AT1458" s="147"/>
      <c r="AU1458" s="147"/>
      <c r="AV1458" s="147"/>
      <c r="AW1458" s="147"/>
      <c r="AX1458" s="147"/>
      <c r="AY1458" s="147"/>
      <c r="AZ1458" s="147"/>
      <c r="BA1458" s="147"/>
      <c r="BB1458" s="147"/>
      <c r="BC1458" s="147"/>
      <c r="BD1458" s="147"/>
      <c r="BE1458" s="147"/>
      <c r="BF1458" s="147"/>
      <c r="BG1458" s="147"/>
      <c r="BH1458" s="147"/>
      <c r="BI1458" s="147"/>
      <c r="BJ1458" s="147"/>
      <c r="BK1458" s="147"/>
      <c r="BL1458" s="147"/>
      <c r="BM1458" s="147"/>
      <c r="BN1458" s="147"/>
      <c r="BO1458" s="147"/>
      <c r="BP1458" s="147"/>
      <c r="BQ1458" s="147"/>
      <c r="BR1458" s="147"/>
      <c r="BS1458" s="147"/>
      <c r="BT1458" s="147"/>
      <c r="BU1458" s="147"/>
      <c r="BV1458" s="147"/>
      <c r="BW1458" s="147"/>
      <c r="BX1458" s="147"/>
      <c r="BY1458" s="147"/>
      <c r="BZ1458" s="147"/>
      <c r="CA1458" s="147"/>
      <c r="CB1458" s="147"/>
      <c r="CC1458" s="147"/>
      <c r="CD1458" s="147"/>
      <c r="CE1458" s="147"/>
      <c r="CF1458" s="147"/>
      <c r="CG1458" s="147"/>
      <c r="CH1458" s="147"/>
      <c r="CI1458" s="147"/>
      <c r="CJ1458" s="147"/>
      <c r="CK1458" s="147"/>
    </row>
    <row r="1459" spans="1:89">
      <c r="A1459" s="157"/>
      <c r="F1459" s="3"/>
      <c r="G1459" s="3"/>
      <c r="L1459" s="157"/>
      <c r="M1459" s="157"/>
      <c r="O1459" s="147"/>
      <c r="P1459" s="147"/>
      <c r="Q1459" s="147"/>
      <c r="R1459" s="147"/>
      <c r="S1459" s="147"/>
      <c r="T1459" s="147"/>
      <c r="U1459" s="147"/>
      <c r="V1459" s="147"/>
      <c r="W1459" s="147"/>
      <c r="X1459" s="147"/>
      <c r="Y1459" s="147"/>
      <c r="Z1459" s="147"/>
      <c r="AA1459" s="147"/>
      <c r="AB1459" s="147"/>
      <c r="AC1459" s="147"/>
      <c r="AD1459" s="147"/>
      <c r="AE1459" s="147"/>
      <c r="AF1459" s="147"/>
      <c r="AG1459" s="147"/>
      <c r="AH1459" s="147"/>
      <c r="AI1459" s="147"/>
      <c r="AJ1459" s="147"/>
      <c r="AK1459" s="147"/>
      <c r="AL1459" s="147"/>
      <c r="AM1459" s="151"/>
      <c r="AN1459" s="147"/>
      <c r="AO1459" s="147"/>
      <c r="AP1459" s="147"/>
      <c r="AQ1459" s="147"/>
      <c r="AR1459" s="147"/>
      <c r="AS1459" s="147"/>
      <c r="AT1459" s="147"/>
      <c r="AU1459" s="147"/>
      <c r="AV1459" s="147"/>
      <c r="AW1459" s="147"/>
      <c r="AX1459" s="147"/>
      <c r="AY1459" s="147"/>
      <c r="AZ1459" s="147"/>
      <c r="BA1459" s="147"/>
      <c r="BB1459" s="147"/>
      <c r="BC1459" s="147"/>
      <c r="BD1459" s="147"/>
      <c r="BE1459" s="147"/>
      <c r="BF1459" s="147"/>
      <c r="BG1459" s="147"/>
      <c r="BH1459" s="147"/>
      <c r="BI1459" s="147"/>
      <c r="BJ1459" s="147"/>
      <c r="BK1459" s="147"/>
      <c r="BL1459" s="147"/>
      <c r="BM1459" s="147"/>
      <c r="BN1459" s="147"/>
      <c r="BO1459" s="147"/>
      <c r="BP1459" s="147"/>
      <c r="BQ1459" s="147"/>
      <c r="BR1459" s="147"/>
      <c r="BS1459" s="147"/>
      <c r="BT1459" s="147"/>
      <c r="BU1459" s="147"/>
      <c r="BV1459" s="147"/>
      <c r="BW1459" s="147"/>
      <c r="BX1459" s="147"/>
      <c r="BY1459" s="147"/>
      <c r="BZ1459" s="147"/>
      <c r="CA1459" s="147"/>
      <c r="CB1459" s="147"/>
      <c r="CC1459" s="147"/>
      <c r="CD1459" s="147"/>
      <c r="CE1459" s="147"/>
      <c r="CF1459" s="147"/>
      <c r="CG1459" s="147"/>
      <c r="CH1459" s="147"/>
      <c r="CI1459" s="147"/>
      <c r="CJ1459" s="147"/>
      <c r="CK1459" s="147"/>
    </row>
    <row r="1460" spans="1:89">
      <c r="A1460" s="157"/>
      <c r="F1460" s="3"/>
      <c r="G1460" s="3"/>
      <c r="L1460" s="157"/>
      <c r="M1460" s="157"/>
      <c r="O1460" s="147"/>
      <c r="P1460" s="147"/>
      <c r="Q1460" s="147"/>
      <c r="R1460" s="147"/>
      <c r="S1460" s="147"/>
      <c r="T1460" s="147"/>
      <c r="U1460" s="147"/>
      <c r="V1460" s="147"/>
      <c r="W1460" s="147"/>
      <c r="X1460" s="147"/>
      <c r="Y1460" s="147"/>
      <c r="Z1460" s="147"/>
      <c r="AA1460" s="147"/>
      <c r="AB1460" s="147"/>
      <c r="AC1460" s="147"/>
      <c r="AD1460" s="147"/>
      <c r="AE1460" s="147"/>
      <c r="AF1460" s="147"/>
      <c r="AG1460" s="147"/>
      <c r="AH1460" s="147"/>
      <c r="AI1460" s="147"/>
      <c r="AJ1460" s="147"/>
      <c r="AK1460" s="147"/>
      <c r="AL1460" s="147"/>
      <c r="AM1460" s="151"/>
      <c r="AN1460" s="147"/>
      <c r="AO1460" s="147"/>
      <c r="AP1460" s="147"/>
      <c r="AQ1460" s="147"/>
      <c r="AR1460" s="147"/>
      <c r="AS1460" s="147"/>
      <c r="AT1460" s="147"/>
      <c r="AU1460" s="147"/>
      <c r="AV1460" s="147"/>
      <c r="AW1460" s="147"/>
      <c r="AX1460" s="147"/>
      <c r="AY1460" s="147"/>
      <c r="AZ1460" s="147"/>
      <c r="BA1460" s="147"/>
      <c r="BB1460" s="147"/>
      <c r="BC1460" s="147"/>
      <c r="BD1460" s="147"/>
      <c r="BE1460" s="147"/>
      <c r="BF1460" s="147"/>
      <c r="BG1460" s="147"/>
      <c r="BH1460" s="147"/>
      <c r="BI1460" s="147"/>
      <c r="BJ1460" s="147"/>
      <c r="BK1460" s="147"/>
      <c r="BL1460" s="147"/>
      <c r="BM1460" s="147"/>
      <c r="BN1460" s="147"/>
      <c r="BO1460" s="147"/>
      <c r="BP1460" s="147"/>
      <c r="BQ1460" s="147"/>
      <c r="BR1460" s="147"/>
      <c r="BS1460" s="147"/>
      <c r="BT1460" s="147"/>
      <c r="BU1460" s="147"/>
      <c r="BV1460" s="147"/>
      <c r="BW1460" s="147"/>
      <c r="BX1460" s="147"/>
      <c r="BY1460" s="147"/>
      <c r="BZ1460" s="147"/>
      <c r="CA1460" s="147"/>
      <c r="CB1460" s="147"/>
      <c r="CC1460" s="147"/>
      <c r="CD1460" s="147"/>
      <c r="CE1460" s="147"/>
      <c r="CF1460" s="147"/>
      <c r="CG1460" s="147"/>
      <c r="CH1460" s="147"/>
      <c r="CI1460" s="147"/>
      <c r="CJ1460" s="147"/>
      <c r="CK1460" s="147"/>
    </row>
    <row r="1461" spans="1:89">
      <c r="A1461" s="157"/>
      <c r="F1461" s="3"/>
      <c r="G1461" s="3"/>
      <c r="L1461" s="157"/>
      <c r="M1461" s="157"/>
      <c r="O1461" s="147"/>
      <c r="P1461" s="147"/>
      <c r="Q1461" s="147"/>
      <c r="R1461" s="147"/>
      <c r="S1461" s="147"/>
      <c r="T1461" s="147"/>
      <c r="U1461" s="147"/>
      <c r="V1461" s="147"/>
      <c r="W1461" s="147"/>
      <c r="X1461" s="147"/>
      <c r="Y1461" s="147"/>
      <c r="Z1461" s="147"/>
      <c r="AA1461" s="147"/>
      <c r="AB1461" s="147"/>
      <c r="AC1461" s="147"/>
      <c r="AD1461" s="147"/>
      <c r="AE1461" s="147"/>
      <c r="AF1461" s="147"/>
      <c r="AG1461" s="147"/>
      <c r="AH1461" s="147"/>
      <c r="AI1461" s="147"/>
      <c r="AJ1461" s="147"/>
      <c r="AK1461" s="147"/>
      <c r="AL1461" s="147"/>
      <c r="AM1461" s="151"/>
      <c r="AN1461" s="147"/>
      <c r="AO1461" s="147"/>
      <c r="AP1461" s="147"/>
      <c r="AQ1461" s="147"/>
      <c r="AR1461" s="147"/>
      <c r="AS1461" s="147"/>
      <c r="AT1461" s="147"/>
      <c r="AU1461" s="147"/>
      <c r="AV1461" s="147"/>
      <c r="AW1461" s="147"/>
      <c r="AX1461" s="147"/>
      <c r="AY1461" s="147"/>
      <c r="AZ1461" s="147"/>
      <c r="BA1461" s="147"/>
      <c r="BB1461" s="147"/>
      <c r="BC1461" s="147"/>
      <c r="BD1461" s="147"/>
      <c r="BE1461" s="147"/>
      <c r="BF1461" s="147"/>
      <c r="BG1461" s="147"/>
      <c r="BH1461" s="147"/>
      <c r="BI1461" s="147"/>
      <c r="BJ1461" s="147"/>
      <c r="BK1461" s="147"/>
      <c r="BL1461" s="147"/>
      <c r="BM1461" s="147"/>
      <c r="BN1461" s="147"/>
      <c r="BO1461" s="147"/>
      <c r="BP1461" s="147"/>
      <c r="BQ1461" s="147"/>
      <c r="BR1461" s="147"/>
      <c r="BS1461" s="147"/>
      <c r="BT1461" s="147"/>
      <c r="BU1461" s="147"/>
      <c r="BV1461" s="147"/>
      <c r="BW1461" s="147"/>
      <c r="BX1461" s="147"/>
      <c r="BY1461" s="147"/>
      <c r="BZ1461" s="147"/>
      <c r="CA1461" s="147"/>
      <c r="CB1461" s="147"/>
      <c r="CC1461" s="147"/>
      <c r="CD1461" s="147"/>
      <c r="CE1461" s="147"/>
      <c r="CF1461" s="147"/>
      <c r="CG1461" s="147"/>
      <c r="CH1461" s="147"/>
      <c r="CI1461" s="147"/>
      <c r="CJ1461" s="147"/>
      <c r="CK1461" s="147"/>
    </row>
    <row r="1462" spans="1:89">
      <c r="A1462" s="157"/>
      <c r="F1462" s="3"/>
      <c r="G1462" s="3"/>
      <c r="L1462" s="157"/>
      <c r="M1462" s="157"/>
      <c r="O1462" s="147"/>
      <c r="P1462" s="147"/>
      <c r="Q1462" s="147"/>
      <c r="R1462" s="147"/>
      <c r="S1462" s="147"/>
      <c r="T1462" s="147"/>
      <c r="U1462" s="147"/>
      <c r="V1462" s="147"/>
      <c r="W1462" s="147"/>
      <c r="X1462" s="147"/>
      <c r="Y1462" s="147"/>
      <c r="Z1462" s="147"/>
      <c r="AA1462" s="147"/>
      <c r="AB1462" s="147"/>
      <c r="AC1462" s="147"/>
      <c r="AD1462" s="147"/>
      <c r="AE1462" s="147"/>
      <c r="AF1462" s="147"/>
      <c r="AG1462" s="147"/>
      <c r="AH1462" s="147"/>
      <c r="AI1462" s="147"/>
      <c r="AJ1462" s="147"/>
      <c r="AK1462" s="147"/>
      <c r="AL1462" s="147"/>
      <c r="AM1462" s="151"/>
      <c r="AN1462" s="147"/>
      <c r="AO1462" s="147"/>
      <c r="AP1462" s="147"/>
      <c r="AQ1462" s="147"/>
      <c r="AR1462" s="147"/>
      <c r="AS1462" s="147"/>
      <c r="AT1462" s="147"/>
      <c r="AU1462" s="147"/>
      <c r="AV1462" s="147"/>
      <c r="AW1462" s="147"/>
      <c r="AX1462" s="147"/>
      <c r="AY1462" s="147"/>
      <c r="AZ1462" s="147"/>
      <c r="BA1462" s="147"/>
      <c r="BB1462" s="147"/>
      <c r="BC1462" s="147"/>
      <c r="BD1462" s="147"/>
      <c r="BE1462" s="147"/>
      <c r="BF1462" s="147"/>
      <c r="BG1462" s="147"/>
      <c r="BH1462" s="147"/>
      <c r="BI1462" s="147"/>
      <c r="BJ1462" s="147"/>
      <c r="BK1462" s="147"/>
      <c r="BL1462" s="147"/>
      <c r="BM1462" s="147"/>
      <c r="BN1462" s="147"/>
      <c r="BO1462" s="147"/>
      <c r="BP1462" s="147"/>
      <c r="BQ1462" s="147"/>
      <c r="BR1462" s="147"/>
      <c r="BS1462" s="147"/>
      <c r="BT1462" s="147"/>
      <c r="BU1462" s="147"/>
      <c r="BV1462" s="147"/>
      <c r="BW1462" s="147"/>
      <c r="BX1462" s="147"/>
      <c r="BY1462" s="147"/>
      <c r="BZ1462" s="147"/>
      <c r="CA1462" s="147"/>
      <c r="CB1462" s="147"/>
      <c r="CC1462" s="147"/>
      <c r="CD1462" s="147"/>
      <c r="CE1462" s="147"/>
      <c r="CF1462" s="147"/>
      <c r="CG1462" s="147"/>
      <c r="CH1462" s="147"/>
      <c r="CI1462" s="147"/>
      <c r="CJ1462" s="147"/>
      <c r="CK1462" s="147"/>
    </row>
    <row r="1463" spans="1:89">
      <c r="A1463" s="157"/>
      <c r="F1463" s="3"/>
      <c r="G1463" s="3"/>
      <c r="L1463" s="157"/>
      <c r="M1463" s="157"/>
      <c r="O1463" s="147"/>
      <c r="P1463" s="147"/>
      <c r="Q1463" s="147"/>
      <c r="R1463" s="147"/>
      <c r="S1463" s="147"/>
      <c r="T1463" s="147"/>
      <c r="U1463" s="147"/>
      <c r="V1463" s="147"/>
      <c r="W1463" s="147"/>
      <c r="X1463" s="147"/>
      <c r="Y1463" s="147"/>
      <c r="Z1463" s="147"/>
      <c r="AA1463" s="147"/>
      <c r="AB1463" s="147"/>
      <c r="AC1463" s="147"/>
      <c r="AD1463" s="147"/>
      <c r="AE1463" s="147"/>
      <c r="AF1463" s="147"/>
      <c r="AG1463" s="147"/>
      <c r="AH1463" s="147"/>
      <c r="AI1463" s="147"/>
      <c r="AJ1463" s="147"/>
      <c r="AK1463" s="147"/>
      <c r="AL1463" s="147"/>
      <c r="AM1463" s="151"/>
      <c r="AN1463" s="147"/>
      <c r="AO1463" s="147"/>
      <c r="AP1463" s="147"/>
      <c r="AQ1463" s="147"/>
      <c r="AR1463" s="147"/>
      <c r="AS1463" s="147"/>
      <c r="AT1463" s="147"/>
      <c r="AU1463" s="147"/>
      <c r="AV1463" s="147"/>
      <c r="AW1463" s="147"/>
      <c r="AX1463" s="147"/>
      <c r="AY1463" s="147"/>
      <c r="AZ1463" s="147"/>
      <c r="BA1463" s="147"/>
      <c r="BB1463" s="147"/>
      <c r="BC1463" s="147"/>
      <c r="BD1463" s="147"/>
      <c r="BE1463" s="147"/>
      <c r="BF1463" s="147"/>
      <c r="BG1463" s="147"/>
      <c r="BH1463" s="147"/>
      <c r="BI1463" s="147"/>
      <c r="BJ1463" s="147"/>
      <c r="BK1463" s="147"/>
      <c r="BL1463" s="147"/>
      <c r="BM1463" s="147"/>
      <c r="BN1463" s="147"/>
      <c r="BO1463" s="147"/>
      <c r="BP1463" s="147"/>
      <c r="BQ1463" s="147"/>
      <c r="BR1463" s="147"/>
      <c r="BS1463" s="147"/>
      <c r="BT1463" s="147"/>
      <c r="BU1463" s="147"/>
      <c r="BV1463" s="147"/>
      <c r="BW1463" s="147"/>
      <c r="BX1463" s="147"/>
      <c r="BY1463" s="147"/>
      <c r="BZ1463" s="147"/>
      <c r="CA1463" s="147"/>
      <c r="CB1463" s="147"/>
      <c r="CC1463" s="147"/>
      <c r="CD1463" s="147"/>
      <c r="CE1463" s="147"/>
      <c r="CF1463" s="147"/>
      <c r="CG1463" s="147"/>
      <c r="CH1463" s="147"/>
      <c r="CI1463" s="147"/>
      <c r="CJ1463" s="147"/>
      <c r="CK1463" s="147"/>
    </row>
    <row r="1464" spans="1:89">
      <c r="A1464" s="157"/>
      <c r="F1464" s="3"/>
      <c r="G1464" s="3"/>
      <c r="L1464" s="157"/>
      <c r="M1464" s="157"/>
      <c r="O1464" s="147"/>
      <c r="P1464" s="147"/>
      <c r="Q1464" s="147"/>
      <c r="R1464" s="147"/>
      <c r="S1464" s="147"/>
      <c r="T1464" s="147"/>
      <c r="U1464" s="147"/>
      <c r="V1464" s="147"/>
      <c r="W1464" s="147"/>
      <c r="X1464" s="147"/>
      <c r="Y1464" s="147"/>
      <c r="Z1464" s="147"/>
      <c r="AA1464" s="147"/>
      <c r="AB1464" s="147"/>
      <c r="AC1464" s="147"/>
      <c r="AD1464" s="147"/>
      <c r="AE1464" s="147"/>
      <c r="AF1464" s="147"/>
      <c r="AG1464" s="147"/>
      <c r="AH1464" s="147"/>
      <c r="AI1464" s="147"/>
      <c r="AJ1464" s="147"/>
      <c r="AK1464" s="147"/>
      <c r="AL1464" s="147"/>
      <c r="AM1464" s="151"/>
      <c r="AN1464" s="147"/>
      <c r="AO1464" s="147"/>
      <c r="AP1464" s="147"/>
      <c r="AQ1464" s="147"/>
      <c r="AR1464" s="147"/>
      <c r="AS1464" s="147"/>
      <c r="AT1464" s="147"/>
      <c r="AU1464" s="147"/>
      <c r="AV1464" s="147"/>
      <c r="AW1464" s="147"/>
      <c r="AX1464" s="147"/>
      <c r="AY1464" s="147"/>
      <c r="AZ1464" s="147"/>
      <c r="BA1464" s="147"/>
      <c r="BB1464" s="147"/>
      <c r="BC1464" s="147"/>
      <c r="BD1464" s="147"/>
      <c r="BE1464" s="147"/>
      <c r="BF1464" s="147"/>
      <c r="BG1464" s="147"/>
      <c r="BH1464" s="147"/>
      <c r="BI1464" s="147"/>
      <c r="BJ1464" s="147"/>
      <c r="BK1464" s="147"/>
      <c r="BL1464" s="147"/>
      <c r="BM1464" s="147"/>
      <c r="BN1464" s="147"/>
      <c r="BO1464" s="147"/>
      <c r="BP1464" s="147"/>
      <c r="BQ1464" s="147"/>
      <c r="BR1464" s="147"/>
      <c r="BS1464" s="147"/>
      <c r="BT1464" s="147"/>
      <c r="BU1464" s="147"/>
      <c r="BV1464" s="147"/>
      <c r="BW1464" s="147"/>
      <c r="BX1464" s="147"/>
      <c r="BY1464" s="147"/>
      <c r="BZ1464" s="147"/>
      <c r="CA1464" s="147"/>
      <c r="CB1464" s="147"/>
      <c r="CC1464" s="147"/>
      <c r="CD1464" s="147"/>
      <c r="CE1464" s="147"/>
      <c r="CF1464" s="147"/>
      <c r="CG1464" s="147"/>
      <c r="CH1464" s="147"/>
      <c r="CI1464" s="147"/>
      <c r="CJ1464" s="147"/>
      <c r="CK1464" s="147"/>
    </row>
    <row r="1465" spans="1:89">
      <c r="A1465" s="157"/>
      <c r="F1465" s="3"/>
      <c r="G1465" s="3"/>
      <c r="L1465" s="157"/>
      <c r="M1465" s="157"/>
      <c r="O1465" s="147"/>
      <c r="P1465" s="147"/>
      <c r="Q1465" s="147"/>
      <c r="R1465" s="147"/>
      <c r="S1465" s="147"/>
      <c r="T1465" s="147"/>
      <c r="U1465" s="147"/>
      <c r="V1465" s="147"/>
      <c r="W1465" s="147"/>
      <c r="X1465" s="147"/>
      <c r="Y1465" s="147"/>
      <c r="Z1465" s="147"/>
      <c r="AA1465" s="147"/>
      <c r="AB1465" s="147"/>
      <c r="AC1465" s="147"/>
      <c r="AD1465" s="147"/>
      <c r="AE1465" s="147"/>
      <c r="AF1465" s="147"/>
      <c r="AG1465" s="147"/>
      <c r="AH1465" s="147"/>
      <c r="AI1465" s="147"/>
      <c r="AJ1465" s="147"/>
      <c r="AK1465" s="147"/>
      <c r="AL1465" s="147"/>
      <c r="AM1465" s="151"/>
      <c r="AN1465" s="147"/>
      <c r="AO1465" s="147"/>
      <c r="AP1465" s="147"/>
      <c r="AQ1465" s="147"/>
      <c r="AR1465" s="147"/>
      <c r="AS1465" s="147"/>
      <c r="AT1465" s="147"/>
      <c r="AU1465" s="147"/>
      <c r="AV1465" s="147"/>
      <c r="AW1465" s="147"/>
      <c r="AX1465" s="147"/>
      <c r="AY1465" s="147"/>
      <c r="AZ1465" s="147"/>
      <c r="BA1465" s="147"/>
      <c r="BB1465" s="147"/>
      <c r="BC1465" s="147"/>
      <c r="BD1465" s="147"/>
      <c r="BE1465" s="147"/>
      <c r="BF1465" s="147"/>
      <c r="BG1465" s="147"/>
      <c r="BH1465" s="147"/>
      <c r="BI1465" s="147"/>
      <c r="BJ1465" s="147"/>
      <c r="BK1465" s="147"/>
      <c r="BL1465" s="147"/>
      <c r="BM1465" s="147"/>
      <c r="BN1465" s="147"/>
      <c r="BO1465" s="147"/>
      <c r="BP1465" s="147"/>
      <c r="BQ1465" s="147"/>
      <c r="BR1465" s="147"/>
      <c r="BS1465" s="147"/>
      <c r="BT1465" s="147"/>
      <c r="BU1465" s="147"/>
      <c r="BV1465" s="147"/>
      <c r="BW1465" s="147"/>
      <c r="BX1465" s="147"/>
      <c r="BY1465" s="147"/>
      <c r="BZ1465" s="147"/>
      <c r="CA1465" s="147"/>
      <c r="CB1465" s="147"/>
      <c r="CC1465" s="147"/>
      <c r="CD1465" s="147"/>
      <c r="CE1465" s="147"/>
      <c r="CF1465" s="147"/>
      <c r="CG1465" s="147"/>
      <c r="CH1465" s="147"/>
      <c r="CI1465" s="147"/>
      <c r="CJ1465" s="147"/>
      <c r="CK1465" s="147"/>
    </row>
    <row r="1466" spans="1:89">
      <c r="A1466" s="157"/>
      <c r="F1466" s="3"/>
      <c r="G1466" s="3"/>
      <c r="L1466" s="157"/>
      <c r="M1466" s="157"/>
      <c r="O1466" s="147"/>
      <c r="P1466" s="147"/>
      <c r="Q1466" s="147"/>
      <c r="R1466" s="147"/>
      <c r="S1466" s="147"/>
      <c r="T1466" s="147"/>
      <c r="U1466" s="147"/>
      <c r="V1466" s="147"/>
      <c r="W1466" s="147"/>
      <c r="X1466" s="147"/>
      <c r="Y1466" s="147"/>
      <c r="Z1466" s="147"/>
      <c r="AA1466" s="147"/>
      <c r="AB1466" s="147"/>
      <c r="AC1466" s="147"/>
      <c r="AD1466" s="147"/>
      <c r="AE1466" s="147"/>
      <c r="AF1466" s="147"/>
      <c r="AG1466" s="147"/>
      <c r="AH1466" s="147"/>
      <c r="AI1466" s="147"/>
      <c r="AJ1466" s="147"/>
      <c r="AK1466" s="147"/>
      <c r="AL1466" s="147"/>
      <c r="AM1466" s="151"/>
      <c r="AN1466" s="147"/>
      <c r="AO1466" s="147"/>
      <c r="AP1466" s="147"/>
      <c r="AQ1466" s="147"/>
      <c r="AR1466" s="147"/>
      <c r="AS1466" s="147"/>
      <c r="AT1466" s="147"/>
      <c r="AU1466" s="147"/>
      <c r="AV1466" s="147"/>
      <c r="AW1466" s="147"/>
      <c r="AX1466" s="147"/>
      <c r="AY1466" s="147"/>
      <c r="AZ1466" s="147"/>
      <c r="BA1466" s="147"/>
      <c r="BB1466" s="147"/>
      <c r="BC1466" s="147"/>
      <c r="BD1466" s="147"/>
      <c r="BE1466" s="147"/>
      <c r="BF1466" s="147"/>
      <c r="BG1466" s="147"/>
      <c r="BH1466" s="147"/>
      <c r="BI1466" s="147"/>
      <c r="BJ1466" s="147"/>
      <c r="BK1466" s="147"/>
      <c r="BL1466" s="147"/>
      <c r="BM1466" s="147"/>
      <c r="BN1466" s="147"/>
      <c r="BO1466" s="147"/>
      <c r="BP1466" s="147"/>
      <c r="BQ1466" s="147"/>
      <c r="BR1466" s="147"/>
      <c r="BS1466" s="147"/>
      <c r="BT1466" s="147"/>
      <c r="BU1466" s="147"/>
      <c r="BV1466" s="147"/>
      <c r="BW1466" s="147"/>
      <c r="BX1466" s="147"/>
      <c r="BY1466" s="147"/>
      <c r="BZ1466" s="147"/>
      <c r="CA1466" s="147"/>
      <c r="CB1466" s="147"/>
      <c r="CC1466" s="147"/>
      <c r="CD1466" s="147"/>
      <c r="CE1466" s="147"/>
      <c r="CF1466" s="147"/>
      <c r="CG1466" s="147"/>
      <c r="CH1466" s="147"/>
      <c r="CI1466" s="147"/>
      <c r="CJ1466" s="147"/>
      <c r="CK1466" s="147"/>
    </row>
    <row r="1467" spans="1:89">
      <c r="A1467" s="157"/>
      <c r="F1467" s="3"/>
      <c r="G1467" s="3"/>
      <c r="L1467" s="157"/>
      <c r="M1467" s="157"/>
      <c r="O1467" s="147"/>
      <c r="P1467" s="147"/>
      <c r="Q1467" s="147"/>
      <c r="R1467" s="147"/>
      <c r="S1467" s="147"/>
      <c r="T1467" s="147"/>
      <c r="U1467" s="147"/>
      <c r="V1467" s="147"/>
      <c r="W1467" s="147"/>
      <c r="X1467" s="147"/>
      <c r="Y1467" s="147"/>
      <c r="Z1467" s="147"/>
      <c r="AA1467" s="147"/>
      <c r="AB1467" s="147"/>
      <c r="AC1467" s="147"/>
      <c r="AD1467" s="147"/>
      <c r="AE1467" s="147"/>
      <c r="AF1467" s="147"/>
      <c r="AG1467" s="147"/>
      <c r="AH1467" s="147"/>
      <c r="AI1467" s="147"/>
      <c r="AJ1467" s="147"/>
      <c r="AK1467" s="147"/>
      <c r="AL1467" s="147"/>
      <c r="AM1467" s="151"/>
      <c r="AN1467" s="147"/>
      <c r="AO1467" s="147"/>
      <c r="AP1467" s="147"/>
      <c r="AQ1467" s="147"/>
      <c r="AR1467" s="147"/>
      <c r="AS1467" s="147"/>
      <c r="AT1467" s="147"/>
      <c r="AU1467" s="147"/>
      <c r="AV1467" s="147"/>
      <c r="AW1467" s="147"/>
      <c r="AX1467" s="147"/>
      <c r="AY1467" s="147"/>
      <c r="AZ1467" s="147"/>
      <c r="BA1467" s="147"/>
      <c r="BB1467" s="147"/>
      <c r="BC1467" s="147"/>
      <c r="BD1467" s="147"/>
      <c r="BE1467" s="147"/>
      <c r="BF1467" s="147"/>
      <c r="BG1467" s="147"/>
      <c r="BH1467" s="147"/>
      <c r="BI1467" s="147"/>
      <c r="BJ1467" s="147"/>
      <c r="BK1467" s="147"/>
      <c r="BL1467" s="147"/>
      <c r="BM1467" s="147"/>
      <c r="BN1467" s="147"/>
      <c r="BO1467" s="147"/>
      <c r="BP1467" s="147"/>
      <c r="BQ1467" s="147"/>
      <c r="BR1467" s="147"/>
      <c r="BS1467" s="147"/>
      <c r="BT1467" s="147"/>
      <c r="BU1467" s="147"/>
      <c r="BV1467" s="147"/>
      <c r="BW1467" s="147"/>
      <c r="BX1467" s="147"/>
      <c r="BY1467" s="147"/>
      <c r="BZ1467" s="147"/>
      <c r="CA1467" s="147"/>
      <c r="CB1467" s="147"/>
      <c r="CC1467" s="147"/>
      <c r="CD1467" s="147"/>
      <c r="CE1467" s="147"/>
      <c r="CF1467" s="147"/>
      <c r="CG1467" s="147"/>
      <c r="CH1467" s="147"/>
      <c r="CI1467" s="147"/>
      <c r="CJ1467" s="147"/>
      <c r="CK1467" s="147"/>
    </row>
    <row r="1468" spans="1:89">
      <c r="A1468" s="157"/>
      <c r="F1468" s="3"/>
      <c r="G1468" s="3"/>
      <c r="L1468" s="157"/>
      <c r="M1468" s="157"/>
      <c r="O1468" s="147"/>
      <c r="P1468" s="147"/>
      <c r="Q1468" s="147"/>
      <c r="R1468" s="147"/>
      <c r="S1468" s="147"/>
      <c r="T1468" s="147"/>
      <c r="U1468" s="147"/>
      <c r="V1468" s="147"/>
      <c r="W1468" s="147"/>
      <c r="X1468" s="147"/>
      <c r="Y1468" s="147"/>
      <c r="Z1468" s="147"/>
      <c r="AA1468" s="147"/>
      <c r="AB1468" s="147"/>
      <c r="AC1468" s="147"/>
      <c r="AD1468" s="147"/>
      <c r="AE1468" s="147"/>
      <c r="AF1468" s="147"/>
      <c r="AG1468" s="147"/>
      <c r="AH1468" s="147"/>
      <c r="AI1468" s="147"/>
      <c r="AJ1468" s="147"/>
      <c r="AK1468" s="147"/>
      <c r="AL1468" s="147"/>
      <c r="AM1468" s="151"/>
      <c r="AN1468" s="147"/>
      <c r="AO1468" s="147"/>
      <c r="AP1468" s="147"/>
      <c r="AQ1468" s="147"/>
      <c r="AR1468" s="147"/>
      <c r="AS1468" s="147"/>
      <c r="AT1468" s="147"/>
      <c r="AU1468" s="147"/>
      <c r="AV1468" s="147"/>
      <c r="AW1468" s="147"/>
      <c r="AX1468" s="147"/>
      <c r="AY1468" s="147"/>
      <c r="AZ1468" s="147"/>
      <c r="BA1468" s="147"/>
      <c r="BB1468" s="147"/>
      <c r="BC1468" s="147"/>
      <c r="BD1468" s="147"/>
      <c r="BE1468" s="147"/>
      <c r="BF1468" s="147"/>
      <c r="BG1468" s="147"/>
      <c r="BH1468" s="147"/>
      <c r="BI1468" s="147"/>
      <c r="BJ1468" s="147"/>
      <c r="BK1468" s="147"/>
      <c r="BL1468" s="147"/>
      <c r="BM1468" s="147"/>
      <c r="BN1468" s="147"/>
      <c r="BO1468" s="147"/>
      <c r="BP1468" s="147"/>
      <c r="BQ1468" s="147"/>
      <c r="BR1468" s="147"/>
      <c r="BS1468" s="147"/>
      <c r="BT1468" s="147"/>
      <c r="BU1468" s="147"/>
      <c r="BV1468" s="147"/>
      <c r="BW1468" s="147"/>
      <c r="BX1468" s="147"/>
      <c r="BY1468" s="147"/>
      <c r="BZ1468" s="147"/>
      <c r="CA1468" s="147"/>
      <c r="CB1468" s="147"/>
      <c r="CC1468" s="147"/>
      <c r="CD1468" s="147"/>
      <c r="CE1468" s="147"/>
      <c r="CF1468" s="147"/>
      <c r="CG1468" s="147"/>
      <c r="CH1468" s="147"/>
      <c r="CI1468" s="147"/>
      <c r="CJ1468" s="147"/>
      <c r="CK1468" s="147"/>
    </row>
    <row r="1469" spans="1:89">
      <c r="A1469" s="157"/>
      <c r="F1469" s="3"/>
      <c r="G1469" s="3"/>
      <c r="L1469" s="157"/>
      <c r="M1469" s="157"/>
      <c r="O1469" s="147"/>
      <c r="P1469" s="147"/>
      <c r="Q1469" s="147"/>
      <c r="R1469" s="147"/>
      <c r="S1469" s="147"/>
      <c r="T1469" s="147"/>
      <c r="U1469" s="147"/>
      <c r="V1469" s="147"/>
      <c r="W1469" s="147"/>
      <c r="X1469" s="147"/>
      <c r="Y1469" s="147"/>
      <c r="Z1469" s="147"/>
      <c r="AA1469" s="147"/>
      <c r="AB1469" s="147"/>
      <c r="AC1469" s="147"/>
      <c r="AD1469" s="147"/>
      <c r="AE1469" s="147"/>
      <c r="AF1469" s="147"/>
      <c r="AG1469" s="147"/>
      <c r="AH1469" s="147"/>
      <c r="AI1469" s="147"/>
      <c r="AJ1469" s="147"/>
      <c r="AK1469" s="147"/>
      <c r="AL1469" s="147"/>
      <c r="AM1469" s="151"/>
      <c r="AN1469" s="147"/>
      <c r="AO1469" s="147"/>
      <c r="AP1469" s="147"/>
      <c r="AQ1469" s="147"/>
      <c r="AR1469" s="147"/>
      <c r="AS1469" s="147"/>
      <c r="AT1469" s="147"/>
      <c r="AU1469" s="147"/>
      <c r="AV1469" s="147"/>
      <c r="AW1469" s="147"/>
      <c r="AX1469" s="147"/>
      <c r="AY1469" s="147"/>
      <c r="AZ1469" s="147"/>
      <c r="BA1469" s="147"/>
      <c r="BB1469" s="147"/>
      <c r="BC1469" s="147"/>
      <c r="BD1469" s="147"/>
      <c r="BE1469" s="147"/>
      <c r="BF1469" s="147"/>
      <c r="BG1469" s="147"/>
      <c r="BH1469" s="147"/>
      <c r="BI1469" s="147"/>
      <c r="BJ1469" s="147"/>
      <c r="BK1469" s="147"/>
      <c r="BL1469" s="147"/>
      <c r="BM1469" s="147"/>
      <c r="BN1469" s="147"/>
      <c r="BO1469" s="147"/>
      <c r="BP1469" s="147"/>
      <c r="BQ1469" s="147"/>
      <c r="BR1469" s="147"/>
      <c r="BS1469" s="147"/>
      <c r="BT1469" s="147"/>
      <c r="BU1469" s="147"/>
      <c r="BV1469" s="147"/>
      <c r="BW1469" s="147"/>
      <c r="BX1469" s="147"/>
      <c r="BY1469" s="147"/>
      <c r="BZ1469" s="147"/>
      <c r="CA1469" s="147"/>
      <c r="CB1469" s="147"/>
      <c r="CC1469" s="147"/>
      <c r="CD1469" s="147"/>
      <c r="CE1469" s="147"/>
      <c r="CF1469" s="147"/>
      <c r="CG1469" s="147"/>
      <c r="CH1469" s="147"/>
      <c r="CI1469" s="147"/>
      <c r="CJ1469" s="147"/>
      <c r="CK1469" s="147"/>
    </row>
    <row r="1470" spans="1:89">
      <c r="A1470" s="157"/>
      <c r="F1470" s="3"/>
      <c r="G1470" s="3"/>
      <c r="L1470" s="157"/>
      <c r="M1470" s="157"/>
      <c r="O1470" s="147"/>
      <c r="P1470" s="147"/>
      <c r="Q1470" s="147"/>
      <c r="R1470" s="147"/>
      <c r="S1470" s="147"/>
      <c r="T1470" s="147"/>
      <c r="U1470" s="147"/>
      <c r="V1470" s="147"/>
      <c r="W1470" s="147"/>
      <c r="X1470" s="147"/>
      <c r="Y1470" s="147"/>
      <c r="Z1470" s="147"/>
      <c r="AA1470" s="147"/>
      <c r="AB1470" s="147"/>
      <c r="AC1470" s="147"/>
      <c r="AD1470" s="147"/>
      <c r="AE1470" s="147"/>
      <c r="AF1470" s="147"/>
      <c r="AG1470" s="147"/>
      <c r="AH1470" s="147"/>
      <c r="AI1470" s="147"/>
      <c r="AJ1470" s="147"/>
      <c r="AK1470" s="147"/>
      <c r="AL1470" s="147"/>
      <c r="AM1470" s="151"/>
      <c r="AN1470" s="147"/>
      <c r="AO1470" s="147"/>
      <c r="AP1470" s="147"/>
      <c r="AQ1470" s="147"/>
      <c r="AR1470" s="147"/>
      <c r="AS1470" s="147"/>
      <c r="AT1470" s="147"/>
      <c r="AU1470" s="147"/>
      <c r="AV1470" s="147"/>
      <c r="AW1470" s="147"/>
      <c r="AX1470" s="147"/>
      <c r="AY1470" s="147"/>
      <c r="AZ1470" s="147"/>
      <c r="BA1470" s="147"/>
      <c r="BB1470" s="147"/>
      <c r="BC1470" s="147"/>
      <c r="BD1470" s="147"/>
      <c r="BE1470" s="147"/>
      <c r="BF1470" s="147"/>
      <c r="BG1470" s="147"/>
      <c r="BH1470" s="147"/>
      <c r="BI1470" s="147"/>
      <c r="BJ1470" s="147"/>
      <c r="BK1470" s="147"/>
      <c r="BL1470" s="147"/>
      <c r="BM1470" s="147"/>
      <c r="BN1470" s="147"/>
      <c r="BO1470" s="147"/>
      <c r="BP1470" s="147"/>
      <c r="BQ1470" s="147"/>
      <c r="BR1470" s="147"/>
      <c r="BS1470" s="147"/>
      <c r="BT1470" s="147"/>
      <c r="BU1470" s="147"/>
      <c r="BV1470" s="147"/>
      <c r="BW1470" s="147"/>
      <c r="BX1470" s="147"/>
      <c r="BY1470" s="147"/>
      <c r="BZ1470" s="147"/>
      <c r="CA1470" s="147"/>
      <c r="CB1470" s="147"/>
      <c r="CC1470" s="147"/>
      <c r="CD1470" s="147"/>
      <c r="CE1470" s="147"/>
      <c r="CF1470" s="147"/>
      <c r="CG1470" s="147"/>
      <c r="CH1470" s="147"/>
      <c r="CI1470" s="147"/>
      <c r="CJ1470" s="147"/>
      <c r="CK1470" s="147"/>
    </row>
    <row r="1471" spans="1:89">
      <c r="A1471" s="157"/>
      <c r="F1471" s="3"/>
      <c r="G1471" s="3"/>
      <c r="L1471" s="157"/>
      <c r="M1471" s="157"/>
      <c r="O1471" s="147"/>
      <c r="P1471" s="147"/>
      <c r="Q1471" s="147"/>
      <c r="R1471" s="147"/>
      <c r="S1471" s="147"/>
      <c r="T1471" s="147"/>
      <c r="U1471" s="147"/>
      <c r="V1471" s="147"/>
      <c r="W1471" s="147"/>
      <c r="X1471" s="147"/>
      <c r="Y1471" s="147"/>
      <c r="Z1471" s="147"/>
      <c r="AA1471" s="147"/>
      <c r="AB1471" s="147"/>
      <c r="AC1471" s="147"/>
      <c r="AD1471" s="147"/>
      <c r="AE1471" s="147"/>
      <c r="AF1471" s="147"/>
      <c r="AG1471" s="147"/>
      <c r="AH1471" s="147"/>
      <c r="AI1471" s="147"/>
      <c r="AJ1471" s="147"/>
      <c r="AK1471" s="147"/>
      <c r="AL1471" s="147"/>
      <c r="AM1471" s="151"/>
      <c r="AN1471" s="147"/>
      <c r="AO1471" s="147"/>
      <c r="AP1471" s="147"/>
      <c r="AQ1471" s="147"/>
      <c r="AR1471" s="147"/>
      <c r="AS1471" s="147"/>
      <c r="AT1471" s="147"/>
      <c r="AU1471" s="147"/>
      <c r="AV1471" s="147"/>
      <c r="AW1471" s="147"/>
      <c r="AX1471" s="147"/>
      <c r="AY1471" s="147"/>
      <c r="AZ1471" s="147"/>
      <c r="BA1471" s="147"/>
      <c r="BB1471" s="147"/>
      <c r="BC1471" s="147"/>
      <c r="BD1471" s="147"/>
      <c r="BE1471" s="147"/>
      <c r="BF1471" s="147"/>
      <c r="BG1471" s="147"/>
      <c r="BH1471" s="147"/>
      <c r="BI1471" s="147"/>
      <c r="BJ1471" s="147"/>
      <c r="BK1471" s="147"/>
      <c r="BL1471" s="147"/>
      <c r="BM1471" s="147"/>
      <c r="BN1471" s="147"/>
      <c r="BO1471" s="147"/>
      <c r="BP1471" s="147"/>
      <c r="BQ1471" s="147"/>
      <c r="BR1471" s="147"/>
      <c r="BS1471" s="147"/>
      <c r="BT1471" s="147"/>
      <c r="BU1471" s="147"/>
      <c r="BV1471" s="147"/>
      <c r="BW1471" s="147"/>
      <c r="BX1471" s="147"/>
      <c r="BY1471" s="147"/>
      <c r="BZ1471" s="147"/>
      <c r="CA1471" s="147"/>
      <c r="CB1471" s="147"/>
      <c r="CC1471" s="147"/>
      <c r="CD1471" s="147"/>
      <c r="CE1471" s="147"/>
      <c r="CF1471" s="147"/>
      <c r="CG1471" s="147"/>
      <c r="CH1471" s="147"/>
      <c r="CI1471" s="147"/>
      <c r="CJ1471" s="147"/>
      <c r="CK1471" s="147"/>
    </row>
    <row r="1472" spans="1:89">
      <c r="A1472" s="157"/>
      <c r="F1472" s="3"/>
      <c r="G1472" s="3"/>
      <c r="L1472" s="157"/>
      <c r="M1472" s="157"/>
      <c r="O1472" s="147"/>
      <c r="P1472" s="147"/>
      <c r="Q1472" s="147"/>
      <c r="R1472" s="147"/>
      <c r="S1472" s="147"/>
      <c r="T1472" s="147"/>
      <c r="U1472" s="147"/>
      <c r="V1472" s="147"/>
      <c r="W1472" s="147"/>
      <c r="X1472" s="147"/>
      <c r="Y1472" s="147"/>
      <c r="Z1472" s="147"/>
      <c r="AA1472" s="147"/>
      <c r="AB1472" s="147"/>
      <c r="AC1472" s="147"/>
      <c r="AD1472" s="147"/>
      <c r="AE1472" s="147"/>
      <c r="AF1472" s="147"/>
      <c r="AG1472" s="147"/>
      <c r="AH1472" s="147"/>
      <c r="AI1472" s="147"/>
      <c r="AJ1472" s="147"/>
      <c r="AK1472" s="147"/>
      <c r="AL1472" s="147"/>
      <c r="AM1472" s="151"/>
      <c r="AN1472" s="147"/>
      <c r="AO1472" s="147"/>
      <c r="AP1472" s="147"/>
      <c r="AQ1472" s="147"/>
      <c r="AR1472" s="147"/>
      <c r="AS1472" s="147"/>
      <c r="AT1472" s="147"/>
      <c r="AU1472" s="147"/>
      <c r="AV1472" s="147"/>
      <c r="AW1472" s="147"/>
      <c r="AX1472" s="147"/>
      <c r="AY1472" s="147"/>
      <c r="AZ1472" s="147"/>
      <c r="BA1472" s="147"/>
      <c r="BB1472" s="147"/>
      <c r="BC1472" s="147"/>
      <c r="BD1472" s="147"/>
      <c r="BE1472" s="147"/>
      <c r="BF1472" s="147"/>
      <c r="BG1472" s="147"/>
      <c r="BH1472" s="147"/>
      <c r="BI1472" s="147"/>
      <c r="BJ1472" s="147"/>
      <c r="BK1472" s="147"/>
      <c r="BL1472" s="147"/>
      <c r="BM1472" s="147"/>
      <c r="BN1472" s="147"/>
      <c r="BO1472" s="147"/>
      <c r="BP1472" s="147"/>
      <c r="BQ1472" s="147"/>
      <c r="BR1472" s="147"/>
      <c r="BS1472" s="147"/>
      <c r="BT1472" s="147"/>
      <c r="BU1472" s="147"/>
      <c r="BV1472" s="147"/>
      <c r="BW1472" s="147"/>
      <c r="BX1472" s="147"/>
      <c r="BY1472" s="147"/>
      <c r="BZ1472" s="147"/>
      <c r="CA1472" s="147"/>
      <c r="CB1472" s="147"/>
      <c r="CC1472" s="147"/>
      <c r="CD1472" s="147"/>
      <c r="CE1472" s="147"/>
      <c r="CF1472" s="147"/>
      <c r="CG1472" s="147"/>
      <c r="CH1472" s="147"/>
      <c r="CI1472" s="147"/>
      <c r="CJ1472" s="147"/>
      <c r="CK1472" s="147"/>
    </row>
    <row r="1473" spans="1:89">
      <c r="A1473" s="157"/>
      <c r="F1473" s="3"/>
      <c r="G1473" s="3"/>
      <c r="L1473" s="157"/>
      <c r="M1473" s="157"/>
      <c r="O1473" s="147"/>
      <c r="P1473" s="147"/>
      <c r="Q1473" s="147"/>
      <c r="R1473" s="147"/>
      <c r="S1473" s="147"/>
      <c r="T1473" s="147"/>
      <c r="U1473" s="147"/>
      <c r="V1473" s="147"/>
      <c r="W1473" s="147"/>
      <c r="X1473" s="147"/>
      <c r="Y1473" s="147"/>
      <c r="Z1473" s="147"/>
      <c r="AA1473" s="147"/>
      <c r="AB1473" s="147"/>
      <c r="AC1473" s="147"/>
      <c r="AD1473" s="147"/>
      <c r="AE1473" s="147"/>
      <c r="AF1473" s="147"/>
      <c r="AG1473" s="147"/>
      <c r="AH1473" s="147"/>
      <c r="AI1473" s="147"/>
      <c r="AJ1473" s="147"/>
      <c r="AK1473" s="147"/>
      <c r="AL1473" s="147"/>
      <c r="AM1473" s="151"/>
      <c r="AN1473" s="147"/>
      <c r="AO1473" s="147"/>
      <c r="AP1473" s="147"/>
      <c r="AQ1473" s="147"/>
      <c r="AR1473" s="147"/>
      <c r="AS1473" s="147"/>
      <c r="AT1473" s="147"/>
      <c r="AU1473" s="147"/>
      <c r="AV1473" s="147"/>
      <c r="AW1473" s="147"/>
      <c r="AX1473" s="147"/>
      <c r="AY1473" s="147"/>
      <c r="AZ1473" s="147"/>
      <c r="BA1473" s="147"/>
      <c r="BB1473" s="147"/>
      <c r="BC1473" s="147"/>
      <c r="BD1473" s="147"/>
      <c r="BE1473" s="147"/>
      <c r="BF1473" s="147"/>
      <c r="BG1473" s="147"/>
      <c r="BH1473" s="147"/>
      <c r="BI1473" s="147"/>
      <c r="BJ1473" s="147"/>
      <c r="BK1473" s="147"/>
      <c r="BL1473" s="147"/>
      <c r="BM1473" s="147"/>
      <c r="BN1473" s="147"/>
      <c r="BO1473" s="147"/>
      <c r="BP1473" s="147"/>
      <c r="BQ1473" s="147"/>
      <c r="BR1473" s="147"/>
      <c r="BS1473" s="147"/>
      <c r="BT1473" s="147"/>
      <c r="BU1473" s="147"/>
      <c r="BV1473" s="147"/>
      <c r="BW1473" s="147"/>
      <c r="BX1473" s="147"/>
      <c r="BY1473" s="147"/>
      <c r="BZ1473" s="147"/>
      <c r="CA1473" s="147"/>
      <c r="CB1473" s="147"/>
      <c r="CC1473" s="147"/>
      <c r="CD1473" s="147"/>
      <c r="CE1473" s="147"/>
      <c r="CF1473" s="147"/>
      <c r="CG1473" s="147"/>
      <c r="CH1473" s="147"/>
      <c r="CI1473" s="147"/>
      <c r="CJ1473" s="147"/>
      <c r="CK1473" s="147"/>
    </row>
    <row r="1474" spans="1:89">
      <c r="A1474" s="157"/>
      <c r="F1474" s="3"/>
      <c r="G1474" s="3"/>
      <c r="L1474" s="157"/>
      <c r="M1474" s="157"/>
      <c r="O1474" s="147"/>
      <c r="P1474" s="147"/>
      <c r="Q1474" s="147"/>
      <c r="R1474" s="147"/>
      <c r="S1474" s="147"/>
      <c r="T1474" s="147"/>
      <c r="U1474" s="147"/>
      <c r="V1474" s="147"/>
      <c r="W1474" s="147"/>
      <c r="X1474" s="147"/>
      <c r="Y1474" s="147"/>
      <c r="Z1474" s="147"/>
      <c r="AA1474" s="147"/>
      <c r="AB1474" s="147"/>
      <c r="AC1474" s="147"/>
      <c r="AD1474" s="147"/>
      <c r="AE1474" s="147"/>
      <c r="AF1474" s="147"/>
      <c r="AG1474" s="147"/>
      <c r="AH1474" s="147"/>
      <c r="AI1474" s="147"/>
      <c r="AJ1474" s="147"/>
      <c r="AK1474" s="147"/>
      <c r="AL1474" s="147"/>
      <c r="AM1474" s="151"/>
      <c r="AN1474" s="147"/>
      <c r="AO1474" s="147"/>
      <c r="AP1474" s="147"/>
      <c r="AQ1474" s="147"/>
      <c r="AR1474" s="147"/>
      <c r="AS1474" s="147"/>
      <c r="AT1474" s="147"/>
      <c r="AU1474" s="147"/>
      <c r="AV1474" s="147"/>
      <c r="AW1474" s="147"/>
      <c r="AX1474" s="147"/>
      <c r="AY1474" s="147"/>
      <c r="AZ1474" s="147"/>
      <c r="BA1474" s="147"/>
      <c r="BB1474" s="147"/>
      <c r="BC1474" s="147"/>
      <c r="BD1474" s="147"/>
      <c r="BE1474" s="147"/>
      <c r="BF1474" s="147"/>
      <c r="BG1474" s="147"/>
      <c r="BH1474" s="147"/>
      <c r="BI1474" s="147"/>
      <c r="BJ1474" s="147"/>
      <c r="BK1474" s="147"/>
      <c r="BL1474" s="147"/>
      <c r="BM1474" s="147"/>
      <c r="BN1474" s="147"/>
      <c r="BO1474" s="147"/>
      <c r="BP1474" s="147"/>
      <c r="BQ1474" s="147"/>
      <c r="BR1474" s="147"/>
      <c r="BS1474" s="147"/>
      <c r="BT1474" s="147"/>
      <c r="BU1474" s="147"/>
      <c r="BV1474" s="147"/>
      <c r="BW1474" s="147"/>
      <c r="BX1474" s="147"/>
      <c r="BY1474" s="147"/>
      <c r="BZ1474" s="147"/>
      <c r="CA1474" s="147"/>
      <c r="CB1474" s="147"/>
      <c r="CC1474" s="147"/>
      <c r="CD1474" s="147"/>
      <c r="CE1474" s="147"/>
      <c r="CF1474" s="147"/>
      <c r="CG1474" s="147"/>
      <c r="CH1474" s="147"/>
      <c r="CI1474" s="147"/>
      <c r="CJ1474" s="147"/>
      <c r="CK1474" s="147"/>
    </row>
    <row r="1475" spans="1:89">
      <c r="A1475" s="157"/>
      <c r="F1475" s="3"/>
      <c r="G1475" s="3"/>
      <c r="L1475" s="157"/>
      <c r="M1475" s="157"/>
      <c r="O1475" s="147"/>
      <c r="P1475" s="147"/>
      <c r="Q1475" s="147"/>
      <c r="R1475" s="147"/>
      <c r="S1475" s="147"/>
      <c r="T1475" s="147"/>
      <c r="U1475" s="147"/>
      <c r="V1475" s="147"/>
      <c r="W1475" s="147"/>
      <c r="X1475" s="147"/>
      <c r="Y1475" s="147"/>
      <c r="Z1475" s="147"/>
      <c r="AA1475" s="147"/>
      <c r="AB1475" s="147"/>
      <c r="AC1475" s="147"/>
      <c r="AD1475" s="147"/>
      <c r="AE1475" s="147"/>
      <c r="AF1475" s="147"/>
      <c r="AG1475" s="147"/>
      <c r="AH1475" s="147"/>
      <c r="AI1475" s="147"/>
      <c r="AJ1475" s="147"/>
      <c r="AK1475" s="147"/>
      <c r="AL1475" s="147"/>
      <c r="AM1475" s="151"/>
      <c r="AN1475" s="147"/>
      <c r="AO1475" s="147"/>
      <c r="AP1475" s="147"/>
      <c r="AQ1475" s="147"/>
      <c r="AR1475" s="147"/>
      <c r="AS1475" s="147"/>
      <c r="AT1475" s="147"/>
      <c r="AU1475" s="147"/>
      <c r="AV1475" s="147"/>
      <c r="AW1475" s="147"/>
      <c r="AX1475" s="147"/>
      <c r="AY1475" s="147"/>
      <c r="AZ1475" s="147"/>
      <c r="BA1475" s="147"/>
      <c r="BB1475" s="147"/>
      <c r="BC1475" s="147"/>
      <c r="BD1475" s="147"/>
      <c r="BE1475" s="147"/>
      <c r="BF1475" s="147"/>
      <c r="BG1475" s="147"/>
      <c r="BH1475" s="147"/>
      <c r="BI1475" s="147"/>
      <c r="BJ1475" s="147"/>
      <c r="BK1475" s="147"/>
      <c r="BL1475" s="147"/>
      <c r="BM1475" s="147"/>
      <c r="BN1475" s="147"/>
      <c r="BO1475" s="147"/>
      <c r="BP1475" s="147"/>
      <c r="BQ1475" s="147"/>
      <c r="BR1475" s="147"/>
      <c r="BS1475" s="147"/>
      <c r="BT1475" s="147"/>
      <c r="BU1475" s="147"/>
      <c r="BV1475" s="147"/>
      <c r="BW1475" s="147"/>
      <c r="BX1475" s="147"/>
      <c r="BY1475" s="147"/>
      <c r="BZ1475" s="147"/>
      <c r="CA1475" s="147"/>
      <c r="CB1475" s="147"/>
      <c r="CC1475" s="147"/>
      <c r="CD1475" s="147"/>
      <c r="CE1475" s="147"/>
      <c r="CF1475" s="147"/>
      <c r="CG1475" s="147"/>
      <c r="CH1475" s="147"/>
      <c r="CI1475" s="147"/>
      <c r="CJ1475" s="147"/>
      <c r="CK1475" s="147"/>
    </row>
    <row r="1476" spans="1:89">
      <c r="A1476" s="157"/>
      <c r="F1476" s="3"/>
      <c r="G1476" s="3"/>
      <c r="L1476" s="157"/>
      <c r="M1476" s="157"/>
      <c r="O1476" s="147"/>
      <c r="P1476" s="147"/>
      <c r="Q1476" s="147"/>
      <c r="R1476" s="147"/>
      <c r="S1476" s="147"/>
      <c r="T1476" s="147"/>
      <c r="U1476" s="147"/>
      <c r="V1476" s="147"/>
      <c r="W1476" s="147"/>
      <c r="X1476" s="147"/>
      <c r="Y1476" s="147"/>
      <c r="Z1476" s="147"/>
      <c r="AA1476" s="147"/>
      <c r="AB1476" s="147"/>
      <c r="AC1476" s="147"/>
      <c r="AD1476" s="147"/>
      <c r="AE1476" s="147"/>
      <c r="AF1476" s="147"/>
      <c r="AG1476" s="147"/>
      <c r="AH1476" s="147"/>
      <c r="AI1476" s="147"/>
      <c r="AJ1476" s="147"/>
      <c r="AK1476" s="147"/>
      <c r="AL1476" s="147"/>
      <c r="AM1476" s="151"/>
      <c r="AN1476" s="147"/>
      <c r="AO1476" s="147"/>
      <c r="AP1476" s="147"/>
      <c r="AQ1476" s="147"/>
      <c r="AR1476" s="147"/>
      <c r="AS1476" s="147"/>
      <c r="AT1476" s="147"/>
      <c r="AU1476" s="147"/>
      <c r="AV1476" s="147"/>
      <c r="AW1476" s="147"/>
      <c r="AX1476" s="147"/>
      <c r="AY1476" s="147"/>
      <c r="AZ1476" s="147"/>
      <c r="BA1476" s="147"/>
      <c r="BB1476" s="147"/>
      <c r="BC1476" s="147"/>
      <c r="BD1476" s="147"/>
      <c r="BE1476" s="147"/>
      <c r="BF1476" s="147"/>
      <c r="BG1476" s="147"/>
      <c r="BH1476" s="147"/>
      <c r="BI1476" s="147"/>
      <c r="BJ1476" s="147"/>
      <c r="BK1476" s="147"/>
      <c r="BL1476" s="147"/>
      <c r="BM1476" s="147"/>
      <c r="BN1476" s="147"/>
      <c r="BO1476" s="147"/>
      <c r="BP1476" s="147"/>
      <c r="BQ1476" s="147"/>
      <c r="BR1476" s="147"/>
      <c r="BS1476" s="147"/>
      <c r="BT1476" s="147"/>
      <c r="BU1476" s="147"/>
      <c r="BV1476" s="147"/>
      <c r="BW1476" s="147"/>
      <c r="BX1476" s="147"/>
      <c r="BY1476" s="147"/>
      <c r="BZ1476" s="147"/>
      <c r="CA1476" s="147"/>
      <c r="CB1476" s="147"/>
      <c r="CC1476" s="147"/>
      <c r="CD1476" s="147"/>
      <c r="CE1476" s="147"/>
      <c r="CF1476" s="147"/>
      <c r="CG1476" s="147"/>
      <c r="CH1476" s="147"/>
      <c r="CI1476" s="147"/>
      <c r="CJ1476" s="147"/>
      <c r="CK1476" s="147"/>
    </row>
    <row r="1477" spans="1:89">
      <c r="A1477" s="157"/>
      <c r="F1477" s="3"/>
      <c r="G1477" s="3"/>
      <c r="L1477" s="157"/>
      <c r="M1477" s="157"/>
      <c r="O1477" s="147"/>
      <c r="P1477" s="147"/>
      <c r="Q1477" s="147"/>
      <c r="R1477" s="147"/>
      <c r="S1477" s="147"/>
      <c r="T1477" s="147"/>
      <c r="U1477" s="147"/>
      <c r="V1477" s="147"/>
      <c r="W1477" s="147"/>
      <c r="X1477" s="147"/>
      <c r="Y1477" s="147"/>
      <c r="Z1477" s="147"/>
      <c r="AA1477" s="147"/>
      <c r="AB1477" s="147"/>
      <c r="AC1477" s="147"/>
      <c r="AD1477" s="147"/>
      <c r="AE1477" s="147"/>
      <c r="AF1477" s="147"/>
      <c r="AG1477" s="147"/>
      <c r="AH1477" s="147"/>
      <c r="AI1477" s="147"/>
      <c r="AJ1477" s="147"/>
      <c r="AK1477" s="147"/>
      <c r="AL1477" s="147"/>
      <c r="AM1477" s="151"/>
      <c r="AN1477" s="147"/>
      <c r="AO1477" s="147"/>
      <c r="AP1477" s="147"/>
      <c r="AQ1477" s="147"/>
      <c r="AR1477" s="147"/>
      <c r="AS1477" s="147"/>
      <c r="AT1477" s="147"/>
      <c r="AU1477" s="147"/>
      <c r="AV1477" s="147"/>
      <c r="AW1477" s="147"/>
      <c r="AX1477" s="147"/>
      <c r="AY1477" s="147"/>
      <c r="AZ1477" s="147"/>
      <c r="BA1477" s="147"/>
      <c r="BB1477" s="147"/>
      <c r="BC1477" s="147"/>
      <c r="BD1477" s="147"/>
      <c r="BE1477" s="147"/>
      <c r="BF1477" s="147"/>
      <c r="BG1477" s="147"/>
      <c r="BH1477" s="147"/>
      <c r="BI1477" s="147"/>
      <c r="BJ1477" s="147"/>
      <c r="BK1477" s="147"/>
      <c r="BL1477" s="147"/>
      <c r="BM1477" s="147"/>
      <c r="BN1477" s="147"/>
      <c r="BO1477" s="147"/>
      <c r="BP1477" s="147"/>
      <c r="BQ1477" s="147"/>
      <c r="BR1477" s="147"/>
      <c r="BS1477" s="147"/>
      <c r="BT1477" s="147"/>
      <c r="BU1477" s="147"/>
      <c r="BV1477" s="147"/>
      <c r="BW1477" s="147"/>
      <c r="BX1477" s="147"/>
      <c r="BY1477" s="147"/>
      <c r="BZ1477" s="147"/>
      <c r="CA1477" s="147"/>
      <c r="CB1477" s="147"/>
      <c r="CC1477" s="147"/>
      <c r="CD1477" s="147"/>
      <c r="CE1477" s="147"/>
      <c r="CF1477" s="147"/>
      <c r="CG1477" s="147"/>
      <c r="CH1477" s="147"/>
      <c r="CI1477" s="147"/>
      <c r="CJ1477" s="147"/>
      <c r="CK1477" s="147"/>
    </row>
    <row r="1478" spans="1:89">
      <c r="A1478" s="157"/>
      <c r="F1478" s="3"/>
      <c r="G1478" s="3"/>
      <c r="L1478" s="157"/>
      <c r="M1478" s="157"/>
      <c r="O1478" s="147"/>
      <c r="P1478" s="147"/>
      <c r="Q1478" s="147"/>
      <c r="R1478" s="147"/>
      <c r="S1478" s="147"/>
      <c r="T1478" s="147"/>
      <c r="U1478" s="147"/>
      <c r="V1478" s="147"/>
      <c r="W1478" s="147"/>
      <c r="X1478" s="147"/>
      <c r="Y1478" s="147"/>
      <c r="Z1478" s="147"/>
      <c r="AA1478" s="147"/>
      <c r="AB1478" s="147"/>
      <c r="AC1478" s="147"/>
      <c r="AD1478" s="147"/>
      <c r="AE1478" s="147"/>
      <c r="AF1478" s="147"/>
      <c r="AG1478" s="147"/>
      <c r="AH1478" s="147"/>
      <c r="AI1478" s="147"/>
      <c r="AJ1478" s="147"/>
      <c r="AK1478" s="147"/>
      <c r="AL1478" s="147"/>
      <c r="AM1478" s="151"/>
      <c r="AN1478" s="147"/>
      <c r="AO1478" s="147"/>
      <c r="AP1478" s="147"/>
      <c r="AQ1478" s="147"/>
      <c r="AR1478" s="147"/>
      <c r="AS1478" s="147"/>
      <c r="AT1478" s="147"/>
      <c r="AU1478" s="147"/>
      <c r="AV1478" s="147"/>
      <c r="AW1478" s="147"/>
      <c r="AX1478" s="147"/>
      <c r="AY1478" s="147"/>
      <c r="AZ1478" s="147"/>
      <c r="BA1478" s="147"/>
      <c r="BB1478" s="147"/>
      <c r="BC1478" s="147"/>
      <c r="BD1478" s="147"/>
      <c r="BE1478" s="147"/>
      <c r="BF1478" s="147"/>
      <c r="BG1478" s="147"/>
      <c r="BH1478" s="147"/>
      <c r="BI1478" s="147"/>
      <c r="BJ1478" s="147"/>
      <c r="BK1478" s="147"/>
      <c r="BL1478" s="147"/>
      <c r="BM1478" s="147"/>
      <c r="BN1478" s="147"/>
      <c r="BO1478" s="147"/>
      <c r="BP1478" s="147"/>
      <c r="BQ1478" s="147"/>
      <c r="BR1478" s="147"/>
      <c r="BS1478" s="147"/>
      <c r="BT1478" s="147"/>
      <c r="BU1478" s="147"/>
      <c r="BV1478" s="147"/>
      <c r="BW1478" s="147"/>
      <c r="BX1478" s="147"/>
      <c r="BY1478" s="147"/>
      <c r="BZ1478" s="147"/>
      <c r="CA1478" s="147"/>
      <c r="CB1478" s="147"/>
      <c r="CC1478" s="147"/>
      <c r="CD1478" s="147"/>
      <c r="CE1478" s="147"/>
      <c r="CF1478" s="147"/>
      <c r="CG1478" s="147"/>
      <c r="CH1478" s="147"/>
      <c r="CI1478" s="147"/>
      <c r="CJ1478" s="147"/>
      <c r="CK1478" s="147"/>
    </row>
    <row r="1479" spans="1:89">
      <c r="A1479" s="157"/>
      <c r="F1479" s="3"/>
      <c r="G1479" s="3"/>
      <c r="L1479" s="157"/>
      <c r="M1479" s="157"/>
      <c r="O1479" s="147"/>
      <c r="P1479" s="147"/>
      <c r="Q1479" s="147"/>
      <c r="R1479" s="147"/>
      <c r="S1479" s="147"/>
      <c r="T1479" s="147"/>
      <c r="U1479" s="147"/>
      <c r="V1479" s="147"/>
      <c r="W1479" s="147"/>
      <c r="X1479" s="147"/>
      <c r="Y1479" s="147"/>
      <c r="Z1479" s="147"/>
      <c r="AA1479" s="147"/>
      <c r="AB1479" s="147"/>
      <c r="AC1479" s="147"/>
      <c r="AD1479" s="147"/>
      <c r="AE1479" s="147"/>
      <c r="AF1479" s="147"/>
      <c r="AG1479" s="147"/>
      <c r="AH1479" s="147"/>
      <c r="AI1479" s="147"/>
      <c r="AJ1479" s="147"/>
      <c r="AK1479" s="147"/>
      <c r="AL1479" s="147"/>
      <c r="AM1479" s="151"/>
      <c r="AN1479" s="147"/>
      <c r="AO1479" s="147"/>
      <c r="AP1479" s="147"/>
      <c r="AQ1479" s="147"/>
      <c r="AR1479" s="147"/>
      <c r="AS1479" s="147"/>
      <c r="AT1479" s="147"/>
      <c r="AU1479" s="147"/>
      <c r="AV1479" s="147"/>
      <c r="AW1479" s="147"/>
      <c r="AX1479" s="147"/>
      <c r="AY1479" s="147"/>
      <c r="AZ1479" s="147"/>
      <c r="BA1479" s="147"/>
      <c r="BB1479" s="147"/>
      <c r="BC1479" s="147"/>
      <c r="BD1479" s="147"/>
      <c r="BE1479" s="147"/>
      <c r="BF1479" s="147"/>
      <c r="BG1479" s="147"/>
      <c r="BH1479" s="147"/>
      <c r="BI1479" s="147"/>
      <c r="BJ1479" s="147"/>
      <c r="BK1479" s="147"/>
      <c r="BL1479" s="147"/>
      <c r="BM1479" s="147"/>
      <c r="BN1479" s="147"/>
      <c r="BO1479" s="147"/>
      <c r="BP1479" s="147"/>
      <c r="BQ1479" s="147"/>
      <c r="BR1479" s="147"/>
      <c r="BS1479" s="147"/>
      <c r="BT1479" s="147"/>
      <c r="BU1479" s="147"/>
      <c r="BV1479" s="147"/>
      <c r="BW1479" s="147"/>
      <c r="BX1479" s="147"/>
      <c r="BY1479" s="147"/>
      <c r="BZ1479" s="147"/>
      <c r="CA1479" s="147"/>
      <c r="CB1479" s="147"/>
      <c r="CC1479" s="147"/>
      <c r="CD1479" s="147"/>
      <c r="CE1479" s="147"/>
      <c r="CF1479" s="147"/>
      <c r="CG1479" s="147"/>
      <c r="CH1479" s="147"/>
      <c r="CI1479" s="147"/>
      <c r="CJ1479" s="147"/>
      <c r="CK1479" s="147"/>
    </row>
    <row r="1480" spans="1:89">
      <c r="A1480" s="157"/>
      <c r="F1480" s="3"/>
      <c r="G1480" s="3"/>
      <c r="L1480" s="157"/>
      <c r="M1480" s="157"/>
      <c r="O1480" s="147"/>
      <c r="P1480" s="147"/>
      <c r="Q1480" s="147"/>
      <c r="R1480" s="147"/>
      <c r="S1480" s="147"/>
      <c r="T1480" s="147"/>
      <c r="U1480" s="147"/>
      <c r="V1480" s="147"/>
      <c r="W1480" s="147"/>
      <c r="X1480" s="147"/>
      <c r="Y1480" s="147"/>
      <c r="Z1480" s="147"/>
      <c r="AA1480" s="147"/>
      <c r="AB1480" s="147"/>
      <c r="AC1480" s="147"/>
      <c r="AD1480" s="147"/>
      <c r="AE1480" s="147"/>
      <c r="AF1480" s="147"/>
      <c r="AG1480" s="147"/>
      <c r="AH1480" s="147"/>
      <c r="AI1480" s="147"/>
      <c r="AJ1480" s="147"/>
      <c r="AK1480" s="147"/>
      <c r="AL1480" s="147"/>
      <c r="AM1480" s="151"/>
      <c r="AN1480" s="147"/>
      <c r="AO1480" s="147"/>
      <c r="AP1480" s="147"/>
      <c r="AQ1480" s="147"/>
      <c r="AR1480" s="147"/>
      <c r="AS1480" s="147"/>
      <c r="AT1480" s="147"/>
      <c r="AU1480" s="147"/>
      <c r="AV1480" s="147"/>
      <c r="AW1480" s="147"/>
      <c r="AX1480" s="147"/>
      <c r="AY1480" s="147"/>
      <c r="AZ1480" s="147"/>
      <c r="BA1480" s="147"/>
      <c r="BB1480" s="147"/>
      <c r="BC1480" s="147"/>
      <c r="BD1480" s="147"/>
      <c r="BE1480" s="147"/>
      <c r="BF1480" s="147"/>
      <c r="BG1480" s="147"/>
      <c r="BH1480" s="147"/>
      <c r="BI1480" s="147"/>
      <c r="BJ1480" s="147"/>
      <c r="BK1480" s="147"/>
      <c r="BL1480" s="147"/>
      <c r="BM1480" s="147"/>
      <c r="BN1480" s="147"/>
      <c r="BO1480" s="147"/>
      <c r="BP1480" s="147"/>
      <c r="BQ1480" s="147"/>
      <c r="BR1480" s="147"/>
      <c r="BS1480" s="147"/>
      <c r="BT1480" s="147"/>
      <c r="BU1480" s="147"/>
      <c r="BV1480" s="147"/>
      <c r="BW1480" s="147"/>
      <c r="BX1480" s="147"/>
      <c r="BY1480" s="147"/>
      <c r="BZ1480" s="147"/>
      <c r="CA1480" s="147"/>
      <c r="CB1480" s="147"/>
      <c r="CC1480" s="147"/>
      <c r="CD1480" s="147"/>
      <c r="CE1480" s="147"/>
      <c r="CF1480" s="147"/>
      <c r="CG1480" s="147"/>
      <c r="CH1480" s="147"/>
      <c r="CI1480" s="147"/>
      <c r="CJ1480" s="147"/>
      <c r="CK1480" s="147"/>
    </row>
    <row r="1481" spans="1:89">
      <c r="A1481" s="157"/>
      <c r="F1481" s="3"/>
      <c r="G1481" s="3"/>
      <c r="L1481" s="157"/>
      <c r="M1481" s="157"/>
      <c r="O1481" s="147"/>
      <c r="P1481" s="147"/>
      <c r="Q1481" s="147"/>
      <c r="R1481" s="147"/>
      <c r="S1481" s="147"/>
      <c r="T1481" s="147"/>
      <c r="U1481" s="147"/>
      <c r="V1481" s="147"/>
      <c r="W1481" s="147"/>
      <c r="X1481" s="147"/>
      <c r="Y1481" s="147"/>
      <c r="Z1481" s="147"/>
      <c r="AA1481" s="147"/>
      <c r="AB1481" s="147"/>
      <c r="AC1481" s="147"/>
      <c r="AD1481" s="147"/>
      <c r="AE1481" s="147"/>
      <c r="AF1481" s="147"/>
      <c r="AG1481" s="147"/>
      <c r="AH1481" s="147"/>
      <c r="AI1481" s="147"/>
      <c r="AJ1481" s="147"/>
      <c r="AK1481" s="147"/>
      <c r="AL1481" s="147"/>
      <c r="AM1481" s="151"/>
      <c r="AN1481" s="147"/>
      <c r="AO1481" s="147"/>
      <c r="AP1481" s="147"/>
      <c r="AQ1481" s="147"/>
      <c r="AR1481" s="147"/>
      <c r="AS1481" s="147"/>
      <c r="AT1481" s="147"/>
      <c r="AU1481" s="147"/>
      <c r="AV1481" s="147"/>
      <c r="AW1481" s="147"/>
      <c r="AX1481" s="147"/>
      <c r="AY1481" s="147"/>
      <c r="AZ1481" s="147"/>
      <c r="BA1481" s="147"/>
      <c r="BB1481" s="147"/>
      <c r="BC1481" s="147"/>
      <c r="BD1481" s="147"/>
      <c r="BE1481" s="147"/>
      <c r="BF1481" s="147"/>
      <c r="BG1481" s="147"/>
      <c r="BH1481" s="147"/>
      <c r="BI1481" s="147"/>
      <c r="BJ1481" s="147"/>
      <c r="BK1481" s="147"/>
      <c r="BL1481" s="147"/>
      <c r="BM1481" s="147"/>
      <c r="BN1481" s="147"/>
      <c r="BO1481" s="147"/>
      <c r="BP1481" s="147"/>
      <c r="BQ1481" s="147"/>
      <c r="BR1481" s="147"/>
      <c r="BS1481" s="147"/>
      <c r="BT1481" s="147"/>
      <c r="BU1481" s="147"/>
      <c r="BV1481" s="147"/>
      <c r="BW1481" s="147"/>
      <c r="BX1481" s="147"/>
      <c r="BY1481" s="147"/>
      <c r="BZ1481" s="147"/>
      <c r="CA1481" s="147"/>
      <c r="CB1481" s="147"/>
      <c r="CC1481" s="147"/>
      <c r="CD1481" s="147"/>
      <c r="CE1481" s="147"/>
      <c r="CF1481" s="147"/>
      <c r="CG1481" s="147"/>
      <c r="CH1481" s="147"/>
      <c r="CI1481" s="147"/>
      <c r="CJ1481" s="147"/>
      <c r="CK1481" s="147"/>
    </row>
    <row r="1482" spans="1:89">
      <c r="A1482" s="157"/>
      <c r="F1482" s="3"/>
      <c r="G1482" s="3"/>
      <c r="L1482" s="157"/>
      <c r="M1482" s="157"/>
      <c r="O1482" s="147"/>
      <c r="P1482" s="147"/>
      <c r="Q1482" s="147"/>
      <c r="R1482" s="147"/>
      <c r="S1482" s="147"/>
      <c r="T1482" s="147"/>
      <c r="U1482" s="147"/>
      <c r="V1482" s="147"/>
      <c r="W1482" s="147"/>
      <c r="X1482" s="147"/>
      <c r="Y1482" s="147"/>
      <c r="Z1482" s="147"/>
      <c r="AA1482" s="147"/>
      <c r="AB1482" s="147"/>
      <c r="AC1482" s="147"/>
      <c r="AD1482" s="147"/>
      <c r="AE1482" s="147"/>
      <c r="AF1482" s="147"/>
      <c r="AG1482" s="147"/>
      <c r="AH1482" s="147"/>
      <c r="AI1482" s="147"/>
      <c r="AJ1482" s="147"/>
      <c r="AK1482" s="147"/>
      <c r="AL1482" s="147"/>
      <c r="AM1482" s="151"/>
      <c r="AN1482" s="147"/>
      <c r="AO1482" s="147"/>
      <c r="AP1482" s="147"/>
      <c r="AQ1482" s="147"/>
      <c r="AR1482" s="147"/>
      <c r="AS1482" s="147"/>
      <c r="AT1482" s="147"/>
      <c r="AU1482" s="147"/>
      <c r="AV1482" s="147"/>
      <c r="AW1482" s="147"/>
      <c r="AX1482" s="147"/>
      <c r="AY1482" s="147"/>
      <c r="AZ1482" s="147"/>
      <c r="BA1482" s="147"/>
      <c r="BB1482" s="147"/>
      <c r="BC1482" s="147"/>
      <c r="BD1482" s="147"/>
      <c r="BE1482" s="147"/>
      <c r="BF1482" s="147"/>
      <c r="BG1482" s="147"/>
      <c r="BH1482" s="147"/>
      <c r="BI1482" s="147"/>
      <c r="BJ1482" s="147"/>
      <c r="BK1482" s="147"/>
      <c r="BL1482" s="147"/>
      <c r="BM1482" s="147"/>
      <c r="BN1482" s="147"/>
      <c r="BO1482" s="147"/>
      <c r="BP1482" s="147"/>
      <c r="BQ1482" s="147"/>
      <c r="BR1482" s="147"/>
      <c r="BS1482" s="147"/>
      <c r="BT1482" s="147"/>
      <c r="BU1482" s="147"/>
      <c r="BV1482" s="147"/>
      <c r="BW1482" s="147"/>
      <c r="BX1482" s="147"/>
      <c r="BY1482" s="147"/>
      <c r="BZ1482" s="147"/>
      <c r="CA1482" s="147"/>
      <c r="CB1482" s="147"/>
      <c r="CC1482" s="147"/>
      <c r="CD1482" s="147"/>
      <c r="CE1482" s="147"/>
      <c r="CF1482" s="147"/>
      <c r="CG1482" s="147"/>
      <c r="CH1482" s="147"/>
      <c r="CI1482" s="147"/>
      <c r="CJ1482" s="147"/>
      <c r="CK1482" s="147"/>
    </row>
    <row r="1483" spans="1:89">
      <c r="A1483" s="157"/>
      <c r="F1483" s="3"/>
      <c r="G1483" s="3"/>
      <c r="L1483" s="157"/>
      <c r="M1483" s="157"/>
      <c r="O1483" s="147"/>
      <c r="P1483" s="147"/>
      <c r="Q1483" s="147"/>
      <c r="R1483" s="147"/>
      <c r="S1483" s="147"/>
      <c r="T1483" s="147"/>
      <c r="U1483" s="147"/>
      <c r="V1483" s="147"/>
      <c r="W1483" s="147"/>
      <c r="X1483" s="147"/>
      <c r="Y1483" s="147"/>
      <c r="Z1483" s="147"/>
      <c r="AA1483" s="147"/>
      <c r="AB1483" s="147"/>
      <c r="AC1483" s="147"/>
      <c r="AD1483" s="147"/>
      <c r="AE1483" s="147"/>
      <c r="AF1483" s="147"/>
      <c r="AG1483" s="147"/>
      <c r="AH1483" s="147"/>
      <c r="AI1483" s="147"/>
      <c r="AJ1483" s="147"/>
      <c r="AK1483" s="147"/>
      <c r="AL1483" s="147"/>
      <c r="AM1483" s="151"/>
      <c r="AN1483" s="147"/>
      <c r="AO1483" s="147"/>
      <c r="AP1483" s="147"/>
      <c r="AQ1483" s="147"/>
      <c r="AR1483" s="147"/>
      <c r="AS1483" s="147"/>
      <c r="AT1483" s="147"/>
      <c r="AU1483" s="147"/>
      <c r="AV1483" s="147"/>
      <c r="AW1483" s="147"/>
      <c r="AX1483" s="147"/>
      <c r="AY1483" s="147"/>
      <c r="AZ1483" s="147"/>
      <c r="BA1483" s="147"/>
      <c r="BB1483" s="147"/>
      <c r="BC1483" s="147"/>
      <c r="BD1483" s="147"/>
      <c r="BE1483" s="147"/>
      <c r="BF1483" s="147"/>
      <c r="BG1483" s="147"/>
      <c r="BH1483" s="147"/>
      <c r="BI1483" s="147"/>
      <c r="BJ1483" s="147"/>
      <c r="BK1483" s="147"/>
      <c r="BL1483" s="147"/>
      <c r="BM1483" s="147"/>
      <c r="BN1483" s="147"/>
      <c r="BO1483" s="147"/>
      <c r="BP1483" s="147"/>
      <c r="BQ1483" s="147"/>
      <c r="BR1483" s="147"/>
      <c r="BS1483" s="147"/>
      <c r="BT1483" s="147"/>
      <c r="BU1483" s="147"/>
      <c r="BV1483" s="147"/>
      <c r="BW1483" s="147"/>
      <c r="BX1483" s="147"/>
      <c r="BY1483" s="147"/>
      <c r="BZ1483" s="147"/>
      <c r="CA1483" s="147"/>
      <c r="CB1483" s="147"/>
      <c r="CC1483" s="147"/>
      <c r="CD1483" s="147"/>
      <c r="CE1483" s="147"/>
      <c r="CF1483" s="147"/>
      <c r="CG1483" s="147"/>
      <c r="CH1483" s="147"/>
      <c r="CI1483" s="147"/>
      <c r="CJ1483" s="147"/>
      <c r="CK1483" s="147"/>
    </row>
    <row r="1484" spans="1:89">
      <c r="A1484" s="157"/>
      <c r="F1484" s="3"/>
      <c r="G1484" s="3"/>
      <c r="L1484" s="157"/>
      <c r="M1484" s="157"/>
      <c r="O1484" s="147"/>
      <c r="P1484" s="147"/>
      <c r="Q1484" s="147"/>
      <c r="R1484" s="147"/>
      <c r="S1484" s="147"/>
      <c r="T1484" s="147"/>
      <c r="U1484" s="147"/>
      <c r="V1484" s="147"/>
      <c r="W1484" s="147"/>
      <c r="X1484" s="147"/>
      <c r="Y1484" s="147"/>
      <c r="Z1484" s="147"/>
      <c r="AA1484" s="147"/>
      <c r="AB1484" s="147"/>
      <c r="AC1484" s="147"/>
      <c r="AD1484" s="147"/>
      <c r="AE1484" s="147"/>
      <c r="AF1484" s="147"/>
      <c r="AG1484" s="147"/>
      <c r="AH1484" s="147"/>
      <c r="AI1484" s="147"/>
      <c r="AJ1484" s="147"/>
      <c r="AK1484" s="147"/>
      <c r="AL1484" s="147"/>
      <c r="AM1484" s="151"/>
      <c r="AN1484" s="147"/>
      <c r="AO1484" s="147"/>
      <c r="AP1484" s="147"/>
      <c r="AQ1484" s="147"/>
      <c r="AR1484" s="147"/>
      <c r="AS1484" s="147"/>
      <c r="AT1484" s="147"/>
      <c r="AU1484" s="147"/>
      <c r="AV1484" s="147"/>
      <c r="AW1484" s="147"/>
      <c r="AX1484" s="147"/>
      <c r="AY1484" s="147"/>
      <c r="AZ1484" s="147"/>
      <c r="BA1484" s="147"/>
      <c r="BB1484" s="147"/>
      <c r="BC1484" s="147"/>
      <c r="BD1484" s="147"/>
      <c r="BE1484" s="147"/>
      <c r="BF1484" s="147"/>
      <c r="BG1484" s="147"/>
      <c r="BH1484" s="147"/>
      <c r="BI1484" s="147"/>
      <c r="BJ1484" s="147"/>
      <c r="BK1484" s="147"/>
      <c r="BL1484" s="147"/>
      <c r="BM1484" s="147"/>
      <c r="BN1484" s="147"/>
      <c r="BO1484" s="147"/>
      <c r="BP1484" s="147"/>
      <c r="BQ1484" s="147"/>
      <c r="BR1484" s="147"/>
      <c r="BS1484" s="147"/>
      <c r="BT1484" s="147"/>
      <c r="BU1484" s="147"/>
      <c r="BV1484" s="147"/>
      <c r="BW1484" s="147"/>
      <c r="BX1484" s="147"/>
      <c r="BY1484" s="147"/>
      <c r="BZ1484" s="147"/>
      <c r="CA1484" s="147"/>
      <c r="CB1484" s="147"/>
      <c r="CC1484" s="147"/>
      <c r="CD1484" s="147"/>
      <c r="CE1484" s="147"/>
      <c r="CF1484" s="147"/>
      <c r="CG1484" s="147"/>
      <c r="CH1484" s="147"/>
      <c r="CI1484" s="147"/>
      <c r="CJ1484" s="147"/>
      <c r="CK1484" s="147"/>
    </row>
    <row r="1485" spans="1:89">
      <c r="A1485" s="157"/>
      <c r="F1485" s="3"/>
      <c r="G1485" s="3"/>
      <c r="L1485" s="157"/>
      <c r="M1485" s="157"/>
      <c r="O1485" s="147"/>
      <c r="P1485" s="147"/>
      <c r="Q1485" s="147"/>
      <c r="R1485" s="147"/>
      <c r="S1485" s="147"/>
      <c r="T1485" s="147"/>
      <c r="U1485" s="147"/>
      <c r="V1485" s="147"/>
      <c r="W1485" s="147"/>
      <c r="X1485" s="147"/>
      <c r="Y1485" s="147"/>
      <c r="Z1485" s="147"/>
      <c r="AA1485" s="147"/>
      <c r="AB1485" s="147"/>
      <c r="AC1485" s="147"/>
      <c r="AD1485" s="147"/>
      <c r="AE1485" s="147"/>
      <c r="AF1485" s="147"/>
      <c r="AG1485" s="147"/>
      <c r="AH1485" s="147"/>
      <c r="AI1485" s="147"/>
      <c r="AJ1485" s="147"/>
      <c r="AK1485" s="147"/>
      <c r="AL1485" s="147"/>
      <c r="AM1485" s="151"/>
      <c r="AN1485" s="147"/>
      <c r="AO1485" s="147"/>
      <c r="AP1485" s="147"/>
      <c r="AQ1485" s="147"/>
      <c r="AR1485" s="147"/>
      <c r="AS1485" s="147"/>
      <c r="AT1485" s="147"/>
      <c r="AU1485" s="147"/>
      <c r="AV1485" s="147"/>
      <c r="AW1485" s="147"/>
      <c r="AX1485" s="147"/>
      <c r="AY1485" s="147"/>
      <c r="AZ1485" s="147"/>
      <c r="BA1485" s="147"/>
      <c r="BB1485" s="147"/>
      <c r="BC1485" s="147"/>
      <c r="BD1485" s="147"/>
      <c r="BE1485" s="147"/>
      <c r="BF1485" s="147"/>
      <c r="BG1485" s="147"/>
      <c r="BH1485" s="147"/>
      <c r="BI1485" s="147"/>
      <c r="BJ1485" s="147"/>
      <c r="BK1485" s="147"/>
      <c r="BL1485" s="147"/>
      <c r="BM1485" s="147"/>
      <c r="BN1485" s="147"/>
      <c r="BO1485" s="147"/>
      <c r="BP1485" s="147"/>
      <c r="BQ1485" s="147"/>
      <c r="BR1485" s="147"/>
      <c r="BS1485" s="147"/>
      <c r="BT1485" s="147"/>
      <c r="BU1485" s="147"/>
      <c r="BV1485" s="147"/>
      <c r="BW1485" s="147"/>
      <c r="BX1485" s="147"/>
      <c r="BY1485" s="147"/>
      <c r="BZ1485" s="147"/>
      <c r="CA1485" s="147"/>
      <c r="CB1485" s="147"/>
      <c r="CC1485" s="147"/>
      <c r="CD1485" s="147"/>
      <c r="CE1485" s="147"/>
      <c r="CF1485" s="147"/>
      <c r="CG1485" s="147"/>
      <c r="CH1485" s="147"/>
      <c r="CI1485" s="147"/>
      <c r="CJ1485" s="147"/>
      <c r="CK1485" s="147"/>
    </row>
    <row r="1486" spans="1:89">
      <c r="A1486" s="157"/>
      <c r="F1486" s="3"/>
      <c r="G1486" s="3"/>
      <c r="L1486" s="157"/>
      <c r="M1486" s="157"/>
      <c r="O1486" s="147"/>
      <c r="P1486" s="147"/>
      <c r="Q1486" s="147"/>
      <c r="R1486" s="147"/>
      <c r="S1486" s="147"/>
      <c r="T1486" s="147"/>
      <c r="U1486" s="147"/>
      <c r="V1486" s="147"/>
      <c r="W1486" s="147"/>
      <c r="X1486" s="147"/>
      <c r="Y1486" s="147"/>
      <c r="Z1486" s="147"/>
      <c r="AA1486" s="147"/>
      <c r="AB1486" s="147"/>
      <c r="AC1486" s="147"/>
      <c r="AD1486" s="147"/>
      <c r="AE1486" s="147"/>
      <c r="AF1486" s="147"/>
      <c r="AG1486" s="147"/>
      <c r="AH1486" s="147"/>
      <c r="AI1486" s="147"/>
      <c r="AJ1486" s="147"/>
      <c r="AK1486" s="147"/>
      <c r="AL1486" s="147"/>
      <c r="AM1486" s="151"/>
      <c r="AN1486" s="147"/>
      <c r="AO1486" s="147"/>
      <c r="AP1486" s="147"/>
      <c r="AQ1486" s="147"/>
      <c r="AR1486" s="147"/>
      <c r="AS1486" s="147"/>
      <c r="AT1486" s="147"/>
      <c r="AU1486" s="147"/>
      <c r="AV1486" s="147"/>
      <c r="AW1486" s="147"/>
      <c r="AX1486" s="147"/>
      <c r="AY1486" s="147"/>
      <c r="AZ1486" s="147"/>
      <c r="BA1486" s="147"/>
      <c r="BB1486" s="147"/>
      <c r="BC1486" s="147"/>
      <c r="BD1486" s="147"/>
      <c r="BE1486" s="147"/>
      <c r="BF1486" s="147"/>
      <c r="BG1486" s="147"/>
      <c r="BH1486" s="147"/>
      <c r="BI1486" s="147"/>
      <c r="BJ1486" s="147"/>
      <c r="BK1486" s="147"/>
      <c r="BL1486" s="147"/>
      <c r="BM1486" s="147"/>
      <c r="BN1486" s="147"/>
      <c r="BO1486" s="147"/>
      <c r="BP1486" s="147"/>
      <c r="BQ1486" s="147"/>
      <c r="BR1486" s="147"/>
      <c r="BS1486" s="147"/>
      <c r="BT1486" s="147"/>
      <c r="BU1486" s="147"/>
      <c r="BV1486" s="147"/>
      <c r="BW1486" s="147"/>
      <c r="BX1486" s="147"/>
      <c r="BY1486" s="147"/>
      <c r="BZ1486" s="147"/>
      <c r="CA1486" s="147"/>
      <c r="CB1486" s="147"/>
      <c r="CC1486" s="147"/>
      <c r="CD1486" s="147"/>
      <c r="CE1486" s="147"/>
      <c r="CF1486" s="147"/>
      <c r="CG1486" s="147"/>
      <c r="CH1486" s="147"/>
      <c r="CI1486" s="147"/>
      <c r="CJ1486" s="147"/>
      <c r="CK1486" s="147"/>
    </row>
    <row r="1487" spans="1:89">
      <c r="A1487" s="157"/>
      <c r="F1487" s="3"/>
      <c r="G1487" s="3"/>
      <c r="L1487" s="157"/>
      <c r="M1487" s="157"/>
      <c r="O1487" s="147"/>
      <c r="P1487" s="147"/>
      <c r="Q1487" s="147"/>
      <c r="R1487" s="147"/>
      <c r="S1487" s="147"/>
      <c r="T1487" s="147"/>
      <c r="U1487" s="147"/>
      <c r="V1487" s="147"/>
      <c r="W1487" s="147"/>
      <c r="X1487" s="147"/>
      <c r="Y1487" s="147"/>
      <c r="Z1487" s="147"/>
      <c r="AA1487" s="147"/>
      <c r="AB1487" s="147"/>
      <c r="AC1487" s="147"/>
      <c r="AD1487" s="147"/>
      <c r="AE1487" s="147"/>
      <c r="AF1487" s="147"/>
      <c r="AG1487" s="147"/>
      <c r="AH1487" s="147"/>
      <c r="AI1487" s="147"/>
      <c r="AJ1487" s="147"/>
      <c r="AK1487" s="147"/>
      <c r="AL1487" s="147"/>
      <c r="AM1487" s="151"/>
      <c r="AN1487" s="147"/>
      <c r="AO1487" s="147"/>
      <c r="AP1487" s="147"/>
      <c r="AQ1487" s="147"/>
      <c r="AR1487" s="147"/>
      <c r="AS1487" s="147"/>
      <c r="AT1487" s="147"/>
      <c r="AU1487" s="147"/>
      <c r="AV1487" s="147"/>
      <c r="AW1487" s="147"/>
      <c r="AX1487" s="147"/>
      <c r="AY1487" s="147"/>
      <c r="AZ1487" s="147"/>
      <c r="BA1487" s="147"/>
      <c r="BB1487" s="147"/>
      <c r="BC1487" s="147"/>
      <c r="BD1487" s="147"/>
      <c r="BE1487" s="147"/>
      <c r="BF1487" s="147"/>
      <c r="BG1487" s="147"/>
      <c r="BH1487" s="147"/>
      <c r="BI1487" s="147"/>
      <c r="BJ1487" s="147"/>
      <c r="BK1487" s="147"/>
      <c r="BL1487" s="147"/>
      <c r="BM1487" s="147"/>
      <c r="BN1487" s="147"/>
      <c r="BO1487" s="147"/>
      <c r="BP1487" s="147"/>
      <c r="BQ1487" s="147"/>
      <c r="BR1487" s="147"/>
      <c r="BS1487" s="147"/>
      <c r="BT1487" s="147"/>
      <c r="BU1487" s="147"/>
      <c r="BV1487" s="147"/>
      <c r="BW1487" s="147"/>
      <c r="BX1487" s="147"/>
      <c r="BY1487" s="147"/>
      <c r="BZ1487" s="147"/>
      <c r="CA1487" s="147"/>
      <c r="CB1487" s="147"/>
      <c r="CC1487" s="147"/>
      <c r="CD1487" s="147"/>
      <c r="CE1487" s="147"/>
      <c r="CF1487" s="147"/>
      <c r="CG1487" s="147"/>
      <c r="CH1487" s="147"/>
      <c r="CI1487" s="147"/>
      <c r="CJ1487" s="147"/>
      <c r="CK1487" s="147"/>
    </row>
    <row r="1488" spans="1:89">
      <c r="A1488" s="157"/>
      <c r="F1488" s="3"/>
      <c r="G1488" s="3"/>
      <c r="L1488" s="157"/>
      <c r="M1488" s="157"/>
      <c r="O1488" s="147"/>
      <c r="P1488" s="147"/>
      <c r="Q1488" s="147"/>
      <c r="R1488" s="147"/>
      <c r="S1488" s="147"/>
      <c r="T1488" s="147"/>
      <c r="U1488" s="147"/>
      <c r="V1488" s="147"/>
      <c r="W1488" s="147"/>
      <c r="X1488" s="147"/>
      <c r="Y1488" s="147"/>
      <c r="Z1488" s="147"/>
      <c r="AA1488" s="147"/>
      <c r="AB1488" s="147"/>
      <c r="AC1488" s="147"/>
      <c r="AD1488" s="147"/>
      <c r="AE1488" s="147"/>
      <c r="AF1488" s="147"/>
      <c r="AG1488" s="147"/>
      <c r="AH1488" s="147"/>
      <c r="AI1488" s="147"/>
      <c r="AJ1488" s="147"/>
      <c r="AK1488" s="147"/>
      <c r="AL1488" s="147"/>
      <c r="AM1488" s="151"/>
      <c r="AN1488" s="147"/>
      <c r="AO1488" s="147"/>
      <c r="AP1488" s="147"/>
      <c r="AQ1488" s="147"/>
      <c r="AR1488" s="147"/>
      <c r="AS1488" s="147"/>
      <c r="AT1488" s="147"/>
      <c r="AU1488" s="147"/>
      <c r="AV1488" s="147"/>
      <c r="AW1488" s="147"/>
      <c r="AX1488" s="147"/>
      <c r="AY1488" s="147"/>
      <c r="AZ1488" s="147"/>
      <c r="BA1488" s="147"/>
      <c r="BB1488" s="147"/>
      <c r="BC1488" s="147"/>
      <c r="BD1488" s="147"/>
      <c r="BE1488" s="147"/>
      <c r="BF1488" s="147"/>
      <c r="BG1488" s="147"/>
      <c r="BH1488" s="147"/>
      <c r="BI1488" s="147"/>
      <c r="BJ1488" s="147"/>
      <c r="BK1488" s="147"/>
      <c r="BL1488" s="147"/>
      <c r="BM1488" s="147"/>
      <c r="BN1488" s="147"/>
      <c r="BO1488" s="147"/>
      <c r="BP1488" s="147"/>
      <c r="BQ1488" s="147"/>
      <c r="BR1488" s="147"/>
      <c r="BS1488" s="147"/>
      <c r="BT1488" s="147"/>
      <c r="BU1488" s="147"/>
      <c r="BV1488" s="147"/>
      <c r="BW1488" s="147"/>
      <c r="BX1488" s="147"/>
      <c r="BY1488" s="147"/>
      <c r="BZ1488" s="147"/>
      <c r="CA1488" s="147"/>
      <c r="CB1488" s="147"/>
      <c r="CC1488" s="147"/>
      <c r="CD1488" s="147"/>
      <c r="CE1488" s="147"/>
      <c r="CF1488" s="147"/>
      <c r="CG1488" s="147"/>
      <c r="CH1488" s="147"/>
      <c r="CI1488" s="147"/>
      <c r="CJ1488" s="147"/>
      <c r="CK1488" s="147"/>
    </row>
    <row r="1489" spans="1:89">
      <c r="A1489" s="157"/>
      <c r="F1489" s="3"/>
      <c r="G1489" s="3"/>
      <c r="L1489" s="157"/>
      <c r="M1489" s="157"/>
      <c r="O1489" s="147"/>
      <c r="P1489" s="147"/>
      <c r="Q1489" s="147"/>
      <c r="R1489" s="147"/>
      <c r="S1489" s="147"/>
      <c r="T1489" s="147"/>
      <c r="U1489" s="147"/>
      <c r="V1489" s="147"/>
      <c r="W1489" s="147"/>
      <c r="X1489" s="147"/>
      <c r="Y1489" s="147"/>
      <c r="Z1489" s="147"/>
      <c r="AA1489" s="147"/>
      <c r="AB1489" s="147"/>
      <c r="AC1489" s="147"/>
      <c r="AD1489" s="147"/>
      <c r="AE1489" s="147"/>
      <c r="AF1489" s="147"/>
      <c r="AG1489" s="147"/>
      <c r="AH1489" s="147"/>
      <c r="AI1489" s="147"/>
      <c r="AJ1489" s="147"/>
      <c r="AK1489" s="147"/>
      <c r="AL1489" s="147"/>
      <c r="AM1489" s="151"/>
      <c r="AN1489" s="147"/>
      <c r="AO1489" s="147"/>
      <c r="AP1489" s="147"/>
      <c r="AQ1489" s="147"/>
      <c r="AR1489" s="147"/>
      <c r="AS1489" s="147"/>
      <c r="AT1489" s="147"/>
      <c r="AU1489" s="147"/>
      <c r="AV1489" s="147"/>
      <c r="AW1489" s="147"/>
      <c r="AX1489" s="147"/>
      <c r="AY1489" s="147"/>
      <c r="AZ1489" s="147"/>
      <c r="BA1489" s="147"/>
      <c r="BB1489" s="147"/>
      <c r="BC1489" s="147"/>
      <c r="BD1489" s="147"/>
      <c r="BE1489" s="147"/>
      <c r="BF1489" s="147"/>
      <c r="BG1489" s="147"/>
      <c r="BH1489" s="147"/>
      <c r="BI1489" s="147"/>
      <c r="BJ1489" s="147"/>
      <c r="BK1489" s="147"/>
      <c r="BL1489" s="147"/>
      <c r="BM1489" s="147"/>
      <c r="BN1489" s="147"/>
      <c r="BO1489" s="147"/>
      <c r="BP1489" s="147"/>
      <c r="BQ1489" s="147"/>
      <c r="BR1489" s="147"/>
      <c r="BS1489" s="147"/>
      <c r="BT1489" s="147"/>
      <c r="BU1489" s="147"/>
      <c r="BV1489" s="147"/>
      <c r="BW1489" s="147"/>
      <c r="BX1489" s="147"/>
      <c r="BY1489" s="147"/>
      <c r="BZ1489" s="147"/>
      <c r="CA1489" s="147"/>
      <c r="CB1489" s="147"/>
      <c r="CC1489" s="147"/>
      <c r="CD1489" s="147"/>
      <c r="CE1489" s="147"/>
      <c r="CF1489" s="147"/>
      <c r="CG1489" s="147"/>
      <c r="CH1489" s="147"/>
      <c r="CI1489" s="147"/>
      <c r="CJ1489" s="147"/>
      <c r="CK1489" s="147"/>
    </row>
    <row r="1490" spans="1:89">
      <c r="A1490" s="157"/>
      <c r="F1490" s="3"/>
      <c r="G1490" s="3"/>
      <c r="L1490" s="157"/>
      <c r="M1490" s="157"/>
      <c r="O1490" s="147"/>
      <c r="P1490" s="147"/>
      <c r="Q1490" s="147"/>
      <c r="R1490" s="147"/>
      <c r="S1490" s="147"/>
      <c r="T1490" s="147"/>
      <c r="U1490" s="147"/>
      <c r="V1490" s="147"/>
      <c r="W1490" s="147"/>
      <c r="X1490" s="147"/>
      <c r="Y1490" s="147"/>
      <c r="Z1490" s="147"/>
      <c r="AA1490" s="147"/>
      <c r="AB1490" s="147"/>
      <c r="AC1490" s="147"/>
      <c r="AD1490" s="147"/>
      <c r="AE1490" s="147"/>
      <c r="AF1490" s="147"/>
      <c r="AG1490" s="147"/>
      <c r="AH1490" s="147"/>
      <c r="AI1490" s="147"/>
      <c r="AJ1490" s="147"/>
      <c r="AK1490" s="147"/>
      <c r="AL1490" s="147"/>
      <c r="AM1490" s="151"/>
      <c r="AN1490" s="147"/>
      <c r="AO1490" s="147"/>
      <c r="AP1490" s="147"/>
      <c r="AQ1490" s="147"/>
      <c r="AR1490" s="147"/>
      <c r="AS1490" s="147"/>
      <c r="AT1490" s="147"/>
      <c r="AU1490" s="147"/>
      <c r="AV1490" s="147"/>
      <c r="AW1490" s="147"/>
      <c r="AX1490" s="147"/>
      <c r="AY1490" s="147"/>
      <c r="AZ1490" s="147"/>
      <c r="BA1490" s="147"/>
      <c r="BB1490" s="147"/>
      <c r="BC1490" s="147"/>
      <c r="BD1490" s="147"/>
      <c r="BE1490" s="147"/>
      <c r="BF1490" s="147"/>
      <c r="BG1490" s="147"/>
      <c r="BH1490" s="147"/>
      <c r="BI1490" s="147"/>
      <c r="BJ1490" s="147"/>
      <c r="BK1490" s="147"/>
      <c r="BL1490" s="147"/>
      <c r="BM1490" s="147"/>
      <c r="BN1490" s="147"/>
      <c r="BO1490" s="147"/>
      <c r="BP1490" s="147"/>
      <c r="BQ1490" s="147"/>
      <c r="BR1490" s="147"/>
      <c r="BS1490" s="147"/>
      <c r="BT1490" s="147"/>
      <c r="BU1490" s="147"/>
      <c r="BV1490" s="147"/>
      <c r="BW1490" s="147"/>
      <c r="BX1490" s="147"/>
      <c r="BY1490" s="147"/>
      <c r="BZ1490" s="147"/>
      <c r="CA1490" s="147"/>
      <c r="CB1490" s="147"/>
      <c r="CC1490" s="147"/>
      <c r="CD1490" s="147"/>
      <c r="CE1490" s="147"/>
      <c r="CF1490" s="147"/>
      <c r="CG1490" s="147"/>
      <c r="CH1490" s="147"/>
      <c r="CI1490" s="147"/>
      <c r="CJ1490" s="147"/>
      <c r="CK1490" s="147"/>
    </row>
    <row r="1491" spans="1:89">
      <c r="A1491" s="157"/>
      <c r="F1491" s="3"/>
      <c r="G1491" s="3"/>
      <c r="L1491" s="157"/>
      <c r="M1491" s="157"/>
      <c r="O1491" s="147"/>
      <c r="P1491" s="147"/>
      <c r="Q1491" s="147"/>
      <c r="R1491" s="147"/>
      <c r="S1491" s="147"/>
      <c r="T1491" s="147"/>
      <c r="U1491" s="147"/>
      <c r="V1491" s="147"/>
      <c r="W1491" s="147"/>
      <c r="X1491" s="147"/>
      <c r="Y1491" s="147"/>
      <c r="Z1491" s="147"/>
      <c r="AA1491" s="147"/>
      <c r="AB1491" s="147"/>
      <c r="AC1491" s="147"/>
      <c r="AD1491" s="147"/>
      <c r="AE1491" s="147"/>
      <c r="AF1491" s="147"/>
      <c r="AG1491" s="147"/>
      <c r="AH1491" s="147"/>
      <c r="AI1491" s="147"/>
      <c r="AJ1491" s="147"/>
      <c r="AK1491" s="147"/>
      <c r="AL1491" s="147"/>
      <c r="AM1491" s="151"/>
      <c r="AN1491" s="147"/>
      <c r="AO1491" s="147"/>
      <c r="AP1491" s="147"/>
      <c r="AQ1491" s="147"/>
      <c r="AR1491" s="147"/>
      <c r="AS1491" s="147"/>
      <c r="AT1491" s="147"/>
      <c r="AU1491" s="147"/>
      <c r="AV1491" s="147"/>
      <c r="AW1491" s="147"/>
      <c r="AX1491" s="147"/>
      <c r="AY1491" s="147"/>
      <c r="AZ1491" s="147"/>
      <c r="BA1491" s="147"/>
      <c r="BB1491" s="147"/>
      <c r="BC1491" s="147"/>
      <c r="BD1491" s="147"/>
      <c r="BE1491" s="147"/>
      <c r="BF1491" s="147"/>
      <c r="BG1491" s="147"/>
      <c r="BH1491" s="147"/>
      <c r="BI1491" s="147"/>
      <c r="BJ1491" s="147"/>
      <c r="BK1491" s="147"/>
      <c r="BL1491" s="147"/>
      <c r="BM1491" s="147"/>
      <c r="BN1491" s="147"/>
      <c r="BO1491" s="147"/>
      <c r="BP1491" s="147"/>
      <c r="BQ1491" s="147"/>
      <c r="BR1491" s="147"/>
      <c r="BS1491" s="147"/>
      <c r="BT1491" s="147"/>
      <c r="BU1491" s="147"/>
      <c r="BV1491" s="147"/>
      <c r="BW1491" s="147"/>
      <c r="BX1491" s="147"/>
      <c r="BY1491" s="147"/>
      <c r="BZ1491" s="147"/>
      <c r="CA1491" s="147"/>
      <c r="CB1491" s="147"/>
      <c r="CC1491" s="147"/>
      <c r="CD1491" s="147"/>
      <c r="CE1491" s="147"/>
      <c r="CF1491" s="147"/>
      <c r="CG1491" s="147"/>
      <c r="CH1491" s="147"/>
      <c r="CI1491" s="147"/>
      <c r="CJ1491" s="147"/>
      <c r="CK1491" s="147"/>
    </row>
    <row r="1492" spans="1:89">
      <c r="A1492" s="157"/>
      <c r="F1492" s="3"/>
      <c r="G1492" s="3"/>
      <c r="L1492" s="157"/>
      <c r="M1492" s="157"/>
      <c r="O1492" s="147"/>
      <c r="P1492" s="147"/>
      <c r="Q1492" s="147"/>
      <c r="R1492" s="147"/>
      <c r="S1492" s="147"/>
      <c r="T1492" s="147"/>
      <c r="U1492" s="147"/>
      <c r="V1492" s="147"/>
      <c r="W1492" s="147"/>
      <c r="X1492" s="147"/>
      <c r="Y1492" s="147"/>
      <c r="Z1492" s="147"/>
      <c r="AA1492" s="147"/>
      <c r="AB1492" s="147"/>
      <c r="AC1492" s="147"/>
      <c r="AD1492" s="147"/>
      <c r="AE1492" s="147"/>
      <c r="AF1492" s="147"/>
      <c r="AG1492" s="147"/>
      <c r="AH1492" s="147"/>
      <c r="AI1492" s="147"/>
      <c r="AJ1492" s="147"/>
      <c r="AK1492" s="147"/>
      <c r="AL1492" s="147"/>
      <c r="AM1492" s="151"/>
      <c r="AN1492" s="147"/>
      <c r="AO1492" s="147"/>
      <c r="AP1492" s="147"/>
      <c r="AQ1492" s="147"/>
      <c r="AR1492" s="147"/>
      <c r="AS1492" s="147"/>
      <c r="AT1492" s="147"/>
      <c r="AU1492" s="147"/>
      <c r="AV1492" s="147"/>
      <c r="AW1492" s="147"/>
      <c r="AX1492" s="147"/>
      <c r="AY1492" s="147"/>
      <c r="AZ1492" s="147"/>
      <c r="BA1492" s="147"/>
      <c r="BB1492" s="147"/>
      <c r="BC1492" s="147"/>
      <c r="BD1492" s="147"/>
      <c r="BE1492" s="147"/>
      <c r="BF1492" s="147"/>
      <c r="BG1492" s="147"/>
      <c r="BH1492" s="147"/>
      <c r="BI1492" s="147"/>
      <c r="BJ1492" s="147"/>
      <c r="BK1492" s="147"/>
      <c r="BL1492" s="147"/>
      <c r="BM1492" s="147"/>
      <c r="BN1492" s="147"/>
      <c r="BO1492" s="147"/>
      <c r="BP1492" s="147"/>
      <c r="BQ1492" s="147"/>
      <c r="BR1492" s="147"/>
      <c r="BS1492" s="147"/>
      <c r="BT1492" s="147"/>
      <c r="BU1492" s="147"/>
      <c r="BV1492" s="147"/>
      <c r="BW1492" s="147"/>
      <c r="BX1492" s="147"/>
      <c r="BY1492" s="147"/>
      <c r="BZ1492" s="147"/>
      <c r="CA1492" s="147"/>
      <c r="CB1492" s="147"/>
      <c r="CC1492" s="147"/>
      <c r="CD1492" s="147"/>
      <c r="CE1492" s="147"/>
      <c r="CF1492" s="147"/>
      <c r="CG1492" s="147"/>
      <c r="CH1492" s="147"/>
      <c r="CI1492" s="147"/>
      <c r="CJ1492" s="147"/>
      <c r="CK1492" s="147"/>
    </row>
    <row r="1493" spans="1:89">
      <c r="A1493" s="157"/>
      <c r="F1493" s="3"/>
      <c r="G1493" s="3"/>
      <c r="L1493" s="157"/>
      <c r="M1493" s="157"/>
      <c r="O1493" s="147"/>
      <c r="P1493" s="147"/>
      <c r="Q1493" s="147"/>
      <c r="R1493" s="147"/>
      <c r="S1493" s="147"/>
      <c r="T1493" s="147"/>
      <c r="U1493" s="147"/>
      <c r="V1493" s="147"/>
      <c r="W1493" s="147"/>
      <c r="X1493" s="147"/>
      <c r="Y1493" s="147"/>
      <c r="Z1493" s="147"/>
      <c r="AA1493" s="147"/>
      <c r="AB1493" s="147"/>
      <c r="AC1493" s="147"/>
      <c r="AD1493" s="147"/>
      <c r="AE1493" s="147"/>
      <c r="AF1493" s="147"/>
      <c r="AG1493" s="147"/>
      <c r="AH1493" s="147"/>
      <c r="AI1493" s="147"/>
      <c r="AJ1493" s="147"/>
      <c r="AK1493" s="147"/>
      <c r="AL1493" s="147"/>
      <c r="AM1493" s="151"/>
      <c r="AN1493" s="147"/>
      <c r="AO1493" s="147"/>
      <c r="AP1493" s="147"/>
      <c r="AQ1493" s="147"/>
      <c r="AR1493" s="147"/>
      <c r="AS1493" s="147"/>
      <c r="AT1493" s="147"/>
      <c r="AU1493" s="147"/>
      <c r="AV1493" s="147"/>
      <c r="AW1493" s="147"/>
      <c r="AX1493" s="147"/>
      <c r="AY1493" s="147"/>
      <c r="AZ1493" s="147"/>
      <c r="BA1493" s="147"/>
      <c r="BB1493" s="147"/>
      <c r="BC1493" s="147"/>
      <c r="BD1493" s="147"/>
      <c r="BE1493" s="147"/>
      <c r="BF1493" s="147"/>
      <c r="BG1493" s="147"/>
      <c r="BH1493" s="147"/>
      <c r="BI1493" s="147"/>
      <c r="BJ1493" s="147"/>
      <c r="BK1493" s="147"/>
      <c r="BL1493" s="147"/>
      <c r="BM1493" s="147"/>
      <c r="BN1493" s="147"/>
      <c r="BO1493" s="147"/>
      <c r="BP1493" s="147"/>
      <c r="BQ1493" s="147"/>
      <c r="BR1493" s="147"/>
      <c r="BS1493" s="147"/>
      <c r="BT1493" s="147"/>
      <c r="BU1493" s="147"/>
      <c r="BV1493" s="147"/>
      <c r="BW1493" s="147"/>
      <c r="BX1493" s="147"/>
      <c r="BY1493" s="147"/>
      <c r="BZ1493" s="147"/>
      <c r="CA1493" s="147"/>
      <c r="CB1493" s="147"/>
      <c r="CC1493" s="147"/>
      <c r="CD1493" s="147"/>
      <c r="CE1493" s="147"/>
      <c r="CF1493" s="147"/>
      <c r="CG1493" s="147"/>
      <c r="CH1493" s="147"/>
      <c r="CI1493" s="147"/>
      <c r="CJ1493" s="147"/>
      <c r="CK1493" s="147"/>
    </row>
    <row r="1494" spans="1:89">
      <c r="A1494" s="157"/>
      <c r="F1494" s="3"/>
      <c r="G1494" s="3"/>
      <c r="L1494" s="157"/>
      <c r="M1494" s="157"/>
      <c r="O1494" s="147"/>
      <c r="P1494" s="147"/>
      <c r="Q1494" s="147"/>
      <c r="R1494" s="147"/>
      <c r="S1494" s="147"/>
      <c r="T1494" s="147"/>
      <c r="U1494" s="147"/>
      <c r="V1494" s="147"/>
      <c r="W1494" s="147"/>
      <c r="X1494" s="147"/>
      <c r="Y1494" s="147"/>
      <c r="Z1494" s="147"/>
      <c r="AA1494" s="147"/>
      <c r="AB1494" s="147"/>
      <c r="AC1494" s="147"/>
      <c r="AD1494" s="147"/>
      <c r="AE1494" s="147"/>
      <c r="AF1494" s="147"/>
      <c r="AG1494" s="147"/>
      <c r="AH1494" s="147"/>
      <c r="AI1494" s="147"/>
      <c r="AJ1494" s="147"/>
      <c r="AK1494" s="147"/>
      <c r="AL1494" s="147"/>
      <c r="AM1494" s="151"/>
      <c r="AN1494" s="147"/>
      <c r="AO1494" s="147"/>
      <c r="AP1494" s="147"/>
      <c r="AQ1494" s="147"/>
      <c r="AR1494" s="147"/>
      <c r="AS1494" s="147"/>
      <c r="AT1494" s="147"/>
      <c r="AU1494" s="147"/>
      <c r="AV1494" s="147"/>
      <c r="AW1494" s="147"/>
      <c r="AX1494" s="147"/>
      <c r="AY1494" s="147"/>
      <c r="AZ1494" s="147"/>
      <c r="BA1494" s="147"/>
      <c r="BB1494" s="147"/>
      <c r="BC1494" s="147"/>
      <c r="BD1494" s="147"/>
      <c r="BE1494" s="147"/>
      <c r="BF1494" s="147"/>
      <c r="BG1494" s="147"/>
      <c r="BH1494" s="147"/>
      <c r="BI1494" s="147"/>
      <c r="BJ1494" s="147"/>
      <c r="BK1494" s="147"/>
      <c r="BL1494" s="147"/>
      <c r="BM1494" s="147"/>
      <c r="BN1494" s="147"/>
      <c r="BO1494" s="147"/>
      <c r="BP1494" s="147"/>
      <c r="BQ1494" s="147"/>
      <c r="BR1494" s="147"/>
      <c r="BS1494" s="147"/>
      <c r="BT1494" s="147"/>
      <c r="BU1494" s="147"/>
      <c r="BV1494" s="147"/>
      <c r="BW1494" s="147"/>
      <c r="BX1494" s="147"/>
      <c r="BY1494" s="147"/>
      <c r="BZ1494" s="147"/>
      <c r="CA1494" s="147"/>
      <c r="CB1494" s="147"/>
      <c r="CC1494" s="147"/>
      <c r="CD1494" s="147"/>
      <c r="CE1494" s="147"/>
      <c r="CF1494" s="147"/>
      <c r="CG1494" s="147"/>
      <c r="CH1494" s="147"/>
      <c r="CI1494" s="147"/>
      <c r="CJ1494" s="147"/>
      <c r="CK1494" s="147"/>
    </row>
    <row r="1495" spans="1:89">
      <c r="A1495" s="157"/>
      <c r="F1495" s="3"/>
      <c r="G1495" s="3"/>
      <c r="L1495" s="157"/>
      <c r="M1495" s="157"/>
      <c r="O1495" s="147"/>
      <c r="P1495" s="147"/>
      <c r="Q1495" s="147"/>
      <c r="R1495" s="147"/>
      <c r="S1495" s="147"/>
      <c r="T1495" s="147"/>
      <c r="U1495" s="147"/>
      <c r="V1495" s="147"/>
      <c r="W1495" s="147"/>
      <c r="X1495" s="147"/>
      <c r="Y1495" s="147"/>
      <c r="Z1495" s="147"/>
      <c r="AA1495" s="147"/>
      <c r="AB1495" s="147"/>
      <c r="AC1495" s="147"/>
      <c r="AD1495" s="147"/>
      <c r="AE1495" s="147"/>
      <c r="AF1495" s="147"/>
      <c r="AG1495" s="147"/>
      <c r="AH1495" s="147"/>
      <c r="AI1495" s="147"/>
      <c r="AJ1495" s="147"/>
      <c r="AK1495" s="147"/>
      <c r="AL1495" s="147"/>
      <c r="AM1495" s="151"/>
      <c r="AN1495" s="147"/>
      <c r="AO1495" s="147"/>
      <c r="AP1495" s="147"/>
      <c r="AQ1495" s="147"/>
      <c r="AR1495" s="147"/>
      <c r="AS1495" s="147"/>
      <c r="AT1495" s="147"/>
      <c r="AU1495" s="147"/>
      <c r="AV1495" s="147"/>
      <c r="AW1495" s="147"/>
      <c r="AX1495" s="147"/>
      <c r="AY1495" s="147"/>
      <c r="AZ1495" s="147"/>
      <c r="BA1495" s="147"/>
      <c r="BB1495" s="147"/>
      <c r="BC1495" s="147"/>
      <c r="BD1495" s="147"/>
      <c r="BE1495" s="147"/>
      <c r="BF1495" s="147"/>
      <c r="BG1495" s="147"/>
      <c r="BH1495" s="147"/>
      <c r="BI1495" s="147"/>
      <c r="BJ1495" s="147"/>
      <c r="BK1495" s="147"/>
      <c r="BL1495" s="147"/>
      <c r="BM1495" s="147"/>
      <c r="BN1495" s="147"/>
      <c r="BO1495" s="147"/>
      <c r="BP1495" s="147"/>
      <c r="BQ1495" s="147"/>
      <c r="BR1495" s="147"/>
      <c r="BS1495" s="147"/>
      <c r="BT1495" s="147"/>
      <c r="BU1495" s="147"/>
      <c r="BV1495" s="147"/>
      <c r="BW1495" s="147"/>
      <c r="BX1495" s="147"/>
      <c r="BY1495" s="147"/>
      <c r="BZ1495" s="147"/>
      <c r="CA1495" s="147"/>
      <c r="CB1495" s="147"/>
      <c r="CC1495" s="147"/>
      <c r="CD1495" s="147"/>
      <c r="CE1495" s="147"/>
      <c r="CF1495" s="147"/>
      <c r="CG1495" s="147"/>
      <c r="CH1495" s="147"/>
      <c r="CI1495" s="147"/>
      <c r="CJ1495" s="147"/>
      <c r="CK1495" s="147"/>
    </row>
    <row r="1496" spans="1:89">
      <c r="A1496" s="157"/>
      <c r="F1496" s="3"/>
      <c r="G1496" s="3"/>
      <c r="L1496" s="157"/>
      <c r="M1496" s="157"/>
      <c r="O1496" s="147"/>
      <c r="P1496" s="147"/>
      <c r="Q1496" s="147"/>
      <c r="R1496" s="147"/>
      <c r="S1496" s="147"/>
      <c r="T1496" s="147"/>
      <c r="U1496" s="147"/>
      <c r="V1496" s="147"/>
      <c r="W1496" s="147"/>
      <c r="X1496" s="147"/>
      <c r="Y1496" s="147"/>
      <c r="Z1496" s="147"/>
      <c r="AA1496" s="147"/>
      <c r="AB1496" s="147"/>
      <c r="AC1496" s="147"/>
      <c r="AD1496" s="147"/>
      <c r="AE1496" s="147"/>
      <c r="AF1496" s="147"/>
      <c r="AG1496" s="147"/>
      <c r="AH1496" s="147"/>
      <c r="AI1496" s="147"/>
      <c r="AJ1496" s="147"/>
      <c r="AK1496" s="147"/>
      <c r="AL1496" s="147"/>
      <c r="AM1496" s="151"/>
      <c r="AN1496" s="147"/>
      <c r="AO1496" s="147"/>
      <c r="AP1496" s="147"/>
      <c r="AQ1496" s="147"/>
      <c r="AR1496" s="147"/>
      <c r="AS1496" s="147"/>
      <c r="AT1496" s="147"/>
      <c r="AU1496" s="147"/>
      <c r="AV1496" s="147"/>
      <c r="AW1496" s="147"/>
      <c r="AX1496" s="147"/>
      <c r="AY1496" s="147"/>
      <c r="AZ1496" s="147"/>
      <c r="BA1496" s="147"/>
      <c r="BB1496" s="147"/>
      <c r="BC1496" s="147"/>
      <c r="BD1496" s="147"/>
      <c r="BE1496" s="147"/>
      <c r="BF1496" s="147"/>
      <c r="BG1496" s="147"/>
      <c r="BH1496" s="147"/>
      <c r="BI1496" s="147"/>
      <c r="BJ1496" s="147"/>
      <c r="BK1496" s="147"/>
      <c r="BL1496" s="147"/>
      <c r="BM1496" s="147"/>
      <c r="BN1496" s="147"/>
      <c r="BO1496" s="147"/>
      <c r="BP1496" s="147"/>
      <c r="BQ1496" s="147"/>
      <c r="BR1496" s="147"/>
      <c r="BS1496" s="147"/>
      <c r="BT1496" s="147"/>
      <c r="BU1496" s="147"/>
      <c r="BV1496" s="147"/>
      <c r="BW1496" s="147"/>
      <c r="BX1496" s="147"/>
      <c r="BY1496" s="147"/>
      <c r="BZ1496" s="147"/>
      <c r="CA1496" s="147"/>
      <c r="CB1496" s="147"/>
      <c r="CC1496" s="147"/>
      <c r="CD1496" s="147"/>
      <c r="CE1496" s="147"/>
      <c r="CF1496" s="147"/>
      <c r="CG1496" s="147"/>
      <c r="CH1496" s="147"/>
      <c r="CI1496" s="147"/>
      <c r="CJ1496" s="147"/>
      <c r="CK1496" s="147"/>
    </row>
    <row r="1497" spans="1:89">
      <c r="A1497" s="157"/>
      <c r="F1497" s="3"/>
      <c r="G1497" s="3"/>
      <c r="L1497" s="157"/>
      <c r="M1497" s="157"/>
      <c r="O1497" s="147"/>
      <c r="P1497" s="147"/>
      <c r="Q1497" s="147"/>
      <c r="R1497" s="147"/>
      <c r="S1497" s="147"/>
      <c r="T1497" s="147"/>
      <c r="U1497" s="147"/>
      <c r="V1497" s="147"/>
      <c r="W1497" s="147"/>
      <c r="X1497" s="147"/>
      <c r="Y1497" s="147"/>
      <c r="Z1497" s="147"/>
      <c r="AA1497" s="147"/>
      <c r="AB1497" s="147"/>
      <c r="AC1497" s="147"/>
      <c r="AD1497" s="147"/>
      <c r="AE1497" s="147"/>
      <c r="AF1497" s="147"/>
      <c r="AG1497" s="147"/>
      <c r="AH1497" s="147"/>
      <c r="AI1497" s="147"/>
      <c r="AJ1497" s="147"/>
      <c r="AK1497" s="147"/>
      <c r="AL1497" s="147"/>
      <c r="AM1497" s="151"/>
      <c r="AN1497" s="147"/>
      <c r="AO1497" s="147"/>
      <c r="AP1497" s="147"/>
      <c r="AQ1497" s="147"/>
      <c r="AR1497" s="147"/>
      <c r="AS1497" s="147"/>
      <c r="AT1497" s="147"/>
      <c r="AU1497" s="147"/>
      <c r="AV1497" s="147"/>
      <c r="AW1497" s="147"/>
      <c r="AX1497" s="147"/>
      <c r="AY1497" s="147"/>
      <c r="AZ1497" s="147"/>
      <c r="BA1497" s="147"/>
      <c r="BB1497" s="147"/>
      <c r="BC1497" s="147"/>
      <c r="BD1497" s="147"/>
      <c r="BE1497" s="147"/>
      <c r="BF1497" s="147"/>
      <c r="BG1497" s="147"/>
      <c r="BH1497" s="147"/>
      <c r="BI1497" s="147"/>
      <c r="BJ1497" s="147"/>
      <c r="BK1497" s="147"/>
      <c r="BL1497" s="147"/>
      <c r="BM1497" s="147"/>
      <c r="BN1497" s="147"/>
      <c r="BO1497" s="147"/>
      <c r="BP1497" s="147"/>
      <c r="BQ1497" s="147"/>
      <c r="BR1497" s="147"/>
      <c r="BS1497" s="147"/>
      <c r="BT1497" s="147"/>
      <c r="BU1497" s="147"/>
      <c r="BV1497" s="147"/>
      <c r="BW1497" s="147"/>
      <c r="BX1497" s="147"/>
      <c r="BY1497" s="147"/>
      <c r="BZ1497" s="147"/>
      <c r="CA1497" s="147"/>
      <c r="CB1497" s="147"/>
      <c r="CC1497" s="147"/>
      <c r="CD1497" s="147"/>
      <c r="CE1497" s="147"/>
      <c r="CF1497" s="147"/>
      <c r="CG1497" s="147"/>
      <c r="CH1497" s="147"/>
      <c r="CI1497" s="147"/>
      <c r="CJ1497" s="147"/>
      <c r="CK1497" s="147"/>
    </row>
    <row r="1498" spans="1:89">
      <c r="A1498" s="157"/>
      <c r="F1498" s="3"/>
      <c r="G1498" s="3"/>
      <c r="L1498" s="157"/>
      <c r="M1498" s="157"/>
      <c r="O1498" s="147"/>
      <c r="P1498" s="147"/>
      <c r="Q1498" s="147"/>
      <c r="R1498" s="147"/>
      <c r="S1498" s="147"/>
      <c r="T1498" s="147"/>
      <c r="U1498" s="147"/>
      <c r="V1498" s="147"/>
      <c r="W1498" s="147"/>
      <c r="X1498" s="147"/>
      <c r="Y1498" s="147"/>
      <c r="Z1498" s="147"/>
      <c r="AA1498" s="147"/>
      <c r="AB1498" s="147"/>
      <c r="AC1498" s="147"/>
      <c r="AD1498" s="147"/>
      <c r="AE1498" s="147"/>
      <c r="AF1498" s="147"/>
      <c r="AG1498" s="147"/>
      <c r="AH1498" s="147"/>
      <c r="AI1498" s="147"/>
      <c r="AJ1498" s="147"/>
      <c r="AK1498" s="147"/>
      <c r="AL1498" s="147"/>
      <c r="AM1498" s="151"/>
      <c r="AN1498" s="147"/>
      <c r="AO1498" s="147"/>
      <c r="AP1498" s="147"/>
      <c r="AQ1498" s="147"/>
      <c r="AR1498" s="147"/>
      <c r="AS1498" s="147"/>
      <c r="AT1498" s="147"/>
      <c r="AU1498" s="147"/>
      <c r="AV1498" s="147"/>
      <c r="AW1498" s="147"/>
      <c r="AX1498" s="147"/>
      <c r="AY1498" s="147"/>
      <c r="AZ1498" s="147"/>
      <c r="BA1498" s="147"/>
      <c r="BB1498" s="147"/>
      <c r="BC1498" s="147"/>
      <c r="BD1498" s="147"/>
      <c r="BE1498" s="147"/>
      <c r="BF1498" s="147"/>
      <c r="BG1498" s="147"/>
      <c r="BH1498" s="147"/>
      <c r="BI1498" s="147"/>
      <c r="BJ1498" s="147"/>
      <c r="BK1498" s="147"/>
      <c r="BL1498" s="147"/>
      <c r="BM1498" s="147"/>
      <c r="BN1498" s="147"/>
      <c r="BO1498" s="147"/>
      <c r="BP1498" s="147"/>
      <c r="BQ1498" s="147"/>
      <c r="BR1498" s="147"/>
      <c r="BS1498" s="147"/>
      <c r="BT1498" s="147"/>
      <c r="BU1498" s="147"/>
      <c r="BV1498" s="147"/>
      <c r="BW1498" s="147"/>
      <c r="BX1498" s="147"/>
      <c r="BY1498" s="147"/>
      <c r="BZ1498" s="147"/>
      <c r="CA1498" s="147"/>
      <c r="CB1498" s="147"/>
      <c r="CC1498" s="147"/>
      <c r="CD1498" s="147"/>
      <c r="CE1498" s="147"/>
      <c r="CF1498" s="147"/>
      <c r="CG1498" s="147"/>
      <c r="CH1498" s="147"/>
      <c r="CI1498" s="147"/>
      <c r="CJ1498" s="147"/>
      <c r="CK1498" s="147"/>
    </row>
    <row r="1499" spans="1:89">
      <c r="A1499" s="157"/>
      <c r="F1499" s="3"/>
      <c r="G1499" s="3"/>
      <c r="L1499" s="157"/>
      <c r="M1499" s="157"/>
      <c r="O1499" s="147"/>
      <c r="P1499" s="147"/>
      <c r="Q1499" s="147"/>
      <c r="R1499" s="147"/>
      <c r="S1499" s="147"/>
      <c r="T1499" s="147"/>
      <c r="U1499" s="147"/>
      <c r="V1499" s="147"/>
      <c r="W1499" s="147"/>
      <c r="X1499" s="147"/>
      <c r="Y1499" s="147"/>
      <c r="Z1499" s="147"/>
      <c r="AA1499" s="147"/>
      <c r="AB1499" s="147"/>
      <c r="AC1499" s="147"/>
      <c r="AD1499" s="147"/>
      <c r="AE1499" s="147"/>
      <c r="AF1499" s="147"/>
      <c r="AG1499" s="147"/>
      <c r="AH1499" s="147"/>
      <c r="AI1499" s="147"/>
      <c r="AJ1499" s="147"/>
      <c r="AK1499" s="147"/>
      <c r="AL1499" s="147"/>
      <c r="AM1499" s="151"/>
      <c r="AN1499" s="147"/>
      <c r="AO1499" s="147"/>
      <c r="AP1499" s="147"/>
      <c r="AQ1499" s="147"/>
      <c r="AR1499" s="147"/>
      <c r="AS1499" s="147"/>
      <c r="AT1499" s="147"/>
      <c r="AU1499" s="147"/>
      <c r="AV1499" s="147"/>
      <c r="AW1499" s="147"/>
      <c r="AX1499" s="147"/>
      <c r="AY1499" s="147"/>
      <c r="AZ1499" s="147"/>
      <c r="BA1499" s="147"/>
      <c r="BB1499" s="147"/>
      <c r="BC1499" s="147"/>
      <c r="BD1499" s="147"/>
      <c r="BE1499" s="147"/>
      <c r="BF1499" s="147"/>
      <c r="BG1499" s="147"/>
      <c r="BH1499" s="147"/>
      <c r="BI1499" s="147"/>
      <c r="BJ1499" s="147"/>
      <c r="BK1499" s="147"/>
      <c r="BL1499" s="147"/>
      <c r="BM1499" s="147"/>
      <c r="BN1499" s="147"/>
      <c r="BO1499" s="147"/>
      <c r="BP1499" s="147"/>
      <c r="BQ1499" s="147"/>
      <c r="BR1499" s="147"/>
      <c r="BS1499" s="147"/>
      <c r="BT1499" s="147"/>
      <c r="BU1499" s="147"/>
      <c r="BV1499" s="147"/>
      <c r="BW1499" s="147"/>
      <c r="BX1499" s="147"/>
      <c r="BY1499" s="147"/>
      <c r="BZ1499" s="147"/>
      <c r="CA1499" s="147"/>
      <c r="CB1499" s="147"/>
      <c r="CC1499" s="147"/>
      <c r="CD1499" s="147"/>
      <c r="CE1499" s="147"/>
      <c r="CF1499" s="147"/>
      <c r="CG1499" s="147"/>
      <c r="CH1499" s="147"/>
      <c r="CI1499" s="147"/>
      <c r="CJ1499" s="147"/>
      <c r="CK1499" s="147"/>
    </row>
    <row r="1500" spans="1:89">
      <c r="A1500" s="157"/>
      <c r="F1500" s="3"/>
      <c r="G1500" s="3"/>
      <c r="L1500" s="157"/>
      <c r="M1500" s="157"/>
      <c r="O1500" s="147"/>
      <c r="P1500" s="147"/>
      <c r="Q1500" s="147"/>
      <c r="R1500" s="147"/>
      <c r="S1500" s="147"/>
      <c r="T1500" s="147"/>
      <c r="U1500" s="147"/>
      <c r="V1500" s="147"/>
      <c r="W1500" s="147"/>
      <c r="X1500" s="147"/>
      <c r="Y1500" s="147"/>
      <c r="Z1500" s="147"/>
      <c r="AA1500" s="147"/>
      <c r="AB1500" s="147"/>
      <c r="AC1500" s="147"/>
      <c r="AD1500" s="147"/>
      <c r="AE1500" s="147"/>
      <c r="AF1500" s="147"/>
      <c r="AG1500" s="147"/>
      <c r="AH1500" s="147"/>
      <c r="AI1500" s="147"/>
      <c r="AJ1500" s="147"/>
      <c r="AK1500" s="147"/>
      <c r="AL1500" s="147"/>
      <c r="AM1500" s="151"/>
      <c r="AN1500" s="147"/>
      <c r="AO1500" s="147"/>
      <c r="AP1500" s="147"/>
      <c r="AQ1500" s="147"/>
      <c r="AR1500" s="147"/>
      <c r="AS1500" s="147"/>
      <c r="AT1500" s="147"/>
      <c r="AU1500" s="147"/>
      <c r="AV1500" s="147"/>
      <c r="AW1500" s="147"/>
      <c r="AX1500" s="147"/>
      <c r="AY1500" s="147"/>
      <c r="AZ1500" s="147"/>
      <c r="BA1500" s="147"/>
      <c r="BB1500" s="147"/>
      <c r="BC1500" s="147"/>
      <c r="BD1500" s="147"/>
      <c r="BE1500" s="147"/>
      <c r="BF1500" s="147"/>
      <c r="BG1500" s="147"/>
      <c r="BH1500" s="147"/>
      <c r="BI1500" s="147"/>
      <c r="BJ1500" s="147"/>
      <c r="BK1500" s="147"/>
      <c r="BL1500" s="147"/>
      <c r="BM1500" s="147"/>
      <c r="BN1500" s="147"/>
      <c r="BO1500" s="147"/>
      <c r="BP1500" s="147"/>
      <c r="BQ1500" s="147"/>
      <c r="BR1500" s="147"/>
      <c r="BS1500" s="147"/>
      <c r="BT1500" s="147"/>
      <c r="BU1500" s="147"/>
      <c r="BV1500" s="147"/>
      <c r="BW1500" s="147"/>
      <c r="BX1500" s="147"/>
      <c r="BY1500" s="147"/>
      <c r="BZ1500" s="147"/>
      <c r="CA1500" s="147"/>
      <c r="CB1500" s="147"/>
      <c r="CC1500" s="147"/>
      <c r="CD1500" s="147"/>
      <c r="CE1500" s="147"/>
      <c r="CF1500" s="147"/>
      <c r="CG1500" s="147"/>
      <c r="CH1500" s="147"/>
      <c r="CI1500" s="147"/>
      <c r="CJ1500" s="147"/>
      <c r="CK1500" s="147"/>
    </row>
    <row r="1501" spans="1:89">
      <c r="A1501" s="157"/>
      <c r="F1501" s="3"/>
      <c r="G1501" s="3"/>
      <c r="L1501" s="157"/>
      <c r="M1501" s="157"/>
      <c r="O1501" s="147"/>
      <c r="P1501" s="147"/>
      <c r="Q1501" s="147"/>
      <c r="R1501" s="147"/>
      <c r="S1501" s="147"/>
      <c r="T1501" s="147"/>
      <c r="U1501" s="147"/>
      <c r="V1501" s="147"/>
      <c r="W1501" s="147"/>
      <c r="X1501" s="147"/>
      <c r="Y1501" s="147"/>
      <c r="Z1501" s="147"/>
      <c r="AA1501" s="147"/>
      <c r="AB1501" s="147"/>
      <c r="AC1501" s="147"/>
      <c r="AD1501" s="147"/>
      <c r="AE1501" s="147"/>
      <c r="AF1501" s="147"/>
      <c r="AG1501" s="147"/>
      <c r="AH1501" s="147"/>
      <c r="AI1501" s="147"/>
      <c r="AJ1501" s="147"/>
      <c r="AK1501" s="147"/>
      <c r="AL1501" s="147"/>
      <c r="AM1501" s="151"/>
      <c r="AN1501" s="147"/>
      <c r="AO1501" s="147"/>
      <c r="AP1501" s="147"/>
      <c r="AQ1501" s="147"/>
      <c r="AR1501" s="147"/>
      <c r="AS1501" s="147"/>
      <c r="AT1501" s="147"/>
      <c r="AU1501" s="147"/>
      <c r="AV1501" s="147"/>
      <c r="AW1501" s="147"/>
      <c r="AX1501" s="147"/>
      <c r="AY1501" s="147"/>
      <c r="AZ1501" s="147"/>
      <c r="BA1501" s="147"/>
      <c r="BB1501" s="147"/>
      <c r="BC1501" s="147"/>
      <c r="BD1501" s="147"/>
      <c r="BE1501" s="147"/>
      <c r="BF1501" s="147"/>
      <c r="BG1501" s="147"/>
      <c r="BH1501" s="147"/>
      <c r="BI1501" s="147"/>
      <c r="BJ1501" s="147"/>
      <c r="BK1501" s="147"/>
      <c r="BL1501" s="147"/>
      <c r="BM1501" s="147"/>
      <c r="BN1501" s="147"/>
      <c r="BO1501" s="147"/>
      <c r="BP1501" s="147"/>
      <c r="BQ1501" s="147"/>
      <c r="BR1501" s="147"/>
      <c r="BS1501" s="147"/>
      <c r="BT1501" s="147"/>
      <c r="BU1501" s="147"/>
      <c r="BV1501" s="147"/>
      <c r="BW1501" s="147"/>
      <c r="BX1501" s="147"/>
      <c r="BY1501" s="147"/>
      <c r="BZ1501" s="147"/>
      <c r="CA1501" s="147"/>
      <c r="CB1501" s="147"/>
      <c r="CC1501" s="147"/>
      <c r="CD1501" s="147"/>
      <c r="CE1501" s="147"/>
      <c r="CF1501" s="147"/>
      <c r="CG1501" s="147"/>
      <c r="CH1501" s="147"/>
      <c r="CI1501" s="147"/>
      <c r="CJ1501" s="147"/>
      <c r="CK1501" s="147"/>
    </row>
    <row r="1502" spans="1:89">
      <c r="A1502" s="157"/>
      <c r="F1502" s="3"/>
      <c r="G1502" s="3"/>
      <c r="L1502" s="157"/>
      <c r="M1502" s="157"/>
      <c r="O1502" s="147"/>
      <c r="P1502" s="147"/>
      <c r="Q1502" s="147"/>
      <c r="R1502" s="147"/>
      <c r="S1502" s="147"/>
      <c r="T1502" s="147"/>
      <c r="U1502" s="147"/>
      <c r="V1502" s="147"/>
      <c r="W1502" s="147"/>
      <c r="X1502" s="147"/>
      <c r="Y1502" s="147"/>
      <c r="Z1502" s="147"/>
      <c r="AA1502" s="147"/>
      <c r="AB1502" s="147"/>
      <c r="AC1502" s="147"/>
      <c r="AD1502" s="147"/>
      <c r="AE1502" s="147"/>
      <c r="AF1502" s="147"/>
      <c r="AG1502" s="147"/>
      <c r="AH1502" s="147"/>
      <c r="AI1502" s="147"/>
      <c r="AJ1502" s="147"/>
      <c r="AK1502" s="147"/>
      <c r="AL1502" s="147"/>
      <c r="AM1502" s="151"/>
      <c r="AN1502" s="147"/>
      <c r="AO1502" s="147"/>
      <c r="AP1502" s="147"/>
      <c r="AQ1502" s="147"/>
      <c r="AR1502" s="147"/>
      <c r="AS1502" s="147"/>
      <c r="AT1502" s="147"/>
      <c r="AU1502" s="147"/>
      <c r="AV1502" s="147"/>
      <c r="AW1502" s="147"/>
      <c r="AX1502" s="147"/>
      <c r="AY1502" s="147"/>
      <c r="AZ1502" s="147"/>
      <c r="BA1502" s="147"/>
      <c r="BB1502" s="147"/>
      <c r="BC1502" s="147"/>
      <c r="BD1502" s="147"/>
      <c r="BE1502" s="147"/>
      <c r="BF1502" s="147"/>
      <c r="BG1502" s="147"/>
      <c r="BH1502" s="147"/>
      <c r="BI1502" s="147"/>
      <c r="BJ1502" s="147"/>
      <c r="BK1502" s="147"/>
      <c r="BL1502" s="147"/>
      <c r="BM1502" s="147"/>
      <c r="BN1502" s="147"/>
      <c r="BO1502" s="147"/>
      <c r="BP1502" s="147"/>
      <c r="BQ1502" s="147"/>
      <c r="BR1502" s="147"/>
      <c r="BS1502" s="147"/>
      <c r="BT1502" s="147"/>
      <c r="BU1502" s="147"/>
      <c r="BV1502" s="147"/>
      <c r="BW1502" s="147"/>
      <c r="BX1502" s="147"/>
      <c r="BY1502" s="147"/>
      <c r="BZ1502" s="147"/>
      <c r="CA1502" s="147"/>
      <c r="CB1502" s="147"/>
      <c r="CC1502" s="147"/>
      <c r="CD1502" s="147"/>
      <c r="CE1502" s="147"/>
      <c r="CF1502" s="147"/>
      <c r="CG1502" s="147"/>
      <c r="CH1502" s="147"/>
      <c r="CI1502" s="147"/>
      <c r="CJ1502" s="147"/>
      <c r="CK1502" s="147"/>
    </row>
    <row r="1503" spans="1:89">
      <c r="A1503" s="157"/>
      <c r="F1503" s="3"/>
      <c r="G1503" s="3"/>
      <c r="L1503" s="157"/>
      <c r="M1503" s="157"/>
      <c r="O1503" s="147"/>
      <c r="P1503" s="147"/>
      <c r="Q1503" s="147"/>
      <c r="R1503" s="147"/>
      <c r="S1503" s="147"/>
      <c r="T1503" s="147"/>
      <c r="U1503" s="147"/>
      <c r="V1503" s="147"/>
      <c r="W1503" s="147"/>
      <c r="X1503" s="147"/>
      <c r="Y1503" s="147"/>
      <c r="Z1503" s="147"/>
      <c r="AA1503" s="147"/>
      <c r="AB1503" s="147"/>
      <c r="AC1503" s="147"/>
      <c r="AD1503" s="147"/>
      <c r="AE1503" s="147"/>
      <c r="AF1503" s="147"/>
      <c r="AG1503" s="147"/>
      <c r="AH1503" s="147"/>
      <c r="AI1503" s="147"/>
      <c r="AJ1503" s="147"/>
      <c r="AK1503" s="147"/>
      <c r="AL1503" s="147"/>
      <c r="AM1503" s="151"/>
      <c r="AN1503" s="147"/>
      <c r="AO1503" s="147"/>
      <c r="AP1503" s="147"/>
      <c r="AQ1503" s="147"/>
      <c r="AR1503" s="147"/>
      <c r="AS1503" s="147"/>
      <c r="AT1503" s="147"/>
      <c r="AU1503" s="147"/>
      <c r="AV1503" s="147"/>
      <c r="AW1503" s="147"/>
      <c r="AX1503" s="147"/>
      <c r="AY1503" s="147"/>
      <c r="AZ1503" s="147"/>
      <c r="BA1503" s="147"/>
      <c r="BB1503" s="147"/>
      <c r="BC1503" s="147"/>
      <c r="BD1503" s="147"/>
      <c r="BE1503" s="147"/>
      <c r="BF1503" s="147"/>
      <c r="BG1503" s="147"/>
      <c r="BH1503" s="147"/>
      <c r="BI1503" s="147"/>
      <c r="BJ1503" s="147"/>
      <c r="BK1503" s="147"/>
      <c r="BL1503" s="147"/>
      <c r="BM1503" s="147"/>
      <c r="BN1503" s="147"/>
      <c r="BO1503" s="147"/>
      <c r="BP1503" s="147"/>
      <c r="BQ1503" s="147"/>
      <c r="BR1503" s="147"/>
      <c r="BS1503" s="147"/>
      <c r="BT1503" s="147"/>
      <c r="BU1503" s="147"/>
      <c r="BV1503" s="147"/>
      <c r="BW1503" s="147"/>
      <c r="BX1503" s="147"/>
      <c r="BY1503" s="147"/>
      <c r="BZ1503" s="147"/>
      <c r="CA1503" s="147"/>
      <c r="CB1503" s="147"/>
      <c r="CC1503" s="147"/>
      <c r="CD1503" s="147"/>
      <c r="CE1503" s="147"/>
      <c r="CF1503" s="147"/>
      <c r="CG1503" s="147"/>
      <c r="CH1503" s="147"/>
      <c r="CI1503" s="147"/>
      <c r="CJ1503" s="147"/>
      <c r="CK1503" s="147"/>
    </row>
    <row r="1504" spans="1:89">
      <c r="A1504" s="157"/>
      <c r="F1504" s="3"/>
      <c r="G1504" s="3"/>
      <c r="L1504" s="157"/>
      <c r="M1504" s="157"/>
      <c r="O1504" s="147"/>
      <c r="P1504" s="147"/>
      <c r="Q1504" s="147"/>
      <c r="R1504" s="147"/>
      <c r="S1504" s="147"/>
      <c r="T1504" s="147"/>
      <c r="U1504" s="147"/>
      <c r="V1504" s="147"/>
      <c r="W1504" s="147"/>
      <c r="X1504" s="147"/>
      <c r="Y1504" s="147"/>
      <c r="Z1504" s="147"/>
      <c r="AA1504" s="147"/>
      <c r="AB1504" s="147"/>
      <c r="AC1504" s="147"/>
      <c r="AD1504" s="147"/>
      <c r="AE1504" s="147"/>
      <c r="AF1504" s="147"/>
      <c r="AG1504" s="147"/>
      <c r="AH1504" s="147"/>
      <c r="AI1504" s="147"/>
      <c r="AJ1504" s="147"/>
      <c r="AK1504" s="147"/>
      <c r="AL1504" s="147"/>
      <c r="AM1504" s="151"/>
      <c r="AN1504" s="147"/>
      <c r="AO1504" s="147"/>
      <c r="AP1504" s="147"/>
      <c r="AQ1504" s="147"/>
      <c r="AR1504" s="147"/>
      <c r="AS1504" s="147"/>
      <c r="AT1504" s="147"/>
      <c r="AU1504" s="147"/>
      <c r="AV1504" s="147"/>
      <c r="AW1504" s="147"/>
      <c r="AX1504" s="147"/>
      <c r="AY1504" s="147"/>
      <c r="AZ1504" s="147"/>
      <c r="BA1504" s="147"/>
      <c r="BB1504" s="147"/>
      <c r="BC1504" s="147"/>
      <c r="BD1504" s="147"/>
      <c r="BE1504" s="147"/>
      <c r="BF1504" s="147"/>
      <c r="BG1504" s="147"/>
      <c r="BH1504" s="147"/>
      <c r="BI1504" s="147"/>
      <c r="BJ1504" s="147"/>
      <c r="BK1504" s="147"/>
      <c r="BL1504" s="147"/>
      <c r="BM1504" s="147"/>
      <c r="BN1504" s="147"/>
      <c r="BO1504" s="147"/>
      <c r="BP1504" s="147"/>
      <c r="BQ1504" s="147"/>
      <c r="BR1504" s="147"/>
      <c r="BS1504" s="147"/>
      <c r="BT1504" s="147"/>
      <c r="BU1504" s="147"/>
      <c r="BV1504" s="147"/>
      <c r="BW1504" s="147"/>
      <c r="BX1504" s="147"/>
      <c r="BY1504" s="147"/>
      <c r="BZ1504" s="147"/>
      <c r="CA1504" s="147"/>
      <c r="CB1504" s="147"/>
      <c r="CC1504" s="147"/>
      <c r="CD1504" s="147"/>
      <c r="CE1504" s="147"/>
      <c r="CF1504" s="147"/>
      <c r="CG1504" s="147"/>
      <c r="CH1504" s="147"/>
      <c r="CI1504" s="147"/>
      <c r="CJ1504" s="147"/>
      <c r="CK1504" s="147"/>
    </row>
    <row r="1505" spans="1:89">
      <c r="A1505" s="157"/>
      <c r="F1505" s="3"/>
      <c r="G1505" s="3"/>
      <c r="L1505" s="157"/>
      <c r="M1505" s="157"/>
      <c r="O1505" s="147"/>
      <c r="P1505" s="147"/>
      <c r="Q1505" s="147"/>
      <c r="R1505" s="147"/>
      <c r="S1505" s="147"/>
      <c r="T1505" s="147"/>
      <c r="U1505" s="147"/>
      <c r="V1505" s="147"/>
      <c r="W1505" s="147"/>
      <c r="X1505" s="147"/>
      <c r="Y1505" s="147"/>
      <c r="Z1505" s="147"/>
      <c r="AA1505" s="147"/>
      <c r="AB1505" s="147"/>
      <c r="AC1505" s="147"/>
      <c r="AD1505" s="147"/>
      <c r="AE1505" s="147"/>
      <c r="AF1505" s="147"/>
      <c r="AG1505" s="147"/>
      <c r="AH1505" s="147"/>
      <c r="AI1505" s="147"/>
      <c r="AJ1505" s="147"/>
      <c r="AK1505" s="147"/>
      <c r="AL1505" s="147"/>
      <c r="AM1505" s="151"/>
      <c r="AN1505" s="147"/>
      <c r="AO1505" s="147"/>
      <c r="AP1505" s="147"/>
      <c r="AQ1505" s="147"/>
      <c r="AR1505" s="147"/>
      <c r="AS1505" s="147"/>
      <c r="AT1505" s="147"/>
      <c r="AU1505" s="147"/>
      <c r="AV1505" s="147"/>
      <c r="AW1505" s="147"/>
      <c r="AX1505" s="147"/>
      <c r="AY1505" s="147"/>
      <c r="AZ1505" s="147"/>
      <c r="BA1505" s="147"/>
      <c r="BB1505" s="147"/>
      <c r="BC1505" s="147"/>
      <c r="BD1505" s="147"/>
      <c r="BE1505" s="147"/>
      <c r="BF1505" s="147"/>
      <c r="BG1505" s="147"/>
      <c r="BH1505" s="147"/>
      <c r="BI1505" s="147"/>
      <c r="BJ1505" s="147"/>
      <c r="BK1505" s="147"/>
      <c r="BL1505" s="147"/>
      <c r="BM1505" s="147"/>
      <c r="BN1505" s="147"/>
      <c r="BO1505" s="147"/>
      <c r="BP1505" s="147"/>
      <c r="BQ1505" s="147"/>
      <c r="BR1505" s="147"/>
      <c r="BS1505" s="147"/>
      <c r="BT1505" s="147"/>
      <c r="BU1505" s="147"/>
      <c r="BV1505" s="147"/>
      <c r="BW1505" s="147"/>
      <c r="BX1505" s="147"/>
      <c r="BY1505" s="147"/>
      <c r="BZ1505" s="147"/>
      <c r="CA1505" s="147"/>
      <c r="CB1505" s="147"/>
      <c r="CC1505" s="147"/>
      <c r="CD1505" s="147"/>
      <c r="CE1505" s="147"/>
      <c r="CF1505" s="147"/>
      <c r="CG1505" s="147"/>
      <c r="CH1505" s="147"/>
      <c r="CI1505" s="147"/>
      <c r="CJ1505" s="147"/>
      <c r="CK1505" s="147"/>
    </row>
    <row r="1506" spans="1:89">
      <c r="A1506" s="157"/>
      <c r="F1506" s="3"/>
      <c r="G1506" s="3"/>
      <c r="L1506" s="157"/>
      <c r="M1506" s="157"/>
      <c r="O1506" s="147"/>
      <c r="P1506" s="147"/>
      <c r="Q1506" s="147"/>
      <c r="R1506" s="147"/>
      <c r="S1506" s="147"/>
      <c r="T1506" s="147"/>
      <c r="U1506" s="147"/>
      <c r="V1506" s="147"/>
      <c r="W1506" s="147"/>
      <c r="X1506" s="147"/>
      <c r="Y1506" s="147"/>
      <c r="Z1506" s="147"/>
      <c r="AA1506" s="147"/>
      <c r="AB1506" s="147"/>
      <c r="AC1506" s="147"/>
      <c r="AD1506" s="147"/>
      <c r="AE1506" s="147"/>
      <c r="AF1506" s="147"/>
      <c r="AG1506" s="147"/>
      <c r="AH1506" s="147"/>
      <c r="AI1506" s="147"/>
      <c r="AJ1506" s="147"/>
      <c r="AK1506" s="147"/>
      <c r="AL1506" s="147"/>
      <c r="AM1506" s="151"/>
      <c r="AN1506" s="147"/>
      <c r="AO1506" s="147"/>
      <c r="AP1506" s="147"/>
      <c r="AQ1506" s="147"/>
      <c r="AR1506" s="147"/>
      <c r="AS1506" s="147"/>
      <c r="AT1506" s="147"/>
      <c r="AU1506" s="147"/>
      <c r="AV1506" s="147"/>
      <c r="AW1506" s="147"/>
      <c r="AX1506" s="147"/>
      <c r="AY1506" s="147"/>
      <c r="AZ1506" s="147"/>
      <c r="BA1506" s="147"/>
      <c r="BB1506" s="147"/>
      <c r="BC1506" s="147"/>
      <c r="BD1506" s="147"/>
      <c r="BE1506" s="147"/>
      <c r="BF1506" s="147"/>
      <c r="BG1506" s="147"/>
      <c r="BH1506" s="147"/>
      <c r="BI1506" s="147"/>
      <c r="BJ1506" s="147"/>
      <c r="BK1506" s="147"/>
      <c r="BL1506" s="147"/>
      <c r="BM1506" s="147"/>
      <c r="BN1506" s="147"/>
      <c r="BO1506" s="147"/>
      <c r="BP1506" s="147"/>
      <c r="BQ1506" s="147"/>
      <c r="BR1506" s="147"/>
      <c r="BS1506" s="147"/>
      <c r="BT1506" s="147"/>
      <c r="BU1506" s="147"/>
      <c r="BV1506" s="147"/>
      <c r="BW1506" s="147"/>
      <c r="BX1506" s="147"/>
      <c r="BY1506" s="147"/>
      <c r="BZ1506" s="147"/>
      <c r="CA1506" s="147"/>
      <c r="CB1506" s="147"/>
      <c r="CC1506" s="147"/>
      <c r="CD1506" s="147"/>
      <c r="CE1506" s="147"/>
      <c r="CF1506" s="147"/>
      <c r="CG1506" s="147"/>
      <c r="CH1506" s="147"/>
      <c r="CI1506" s="147"/>
      <c r="CJ1506" s="147"/>
      <c r="CK1506" s="147"/>
    </row>
    <row r="1507" spans="1:89">
      <c r="A1507" s="157"/>
      <c r="F1507" s="3"/>
      <c r="G1507" s="3"/>
      <c r="L1507" s="157"/>
      <c r="M1507" s="157"/>
      <c r="O1507" s="147"/>
      <c r="P1507" s="147"/>
      <c r="Q1507" s="147"/>
      <c r="R1507" s="147"/>
      <c r="S1507" s="147"/>
      <c r="T1507" s="147"/>
      <c r="U1507" s="147"/>
      <c r="V1507" s="147"/>
      <c r="W1507" s="147"/>
      <c r="X1507" s="147"/>
      <c r="Y1507" s="147"/>
      <c r="Z1507" s="147"/>
      <c r="AA1507" s="147"/>
      <c r="AB1507" s="147"/>
      <c r="AC1507" s="147"/>
      <c r="AD1507" s="147"/>
      <c r="AE1507" s="147"/>
      <c r="AF1507" s="147"/>
      <c r="AG1507" s="147"/>
      <c r="AH1507" s="147"/>
      <c r="AI1507" s="147"/>
      <c r="AJ1507" s="147"/>
      <c r="AK1507" s="147"/>
      <c r="AL1507" s="147"/>
      <c r="AM1507" s="151"/>
      <c r="AN1507" s="147"/>
      <c r="AO1507" s="147"/>
      <c r="AP1507" s="147"/>
      <c r="AQ1507" s="147"/>
      <c r="AR1507" s="147"/>
      <c r="AS1507" s="147"/>
      <c r="AT1507" s="147"/>
      <c r="AU1507" s="147"/>
      <c r="AV1507" s="147"/>
      <c r="AW1507" s="147"/>
      <c r="AX1507" s="147"/>
      <c r="AY1507" s="147"/>
      <c r="AZ1507" s="147"/>
      <c r="BA1507" s="147"/>
      <c r="BB1507" s="147"/>
      <c r="BC1507" s="147"/>
      <c r="BD1507" s="147"/>
      <c r="BE1507" s="147"/>
      <c r="BF1507" s="147"/>
      <c r="BG1507" s="147"/>
      <c r="BH1507" s="147"/>
      <c r="BI1507" s="147"/>
      <c r="BJ1507" s="147"/>
      <c r="BK1507" s="147"/>
      <c r="BL1507" s="147"/>
      <c r="BM1507" s="147"/>
      <c r="BN1507" s="147"/>
      <c r="BO1507" s="147"/>
      <c r="BP1507" s="147"/>
      <c r="BQ1507" s="147"/>
      <c r="BR1507" s="147"/>
      <c r="BS1507" s="147"/>
      <c r="BT1507" s="147"/>
      <c r="BU1507" s="147"/>
      <c r="BV1507" s="147"/>
      <c r="BW1507" s="147"/>
      <c r="BX1507" s="147"/>
      <c r="BY1507" s="147"/>
      <c r="BZ1507" s="147"/>
      <c r="CA1507" s="147"/>
      <c r="CB1507" s="147"/>
      <c r="CC1507" s="147"/>
      <c r="CD1507" s="147"/>
      <c r="CE1507" s="147"/>
      <c r="CF1507" s="147"/>
      <c r="CG1507" s="147"/>
      <c r="CH1507" s="147"/>
      <c r="CI1507" s="147"/>
      <c r="CJ1507" s="147"/>
      <c r="CK1507" s="147"/>
    </row>
    <row r="1508" spans="1:89">
      <c r="A1508" s="157"/>
      <c r="F1508" s="3"/>
      <c r="G1508" s="3"/>
      <c r="L1508" s="157"/>
      <c r="M1508" s="157"/>
      <c r="O1508" s="147"/>
      <c r="P1508" s="147"/>
      <c r="Q1508" s="147"/>
      <c r="R1508" s="147"/>
      <c r="S1508" s="147"/>
      <c r="T1508" s="147"/>
      <c r="U1508" s="147"/>
      <c r="V1508" s="147"/>
      <c r="W1508" s="147"/>
      <c r="X1508" s="147"/>
      <c r="Y1508" s="147"/>
      <c r="Z1508" s="147"/>
      <c r="AA1508" s="147"/>
      <c r="AB1508" s="147"/>
      <c r="AC1508" s="147"/>
      <c r="AD1508" s="147"/>
      <c r="AE1508" s="147"/>
      <c r="AF1508" s="147"/>
      <c r="AG1508" s="147"/>
      <c r="AH1508" s="147"/>
      <c r="AI1508" s="147"/>
      <c r="AJ1508" s="147"/>
      <c r="AK1508" s="147"/>
      <c r="AL1508" s="147"/>
      <c r="AM1508" s="151"/>
      <c r="AN1508" s="147"/>
      <c r="AO1508" s="147"/>
      <c r="AP1508" s="147"/>
      <c r="AQ1508" s="147"/>
      <c r="AR1508" s="147"/>
      <c r="AS1508" s="147"/>
      <c r="AT1508" s="147"/>
      <c r="AU1508" s="147"/>
      <c r="AV1508" s="147"/>
      <c r="AW1508" s="147"/>
      <c r="AX1508" s="147"/>
      <c r="AY1508" s="147"/>
      <c r="AZ1508" s="147"/>
      <c r="BA1508" s="147"/>
      <c r="BB1508" s="147"/>
      <c r="BC1508" s="147"/>
      <c r="BD1508" s="147"/>
      <c r="BE1508" s="147"/>
      <c r="BF1508" s="147"/>
      <c r="BG1508" s="147"/>
      <c r="BH1508" s="147"/>
      <c r="BI1508" s="147"/>
      <c r="BJ1508" s="147"/>
      <c r="BK1508" s="147"/>
      <c r="BL1508" s="147"/>
      <c r="BM1508" s="147"/>
      <c r="BN1508" s="147"/>
      <c r="BO1508" s="147"/>
      <c r="BP1508" s="147"/>
      <c r="BQ1508" s="147"/>
      <c r="BR1508" s="147"/>
      <c r="BS1508" s="147"/>
      <c r="BT1508" s="147"/>
      <c r="BU1508" s="147"/>
      <c r="BV1508" s="147"/>
      <c r="BW1508" s="147"/>
      <c r="BX1508" s="147"/>
      <c r="BY1508" s="147"/>
      <c r="BZ1508" s="147"/>
      <c r="CA1508" s="147"/>
      <c r="CB1508" s="147"/>
      <c r="CC1508" s="147"/>
      <c r="CD1508" s="147"/>
      <c r="CE1508" s="147"/>
      <c r="CF1508" s="147"/>
      <c r="CG1508" s="147"/>
      <c r="CH1508" s="147"/>
      <c r="CI1508" s="147"/>
      <c r="CJ1508" s="147"/>
      <c r="CK1508" s="147"/>
    </row>
    <row r="1509" spans="1:89">
      <c r="A1509" s="157"/>
      <c r="F1509" s="3"/>
      <c r="G1509" s="3"/>
      <c r="L1509" s="157"/>
      <c r="M1509" s="157"/>
      <c r="O1509" s="147"/>
      <c r="P1509" s="147"/>
      <c r="Q1509" s="147"/>
      <c r="R1509" s="147"/>
      <c r="S1509" s="147"/>
      <c r="T1509" s="147"/>
      <c r="U1509" s="147"/>
      <c r="V1509" s="147"/>
      <c r="W1509" s="147"/>
      <c r="X1509" s="147"/>
      <c r="Y1509" s="147"/>
      <c r="Z1509" s="147"/>
      <c r="AA1509" s="147"/>
      <c r="AB1509" s="147"/>
      <c r="AC1509" s="147"/>
      <c r="AD1509" s="147"/>
      <c r="AE1509" s="147"/>
      <c r="AF1509" s="147"/>
      <c r="AG1509" s="147"/>
      <c r="AH1509" s="147"/>
      <c r="AI1509" s="147"/>
      <c r="AJ1509" s="147"/>
      <c r="AK1509" s="147"/>
      <c r="AL1509" s="147"/>
      <c r="AM1509" s="151"/>
      <c r="AN1509" s="147"/>
      <c r="AO1509" s="147"/>
      <c r="AP1509" s="147"/>
      <c r="AQ1509" s="147"/>
      <c r="AR1509" s="147"/>
      <c r="AS1509" s="147"/>
      <c r="AT1509" s="147"/>
      <c r="AU1509" s="147"/>
      <c r="AV1509" s="147"/>
      <c r="AW1509" s="147"/>
      <c r="AX1509" s="147"/>
      <c r="AY1509" s="147"/>
      <c r="AZ1509" s="147"/>
      <c r="BA1509" s="147"/>
      <c r="BB1509" s="147"/>
      <c r="BC1509" s="147"/>
      <c r="BD1509" s="147"/>
      <c r="BE1509" s="147"/>
      <c r="BF1509" s="147"/>
      <c r="BG1509" s="147"/>
      <c r="BH1509" s="147"/>
      <c r="BI1509" s="147"/>
      <c r="BJ1509" s="147"/>
      <c r="BK1509" s="147"/>
      <c r="BL1509" s="147"/>
      <c r="BM1509" s="147"/>
      <c r="BN1509" s="147"/>
      <c r="BO1509" s="147"/>
      <c r="BP1509" s="147"/>
      <c r="BQ1509" s="147"/>
      <c r="BR1509" s="147"/>
      <c r="BS1509" s="147"/>
      <c r="BT1509" s="147"/>
      <c r="BU1509" s="147"/>
      <c r="BV1509" s="147"/>
      <c r="BW1509" s="147"/>
      <c r="BX1509" s="147"/>
      <c r="BY1509" s="147"/>
      <c r="BZ1509" s="147"/>
      <c r="CA1509" s="147"/>
      <c r="CB1509" s="147"/>
      <c r="CC1509" s="147"/>
      <c r="CD1509" s="147"/>
      <c r="CE1509" s="147"/>
      <c r="CF1509" s="147"/>
      <c r="CG1509" s="147"/>
      <c r="CH1509" s="147"/>
      <c r="CI1509" s="147"/>
      <c r="CJ1509" s="147"/>
      <c r="CK1509" s="147"/>
    </row>
    <row r="1510" spans="1:89">
      <c r="A1510" s="157"/>
      <c r="F1510" s="3"/>
      <c r="G1510" s="3"/>
      <c r="L1510" s="157"/>
      <c r="M1510" s="157"/>
      <c r="O1510" s="147"/>
      <c r="P1510" s="147"/>
      <c r="Q1510" s="147"/>
      <c r="R1510" s="147"/>
      <c r="S1510" s="147"/>
      <c r="T1510" s="147"/>
      <c r="U1510" s="147"/>
      <c r="V1510" s="147"/>
      <c r="W1510" s="147"/>
      <c r="X1510" s="147"/>
      <c r="Y1510" s="147"/>
      <c r="Z1510" s="147"/>
      <c r="AA1510" s="147"/>
      <c r="AB1510" s="147"/>
      <c r="AC1510" s="147"/>
      <c r="AD1510" s="147"/>
      <c r="AE1510" s="147"/>
      <c r="AF1510" s="147"/>
      <c r="AG1510" s="147"/>
      <c r="AH1510" s="147"/>
      <c r="AI1510" s="147"/>
      <c r="AJ1510" s="147"/>
      <c r="AK1510" s="147"/>
      <c r="AL1510" s="147"/>
      <c r="AM1510" s="151"/>
      <c r="AN1510" s="147"/>
      <c r="AO1510" s="147"/>
      <c r="AP1510" s="147"/>
      <c r="AQ1510" s="147"/>
      <c r="AR1510" s="147"/>
      <c r="AS1510" s="147"/>
      <c r="AT1510" s="147"/>
      <c r="AU1510" s="147"/>
      <c r="AV1510" s="147"/>
      <c r="AW1510" s="147"/>
      <c r="AX1510" s="147"/>
      <c r="AY1510" s="147"/>
      <c r="AZ1510" s="147"/>
      <c r="BA1510" s="147"/>
      <c r="BB1510" s="147"/>
      <c r="BC1510" s="147"/>
      <c r="BD1510" s="147"/>
      <c r="BE1510" s="147"/>
      <c r="BF1510" s="147"/>
      <c r="BG1510" s="147"/>
      <c r="BH1510" s="147"/>
      <c r="BI1510" s="147"/>
      <c r="BJ1510" s="147"/>
      <c r="BK1510" s="147"/>
      <c r="BL1510" s="147"/>
      <c r="BM1510" s="147"/>
      <c r="BN1510" s="147"/>
      <c r="BO1510" s="147"/>
      <c r="BP1510" s="147"/>
      <c r="BQ1510" s="147"/>
      <c r="BR1510" s="147"/>
      <c r="BS1510" s="147"/>
      <c r="BT1510" s="147"/>
      <c r="BU1510" s="147"/>
      <c r="BV1510" s="147"/>
      <c r="BW1510" s="147"/>
      <c r="BX1510" s="147"/>
      <c r="BY1510" s="147"/>
      <c r="BZ1510" s="147"/>
      <c r="CA1510" s="147"/>
      <c r="CB1510" s="147"/>
      <c r="CC1510" s="147"/>
      <c r="CD1510" s="147"/>
      <c r="CE1510" s="147"/>
      <c r="CF1510" s="147"/>
      <c r="CG1510" s="147"/>
      <c r="CH1510" s="147"/>
      <c r="CI1510" s="147"/>
      <c r="CJ1510" s="147"/>
      <c r="CK1510" s="147"/>
    </row>
    <row r="1511" spans="1:89">
      <c r="A1511" s="157"/>
      <c r="F1511" s="3"/>
      <c r="G1511" s="3"/>
      <c r="L1511" s="157"/>
      <c r="M1511" s="157"/>
      <c r="O1511" s="147"/>
      <c r="P1511" s="147"/>
      <c r="Q1511" s="147"/>
      <c r="R1511" s="147"/>
      <c r="S1511" s="147"/>
      <c r="T1511" s="147"/>
      <c r="U1511" s="147"/>
      <c r="V1511" s="147"/>
      <c r="W1511" s="147"/>
      <c r="X1511" s="147"/>
      <c r="Y1511" s="147"/>
      <c r="Z1511" s="147"/>
      <c r="AA1511" s="147"/>
      <c r="AB1511" s="147"/>
      <c r="AC1511" s="147"/>
      <c r="AD1511" s="147"/>
      <c r="AE1511" s="147"/>
      <c r="AF1511" s="147"/>
      <c r="AG1511" s="147"/>
      <c r="AH1511" s="147"/>
      <c r="AI1511" s="147"/>
      <c r="AJ1511" s="147"/>
      <c r="AK1511" s="147"/>
      <c r="AL1511" s="147"/>
      <c r="AM1511" s="151"/>
      <c r="AN1511" s="147"/>
      <c r="AO1511" s="147"/>
      <c r="AP1511" s="147"/>
      <c r="AQ1511" s="147"/>
      <c r="AR1511" s="147"/>
      <c r="AS1511" s="147"/>
      <c r="AT1511" s="147"/>
      <c r="AU1511" s="147"/>
      <c r="AV1511" s="147"/>
      <c r="AW1511" s="147"/>
      <c r="AX1511" s="147"/>
      <c r="AY1511" s="147"/>
      <c r="AZ1511" s="147"/>
      <c r="BA1511" s="147"/>
      <c r="BB1511" s="147"/>
      <c r="BC1511" s="147"/>
      <c r="BD1511" s="147"/>
      <c r="BE1511" s="147"/>
      <c r="BF1511" s="147"/>
      <c r="BG1511" s="147"/>
      <c r="BH1511" s="147"/>
      <c r="BI1511" s="147"/>
      <c r="BJ1511" s="147"/>
      <c r="BK1511" s="147"/>
      <c r="BL1511" s="147"/>
      <c r="BM1511" s="147"/>
      <c r="BN1511" s="147"/>
      <c r="BO1511" s="147"/>
      <c r="BP1511" s="147"/>
      <c r="BQ1511" s="147"/>
      <c r="BR1511" s="147"/>
      <c r="BS1511" s="147"/>
      <c r="BT1511" s="147"/>
      <c r="BU1511" s="147"/>
      <c r="BV1511" s="147"/>
      <c r="BW1511" s="147"/>
      <c r="BX1511" s="147"/>
      <c r="BY1511" s="147"/>
      <c r="BZ1511" s="147"/>
      <c r="CA1511" s="147"/>
      <c r="CB1511" s="147"/>
      <c r="CC1511" s="147"/>
      <c r="CD1511" s="147"/>
      <c r="CE1511" s="147"/>
      <c r="CF1511" s="147"/>
      <c r="CG1511" s="147"/>
      <c r="CH1511" s="147"/>
      <c r="CI1511" s="147"/>
      <c r="CJ1511" s="147"/>
      <c r="CK1511" s="147"/>
    </row>
    <row r="1512" spans="1:89">
      <c r="A1512" s="157"/>
      <c r="F1512" s="3"/>
      <c r="G1512" s="3"/>
      <c r="L1512" s="157"/>
      <c r="M1512" s="157"/>
      <c r="O1512" s="147"/>
      <c r="P1512" s="147"/>
      <c r="Q1512" s="147"/>
      <c r="R1512" s="147"/>
      <c r="S1512" s="147"/>
      <c r="T1512" s="147"/>
      <c r="U1512" s="147"/>
      <c r="V1512" s="147"/>
      <c r="W1512" s="147"/>
      <c r="X1512" s="147"/>
      <c r="Y1512" s="147"/>
      <c r="Z1512" s="147"/>
      <c r="AA1512" s="147"/>
      <c r="AB1512" s="147"/>
      <c r="AC1512" s="147"/>
      <c r="AD1512" s="147"/>
      <c r="AE1512" s="147"/>
      <c r="AF1512" s="147"/>
      <c r="AG1512" s="147"/>
      <c r="AH1512" s="147"/>
      <c r="AI1512" s="147"/>
      <c r="AJ1512" s="147"/>
      <c r="AK1512" s="147"/>
      <c r="AL1512" s="147"/>
      <c r="AM1512" s="151"/>
      <c r="AN1512" s="147"/>
      <c r="AO1512" s="147"/>
      <c r="AP1512" s="147"/>
      <c r="AQ1512" s="147"/>
      <c r="AR1512" s="147"/>
      <c r="AS1512" s="147"/>
      <c r="AT1512" s="147"/>
      <c r="AU1512" s="147"/>
      <c r="AV1512" s="147"/>
      <c r="AW1512" s="147"/>
      <c r="AX1512" s="147"/>
      <c r="AY1512" s="147"/>
      <c r="AZ1512" s="147"/>
      <c r="BA1512" s="147"/>
      <c r="BB1512" s="147"/>
      <c r="BC1512" s="147"/>
      <c r="BD1512" s="147"/>
      <c r="BE1512" s="147"/>
      <c r="BF1512" s="147"/>
      <c r="BG1512" s="147"/>
      <c r="BH1512" s="147"/>
      <c r="BI1512" s="147"/>
      <c r="BJ1512" s="147"/>
      <c r="BK1512" s="147"/>
      <c r="BL1512" s="147"/>
      <c r="BM1512" s="147"/>
      <c r="BN1512" s="147"/>
      <c r="BO1512" s="147"/>
      <c r="BP1512" s="147"/>
      <c r="BQ1512" s="147"/>
      <c r="BR1512" s="147"/>
      <c r="BS1512" s="147"/>
      <c r="BT1512" s="147"/>
      <c r="BU1512" s="147"/>
      <c r="BV1512" s="147"/>
      <c r="BW1512" s="147"/>
      <c r="BX1512" s="147"/>
      <c r="BY1512" s="147"/>
      <c r="BZ1512" s="147"/>
      <c r="CA1512" s="147"/>
      <c r="CB1512" s="147"/>
      <c r="CC1512" s="147"/>
      <c r="CD1512" s="147"/>
      <c r="CE1512" s="147"/>
      <c r="CF1512" s="147"/>
      <c r="CG1512" s="147"/>
      <c r="CH1512" s="147"/>
      <c r="CI1512" s="147"/>
      <c r="CJ1512" s="147"/>
      <c r="CK1512" s="147"/>
    </row>
    <row r="1513" spans="1:89">
      <c r="A1513" s="157"/>
      <c r="F1513" s="3"/>
      <c r="G1513" s="3"/>
      <c r="L1513" s="157"/>
      <c r="M1513" s="157"/>
      <c r="O1513" s="147"/>
      <c r="P1513" s="147"/>
      <c r="Q1513" s="147"/>
      <c r="R1513" s="147"/>
      <c r="S1513" s="147"/>
      <c r="T1513" s="147"/>
      <c r="U1513" s="147"/>
      <c r="V1513" s="147"/>
      <c r="W1513" s="147"/>
      <c r="X1513" s="147"/>
      <c r="Y1513" s="147"/>
      <c r="Z1513" s="147"/>
      <c r="AA1513" s="147"/>
      <c r="AB1513" s="147"/>
      <c r="AC1513" s="147"/>
      <c r="AD1513" s="147"/>
      <c r="AE1513" s="147"/>
      <c r="AF1513" s="147"/>
      <c r="AG1513" s="147"/>
      <c r="AH1513" s="147"/>
      <c r="AI1513" s="147"/>
      <c r="AJ1513" s="147"/>
      <c r="AK1513" s="147"/>
      <c r="AL1513" s="147"/>
      <c r="AM1513" s="151"/>
      <c r="AN1513" s="147"/>
      <c r="AO1513" s="147"/>
      <c r="AP1513" s="147"/>
      <c r="AQ1513" s="147"/>
      <c r="AR1513" s="147"/>
      <c r="AS1513" s="147"/>
      <c r="AT1513" s="147"/>
      <c r="AU1513" s="147"/>
      <c r="AV1513" s="147"/>
      <c r="AW1513" s="147"/>
      <c r="AX1513" s="147"/>
      <c r="AY1513" s="147"/>
      <c r="AZ1513" s="147"/>
      <c r="BA1513" s="147"/>
      <c r="BB1513" s="147"/>
      <c r="BC1513" s="147"/>
      <c r="BD1513" s="147"/>
      <c r="BE1513" s="147"/>
      <c r="BF1513" s="147"/>
      <c r="BG1513" s="147"/>
      <c r="BH1513" s="147"/>
      <c r="BI1513" s="147"/>
      <c r="BJ1513" s="147"/>
      <c r="BK1513" s="147"/>
      <c r="BL1513" s="147"/>
      <c r="BM1513" s="147"/>
      <c r="BN1513" s="147"/>
      <c r="BO1513" s="147"/>
      <c r="BP1513" s="147"/>
      <c r="BQ1513" s="147"/>
      <c r="BR1513" s="147"/>
      <c r="BS1513" s="147"/>
      <c r="BT1513" s="147"/>
      <c r="BU1513" s="147"/>
      <c r="BV1513" s="147"/>
      <c r="BW1513" s="147"/>
      <c r="BX1513" s="147"/>
      <c r="BY1513" s="147"/>
      <c r="BZ1513" s="147"/>
      <c r="CA1513" s="147"/>
      <c r="CB1513" s="147"/>
      <c r="CC1513" s="147"/>
      <c r="CD1513" s="147"/>
      <c r="CE1513" s="147"/>
      <c r="CF1513" s="147"/>
      <c r="CG1513" s="147"/>
      <c r="CH1513" s="147"/>
      <c r="CI1513" s="147"/>
      <c r="CJ1513" s="147"/>
      <c r="CK1513" s="147"/>
    </row>
    <row r="1514" spans="1:89">
      <c r="A1514" s="157"/>
      <c r="F1514" s="3"/>
      <c r="G1514" s="3"/>
      <c r="L1514" s="157"/>
      <c r="M1514" s="157"/>
      <c r="O1514" s="147"/>
      <c r="P1514" s="147"/>
      <c r="Q1514" s="147"/>
      <c r="R1514" s="147"/>
      <c r="S1514" s="147"/>
      <c r="T1514" s="147"/>
      <c r="U1514" s="147"/>
      <c r="V1514" s="147"/>
      <c r="W1514" s="147"/>
      <c r="X1514" s="147"/>
      <c r="Y1514" s="147"/>
      <c r="Z1514" s="147"/>
      <c r="AA1514" s="147"/>
      <c r="AB1514" s="147"/>
      <c r="AC1514" s="147"/>
      <c r="AD1514" s="147"/>
      <c r="AE1514" s="147"/>
      <c r="AF1514" s="147"/>
      <c r="AG1514" s="147"/>
      <c r="AH1514" s="147"/>
      <c r="AI1514" s="147"/>
      <c r="AJ1514" s="147"/>
      <c r="AK1514" s="147"/>
      <c r="AL1514" s="147"/>
      <c r="AM1514" s="151"/>
      <c r="AN1514" s="147"/>
      <c r="AO1514" s="147"/>
      <c r="AP1514" s="147"/>
      <c r="AQ1514" s="147"/>
      <c r="AR1514" s="147"/>
      <c r="AS1514" s="147"/>
      <c r="AT1514" s="147"/>
      <c r="AU1514" s="147"/>
      <c r="AV1514" s="147"/>
      <c r="AW1514" s="147"/>
      <c r="AX1514" s="147"/>
      <c r="AY1514" s="147"/>
      <c r="AZ1514" s="147"/>
      <c r="BA1514" s="147"/>
      <c r="BB1514" s="147"/>
      <c r="BC1514" s="147"/>
      <c r="BD1514" s="147"/>
      <c r="BE1514" s="147"/>
      <c r="BF1514" s="147"/>
      <c r="BG1514" s="147"/>
      <c r="BH1514" s="147"/>
      <c r="BI1514" s="147"/>
      <c r="BJ1514" s="147"/>
      <c r="BK1514" s="147"/>
      <c r="BL1514" s="147"/>
      <c r="BM1514" s="147"/>
      <c r="BN1514" s="147"/>
      <c r="BO1514" s="147"/>
      <c r="BP1514" s="147"/>
      <c r="BQ1514" s="147"/>
      <c r="BR1514" s="147"/>
      <c r="BS1514" s="147"/>
      <c r="BT1514" s="147"/>
      <c r="BU1514" s="147"/>
      <c r="BV1514" s="147"/>
      <c r="BW1514" s="147"/>
      <c r="BX1514" s="147"/>
      <c r="BY1514" s="147"/>
      <c r="BZ1514" s="147"/>
      <c r="CA1514" s="147"/>
      <c r="CB1514" s="147"/>
      <c r="CC1514" s="147"/>
      <c r="CD1514" s="147"/>
      <c r="CE1514" s="147"/>
      <c r="CF1514" s="147"/>
      <c r="CG1514" s="147"/>
      <c r="CH1514" s="147"/>
      <c r="CI1514" s="147"/>
      <c r="CJ1514" s="147"/>
      <c r="CK1514" s="147"/>
    </row>
    <row r="1515" spans="1:89">
      <c r="A1515" s="157"/>
      <c r="F1515" s="3"/>
      <c r="G1515" s="3"/>
      <c r="L1515" s="157"/>
      <c r="M1515" s="157"/>
      <c r="O1515" s="147"/>
      <c r="P1515" s="147"/>
      <c r="Q1515" s="147"/>
      <c r="R1515" s="147"/>
      <c r="S1515" s="147"/>
      <c r="T1515" s="147"/>
      <c r="U1515" s="147"/>
      <c r="V1515" s="147"/>
      <c r="W1515" s="147"/>
      <c r="X1515" s="147"/>
      <c r="Y1515" s="147"/>
      <c r="Z1515" s="147"/>
      <c r="AA1515" s="147"/>
      <c r="AB1515" s="147"/>
      <c r="AC1515" s="147"/>
      <c r="AD1515" s="147"/>
      <c r="AE1515" s="147"/>
      <c r="AF1515" s="147"/>
      <c r="AG1515" s="147"/>
      <c r="AH1515" s="147"/>
      <c r="AI1515" s="147"/>
      <c r="AJ1515" s="147"/>
      <c r="AK1515" s="147"/>
      <c r="AL1515" s="147"/>
      <c r="AM1515" s="151"/>
      <c r="AN1515" s="147"/>
      <c r="AO1515" s="147"/>
      <c r="AP1515" s="147"/>
      <c r="AQ1515" s="147"/>
      <c r="AR1515" s="147"/>
      <c r="AS1515" s="147"/>
      <c r="AT1515" s="147"/>
      <c r="AU1515" s="147"/>
      <c r="AV1515" s="147"/>
      <c r="AW1515" s="147"/>
      <c r="AX1515" s="147"/>
      <c r="AY1515" s="147"/>
      <c r="AZ1515" s="147"/>
      <c r="BA1515" s="147"/>
      <c r="BB1515" s="147"/>
      <c r="BC1515" s="147"/>
      <c r="BD1515" s="147"/>
      <c r="BE1515" s="147"/>
      <c r="BF1515" s="147"/>
      <c r="BG1515" s="147"/>
      <c r="BH1515" s="147"/>
      <c r="BI1515" s="147"/>
      <c r="BJ1515" s="147"/>
      <c r="BK1515" s="147"/>
      <c r="BL1515" s="147"/>
      <c r="BM1515" s="147"/>
      <c r="BN1515" s="147"/>
      <c r="BO1515" s="147"/>
      <c r="BP1515" s="147"/>
      <c r="BQ1515" s="147"/>
      <c r="BR1515" s="147"/>
      <c r="BS1515" s="147"/>
      <c r="BT1515" s="147"/>
      <c r="BU1515" s="147"/>
      <c r="BV1515" s="147"/>
      <c r="BW1515" s="147"/>
      <c r="BX1515" s="147"/>
      <c r="BY1515" s="147"/>
      <c r="BZ1515" s="147"/>
      <c r="CA1515" s="147"/>
      <c r="CB1515" s="147"/>
      <c r="CC1515" s="147"/>
      <c r="CD1515" s="147"/>
      <c r="CE1515" s="147"/>
      <c r="CF1515" s="147"/>
      <c r="CG1515" s="147"/>
      <c r="CH1515" s="147"/>
      <c r="CI1515" s="147"/>
      <c r="CJ1515" s="147"/>
      <c r="CK1515" s="147"/>
    </row>
    <row r="1516" spans="1:89">
      <c r="A1516" s="157"/>
      <c r="F1516" s="3"/>
      <c r="G1516" s="3"/>
      <c r="L1516" s="157"/>
      <c r="M1516" s="157"/>
      <c r="O1516" s="147"/>
      <c r="P1516" s="147"/>
      <c r="Q1516" s="147"/>
      <c r="R1516" s="147"/>
      <c r="S1516" s="147"/>
      <c r="T1516" s="147"/>
      <c r="U1516" s="147"/>
      <c r="V1516" s="147"/>
      <c r="W1516" s="147"/>
      <c r="X1516" s="147"/>
      <c r="Y1516" s="147"/>
      <c r="Z1516" s="147"/>
      <c r="AA1516" s="147"/>
      <c r="AB1516" s="147"/>
      <c r="AC1516" s="147"/>
      <c r="AD1516" s="147"/>
      <c r="AE1516" s="147"/>
      <c r="AF1516" s="147"/>
      <c r="AG1516" s="147"/>
      <c r="AH1516" s="147"/>
      <c r="AI1516" s="147"/>
      <c r="AJ1516" s="147"/>
      <c r="AK1516" s="147"/>
      <c r="AL1516" s="147"/>
      <c r="AM1516" s="151"/>
      <c r="AN1516" s="147"/>
      <c r="AO1516" s="147"/>
      <c r="AP1516" s="147"/>
      <c r="AQ1516" s="147"/>
      <c r="AR1516" s="147"/>
      <c r="AS1516" s="147"/>
      <c r="AT1516" s="147"/>
      <c r="AU1516" s="147"/>
      <c r="AV1516" s="147"/>
      <c r="AW1516" s="147"/>
      <c r="AX1516" s="147"/>
      <c r="AY1516" s="147"/>
      <c r="AZ1516" s="147"/>
      <c r="BA1516" s="147"/>
      <c r="BB1516" s="147"/>
      <c r="BC1516" s="147"/>
      <c r="BD1516" s="147"/>
      <c r="BE1516" s="147"/>
      <c r="BF1516" s="147"/>
      <c r="BG1516" s="147"/>
      <c r="BH1516" s="147"/>
      <c r="BI1516" s="147"/>
      <c r="BJ1516" s="147"/>
      <c r="BK1516" s="147"/>
      <c r="BL1516" s="147"/>
      <c r="BM1516" s="147"/>
      <c r="BN1516" s="147"/>
      <c r="BO1516" s="147"/>
      <c r="BP1516" s="147"/>
      <c r="BQ1516" s="147"/>
      <c r="BR1516" s="147"/>
      <c r="BS1516" s="147"/>
      <c r="BT1516" s="147"/>
      <c r="BU1516" s="147"/>
      <c r="BV1516" s="147"/>
      <c r="BW1516" s="147"/>
      <c r="BX1516" s="147"/>
      <c r="BY1516" s="147"/>
      <c r="BZ1516" s="147"/>
      <c r="CA1516" s="147"/>
      <c r="CB1516" s="147"/>
      <c r="CC1516" s="147"/>
      <c r="CD1516" s="147"/>
      <c r="CE1516" s="147"/>
      <c r="CF1516" s="147"/>
      <c r="CG1516" s="147"/>
      <c r="CH1516" s="147"/>
      <c r="CI1516" s="147"/>
      <c r="CJ1516" s="147"/>
      <c r="CK1516" s="147"/>
    </row>
    <row r="1517" spans="1:89">
      <c r="A1517" s="157"/>
      <c r="F1517" s="3"/>
      <c r="G1517" s="3"/>
      <c r="L1517" s="157"/>
      <c r="M1517" s="157"/>
      <c r="O1517" s="147"/>
      <c r="P1517" s="147"/>
      <c r="Q1517" s="147"/>
      <c r="R1517" s="147"/>
      <c r="S1517" s="147"/>
      <c r="T1517" s="147"/>
      <c r="U1517" s="147"/>
      <c r="V1517" s="147"/>
      <c r="W1517" s="147"/>
      <c r="X1517" s="147"/>
      <c r="Y1517" s="147"/>
      <c r="Z1517" s="147"/>
      <c r="AA1517" s="147"/>
      <c r="AB1517" s="147"/>
      <c r="AC1517" s="147"/>
      <c r="AD1517" s="147"/>
      <c r="AE1517" s="147"/>
      <c r="AF1517" s="147"/>
      <c r="AG1517" s="147"/>
      <c r="AH1517" s="147"/>
      <c r="AI1517" s="147"/>
      <c r="AJ1517" s="147"/>
      <c r="AK1517" s="147"/>
      <c r="AL1517" s="147"/>
      <c r="AM1517" s="151"/>
      <c r="AN1517" s="147"/>
      <c r="AO1517" s="147"/>
      <c r="AP1517" s="147"/>
      <c r="AQ1517" s="147"/>
      <c r="AR1517" s="147"/>
      <c r="AS1517" s="147"/>
      <c r="AT1517" s="147"/>
      <c r="AU1517" s="147"/>
      <c r="AV1517" s="147"/>
      <c r="AW1517" s="147"/>
      <c r="AX1517" s="147"/>
      <c r="AY1517" s="147"/>
      <c r="AZ1517" s="147"/>
      <c r="BA1517" s="147"/>
      <c r="BB1517" s="147"/>
      <c r="BC1517" s="147"/>
      <c r="BD1517" s="147"/>
      <c r="BE1517" s="147"/>
      <c r="BF1517" s="147"/>
      <c r="BG1517" s="147"/>
      <c r="BH1517" s="147"/>
      <c r="BI1517" s="147"/>
      <c r="BJ1517" s="147"/>
      <c r="BK1517" s="147"/>
      <c r="BL1517" s="147"/>
      <c r="BM1517" s="147"/>
      <c r="BN1517" s="147"/>
      <c r="BO1517" s="147"/>
      <c r="BP1517" s="147"/>
      <c r="BQ1517" s="147"/>
      <c r="BR1517" s="147"/>
      <c r="BS1517" s="147"/>
      <c r="BT1517" s="147"/>
      <c r="BU1517" s="147"/>
      <c r="BV1517" s="147"/>
      <c r="BW1517" s="147"/>
      <c r="BX1517" s="147"/>
      <c r="BY1517" s="147"/>
      <c r="BZ1517" s="147"/>
      <c r="CA1517" s="147"/>
      <c r="CB1517" s="147"/>
      <c r="CC1517" s="147"/>
      <c r="CD1517" s="147"/>
      <c r="CE1517" s="147"/>
      <c r="CF1517" s="147"/>
      <c r="CG1517" s="147"/>
      <c r="CH1517" s="147"/>
      <c r="CI1517" s="147"/>
      <c r="CJ1517" s="147"/>
      <c r="CK1517" s="147"/>
    </row>
    <row r="1518" spans="1:89">
      <c r="A1518" s="157"/>
      <c r="F1518" s="3"/>
      <c r="G1518" s="3"/>
      <c r="L1518" s="157"/>
      <c r="M1518" s="157"/>
      <c r="O1518" s="147"/>
      <c r="P1518" s="147"/>
      <c r="Q1518" s="147"/>
      <c r="R1518" s="147"/>
      <c r="S1518" s="147"/>
      <c r="T1518" s="147"/>
      <c r="U1518" s="147"/>
      <c r="V1518" s="147"/>
      <c r="W1518" s="147"/>
      <c r="X1518" s="147"/>
      <c r="Y1518" s="147"/>
      <c r="Z1518" s="147"/>
      <c r="AA1518" s="147"/>
      <c r="AB1518" s="147"/>
      <c r="AC1518" s="147"/>
      <c r="AD1518" s="147"/>
      <c r="AE1518" s="147"/>
      <c r="AF1518" s="147"/>
      <c r="AG1518" s="147"/>
      <c r="AH1518" s="147"/>
      <c r="AI1518" s="147"/>
      <c r="AJ1518" s="147"/>
      <c r="AK1518" s="147"/>
      <c r="AL1518" s="147"/>
      <c r="AM1518" s="151"/>
      <c r="AN1518" s="147"/>
      <c r="AO1518" s="147"/>
      <c r="AP1518" s="147"/>
      <c r="AQ1518" s="147"/>
      <c r="AR1518" s="147"/>
      <c r="AS1518" s="147"/>
      <c r="AT1518" s="147"/>
      <c r="AU1518" s="147"/>
      <c r="AV1518" s="147"/>
      <c r="AW1518" s="147"/>
      <c r="AX1518" s="147"/>
      <c r="AY1518" s="147"/>
      <c r="AZ1518" s="147"/>
      <c r="BA1518" s="147"/>
      <c r="BB1518" s="147"/>
      <c r="BC1518" s="147"/>
      <c r="BD1518" s="147"/>
      <c r="BE1518" s="147"/>
      <c r="BF1518" s="147"/>
      <c r="BG1518" s="147"/>
      <c r="BH1518" s="147"/>
      <c r="BI1518" s="147"/>
      <c r="BJ1518" s="147"/>
      <c r="BK1518" s="147"/>
      <c r="BL1518" s="147"/>
      <c r="BM1518" s="147"/>
      <c r="BN1518" s="147"/>
      <c r="BO1518" s="147"/>
      <c r="BP1518" s="147"/>
      <c r="BQ1518" s="147"/>
      <c r="BR1518" s="147"/>
      <c r="BS1518" s="147"/>
      <c r="BT1518" s="147"/>
      <c r="BU1518" s="147"/>
      <c r="BV1518" s="147"/>
      <c r="BW1518" s="147"/>
      <c r="BX1518" s="147"/>
      <c r="BY1518" s="147"/>
      <c r="BZ1518" s="147"/>
      <c r="CA1518" s="147"/>
      <c r="CB1518" s="147"/>
      <c r="CC1518" s="147"/>
      <c r="CD1518" s="147"/>
      <c r="CE1518" s="147"/>
      <c r="CF1518" s="147"/>
      <c r="CG1518" s="147"/>
      <c r="CH1518" s="147"/>
      <c r="CI1518" s="147"/>
      <c r="CJ1518" s="147"/>
      <c r="CK1518" s="147"/>
    </row>
    <row r="1519" spans="1:89">
      <c r="A1519" s="157"/>
      <c r="F1519" s="3"/>
      <c r="G1519" s="3"/>
      <c r="L1519" s="157"/>
      <c r="M1519" s="157"/>
      <c r="O1519" s="147"/>
      <c r="P1519" s="147"/>
      <c r="Q1519" s="147"/>
      <c r="R1519" s="147"/>
      <c r="S1519" s="147"/>
      <c r="T1519" s="147"/>
      <c r="U1519" s="147"/>
      <c r="V1519" s="147"/>
      <c r="W1519" s="147"/>
      <c r="X1519" s="147"/>
      <c r="Y1519" s="147"/>
      <c r="Z1519" s="147"/>
      <c r="AA1519" s="147"/>
      <c r="AB1519" s="147"/>
      <c r="AC1519" s="147"/>
      <c r="AD1519" s="147"/>
      <c r="AE1519" s="147"/>
      <c r="AF1519" s="147"/>
      <c r="AG1519" s="147"/>
      <c r="AH1519" s="147"/>
      <c r="AI1519" s="147"/>
      <c r="AJ1519" s="147"/>
      <c r="AK1519" s="147"/>
      <c r="AL1519" s="147"/>
      <c r="AM1519" s="151"/>
      <c r="AN1519" s="147"/>
      <c r="AO1519" s="147"/>
      <c r="AP1519" s="147"/>
      <c r="AQ1519" s="147"/>
      <c r="AR1519" s="147"/>
      <c r="AS1519" s="147"/>
      <c r="AT1519" s="147"/>
      <c r="AU1519" s="147"/>
      <c r="AV1519" s="147"/>
      <c r="AW1519" s="147"/>
      <c r="AX1519" s="147"/>
      <c r="AY1519" s="147"/>
      <c r="AZ1519" s="147"/>
      <c r="BA1519" s="147"/>
      <c r="BB1519" s="147"/>
      <c r="BC1519" s="147"/>
      <c r="BD1519" s="147"/>
      <c r="BE1519" s="147"/>
      <c r="BF1519" s="147"/>
      <c r="BG1519" s="147"/>
      <c r="BH1519" s="147"/>
      <c r="BI1519" s="147"/>
      <c r="BJ1519" s="147"/>
      <c r="BK1519" s="147"/>
      <c r="BL1519" s="147"/>
      <c r="BM1519" s="147"/>
      <c r="BN1519" s="147"/>
      <c r="BO1519" s="147"/>
      <c r="BP1519" s="147"/>
      <c r="BQ1519" s="147"/>
      <c r="BR1519" s="147"/>
      <c r="BS1519" s="147"/>
      <c r="BT1519" s="147"/>
      <c r="BU1519" s="147"/>
      <c r="BV1519" s="147"/>
      <c r="BW1519" s="147"/>
      <c r="BX1519" s="147"/>
      <c r="BY1519" s="147"/>
      <c r="BZ1519" s="147"/>
      <c r="CA1519" s="147"/>
      <c r="CB1519" s="147"/>
      <c r="CC1519" s="147"/>
      <c r="CD1519" s="147"/>
      <c r="CE1519" s="147"/>
      <c r="CF1519" s="147"/>
      <c r="CG1519" s="147"/>
      <c r="CH1519" s="147"/>
      <c r="CI1519" s="147"/>
      <c r="CJ1519" s="147"/>
      <c r="CK1519" s="147"/>
    </row>
    <row r="1520" spans="1:89">
      <c r="A1520" s="157"/>
      <c r="F1520" s="3"/>
      <c r="G1520" s="3"/>
      <c r="L1520" s="157"/>
      <c r="M1520" s="157"/>
      <c r="O1520" s="147"/>
      <c r="P1520" s="147"/>
      <c r="Q1520" s="147"/>
      <c r="R1520" s="147"/>
      <c r="S1520" s="147"/>
      <c r="T1520" s="147"/>
      <c r="U1520" s="147"/>
      <c r="V1520" s="147"/>
      <c r="W1520" s="147"/>
      <c r="X1520" s="147"/>
      <c r="Y1520" s="147"/>
      <c r="Z1520" s="147"/>
      <c r="AA1520" s="147"/>
      <c r="AB1520" s="147"/>
      <c r="AC1520" s="147"/>
      <c r="AD1520" s="147"/>
      <c r="AE1520" s="147"/>
      <c r="AF1520" s="147"/>
      <c r="AG1520" s="147"/>
      <c r="AH1520" s="147"/>
      <c r="AI1520" s="147"/>
      <c r="AJ1520" s="147"/>
      <c r="AK1520" s="147"/>
      <c r="AL1520" s="147"/>
      <c r="AM1520" s="151"/>
      <c r="AN1520" s="147"/>
      <c r="AO1520" s="147"/>
      <c r="AP1520" s="147"/>
      <c r="AQ1520" s="147"/>
      <c r="AR1520" s="147"/>
      <c r="AS1520" s="147"/>
      <c r="AT1520" s="147"/>
      <c r="AU1520" s="147"/>
      <c r="AV1520" s="147"/>
      <c r="AW1520" s="147"/>
      <c r="AX1520" s="147"/>
      <c r="AY1520" s="147"/>
      <c r="AZ1520" s="147"/>
      <c r="BA1520" s="147"/>
      <c r="BB1520" s="147"/>
      <c r="BC1520" s="147"/>
      <c r="BD1520" s="147"/>
      <c r="BE1520" s="147"/>
      <c r="BF1520" s="147"/>
      <c r="BG1520" s="147"/>
      <c r="BH1520" s="147"/>
      <c r="BI1520" s="147"/>
      <c r="BJ1520" s="147"/>
      <c r="BK1520" s="147"/>
      <c r="BL1520" s="147"/>
      <c r="BM1520" s="147"/>
      <c r="BN1520" s="147"/>
      <c r="BO1520" s="147"/>
      <c r="BP1520" s="147"/>
      <c r="BQ1520" s="147"/>
      <c r="BR1520" s="147"/>
      <c r="BS1520" s="147"/>
      <c r="BT1520" s="147"/>
      <c r="BU1520" s="147"/>
      <c r="BV1520" s="147"/>
      <c r="BW1520" s="147"/>
      <c r="BX1520" s="147"/>
      <c r="BY1520" s="147"/>
      <c r="BZ1520" s="147"/>
      <c r="CA1520" s="147"/>
      <c r="CB1520" s="147"/>
      <c r="CC1520" s="147"/>
      <c r="CD1520" s="147"/>
      <c r="CE1520" s="147"/>
      <c r="CF1520" s="147"/>
      <c r="CG1520" s="147"/>
      <c r="CH1520" s="147"/>
      <c r="CI1520" s="147"/>
      <c r="CJ1520" s="147"/>
      <c r="CK1520" s="147"/>
    </row>
    <row r="1521" spans="1:89">
      <c r="A1521" s="157"/>
      <c r="F1521" s="3"/>
      <c r="G1521" s="3"/>
      <c r="L1521" s="157"/>
      <c r="M1521" s="157"/>
      <c r="O1521" s="147"/>
      <c r="P1521" s="147"/>
      <c r="Q1521" s="147"/>
      <c r="R1521" s="147"/>
      <c r="S1521" s="147"/>
      <c r="T1521" s="147"/>
      <c r="U1521" s="147"/>
      <c r="V1521" s="147"/>
      <c r="W1521" s="147"/>
      <c r="X1521" s="147"/>
      <c r="Y1521" s="147"/>
      <c r="Z1521" s="147"/>
      <c r="AA1521" s="147"/>
      <c r="AB1521" s="147"/>
      <c r="AC1521" s="147"/>
      <c r="AD1521" s="147"/>
      <c r="AE1521" s="147"/>
      <c r="AF1521" s="147"/>
      <c r="AG1521" s="147"/>
      <c r="AH1521" s="147"/>
      <c r="AI1521" s="147"/>
      <c r="AJ1521" s="147"/>
      <c r="AK1521" s="147"/>
      <c r="AL1521" s="147"/>
      <c r="AM1521" s="151"/>
      <c r="AN1521" s="147"/>
      <c r="AO1521" s="147"/>
      <c r="AP1521" s="147"/>
      <c r="AQ1521" s="147"/>
      <c r="AR1521" s="147"/>
      <c r="AS1521" s="147"/>
      <c r="AT1521" s="147"/>
      <c r="AU1521" s="147"/>
      <c r="AV1521" s="147"/>
      <c r="AW1521" s="147"/>
      <c r="AX1521" s="147"/>
      <c r="AY1521" s="147"/>
      <c r="AZ1521" s="147"/>
      <c r="BA1521" s="147"/>
      <c r="BB1521" s="147"/>
      <c r="BC1521" s="147"/>
      <c r="BD1521" s="147"/>
      <c r="BE1521" s="147"/>
      <c r="BF1521" s="147"/>
      <c r="BG1521" s="147"/>
      <c r="BH1521" s="147"/>
      <c r="BI1521" s="147"/>
      <c r="BJ1521" s="147"/>
      <c r="BK1521" s="147"/>
      <c r="BL1521" s="147"/>
      <c r="BM1521" s="147"/>
      <c r="BN1521" s="147"/>
      <c r="BO1521" s="147"/>
      <c r="BP1521" s="147"/>
      <c r="BQ1521" s="147"/>
      <c r="BR1521" s="147"/>
      <c r="BS1521" s="147"/>
      <c r="BT1521" s="147"/>
      <c r="BU1521" s="147"/>
      <c r="BV1521" s="147"/>
      <c r="BW1521" s="147"/>
      <c r="BX1521" s="147"/>
      <c r="BY1521" s="147"/>
      <c r="BZ1521" s="147"/>
      <c r="CA1521" s="147"/>
      <c r="CB1521" s="147"/>
      <c r="CC1521" s="147"/>
      <c r="CD1521" s="147"/>
      <c r="CE1521" s="147"/>
      <c r="CF1521" s="147"/>
      <c r="CG1521" s="147"/>
      <c r="CH1521" s="147"/>
      <c r="CI1521" s="147"/>
      <c r="CJ1521" s="147"/>
      <c r="CK1521" s="147"/>
    </row>
    <row r="1522" spans="1:89">
      <c r="A1522" s="157"/>
      <c r="F1522" s="3"/>
      <c r="G1522" s="3"/>
      <c r="L1522" s="157"/>
      <c r="M1522" s="157"/>
      <c r="O1522" s="147"/>
      <c r="P1522" s="147"/>
      <c r="Q1522" s="147"/>
      <c r="R1522" s="147"/>
      <c r="S1522" s="147"/>
      <c r="T1522" s="147"/>
      <c r="U1522" s="147"/>
      <c r="V1522" s="147"/>
      <c r="W1522" s="147"/>
      <c r="X1522" s="147"/>
      <c r="Y1522" s="147"/>
      <c r="Z1522" s="147"/>
      <c r="AA1522" s="147"/>
      <c r="AB1522" s="147"/>
      <c r="AC1522" s="147"/>
      <c r="AD1522" s="147"/>
      <c r="AE1522" s="147"/>
      <c r="AF1522" s="147"/>
      <c r="AG1522" s="147"/>
      <c r="AH1522" s="147"/>
      <c r="AI1522" s="147"/>
      <c r="AJ1522" s="147"/>
      <c r="AK1522" s="147"/>
      <c r="AL1522" s="147"/>
      <c r="AM1522" s="151"/>
      <c r="AN1522" s="147"/>
      <c r="AO1522" s="147"/>
      <c r="AP1522" s="147"/>
      <c r="AQ1522" s="147"/>
      <c r="AR1522" s="147"/>
      <c r="AS1522" s="147"/>
      <c r="AT1522" s="147"/>
      <c r="AU1522" s="147"/>
      <c r="AV1522" s="147"/>
      <c r="AW1522" s="147"/>
      <c r="AX1522" s="147"/>
      <c r="AY1522" s="147"/>
      <c r="AZ1522" s="147"/>
      <c r="BA1522" s="147"/>
      <c r="BB1522" s="147"/>
      <c r="BC1522" s="147"/>
      <c r="BD1522" s="147"/>
      <c r="BE1522" s="147"/>
      <c r="BF1522" s="147"/>
      <c r="BG1522" s="147"/>
      <c r="BH1522" s="147"/>
      <c r="BI1522" s="147"/>
      <c r="BJ1522" s="147"/>
      <c r="BK1522" s="147"/>
      <c r="BL1522" s="147"/>
      <c r="BM1522" s="147"/>
      <c r="BN1522" s="147"/>
      <c r="BO1522" s="147"/>
      <c r="BP1522" s="147"/>
      <c r="BQ1522" s="147"/>
      <c r="BR1522" s="147"/>
      <c r="BS1522" s="147"/>
      <c r="BT1522" s="147"/>
      <c r="BU1522" s="147"/>
      <c r="BV1522" s="147"/>
      <c r="BW1522" s="147"/>
      <c r="BX1522" s="147"/>
      <c r="BY1522" s="147"/>
      <c r="BZ1522" s="147"/>
      <c r="CA1522" s="147"/>
      <c r="CB1522" s="147"/>
      <c r="CC1522" s="147"/>
      <c r="CD1522" s="147"/>
      <c r="CE1522" s="147"/>
      <c r="CF1522" s="147"/>
      <c r="CG1522" s="147"/>
      <c r="CH1522" s="147"/>
      <c r="CI1522" s="147"/>
      <c r="CJ1522" s="147"/>
      <c r="CK1522" s="147"/>
    </row>
    <row r="1523" spans="1:89">
      <c r="A1523" s="157"/>
      <c r="F1523" s="3"/>
      <c r="G1523" s="3"/>
      <c r="L1523" s="157"/>
      <c r="M1523" s="157"/>
      <c r="O1523" s="147"/>
      <c r="P1523" s="147"/>
      <c r="Q1523" s="147"/>
      <c r="R1523" s="147"/>
      <c r="S1523" s="147"/>
      <c r="T1523" s="147"/>
      <c r="U1523" s="147"/>
      <c r="V1523" s="147"/>
      <c r="W1523" s="147"/>
      <c r="X1523" s="147"/>
      <c r="Y1523" s="147"/>
      <c r="Z1523" s="147"/>
      <c r="AA1523" s="147"/>
      <c r="AB1523" s="147"/>
      <c r="AC1523" s="147"/>
      <c r="AD1523" s="147"/>
      <c r="AE1523" s="147"/>
      <c r="AF1523" s="147"/>
      <c r="AG1523" s="147"/>
      <c r="AH1523" s="147"/>
      <c r="AI1523" s="147"/>
      <c r="AJ1523" s="147"/>
      <c r="AK1523" s="147"/>
      <c r="AL1523" s="147"/>
      <c r="AM1523" s="151"/>
      <c r="AN1523" s="147"/>
      <c r="AO1523" s="147"/>
      <c r="AP1523" s="147"/>
      <c r="AQ1523" s="147"/>
      <c r="AR1523" s="147"/>
      <c r="AS1523" s="147"/>
      <c r="AT1523" s="147"/>
      <c r="AU1523" s="147"/>
      <c r="AV1523" s="147"/>
      <c r="AW1523" s="147"/>
      <c r="AX1523" s="147"/>
      <c r="AY1523" s="147"/>
      <c r="AZ1523" s="147"/>
      <c r="BA1523" s="147"/>
      <c r="BB1523" s="147"/>
      <c r="BC1523" s="147"/>
      <c r="BD1523" s="147"/>
      <c r="BE1523" s="147"/>
      <c r="BF1523" s="147"/>
      <c r="BG1523" s="147"/>
      <c r="BH1523" s="147"/>
      <c r="BI1523" s="147"/>
      <c r="BJ1523" s="147"/>
      <c r="BK1523" s="147"/>
      <c r="BL1523" s="147"/>
      <c r="BM1523" s="147"/>
      <c r="BN1523" s="147"/>
      <c r="BO1523" s="147"/>
      <c r="BP1523" s="147"/>
      <c r="BQ1523" s="147"/>
      <c r="BR1523" s="147"/>
      <c r="BS1523" s="147"/>
      <c r="BT1523" s="147"/>
      <c r="BU1523" s="147"/>
      <c r="BV1523" s="147"/>
      <c r="BW1523" s="147"/>
      <c r="BX1523" s="147"/>
      <c r="BY1523" s="147"/>
      <c r="BZ1523" s="147"/>
      <c r="CA1523" s="147"/>
      <c r="CB1523" s="147"/>
      <c r="CC1523" s="147"/>
      <c r="CD1523" s="147"/>
      <c r="CE1523" s="147"/>
      <c r="CF1523" s="147"/>
      <c r="CG1523" s="147"/>
      <c r="CH1523" s="147"/>
      <c r="CI1523" s="147"/>
      <c r="CJ1523" s="147"/>
      <c r="CK1523" s="147"/>
    </row>
    <row r="1524" spans="1:89">
      <c r="A1524" s="157"/>
      <c r="F1524" s="3"/>
      <c r="G1524" s="3"/>
      <c r="L1524" s="157"/>
      <c r="M1524" s="157"/>
      <c r="O1524" s="147"/>
      <c r="P1524" s="147"/>
      <c r="Q1524" s="147"/>
      <c r="R1524" s="147"/>
      <c r="S1524" s="147"/>
      <c r="T1524" s="147"/>
      <c r="U1524" s="147"/>
      <c r="V1524" s="147"/>
      <c r="W1524" s="147"/>
      <c r="X1524" s="147"/>
      <c r="Y1524" s="147"/>
      <c r="Z1524" s="147"/>
      <c r="AA1524" s="147"/>
      <c r="AB1524" s="147"/>
      <c r="AC1524" s="147"/>
      <c r="AD1524" s="147"/>
      <c r="AE1524" s="147"/>
      <c r="AF1524" s="147"/>
      <c r="AG1524" s="147"/>
      <c r="AH1524" s="147"/>
      <c r="AI1524" s="147"/>
      <c r="AJ1524" s="147"/>
      <c r="AK1524" s="147"/>
      <c r="AL1524" s="147"/>
      <c r="AM1524" s="151"/>
      <c r="AN1524" s="147"/>
      <c r="AO1524" s="147"/>
      <c r="AP1524" s="147"/>
      <c r="AQ1524" s="147"/>
      <c r="AR1524" s="147"/>
      <c r="AS1524" s="147"/>
      <c r="AT1524" s="147"/>
      <c r="AU1524" s="147"/>
      <c r="AV1524" s="147"/>
      <c r="AW1524" s="147"/>
      <c r="AX1524" s="147"/>
      <c r="AY1524" s="147"/>
      <c r="AZ1524" s="147"/>
      <c r="BA1524" s="147"/>
      <c r="BB1524" s="147"/>
      <c r="BC1524" s="147"/>
      <c r="BD1524" s="147"/>
      <c r="BE1524" s="147"/>
      <c r="BF1524" s="147"/>
      <c r="BG1524" s="147"/>
      <c r="BH1524" s="147"/>
      <c r="BI1524" s="147"/>
      <c r="BJ1524" s="147"/>
      <c r="BK1524" s="147"/>
      <c r="BL1524" s="147"/>
      <c r="BM1524" s="147"/>
      <c r="BN1524" s="147"/>
      <c r="BO1524" s="147"/>
      <c r="BP1524" s="147"/>
      <c r="BQ1524" s="147"/>
      <c r="BR1524" s="147"/>
      <c r="BS1524" s="147"/>
      <c r="BT1524" s="147"/>
      <c r="BU1524" s="147"/>
      <c r="BV1524" s="147"/>
      <c r="BW1524" s="147"/>
      <c r="BX1524" s="147"/>
      <c r="BY1524" s="147"/>
      <c r="BZ1524" s="147"/>
      <c r="CA1524" s="147"/>
      <c r="CB1524" s="147"/>
      <c r="CC1524" s="147"/>
      <c r="CD1524" s="147"/>
      <c r="CE1524" s="147"/>
      <c r="CF1524" s="147"/>
      <c r="CG1524" s="147"/>
      <c r="CH1524" s="147"/>
      <c r="CI1524" s="147"/>
      <c r="CJ1524" s="147"/>
      <c r="CK1524" s="147"/>
    </row>
    <row r="1525" spans="1:89">
      <c r="A1525" s="157"/>
      <c r="F1525" s="3"/>
      <c r="G1525" s="3"/>
      <c r="L1525" s="157"/>
      <c r="M1525" s="157"/>
      <c r="O1525" s="147"/>
      <c r="P1525" s="147"/>
      <c r="Q1525" s="147"/>
      <c r="R1525" s="147"/>
      <c r="S1525" s="147"/>
      <c r="T1525" s="147"/>
      <c r="U1525" s="147"/>
      <c r="V1525" s="147"/>
      <c r="W1525" s="147"/>
      <c r="X1525" s="147"/>
      <c r="Y1525" s="147"/>
      <c r="Z1525" s="147"/>
      <c r="AA1525" s="147"/>
      <c r="AB1525" s="147"/>
      <c r="AC1525" s="147"/>
      <c r="AD1525" s="147"/>
      <c r="AE1525" s="147"/>
      <c r="AF1525" s="147"/>
      <c r="AG1525" s="147"/>
      <c r="AH1525" s="147"/>
      <c r="AI1525" s="147"/>
      <c r="AJ1525" s="147"/>
      <c r="AK1525" s="147"/>
      <c r="AL1525" s="147"/>
      <c r="AM1525" s="151"/>
      <c r="AN1525" s="147"/>
      <c r="AO1525" s="147"/>
      <c r="AP1525" s="147"/>
      <c r="AQ1525" s="147"/>
      <c r="AR1525" s="147"/>
      <c r="AS1525" s="147"/>
      <c r="AT1525" s="147"/>
      <c r="AU1525" s="147"/>
      <c r="AV1525" s="147"/>
      <c r="AW1525" s="147"/>
      <c r="AX1525" s="147"/>
      <c r="AY1525" s="147"/>
      <c r="AZ1525" s="147"/>
      <c r="BA1525" s="147"/>
      <c r="BB1525" s="147"/>
      <c r="BC1525" s="147"/>
      <c r="BD1525" s="147"/>
      <c r="BE1525" s="147"/>
      <c r="BF1525" s="147"/>
      <c r="BG1525" s="147"/>
      <c r="BH1525" s="147"/>
      <c r="BI1525" s="147"/>
      <c r="BJ1525" s="147"/>
      <c r="BK1525" s="147"/>
      <c r="BL1525" s="147"/>
      <c r="BM1525" s="147"/>
      <c r="BN1525" s="147"/>
      <c r="BO1525" s="147"/>
      <c r="BP1525" s="147"/>
      <c r="BQ1525" s="147"/>
      <c r="BR1525" s="147"/>
      <c r="BS1525" s="147"/>
      <c r="BT1525" s="147"/>
      <c r="BU1525" s="147"/>
      <c r="BV1525" s="147"/>
      <c r="BW1525" s="147"/>
      <c r="BX1525" s="147"/>
      <c r="BY1525" s="147"/>
      <c r="BZ1525" s="147"/>
      <c r="CA1525" s="147"/>
      <c r="CB1525" s="147"/>
      <c r="CC1525" s="147"/>
      <c r="CD1525" s="147"/>
      <c r="CE1525" s="147"/>
      <c r="CF1525" s="147"/>
      <c r="CG1525" s="147"/>
      <c r="CH1525" s="147"/>
      <c r="CI1525" s="147"/>
      <c r="CJ1525" s="147"/>
      <c r="CK1525" s="147"/>
    </row>
    <row r="1526" spans="1:89">
      <c r="A1526" s="157"/>
      <c r="F1526" s="3"/>
      <c r="G1526" s="3"/>
      <c r="L1526" s="157"/>
      <c r="M1526" s="157"/>
      <c r="O1526" s="147"/>
      <c r="P1526" s="147"/>
      <c r="Q1526" s="147"/>
      <c r="R1526" s="147"/>
      <c r="S1526" s="147"/>
      <c r="T1526" s="147"/>
      <c r="U1526" s="147"/>
      <c r="V1526" s="147"/>
      <c r="W1526" s="147"/>
      <c r="X1526" s="147"/>
      <c r="Y1526" s="147"/>
      <c r="Z1526" s="147"/>
      <c r="AA1526" s="147"/>
      <c r="AB1526" s="147"/>
      <c r="AC1526" s="147"/>
      <c r="AD1526" s="147"/>
      <c r="AE1526" s="147"/>
      <c r="AF1526" s="147"/>
      <c r="AG1526" s="147"/>
      <c r="AH1526" s="147"/>
      <c r="AI1526" s="147"/>
      <c r="AJ1526" s="147"/>
      <c r="AK1526" s="147"/>
      <c r="AL1526" s="147"/>
      <c r="AM1526" s="151"/>
      <c r="AN1526" s="147"/>
      <c r="AO1526" s="147"/>
      <c r="AP1526" s="147"/>
      <c r="AQ1526" s="147"/>
      <c r="AR1526" s="147"/>
      <c r="AS1526" s="147"/>
      <c r="AT1526" s="147"/>
      <c r="AU1526" s="147"/>
      <c r="AV1526" s="147"/>
      <c r="AW1526" s="147"/>
      <c r="AX1526" s="147"/>
      <c r="AY1526" s="147"/>
      <c r="AZ1526" s="147"/>
      <c r="BA1526" s="147"/>
      <c r="BB1526" s="147"/>
      <c r="BC1526" s="147"/>
      <c r="BD1526" s="147"/>
      <c r="BE1526" s="147"/>
      <c r="BF1526" s="147"/>
      <c r="BG1526" s="147"/>
      <c r="BH1526" s="147"/>
      <c r="BI1526" s="147"/>
      <c r="BJ1526" s="147"/>
      <c r="BK1526" s="147"/>
      <c r="BL1526" s="147"/>
      <c r="BM1526" s="147"/>
      <c r="BN1526" s="147"/>
      <c r="BO1526" s="147"/>
      <c r="BP1526" s="147"/>
      <c r="BQ1526" s="147"/>
      <c r="BR1526" s="147"/>
      <c r="BS1526" s="147"/>
      <c r="BT1526" s="147"/>
      <c r="BU1526" s="147"/>
      <c r="BV1526" s="147"/>
      <c r="BW1526" s="147"/>
      <c r="BX1526" s="147"/>
      <c r="BY1526" s="147"/>
      <c r="BZ1526" s="147"/>
      <c r="CA1526" s="147"/>
      <c r="CB1526" s="147"/>
      <c r="CC1526" s="147"/>
      <c r="CD1526" s="147"/>
      <c r="CE1526" s="147"/>
      <c r="CF1526" s="147"/>
      <c r="CG1526" s="147"/>
      <c r="CH1526" s="147"/>
      <c r="CI1526" s="147"/>
      <c r="CJ1526" s="147"/>
      <c r="CK1526" s="147"/>
    </row>
    <row r="1527" spans="1:89">
      <c r="A1527" s="157"/>
      <c r="F1527" s="3"/>
      <c r="G1527" s="3"/>
      <c r="L1527" s="157"/>
      <c r="M1527" s="157"/>
      <c r="O1527" s="147"/>
      <c r="P1527" s="147"/>
      <c r="Q1527" s="147"/>
      <c r="R1527" s="147"/>
      <c r="S1527" s="147"/>
      <c r="T1527" s="147"/>
      <c r="U1527" s="147"/>
      <c r="V1527" s="147"/>
      <c r="W1527" s="147"/>
      <c r="X1527" s="147"/>
      <c r="Y1527" s="147"/>
      <c r="Z1527" s="147"/>
      <c r="AA1527" s="147"/>
      <c r="AB1527" s="147"/>
      <c r="AC1527" s="147"/>
      <c r="AD1527" s="147"/>
      <c r="AE1527" s="147"/>
      <c r="AF1527" s="147"/>
      <c r="AG1527" s="147"/>
      <c r="AH1527" s="147"/>
      <c r="AI1527" s="147"/>
      <c r="AJ1527" s="147"/>
      <c r="AK1527" s="147"/>
      <c r="AL1527" s="147"/>
      <c r="AM1527" s="151"/>
      <c r="AN1527" s="147"/>
      <c r="AO1527" s="147"/>
      <c r="AP1527" s="147"/>
      <c r="AQ1527" s="147"/>
      <c r="AR1527" s="147"/>
      <c r="AS1527" s="147"/>
      <c r="AT1527" s="147"/>
      <c r="AU1527" s="147"/>
      <c r="AV1527" s="147"/>
      <c r="AW1527" s="147"/>
      <c r="AX1527" s="147"/>
      <c r="AY1527" s="147"/>
      <c r="AZ1527" s="147"/>
      <c r="BA1527" s="147"/>
      <c r="BB1527" s="147"/>
      <c r="BC1527" s="147"/>
      <c r="BD1527" s="147"/>
      <c r="BE1527" s="147"/>
      <c r="BF1527" s="147"/>
      <c r="BG1527" s="147"/>
      <c r="BH1527" s="147"/>
      <c r="BI1527" s="147"/>
      <c r="BJ1527" s="147"/>
      <c r="BK1527" s="147"/>
      <c r="BL1527" s="147"/>
      <c r="BM1527" s="147"/>
      <c r="BN1527" s="147"/>
      <c r="BO1527" s="147"/>
      <c r="BP1527" s="147"/>
      <c r="BQ1527" s="147"/>
      <c r="BR1527" s="147"/>
      <c r="BS1527" s="147"/>
      <c r="BT1527" s="147"/>
      <c r="BU1527" s="147"/>
      <c r="BV1527" s="147"/>
      <c r="BW1527" s="147"/>
      <c r="BX1527" s="147"/>
      <c r="BY1527" s="147"/>
      <c r="BZ1527" s="147"/>
      <c r="CA1527" s="147"/>
      <c r="CB1527" s="147"/>
      <c r="CC1527" s="147"/>
      <c r="CD1527" s="147"/>
      <c r="CE1527" s="147"/>
      <c r="CF1527" s="147"/>
      <c r="CG1527" s="147"/>
      <c r="CH1527" s="147"/>
      <c r="CI1527" s="147"/>
      <c r="CJ1527" s="147"/>
      <c r="CK1527" s="147"/>
    </row>
    <row r="1528" spans="1:89">
      <c r="A1528" s="157"/>
      <c r="F1528" s="3"/>
      <c r="G1528" s="3"/>
      <c r="L1528" s="157"/>
      <c r="M1528" s="157"/>
      <c r="O1528" s="147"/>
      <c r="P1528" s="147"/>
      <c r="Q1528" s="147"/>
      <c r="R1528" s="147"/>
      <c r="S1528" s="147"/>
      <c r="T1528" s="147"/>
      <c r="U1528" s="147"/>
      <c r="V1528" s="147"/>
      <c r="W1528" s="147"/>
      <c r="X1528" s="147"/>
      <c r="Y1528" s="147"/>
      <c r="Z1528" s="147"/>
      <c r="AA1528" s="147"/>
      <c r="AB1528" s="147"/>
      <c r="AC1528" s="147"/>
      <c r="AD1528" s="147"/>
      <c r="AE1528" s="147"/>
      <c r="AF1528" s="147"/>
      <c r="AG1528" s="147"/>
      <c r="AH1528" s="147"/>
      <c r="AI1528" s="147"/>
      <c r="AJ1528" s="147"/>
      <c r="AK1528" s="147"/>
      <c r="AL1528" s="147"/>
      <c r="AM1528" s="151"/>
      <c r="AN1528" s="147"/>
      <c r="AO1528" s="147"/>
      <c r="AP1528" s="147"/>
      <c r="AQ1528" s="147"/>
      <c r="AR1528" s="147"/>
      <c r="AS1528" s="147"/>
      <c r="AT1528" s="147"/>
      <c r="AU1528" s="147"/>
      <c r="AV1528" s="147"/>
      <c r="AW1528" s="147"/>
      <c r="AX1528" s="147"/>
      <c r="AY1528" s="147"/>
      <c r="AZ1528" s="147"/>
      <c r="BA1528" s="147"/>
      <c r="BB1528" s="147"/>
      <c r="BC1528" s="147"/>
      <c r="BD1528" s="147"/>
      <c r="BE1528" s="147"/>
      <c r="BF1528" s="147"/>
      <c r="BG1528" s="147"/>
      <c r="BH1528" s="147"/>
      <c r="BI1528" s="147"/>
      <c r="BJ1528" s="147"/>
      <c r="BK1528" s="147"/>
      <c r="BL1528" s="147"/>
      <c r="BM1528" s="147"/>
      <c r="BN1528" s="147"/>
      <c r="BO1528" s="147"/>
      <c r="BP1528" s="147"/>
      <c r="BQ1528" s="147"/>
      <c r="BR1528" s="147"/>
      <c r="BS1528" s="147"/>
      <c r="BT1528" s="147"/>
      <c r="BU1528" s="147"/>
      <c r="BV1528" s="147"/>
      <c r="BW1528" s="147"/>
      <c r="BX1528" s="147"/>
      <c r="BY1528" s="147"/>
      <c r="BZ1528" s="147"/>
      <c r="CA1528" s="147"/>
      <c r="CB1528" s="147"/>
      <c r="CC1528" s="147"/>
      <c r="CD1528" s="147"/>
      <c r="CE1528" s="147"/>
      <c r="CF1528" s="147"/>
      <c r="CG1528" s="147"/>
      <c r="CH1528" s="147"/>
      <c r="CI1528" s="147"/>
      <c r="CJ1528" s="147"/>
      <c r="CK1528" s="147"/>
    </row>
    <row r="1529" spans="1:89">
      <c r="A1529" s="157"/>
      <c r="F1529" s="3"/>
      <c r="G1529" s="3"/>
      <c r="L1529" s="157"/>
      <c r="M1529" s="157"/>
      <c r="O1529" s="147"/>
      <c r="P1529" s="147"/>
      <c r="Q1529" s="147"/>
      <c r="R1529" s="147"/>
      <c r="S1529" s="147"/>
      <c r="T1529" s="147"/>
      <c r="U1529" s="147"/>
      <c r="V1529" s="147"/>
      <c r="W1529" s="147"/>
      <c r="X1529" s="147"/>
      <c r="Y1529" s="147"/>
      <c r="Z1529" s="147"/>
      <c r="AA1529" s="147"/>
      <c r="AB1529" s="147"/>
      <c r="AC1529" s="147"/>
      <c r="AD1529" s="147"/>
      <c r="AE1529" s="147"/>
      <c r="AF1529" s="147"/>
      <c r="AG1529" s="147"/>
      <c r="AH1529" s="147"/>
      <c r="AI1529" s="147"/>
      <c r="AJ1529" s="147"/>
      <c r="AK1529" s="147"/>
      <c r="AL1529" s="147"/>
      <c r="AM1529" s="151"/>
      <c r="AN1529" s="147"/>
      <c r="AO1529" s="147"/>
      <c r="AP1529" s="147"/>
      <c r="AQ1529" s="147"/>
      <c r="AR1529" s="147"/>
      <c r="AS1529" s="147"/>
      <c r="AT1529" s="147"/>
      <c r="AU1529" s="147"/>
      <c r="AV1529" s="147"/>
      <c r="AW1529" s="147"/>
      <c r="AX1529" s="147"/>
      <c r="AY1529" s="147"/>
      <c r="AZ1529" s="147"/>
      <c r="BA1529" s="147"/>
      <c r="BB1529" s="147"/>
      <c r="BC1529" s="147"/>
      <c r="BD1529" s="147"/>
      <c r="BE1529" s="147"/>
      <c r="BF1529" s="147"/>
      <c r="BG1529" s="147"/>
      <c r="BH1529" s="147"/>
      <c r="BI1529" s="147"/>
      <c r="BJ1529" s="147"/>
      <c r="BK1529" s="147"/>
      <c r="BL1529" s="147"/>
      <c r="BM1529" s="147"/>
      <c r="BN1529" s="147"/>
      <c r="BO1529" s="147"/>
      <c r="BP1529" s="147"/>
      <c r="BQ1529" s="147"/>
      <c r="BR1529" s="147"/>
      <c r="BS1529" s="147"/>
      <c r="BT1529" s="147"/>
      <c r="BU1529" s="147"/>
      <c r="BV1529" s="147"/>
      <c r="BW1529" s="147"/>
      <c r="BX1529" s="147"/>
      <c r="BY1529" s="147"/>
      <c r="BZ1529" s="147"/>
      <c r="CA1529" s="147"/>
      <c r="CB1529" s="147"/>
      <c r="CC1529" s="147"/>
      <c r="CD1529" s="147"/>
      <c r="CE1529" s="147"/>
      <c r="CF1529" s="147"/>
      <c r="CG1529" s="147"/>
      <c r="CH1529" s="147"/>
      <c r="CI1529" s="147"/>
      <c r="CJ1529" s="147"/>
      <c r="CK1529" s="147"/>
    </row>
    <row r="1530" spans="1:89">
      <c r="A1530" s="157"/>
      <c r="F1530" s="3"/>
      <c r="G1530" s="3"/>
      <c r="L1530" s="157"/>
      <c r="M1530" s="157"/>
      <c r="O1530" s="147"/>
      <c r="P1530" s="147"/>
      <c r="Q1530" s="147"/>
      <c r="R1530" s="147"/>
      <c r="S1530" s="147"/>
      <c r="T1530" s="147"/>
      <c r="U1530" s="147"/>
      <c r="V1530" s="147"/>
      <c r="W1530" s="147"/>
      <c r="X1530" s="147"/>
      <c r="Y1530" s="147"/>
      <c r="Z1530" s="147"/>
      <c r="AA1530" s="147"/>
      <c r="AB1530" s="147"/>
      <c r="AC1530" s="147"/>
      <c r="AD1530" s="147"/>
      <c r="AE1530" s="147"/>
      <c r="AF1530" s="147"/>
      <c r="AG1530" s="147"/>
      <c r="AH1530" s="147"/>
      <c r="AI1530" s="147"/>
      <c r="AJ1530" s="147"/>
      <c r="AK1530" s="147"/>
      <c r="AL1530" s="147"/>
      <c r="AM1530" s="151"/>
      <c r="AN1530" s="147"/>
      <c r="AO1530" s="147"/>
      <c r="AP1530" s="147"/>
      <c r="AQ1530" s="147"/>
      <c r="AR1530" s="147"/>
      <c r="AS1530" s="147"/>
      <c r="AT1530" s="147"/>
      <c r="AU1530" s="147"/>
      <c r="AV1530" s="147"/>
      <c r="AW1530" s="147"/>
      <c r="AX1530" s="147"/>
      <c r="AY1530" s="147"/>
      <c r="AZ1530" s="147"/>
      <c r="BA1530" s="147"/>
      <c r="BB1530" s="147"/>
      <c r="BC1530" s="147"/>
      <c r="BD1530" s="147"/>
      <c r="BE1530" s="147"/>
      <c r="BF1530" s="147"/>
      <c r="BG1530" s="147"/>
      <c r="BH1530" s="147"/>
      <c r="BI1530" s="147"/>
      <c r="BJ1530" s="147"/>
      <c r="BK1530" s="147"/>
      <c r="BL1530" s="147"/>
      <c r="BM1530" s="147"/>
      <c r="BN1530" s="147"/>
      <c r="BO1530" s="147"/>
      <c r="BP1530" s="147"/>
      <c r="BQ1530" s="147"/>
      <c r="BR1530" s="147"/>
      <c r="BS1530" s="147"/>
      <c r="BT1530" s="147"/>
      <c r="BU1530" s="147"/>
      <c r="BV1530" s="147"/>
      <c r="BW1530" s="147"/>
      <c r="BX1530" s="147"/>
      <c r="BY1530" s="147"/>
      <c r="BZ1530" s="147"/>
      <c r="CA1530" s="147"/>
      <c r="CB1530" s="147"/>
      <c r="CC1530" s="147"/>
      <c r="CD1530" s="147"/>
      <c r="CE1530" s="147"/>
      <c r="CF1530" s="147"/>
      <c r="CG1530" s="147"/>
      <c r="CH1530" s="147"/>
      <c r="CI1530" s="147"/>
      <c r="CJ1530" s="147"/>
      <c r="CK1530" s="147"/>
    </row>
    <row r="1531" spans="1:89">
      <c r="A1531" s="157"/>
      <c r="F1531" s="3"/>
      <c r="G1531" s="3"/>
      <c r="L1531" s="157"/>
      <c r="M1531" s="157"/>
      <c r="O1531" s="147"/>
      <c r="P1531" s="147"/>
      <c r="Q1531" s="147"/>
      <c r="R1531" s="147"/>
      <c r="S1531" s="147"/>
      <c r="T1531" s="147"/>
      <c r="U1531" s="147"/>
      <c r="V1531" s="147"/>
      <c r="W1531" s="147"/>
      <c r="X1531" s="147"/>
      <c r="Y1531" s="147"/>
      <c r="Z1531" s="147"/>
      <c r="AA1531" s="147"/>
      <c r="AB1531" s="147"/>
      <c r="AC1531" s="147"/>
      <c r="AD1531" s="147"/>
      <c r="AE1531" s="147"/>
      <c r="AF1531" s="147"/>
      <c r="AG1531" s="147"/>
      <c r="AH1531" s="147"/>
      <c r="AI1531" s="147"/>
      <c r="AJ1531" s="147"/>
      <c r="AK1531" s="147"/>
      <c r="AL1531" s="147"/>
      <c r="AM1531" s="151"/>
      <c r="AN1531" s="147"/>
      <c r="AO1531" s="147"/>
      <c r="AP1531" s="147"/>
      <c r="AQ1531" s="147"/>
      <c r="AR1531" s="147"/>
      <c r="AS1531" s="147"/>
      <c r="AT1531" s="147"/>
      <c r="AU1531" s="147"/>
      <c r="AV1531" s="147"/>
      <c r="AW1531" s="147"/>
      <c r="AX1531" s="147"/>
      <c r="AY1531" s="147"/>
      <c r="AZ1531" s="147"/>
      <c r="BA1531" s="147"/>
      <c r="BB1531" s="147"/>
      <c r="BC1531" s="147"/>
      <c r="BD1531" s="147"/>
      <c r="BE1531" s="147"/>
      <c r="BF1531" s="147"/>
      <c r="BG1531" s="147"/>
      <c r="BH1531" s="147"/>
      <c r="BI1531" s="147"/>
      <c r="BJ1531" s="147"/>
      <c r="BK1531" s="147"/>
      <c r="BL1531" s="147"/>
      <c r="BM1531" s="147"/>
      <c r="BN1531" s="147"/>
      <c r="BO1531" s="147"/>
      <c r="BP1531" s="147"/>
      <c r="BQ1531" s="147"/>
      <c r="BR1531" s="147"/>
      <c r="BS1531" s="147"/>
      <c r="BT1531" s="147"/>
      <c r="BU1531" s="147"/>
      <c r="BV1531" s="147"/>
      <c r="BW1531" s="147"/>
      <c r="BX1531" s="147"/>
      <c r="BY1531" s="147"/>
      <c r="BZ1531" s="147"/>
      <c r="CA1531" s="147"/>
      <c r="CB1531" s="147"/>
      <c r="CC1531" s="147"/>
      <c r="CD1531" s="147"/>
      <c r="CE1531" s="147"/>
      <c r="CF1531" s="147"/>
      <c r="CG1531" s="147"/>
      <c r="CH1531" s="147"/>
      <c r="CI1531" s="147"/>
      <c r="CJ1531" s="147"/>
      <c r="CK1531" s="147"/>
    </row>
    <row r="1532" spans="1:89">
      <c r="A1532" s="157"/>
      <c r="F1532" s="3"/>
      <c r="G1532" s="3"/>
      <c r="L1532" s="157"/>
      <c r="M1532" s="157"/>
      <c r="O1532" s="147"/>
      <c r="P1532" s="147"/>
      <c r="Q1532" s="147"/>
      <c r="R1532" s="147"/>
      <c r="S1532" s="147"/>
      <c r="T1532" s="147"/>
      <c r="U1532" s="147"/>
      <c r="V1532" s="147"/>
      <c r="W1532" s="147"/>
      <c r="X1532" s="147"/>
      <c r="Y1532" s="147"/>
      <c r="Z1532" s="147"/>
      <c r="AA1532" s="147"/>
      <c r="AB1532" s="147"/>
      <c r="AC1532" s="147"/>
      <c r="AD1532" s="147"/>
      <c r="AE1532" s="147"/>
      <c r="AF1532" s="147"/>
      <c r="AG1532" s="147"/>
      <c r="AH1532" s="147"/>
      <c r="AI1532" s="147"/>
      <c r="AJ1532" s="147"/>
      <c r="AK1532" s="147"/>
      <c r="AL1532" s="147"/>
      <c r="AM1532" s="151"/>
      <c r="AN1532" s="147"/>
      <c r="AO1532" s="147"/>
      <c r="AP1532" s="147"/>
      <c r="AQ1532" s="147"/>
      <c r="AR1532" s="147"/>
      <c r="AS1532" s="147"/>
      <c r="AT1532" s="147"/>
      <c r="AU1532" s="147"/>
      <c r="AV1532" s="147"/>
      <c r="AW1532" s="147"/>
      <c r="AX1532" s="147"/>
      <c r="AY1532" s="147"/>
      <c r="AZ1532" s="147"/>
      <c r="BA1532" s="147"/>
      <c r="BB1532" s="147"/>
      <c r="BC1532" s="147"/>
      <c r="BD1532" s="147"/>
      <c r="BE1532" s="147"/>
      <c r="BF1532" s="147"/>
      <c r="BG1532" s="147"/>
      <c r="BH1532" s="147"/>
      <c r="BI1532" s="147"/>
      <c r="BJ1532" s="147"/>
      <c r="BK1532" s="147"/>
      <c r="BL1532" s="147"/>
      <c r="BM1532" s="147"/>
      <c r="BN1532" s="147"/>
      <c r="BO1532" s="147"/>
      <c r="BP1532" s="147"/>
      <c r="BQ1532" s="147"/>
      <c r="BR1532" s="147"/>
      <c r="BS1532" s="147"/>
      <c r="BT1532" s="147"/>
      <c r="BU1532" s="147"/>
      <c r="BV1532" s="147"/>
      <c r="BW1532" s="147"/>
      <c r="BX1532" s="147"/>
      <c r="BY1532" s="147"/>
      <c r="BZ1532" s="147"/>
      <c r="CA1532" s="147"/>
      <c r="CB1532" s="147"/>
      <c r="CC1532" s="147"/>
      <c r="CD1532" s="147"/>
      <c r="CE1532" s="147"/>
      <c r="CF1532" s="147"/>
      <c r="CG1532" s="147"/>
      <c r="CH1532" s="147"/>
      <c r="CI1532" s="147"/>
      <c r="CJ1532" s="147"/>
      <c r="CK1532" s="147"/>
    </row>
    <row r="1533" spans="1:89">
      <c r="A1533" s="157"/>
      <c r="F1533" s="3"/>
      <c r="G1533" s="3"/>
      <c r="L1533" s="157"/>
      <c r="M1533" s="157"/>
      <c r="O1533" s="147"/>
      <c r="P1533" s="147"/>
      <c r="Q1533" s="147"/>
      <c r="R1533" s="147"/>
      <c r="S1533" s="147"/>
      <c r="T1533" s="147"/>
      <c r="U1533" s="147"/>
      <c r="V1533" s="147"/>
      <c r="W1533" s="147"/>
      <c r="X1533" s="147"/>
      <c r="Y1533" s="147"/>
      <c r="Z1533" s="147"/>
      <c r="AA1533" s="147"/>
      <c r="AB1533" s="147"/>
      <c r="AC1533" s="147"/>
      <c r="AD1533" s="147"/>
      <c r="AE1533" s="147"/>
      <c r="AF1533" s="147"/>
      <c r="AG1533" s="147"/>
      <c r="AH1533" s="147"/>
      <c r="AI1533" s="147"/>
      <c r="AJ1533" s="147"/>
      <c r="AK1533" s="147"/>
      <c r="AL1533" s="147"/>
      <c r="AM1533" s="151"/>
      <c r="AN1533" s="147"/>
      <c r="AO1533" s="147"/>
      <c r="AP1533" s="147"/>
      <c r="AQ1533" s="147"/>
      <c r="AR1533" s="147"/>
      <c r="AS1533" s="147"/>
      <c r="AT1533" s="147"/>
      <c r="AU1533" s="147"/>
      <c r="AV1533" s="147"/>
      <c r="AW1533" s="147"/>
      <c r="AX1533" s="147"/>
      <c r="AY1533" s="147"/>
      <c r="AZ1533" s="147"/>
      <c r="BA1533" s="147"/>
      <c r="BB1533" s="147"/>
      <c r="BC1533" s="147"/>
      <c r="BD1533" s="147"/>
      <c r="BE1533" s="147"/>
      <c r="BF1533" s="147"/>
      <c r="BG1533" s="147"/>
      <c r="BH1533" s="147"/>
      <c r="BI1533" s="147"/>
      <c r="BJ1533" s="147"/>
      <c r="BK1533" s="147"/>
      <c r="BL1533" s="147"/>
      <c r="BM1533" s="147"/>
      <c r="BN1533" s="147"/>
      <c r="BO1533" s="147"/>
      <c r="BP1533" s="147"/>
      <c r="BQ1533" s="147"/>
      <c r="BR1533" s="147"/>
      <c r="BS1533" s="147"/>
      <c r="BT1533" s="147"/>
      <c r="BU1533" s="147"/>
      <c r="BV1533" s="147"/>
      <c r="BW1533" s="147"/>
      <c r="BX1533" s="147"/>
      <c r="BY1533" s="147"/>
      <c r="BZ1533" s="147"/>
      <c r="CA1533" s="147"/>
      <c r="CB1533" s="147"/>
      <c r="CC1533" s="147"/>
      <c r="CD1533" s="147"/>
      <c r="CE1533" s="147"/>
      <c r="CF1533" s="147"/>
      <c r="CG1533" s="147"/>
      <c r="CH1533" s="147"/>
      <c r="CI1533" s="147"/>
      <c r="CJ1533" s="147"/>
      <c r="CK1533" s="147"/>
    </row>
    <row r="1534" spans="1:89">
      <c r="A1534" s="157"/>
      <c r="F1534" s="3"/>
      <c r="G1534" s="3"/>
      <c r="L1534" s="157"/>
      <c r="M1534" s="157"/>
      <c r="O1534" s="147"/>
      <c r="P1534" s="147"/>
      <c r="Q1534" s="147"/>
      <c r="R1534" s="147"/>
      <c r="S1534" s="147"/>
      <c r="T1534" s="147"/>
      <c r="U1534" s="147"/>
      <c r="V1534" s="147"/>
      <c r="W1534" s="147"/>
      <c r="X1534" s="147"/>
      <c r="Y1534" s="147"/>
      <c r="Z1534" s="147"/>
      <c r="AA1534" s="147"/>
      <c r="AB1534" s="147"/>
      <c r="AC1534" s="147"/>
      <c r="AD1534" s="147"/>
      <c r="AE1534" s="147"/>
      <c r="AF1534" s="147"/>
      <c r="AG1534" s="147"/>
      <c r="AH1534" s="147"/>
      <c r="AI1534" s="147"/>
      <c r="AJ1534" s="147"/>
      <c r="AK1534" s="147"/>
      <c r="AL1534" s="147"/>
      <c r="AM1534" s="151"/>
      <c r="AN1534" s="147"/>
      <c r="AO1534" s="147"/>
      <c r="AP1534" s="147"/>
      <c r="AQ1534" s="147"/>
      <c r="AR1534" s="147"/>
      <c r="AS1534" s="147"/>
      <c r="AT1534" s="147"/>
      <c r="AU1534" s="147"/>
      <c r="AV1534" s="147"/>
      <c r="AW1534" s="147"/>
      <c r="AX1534" s="147"/>
      <c r="AY1534" s="147"/>
      <c r="AZ1534" s="147"/>
      <c r="BA1534" s="147"/>
      <c r="BB1534" s="147"/>
      <c r="BC1534" s="147"/>
      <c r="BD1534" s="147"/>
      <c r="BE1534" s="147"/>
      <c r="BF1534" s="147"/>
      <c r="BG1534" s="147"/>
      <c r="BH1534" s="147"/>
      <c r="BI1534" s="147"/>
      <c r="BJ1534" s="147"/>
      <c r="BK1534" s="147"/>
      <c r="BL1534" s="147"/>
      <c r="BM1534" s="147"/>
      <c r="BN1534" s="147"/>
      <c r="BO1534" s="147"/>
      <c r="BP1534" s="147"/>
      <c r="BQ1534" s="147"/>
      <c r="BR1534" s="147"/>
      <c r="BS1534" s="147"/>
      <c r="BT1534" s="147"/>
      <c r="BU1534" s="147"/>
      <c r="BV1534" s="147"/>
      <c r="BW1534" s="147"/>
      <c r="BX1534" s="147"/>
      <c r="BY1534" s="147"/>
      <c r="BZ1534" s="147"/>
      <c r="CA1534" s="147"/>
      <c r="CB1534" s="147"/>
      <c r="CC1534" s="147"/>
      <c r="CD1534" s="147"/>
      <c r="CE1534" s="147"/>
      <c r="CF1534" s="147"/>
      <c r="CG1534" s="147"/>
      <c r="CH1534" s="147"/>
      <c r="CI1534" s="147"/>
      <c r="CJ1534" s="147"/>
      <c r="CK1534" s="147"/>
    </row>
    <row r="1535" spans="1:89">
      <c r="A1535" s="157"/>
      <c r="F1535" s="3"/>
      <c r="G1535" s="3"/>
      <c r="L1535" s="157"/>
      <c r="M1535" s="157"/>
      <c r="O1535" s="147"/>
      <c r="P1535" s="147"/>
      <c r="Q1535" s="147"/>
      <c r="R1535" s="147"/>
      <c r="S1535" s="147"/>
      <c r="T1535" s="147"/>
      <c r="U1535" s="147"/>
      <c r="V1535" s="147"/>
      <c r="W1535" s="147"/>
      <c r="X1535" s="147"/>
      <c r="Y1535" s="147"/>
      <c r="Z1535" s="147"/>
      <c r="AA1535" s="147"/>
      <c r="AB1535" s="147"/>
      <c r="AC1535" s="147"/>
      <c r="AD1535" s="147"/>
      <c r="AE1535" s="147"/>
      <c r="AF1535" s="147"/>
      <c r="AG1535" s="147"/>
      <c r="AH1535" s="147"/>
      <c r="AI1535" s="147"/>
      <c r="AJ1535" s="147"/>
      <c r="AK1535" s="147"/>
      <c r="AL1535" s="147"/>
      <c r="AM1535" s="151"/>
      <c r="AN1535" s="147"/>
      <c r="AO1535" s="147"/>
      <c r="AP1535" s="147"/>
      <c r="AQ1535" s="147"/>
      <c r="AR1535" s="147"/>
      <c r="AS1535" s="147"/>
      <c r="AT1535" s="147"/>
      <c r="AU1535" s="147"/>
      <c r="AV1535" s="147"/>
      <c r="AW1535" s="147"/>
      <c r="AX1535" s="147"/>
      <c r="AY1535" s="147"/>
      <c r="AZ1535" s="147"/>
      <c r="BA1535" s="147"/>
      <c r="BB1535" s="147"/>
      <c r="BC1535" s="147"/>
      <c r="BD1535" s="147"/>
      <c r="BE1535" s="147"/>
      <c r="BF1535" s="147"/>
      <c r="BG1535" s="147"/>
      <c r="BH1535" s="147"/>
      <c r="BI1535" s="147"/>
      <c r="BJ1535" s="147"/>
      <c r="BK1535" s="147"/>
      <c r="BL1535" s="147"/>
      <c r="BM1535" s="147"/>
      <c r="BN1535" s="147"/>
      <c r="BO1535" s="147"/>
      <c r="BP1535" s="147"/>
      <c r="BQ1535" s="147"/>
      <c r="BR1535" s="147"/>
      <c r="BS1535" s="147"/>
      <c r="BT1535" s="147"/>
      <c r="BU1535" s="147"/>
      <c r="BV1535" s="147"/>
      <c r="BW1535" s="147"/>
      <c r="BX1535" s="147"/>
      <c r="BY1535" s="147"/>
      <c r="BZ1535" s="147"/>
      <c r="CA1535" s="147"/>
      <c r="CB1535" s="147"/>
      <c r="CC1535" s="147"/>
      <c r="CD1535" s="147"/>
      <c r="CE1535" s="147"/>
      <c r="CF1535" s="147"/>
      <c r="CG1535" s="147"/>
      <c r="CH1535" s="147"/>
      <c r="CI1535" s="147"/>
      <c r="CJ1535" s="147"/>
      <c r="CK1535" s="147"/>
    </row>
    <row r="1536" spans="1:89">
      <c r="A1536" s="157"/>
      <c r="F1536" s="3"/>
      <c r="G1536" s="3"/>
      <c r="L1536" s="157"/>
      <c r="M1536" s="157"/>
      <c r="O1536" s="147"/>
      <c r="P1536" s="147"/>
      <c r="Q1536" s="147"/>
      <c r="R1536" s="147"/>
      <c r="S1536" s="147"/>
      <c r="T1536" s="147"/>
      <c r="U1536" s="147"/>
      <c r="V1536" s="147"/>
      <c r="W1536" s="147"/>
      <c r="X1536" s="147"/>
      <c r="Y1536" s="147"/>
      <c r="Z1536" s="147"/>
      <c r="AA1536" s="147"/>
      <c r="AB1536" s="147"/>
      <c r="AC1536" s="147"/>
      <c r="AD1536" s="147"/>
      <c r="AE1536" s="147"/>
      <c r="AF1536" s="147"/>
      <c r="AG1536" s="147"/>
      <c r="AH1536" s="147"/>
      <c r="AI1536" s="147"/>
      <c r="AJ1536" s="147"/>
      <c r="AK1536" s="147"/>
      <c r="AL1536" s="147"/>
      <c r="AM1536" s="151"/>
      <c r="AN1536" s="147"/>
      <c r="AO1536" s="147"/>
      <c r="AP1536" s="147"/>
      <c r="AQ1536" s="147"/>
      <c r="AR1536" s="147"/>
      <c r="AS1536" s="147"/>
      <c r="AT1536" s="147"/>
      <c r="AU1536" s="147"/>
      <c r="AV1536" s="147"/>
      <c r="AW1536" s="147"/>
      <c r="AX1536" s="147"/>
      <c r="AY1536" s="147"/>
      <c r="AZ1536" s="147"/>
      <c r="BA1536" s="147"/>
      <c r="BB1536" s="147"/>
      <c r="BC1536" s="147"/>
      <c r="BD1536" s="147"/>
      <c r="BE1536" s="147"/>
      <c r="BF1536" s="147"/>
      <c r="BG1536" s="147"/>
      <c r="BH1536" s="147"/>
      <c r="BI1536" s="147"/>
      <c r="BJ1536" s="147"/>
      <c r="BK1536" s="147"/>
      <c r="BL1536" s="147"/>
      <c r="BM1536" s="147"/>
      <c r="BN1536" s="147"/>
      <c r="BO1536" s="147"/>
      <c r="BP1536" s="147"/>
      <c r="BQ1536" s="147"/>
      <c r="BR1536" s="147"/>
      <c r="BS1536" s="147"/>
      <c r="BT1536" s="147"/>
      <c r="BU1536" s="147"/>
      <c r="BV1536" s="147"/>
      <c r="BW1536" s="147"/>
      <c r="BX1536" s="147"/>
      <c r="BY1536" s="147"/>
      <c r="BZ1536" s="147"/>
      <c r="CA1536" s="147"/>
      <c r="CB1536" s="147"/>
      <c r="CC1536" s="147"/>
      <c r="CD1536" s="147"/>
      <c r="CE1536" s="147"/>
      <c r="CF1536" s="147"/>
      <c r="CG1536" s="147"/>
      <c r="CH1536" s="147"/>
      <c r="CI1536" s="147"/>
      <c r="CJ1536" s="147"/>
      <c r="CK1536" s="147"/>
    </row>
    <row r="1537" spans="1:89">
      <c r="A1537" s="157"/>
      <c r="F1537" s="3"/>
      <c r="G1537" s="3"/>
      <c r="L1537" s="157"/>
      <c r="M1537" s="157"/>
      <c r="O1537" s="147"/>
      <c r="P1537" s="147"/>
      <c r="Q1537" s="147"/>
      <c r="R1537" s="147"/>
      <c r="S1537" s="147"/>
      <c r="T1537" s="147"/>
      <c r="U1537" s="147"/>
      <c r="V1537" s="147"/>
      <c r="W1537" s="147"/>
      <c r="X1537" s="147"/>
      <c r="Y1537" s="147"/>
      <c r="Z1537" s="147"/>
      <c r="AA1537" s="147"/>
      <c r="AB1537" s="147"/>
      <c r="AC1537" s="147"/>
      <c r="AD1537" s="147"/>
      <c r="AE1537" s="147"/>
      <c r="AF1537" s="147"/>
      <c r="AG1537" s="147"/>
      <c r="AH1537" s="147"/>
      <c r="AI1537" s="147"/>
      <c r="AJ1537" s="147"/>
      <c r="AK1537" s="147"/>
      <c r="AL1537" s="147"/>
      <c r="AM1537" s="151"/>
      <c r="AN1537" s="147"/>
      <c r="AO1537" s="147"/>
      <c r="AP1537" s="147"/>
      <c r="AQ1537" s="147"/>
      <c r="AR1537" s="147"/>
      <c r="AS1537" s="147"/>
      <c r="AT1537" s="147"/>
      <c r="AU1537" s="147"/>
      <c r="AV1537" s="147"/>
      <c r="AW1537" s="147"/>
      <c r="AX1537" s="147"/>
      <c r="AY1537" s="147"/>
      <c r="AZ1537" s="147"/>
      <c r="BA1537" s="147"/>
      <c r="BB1537" s="147"/>
      <c r="BC1537" s="147"/>
      <c r="BD1537" s="147"/>
      <c r="BE1537" s="147"/>
      <c r="BF1537" s="147"/>
      <c r="BG1537" s="147"/>
      <c r="BH1537" s="147"/>
      <c r="BI1537" s="147"/>
      <c r="BJ1537" s="147"/>
      <c r="BK1537" s="147"/>
      <c r="BL1537" s="147"/>
      <c r="BM1537" s="147"/>
      <c r="BN1537" s="147"/>
      <c r="BO1537" s="147"/>
      <c r="BP1537" s="147"/>
      <c r="BQ1537" s="147"/>
      <c r="BR1537" s="147"/>
      <c r="BS1537" s="147"/>
      <c r="BT1537" s="147"/>
      <c r="BU1537" s="147"/>
      <c r="BV1537" s="147"/>
      <c r="BW1537" s="147"/>
      <c r="BX1537" s="147"/>
      <c r="BY1537" s="147"/>
      <c r="BZ1537" s="147"/>
      <c r="CA1537" s="147"/>
      <c r="CB1537" s="147"/>
      <c r="CC1537" s="147"/>
      <c r="CD1537" s="147"/>
      <c r="CE1537" s="147"/>
      <c r="CF1537" s="147"/>
      <c r="CG1537" s="147"/>
      <c r="CH1537" s="147"/>
      <c r="CI1537" s="147"/>
      <c r="CJ1537" s="147"/>
      <c r="CK1537" s="147"/>
    </row>
    <row r="1538" spans="1:89">
      <c r="A1538" s="157"/>
      <c r="F1538" s="3"/>
      <c r="G1538" s="3"/>
      <c r="L1538" s="157"/>
      <c r="M1538" s="157"/>
      <c r="O1538" s="147"/>
      <c r="P1538" s="147"/>
      <c r="Q1538" s="147"/>
      <c r="R1538" s="147"/>
      <c r="S1538" s="147"/>
      <c r="T1538" s="147"/>
      <c r="U1538" s="147"/>
      <c r="V1538" s="147"/>
      <c r="W1538" s="147"/>
      <c r="X1538" s="147"/>
      <c r="Y1538" s="147"/>
      <c r="Z1538" s="147"/>
      <c r="AA1538" s="147"/>
      <c r="AB1538" s="147"/>
      <c r="AC1538" s="147"/>
      <c r="AD1538" s="147"/>
      <c r="AE1538" s="147"/>
      <c r="AF1538" s="147"/>
      <c r="AG1538" s="147"/>
      <c r="AH1538" s="147"/>
      <c r="AI1538" s="147"/>
      <c r="AJ1538" s="147"/>
      <c r="AK1538" s="147"/>
      <c r="AL1538" s="147"/>
      <c r="AM1538" s="151"/>
      <c r="AN1538" s="147"/>
      <c r="AO1538" s="147"/>
      <c r="AP1538" s="147"/>
      <c r="AQ1538" s="147"/>
      <c r="AR1538" s="147"/>
      <c r="AS1538" s="147"/>
      <c r="AT1538" s="147"/>
      <c r="AU1538" s="147"/>
      <c r="AV1538" s="147"/>
      <c r="AW1538" s="147"/>
      <c r="AX1538" s="147"/>
      <c r="AY1538" s="147"/>
      <c r="AZ1538" s="147"/>
      <c r="BA1538" s="147"/>
      <c r="BB1538" s="147"/>
      <c r="BC1538" s="147"/>
      <c r="BD1538" s="147"/>
      <c r="BE1538" s="147"/>
      <c r="BF1538" s="147"/>
      <c r="BG1538" s="147"/>
      <c r="BH1538" s="147"/>
      <c r="BI1538" s="147"/>
      <c r="BJ1538" s="147"/>
      <c r="BK1538" s="147"/>
      <c r="BL1538" s="147"/>
      <c r="BM1538" s="147"/>
      <c r="BN1538" s="147"/>
      <c r="BO1538" s="147"/>
      <c r="BP1538" s="147"/>
      <c r="BQ1538" s="147"/>
      <c r="BR1538" s="147"/>
      <c r="BS1538" s="147"/>
      <c r="BT1538" s="147"/>
      <c r="BU1538" s="147"/>
      <c r="BV1538" s="147"/>
      <c r="BW1538" s="147"/>
      <c r="BX1538" s="147"/>
      <c r="BY1538" s="147"/>
      <c r="BZ1538" s="147"/>
      <c r="CA1538" s="147"/>
      <c r="CB1538" s="147"/>
      <c r="CC1538" s="147"/>
      <c r="CD1538" s="147"/>
      <c r="CE1538" s="147"/>
      <c r="CF1538" s="147"/>
      <c r="CG1538" s="147"/>
      <c r="CH1538" s="147"/>
      <c r="CI1538" s="147"/>
      <c r="CJ1538" s="147"/>
      <c r="CK1538" s="147"/>
    </row>
    <row r="1539" spans="1:89">
      <c r="A1539" s="157"/>
      <c r="F1539" s="3"/>
      <c r="G1539" s="3"/>
      <c r="L1539" s="157"/>
      <c r="M1539" s="157"/>
      <c r="O1539" s="147"/>
      <c r="P1539" s="147"/>
      <c r="Q1539" s="147"/>
      <c r="R1539" s="147"/>
      <c r="S1539" s="147"/>
      <c r="T1539" s="147"/>
      <c r="U1539" s="147"/>
      <c r="V1539" s="147"/>
      <c r="W1539" s="147"/>
      <c r="X1539" s="147"/>
      <c r="Y1539" s="147"/>
      <c r="Z1539" s="147"/>
      <c r="AA1539" s="147"/>
      <c r="AB1539" s="147"/>
      <c r="AC1539" s="147"/>
      <c r="AD1539" s="147"/>
      <c r="AE1539" s="147"/>
      <c r="AF1539" s="147"/>
      <c r="AG1539" s="147"/>
      <c r="AH1539" s="147"/>
      <c r="AI1539" s="147"/>
      <c r="AJ1539" s="147"/>
      <c r="AK1539" s="147"/>
      <c r="AL1539" s="147"/>
      <c r="AM1539" s="151"/>
      <c r="AN1539" s="147"/>
      <c r="AO1539" s="147"/>
      <c r="AP1539" s="147"/>
      <c r="AQ1539" s="147"/>
      <c r="AR1539" s="147"/>
      <c r="AS1539" s="147"/>
      <c r="AT1539" s="147"/>
      <c r="AU1539" s="147"/>
      <c r="AV1539" s="147"/>
      <c r="AW1539" s="147"/>
      <c r="AX1539" s="147"/>
      <c r="AY1539" s="147"/>
      <c r="AZ1539" s="147"/>
      <c r="BA1539" s="147"/>
      <c r="BB1539" s="147"/>
      <c r="BC1539" s="147"/>
      <c r="BD1539" s="147"/>
      <c r="BE1539" s="147"/>
      <c r="BF1539" s="147"/>
      <c r="BG1539" s="147"/>
      <c r="BH1539" s="147"/>
      <c r="BI1539" s="147"/>
      <c r="BJ1539" s="147"/>
      <c r="BK1539" s="147"/>
      <c r="BL1539" s="147"/>
      <c r="BM1539" s="147"/>
      <c r="BN1539" s="147"/>
      <c r="BO1539" s="147"/>
      <c r="BP1539" s="147"/>
      <c r="BQ1539" s="147"/>
      <c r="BR1539" s="147"/>
      <c r="BS1539" s="147"/>
      <c r="BT1539" s="147"/>
      <c r="BU1539" s="147"/>
      <c r="BV1539" s="147"/>
      <c r="BW1539" s="147"/>
      <c r="BX1539" s="147"/>
      <c r="BY1539" s="147"/>
      <c r="BZ1539" s="147"/>
      <c r="CA1539" s="147"/>
      <c r="CB1539" s="147"/>
      <c r="CC1539" s="147"/>
      <c r="CD1539" s="147"/>
      <c r="CE1539" s="147"/>
      <c r="CF1539" s="147"/>
      <c r="CG1539" s="147"/>
      <c r="CH1539" s="147"/>
      <c r="CI1539" s="147"/>
      <c r="CJ1539" s="147"/>
      <c r="CK1539" s="147"/>
    </row>
    <row r="1540" spans="1:89">
      <c r="A1540" s="157"/>
      <c r="F1540" s="3"/>
      <c r="G1540" s="3"/>
      <c r="L1540" s="157"/>
      <c r="M1540" s="157"/>
      <c r="O1540" s="147"/>
      <c r="P1540" s="147"/>
      <c r="Q1540" s="147"/>
      <c r="R1540" s="147"/>
      <c r="S1540" s="147"/>
      <c r="T1540" s="147"/>
      <c r="U1540" s="147"/>
      <c r="V1540" s="147"/>
      <c r="W1540" s="147"/>
      <c r="X1540" s="147"/>
      <c r="Y1540" s="147"/>
      <c r="Z1540" s="147"/>
      <c r="AA1540" s="147"/>
      <c r="AB1540" s="147"/>
      <c r="AC1540" s="147"/>
      <c r="AD1540" s="147"/>
      <c r="AE1540" s="147"/>
      <c r="AF1540" s="147"/>
      <c r="AG1540" s="147"/>
      <c r="AH1540" s="147"/>
      <c r="AI1540" s="147"/>
      <c r="AJ1540" s="147"/>
      <c r="AK1540" s="147"/>
      <c r="AL1540" s="147"/>
      <c r="AM1540" s="151"/>
      <c r="AN1540" s="147"/>
      <c r="AO1540" s="147"/>
      <c r="AP1540" s="147"/>
      <c r="AQ1540" s="147"/>
      <c r="AR1540" s="147"/>
      <c r="AS1540" s="147"/>
      <c r="AT1540" s="147"/>
      <c r="AU1540" s="147"/>
      <c r="AV1540" s="147"/>
      <c r="AW1540" s="147"/>
      <c r="AX1540" s="147"/>
      <c r="AY1540" s="147"/>
      <c r="AZ1540" s="147"/>
      <c r="BA1540" s="147"/>
      <c r="BB1540" s="147"/>
      <c r="BC1540" s="147"/>
      <c r="BD1540" s="147"/>
      <c r="BE1540" s="147"/>
      <c r="BF1540" s="147"/>
      <c r="BG1540" s="147"/>
      <c r="BH1540" s="147"/>
      <c r="BI1540" s="147"/>
      <c r="BJ1540" s="147"/>
      <c r="BK1540" s="147"/>
      <c r="BL1540" s="147"/>
      <c r="BM1540" s="147"/>
      <c r="BN1540" s="147"/>
      <c r="BO1540" s="147"/>
      <c r="BP1540" s="147"/>
      <c r="BQ1540" s="147"/>
      <c r="BR1540" s="147"/>
      <c r="BS1540" s="147"/>
      <c r="BT1540" s="147"/>
      <c r="BU1540" s="147"/>
      <c r="BV1540" s="147"/>
      <c r="BW1540" s="147"/>
      <c r="BX1540" s="147"/>
      <c r="BY1540" s="147"/>
      <c r="BZ1540" s="147"/>
      <c r="CA1540" s="147"/>
      <c r="CB1540" s="147"/>
      <c r="CC1540" s="147"/>
      <c r="CD1540" s="147"/>
      <c r="CE1540" s="147"/>
      <c r="CF1540" s="147"/>
      <c r="CG1540" s="147"/>
      <c r="CH1540" s="147"/>
      <c r="CI1540" s="147"/>
      <c r="CJ1540" s="147"/>
      <c r="CK1540" s="147"/>
    </row>
    <row r="1541" spans="1:89">
      <c r="A1541" s="157"/>
      <c r="F1541" s="3"/>
      <c r="G1541" s="3"/>
      <c r="L1541" s="157"/>
      <c r="M1541" s="157"/>
      <c r="O1541" s="147"/>
      <c r="P1541" s="147"/>
      <c r="Q1541" s="147"/>
      <c r="R1541" s="147"/>
      <c r="S1541" s="147"/>
      <c r="T1541" s="147"/>
      <c r="U1541" s="147"/>
      <c r="V1541" s="147"/>
      <c r="W1541" s="147"/>
      <c r="X1541" s="147"/>
      <c r="Y1541" s="147"/>
      <c r="Z1541" s="147"/>
      <c r="AA1541" s="147"/>
      <c r="AB1541" s="147"/>
      <c r="AC1541" s="147"/>
      <c r="AD1541" s="147"/>
      <c r="AE1541" s="147"/>
      <c r="AF1541" s="147"/>
      <c r="AG1541" s="147"/>
      <c r="AH1541" s="147"/>
      <c r="AI1541" s="147"/>
      <c r="AJ1541" s="147"/>
      <c r="AK1541" s="147"/>
      <c r="AL1541" s="147"/>
      <c r="AM1541" s="151"/>
      <c r="AN1541" s="147"/>
      <c r="AO1541" s="147"/>
      <c r="AP1541" s="147"/>
      <c r="AQ1541" s="147"/>
      <c r="AR1541" s="147"/>
      <c r="AS1541" s="147"/>
      <c r="AT1541" s="147"/>
      <c r="AU1541" s="147"/>
      <c r="AV1541" s="147"/>
      <c r="AW1541" s="147"/>
      <c r="AX1541" s="147"/>
      <c r="AY1541" s="147"/>
      <c r="AZ1541" s="147"/>
      <c r="BA1541" s="147"/>
      <c r="BB1541" s="147"/>
      <c r="BC1541" s="147"/>
      <c r="BD1541" s="147"/>
      <c r="BE1541" s="147"/>
      <c r="BF1541" s="147"/>
      <c r="BG1541" s="147"/>
      <c r="BH1541" s="147"/>
      <c r="BI1541" s="147"/>
      <c r="BJ1541" s="147"/>
      <c r="BK1541" s="147"/>
      <c r="BL1541" s="147"/>
      <c r="BM1541" s="147"/>
      <c r="BN1541" s="147"/>
      <c r="BO1541" s="147"/>
      <c r="BP1541" s="147"/>
      <c r="BQ1541" s="147"/>
      <c r="BR1541" s="147"/>
      <c r="BS1541" s="147"/>
      <c r="BT1541" s="147"/>
      <c r="BU1541" s="147"/>
      <c r="BV1541" s="147"/>
      <c r="BW1541" s="147"/>
      <c r="BX1541" s="147"/>
      <c r="BY1541" s="147"/>
      <c r="BZ1541" s="147"/>
      <c r="CA1541" s="147"/>
      <c r="CB1541" s="147"/>
      <c r="CC1541" s="147"/>
      <c r="CD1541" s="147"/>
      <c r="CE1541" s="147"/>
      <c r="CF1541" s="147"/>
      <c r="CG1541" s="147"/>
      <c r="CH1541" s="147"/>
      <c r="CI1541" s="147"/>
      <c r="CJ1541" s="147"/>
      <c r="CK1541" s="147"/>
    </row>
    <row r="1542" spans="1:89">
      <c r="A1542" s="157"/>
      <c r="F1542" s="3"/>
      <c r="G1542" s="3"/>
      <c r="L1542" s="157"/>
      <c r="M1542" s="157"/>
      <c r="O1542" s="147"/>
      <c r="P1542" s="147"/>
      <c r="Q1542" s="147"/>
      <c r="R1542" s="147"/>
      <c r="S1542" s="147"/>
      <c r="T1542" s="147"/>
      <c r="U1542" s="147"/>
      <c r="V1542" s="147"/>
      <c r="W1542" s="147"/>
      <c r="X1542" s="147"/>
      <c r="Y1542" s="147"/>
      <c r="Z1542" s="147"/>
      <c r="AA1542" s="147"/>
      <c r="AB1542" s="147"/>
      <c r="AC1542" s="147"/>
      <c r="AD1542" s="147"/>
      <c r="AE1542" s="147"/>
      <c r="AF1542" s="147"/>
      <c r="AG1542" s="147"/>
      <c r="AH1542" s="147"/>
      <c r="AI1542" s="147"/>
      <c r="AJ1542" s="147"/>
      <c r="AK1542" s="147"/>
      <c r="AL1542" s="147"/>
      <c r="AM1542" s="151"/>
      <c r="AN1542" s="147"/>
      <c r="AO1542" s="147"/>
      <c r="AP1542" s="147"/>
      <c r="AQ1542" s="147"/>
      <c r="AR1542" s="147"/>
      <c r="AS1542" s="147"/>
      <c r="AT1542" s="147"/>
      <c r="AU1542" s="147"/>
      <c r="AV1542" s="147"/>
      <c r="AW1542" s="147"/>
      <c r="AX1542" s="147"/>
      <c r="AY1542" s="147"/>
      <c r="AZ1542" s="147"/>
      <c r="BA1542" s="147"/>
      <c r="BB1542" s="147"/>
      <c r="BC1542" s="147"/>
      <c r="BD1542" s="147"/>
      <c r="BE1542" s="147"/>
      <c r="BF1542" s="147"/>
      <c r="BG1542" s="147"/>
      <c r="BH1542" s="147"/>
      <c r="BI1542" s="147"/>
      <c r="BJ1542" s="147"/>
      <c r="BK1542" s="147"/>
      <c r="BL1542" s="147"/>
      <c r="BM1542" s="147"/>
      <c r="BN1542" s="147"/>
      <c r="BO1542" s="147"/>
      <c r="BP1542" s="147"/>
      <c r="BQ1542" s="147"/>
      <c r="BR1542" s="147"/>
      <c r="BS1542" s="147"/>
      <c r="BT1542" s="147"/>
      <c r="BU1542" s="147"/>
      <c r="BV1542" s="147"/>
      <c r="BW1542" s="147"/>
      <c r="BX1542" s="147"/>
      <c r="BY1542" s="147"/>
      <c r="BZ1542" s="147"/>
      <c r="CA1542" s="147"/>
      <c r="CB1542" s="147"/>
      <c r="CC1542" s="147"/>
      <c r="CD1542" s="147"/>
      <c r="CE1542" s="147"/>
      <c r="CF1542" s="147"/>
      <c r="CG1542" s="147"/>
      <c r="CH1542" s="147"/>
      <c r="CI1542" s="147"/>
      <c r="CJ1542" s="147"/>
      <c r="CK1542" s="147"/>
    </row>
    <row r="1543" spans="1:89">
      <c r="A1543" s="157"/>
      <c r="F1543" s="3"/>
      <c r="G1543" s="3"/>
      <c r="L1543" s="157"/>
      <c r="M1543" s="157"/>
      <c r="O1543" s="147"/>
      <c r="P1543" s="147"/>
      <c r="Q1543" s="147"/>
      <c r="R1543" s="147"/>
      <c r="S1543" s="147"/>
      <c r="T1543" s="147"/>
      <c r="U1543" s="147"/>
      <c r="V1543" s="147"/>
      <c r="W1543" s="147"/>
      <c r="X1543" s="147"/>
      <c r="Y1543" s="147"/>
      <c r="Z1543" s="147"/>
      <c r="AA1543" s="147"/>
      <c r="AB1543" s="147"/>
      <c r="AC1543" s="147"/>
      <c r="AD1543" s="147"/>
      <c r="AE1543" s="147"/>
      <c r="AF1543" s="147"/>
      <c r="AG1543" s="147"/>
      <c r="AH1543" s="147"/>
      <c r="AI1543" s="147"/>
      <c r="AJ1543" s="147"/>
      <c r="AK1543" s="147"/>
      <c r="AL1543" s="147"/>
      <c r="AM1543" s="151"/>
      <c r="AN1543" s="147"/>
      <c r="AO1543" s="147"/>
      <c r="AP1543" s="147"/>
      <c r="AQ1543" s="147"/>
      <c r="AR1543" s="147"/>
      <c r="AS1543" s="147"/>
      <c r="AT1543" s="147"/>
      <c r="AU1543" s="147"/>
      <c r="AV1543" s="147"/>
      <c r="AW1543" s="147"/>
      <c r="AX1543" s="147"/>
      <c r="AY1543" s="147"/>
      <c r="AZ1543" s="147"/>
      <c r="BA1543" s="147"/>
      <c r="BB1543" s="147"/>
      <c r="BC1543" s="147"/>
      <c r="BD1543" s="147"/>
      <c r="BE1543" s="147"/>
      <c r="BF1543" s="147"/>
      <c r="BG1543" s="147"/>
      <c r="BH1543" s="147"/>
      <c r="BI1543" s="147"/>
      <c r="BJ1543" s="147"/>
      <c r="BK1543" s="147"/>
      <c r="BL1543" s="147"/>
      <c r="BM1543" s="147"/>
      <c r="BN1543" s="147"/>
      <c r="BO1543" s="147"/>
      <c r="BP1543" s="147"/>
      <c r="BQ1543" s="147"/>
      <c r="BR1543" s="147"/>
      <c r="BS1543" s="147"/>
      <c r="BT1543" s="147"/>
      <c r="BU1543" s="147"/>
      <c r="BV1543" s="147"/>
      <c r="BW1543" s="147"/>
      <c r="BX1543" s="147"/>
      <c r="BY1543" s="147"/>
      <c r="BZ1543" s="147"/>
      <c r="CA1543" s="147"/>
      <c r="CB1543" s="147"/>
      <c r="CC1543" s="147"/>
      <c r="CD1543" s="147"/>
      <c r="CE1543" s="147"/>
      <c r="CF1543" s="147"/>
      <c r="CG1543" s="147"/>
      <c r="CH1543" s="147"/>
      <c r="CI1543" s="147"/>
      <c r="CJ1543" s="147"/>
      <c r="CK1543" s="147"/>
    </row>
    <row r="1544" spans="1:89">
      <c r="A1544" s="157"/>
      <c r="F1544" s="3"/>
      <c r="G1544" s="3"/>
      <c r="L1544" s="157"/>
      <c r="M1544" s="157"/>
      <c r="O1544" s="147"/>
      <c r="P1544" s="147"/>
      <c r="Q1544" s="147"/>
      <c r="R1544" s="147"/>
      <c r="S1544" s="147"/>
      <c r="T1544" s="147"/>
      <c r="U1544" s="147"/>
      <c r="V1544" s="147"/>
      <c r="W1544" s="147"/>
      <c r="X1544" s="147"/>
      <c r="Y1544" s="147"/>
      <c r="Z1544" s="147"/>
      <c r="AA1544" s="147"/>
      <c r="AB1544" s="147"/>
      <c r="AC1544" s="147"/>
      <c r="AD1544" s="147"/>
      <c r="AE1544" s="147"/>
      <c r="AF1544" s="147"/>
      <c r="AG1544" s="147"/>
      <c r="AH1544" s="147"/>
      <c r="AI1544" s="147"/>
      <c r="AJ1544" s="147"/>
      <c r="AK1544" s="147"/>
      <c r="AL1544" s="147"/>
      <c r="AM1544" s="151"/>
      <c r="AN1544" s="147"/>
      <c r="AO1544" s="147"/>
      <c r="AP1544" s="147"/>
      <c r="AQ1544" s="147"/>
      <c r="AR1544" s="147"/>
      <c r="AS1544" s="147"/>
      <c r="AT1544" s="147"/>
      <c r="AU1544" s="147"/>
      <c r="AV1544" s="147"/>
      <c r="AW1544" s="147"/>
      <c r="AX1544" s="147"/>
      <c r="AY1544" s="147"/>
      <c r="AZ1544" s="147"/>
      <c r="BA1544" s="147"/>
      <c r="BB1544" s="147"/>
      <c r="BC1544" s="147"/>
      <c r="BD1544" s="147"/>
      <c r="BE1544" s="147"/>
      <c r="BF1544" s="147"/>
      <c r="BG1544" s="147"/>
      <c r="BH1544" s="147"/>
      <c r="BI1544" s="147"/>
      <c r="BJ1544" s="147"/>
      <c r="BK1544" s="147"/>
      <c r="BL1544" s="147"/>
      <c r="BM1544" s="147"/>
      <c r="BN1544" s="147"/>
      <c r="BO1544" s="147"/>
      <c r="BP1544" s="147"/>
      <c r="BQ1544" s="147"/>
      <c r="BR1544" s="147"/>
      <c r="BS1544" s="147"/>
      <c r="BT1544" s="147"/>
      <c r="BU1544" s="147"/>
      <c r="BV1544" s="147"/>
      <c r="BW1544" s="147"/>
      <c r="BX1544" s="147"/>
      <c r="BY1544" s="147"/>
      <c r="BZ1544" s="147"/>
      <c r="CA1544" s="147"/>
      <c r="CB1544" s="147"/>
      <c r="CC1544" s="147"/>
      <c r="CD1544" s="147"/>
      <c r="CE1544" s="147"/>
      <c r="CF1544" s="147"/>
      <c r="CG1544" s="147"/>
      <c r="CH1544" s="147"/>
      <c r="CI1544" s="147"/>
      <c r="CJ1544" s="147"/>
      <c r="CK1544" s="147"/>
    </row>
    <row r="1545" spans="1:89">
      <c r="A1545" s="157"/>
      <c r="F1545" s="3"/>
      <c r="G1545" s="3"/>
      <c r="L1545" s="157"/>
      <c r="M1545" s="157"/>
      <c r="O1545" s="147"/>
      <c r="P1545" s="147"/>
      <c r="Q1545" s="147"/>
      <c r="R1545" s="147"/>
      <c r="S1545" s="147"/>
      <c r="T1545" s="147"/>
      <c r="U1545" s="147"/>
      <c r="V1545" s="147"/>
      <c r="W1545" s="147"/>
      <c r="X1545" s="147"/>
      <c r="Y1545" s="147"/>
      <c r="Z1545" s="147"/>
      <c r="AA1545" s="147"/>
      <c r="AB1545" s="147"/>
      <c r="AC1545" s="147"/>
      <c r="AD1545" s="147"/>
      <c r="AE1545" s="147"/>
      <c r="AF1545" s="147"/>
      <c r="AG1545" s="147"/>
      <c r="AH1545" s="147"/>
      <c r="AI1545" s="147"/>
      <c r="AJ1545" s="147"/>
      <c r="AK1545" s="147"/>
      <c r="AL1545" s="147"/>
      <c r="AM1545" s="151"/>
      <c r="AN1545" s="147"/>
      <c r="AO1545" s="147"/>
      <c r="AP1545" s="147"/>
      <c r="AQ1545" s="147"/>
      <c r="AR1545" s="147"/>
      <c r="AS1545" s="147"/>
      <c r="AT1545" s="147"/>
      <c r="AU1545" s="147"/>
      <c r="AV1545" s="147"/>
      <c r="AW1545" s="147"/>
      <c r="AX1545" s="147"/>
      <c r="AY1545" s="147"/>
      <c r="AZ1545" s="147"/>
      <c r="BA1545" s="147"/>
      <c r="BB1545" s="147"/>
      <c r="BC1545" s="147"/>
      <c r="BD1545" s="147"/>
      <c r="BE1545" s="147"/>
      <c r="BF1545" s="147"/>
      <c r="BG1545" s="147"/>
      <c r="BH1545" s="147"/>
      <c r="BI1545" s="147"/>
      <c r="BJ1545" s="147"/>
      <c r="BK1545" s="147"/>
      <c r="BL1545" s="147"/>
      <c r="BM1545" s="147"/>
      <c r="BN1545" s="147"/>
      <c r="BO1545" s="147"/>
      <c r="BP1545" s="147"/>
      <c r="BQ1545" s="147"/>
      <c r="BR1545" s="147"/>
      <c r="BS1545" s="147"/>
      <c r="BT1545" s="147"/>
      <c r="BU1545" s="147"/>
      <c r="BV1545" s="147"/>
      <c r="BW1545" s="147"/>
      <c r="BX1545" s="147"/>
      <c r="BY1545" s="147"/>
      <c r="BZ1545" s="147"/>
      <c r="CA1545" s="147"/>
      <c r="CB1545" s="147"/>
      <c r="CC1545" s="147"/>
      <c r="CD1545" s="147"/>
      <c r="CE1545" s="147"/>
      <c r="CF1545" s="147"/>
      <c r="CG1545" s="147"/>
      <c r="CH1545" s="147"/>
      <c r="CI1545" s="147"/>
      <c r="CJ1545" s="147"/>
      <c r="CK1545" s="147"/>
    </row>
    <row r="1546" spans="1:89">
      <c r="A1546" s="157"/>
      <c r="F1546" s="3"/>
      <c r="G1546" s="3"/>
      <c r="L1546" s="157"/>
      <c r="M1546" s="157"/>
      <c r="O1546" s="147"/>
      <c r="P1546" s="147"/>
      <c r="Q1546" s="147"/>
      <c r="R1546" s="147"/>
      <c r="S1546" s="147"/>
      <c r="T1546" s="147"/>
      <c r="U1546" s="147"/>
      <c r="V1546" s="147"/>
      <c r="W1546" s="147"/>
      <c r="X1546" s="147"/>
      <c r="Y1546" s="147"/>
      <c r="Z1546" s="147"/>
      <c r="AA1546" s="147"/>
      <c r="AB1546" s="147"/>
      <c r="AC1546" s="147"/>
      <c r="AD1546" s="147"/>
      <c r="AE1546" s="147"/>
      <c r="AF1546" s="147"/>
      <c r="AG1546" s="147"/>
      <c r="AH1546" s="147"/>
      <c r="AI1546" s="147"/>
      <c r="AJ1546" s="147"/>
      <c r="AK1546" s="147"/>
      <c r="AL1546" s="147"/>
      <c r="AM1546" s="151"/>
      <c r="AN1546" s="147"/>
      <c r="AO1546" s="147"/>
      <c r="AP1546" s="147"/>
      <c r="AQ1546" s="147"/>
      <c r="AR1546" s="147"/>
      <c r="AS1546" s="147"/>
      <c r="AT1546" s="147"/>
      <c r="AU1546" s="147"/>
      <c r="AV1546" s="147"/>
      <c r="AW1546" s="147"/>
      <c r="AX1546" s="147"/>
      <c r="AY1546" s="147"/>
      <c r="AZ1546" s="147"/>
      <c r="BA1546" s="147"/>
      <c r="BB1546" s="147"/>
      <c r="BC1546" s="147"/>
      <c r="BD1546" s="147"/>
      <c r="BE1546" s="147"/>
      <c r="BF1546" s="147"/>
      <c r="BG1546" s="147"/>
      <c r="BH1546" s="147"/>
      <c r="BI1546" s="147"/>
      <c r="BJ1546" s="147"/>
      <c r="BK1546" s="147"/>
      <c r="BL1546" s="147"/>
      <c r="BM1546" s="147"/>
      <c r="BN1546" s="147"/>
      <c r="BO1546" s="147"/>
      <c r="BP1546" s="147"/>
      <c r="BQ1546" s="147"/>
      <c r="BR1546" s="147"/>
      <c r="BS1546" s="147"/>
      <c r="BT1546" s="147"/>
      <c r="BU1546" s="147"/>
      <c r="BV1546" s="147"/>
      <c r="BW1546" s="147"/>
      <c r="BX1546" s="147"/>
      <c r="BY1546" s="147"/>
      <c r="BZ1546" s="147"/>
      <c r="CA1546" s="147"/>
      <c r="CB1546" s="147"/>
      <c r="CC1546" s="147"/>
      <c r="CD1546" s="147"/>
      <c r="CE1546" s="147"/>
      <c r="CF1546" s="147"/>
      <c r="CG1546" s="147"/>
      <c r="CH1546" s="147"/>
      <c r="CI1546" s="147"/>
      <c r="CJ1546" s="147"/>
      <c r="CK1546" s="147"/>
    </row>
    <row r="1547" spans="1:89">
      <c r="A1547" s="157"/>
      <c r="F1547" s="3"/>
      <c r="G1547" s="3"/>
      <c r="L1547" s="157"/>
      <c r="M1547" s="157"/>
      <c r="O1547" s="147"/>
      <c r="P1547" s="147"/>
      <c r="Q1547" s="147"/>
      <c r="R1547" s="147"/>
      <c r="S1547" s="147"/>
      <c r="T1547" s="147"/>
      <c r="U1547" s="147"/>
      <c r="V1547" s="147"/>
      <c r="W1547" s="147"/>
      <c r="X1547" s="147"/>
      <c r="Y1547" s="147"/>
      <c r="Z1547" s="147"/>
      <c r="AA1547" s="147"/>
      <c r="AB1547" s="147"/>
      <c r="AC1547" s="147"/>
      <c r="AD1547" s="147"/>
      <c r="AE1547" s="147"/>
      <c r="AF1547" s="147"/>
      <c r="AG1547" s="147"/>
      <c r="AH1547" s="147"/>
      <c r="AI1547" s="147"/>
      <c r="AJ1547" s="147"/>
      <c r="AK1547" s="147"/>
      <c r="AL1547" s="147"/>
      <c r="AM1547" s="151"/>
      <c r="AN1547" s="147"/>
      <c r="AO1547" s="147"/>
      <c r="AP1547" s="147"/>
      <c r="AQ1547" s="147"/>
      <c r="AR1547" s="147"/>
      <c r="AS1547" s="147"/>
      <c r="AT1547" s="147"/>
      <c r="AU1547" s="147"/>
      <c r="AV1547" s="147"/>
      <c r="AW1547" s="147"/>
      <c r="AX1547" s="147"/>
      <c r="AY1547" s="147"/>
      <c r="AZ1547" s="147"/>
      <c r="BA1547" s="147"/>
      <c r="BB1547" s="147"/>
      <c r="BC1547" s="147"/>
      <c r="BD1547" s="147"/>
      <c r="BE1547" s="147"/>
      <c r="BF1547" s="147"/>
      <c r="BG1547" s="147"/>
      <c r="BH1547" s="147"/>
      <c r="BI1547" s="147"/>
      <c r="BJ1547" s="147"/>
      <c r="BK1547" s="147"/>
      <c r="BL1547" s="147"/>
      <c r="BM1547" s="147"/>
      <c r="BN1547" s="147"/>
      <c r="BO1547" s="147"/>
      <c r="BP1547" s="147"/>
      <c r="BQ1547" s="147"/>
      <c r="BR1547" s="147"/>
      <c r="BS1547" s="147"/>
      <c r="BT1547" s="147"/>
      <c r="BU1547" s="147"/>
      <c r="BV1547" s="147"/>
      <c r="BW1547" s="147"/>
      <c r="BX1547" s="147"/>
      <c r="BY1547" s="147"/>
      <c r="BZ1547" s="147"/>
      <c r="CA1547" s="147"/>
      <c r="CB1547" s="147"/>
      <c r="CC1547" s="147"/>
      <c r="CD1547" s="147"/>
      <c r="CE1547" s="147"/>
      <c r="CF1547" s="147"/>
      <c r="CG1547" s="147"/>
      <c r="CH1547" s="147"/>
      <c r="CI1547" s="147"/>
      <c r="CJ1547" s="147"/>
      <c r="CK1547" s="147"/>
    </row>
    <row r="1548" spans="1:89">
      <c r="A1548" s="157"/>
      <c r="F1548" s="3"/>
      <c r="G1548" s="3"/>
      <c r="L1548" s="157"/>
      <c r="M1548" s="157"/>
      <c r="O1548" s="147"/>
      <c r="P1548" s="147"/>
      <c r="Q1548" s="147"/>
      <c r="R1548" s="147"/>
      <c r="S1548" s="147"/>
      <c r="T1548" s="147"/>
      <c r="U1548" s="147"/>
      <c r="V1548" s="147"/>
      <c r="W1548" s="147"/>
      <c r="X1548" s="147"/>
      <c r="Y1548" s="147"/>
      <c r="Z1548" s="147"/>
      <c r="AA1548" s="147"/>
      <c r="AB1548" s="147"/>
      <c r="AC1548" s="147"/>
      <c r="AD1548" s="147"/>
      <c r="AE1548" s="147"/>
      <c r="AF1548" s="147"/>
      <c r="AG1548" s="147"/>
      <c r="AH1548" s="147"/>
      <c r="AI1548" s="147"/>
      <c r="AJ1548" s="147"/>
      <c r="AK1548" s="147"/>
      <c r="AL1548" s="147"/>
      <c r="AM1548" s="151"/>
      <c r="AN1548" s="147"/>
      <c r="AO1548" s="147"/>
      <c r="AP1548" s="147"/>
      <c r="AQ1548" s="147"/>
      <c r="AR1548" s="147"/>
      <c r="AS1548" s="147"/>
      <c r="AT1548" s="147"/>
      <c r="AU1548" s="147"/>
      <c r="AV1548" s="147"/>
      <c r="AW1548" s="147"/>
      <c r="AX1548" s="147"/>
      <c r="AY1548" s="147"/>
      <c r="AZ1548" s="147"/>
      <c r="BA1548" s="147"/>
      <c r="BB1548" s="147"/>
      <c r="BC1548" s="147"/>
      <c r="BD1548" s="147"/>
      <c r="BE1548" s="147"/>
      <c r="BF1548" s="147"/>
      <c r="BG1548" s="147"/>
      <c r="BH1548" s="147"/>
      <c r="BI1548" s="147"/>
      <c r="BJ1548" s="147"/>
      <c r="BK1548" s="147"/>
      <c r="BL1548" s="147"/>
      <c r="BM1548" s="147"/>
      <c r="BN1548" s="147"/>
      <c r="BO1548" s="147"/>
      <c r="BP1548" s="147"/>
      <c r="BQ1548" s="147"/>
      <c r="BR1548" s="147"/>
      <c r="BS1548" s="147"/>
      <c r="BT1548" s="147"/>
      <c r="BU1548" s="147"/>
      <c r="BV1548" s="147"/>
      <c r="BW1548" s="147"/>
      <c r="BX1548" s="147"/>
      <c r="BY1548" s="147"/>
      <c r="BZ1548" s="147"/>
      <c r="CA1548" s="147"/>
      <c r="CB1548" s="147"/>
      <c r="CC1548" s="147"/>
      <c r="CD1548" s="147"/>
      <c r="CE1548" s="147"/>
      <c r="CF1548" s="147"/>
      <c r="CG1548" s="147"/>
      <c r="CH1548" s="147"/>
      <c r="CI1548" s="147"/>
      <c r="CJ1548" s="147"/>
      <c r="CK1548" s="147"/>
    </row>
    <row r="1549" spans="1:89">
      <c r="A1549" s="157"/>
      <c r="F1549" s="3"/>
      <c r="G1549" s="3"/>
      <c r="L1549" s="157"/>
      <c r="M1549" s="157"/>
      <c r="O1549" s="147"/>
      <c r="P1549" s="147"/>
      <c r="Q1549" s="147"/>
      <c r="R1549" s="147"/>
      <c r="S1549" s="147"/>
      <c r="T1549" s="147"/>
      <c r="U1549" s="147"/>
      <c r="V1549" s="147"/>
      <c r="W1549" s="147"/>
      <c r="X1549" s="147"/>
      <c r="Y1549" s="147"/>
      <c r="Z1549" s="147"/>
      <c r="AA1549" s="147"/>
      <c r="AB1549" s="147"/>
      <c r="AC1549" s="147"/>
      <c r="AD1549" s="147"/>
      <c r="AE1549" s="147"/>
      <c r="AF1549" s="147"/>
      <c r="AG1549" s="147"/>
      <c r="AH1549" s="147"/>
      <c r="AI1549" s="147"/>
      <c r="AJ1549" s="147"/>
      <c r="AK1549" s="147"/>
      <c r="AL1549" s="147"/>
      <c r="AM1549" s="151"/>
      <c r="AN1549" s="147"/>
      <c r="AO1549" s="147"/>
      <c r="AP1549" s="147"/>
      <c r="AQ1549" s="147"/>
      <c r="AR1549" s="147"/>
      <c r="AS1549" s="147"/>
      <c r="AT1549" s="147"/>
      <c r="AU1549" s="147"/>
      <c r="AV1549" s="147"/>
      <c r="AW1549" s="147"/>
      <c r="AX1549" s="147"/>
      <c r="AY1549" s="147"/>
      <c r="AZ1549" s="147"/>
      <c r="BA1549" s="147"/>
      <c r="BB1549" s="147"/>
      <c r="BC1549" s="147"/>
      <c r="BD1549" s="147"/>
      <c r="BE1549" s="147"/>
      <c r="BF1549" s="147"/>
      <c r="BG1549" s="147"/>
      <c r="BH1549" s="147"/>
      <c r="BI1549" s="147"/>
      <c r="BJ1549" s="147"/>
      <c r="BK1549" s="147"/>
      <c r="BL1549" s="147"/>
      <c r="BM1549" s="147"/>
      <c r="BN1549" s="147"/>
      <c r="BO1549" s="147"/>
      <c r="BP1549" s="147"/>
      <c r="BQ1549" s="147"/>
      <c r="BR1549" s="147"/>
      <c r="BS1549" s="147"/>
      <c r="BT1549" s="147"/>
      <c r="BU1549" s="147"/>
      <c r="BV1549" s="147"/>
      <c r="BW1549" s="147"/>
      <c r="BX1549" s="147"/>
      <c r="BY1549" s="147"/>
      <c r="BZ1549" s="147"/>
      <c r="CA1549" s="147"/>
      <c r="CB1549" s="147"/>
      <c r="CC1549" s="147"/>
      <c r="CD1549" s="147"/>
      <c r="CE1549" s="147"/>
      <c r="CF1549" s="147"/>
      <c r="CG1549" s="147"/>
      <c r="CH1549" s="147"/>
      <c r="CI1549" s="147"/>
      <c r="CJ1549" s="147"/>
      <c r="CK1549" s="147"/>
    </row>
    <row r="1550" spans="1:89">
      <c r="A1550" s="157"/>
      <c r="F1550" s="3"/>
      <c r="G1550" s="3"/>
      <c r="L1550" s="157"/>
      <c r="M1550" s="157"/>
      <c r="O1550" s="147"/>
      <c r="P1550" s="147"/>
      <c r="Q1550" s="147"/>
      <c r="R1550" s="147"/>
      <c r="S1550" s="147"/>
      <c r="T1550" s="147"/>
      <c r="U1550" s="147"/>
      <c r="V1550" s="147"/>
      <c r="W1550" s="147"/>
      <c r="X1550" s="147"/>
      <c r="Y1550" s="147"/>
      <c r="Z1550" s="147"/>
      <c r="AA1550" s="147"/>
      <c r="AB1550" s="147"/>
      <c r="AC1550" s="147"/>
      <c r="AD1550" s="147"/>
      <c r="AE1550" s="147"/>
      <c r="AF1550" s="147"/>
      <c r="AG1550" s="147"/>
      <c r="AH1550" s="147"/>
      <c r="AI1550" s="147"/>
      <c r="AJ1550" s="147"/>
      <c r="AK1550" s="147"/>
      <c r="AL1550" s="147"/>
      <c r="AM1550" s="151"/>
      <c r="AN1550" s="147"/>
      <c r="AO1550" s="147"/>
      <c r="AP1550" s="147"/>
      <c r="AQ1550" s="147"/>
      <c r="AR1550" s="147"/>
      <c r="AS1550" s="147"/>
      <c r="AT1550" s="147"/>
      <c r="AU1550" s="147"/>
      <c r="AV1550" s="147"/>
      <c r="AW1550" s="147"/>
      <c r="AX1550" s="147"/>
      <c r="AY1550" s="147"/>
      <c r="AZ1550" s="147"/>
      <c r="BA1550" s="147"/>
      <c r="BB1550" s="147"/>
      <c r="BC1550" s="147"/>
      <c r="BD1550" s="147"/>
      <c r="BE1550" s="147"/>
      <c r="BF1550" s="147"/>
      <c r="BG1550" s="147"/>
      <c r="BH1550" s="147"/>
      <c r="BI1550" s="147"/>
      <c r="BJ1550" s="147"/>
      <c r="BK1550" s="147"/>
      <c r="BL1550" s="147"/>
      <c r="BM1550" s="147"/>
      <c r="BN1550" s="147"/>
      <c r="BO1550" s="147"/>
      <c r="BP1550" s="147"/>
      <c r="BQ1550" s="147"/>
      <c r="BR1550" s="147"/>
      <c r="BS1550" s="147"/>
      <c r="BT1550" s="147"/>
      <c r="BU1550" s="147"/>
      <c r="BV1550" s="147"/>
      <c r="BW1550" s="147"/>
      <c r="BX1550" s="147"/>
      <c r="BY1550" s="147"/>
      <c r="BZ1550" s="147"/>
      <c r="CA1550" s="147"/>
      <c r="CB1550" s="147"/>
      <c r="CC1550" s="147"/>
      <c r="CD1550" s="147"/>
      <c r="CE1550" s="147"/>
      <c r="CF1550" s="147"/>
      <c r="CG1550" s="147"/>
      <c r="CH1550" s="147"/>
      <c r="CI1550" s="147"/>
      <c r="CJ1550" s="147"/>
      <c r="CK1550" s="147"/>
    </row>
    <row r="1551" spans="1:89">
      <c r="A1551" s="157"/>
      <c r="F1551" s="3"/>
      <c r="G1551" s="3"/>
      <c r="L1551" s="157"/>
      <c r="M1551" s="157"/>
      <c r="O1551" s="147"/>
      <c r="P1551" s="147"/>
      <c r="Q1551" s="147"/>
      <c r="R1551" s="147"/>
      <c r="S1551" s="147"/>
      <c r="T1551" s="147"/>
      <c r="U1551" s="147"/>
      <c r="V1551" s="147"/>
      <c r="W1551" s="147"/>
      <c r="X1551" s="147"/>
      <c r="Y1551" s="147"/>
      <c r="Z1551" s="147"/>
      <c r="AA1551" s="147"/>
      <c r="AB1551" s="147"/>
      <c r="AC1551" s="147"/>
      <c r="AD1551" s="147"/>
      <c r="AE1551" s="147"/>
      <c r="AF1551" s="147"/>
      <c r="AG1551" s="147"/>
      <c r="AH1551" s="147"/>
      <c r="AI1551" s="147"/>
      <c r="AJ1551" s="147"/>
      <c r="AK1551" s="147"/>
      <c r="AL1551" s="147"/>
      <c r="AM1551" s="151"/>
      <c r="AN1551" s="147"/>
      <c r="AO1551" s="147"/>
      <c r="AP1551" s="147"/>
      <c r="AQ1551" s="147"/>
      <c r="AR1551" s="147"/>
      <c r="AS1551" s="147"/>
      <c r="AT1551" s="147"/>
      <c r="AU1551" s="147"/>
      <c r="AV1551" s="147"/>
      <c r="AW1551" s="147"/>
      <c r="AX1551" s="147"/>
      <c r="AY1551" s="147"/>
      <c r="AZ1551" s="147"/>
      <c r="BA1551" s="147"/>
      <c r="BB1551" s="147"/>
      <c r="BC1551" s="147"/>
      <c r="BD1551" s="147"/>
      <c r="BE1551" s="147"/>
      <c r="BF1551" s="147"/>
      <c r="BG1551" s="147"/>
      <c r="BH1551" s="147"/>
      <c r="BI1551" s="147"/>
      <c r="BJ1551" s="147"/>
      <c r="BK1551" s="147"/>
      <c r="BL1551" s="147"/>
      <c r="BM1551" s="147"/>
      <c r="BN1551" s="147"/>
      <c r="BO1551" s="147"/>
      <c r="BP1551" s="147"/>
      <c r="BQ1551" s="147"/>
      <c r="BR1551" s="147"/>
      <c r="BS1551" s="147"/>
      <c r="BT1551" s="147"/>
      <c r="BU1551" s="147"/>
      <c r="BV1551" s="147"/>
      <c r="BW1551" s="147"/>
      <c r="BX1551" s="147"/>
      <c r="BY1551" s="147"/>
      <c r="BZ1551" s="147"/>
      <c r="CA1551" s="147"/>
      <c r="CB1551" s="147"/>
      <c r="CC1551" s="147"/>
      <c r="CD1551" s="147"/>
      <c r="CE1551" s="147"/>
      <c r="CF1551" s="147"/>
      <c r="CG1551" s="147"/>
      <c r="CH1551" s="147"/>
      <c r="CI1551" s="147"/>
      <c r="CJ1551" s="147"/>
      <c r="CK1551" s="147"/>
    </row>
    <row r="1552" spans="1:89">
      <c r="A1552" s="157"/>
      <c r="F1552" s="3"/>
      <c r="G1552" s="3"/>
      <c r="L1552" s="157"/>
      <c r="M1552" s="157"/>
      <c r="O1552" s="147"/>
      <c r="P1552" s="147"/>
      <c r="Q1552" s="147"/>
      <c r="R1552" s="147"/>
      <c r="S1552" s="147"/>
      <c r="T1552" s="147"/>
      <c r="U1552" s="147"/>
      <c r="V1552" s="147"/>
      <c r="W1552" s="147"/>
      <c r="X1552" s="147"/>
      <c r="Y1552" s="147"/>
      <c r="Z1552" s="147"/>
      <c r="AA1552" s="147"/>
      <c r="AB1552" s="147"/>
      <c r="AC1552" s="147"/>
      <c r="AD1552" s="147"/>
      <c r="AE1552" s="147"/>
      <c r="AF1552" s="147"/>
      <c r="AG1552" s="147"/>
      <c r="AH1552" s="147"/>
      <c r="AI1552" s="147"/>
      <c r="AJ1552" s="147"/>
      <c r="AK1552" s="147"/>
      <c r="AL1552" s="147"/>
      <c r="AM1552" s="151"/>
      <c r="AN1552" s="147"/>
      <c r="AO1552" s="147"/>
      <c r="AP1552" s="147"/>
      <c r="AQ1552" s="147"/>
      <c r="AR1552" s="147"/>
      <c r="AS1552" s="147"/>
      <c r="AT1552" s="147"/>
      <c r="AU1552" s="147"/>
      <c r="AV1552" s="147"/>
      <c r="AW1552" s="147"/>
      <c r="AX1552" s="147"/>
      <c r="AY1552" s="147"/>
      <c r="AZ1552" s="147"/>
      <c r="BA1552" s="147"/>
      <c r="BB1552" s="147"/>
      <c r="BC1552" s="147"/>
      <c r="BD1552" s="147"/>
      <c r="BE1552" s="147"/>
      <c r="BF1552" s="147"/>
      <c r="BG1552" s="147"/>
      <c r="BH1552" s="147"/>
      <c r="BI1552" s="147"/>
      <c r="BJ1552" s="147"/>
      <c r="BK1552" s="147"/>
      <c r="BL1552" s="147"/>
      <c r="BM1552" s="147"/>
      <c r="BN1552" s="147"/>
      <c r="BO1552" s="147"/>
      <c r="BP1552" s="147"/>
      <c r="BQ1552" s="147"/>
      <c r="BR1552" s="147"/>
      <c r="BS1552" s="147"/>
      <c r="BT1552" s="147"/>
      <c r="BU1552" s="147"/>
      <c r="BV1552" s="147"/>
      <c r="BW1552" s="147"/>
      <c r="BX1552" s="147"/>
      <c r="BY1552" s="147"/>
      <c r="BZ1552" s="147"/>
      <c r="CA1552" s="147"/>
      <c r="CB1552" s="147"/>
      <c r="CC1552" s="147"/>
      <c r="CD1552" s="147"/>
      <c r="CE1552" s="147"/>
      <c r="CF1552" s="147"/>
      <c r="CG1552" s="147"/>
      <c r="CH1552" s="147"/>
      <c r="CI1552" s="147"/>
      <c r="CJ1552" s="147"/>
      <c r="CK1552" s="147"/>
    </row>
    <row r="1553" spans="1:89">
      <c r="A1553" s="157"/>
      <c r="F1553" s="3"/>
      <c r="G1553" s="3"/>
      <c r="L1553" s="157"/>
      <c r="M1553" s="157"/>
      <c r="O1553" s="147"/>
      <c r="P1553" s="147"/>
      <c r="Q1553" s="147"/>
      <c r="R1553" s="147"/>
      <c r="S1553" s="147"/>
      <c r="T1553" s="147"/>
      <c r="U1553" s="147"/>
      <c r="V1553" s="147"/>
      <c r="W1553" s="147"/>
      <c r="X1553" s="147"/>
      <c r="Y1553" s="147"/>
      <c r="Z1553" s="147"/>
      <c r="AA1553" s="147"/>
      <c r="AB1553" s="147"/>
      <c r="AC1553" s="147"/>
      <c r="AD1553" s="147"/>
      <c r="AE1553" s="147"/>
      <c r="AF1553" s="147"/>
      <c r="AG1553" s="147"/>
      <c r="AH1553" s="147"/>
      <c r="AI1553" s="147"/>
      <c r="AJ1553" s="147"/>
      <c r="AK1553" s="147"/>
      <c r="AL1553" s="147"/>
      <c r="AM1553" s="151"/>
      <c r="AN1553" s="147"/>
      <c r="AO1553" s="147"/>
      <c r="AP1553" s="147"/>
      <c r="AQ1553" s="147"/>
      <c r="AR1553" s="147"/>
      <c r="AS1553" s="147"/>
      <c r="AT1553" s="147"/>
      <c r="AU1553" s="147"/>
      <c r="AV1553" s="147"/>
      <c r="AW1553" s="147"/>
      <c r="AX1553" s="147"/>
      <c r="AY1553" s="147"/>
      <c r="AZ1553" s="147"/>
      <c r="BA1553" s="147"/>
      <c r="BB1553" s="147"/>
      <c r="BC1553" s="147"/>
      <c r="BD1553" s="147"/>
      <c r="BE1553" s="147"/>
      <c r="BF1553" s="147"/>
      <c r="BG1553" s="147"/>
      <c r="BH1553" s="147"/>
      <c r="BI1553" s="147"/>
      <c r="BJ1553" s="147"/>
      <c r="BK1553" s="147"/>
      <c r="BL1553" s="147"/>
      <c r="BM1553" s="147"/>
      <c r="BN1553" s="147"/>
      <c r="BO1553" s="147"/>
      <c r="BP1553" s="147"/>
      <c r="BQ1553" s="147"/>
      <c r="BR1553" s="147"/>
      <c r="BS1553" s="147"/>
      <c r="BT1553" s="147"/>
      <c r="BU1553" s="147"/>
      <c r="BV1553" s="147"/>
      <c r="BW1553" s="147"/>
      <c r="BX1553" s="147"/>
      <c r="BY1553" s="147"/>
      <c r="BZ1553" s="147"/>
      <c r="CA1553" s="147"/>
      <c r="CB1553" s="147"/>
      <c r="CC1553" s="147"/>
      <c r="CD1553" s="147"/>
      <c r="CE1553" s="147"/>
      <c r="CF1553" s="147"/>
      <c r="CG1553" s="147"/>
      <c r="CH1553" s="147"/>
      <c r="CI1553" s="147"/>
      <c r="CJ1553" s="147"/>
      <c r="CK1553" s="147"/>
    </row>
    <row r="1554" spans="1:89">
      <c r="A1554" s="157"/>
      <c r="F1554" s="3"/>
      <c r="G1554" s="3"/>
      <c r="L1554" s="157"/>
      <c r="M1554" s="157"/>
      <c r="O1554" s="147"/>
      <c r="P1554" s="147"/>
      <c r="Q1554" s="147"/>
      <c r="R1554" s="147"/>
      <c r="S1554" s="147"/>
      <c r="T1554" s="147"/>
      <c r="U1554" s="147"/>
      <c r="V1554" s="147"/>
      <c r="W1554" s="147"/>
      <c r="X1554" s="147"/>
      <c r="Y1554" s="147"/>
      <c r="Z1554" s="147"/>
      <c r="AA1554" s="147"/>
      <c r="AB1554" s="147"/>
      <c r="AC1554" s="147"/>
      <c r="AD1554" s="147"/>
      <c r="AE1554" s="147"/>
      <c r="AF1554" s="147"/>
      <c r="AG1554" s="147"/>
      <c r="AH1554" s="147"/>
      <c r="AI1554" s="147"/>
      <c r="AJ1554" s="147"/>
      <c r="AK1554" s="147"/>
      <c r="AL1554" s="147"/>
      <c r="AM1554" s="151"/>
      <c r="AN1554" s="147"/>
      <c r="AO1554" s="147"/>
      <c r="AP1554" s="147"/>
      <c r="AQ1554" s="147"/>
      <c r="AR1554" s="147"/>
      <c r="AS1554" s="147"/>
      <c r="AT1554" s="147"/>
      <c r="AU1554" s="147"/>
      <c r="AV1554" s="147"/>
      <c r="AW1554" s="147"/>
      <c r="AX1554" s="147"/>
      <c r="AY1554" s="147"/>
      <c r="AZ1554" s="147"/>
      <c r="BA1554" s="147"/>
      <c r="BB1554" s="147"/>
      <c r="BC1554" s="147"/>
      <c r="BD1554" s="147"/>
      <c r="BE1554" s="147"/>
      <c r="BF1554" s="147"/>
      <c r="BG1554" s="147"/>
      <c r="BH1554" s="147"/>
      <c r="BI1554" s="147"/>
      <c r="BJ1554" s="147"/>
      <c r="BK1554" s="147"/>
      <c r="BL1554" s="147"/>
      <c r="BM1554" s="147"/>
      <c r="BN1554" s="147"/>
      <c r="BO1554" s="147"/>
      <c r="BP1554" s="147"/>
      <c r="BQ1554" s="147"/>
      <c r="BR1554" s="147"/>
      <c r="BS1554" s="147"/>
      <c r="BT1554" s="147"/>
      <c r="BU1554" s="147"/>
      <c r="BV1554" s="147"/>
      <c r="BW1554" s="147"/>
      <c r="BX1554" s="147"/>
      <c r="BY1554" s="147"/>
      <c r="BZ1554" s="147"/>
      <c r="CA1554" s="147"/>
      <c r="CB1554" s="147"/>
      <c r="CC1554" s="147"/>
      <c r="CD1554" s="147"/>
      <c r="CE1554" s="147"/>
      <c r="CF1554" s="147"/>
      <c r="CG1554" s="147"/>
      <c r="CH1554" s="147"/>
      <c r="CI1554" s="147"/>
      <c r="CJ1554" s="147"/>
      <c r="CK1554" s="147"/>
    </row>
    <row r="1555" spans="1:89">
      <c r="A1555" s="157"/>
      <c r="F1555" s="3"/>
      <c r="G1555" s="3"/>
      <c r="L1555" s="157"/>
      <c r="M1555" s="157"/>
      <c r="O1555" s="147"/>
      <c r="P1555" s="147"/>
      <c r="Q1555" s="147"/>
      <c r="R1555" s="147"/>
      <c r="S1555" s="147"/>
      <c r="T1555" s="147"/>
      <c r="U1555" s="147"/>
      <c r="V1555" s="147"/>
      <c r="W1555" s="147"/>
      <c r="X1555" s="147"/>
      <c r="Y1555" s="147"/>
      <c r="Z1555" s="147"/>
      <c r="AA1555" s="147"/>
      <c r="AB1555" s="147"/>
      <c r="AC1555" s="147"/>
      <c r="AD1555" s="147"/>
      <c r="AE1555" s="147"/>
      <c r="AF1555" s="147"/>
      <c r="AG1555" s="147"/>
      <c r="AH1555" s="147"/>
      <c r="AI1555" s="147"/>
      <c r="AJ1555" s="147"/>
      <c r="AK1555" s="147"/>
      <c r="AL1555" s="147"/>
      <c r="AM1555" s="151"/>
      <c r="AN1555" s="147"/>
      <c r="AO1555" s="147"/>
      <c r="AP1555" s="147"/>
      <c r="AQ1555" s="147"/>
      <c r="AR1555" s="147"/>
      <c r="AS1555" s="147"/>
      <c r="AT1555" s="147"/>
      <c r="AU1555" s="147"/>
      <c r="AV1555" s="147"/>
      <c r="AW1555" s="147"/>
      <c r="AX1555" s="147"/>
      <c r="AY1555" s="147"/>
      <c r="AZ1555" s="147"/>
      <c r="BA1555" s="147"/>
      <c r="BB1555" s="147"/>
      <c r="BC1555" s="147"/>
      <c r="BD1555" s="147"/>
      <c r="BE1555" s="147"/>
      <c r="BF1555" s="147"/>
      <c r="BG1555" s="147"/>
      <c r="BH1555" s="147"/>
      <c r="BI1555" s="147"/>
      <c r="BJ1555" s="147"/>
      <c r="BK1555" s="147"/>
      <c r="BL1555" s="147"/>
      <c r="BM1555" s="147"/>
      <c r="BN1555" s="147"/>
      <c r="BO1555" s="147"/>
      <c r="BP1555" s="147"/>
      <c r="BQ1555" s="147"/>
      <c r="BR1555" s="147"/>
      <c r="BS1555" s="147"/>
      <c r="BT1555" s="147"/>
      <c r="BU1555" s="147"/>
      <c r="BV1555" s="147"/>
      <c r="BW1555" s="147"/>
      <c r="BX1555" s="147"/>
      <c r="BY1555" s="147"/>
      <c r="BZ1555" s="147"/>
      <c r="CA1555" s="147"/>
      <c r="CB1555" s="147"/>
      <c r="CC1555" s="147"/>
      <c r="CD1555" s="147"/>
      <c r="CE1555" s="147"/>
      <c r="CF1555" s="147"/>
      <c r="CG1555" s="147"/>
      <c r="CH1555" s="147"/>
      <c r="CI1555" s="147"/>
      <c r="CJ1555" s="147"/>
      <c r="CK1555" s="147"/>
    </row>
    <row r="1556" spans="1:89">
      <c r="A1556" s="157"/>
      <c r="F1556" s="3"/>
      <c r="G1556" s="3"/>
      <c r="L1556" s="157"/>
      <c r="M1556" s="157"/>
      <c r="O1556" s="147"/>
      <c r="P1556" s="147"/>
      <c r="Q1556" s="147"/>
      <c r="R1556" s="147"/>
      <c r="S1556" s="147"/>
      <c r="T1556" s="147"/>
      <c r="U1556" s="147"/>
      <c r="V1556" s="147"/>
      <c r="W1556" s="147"/>
      <c r="X1556" s="147"/>
      <c r="Y1556" s="147"/>
      <c r="Z1556" s="147"/>
      <c r="AA1556" s="147"/>
      <c r="AB1556" s="147"/>
      <c r="AC1556" s="147"/>
      <c r="AD1556" s="147"/>
      <c r="AE1556" s="147"/>
      <c r="AF1556" s="147"/>
      <c r="AG1556" s="147"/>
      <c r="AH1556" s="147"/>
      <c r="AI1556" s="147"/>
      <c r="AJ1556" s="147"/>
      <c r="AK1556" s="147"/>
      <c r="AL1556" s="147"/>
      <c r="AM1556" s="151"/>
      <c r="AN1556" s="147"/>
      <c r="AO1556" s="147"/>
      <c r="AP1556" s="147"/>
      <c r="AQ1556" s="147"/>
      <c r="AR1556" s="147"/>
      <c r="AS1556" s="147"/>
      <c r="AT1556" s="147"/>
      <c r="AU1556" s="147"/>
      <c r="AV1556" s="147"/>
      <c r="AW1556" s="147"/>
      <c r="AX1556" s="147"/>
      <c r="AY1556" s="147"/>
      <c r="AZ1556" s="147"/>
      <c r="BA1556" s="147"/>
      <c r="BB1556" s="147"/>
      <c r="BC1556" s="147"/>
      <c r="BD1556" s="147"/>
      <c r="BE1556" s="147"/>
      <c r="BF1556" s="147"/>
      <c r="BG1556" s="147"/>
      <c r="BH1556" s="147"/>
      <c r="BI1556" s="147"/>
      <c r="BJ1556" s="147"/>
      <c r="BK1556" s="147"/>
      <c r="BL1556" s="147"/>
      <c r="BM1556" s="147"/>
      <c r="BN1556" s="147"/>
      <c r="BO1556" s="147"/>
      <c r="BP1556" s="147"/>
      <c r="BQ1556" s="147"/>
      <c r="BR1556" s="147"/>
      <c r="BS1556" s="147"/>
      <c r="BT1556" s="147"/>
      <c r="BU1556" s="147"/>
      <c r="BV1556" s="147"/>
      <c r="BW1556" s="147"/>
      <c r="BX1556" s="147"/>
      <c r="BY1556" s="147"/>
      <c r="BZ1556" s="147"/>
      <c r="CA1556" s="147"/>
      <c r="CB1556" s="147"/>
      <c r="CC1556" s="147"/>
      <c r="CD1556" s="147"/>
      <c r="CE1556" s="147"/>
      <c r="CF1556" s="147"/>
      <c r="CG1556" s="147"/>
      <c r="CH1556" s="147"/>
      <c r="CI1556" s="147"/>
      <c r="CJ1556" s="147"/>
      <c r="CK1556" s="147"/>
    </row>
    <row r="1557" spans="1:89">
      <c r="A1557" s="157"/>
      <c r="F1557" s="3"/>
      <c r="G1557" s="3"/>
      <c r="L1557" s="157"/>
      <c r="M1557" s="157"/>
      <c r="O1557" s="147"/>
      <c r="P1557" s="147"/>
      <c r="Q1557" s="147"/>
      <c r="R1557" s="147"/>
      <c r="S1557" s="147"/>
      <c r="T1557" s="147"/>
      <c r="U1557" s="147"/>
      <c r="V1557" s="147"/>
      <c r="W1557" s="147"/>
      <c r="X1557" s="147"/>
      <c r="Y1557" s="147"/>
      <c r="Z1557" s="147"/>
      <c r="AA1557" s="147"/>
      <c r="AB1557" s="147"/>
      <c r="AC1557" s="147"/>
      <c r="AD1557" s="147"/>
      <c r="AE1557" s="147"/>
      <c r="AF1557" s="147"/>
      <c r="AG1557" s="147"/>
      <c r="AH1557" s="147"/>
      <c r="AI1557" s="147"/>
      <c r="AJ1557" s="147"/>
      <c r="AK1557" s="147"/>
      <c r="AL1557" s="147"/>
      <c r="AM1557" s="151"/>
      <c r="AN1557" s="147"/>
      <c r="AO1557" s="147"/>
      <c r="AP1557" s="147"/>
      <c r="AQ1557" s="147"/>
      <c r="AR1557" s="147"/>
      <c r="AS1557" s="147"/>
      <c r="AT1557" s="147"/>
      <c r="AU1557" s="147"/>
      <c r="AV1557" s="147"/>
      <c r="AW1557" s="147"/>
      <c r="AX1557" s="147"/>
      <c r="AY1557" s="147"/>
      <c r="AZ1557" s="147"/>
      <c r="BA1557" s="147"/>
      <c r="BB1557" s="147"/>
      <c r="BC1557" s="147"/>
      <c r="BD1557" s="147"/>
      <c r="BE1557" s="147"/>
      <c r="BF1557" s="147"/>
      <c r="BG1557" s="147"/>
      <c r="BH1557" s="147"/>
      <c r="BI1557" s="147"/>
      <c r="BJ1557" s="147"/>
      <c r="BK1557" s="147"/>
      <c r="BL1557" s="147"/>
      <c r="BM1557" s="147"/>
      <c r="BN1557" s="147"/>
      <c r="BO1557" s="147"/>
      <c r="BP1557" s="147"/>
      <c r="BQ1557" s="147"/>
      <c r="BR1557" s="147"/>
      <c r="BS1557" s="147"/>
      <c r="BT1557" s="147"/>
      <c r="BU1557" s="147"/>
      <c r="BV1557" s="147"/>
      <c r="BW1557" s="147"/>
      <c r="BX1557" s="147"/>
      <c r="BY1557" s="147"/>
      <c r="BZ1557" s="147"/>
      <c r="CA1557" s="147"/>
      <c r="CB1557" s="147"/>
      <c r="CC1557" s="147"/>
      <c r="CD1557" s="147"/>
      <c r="CE1557" s="147"/>
      <c r="CF1557" s="147"/>
      <c r="CG1557" s="147"/>
      <c r="CH1557" s="147"/>
      <c r="CI1557" s="147"/>
      <c r="CJ1557" s="147"/>
      <c r="CK1557" s="147"/>
    </row>
    <row r="1558" spans="1:89">
      <c r="A1558" s="157"/>
      <c r="F1558" s="3"/>
      <c r="G1558" s="3"/>
      <c r="L1558" s="157"/>
      <c r="M1558" s="157"/>
      <c r="O1558" s="147"/>
      <c r="P1558" s="147"/>
      <c r="Q1558" s="147"/>
      <c r="R1558" s="147"/>
      <c r="S1558" s="147"/>
      <c r="T1558" s="147"/>
      <c r="U1558" s="147"/>
      <c r="V1558" s="147"/>
      <c r="W1558" s="147"/>
      <c r="X1558" s="147"/>
      <c r="Y1558" s="147"/>
      <c r="Z1558" s="147"/>
      <c r="AA1558" s="147"/>
      <c r="AB1558" s="147"/>
      <c r="AC1558" s="147"/>
      <c r="AD1558" s="147"/>
      <c r="AE1558" s="147"/>
      <c r="AF1558" s="147"/>
      <c r="AG1558" s="147"/>
      <c r="AH1558" s="147"/>
      <c r="AI1558" s="147"/>
      <c r="AJ1558" s="147"/>
      <c r="AK1558" s="147"/>
      <c r="AL1558" s="147"/>
      <c r="AM1558" s="151"/>
      <c r="AN1558" s="147"/>
      <c r="AO1558" s="147"/>
      <c r="AP1558" s="147"/>
      <c r="AQ1558" s="147"/>
      <c r="AR1558" s="147"/>
      <c r="AS1558" s="147"/>
      <c r="AT1558" s="147"/>
      <c r="AU1558" s="147"/>
      <c r="AV1558" s="147"/>
      <c r="AW1558" s="147"/>
      <c r="AX1558" s="147"/>
      <c r="AY1558" s="147"/>
      <c r="AZ1558" s="147"/>
      <c r="BA1558" s="147"/>
      <c r="BB1558" s="147"/>
      <c r="BC1558" s="147"/>
      <c r="BD1558" s="147"/>
      <c r="BE1558" s="147"/>
      <c r="BF1558" s="147"/>
      <c r="BG1558" s="147"/>
      <c r="BH1558" s="147"/>
      <c r="BI1558" s="147"/>
      <c r="BJ1558" s="147"/>
      <c r="BK1558" s="147"/>
      <c r="BL1558" s="147"/>
      <c r="BM1558" s="147"/>
      <c r="BN1558" s="147"/>
      <c r="BO1558" s="147"/>
      <c r="BP1558" s="147"/>
      <c r="BQ1558" s="147"/>
      <c r="BR1558" s="147"/>
      <c r="BS1558" s="147"/>
      <c r="BT1558" s="147"/>
      <c r="BU1558" s="147"/>
      <c r="BV1558" s="147"/>
      <c r="BW1558" s="147"/>
      <c r="BX1558" s="147"/>
      <c r="BY1558" s="147"/>
      <c r="BZ1558" s="147"/>
      <c r="CA1558" s="147"/>
      <c r="CB1558" s="147"/>
      <c r="CC1558" s="147"/>
      <c r="CD1558" s="147"/>
      <c r="CE1558" s="147"/>
      <c r="CF1558" s="147"/>
      <c r="CG1558" s="147"/>
      <c r="CH1558" s="147"/>
      <c r="CI1558" s="147"/>
      <c r="CJ1558" s="147"/>
      <c r="CK1558" s="147"/>
    </row>
    <row r="1559" spans="1:89">
      <c r="A1559" s="157"/>
      <c r="F1559" s="3"/>
      <c r="G1559" s="3"/>
      <c r="L1559" s="157"/>
      <c r="M1559" s="157"/>
      <c r="O1559" s="147"/>
      <c r="P1559" s="147"/>
      <c r="Q1559" s="147"/>
      <c r="R1559" s="147"/>
      <c r="S1559" s="147"/>
      <c r="T1559" s="147"/>
      <c r="U1559" s="147"/>
      <c r="V1559" s="147"/>
      <c r="W1559" s="147"/>
      <c r="X1559" s="147"/>
      <c r="Y1559" s="147"/>
      <c r="Z1559" s="147"/>
      <c r="AA1559" s="147"/>
      <c r="AB1559" s="147"/>
      <c r="AC1559" s="147"/>
      <c r="AD1559" s="147"/>
      <c r="AE1559" s="147"/>
      <c r="AF1559" s="147"/>
      <c r="AG1559" s="147"/>
      <c r="AH1559" s="147"/>
      <c r="AI1559" s="147"/>
      <c r="AJ1559" s="147"/>
      <c r="AK1559" s="147"/>
      <c r="AL1559" s="147"/>
      <c r="AM1559" s="151"/>
      <c r="AN1559" s="147"/>
      <c r="AO1559" s="147"/>
      <c r="AP1559" s="147"/>
      <c r="AQ1559" s="147"/>
      <c r="AR1559" s="147"/>
      <c r="AS1559" s="147"/>
      <c r="AT1559" s="147"/>
      <c r="AU1559" s="147"/>
      <c r="AV1559" s="147"/>
      <c r="AW1559" s="147"/>
      <c r="AX1559" s="147"/>
      <c r="AY1559" s="147"/>
      <c r="AZ1559" s="147"/>
      <c r="BA1559" s="147"/>
      <c r="BB1559" s="147"/>
      <c r="BC1559" s="147"/>
      <c r="BD1559" s="147"/>
      <c r="BE1559" s="147"/>
      <c r="BF1559" s="147"/>
      <c r="BG1559" s="147"/>
      <c r="BH1559" s="147"/>
      <c r="BI1559" s="147"/>
      <c r="BJ1559" s="147"/>
      <c r="BK1559" s="147"/>
      <c r="BL1559" s="147"/>
      <c r="BM1559" s="147"/>
      <c r="BN1559" s="147"/>
      <c r="BO1559" s="147"/>
      <c r="BP1559" s="147"/>
      <c r="BQ1559" s="147"/>
      <c r="BR1559" s="147"/>
      <c r="BS1559" s="147"/>
      <c r="BT1559" s="147"/>
      <c r="BU1559" s="147"/>
      <c r="BV1559" s="147"/>
      <c r="BW1559" s="147"/>
      <c r="BX1559" s="147"/>
      <c r="BY1559" s="147"/>
      <c r="BZ1559" s="147"/>
      <c r="CA1559" s="147"/>
      <c r="CB1559" s="147"/>
      <c r="CC1559" s="147"/>
      <c r="CD1559" s="147"/>
      <c r="CE1559" s="147"/>
      <c r="CF1559" s="147"/>
      <c r="CG1559" s="147"/>
      <c r="CH1559" s="147"/>
      <c r="CI1559" s="147"/>
      <c r="CJ1559" s="147"/>
      <c r="CK1559" s="147"/>
    </row>
    <row r="1560" spans="1:89">
      <c r="A1560" s="157"/>
      <c r="F1560" s="3"/>
      <c r="G1560" s="3"/>
      <c r="L1560" s="157"/>
      <c r="M1560" s="157"/>
      <c r="O1560" s="147"/>
      <c r="P1560" s="147"/>
      <c r="Q1560" s="147"/>
      <c r="R1560" s="147"/>
      <c r="S1560" s="147"/>
      <c r="T1560" s="147"/>
      <c r="U1560" s="147"/>
      <c r="V1560" s="147"/>
      <c r="W1560" s="147"/>
      <c r="X1560" s="147"/>
      <c r="Y1560" s="147"/>
      <c r="Z1560" s="147"/>
      <c r="AA1560" s="147"/>
      <c r="AB1560" s="147"/>
      <c r="AC1560" s="147"/>
      <c r="AD1560" s="147"/>
      <c r="AE1560" s="147"/>
      <c r="AF1560" s="147"/>
      <c r="AG1560" s="147"/>
      <c r="AH1560" s="147"/>
      <c r="AI1560" s="147"/>
      <c r="AJ1560" s="147"/>
      <c r="AK1560" s="147"/>
      <c r="AL1560" s="147"/>
      <c r="AM1560" s="151"/>
      <c r="AN1560" s="147"/>
      <c r="AO1560" s="147"/>
      <c r="AP1560" s="147"/>
      <c r="AQ1560" s="147"/>
      <c r="AR1560" s="147"/>
      <c r="AS1560" s="147"/>
      <c r="AT1560" s="147"/>
      <c r="AU1560" s="147"/>
      <c r="AV1560" s="147"/>
      <c r="AW1560" s="147"/>
      <c r="AX1560" s="147"/>
      <c r="AY1560" s="147"/>
      <c r="AZ1560" s="147"/>
      <c r="BA1560" s="147"/>
      <c r="BB1560" s="147"/>
      <c r="BC1560" s="147"/>
      <c r="BD1560" s="147"/>
      <c r="BE1560" s="147"/>
      <c r="BF1560" s="147"/>
      <c r="BG1560" s="147"/>
      <c r="BH1560" s="147"/>
      <c r="BI1560" s="147"/>
      <c r="BJ1560" s="147"/>
      <c r="BK1560" s="147"/>
      <c r="BL1560" s="147"/>
      <c r="BM1560" s="147"/>
      <c r="BN1560" s="147"/>
      <c r="BO1560" s="147"/>
      <c r="BP1560" s="147"/>
      <c r="BQ1560" s="147"/>
      <c r="BR1560" s="147"/>
      <c r="BS1560" s="147"/>
      <c r="BT1560" s="147"/>
      <c r="BU1560" s="147"/>
      <c r="BV1560" s="147"/>
      <c r="BW1560" s="147"/>
      <c r="BX1560" s="147"/>
      <c r="BY1560" s="147"/>
      <c r="BZ1560" s="147"/>
      <c r="CA1560" s="147"/>
      <c r="CB1560" s="147"/>
      <c r="CC1560" s="147"/>
      <c r="CD1560" s="147"/>
      <c r="CE1560" s="147"/>
      <c r="CF1560" s="147"/>
      <c r="CG1560" s="147"/>
      <c r="CH1560" s="147"/>
      <c r="CI1560" s="147"/>
      <c r="CJ1560" s="147"/>
      <c r="CK1560" s="147"/>
    </row>
    <row r="1561" spans="1:89">
      <c r="A1561" s="157"/>
      <c r="F1561" s="3"/>
      <c r="G1561" s="3"/>
      <c r="L1561" s="157"/>
      <c r="M1561" s="157"/>
      <c r="O1561" s="147"/>
      <c r="P1561" s="147"/>
      <c r="Q1561" s="147"/>
      <c r="R1561" s="147"/>
      <c r="S1561" s="147"/>
      <c r="T1561" s="147"/>
      <c r="U1561" s="147"/>
      <c r="V1561" s="147"/>
      <c r="W1561" s="147"/>
      <c r="X1561" s="147"/>
      <c r="Y1561" s="147"/>
      <c r="Z1561" s="147"/>
      <c r="AA1561" s="147"/>
      <c r="AB1561" s="147"/>
      <c r="AC1561" s="147"/>
      <c r="AD1561" s="147"/>
      <c r="AE1561" s="147"/>
      <c r="AF1561" s="147"/>
      <c r="AG1561" s="147"/>
      <c r="AH1561" s="147"/>
      <c r="AI1561" s="147"/>
      <c r="AJ1561" s="147"/>
      <c r="AK1561" s="147"/>
      <c r="AL1561" s="147"/>
      <c r="AM1561" s="151"/>
      <c r="AN1561" s="147"/>
      <c r="AO1561" s="147"/>
      <c r="AP1561" s="147"/>
      <c r="AQ1561" s="147"/>
      <c r="AR1561" s="147"/>
      <c r="AS1561" s="147"/>
      <c r="AT1561" s="147"/>
      <c r="AU1561" s="147"/>
      <c r="AV1561" s="147"/>
      <c r="AW1561" s="147"/>
      <c r="AX1561" s="147"/>
      <c r="AY1561" s="147"/>
      <c r="AZ1561" s="147"/>
      <c r="BA1561" s="147"/>
      <c r="BB1561" s="147"/>
      <c r="BC1561" s="147"/>
      <c r="BD1561" s="147"/>
      <c r="BE1561" s="147"/>
      <c r="BF1561" s="147"/>
      <c r="BG1561" s="147"/>
      <c r="BH1561" s="147"/>
      <c r="BI1561" s="147"/>
      <c r="BJ1561" s="147"/>
      <c r="BK1561" s="147"/>
      <c r="BL1561" s="147"/>
      <c r="BM1561" s="147"/>
      <c r="BN1561" s="147"/>
      <c r="BO1561" s="147"/>
      <c r="BP1561" s="147"/>
      <c r="BQ1561" s="147"/>
      <c r="BR1561" s="147"/>
      <c r="BS1561" s="147"/>
      <c r="BT1561" s="147"/>
      <c r="BU1561" s="147"/>
      <c r="BV1561" s="147"/>
      <c r="BW1561" s="147"/>
      <c r="BX1561" s="147"/>
      <c r="BY1561" s="147"/>
      <c r="BZ1561" s="147"/>
      <c r="CA1561" s="147"/>
      <c r="CB1561" s="147"/>
      <c r="CC1561" s="147"/>
      <c r="CD1561" s="147"/>
      <c r="CE1561" s="147"/>
      <c r="CF1561" s="147"/>
      <c r="CG1561" s="147"/>
      <c r="CH1561" s="147"/>
      <c r="CI1561" s="147"/>
      <c r="CJ1561" s="147"/>
      <c r="CK1561" s="147"/>
    </row>
    <row r="1562" spans="1:89">
      <c r="A1562" s="157"/>
      <c r="F1562" s="3"/>
      <c r="G1562" s="3"/>
      <c r="L1562" s="157"/>
      <c r="M1562" s="157"/>
      <c r="O1562" s="147"/>
      <c r="P1562" s="147"/>
      <c r="Q1562" s="147"/>
      <c r="R1562" s="147"/>
      <c r="S1562" s="147"/>
      <c r="T1562" s="147"/>
      <c r="U1562" s="147"/>
      <c r="V1562" s="147"/>
      <c r="W1562" s="147"/>
      <c r="X1562" s="147"/>
      <c r="Y1562" s="147"/>
      <c r="Z1562" s="147"/>
      <c r="AA1562" s="147"/>
      <c r="AB1562" s="147"/>
      <c r="AC1562" s="147"/>
      <c r="AD1562" s="147"/>
      <c r="AE1562" s="147"/>
      <c r="AF1562" s="147"/>
      <c r="AG1562" s="147"/>
      <c r="AH1562" s="147"/>
      <c r="AI1562" s="147"/>
      <c r="AJ1562" s="147"/>
      <c r="AK1562" s="147"/>
      <c r="AL1562" s="147"/>
      <c r="AM1562" s="151"/>
      <c r="AN1562" s="147"/>
      <c r="AO1562" s="147"/>
      <c r="AP1562" s="147"/>
      <c r="AQ1562" s="147"/>
      <c r="AR1562" s="147"/>
      <c r="AS1562" s="147"/>
      <c r="AT1562" s="147"/>
      <c r="AU1562" s="147"/>
      <c r="AV1562" s="147"/>
      <c r="AW1562" s="147"/>
      <c r="AX1562" s="147"/>
      <c r="AY1562" s="147"/>
      <c r="AZ1562" s="147"/>
      <c r="BA1562" s="147"/>
      <c r="BB1562" s="147"/>
      <c r="BC1562" s="147"/>
      <c r="BD1562" s="147"/>
      <c r="BE1562" s="147"/>
      <c r="BF1562" s="147"/>
      <c r="BG1562" s="147"/>
      <c r="BH1562" s="147"/>
      <c r="BI1562" s="147"/>
      <c r="BJ1562" s="147"/>
      <c r="BK1562" s="147"/>
      <c r="BL1562" s="147"/>
      <c r="BM1562" s="147"/>
      <c r="BN1562" s="147"/>
      <c r="BO1562" s="147"/>
      <c r="BP1562" s="147"/>
      <c r="BQ1562" s="147"/>
      <c r="BR1562" s="147"/>
      <c r="BS1562" s="147"/>
      <c r="BT1562" s="147"/>
      <c r="BU1562" s="147"/>
      <c r="BV1562" s="147"/>
      <c r="BW1562" s="147"/>
      <c r="BX1562" s="147"/>
      <c r="BY1562" s="147"/>
      <c r="BZ1562" s="147"/>
      <c r="CA1562" s="147"/>
      <c r="CB1562" s="147"/>
      <c r="CC1562" s="147"/>
      <c r="CD1562" s="147"/>
      <c r="CE1562" s="147"/>
      <c r="CF1562" s="147"/>
      <c r="CG1562" s="147"/>
      <c r="CH1562" s="147"/>
      <c r="CI1562" s="147"/>
      <c r="CJ1562" s="147"/>
      <c r="CK1562" s="147"/>
    </row>
    <row r="1563" spans="1:89">
      <c r="A1563" s="157"/>
      <c r="F1563" s="3"/>
      <c r="G1563" s="3"/>
      <c r="L1563" s="157"/>
      <c r="M1563" s="157"/>
      <c r="O1563" s="147"/>
      <c r="P1563" s="147"/>
      <c r="Q1563" s="147"/>
      <c r="R1563" s="147"/>
      <c r="S1563" s="147"/>
      <c r="T1563" s="147"/>
      <c r="U1563" s="147"/>
      <c r="V1563" s="147"/>
      <c r="W1563" s="147"/>
      <c r="X1563" s="147"/>
      <c r="Y1563" s="147"/>
      <c r="Z1563" s="147"/>
      <c r="AA1563" s="147"/>
      <c r="AB1563" s="147"/>
      <c r="AC1563" s="147"/>
      <c r="AD1563" s="147"/>
      <c r="AE1563" s="147"/>
      <c r="AF1563" s="147"/>
      <c r="AG1563" s="147"/>
      <c r="AH1563" s="147"/>
      <c r="AI1563" s="147"/>
      <c r="AJ1563" s="147"/>
      <c r="AK1563" s="147"/>
      <c r="AL1563" s="147"/>
      <c r="AM1563" s="151"/>
      <c r="AN1563" s="147"/>
      <c r="AO1563" s="147"/>
      <c r="AP1563" s="147"/>
      <c r="AQ1563" s="147"/>
      <c r="AR1563" s="147"/>
      <c r="AS1563" s="147"/>
      <c r="AT1563" s="147"/>
      <c r="AU1563" s="147"/>
      <c r="AV1563" s="147"/>
      <c r="AW1563" s="147"/>
      <c r="AX1563" s="147"/>
      <c r="AY1563" s="147"/>
      <c r="AZ1563" s="147"/>
      <c r="BA1563" s="147"/>
      <c r="BB1563" s="147"/>
      <c r="BC1563" s="147"/>
      <c r="BD1563" s="147"/>
      <c r="BE1563" s="147"/>
      <c r="BF1563" s="147"/>
      <c r="BG1563" s="147"/>
      <c r="BH1563" s="147"/>
      <c r="BI1563" s="147"/>
      <c r="BJ1563" s="147"/>
      <c r="BK1563" s="147"/>
      <c r="BL1563" s="147"/>
      <c r="BM1563" s="147"/>
      <c r="BN1563" s="147"/>
      <c r="BO1563" s="147"/>
      <c r="BP1563" s="147"/>
      <c r="BQ1563" s="147"/>
      <c r="BR1563" s="147"/>
      <c r="BS1563" s="147"/>
      <c r="BT1563" s="147"/>
      <c r="BU1563" s="147"/>
      <c r="BV1563" s="147"/>
      <c r="BW1563" s="147"/>
      <c r="BX1563" s="147"/>
      <c r="BY1563" s="147"/>
      <c r="BZ1563" s="147"/>
      <c r="CA1563" s="147"/>
      <c r="CB1563" s="147"/>
      <c r="CC1563" s="147"/>
      <c r="CD1563" s="147"/>
      <c r="CE1563" s="147"/>
      <c r="CF1563" s="147"/>
      <c r="CG1563" s="147"/>
      <c r="CH1563" s="147"/>
      <c r="CI1563" s="147"/>
      <c r="CJ1563" s="147"/>
      <c r="CK1563" s="147"/>
    </row>
    <row r="1564" spans="1:89">
      <c r="A1564" s="157"/>
      <c r="F1564" s="3"/>
      <c r="G1564" s="3"/>
      <c r="L1564" s="157"/>
      <c r="M1564" s="157"/>
      <c r="O1564" s="147"/>
      <c r="P1564" s="147"/>
      <c r="Q1564" s="147"/>
      <c r="R1564" s="147"/>
      <c r="S1564" s="147"/>
      <c r="T1564" s="147"/>
      <c r="U1564" s="147"/>
      <c r="V1564" s="147"/>
      <c r="W1564" s="147"/>
      <c r="X1564" s="147"/>
      <c r="Y1564" s="147"/>
      <c r="Z1564" s="147"/>
      <c r="AA1564" s="147"/>
      <c r="AB1564" s="147"/>
      <c r="AC1564" s="147"/>
      <c r="AD1564" s="147"/>
      <c r="AE1564" s="147"/>
      <c r="AF1564" s="147"/>
      <c r="AG1564" s="147"/>
      <c r="AH1564" s="147"/>
      <c r="AI1564" s="147"/>
      <c r="AJ1564" s="147"/>
      <c r="AK1564" s="147"/>
      <c r="AL1564" s="147"/>
      <c r="AM1564" s="151"/>
      <c r="AN1564" s="147"/>
      <c r="AO1564" s="147"/>
      <c r="AP1564" s="147"/>
      <c r="AQ1564" s="147"/>
      <c r="AR1564" s="147"/>
      <c r="AS1564" s="147"/>
      <c r="AT1564" s="147"/>
      <c r="AU1564" s="147"/>
      <c r="AV1564" s="147"/>
      <c r="AW1564" s="147"/>
      <c r="AX1564" s="147"/>
      <c r="AY1564" s="147"/>
      <c r="AZ1564" s="147"/>
      <c r="BA1564" s="147"/>
      <c r="BB1564" s="147"/>
      <c r="BC1564" s="147"/>
      <c r="BD1564" s="147"/>
      <c r="BE1564" s="147"/>
      <c r="BF1564" s="147"/>
      <c r="BG1564" s="147"/>
      <c r="BH1564" s="147"/>
      <c r="BI1564" s="147"/>
      <c r="BJ1564" s="147"/>
      <c r="BK1564" s="147"/>
      <c r="BL1564" s="147"/>
      <c r="BM1564" s="147"/>
      <c r="BN1564" s="147"/>
      <c r="BO1564" s="147"/>
      <c r="BP1564" s="147"/>
      <c r="BQ1564" s="147"/>
      <c r="BR1564" s="147"/>
      <c r="BS1564" s="147"/>
      <c r="BT1564" s="147"/>
      <c r="BU1564" s="147"/>
      <c r="BV1564" s="147"/>
      <c r="BW1564" s="147"/>
      <c r="BX1564" s="147"/>
      <c r="BY1564" s="147"/>
      <c r="BZ1564" s="147"/>
      <c r="CA1564" s="147"/>
      <c r="CB1564" s="147"/>
      <c r="CC1564" s="147"/>
      <c r="CD1564" s="147"/>
      <c r="CE1564" s="147"/>
      <c r="CF1564" s="147"/>
      <c r="CG1564" s="147"/>
      <c r="CH1564" s="147"/>
      <c r="CI1564" s="147"/>
      <c r="CJ1564" s="147"/>
      <c r="CK1564" s="147"/>
    </row>
    <row r="1565" spans="1:89">
      <c r="A1565" s="157"/>
      <c r="F1565" s="3"/>
      <c r="G1565" s="3"/>
      <c r="L1565" s="157"/>
      <c r="M1565" s="157"/>
      <c r="O1565" s="147"/>
      <c r="P1565" s="147"/>
      <c r="Q1565" s="147"/>
      <c r="R1565" s="147"/>
      <c r="S1565" s="147"/>
      <c r="T1565" s="147"/>
      <c r="U1565" s="147"/>
      <c r="V1565" s="147"/>
      <c r="W1565" s="147"/>
      <c r="X1565" s="147"/>
      <c r="Y1565" s="147"/>
      <c r="Z1565" s="147"/>
      <c r="AA1565" s="147"/>
      <c r="AB1565" s="147"/>
      <c r="AC1565" s="147"/>
      <c r="AD1565" s="147"/>
      <c r="AE1565" s="147"/>
      <c r="AF1565" s="147"/>
      <c r="AG1565" s="147"/>
      <c r="AH1565" s="147"/>
      <c r="AI1565" s="147"/>
      <c r="AJ1565" s="147"/>
      <c r="AK1565" s="147"/>
      <c r="AL1565" s="147"/>
      <c r="AM1565" s="151"/>
      <c r="AN1565" s="147"/>
      <c r="AO1565" s="147"/>
      <c r="AP1565" s="147"/>
      <c r="AQ1565" s="147"/>
      <c r="AR1565" s="147"/>
      <c r="AS1565" s="147"/>
      <c r="AT1565" s="147"/>
      <c r="AU1565" s="147"/>
      <c r="AV1565" s="147"/>
      <c r="AW1565" s="147"/>
      <c r="AX1565" s="147"/>
      <c r="AY1565" s="147"/>
      <c r="AZ1565" s="147"/>
      <c r="BA1565" s="147"/>
      <c r="BB1565" s="147"/>
      <c r="BC1565" s="147"/>
      <c r="BD1565" s="147"/>
      <c r="BE1565" s="147"/>
      <c r="BF1565" s="147"/>
      <c r="BG1565" s="147"/>
      <c r="BH1565" s="147"/>
      <c r="BI1565" s="147"/>
      <c r="BJ1565" s="147"/>
      <c r="BK1565" s="147"/>
      <c r="BL1565" s="147"/>
      <c r="BM1565" s="147"/>
      <c r="BN1565" s="147"/>
      <c r="BO1565" s="147"/>
      <c r="BP1565" s="147"/>
      <c r="BQ1565" s="147"/>
      <c r="BR1565" s="147"/>
      <c r="BS1565" s="147"/>
      <c r="BT1565" s="147"/>
      <c r="BU1565" s="147"/>
      <c r="BV1565" s="147"/>
      <c r="BW1565" s="147"/>
      <c r="BX1565" s="147"/>
      <c r="BY1565" s="147"/>
      <c r="BZ1565" s="147"/>
      <c r="CA1565" s="147"/>
      <c r="CB1565" s="147"/>
      <c r="CC1565" s="147"/>
      <c r="CD1565" s="147"/>
      <c r="CE1565" s="147"/>
      <c r="CF1565" s="147"/>
      <c r="CG1565" s="147"/>
      <c r="CH1565" s="147"/>
      <c r="CI1565" s="147"/>
      <c r="CJ1565" s="147"/>
      <c r="CK1565" s="147"/>
    </row>
    <row r="1566" spans="1:89">
      <c r="A1566" s="157"/>
      <c r="F1566" s="3"/>
      <c r="G1566" s="3"/>
      <c r="L1566" s="157"/>
      <c r="M1566" s="157"/>
      <c r="O1566" s="147"/>
      <c r="P1566" s="147"/>
      <c r="Q1566" s="147"/>
      <c r="R1566" s="147"/>
      <c r="S1566" s="147"/>
      <c r="T1566" s="147"/>
      <c r="U1566" s="147"/>
      <c r="V1566" s="147"/>
      <c r="W1566" s="147"/>
      <c r="X1566" s="147"/>
      <c r="Y1566" s="147"/>
      <c r="Z1566" s="147"/>
      <c r="AA1566" s="147"/>
      <c r="AB1566" s="147"/>
      <c r="AC1566" s="147"/>
      <c r="AD1566" s="147"/>
      <c r="AE1566" s="147"/>
      <c r="AF1566" s="147"/>
      <c r="AG1566" s="147"/>
      <c r="AH1566" s="147"/>
      <c r="AI1566" s="147"/>
      <c r="AJ1566" s="147"/>
      <c r="AK1566" s="147"/>
      <c r="AL1566" s="147"/>
      <c r="AM1566" s="151"/>
      <c r="AN1566" s="147"/>
      <c r="AO1566" s="147"/>
      <c r="AP1566" s="147"/>
      <c r="AQ1566" s="147"/>
      <c r="AR1566" s="147"/>
      <c r="AS1566" s="147"/>
      <c r="AT1566" s="147"/>
      <c r="AU1566" s="147"/>
      <c r="AV1566" s="147"/>
      <c r="AW1566" s="147"/>
      <c r="AX1566" s="147"/>
      <c r="AY1566" s="147"/>
      <c r="AZ1566" s="147"/>
      <c r="BA1566" s="147"/>
      <c r="BB1566" s="147"/>
      <c r="BC1566" s="147"/>
      <c r="BD1566" s="147"/>
      <c r="BE1566" s="147"/>
      <c r="BF1566" s="147"/>
      <c r="BG1566" s="147"/>
      <c r="BH1566" s="147"/>
      <c r="BI1566" s="147"/>
      <c r="BJ1566" s="147"/>
      <c r="BK1566" s="147"/>
      <c r="BL1566" s="147"/>
      <c r="BM1566" s="147"/>
      <c r="BN1566" s="147"/>
      <c r="BO1566" s="147"/>
      <c r="BP1566" s="147"/>
      <c r="BQ1566" s="147"/>
      <c r="BR1566" s="147"/>
      <c r="BS1566" s="147"/>
      <c r="BT1566" s="147"/>
      <c r="BU1566" s="147"/>
      <c r="BV1566" s="147"/>
      <c r="BW1566" s="147"/>
      <c r="BX1566" s="147"/>
      <c r="BY1566" s="147"/>
      <c r="BZ1566" s="147"/>
      <c r="CA1566" s="147"/>
      <c r="CB1566" s="147"/>
      <c r="CC1566" s="147"/>
      <c r="CD1566" s="147"/>
      <c r="CE1566" s="147"/>
      <c r="CF1566" s="147"/>
      <c r="CG1566" s="147"/>
      <c r="CH1566" s="147"/>
      <c r="CI1566" s="147"/>
      <c r="CJ1566" s="147"/>
      <c r="CK1566" s="147"/>
    </row>
    <row r="1567" spans="1:89">
      <c r="A1567" s="157"/>
      <c r="F1567" s="3"/>
      <c r="G1567" s="3"/>
      <c r="L1567" s="157"/>
      <c r="M1567" s="157"/>
      <c r="O1567" s="147"/>
      <c r="P1567" s="147"/>
      <c r="Q1567" s="147"/>
      <c r="R1567" s="147"/>
      <c r="S1567" s="147"/>
      <c r="T1567" s="147"/>
      <c r="U1567" s="147"/>
      <c r="V1567" s="147"/>
      <c r="W1567" s="147"/>
      <c r="X1567" s="147"/>
      <c r="Y1567" s="147"/>
      <c r="Z1567" s="147"/>
      <c r="AA1567" s="147"/>
      <c r="AB1567" s="147"/>
      <c r="AC1567" s="147"/>
      <c r="AD1567" s="147"/>
      <c r="AE1567" s="147"/>
      <c r="AF1567" s="147"/>
      <c r="AG1567" s="147"/>
      <c r="AH1567" s="147"/>
      <c r="AI1567" s="147"/>
      <c r="AJ1567" s="147"/>
      <c r="AK1567" s="147"/>
      <c r="AL1567" s="147"/>
      <c r="AM1567" s="151"/>
      <c r="AN1567" s="147"/>
      <c r="AO1567" s="147"/>
      <c r="AP1567" s="147"/>
      <c r="AQ1567" s="147"/>
      <c r="AR1567" s="147"/>
      <c r="AS1567" s="147"/>
      <c r="AT1567" s="147"/>
      <c r="AU1567" s="147"/>
      <c r="AV1567" s="147"/>
      <c r="AW1567" s="147"/>
      <c r="AX1567" s="147"/>
      <c r="AY1567" s="147"/>
      <c r="AZ1567" s="147"/>
      <c r="BA1567" s="147"/>
      <c r="BB1567" s="147"/>
      <c r="BC1567" s="147"/>
      <c r="BD1567" s="147"/>
      <c r="BE1567" s="147"/>
      <c r="BF1567" s="147"/>
      <c r="BG1567" s="147"/>
      <c r="BH1567" s="147"/>
      <c r="BI1567" s="147"/>
      <c r="BJ1567" s="147"/>
      <c r="BK1567" s="147"/>
      <c r="BL1567" s="147"/>
      <c r="BM1567" s="147"/>
      <c r="BN1567" s="147"/>
      <c r="BO1567" s="147"/>
      <c r="BP1567" s="147"/>
      <c r="BQ1567" s="147"/>
      <c r="BR1567" s="147"/>
      <c r="BS1567" s="147"/>
      <c r="BT1567" s="147"/>
      <c r="BU1567" s="147"/>
      <c r="BV1567" s="147"/>
      <c r="BW1567" s="147"/>
      <c r="BX1567" s="147"/>
      <c r="BY1567" s="147"/>
      <c r="BZ1567" s="147"/>
      <c r="CA1567" s="147"/>
      <c r="CB1567" s="147"/>
      <c r="CC1567" s="147"/>
      <c r="CD1567" s="147"/>
      <c r="CE1567" s="147"/>
      <c r="CF1567" s="147"/>
      <c r="CG1567" s="147"/>
      <c r="CH1567" s="147"/>
      <c r="CI1567" s="147"/>
      <c r="CJ1567" s="147"/>
      <c r="CK1567" s="147"/>
    </row>
    <row r="1568" spans="1:89">
      <c r="A1568" s="157"/>
      <c r="F1568" s="3"/>
      <c r="G1568" s="3"/>
      <c r="L1568" s="157"/>
      <c r="M1568" s="157"/>
      <c r="O1568" s="147"/>
      <c r="P1568" s="147"/>
      <c r="Q1568" s="147"/>
      <c r="R1568" s="147"/>
      <c r="S1568" s="147"/>
      <c r="T1568" s="147"/>
      <c r="U1568" s="147"/>
      <c r="V1568" s="147"/>
      <c r="W1568" s="147"/>
      <c r="X1568" s="147"/>
      <c r="Y1568" s="147"/>
      <c r="Z1568" s="147"/>
      <c r="AA1568" s="147"/>
      <c r="AB1568" s="147"/>
      <c r="AC1568" s="147"/>
      <c r="AD1568" s="147"/>
      <c r="AE1568" s="147"/>
      <c r="AF1568" s="147"/>
      <c r="AG1568" s="147"/>
      <c r="AH1568" s="147"/>
      <c r="AI1568" s="147"/>
      <c r="AJ1568" s="147"/>
      <c r="AK1568" s="147"/>
      <c r="AL1568" s="147"/>
      <c r="AM1568" s="151"/>
      <c r="AN1568" s="147"/>
      <c r="AO1568" s="147"/>
      <c r="AP1568" s="147"/>
      <c r="AQ1568" s="147"/>
      <c r="AR1568" s="147"/>
      <c r="AS1568" s="147"/>
      <c r="AT1568" s="147"/>
      <c r="AU1568" s="147"/>
      <c r="AV1568" s="147"/>
      <c r="AW1568" s="147"/>
      <c r="AX1568" s="147"/>
      <c r="AY1568" s="147"/>
      <c r="AZ1568" s="147"/>
      <c r="BA1568" s="147"/>
      <c r="BB1568" s="147"/>
      <c r="BC1568" s="147"/>
      <c r="BD1568" s="147"/>
      <c r="BE1568" s="147"/>
      <c r="BF1568" s="147"/>
      <c r="BG1568" s="147"/>
      <c r="BH1568" s="147"/>
      <c r="BI1568" s="147"/>
      <c r="BJ1568" s="147"/>
      <c r="BK1568" s="147"/>
      <c r="BL1568" s="147"/>
      <c r="BM1568" s="147"/>
      <c r="BN1568" s="147"/>
      <c r="BO1568" s="147"/>
      <c r="BP1568" s="147"/>
      <c r="BQ1568" s="147"/>
      <c r="BR1568" s="147"/>
      <c r="BS1568" s="147"/>
      <c r="BT1568" s="147"/>
      <c r="BU1568" s="147"/>
      <c r="BV1568" s="147"/>
      <c r="BW1568" s="147"/>
      <c r="BX1568" s="147"/>
      <c r="BY1568" s="147"/>
      <c r="BZ1568" s="147"/>
      <c r="CA1568" s="147"/>
      <c r="CB1568" s="147"/>
      <c r="CC1568" s="147"/>
      <c r="CD1568" s="147"/>
      <c r="CE1568" s="147"/>
      <c r="CF1568" s="147"/>
      <c r="CG1568" s="147"/>
      <c r="CH1568" s="147"/>
      <c r="CI1568" s="147"/>
      <c r="CJ1568" s="147"/>
      <c r="CK1568" s="147"/>
    </row>
    <row r="1569" spans="1:89">
      <c r="A1569" s="157"/>
      <c r="F1569" s="3"/>
      <c r="G1569" s="3"/>
      <c r="L1569" s="157"/>
      <c r="M1569" s="157"/>
      <c r="O1569" s="147"/>
      <c r="P1569" s="147"/>
      <c r="Q1569" s="147"/>
      <c r="R1569" s="147"/>
      <c r="S1569" s="147"/>
      <c r="T1569" s="147"/>
      <c r="U1569" s="147"/>
      <c r="V1569" s="147"/>
      <c r="W1569" s="147"/>
      <c r="X1569" s="147"/>
      <c r="Y1569" s="147"/>
      <c r="Z1569" s="147"/>
      <c r="AA1569" s="147"/>
      <c r="AB1569" s="147"/>
      <c r="AC1569" s="147"/>
      <c r="AD1569" s="147"/>
      <c r="AE1569" s="147"/>
      <c r="AF1569" s="147"/>
      <c r="AG1569" s="147"/>
      <c r="AH1569" s="147"/>
      <c r="AI1569" s="147"/>
      <c r="AJ1569" s="147"/>
      <c r="AK1569" s="147"/>
      <c r="AL1569" s="147"/>
      <c r="AM1569" s="151"/>
      <c r="AN1569" s="147"/>
      <c r="AO1569" s="147"/>
      <c r="AP1569" s="147"/>
      <c r="AQ1569" s="147"/>
      <c r="AR1569" s="147"/>
      <c r="AS1569" s="147"/>
      <c r="AT1569" s="147"/>
      <c r="AU1569" s="147"/>
      <c r="AV1569" s="147"/>
      <c r="AW1569" s="147"/>
      <c r="AX1569" s="147"/>
      <c r="AY1569" s="147"/>
      <c r="AZ1569" s="147"/>
      <c r="BA1569" s="147"/>
      <c r="BB1569" s="147"/>
      <c r="BC1569" s="147"/>
      <c r="BD1569" s="147"/>
      <c r="BE1569" s="147"/>
      <c r="BF1569" s="147"/>
      <c r="BG1569" s="147"/>
      <c r="BH1569" s="147"/>
      <c r="BI1569" s="147"/>
      <c r="BJ1569" s="147"/>
      <c r="BK1569" s="147"/>
      <c r="BL1569" s="147"/>
      <c r="BM1569" s="147"/>
      <c r="BN1569" s="147"/>
      <c r="BO1569" s="147"/>
      <c r="BP1569" s="147"/>
      <c r="BQ1569" s="147"/>
      <c r="BR1569" s="147"/>
      <c r="BS1569" s="147"/>
      <c r="BT1569" s="147"/>
      <c r="BU1569" s="147"/>
      <c r="BV1569" s="147"/>
      <c r="BW1569" s="147"/>
      <c r="BX1569" s="147"/>
      <c r="BY1569" s="147"/>
      <c r="BZ1569" s="147"/>
      <c r="CA1569" s="147"/>
      <c r="CB1569" s="147"/>
      <c r="CC1569" s="147"/>
      <c r="CD1569" s="147"/>
      <c r="CE1569" s="147"/>
      <c r="CF1569" s="147"/>
      <c r="CG1569" s="147"/>
      <c r="CH1569" s="147"/>
      <c r="CI1569" s="147"/>
      <c r="CJ1569" s="147"/>
      <c r="CK1569" s="147"/>
    </row>
    <row r="1570" spans="1:89">
      <c r="A1570" s="157"/>
      <c r="F1570" s="3"/>
      <c r="G1570" s="3"/>
      <c r="L1570" s="157"/>
      <c r="M1570" s="157"/>
      <c r="O1570" s="147"/>
      <c r="P1570" s="147"/>
      <c r="Q1570" s="147"/>
      <c r="R1570" s="147"/>
      <c r="S1570" s="147"/>
      <c r="T1570" s="147"/>
      <c r="U1570" s="147"/>
      <c r="V1570" s="147"/>
      <c r="W1570" s="147"/>
      <c r="X1570" s="147"/>
      <c r="Y1570" s="147"/>
      <c r="Z1570" s="147"/>
      <c r="AA1570" s="147"/>
      <c r="AB1570" s="147"/>
      <c r="AC1570" s="147"/>
      <c r="AD1570" s="147"/>
      <c r="AE1570" s="147"/>
      <c r="AF1570" s="147"/>
      <c r="AG1570" s="147"/>
      <c r="AH1570" s="147"/>
      <c r="AI1570" s="147"/>
      <c r="AJ1570" s="147"/>
      <c r="AK1570" s="147"/>
      <c r="AL1570" s="147"/>
      <c r="AM1570" s="151"/>
      <c r="AN1570" s="147"/>
      <c r="AO1570" s="147"/>
      <c r="AP1570" s="147"/>
      <c r="AQ1570" s="147"/>
      <c r="AR1570" s="147"/>
      <c r="AS1570" s="147"/>
      <c r="AT1570" s="147"/>
      <c r="AU1570" s="147"/>
      <c r="AV1570" s="147"/>
      <c r="AW1570" s="147"/>
      <c r="AX1570" s="147"/>
      <c r="AY1570" s="147"/>
      <c r="AZ1570" s="147"/>
      <c r="BA1570" s="147"/>
      <c r="BB1570" s="147"/>
      <c r="BC1570" s="147"/>
      <c r="BD1570" s="147"/>
      <c r="BE1570" s="147"/>
      <c r="BF1570" s="147"/>
      <c r="BG1570" s="147"/>
      <c r="BH1570" s="147"/>
      <c r="BI1570" s="147"/>
      <c r="BJ1570" s="147"/>
      <c r="BK1570" s="147"/>
      <c r="BL1570" s="147"/>
      <c r="BM1570" s="147"/>
      <c r="BN1570" s="147"/>
      <c r="BO1570" s="147"/>
      <c r="BP1570" s="147"/>
      <c r="BQ1570" s="147"/>
      <c r="BR1570" s="147"/>
      <c r="BS1570" s="147"/>
      <c r="BT1570" s="147"/>
      <c r="BU1570" s="147"/>
      <c r="BV1570" s="147"/>
      <c r="BW1570" s="147"/>
      <c r="BX1570" s="147"/>
      <c r="BY1570" s="147"/>
      <c r="BZ1570" s="147"/>
      <c r="CA1570" s="147"/>
      <c r="CB1570" s="147"/>
      <c r="CC1570" s="147"/>
      <c r="CD1570" s="147"/>
      <c r="CE1570" s="147"/>
      <c r="CF1570" s="147"/>
      <c r="CG1570" s="147"/>
      <c r="CH1570" s="147"/>
      <c r="CI1570" s="147"/>
      <c r="CJ1570" s="147"/>
      <c r="CK1570" s="147"/>
    </row>
    <row r="1571" spans="1:89">
      <c r="A1571" s="157"/>
      <c r="F1571" s="3"/>
      <c r="G1571" s="3"/>
      <c r="L1571" s="157"/>
      <c r="M1571" s="157"/>
      <c r="O1571" s="147"/>
      <c r="P1571" s="147"/>
      <c r="Q1571" s="147"/>
      <c r="R1571" s="147"/>
      <c r="S1571" s="147"/>
      <c r="T1571" s="147"/>
      <c r="U1571" s="147"/>
      <c r="V1571" s="147"/>
      <c r="W1571" s="147"/>
      <c r="X1571" s="147"/>
      <c r="Y1571" s="147"/>
      <c r="Z1571" s="147"/>
      <c r="AA1571" s="147"/>
      <c r="AB1571" s="147"/>
      <c r="AC1571" s="147"/>
      <c r="AD1571" s="147"/>
      <c r="AE1571" s="147"/>
      <c r="AF1571" s="147"/>
      <c r="AG1571" s="147"/>
      <c r="AH1571" s="147"/>
      <c r="AI1571" s="147"/>
      <c r="AJ1571" s="147"/>
      <c r="AK1571" s="147"/>
      <c r="AL1571" s="147"/>
      <c r="AM1571" s="151"/>
      <c r="AN1571" s="147"/>
      <c r="AO1571" s="147"/>
      <c r="AP1571" s="147"/>
      <c r="AQ1571" s="147"/>
      <c r="AR1571" s="147"/>
      <c r="AS1571" s="147"/>
      <c r="AT1571" s="147"/>
      <c r="AU1571" s="147"/>
      <c r="AV1571" s="147"/>
      <c r="AW1571" s="147"/>
      <c r="AX1571" s="147"/>
      <c r="AY1571" s="147"/>
      <c r="AZ1571" s="147"/>
      <c r="BA1571" s="147"/>
      <c r="BB1571" s="147"/>
      <c r="BC1571" s="147"/>
      <c r="BD1571" s="147"/>
      <c r="BE1571" s="147"/>
      <c r="BF1571" s="147"/>
      <c r="BG1571" s="147"/>
      <c r="BH1571" s="147"/>
      <c r="BI1571" s="147"/>
      <c r="BJ1571" s="147"/>
      <c r="BK1571" s="147"/>
      <c r="BL1571" s="147"/>
      <c r="BM1571" s="147"/>
      <c r="BN1571" s="147"/>
      <c r="BO1571" s="147"/>
      <c r="BP1571" s="147"/>
      <c r="BQ1571" s="147"/>
      <c r="BR1571" s="147"/>
      <c r="BS1571" s="147"/>
      <c r="BT1571" s="147"/>
      <c r="BU1571" s="147"/>
      <c r="BV1571" s="147"/>
      <c r="BW1571" s="147"/>
      <c r="BX1571" s="147"/>
      <c r="BY1571" s="147"/>
      <c r="BZ1571" s="147"/>
      <c r="CA1571" s="147"/>
      <c r="CB1571" s="147"/>
      <c r="CC1571" s="147"/>
      <c r="CD1571" s="147"/>
      <c r="CE1571" s="147"/>
      <c r="CF1571" s="147"/>
      <c r="CG1571" s="147"/>
      <c r="CH1571" s="147"/>
      <c r="CI1571" s="147"/>
      <c r="CJ1571" s="147"/>
      <c r="CK1571" s="147"/>
    </row>
    <row r="1572" spans="1:89">
      <c r="A1572" s="157"/>
      <c r="F1572" s="3"/>
      <c r="G1572" s="3"/>
      <c r="L1572" s="157"/>
      <c r="M1572" s="157"/>
      <c r="O1572" s="147"/>
      <c r="P1572" s="147"/>
      <c r="Q1572" s="147"/>
      <c r="R1572" s="147"/>
      <c r="S1572" s="147"/>
      <c r="T1572" s="147"/>
      <c r="U1572" s="147"/>
      <c r="V1572" s="147"/>
      <c r="W1572" s="147"/>
      <c r="X1572" s="147"/>
      <c r="Y1572" s="147"/>
      <c r="Z1572" s="147"/>
      <c r="AA1572" s="147"/>
      <c r="AB1572" s="147"/>
      <c r="AC1572" s="147"/>
      <c r="AD1572" s="147"/>
      <c r="AE1572" s="147"/>
      <c r="AF1572" s="147"/>
      <c r="AG1572" s="147"/>
      <c r="AH1572" s="147"/>
      <c r="AI1572" s="147"/>
      <c r="AJ1572" s="147"/>
      <c r="AK1572" s="147"/>
      <c r="AL1572" s="147"/>
      <c r="AM1572" s="151"/>
      <c r="AN1572" s="147"/>
      <c r="AO1572" s="147"/>
      <c r="AP1572" s="147"/>
      <c r="AQ1572" s="147"/>
      <c r="AR1572" s="147"/>
      <c r="AS1572" s="147"/>
      <c r="AT1572" s="147"/>
      <c r="AU1572" s="147"/>
      <c r="AV1572" s="147"/>
      <c r="AW1572" s="147"/>
      <c r="AX1572" s="147"/>
      <c r="AY1572" s="147"/>
      <c r="AZ1572" s="147"/>
      <c r="BA1572" s="147"/>
      <c r="BB1572" s="147"/>
      <c r="BC1572" s="147"/>
      <c r="BD1572" s="147"/>
      <c r="BE1572" s="147"/>
      <c r="BF1572" s="147"/>
      <c r="BG1572" s="147"/>
      <c r="BH1572" s="147"/>
      <c r="BI1572" s="147"/>
      <c r="BJ1572" s="147"/>
      <c r="BK1572" s="147"/>
      <c r="BL1572" s="147"/>
      <c r="BM1572" s="147"/>
      <c r="BN1572" s="147"/>
      <c r="BO1572" s="147"/>
      <c r="BP1572" s="147"/>
      <c r="BQ1572" s="147"/>
      <c r="BR1572" s="147"/>
      <c r="BS1572" s="147"/>
      <c r="BT1572" s="147"/>
      <c r="BU1572" s="147"/>
      <c r="BV1572" s="147"/>
      <c r="BW1572" s="147"/>
      <c r="BX1572" s="147"/>
      <c r="BY1572" s="147"/>
      <c r="BZ1572" s="147"/>
      <c r="CA1572" s="147"/>
      <c r="CB1572" s="147"/>
      <c r="CC1572" s="147"/>
      <c r="CD1572" s="147"/>
      <c r="CE1572" s="147"/>
      <c r="CF1572" s="147"/>
      <c r="CG1572" s="147"/>
      <c r="CH1572" s="147"/>
      <c r="CI1572" s="147"/>
      <c r="CJ1572" s="147"/>
      <c r="CK1572" s="147"/>
    </row>
    <row r="1573" spans="1:89">
      <c r="A1573" s="157"/>
      <c r="F1573" s="3"/>
      <c r="G1573" s="3"/>
      <c r="L1573" s="157"/>
      <c r="M1573" s="157"/>
      <c r="O1573" s="147"/>
      <c r="P1573" s="147"/>
      <c r="Q1573" s="147"/>
      <c r="R1573" s="147"/>
      <c r="S1573" s="147"/>
      <c r="T1573" s="147"/>
      <c r="U1573" s="147"/>
      <c r="V1573" s="147"/>
      <c r="W1573" s="147"/>
      <c r="X1573" s="147"/>
      <c r="Y1573" s="147"/>
      <c r="Z1573" s="147"/>
      <c r="AA1573" s="147"/>
      <c r="AB1573" s="147"/>
      <c r="AC1573" s="147"/>
      <c r="AD1573" s="147"/>
      <c r="AE1573" s="147"/>
      <c r="AF1573" s="147"/>
      <c r="AG1573" s="147"/>
      <c r="AH1573" s="147"/>
      <c r="AI1573" s="147"/>
      <c r="AJ1573" s="147"/>
      <c r="AK1573" s="147"/>
      <c r="AL1573" s="147"/>
      <c r="AM1573" s="151"/>
      <c r="AN1573" s="147"/>
      <c r="AO1573" s="147"/>
      <c r="AP1573" s="147"/>
      <c r="AQ1573" s="147"/>
      <c r="AR1573" s="147"/>
      <c r="AS1573" s="147"/>
      <c r="AT1573" s="147"/>
      <c r="AU1573" s="147"/>
      <c r="AV1573" s="147"/>
      <c r="AW1573" s="147"/>
      <c r="AX1573" s="147"/>
      <c r="AY1573" s="147"/>
      <c r="AZ1573" s="147"/>
      <c r="BA1573" s="147"/>
      <c r="BB1573" s="147"/>
      <c r="BC1573" s="147"/>
      <c r="BD1573" s="147"/>
      <c r="BE1573" s="147"/>
      <c r="BF1573" s="147"/>
      <c r="BG1573" s="147"/>
      <c r="BH1573" s="147"/>
      <c r="BI1573" s="147"/>
      <c r="BJ1573" s="147"/>
      <c r="BK1573" s="147"/>
      <c r="BL1573" s="147"/>
      <c r="BM1573" s="147"/>
      <c r="BN1573" s="147"/>
      <c r="BO1573" s="147"/>
      <c r="BP1573" s="147"/>
      <c r="BQ1573" s="147"/>
      <c r="BR1573" s="147"/>
      <c r="BS1573" s="147"/>
      <c r="BT1573" s="147"/>
      <c r="BU1573" s="147"/>
      <c r="BV1573" s="147"/>
      <c r="BW1573" s="147"/>
      <c r="BX1573" s="147"/>
      <c r="BY1573" s="147"/>
      <c r="BZ1573" s="147"/>
      <c r="CA1573" s="147"/>
      <c r="CB1573" s="147"/>
      <c r="CC1573" s="147"/>
      <c r="CD1573" s="147"/>
      <c r="CE1573" s="147"/>
      <c r="CF1573" s="147"/>
      <c r="CG1573" s="147"/>
      <c r="CH1573" s="147"/>
      <c r="CI1573" s="147"/>
      <c r="CJ1573" s="147"/>
      <c r="CK1573" s="147"/>
    </row>
    <row r="1574" spans="1:89">
      <c r="A1574" s="157"/>
      <c r="F1574" s="3"/>
      <c r="G1574" s="3"/>
      <c r="L1574" s="157"/>
      <c r="M1574" s="157"/>
      <c r="O1574" s="147"/>
      <c r="P1574" s="147"/>
      <c r="Q1574" s="147"/>
      <c r="R1574" s="147"/>
      <c r="S1574" s="147"/>
      <c r="T1574" s="147"/>
      <c r="U1574" s="147"/>
      <c r="V1574" s="147"/>
      <c r="W1574" s="147"/>
      <c r="X1574" s="147"/>
      <c r="Y1574" s="147"/>
      <c r="Z1574" s="147"/>
      <c r="AA1574" s="147"/>
      <c r="AB1574" s="147"/>
      <c r="AC1574" s="147"/>
      <c r="AD1574" s="147"/>
      <c r="AE1574" s="147"/>
      <c r="AF1574" s="147"/>
      <c r="AG1574" s="147"/>
      <c r="AH1574" s="147"/>
      <c r="AI1574" s="147"/>
      <c r="AJ1574" s="147"/>
      <c r="AK1574" s="147"/>
      <c r="AL1574" s="147"/>
      <c r="AM1574" s="151"/>
      <c r="AN1574" s="147"/>
      <c r="AO1574" s="147"/>
      <c r="AP1574" s="147"/>
      <c r="AQ1574" s="147"/>
      <c r="AR1574" s="147"/>
      <c r="AS1574" s="147"/>
      <c r="AT1574" s="147"/>
      <c r="AU1574" s="147"/>
      <c r="AV1574" s="147"/>
      <c r="AW1574" s="147"/>
      <c r="AX1574" s="147"/>
      <c r="AY1574" s="147"/>
      <c r="AZ1574" s="147"/>
      <c r="BA1574" s="147"/>
      <c r="BB1574" s="147"/>
      <c r="BC1574" s="147"/>
      <c r="BD1574" s="147"/>
      <c r="BE1574" s="147"/>
      <c r="BF1574" s="147"/>
      <c r="BG1574" s="147"/>
      <c r="BH1574" s="147"/>
      <c r="BI1574" s="147"/>
      <c r="BJ1574" s="147"/>
      <c r="BK1574" s="147"/>
      <c r="BL1574" s="147"/>
      <c r="BM1574" s="147"/>
      <c r="BN1574" s="147"/>
      <c r="BO1574" s="147"/>
      <c r="BP1574" s="147"/>
      <c r="BQ1574" s="147"/>
      <c r="BR1574" s="147"/>
      <c r="BS1574" s="147"/>
      <c r="BT1574" s="147"/>
      <c r="BU1574" s="147"/>
      <c r="BV1574" s="147"/>
      <c r="BW1574" s="147"/>
      <c r="BX1574" s="147"/>
      <c r="BY1574" s="147"/>
      <c r="BZ1574" s="147"/>
      <c r="CA1574" s="147"/>
      <c r="CB1574" s="147"/>
      <c r="CC1574" s="147"/>
      <c r="CD1574" s="147"/>
      <c r="CE1574" s="147"/>
      <c r="CF1574" s="147"/>
      <c r="CG1574" s="147"/>
      <c r="CH1574" s="147"/>
      <c r="CI1574" s="147"/>
      <c r="CJ1574" s="147"/>
      <c r="CK1574" s="147"/>
    </row>
    <row r="1575" spans="1:89">
      <c r="A1575" s="157"/>
      <c r="F1575" s="3"/>
      <c r="G1575" s="3"/>
      <c r="L1575" s="157"/>
      <c r="M1575" s="157"/>
      <c r="O1575" s="147"/>
      <c r="P1575" s="147"/>
      <c r="Q1575" s="147"/>
      <c r="R1575" s="147"/>
      <c r="S1575" s="147"/>
      <c r="T1575" s="147"/>
      <c r="U1575" s="147"/>
      <c r="V1575" s="147"/>
      <c r="W1575" s="147"/>
      <c r="X1575" s="147"/>
      <c r="Y1575" s="147"/>
      <c r="Z1575" s="147"/>
      <c r="AA1575" s="147"/>
      <c r="AB1575" s="147"/>
      <c r="AC1575" s="147"/>
      <c r="AD1575" s="147"/>
      <c r="AE1575" s="147"/>
      <c r="AF1575" s="147"/>
      <c r="AG1575" s="147"/>
      <c r="AH1575" s="147"/>
      <c r="AI1575" s="147"/>
      <c r="AJ1575" s="147"/>
      <c r="AK1575" s="147"/>
      <c r="AL1575" s="147"/>
      <c r="AM1575" s="151"/>
      <c r="AN1575" s="147"/>
      <c r="AO1575" s="147"/>
      <c r="AP1575" s="147"/>
      <c r="AQ1575" s="147"/>
      <c r="AR1575" s="147"/>
      <c r="AS1575" s="147"/>
      <c r="AT1575" s="147"/>
      <c r="AU1575" s="147"/>
      <c r="AV1575" s="147"/>
      <c r="AW1575" s="147"/>
      <c r="AX1575" s="147"/>
      <c r="AY1575" s="147"/>
      <c r="AZ1575" s="147"/>
      <c r="BA1575" s="147"/>
      <c r="BB1575" s="147"/>
      <c r="BC1575" s="147"/>
      <c r="BD1575" s="147"/>
      <c r="BE1575" s="147"/>
      <c r="BF1575" s="147"/>
      <c r="BG1575" s="147"/>
      <c r="BH1575" s="147"/>
      <c r="BI1575" s="147"/>
      <c r="BJ1575" s="147"/>
      <c r="BK1575" s="147"/>
      <c r="BL1575" s="147"/>
      <c r="BM1575" s="147"/>
      <c r="BN1575" s="147"/>
      <c r="BO1575" s="147"/>
      <c r="BP1575" s="147"/>
      <c r="BQ1575" s="147"/>
      <c r="BR1575" s="147"/>
      <c r="BS1575" s="147"/>
      <c r="BT1575" s="147"/>
      <c r="BU1575" s="147"/>
      <c r="BV1575" s="147"/>
      <c r="BW1575" s="147"/>
      <c r="BX1575" s="147"/>
      <c r="BY1575" s="147"/>
      <c r="BZ1575" s="147"/>
      <c r="CA1575" s="147"/>
      <c r="CB1575" s="147"/>
      <c r="CC1575" s="147"/>
      <c r="CD1575" s="147"/>
      <c r="CE1575" s="147"/>
      <c r="CF1575" s="147"/>
      <c r="CG1575" s="147"/>
      <c r="CH1575" s="147"/>
      <c r="CI1575" s="147"/>
      <c r="CJ1575" s="147"/>
      <c r="CK1575" s="147"/>
    </row>
    <row r="1576" spans="1:89">
      <c r="A1576" s="157"/>
      <c r="F1576" s="3"/>
      <c r="G1576" s="3"/>
      <c r="L1576" s="157"/>
      <c r="M1576" s="157"/>
      <c r="O1576" s="147"/>
      <c r="P1576" s="147"/>
      <c r="Q1576" s="147"/>
      <c r="R1576" s="147"/>
      <c r="S1576" s="147"/>
      <c r="T1576" s="147"/>
      <c r="U1576" s="147"/>
      <c r="V1576" s="147"/>
      <c r="W1576" s="147"/>
      <c r="X1576" s="147"/>
      <c r="Y1576" s="147"/>
      <c r="Z1576" s="147"/>
      <c r="AA1576" s="147"/>
      <c r="AB1576" s="147"/>
      <c r="AC1576" s="147"/>
      <c r="AD1576" s="147"/>
      <c r="AE1576" s="147"/>
      <c r="AF1576" s="147"/>
      <c r="AG1576" s="147"/>
      <c r="AH1576" s="147"/>
      <c r="AI1576" s="147"/>
      <c r="AJ1576" s="147"/>
      <c r="AK1576" s="147"/>
      <c r="AL1576" s="147"/>
      <c r="AM1576" s="151"/>
      <c r="AN1576" s="147"/>
      <c r="AO1576" s="147"/>
      <c r="AP1576" s="147"/>
      <c r="AQ1576" s="147"/>
      <c r="AR1576" s="147"/>
      <c r="AS1576" s="147"/>
      <c r="AT1576" s="147"/>
      <c r="AU1576" s="147"/>
      <c r="AV1576" s="147"/>
      <c r="AW1576" s="147"/>
      <c r="AX1576" s="147"/>
      <c r="AY1576" s="147"/>
      <c r="AZ1576" s="147"/>
      <c r="BA1576" s="147"/>
      <c r="BB1576" s="147"/>
      <c r="BC1576" s="147"/>
      <c r="BD1576" s="147"/>
      <c r="BE1576" s="147"/>
      <c r="BF1576" s="147"/>
      <c r="BG1576" s="147"/>
      <c r="BH1576" s="147"/>
      <c r="BI1576" s="147"/>
      <c r="BJ1576" s="147"/>
      <c r="BK1576" s="147"/>
      <c r="BL1576" s="147"/>
      <c r="BM1576" s="147"/>
      <c r="BN1576" s="147"/>
      <c r="BO1576" s="147"/>
      <c r="BP1576" s="147"/>
      <c r="BQ1576" s="147"/>
      <c r="BR1576" s="147"/>
      <c r="BS1576" s="147"/>
      <c r="BT1576" s="147"/>
      <c r="BU1576" s="147"/>
      <c r="BV1576" s="147"/>
      <c r="BW1576" s="147"/>
      <c r="BX1576" s="147"/>
      <c r="BY1576" s="147"/>
      <c r="BZ1576" s="147"/>
      <c r="CA1576" s="147"/>
      <c r="CB1576" s="147"/>
      <c r="CC1576" s="147"/>
      <c r="CD1576" s="147"/>
      <c r="CE1576" s="147"/>
      <c r="CF1576" s="147"/>
      <c r="CG1576" s="147"/>
      <c r="CH1576" s="147"/>
      <c r="CI1576" s="147"/>
      <c r="CJ1576" s="147"/>
      <c r="CK1576" s="147"/>
    </row>
    <row r="1577" spans="1:89">
      <c r="A1577" s="157"/>
      <c r="F1577" s="3"/>
      <c r="G1577" s="3"/>
      <c r="L1577" s="157"/>
      <c r="M1577" s="157"/>
      <c r="O1577" s="147"/>
      <c r="P1577" s="147"/>
      <c r="Q1577" s="147"/>
      <c r="R1577" s="147"/>
      <c r="S1577" s="147"/>
      <c r="T1577" s="147"/>
      <c r="U1577" s="147"/>
      <c r="V1577" s="147"/>
      <c r="W1577" s="147"/>
      <c r="X1577" s="147"/>
      <c r="Y1577" s="147"/>
      <c r="Z1577" s="147"/>
      <c r="AA1577" s="147"/>
      <c r="AB1577" s="147"/>
      <c r="AC1577" s="147"/>
      <c r="AD1577" s="147"/>
      <c r="AE1577" s="147"/>
      <c r="AF1577" s="147"/>
      <c r="AG1577" s="147"/>
      <c r="AH1577" s="147"/>
      <c r="AI1577" s="147"/>
      <c r="AJ1577" s="147"/>
      <c r="AK1577" s="147"/>
      <c r="AL1577" s="147"/>
      <c r="AM1577" s="151"/>
      <c r="AN1577" s="147"/>
      <c r="AO1577" s="147"/>
      <c r="AP1577" s="147"/>
      <c r="AQ1577" s="147"/>
      <c r="AR1577" s="147"/>
      <c r="AS1577" s="147"/>
      <c r="AT1577" s="147"/>
      <c r="AU1577" s="147"/>
      <c r="AV1577" s="147"/>
      <c r="AW1577" s="147"/>
      <c r="AX1577" s="147"/>
      <c r="AY1577" s="147"/>
      <c r="AZ1577" s="147"/>
      <c r="BA1577" s="147"/>
      <c r="BB1577" s="147"/>
      <c r="BC1577" s="147"/>
      <c r="BD1577" s="147"/>
      <c r="BE1577" s="147"/>
      <c r="BF1577" s="147"/>
      <c r="BG1577" s="147"/>
      <c r="BH1577" s="147"/>
      <c r="BI1577" s="147"/>
      <c r="BJ1577" s="147"/>
      <c r="BK1577" s="147"/>
      <c r="BL1577" s="147"/>
      <c r="BM1577" s="147"/>
      <c r="BN1577" s="147"/>
      <c r="BO1577" s="147"/>
      <c r="BP1577" s="147"/>
      <c r="BQ1577" s="147"/>
      <c r="BR1577" s="147"/>
      <c r="BS1577" s="147"/>
      <c r="BT1577" s="147"/>
      <c r="BU1577" s="147"/>
      <c r="BV1577" s="147"/>
      <c r="BW1577" s="147"/>
      <c r="BX1577" s="147"/>
      <c r="BY1577" s="147"/>
      <c r="BZ1577" s="147"/>
      <c r="CA1577" s="147"/>
      <c r="CB1577" s="147"/>
      <c r="CC1577" s="147"/>
      <c r="CD1577" s="147"/>
      <c r="CE1577" s="147"/>
      <c r="CF1577" s="147"/>
      <c r="CG1577" s="147"/>
      <c r="CH1577" s="147"/>
      <c r="CI1577" s="147"/>
      <c r="CJ1577" s="147"/>
      <c r="CK1577" s="147"/>
    </row>
    <row r="1578" spans="1:89">
      <c r="A1578" s="157"/>
      <c r="F1578" s="3"/>
      <c r="G1578" s="3"/>
      <c r="L1578" s="157"/>
      <c r="M1578" s="157"/>
      <c r="O1578" s="147"/>
      <c r="P1578" s="147"/>
      <c r="Q1578" s="147"/>
      <c r="R1578" s="147"/>
      <c r="S1578" s="147"/>
      <c r="T1578" s="147"/>
      <c r="U1578" s="147"/>
      <c r="V1578" s="147"/>
      <c r="W1578" s="147"/>
      <c r="X1578" s="147"/>
      <c r="Y1578" s="147"/>
      <c r="Z1578" s="147"/>
      <c r="AA1578" s="147"/>
      <c r="AB1578" s="147"/>
      <c r="AC1578" s="147"/>
      <c r="AD1578" s="147"/>
      <c r="AE1578" s="147"/>
      <c r="AF1578" s="147"/>
      <c r="AG1578" s="147"/>
      <c r="AH1578" s="147"/>
      <c r="AI1578" s="147"/>
      <c r="AJ1578" s="147"/>
      <c r="AK1578" s="147"/>
      <c r="AL1578" s="147"/>
      <c r="AM1578" s="151"/>
      <c r="AN1578" s="147"/>
      <c r="AO1578" s="147"/>
      <c r="AP1578" s="147"/>
      <c r="AQ1578" s="147"/>
      <c r="AR1578" s="147"/>
      <c r="AS1578" s="147"/>
      <c r="AT1578" s="147"/>
      <c r="AU1578" s="147"/>
      <c r="AV1578" s="147"/>
      <c r="AW1578" s="147"/>
      <c r="AX1578" s="147"/>
      <c r="AY1578" s="147"/>
      <c r="AZ1578" s="147"/>
      <c r="BA1578" s="147"/>
      <c r="BB1578" s="147"/>
      <c r="BC1578" s="147"/>
      <c r="BD1578" s="147"/>
      <c r="BE1578" s="147"/>
      <c r="BF1578" s="147"/>
      <c r="BG1578" s="147"/>
      <c r="BH1578" s="147"/>
      <c r="BI1578" s="147"/>
      <c r="BJ1578" s="147"/>
      <c r="BK1578" s="147"/>
      <c r="BL1578" s="147"/>
      <c r="BM1578" s="147"/>
      <c r="BN1578" s="147"/>
      <c r="BO1578" s="147"/>
      <c r="BP1578" s="147"/>
      <c r="BQ1578" s="147"/>
      <c r="BR1578" s="147"/>
      <c r="BS1578" s="147"/>
      <c r="BT1578" s="147"/>
      <c r="BU1578" s="147"/>
      <c r="BV1578" s="147"/>
      <c r="BW1578" s="147"/>
      <c r="BX1578" s="147"/>
      <c r="BY1578" s="147"/>
      <c r="BZ1578" s="147"/>
      <c r="CA1578" s="147"/>
      <c r="CB1578" s="147"/>
      <c r="CC1578" s="147"/>
      <c r="CD1578" s="147"/>
      <c r="CE1578" s="147"/>
      <c r="CF1578" s="147"/>
      <c r="CG1578" s="147"/>
      <c r="CH1578" s="147"/>
      <c r="CI1578" s="147"/>
      <c r="CJ1578" s="147"/>
      <c r="CK1578" s="147"/>
    </row>
    <row r="1579" spans="1:89">
      <c r="A1579" s="157"/>
      <c r="F1579" s="3"/>
      <c r="G1579" s="3"/>
      <c r="L1579" s="157"/>
      <c r="M1579" s="157"/>
      <c r="O1579" s="147"/>
      <c r="P1579" s="147"/>
      <c r="Q1579" s="147"/>
      <c r="R1579" s="147"/>
      <c r="S1579" s="147"/>
      <c r="T1579" s="147"/>
      <c r="U1579" s="147"/>
      <c r="V1579" s="147"/>
      <c r="W1579" s="147"/>
      <c r="X1579" s="147"/>
      <c r="Y1579" s="147"/>
      <c r="Z1579" s="147"/>
      <c r="AA1579" s="147"/>
      <c r="AB1579" s="147"/>
      <c r="AC1579" s="147"/>
      <c r="AD1579" s="147"/>
      <c r="AE1579" s="147"/>
      <c r="AF1579" s="147"/>
      <c r="AG1579" s="147"/>
      <c r="AH1579" s="147"/>
      <c r="AI1579" s="147"/>
      <c r="AJ1579" s="147"/>
      <c r="AK1579" s="147"/>
      <c r="AL1579" s="147"/>
      <c r="AM1579" s="151"/>
      <c r="AN1579" s="147"/>
      <c r="AO1579" s="147"/>
      <c r="AP1579" s="147"/>
      <c r="AQ1579" s="147"/>
      <c r="AR1579" s="147"/>
      <c r="AS1579" s="147"/>
      <c r="AT1579" s="147"/>
      <c r="AU1579" s="147"/>
      <c r="AV1579" s="147"/>
      <c r="AW1579" s="147"/>
      <c r="AX1579" s="147"/>
      <c r="AY1579" s="147"/>
      <c r="AZ1579" s="147"/>
      <c r="BA1579" s="147"/>
      <c r="BB1579" s="147"/>
      <c r="BC1579" s="147"/>
      <c r="BD1579" s="147"/>
      <c r="BE1579" s="147"/>
      <c r="BF1579" s="147"/>
      <c r="BG1579" s="147"/>
      <c r="BH1579" s="147"/>
      <c r="BI1579" s="147"/>
      <c r="BJ1579" s="147"/>
      <c r="BK1579" s="147"/>
      <c r="BL1579" s="147"/>
      <c r="BM1579" s="147"/>
      <c r="BN1579" s="147"/>
      <c r="BO1579" s="147"/>
      <c r="BP1579" s="147"/>
      <c r="BQ1579" s="147"/>
      <c r="BR1579" s="147"/>
      <c r="BS1579" s="147"/>
      <c r="BT1579" s="147"/>
      <c r="BU1579" s="147"/>
      <c r="BV1579" s="147"/>
      <c r="BW1579" s="147"/>
      <c r="BX1579" s="147"/>
      <c r="BY1579" s="147"/>
      <c r="BZ1579" s="147"/>
      <c r="CA1579" s="147"/>
      <c r="CB1579" s="147"/>
      <c r="CC1579" s="147"/>
      <c r="CD1579" s="147"/>
      <c r="CE1579" s="147"/>
      <c r="CF1579" s="147"/>
      <c r="CG1579" s="147"/>
      <c r="CH1579" s="147"/>
      <c r="CI1579" s="147"/>
      <c r="CJ1579" s="147"/>
      <c r="CK1579" s="147"/>
    </row>
    <row r="1580" spans="1:89">
      <c r="A1580" s="157"/>
      <c r="F1580" s="3"/>
      <c r="G1580" s="3"/>
      <c r="L1580" s="157"/>
      <c r="M1580" s="157"/>
      <c r="O1580" s="147"/>
      <c r="P1580" s="147"/>
      <c r="Q1580" s="147"/>
      <c r="R1580" s="147"/>
      <c r="S1580" s="147"/>
      <c r="T1580" s="147"/>
      <c r="U1580" s="147"/>
      <c r="V1580" s="147"/>
      <c r="W1580" s="147"/>
      <c r="X1580" s="147"/>
      <c r="Y1580" s="147"/>
      <c r="Z1580" s="147"/>
      <c r="AA1580" s="147"/>
      <c r="AB1580" s="147"/>
      <c r="AC1580" s="147"/>
      <c r="AD1580" s="147"/>
      <c r="AE1580" s="147"/>
      <c r="AF1580" s="147"/>
      <c r="AG1580" s="147"/>
      <c r="AH1580" s="147"/>
      <c r="AI1580" s="147"/>
      <c r="AJ1580" s="147"/>
      <c r="AK1580" s="147"/>
      <c r="AL1580" s="147"/>
      <c r="AM1580" s="151"/>
      <c r="AN1580" s="147"/>
      <c r="AO1580" s="147"/>
      <c r="AP1580" s="147"/>
      <c r="AQ1580" s="147"/>
      <c r="AR1580" s="147"/>
      <c r="AS1580" s="147"/>
      <c r="AT1580" s="147"/>
      <c r="AU1580" s="147"/>
      <c r="AV1580" s="147"/>
      <c r="AW1580" s="147"/>
      <c r="AX1580" s="147"/>
      <c r="AY1580" s="147"/>
      <c r="AZ1580" s="147"/>
      <c r="BA1580" s="147"/>
      <c r="BB1580" s="147"/>
      <c r="BC1580" s="147"/>
      <c r="BD1580" s="147"/>
      <c r="BE1580" s="147"/>
      <c r="BF1580" s="147"/>
      <c r="BG1580" s="147"/>
      <c r="BH1580" s="147"/>
      <c r="BI1580" s="147"/>
      <c r="BJ1580" s="147"/>
      <c r="BK1580" s="147"/>
      <c r="BL1580" s="147"/>
      <c r="BM1580" s="147"/>
      <c r="BN1580" s="147"/>
      <c r="BO1580" s="147"/>
      <c r="BP1580" s="147"/>
      <c r="BQ1580" s="147"/>
      <c r="BR1580" s="147"/>
      <c r="BS1580" s="147"/>
      <c r="BT1580" s="147"/>
      <c r="BU1580" s="147"/>
      <c r="BV1580" s="147"/>
      <c r="BW1580" s="147"/>
      <c r="BX1580" s="147"/>
      <c r="BY1580" s="147"/>
      <c r="BZ1580" s="147"/>
      <c r="CA1580" s="147"/>
      <c r="CB1580" s="147"/>
      <c r="CC1580" s="147"/>
      <c r="CD1580" s="147"/>
      <c r="CE1580" s="147"/>
      <c r="CF1580" s="147"/>
      <c r="CG1580" s="147"/>
      <c r="CH1580" s="147"/>
      <c r="CI1580" s="147"/>
      <c r="CJ1580" s="147"/>
      <c r="CK1580" s="147"/>
    </row>
    <row r="1581" spans="1:89">
      <c r="A1581" s="157"/>
      <c r="F1581" s="3"/>
      <c r="G1581" s="3"/>
      <c r="L1581" s="157"/>
      <c r="M1581" s="157"/>
      <c r="O1581" s="147"/>
      <c r="P1581" s="147"/>
      <c r="Q1581" s="147"/>
      <c r="R1581" s="147"/>
      <c r="S1581" s="147"/>
      <c r="T1581" s="147"/>
      <c r="U1581" s="147"/>
      <c r="V1581" s="147"/>
      <c r="W1581" s="147"/>
      <c r="X1581" s="147"/>
      <c r="Y1581" s="147"/>
      <c r="Z1581" s="147"/>
      <c r="AA1581" s="147"/>
      <c r="AB1581" s="147"/>
      <c r="AC1581" s="147"/>
      <c r="AD1581" s="147"/>
      <c r="AE1581" s="147"/>
      <c r="AF1581" s="147"/>
      <c r="AG1581" s="147"/>
      <c r="AH1581" s="147"/>
      <c r="AI1581" s="147"/>
      <c r="AJ1581" s="147"/>
      <c r="AK1581" s="147"/>
      <c r="AL1581" s="147"/>
      <c r="AM1581" s="151"/>
      <c r="AN1581" s="147"/>
      <c r="AO1581" s="147"/>
      <c r="AP1581" s="147"/>
      <c r="AQ1581" s="147"/>
      <c r="AR1581" s="147"/>
      <c r="AS1581" s="147"/>
      <c r="AT1581" s="147"/>
      <c r="AU1581" s="147"/>
      <c r="AV1581" s="147"/>
      <c r="AW1581" s="147"/>
      <c r="AX1581" s="147"/>
      <c r="AY1581" s="147"/>
      <c r="AZ1581" s="147"/>
      <c r="BA1581" s="147"/>
      <c r="BB1581" s="147"/>
      <c r="BC1581" s="147"/>
      <c r="BD1581" s="147"/>
      <c r="BE1581" s="147"/>
      <c r="BF1581" s="147"/>
      <c r="BG1581" s="147"/>
      <c r="BH1581" s="147"/>
      <c r="BI1581" s="147"/>
      <c r="BJ1581" s="147"/>
      <c r="BK1581" s="147"/>
      <c r="BL1581" s="147"/>
      <c r="BM1581" s="147"/>
      <c r="BN1581" s="147"/>
      <c r="BO1581" s="147"/>
      <c r="BP1581" s="147"/>
      <c r="BQ1581" s="147"/>
      <c r="BR1581" s="147"/>
      <c r="BS1581" s="147"/>
      <c r="BT1581" s="147"/>
      <c r="BU1581" s="147"/>
      <c r="BV1581" s="147"/>
      <c r="BW1581" s="147"/>
      <c r="BX1581" s="147"/>
      <c r="BY1581" s="147"/>
      <c r="BZ1581" s="147"/>
      <c r="CA1581" s="147"/>
      <c r="CB1581" s="147"/>
      <c r="CC1581" s="147"/>
      <c r="CD1581" s="147"/>
      <c r="CE1581" s="147"/>
      <c r="CF1581" s="147"/>
      <c r="CG1581" s="147"/>
      <c r="CH1581" s="147"/>
      <c r="CI1581" s="147"/>
      <c r="CJ1581" s="147"/>
      <c r="CK1581" s="147"/>
    </row>
    <row r="1582" spans="1:89">
      <c r="A1582" s="157"/>
      <c r="F1582" s="3"/>
      <c r="G1582" s="3"/>
      <c r="L1582" s="157"/>
      <c r="M1582" s="157"/>
      <c r="O1582" s="147"/>
      <c r="P1582" s="147"/>
      <c r="Q1582" s="147"/>
      <c r="R1582" s="147"/>
      <c r="S1582" s="147"/>
      <c r="T1582" s="147"/>
      <c r="U1582" s="147"/>
      <c r="V1582" s="147"/>
      <c r="W1582" s="147"/>
      <c r="X1582" s="147"/>
      <c r="Y1582" s="147"/>
      <c r="Z1582" s="147"/>
      <c r="AA1582" s="147"/>
      <c r="AB1582" s="147"/>
      <c r="AC1582" s="147"/>
      <c r="AD1582" s="147"/>
      <c r="AE1582" s="147"/>
      <c r="AF1582" s="147"/>
      <c r="AG1582" s="147"/>
      <c r="AH1582" s="147"/>
      <c r="AI1582" s="147"/>
      <c r="AJ1582" s="147"/>
      <c r="AK1582" s="147"/>
      <c r="AL1582" s="147"/>
      <c r="AM1582" s="151"/>
      <c r="AN1582" s="147"/>
      <c r="AO1582" s="147"/>
      <c r="AP1582" s="147"/>
      <c r="AQ1582" s="147"/>
      <c r="AR1582" s="147"/>
      <c r="AS1582" s="147"/>
      <c r="AT1582" s="147"/>
      <c r="AU1582" s="147"/>
      <c r="AV1582" s="147"/>
      <c r="AW1582" s="147"/>
      <c r="AX1582" s="147"/>
      <c r="AY1582" s="147"/>
      <c r="AZ1582" s="147"/>
      <c r="BA1582" s="147"/>
      <c r="BB1582" s="147"/>
      <c r="BC1582" s="147"/>
      <c r="BD1582" s="147"/>
      <c r="BE1582" s="147"/>
      <c r="BF1582" s="147"/>
      <c r="BG1582" s="147"/>
      <c r="BH1582" s="147"/>
      <c r="BI1582" s="147"/>
      <c r="BJ1582" s="147"/>
      <c r="BK1582" s="147"/>
      <c r="BL1582" s="147"/>
      <c r="BM1582" s="147"/>
      <c r="BN1582" s="147"/>
      <c r="BO1582" s="147"/>
      <c r="BP1582" s="147"/>
      <c r="BQ1582" s="147"/>
      <c r="BR1582" s="147"/>
      <c r="BS1582" s="147"/>
      <c r="BT1582" s="147"/>
      <c r="BU1582" s="147"/>
      <c r="BV1582" s="147"/>
      <c r="BW1582" s="147"/>
      <c r="BX1582" s="147"/>
      <c r="BY1582" s="147"/>
      <c r="BZ1582" s="147"/>
      <c r="CA1582" s="147"/>
      <c r="CB1582" s="147"/>
      <c r="CC1582" s="147"/>
      <c r="CD1582" s="147"/>
      <c r="CE1582" s="147"/>
      <c r="CF1582" s="147"/>
      <c r="CG1582" s="147"/>
      <c r="CH1582" s="147"/>
      <c r="CI1582" s="147"/>
      <c r="CJ1582" s="147"/>
      <c r="CK1582" s="147"/>
    </row>
    <row r="1583" spans="1:89">
      <c r="A1583" s="157"/>
      <c r="F1583" s="3"/>
      <c r="G1583" s="3"/>
      <c r="L1583" s="157"/>
      <c r="M1583" s="157"/>
      <c r="O1583" s="147"/>
      <c r="P1583" s="147"/>
      <c r="Q1583" s="147"/>
      <c r="R1583" s="147"/>
      <c r="S1583" s="147"/>
      <c r="T1583" s="147"/>
      <c r="U1583" s="147"/>
      <c r="V1583" s="147"/>
      <c r="W1583" s="147"/>
      <c r="X1583" s="147"/>
      <c r="Y1583" s="147"/>
      <c r="Z1583" s="147"/>
      <c r="AA1583" s="147"/>
      <c r="AB1583" s="147"/>
      <c r="AC1583" s="147"/>
      <c r="AD1583" s="147"/>
      <c r="AE1583" s="147"/>
      <c r="AF1583" s="147"/>
      <c r="AG1583" s="147"/>
      <c r="AH1583" s="147"/>
      <c r="AI1583" s="147"/>
      <c r="AJ1583" s="147"/>
      <c r="AK1583" s="147"/>
      <c r="AL1583" s="147"/>
      <c r="AM1583" s="151"/>
      <c r="AN1583" s="147"/>
      <c r="AO1583" s="147"/>
      <c r="AP1583" s="147"/>
      <c r="AQ1583" s="147"/>
      <c r="AR1583" s="147"/>
      <c r="AS1583" s="147"/>
      <c r="AT1583" s="147"/>
      <c r="AU1583" s="147"/>
      <c r="AV1583" s="147"/>
      <c r="AW1583" s="147"/>
      <c r="AX1583" s="147"/>
      <c r="AY1583" s="147"/>
      <c r="AZ1583" s="147"/>
      <c r="BA1583" s="147"/>
      <c r="BB1583" s="147"/>
      <c r="BC1583" s="147"/>
      <c r="BD1583" s="147"/>
      <c r="BE1583" s="147"/>
      <c r="BF1583" s="147"/>
      <c r="BG1583" s="147"/>
      <c r="BH1583" s="147"/>
      <c r="BI1583" s="147"/>
      <c r="BJ1583" s="147"/>
      <c r="BK1583" s="147"/>
      <c r="BL1583" s="147"/>
      <c r="BM1583" s="147"/>
      <c r="BN1583" s="147"/>
      <c r="BO1583" s="147"/>
      <c r="BP1583" s="147"/>
      <c r="BQ1583" s="147"/>
      <c r="BR1583" s="147"/>
      <c r="BS1583" s="147"/>
      <c r="BT1583" s="147"/>
      <c r="BU1583" s="147"/>
      <c r="BV1583" s="147"/>
      <c r="BW1583" s="147"/>
      <c r="BX1583" s="147"/>
      <c r="BY1583" s="147"/>
      <c r="BZ1583" s="147"/>
      <c r="CA1583" s="147"/>
      <c r="CB1583" s="147"/>
      <c r="CC1583" s="147"/>
      <c r="CD1583" s="147"/>
      <c r="CE1583" s="147"/>
      <c r="CF1583" s="147"/>
      <c r="CG1583" s="147"/>
      <c r="CH1583" s="147"/>
      <c r="CI1583" s="147"/>
      <c r="CJ1583" s="147"/>
      <c r="CK1583" s="147"/>
    </row>
    <row r="1584" spans="1:89">
      <c r="A1584" s="157"/>
      <c r="F1584" s="3"/>
      <c r="G1584" s="3"/>
      <c r="L1584" s="157"/>
      <c r="M1584" s="157"/>
      <c r="O1584" s="147"/>
      <c r="P1584" s="147"/>
      <c r="Q1584" s="147"/>
      <c r="R1584" s="147"/>
      <c r="S1584" s="147"/>
      <c r="T1584" s="147"/>
      <c r="U1584" s="147"/>
      <c r="V1584" s="147"/>
      <c r="W1584" s="147"/>
      <c r="X1584" s="147"/>
      <c r="Y1584" s="147"/>
      <c r="Z1584" s="147"/>
      <c r="AA1584" s="147"/>
      <c r="AB1584" s="147"/>
      <c r="AC1584" s="147"/>
      <c r="AD1584" s="147"/>
      <c r="AE1584" s="147"/>
      <c r="AF1584" s="147"/>
      <c r="AG1584" s="147"/>
      <c r="AH1584" s="147"/>
      <c r="AI1584" s="147"/>
      <c r="AJ1584" s="147"/>
      <c r="AK1584" s="147"/>
      <c r="AL1584" s="147"/>
      <c r="AM1584" s="151"/>
      <c r="AN1584" s="147"/>
      <c r="AO1584" s="147"/>
      <c r="AP1584" s="147"/>
      <c r="AQ1584" s="147"/>
      <c r="AR1584" s="147"/>
      <c r="AS1584" s="147"/>
      <c r="AT1584" s="147"/>
      <c r="AU1584" s="147"/>
      <c r="AV1584" s="147"/>
      <c r="AW1584" s="147"/>
      <c r="AX1584" s="147"/>
      <c r="AY1584" s="147"/>
      <c r="AZ1584" s="147"/>
      <c r="BA1584" s="147"/>
      <c r="BB1584" s="147"/>
      <c r="BC1584" s="147"/>
      <c r="BD1584" s="147"/>
      <c r="BE1584" s="147"/>
      <c r="BF1584" s="147"/>
      <c r="BG1584" s="147"/>
      <c r="BH1584" s="147"/>
      <c r="BI1584" s="147"/>
      <c r="BJ1584" s="147"/>
      <c r="BK1584" s="147"/>
      <c r="BL1584" s="147"/>
      <c r="BM1584" s="147"/>
      <c r="BN1584" s="147"/>
      <c r="BO1584" s="147"/>
      <c r="BP1584" s="147"/>
      <c r="BQ1584" s="147"/>
      <c r="BR1584" s="147"/>
      <c r="BS1584" s="147"/>
      <c r="BT1584" s="147"/>
      <c r="BU1584" s="147"/>
      <c r="BV1584" s="147"/>
      <c r="BW1584" s="147"/>
      <c r="BX1584" s="147"/>
      <c r="BY1584" s="147"/>
      <c r="BZ1584" s="147"/>
      <c r="CA1584" s="147"/>
      <c r="CB1584" s="147"/>
      <c r="CC1584" s="147"/>
      <c r="CD1584" s="147"/>
      <c r="CE1584" s="147"/>
      <c r="CF1584" s="147"/>
      <c r="CG1584" s="147"/>
      <c r="CH1584" s="147"/>
      <c r="CI1584" s="147"/>
      <c r="CJ1584" s="147"/>
      <c r="CK1584" s="147"/>
    </row>
    <row r="1585" spans="1:89">
      <c r="A1585" s="157"/>
      <c r="F1585" s="3"/>
      <c r="G1585" s="3"/>
      <c r="L1585" s="157"/>
      <c r="M1585" s="157"/>
      <c r="O1585" s="147"/>
      <c r="P1585" s="147"/>
      <c r="Q1585" s="147"/>
      <c r="R1585" s="147"/>
      <c r="S1585" s="147"/>
      <c r="T1585" s="147"/>
      <c r="U1585" s="147"/>
      <c r="V1585" s="147"/>
      <c r="W1585" s="147"/>
      <c r="X1585" s="147"/>
      <c r="Y1585" s="147"/>
      <c r="Z1585" s="147"/>
      <c r="AA1585" s="147"/>
      <c r="AB1585" s="147"/>
      <c r="AC1585" s="147"/>
      <c r="AD1585" s="147"/>
      <c r="AE1585" s="147"/>
      <c r="AF1585" s="147"/>
      <c r="AG1585" s="147"/>
      <c r="AH1585" s="147"/>
      <c r="AI1585" s="147"/>
      <c r="AJ1585" s="147"/>
      <c r="AK1585" s="147"/>
      <c r="AL1585" s="147"/>
      <c r="AM1585" s="151"/>
      <c r="AN1585" s="147"/>
      <c r="AO1585" s="147"/>
      <c r="AP1585" s="147"/>
      <c r="AQ1585" s="147"/>
      <c r="AR1585" s="147"/>
      <c r="AS1585" s="147"/>
      <c r="AT1585" s="147"/>
      <c r="AU1585" s="147"/>
      <c r="AV1585" s="147"/>
      <c r="AW1585" s="147"/>
      <c r="AX1585" s="147"/>
      <c r="AY1585" s="147"/>
      <c r="AZ1585" s="147"/>
      <c r="BA1585" s="147"/>
      <c r="BB1585" s="147"/>
      <c r="BC1585" s="147"/>
      <c r="BD1585" s="147"/>
      <c r="BE1585" s="147"/>
      <c r="BF1585" s="147"/>
      <c r="BG1585" s="147"/>
      <c r="BH1585" s="147"/>
      <c r="BI1585" s="147"/>
      <c r="BJ1585" s="147"/>
      <c r="BK1585" s="147"/>
      <c r="BL1585" s="147"/>
      <c r="BM1585" s="147"/>
      <c r="BN1585" s="147"/>
      <c r="BO1585" s="147"/>
      <c r="BP1585" s="147"/>
      <c r="BQ1585" s="147"/>
      <c r="BR1585" s="147"/>
      <c r="BS1585" s="147"/>
      <c r="BT1585" s="147"/>
      <c r="BU1585" s="147"/>
      <c r="BV1585" s="147"/>
      <c r="BW1585" s="147"/>
      <c r="BX1585" s="147"/>
      <c r="BY1585" s="147"/>
      <c r="BZ1585" s="147"/>
      <c r="CA1585" s="147"/>
      <c r="CB1585" s="147"/>
      <c r="CC1585" s="147"/>
      <c r="CD1585" s="147"/>
      <c r="CE1585" s="147"/>
      <c r="CF1585" s="147"/>
      <c r="CG1585" s="147"/>
      <c r="CH1585" s="147"/>
      <c r="CI1585" s="147"/>
      <c r="CJ1585" s="147"/>
      <c r="CK1585" s="147"/>
    </row>
    <row r="1586" spans="1:89">
      <c r="A1586" s="157"/>
      <c r="F1586" s="3"/>
      <c r="G1586" s="3"/>
      <c r="L1586" s="157"/>
      <c r="M1586" s="157"/>
      <c r="O1586" s="147"/>
      <c r="P1586" s="147"/>
      <c r="Q1586" s="147"/>
      <c r="R1586" s="147"/>
      <c r="S1586" s="147"/>
      <c r="T1586" s="147"/>
      <c r="U1586" s="147"/>
      <c r="V1586" s="147"/>
      <c r="W1586" s="147"/>
      <c r="X1586" s="147"/>
      <c r="Y1586" s="147"/>
      <c r="Z1586" s="147"/>
      <c r="AA1586" s="147"/>
      <c r="AB1586" s="147"/>
      <c r="AC1586" s="147"/>
      <c r="AD1586" s="147"/>
      <c r="AE1586" s="147"/>
      <c r="AF1586" s="147"/>
      <c r="AG1586" s="147"/>
      <c r="AH1586" s="147"/>
      <c r="AI1586" s="147"/>
      <c r="AJ1586" s="147"/>
      <c r="AK1586" s="147"/>
      <c r="AL1586" s="147"/>
      <c r="AM1586" s="151"/>
      <c r="AN1586" s="147"/>
      <c r="AO1586" s="147"/>
      <c r="AP1586" s="147"/>
      <c r="AQ1586" s="147"/>
      <c r="AR1586" s="147"/>
      <c r="AS1586" s="147"/>
      <c r="AT1586" s="147"/>
      <c r="AU1586" s="147"/>
      <c r="AV1586" s="147"/>
      <c r="AW1586" s="147"/>
      <c r="AX1586" s="147"/>
      <c r="AY1586" s="147"/>
      <c r="AZ1586" s="147"/>
      <c r="BA1586" s="147"/>
      <c r="BB1586" s="147"/>
      <c r="BC1586" s="147"/>
      <c r="BD1586" s="147"/>
      <c r="BE1586" s="147"/>
      <c r="BF1586" s="147"/>
      <c r="BG1586" s="147"/>
      <c r="BH1586" s="147"/>
      <c r="BI1586" s="147"/>
      <c r="BJ1586" s="147"/>
      <c r="BK1586" s="147"/>
      <c r="BL1586" s="147"/>
      <c r="BM1586" s="147"/>
      <c r="BN1586" s="147"/>
      <c r="BO1586" s="147"/>
      <c r="BP1586" s="147"/>
      <c r="BQ1586" s="147"/>
      <c r="BR1586" s="147"/>
      <c r="BS1586" s="147"/>
      <c r="BT1586" s="147"/>
      <c r="BU1586" s="147"/>
      <c r="BV1586" s="147"/>
      <c r="BW1586" s="147"/>
      <c r="BX1586" s="147"/>
      <c r="BY1586" s="147"/>
      <c r="BZ1586" s="147"/>
      <c r="CA1586" s="147"/>
      <c r="CB1586" s="147"/>
      <c r="CC1586" s="147"/>
      <c r="CD1586" s="147"/>
      <c r="CE1586" s="147"/>
      <c r="CF1586" s="147"/>
      <c r="CG1586" s="147"/>
      <c r="CH1586" s="147"/>
      <c r="CI1586" s="147"/>
      <c r="CJ1586" s="147"/>
      <c r="CK1586" s="147"/>
    </row>
    <row r="1587" spans="1:89">
      <c r="A1587" s="157"/>
      <c r="F1587" s="3"/>
      <c r="G1587" s="3"/>
      <c r="L1587" s="157"/>
      <c r="M1587" s="157"/>
      <c r="O1587" s="147"/>
      <c r="P1587" s="147"/>
      <c r="Q1587" s="147"/>
      <c r="R1587" s="147"/>
      <c r="S1587" s="147"/>
      <c r="T1587" s="147"/>
      <c r="U1587" s="147"/>
      <c r="V1587" s="147"/>
      <c r="W1587" s="147"/>
      <c r="X1587" s="147"/>
      <c r="Y1587" s="147"/>
      <c r="Z1587" s="147"/>
      <c r="AA1587" s="147"/>
      <c r="AB1587" s="147"/>
      <c r="AC1587" s="147"/>
      <c r="AD1587" s="147"/>
      <c r="AE1587" s="147"/>
      <c r="AF1587" s="147"/>
      <c r="AG1587" s="147"/>
      <c r="AH1587" s="147"/>
      <c r="AI1587" s="147"/>
      <c r="AJ1587" s="147"/>
      <c r="AK1587" s="147"/>
      <c r="AL1587" s="147"/>
      <c r="AM1587" s="151"/>
      <c r="AN1587" s="147"/>
      <c r="AO1587" s="147"/>
      <c r="AP1587" s="147"/>
      <c r="AQ1587" s="147"/>
      <c r="AR1587" s="147"/>
      <c r="AS1587" s="147"/>
      <c r="AT1587" s="147"/>
      <c r="AU1587" s="147"/>
      <c r="AV1587" s="147"/>
      <c r="AW1587" s="147"/>
      <c r="AX1587" s="147"/>
      <c r="AY1587" s="147"/>
      <c r="AZ1587" s="147"/>
      <c r="BA1587" s="147"/>
      <c r="BB1587" s="147"/>
      <c r="BC1587" s="147"/>
      <c r="BD1587" s="147"/>
      <c r="BE1587" s="147"/>
      <c r="BF1587" s="147"/>
      <c r="BG1587" s="147"/>
      <c r="BH1587" s="147"/>
      <c r="BI1587" s="147"/>
      <c r="BJ1587" s="147"/>
      <c r="BK1587" s="147"/>
      <c r="BL1587" s="147"/>
      <c r="BM1587" s="147"/>
      <c r="BN1587" s="147"/>
      <c r="BO1587" s="147"/>
      <c r="BP1587" s="147"/>
      <c r="BQ1587" s="147"/>
      <c r="BR1587" s="147"/>
      <c r="BS1587" s="147"/>
      <c r="BT1587" s="147"/>
      <c r="BU1587" s="147"/>
      <c r="BV1587" s="147"/>
      <c r="BW1587" s="147"/>
      <c r="BX1587" s="147"/>
      <c r="BY1587" s="147"/>
      <c r="BZ1587" s="147"/>
      <c r="CA1587" s="147"/>
      <c r="CB1587" s="147"/>
      <c r="CC1587" s="147"/>
      <c r="CD1587" s="147"/>
      <c r="CE1587" s="147"/>
      <c r="CF1587" s="147"/>
      <c r="CG1587" s="147"/>
      <c r="CH1587" s="147"/>
      <c r="CI1587" s="147"/>
      <c r="CJ1587" s="147"/>
      <c r="CK1587" s="147"/>
    </row>
    <row r="1588" spans="1:89">
      <c r="A1588" s="157"/>
      <c r="F1588" s="3"/>
      <c r="G1588" s="3"/>
      <c r="L1588" s="157"/>
      <c r="M1588" s="157"/>
      <c r="O1588" s="147"/>
      <c r="P1588" s="147"/>
      <c r="Q1588" s="147"/>
      <c r="R1588" s="147"/>
      <c r="S1588" s="147"/>
      <c r="T1588" s="147"/>
      <c r="U1588" s="147"/>
      <c r="V1588" s="147"/>
      <c r="W1588" s="147"/>
      <c r="X1588" s="147"/>
      <c r="Y1588" s="147"/>
      <c r="Z1588" s="147"/>
      <c r="AA1588" s="147"/>
      <c r="AB1588" s="147"/>
      <c r="AC1588" s="147"/>
      <c r="AD1588" s="147"/>
      <c r="AE1588" s="147"/>
      <c r="AF1588" s="147"/>
      <c r="AG1588" s="147"/>
      <c r="AH1588" s="147"/>
      <c r="AI1588" s="147"/>
      <c r="AJ1588" s="147"/>
      <c r="AK1588" s="147"/>
      <c r="AL1588" s="147"/>
      <c r="AM1588" s="151"/>
      <c r="AN1588" s="147"/>
      <c r="AO1588" s="147"/>
      <c r="AP1588" s="147"/>
      <c r="AQ1588" s="147"/>
      <c r="AR1588" s="147"/>
      <c r="AS1588" s="147"/>
      <c r="AT1588" s="147"/>
      <c r="AU1588" s="147"/>
      <c r="AV1588" s="147"/>
      <c r="AW1588" s="147"/>
      <c r="AX1588" s="147"/>
      <c r="AY1588" s="147"/>
      <c r="AZ1588" s="147"/>
      <c r="BA1588" s="147"/>
      <c r="BB1588" s="147"/>
      <c r="BC1588" s="147"/>
      <c r="BD1588" s="147"/>
      <c r="BE1588" s="147"/>
      <c r="BF1588" s="147"/>
      <c r="BG1588" s="147"/>
      <c r="BH1588" s="147"/>
      <c r="BI1588" s="147"/>
      <c r="BJ1588" s="147"/>
      <c r="BK1588" s="147"/>
      <c r="BL1588" s="147"/>
      <c r="BM1588" s="147"/>
      <c r="BN1588" s="147"/>
      <c r="BO1588" s="147"/>
      <c r="BP1588" s="147"/>
      <c r="BQ1588" s="147"/>
      <c r="BR1588" s="147"/>
      <c r="BS1588" s="147"/>
      <c r="BT1588" s="147"/>
      <c r="BU1588" s="147"/>
      <c r="BV1588" s="147"/>
      <c r="BW1588" s="147"/>
      <c r="BX1588" s="147"/>
      <c r="BY1588" s="147"/>
      <c r="BZ1588" s="147"/>
      <c r="CA1588" s="147"/>
      <c r="CB1588" s="147"/>
      <c r="CC1588" s="147"/>
      <c r="CD1588" s="147"/>
      <c r="CE1588" s="147"/>
      <c r="CF1588" s="147"/>
      <c r="CG1588" s="147"/>
      <c r="CH1588" s="147"/>
      <c r="CI1588" s="147"/>
      <c r="CJ1588" s="147"/>
      <c r="CK1588" s="147"/>
    </row>
    <row r="1589" spans="1:89">
      <c r="A1589" s="157"/>
      <c r="F1589" s="3"/>
      <c r="G1589" s="3"/>
      <c r="L1589" s="157"/>
      <c r="M1589" s="157"/>
      <c r="O1589" s="147"/>
      <c r="P1589" s="147"/>
      <c r="Q1589" s="147"/>
      <c r="R1589" s="147"/>
      <c r="S1589" s="147"/>
      <c r="T1589" s="147"/>
      <c r="U1589" s="147"/>
      <c r="V1589" s="147"/>
      <c r="W1589" s="147"/>
      <c r="X1589" s="147"/>
      <c r="Y1589" s="147"/>
      <c r="Z1589" s="147"/>
      <c r="AA1589" s="147"/>
      <c r="AB1589" s="147"/>
      <c r="AC1589" s="147"/>
      <c r="AD1589" s="147"/>
      <c r="AE1589" s="147"/>
      <c r="AF1589" s="147"/>
      <c r="AG1589" s="147"/>
      <c r="AH1589" s="147"/>
      <c r="AI1589" s="147"/>
      <c r="AJ1589" s="147"/>
      <c r="AK1589" s="147"/>
      <c r="AL1589" s="147"/>
      <c r="AM1589" s="151"/>
      <c r="AN1589" s="147"/>
      <c r="AO1589" s="147"/>
      <c r="AP1589" s="147"/>
      <c r="AQ1589" s="147"/>
      <c r="AR1589" s="147"/>
      <c r="AS1589" s="147"/>
      <c r="AT1589" s="147"/>
      <c r="AU1589" s="147"/>
      <c r="AV1589" s="147"/>
      <c r="AW1589" s="147"/>
      <c r="AX1589" s="147"/>
      <c r="AY1589" s="147"/>
      <c r="AZ1589" s="147"/>
      <c r="BA1589" s="147"/>
      <c r="BB1589" s="147"/>
      <c r="BC1589" s="147"/>
      <c r="BD1589" s="147"/>
      <c r="BE1589" s="147"/>
      <c r="BF1589" s="147"/>
      <c r="BG1589" s="147"/>
      <c r="BH1589" s="147"/>
      <c r="BI1589" s="147"/>
      <c r="BJ1589" s="147"/>
      <c r="BK1589" s="147"/>
      <c r="BL1589" s="147"/>
      <c r="BM1589" s="147"/>
      <c r="BN1589" s="147"/>
      <c r="BO1589" s="147"/>
      <c r="BP1589" s="147"/>
      <c r="BQ1589" s="147"/>
      <c r="BR1589" s="147"/>
      <c r="BS1589" s="147"/>
      <c r="BT1589" s="147"/>
      <c r="BU1589" s="147"/>
      <c r="BV1589" s="147"/>
      <c r="BW1589" s="147"/>
      <c r="BX1589" s="147"/>
      <c r="BY1589" s="147"/>
      <c r="BZ1589" s="147"/>
      <c r="CA1589" s="147"/>
      <c r="CB1589" s="147"/>
      <c r="CC1589" s="147"/>
      <c r="CD1589" s="147"/>
      <c r="CE1589" s="147"/>
      <c r="CF1589" s="147"/>
      <c r="CG1589" s="147"/>
      <c r="CH1589" s="147"/>
      <c r="CI1589" s="147"/>
      <c r="CJ1589" s="147"/>
      <c r="CK1589" s="147"/>
    </row>
    <row r="1590" spans="1:89">
      <c r="A1590" s="157"/>
      <c r="F1590" s="3"/>
      <c r="G1590" s="3"/>
      <c r="L1590" s="157"/>
      <c r="M1590" s="157"/>
      <c r="O1590" s="147"/>
      <c r="P1590" s="147"/>
      <c r="Q1590" s="147"/>
      <c r="R1590" s="147"/>
      <c r="S1590" s="147"/>
      <c r="T1590" s="147"/>
      <c r="U1590" s="147"/>
      <c r="V1590" s="147"/>
      <c r="W1590" s="147"/>
      <c r="X1590" s="147"/>
      <c r="Y1590" s="147"/>
      <c r="Z1590" s="147"/>
      <c r="AA1590" s="147"/>
      <c r="AB1590" s="147"/>
      <c r="AC1590" s="147"/>
      <c r="AD1590" s="147"/>
      <c r="AE1590" s="147"/>
      <c r="AF1590" s="147"/>
      <c r="AG1590" s="147"/>
      <c r="AH1590" s="147"/>
      <c r="AI1590" s="147"/>
      <c r="AJ1590" s="147"/>
      <c r="AK1590" s="147"/>
      <c r="AL1590" s="147"/>
      <c r="AM1590" s="151"/>
      <c r="AN1590" s="147"/>
      <c r="AO1590" s="147"/>
      <c r="AP1590" s="147"/>
      <c r="AQ1590" s="147"/>
      <c r="AR1590" s="147"/>
      <c r="AS1590" s="147"/>
      <c r="AT1590" s="147"/>
      <c r="AU1590" s="147"/>
      <c r="AV1590" s="147"/>
      <c r="AW1590" s="147"/>
      <c r="AX1590" s="147"/>
      <c r="AY1590" s="147"/>
      <c r="AZ1590" s="147"/>
      <c r="BA1590" s="147"/>
      <c r="BB1590" s="147"/>
      <c r="BC1590" s="147"/>
      <c r="BD1590" s="147"/>
      <c r="BE1590" s="147"/>
      <c r="BF1590" s="147"/>
      <c r="BG1590" s="147"/>
      <c r="BH1590" s="147"/>
      <c r="BI1590" s="147"/>
      <c r="BJ1590" s="147"/>
      <c r="BK1590" s="147"/>
      <c r="BL1590" s="147"/>
      <c r="BM1590" s="147"/>
      <c r="BN1590" s="147"/>
      <c r="BO1590" s="147"/>
      <c r="BP1590" s="147"/>
      <c r="BQ1590" s="147"/>
      <c r="BR1590" s="147"/>
      <c r="BS1590" s="147"/>
      <c r="BT1590" s="147"/>
      <c r="BU1590" s="147"/>
      <c r="BV1590" s="147"/>
      <c r="BW1590" s="147"/>
      <c r="BX1590" s="147"/>
      <c r="BY1590" s="147"/>
      <c r="BZ1590" s="147"/>
      <c r="CA1590" s="147"/>
      <c r="CB1590" s="147"/>
      <c r="CC1590" s="147"/>
      <c r="CD1590" s="147"/>
      <c r="CE1590" s="147"/>
      <c r="CF1590" s="147"/>
      <c r="CG1590" s="147"/>
      <c r="CH1590" s="147"/>
      <c r="CI1590" s="147"/>
      <c r="CJ1590" s="147"/>
      <c r="CK1590" s="147"/>
    </row>
    <row r="1591" spans="1:89">
      <c r="A1591" s="157"/>
      <c r="F1591" s="3"/>
      <c r="G1591" s="3"/>
      <c r="L1591" s="157"/>
      <c r="M1591" s="157"/>
      <c r="O1591" s="147"/>
      <c r="P1591" s="147"/>
      <c r="Q1591" s="147"/>
      <c r="R1591" s="147"/>
      <c r="S1591" s="147"/>
      <c r="T1591" s="147"/>
      <c r="U1591" s="147"/>
      <c r="V1591" s="147"/>
      <c r="W1591" s="147"/>
      <c r="X1591" s="147"/>
      <c r="Y1591" s="147"/>
      <c r="Z1591" s="147"/>
      <c r="AA1591" s="147"/>
      <c r="AB1591" s="147"/>
      <c r="AC1591" s="147"/>
      <c r="AD1591" s="147"/>
      <c r="AE1591" s="147"/>
      <c r="AF1591" s="147"/>
      <c r="AG1591" s="147"/>
      <c r="AH1591" s="147"/>
      <c r="AI1591" s="147"/>
      <c r="AJ1591" s="147"/>
      <c r="AK1591" s="147"/>
      <c r="AL1591" s="147"/>
      <c r="AM1591" s="151"/>
      <c r="AN1591" s="147"/>
      <c r="AO1591" s="147"/>
      <c r="AP1591" s="147"/>
      <c r="AQ1591" s="147"/>
      <c r="AR1591" s="147"/>
      <c r="AS1591" s="147"/>
      <c r="AT1591" s="147"/>
      <c r="AU1591" s="147"/>
      <c r="AV1591" s="147"/>
      <c r="AW1591" s="147"/>
      <c r="AX1591" s="147"/>
      <c r="AY1591" s="147"/>
      <c r="AZ1591" s="147"/>
      <c r="BA1591" s="147"/>
      <c r="BB1591" s="147"/>
      <c r="BC1591" s="147"/>
      <c r="BD1591" s="147"/>
      <c r="BE1591" s="147"/>
      <c r="BF1591" s="147"/>
      <c r="BG1591" s="147"/>
      <c r="BH1591" s="147"/>
      <c r="BI1591" s="147"/>
      <c r="BJ1591" s="147"/>
      <c r="BK1591" s="147"/>
      <c r="BL1591" s="147"/>
      <c r="BM1591" s="147"/>
      <c r="BN1591" s="147"/>
      <c r="BO1591" s="147"/>
      <c r="BP1591" s="147"/>
      <c r="BQ1591" s="147"/>
      <c r="BR1591" s="147"/>
      <c r="BS1591" s="147"/>
      <c r="BT1591" s="147"/>
      <c r="BU1591" s="147"/>
      <c r="BV1591" s="147"/>
      <c r="BW1591" s="147"/>
      <c r="BX1591" s="147"/>
      <c r="BY1591" s="147"/>
      <c r="BZ1591" s="147"/>
      <c r="CA1591" s="147"/>
      <c r="CB1591" s="147"/>
      <c r="CC1591" s="147"/>
      <c r="CD1591" s="147"/>
      <c r="CE1591" s="147"/>
      <c r="CF1591" s="147"/>
      <c r="CG1591" s="147"/>
      <c r="CH1591" s="147"/>
      <c r="CI1591" s="147"/>
      <c r="CJ1591" s="147"/>
      <c r="CK1591" s="147"/>
    </row>
    <row r="1592" spans="1:89">
      <c r="A1592" s="157"/>
      <c r="F1592" s="3"/>
      <c r="G1592" s="3"/>
      <c r="L1592" s="157"/>
      <c r="M1592" s="157"/>
      <c r="O1592" s="147"/>
      <c r="P1592" s="147"/>
      <c r="Q1592" s="147"/>
      <c r="R1592" s="147"/>
      <c r="S1592" s="147"/>
      <c r="T1592" s="147"/>
      <c r="U1592" s="147"/>
      <c r="V1592" s="147"/>
      <c r="W1592" s="147"/>
      <c r="X1592" s="147"/>
      <c r="Y1592" s="147"/>
      <c r="Z1592" s="147"/>
      <c r="AA1592" s="147"/>
      <c r="AB1592" s="147"/>
      <c r="AC1592" s="147"/>
      <c r="AD1592" s="147"/>
      <c r="AE1592" s="147"/>
      <c r="AF1592" s="147"/>
      <c r="AG1592" s="147"/>
      <c r="AH1592" s="147"/>
      <c r="AI1592" s="147"/>
      <c r="AJ1592" s="147"/>
      <c r="AK1592" s="147"/>
      <c r="AL1592" s="147"/>
      <c r="AM1592" s="151"/>
      <c r="AN1592" s="147"/>
      <c r="AO1592" s="147"/>
      <c r="AP1592" s="147"/>
      <c r="AQ1592" s="147"/>
      <c r="AR1592" s="147"/>
      <c r="AS1592" s="147"/>
      <c r="AT1592" s="147"/>
      <c r="AU1592" s="147"/>
      <c r="AV1592" s="147"/>
      <c r="AW1592" s="147"/>
      <c r="AX1592" s="147"/>
      <c r="AY1592" s="147"/>
      <c r="AZ1592" s="147"/>
      <c r="BA1592" s="147"/>
      <c r="BB1592" s="147"/>
      <c r="BC1592" s="147"/>
      <c r="BD1592" s="147"/>
      <c r="BE1592" s="147"/>
      <c r="BF1592" s="147"/>
      <c r="BG1592" s="147"/>
      <c r="BH1592" s="147"/>
      <c r="BI1592" s="147"/>
      <c r="BJ1592" s="147"/>
      <c r="BK1592" s="147"/>
      <c r="BL1592" s="147"/>
      <c r="BM1592" s="147"/>
      <c r="BN1592" s="147"/>
      <c r="BO1592" s="147"/>
      <c r="BP1592" s="147"/>
      <c r="BQ1592" s="147"/>
      <c r="BR1592" s="147"/>
      <c r="BS1592" s="147"/>
      <c r="BT1592" s="147"/>
      <c r="BU1592" s="147"/>
      <c r="BV1592" s="147"/>
      <c r="BW1592" s="147"/>
      <c r="BX1592" s="147"/>
      <c r="BY1592" s="147"/>
      <c r="BZ1592" s="147"/>
      <c r="CA1592" s="147"/>
      <c r="CB1592" s="147"/>
      <c r="CC1592" s="147"/>
      <c r="CD1592" s="147"/>
      <c r="CE1592" s="147"/>
      <c r="CF1592" s="147"/>
      <c r="CG1592" s="147"/>
      <c r="CH1592" s="147"/>
      <c r="CI1592" s="147"/>
      <c r="CJ1592" s="147"/>
      <c r="CK1592" s="147"/>
    </row>
    <row r="1593" spans="1:89">
      <c r="A1593" s="157"/>
      <c r="F1593" s="3"/>
      <c r="G1593" s="3"/>
      <c r="L1593" s="157"/>
      <c r="M1593" s="157"/>
      <c r="O1593" s="147"/>
      <c r="P1593" s="147"/>
      <c r="Q1593" s="147"/>
      <c r="R1593" s="147"/>
      <c r="S1593" s="147"/>
      <c r="T1593" s="147"/>
      <c r="U1593" s="147"/>
      <c r="V1593" s="147"/>
      <c r="W1593" s="147"/>
      <c r="X1593" s="147"/>
      <c r="Y1593" s="147"/>
      <c r="Z1593" s="147"/>
      <c r="AA1593" s="147"/>
      <c r="AB1593" s="147"/>
      <c r="AC1593" s="147"/>
      <c r="AD1593" s="147"/>
      <c r="AE1593" s="147"/>
      <c r="AF1593" s="147"/>
      <c r="AG1593" s="147"/>
      <c r="AH1593" s="147"/>
      <c r="AI1593" s="147"/>
      <c r="AJ1593" s="147"/>
      <c r="AK1593" s="147"/>
      <c r="AL1593" s="147"/>
      <c r="AM1593" s="151"/>
      <c r="AN1593" s="147"/>
      <c r="AO1593" s="147"/>
      <c r="AP1593" s="147"/>
      <c r="AQ1593" s="147"/>
      <c r="AR1593" s="147"/>
      <c r="AS1593" s="147"/>
      <c r="AT1593" s="147"/>
      <c r="AU1593" s="147"/>
      <c r="AV1593" s="147"/>
      <c r="AW1593" s="147"/>
      <c r="AX1593" s="147"/>
      <c r="AY1593" s="147"/>
      <c r="AZ1593" s="147"/>
      <c r="BA1593" s="147"/>
      <c r="BB1593" s="147"/>
      <c r="BC1593" s="147"/>
      <c r="BD1593" s="147"/>
      <c r="BE1593" s="147"/>
      <c r="BF1593" s="147"/>
      <c r="BG1593" s="147"/>
      <c r="BH1593" s="147"/>
      <c r="BI1593" s="147"/>
      <c r="BJ1593" s="147"/>
      <c r="BK1593" s="147"/>
      <c r="BL1593" s="147"/>
      <c r="BM1593" s="147"/>
      <c r="BN1593" s="147"/>
      <c r="BO1593" s="147"/>
      <c r="BP1593" s="147"/>
      <c r="BQ1593" s="147"/>
      <c r="BR1593" s="147"/>
      <c r="BS1593" s="147"/>
      <c r="BT1593" s="147"/>
      <c r="BU1593" s="147"/>
      <c r="BV1593" s="147"/>
      <c r="BW1593" s="147"/>
      <c r="BX1593" s="147"/>
      <c r="BY1593" s="147"/>
      <c r="BZ1593" s="147"/>
      <c r="CA1593" s="147"/>
      <c r="CB1593" s="147"/>
      <c r="CC1593" s="147"/>
      <c r="CD1593" s="147"/>
      <c r="CE1593" s="147"/>
      <c r="CF1593" s="147"/>
      <c r="CG1593" s="147"/>
      <c r="CH1593" s="147"/>
      <c r="CI1593" s="147"/>
      <c r="CJ1593" s="147"/>
      <c r="CK1593" s="147"/>
    </row>
    <row r="1594" spans="1:89">
      <c r="A1594" s="157"/>
      <c r="F1594" s="3"/>
      <c r="G1594" s="3"/>
      <c r="L1594" s="157"/>
      <c r="M1594" s="157"/>
      <c r="O1594" s="147"/>
      <c r="P1594" s="147"/>
      <c r="Q1594" s="147"/>
      <c r="R1594" s="147"/>
      <c r="S1594" s="147"/>
      <c r="T1594" s="147"/>
      <c r="U1594" s="147"/>
      <c r="V1594" s="147"/>
      <c r="W1594" s="147"/>
      <c r="X1594" s="147"/>
      <c r="Y1594" s="147"/>
      <c r="Z1594" s="147"/>
      <c r="AA1594" s="147"/>
      <c r="AB1594" s="147"/>
      <c r="AC1594" s="147"/>
      <c r="AD1594" s="147"/>
      <c r="AE1594" s="147"/>
      <c r="AF1594" s="147"/>
      <c r="AG1594" s="147"/>
      <c r="AH1594" s="147"/>
      <c r="AI1594" s="147"/>
      <c r="AJ1594" s="147"/>
      <c r="AK1594" s="147"/>
      <c r="AL1594" s="147"/>
      <c r="AM1594" s="151"/>
      <c r="AN1594" s="147"/>
      <c r="AO1594" s="147"/>
      <c r="AP1594" s="147"/>
      <c r="AQ1594" s="147"/>
      <c r="AR1594" s="147"/>
      <c r="AS1594" s="147"/>
      <c r="AT1594" s="147"/>
      <c r="AU1594" s="147"/>
      <c r="AV1594" s="147"/>
      <c r="AW1594" s="147"/>
      <c r="AX1594" s="147"/>
      <c r="AY1594" s="147"/>
      <c r="AZ1594" s="147"/>
      <c r="BA1594" s="147"/>
      <c r="BB1594" s="147"/>
      <c r="BC1594" s="147"/>
      <c r="BD1594" s="147"/>
      <c r="BE1594" s="147"/>
      <c r="BF1594" s="147"/>
      <c r="BG1594" s="147"/>
      <c r="BH1594" s="147"/>
      <c r="BI1594" s="147"/>
      <c r="BJ1594" s="147"/>
      <c r="BK1594" s="147"/>
      <c r="BL1594" s="147"/>
      <c r="BM1594" s="147"/>
      <c r="BN1594" s="147"/>
      <c r="BO1594" s="147"/>
      <c r="BP1594" s="147"/>
      <c r="BQ1594" s="147"/>
      <c r="BR1594" s="147"/>
      <c r="BS1594" s="147"/>
      <c r="BT1594" s="147"/>
      <c r="BU1594" s="147"/>
      <c r="BV1594" s="147"/>
      <c r="BW1594" s="147"/>
      <c r="BX1594" s="147"/>
      <c r="BY1594" s="147"/>
      <c r="BZ1594" s="147"/>
      <c r="CA1594" s="147"/>
      <c r="CB1594" s="147"/>
      <c r="CC1594" s="147"/>
      <c r="CD1594" s="147"/>
      <c r="CE1594" s="147"/>
      <c r="CF1594" s="147"/>
      <c r="CG1594" s="147"/>
      <c r="CH1594" s="147"/>
      <c r="CI1594" s="147"/>
      <c r="CJ1594" s="147"/>
      <c r="CK1594" s="147"/>
    </row>
    <row r="1595" spans="1:89">
      <c r="A1595" s="157"/>
      <c r="F1595" s="3"/>
      <c r="G1595" s="3"/>
      <c r="L1595" s="157"/>
      <c r="M1595" s="157"/>
      <c r="O1595" s="147"/>
      <c r="P1595" s="147"/>
      <c r="Q1595" s="147"/>
      <c r="R1595" s="147"/>
      <c r="S1595" s="147"/>
      <c r="T1595" s="147"/>
      <c r="U1595" s="147"/>
      <c r="V1595" s="147"/>
      <c r="W1595" s="147"/>
      <c r="X1595" s="147"/>
      <c r="Y1595" s="147"/>
      <c r="Z1595" s="147"/>
      <c r="AA1595" s="147"/>
      <c r="AB1595" s="147"/>
      <c r="AC1595" s="147"/>
      <c r="AD1595" s="147"/>
      <c r="AE1595" s="147"/>
      <c r="AF1595" s="147"/>
      <c r="AG1595" s="147"/>
      <c r="AH1595" s="147"/>
      <c r="AI1595" s="147"/>
      <c r="AJ1595" s="147"/>
      <c r="AK1595" s="147"/>
      <c r="AL1595" s="147"/>
      <c r="AM1595" s="151"/>
      <c r="AN1595" s="147"/>
      <c r="AO1595" s="147"/>
      <c r="AP1595" s="147"/>
      <c r="AQ1595" s="147"/>
      <c r="AR1595" s="147"/>
      <c r="AS1595" s="147"/>
      <c r="AT1595" s="147"/>
      <c r="AU1595" s="147"/>
      <c r="AV1595" s="147"/>
      <c r="AW1595" s="147"/>
      <c r="AX1595" s="147"/>
      <c r="AY1595" s="147"/>
      <c r="AZ1595" s="147"/>
      <c r="BA1595" s="147"/>
      <c r="BB1595" s="147"/>
      <c r="BC1595" s="147"/>
      <c r="BD1595" s="147"/>
      <c r="BE1595" s="147"/>
      <c r="BF1595" s="147"/>
      <c r="BG1595" s="147"/>
      <c r="BH1595" s="147"/>
      <c r="BI1595" s="147"/>
      <c r="BJ1595" s="147"/>
      <c r="BK1595" s="147"/>
      <c r="BL1595" s="147"/>
      <c r="BM1595" s="147"/>
      <c r="BN1595" s="147"/>
      <c r="BO1595" s="147"/>
      <c r="BP1595" s="147"/>
      <c r="BQ1595" s="147"/>
      <c r="BR1595" s="147"/>
      <c r="BS1595" s="147"/>
      <c r="BT1595" s="147"/>
      <c r="BU1595" s="147"/>
      <c r="BV1595" s="147"/>
      <c r="BW1595" s="147"/>
      <c r="BX1595" s="147"/>
      <c r="BY1595" s="147"/>
      <c r="BZ1595" s="147"/>
      <c r="CA1595" s="147"/>
      <c r="CB1595" s="147"/>
      <c r="CC1595" s="147"/>
      <c r="CD1595" s="147"/>
      <c r="CE1595" s="147"/>
      <c r="CF1595" s="147"/>
      <c r="CG1595" s="147"/>
      <c r="CH1595" s="147"/>
      <c r="CI1595" s="147"/>
      <c r="CJ1595" s="147"/>
      <c r="CK1595" s="147"/>
    </row>
    <row r="1596" spans="1:89">
      <c r="A1596" s="157"/>
      <c r="F1596" s="3"/>
      <c r="G1596" s="3"/>
      <c r="L1596" s="157"/>
      <c r="M1596" s="157"/>
      <c r="O1596" s="147"/>
      <c r="P1596" s="147"/>
      <c r="Q1596" s="147"/>
      <c r="R1596" s="147"/>
      <c r="S1596" s="147"/>
      <c r="T1596" s="147"/>
      <c r="U1596" s="147"/>
      <c r="V1596" s="147"/>
      <c r="W1596" s="147"/>
      <c r="X1596" s="147"/>
      <c r="Y1596" s="147"/>
      <c r="Z1596" s="147"/>
      <c r="AA1596" s="147"/>
      <c r="AB1596" s="147"/>
      <c r="AC1596" s="147"/>
      <c r="AD1596" s="147"/>
      <c r="AE1596" s="147"/>
      <c r="AF1596" s="147"/>
      <c r="AG1596" s="147"/>
      <c r="AH1596" s="147"/>
      <c r="AI1596" s="147"/>
      <c r="AJ1596" s="147"/>
      <c r="AK1596" s="147"/>
      <c r="AL1596" s="147"/>
      <c r="AM1596" s="151"/>
      <c r="AN1596" s="147"/>
      <c r="AO1596" s="147"/>
      <c r="AP1596" s="147"/>
      <c r="AQ1596" s="147"/>
      <c r="AR1596" s="147"/>
      <c r="AS1596" s="147"/>
      <c r="AT1596" s="147"/>
      <c r="AU1596" s="147"/>
      <c r="AV1596" s="147"/>
      <c r="AW1596" s="147"/>
      <c r="AX1596" s="147"/>
      <c r="AY1596" s="147"/>
      <c r="AZ1596" s="147"/>
      <c r="BA1596" s="147"/>
      <c r="BB1596" s="147"/>
      <c r="BC1596" s="147"/>
      <c r="BD1596" s="147"/>
      <c r="BE1596" s="147"/>
      <c r="BF1596" s="147"/>
      <c r="BG1596" s="147"/>
      <c r="BH1596" s="147"/>
      <c r="BI1596" s="147"/>
      <c r="BJ1596" s="147"/>
      <c r="BK1596" s="147"/>
      <c r="BL1596" s="147"/>
      <c r="BM1596" s="147"/>
      <c r="BN1596" s="147"/>
      <c r="BO1596" s="147"/>
      <c r="BP1596" s="147"/>
      <c r="BQ1596" s="147"/>
      <c r="BR1596" s="147"/>
      <c r="BS1596" s="147"/>
      <c r="BT1596" s="147"/>
      <c r="BU1596" s="147"/>
      <c r="BV1596" s="147"/>
      <c r="BW1596" s="147"/>
      <c r="BX1596" s="147"/>
      <c r="BY1596" s="147"/>
      <c r="BZ1596" s="147"/>
      <c r="CA1596" s="147"/>
      <c r="CB1596" s="147"/>
      <c r="CC1596" s="147"/>
      <c r="CD1596" s="147"/>
      <c r="CE1596" s="147"/>
      <c r="CF1596" s="147"/>
      <c r="CG1596" s="147"/>
      <c r="CH1596" s="147"/>
      <c r="CI1596" s="147"/>
      <c r="CJ1596" s="147"/>
      <c r="CK1596" s="147"/>
    </row>
    <row r="1597" spans="1:89">
      <c r="A1597" s="157"/>
      <c r="F1597" s="3"/>
      <c r="G1597" s="3"/>
      <c r="L1597" s="157"/>
      <c r="M1597" s="157"/>
      <c r="O1597" s="147"/>
      <c r="P1597" s="147"/>
      <c r="Q1597" s="147"/>
      <c r="R1597" s="147"/>
      <c r="S1597" s="147"/>
      <c r="T1597" s="147"/>
      <c r="U1597" s="147"/>
      <c r="V1597" s="147"/>
      <c r="W1597" s="147"/>
      <c r="X1597" s="147"/>
      <c r="Y1597" s="147"/>
      <c r="Z1597" s="147"/>
      <c r="AA1597" s="147"/>
      <c r="AB1597" s="147"/>
      <c r="AC1597" s="147"/>
      <c r="AD1597" s="147"/>
      <c r="AE1597" s="147"/>
      <c r="AF1597" s="147"/>
      <c r="AG1597" s="147"/>
      <c r="AH1597" s="147"/>
      <c r="AI1597" s="147"/>
      <c r="AJ1597" s="147"/>
      <c r="AK1597" s="147"/>
      <c r="AL1597" s="147"/>
      <c r="AM1597" s="151"/>
      <c r="AN1597" s="147"/>
      <c r="AO1597" s="147"/>
      <c r="AP1597" s="147"/>
      <c r="AQ1597" s="147"/>
      <c r="AR1597" s="147"/>
      <c r="AS1597" s="147"/>
      <c r="AT1597" s="147"/>
      <c r="AU1597" s="147"/>
      <c r="AV1597" s="147"/>
      <c r="AW1597" s="147"/>
      <c r="AX1597" s="147"/>
      <c r="AY1597" s="147"/>
      <c r="AZ1597" s="147"/>
      <c r="BA1597" s="147"/>
      <c r="BB1597" s="147"/>
      <c r="BC1597" s="147"/>
      <c r="BD1597" s="147"/>
      <c r="BE1597" s="147"/>
      <c r="BF1597" s="147"/>
      <c r="BG1597" s="147"/>
      <c r="BH1597" s="147"/>
      <c r="BI1597" s="147"/>
      <c r="BJ1597" s="147"/>
      <c r="BK1597" s="147"/>
      <c r="BL1597" s="147"/>
      <c r="BM1597" s="147"/>
      <c r="BN1597" s="147"/>
      <c r="BO1597" s="147"/>
      <c r="BP1597" s="147"/>
      <c r="BQ1597" s="147"/>
      <c r="BR1597" s="147"/>
      <c r="BS1597" s="147"/>
      <c r="BT1597" s="147"/>
      <c r="BU1597" s="147"/>
      <c r="BV1597" s="147"/>
      <c r="BW1597" s="147"/>
      <c r="BX1597" s="147"/>
      <c r="BY1597" s="147"/>
      <c r="BZ1597" s="147"/>
      <c r="CA1597" s="147"/>
      <c r="CB1597" s="147"/>
      <c r="CC1597" s="147"/>
      <c r="CD1597" s="147"/>
      <c r="CE1597" s="147"/>
      <c r="CF1597" s="147"/>
      <c r="CG1597" s="147"/>
      <c r="CH1597" s="147"/>
      <c r="CI1597" s="147"/>
      <c r="CJ1597" s="147"/>
      <c r="CK1597" s="147"/>
    </row>
    <row r="1598" spans="1:89">
      <c r="A1598" s="157"/>
      <c r="F1598" s="3"/>
      <c r="G1598" s="3"/>
      <c r="L1598" s="157"/>
      <c r="M1598" s="157"/>
      <c r="O1598" s="147"/>
      <c r="P1598" s="147"/>
      <c r="Q1598" s="147"/>
      <c r="R1598" s="147"/>
      <c r="S1598" s="147"/>
      <c r="T1598" s="147"/>
      <c r="U1598" s="147"/>
      <c r="V1598" s="147"/>
      <c r="W1598" s="147"/>
      <c r="X1598" s="147"/>
      <c r="Y1598" s="147"/>
      <c r="Z1598" s="147"/>
      <c r="AA1598" s="147"/>
      <c r="AB1598" s="147"/>
      <c r="AC1598" s="147"/>
      <c r="AD1598" s="147"/>
      <c r="AE1598" s="147"/>
      <c r="AF1598" s="147"/>
      <c r="AG1598" s="147"/>
      <c r="AH1598" s="147"/>
      <c r="AI1598" s="147"/>
      <c r="AJ1598" s="147"/>
      <c r="AK1598" s="147"/>
      <c r="AL1598" s="147"/>
      <c r="AM1598" s="151"/>
      <c r="AN1598" s="147"/>
      <c r="AO1598" s="147"/>
      <c r="AP1598" s="147"/>
      <c r="AQ1598" s="147"/>
      <c r="AR1598" s="147"/>
      <c r="AS1598" s="147"/>
      <c r="AT1598" s="147"/>
      <c r="AU1598" s="147"/>
      <c r="AV1598" s="147"/>
      <c r="AW1598" s="147"/>
      <c r="AX1598" s="147"/>
      <c r="AY1598" s="147"/>
      <c r="AZ1598" s="147"/>
      <c r="BA1598" s="147"/>
      <c r="BB1598" s="147"/>
      <c r="BC1598" s="147"/>
      <c r="BD1598" s="147"/>
      <c r="BE1598" s="147"/>
      <c r="BF1598" s="147"/>
      <c r="BG1598" s="147"/>
      <c r="BH1598" s="147"/>
      <c r="BI1598" s="147"/>
      <c r="BJ1598" s="147"/>
      <c r="BK1598" s="147"/>
      <c r="BL1598" s="147"/>
      <c r="BM1598" s="147"/>
      <c r="BN1598" s="147"/>
      <c r="BO1598" s="147"/>
      <c r="BP1598" s="147"/>
      <c r="BQ1598" s="147"/>
      <c r="BR1598" s="147"/>
      <c r="BS1598" s="147"/>
      <c r="BT1598" s="147"/>
      <c r="BU1598" s="147"/>
      <c r="BV1598" s="147"/>
      <c r="BW1598" s="147"/>
      <c r="BX1598" s="147"/>
      <c r="BY1598" s="147"/>
      <c r="BZ1598" s="147"/>
      <c r="CA1598" s="147"/>
      <c r="CB1598" s="147"/>
      <c r="CC1598" s="147"/>
      <c r="CD1598" s="147"/>
      <c r="CE1598" s="147"/>
      <c r="CF1598" s="147"/>
      <c r="CG1598" s="147"/>
      <c r="CH1598" s="147"/>
      <c r="CI1598" s="147"/>
      <c r="CJ1598" s="147"/>
      <c r="CK1598" s="147"/>
    </row>
    <row r="1599" spans="1:89">
      <c r="A1599" s="157"/>
      <c r="F1599" s="3"/>
      <c r="G1599" s="3"/>
      <c r="L1599" s="157"/>
      <c r="M1599" s="157"/>
      <c r="O1599" s="147"/>
      <c r="P1599" s="147"/>
      <c r="Q1599" s="147"/>
      <c r="R1599" s="147"/>
      <c r="S1599" s="147"/>
      <c r="T1599" s="147"/>
      <c r="U1599" s="147"/>
      <c r="V1599" s="147"/>
      <c r="W1599" s="147"/>
      <c r="X1599" s="147"/>
      <c r="Y1599" s="147"/>
      <c r="Z1599" s="147"/>
      <c r="AA1599" s="147"/>
      <c r="AB1599" s="147"/>
      <c r="AC1599" s="147"/>
      <c r="AD1599" s="147"/>
      <c r="AE1599" s="147"/>
      <c r="AF1599" s="147"/>
      <c r="AG1599" s="147"/>
      <c r="AH1599" s="147"/>
      <c r="AI1599" s="147"/>
      <c r="AJ1599" s="147"/>
      <c r="AK1599" s="147"/>
      <c r="AL1599" s="147"/>
      <c r="AM1599" s="151"/>
      <c r="AN1599" s="147"/>
      <c r="AO1599" s="147"/>
      <c r="AP1599" s="147"/>
      <c r="AQ1599" s="147"/>
      <c r="AR1599" s="147"/>
      <c r="AS1599" s="147"/>
      <c r="AT1599" s="147"/>
      <c r="AU1599" s="147"/>
      <c r="AV1599" s="147"/>
      <c r="AW1599" s="147"/>
      <c r="AX1599" s="147"/>
      <c r="AY1599" s="147"/>
      <c r="AZ1599" s="147"/>
      <c r="BA1599" s="147"/>
      <c r="BB1599" s="147"/>
      <c r="BC1599" s="147"/>
      <c r="BD1599" s="147"/>
      <c r="BE1599" s="147"/>
      <c r="BF1599" s="147"/>
      <c r="BG1599" s="147"/>
      <c r="BH1599" s="147"/>
      <c r="BI1599" s="147"/>
      <c r="BJ1599" s="147"/>
      <c r="BK1599" s="147"/>
      <c r="BL1599" s="147"/>
      <c r="BM1599" s="147"/>
      <c r="BN1599" s="147"/>
      <c r="BO1599" s="147"/>
      <c r="BP1599" s="147"/>
      <c r="BQ1599" s="147"/>
      <c r="BR1599" s="147"/>
      <c r="BS1599" s="147"/>
      <c r="BT1599" s="147"/>
      <c r="BU1599" s="147"/>
      <c r="BV1599" s="147"/>
      <c r="BW1599" s="147"/>
      <c r="BX1599" s="147"/>
      <c r="BY1599" s="147"/>
      <c r="BZ1599" s="147"/>
      <c r="CA1599" s="147"/>
      <c r="CB1599" s="147"/>
      <c r="CC1599" s="147"/>
      <c r="CD1599" s="147"/>
      <c r="CE1599" s="147"/>
      <c r="CF1599" s="147"/>
      <c r="CG1599" s="147"/>
      <c r="CH1599" s="147"/>
      <c r="CI1599" s="147"/>
      <c r="CJ1599" s="147"/>
      <c r="CK1599" s="147"/>
    </row>
  </sheetData>
  <autoFilter ref="A1:R543" xr:uid="{00000000-0009-0000-0000-000007000000}"/>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LEVEL_HELPER!$A$2:$A$15</xm:f>
          </x14:formula1>
          <xm:sqref>F2:G1599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K1599"/>
  <sheetViews>
    <sheetView workbookViewId="0">
      <pane ySplit="1" topLeftCell="A2" activePane="bottomLeft" state="frozen"/>
      <selection pane="bottomLeft" activeCell="B3" sqref="B3"/>
    </sheetView>
  </sheetViews>
  <sheetFormatPr defaultColWidth="14.42578125" defaultRowHeight="15" customHeight="1"/>
  <cols>
    <col min="2" max="2" width="31.140625" customWidth="1"/>
    <col min="5" max="5" width="23.140625" customWidth="1"/>
    <col min="6" max="6" width="23.28515625" customWidth="1"/>
    <col min="7" max="7" width="24.85546875" customWidth="1"/>
    <col min="15" max="15" width="12.28515625" customWidth="1"/>
    <col min="16" max="16" width="11.140625" customWidth="1"/>
    <col min="17" max="17" width="10" customWidth="1"/>
    <col min="18" max="18" width="18.85546875" customWidth="1"/>
    <col min="19" max="19" width="18.85546875" hidden="1" customWidth="1"/>
    <col min="20" max="20" width="12.28515625" customWidth="1"/>
    <col min="21" max="21" width="5.85546875" customWidth="1"/>
    <col min="22" max="22" width="12.7109375" customWidth="1"/>
    <col min="23" max="27" width="11.140625" customWidth="1"/>
    <col min="28" max="34" width="10.140625" customWidth="1"/>
    <col min="35" max="36" width="11.140625" customWidth="1"/>
    <col min="37" max="38" width="16.140625" customWidth="1"/>
    <col min="39" max="39" width="5.42578125" customWidth="1"/>
    <col min="40" max="40" width="13.5703125" customWidth="1"/>
    <col min="41" max="43" width="11.140625" customWidth="1"/>
    <col min="44" max="44" width="5.7109375" customWidth="1"/>
    <col min="45" max="89" width="11.140625" customWidth="1"/>
  </cols>
  <sheetData>
    <row r="1" spans="1:89" ht="45">
      <c r="A1" s="139" t="s">
        <v>123</v>
      </c>
      <c r="B1" s="138" t="s">
        <v>124</v>
      </c>
      <c r="C1" s="138" t="s">
        <v>44</v>
      </c>
      <c r="D1" s="138" t="s">
        <v>45</v>
      </c>
      <c r="E1" s="138" t="s">
        <v>14</v>
      </c>
      <c r="F1" s="138" t="s">
        <v>128</v>
      </c>
      <c r="G1" s="138" t="s">
        <v>894</v>
      </c>
      <c r="H1" s="138" t="s">
        <v>895</v>
      </c>
      <c r="I1" s="138" t="s">
        <v>896</v>
      </c>
      <c r="J1" s="138" t="s">
        <v>897</v>
      </c>
      <c r="K1" s="138" t="s">
        <v>898</v>
      </c>
      <c r="L1" s="138" t="s">
        <v>899</v>
      </c>
      <c r="M1" s="138" t="s">
        <v>125</v>
      </c>
      <c r="N1" s="138" t="s">
        <v>900</v>
      </c>
      <c r="O1" s="138" t="s">
        <v>901</v>
      </c>
      <c r="P1" s="138" t="s">
        <v>902</v>
      </c>
      <c r="Q1" s="138" t="s">
        <v>903</v>
      </c>
      <c r="R1" s="138" t="s">
        <v>904</v>
      </c>
      <c r="S1" s="145" t="s">
        <v>905</v>
      </c>
      <c r="T1" s="145"/>
      <c r="U1" s="145"/>
      <c r="V1" s="38" t="s">
        <v>906</v>
      </c>
      <c r="W1" s="38" t="s">
        <v>959</v>
      </c>
      <c r="X1" s="38" t="s">
        <v>908</v>
      </c>
      <c r="Y1" s="38" t="s">
        <v>960</v>
      </c>
      <c r="Z1" s="146"/>
      <c r="AA1" s="147" t="s">
        <v>910</v>
      </c>
      <c r="AB1" s="148" t="s">
        <v>911</v>
      </c>
      <c r="AC1" s="147"/>
      <c r="AD1" s="147"/>
      <c r="AE1" s="147"/>
      <c r="AF1" s="147"/>
      <c r="AG1" s="147"/>
      <c r="AH1" s="147"/>
      <c r="AI1" s="147"/>
      <c r="AJ1" s="147" t="s">
        <v>14</v>
      </c>
      <c r="AK1" s="149" t="s">
        <v>838</v>
      </c>
      <c r="AL1" s="150" t="s">
        <v>912</v>
      </c>
      <c r="AM1" s="151"/>
      <c r="AN1" s="152" t="s">
        <v>961</v>
      </c>
      <c r="AO1" s="38" t="s">
        <v>962</v>
      </c>
      <c r="AP1" s="38" t="s">
        <v>908</v>
      </c>
      <c r="AQ1" s="38" t="s">
        <v>963</v>
      </c>
      <c r="AR1" s="147"/>
      <c r="AS1" s="230" t="s">
        <v>1001</v>
      </c>
      <c r="AT1" s="230" t="s">
        <v>911</v>
      </c>
      <c r="AU1" s="236"/>
      <c r="AV1" s="236"/>
      <c r="AW1" s="236"/>
      <c r="AX1" s="236"/>
      <c r="AY1" s="23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row>
    <row r="2" spans="1:89">
      <c r="A2" s="153" t="s">
        <v>721</v>
      </c>
      <c r="B2" s="154" t="s">
        <v>722</v>
      </c>
      <c r="C2" s="155" t="s">
        <v>51</v>
      </c>
      <c r="D2" s="155" t="s">
        <v>844</v>
      </c>
      <c r="E2" s="154" t="s">
        <v>21</v>
      </c>
      <c r="F2" s="3" t="s">
        <v>916</v>
      </c>
      <c r="G2" s="3" t="s">
        <v>917</v>
      </c>
      <c r="H2" s="156" t="str">
        <f ca="1">IFERROR(
  _xludf.MINIFS(ATTENDANCE_LOG!$F:$F,
         ATTENDANCE_LOG!$A:$A, C2,
         ATTENDANCE_LOG!$B:$B, E2),
"")</f>
        <v/>
      </c>
      <c r="I2" s="156" t="str">
        <f t="shared" ref="I2:I256" ca="1" si="0">IFERROR(
  _xludf.MINIFS($H:$H, $A:$A, A2, $H:$H, "&gt;"&amp;0),
"")</f>
        <v/>
      </c>
      <c r="J2" s="3">
        <f>IFERROR(VLOOKUP(F2, LEVEL_HELPER!$A:$B, 2, 0), "")</f>
        <v>2.5</v>
      </c>
      <c r="K2" s="3">
        <f>IFERROR(VLOOKUP(G2, LEVEL_HELPER!$A:$B, 2, 0), "")</f>
        <v>3</v>
      </c>
      <c r="L2" s="157" t="s">
        <v>918</v>
      </c>
      <c r="M2" s="157" t="s">
        <v>919</v>
      </c>
      <c r="N2" s="3">
        <f t="array" aca="1" ref="N2" ca="1">IFERROR(
  INDEX($J$2:$J$543,
    MATCH(A2&amp;TEXT(I2,"yyyy-mm-dd"),
          $A$2:$A$543&amp;TEXT($H$2:$H$543,"yyyy-mm-dd"),
          0)),
"")</f>
        <v>2.5</v>
      </c>
      <c r="O2" s="147" t="str">
        <f t="shared" ref="O2:O256" ca="1" si="1">IFERROR(_xludf.MAXIFS($K:$K, $A:$A, A2), "")</f>
        <v/>
      </c>
      <c r="P2" s="147">
        <f t="shared" ref="P2:Q2" ca="1" si="2">IF(N2="",0,IF(N2&lt;=2,1,IF(N2&lt;=4,2,IF(N2&lt;=5.5,3,4))))</f>
        <v>2</v>
      </c>
      <c r="Q2" s="147">
        <f t="shared" ca="1" si="2"/>
        <v>0</v>
      </c>
      <c r="R2" s="147" t="str">
        <f t="shared" ref="R2:R256" ca="1" si="3">IF(P2=0,"No Data",IF(Q2&lt;P2,"Regressed",IF(Q2=P2,IF(O2&gt;N2,"Progress within level","No Progress"),IF(Q2-P2=1,"Lv"&amp;P2&amp;" → Lv"&amp;Q2,"Lv"&amp;P2&amp;" → Lv"&amp;Q2&amp;" (multi)"))))</f>
        <v>Regressed</v>
      </c>
      <c r="S2" s="147">
        <f t="shared" ref="S2:S256" si="4">IF(COUNTIF($A$2:A2,A2)=1,1,0)</f>
        <v>1</v>
      </c>
      <c r="T2" s="147"/>
      <c r="U2" s="147"/>
      <c r="V2" s="148" t="e">
        <f t="array" aca="1" ref="V2:V306" ca="1">_xludf.unique(A2:A1599)</f>
        <v>#NAME?</v>
      </c>
      <c r="W2" s="147" t="e">
        <f t="shared" ref="W2:W256" ca="1" si="5">VLOOKUP(V2,$A$2:$P1599,12,0)</f>
        <v>#NAME?</v>
      </c>
      <c r="X2" s="147" t="e">
        <f t="shared" ref="X2:X256" ca="1" si="6">_xludf.IFS(W2="QC","QC",OR(W2="BA",W2="BC"),"BA, BC",OR(W2="DEV",W2="TA"),"DEV, TA",OR(W2="HR",W2="Admin",W2="Management"),"HR, GA, Mgt",W2="GSD","GSD",OR(W2="PPO",W2="SM",W2="IM"),"PPO, SM, IM ",OR(W2="UI/UX",W2="Designer"),"UI/UX, Des")</f>
        <v>#NAME?</v>
      </c>
      <c r="Y2" s="147" t="e">
        <f t="shared" ref="Y2:Y256" ca="1" si="7">VLOOKUP(V2,$A$2:$P1599,13,0)</f>
        <v>#NAME?</v>
      </c>
      <c r="Z2" s="147"/>
      <c r="AA2" s="148" t="s">
        <v>908</v>
      </c>
      <c r="AB2" s="147" t="s">
        <v>920</v>
      </c>
      <c r="AC2" s="147" t="s">
        <v>921</v>
      </c>
      <c r="AD2" s="147" t="s">
        <v>922</v>
      </c>
      <c r="AE2" s="147" t="s">
        <v>923</v>
      </c>
      <c r="AF2" s="147" t="s">
        <v>924</v>
      </c>
      <c r="AG2" s="147" t="s">
        <v>919</v>
      </c>
      <c r="AH2" s="147" t="s">
        <v>925</v>
      </c>
      <c r="AI2" s="147"/>
      <c r="AJ2" s="158"/>
      <c r="AK2" s="157">
        <v>0</v>
      </c>
      <c r="AL2" s="147">
        <v>0</v>
      </c>
      <c r="AM2" s="151"/>
      <c r="AN2" s="148" t="str">
        <f ca="1">IFERROR(__xludf.DUMMYFUNCTION("filter(STUDENTS!A3:A1599,STUDENTS!E3:E1599=""Active"")"),"213817")</f>
        <v>213817</v>
      </c>
      <c r="AO2" s="147" t="str">
        <f t="shared" ref="AO2:AO240" ca="1" si="8">VLOOKUP(AN2,$A$2:$P1599,12,0)</f>
        <v>QC</v>
      </c>
      <c r="AP2" s="147" t="e">
        <f t="shared" ref="AP2:AP240" ca="1" si="9">_xludf.IFS(AO2="QC","QC",OR(AO2="BA",AO2="BC"),"BA, BC",OR(AO2="DEV",AO2="TA"),"DEV, TA",OR(AO2="HR",AO2="Admin",AO2="Management"),"HR, GA, Mgt",AO2="GSD","GSD",OR(AO2="PPO",AO2="SM",AO2="IM"),"PPO, SM, IM ",OR(AO2="UI/UX",AO2="Designer"),"UI/UX, Des")</f>
        <v>#NAME?</v>
      </c>
      <c r="AQ2" s="147" t="str">
        <f t="shared" ref="AQ2:AQ240" ca="1" si="10">VLOOKUP(AN2,$A$2:$P1599,13,0)</f>
        <v>ONC</v>
      </c>
      <c r="AR2" s="147"/>
      <c r="AS2" s="230" t="s">
        <v>908</v>
      </c>
      <c r="AT2" s="238" t="s">
        <v>921</v>
      </c>
      <c r="AU2" s="239" t="s">
        <v>922</v>
      </c>
      <c r="AV2" s="239" t="s">
        <v>923</v>
      </c>
      <c r="AW2" s="239" t="s">
        <v>924</v>
      </c>
      <c r="AX2" s="239" t="s">
        <v>919</v>
      </c>
      <c r="AY2" s="240" t="s">
        <v>925</v>
      </c>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7"/>
      <c r="BY2" s="147"/>
      <c r="BZ2" s="147"/>
      <c r="CA2" s="147"/>
      <c r="CB2" s="147"/>
      <c r="CC2" s="147"/>
      <c r="CD2" s="147"/>
      <c r="CE2" s="147"/>
      <c r="CF2" s="147"/>
      <c r="CG2" s="147"/>
      <c r="CH2" s="147"/>
      <c r="CI2" s="147"/>
      <c r="CJ2" s="147"/>
      <c r="CK2" s="147"/>
    </row>
    <row r="3" spans="1:89">
      <c r="A3" s="159" t="s">
        <v>296</v>
      </c>
      <c r="B3" s="3" t="s">
        <v>297</v>
      </c>
      <c r="C3" s="160" t="s">
        <v>51</v>
      </c>
      <c r="D3" s="160" t="s">
        <v>844</v>
      </c>
      <c r="E3" s="3" t="s">
        <v>21</v>
      </c>
      <c r="F3" s="3" t="s">
        <v>926</v>
      </c>
      <c r="G3" s="3" t="s">
        <v>917</v>
      </c>
      <c r="H3" s="156" t="str">
        <f ca="1">IFERROR(
  _xludf.MINIFS(ATTENDANCE_LOG!$F:$F,
         ATTENDANCE_LOG!$A:$A, C3,
         ATTENDANCE_LOG!$B:$B, E3),
"")</f>
        <v/>
      </c>
      <c r="I3" s="156" t="str">
        <f t="shared" ca="1" si="0"/>
        <v/>
      </c>
      <c r="J3" s="3">
        <f>IFERROR(VLOOKUP(F3, LEVEL_HELPER!$A:$B, 2, 0), "")</f>
        <v>1</v>
      </c>
      <c r="K3" s="3">
        <f>IFERROR(VLOOKUP(G3, LEVEL_HELPER!$A:$B, 2, 0), "")</f>
        <v>3</v>
      </c>
      <c r="L3" s="157" t="s">
        <v>918</v>
      </c>
      <c r="M3" s="157" t="s">
        <v>919</v>
      </c>
      <c r="N3" s="3">
        <f t="array" aca="1" ref="N3" ca="1">IFERROR(
  INDEX($J$2:$J$543,
    MATCH(A3&amp;TEXT(I3,"yyyy-mm-dd"),
          $A$2:$A$543&amp;TEXT($H$2:$H$543,"yyyy-mm-dd"),
          0)),
"")</f>
        <v>1</v>
      </c>
      <c r="O3" s="147" t="str">
        <f t="shared" ca="1" si="1"/>
        <v/>
      </c>
      <c r="P3" s="147">
        <f t="shared" ref="P3:Q3" ca="1" si="11">IF(N3="",0,IF(N3&lt;=2,1,IF(N3&lt;=4,2,IF(N3&lt;=5.5,3,4))))</f>
        <v>1</v>
      </c>
      <c r="Q3" s="147">
        <f t="shared" ca="1" si="11"/>
        <v>0</v>
      </c>
      <c r="R3" s="147" t="str">
        <f t="shared" ca="1" si="3"/>
        <v>Regressed</v>
      </c>
      <c r="S3" s="147">
        <f t="shared" si="4"/>
        <v>1</v>
      </c>
      <c r="T3" s="147"/>
      <c r="U3" s="147"/>
      <c r="V3" s="148" t="e">
        <f ca="1"/>
        <v>#NAME?</v>
      </c>
      <c r="W3" s="147" t="e">
        <f t="shared" ca="1" si="5"/>
        <v>#NAME?</v>
      </c>
      <c r="X3" s="147" t="e">
        <f t="shared" ca="1" si="6"/>
        <v>#NAME?</v>
      </c>
      <c r="Y3" s="147" t="e">
        <f t="shared" ca="1" si="7"/>
        <v>#NAME?</v>
      </c>
      <c r="Z3" s="147"/>
      <c r="AA3" s="147" t="s">
        <v>927</v>
      </c>
      <c r="AB3" s="147"/>
      <c r="AC3" s="147"/>
      <c r="AD3" s="147">
        <v>4</v>
      </c>
      <c r="AE3" s="147">
        <v>2</v>
      </c>
      <c r="AF3" s="147"/>
      <c r="AG3" s="147">
        <v>1</v>
      </c>
      <c r="AH3" s="147">
        <v>2</v>
      </c>
      <c r="AI3" s="147"/>
      <c r="AJ3" s="158" t="s">
        <v>24</v>
      </c>
      <c r="AK3" s="157">
        <v>5</v>
      </c>
      <c r="AL3" s="147">
        <v>30</v>
      </c>
      <c r="AM3" s="151">
        <f t="shared" ref="AM3:AM9" si="12">AL3/AK3</f>
        <v>6</v>
      </c>
      <c r="AN3" s="148" t="str">
        <f ca="1">IFERROR(__xludf.DUMMYFUNCTION("""COMPUTED_VALUE"""),"237226")</f>
        <v>237226</v>
      </c>
      <c r="AO3" s="147" t="str">
        <f t="shared" ca="1" si="8"/>
        <v>GSD</v>
      </c>
      <c r="AP3" s="147" t="e">
        <f t="shared" ca="1" si="9"/>
        <v>#NAME?</v>
      </c>
      <c r="AQ3" s="147" t="str">
        <f t="shared" ca="1" si="10"/>
        <v>LBU</v>
      </c>
      <c r="AR3" s="147"/>
      <c r="AS3" s="238" t="s">
        <v>929</v>
      </c>
      <c r="AT3" s="241">
        <v>3</v>
      </c>
      <c r="AU3" s="242">
        <v>1</v>
      </c>
      <c r="AV3" s="242">
        <v>4</v>
      </c>
      <c r="AW3" s="242">
        <v>7</v>
      </c>
      <c r="AX3" s="242">
        <v>1</v>
      </c>
      <c r="AY3" s="243"/>
      <c r="AZ3" s="147"/>
      <c r="BA3" s="147"/>
      <c r="BB3" s="147"/>
      <c r="BC3" s="147"/>
      <c r="BD3" s="147"/>
      <c r="BE3" s="147"/>
      <c r="BF3" s="147"/>
      <c r="BG3" s="147"/>
      <c r="BH3" s="147"/>
      <c r="BI3" s="147"/>
      <c r="BJ3" s="147"/>
      <c r="BK3" s="147"/>
      <c r="BL3" s="147"/>
      <c r="BM3" s="147"/>
      <c r="BN3" s="147"/>
      <c r="BO3" s="147"/>
      <c r="BP3" s="147"/>
      <c r="BQ3" s="147"/>
      <c r="BR3" s="147"/>
      <c r="BS3" s="147"/>
      <c r="BT3" s="147"/>
      <c r="BU3" s="147"/>
      <c r="BV3" s="147"/>
      <c r="BW3" s="147"/>
      <c r="BX3" s="147"/>
      <c r="BY3" s="147"/>
      <c r="BZ3" s="147"/>
      <c r="CA3" s="147"/>
      <c r="CB3" s="147"/>
      <c r="CC3" s="147"/>
      <c r="CD3" s="147"/>
      <c r="CE3" s="147"/>
      <c r="CF3" s="147"/>
      <c r="CG3" s="147"/>
      <c r="CH3" s="147"/>
      <c r="CI3" s="147"/>
      <c r="CJ3" s="147"/>
      <c r="CK3" s="147"/>
    </row>
    <row r="4" spans="1:89">
      <c r="A4" s="159" t="s">
        <v>319</v>
      </c>
      <c r="B4" s="3" t="s">
        <v>320</v>
      </c>
      <c r="C4" s="160" t="s">
        <v>51</v>
      </c>
      <c r="D4" s="160" t="s">
        <v>844</v>
      </c>
      <c r="E4" s="3" t="s">
        <v>21</v>
      </c>
      <c r="F4" s="3" t="s">
        <v>926</v>
      </c>
      <c r="G4" s="3" t="s">
        <v>928</v>
      </c>
      <c r="H4" s="156" t="str">
        <f ca="1">IFERROR(
  _xludf.MINIFS(ATTENDANCE_LOG!$F:$F,
         ATTENDANCE_LOG!$A:$A, C4,
         ATTENDANCE_LOG!$B:$B, E4),
"")</f>
        <v/>
      </c>
      <c r="I4" s="156" t="str">
        <f t="shared" ca="1" si="0"/>
        <v/>
      </c>
      <c r="J4" s="3">
        <f>IFERROR(VLOOKUP(F4, LEVEL_HELPER!$A:$B, 2, 0), "")</f>
        <v>1</v>
      </c>
      <c r="K4" s="3">
        <f>IFERROR(VLOOKUP(G4, LEVEL_HELPER!$A:$B, 2, 0), "")</f>
        <v>1.5</v>
      </c>
      <c r="L4" s="157" t="s">
        <v>918</v>
      </c>
      <c r="M4" s="157" t="s">
        <v>919</v>
      </c>
      <c r="N4" s="3">
        <f t="array" aca="1" ref="N4" ca="1">IFERROR(
  INDEX($J$2:$J$543,
    MATCH(A4&amp;TEXT(I4,"yyyy-mm-dd"),
          $A$2:$A$543&amp;TEXT($H$2:$H$543,"yyyy-mm-dd"),
          0)),
"")</f>
        <v>1</v>
      </c>
      <c r="O4" s="147" t="str">
        <f t="shared" ca="1" si="1"/>
        <v/>
      </c>
      <c r="P4" s="147">
        <f t="shared" ref="P4:Q4" ca="1" si="13">IF(N4="",0,IF(N4&lt;=2,1,IF(N4&lt;=4,2,IF(N4&lt;=5.5,3,4))))</f>
        <v>1</v>
      </c>
      <c r="Q4" s="147">
        <f t="shared" ca="1" si="13"/>
        <v>0</v>
      </c>
      <c r="R4" s="147" t="str">
        <f t="shared" ca="1" si="3"/>
        <v>Regressed</v>
      </c>
      <c r="S4" s="147">
        <f t="shared" si="4"/>
        <v>1</v>
      </c>
      <c r="T4" s="147"/>
      <c r="U4" s="147"/>
      <c r="V4" s="148" t="e">
        <f ca="1"/>
        <v>#NAME?</v>
      </c>
      <c r="W4" s="147" t="e">
        <f t="shared" ca="1" si="5"/>
        <v>#NAME?</v>
      </c>
      <c r="X4" s="147" t="e">
        <f t="shared" ca="1" si="6"/>
        <v>#NAME?</v>
      </c>
      <c r="Y4" s="147" t="e">
        <f t="shared" ca="1" si="7"/>
        <v>#NAME?</v>
      </c>
      <c r="Z4" s="147"/>
      <c r="AA4" s="147" t="s">
        <v>929</v>
      </c>
      <c r="AB4" s="147"/>
      <c r="AC4" s="147">
        <v>36</v>
      </c>
      <c r="AD4" s="147">
        <v>19</v>
      </c>
      <c r="AE4" s="147">
        <v>42</v>
      </c>
      <c r="AF4" s="147">
        <v>42</v>
      </c>
      <c r="AG4" s="147">
        <v>5</v>
      </c>
      <c r="AH4" s="147">
        <v>20</v>
      </c>
      <c r="AI4" s="147"/>
      <c r="AJ4" s="158" t="s">
        <v>21</v>
      </c>
      <c r="AK4" s="157">
        <v>46</v>
      </c>
      <c r="AL4" s="147">
        <v>280</v>
      </c>
      <c r="AM4" s="151">
        <f t="shared" si="12"/>
        <v>6.0869565217391308</v>
      </c>
      <c r="AN4" s="148" t="str">
        <f ca="1">IFERROR(__xludf.DUMMYFUNCTION("""COMPUTED_VALUE"""),"213856")</f>
        <v>213856</v>
      </c>
      <c r="AO4" s="147" t="str">
        <f t="shared" ca="1" si="8"/>
        <v>QC</v>
      </c>
      <c r="AP4" s="147" t="e">
        <f t="shared" ca="1" si="9"/>
        <v>#NAME?</v>
      </c>
      <c r="AQ4" s="147" t="str">
        <f t="shared" ca="1" si="10"/>
        <v>ONC</v>
      </c>
      <c r="AR4" s="147"/>
      <c r="AS4" s="244" t="s">
        <v>930</v>
      </c>
      <c r="AT4" s="245"/>
      <c r="AU4" s="246">
        <v>1</v>
      </c>
      <c r="AV4" s="246">
        <v>1</v>
      </c>
      <c r="AW4" s="246"/>
      <c r="AX4" s="246">
        <v>1</v>
      </c>
      <c r="AY4" s="2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row>
    <row r="5" spans="1:89">
      <c r="A5" s="159" t="s">
        <v>474</v>
      </c>
      <c r="B5" s="3" t="s">
        <v>475</v>
      </c>
      <c r="C5" s="160" t="s">
        <v>51</v>
      </c>
      <c r="D5" s="160" t="s">
        <v>844</v>
      </c>
      <c r="E5" s="3" t="s">
        <v>21</v>
      </c>
      <c r="F5" s="3" t="s">
        <v>926</v>
      </c>
      <c r="G5" s="3" t="s">
        <v>917</v>
      </c>
      <c r="H5" s="156" t="str">
        <f ca="1">IFERROR(
  _xludf.MINIFS(ATTENDANCE_LOG!$F:$F,
         ATTENDANCE_LOG!$A:$A, C5,
         ATTENDANCE_LOG!$B:$B, E5),
"")</f>
        <v/>
      </c>
      <c r="I5" s="156" t="str">
        <f t="shared" ca="1" si="0"/>
        <v/>
      </c>
      <c r="J5" s="3">
        <f>IFERROR(VLOOKUP(F5, LEVEL_HELPER!$A:$B, 2, 0), "")</f>
        <v>1</v>
      </c>
      <c r="K5" s="3">
        <f>IFERROR(VLOOKUP(G5, LEVEL_HELPER!$A:$B, 2, 0), "")</f>
        <v>3</v>
      </c>
      <c r="L5" s="157" t="s">
        <v>918</v>
      </c>
      <c r="M5" s="157" t="s">
        <v>919</v>
      </c>
      <c r="N5" s="3">
        <f t="array" aca="1" ref="N5" ca="1">IFERROR(
  INDEX($J$2:$J$543,
    MATCH(A5&amp;TEXT(I5,"yyyy-mm-dd"),
          $A$2:$A$543&amp;TEXT($H$2:$H$543,"yyyy-mm-dd"),
          0)),
"")</f>
        <v>1</v>
      </c>
      <c r="O5" s="147" t="str">
        <f t="shared" ca="1" si="1"/>
        <v/>
      </c>
      <c r="P5" s="147">
        <f t="shared" ref="P5:Q5" ca="1" si="14">IF(N5="",0,IF(N5&lt;=2,1,IF(N5&lt;=4,2,IF(N5&lt;=5.5,3,4))))</f>
        <v>1</v>
      </c>
      <c r="Q5" s="147">
        <f t="shared" ca="1" si="14"/>
        <v>0</v>
      </c>
      <c r="R5" s="147" t="str">
        <f t="shared" ca="1" si="3"/>
        <v>Regressed</v>
      </c>
      <c r="S5" s="147">
        <f t="shared" si="4"/>
        <v>1</v>
      </c>
      <c r="T5" s="147"/>
      <c r="U5" s="147"/>
      <c r="V5" s="148" t="e">
        <f ca="1"/>
        <v>#NAME?</v>
      </c>
      <c r="W5" s="147" t="e">
        <f t="shared" ca="1" si="5"/>
        <v>#NAME?</v>
      </c>
      <c r="X5" s="147" t="e">
        <f t="shared" ca="1" si="6"/>
        <v>#NAME?</v>
      </c>
      <c r="Y5" s="147" t="e">
        <f t="shared" ca="1" si="7"/>
        <v>#NAME?</v>
      </c>
      <c r="Z5" s="147"/>
      <c r="AA5" s="147" t="s">
        <v>930</v>
      </c>
      <c r="AB5" s="147"/>
      <c r="AC5" s="147">
        <v>1</v>
      </c>
      <c r="AD5" s="147">
        <v>20</v>
      </c>
      <c r="AE5" s="147">
        <v>7</v>
      </c>
      <c r="AF5" s="147">
        <v>2</v>
      </c>
      <c r="AG5" s="147">
        <v>16</v>
      </c>
      <c r="AH5" s="147">
        <v>8</v>
      </c>
      <c r="AI5" s="147"/>
      <c r="AJ5" s="158" t="s">
        <v>22</v>
      </c>
      <c r="AK5" s="157">
        <v>23</v>
      </c>
      <c r="AL5" s="147">
        <v>146</v>
      </c>
      <c r="AM5" s="151">
        <f t="shared" si="12"/>
        <v>6.3478260869565215</v>
      </c>
      <c r="AN5" s="148" t="str">
        <f ca="1">IFERROR(__xludf.DUMMYFUNCTION("""COMPUTED_VALUE"""),"247423")</f>
        <v>247423</v>
      </c>
      <c r="AO5" s="147" t="str">
        <f t="shared" ca="1" si="8"/>
        <v>DEV</v>
      </c>
      <c r="AP5" s="147" t="e">
        <f t="shared" ca="1" si="9"/>
        <v>#NAME?</v>
      </c>
      <c r="AQ5" s="147" t="str">
        <f t="shared" ca="1" si="10"/>
        <v>MOC</v>
      </c>
      <c r="AR5" s="147"/>
      <c r="AS5" s="244" t="s">
        <v>918</v>
      </c>
      <c r="AT5" s="245"/>
      <c r="AU5" s="246">
        <v>1</v>
      </c>
      <c r="AV5" s="246"/>
      <c r="AW5" s="246">
        <v>1</v>
      </c>
      <c r="AX5" s="246">
        <v>2</v>
      </c>
      <c r="AY5" s="247">
        <v>1</v>
      </c>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row>
    <row r="6" spans="1:89">
      <c r="A6" s="159" t="s">
        <v>657</v>
      </c>
      <c r="B6" s="3" t="s">
        <v>658</v>
      </c>
      <c r="C6" s="160" t="s">
        <v>51</v>
      </c>
      <c r="D6" s="160" t="s">
        <v>844</v>
      </c>
      <c r="E6" s="3" t="s">
        <v>21</v>
      </c>
      <c r="F6" s="3" t="s">
        <v>931</v>
      </c>
      <c r="G6" s="3" t="s">
        <v>931</v>
      </c>
      <c r="H6" s="156" t="str">
        <f ca="1">IFERROR(
  _xludf.MINIFS(ATTENDANCE_LOG!$F:$F,
         ATTENDANCE_LOG!$A:$A, C6,
         ATTENDANCE_LOG!$B:$B, E6),
"")</f>
        <v/>
      </c>
      <c r="I6" s="156" t="str">
        <f t="shared" ca="1" si="0"/>
        <v/>
      </c>
      <c r="J6" s="3">
        <f>IFERROR(VLOOKUP(F6, LEVEL_HELPER!$A:$B, 2, 0), "")</f>
        <v>4.5</v>
      </c>
      <c r="K6" s="3">
        <f>IFERROR(VLOOKUP(G6, LEVEL_HELPER!$A:$B, 2, 0), "")</f>
        <v>4.5</v>
      </c>
      <c r="L6" s="157" t="s">
        <v>918</v>
      </c>
      <c r="M6" s="157" t="s">
        <v>919</v>
      </c>
      <c r="N6" s="3">
        <f t="array" aca="1" ref="N6" ca="1">IFERROR(
  INDEX($J$2:$J$543,
    MATCH(A6&amp;TEXT(I6,"yyyy-mm-dd"),
          $A$2:$A$543&amp;TEXT($H$2:$H$543,"yyyy-mm-dd"),
          0)),
"")</f>
        <v>4.5</v>
      </c>
      <c r="O6" s="147" t="str">
        <f t="shared" ca="1" si="1"/>
        <v/>
      </c>
      <c r="P6" s="147">
        <f t="shared" ref="P6:Q6" ca="1" si="15">IF(N6="",0,IF(N6&lt;=2,1,IF(N6&lt;=4,2,IF(N6&lt;=5.5,3,4))))</f>
        <v>3</v>
      </c>
      <c r="Q6" s="147">
        <f t="shared" ca="1" si="15"/>
        <v>0</v>
      </c>
      <c r="R6" s="147" t="str">
        <f t="shared" ca="1" si="3"/>
        <v>Regressed</v>
      </c>
      <c r="S6" s="147">
        <f t="shared" si="4"/>
        <v>1</v>
      </c>
      <c r="T6" s="147"/>
      <c r="U6" s="147"/>
      <c r="V6" s="148" t="e">
        <f ca="1"/>
        <v>#NAME?</v>
      </c>
      <c r="W6" s="147" t="e">
        <f t="shared" ca="1" si="5"/>
        <v>#NAME?</v>
      </c>
      <c r="X6" s="147" t="e">
        <f t="shared" ca="1" si="6"/>
        <v>#NAME?</v>
      </c>
      <c r="Y6" s="147" t="e">
        <f t="shared" ca="1" si="7"/>
        <v>#NAME?</v>
      </c>
      <c r="Z6" s="147"/>
      <c r="AA6" s="147" t="s">
        <v>932</v>
      </c>
      <c r="AB6" s="147">
        <v>7</v>
      </c>
      <c r="AC6" s="147">
        <v>1</v>
      </c>
      <c r="AD6" s="147">
        <v>1</v>
      </c>
      <c r="AE6" s="147"/>
      <c r="AF6" s="147">
        <v>1</v>
      </c>
      <c r="AG6" s="147"/>
      <c r="AH6" s="147"/>
      <c r="AI6" s="147"/>
      <c r="AJ6" s="158" t="s">
        <v>23</v>
      </c>
      <c r="AK6" s="157">
        <v>3</v>
      </c>
      <c r="AL6" s="147">
        <v>22</v>
      </c>
      <c r="AM6" s="151">
        <f t="shared" si="12"/>
        <v>7.333333333333333</v>
      </c>
      <c r="AN6" s="148" t="str">
        <f ca="1">IFERROR(__xludf.DUMMYFUNCTION("""COMPUTED_VALUE"""),"183322")</f>
        <v>183322</v>
      </c>
      <c r="AO6" s="147" t="str">
        <f t="shared" ca="1" si="8"/>
        <v>DEV</v>
      </c>
      <c r="AP6" s="147" t="e">
        <f t="shared" ca="1" si="9"/>
        <v>#NAME?</v>
      </c>
      <c r="AQ6" s="147" t="str">
        <f t="shared" ca="1" si="10"/>
        <v>MOC</v>
      </c>
      <c r="AR6" s="147"/>
      <c r="AS6" s="233" t="s">
        <v>999</v>
      </c>
      <c r="AT6" s="248">
        <v>3</v>
      </c>
      <c r="AU6" s="249">
        <v>3</v>
      </c>
      <c r="AV6" s="249">
        <v>5</v>
      </c>
      <c r="AW6" s="249">
        <v>8</v>
      </c>
      <c r="AX6" s="249">
        <v>4</v>
      </c>
      <c r="AY6" s="250">
        <v>1</v>
      </c>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row>
    <row r="7" spans="1:89">
      <c r="A7" s="159" t="s">
        <v>659</v>
      </c>
      <c r="B7" s="3" t="s">
        <v>660</v>
      </c>
      <c r="C7" s="160" t="s">
        <v>51</v>
      </c>
      <c r="D7" s="160" t="s">
        <v>844</v>
      </c>
      <c r="E7" s="3" t="s">
        <v>21</v>
      </c>
      <c r="F7" s="3" t="s">
        <v>926</v>
      </c>
      <c r="G7" s="3" t="s">
        <v>934</v>
      </c>
      <c r="H7" s="156" t="str">
        <f ca="1">IFERROR(
  _xludf.MINIFS(ATTENDANCE_LOG!$F:$F,
         ATTENDANCE_LOG!$A:$A, C7,
         ATTENDANCE_LOG!$B:$B, E7),
"")</f>
        <v/>
      </c>
      <c r="I7" s="156" t="str">
        <f t="shared" ca="1" si="0"/>
        <v/>
      </c>
      <c r="J7" s="3">
        <f>IFERROR(VLOOKUP(F7, LEVEL_HELPER!$A:$B, 2, 0), "")</f>
        <v>1</v>
      </c>
      <c r="K7" s="3">
        <f>IFERROR(VLOOKUP(G7, LEVEL_HELPER!$A:$B, 2, 0), "")</f>
        <v>3.5</v>
      </c>
      <c r="L7" s="157" t="s">
        <v>918</v>
      </c>
      <c r="M7" s="157" t="s">
        <v>919</v>
      </c>
      <c r="N7" s="3">
        <f t="array" aca="1" ref="N7" ca="1">IFERROR(
  INDEX($J$2:$J$543,
    MATCH(A7&amp;TEXT(I7,"yyyy-mm-dd"),
          $A$2:$A$543&amp;TEXT($H$2:$H$543,"yyyy-mm-dd"),
          0)),
"")</f>
        <v>1</v>
      </c>
      <c r="O7" s="147" t="str">
        <f t="shared" ca="1" si="1"/>
        <v/>
      </c>
      <c r="P7" s="147">
        <f t="shared" ref="P7:Q7" ca="1" si="16">IF(N7="",0,IF(N7&lt;=2,1,IF(N7&lt;=4,2,IF(N7&lt;=5.5,3,4))))</f>
        <v>1</v>
      </c>
      <c r="Q7" s="147">
        <f t="shared" ca="1" si="16"/>
        <v>0</v>
      </c>
      <c r="R7" s="147" t="str">
        <f t="shared" ca="1" si="3"/>
        <v>Regressed</v>
      </c>
      <c r="S7" s="147">
        <f t="shared" si="4"/>
        <v>1</v>
      </c>
      <c r="T7" s="147"/>
      <c r="U7" s="147"/>
      <c r="V7" s="148" t="e">
        <f ca="1"/>
        <v>#NAME?</v>
      </c>
      <c r="W7" s="147" t="e">
        <f t="shared" ca="1" si="5"/>
        <v>#NAME?</v>
      </c>
      <c r="X7" s="147" t="e">
        <f t="shared" ca="1" si="6"/>
        <v>#NAME?</v>
      </c>
      <c r="Y7" s="147" t="e">
        <f t="shared" ca="1" si="7"/>
        <v>#NAME?</v>
      </c>
      <c r="Z7" s="147"/>
      <c r="AA7" s="147" t="s">
        <v>933</v>
      </c>
      <c r="AB7" s="147"/>
      <c r="AC7" s="147">
        <v>6</v>
      </c>
      <c r="AD7" s="147"/>
      <c r="AE7" s="147"/>
      <c r="AF7" s="147"/>
      <c r="AG7" s="147"/>
      <c r="AH7" s="147">
        <v>1</v>
      </c>
      <c r="AI7" s="147"/>
      <c r="AJ7" s="147" t="s">
        <v>26</v>
      </c>
      <c r="AK7" s="147">
        <v>1</v>
      </c>
      <c r="AL7" s="147">
        <v>3</v>
      </c>
      <c r="AM7" s="151">
        <f t="shared" si="12"/>
        <v>3</v>
      </c>
      <c r="AN7" s="148" t="str">
        <f ca="1">IFERROR(__xludf.DUMMYFUNCTION("""COMPUTED_VALUE"""),"257134")</f>
        <v>257134</v>
      </c>
      <c r="AO7" s="147" t="str">
        <f t="shared" ca="1" si="8"/>
        <v>Designer</v>
      </c>
      <c r="AP7" s="147" t="e">
        <f t="shared" ca="1" si="9"/>
        <v>#NAME?</v>
      </c>
      <c r="AQ7" s="147" t="str">
        <f t="shared" ca="1" si="10"/>
        <v>LBU</v>
      </c>
      <c r="AR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row>
    <row r="8" spans="1:89">
      <c r="A8" s="153" t="s">
        <v>721</v>
      </c>
      <c r="B8" s="154" t="s">
        <v>722</v>
      </c>
      <c r="C8" s="155" t="s">
        <v>51</v>
      </c>
      <c r="D8" s="155" t="s">
        <v>844</v>
      </c>
      <c r="E8" s="154" t="s">
        <v>22</v>
      </c>
      <c r="F8" s="3" t="s">
        <v>917</v>
      </c>
      <c r="G8" s="3" t="s">
        <v>934</v>
      </c>
      <c r="H8" s="156" t="str">
        <f ca="1">IFERROR(
  _xludf.MINIFS(ATTENDANCE_LOG!$F:$F,
         ATTENDANCE_LOG!$A:$A, C8,
         ATTENDANCE_LOG!$B:$B, E8),
"")</f>
        <v/>
      </c>
      <c r="I8" s="156" t="str">
        <f t="shared" ca="1" si="0"/>
        <v/>
      </c>
      <c r="J8" s="3">
        <f>IFERROR(VLOOKUP(F8, LEVEL_HELPER!$A:$B, 2, 0), "")</f>
        <v>3</v>
      </c>
      <c r="K8" s="3">
        <f>IFERROR(VLOOKUP(G8, LEVEL_HELPER!$A:$B, 2, 0), "")</f>
        <v>3.5</v>
      </c>
      <c r="L8" s="157" t="s">
        <v>918</v>
      </c>
      <c r="M8" s="157" t="s">
        <v>919</v>
      </c>
      <c r="N8" s="3">
        <f t="array" aca="1" ref="N8" ca="1">IFERROR(
  INDEX($J$2:$J$543,
    MATCH(A8&amp;TEXT(I8,"yyyy-mm-dd"),
          $A$2:$A$543&amp;TEXT($H$2:$H$543,"yyyy-mm-dd"),
          0)),
"")</f>
        <v>2.5</v>
      </c>
      <c r="O8" s="147" t="str">
        <f t="shared" ca="1" si="1"/>
        <v/>
      </c>
      <c r="P8" s="147">
        <f t="shared" ref="P8:Q8" ca="1" si="17">IF(N8="",0,IF(N8&lt;=2,1,IF(N8&lt;=4,2,IF(N8&lt;=5.5,3,4))))</f>
        <v>2</v>
      </c>
      <c r="Q8" s="147">
        <f t="shared" ca="1" si="17"/>
        <v>0</v>
      </c>
      <c r="R8" s="147" t="str">
        <f t="shared" ca="1" si="3"/>
        <v>Regressed</v>
      </c>
      <c r="S8" s="147">
        <f t="shared" si="4"/>
        <v>0</v>
      </c>
      <c r="T8" s="147"/>
      <c r="U8" s="147"/>
      <c r="V8" s="148" t="e">
        <f ca="1"/>
        <v>#NAME?</v>
      </c>
      <c r="W8" s="147" t="e">
        <f t="shared" ca="1" si="5"/>
        <v>#NAME?</v>
      </c>
      <c r="X8" s="147" t="e">
        <f t="shared" ca="1" si="6"/>
        <v>#NAME?</v>
      </c>
      <c r="Y8" s="147" t="e">
        <f t="shared" ca="1" si="7"/>
        <v>#NAME?</v>
      </c>
      <c r="Z8" s="147"/>
      <c r="AA8" s="147" t="s">
        <v>918</v>
      </c>
      <c r="AB8" s="147"/>
      <c r="AC8" s="147">
        <v>11</v>
      </c>
      <c r="AD8" s="147">
        <v>12</v>
      </c>
      <c r="AE8" s="147">
        <v>6</v>
      </c>
      <c r="AF8" s="147">
        <v>10</v>
      </c>
      <c r="AG8" s="147">
        <v>6</v>
      </c>
      <c r="AH8" s="147">
        <v>2</v>
      </c>
      <c r="AI8" s="147"/>
      <c r="AJ8" s="147" t="s">
        <v>25</v>
      </c>
      <c r="AK8" s="147">
        <v>5</v>
      </c>
      <c r="AL8" s="147">
        <v>41</v>
      </c>
      <c r="AM8" s="151">
        <f t="shared" si="12"/>
        <v>8.1999999999999993</v>
      </c>
      <c r="AN8" s="148" t="str">
        <f ca="1">IFERROR(__xludf.DUMMYFUNCTION("""COMPUTED_VALUE"""),"237239")</f>
        <v>237239</v>
      </c>
      <c r="AO8" s="147" t="str">
        <f t="shared" ca="1" si="8"/>
        <v>DEV</v>
      </c>
      <c r="AP8" s="147" t="e">
        <f t="shared" ca="1" si="9"/>
        <v>#NAME?</v>
      </c>
      <c r="AQ8" s="147" t="str">
        <f t="shared" ca="1" si="10"/>
        <v>CHORUS</v>
      </c>
      <c r="AR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7"/>
      <c r="BY8" s="147"/>
      <c r="BZ8" s="147"/>
      <c r="CA8" s="147"/>
      <c r="CB8" s="147"/>
      <c r="CC8" s="147"/>
      <c r="CD8" s="147"/>
      <c r="CE8" s="147"/>
      <c r="CF8" s="147"/>
      <c r="CG8" s="147"/>
      <c r="CH8" s="147"/>
      <c r="CI8" s="147"/>
      <c r="CJ8" s="147"/>
      <c r="CK8" s="147"/>
    </row>
    <row r="9" spans="1:89">
      <c r="A9" s="159" t="s">
        <v>296</v>
      </c>
      <c r="B9" s="3" t="s">
        <v>297</v>
      </c>
      <c r="C9" s="160" t="s">
        <v>51</v>
      </c>
      <c r="D9" s="160" t="s">
        <v>844</v>
      </c>
      <c r="E9" s="3" t="s">
        <v>22</v>
      </c>
      <c r="F9" s="3" t="s">
        <v>917</v>
      </c>
      <c r="G9" s="3" t="s">
        <v>934</v>
      </c>
      <c r="H9" s="156" t="str">
        <f ca="1">IFERROR(
  _xludf.MINIFS(ATTENDANCE_LOG!$F:$F,
         ATTENDANCE_LOG!$A:$A, C9,
         ATTENDANCE_LOG!$B:$B, E9),
"")</f>
        <v/>
      </c>
      <c r="I9" s="156" t="str">
        <f t="shared" ca="1" si="0"/>
        <v/>
      </c>
      <c r="J9" s="3">
        <f>IFERROR(VLOOKUP(F9, LEVEL_HELPER!$A:$B, 2, 0), "")</f>
        <v>3</v>
      </c>
      <c r="K9" s="3">
        <f>IFERROR(VLOOKUP(G9, LEVEL_HELPER!$A:$B, 2, 0), "")</f>
        <v>3.5</v>
      </c>
      <c r="L9" s="157" t="s">
        <v>918</v>
      </c>
      <c r="M9" s="157" t="s">
        <v>919</v>
      </c>
      <c r="N9" s="3">
        <f t="array" aca="1" ref="N9" ca="1">IFERROR(
  INDEX($J$2:$J$543,
    MATCH(A9&amp;TEXT(I9,"yyyy-mm-dd"),
          $A$2:$A$543&amp;TEXT($H$2:$H$543,"yyyy-mm-dd"),
          0)),
"")</f>
        <v>1</v>
      </c>
      <c r="O9" s="147" t="str">
        <f t="shared" ca="1" si="1"/>
        <v/>
      </c>
      <c r="P9" s="147">
        <f t="shared" ref="P9:Q9" ca="1" si="18">IF(N9="",0,IF(N9&lt;=2,1,IF(N9&lt;=4,2,IF(N9&lt;=5.5,3,4))))</f>
        <v>1</v>
      </c>
      <c r="Q9" s="147">
        <f t="shared" ca="1" si="18"/>
        <v>0</v>
      </c>
      <c r="R9" s="147" t="str">
        <f t="shared" ca="1" si="3"/>
        <v>Regressed</v>
      </c>
      <c r="S9" s="147">
        <f t="shared" si="4"/>
        <v>0</v>
      </c>
      <c r="T9" s="147"/>
      <c r="U9" s="147"/>
      <c r="V9" s="148" t="e">
        <f ca="1"/>
        <v>#NAME?</v>
      </c>
      <c r="W9" s="147" t="e">
        <f t="shared" ca="1" si="5"/>
        <v>#NAME?</v>
      </c>
      <c r="X9" s="147" t="e">
        <f t="shared" ca="1" si="6"/>
        <v>#NAME?</v>
      </c>
      <c r="Y9" s="147" t="e">
        <f t="shared" ca="1" si="7"/>
        <v>#NAME?</v>
      </c>
      <c r="Z9" s="147"/>
      <c r="AA9" s="147" t="s">
        <v>935</v>
      </c>
      <c r="AB9" s="147"/>
      <c r="AC9" s="147">
        <v>6</v>
      </c>
      <c r="AD9" s="147">
        <v>7</v>
      </c>
      <c r="AE9" s="147"/>
      <c r="AF9" s="147"/>
      <c r="AG9" s="147"/>
      <c r="AH9" s="147"/>
      <c r="AI9" s="161">
        <f>AI10/1200</f>
        <v>0.25333333333333335</v>
      </c>
      <c r="AJ9" s="147" t="s">
        <v>840</v>
      </c>
      <c r="AK9" s="147">
        <v>50</v>
      </c>
      <c r="AL9" s="162">
        <v>304</v>
      </c>
      <c r="AM9" s="151">
        <f t="shared" si="12"/>
        <v>6.08</v>
      </c>
      <c r="AN9" s="161" t="str">
        <f ca="1">IFERROR(__xludf.DUMMYFUNCTION("""COMPUTED_VALUE"""),"213835")</f>
        <v>213835</v>
      </c>
      <c r="AO9" s="147" t="str">
        <f t="shared" ca="1" si="8"/>
        <v>DEV</v>
      </c>
      <c r="AP9" s="147" t="e">
        <f t="shared" ca="1" si="9"/>
        <v>#NAME?</v>
      </c>
      <c r="AQ9" s="147" t="str">
        <f t="shared" ca="1" si="10"/>
        <v>MOC</v>
      </c>
      <c r="AR9" s="161"/>
      <c r="AZ9" s="147"/>
      <c r="BA9" s="161">
        <f>BA10/1200</f>
        <v>0</v>
      </c>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row>
    <row r="10" spans="1:89">
      <c r="A10" s="159" t="s">
        <v>319</v>
      </c>
      <c r="B10" s="3" t="s">
        <v>320</v>
      </c>
      <c r="C10" s="160" t="s">
        <v>51</v>
      </c>
      <c r="D10" s="160" t="s">
        <v>844</v>
      </c>
      <c r="E10" s="3" t="s">
        <v>22</v>
      </c>
      <c r="F10" s="3" t="s">
        <v>928</v>
      </c>
      <c r="G10" s="3" t="s">
        <v>936</v>
      </c>
      <c r="H10" s="156" t="str">
        <f ca="1">IFERROR(
  _xludf.MINIFS(ATTENDANCE_LOG!$F:$F,
         ATTENDANCE_LOG!$A:$A, C10,
         ATTENDANCE_LOG!$B:$B, E10),
"")</f>
        <v/>
      </c>
      <c r="I10" s="156" t="str">
        <f t="shared" ca="1" si="0"/>
        <v/>
      </c>
      <c r="J10" s="3">
        <f>IFERROR(VLOOKUP(F10, LEVEL_HELPER!$A:$B, 2, 0), "")</f>
        <v>1.5</v>
      </c>
      <c r="K10" s="3">
        <f>IFERROR(VLOOKUP(G10, LEVEL_HELPER!$A:$B, 2, 0), "")</f>
        <v>2</v>
      </c>
      <c r="L10" s="157" t="s">
        <v>918</v>
      </c>
      <c r="M10" s="157" t="s">
        <v>919</v>
      </c>
      <c r="N10" s="3">
        <f t="array" aca="1" ref="N10" ca="1">IFERROR(
  INDEX($J$2:$J$543,
    MATCH(A10&amp;TEXT(I10,"yyyy-mm-dd"),
          $A$2:$A$543&amp;TEXT($H$2:$H$543,"yyyy-mm-dd"),
          0)),
"")</f>
        <v>1</v>
      </c>
      <c r="O10" s="147" t="str">
        <f t="shared" ca="1" si="1"/>
        <v/>
      </c>
      <c r="P10" s="147">
        <f t="shared" ref="P10:Q10" ca="1" si="19">IF(N10="",0,IF(N10&lt;=2,1,IF(N10&lt;=4,2,IF(N10&lt;=5.5,3,4))))</f>
        <v>1</v>
      </c>
      <c r="Q10" s="147">
        <f t="shared" ca="1" si="19"/>
        <v>0</v>
      </c>
      <c r="R10" s="147" t="str">
        <f t="shared" ca="1" si="3"/>
        <v>Regressed</v>
      </c>
      <c r="S10" s="147">
        <f t="shared" si="4"/>
        <v>0</v>
      </c>
      <c r="T10" s="147"/>
      <c r="U10" s="147"/>
      <c r="V10" s="148" t="e">
        <f ca="1"/>
        <v>#NAME?</v>
      </c>
      <c r="W10" s="147" t="e">
        <f t="shared" ca="1" si="5"/>
        <v>#NAME?</v>
      </c>
      <c r="X10" s="147" t="e">
        <f t="shared" ca="1" si="6"/>
        <v>#NAME?</v>
      </c>
      <c r="Y10" s="147" t="e">
        <f t="shared" ca="1" si="7"/>
        <v>#NAME?</v>
      </c>
      <c r="Z10" s="147"/>
      <c r="AA10" s="147" t="s">
        <v>840</v>
      </c>
      <c r="AB10" s="147">
        <v>7</v>
      </c>
      <c r="AC10" s="147">
        <v>61</v>
      </c>
      <c r="AD10" s="147">
        <v>63</v>
      </c>
      <c r="AE10" s="147">
        <v>57</v>
      </c>
      <c r="AF10" s="147">
        <v>55</v>
      </c>
      <c r="AG10" s="147">
        <v>28</v>
      </c>
      <c r="AH10" s="147">
        <v>33</v>
      </c>
      <c r="AI10" s="163">
        <f>SUM(AB10:AH10)</f>
        <v>304</v>
      </c>
      <c r="AJ10" s="163"/>
      <c r="AK10" s="163"/>
      <c r="AL10" s="163"/>
      <c r="AM10" s="151"/>
      <c r="AN10" s="148" t="str">
        <f ca="1">IFERROR(__xludf.DUMMYFUNCTION("""COMPUTED_VALUE"""),"247063")</f>
        <v>247063</v>
      </c>
      <c r="AO10" s="147" t="str">
        <f t="shared" ca="1" si="8"/>
        <v>GSD</v>
      </c>
      <c r="AP10" s="147" t="e">
        <f t="shared" ca="1" si="9"/>
        <v>#NAME?</v>
      </c>
      <c r="AQ10" s="147" t="str">
        <f t="shared" ca="1" si="10"/>
        <v>POC</v>
      </c>
      <c r="AR10" s="163"/>
      <c r="AS10" s="147"/>
      <c r="AT10" s="147"/>
      <c r="AU10" s="147"/>
      <c r="AV10" s="147"/>
      <c r="AW10" s="147"/>
      <c r="AX10" s="147"/>
      <c r="AY10" s="147"/>
      <c r="AZ10" s="147"/>
      <c r="BA10" s="163">
        <f>SUM(AT10:AZ10)</f>
        <v>0</v>
      </c>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row>
    <row r="11" spans="1:89">
      <c r="A11" s="159" t="s">
        <v>474</v>
      </c>
      <c r="B11" s="3" t="s">
        <v>475</v>
      </c>
      <c r="C11" s="160" t="s">
        <v>51</v>
      </c>
      <c r="D11" s="160" t="s">
        <v>844</v>
      </c>
      <c r="E11" s="3" t="s">
        <v>22</v>
      </c>
      <c r="F11" s="3" t="s">
        <v>917</v>
      </c>
      <c r="G11" s="3" t="s">
        <v>934</v>
      </c>
      <c r="H11" s="156" t="str">
        <f ca="1">IFERROR(
  _xludf.MINIFS(ATTENDANCE_LOG!$F:$F,
         ATTENDANCE_LOG!$A:$A, C11,
         ATTENDANCE_LOG!$B:$B, E11),
"")</f>
        <v/>
      </c>
      <c r="I11" s="156" t="str">
        <f t="shared" ca="1" si="0"/>
        <v/>
      </c>
      <c r="J11" s="3">
        <f>IFERROR(VLOOKUP(F11, LEVEL_HELPER!$A:$B, 2, 0), "")</f>
        <v>3</v>
      </c>
      <c r="K11" s="3">
        <f>IFERROR(VLOOKUP(G11, LEVEL_HELPER!$A:$B, 2, 0), "")</f>
        <v>3.5</v>
      </c>
      <c r="L11" s="157" t="s">
        <v>918</v>
      </c>
      <c r="M11" s="157" t="s">
        <v>919</v>
      </c>
      <c r="N11" s="3">
        <f t="array" aca="1" ref="N11" ca="1">IFERROR(
  INDEX($J$2:$J$543,
    MATCH(A11&amp;TEXT(I11,"yyyy-mm-dd"),
          $A$2:$A$543&amp;TEXT($H$2:$H$543,"yyyy-mm-dd"),
          0)),
"")</f>
        <v>1</v>
      </c>
      <c r="O11" s="147" t="str">
        <f t="shared" ca="1" si="1"/>
        <v/>
      </c>
      <c r="P11" s="147">
        <f t="shared" ref="P11:Q11" ca="1" si="20">IF(N11="",0,IF(N11&lt;=2,1,IF(N11&lt;=4,2,IF(N11&lt;=5.5,3,4))))</f>
        <v>1</v>
      </c>
      <c r="Q11" s="147">
        <f t="shared" ca="1" si="20"/>
        <v>0</v>
      </c>
      <c r="R11" s="147" t="str">
        <f t="shared" ca="1" si="3"/>
        <v>Regressed</v>
      </c>
      <c r="S11" s="147">
        <f t="shared" si="4"/>
        <v>0</v>
      </c>
      <c r="T11" s="147"/>
      <c r="U11" s="147"/>
      <c r="V11" s="148" t="e">
        <f ca="1"/>
        <v>#NAME?</v>
      </c>
      <c r="W11" s="147" t="e">
        <f t="shared" ca="1" si="5"/>
        <v>#NAME?</v>
      </c>
      <c r="X11" s="147" t="e">
        <f t="shared" ca="1" si="6"/>
        <v>#NAME?</v>
      </c>
      <c r="Y11" s="147" t="e">
        <f t="shared" ca="1" si="7"/>
        <v>#NAME?</v>
      </c>
      <c r="Z11" s="147"/>
      <c r="AM11" s="137"/>
      <c r="AN11" s="159" t="str">
        <f ca="1">IFERROR(__xludf.DUMMYFUNCTION("""COMPUTED_VALUE"""),"193588")</f>
        <v>193588</v>
      </c>
      <c r="AO11" s="147" t="str">
        <f t="shared" ca="1" si="8"/>
        <v>DEV</v>
      </c>
      <c r="AP11" s="147" t="e">
        <f t="shared" ca="1" si="9"/>
        <v>#NAME?</v>
      </c>
      <c r="AQ11" s="147" t="str">
        <f t="shared" ca="1" si="10"/>
        <v>MOC</v>
      </c>
    </row>
    <row r="12" spans="1:89" ht="15.75">
      <c r="A12" s="159" t="s">
        <v>657</v>
      </c>
      <c r="B12" s="3" t="s">
        <v>658</v>
      </c>
      <c r="C12" s="160" t="s">
        <v>51</v>
      </c>
      <c r="D12" s="160" t="s">
        <v>844</v>
      </c>
      <c r="E12" s="3" t="s">
        <v>22</v>
      </c>
      <c r="F12" s="3" t="s">
        <v>931</v>
      </c>
      <c r="G12" s="3" t="s">
        <v>937</v>
      </c>
      <c r="H12" s="156" t="str">
        <f ca="1">IFERROR(
  _xludf.MINIFS(ATTENDANCE_LOG!$F:$F,
         ATTENDANCE_LOG!$A:$A, C12,
         ATTENDANCE_LOG!$B:$B, E12),
"")</f>
        <v/>
      </c>
      <c r="I12" s="156" t="str">
        <f t="shared" ca="1" si="0"/>
        <v/>
      </c>
      <c r="J12" s="3">
        <f>IFERROR(VLOOKUP(F12, LEVEL_HELPER!$A:$B, 2, 0), "")</f>
        <v>4.5</v>
      </c>
      <c r="K12" s="3">
        <f>IFERROR(VLOOKUP(G12, LEVEL_HELPER!$A:$B, 2, 0), "")</f>
        <v>5.5</v>
      </c>
      <c r="L12" s="157" t="s">
        <v>918</v>
      </c>
      <c r="M12" s="157" t="s">
        <v>919</v>
      </c>
      <c r="N12" s="3">
        <f t="array" aca="1" ref="N12" ca="1">IFERROR(
  INDEX($J$2:$J$543,
    MATCH(A12&amp;TEXT(I12,"yyyy-mm-dd"),
          $A$2:$A$543&amp;TEXT($H$2:$H$543,"yyyy-mm-dd"),
          0)),
"")</f>
        <v>4.5</v>
      </c>
      <c r="O12" s="147" t="str">
        <f t="shared" ca="1" si="1"/>
        <v/>
      </c>
      <c r="P12" s="147">
        <f t="shared" ref="P12:Q12" ca="1" si="21">IF(N12="",0,IF(N12&lt;=2,1,IF(N12&lt;=4,2,IF(N12&lt;=5.5,3,4))))</f>
        <v>3</v>
      </c>
      <c r="Q12" s="147">
        <f t="shared" ca="1" si="21"/>
        <v>0</v>
      </c>
      <c r="R12" s="147" t="str">
        <f t="shared" ca="1" si="3"/>
        <v>Regressed</v>
      </c>
      <c r="S12" s="147">
        <f t="shared" si="4"/>
        <v>0</v>
      </c>
      <c r="T12" s="147"/>
      <c r="U12" s="147"/>
      <c r="V12" s="148" t="e">
        <f ca="1"/>
        <v>#NAME?</v>
      </c>
      <c r="W12" s="147" t="e">
        <f t="shared" ca="1" si="5"/>
        <v>#NAME?</v>
      </c>
      <c r="X12" s="147" t="e">
        <f t="shared" ca="1" si="6"/>
        <v>#NAME?</v>
      </c>
      <c r="Y12" s="147" t="e">
        <f t="shared" ca="1" si="7"/>
        <v>#NAME?</v>
      </c>
      <c r="Z12" s="147"/>
      <c r="AA12" s="164" t="s">
        <v>938</v>
      </c>
      <c r="AB12" s="147"/>
      <c r="AC12" s="147"/>
      <c r="AD12" s="147"/>
      <c r="AE12" s="147"/>
      <c r="AF12" s="147"/>
      <c r="AG12" s="147"/>
      <c r="AI12" s="147"/>
      <c r="AJ12" s="147"/>
      <c r="AK12" s="147"/>
      <c r="AL12" s="147"/>
      <c r="AM12" s="151"/>
      <c r="AN12" s="148" t="str">
        <f ca="1">IFERROR(__xludf.DUMMYFUNCTION("""COMPUTED_VALUE"""),"213893")</f>
        <v>213893</v>
      </c>
      <c r="AO12" s="147" t="str">
        <f t="shared" ca="1" si="8"/>
        <v>DEV</v>
      </c>
      <c r="AP12" s="147" t="e">
        <f t="shared" ca="1" si="9"/>
        <v>#NAME?</v>
      </c>
      <c r="AQ12" s="147" t="str">
        <f t="shared" ca="1" si="10"/>
        <v>ONC</v>
      </c>
      <c r="AR12" s="147"/>
      <c r="AS12" s="164" t="s">
        <v>939</v>
      </c>
      <c r="AT12" s="164"/>
      <c r="AU12" s="147"/>
      <c r="AV12" s="147"/>
      <c r="AW12" s="147"/>
      <c r="AX12" s="147"/>
      <c r="AY12" s="147"/>
      <c r="AZ12" s="147"/>
      <c r="BA12" s="147"/>
      <c r="BB12" s="147"/>
      <c r="BC12" s="147"/>
      <c r="BD12" s="147"/>
      <c r="BE12" s="147"/>
      <c r="BF12" s="147"/>
      <c r="BG12" s="147"/>
      <c r="BH12" s="147"/>
      <c r="BI12" s="147"/>
      <c r="BJ12" s="147"/>
      <c r="BK12" s="147"/>
      <c r="BL12" s="147"/>
      <c r="BM12" s="147"/>
      <c r="BN12" s="147"/>
      <c r="BO12" s="147"/>
      <c r="BP12" s="147"/>
      <c r="BQ12" s="147"/>
      <c r="BR12" s="147"/>
      <c r="BS12" s="147"/>
      <c r="BT12" s="147"/>
      <c r="BU12" s="147"/>
      <c r="BV12" s="147"/>
      <c r="BW12" s="147"/>
      <c r="BX12" s="147"/>
      <c r="BY12" s="147"/>
      <c r="BZ12" s="147"/>
      <c r="CA12" s="147"/>
      <c r="CB12" s="147"/>
      <c r="CC12" s="147"/>
      <c r="CD12" s="147"/>
      <c r="CE12" s="147"/>
      <c r="CF12" s="147"/>
      <c r="CG12" s="147"/>
      <c r="CH12" s="147"/>
      <c r="CI12" s="147"/>
      <c r="CJ12" s="147"/>
      <c r="CK12" s="147"/>
    </row>
    <row r="13" spans="1:89">
      <c r="A13" s="159" t="s">
        <v>659</v>
      </c>
      <c r="B13" s="3" t="s">
        <v>660</v>
      </c>
      <c r="C13" s="160" t="s">
        <v>51</v>
      </c>
      <c r="D13" s="160" t="s">
        <v>844</v>
      </c>
      <c r="E13" s="3" t="s">
        <v>22</v>
      </c>
      <c r="F13" s="3" t="s">
        <v>934</v>
      </c>
      <c r="G13" s="3" t="s">
        <v>940</v>
      </c>
      <c r="H13" s="156" t="str">
        <f ca="1">IFERROR(
  _xludf.MINIFS(ATTENDANCE_LOG!$F:$F,
         ATTENDANCE_LOG!$A:$A, C13,
         ATTENDANCE_LOG!$B:$B, E13),
"")</f>
        <v/>
      </c>
      <c r="I13" s="156" t="str">
        <f t="shared" ca="1" si="0"/>
        <v/>
      </c>
      <c r="J13" s="3">
        <f>IFERROR(VLOOKUP(F13, LEVEL_HELPER!$A:$B, 2, 0), "")</f>
        <v>3.5</v>
      </c>
      <c r="K13" s="3">
        <f>IFERROR(VLOOKUP(G13, LEVEL_HELPER!$A:$B, 2, 0), "")</f>
        <v>5</v>
      </c>
      <c r="L13" s="157" t="s">
        <v>918</v>
      </c>
      <c r="M13" s="157" t="s">
        <v>919</v>
      </c>
      <c r="N13" s="3">
        <f t="array" aca="1" ref="N13" ca="1">IFERROR(
  INDEX($J$2:$J$543,
    MATCH(A13&amp;TEXT(I13,"yyyy-mm-dd"),
          $A$2:$A$543&amp;TEXT($H$2:$H$543,"yyyy-mm-dd"),
          0)),
"")</f>
        <v>1</v>
      </c>
      <c r="O13" s="147" t="str">
        <f t="shared" ca="1" si="1"/>
        <v/>
      </c>
      <c r="P13" s="147">
        <f t="shared" ref="P13:Q13" ca="1" si="22">IF(N13="",0,IF(N13&lt;=2,1,IF(N13&lt;=4,2,IF(N13&lt;=5.5,3,4))))</f>
        <v>1</v>
      </c>
      <c r="Q13" s="147">
        <f t="shared" ca="1" si="22"/>
        <v>0</v>
      </c>
      <c r="R13" s="147" t="str">
        <f t="shared" ca="1" si="3"/>
        <v>Regressed</v>
      </c>
      <c r="S13" s="147">
        <f t="shared" si="4"/>
        <v>0</v>
      </c>
      <c r="T13" s="147"/>
      <c r="U13" s="147"/>
      <c r="V13" s="148" t="e">
        <f ca="1"/>
        <v>#NAME?</v>
      </c>
      <c r="W13" s="147" t="e">
        <f t="shared" ca="1" si="5"/>
        <v>#NAME?</v>
      </c>
      <c r="X13" s="147" t="e">
        <f t="shared" ca="1" si="6"/>
        <v>#NAME?</v>
      </c>
      <c r="Y13" s="147" t="e">
        <f t="shared" ca="1" si="7"/>
        <v>#NAME?</v>
      </c>
      <c r="Z13" s="147"/>
      <c r="AA13" s="147"/>
      <c r="AB13" s="147"/>
      <c r="AC13" s="147"/>
      <c r="AD13" s="147"/>
      <c r="AE13" s="147"/>
      <c r="AF13" s="147"/>
      <c r="AG13" s="147"/>
      <c r="AH13" s="147"/>
      <c r="AI13" s="147"/>
      <c r="AJ13" s="147"/>
      <c r="AK13" s="147"/>
      <c r="AL13" s="147"/>
      <c r="AM13" s="151"/>
      <c r="AN13" s="148" t="str">
        <f ca="1">IFERROR(__xludf.DUMMYFUNCTION("""COMPUTED_VALUE"""),"213901")</f>
        <v>213901</v>
      </c>
      <c r="AO13" s="147" t="str">
        <f t="shared" ca="1" si="8"/>
        <v>DEV</v>
      </c>
      <c r="AP13" s="147" t="e">
        <f t="shared" ca="1" si="9"/>
        <v>#NAME?</v>
      </c>
      <c r="AQ13" s="147" t="str">
        <f t="shared" ca="1" si="10"/>
        <v>LBU</v>
      </c>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7"/>
      <c r="CJ13" s="147"/>
      <c r="CK13" s="147"/>
    </row>
    <row r="14" spans="1:89">
      <c r="A14" s="153" t="s">
        <v>721</v>
      </c>
      <c r="B14" s="154" t="s">
        <v>722</v>
      </c>
      <c r="C14" s="155" t="s">
        <v>51</v>
      </c>
      <c r="D14" s="155" t="s">
        <v>844</v>
      </c>
      <c r="E14" s="154" t="s">
        <v>24</v>
      </c>
      <c r="F14" s="3"/>
      <c r="G14" s="3"/>
      <c r="H14" s="156" t="str">
        <f ca="1">IFERROR(
  _xludf.MINIFS(ATTENDANCE_LOG!$F:$F,
         ATTENDANCE_LOG!$A:$A, C14,
         ATTENDANCE_LOG!$B:$B, E14),
"")</f>
        <v/>
      </c>
      <c r="I14" s="156" t="str">
        <f t="shared" ca="1" si="0"/>
        <v/>
      </c>
      <c r="J14" s="3" t="str">
        <f>IFERROR(VLOOKUP(F14, LEVEL_HELPER!$A:$B, 2, 0), "")</f>
        <v/>
      </c>
      <c r="K14" s="3" t="str">
        <f>IFERROR(VLOOKUP(G14, LEVEL_HELPER!$A:$B, 2, 0), "")</f>
        <v/>
      </c>
      <c r="L14" s="157" t="s">
        <v>918</v>
      </c>
      <c r="M14" s="157" t="s">
        <v>919</v>
      </c>
      <c r="N14" s="3">
        <f t="array" aca="1" ref="N14" ca="1">IFERROR(
  INDEX($J$2:$J$543,
    MATCH(A14&amp;TEXT(I14,"yyyy-mm-dd"),
          $A$2:$A$543&amp;TEXT($H$2:$H$543,"yyyy-mm-dd"),
          0)),
"")</f>
        <v>2.5</v>
      </c>
      <c r="O14" s="147" t="str">
        <f t="shared" ca="1" si="1"/>
        <v/>
      </c>
      <c r="P14" s="147">
        <f t="shared" ref="P14:Q14" ca="1" si="23">IF(N14="",0,IF(N14&lt;=2,1,IF(N14&lt;=4,2,IF(N14&lt;=5.5,3,4))))</f>
        <v>2</v>
      </c>
      <c r="Q14" s="147">
        <f t="shared" ca="1" si="23"/>
        <v>0</v>
      </c>
      <c r="R14" s="147" t="str">
        <f t="shared" ca="1" si="3"/>
        <v>Regressed</v>
      </c>
      <c r="S14" s="147">
        <f t="shared" si="4"/>
        <v>0</v>
      </c>
      <c r="T14" s="147"/>
      <c r="U14" s="147"/>
      <c r="V14" s="148" t="e">
        <f ca="1"/>
        <v>#NAME?</v>
      </c>
      <c r="W14" s="147" t="e">
        <f t="shared" ca="1" si="5"/>
        <v>#NAME?</v>
      </c>
      <c r="X14" s="147" t="e">
        <f t="shared" ca="1" si="6"/>
        <v>#NAME?</v>
      </c>
      <c r="Y14" s="147" t="e">
        <f t="shared" ca="1" si="7"/>
        <v>#NAME?</v>
      </c>
      <c r="Z14" s="147"/>
      <c r="AA14" s="147"/>
      <c r="AB14" s="147"/>
      <c r="AC14" s="147"/>
      <c r="AD14" s="147"/>
      <c r="AE14" s="147"/>
      <c r="AF14" s="147"/>
      <c r="AG14" s="147"/>
      <c r="AH14" s="147"/>
      <c r="AI14" s="147"/>
      <c r="AJ14" s="147"/>
      <c r="AK14" s="147"/>
      <c r="AL14" s="147"/>
      <c r="AM14" s="151"/>
      <c r="AN14" s="148" t="str">
        <f ca="1">IFERROR(__xludf.DUMMYFUNCTION("""COMPUTED_VALUE"""),"227244")</f>
        <v>227244</v>
      </c>
      <c r="AO14" s="147" t="str">
        <f t="shared" ca="1" si="8"/>
        <v>DEV</v>
      </c>
      <c r="AP14" s="147" t="e">
        <f t="shared" ca="1" si="9"/>
        <v>#NAME?</v>
      </c>
      <c r="AQ14" s="147" t="str">
        <f t="shared" ca="1" si="10"/>
        <v>ONC</v>
      </c>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c r="CB14" s="147"/>
      <c r="CC14" s="147"/>
      <c r="CD14" s="147"/>
      <c r="CE14" s="147"/>
      <c r="CF14" s="147"/>
      <c r="CG14" s="147"/>
      <c r="CH14" s="147"/>
      <c r="CI14" s="147"/>
      <c r="CJ14" s="147"/>
      <c r="CK14" s="147"/>
    </row>
    <row r="15" spans="1:89">
      <c r="A15" s="159" t="s">
        <v>657</v>
      </c>
      <c r="B15" s="3" t="s">
        <v>658</v>
      </c>
      <c r="C15" s="160" t="s">
        <v>51</v>
      </c>
      <c r="D15" s="160" t="s">
        <v>844</v>
      </c>
      <c r="E15" s="3" t="s">
        <v>24</v>
      </c>
      <c r="F15" s="3"/>
      <c r="G15" s="3"/>
      <c r="H15" s="156" t="str">
        <f ca="1">IFERROR(
  _xludf.MINIFS(ATTENDANCE_LOG!$F:$F,
         ATTENDANCE_LOG!$A:$A, C15,
         ATTENDANCE_LOG!$B:$B, E15),
"")</f>
        <v/>
      </c>
      <c r="I15" s="156" t="str">
        <f t="shared" ca="1" si="0"/>
        <v/>
      </c>
      <c r="J15" s="3" t="str">
        <f>IFERROR(VLOOKUP(F15, LEVEL_HELPER!$A:$B, 2, 0), "")</f>
        <v/>
      </c>
      <c r="K15" s="3" t="str">
        <f>IFERROR(VLOOKUP(G15, LEVEL_HELPER!$A:$B, 2, 0), "")</f>
        <v/>
      </c>
      <c r="L15" s="157" t="s">
        <v>918</v>
      </c>
      <c r="M15" s="157" t="s">
        <v>919</v>
      </c>
      <c r="N15" s="3">
        <f t="array" aca="1" ref="N15" ca="1">IFERROR(
  INDEX($J$2:$J$543,
    MATCH(A15&amp;TEXT(I15,"yyyy-mm-dd"),
          $A$2:$A$543&amp;TEXT($H$2:$H$543,"yyyy-mm-dd"),
          0)),
"")</f>
        <v>4.5</v>
      </c>
      <c r="O15" s="147" t="str">
        <f t="shared" ca="1" si="1"/>
        <v/>
      </c>
      <c r="P15" s="147">
        <f t="shared" ref="P15:Q15" ca="1" si="24">IF(N15="",0,IF(N15&lt;=2,1,IF(N15&lt;=4,2,IF(N15&lt;=5.5,3,4))))</f>
        <v>3</v>
      </c>
      <c r="Q15" s="147">
        <f t="shared" ca="1" si="24"/>
        <v>0</v>
      </c>
      <c r="R15" s="147" t="str">
        <f t="shared" ca="1" si="3"/>
        <v>Regressed</v>
      </c>
      <c r="S15" s="147">
        <f t="shared" si="4"/>
        <v>0</v>
      </c>
      <c r="T15" s="147"/>
      <c r="U15" s="147"/>
      <c r="V15" s="148" t="e">
        <f ca="1"/>
        <v>#NAME?</v>
      </c>
      <c r="W15" s="147" t="e">
        <f t="shared" ca="1" si="5"/>
        <v>#NAME?</v>
      </c>
      <c r="X15" s="147" t="e">
        <f t="shared" ca="1" si="6"/>
        <v>#NAME?</v>
      </c>
      <c r="Y15" s="147" t="e">
        <f t="shared" ca="1" si="7"/>
        <v>#NAME?</v>
      </c>
      <c r="Z15" s="147"/>
      <c r="AA15" s="147"/>
      <c r="AB15" s="147"/>
      <c r="AC15" s="147"/>
      <c r="AD15" s="147"/>
      <c r="AE15" s="147"/>
      <c r="AF15" s="147"/>
      <c r="AG15" s="147"/>
      <c r="AH15" s="147"/>
      <c r="AI15" s="147"/>
      <c r="AJ15" s="147"/>
      <c r="AK15" s="147"/>
      <c r="AL15" s="147"/>
      <c r="AM15" s="151"/>
      <c r="AN15" s="148" t="str">
        <f ca="1">IFERROR(__xludf.DUMMYFUNCTION("""COMPUTED_VALUE"""),"237117")</f>
        <v>237117</v>
      </c>
      <c r="AO15" s="147" t="str">
        <f t="shared" ca="1" si="8"/>
        <v>DEV</v>
      </c>
      <c r="AP15" s="147" t="e">
        <f t="shared" ca="1" si="9"/>
        <v>#NAME?</v>
      </c>
      <c r="AQ15" s="147" t="str">
        <f t="shared" ca="1" si="10"/>
        <v>TBU</v>
      </c>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c r="BP15" s="147"/>
      <c r="BQ15" s="147"/>
      <c r="BR15" s="147"/>
      <c r="BS15" s="147"/>
      <c r="BT15" s="147"/>
      <c r="BU15" s="147"/>
      <c r="BV15" s="147"/>
      <c r="BW15" s="147"/>
      <c r="BX15" s="147"/>
      <c r="BY15" s="147"/>
      <c r="BZ15" s="147"/>
      <c r="CA15" s="147"/>
      <c r="CB15" s="147"/>
      <c r="CC15" s="147"/>
      <c r="CD15" s="147"/>
      <c r="CE15" s="147"/>
      <c r="CF15" s="147"/>
      <c r="CG15" s="147"/>
      <c r="CH15" s="147"/>
      <c r="CI15" s="147"/>
      <c r="CJ15" s="147"/>
      <c r="CK15" s="147"/>
    </row>
    <row r="16" spans="1:89">
      <c r="A16" s="159" t="s">
        <v>659</v>
      </c>
      <c r="B16" s="3" t="s">
        <v>660</v>
      </c>
      <c r="C16" s="160" t="s">
        <v>51</v>
      </c>
      <c r="D16" s="160" t="s">
        <v>844</v>
      </c>
      <c r="E16" s="3" t="s">
        <v>24</v>
      </c>
      <c r="F16" s="3"/>
      <c r="G16" s="3"/>
      <c r="H16" s="156" t="str">
        <f ca="1">IFERROR(
  _xludf.MINIFS(ATTENDANCE_LOG!$F:$F,
         ATTENDANCE_LOG!$A:$A, C16,
         ATTENDANCE_LOG!$B:$B, E16),
"")</f>
        <v/>
      </c>
      <c r="I16" s="156" t="str">
        <f t="shared" ca="1" si="0"/>
        <v/>
      </c>
      <c r="J16" s="3" t="str">
        <f>IFERROR(VLOOKUP(F16, LEVEL_HELPER!$A:$B, 2, 0), "")</f>
        <v/>
      </c>
      <c r="K16" s="3" t="str">
        <f>IFERROR(VLOOKUP(G16, LEVEL_HELPER!$A:$B, 2, 0), "")</f>
        <v/>
      </c>
      <c r="L16" s="157" t="s">
        <v>918</v>
      </c>
      <c r="M16" s="157" t="s">
        <v>919</v>
      </c>
      <c r="N16" s="3">
        <f t="array" aca="1" ref="N16" ca="1">IFERROR(
  INDEX($J$2:$J$543,
    MATCH(A16&amp;TEXT(I16,"yyyy-mm-dd"),
          $A$2:$A$543&amp;TEXT($H$2:$H$543,"yyyy-mm-dd"),
          0)),
"")</f>
        <v>1</v>
      </c>
      <c r="O16" s="147" t="str">
        <f t="shared" ca="1" si="1"/>
        <v/>
      </c>
      <c r="P16" s="147">
        <f t="shared" ref="P16:Q16" ca="1" si="25">IF(N16="",0,IF(N16&lt;=2,1,IF(N16&lt;=4,2,IF(N16&lt;=5.5,3,4))))</f>
        <v>1</v>
      </c>
      <c r="Q16" s="147">
        <f t="shared" ca="1" si="25"/>
        <v>0</v>
      </c>
      <c r="R16" s="147" t="str">
        <f t="shared" ca="1" si="3"/>
        <v>Regressed</v>
      </c>
      <c r="S16" s="147">
        <f t="shared" si="4"/>
        <v>0</v>
      </c>
      <c r="T16" s="147"/>
      <c r="U16" s="147"/>
      <c r="V16" s="148" t="e">
        <f ca="1"/>
        <v>#NAME?</v>
      </c>
      <c r="W16" s="147" t="e">
        <f t="shared" ca="1" si="5"/>
        <v>#NAME?</v>
      </c>
      <c r="X16" s="147" t="e">
        <f t="shared" ca="1" si="6"/>
        <v>#NAME?</v>
      </c>
      <c r="Y16" s="147" t="e">
        <f t="shared" ca="1" si="7"/>
        <v>#NAME?</v>
      </c>
      <c r="Z16" s="147"/>
      <c r="AA16" s="147"/>
      <c r="AB16" s="147"/>
      <c r="AC16" s="147"/>
      <c r="AD16" s="147"/>
      <c r="AE16" s="147"/>
      <c r="AF16" s="147"/>
      <c r="AG16" s="147"/>
      <c r="AH16" s="147"/>
      <c r="AI16" s="147"/>
      <c r="AJ16" s="147"/>
      <c r="AK16" s="147"/>
      <c r="AL16" s="147"/>
      <c r="AM16" s="151"/>
      <c r="AN16" s="148" t="str">
        <f ca="1">IFERROR(__xludf.DUMMYFUNCTION("""COMPUTED_VALUE"""),"213859")</f>
        <v>213859</v>
      </c>
      <c r="AO16" s="147" t="str">
        <f t="shared" ca="1" si="8"/>
        <v>GSD</v>
      </c>
      <c r="AP16" s="147" t="e">
        <f t="shared" ca="1" si="9"/>
        <v>#NAME?</v>
      </c>
      <c r="AQ16" s="147" t="str">
        <f t="shared" ca="1" si="10"/>
        <v>MOC</v>
      </c>
      <c r="AR16" s="147"/>
      <c r="AS16" s="147"/>
      <c r="AT16" s="147"/>
      <c r="AU16" s="147"/>
      <c r="AV16" s="147"/>
      <c r="AW16" s="147"/>
      <c r="AX16" s="147"/>
      <c r="AY16" s="147"/>
      <c r="AZ16" s="147"/>
      <c r="BA16" s="147"/>
      <c r="BB16" s="147"/>
      <c r="BC16" s="147"/>
      <c r="BD16" s="147"/>
      <c r="BE16" s="147"/>
      <c r="BF16" s="147"/>
      <c r="BG16" s="147"/>
      <c r="BH16" s="147"/>
      <c r="BI16" s="147"/>
      <c r="BJ16" s="147"/>
      <c r="BK16" s="147"/>
      <c r="BL16" s="147"/>
      <c r="BM16" s="147"/>
      <c r="BN16" s="147"/>
      <c r="BO16" s="147"/>
      <c r="BP16" s="147"/>
      <c r="BQ16" s="147"/>
      <c r="BR16" s="147"/>
      <c r="BS16" s="147"/>
      <c r="BT16" s="147"/>
      <c r="BU16" s="147"/>
      <c r="BV16" s="147"/>
      <c r="BW16" s="147"/>
      <c r="BX16" s="147"/>
      <c r="BY16" s="147"/>
      <c r="BZ16" s="147"/>
      <c r="CA16" s="147"/>
      <c r="CB16" s="147"/>
      <c r="CC16" s="147"/>
      <c r="CD16" s="147"/>
      <c r="CE16" s="147"/>
      <c r="CF16" s="147"/>
      <c r="CG16" s="147"/>
      <c r="CH16" s="147"/>
      <c r="CI16" s="147"/>
      <c r="CJ16" s="147"/>
      <c r="CK16" s="147"/>
    </row>
    <row r="17" spans="1:89">
      <c r="A17" s="153" t="s">
        <v>170</v>
      </c>
      <c r="B17" s="154" t="s">
        <v>171</v>
      </c>
      <c r="C17" s="155" t="s">
        <v>52</v>
      </c>
      <c r="D17" s="155" t="s">
        <v>846</v>
      </c>
      <c r="E17" s="154" t="s">
        <v>21</v>
      </c>
      <c r="F17" s="3" t="s">
        <v>916</v>
      </c>
      <c r="G17" s="3"/>
      <c r="H17" s="156" t="str">
        <f ca="1">IFERROR(
  _xludf.MINIFS(ATTENDANCE_LOG!$F:$F,
         ATTENDANCE_LOG!$A:$A, C17,
         ATTENDANCE_LOG!$B:$B, E17),
"")</f>
        <v/>
      </c>
      <c r="I17" s="156" t="str">
        <f t="shared" ca="1" si="0"/>
        <v/>
      </c>
      <c r="J17" s="3">
        <f>IFERROR(VLOOKUP(F17, LEVEL_HELPER!$A:$B, 2, 0), "")</f>
        <v>2.5</v>
      </c>
      <c r="K17" s="3" t="str">
        <f>IFERROR(VLOOKUP(G17, LEVEL_HELPER!$A:$B, 2, 0), "")</f>
        <v/>
      </c>
      <c r="L17" s="157" t="s">
        <v>941</v>
      </c>
      <c r="M17" s="157" t="s">
        <v>921</v>
      </c>
      <c r="N17" s="3">
        <f t="array" aca="1" ref="N17" ca="1">IFERROR(
  INDEX($J$2:$J$543,
    MATCH(A17&amp;TEXT(I17,"yyyy-mm-dd"),
          $A$2:$A$543&amp;TEXT($H$2:$H$543,"yyyy-mm-dd"),
          0)),
"")</f>
        <v>2.5</v>
      </c>
      <c r="O17" s="147" t="str">
        <f t="shared" ca="1" si="1"/>
        <v/>
      </c>
      <c r="P17" s="147">
        <f t="shared" ref="P17:Q17" ca="1" si="26">IF(N17="",0,IF(N17&lt;=2,1,IF(N17&lt;=4,2,IF(N17&lt;=5.5,3,4))))</f>
        <v>2</v>
      </c>
      <c r="Q17" s="147">
        <f t="shared" ca="1" si="26"/>
        <v>0</v>
      </c>
      <c r="R17" s="147" t="str">
        <f t="shared" ca="1" si="3"/>
        <v>Regressed</v>
      </c>
      <c r="S17" s="147">
        <f t="shared" si="4"/>
        <v>1</v>
      </c>
      <c r="T17" s="147"/>
      <c r="U17" s="147"/>
      <c r="V17" s="148" t="e">
        <f ca="1"/>
        <v>#NAME?</v>
      </c>
      <c r="W17" s="147" t="e">
        <f t="shared" ca="1" si="5"/>
        <v>#NAME?</v>
      </c>
      <c r="X17" s="147" t="e">
        <f t="shared" ca="1" si="6"/>
        <v>#NAME?</v>
      </c>
      <c r="Y17" s="147" t="e">
        <f t="shared" ca="1" si="7"/>
        <v>#NAME?</v>
      </c>
      <c r="Z17" s="147"/>
      <c r="AA17" s="147"/>
      <c r="AB17" s="147"/>
      <c r="AC17" s="147"/>
      <c r="AD17" s="147"/>
      <c r="AE17" s="147"/>
      <c r="AF17" s="147"/>
      <c r="AG17" s="147"/>
      <c r="AH17" s="147"/>
      <c r="AI17" s="147"/>
      <c r="AJ17" s="147"/>
      <c r="AK17" s="147"/>
      <c r="AL17" s="147"/>
      <c r="AM17" s="151"/>
      <c r="AN17" s="148" t="str">
        <f ca="1">IFERROR(__xludf.DUMMYFUNCTION("""COMPUTED_VALUE"""),"193584")</f>
        <v>193584</v>
      </c>
      <c r="AO17" s="147" t="str">
        <f t="shared" ca="1" si="8"/>
        <v>GSD</v>
      </c>
      <c r="AP17" s="147" t="e">
        <f t="shared" ca="1" si="9"/>
        <v>#NAME?</v>
      </c>
      <c r="AQ17" s="147" t="str">
        <f t="shared" ca="1" si="10"/>
        <v>LBU</v>
      </c>
      <c r="AR17" s="147"/>
      <c r="AS17" s="147"/>
      <c r="AT17" s="147"/>
      <c r="AU17" s="147"/>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c r="CB17" s="147"/>
      <c r="CC17" s="147"/>
      <c r="CD17" s="147"/>
      <c r="CE17" s="147"/>
      <c r="CF17" s="147"/>
      <c r="CG17" s="147"/>
      <c r="CH17" s="147"/>
      <c r="CI17" s="147"/>
      <c r="CJ17" s="147"/>
      <c r="CK17" s="147"/>
    </row>
    <row r="18" spans="1:89">
      <c r="A18" s="159" t="s">
        <v>196</v>
      </c>
      <c r="B18" s="3" t="s">
        <v>197</v>
      </c>
      <c r="C18" s="160" t="s">
        <v>52</v>
      </c>
      <c r="D18" s="160" t="s">
        <v>846</v>
      </c>
      <c r="E18" s="3" t="s">
        <v>21</v>
      </c>
      <c r="F18" s="3" t="s">
        <v>926</v>
      </c>
      <c r="G18" s="3" t="s">
        <v>931</v>
      </c>
      <c r="H18" s="156" t="str">
        <f ca="1">IFERROR(
  _xludf.MINIFS(ATTENDANCE_LOG!$F:$F,
         ATTENDANCE_LOG!$A:$A, C18,
         ATTENDANCE_LOG!$B:$B, E18),
"")</f>
        <v/>
      </c>
      <c r="I18" s="156" t="str">
        <f t="shared" ca="1" si="0"/>
        <v/>
      </c>
      <c r="J18" s="3">
        <f>IFERROR(VLOOKUP(F18, LEVEL_HELPER!$A:$B, 2, 0), "")</f>
        <v>1</v>
      </c>
      <c r="K18" s="3">
        <f>IFERROR(VLOOKUP(G18, LEVEL_HELPER!$A:$B, 2, 0), "")</f>
        <v>4.5</v>
      </c>
      <c r="L18" s="157" t="s">
        <v>942</v>
      </c>
      <c r="M18" s="157" t="s">
        <v>921</v>
      </c>
      <c r="N18" s="3">
        <f t="array" aca="1" ref="N18" ca="1">IFERROR(
  INDEX($J$2:$J$543,
    MATCH(A18&amp;TEXT(I18,"yyyy-mm-dd"),
          $A$2:$A$543&amp;TEXT($H$2:$H$543,"yyyy-mm-dd"),
          0)),
"")</f>
        <v>1</v>
      </c>
      <c r="O18" s="147" t="str">
        <f t="shared" ca="1" si="1"/>
        <v/>
      </c>
      <c r="P18" s="147">
        <f t="shared" ref="P18:Q18" ca="1" si="27">IF(N18="",0,IF(N18&lt;=2,1,IF(N18&lt;=4,2,IF(N18&lt;=5.5,3,4))))</f>
        <v>1</v>
      </c>
      <c r="Q18" s="147">
        <f t="shared" ca="1" si="27"/>
        <v>0</v>
      </c>
      <c r="R18" s="147" t="str">
        <f t="shared" ca="1" si="3"/>
        <v>Regressed</v>
      </c>
      <c r="S18" s="147">
        <f t="shared" si="4"/>
        <v>1</v>
      </c>
      <c r="T18" s="147"/>
      <c r="U18" s="147"/>
      <c r="V18" s="148" t="e">
        <f ca="1"/>
        <v>#NAME?</v>
      </c>
      <c r="W18" s="147" t="e">
        <f t="shared" ca="1" si="5"/>
        <v>#NAME?</v>
      </c>
      <c r="X18" s="147" t="e">
        <f t="shared" ca="1" si="6"/>
        <v>#NAME?</v>
      </c>
      <c r="Y18" s="147" t="e">
        <f t="shared" ca="1" si="7"/>
        <v>#NAME?</v>
      </c>
      <c r="Z18" s="147"/>
      <c r="AA18" s="147"/>
      <c r="AB18" s="147"/>
      <c r="AC18" s="147"/>
      <c r="AD18" s="147"/>
      <c r="AE18" s="147"/>
      <c r="AF18" s="147"/>
      <c r="AG18" s="147"/>
      <c r="AH18" s="147"/>
      <c r="AI18" s="147"/>
      <c r="AJ18" s="147"/>
      <c r="AK18" s="147"/>
      <c r="AL18" s="147"/>
      <c r="AM18" s="151"/>
      <c r="AN18" s="148" t="str">
        <f ca="1">IFERROR(__xludf.DUMMYFUNCTION("""COMPUTED_VALUE"""),"203780")</f>
        <v>203780</v>
      </c>
      <c r="AO18" s="147" t="str">
        <f t="shared" ca="1" si="8"/>
        <v>QC</v>
      </c>
      <c r="AP18" s="147" t="e">
        <f t="shared" ca="1" si="9"/>
        <v>#NAME?</v>
      </c>
      <c r="AQ18" s="147" t="str">
        <f t="shared" ca="1" si="10"/>
        <v>TBU</v>
      </c>
      <c r="AR18" s="147"/>
      <c r="AS18" s="147"/>
      <c r="AT18" s="147"/>
      <c r="AU18" s="147"/>
      <c r="AV18" s="147"/>
      <c r="AW18" s="147"/>
      <c r="AX18" s="147"/>
      <c r="AY18" s="147"/>
      <c r="AZ18" s="147"/>
      <c r="BA18" s="147"/>
      <c r="BB18" s="147"/>
      <c r="BC18" s="147"/>
      <c r="BD18" s="147"/>
      <c r="BE18" s="147"/>
      <c r="BF18" s="147"/>
      <c r="BG18" s="147"/>
      <c r="BH18" s="147"/>
      <c r="BI18" s="147"/>
      <c r="BJ18" s="147"/>
      <c r="BK18" s="147"/>
      <c r="BL18" s="147"/>
      <c r="BM18" s="147"/>
      <c r="BN18" s="147"/>
      <c r="BO18" s="147"/>
      <c r="BP18" s="147"/>
      <c r="BQ18" s="147"/>
      <c r="BR18" s="147"/>
      <c r="BS18" s="147"/>
      <c r="BT18" s="147"/>
      <c r="BU18" s="147"/>
      <c r="BV18" s="147"/>
      <c r="BW18" s="147"/>
      <c r="BX18" s="147"/>
      <c r="BY18" s="147"/>
      <c r="BZ18" s="147"/>
      <c r="CA18" s="147"/>
      <c r="CB18" s="147"/>
      <c r="CC18" s="147"/>
      <c r="CD18" s="147"/>
      <c r="CE18" s="147"/>
      <c r="CF18" s="147"/>
      <c r="CG18" s="147"/>
      <c r="CH18" s="147"/>
      <c r="CI18" s="147"/>
      <c r="CJ18" s="147"/>
      <c r="CK18" s="147"/>
    </row>
    <row r="19" spans="1:89">
      <c r="A19" s="159" t="s">
        <v>328</v>
      </c>
      <c r="B19" s="3" t="s">
        <v>329</v>
      </c>
      <c r="C19" s="160" t="s">
        <v>52</v>
      </c>
      <c r="D19" s="160" t="s">
        <v>846</v>
      </c>
      <c r="E19" s="3" t="s">
        <v>21</v>
      </c>
      <c r="F19" s="3" t="s">
        <v>926</v>
      </c>
      <c r="G19" s="3" t="s">
        <v>917</v>
      </c>
      <c r="H19" s="156" t="str">
        <f ca="1">IFERROR(
  _xludf.MINIFS(ATTENDANCE_LOG!$F:$F,
         ATTENDANCE_LOG!$A:$A, C19,
         ATTENDANCE_LOG!$B:$B, E19),
"")</f>
        <v/>
      </c>
      <c r="I19" s="156" t="str">
        <f t="shared" ca="1" si="0"/>
        <v/>
      </c>
      <c r="J19" s="3">
        <f>IFERROR(VLOOKUP(F19, LEVEL_HELPER!$A:$B, 2, 0), "")</f>
        <v>1</v>
      </c>
      <c r="K19" s="3">
        <f>IFERROR(VLOOKUP(G19, LEVEL_HELPER!$A:$B, 2, 0), "")</f>
        <v>3</v>
      </c>
      <c r="L19" s="157" t="s">
        <v>942</v>
      </c>
      <c r="M19" s="157" t="s">
        <v>921</v>
      </c>
      <c r="N19" s="3">
        <f t="array" aca="1" ref="N19" ca="1">IFERROR(
  INDEX($J$2:$J$543,
    MATCH(A19&amp;TEXT(I19,"yyyy-mm-dd"),
          $A$2:$A$543&amp;TEXT($H$2:$H$543,"yyyy-mm-dd"),
          0)),
"")</f>
        <v>1</v>
      </c>
      <c r="O19" s="147" t="str">
        <f t="shared" ca="1" si="1"/>
        <v/>
      </c>
      <c r="P19" s="147">
        <f t="shared" ref="P19:Q19" ca="1" si="28">IF(N19="",0,IF(N19&lt;=2,1,IF(N19&lt;=4,2,IF(N19&lt;=5.5,3,4))))</f>
        <v>1</v>
      </c>
      <c r="Q19" s="147">
        <f t="shared" ca="1" si="28"/>
        <v>0</v>
      </c>
      <c r="R19" s="147" t="str">
        <f t="shared" ca="1" si="3"/>
        <v>Regressed</v>
      </c>
      <c r="S19" s="147">
        <f t="shared" si="4"/>
        <v>1</v>
      </c>
      <c r="T19" s="147"/>
      <c r="U19" s="147"/>
      <c r="V19" s="148" t="e">
        <f ca="1"/>
        <v>#NAME?</v>
      </c>
      <c r="W19" s="147" t="e">
        <f t="shared" ca="1" si="5"/>
        <v>#NAME?</v>
      </c>
      <c r="X19" s="147" t="e">
        <f t="shared" ca="1" si="6"/>
        <v>#NAME?</v>
      </c>
      <c r="Y19" s="147" t="e">
        <f t="shared" ca="1" si="7"/>
        <v>#NAME?</v>
      </c>
      <c r="Z19" s="147"/>
      <c r="AA19" s="147"/>
      <c r="AB19" s="147"/>
      <c r="AC19" s="147"/>
      <c r="AD19" s="147"/>
      <c r="AE19" s="147"/>
      <c r="AF19" s="147"/>
      <c r="AG19" s="147"/>
      <c r="AH19" s="147"/>
      <c r="AI19" s="147"/>
      <c r="AJ19" s="147"/>
      <c r="AK19" s="147"/>
      <c r="AL19" s="147"/>
      <c r="AM19" s="151"/>
      <c r="AN19" s="148" t="str">
        <f ca="1">IFERROR(__xludf.DUMMYFUNCTION("""COMPUTED_VALUE"""),"193534")</f>
        <v>193534</v>
      </c>
      <c r="AO19" s="147" t="str">
        <f t="shared" ca="1" si="8"/>
        <v>DEV</v>
      </c>
      <c r="AP19" s="147" t="e">
        <f t="shared" ca="1" si="9"/>
        <v>#NAME?</v>
      </c>
      <c r="AQ19" s="147" t="str">
        <f t="shared" ca="1" si="10"/>
        <v>POC</v>
      </c>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row>
    <row r="20" spans="1:89">
      <c r="A20" s="159" t="s">
        <v>506</v>
      </c>
      <c r="B20" s="3" t="s">
        <v>507</v>
      </c>
      <c r="C20" s="160" t="s">
        <v>52</v>
      </c>
      <c r="D20" s="160" t="s">
        <v>846</v>
      </c>
      <c r="E20" s="3" t="s">
        <v>21</v>
      </c>
      <c r="F20" s="3" t="s">
        <v>926</v>
      </c>
      <c r="G20" s="3"/>
      <c r="H20" s="156" t="str">
        <f ca="1">IFERROR(
  _xludf.MINIFS(ATTENDANCE_LOG!$F:$F,
         ATTENDANCE_LOG!$A:$A, C20,
         ATTENDANCE_LOG!$B:$B, E20),
"")</f>
        <v/>
      </c>
      <c r="I20" s="156" t="str">
        <f t="shared" ca="1" si="0"/>
        <v/>
      </c>
      <c r="J20" s="3">
        <f>IFERROR(VLOOKUP(F20, LEVEL_HELPER!$A:$B, 2, 0), "")</f>
        <v>1</v>
      </c>
      <c r="K20" s="3" t="str">
        <f>IFERROR(VLOOKUP(G20, LEVEL_HELPER!$A:$B, 2, 0), "")</f>
        <v/>
      </c>
      <c r="L20" s="157" t="s">
        <v>943</v>
      </c>
      <c r="M20" s="157" t="s">
        <v>921</v>
      </c>
      <c r="N20" s="3">
        <f t="array" aca="1" ref="N20" ca="1">IFERROR(
  INDEX($J$2:$J$543,
    MATCH(A20&amp;TEXT(I20,"yyyy-mm-dd"),
          $A$2:$A$543&amp;TEXT($H$2:$H$543,"yyyy-mm-dd"),
          0)),
"")</f>
        <v>1</v>
      </c>
      <c r="O20" s="147" t="str">
        <f t="shared" ca="1" si="1"/>
        <v/>
      </c>
      <c r="P20" s="147">
        <f t="shared" ref="P20:Q20" ca="1" si="29">IF(N20="",0,IF(N20&lt;=2,1,IF(N20&lt;=4,2,IF(N20&lt;=5.5,3,4))))</f>
        <v>1</v>
      </c>
      <c r="Q20" s="147">
        <f t="shared" ca="1" si="29"/>
        <v>0</v>
      </c>
      <c r="R20" s="147" t="str">
        <f t="shared" ca="1" si="3"/>
        <v>Regressed</v>
      </c>
      <c r="S20" s="147">
        <f t="shared" si="4"/>
        <v>1</v>
      </c>
      <c r="T20" s="147"/>
      <c r="U20" s="147"/>
      <c r="V20" s="148" t="e">
        <f ca="1"/>
        <v>#NAME?</v>
      </c>
      <c r="W20" s="147" t="e">
        <f t="shared" ca="1" si="5"/>
        <v>#NAME?</v>
      </c>
      <c r="X20" s="147" t="e">
        <f t="shared" ca="1" si="6"/>
        <v>#NAME?</v>
      </c>
      <c r="Y20" s="147" t="e">
        <f t="shared" ca="1" si="7"/>
        <v>#NAME?</v>
      </c>
      <c r="Z20" s="147"/>
      <c r="AA20" s="147"/>
      <c r="AB20" s="147"/>
      <c r="AC20" s="147"/>
      <c r="AD20" s="147"/>
      <c r="AE20" s="147"/>
      <c r="AF20" s="147"/>
      <c r="AG20" s="147"/>
      <c r="AH20" s="147"/>
      <c r="AI20" s="147"/>
      <c r="AJ20" s="147"/>
      <c r="AK20" s="147"/>
      <c r="AL20" s="147"/>
      <c r="AM20" s="151"/>
      <c r="AN20" s="148" t="str">
        <f ca="1">IFERROR(__xludf.DUMMYFUNCTION("""COMPUTED_VALUE"""),"247185")</f>
        <v>247185</v>
      </c>
      <c r="AO20" s="147" t="str">
        <f t="shared" ca="1" si="8"/>
        <v>QC</v>
      </c>
      <c r="AP20" s="147" t="e">
        <f t="shared" ca="1" si="9"/>
        <v>#NAME?</v>
      </c>
      <c r="AQ20" s="147" t="str">
        <f t="shared" ca="1" si="10"/>
        <v>ONC</v>
      </c>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row>
    <row r="21" spans="1:89">
      <c r="A21" s="159" t="s">
        <v>605</v>
      </c>
      <c r="B21" s="3" t="s">
        <v>606</v>
      </c>
      <c r="C21" s="160" t="s">
        <v>52</v>
      </c>
      <c r="D21" s="160" t="s">
        <v>846</v>
      </c>
      <c r="E21" s="3" t="s">
        <v>21</v>
      </c>
      <c r="F21" s="3" t="s">
        <v>926</v>
      </c>
      <c r="G21" s="3"/>
      <c r="H21" s="156" t="str">
        <f ca="1">IFERROR(
  _xludf.MINIFS(ATTENDANCE_LOG!$F:$F,
         ATTENDANCE_LOG!$A:$A, C21,
         ATTENDANCE_LOG!$B:$B, E21),
"")</f>
        <v/>
      </c>
      <c r="I21" s="156" t="str">
        <f t="shared" ca="1" si="0"/>
        <v/>
      </c>
      <c r="J21" s="3">
        <f>IFERROR(VLOOKUP(F21, LEVEL_HELPER!$A:$B, 2, 0), "")</f>
        <v>1</v>
      </c>
      <c r="K21" s="3" t="str">
        <f>IFERROR(VLOOKUP(G21, LEVEL_HELPER!$A:$B, 2, 0), "")</f>
        <v/>
      </c>
      <c r="L21" s="157" t="s">
        <v>942</v>
      </c>
      <c r="M21" s="157" t="s">
        <v>922</v>
      </c>
      <c r="N21" s="3">
        <f t="array" aca="1" ref="N21" ca="1">IFERROR(
  INDEX($J$2:$J$543,
    MATCH(A21&amp;TEXT(I21,"yyyy-mm-dd"),
          $A$2:$A$543&amp;TEXT($H$2:$H$543,"yyyy-mm-dd"),
          0)),
"")</f>
        <v>1</v>
      </c>
      <c r="O21" s="147" t="str">
        <f t="shared" ca="1" si="1"/>
        <v/>
      </c>
      <c r="P21" s="147">
        <f t="shared" ref="P21:Q21" ca="1" si="30">IF(N21="",0,IF(N21&lt;=2,1,IF(N21&lt;=4,2,IF(N21&lt;=5.5,3,4))))</f>
        <v>1</v>
      </c>
      <c r="Q21" s="147">
        <f t="shared" ca="1" si="30"/>
        <v>0</v>
      </c>
      <c r="R21" s="147" t="str">
        <f t="shared" ca="1" si="3"/>
        <v>Regressed</v>
      </c>
      <c r="S21" s="147">
        <f t="shared" si="4"/>
        <v>1</v>
      </c>
      <c r="T21" s="147"/>
      <c r="U21" s="147"/>
      <c r="V21" s="148" t="e">
        <f ca="1"/>
        <v>#NAME?</v>
      </c>
      <c r="W21" s="147" t="e">
        <f t="shared" ca="1" si="5"/>
        <v>#NAME?</v>
      </c>
      <c r="X21" s="147" t="e">
        <f t="shared" ca="1" si="6"/>
        <v>#NAME?</v>
      </c>
      <c r="Y21" s="147" t="e">
        <f t="shared" ca="1" si="7"/>
        <v>#NAME?</v>
      </c>
      <c r="Z21" s="147"/>
      <c r="AA21" s="147"/>
      <c r="AB21" s="147"/>
      <c r="AC21" s="147"/>
      <c r="AD21" s="147"/>
      <c r="AE21" s="147"/>
      <c r="AF21" s="147"/>
      <c r="AG21" s="147"/>
      <c r="AH21" s="147"/>
      <c r="AI21" s="147"/>
      <c r="AJ21" s="147"/>
      <c r="AK21" s="147"/>
      <c r="AL21" s="147"/>
      <c r="AM21" s="151"/>
      <c r="AN21" s="148" t="str">
        <f ca="1">IFERROR(__xludf.DUMMYFUNCTION("""COMPUTED_VALUE"""),"213844")</f>
        <v>213844</v>
      </c>
      <c r="AO21" s="147" t="str">
        <f t="shared" ca="1" si="8"/>
        <v>DEV</v>
      </c>
      <c r="AP21" s="147" t="e">
        <f t="shared" ca="1" si="9"/>
        <v>#NAME?</v>
      </c>
      <c r="AQ21" s="147" t="str">
        <f t="shared" ca="1" si="10"/>
        <v>MOC</v>
      </c>
      <c r="AR21" s="147"/>
      <c r="AS21" s="147"/>
      <c r="AT21" s="147"/>
      <c r="AU21" s="147"/>
      <c r="AV21" s="147"/>
      <c r="AW21" s="147"/>
      <c r="AX21" s="147"/>
      <c r="AY21" s="147"/>
      <c r="AZ21" s="147"/>
      <c r="BA21" s="147"/>
      <c r="BB21" s="147"/>
      <c r="BC21" s="147"/>
      <c r="BD21" s="147"/>
      <c r="BE21" s="147"/>
      <c r="BF21" s="147"/>
      <c r="BG21" s="147"/>
      <c r="BH21" s="147"/>
      <c r="BI21" s="147"/>
      <c r="BJ21" s="147"/>
      <c r="BK21" s="147"/>
      <c r="BL21" s="147"/>
      <c r="BM21" s="147"/>
      <c r="BN21" s="147"/>
      <c r="BO21" s="147"/>
      <c r="BP21" s="147"/>
      <c r="BQ21" s="147"/>
      <c r="BR21" s="147"/>
      <c r="BS21" s="147"/>
      <c r="BT21" s="147"/>
      <c r="BU21" s="147"/>
      <c r="BV21" s="147"/>
      <c r="BW21" s="147"/>
      <c r="BX21" s="147"/>
      <c r="BY21" s="147"/>
      <c r="BZ21" s="147"/>
      <c r="CA21" s="147"/>
      <c r="CB21" s="147"/>
      <c r="CC21" s="147"/>
      <c r="CD21" s="147"/>
      <c r="CE21" s="147"/>
      <c r="CF21" s="147"/>
      <c r="CG21" s="147"/>
      <c r="CH21" s="147"/>
      <c r="CI21" s="147"/>
      <c r="CJ21" s="147"/>
      <c r="CK21" s="147"/>
    </row>
    <row r="22" spans="1:89">
      <c r="A22" s="159" t="s">
        <v>677</v>
      </c>
      <c r="B22" s="3" t="s">
        <v>678</v>
      </c>
      <c r="C22" s="160" t="s">
        <v>52</v>
      </c>
      <c r="D22" s="160" t="s">
        <v>846</v>
      </c>
      <c r="E22" s="3" t="s">
        <v>21</v>
      </c>
      <c r="F22" s="3" t="s">
        <v>926</v>
      </c>
      <c r="G22" s="3" t="s">
        <v>917</v>
      </c>
      <c r="H22" s="156" t="str">
        <f ca="1">IFERROR(
  _xludf.MINIFS(ATTENDANCE_LOG!$F:$F,
         ATTENDANCE_LOG!$A:$A, C22,
         ATTENDANCE_LOG!$B:$B, E22),
"")</f>
        <v/>
      </c>
      <c r="I22" s="156" t="str">
        <f t="shared" ca="1" si="0"/>
        <v/>
      </c>
      <c r="J22" s="3">
        <f>IFERROR(VLOOKUP(F22, LEVEL_HELPER!$A:$B, 2, 0), "")</f>
        <v>1</v>
      </c>
      <c r="K22" s="3">
        <f>IFERROR(VLOOKUP(G22, LEVEL_HELPER!$A:$B, 2, 0), "")</f>
        <v>3</v>
      </c>
      <c r="L22" s="157" t="s">
        <v>942</v>
      </c>
      <c r="M22" s="157" t="s">
        <v>921</v>
      </c>
      <c r="N22" s="3">
        <f t="array" aca="1" ref="N22" ca="1">IFERROR(
  INDEX($J$2:$J$543,
    MATCH(A22&amp;TEXT(I22,"yyyy-mm-dd"),
          $A$2:$A$543&amp;TEXT($H$2:$H$543,"yyyy-mm-dd"),
          0)),
"")</f>
        <v>1</v>
      </c>
      <c r="O22" s="147" t="str">
        <f t="shared" ca="1" si="1"/>
        <v/>
      </c>
      <c r="P22" s="147">
        <f t="shared" ref="P22:Q22" ca="1" si="31">IF(N22="",0,IF(N22&lt;=2,1,IF(N22&lt;=4,2,IF(N22&lt;=5.5,3,4))))</f>
        <v>1</v>
      </c>
      <c r="Q22" s="147">
        <f t="shared" ca="1" si="31"/>
        <v>0</v>
      </c>
      <c r="R22" s="147" t="str">
        <f t="shared" ca="1" si="3"/>
        <v>Regressed</v>
      </c>
      <c r="S22" s="147">
        <f t="shared" si="4"/>
        <v>1</v>
      </c>
      <c r="T22" s="147"/>
      <c r="U22" s="147"/>
      <c r="V22" s="148" t="e">
        <f ca="1"/>
        <v>#NAME?</v>
      </c>
      <c r="W22" s="147" t="e">
        <f t="shared" ca="1" si="5"/>
        <v>#NAME?</v>
      </c>
      <c r="X22" s="147" t="e">
        <f t="shared" ca="1" si="6"/>
        <v>#NAME?</v>
      </c>
      <c r="Y22" s="147" t="e">
        <f t="shared" ca="1" si="7"/>
        <v>#NAME?</v>
      </c>
      <c r="Z22" s="147"/>
      <c r="AA22" s="147"/>
      <c r="AB22" s="147"/>
      <c r="AC22" s="147"/>
      <c r="AD22" s="147"/>
      <c r="AE22" s="147"/>
      <c r="AF22" s="147"/>
      <c r="AG22" s="147"/>
      <c r="AH22" s="147"/>
      <c r="AI22" s="147"/>
      <c r="AJ22" s="147"/>
      <c r="AK22" s="147"/>
      <c r="AL22" s="147"/>
      <c r="AM22" s="151"/>
      <c r="AN22" s="148" t="str">
        <f ca="1">IFERROR(__xludf.DUMMYFUNCTION("""COMPUTED_VALUE"""),"227047")</f>
        <v>227047</v>
      </c>
      <c r="AO22" s="147" t="str">
        <f t="shared" ca="1" si="8"/>
        <v>DEV</v>
      </c>
      <c r="AP22" s="147" t="e">
        <f t="shared" ca="1" si="9"/>
        <v>#NAME?</v>
      </c>
      <c r="AQ22" s="147" t="str">
        <f t="shared" ca="1" si="10"/>
        <v>POC</v>
      </c>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7"/>
      <c r="CE22" s="147"/>
      <c r="CF22" s="147"/>
      <c r="CG22" s="147"/>
      <c r="CH22" s="147"/>
      <c r="CI22" s="147"/>
      <c r="CJ22" s="147"/>
      <c r="CK22" s="147"/>
    </row>
    <row r="23" spans="1:89">
      <c r="A23" s="159" t="s">
        <v>687</v>
      </c>
      <c r="B23" s="3" t="s">
        <v>688</v>
      </c>
      <c r="C23" s="160" t="s">
        <v>52</v>
      </c>
      <c r="D23" s="160" t="s">
        <v>846</v>
      </c>
      <c r="E23" s="3" t="s">
        <v>21</v>
      </c>
      <c r="F23" s="3" t="s">
        <v>926</v>
      </c>
      <c r="G23" s="3" t="s">
        <v>917</v>
      </c>
      <c r="H23" s="156" t="str">
        <f ca="1">IFERROR(
  _xludf.MINIFS(ATTENDANCE_LOG!$F:$F,
         ATTENDANCE_LOG!$A:$A, C23,
         ATTENDANCE_LOG!$B:$B, E23),
"")</f>
        <v/>
      </c>
      <c r="I23" s="156" t="str">
        <f t="shared" ca="1" si="0"/>
        <v/>
      </c>
      <c r="J23" s="3">
        <f>IFERROR(VLOOKUP(F23, LEVEL_HELPER!$A:$B, 2, 0), "")</f>
        <v>1</v>
      </c>
      <c r="K23" s="3">
        <f>IFERROR(VLOOKUP(G23, LEVEL_HELPER!$A:$B, 2, 0), "")</f>
        <v>3</v>
      </c>
      <c r="L23" s="157" t="s">
        <v>942</v>
      </c>
      <c r="M23" s="157" t="s">
        <v>921</v>
      </c>
      <c r="N23" s="3">
        <f t="array" aca="1" ref="N23" ca="1">IFERROR(
  INDEX($J$2:$J$543,
    MATCH(A23&amp;TEXT(I23,"yyyy-mm-dd"),
          $A$2:$A$543&amp;TEXT($H$2:$H$543,"yyyy-mm-dd"),
          0)),
"")</f>
        <v>1</v>
      </c>
      <c r="O23" s="147" t="str">
        <f t="shared" ca="1" si="1"/>
        <v/>
      </c>
      <c r="P23" s="147">
        <f t="shared" ref="P23:Q23" ca="1" si="32">IF(N23="",0,IF(N23&lt;=2,1,IF(N23&lt;=4,2,IF(N23&lt;=5.5,3,4))))</f>
        <v>1</v>
      </c>
      <c r="Q23" s="147">
        <f t="shared" ca="1" si="32"/>
        <v>0</v>
      </c>
      <c r="R23" s="147" t="str">
        <f t="shared" ca="1" si="3"/>
        <v>Regressed</v>
      </c>
      <c r="S23" s="147">
        <f t="shared" si="4"/>
        <v>1</v>
      </c>
      <c r="T23" s="147"/>
      <c r="U23" s="147"/>
      <c r="V23" s="148" t="e">
        <f ca="1"/>
        <v>#NAME?</v>
      </c>
      <c r="W23" s="147" t="e">
        <f t="shared" ca="1" si="5"/>
        <v>#NAME?</v>
      </c>
      <c r="X23" s="147" t="e">
        <f t="shared" ca="1" si="6"/>
        <v>#NAME?</v>
      </c>
      <c r="Y23" s="147" t="e">
        <f t="shared" ca="1" si="7"/>
        <v>#NAME?</v>
      </c>
      <c r="Z23" s="147"/>
      <c r="AA23" s="147"/>
      <c r="AB23" s="147"/>
      <c r="AC23" s="147"/>
      <c r="AD23" s="147"/>
      <c r="AE23" s="147"/>
      <c r="AF23" s="147"/>
      <c r="AG23" s="147"/>
      <c r="AH23" s="147"/>
      <c r="AI23" s="147"/>
      <c r="AJ23" s="147"/>
      <c r="AK23" s="147"/>
      <c r="AL23" s="147"/>
      <c r="AM23" s="151"/>
      <c r="AN23" s="148" t="str">
        <f ca="1">IFERROR(__xludf.DUMMYFUNCTION("""COMPUTED_VALUE"""),"227116")</f>
        <v>227116</v>
      </c>
      <c r="AO23" s="147" t="str">
        <f t="shared" ca="1" si="8"/>
        <v>DEV</v>
      </c>
      <c r="AP23" s="147" t="e">
        <f t="shared" ca="1" si="9"/>
        <v>#NAME?</v>
      </c>
      <c r="AQ23" s="147" t="str">
        <f t="shared" ca="1" si="10"/>
        <v>CHORUS</v>
      </c>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47"/>
      <c r="BX23" s="147"/>
      <c r="BY23" s="147"/>
      <c r="BZ23" s="147"/>
      <c r="CA23" s="147"/>
      <c r="CB23" s="147"/>
      <c r="CC23" s="147"/>
      <c r="CD23" s="147"/>
      <c r="CE23" s="147"/>
      <c r="CF23" s="147"/>
      <c r="CG23" s="147"/>
      <c r="CH23" s="147"/>
      <c r="CI23" s="147"/>
      <c r="CJ23" s="147"/>
      <c r="CK23" s="147"/>
    </row>
    <row r="24" spans="1:89">
      <c r="A24" s="159" t="s">
        <v>701</v>
      </c>
      <c r="B24" s="3" t="s">
        <v>702</v>
      </c>
      <c r="C24" s="160" t="s">
        <v>52</v>
      </c>
      <c r="D24" s="160" t="s">
        <v>846</v>
      </c>
      <c r="E24" s="3" t="s">
        <v>21</v>
      </c>
      <c r="F24" s="3" t="s">
        <v>926</v>
      </c>
      <c r="G24" s="3" t="s">
        <v>934</v>
      </c>
      <c r="H24" s="156" t="str">
        <f ca="1">IFERROR(
  _xludf.MINIFS(ATTENDANCE_LOG!$F:$F,
         ATTENDANCE_LOG!$A:$A, C24,
         ATTENDANCE_LOG!$B:$B, E24),
"")</f>
        <v/>
      </c>
      <c r="I24" s="156" t="str">
        <f t="shared" ca="1" si="0"/>
        <v/>
      </c>
      <c r="J24" s="3">
        <f>IFERROR(VLOOKUP(F24, LEVEL_HELPER!$A:$B, 2, 0), "")</f>
        <v>1</v>
      </c>
      <c r="K24" s="3">
        <f>IFERROR(VLOOKUP(G24, LEVEL_HELPER!$A:$B, 2, 0), "")</f>
        <v>3.5</v>
      </c>
      <c r="L24" s="157" t="s">
        <v>942</v>
      </c>
      <c r="M24" s="157" t="s">
        <v>921</v>
      </c>
      <c r="N24" s="3">
        <f t="array" aca="1" ref="N24" ca="1">IFERROR(
  INDEX($J$2:$J$543,
    MATCH(A24&amp;TEXT(I24,"yyyy-mm-dd"),
          $A$2:$A$543&amp;TEXT($H$2:$H$543,"yyyy-mm-dd"),
          0)),
"")</f>
        <v>1</v>
      </c>
      <c r="O24" s="147" t="str">
        <f t="shared" ca="1" si="1"/>
        <v/>
      </c>
      <c r="P24" s="147">
        <f t="shared" ref="P24:Q24" ca="1" si="33">IF(N24="",0,IF(N24&lt;=2,1,IF(N24&lt;=4,2,IF(N24&lt;=5.5,3,4))))</f>
        <v>1</v>
      </c>
      <c r="Q24" s="147">
        <f t="shared" ca="1" si="33"/>
        <v>0</v>
      </c>
      <c r="R24" s="147" t="str">
        <f t="shared" ca="1" si="3"/>
        <v>Regressed</v>
      </c>
      <c r="S24" s="147">
        <f t="shared" si="4"/>
        <v>1</v>
      </c>
      <c r="T24" s="147"/>
      <c r="U24" s="147"/>
      <c r="V24" s="148" t="e">
        <f ca="1"/>
        <v>#NAME?</v>
      </c>
      <c r="W24" s="147" t="e">
        <f t="shared" ca="1" si="5"/>
        <v>#NAME?</v>
      </c>
      <c r="X24" s="147" t="e">
        <f t="shared" ca="1" si="6"/>
        <v>#NAME?</v>
      </c>
      <c r="Y24" s="147" t="e">
        <f t="shared" ca="1" si="7"/>
        <v>#NAME?</v>
      </c>
      <c r="Z24" s="147"/>
      <c r="AA24" s="147"/>
      <c r="AB24" s="147"/>
      <c r="AC24" s="147"/>
      <c r="AD24" s="147"/>
      <c r="AE24" s="147"/>
      <c r="AF24" s="147"/>
      <c r="AG24" s="147"/>
      <c r="AH24" s="147"/>
      <c r="AI24" s="147"/>
      <c r="AJ24" s="147"/>
      <c r="AK24" s="147"/>
      <c r="AL24" s="147"/>
      <c r="AM24" s="151"/>
      <c r="AN24" s="148" t="str">
        <f ca="1">IFERROR(__xludf.DUMMYFUNCTION("""COMPUTED_VALUE"""),"257133")</f>
        <v>257133</v>
      </c>
      <c r="AO24" s="147" t="str">
        <f t="shared" ca="1" si="8"/>
        <v>QC</v>
      </c>
      <c r="AP24" s="147" t="e">
        <f t="shared" ca="1" si="9"/>
        <v>#NAME?</v>
      </c>
      <c r="AQ24" s="147" t="str">
        <f t="shared" ca="1" si="10"/>
        <v>ONC</v>
      </c>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7"/>
      <c r="CE24" s="147"/>
      <c r="CF24" s="147"/>
      <c r="CG24" s="147"/>
      <c r="CH24" s="147"/>
      <c r="CI24" s="147"/>
      <c r="CJ24" s="147"/>
      <c r="CK24" s="147"/>
    </row>
    <row r="25" spans="1:89">
      <c r="A25" s="153" t="s">
        <v>534</v>
      </c>
      <c r="B25" s="154" t="s">
        <v>535</v>
      </c>
      <c r="C25" s="155" t="s">
        <v>53</v>
      </c>
      <c r="D25" s="155" t="s">
        <v>847</v>
      </c>
      <c r="E25" s="154" t="s">
        <v>21</v>
      </c>
      <c r="F25" s="3" t="s">
        <v>926</v>
      </c>
      <c r="G25" s="3" t="s">
        <v>917</v>
      </c>
      <c r="H25" s="156" t="str">
        <f ca="1">IFERROR(
  _xludf.MINIFS(ATTENDANCE_LOG!$F:$F,
         ATTENDANCE_LOG!$A:$A, C25,
         ATTENDANCE_LOG!$B:$B, E25),
"")</f>
        <v/>
      </c>
      <c r="I25" s="156" t="str">
        <f t="shared" ca="1" si="0"/>
        <v/>
      </c>
      <c r="J25" s="3">
        <f>IFERROR(VLOOKUP(F25, LEVEL_HELPER!$A:$B, 2, 0), "")</f>
        <v>1</v>
      </c>
      <c r="K25" s="3">
        <f>IFERROR(VLOOKUP(G25, LEVEL_HELPER!$A:$B, 2, 0), "")</f>
        <v>3</v>
      </c>
      <c r="L25" s="157" t="s">
        <v>918</v>
      </c>
      <c r="M25" s="157" t="s">
        <v>922</v>
      </c>
      <c r="N25" s="3">
        <f t="array" aca="1" ref="N25" ca="1">IFERROR(
  INDEX($J$2:$J$543,
    MATCH(A25&amp;TEXT(I25,"yyyy-mm-dd"),
          $A$2:$A$543&amp;TEXT($H$2:$H$543,"yyyy-mm-dd"),
          0)),
"")</f>
        <v>1</v>
      </c>
      <c r="O25" s="147" t="str">
        <f t="shared" ca="1" si="1"/>
        <v/>
      </c>
      <c r="P25" s="147">
        <f t="shared" ref="P25:Q25" ca="1" si="34">IF(N25="",0,IF(N25&lt;=2,1,IF(N25&lt;=4,2,IF(N25&lt;=5.5,3,4))))</f>
        <v>1</v>
      </c>
      <c r="Q25" s="147">
        <f t="shared" ca="1" si="34"/>
        <v>0</v>
      </c>
      <c r="R25" s="147" t="str">
        <f t="shared" ca="1" si="3"/>
        <v>Regressed</v>
      </c>
      <c r="S25" s="147">
        <f t="shared" si="4"/>
        <v>1</v>
      </c>
      <c r="T25" s="147"/>
      <c r="U25" s="147"/>
      <c r="V25" s="148" t="e">
        <f ca="1"/>
        <v>#NAME?</v>
      </c>
      <c r="W25" s="147" t="e">
        <f t="shared" ca="1" si="5"/>
        <v>#NAME?</v>
      </c>
      <c r="X25" s="147" t="e">
        <f t="shared" ca="1" si="6"/>
        <v>#NAME?</v>
      </c>
      <c r="Y25" s="147" t="e">
        <f t="shared" ca="1" si="7"/>
        <v>#NAME?</v>
      </c>
      <c r="Z25" s="147"/>
      <c r="AA25" s="147"/>
      <c r="AB25" s="147"/>
      <c r="AC25" s="147"/>
      <c r="AD25" s="147"/>
      <c r="AE25" s="147"/>
      <c r="AF25" s="147"/>
      <c r="AG25" s="147"/>
      <c r="AH25" s="147"/>
      <c r="AI25" s="147"/>
      <c r="AJ25" s="147"/>
      <c r="AK25" s="147"/>
      <c r="AL25" s="147"/>
      <c r="AM25" s="151"/>
      <c r="AN25" s="148" t="str">
        <f ca="1">IFERROR(__xludf.DUMMYFUNCTION("""COMPUTED_VALUE"""),"173246")</f>
        <v>173246</v>
      </c>
      <c r="AO25" s="147" t="str">
        <f t="shared" ca="1" si="8"/>
        <v>GSD</v>
      </c>
      <c r="AP25" s="147" t="e">
        <f t="shared" ca="1" si="9"/>
        <v>#NAME?</v>
      </c>
      <c r="AQ25" s="147" t="str">
        <f t="shared" ca="1" si="10"/>
        <v>POC</v>
      </c>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row>
    <row r="26" spans="1:89">
      <c r="A26" s="159" t="s">
        <v>325</v>
      </c>
      <c r="B26" s="3" t="s">
        <v>326</v>
      </c>
      <c r="C26" s="160" t="s">
        <v>53</v>
      </c>
      <c r="D26" s="160" t="s">
        <v>847</v>
      </c>
      <c r="E26" s="3" t="s">
        <v>21</v>
      </c>
      <c r="F26" s="3" t="s">
        <v>926</v>
      </c>
      <c r="G26" s="3" t="s">
        <v>926</v>
      </c>
      <c r="H26" s="156" t="str">
        <f ca="1">IFERROR(
  _xludf.MINIFS(ATTENDANCE_LOG!$F:$F,
         ATTENDANCE_LOG!$A:$A, C26,
         ATTENDANCE_LOG!$B:$B, E26),
"")</f>
        <v/>
      </c>
      <c r="I26" s="156" t="str">
        <f t="shared" ca="1" si="0"/>
        <v/>
      </c>
      <c r="J26" s="3">
        <f>IFERROR(VLOOKUP(F26, LEVEL_HELPER!$A:$B, 2, 0), "")</f>
        <v>1</v>
      </c>
      <c r="K26" s="3">
        <f>IFERROR(VLOOKUP(G26, LEVEL_HELPER!$A:$B, 2, 0), "")</f>
        <v>1</v>
      </c>
      <c r="L26" s="157" t="s">
        <v>944</v>
      </c>
      <c r="M26" s="157" t="s">
        <v>921</v>
      </c>
      <c r="N26" s="3">
        <f t="array" aca="1" ref="N26" ca="1">IFERROR(
  INDEX($J$2:$J$543,
    MATCH(A26&amp;TEXT(I26,"yyyy-mm-dd"),
          $A$2:$A$543&amp;TEXT($H$2:$H$543,"yyyy-mm-dd"),
          0)),
"")</f>
        <v>1</v>
      </c>
      <c r="O26" s="147" t="str">
        <f t="shared" ca="1" si="1"/>
        <v/>
      </c>
      <c r="P26" s="147">
        <f t="shared" ref="P26:Q26" ca="1" si="35">IF(N26="",0,IF(N26&lt;=2,1,IF(N26&lt;=4,2,IF(N26&lt;=5.5,3,4))))</f>
        <v>1</v>
      </c>
      <c r="Q26" s="147">
        <f t="shared" ca="1" si="35"/>
        <v>0</v>
      </c>
      <c r="R26" s="147" t="str">
        <f t="shared" ca="1" si="3"/>
        <v>Regressed</v>
      </c>
      <c r="S26" s="147">
        <f t="shared" si="4"/>
        <v>1</v>
      </c>
      <c r="T26" s="147"/>
      <c r="U26" s="147"/>
      <c r="V26" s="148" t="e">
        <f ca="1"/>
        <v>#NAME?</v>
      </c>
      <c r="W26" s="147" t="e">
        <f t="shared" ca="1" si="5"/>
        <v>#NAME?</v>
      </c>
      <c r="X26" s="147" t="e">
        <f t="shared" ca="1" si="6"/>
        <v>#NAME?</v>
      </c>
      <c r="Y26" s="147" t="e">
        <f t="shared" ca="1" si="7"/>
        <v>#NAME?</v>
      </c>
      <c r="Z26" s="147"/>
      <c r="AA26" s="147"/>
      <c r="AB26" s="147"/>
      <c r="AC26" s="147"/>
      <c r="AD26" s="147"/>
      <c r="AE26" s="147"/>
      <c r="AF26" s="147"/>
      <c r="AG26" s="147"/>
      <c r="AH26" s="147"/>
      <c r="AI26" s="147"/>
      <c r="AJ26" s="147"/>
      <c r="AK26" s="147"/>
      <c r="AL26" s="147"/>
      <c r="AM26" s="151"/>
      <c r="AN26" s="148" t="str">
        <f ca="1">IFERROR(__xludf.DUMMYFUNCTION("""COMPUTED_VALUE"""),"173230")</f>
        <v>173230</v>
      </c>
      <c r="AO26" s="147" t="str">
        <f t="shared" ca="1" si="8"/>
        <v>QC</v>
      </c>
      <c r="AP26" s="147" t="e">
        <f t="shared" ca="1" si="9"/>
        <v>#NAME?</v>
      </c>
      <c r="AQ26" s="147" t="str">
        <f t="shared" ca="1" si="10"/>
        <v>POC</v>
      </c>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7"/>
      <c r="CE26" s="147"/>
      <c r="CF26" s="147"/>
      <c r="CG26" s="147"/>
      <c r="CH26" s="147"/>
      <c r="CI26" s="147"/>
      <c r="CJ26" s="147"/>
      <c r="CK26" s="147"/>
    </row>
    <row r="27" spans="1:89">
      <c r="A27" s="159" t="s">
        <v>415</v>
      </c>
      <c r="B27" s="3" t="s">
        <v>416</v>
      </c>
      <c r="C27" s="160" t="s">
        <v>53</v>
      </c>
      <c r="D27" s="160" t="s">
        <v>847</v>
      </c>
      <c r="E27" s="3" t="s">
        <v>21</v>
      </c>
      <c r="F27" s="3" t="s">
        <v>926</v>
      </c>
      <c r="G27" s="3" t="s">
        <v>926</v>
      </c>
      <c r="H27" s="156" t="str">
        <f ca="1">IFERROR(
  _xludf.MINIFS(ATTENDANCE_LOG!$F:$F,
         ATTENDANCE_LOG!$A:$A, C27,
         ATTENDANCE_LOG!$B:$B, E27),
"")</f>
        <v/>
      </c>
      <c r="I27" s="156" t="str">
        <f t="shared" ca="1" si="0"/>
        <v/>
      </c>
      <c r="J27" s="3">
        <f>IFERROR(VLOOKUP(F27, LEVEL_HELPER!$A:$B, 2, 0), "")</f>
        <v>1</v>
      </c>
      <c r="K27" s="3">
        <f>IFERROR(VLOOKUP(G27, LEVEL_HELPER!$A:$B, 2, 0), "")</f>
        <v>1</v>
      </c>
      <c r="L27" s="157" t="s">
        <v>918</v>
      </c>
      <c r="M27" s="157" t="s">
        <v>921</v>
      </c>
      <c r="N27" s="3">
        <f t="array" aca="1" ref="N27" ca="1">IFERROR(
  INDEX($J$2:$J$543,
    MATCH(A27&amp;TEXT(I27,"yyyy-mm-dd"),
          $A$2:$A$543&amp;TEXT($H$2:$H$543,"yyyy-mm-dd"),
          0)),
"")</f>
        <v>1</v>
      </c>
      <c r="O27" s="147" t="str">
        <f t="shared" ca="1" si="1"/>
        <v/>
      </c>
      <c r="P27" s="147">
        <f t="shared" ref="P27:Q27" ca="1" si="36">IF(N27="",0,IF(N27&lt;=2,1,IF(N27&lt;=4,2,IF(N27&lt;=5.5,3,4))))</f>
        <v>1</v>
      </c>
      <c r="Q27" s="147">
        <f t="shared" ca="1" si="36"/>
        <v>0</v>
      </c>
      <c r="R27" s="147" t="str">
        <f t="shared" ca="1" si="3"/>
        <v>Regressed</v>
      </c>
      <c r="S27" s="147">
        <f t="shared" si="4"/>
        <v>1</v>
      </c>
      <c r="T27" s="147"/>
      <c r="U27" s="147"/>
      <c r="V27" s="148" t="e">
        <f ca="1"/>
        <v>#NAME?</v>
      </c>
      <c r="W27" s="147" t="e">
        <f t="shared" ca="1" si="5"/>
        <v>#NAME?</v>
      </c>
      <c r="X27" s="147" t="e">
        <f t="shared" ca="1" si="6"/>
        <v>#NAME?</v>
      </c>
      <c r="Y27" s="147" t="e">
        <f t="shared" ca="1" si="7"/>
        <v>#NAME?</v>
      </c>
      <c r="Z27" s="147"/>
      <c r="AA27" s="147"/>
      <c r="AB27" s="147"/>
      <c r="AC27" s="147"/>
      <c r="AD27" s="147"/>
      <c r="AE27" s="147"/>
      <c r="AF27" s="147"/>
      <c r="AG27" s="147"/>
      <c r="AH27" s="147"/>
      <c r="AI27" s="147"/>
      <c r="AJ27" s="147"/>
      <c r="AK27" s="147"/>
      <c r="AL27" s="147"/>
      <c r="AM27" s="151"/>
      <c r="AN27" s="148" t="str">
        <f ca="1">IFERROR(__xludf.DUMMYFUNCTION("""COMPUTED_VALUE"""),"183422")</f>
        <v>183422</v>
      </c>
      <c r="AO27" s="147" t="str">
        <f t="shared" ca="1" si="8"/>
        <v>DEV</v>
      </c>
      <c r="AP27" s="147" t="e">
        <f t="shared" ca="1" si="9"/>
        <v>#NAME?</v>
      </c>
      <c r="AQ27" s="147" t="str">
        <f t="shared" ca="1" si="10"/>
        <v>ONC</v>
      </c>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7"/>
      <c r="CE27" s="147"/>
      <c r="CF27" s="147"/>
      <c r="CG27" s="147"/>
      <c r="CH27" s="147"/>
      <c r="CI27" s="147"/>
      <c r="CJ27" s="147"/>
      <c r="CK27" s="147"/>
    </row>
    <row r="28" spans="1:89">
      <c r="A28" s="159" t="s">
        <v>461</v>
      </c>
      <c r="B28" s="3" t="s">
        <v>462</v>
      </c>
      <c r="C28" s="160" t="s">
        <v>53</v>
      </c>
      <c r="D28" s="160" t="s">
        <v>847</v>
      </c>
      <c r="E28" s="3" t="s">
        <v>21</v>
      </c>
      <c r="F28" s="3" t="s">
        <v>926</v>
      </c>
      <c r="G28" s="3" t="s">
        <v>926</v>
      </c>
      <c r="H28" s="156" t="str">
        <f ca="1">IFERROR(
  _xludf.MINIFS(ATTENDANCE_LOG!$F:$F,
         ATTENDANCE_LOG!$A:$A, C28,
         ATTENDANCE_LOG!$B:$B, E28),
"")</f>
        <v/>
      </c>
      <c r="I28" s="156" t="str">
        <f t="shared" ca="1" si="0"/>
        <v/>
      </c>
      <c r="J28" s="3">
        <f>IFERROR(VLOOKUP(F28, LEVEL_HELPER!$A:$B, 2, 0), "")</f>
        <v>1</v>
      </c>
      <c r="K28" s="3">
        <f>IFERROR(VLOOKUP(G28, LEVEL_HELPER!$A:$B, 2, 0), "")</f>
        <v>1</v>
      </c>
      <c r="L28" s="157" t="s">
        <v>918</v>
      </c>
      <c r="M28" s="157" t="s">
        <v>922</v>
      </c>
      <c r="N28" s="3">
        <f t="array" aca="1" ref="N28" ca="1">IFERROR(
  INDEX($J$2:$J$543,
    MATCH(A28&amp;TEXT(I28,"yyyy-mm-dd"),
          $A$2:$A$543&amp;TEXT($H$2:$H$543,"yyyy-mm-dd"),
          0)),
"")</f>
        <v>1</v>
      </c>
      <c r="O28" s="147" t="str">
        <f t="shared" ca="1" si="1"/>
        <v/>
      </c>
      <c r="P28" s="147">
        <f t="shared" ref="P28:Q28" ca="1" si="37">IF(N28="",0,IF(N28&lt;=2,1,IF(N28&lt;=4,2,IF(N28&lt;=5.5,3,4))))</f>
        <v>1</v>
      </c>
      <c r="Q28" s="147">
        <f t="shared" ca="1" si="37"/>
        <v>0</v>
      </c>
      <c r="R28" s="147" t="str">
        <f t="shared" ca="1" si="3"/>
        <v>Regressed</v>
      </c>
      <c r="S28" s="147">
        <f t="shared" si="4"/>
        <v>1</v>
      </c>
      <c r="T28" s="147"/>
      <c r="U28" s="147"/>
      <c r="V28" s="148" t="e">
        <f ca="1"/>
        <v>#NAME?</v>
      </c>
      <c r="W28" s="147" t="e">
        <f t="shared" ca="1" si="5"/>
        <v>#NAME?</v>
      </c>
      <c r="X28" s="147" t="e">
        <f t="shared" ca="1" si="6"/>
        <v>#NAME?</v>
      </c>
      <c r="Y28" s="147" t="e">
        <f t="shared" ca="1" si="7"/>
        <v>#NAME?</v>
      </c>
      <c r="Z28" s="147"/>
      <c r="AA28" s="147"/>
      <c r="AB28" s="147"/>
      <c r="AC28" s="147"/>
      <c r="AD28" s="147"/>
      <c r="AE28" s="147"/>
      <c r="AF28" s="147"/>
      <c r="AG28" s="147"/>
      <c r="AH28" s="147"/>
      <c r="AI28" s="147"/>
      <c r="AJ28" s="147"/>
      <c r="AK28" s="147"/>
      <c r="AL28" s="147"/>
      <c r="AM28" s="151"/>
      <c r="AN28" s="148" t="str">
        <f ca="1">IFERROR(__xludf.DUMMYFUNCTION("""COMPUTED_VALUE"""),"213889")</f>
        <v>213889</v>
      </c>
      <c r="AO28" s="147" t="str">
        <f t="shared" ca="1" si="8"/>
        <v>DEV</v>
      </c>
      <c r="AP28" s="147" t="e">
        <f t="shared" ca="1" si="9"/>
        <v>#NAME?</v>
      </c>
      <c r="AQ28" s="147" t="str">
        <f t="shared" ca="1" si="10"/>
        <v>MOC</v>
      </c>
      <c r="AR28" s="147"/>
      <c r="AS28" s="147"/>
      <c r="AT28" s="147"/>
      <c r="AU28" s="147"/>
      <c r="AV28" s="147"/>
      <c r="AW28" s="147"/>
      <c r="AX28" s="147"/>
      <c r="AY28" s="147"/>
      <c r="AZ28" s="147"/>
      <c r="BA28" s="147"/>
      <c r="BB28" s="147"/>
      <c r="BC28" s="147"/>
      <c r="BD28" s="147"/>
      <c r="BE28" s="147"/>
      <c r="BF28" s="147"/>
      <c r="BG28" s="147"/>
      <c r="BH28" s="147"/>
      <c r="BI28" s="147"/>
      <c r="BJ28" s="147"/>
      <c r="BK28" s="147"/>
      <c r="BL28" s="147"/>
      <c r="BM28" s="147"/>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row>
    <row r="29" spans="1:89">
      <c r="A29" s="159" t="s">
        <v>560</v>
      </c>
      <c r="B29" s="3" t="s">
        <v>561</v>
      </c>
      <c r="C29" s="160" t="s">
        <v>53</v>
      </c>
      <c r="D29" s="160" t="s">
        <v>847</v>
      </c>
      <c r="E29" s="3" t="s">
        <v>21</v>
      </c>
      <c r="F29" s="3" t="s">
        <v>926</v>
      </c>
      <c r="G29" s="3" t="s">
        <v>926</v>
      </c>
      <c r="H29" s="156" t="str">
        <f ca="1">IFERROR(
  _xludf.MINIFS(ATTENDANCE_LOG!$F:$F,
         ATTENDANCE_LOG!$A:$A, C29,
         ATTENDANCE_LOG!$B:$B, E29),
"")</f>
        <v/>
      </c>
      <c r="I29" s="156" t="str">
        <f t="shared" ca="1" si="0"/>
        <v/>
      </c>
      <c r="J29" s="3">
        <f>IFERROR(VLOOKUP(F29, LEVEL_HELPER!$A:$B, 2, 0), "")</f>
        <v>1</v>
      </c>
      <c r="K29" s="3">
        <f>IFERROR(VLOOKUP(G29, LEVEL_HELPER!$A:$B, 2, 0), "")</f>
        <v>1</v>
      </c>
      <c r="L29" s="157" t="s">
        <v>918</v>
      </c>
      <c r="M29" s="157" t="s">
        <v>921</v>
      </c>
      <c r="N29" s="3">
        <f t="array" aca="1" ref="N29" ca="1">IFERROR(
  INDEX($J$2:$J$543,
    MATCH(A29&amp;TEXT(I29,"yyyy-mm-dd"),
          $A$2:$A$543&amp;TEXT($H$2:$H$543,"yyyy-mm-dd"),
          0)),
"")</f>
        <v>1</v>
      </c>
      <c r="O29" s="147" t="str">
        <f t="shared" ca="1" si="1"/>
        <v/>
      </c>
      <c r="P29" s="147">
        <f t="shared" ref="P29:Q29" ca="1" si="38">IF(N29="",0,IF(N29&lt;=2,1,IF(N29&lt;=4,2,IF(N29&lt;=5.5,3,4))))</f>
        <v>1</v>
      </c>
      <c r="Q29" s="147">
        <f t="shared" ca="1" si="38"/>
        <v>0</v>
      </c>
      <c r="R29" s="147" t="str">
        <f t="shared" ca="1" si="3"/>
        <v>Regressed</v>
      </c>
      <c r="S29" s="147">
        <f t="shared" si="4"/>
        <v>1</v>
      </c>
      <c r="T29" s="147"/>
      <c r="U29" s="147"/>
      <c r="V29" s="148" t="e">
        <f ca="1"/>
        <v>#NAME?</v>
      </c>
      <c r="W29" s="147" t="e">
        <f t="shared" ca="1" si="5"/>
        <v>#NAME?</v>
      </c>
      <c r="X29" s="147" t="e">
        <f t="shared" ca="1" si="6"/>
        <v>#NAME?</v>
      </c>
      <c r="Y29" s="147" t="e">
        <f t="shared" ca="1" si="7"/>
        <v>#NAME?</v>
      </c>
      <c r="Z29" s="147"/>
      <c r="AA29" s="147"/>
      <c r="AB29" s="147"/>
      <c r="AC29" s="147"/>
      <c r="AD29" s="147"/>
      <c r="AE29" s="147"/>
      <c r="AF29" s="147"/>
      <c r="AG29" s="147"/>
      <c r="AH29" s="147"/>
      <c r="AI29" s="147"/>
      <c r="AJ29" s="147"/>
      <c r="AK29" s="147"/>
      <c r="AL29" s="147"/>
      <c r="AM29" s="151"/>
      <c r="AN29" s="148" t="str">
        <f ca="1">IFERROR(__xludf.DUMMYFUNCTION("""COMPUTED_VALUE"""),"163188")</f>
        <v>163188</v>
      </c>
      <c r="AO29" s="147" t="str">
        <f t="shared" ca="1" si="8"/>
        <v>DEV</v>
      </c>
      <c r="AP29" s="147" t="e">
        <f t="shared" ca="1" si="9"/>
        <v>#NAME?</v>
      </c>
      <c r="AQ29" s="147" t="str">
        <f t="shared" ca="1" si="10"/>
        <v>MOC</v>
      </c>
      <c r="AR29" s="147"/>
      <c r="AS29" s="147"/>
      <c r="AT29" s="147"/>
      <c r="AU29" s="147"/>
      <c r="AV29" s="147"/>
      <c r="AW29" s="147"/>
      <c r="AX29" s="147"/>
      <c r="AY29" s="147"/>
      <c r="AZ29" s="147"/>
      <c r="BA29" s="147"/>
      <c r="BB29" s="147"/>
      <c r="BC29" s="147"/>
      <c r="BD29" s="147"/>
      <c r="BE29" s="147"/>
      <c r="BF29" s="147"/>
      <c r="BG29" s="147"/>
      <c r="BH29" s="147"/>
      <c r="BI29" s="147"/>
      <c r="BJ29" s="147"/>
      <c r="BK29" s="147"/>
      <c r="BL29" s="147"/>
      <c r="BM29" s="147"/>
      <c r="BN29" s="147"/>
      <c r="BO29" s="147"/>
      <c r="BP29" s="147"/>
      <c r="BQ29" s="147"/>
      <c r="BR29" s="147"/>
      <c r="BS29" s="147"/>
      <c r="BT29" s="147"/>
      <c r="BU29" s="147"/>
      <c r="BV29" s="147"/>
      <c r="BW29" s="147"/>
      <c r="BX29" s="147"/>
      <c r="BY29" s="147"/>
      <c r="BZ29" s="147"/>
      <c r="CA29" s="147"/>
      <c r="CB29" s="147"/>
      <c r="CC29" s="147"/>
      <c r="CD29" s="147"/>
      <c r="CE29" s="147"/>
      <c r="CF29" s="147"/>
      <c r="CG29" s="147"/>
      <c r="CH29" s="147"/>
      <c r="CI29" s="147"/>
      <c r="CJ29" s="147"/>
      <c r="CK29" s="147"/>
    </row>
    <row r="30" spans="1:89">
      <c r="A30" s="159" t="s">
        <v>399</v>
      </c>
      <c r="B30" s="3" t="s">
        <v>400</v>
      </c>
      <c r="C30" s="160" t="s">
        <v>53</v>
      </c>
      <c r="D30" s="160" t="s">
        <v>847</v>
      </c>
      <c r="E30" s="3" t="s">
        <v>21</v>
      </c>
      <c r="F30" s="3" t="s">
        <v>916</v>
      </c>
      <c r="G30" s="3" t="s">
        <v>934</v>
      </c>
      <c r="H30" s="156" t="str">
        <f ca="1">IFERROR(
  _xludf.MINIFS(ATTENDANCE_LOG!$F:$F,
         ATTENDANCE_LOG!$A:$A, C30,
         ATTENDANCE_LOG!$B:$B, E30),
"")</f>
        <v/>
      </c>
      <c r="I30" s="156" t="str">
        <f t="shared" ca="1" si="0"/>
        <v/>
      </c>
      <c r="J30" s="3">
        <f>IFERROR(VLOOKUP(F30, LEVEL_HELPER!$A:$B, 2, 0), "")</f>
        <v>2.5</v>
      </c>
      <c r="K30" s="3">
        <f>IFERROR(VLOOKUP(G30, LEVEL_HELPER!$A:$B, 2, 0), "")</f>
        <v>3.5</v>
      </c>
      <c r="L30" s="157" t="s">
        <v>944</v>
      </c>
      <c r="M30" s="157" t="s">
        <v>922</v>
      </c>
      <c r="N30" s="3">
        <f t="array" aca="1" ref="N30" ca="1">IFERROR(
  INDEX($J$2:$J$543,
    MATCH(A30&amp;TEXT(I30,"yyyy-mm-dd"),
          $A$2:$A$543&amp;TEXT($H$2:$H$543,"yyyy-mm-dd"),
          0)),
"")</f>
        <v>2.5</v>
      </c>
      <c r="O30" s="147" t="str">
        <f t="shared" ca="1" si="1"/>
        <v/>
      </c>
      <c r="P30" s="147">
        <f t="shared" ref="P30:Q30" ca="1" si="39">IF(N30="",0,IF(N30&lt;=2,1,IF(N30&lt;=4,2,IF(N30&lt;=5.5,3,4))))</f>
        <v>2</v>
      </c>
      <c r="Q30" s="147">
        <f t="shared" ca="1" si="39"/>
        <v>0</v>
      </c>
      <c r="R30" s="147" t="str">
        <f t="shared" ca="1" si="3"/>
        <v>Regressed</v>
      </c>
      <c r="S30" s="147">
        <f t="shared" si="4"/>
        <v>1</v>
      </c>
      <c r="T30" s="147"/>
      <c r="U30" s="147"/>
      <c r="V30" s="148" t="e">
        <f ca="1"/>
        <v>#NAME?</v>
      </c>
      <c r="W30" s="147" t="e">
        <f t="shared" ca="1" si="5"/>
        <v>#NAME?</v>
      </c>
      <c r="X30" s="147" t="e">
        <f t="shared" ca="1" si="6"/>
        <v>#NAME?</v>
      </c>
      <c r="Y30" s="147" t="e">
        <f t="shared" ca="1" si="7"/>
        <v>#NAME?</v>
      </c>
      <c r="Z30" s="147"/>
      <c r="AA30" s="147"/>
      <c r="AB30" s="147"/>
      <c r="AC30" s="147"/>
      <c r="AD30" s="147"/>
      <c r="AE30" s="147"/>
      <c r="AF30" s="147"/>
      <c r="AG30" s="147"/>
      <c r="AH30" s="147"/>
      <c r="AI30" s="147"/>
      <c r="AJ30" s="147"/>
      <c r="AK30" s="147"/>
      <c r="AL30" s="147"/>
      <c r="AM30" s="151"/>
      <c r="AN30" s="148" t="str">
        <f ca="1">IFERROR(__xludf.DUMMYFUNCTION("""COMPUTED_VALUE"""),"133051")</f>
        <v>133051</v>
      </c>
      <c r="AO30" s="147" t="str">
        <f t="shared" ca="1" si="8"/>
        <v>DEV</v>
      </c>
      <c r="AP30" s="147" t="e">
        <f t="shared" ca="1" si="9"/>
        <v>#NAME?</v>
      </c>
      <c r="AQ30" s="147" t="str">
        <f t="shared" ca="1" si="10"/>
        <v>TBU</v>
      </c>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c r="CB30" s="147"/>
      <c r="CC30" s="147"/>
      <c r="CD30" s="147"/>
      <c r="CE30" s="147"/>
      <c r="CF30" s="147"/>
      <c r="CG30" s="147"/>
      <c r="CH30" s="147"/>
      <c r="CI30" s="147"/>
      <c r="CJ30" s="147"/>
      <c r="CK30" s="147"/>
    </row>
    <row r="31" spans="1:89">
      <c r="A31" s="153" t="s">
        <v>510</v>
      </c>
      <c r="B31" s="154" t="s">
        <v>511</v>
      </c>
      <c r="C31" s="155" t="s">
        <v>54</v>
      </c>
      <c r="D31" s="155" t="s">
        <v>848</v>
      </c>
      <c r="E31" s="154" t="s">
        <v>21</v>
      </c>
      <c r="F31" s="3" t="s">
        <v>916</v>
      </c>
      <c r="G31" s="3" t="s">
        <v>934</v>
      </c>
      <c r="H31" s="156" t="str">
        <f ca="1">IFERROR(
  _xludf.MINIFS(ATTENDANCE_LOG!$F:$F,
         ATTENDANCE_LOG!$A:$A, C31,
         ATTENDANCE_LOG!$B:$B, E31),
"")</f>
        <v/>
      </c>
      <c r="I31" s="156" t="str">
        <f t="shared" ca="1" si="0"/>
        <v/>
      </c>
      <c r="J31" s="3">
        <f>IFERROR(VLOOKUP(F31, LEVEL_HELPER!$A:$B, 2, 0), "")</f>
        <v>2.5</v>
      </c>
      <c r="K31" s="3">
        <f>IFERROR(VLOOKUP(G31, LEVEL_HELPER!$A:$B, 2, 0), "")</f>
        <v>3.5</v>
      </c>
      <c r="L31" s="157" t="s">
        <v>942</v>
      </c>
      <c r="M31" s="157" t="s">
        <v>924</v>
      </c>
      <c r="N31" s="3">
        <f t="array" aca="1" ref="N31" ca="1">IFERROR(
  INDEX($J$2:$J$543,
    MATCH(A31&amp;TEXT(I31,"yyyy-mm-dd"),
          $A$2:$A$543&amp;TEXT($H$2:$H$543,"yyyy-mm-dd"),
          0)),
"")</f>
        <v>2.5</v>
      </c>
      <c r="O31" s="147" t="str">
        <f t="shared" ca="1" si="1"/>
        <v/>
      </c>
      <c r="P31" s="147">
        <f t="shared" ref="P31:Q31" ca="1" si="40">IF(N31="",0,IF(N31&lt;=2,1,IF(N31&lt;=4,2,IF(N31&lt;=5.5,3,4))))</f>
        <v>2</v>
      </c>
      <c r="Q31" s="147">
        <f t="shared" ca="1" si="40"/>
        <v>0</v>
      </c>
      <c r="R31" s="147" t="str">
        <f t="shared" ca="1" si="3"/>
        <v>Regressed</v>
      </c>
      <c r="S31" s="147">
        <f t="shared" si="4"/>
        <v>1</v>
      </c>
      <c r="T31" s="147"/>
      <c r="U31" s="147"/>
      <c r="V31" s="148" t="e">
        <f ca="1"/>
        <v>#NAME?</v>
      </c>
      <c r="W31" s="147" t="e">
        <f t="shared" ca="1" si="5"/>
        <v>#NAME?</v>
      </c>
      <c r="X31" s="147" t="e">
        <f t="shared" ca="1" si="6"/>
        <v>#NAME?</v>
      </c>
      <c r="Y31" s="147" t="e">
        <f t="shared" ca="1" si="7"/>
        <v>#NAME?</v>
      </c>
      <c r="Z31" s="147"/>
      <c r="AC31" s="147"/>
      <c r="AD31" s="147"/>
      <c r="AE31" s="147"/>
      <c r="AF31" s="147"/>
      <c r="AG31" s="147"/>
      <c r="AH31" s="147"/>
      <c r="AI31" s="147"/>
      <c r="AJ31" s="147"/>
      <c r="AK31" s="147"/>
      <c r="AL31" s="147"/>
      <c r="AM31" s="151"/>
      <c r="AN31" s="148" t="str">
        <f ca="1">IFERROR(__xludf.DUMMYFUNCTION("""COMPUTED_VALUE"""),"143079")</f>
        <v>143079</v>
      </c>
      <c r="AO31" s="147" t="str">
        <f t="shared" ca="1" si="8"/>
        <v>QC</v>
      </c>
      <c r="AP31" s="147" t="e">
        <f t="shared" ca="1" si="9"/>
        <v>#NAME?</v>
      </c>
      <c r="AQ31" s="147" t="str">
        <f t="shared" ca="1" si="10"/>
        <v>POC</v>
      </c>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7"/>
      <c r="CE31" s="147"/>
      <c r="CF31" s="147"/>
      <c r="CG31" s="147"/>
      <c r="CH31" s="147"/>
      <c r="CI31" s="147"/>
      <c r="CJ31" s="147"/>
      <c r="CK31" s="147"/>
    </row>
    <row r="32" spans="1:89">
      <c r="A32" s="159" t="s">
        <v>144</v>
      </c>
      <c r="B32" s="3" t="s">
        <v>145</v>
      </c>
      <c r="C32" s="160" t="s">
        <v>54</v>
      </c>
      <c r="D32" s="160" t="s">
        <v>848</v>
      </c>
      <c r="E32" s="3" t="s">
        <v>21</v>
      </c>
      <c r="F32" s="3" t="s">
        <v>926</v>
      </c>
      <c r="G32" s="3" t="s">
        <v>926</v>
      </c>
      <c r="H32" s="156" t="str">
        <f ca="1">IFERROR(
  _xludf.MINIFS(ATTENDANCE_LOG!$F:$F,
         ATTENDANCE_LOG!$A:$A, C32,
         ATTENDANCE_LOG!$B:$B, E32),
"")</f>
        <v/>
      </c>
      <c r="I32" s="156" t="str">
        <f t="shared" ca="1" si="0"/>
        <v/>
      </c>
      <c r="J32" s="3">
        <f>IFERROR(VLOOKUP(F32, LEVEL_HELPER!$A:$B, 2, 0), "")</f>
        <v>1</v>
      </c>
      <c r="K32" s="3">
        <f>IFERROR(VLOOKUP(G32, LEVEL_HELPER!$A:$B, 2, 0), "")</f>
        <v>1</v>
      </c>
      <c r="L32" s="157" t="s">
        <v>942</v>
      </c>
      <c r="M32" s="157" t="s">
        <v>924</v>
      </c>
      <c r="N32" s="3">
        <f t="array" aca="1" ref="N32" ca="1">IFERROR(
  INDEX($J$2:$J$543,
    MATCH(A32&amp;TEXT(I32,"yyyy-mm-dd"),
          $A$2:$A$543&amp;TEXT($H$2:$H$543,"yyyy-mm-dd"),
          0)),
"")</f>
        <v>1</v>
      </c>
      <c r="O32" s="147" t="str">
        <f t="shared" ca="1" si="1"/>
        <v/>
      </c>
      <c r="P32" s="147">
        <f t="shared" ref="P32:Q32" ca="1" si="41">IF(N32="",0,IF(N32&lt;=2,1,IF(N32&lt;=4,2,IF(N32&lt;=5.5,3,4))))</f>
        <v>1</v>
      </c>
      <c r="Q32" s="147">
        <f t="shared" ca="1" si="41"/>
        <v>0</v>
      </c>
      <c r="R32" s="147" t="str">
        <f t="shared" ca="1" si="3"/>
        <v>Regressed</v>
      </c>
      <c r="S32" s="147">
        <f t="shared" si="4"/>
        <v>1</v>
      </c>
      <c r="T32" s="147"/>
      <c r="U32" s="147"/>
      <c r="V32" s="148" t="e">
        <f ca="1"/>
        <v>#NAME?</v>
      </c>
      <c r="W32" s="147" t="e">
        <f t="shared" ca="1" si="5"/>
        <v>#NAME?</v>
      </c>
      <c r="X32" s="147" t="e">
        <f t="shared" ca="1" si="6"/>
        <v>#NAME?</v>
      </c>
      <c r="Y32" s="147" t="e">
        <f t="shared" ca="1" si="7"/>
        <v>#NAME?</v>
      </c>
      <c r="Z32" s="147"/>
      <c r="AC32" s="147"/>
      <c r="AD32" s="147"/>
      <c r="AE32" s="147"/>
      <c r="AF32" s="147"/>
      <c r="AG32" s="147"/>
      <c r="AH32" s="147"/>
      <c r="AI32" s="147"/>
      <c r="AJ32" s="147"/>
      <c r="AK32" s="147"/>
      <c r="AL32" s="147"/>
      <c r="AM32" s="151"/>
      <c r="AN32" s="148" t="str">
        <f ca="1">IFERROR(__xludf.DUMMYFUNCTION("""COMPUTED_VALUE"""),"237035")</f>
        <v>237035</v>
      </c>
      <c r="AO32" s="147" t="str">
        <f t="shared" ca="1" si="8"/>
        <v>DEV</v>
      </c>
      <c r="AP32" s="147" t="e">
        <f t="shared" ca="1" si="9"/>
        <v>#NAME?</v>
      </c>
      <c r="AQ32" s="147" t="str">
        <f t="shared" ca="1" si="10"/>
        <v>ONC</v>
      </c>
      <c r="AR32" s="147"/>
      <c r="AS32" s="147"/>
      <c r="AT32" s="147"/>
      <c r="AU32" s="147"/>
      <c r="AV32" s="147"/>
      <c r="AW32" s="147"/>
      <c r="AX32" s="147"/>
      <c r="AY32" s="147"/>
      <c r="AZ32" s="147"/>
      <c r="BA32" s="147"/>
      <c r="BB32" s="147"/>
      <c r="BC32" s="147"/>
      <c r="BD32" s="147"/>
      <c r="BE32" s="147"/>
      <c r="BF32" s="147"/>
      <c r="BG32" s="147"/>
      <c r="BH32" s="147"/>
      <c r="BI32" s="147"/>
      <c r="BJ32" s="147"/>
      <c r="BK32" s="147"/>
      <c r="BL32" s="147"/>
      <c r="BM32" s="147"/>
      <c r="BN32" s="147"/>
      <c r="BO32" s="147"/>
      <c r="BP32" s="147"/>
      <c r="BQ32" s="147"/>
      <c r="BR32" s="147"/>
      <c r="BS32" s="147"/>
      <c r="BT32" s="147"/>
      <c r="BU32" s="147"/>
      <c r="BV32" s="147"/>
      <c r="BW32" s="147"/>
      <c r="BX32" s="147"/>
      <c r="BY32" s="147"/>
      <c r="BZ32" s="147"/>
      <c r="CA32" s="147"/>
      <c r="CB32" s="147"/>
      <c r="CC32" s="147"/>
      <c r="CD32" s="147"/>
      <c r="CE32" s="147"/>
      <c r="CF32" s="147"/>
      <c r="CG32" s="147"/>
      <c r="CH32" s="147"/>
      <c r="CI32" s="147"/>
      <c r="CJ32" s="147"/>
      <c r="CK32" s="147"/>
    </row>
    <row r="33" spans="1:89">
      <c r="A33" s="159" t="s">
        <v>155</v>
      </c>
      <c r="B33" s="3" t="s">
        <v>156</v>
      </c>
      <c r="C33" s="160" t="s">
        <v>54</v>
      </c>
      <c r="D33" s="160" t="s">
        <v>848</v>
      </c>
      <c r="E33" s="3" t="s">
        <v>21</v>
      </c>
      <c r="F33" s="3" t="s">
        <v>926</v>
      </c>
      <c r="G33" s="3" t="s">
        <v>940</v>
      </c>
      <c r="H33" s="156" t="str">
        <f ca="1">IFERROR(
  _xludf.MINIFS(ATTENDANCE_LOG!$F:$F,
         ATTENDANCE_LOG!$A:$A, C33,
         ATTENDANCE_LOG!$B:$B, E33),
"")</f>
        <v/>
      </c>
      <c r="I33" s="156" t="str">
        <f t="shared" ca="1" si="0"/>
        <v/>
      </c>
      <c r="J33" s="3">
        <f>IFERROR(VLOOKUP(F33, LEVEL_HELPER!$A:$B, 2, 0), "")</f>
        <v>1</v>
      </c>
      <c r="K33" s="3">
        <f>IFERROR(VLOOKUP(G33, LEVEL_HELPER!$A:$B, 2, 0), "")</f>
        <v>5</v>
      </c>
      <c r="L33" s="157" t="s">
        <v>942</v>
      </c>
      <c r="M33" s="157" t="s">
        <v>924</v>
      </c>
      <c r="N33" s="3">
        <f t="array" aca="1" ref="N33" ca="1">IFERROR(
  INDEX($J$2:$J$543,
    MATCH(A33&amp;TEXT(I33,"yyyy-mm-dd"),
          $A$2:$A$543&amp;TEXT($H$2:$H$543,"yyyy-mm-dd"),
          0)),
"")</f>
        <v>1</v>
      </c>
      <c r="O33" s="147" t="str">
        <f t="shared" ca="1" si="1"/>
        <v/>
      </c>
      <c r="P33" s="147">
        <f t="shared" ref="P33:Q33" ca="1" si="42">IF(N33="",0,IF(N33&lt;=2,1,IF(N33&lt;=4,2,IF(N33&lt;=5.5,3,4))))</f>
        <v>1</v>
      </c>
      <c r="Q33" s="147">
        <f t="shared" ca="1" si="42"/>
        <v>0</v>
      </c>
      <c r="R33" s="147" t="str">
        <f t="shared" ca="1" si="3"/>
        <v>Regressed</v>
      </c>
      <c r="S33" s="147">
        <f t="shared" si="4"/>
        <v>1</v>
      </c>
      <c r="T33" s="147"/>
      <c r="U33" s="147"/>
      <c r="V33" s="148" t="e">
        <f ca="1"/>
        <v>#NAME?</v>
      </c>
      <c r="W33" s="147" t="e">
        <f t="shared" ca="1" si="5"/>
        <v>#NAME?</v>
      </c>
      <c r="X33" s="147" t="e">
        <f t="shared" ca="1" si="6"/>
        <v>#NAME?</v>
      </c>
      <c r="Y33" s="147" t="e">
        <f t="shared" ca="1" si="7"/>
        <v>#NAME?</v>
      </c>
      <c r="Z33" s="147"/>
      <c r="AC33" s="147"/>
      <c r="AD33" s="147"/>
      <c r="AE33" s="147"/>
      <c r="AF33" s="147"/>
      <c r="AG33" s="147"/>
      <c r="AH33" s="147"/>
      <c r="AI33" s="147"/>
      <c r="AJ33" s="147"/>
      <c r="AK33" s="147"/>
      <c r="AL33" s="147"/>
      <c r="AM33" s="151"/>
      <c r="AN33" s="148" t="str">
        <f ca="1">IFERROR(__xludf.DUMMYFUNCTION("""COMPUTED_VALUE"""),"247413")</f>
        <v>247413</v>
      </c>
      <c r="AO33" s="147" t="str">
        <f t="shared" ca="1" si="8"/>
        <v>DEV</v>
      </c>
      <c r="AP33" s="147" t="e">
        <f t="shared" ca="1" si="9"/>
        <v>#NAME?</v>
      </c>
      <c r="AQ33" s="147" t="str">
        <f t="shared" ca="1" si="10"/>
        <v>CHORUS</v>
      </c>
      <c r="AR33" s="147"/>
      <c r="AS33" s="147"/>
      <c r="AT33" s="147"/>
      <c r="AU33" s="147"/>
      <c r="AV33" s="147"/>
      <c r="AW33" s="147"/>
      <c r="AX33" s="147"/>
      <c r="AY33" s="147"/>
      <c r="AZ33" s="147"/>
      <c r="BA33" s="147"/>
      <c r="BB33" s="147"/>
      <c r="BC33" s="147"/>
      <c r="BD33" s="147"/>
      <c r="BE33" s="147"/>
      <c r="BF33" s="147"/>
      <c r="BG33" s="147"/>
      <c r="BH33" s="147"/>
      <c r="BI33" s="147"/>
      <c r="BJ33" s="147"/>
      <c r="BK33" s="147"/>
      <c r="BL33" s="147"/>
      <c r="BM33" s="147"/>
      <c r="BN33" s="147"/>
      <c r="BO33" s="147"/>
      <c r="BP33" s="147"/>
      <c r="BQ33" s="147"/>
      <c r="BR33" s="147"/>
      <c r="BS33" s="147"/>
      <c r="BT33" s="147"/>
      <c r="BU33" s="147"/>
      <c r="BV33" s="147"/>
      <c r="BW33" s="147"/>
      <c r="BX33" s="147"/>
      <c r="BY33" s="147"/>
      <c r="BZ33" s="147"/>
      <c r="CA33" s="147"/>
      <c r="CB33" s="147"/>
      <c r="CC33" s="147"/>
      <c r="CD33" s="147"/>
      <c r="CE33" s="147"/>
      <c r="CF33" s="147"/>
      <c r="CG33" s="147"/>
      <c r="CH33" s="147"/>
      <c r="CI33" s="147"/>
      <c r="CJ33" s="147"/>
      <c r="CK33" s="147"/>
    </row>
    <row r="34" spans="1:89">
      <c r="A34" s="159" t="s">
        <v>226</v>
      </c>
      <c r="B34" s="3" t="s">
        <v>227</v>
      </c>
      <c r="C34" s="160" t="s">
        <v>54</v>
      </c>
      <c r="D34" s="160" t="s">
        <v>848</v>
      </c>
      <c r="E34" s="3" t="s">
        <v>21</v>
      </c>
      <c r="F34" s="3" t="s">
        <v>926</v>
      </c>
      <c r="G34" s="3" t="s">
        <v>928</v>
      </c>
      <c r="H34" s="156" t="str">
        <f ca="1">IFERROR(
  _xludf.MINIFS(ATTENDANCE_LOG!$F:$F,
         ATTENDANCE_LOG!$A:$A, C34,
         ATTENDANCE_LOG!$B:$B, E34),
"")</f>
        <v/>
      </c>
      <c r="I34" s="156" t="str">
        <f t="shared" ca="1" si="0"/>
        <v/>
      </c>
      <c r="J34" s="3">
        <f>IFERROR(VLOOKUP(F34, LEVEL_HELPER!$A:$B, 2, 0), "")</f>
        <v>1</v>
      </c>
      <c r="K34" s="3">
        <f>IFERROR(VLOOKUP(G34, LEVEL_HELPER!$A:$B, 2, 0), "")</f>
        <v>1.5</v>
      </c>
      <c r="L34" s="157" t="s">
        <v>942</v>
      </c>
      <c r="M34" s="157" t="s">
        <v>924</v>
      </c>
      <c r="N34" s="3">
        <f t="array" aca="1" ref="N34" ca="1">IFERROR(
  INDEX($J$2:$J$543,
    MATCH(A34&amp;TEXT(I34,"yyyy-mm-dd"),
          $A$2:$A$543&amp;TEXT($H$2:$H$543,"yyyy-mm-dd"),
          0)),
"")</f>
        <v>1</v>
      </c>
      <c r="O34" s="147" t="str">
        <f t="shared" ca="1" si="1"/>
        <v/>
      </c>
      <c r="P34" s="147">
        <f t="shared" ref="P34:Q34" ca="1" si="43">IF(N34="",0,IF(N34&lt;=2,1,IF(N34&lt;=4,2,IF(N34&lt;=5.5,3,4))))</f>
        <v>1</v>
      </c>
      <c r="Q34" s="147">
        <f t="shared" ca="1" si="43"/>
        <v>0</v>
      </c>
      <c r="R34" s="147" t="str">
        <f t="shared" ca="1" si="3"/>
        <v>Regressed</v>
      </c>
      <c r="S34" s="147">
        <f t="shared" si="4"/>
        <v>1</v>
      </c>
      <c r="T34" s="147"/>
      <c r="U34" s="147"/>
      <c r="V34" s="148" t="e">
        <f ca="1"/>
        <v>#NAME?</v>
      </c>
      <c r="W34" s="147" t="e">
        <f t="shared" ca="1" si="5"/>
        <v>#NAME?</v>
      </c>
      <c r="X34" s="147" t="e">
        <f t="shared" ca="1" si="6"/>
        <v>#NAME?</v>
      </c>
      <c r="Y34" s="147" t="e">
        <f t="shared" ca="1" si="7"/>
        <v>#NAME?</v>
      </c>
      <c r="Z34" s="147"/>
      <c r="AC34" s="147"/>
      <c r="AD34" s="147"/>
      <c r="AE34" s="147"/>
      <c r="AF34" s="147"/>
      <c r="AG34" s="147"/>
      <c r="AH34" s="147"/>
      <c r="AI34" s="147"/>
      <c r="AJ34" s="147"/>
      <c r="AK34" s="147"/>
      <c r="AL34" s="147"/>
      <c r="AM34" s="151"/>
      <c r="AN34" s="148" t="str">
        <f ca="1">IFERROR(__xludf.DUMMYFUNCTION("""COMPUTED_VALUE"""),"153116")</f>
        <v>153116</v>
      </c>
      <c r="AO34" s="147" t="str">
        <f t="shared" ca="1" si="8"/>
        <v>GSD</v>
      </c>
      <c r="AP34" s="147" t="e">
        <f t="shared" ca="1" si="9"/>
        <v>#NAME?</v>
      </c>
      <c r="AQ34" s="147" t="str">
        <f t="shared" ca="1" si="10"/>
        <v>POC</v>
      </c>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7"/>
      <c r="BT34" s="147"/>
      <c r="BU34" s="147"/>
      <c r="BV34" s="147"/>
      <c r="BW34" s="147"/>
      <c r="BX34" s="147"/>
      <c r="BY34" s="147"/>
      <c r="BZ34" s="147"/>
      <c r="CA34" s="147"/>
      <c r="CB34" s="147"/>
      <c r="CC34" s="147"/>
      <c r="CD34" s="147"/>
      <c r="CE34" s="147"/>
      <c r="CF34" s="147"/>
      <c r="CG34" s="147"/>
      <c r="CH34" s="147"/>
      <c r="CI34" s="147"/>
      <c r="CJ34" s="147"/>
      <c r="CK34" s="147"/>
    </row>
    <row r="35" spans="1:89">
      <c r="A35" s="159" t="s">
        <v>245</v>
      </c>
      <c r="B35" s="3" t="s">
        <v>246</v>
      </c>
      <c r="C35" s="160" t="s">
        <v>54</v>
      </c>
      <c r="D35" s="160" t="s">
        <v>848</v>
      </c>
      <c r="E35" s="3" t="s">
        <v>21</v>
      </c>
      <c r="F35" s="3" t="s">
        <v>926</v>
      </c>
      <c r="G35" s="3" t="s">
        <v>926</v>
      </c>
      <c r="H35" s="156" t="str">
        <f ca="1">IFERROR(
  _xludf.MINIFS(ATTENDANCE_LOG!$F:$F,
         ATTENDANCE_LOG!$A:$A, C35,
         ATTENDANCE_LOG!$B:$B, E35),
"")</f>
        <v/>
      </c>
      <c r="I35" s="156" t="str">
        <f t="shared" ca="1" si="0"/>
        <v/>
      </c>
      <c r="J35" s="3">
        <f>IFERROR(VLOOKUP(F35, LEVEL_HELPER!$A:$B, 2, 0), "")</f>
        <v>1</v>
      </c>
      <c r="K35" s="3">
        <f>IFERROR(VLOOKUP(G35, LEVEL_HELPER!$A:$B, 2, 0), "")</f>
        <v>1</v>
      </c>
      <c r="L35" s="157" t="s">
        <v>942</v>
      </c>
      <c r="M35" s="157" t="s">
        <v>924</v>
      </c>
      <c r="N35" s="3">
        <f t="array" aca="1" ref="N35" ca="1">IFERROR(
  INDEX($J$2:$J$543,
    MATCH(A35&amp;TEXT(I35,"yyyy-mm-dd"),
          $A$2:$A$543&amp;TEXT($H$2:$H$543,"yyyy-mm-dd"),
          0)),
"")</f>
        <v>1</v>
      </c>
      <c r="O35" s="147" t="str">
        <f t="shared" ca="1" si="1"/>
        <v/>
      </c>
      <c r="P35" s="147">
        <f t="shared" ref="P35:Q35" ca="1" si="44">IF(N35="",0,IF(N35&lt;=2,1,IF(N35&lt;=4,2,IF(N35&lt;=5.5,3,4))))</f>
        <v>1</v>
      </c>
      <c r="Q35" s="147">
        <f t="shared" ca="1" si="44"/>
        <v>0</v>
      </c>
      <c r="R35" s="147" t="str">
        <f t="shared" ca="1" si="3"/>
        <v>Regressed</v>
      </c>
      <c r="S35" s="147">
        <f t="shared" si="4"/>
        <v>1</v>
      </c>
      <c r="T35" s="147"/>
      <c r="U35" s="147"/>
      <c r="V35" s="148" t="e">
        <f ca="1"/>
        <v>#NAME?</v>
      </c>
      <c r="W35" s="147" t="e">
        <f t="shared" ca="1" si="5"/>
        <v>#NAME?</v>
      </c>
      <c r="X35" s="147" t="e">
        <f t="shared" ca="1" si="6"/>
        <v>#NAME?</v>
      </c>
      <c r="Y35" s="147" t="e">
        <f t="shared" ca="1" si="7"/>
        <v>#NAME?</v>
      </c>
      <c r="Z35" s="147"/>
      <c r="AC35" s="147"/>
      <c r="AD35" s="147"/>
      <c r="AE35" s="147"/>
      <c r="AF35" s="147"/>
      <c r="AG35" s="147"/>
      <c r="AH35" s="147"/>
      <c r="AI35" s="147"/>
      <c r="AJ35" s="147"/>
      <c r="AK35" s="147"/>
      <c r="AL35" s="147"/>
      <c r="AM35" s="151"/>
      <c r="AN35" s="148" t="str">
        <f ca="1">IFERROR(__xludf.DUMMYFUNCTION("""COMPUTED_VALUE"""),"183382")</f>
        <v>183382</v>
      </c>
      <c r="AO35" s="147" t="str">
        <f t="shared" ca="1" si="8"/>
        <v>DEV</v>
      </c>
      <c r="AP35" s="147" t="e">
        <f t="shared" ca="1" si="9"/>
        <v>#NAME?</v>
      </c>
      <c r="AQ35" s="147" t="str">
        <f t="shared" ca="1" si="10"/>
        <v>CHORUS</v>
      </c>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c r="CB35" s="147"/>
      <c r="CC35" s="147"/>
      <c r="CD35" s="147"/>
      <c r="CE35" s="147"/>
      <c r="CF35" s="147"/>
      <c r="CG35" s="147"/>
      <c r="CH35" s="147"/>
      <c r="CI35" s="147"/>
      <c r="CJ35" s="147"/>
      <c r="CK35" s="147"/>
    </row>
    <row r="36" spans="1:89">
      <c r="A36" s="159" t="s">
        <v>352</v>
      </c>
      <c r="B36" s="3" t="s">
        <v>353</v>
      </c>
      <c r="C36" s="160" t="s">
        <v>54</v>
      </c>
      <c r="D36" s="160" t="s">
        <v>848</v>
      </c>
      <c r="E36" s="3" t="s">
        <v>21</v>
      </c>
      <c r="F36" s="3" t="s">
        <v>926</v>
      </c>
      <c r="G36" s="3" t="s">
        <v>928</v>
      </c>
      <c r="H36" s="156" t="str">
        <f ca="1">IFERROR(
  _xludf.MINIFS(ATTENDANCE_LOG!$F:$F,
         ATTENDANCE_LOG!$A:$A, C36,
         ATTENDANCE_LOG!$B:$B, E36),
"")</f>
        <v/>
      </c>
      <c r="I36" s="156" t="str">
        <f t="shared" ca="1" si="0"/>
        <v/>
      </c>
      <c r="J36" s="3">
        <f>IFERROR(VLOOKUP(F36, LEVEL_HELPER!$A:$B, 2, 0), "")</f>
        <v>1</v>
      </c>
      <c r="K36" s="3">
        <f>IFERROR(VLOOKUP(G36, LEVEL_HELPER!$A:$B, 2, 0), "")</f>
        <v>1.5</v>
      </c>
      <c r="L36" s="157" t="s">
        <v>942</v>
      </c>
      <c r="M36" s="157" t="s">
        <v>924</v>
      </c>
      <c r="N36" s="3">
        <f t="array" aca="1" ref="N36" ca="1">IFERROR(
  INDEX($J$2:$J$543,
    MATCH(A36&amp;TEXT(I36,"yyyy-mm-dd"),
          $A$2:$A$543&amp;TEXT($H$2:$H$543,"yyyy-mm-dd"),
          0)),
"")</f>
        <v>1</v>
      </c>
      <c r="O36" s="147" t="str">
        <f t="shared" ca="1" si="1"/>
        <v/>
      </c>
      <c r="P36" s="147">
        <f t="shared" ref="P36:Q36" ca="1" si="45">IF(N36="",0,IF(N36&lt;=2,1,IF(N36&lt;=4,2,IF(N36&lt;=5.5,3,4))))</f>
        <v>1</v>
      </c>
      <c r="Q36" s="147">
        <f t="shared" ca="1" si="45"/>
        <v>0</v>
      </c>
      <c r="R36" s="147" t="str">
        <f t="shared" ca="1" si="3"/>
        <v>Regressed</v>
      </c>
      <c r="S36" s="147">
        <f t="shared" si="4"/>
        <v>1</v>
      </c>
      <c r="T36" s="147"/>
      <c r="U36" s="147"/>
      <c r="V36" s="148" t="e">
        <f ca="1"/>
        <v>#NAME?</v>
      </c>
      <c r="W36" s="147" t="e">
        <f t="shared" ca="1" si="5"/>
        <v>#NAME?</v>
      </c>
      <c r="X36" s="147" t="e">
        <f t="shared" ca="1" si="6"/>
        <v>#NAME?</v>
      </c>
      <c r="Y36" s="147" t="e">
        <f t="shared" ca="1" si="7"/>
        <v>#NAME?</v>
      </c>
      <c r="Z36" s="147"/>
      <c r="AC36" s="147"/>
      <c r="AD36" s="147"/>
      <c r="AE36" s="147"/>
      <c r="AF36" s="147"/>
      <c r="AG36" s="147"/>
      <c r="AH36" s="147"/>
      <c r="AI36" s="147"/>
      <c r="AJ36" s="147"/>
      <c r="AK36" s="147"/>
      <c r="AL36" s="147"/>
      <c r="AM36" s="151"/>
      <c r="AN36" s="148" t="str">
        <f ca="1">IFERROR(__xludf.DUMMYFUNCTION("""COMPUTED_VALUE"""),"203664")</f>
        <v>203664</v>
      </c>
      <c r="AO36" s="147" t="str">
        <f t="shared" ca="1" si="8"/>
        <v>DEV</v>
      </c>
      <c r="AP36" s="147" t="e">
        <f t="shared" ca="1" si="9"/>
        <v>#NAME?</v>
      </c>
      <c r="AQ36" s="147" t="str">
        <f t="shared" ca="1" si="10"/>
        <v>ONC</v>
      </c>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c r="CB36" s="147"/>
      <c r="CC36" s="147"/>
      <c r="CD36" s="147"/>
      <c r="CE36" s="147"/>
      <c r="CF36" s="147"/>
      <c r="CG36" s="147"/>
      <c r="CH36" s="147"/>
      <c r="CI36" s="147"/>
      <c r="CJ36" s="147"/>
      <c r="CK36" s="147"/>
    </row>
    <row r="37" spans="1:89">
      <c r="A37" s="159" t="s">
        <v>553</v>
      </c>
      <c r="B37" s="3" t="s">
        <v>554</v>
      </c>
      <c r="C37" s="160" t="s">
        <v>54</v>
      </c>
      <c r="D37" s="160" t="s">
        <v>848</v>
      </c>
      <c r="E37" s="3" t="s">
        <v>21</v>
      </c>
      <c r="F37" s="3" t="s">
        <v>926</v>
      </c>
      <c r="G37" s="3" t="s">
        <v>934</v>
      </c>
      <c r="H37" s="156" t="str">
        <f ca="1">IFERROR(
  _xludf.MINIFS(ATTENDANCE_LOG!$F:$F,
         ATTENDANCE_LOG!$A:$A, C37,
         ATTENDANCE_LOG!$B:$B, E37),
"")</f>
        <v/>
      </c>
      <c r="I37" s="156" t="str">
        <f t="shared" ca="1" si="0"/>
        <v/>
      </c>
      <c r="J37" s="3">
        <f>IFERROR(VLOOKUP(F37, LEVEL_HELPER!$A:$B, 2, 0), "")</f>
        <v>1</v>
      </c>
      <c r="K37" s="3">
        <f>IFERROR(VLOOKUP(G37, LEVEL_HELPER!$A:$B, 2, 0), "")</f>
        <v>3.5</v>
      </c>
      <c r="L37" s="157" t="s">
        <v>942</v>
      </c>
      <c r="M37" s="157" t="s">
        <v>924</v>
      </c>
      <c r="N37" s="3">
        <f t="array" aca="1" ref="N37" ca="1">IFERROR(
  INDEX($J$2:$J$543,
    MATCH(A37&amp;TEXT(I37,"yyyy-mm-dd"),
          $A$2:$A$543&amp;TEXT($H$2:$H$543,"yyyy-mm-dd"),
          0)),
"")</f>
        <v>1</v>
      </c>
      <c r="O37" s="147" t="str">
        <f t="shared" ca="1" si="1"/>
        <v/>
      </c>
      <c r="P37" s="147">
        <f t="shared" ref="P37:Q37" ca="1" si="46">IF(N37="",0,IF(N37&lt;=2,1,IF(N37&lt;=4,2,IF(N37&lt;=5.5,3,4))))</f>
        <v>1</v>
      </c>
      <c r="Q37" s="147">
        <f t="shared" ca="1" si="46"/>
        <v>0</v>
      </c>
      <c r="R37" s="147" t="str">
        <f t="shared" ca="1" si="3"/>
        <v>Regressed</v>
      </c>
      <c r="S37" s="147">
        <f t="shared" si="4"/>
        <v>1</v>
      </c>
      <c r="T37" s="147"/>
      <c r="U37" s="147"/>
      <c r="V37" s="148" t="e">
        <f ca="1"/>
        <v>#NAME?</v>
      </c>
      <c r="W37" s="147" t="e">
        <f t="shared" ca="1" si="5"/>
        <v>#NAME?</v>
      </c>
      <c r="X37" s="147" t="e">
        <f t="shared" ca="1" si="6"/>
        <v>#NAME?</v>
      </c>
      <c r="Y37" s="147" t="e">
        <f t="shared" ca="1" si="7"/>
        <v>#NAME?</v>
      </c>
      <c r="Z37" s="147"/>
      <c r="AC37" s="147"/>
      <c r="AD37" s="147"/>
      <c r="AE37" s="147"/>
      <c r="AF37" s="147"/>
      <c r="AG37" s="147"/>
      <c r="AH37" s="147"/>
      <c r="AI37" s="147"/>
      <c r="AJ37" s="147"/>
      <c r="AK37" s="147"/>
      <c r="AL37" s="147"/>
      <c r="AM37" s="151"/>
      <c r="AN37" s="148" t="str">
        <f ca="1">IFERROR(__xludf.DUMMYFUNCTION("""COMPUTED_VALUE"""),"193633")</f>
        <v>193633</v>
      </c>
      <c r="AO37" s="147" t="str">
        <f t="shared" ca="1" si="8"/>
        <v>QC</v>
      </c>
      <c r="AP37" s="147" t="e">
        <f t="shared" ca="1" si="9"/>
        <v>#NAME?</v>
      </c>
      <c r="AQ37" s="147" t="str">
        <f t="shared" ca="1" si="10"/>
        <v>ONC</v>
      </c>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7"/>
      <c r="BU37" s="147"/>
      <c r="BV37" s="147"/>
      <c r="BW37" s="147"/>
      <c r="BX37" s="147"/>
      <c r="BY37" s="147"/>
      <c r="BZ37" s="147"/>
      <c r="CA37" s="147"/>
      <c r="CB37" s="147"/>
      <c r="CC37" s="147"/>
      <c r="CD37" s="147"/>
      <c r="CE37" s="147"/>
      <c r="CF37" s="147"/>
      <c r="CG37" s="147"/>
      <c r="CH37" s="147"/>
      <c r="CI37" s="147"/>
      <c r="CJ37" s="147"/>
      <c r="CK37" s="147"/>
    </row>
    <row r="38" spans="1:89">
      <c r="A38" s="159" t="s">
        <v>617</v>
      </c>
      <c r="B38" s="3" t="s">
        <v>618</v>
      </c>
      <c r="C38" s="160" t="s">
        <v>54</v>
      </c>
      <c r="D38" s="160" t="s">
        <v>848</v>
      </c>
      <c r="E38" s="3" t="s">
        <v>21</v>
      </c>
      <c r="F38" s="3" t="s">
        <v>926</v>
      </c>
      <c r="G38" s="3" t="s">
        <v>917</v>
      </c>
      <c r="H38" s="156" t="str">
        <f ca="1">IFERROR(
  _xludf.MINIFS(ATTENDANCE_LOG!$F:$F,
         ATTENDANCE_LOG!$A:$A, C38,
         ATTENDANCE_LOG!$B:$B, E38),
"")</f>
        <v/>
      </c>
      <c r="I38" s="156" t="str">
        <f t="shared" ca="1" si="0"/>
        <v/>
      </c>
      <c r="J38" s="3">
        <f>IFERROR(VLOOKUP(F38, LEVEL_HELPER!$A:$B, 2, 0), "")</f>
        <v>1</v>
      </c>
      <c r="K38" s="3">
        <f>IFERROR(VLOOKUP(G38, LEVEL_HELPER!$A:$B, 2, 0), "")</f>
        <v>3</v>
      </c>
      <c r="L38" s="157" t="s">
        <v>942</v>
      </c>
      <c r="M38" s="157" t="s">
        <v>924</v>
      </c>
      <c r="N38" s="3">
        <f t="array" aca="1" ref="N38" ca="1">IFERROR(
  INDEX($J$2:$J$543,
    MATCH(A38&amp;TEXT(I38,"yyyy-mm-dd"),
          $A$2:$A$543&amp;TEXT($H$2:$H$543,"yyyy-mm-dd"),
          0)),
"")</f>
        <v>1</v>
      </c>
      <c r="O38" s="147" t="str">
        <f t="shared" ca="1" si="1"/>
        <v/>
      </c>
      <c r="P38" s="147">
        <f t="shared" ref="P38:Q38" ca="1" si="47">IF(N38="",0,IF(N38&lt;=2,1,IF(N38&lt;=4,2,IF(N38&lt;=5.5,3,4))))</f>
        <v>1</v>
      </c>
      <c r="Q38" s="147">
        <f t="shared" ca="1" si="47"/>
        <v>0</v>
      </c>
      <c r="R38" s="147" t="str">
        <f t="shared" ca="1" si="3"/>
        <v>Regressed</v>
      </c>
      <c r="S38" s="147">
        <f t="shared" si="4"/>
        <v>1</v>
      </c>
      <c r="T38" s="147"/>
      <c r="U38" s="147"/>
      <c r="V38" s="148" t="e">
        <f ca="1"/>
        <v>#NAME?</v>
      </c>
      <c r="W38" s="147" t="e">
        <f t="shared" ca="1" si="5"/>
        <v>#NAME?</v>
      </c>
      <c r="X38" s="147" t="e">
        <f t="shared" ca="1" si="6"/>
        <v>#NAME?</v>
      </c>
      <c r="Y38" s="147" t="e">
        <f t="shared" ca="1" si="7"/>
        <v>#NAME?</v>
      </c>
      <c r="Z38" s="147"/>
      <c r="AC38" s="147"/>
      <c r="AD38" s="147"/>
      <c r="AE38" s="147"/>
      <c r="AF38" s="147"/>
      <c r="AG38" s="147"/>
      <c r="AH38" s="147"/>
      <c r="AI38" s="147"/>
      <c r="AJ38" s="147"/>
      <c r="AK38" s="147"/>
      <c r="AL38" s="147"/>
      <c r="AM38" s="151"/>
      <c r="AN38" s="148" t="str">
        <f ca="1">IFERROR(__xludf.DUMMYFUNCTION("""COMPUTED_VALUE"""),"227218")</f>
        <v>227218</v>
      </c>
      <c r="AO38" s="147" t="str">
        <f t="shared" ca="1" si="8"/>
        <v>GSD</v>
      </c>
      <c r="AP38" s="147" t="e">
        <f t="shared" ca="1" si="9"/>
        <v>#NAME?</v>
      </c>
      <c r="AQ38" s="147" t="str">
        <f t="shared" ca="1" si="10"/>
        <v>POC</v>
      </c>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7"/>
      <c r="BU38" s="147"/>
      <c r="BV38" s="147"/>
      <c r="BW38" s="147"/>
      <c r="BX38" s="147"/>
      <c r="BY38" s="147"/>
      <c r="BZ38" s="147"/>
      <c r="CA38" s="147"/>
      <c r="CB38" s="147"/>
      <c r="CC38" s="147"/>
      <c r="CD38" s="147"/>
      <c r="CE38" s="147"/>
      <c r="CF38" s="147"/>
      <c r="CG38" s="147"/>
      <c r="CH38" s="147"/>
      <c r="CI38" s="147"/>
      <c r="CJ38" s="147"/>
      <c r="CK38" s="147"/>
    </row>
    <row r="39" spans="1:89">
      <c r="A39" s="159" t="s">
        <v>695</v>
      </c>
      <c r="B39" s="3" t="s">
        <v>696</v>
      </c>
      <c r="C39" s="160" t="s">
        <v>54</v>
      </c>
      <c r="D39" s="160" t="s">
        <v>848</v>
      </c>
      <c r="E39" s="3" t="s">
        <v>21</v>
      </c>
      <c r="F39" s="3"/>
      <c r="G39" s="3"/>
      <c r="H39" s="156" t="str">
        <f ca="1">IFERROR(
  _xludf.MINIFS(ATTENDANCE_LOG!$F:$F,
         ATTENDANCE_LOG!$A:$A, C39,
         ATTENDANCE_LOG!$B:$B, E39),
"")</f>
        <v/>
      </c>
      <c r="I39" s="156" t="str">
        <f t="shared" ca="1" si="0"/>
        <v/>
      </c>
      <c r="J39" s="3" t="str">
        <f>IFERROR(VLOOKUP(F39, LEVEL_HELPER!$A:$B, 2, 0), "")</f>
        <v/>
      </c>
      <c r="K39" s="3" t="str">
        <f>IFERROR(VLOOKUP(G39, LEVEL_HELPER!$A:$B, 2, 0), "")</f>
        <v/>
      </c>
      <c r="L39" s="157" t="s">
        <v>942</v>
      </c>
      <c r="M39" s="157" t="s">
        <v>924</v>
      </c>
      <c r="N39" s="3" t="str">
        <f t="array" aca="1" ref="N39" ca="1">IFERROR(
  INDEX($J$2:$J$543,
    MATCH(A39&amp;TEXT(I39,"yyyy-mm-dd"),
          $A$2:$A$543&amp;TEXT($H$2:$H$543,"yyyy-mm-dd"),
          0)),
"")</f>
        <v/>
      </c>
      <c r="O39" s="147" t="str">
        <f t="shared" ca="1" si="1"/>
        <v/>
      </c>
      <c r="P39" s="147">
        <f t="shared" ref="P39:Q39" ca="1" si="48">IF(N39="",0,IF(N39&lt;=2,1,IF(N39&lt;=4,2,IF(N39&lt;=5.5,3,4))))</f>
        <v>0</v>
      </c>
      <c r="Q39" s="147">
        <f t="shared" ca="1" si="48"/>
        <v>0</v>
      </c>
      <c r="R39" s="147" t="str">
        <f t="shared" ca="1" si="3"/>
        <v>No Data</v>
      </c>
      <c r="S39" s="147">
        <f t="shared" si="4"/>
        <v>1</v>
      </c>
      <c r="T39" s="147"/>
      <c r="U39" s="147"/>
      <c r="V39" s="148" t="e">
        <f ca="1"/>
        <v>#NAME?</v>
      </c>
      <c r="W39" s="147" t="e">
        <f t="shared" ca="1" si="5"/>
        <v>#NAME?</v>
      </c>
      <c r="X39" s="147" t="e">
        <f t="shared" ca="1" si="6"/>
        <v>#NAME?</v>
      </c>
      <c r="Y39" s="147" t="e">
        <f t="shared" ca="1" si="7"/>
        <v>#NAME?</v>
      </c>
      <c r="Z39" s="147"/>
      <c r="AC39" s="147"/>
      <c r="AD39" s="147"/>
      <c r="AE39" s="147"/>
      <c r="AF39" s="147"/>
      <c r="AG39" s="147"/>
      <c r="AH39" s="147"/>
      <c r="AI39" s="147"/>
      <c r="AJ39" s="147"/>
      <c r="AK39" s="147"/>
      <c r="AL39" s="147"/>
      <c r="AM39" s="151"/>
      <c r="AN39" s="148" t="str">
        <f ca="1">IFERROR(__xludf.DUMMYFUNCTION("""COMPUTED_VALUE"""),"227081")</f>
        <v>227081</v>
      </c>
      <c r="AO39" s="147" t="str">
        <f t="shared" ca="1" si="8"/>
        <v>DEV</v>
      </c>
      <c r="AP39" s="147" t="e">
        <f t="shared" ca="1" si="9"/>
        <v>#NAME?</v>
      </c>
      <c r="AQ39" s="147" t="str">
        <f t="shared" ca="1" si="10"/>
        <v>MOC</v>
      </c>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7"/>
      <c r="CA39" s="147"/>
      <c r="CB39" s="147"/>
      <c r="CC39" s="147"/>
      <c r="CD39" s="147"/>
      <c r="CE39" s="147"/>
      <c r="CF39" s="147"/>
      <c r="CG39" s="147"/>
      <c r="CH39" s="147"/>
      <c r="CI39" s="147"/>
      <c r="CJ39" s="147"/>
      <c r="CK39" s="147"/>
    </row>
    <row r="40" spans="1:89">
      <c r="A40" s="153" t="s">
        <v>510</v>
      </c>
      <c r="B40" s="154" t="s">
        <v>511</v>
      </c>
      <c r="C40" s="155" t="s">
        <v>54</v>
      </c>
      <c r="D40" s="155" t="s">
        <v>848</v>
      </c>
      <c r="E40" s="154" t="s">
        <v>22</v>
      </c>
      <c r="F40" s="3" t="s">
        <v>934</v>
      </c>
      <c r="G40" s="3" t="s">
        <v>940</v>
      </c>
      <c r="H40" s="156" t="str">
        <f ca="1">IFERROR(
  _xludf.MINIFS(ATTENDANCE_LOG!$F:$F,
         ATTENDANCE_LOG!$A:$A, C40,
         ATTENDANCE_LOG!$B:$B, E40),
"")</f>
        <v/>
      </c>
      <c r="I40" s="156" t="str">
        <f t="shared" ca="1" si="0"/>
        <v/>
      </c>
      <c r="J40" s="3">
        <f>IFERROR(VLOOKUP(F40, LEVEL_HELPER!$A:$B, 2, 0), "")</f>
        <v>3.5</v>
      </c>
      <c r="K40" s="3">
        <f>IFERROR(VLOOKUP(G40, LEVEL_HELPER!$A:$B, 2, 0), "")</f>
        <v>5</v>
      </c>
      <c r="L40" s="157" t="s">
        <v>942</v>
      </c>
      <c r="M40" s="157" t="s">
        <v>924</v>
      </c>
      <c r="N40" s="3">
        <f t="array" aca="1" ref="N40" ca="1">IFERROR(
  INDEX($J$2:$J$543,
    MATCH(A40&amp;TEXT(I40,"yyyy-mm-dd"),
          $A$2:$A$543&amp;TEXT($H$2:$H$543,"yyyy-mm-dd"),
          0)),
"")</f>
        <v>2.5</v>
      </c>
      <c r="O40" s="147" t="str">
        <f t="shared" ca="1" si="1"/>
        <v/>
      </c>
      <c r="P40" s="147">
        <f t="shared" ref="P40:Q40" ca="1" si="49">IF(N40="",0,IF(N40&lt;=2,1,IF(N40&lt;=4,2,IF(N40&lt;=5.5,3,4))))</f>
        <v>2</v>
      </c>
      <c r="Q40" s="147">
        <f t="shared" ca="1" si="49"/>
        <v>0</v>
      </c>
      <c r="R40" s="147" t="str">
        <f t="shared" ca="1" si="3"/>
        <v>Regressed</v>
      </c>
      <c r="S40" s="147">
        <f t="shared" si="4"/>
        <v>0</v>
      </c>
      <c r="T40" s="147"/>
      <c r="U40" s="147"/>
      <c r="V40" s="148" t="e">
        <f ca="1"/>
        <v>#NAME?</v>
      </c>
      <c r="W40" s="147" t="e">
        <f t="shared" ca="1" si="5"/>
        <v>#NAME?</v>
      </c>
      <c r="X40" s="147" t="e">
        <f t="shared" ca="1" si="6"/>
        <v>#NAME?</v>
      </c>
      <c r="Y40" s="147" t="e">
        <f t="shared" ca="1" si="7"/>
        <v>#NAME?</v>
      </c>
      <c r="Z40" s="147"/>
      <c r="AA40" s="147"/>
      <c r="AB40" s="147"/>
      <c r="AC40" s="147"/>
      <c r="AD40" s="147"/>
      <c r="AE40" s="147"/>
      <c r="AF40" s="147"/>
      <c r="AG40" s="147"/>
      <c r="AH40" s="147"/>
      <c r="AI40" s="147"/>
      <c r="AJ40" s="147"/>
      <c r="AK40" s="147"/>
      <c r="AL40" s="147"/>
      <c r="AM40" s="151"/>
      <c r="AN40" s="148" t="str">
        <f ca="1">IFERROR(__xludf.DUMMYFUNCTION("""COMPUTED_VALUE"""),"247313")</f>
        <v>247313</v>
      </c>
      <c r="AO40" s="147" t="str">
        <f t="shared" ca="1" si="8"/>
        <v>SM</v>
      </c>
      <c r="AP40" s="147" t="e">
        <f t="shared" ca="1" si="9"/>
        <v>#NAME?</v>
      </c>
      <c r="AQ40" s="147" t="str">
        <f t="shared" ca="1" si="10"/>
        <v>TBU</v>
      </c>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147"/>
      <c r="BS40" s="147"/>
      <c r="BT40" s="147"/>
      <c r="BU40" s="147"/>
      <c r="BV40" s="147"/>
      <c r="BW40" s="147"/>
      <c r="BX40" s="147"/>
      <c r="BY40" s="147"/>
      <c r="BZ40" s="147"/>
      <c r="CA40" s="147"/>
      <c r="CB40" s="147"/>
      <c r="CC40" s="147"/>
      <c r="CD40" s="147"/>
      <c r="CE40" s="147"/>
      <c r="CF40" s="147"/>
      <c r="CG40" s="147"/>
      <c r="CH40" s="147"/>
      <c r="CI40" s="147"/>
      <c r="CJ40" s="147"/>
      <c r="CK40" s="147"/>
    </row>
    <row r="41" spans="1:89">
      <c r="A41" s="159" t="s">
        <v>144</v>
      </c>
      <c r="B41" s="3" t="s">
        <v>145</v>
      </c>
      <c r="C41" s="160" t="s">
        <v>54</v>
      </c>
      <c r="D41" s="160" t="s">
        <v>848</v>
      </c>
      <c r="E41" s="3" t="s">
        <v>22</v>
      </c>
      <c r="F41" s="3" t="s">
        <v>926</v>
      </c>
      <c r="G41" s="3" t="s">
        <v>934</v>
      </c>
      <c r="H41" s="156" t="str">
        <f ca="1">IFERROR(
  _xludf.MINIFS(ATTENDANCE_LOG!$F:$F,
         ATTENDANCE_LOG!$A:$A, C41,
         ATTENDANCE_LOG!$B:$B, E41),
"")</f>
        <v/>
      </c>
      <c r="I41" s="156" t="str">
        <f t="shared" ca="1" si="0"/>
        <v/>
      </c>
      <c r="J41" s="3">
        <f>IFERROR(VLOOKUP(F41, LEVEL_HELPER!$A:$B, 2, 0), "")</f>
        <v>1</v>
      </c>
      <c r="K41" s="3">
        <f>IFERROR(VLOOKUP(G41, LEVEL_HELPER!$A:$B, 2, 0), "")</f>
        <v>3.5</v>
      </c>
      <c r="L41" s="157" t="s">
        <v>942</v>
      </c>
      <c r="M41" s="157" t="s">
        <v>924</v>
      </c>
      <c r="N41" s="3">
        <f t="array" aca="1" ref="N41" ca="1">IFERROR(
  INDEX($J$2:$J$543,
    MATCH(A41&amp;TEXT(I41,"yyyy-mm-dd"),
          $A$2:$A$543&amp;TEXT($H$2:$H$543,"yyyy-mm-dd"),
          0)),
"")</f>
        <v>1</v>
      </c>
      <c r="O41" s="147" t="str">
        <f t="shared" ca="1" si="1"/>
        <v/>
      </c>
      <c r="P41" s="147">
        <f t="shared" ref="P41:Q41" ca="1" si="50">IF(N41="",0,IF(N41&lt;=2,1,IF(N41&lt;=4,2,IF(N41&lt;=5.5,3,4))))</f>
        <v>1</v>
      </c>
      <c r="Q41" s="147">
        <f t="shared" ca="1" si="50"/>
        <v>0</v>
      </c>
      <c r="R41" s="147" t="str">
        <f t="shared" ca="1" si="3"/>
        <v>Regressed</v>
      </c>
      <c r="S41" s="147">
        <f t="shared" si="4"/>
        <v>0</v>
      </c>
      <c r="T41" s="147"/>
      <c r="U41" s="147"/>
      <c r="V41" s="148" t="e">
        <f ca="1"/>
        <v>#NAME?</v>
      </c>
      <c r="W41" s="147" t="e">
        <f t="shared" ca="1" si="5"/>
        <v>#NAME?</v>
      </c>
      <c r="X41" s="147" t="e">
        <f t="shared" ca="1" si="6"/>
        <v>#NAME?</v>
      </c>
      <c r="Y41" s="147" t="e">
        <f t="shared" ca="1" si="7"/>
        <v>#NAME?</v>
      </c>
      <c r="Z41" s="147"/>
      <c r="AA41" s="147"/>
      <c r="AB41" s="147"/>
      <c r="AC41" s="147"/>
      <c r="AD41" s="147"/>
      <c r="AE41" s="147"/>
      <c r="AF41" s="147"/>
      <c r="AG41" s="147"/>
      <c r="AH41" s="147"/>
      <c r="AI41" s="147"/>
      <c r="AJ41" s="147"/>
      <c r="AK41" s="147"/>
      <c r="AL41" s="147"/>
      <c r="AM41" s="151"/>
      <c r="AN41" s="148" t="str">
        <f ca="1">IFERROR(__xludf.DUMMYFUNCTION("""COMPUTED_VALUE"""),"227103")</f>
        <v>227103</v>
      </c>
      <c r="AO41" s="147" t="str">
        <f t="shared" ca="1" si="8"/>
        <v>DEV</v>
      </c>
      <c r="AP41" s="147" t="e">
        <f t="shared" ca="1" si="9"/>
        <v>#NAME?</v>
      </c>
      <c r="AQ41" s="147" t="str">
        <f t="shared" ca="1" si="10"/>
        <v>CHORUS</v>
      </c>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7"/>
      <c r="BU41" s="147"/>
      <c r="BV41" s="147"/>
      <c r="BW41" s="147"/>
      <c r="BX41" s="147"/>
      <c r="BY41" s="147"/>
      <c r="BZ41" s="147"/>
      <c r="CA41" s="147"/>
      <c r="CB41" s="147"/>
      <c r="CC41" s="147"/>
      <c r="CD41" s="147"/>
      <c r="CE41" s="147"/>
      <c r="CF41" s="147"/>
      <c r="CG41" s="147"/>
      <c r="CH41" s="147"/>
      <c r="CI41" s="147"/>
      <c r="CJ41" s="147"/>
      <c r="CK41" s="147"/>
    </row>
    <row r="42" spans="1:89">
      <c r="A42" s="159" t="s">
        <v>155</v>
      </c>
      <c r="B42" s="3" t="s">
        <v>156</v>
      </c>
      <c r="C42" s="160" t="s">
        <v>54</v>
      </c>
      <c r="D42" s="160" t="s">
        <v>848</v>
      </c>
      <c r="E42" s="3" t="s">
        <v>22</v>
      </c>
      <c r="F42" s="3" t="s">
        <v>917</v>
      </c>
      <c r="G42" s="3" t="s">
        <v>917</v>
      </c>
      <c r="H42" s="156" t="str">
        <f ca="1">IFERROR(
  _xludf.MINIFS(ATTENDANCE_LOG!$F:$F,
         ATTENDANCE_LOG!$A:$A, C42,
         ATTENDANCE_LOG!$B:$B, E42),
"")</f>
        <v/>
      </c>
      <c r="I42" s="156" t="str">
        <f t="shared" ca="1" si="0"/>
        <v/>
      </c>
      <c r="J42" s="3">
        <f>IFERROR(VLOOKUP(F42, LEVEL_HELPER!$A:$B, 2, 0), "")</f>
        <v>3</v>
      </c>
      <c r="K42" s="3">
        <f>IFERROR(VLOOKUP(G42, LEVEL_HELPER!$A:$B, 2, 0), "")</f>
        <v>3</v>
      </c>
      <c r="L42" s="157" t="s">
        <v>942</v>
      </c>
      <c r="M42" s="157" t="s">
        <v>924</v>
      </c>
      <c r="N42" s="3">
        <f t="array" aca="1" ref="N42" ca="1">IFERROR(
  INDEX($J$2:$J$543,
    MATCH(A42&amp;TEXT(I42,"yyyy-mm-dd"),
          $A$2:$A$543&amp;TEXT($H$2:$H$543,"yyyy-mm-dd"),
          0)),
"")</f>
        <v>1</v>
      </c>
      <c r="O42" s="147" t="str">
        <f t="shared" ca="1" si="1"/>
        <v/>
      </c>
      <c r="P42" s="147">
        <f t="shared" ref="P42:Q42" ca="1" si="51">IF(N42="",0,IF(N42&lt;=2,1,IF(N42&lt;=4,2,IF(N42&lt;=5.5,3,4))))</f>
        <v>1</v>
      </c>
      <c r="Q42" s="147">
        <f t="shared" ca="1" si="51"/>
        <v>0</v>
      </c>
      <c r="R42" s="147" t="str">
        <f t="shared" ca="1" si="3"/>
        <v>Regressed</v>
      </c>
      <c r="S42" s="147">
        <f t="shared" si="4"/>
        <v>0</v>
      </c>
      <c r="T42" s="147"/>
      <c r="U42" s="147"/>
      <c r="V42" s="148" t="e">
        <f ca="1"/>
        <v>#NAME?</v>
      </c>
      <c r="W42" s="147" t="e">
        <f t="shared" ca="1" si="5"/>
        <v>#NAME?</v>
      </c>
      <c r="X42" s="147" t="e">
        <f t="shared" ca="1" si="6"/>
        <v>#NAME?</v>
      </c>
      <c r="Y42" s="147" t="e">
        <f t="shared" ca="1" si="7"/>
        <v>#NAME?</v>
      </c>
      <c r="Z42" s="147"/>
      <c r="AA42" s="147"/>
      <c r="AB42" s="147"/>
      <c r="AC42" s="147"/>
      <c r="AD42" s="147"/>
      <c r="AE42" s="147"/>
      <c r="AF42" s="147"/>
      <c r="AG42" s="147"/>
      <c r="AH42" s="147"/>
      <c r="AI42" s="147"/>
      <c r="AJ42" s="147"/>
      <c r="AK42" s="147"/>
      <c r="AL42" s="147"/>
      <c r="AM42" s="151"/>
      <c r="AN42" s="148" t="str">
        <f ca="1">IFERROR(__xludf.DUMMYFUNCTION("""COMPUTED_VALUE"""),"227048")</f>
        <v>227048</v>
      </c>
      <c r="AO42" s="147" t="str">
        <f t="shared" ca="1" si="8"/>
        <v>DEV</v>
      </c>
      <c r="AP42" s="147" t="e">
        <f t="shared" ca="1" si="9"/>
        <v>#NAME?</v>
      </c>
      <c r="AQ42" s="147" t="str">
        <f t="shared" ca="1" si="10"/>
        <v>POC</v>
      </c>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7"/>
      <c r="CH42" s="147"/>
      <c r="CI42" s="147"/>
      <c r="CJ42" s="147"/>
      <c r="CK42" s="147"/>
    </row>
    <row r="43" spans="1:89">
      <c r="A43" s="159" t="s">
        <v>226</v>
      </c>
      <c r="B43" s="3" t="s">
        <v>227</v>
      </c>
      <c r="C43" s="160" t="s">
        <v>54</v>
      </c>
      <c r="D43" s="160" t="s">
        <v>848</v>
      </c>
      <c r="E43" s="3" t="s">
        <v>22</v>
      </c>
      <c r="F43" s="3" t="s">
        <v>928</v>
      </c>
      <c r="G43" s="3" t="s">
        <v>934</v>
      </c>
      <c r="H43" s="156" t="str">
        <f ca="1">IFERROR(
  _xludf.MINIFS(ATTENDANCE_LOG!$F:$F,
         ATTENDANCE_LOG!$A:$A, C43,
         ATTENDANCE_LOG!$B:$B, E43),
"")</f>
        <v/>
      </c>
      <c r="I43" s="156" t="str">
        <f t="shared" ca="1" si="0"/>
        <v/>
      </c>
      <c r="J43" s="3">
        <f>IFERROR(VLOOKUP(F43, LEVEL_HELPER!$A:$B, 2, 0), "")</f>
        <v>1.5</v>
      </c>
      <c r="K43" s="3">
        <f>IFERROR(VLOOKUP(G43, LEVEL_HELPER!$A:$B, 2, 0), "")</f>
        <v>3.5</v>
      </c>
      <c r="L43" s="157" t="s">
        <v>942</v>
      </c>
      <c r="M43" s="157" t="s">
        <v>924</v>
      </c>
      <c r="N43" s="3">
        <f t="array" aca="1" ref="N43" ca="1">IFERROR(
  INDEX($J$2:$J$543,
    MATCH(A43&amp;TEXT(I43,"yyyy-mm-dd"),
          $A$2:$A$543&amp;TEXT($H$2:$H$543,"yyyy-mm-dd"),
          0)),
"")</f>
        <v>1</v>
      </c>
      <c r="O43" s="147" t="str">
        <f t="shared" ca="1" si="1"/>
        <v/>
      </c>
      <c r="P43" s="147">
        <f t="shared" ref="P43:Q43" ca="1" si="52">IF(N43="",0,IF(N43&lt;=2,1,IF(N43&lt;=4,2,IF(N43&lt;=5.5,3,4))))</f>
        <v>1</v>
      </c>
      <c r="Q43" s="147">
        <f t="shared" ca="1" si="52"/>
        <v>0</v>
      </c>
      <c r="R43" s="147" t="str">
        <f t="shared" ca="1" si="3"/>
        <v>Regressed</v>
      </c>
      <c r="S43" s="147">
        <f t="shared" si="4"/>
        <v>0</v>
      </c>
      <c r="T43" s="147"/>
      <c r="U43" s="147"/>
      <c r="V43" s="148" t="e">
        <f ca="1"/>
        <v>#NAME?</v>
      </c>
      <c r="W43" s="147" t="e">
        <f t="shared" ca="1" si="5"/>
        <v>#NAME?</v>
      </c>
      <c r="X43" s="147" t="e">
        <f t="shared" ca="1" si="6"/>
        <v>#NAME?</v>
      </c>
      <c r="Y43" s="147" t="e">
        <f t="shared" ca="1" si="7"/>
        <v>#NAME?</v>
      </c>
      <c r="Z43" s="147"/>
      <c r="AA43" s="147"/>
      <c r="AB43" s="147"/>
      <c r="AC43" s="147"/>
      <c r="AD43" s="147"/>
      <c r="AE43" s="147"/>
      <c r="AF43" s="147"/>
      <c r="AG43" s="147"/>
      <c r="AH43" s="147"/>
      <c r="AI43" s="147"/>
      <c r="AJ43" s="147"/>
      <c r="AK43" s="147"/>
      <c r="AL43" s="147"/>
      <c r="AM43" s="151"/>
      <c r="AN43" s="148" t="str">
        <f ca="1">IFERROR(__xludf.DUMMYFUNCTION("""COMPUTED_VALUE"""),"247172")</f>
        <v>247172</v>
      </c>
      <c r="AO43" s="147" t="str">
        <f t="shared" ca="1" si="8"/>
        <v>DEV</v>
      </c>
      <c r="AP43" s="147" t="e">
        <f t="shared" ca="1" si="9"/>
        <v>#NAME?</v>
      </c>
      <c r="AQ43" s="147" t="str">
        <f t="shared" ca="1" si="10"/>
        <v>MOC</v>
      </c>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c r="BV43" s="147"/>
      <c r="BW43" s="147"/>
      <c r="BX43" s="147"/>
      <c r="BY43" s="147"/>
      <c r="BZ43" s="147"/>
      <c r="CA43" s="147"/>
      <c r="CB43" s="147"/>
      <c r="CC43" s="147"/>
      <c r="CD43" s="147"/>
      <c r="CE43" s="147"/>
      <c r="CF43" s="147"/>
      <c r="CG43" s="147"/>
      <c r="CH43" s="147"/>
      <c r="CI43" s="147"/>
      <c r="CJ43" s="147"/>
      <c r="CK43" s="147"/>
    </row>
    <row r="44" spans="1:89">
      <c r="A44" s="159" t="s">
        <v>245</v>
      </c>
      <c r="B44" s="3" t="s">
        <v>246</v>
      </c>
      <c r="C44" s="160" t="s">
        <v>54</v>
      </c>
      <c r="D44" s="160" t="s">
        <v>848</v>
      </c>
      <c r="E44" s="3" t="s">
        <v>22</v>
      </c>
      <c r="F44" s="3" t="s">
        <v>926</v>
      </c>
      <c r="G44" s="3" t="s">
        <v>917</v>
      </c>
      <c r="H44" s="156" t="str">
        <f ca="1">IFERROR(
  _xludf.MINIFS(ATTENDANCE_LOG!$F:$F,
         ATTENDANCE_LOG!$A:$A, C44,
         ATTENDANCE_LOG!$B:$B, E44),
"")</f>
        <v/>
      </c>
      <c r="I44" s="156" t="str">
        <f t="shared" ca="1" si="0"/>
        <v/>
      </c>
      <c r="J44" s="3">
        <f>IFERROR(VLOOKUP(F44, LEVEL_HELPER!$A:$B, 2, 0), "")</f>
        <v>1</v>
      </c>
      <c r="K44" s="3">
        <f>IFERROR(VLOOKUP(G44, LEVEL_HELPER!$A:$B, 2, 0), "")</f>
        <v>3</v>
      </c>
      <c r="L44" s="157" t="s">
        <v>942</v>
      </c>
      <c r="M44" s="157" t="s">
        <v>924</v>
      </c>
      <c r="N44" s="3">
        <f t="array" aca="1" ref="N44" ca="1">IFERROR(
  INDEX($J$2:$J$543,
    MATCH(A44&amp;TEXT(I44,"yyyy-mm-dd"),
          $A$2:$A$543&amp;TEXT($H$2:$H$543,"yyyy-mm-dd"),
          0)),
"")</f>
        <v>1</v>
      </c>
      <c r="O44" s="147" t="str">
        <f t="shared" ca="1" si="1"/>
        <v/>
      </c>
      <c r="P44" s="147">
        <f t="shared" ref="P44:Q44" ca="1" si="53">IF(N44="",0,IF(N44&lt;=2,1,IF(N44&lt;=4,2,IF(N44&lt;=5.5,3,4))))</f>
        <v>1</v>
      </c>
      <c r="Q44" s="147">
        <f t="shared" ca="1" si="53"/>
        <v>0</v>
      </c>
      <c r="R44" s="147" t="str">
        <f t="shared" ca="1" si="3"/>
        <v>Regressed</v>
      </c>
      <c r="S44" s="147">
        <f t="shared" si="4"/>
        <v>0</v>
      </c>
      <c r="T44" s="147"/>
      <c r="U44" s="147"/>
      <c r="V44" s="148" t="e">
        <f ca="1"/>
        <v>#NAME?</v>
      </c>
      <c r="W44" s="147" t="e">
        <f t="shared" ca="1" si="5"/>
        <v>#NAME?</v>
      </c>
      <c r="X44" s="147" t="e">
        <f t="shared" ca="1" si="6"/>
        <v>#NAME?</v>
      </c>
      <c r="Y44" s="147" t="e">
        <f t="shared" ca="1" si="7"/>
        <v>#NAME?</v>
      </c>
      <c r="Z44" s="147"/>
      <c r="AA44" s="147"/>
      <c r="AB44" s="147"/>
      <c r="AC44" s="147"/>
      <c r="AD44" s="147"/>
      <c r="AE44" s="147"/>
      <c r="AF44" s="147"/>
      <c r="AG44" s="147"/>
      <c r="AH44" s="147"/>
      <c r="AI44" s="147"/>
      <c r="AJ44" s="147"/>
      <c r="AK44" s="147"/>
      <c r="AL44" s="147"/>
      <c r="AM44" s="151"/>
      <c r="AN44" s="148" t="str">
        <f ca="1">IFERROR(__xludf.DUMMYFUNCTION("""COMPUTED_VALUE"""),"237201")</f>
        <v>237201</v>
      </c>
      <c r="AO44" s="147" t="str">
        <f t="shared" ca="1" si="8"/>
        <v>QC</v>
      </c>
      <c r="AP44" s="147" t="e">
        <f t="shared" ca="1" si="9"/>
        <v>#NAME?</v>
      </c>
      <c r="AQ44" s="147" t="str">
        <f t="shared" ca="1" si="10"/>
        <v>CHORUS</v>
      </c>
      <c r="AR44" s="147"/>
      <c r="AS44" s="147"/>
      <c r="AT44" s="147"/>
      <c r="AU44" s="147"/>
      <c r="AV44" s="147"/>
      <c r="AW44" s="147"/>
      <c r="AX44" s="147"/>
      <c r="AY44" s="147"/>
      <c r="AZ44" s="147"/>
      <c r="BA44" s="147"/>
      <c r="BB44" s="147"/>
      <c r="BC44" s="147"/>
      <c r="BD44" s="147"/>
      <c r="BE44" s="147"/>
      <c r="BF44" s="147"/>
      <c r="BG44" s="147"/>
      <c r="BH44" s="147"/>
      <c r="BI44" s="147"/>
      <c r="BJ44" s="147"/>
      <c r="BK44" s="147"/>
      <c r="BL44" s="147"/>
      <c r="BM44" s="147"/>
      <c r="BN44" s="147"/>
      <c r="BO44" s="147"/>
      <c r="BP44" s="147"/>
      <c r="BQ44" s="147"/>
      <c r="BR44" s="147"/>
      <c r="BS44" s="147"/>
      <c r="BT44" s="147"/>
      <c r="BU44" s="147"/>
      <c r="BV44" s="147"/>
      <c r="BW44" s="147"/>
      <c r="BX44" s="147"/>
      <c r="BY44" s="147"/>
      <c r="BZ44" s="147"/>
      <c r="CA44" s="147"/>
      <c r="CB44" s="147"/>
      <c r="CC44" s="147"/>
      <c r="CD44" s="147"/>
      <c r="CE44" s="147"/>
      <c r="CF44" s="147"/>
      <c r="CG44" s="147"/>
      <c r="CH44" s="147"/>
      <c r="CI44" s="147"/>
      <c r="CJ44" s="147"/>
      <c r="CK44" s="147"/>
    </row>
    <row r="45" spans="1:89">
      <c r="A45" s="159" t="s">
        <v>352</v>
      </c>
      <c r="B45" s="3" t="s">
        <v>353</v>
      </c>
      <c r="C45" s="160" t="s">
        <v>54</v>
      </c>
      <c r="D45" s="160" t="s">
        <v>848</v>
      </c>
      <c r="E45" s="3" t="s">
        <v>22</v>
      </c>
      <c r="F45" s="3" t="s">
        <v>928</v>
      </c>
      <c r="G45" s="3" t="s">
        <v>917</v>
      </c>
      <c r="H45" s="156" t="str">
        <f ca="1">IFERROR(
  _xludf.MINIFS(ATTENDANCE_LOG!$F:$F,
         ATTENDANCE_LOG!$A:$A, C45,
         ATTENDANCE_LOG!$B:$B, E45),
"")</f>
        <v/>
      </c>
      <c r="I45" s="156" t="str">
        <f t="shared" ca="1" si="0"/>
        <v/>
      </c>
      <c r="J45" s="3">
        <f>IFERROR(VLOOKUP(F45, LEVEL_HELPER!$A:$B, 2, 0), "")</f>
        <v>1.5</v>
      </c>
      <c r="K45" s="3">
        <f>IFERROR(VLOOKUP(G45, LEVEL_HELPER!$A:$B, 2, 0), "")</f>
        <v>3</v>
      </c>
      <c r="L45" s="157" t="s">
        <v>942</v>
      </c>
      <c r="M45" s="157" t="s">
        <v>924</v>
      </c>
      <c r="N45" s="3">
        <f t="array" aca="1" ref="N45" ca="1">IFERROR(
  INDEX($J$2:$J$543,
    MATCH(A45&amp;TEXT(I45,"yyyy-mm-dd"),
          $A$2:$A$543&amp;TEXT($H$2:$H$543,"yyyy-mm-dd"),
          0)),
"")</f>
        <v>1</v>
      </c>
      <c r="O45" s="147" t="str">
        <f t="shared" ca="1" si="1"/>
        <v/>
      </c>
      <c r="P45" s="147">
        <f t="shared" ref="P45:Q45" ca="1" si="54">IF(N45="",0,IF(N45&lt;=2,1,IF(N45&lt;=4,2,IF(N45&lt;=5.5,3,4))))</f>
        <v>1</v>
      </c>
      <c r="Q45" s="147">
        <f t="shared" ca="1" si="54"/>
        <v>0</v>
      </c>
      <c r="R45" s="147" t="str">
        <f t="shared" ca="1" si="3"/>
        <v>Regressed</v>
      </c>
      <c r="S45" s="147">
        <f t="shared" si="4"/>
        <v>0</v>
      </c>
      <c r="T45" s="147"/>
      <c r="U45" s="147"/>
      <c r="V45" s="148" t="e">
        <f ca="1"/>
        <v>#NAME?</v>
      </c>
      <c r="W45" s="147" t="e">
        <f t="shared" ca="1" si="5"/>
        <v>#NAME?</v>
      </c>
      <c r="X45" s="147" t="e">
        <f t="shared" ca="1" si="6"/>
        <v>#NAME?</v>
      </c>
      <c r="Y45" s="147" t="e">
        <f t="shared" ca="1" si="7"/>
        <v>#NAME?</v>
      </c>
      <c r="Z45" s="147"/>
      <c r="AA45" s="147"/>
      <c r="AB45" s="147"/>
      <c r="AC45" s="147"/>
      <c r="AD45" s="147"/>
      <c r="AE45" s="147"/>
      <c r="AF45" s="147"/>
      <c r="AG45" s="147"/>
      <c r="AH45" s="147"/>
      <c r="AI45" s="147"/>
      <c r="AJ45" s="147"/>
      <c r="AK45" s="147"/>
      <c r="AL45" s="147"/>
      <c r="AM45" s="151"/>
      <c r="AN45" s="148" t="str">
        <f ca="1">IFERROR(__xludf.DUMMYFUNCTION("""COMPUTED_VALUE"""),"227177")</f>
        <v>227177</v>
      </c>
      <c r="AO45" s="147" t="str">
        <f t="shared" ca="1" si="8"/>
        <v>QC</v>
      </c>
      <c r="AP45" s="147" t="e">
        <f t="shared" ca="1" si="9"/>
        <v>#NAME?</v>
      </c>
      <c r="AQ45" s="147" t="str">
        <f t="shared" ca="1" si="10"/>
        <v>ONC</v>
      </c>
      <c r="AR45" s="147"/>
      <c r="AS45" s="147"/>
      <c r="AT45" s="147"/>
      <c r="AU45" s="147"/>
      <c r="AV45" s="147"/>
      <c r="AW45" s="147"/>
      <c r="AX45" s="147"/>
      <c r="AY45" s="147"/>
      <c r="AZ45" s="147"/>
      <c r="BA45" s="147"/>
      <c r="BB45" s="147"/>
      <c r="BC45" s="147"/>
      <c r="BD45" s="147"/>
      <c r="BE45" s="147"/>
      <c r="BF45" s="147"/>
      <c r="BG45" s="147"/>
      <c r="BH45" s="147"/>
      <c r="BI45" s="147"/>
      <c r="BJ45" s="147"/>
      <c r="BK45" s="147"/>
      <c r="BL45" s="147"/>
      <c r="BM45" s="147"/>
      <c r="BN45" s="147"/>
      <c r="BO45" s="147"/>
      <c r="BP45" s="147"/>
      <c r="BQ45" s="147"/>
      <c r="BR45" s="147"/>
      <c r="BS45" s="147"/>
      <c r="BT45" s="147"/>
      <c r="BU45" s="147"/>
      <c r="BV45" s="147"/>
      <c r="BW45" s="147"/>
      <c r="BX45" s="147"/>
      <c r="BY45" s="147"/>
      <c r="BZ45" s="147"/>
      <c r="CA45" s="147"/>
      <c r="CB45" s="147"/>
      <c r="CC45" s="147"/>
      <c r="CD45" s="147"/>
      <c r="CE45" s="147"/>
      <c r="CF45" s="147"/>
      <c r="CG45" s="147"/>
      <c r="CH45" s="147"/>
      <c r="CI45" s="147"/>
      <c r="CJ45" s="147"/>
      <c r="CK45" s="147"/>
    </row>
    <row r="46" spans="1:89">
      <c r="A46" s="159" t="s">
        <v>553</v>
      </c>
      <c r="B46" s="3" t="s">
        <v>554</v>
      </c>
      <c r="C46" s="160" t="s">
        <v>54</v>
      </c>
      <c r="D46" s="160" t="s">
        <v>848</v>
      </c>
      <c r="E46" s="3" t="s">
        <v>22</v>
      </c>
      <c r="F46" s="3" t="s">
        <v>934</v>
      </c>
      <c r="G46" s="3" t="s">
        <v>940</v>
      </c>
      <c r="H46" s="156" t="str">
        <f ca="1">IFERROR(
  _xludf.MINIFS(ATTENDANCE_LOG!$F:$F,
         ATTENDANCE_LOG!$A:$A, C46,
         ATTENDANCE_LOG!$B:$B, E46),
"")</f>
        <v/>
      </c>
      <c r="I46" s="156" t="str">
        <f t="shared" ca="1" si="0"/>
        <v/>
      </c>
      <c r="J46" s="3">
        <f>IFERROR(VLOOKUP(F46, LEVEL_HELPER!$A:$B, 2, 0), "")</f>
        <v>3.5</v>
      </c>
      <c r="K46" s="3">
        <f>IFERROR(VLOOKUP(G46, LEVEL_HELPER!$A:$B, 2, 0), "")</f>
        <v>5</v>
      </c>
      <c r="L46" s="157" t="s">
        <v>942</v>
      </c>
      <c r="M46" s="157" t="s">
        <v>924</v>
      </c>
      <c r="N46" s="3">
        <f t="array" aca="1" ref="N46" ca="1">IFERROR(
  INDEX($J$2:$J$543,
    MATCH(A46&amp;TEXT(I46,"yyyy-mm-dd"),
          $A$2:$A$543&amp;TEXT($H$2:$H$543,"yyyy-mm-dd"),
          0)),
"")</f>
        <v>1</v>
      </c>
      <c r="O46" s="147" t="str">
        <f t="shared" ca="1" si="1"/>
        <v/>
      </c>
      <c r="P46" s="147">
        <f t="shared" ref="P46:Q46" ca="1" si="55">IF(N46="",0,IF(N46&lt;=2,1,IF(N46&lt;=4,2,IF(N46&lt;=5.5,3,4))))</f>
        <v>1</v>
      </c>
      <c r="Q46" s="147">
        <f t="shared" ca="1" si="55"/>
        <v>0</v>
      </c>
      <c r="R46" s="147" t="str">
        <f t="shared" ca="1" si="3"/>
        <v>Regressed</v>
      </c>
      <c r="S46" s="147">
        <f t="shared" si="4"/>
        <v>0</v>
      </c>
      <c r="T46" s="147"/>
      <c r="U46" s="147"/>
      <c r="V46" s="148" t="e">
        <f ca="1"/>
        <v>#NAME?</v>
      </c>
      <c r="W46" s="147" t="e">
        <f t="shared" ca="1" si="5"/>
        <v>#NAME?</v>
      </c>
      <c r="X46" s="147" t="e">
        <f t="shared" ca="1" si="6"/>
        <v>#NAME?</v>
      </c>
      <c r="Y46" s="147" t="e">
        <f t="shared" ca="1" si="7"/>
        <v>#NAME?</v>
      </c>
      <c r="Z46" s="147"/>
      <c r="AA46" s="147"/>
      <c r="AB46" s="147"/>
      <c r="AC46" s="147"/>
      <c r="AD46" s="147"/>
      <c r="AE46" s="147"/>
      <c r="AF46" s="147"/>
      <c r="AG46" s="147"/>
      <c r="AH46" s="147"/>
      <c r="AI46" s="147"/>
      <c r="AJ46" s="147"/>
      <c r="AK46" s="147"/>
      <c r="AL46" s="147"/>
      <c r="AM46" s="151"/>
      <c r="AN46" s="148" t="str">
        <f ca="1">IFERROR(__xludf.DUMMYFUNCTION("""COMPUTED_VALUE"""),"227035")</f>
        <v>227035</v>
      </c>
      <c r="AO46" s="147" t="str">
        <f t="shared" ca="1" si="8"/>
        <v>DEV</v>
      </c>
      <c r="AP46" s="147" t="e">
        <f t="shared" ca="1" si="9"/>
        <v>#NAME?</v>
      </c>
      <c r="AQ46" s="147" t="str">
        <f t="shared" ca="1" si="10"/>
        <v>LBU</v>
      </c>
      <c r="AR46" s="147"/>
      <c r="AS46" s="147"/>
      <c r="AT46" s="147"/>
      <c r="AU46" s="147"/>
      <c r="AV46" s="147"/>
      <c r="AW46" s="147"/>
      <c r="AX46" s="147"/>
      <c r="AY46" s="147"/>
      <c r="AZ46" s="147"/>
      <c r="BA46" s="147"/>
      <c r="BB46" s="147"/>
      <c r="BC46" s="147"/>
      <c r="BD46" s="147"/>
      <c r="BE46" s="147"/>
      <c r="BF46" s="147"/>
      <c r="BG46" s="147"/>
      <c r="BH46" s="147"/>
      <c r="BI46" s="147"/>
      <c r="BJ46" s="147"/>
      <c r="BK46" s="147"/>
      <c r="BL46" s="147"/>
      <c r="BM46" s="147"/>
      <c r="BN46" s="147"/>
      <c r="BO46" s="147"/>
      <c r="BP46" s="147"/>
      <c r="BQ46" s="147"/>
      <c r="BR46" s="147"/>
      <c r="BS46" s="147"/>
      <c r="BT46" s="147"/>
      <c r="BU46" s="147"/>
      <c r="BV46" s="147"/>
      <c r="BW46" s="147"/>
      <c r="BX46" s="147"/>
      <c r="BY46" s="147"/>
      <c r="BZ46" s="147"/>
      <c r="CA46" s="147"/>
      <c r="CB46" s="147"/>
      <c r="CC46" s="147"/>
      <c r="CD46" s="147"/>
      <c r="CE46" s="147"/>
      <c r="CF46" s="147"/>
      <c r="CG46" s="147"/>
      <c r="CH46" s="147"/>
      <c r="CI46" s="147"/>
      <c r="CJ46" s="147"/>
      <c r="CK46" s="147"/>
    </row>
    <row r="47" spans="1:89">
      <c r="A47" s="159" t="s">
        <v>617</v>
      </c>
      <c r="B47" s="3" t="s">
        <v>618</v>
      </c>
      <c r="C47" s="160" t="s">
        <v>54</v>
      </c>
      <c r="D47" s="160" t="s">
        <v>848</v>
      </c>
      <c r="E47" s="3" t="s">
        <v>22</v>
      </c>
      <c r="F47" s="3" t="s">
        <v>917</v>
      </c>
      <c r="G47" s="3" t="s">
        <v>934</v>
      </c>
      <c r="H47" s="156" t="str">
        <f ca="1">IFERROR(
  _xludf.MINIFS(ATTENDANCE_LOG!$F:$F,
         ATTENDANCE_LOG!$A:$A, C47,
         ATTENDANCE_LOG!$B:$B, E47),
"")</f>
        <v/>
      </c>
      <c r="I47" s="156" t="str">
        <f t="shared" ca="1" si="0"/>
        <v/>
      </c>
      <c r="J47" s="3">
        <f>IFERROR(VLOOKUP(F47, LEVEL_HELPER!$A:$B, 2, 0), "")</f>
        <v>3</v>
      </c>
      <c r="K47" s="3">
        <f>IFERROR(VLOOKUP(G47, LEVEL_HELPER!$A:$B, 2, 0), "")</f>
        <v>3.5</v>
      </c>
      <c r="L47" s="157" t="s">
        <v>942</v>
      </c>
      <c r="M47" s="157" t="s">
        <v>924</v>
      </c>
      <c r="N47" s="3">
        <f t="array" aca="1" ref="N47" ca="1">IFERROR(
  INDEX($J$2:$J$543,
    MATCH(A47&amp;TEXT(I47,"yyyy-mm-dd"),
          $A$2:$A$543&amp;TEXT($H$2:$H$543,"yyyy-mm-dd"),
          0)),
"")</f>
        <v>1</v>
      </c>
      <c r="O47" s="147" t="str">
        <f t="shared" ca="1" si="1"/>
        <v/>
      </c>
      <c r="P47" s="147">
        <f t="shared" ref="P47:Q47" ca="1" si="56">IF(N47="",0,IF(N47&lt;=2,1,IF(N47&lt;=4,2,IF(N47&lt;=5.5,3,4))))</f>
        <v>1</v>
      </c>
      <c r="Q47" s="147">
        <f t="shared" ca="1" si="56"/>
        <v>0</v>
      </c>
      <c r="R47" s="147" t="str">
        <f t="shared" ca="1" si="3"/>
        <v>Regressed</v>
      </c>
      <c r="S47" s="147">
        <f t="shared" si="4"/>
        <v>0</v>
      </c>
      <c r="T47" s="147"/>
      <c r="U47" s="147"/>
      <c r="V47" s="148" t="e">
        <f ca="1"/>
        <v>#NAME?</v>
      </c>
      <c r="W47" s="147" t="e">
        <f t="shared" ca="1" si="5"/>
        <v>#NAME?</v>
      </c>
      <c r="X47" s="147" t="e">
        <f t="shared" ca="1" si="6"/>
        <v>#NAME?</v>
      </c>
      <c r="Y47" s="147" t="e">
        <f t="shared" ca="1" si="7"/>
        <v>#NAME?</v>
      </c>
      <c r="Z47" s="147"/>
      <c r="AA47" s="147"/>
      <c r="AB47" s="147"/>
      <c r="AC47" s="147"/>
      <c r="AD47" s="147"/>
      <c r="AE47" s="147"/>
      <c r="AF47" s="147"/>
      <c r="AG47" s="147"/>
      <c r="AH47" s="147"/>
      <c r="AI47" s="147"/>
      <c r="AJ47" s="147"/>
      <c r="AK47" s="147"/>
      <c r="AL47" s="147"/>
      <c r="AM47" s="151"/>
      <c r="AN47" s="148" t="str">
        <f ca="1">IFERROR(__xludf.DUMMYFUNCTION("""COMPUTED_VALUE"""),"227214")</f>
        <v>227214</v>
      </c>
      <c r="AO47" s="147" t="str">
        <f t="shared" ca="1" si="8"/>
        <v>GSD</v>
      </c>
      <c r="AP47" s="147" t="e">
        <f t="shared" ca="1" si="9"/>
        <v>#NAME?</v>
      </c>
      <c r="AQ47" s="147" t="str">
        <f t="shared" ca="1" si="10"/>
        <v>LBU</v>
      </c>
      <c r="AR47" s="147"/>
      <c r="AS47" s="147"/>
      <c r="AT47" s="147"/>
      <c r="AU47" s="147"/>
      <c r="AV47" s="147"/>
      <c r="AW47" s="147"/>
      <c r="AX47" s="147"/>
      <c r="AY47" s="147"/>
      <c r="AZ47" s="147"/>
      <c r="BA47" s="147"/>
      <c r="BB47" s="147"/>
      <c r="BC47" s="147"/>
      <c r="BD47" s="147"/>
      <c r="BE47" s="147"/>
      <c r="BF47" s="147"/>
      <c r="BG47" s="147"/>
      <c r="BH47" s="147"/>
      <c r="BI47" s="147"/>
      <c r="BJ47" s="147"/>
      <c r="BK47" s="147"/>
      <c r="BL47" s="147"/>
      <c r="BM47" s="147"/>
      <c r="BN47" s="147"/>
      <c r="BO47" s="147"/>
      <c r="BP47" s="147"/>
      <c r="BQ47" s="147"/>
      <c r="BR47" s="147"/>
      <c r="BS47" s="147"/>
      <c r="BT47" s="147"/>
      <c r="BU47" s="147"/>
      <c r="BV47" s="147"/>
      <c r="BW47" s="147"/>
      <c r="BX47" s="147"/>
      <c r="BY47" s="147"/>
      <c r="BZ47" s="147"/>
      <c r="CA47" s="147"/>
      <c r="CB47" s="147"/>
      <c r="CC47" s="147"/>
      <c r="CD47" s="147"/>
      <c r="CE47" s="147"/>
      <c r="CF47" s="147"/>
      <c r="CG47" s="147"/>
      <c r="CH47" s="147"/>
      <c r="CI47" s="147"/>
      <c r="CJ47" s="147"/>
      <c r="CK47" s="147"/>
    </row>
    <row r="48" spans="1:89">
      <c r="A48" s="159" t="s">
        <v>695</v>
      </c>
      <c r="B48" s="3" t="s">
        <v>696</v>
      </c>
      <c r="C48" s="160" t="s">
        <v>54</v>
      </c>
      <c r="D48" s="160" t="s">
        <v>848</v>
      </c>
      <c r="E48" s="3" t="s">
        <v>22</v>
      </c>
      <c r="F48" s="3"/>
      <c r="G48" s="3"/>
      <c r="H48" s="156" t="str">
        <f ca="1">IFERROR(
  _xludf.MINIFS(ATTENDANCE_LOG!$F:$F,
         ATTENDANCE_LOG!$A:$A, C48,
         ATTENDANCE_LOG!$B:$B, E48),
"")</f>
        <v/>
      </c>
      <c r="I48" s="156" t="str">
        <f t="shared" ca="1" si="0"/>
        <v/>
      </c>
      <c r="J48" s="3" t="str">
        <f>IFERROR(VLOOKUP(F48, LEVEL_HELPER!$A:$B, 2, 0), "")</f>
        <v/>
      </c>
      <c r="K48" s="3" t="str">
        <f>IFERROR(VLOOKUP(G48, LEVEL_HELPER!$A:$B, 2, 0), "")</f>
        <v/>
      </c>
      <c r="L48" s="157" t="s">
        <v>942</v>
      </c>
      <c r="M48" s="157" t="s">
        <v>924</v>
      </c>
      <c r="N48" s="3" t="str">
        <f t="array" aca="1" ref="N48" ca="1">IFERROR(
  INDEX($J$2:$J$543,
    MATCH(A48&amp;TEXT(I48,"yyyy-mm-dd"),
          $A$2:$A$543&amp;TEXT($H$2:$H$543,"yyyy-mm-dd"),
          0)),
"")</f>
        <v/>
      </c>
      <c r="O48" s="147" t="str">
        <f t="shared" ca="1" si="1"/>
        <v/>
      </c>
      <c r="P48" s="147">
        <f t="shared" ref="P48:Q48" ca="1" si="57">IF(N48="",0,IF(N48&lt;=2,1,IF(N48&lt;=4,2,IF(N48&lt;=5.5,3,4))))</f>
        <v>0</v>
      </c>
      <c r="Q48" s="147">
        <f t="shared" ca="1" si="57"/>
        <v>0</v>
      </c>
      <c r="R48" s="147" t="str">
        <f t="shared" ca="1" si="3"/>
        <v>No Data</v>
      </c>
      <c r="S48" s="147">
        <f t="shared" si="4"/>
        <v>0</v>
      </c>
      <c r="T48" s="147"/>
      <c r="U48" s="147"/>
      <c r="V48" s="148" t="e">
        <f ca="1"/>
        <v>#NAME?</v>
      </c>
      <c r="W48" s="147" t="e">
        <f t="shared" ca="1" si="5"/>
        <v>#NAME?</v>
      </c>
      <c r="X48" s="147" t="e">
        <f t="shared" ca="1" si="6"/>
        <v>#NAME?</v>
      </c>
      <c r="Y48" s="147" t="e">
        <f t="shared" ca="1" si="7"/>
        <v>#NAME?</v>
      </c>
      <c r="Z48" s="147"/>
      <c r="AA48" s="147"/>
      <c r="AB48" s="147"/>
      <c r="AC48" s="147"/>
      <c r="AD48" s="147"/>
      <c r="AE48" s="147"/>
      <c r="AF48" s="147"/>
      <c r="AG48" s="147"/>
      <c r="AH48" s="147"/>
      <c r="AI48" s="147"/>
      <c r="AJ48" s="147"/>
      <c r="AK48" s="147"/>
      <c r="AL48" s="147"/>
      <c r="AM48" s="151"/>
      <c r="AN48" s="148" t="str">
        <f ca="1">IFERROR(__xludf.DUMMYFUNCTION("""COMPUTED_VALUE"""),"247332")</f>
        <v>247332</v>
      </c>
      <c r="AO48" s="147" t="str">
        <f t="shared" ca="1" si="8"/>
        <v>DEV</v>
      </c>
      <c r="AP48" s="147" t="e">
        <f t="shared" ca="1" si="9"/>
        <v>#NAME?</v>
      </c>
      <c r="AQ48" s="147" t="str">
        <f t="shared" ca="1" si="10"/>
        <v>LBU</v>
      </c>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c r="CB48" s="147"/>
      <c r="CC48" s="147"/>
      <c r="CD48" s="147"/>
      <c r="CE48" s="147"/>
      <c r="CF48" s="147"/>
      <c r="CG48" s="147"/>
      <c r="CH48" s="147"/>
      <c r="CI48" s="147"/>
      <c r="CJ48" s="147"/>
      <c r="CK48" s="147"/>
    </row>
    <row r="49" spans="1:89">
      <c r="A49" s="153" t="s">
        <v>330</v>
      </c>
      <c r="B49" s="154" t="s">
        <v>331</v>
      </c>
      <c r="C49" s="155" t="s">
        <v>55</v>
      </c>
      <c r="D49" s="155" t="s">
        <v>849</v>
      </c>
      <c r="E49" s="154" t="s">
        <v>21</v>
      </c>
      <c r="F49" s="3" t="s">
        <v>916</v>
      </c>
      <c r="G49" s="3" t="s">
        <v>931</v>
      </c>
      <c r="H49" s="156" t="str">
        <f ca="1">IFERROR(
  _xludf.MINIFS(ATTENDANCE_LOG!$F:$F,
         ATTENDANCE_LOG!$A:$A, C49,
         ATTENDANCE_LOG!$B:$B, E49),
"")</f>
        <v/>
      </c>
      <c r="I49" s="156" t="str">
        <f t="shared" ca="1" si="0"/>
        <v/>
      </c>
      <c r="J49" s="3">
        <f>IFERROR(VLOOKUP(F49, LEVEL_HELPER!$A:$B, 2, 0), "")</f>
        <v>2.5</v>
      </c>
      <c r="K49" s="3">
        <f>IFERROR(VLOOKUP(G49, LEVEL_HELPER!$A:$B, 2, 0), "")</f>
        <v>4.5</v>
      </c>
      <c r="L49" s="157" t="s">
        <v>942</v>
      </c>
      <c r="M49" s="157" t="s">
        <v>922</v>
      </c>
      <c r="N49" s="3">
        <f t="array" aca="1" ref="N49" ca="1">IFERROR(
  INDEX($J$2:$J$543,
    MATCH(A49&amp;TEXT(I49,"yyyy-mm-dd"),
          $A$2:$A$543&amp;TEXT($H$2:$H$543,"yyyy-mm-dd"),
          0)),
"")</f>
        <v>2.5</v>
      </c>
      <c r="O49" s="147" t="str">
        <f t="shared" ca="1" si="1"/>
        <v/>
      </c>
      <c r="P49" s="147">
        <f t="shared" ref="P49:Q49" ca="1" si="58">IF(N49="",0,IF(N49&lt;=2,1,IF(N49&lt;=4,2,IF(N49&lt;=5.5,3,4))))</f>
        <v>2</v>
      </c>
      <c r="Q49" s="147">
        <f t="shared" ca="1" si="58"/>
        <v>0</v>
      </c>
      <c r="R49" s="147" t="str">
        <f t="shared" ca="1" si="3"/>
        <v>Regressed</v>
      </c>
      <c r="S49" s="147">
        <f t="shared" si="4"/>
        <v>1</v>
      </c>
      <c r="T49" s="147"/>
      <c r="U49" s="147"/>
      <c r="V49" s="148" t="e">
        <f ca="1"/>
        <v>#NAME?</v>
      </c>
      <c r="W49" s="147" t="e">
        <f t="shared" ca="1" si="5"/>
        <v>#NAME?</v>
      </c>
      <c r="X49" s="147" t="e">
        <f t="shared" ca="1" si="6"/>
        <v>#NAME?</v>
      </c>
      <c r="Y49" s="147" t="e">
        <f t="shared" ca="1" si="7"/>
        <v>#NAME?</v>
      </c>
      <c r="Z49" s="147"/>
      <c r="AA49" s="147"/>
      <c r="AB49" s="147"/>
      <c r="AC49" s="147"/>
      <c r="AD49" s="147"/>
      <c r="AE49" s="147"/>
      <c r="AF49" s="147"/>
      <c r="AG49" s="147"/>
      <c r="AH49" s="147"/>
      <c r="AI49" s="147"/>
      <c r="AJ49" s="147"/>
      <c r="AK49" s="147"/>
      <c r="AL49" s="147"/>
      <c r="AM49" s="151"/>
      <c r="AN49" s="148" t="str">
        <f ca="1">IFERROR(__xludf.DUMMYFUNCTION("""COMPUTED_VALUE"""),"173232")</f>
        <v>173232</v>
      </c>
      <c r="AO49" s="147" t="str">
        <f t="shared" ca="1" si="8"/>
        <v>TA</v>
      </c>
      <c r="AP49" s="147" t="e">
        <f t="shared" ca="1" si="9"/>
        <v>#NAME?</v>
      </c>
      <c r="AQ49" s="147" t="str">
        <f t="shared" ca="1" si="10"/>
        <v>MOC</v>
      </c>
      <c r="AR49" s="147"/>
      <c r="AS49" s="147"/>
      <c r="AT49" s="147"/>
      <c r="AU49" s="147"/>
      <c r="AV49" s="147"/>
      <c r="AW49" s="147"/>
      <c r="AX49" s="147"/>
      <c r="AY49" s="147"/>
      <c r="AZ49" s="147"/>
      <c r="BA49" s="147"/>
      <c r="BB49" s="147"/>
      <c r="BC49" s="147"/>
      <c r="BD49" s="147"/>
      <c r="BE49" s="147"/>
      <c r="BF49" s="147"/>
      <c r="BG49" s="147"/>
      <c r="BH49" s="147"/>
      <c r="BI49" s="147"/>
      <c r="BJ49" s="147"/>
      <c r="BK49" s="147"/>
      <c r="BL49" s="147"/>
      <c r="BM49" s="147"/>
      <c r="BN49" s="147"/>
      <c r="BO49" s="147"/>
      <c r="BP49" s="147"/>
      <c r="BQ49" s="147"/>
      <c r="BR49" s="147"/>
      <c r="BS49" s="147"/>
      <c r="BT49" s="147"/>
      <c r="BU49" s="147"/>
      <c r="BV49" s="147"/>
      <c r="BW49" s="147"/>
      <c r="BX49" s="147"/>
      <c r="BY49" s="147"/>
      <c r="BZ49" s="147"/>
      <c r="CA49" s="147"/>
      <c r="CB49" s="147"/>
      <c r="CC49" s="147"/>
      <c r="CD49" s="147"/>
      <c r="CE49" s="147"/>
      <c r="CF49" s="147"/>
      <c r="CG49" s="147"/>
      <c r="CH49" s="147"/>
      <c r="CI49" s="147"/>
      <c r="CJ49" s="147"/>
      <c r="CK49" s="147"/>
    </row>
    <row r="50" spans="1:89">
      <c r="A50" s="159" t="s">
        <v>294</v>
      </c>
      <c r="B50" s="3" t="s">
        <v>295</v>
      </c>
      <c r="C50" s="160" t="s">
        <v>55</v>
      </c>
      <c r="D50" s="160" t="s">
        <v>849</v>
      </c>
      <c r="E50" s="3" t="s">
        <v>21</v>
      </c>
      <c r="F50" s="3" t="s">
        <v>926</v>
      </c>
      <c r="G50" s="3" t="s">
        <v>928</v>
      </c>
      <c r="H50" s="156" t="str">
        <f ca="1">IFERROR(
  _xludf.MINIFS(ATTENDANCE_LOG!$F:$F,
         ATTENDANCE_LOG!$A:$A, C50,
         ATTENDANCE_LOG!$B:$B, E50),
"")</f>
        <v/>
      </c>
      <c r="I50" s="156" t="str">
        <f t="shared" ca="1" si="0"/>
        <v/>
      </c>
      <c r="J50" s="3">
        <f>IFERROR(VLOOKUP(F50, LEVEL_HELPER!$A:$B, 2, 0), "")</f>
        <v>1</v>
      </c>
      <c r="K50" s="3">
        <f>IFERROR(VLOOKUP(G50, LEVEL_HELPER!$A:$B, 2, 0), "")</f>
        <v>1.5</v>
      </c>
      <c r="L50" s="157" t="s">
        <v>930</v>
      </c>
      <c r="M50" s="157" t="s">
        <v>922</v>
      </c>
      <c r="N50" s="3">
        <f t="array" aca="1" ref="N50" ca="1">IFERROR(
  INDEX($J$2:$J$543,
    MATCH(A50&amp;TEXT(I50,"yyyy-mm-dd"),
          $A$2:$A$543&amp;TEXT($H$2:$H$543,"yyyy-mm-dd"),
          0)),
"")</f>
        <v>1</v>
      </c>
      <c r="O50" s="147" t="str">
        <f t="shared" ca="1" si="1"/>
        <v/>
      </c>
      <c r="P50" s="147">
        <f t="shared" ref="P50:Q50" ca="1" si="59">IF(N50="",0,IF(N50&lt;=2,1,IF(N50&lt;=4,2,IF(N50&lt;=5.5,3,4))))</f>
        <v>1</v>
      </c>
      <c r="Q50" s="147">
        <f t="shared" ca="1" si="59"/>
        <v>0</v>
      </c>
      <c r="R50" s="147" t="str">
        <f t="shared" ca="1" si="3"/>
        <v>Regressed</v>
      </c>
      <c r="S50" s="147">
        <f t="shared" si="4"/>
        <v>1</v>
      </c>
      <c r="T50" s="147"/>
      <c r="U50" s="147"/>
      <c r="V50" s="148" t="e">
        <f ca="1"/>
        <v>#NAME?</v>
      </c>
      <c r="W50" s="147" t="e">
        <f t="shared" ca="1" si="5"/>
        <v>#NAME?</v>
      </c>
      <c r="X50" s="147" t="e">
        <f t="shared" ca="1" si="6"/>
        <v>#NAME?</v>
      </c>
      <c r="Y50" s="147" t="e">
        <f t="shared" ca="1" si="7"/>
        <v>#NAME?</v>
      </c>
      <c r="Z50" s="147"/>
      <c r="AA50" s="147"/>
      <c r="AB50" s="147"/>
      <c r="AC50" s="147"/>
      <c r="AD50" s="147"/>
      <c r="AE50" s="147"/>
      <c r="AF50" s="147"/>
      <c r="AG50" s="147"/>
      <c r="AH50" s="147"/>
      <c r="AI50" s="147"/>
      <c r="AJ50" s="147"/>
      <c r="AK50" s="147"/>
      <c r="AL50" s="147"/>
      <c r="AM50" s="151"/>
      <c r="AN50" s="148" t="str">
        <f ca="1">IFERROR(__xludf.DUMMYFUNCTION("""COMPUTED_VALUE"""),"193613")</f>
        <v>193613</v>
      </c>
      <c r="AO50" s="147" t="str">
        <f t="shared" ca="1" si="8"/>
        <v>DEV</v>
      </c>
      <c r="AP50" s="147" t="e">
        <f t="shared" ca="1" si="9"/>
        <v>#NAME?</v>
      </c>
      <c r="AQ50" s="147" t="str">
        <f t="shared" ca="1" si="10"/>
        <v>MOC</v>
      </c>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47"/>
      <c r="BU50" s="147"/>
      <c r="BV50" s="147"/>
      <c r="BW50" s="147"/>
      <c r="BX50" s="147"/>
      <c r="BY50" s="147"/>
      <c r="BZ50" s="147"/>
      <c r="CA50" s="147"/>
      <c r="CB50" s="147"/>
      <c r="CC50" s="147"/>
      <c r="CD50" s="147"/>
      <c r="CE50" s="147"/>
      <c r="CF50" s="147"/>
      <c r="CG50" s="147"/>
      <c r="CH50" s="147"/>
      <c r="CI50" s="147"/>
      <c r="CJ50" s="147"/>
      <c r="CK50" s="147"/>
    </row>
    <row r="51" spans="1:89">
      <c r="A51" s="159" t="s">
        <v>411</v>
      </c>
      <c r="B51" s="3" t="s">
        <v>412</v>
      </c>
      <c r="C51" s="160" t="s">
        <v>55</v>
      </c>
      <c r="D51" s="160" t="s">
        <v>849</v>
      </c>
      <c r="E51" s="3" t="s">
        <v>21</v>
      </c>
      <c r="F51" s="3" t="s">
        <v>916</v>
      </c>
      <c r="G51" s="3" t="s">
        <v>928</v>
      </c>
      <c r="H51" s="156" t="str">
        <f ca="1">IFERROR(
  _xludf.MINIFS(ATTENDANCE_LOG!$F:$F,
         ATTENDANCE_LOG!$A:$A, C51,
         ATTENDANCE_LOG!$B:$B, E51),
"")</f>
        <v/>
      </c>
      <c r="I51" s="156" t="str">
        <f t="shared" ca="1" si="0"/>
        <v/>
      </c>
      <c r="J51" s="3">
        <f>IFERROR(VLOOKUP(F51, LEVEL_HELPER!$A:$B, 2, 0), "")</f>
        <v>2.5</v>
      </c>
      <c r="K51" s="3">
        <f>IFERROR(VLOOKUP(G51, LEVEL_HELPER!$A:$B, 2, 0), "")</f>
        <v>1.5</v>
      </c>
      <c r="L51" s="157" t="s">
        <v>930</v>
      </c>
      <c r="M51" s="157" t="s">
        <v>922</v>
      </c>
      <c r="N51" s="3">
        <f t="array" aca="1" ref="N51" ca="1">IFERROR(
  INDEX($J$2:$J$543,
    MATCH(A51&amp;TEXT(I51,"yyyy-mm-dd"),
          $A$2:$A$543&amp;TEXT($H$2:$H$543,"yyyy-mm-dd"),
          0)),
"")</f>
        <v>2.5</v>
      </c>
      <c r="O51" s="147" t="str">
        <f t="shared" ca="1" si="1"/>
        <v/>
      </c>
      <c r="P51" s="147">
        <f t="shared" ref="P51:Q51" ca="1" si="60">IF(N51="",0,IF(N51&lt;=2,1,IF(N51&lt;=4,2,IF(N51&lt;=5.5,3,4))))</f>
        <v>2</v>
      </c>
      <c r="Q51" s="147">
        <f t="shared" ca="1" si="60"/>
        <v>0</v>
      </c>
      <c r="R51" s="147" t="str">
        <f t="shared" ca="1" si="3"/>
        <v>Regressed</v>
      </c>
      <c r="S51" s="147">
        <f t="shared" si="4"/>
        <v>1</v>
      </c>
      <c r="T51" s="147"/>
      <c r="U51" s="147"/>
      <c r="V51" s="148" t="e">
        <f ca="1"/>
        <v>#NAME?</v>
      </c>
      <c r="W51" s="147" t="e">
        <f t="shared" ca="1" si="5"/>
        <v>#NAME?</v>
      </c>
      <c r="X51" s="147" t="e">
        <f t="shared" ca="1" si="6"/>
        <v>#NAME?</v>
      </c>
      <c r="Y51" s="147" t="e">
        <f t="shared" ca="1" si="7"/>
        <v>#NAME?</v>
      </c>
      <c r="Z51" s="147"/>
      <c r="AA51" s="147"/>
      <c r="AB51" s="147"/>
      <c r="AC51" s="147"/>
      <c r="AD51" s="147"/>
      <c r="AE51" s="147"/>
      <c r="AF51" s="147"/>
      <c r="AG51" s="147"/>
      <c r="AH51" s="147"/>
      <c r="AI51" s="147"/>
      <c r="AJ51" s="147"/>
      <c r="AK51" s="147"/>
      <c r="AL51" s="147"/>
      <c r="AM51" s="151"/>
      <c r="AN51" s="148" t="str">
        <f ca="1">IFERROR(__xludf.DUMMYFUNCTION("""COMPUTED_VALUE"""),"203790")</f>
        <v>203790</v>
      </c>
      <c r="AO51" s="147" t="str">
        <f t="shared" ca="1" si="8"/>
        <v>GSD</v>
      </c>
      <c r="AP51" s="147" t="e">
        <f t="shared" ca="1" si="9"/>
        <v>#NAME?</v>
      </c>
      <c r="AQ51" s="147" t="str">
        <f t="shared" ca="1" si="10"/>
        <v>LBU</v>
      </c>
      <c r="AR51" s="147"/>
      <c r="AS51" s="147"/>
      <c r="AT51" s="147"/>
      <c r="AU51" s="147"/>
      <c r="AV51" s="147"/>
      <c r="AW51" s="147"/>
      <c r="AX51" s="147"/>
      <c r="AY51" s="147"/>
      <c r="AZ51" s="147"/>
      <c r="BA51" s="147"/>
      <c r="BB51" s="147"/>
      <c r="BC51" s="147"/>
      <c r="BD51" s="147"/>
      <c r="BE51" s="147"/>
      <c r="BF51" s="147"/>
      <c r="BG51" s="147"/>
      <c r="BH51" s="147"/>
      <c r="BI51" s="147"/>
      <c r="BJ51" s="147"/>
      <c r="BK51" s="147"/>
      <c r="BL51" s="147"/>
      <c r="BM51" s="147"/>
      <c r="BN51" s="147"/>
      <c r="BO51" s="147"/>
      <c r="BP51" s="147"/>
      <c r="BQ51" s="147"/>
      <c r="BR51" s="147"/>
      <c r="BS51" s="147"/>
      <c r="BT51" s="147"/>
      <c r="BU51" s="147"/>
      <c r="BV51" s="147"/>
      <c r="BW51" s="147"/>
      <c r="BX51" s="147"/>
      <c r="BY51" s="147"/>
      <c r="BZ51" s="147"/>
      <c r="CA51" s="147"/>
      <c r="CB51" s="147"/>
      <c r="CC51" s="147"/>
      <c r="CD51" s="147"/>
      <c r="CE51" s="147"/>
      <c r="CF51" s="147"/>
      <c r="CG51" s="147"/>
      <c r="CH51" s="147"/>
      <c r="CI51" s="147"/>
      <c r="CJ51" s="147"/>
      <c r="CK51" s="147"/>
    </row>
    <row r="52" spans="1:89">
      <c r="A52" s="159" t="s">
        <v>496</v>
      </c>
      <c r="B52" s="3" t="s">
        <v>497</v>
      </c>
      <c r="C52" s="160" t="s">
        <v>55</v>
      </c>
      <c r="D52" s="160" t="s">
        <v>849</v>
      </c>
      <c r="E52" s="3" t="s">
        <v>21</v>
      </c>
      <c r="F52" s="3"/>
      <c r="G52" s="3"/>
      <c r="H52" s="156" t="str">
        <f ca="1">IFERROR(
  _xludf.MINIFS(ATTENDANCE_LOG!$F:$F,
         ATTENDANCE_LOG!$A:$A, C52,
         ATTENDANCE_LOG!$B:$B, E52),
"")</f>
        <v/>
      </c>
      <c r="I52" s="156" t="str">
        <f t="shared" ca="1" si="0"/>
        <v/>
      </c>
      <c r="J52" s="3" t="str">
        <f>IFERROR(VLOOKUP(F52, LEVEL_HELPER!$A:$B, 2, 0), "")</f>
        <v/>
      </c>
      <c r="K52" s="3" t="str">
        <f>IFERROR(VLOOKUP(G52, LEVEL_HELPER!$A:$B, 2, 0), "")</f>
        <v/>
      </c>
      <c r="L52" s="157" t="s">
        <v>930</v>
      </c>
      <c r="M52" s="157" t="s">
        <v>924</v>
      </c>
      <c r="N52" s="3" t="str">
        <f t="array" aca="1" ref="N52" ca="1">IFERROR(
  INDEX($J$2:$J$543,
    MATCH(A52&amp;TEXT(I52,"yyyy-mm-dd"),
          $A$2:$A$543&amp;TEXT($H$2:$H$543,"yyyy-mm-dd"),
          0)),
"")</f>
        <v/>
      </c>
      <c r="O52" s="147" t="str">
        <f t="shared" ca="1" si="1"/>
        <v/>
      </c>
      <c r="P52" s="147">
        <f t="shared" ref="P52:Q52" ca="1" si="61">IF(N52="",0,IF(N52&lt;=2,1,IF(N52&lt;=4,2,IF(N52&lt;=5.5,3,4))))</f>
        <v>0</v>
      </c>
      <c r="Q52" s="147">
        <f t="shared" ca="1" si="61"/>
        <v>0</v>
      </c>
      <c r="R52" s="147" t="str">
        <f t="shared" ca="1" si="3"/>
        <v>No Data</v>
      </c>
      <c r="S52" s="147">
        <f t="shared" si="4"/>
        <v>1</v>
      </c>
      <c r="T52" s="147"/>
      <c r="U52" s="147"/>
      <c r="V52" s="148" t="e">
        <f ca="1"/>
        <v>#NAME?</v>
      </c>
      <c r="W52" s="147" t="e">
        <f t="shared" ca="1" si="5"/>
        <v>#NAME?</v>
      </c>
      <c r="X52" s="147" t="e">
        <f t="shared" ca="1" si="6"/>
        <v>#NAME?</v>
      </c>
      <c r="Y52" s="147" t="e">
        <f t="shared" ca="1" si="7"/>
        <v>#NAME?</v>
      </c>
      <c r="Z52" s="147"/>
      <c r="AA52" s="147"/>
      <c r="AB52" s="147"/>
      <c r="AC52" s="147"/>
      <c r="AD52" s="147"/>
      <c r="AE52" s="147"/>
      <c r="AF52" s="147"/>
      <c r="AG52" s="147"/>
      <c r="AH52" s="147"/>
      <c r="AI52" s="147"/>
      <c r="AJ52" s="147"/>
      <c r="AK52" s="147"/>
      <c r="AL52" s="147"/>
      <c r="AM52" s="151"/>
      <c r="AN52" s="148" t="str">
        <f ca="1">IFERROR(__xludf.DUMMYFUNCTION("""COMPUTED_VALUE"""),"193632")</f>
        <v>193632</v>
      </c>
      <c r="AO52" s="147" t="str">
        <f t="shared" ca="1" si="8"/>
        <v>GSD</v>
      </c>
      <c r="AP52" s="147" t="e">
        <f t="shared" ca="1" si="9"/>
        <v>#NAME?</v>
      </c>
      <c r="AQ52" s="147" t="str">
        <f t="shared" ca="1" si="10"/>
        <v>MOC</v>
      </c>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147"/>
      <c r="BT52" s="147"/>
      <c r="BU52" s="147"/>
      <c r="BV52" s="147"/>
      <c r="BW52" s="147"/>
      <c r="BX52" s="147"/>
      <c r="BY52" s="147"/>
      <c r="BZ52" s="147"/>
      <c r="CA52" s="147"/>
      <c r="CB52" s="147"/>
      <c r="CC52" s="147"/>
      <c r="CD52" s="147"/>
      <c r="CE52" s="147"/>
      <c r="CF52" s="147"/>
      <c r="CG52" s="147"/>
      <c r="CH52" s="147"/>
      <c r="CI52" s="147"/>
      <c r="CJ52" s="147"/>
      <c r="CK52" s="147"/>
    </row>
    <row r="53" spans="1:89">
      <c r="A53" s="159" t="s">
        <v>547</v>
      </c>
      <c r="B53" s="3" t="s">
        <v>548</v>
      </c>
      <c r="C53" s="160" t="s">
        <v>55</v>
      </c>
      <c r="D53" s="160" t="s">
        <v>849</v>
      </c>
      <c r="E53" s="3" t="s">
        <v>21</v>
      </c>
      <c r="F53" s="3" t="s">
        <v>931</v>
      </c>
      <c r="G53" s="3" t="s">
        <v>931</v>
      </c>
      <c r="H53" s="156" t="str">
        <f ca="1">IFERROR(
  _xludf.MINIFS(ATTENDANCE_LOG!$F:$F,
         ATTENDANCE_LOG!$A:$A, C53,
         ATTENDANCE_LOG!$B:$B, E53),
"")</f>
        <v/>
      </c>
      <c r="I53" s="156" t="str">
        <f t="shared" ca="1" si="0"/>
        <v/>
      </c>
      <c r="J53" s="3">
        <f>IFERROR(VLOOKUP(F53, LEVEL_HELPER!$A:$B, 2, 0), "")</f>
        <v>4.5</v>
      </c>
      <c r="K53" s="3">
        <f>IFERROR(VLOOKUP(G53, LEVEL_HELPER!$A:$B, 2, 0), "")</f>
        <v>4.5</v>
      </c>
      <c r="L53" s="157" t="s">
        <v>930</v>
      </c>
      <c r="M53" s="157" t="s">
        <v>922</v>
      </c>
      <c r="N53" s="3">
        <f t="array" aca="1" ref="N53" ca="1">IFERROR(
  INDEX($J$2:$J$543,
    MATCH(A53&amp;TEXT(I53,"yyyy-mm-dd"),
          $A$2:$A$543&amp;TEXT($H$2:$H$543,"yyyy-mm-dd"),
          0)),
"")</f>
        <v>4.5</v>
      </c>
      <c r="O53" s="147" t="str">
        <f t="shared" ca="1" si="1"/>
        <v/>
      </c>
      <c r="P53" s="147">
        <f t="shared" ref="P53:Q53" ca="1" si="62">IF(N53="",0,IF(N53&lt;=2,1,IF(N53&lt;=4,2,IF(N53&lt;=5.5,3,4))))</f>
        <v>3</v>
      </c>
      <c r="Q53" s="147">
        <f t="shared" ca="1" si="62"/>
        <v>0</v>
      </c>
      <c r="R53" s="147" t="str">
        <f t="shared" ca="1" si="3"/>
        <v>Regressed</v>
      </c>
      <c r="S53" s="147">
        <f t="shared" si="4"/>
        <v>1</v>
      </c>
      <c r="T53" s="147"/>
      <c r="U53" s="147"/>
      <c r="V53" s="148" t="e">
        <f ca="1"/>
        <v>#NAME?</v>
      </c>
      <c r="W53" s="147" t="e">
        <f t="shared" ca="1" si="5"/>
        <v>#NAME?</v>
      </c>
      <c r="X53" s="147" t="e">
        <f t="shared" ca="1" si="6"/>
        <v>#NAME?</v>
      </c>
      <c r="Y53" s="147" t="e">
        <f t="shared" ca="1" si="7"/>
        <v>#NAME?</v>
      </c>
      <c r="Z53" s="147"/>
      <c r="AA53" s="147"/>
      <c r="AB53" s="147"/>
      <c r="AC53" s="147"/>
      <c r="AD53" s="147"/>
      <c r="AE53" s="147"/>
      <c r="AF53" s="147"/>
      <c r="AG53" s="147"/>
      <c r="AH53" s="147"/>
      <c r="AI53" s="147"/>
      <c r="AJ53" s="147"/>
      <c r="AK53" s="147"/>
      <c r="AL53" s="147"/>
      <c r="AM53" s="151"/>
      <c r="AN53" s="148" t="str">
        <f ca="1">IFERROR(__xludf.DUMMYFUNCTION("""COMPUTED_VALUE"""),"247097")</f>
        <v>247097</v>
      </c>
      <c r="AO53" s="147" t="str">
        <f t="shared" ca="1" si="8"/>
        <v>DEV</v>
      </c>
      <c r="AP53" s="147" t="e">
        <f t="shared" ca="1" si="9"/>
        <v>#NAME?</v>
      </c>
      <c r="AQ53" s="147" t="str">
        <f t="shared" ca="1" si="10"/>
        <v>MOC</v>
      </c>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47"/>
      <c r="BU53" s="147"/>
      <c r="BV53" s="147"/>
      <c r="BW53" s="147"/>
      <c r="BX53" s="147"/>
      <c r="BY53" s="147"/>
      <c r="BZ53" s="147"/>
      <c r="CA53" s="147"/>
      <c r="CB53" s="147"/>
      <c r="CC53" s="147"/>
      <c r="CD53" s="147"/>
      <c r="CE53" s="147"/>
      <c r="CF53" s="147"/>
      <c r="CG53" s="147"/>
      <c r="CH53" s="147"/>
      <c r="CI53" s="147"/>
      <c r="CJ53" s="147"/>
      <c r="CK53" s="147"/>
    </row>
    <row r="54" spans="1:89">
      <c r="A54" s="153" t="s">
        <v>445</v>
      </c>
      <c r="B54" s="154" t="s">
        <v>446</v>
      </c>
      <c r="C54" s="155" t="s">
        <v>56</v>
      </c>
      <c r="D54" s="155" t="s">
        <v>850</v>
      </c>
      <c r="E54" s="154" t="s">
        <v>21</v>
      </c>
      <c r="F54" s="3" t="s">
        <v>931</v>
      </c>
      <c r="G54" s="3" t="s">
        <v>931</v>
      </c>
      <c r="H54" s="156" t="str">
        <f ca="1">IFERROR(
  _xludf.MINIFS(ATTENDANCE_LOG!$F:$F,
         ATTENDANCE_LOG!$A:$A, C54,
         ATTENDANCE_LOG!$B:$B, E54),
"")</f>
        <v/>
      </c>
      <c r="I54" s="156" t="str">
        <f t="shared" ca="1" si="0"/>
        <v/>
      </c>
      <c r="J54" s="3">
        <f>IFERROR(VLOOKUP(F54, LEVEL_HELPER!$A:$B, 2, 0), "")</f>
        <v>4.5</v>
      </c>
      <c r="K54" s="3">
        <f>IFERROR(VLOOKUP(G54, LEVEL_HELPER!$A:$B, 2, 0), "")</f>
        <v>4.5</v>
      </c>
      <c r="L54" s="157" t="s">
        <v>942</v>
      </c>
      <c r="M54" s="157" t="s">
        <v>922</v>
      </c>
      <c r="N54" s="3">
        <f t="array" aca="1" ref="N54" ca="1">IFERROR(
  INDEX($J$2:$J$543,
    MATCH(A54&amp;TEXT(I54,"yyyy-mm-dd"),
          $A$2:$A$543&amp;TEXT($H$2:$H$543,"yyyy-mm-dd"),
          0)),
"")</f>
        <v>4.5</v>
      </c>
      <c r="O54" s="147" t="str">
        <f t="shared" ca="1" si="1"/>
        <v/>
      </c>
      <c r="P54" s="147">
        <f t="shared" ref="P54:Q54" ca="1" si="63">IF(N54="",0,IF(N54&lt;=2,1,IF(N54&lt;=4,2,IF(N54&lt;=5.5,3,4))))</f>
        <v>3</v>
      </c>
      <c r="Q54" s="147">
        <f t="shared" ca="1" si="63"/>
        <v>0</v>
      </c>
      <c r="R54" s="147" t="str">
        <f t="shared" ca="1" si="3"/>
        <v>Regressed</v>
      </c>
      <c r="S54" s="147">
        <f t="shared" si="4"/>
        <v>1</v>
      </c>
      <c r="T54" s="147"/>
      <c r="U54" s="147"/>
      <c r="V54" s="148" t="e">
        <f ca="1"/>
        <v>#NAME?</v>
      </c>
      <c r="W54" s="147" t="e">
        <f t="shared" ca="1" si="5"/>
        <v>#NAME?</v>
      </c>
      <c r="X54" s="147" t="e">
        <f t="shared" ca="1" si="6"/>
        <v>#NAME?</v>
      </c>
      <c r="Y54" s="147" t="e">
        <f t="shared" ca="1" si="7"/>
        <v>#NAME?</v>
      </c>
      <c r="Z54" s="147"/>
      <c r="AA54" s="147"/>
      <c r="AB54" s="147"/>
      <c r="AC54" s="147"/>
      <c r="AD54" s="147"/>
      <c r="AE54" s="147"/>
      <c r="AF54" s="147"/>
      <c r="AG54" s="147"/>
      <c r="AH54" s="147"/>
      <c r="AI54" s="147"/>
      <c r="AJ54" s="147"/>
      <c r="AK54" s="147"/>
      <c r="AL54" s="147"/>
      <c r="AM54" s="151"/>
      <c r="AN54" s="148" t="str">
        <f ca="1">IFERROR(__xludf.DUMMYFUNCTION("""COMPUTED_VALUE"""),"247062")</f>
        <v>247062</v>
      </c>
      <c r="AO54" s="147" t="str">
        <f t="shared" ca="1" si="8"/>
        <v>GSD</v>
      </c>
      <c r="AP54" s="147" t="e">
        <f t="shared" ca="1" si="9"/>
        <v>#NAME?</v>
      </c>
      <c r="AQ54" s="147" t="str">
        <f t="shared" ca="1" si="10"/>
        <v>POC</v>
      </c>
      <c r="AR54" s="147"/>
      <c r="AS54" s="147"/>
      <c r="AT54" s="147"/>
      <c r="AU54" s="147"/>
      <c r="AV54" s="147"/>
      <c r="AW54" s="147"/>
      <c r="AX54" s="147"/>
      <c r="AY54" s="147"/>
      <c r="AZ54" s="147"/>
      <c r="BA54" s="147"/>
      <c r="BB54" s="147"/>
      <c r="BC54" s="147"/>
      <c r="BD54" s="147"/>
      <c r="BE54" s="147"/>
      <c r="BF54" s="147"/>
      <c r="BG54" s="147"/>
      <c r="BH54" s="147"/>
      <c r="BI54" s="147"/>
      <c r="BJ54" s="147"/>
      <c r="BK54" s="147"/>
      <c r="BL54" s="147"/>
      <c r="BM54" s="147"/>
      <c r="BN54" s="147"/>
      <c r="BO54" s="147"/>
      <c r="BP54" s="147"/>
      <c r="BQ54" s="147"/>
      <c r="BR54" s="147"/>
      <c r="BS54" s="147"/>
      <c r="BT54" s="147"/>
      <c r="BU54" s="147"/>
      <c r="BV54" s="147"/>
      <c r="BW54" s="147"/>
      <c r="BX54" s="147"/>
      <c r="BY54" s="147"/>
      <c r="BZ54" s="147"/>
      <c r="CA54" s="147"/>
      <c r="CB54" s="147"/>
      <c r="CC54" s="147"/>
      <c r="CD54" s="147"/>
      <c r="CE54" s="147"/>
      <c r="CF54" s="147"/>
      <c r="CG54" s="147"/>
      <c r="CH54" s="147"/>
      <c r="CI54" s="147"/>
      <c r="CJ54" s="147"/>
      <c r="CK54" s="147"/>
    </row>
    <row r="55" spans="1:89">
      <c r="A55" s="159" t="s">
        <v>176</v>
      </c>
      <c r="B55" s="3" t="s">
        <v>177</v>
      </c>
      <c r="C55" s="160" t="s">
        <v>56</v>
      </c>
      <c r="D55" s="160" t="s">
        <v>850</v>
      </c>
      <c r="E55" s="3" t="s">
        <v>21</v>
      </c>
      <c r="F55" s="3" t="s">
        <v>916</v>
      </c>
      <c r="G55" s="3" t="s">
        <v>931</v>
      </c>
      <c r="H55" s="156" t="str">
        <f ca="1">IFERROR(
  _xludf.MINIFS(ATTENDANCE_LOG!$F:$F,
         ATTENDANCE_LOG!$A:$A, C55,
         ATTENDANCE_LOG!$B:$B, E55),
"")</f>
        <v/>
      </c>
      <c r="I55" s="156" t="str">
        <f t="shared" ca="1" si="0"/>
        <v/>
      </c>
      <c r="J55" s="3">
        <f>IFERROR(VLOOKUP(F55, LEVEL_HELPER!$A:$B, 2, 0), "")</f>
        <v>2.5</v>
      </c>
      <c r="K55" s="3">
        <f>IFERROR(VLOOKUP(G55, LEVEL_HELPER!$A:$B, 2, 0), "")</f>
        <v>4.5</v>
      </c>
      <c r="L55" s="157" t="s">
        <v>930</v>
      </c>
      <c r="M55" s="157" t="s">
        <v>922</v>
      </c>
      <c r="N55" s="3">
        <f t="array" aca="1" ref="N55" ca="1">IFERROR(
  INDEX($J$2:$J$543,
    MATCH(A55&amp;TEXT(I55,"yyyy-mm-dd"),
          $A$2:$A$543&amp;TEXT($H$2:$H$543,"yyyy-mm-dd"),
          0)),
"")</f>
        <v>2.5</v>
      </c>
      <c r="O55" s="147" t="str">
        <f t="shared" ca="1" si="1"/>
        <v/>
      </c>
      <c r="P55" s="147">
        <f t="shared" ref="P55:Q55" ca="1" si="64">IF(N55="",0,IF(N55&lt;=2,1,IF(N55&lt;=4,2,IF(N55&lt;=5.5,3,4))))</f>
        <v>2</v>
      </c>
      <c r="Q55" s="147">
        <f t="shared" ca="1" si="64"/>
        <v>0</v>
      </c>
      <c r="R55" s="147" t="str">
        <f t="shared" ca="1" si="3"/>
        <v>Regressed</v>
      </c>
      <c r="S55" s="147">
        <f t="shared" si="4"/>
        <v>1</v>
      </c>
      <c r="T55" s="147"/>
      <c r="U55" s="147"/>
      <c r="V55" s="148" t="e">
        <f ca="1"/>
        <v>#NAME?</v>
      </c>
      <c r="W55" s="147" t="e">
        <f t="shared" ca="1" si="5"/>
        <v>#NAME?</v>
      </c>
      <c r="X55" s="147" t="e">
        <f t="shared" ca="1" si="6"/>
        <v>#NAME?</v>
      </c>
      <c r="Y55" s="147" t="e">
        <f t="shared" ca="1" si="7"/>
        <v>#NAME?</v>
      </c>
      <c r="Z55" s="147"/>
      <c r="AA55" s="147"/>
      <c r="AB55" s="147"/>
      <c r="AC55" s="147"/>
      <c r="AD55" s="147"/>
      <c r="AE55" s="147"/>
      <c r="AF55" s="147"/>
      <c r="AG55" s="147"/>
      <c r="AH55" s="147"/>
      <c r="AI55" s="147"/>
      <c r="AJ55" s="147"/>
      <c r="AK55" s="147"/>
      <c r="AL55" s="147"/>
      <c r="AM55" s="151"/>
      <c r="AN55" s="148" t="str">
        <f ca="1">IFERROR(__xludf.DUMMYFUNCTION("""COMPUTED_VALUE"""),"247064")</f>
        <v>247064</v>
      </c>
      <c r="AO55" s="147" t="str">
        <f t="shared" ca="1" si="8"/>
        <v>GSD</v>
      </c>
      <c r="AP55" s="147" t="e">
        <f t="shared" ca="1" si="9"/>
        <v>#NAME?</v>
      </c>
      <c r="AQ55" s="147" t="str">
        <f t="shared" ca="1" si="10"/>
        <v>POC</v>
      </c>
      <c r="AR55" s="147"/>
      <c r="AS55" s="147"/>
      <c r="AT55" s="147"/>
      <c r="AU55" s="147"/>
      <c r="AV55" s="147"/>
      <c r="AW55" s="147"/>
      <c r="AX55" s="147"/>
      <c r="AY55" s="147"/>
      <c r="AZ55" s="147"/>
      <c r="BA55" s="147"/>
      <c r="BB55" s="147"/>
      <c r="BC55" s="147"/>
      <c r="BD55" s="147"/>
      <c r="BE55" s="147"/>
      <c r="BF55" s="147"/>
      <c r="BG55" s="147"/>
      <c r="BH55" s="147"/>
      <c r="BI55" s="147"/>
      <c r="BJ55" s="147"/>
      <c r="BK55" s="147"/>
      <c r="BL55" s="147"/>
      <c r="BM55" s="147"/>
      <c r="BN55" s="147"/>
      <c r="BO55" s="147"/>
      <c r="BP55" s="147"/>
      <c r="BQ55" s="147"/>
      <c r="BR55" s="147"/>
      <c r="BS55" s="147"/>
      <c r="BT55" s="147"/>
      <c r="BU55" s="147"/>
      <c r="BV55" s="147"/>
      <c r="BW55" s="147"/>
      <c r="BX55" s="147"/>
      <c r="BY55" s="147"/>
      <c r="BZ55" s="147"/>
      <c r="CA55" s="147"/>
      <c r="CB55" s="147"/>
      <c r="CC55" s="147"/>
      <c r="CD55" s="147"/>
      <c r="CE55" s="147"/>
      <c r="CF55" s="147"/>
      <c r="CG55" s="147"/>
      <c r="CH55" s="147"/>
      <c r="CI55" s="147"/>
      <c r="CJ55" s="147"/>
      <c r="CK55" s="147"/>
    </row>
    <row r="56" spans="1:89">
      <c r="A56" s="159" t="s">
        <v>228</v>
      </c>
      <c r="B56" s="3" t="s">
        <v>229</v>
      </c>
      <c r="C56" s="160" t="s">
        <v>56</v>
      </c>
      <c r="D56" s="160" t="s">
        <v>850</v>
      </c>
      <c r="E56" s="3" t="s">
        <v>21</v>
      </c>
      <c r="F56" s="3" t="s">
        <v>926</v>
      </c>
      <c r="G56" s="3" t="s">
        <v>917</v>
      </c>
      <c r="H56" s="156" t="str">
        <f ca="1">IFERROR(
  _xludf.MINIFS(ATTENDANCE_LOG!$F:$F,
         ATTENDANCE_LOG!$A:$A, C56,
         ATTENDANCE_LOG!$B:$B, E56),
"")</f>
        <v/>
      </c>
      <c r="I56" s="156" t="str">
        <f t="shared" ca="1" si="0"/>
        <v/>
      </c>
      <c r="J56" s="3">
        <f>IFERROR(VLOOKUP(F56, LEVEL_HELPER!$A:$B, 2, 0), "")</f>
        <v>1</v>
      </c>
      <c r="K56" s="3">
        <f>IFERROR(VLOOKUP(G56, LEVEL_HELPER!$A:$B, 2, 0), "")</f>
        <v>3</v>
      </c>
      <c r="L56" s="157" t="s">
        <v>942</v>
      </c>
      <c r="M56" s="157" t="s">
        <v>922</v>
      </c>
      <c r="N56" s="3">
        <f t="array" aca="1" ref="N56" ca="1">IFERROR(
  INDEX($J$2:$J$543,
    MATCH(A56&amp;TEXT(I56,"yyyy-mm-dd"),
          $A$2:$A$543&amp;TEXT($H$2:$H$543,"yyyy-mm-dd"),
          0)),
"")</f>
        <v>1</v>
      </c>
      <c r="O56" s="147" t="str">
        <f t="shared" ca="1" si="1"/>
        <v/>
      </c>
      <c r="P56" s="147">
        <f t="shared" ref="P56:Q56" ca="1" si="65">IF(N56="",0,IF(N56&lt;=2,1,IF(N56&lt;=4,2,IF(N56&lt;=5.5,3,4))))</f>
        <v>1</v>
      </c>
      <c r="Q56" s="147">
        <f t="shared" ca="1" si="65"/>
        <v>0</v>
      </c>
      <c r="R56" s="147" t="str">
        <f t="shared" ca="1" si="3"/>
        <v>Regressed</v>
      </c>
      <c r="S56" s="147">
        <f t="shared" si="4"/>
        <v>1</v>
      </c>
      <c r="T56" s="147"/>
      <c r="U56" s="147"/>
      <c r="V56" s="148" t="e">
        <f ca="1"/>
        <v>#NAME?</v>
      </c>
      <c r="W56" s="147" t="e">
        <f t="shared" ca="1" si="5"/>
        <v>#NAME?</v>
      </c>
      <c r="X56" s="147" t="e">
        <f t="shared" ca="1" si="6"/>
        <v>#NAME?</v>
      </c>
      <c r="Y56" s="147" t="e">
        <f t="shared" ca="1" si="7"/>
        <v>#NAME?</v>
      </c>
      <c r="Z56" s="147"/>
      <c r="AA56" s="147"/>
      <c r="AB56" s="147"/>
      <c r="AC56" s="147"/>
      <c r="AD56" s="147"/>
      <c r="AE56" s="147"/>
      <c r="AF56" s="147"/>
      <c r="AG56" s="147"/>
      <c r="AH56" s="147"/>
      <c r="AI56" s="147"/>
      <c r="AJ56" s="147"/>
      <c r="AK56" s="147"/>
      <c r="AL56" s="147"/>
      <c r="AM56" s="151"/>
      <c r="AN56" s="148" t="str">
        <f ca="1">IFERROR(__xludf.DUMMYFUNCTION("""COMPUTED_VALUE"""),"183330")</f>
        <v>183330</v>
      </c>
      <c r="AO56" s="147" t="str">
        <f t="shared" ca="1" si="8"/>
        <v>GSD</v>
      </c>
      <c r="AP56" s="147" t="e">
        <f t="shared" ca="1" si="9"/>
        <v>#NAME?</v>
      </c>
      <c r="AQ56" s="147" t="str">
        <f t="shared" ca="1" si="10"/>
        <v>TBU</v>
      </c>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row>
    <row r="57" spans="1:89">
      <c r="A57" s="159" t="s">
        <v>482</v>
      </c>
      <c r="B57" s="3" t="s">
        <v>483</v>
      </c>
      <c r="C57" s="160" t="s">
        <v>56</v>
      </c>
      <c r="D57" s="160" t="s">
        <v>850</v>
      </c>
      <c r="E57" s="3" t="s">
        <v>21</v>
      </c>
      <c r="F57" s="3" t="s">
        <v>916</v>
      </c>
      <c r="G57" s="3" t="s">
        <v>934</v>
      </c>
      <c r="H57" s="156" t="str">
        <f ca="1">IFERROR(
  _xludf.MINIFS(ATTENDANCE_LOG!$F:$F,
         ATTENDANCE_LOG!$A:$A, C57,
         ATTENDANCE_LOG!$B:$B, E57),
"")</f>
        <v/>
      </c>
      <c r="I57" s="156" t="str">
        <f t="shared" ca="1" si="0"/>
        <v/>
      </c>
      <c r="J57" s="3">
        <f>IFERROR(VLOOKUP(F57, LEVEL_HELPER!$A:$B, 2, 0), "")</f>
        <v>2.5</v>
      </c>
      <c r="K57" s="3">
        <f>IFERROR(VLOOKUP(G57, LEVEL_HELPER!$A:$B, 2, 0), "")</f>
        <v>3.5</v>
      </c>
      <c r="L57" s="157" t="s">
        <v>918</v>
      </c>
      <c r="M57" s="157" t="s">
        <v>925</v>
      </c>
      <c r="N57" s="3">
        <f t="array" aca="1" ref="N57" ca="1">IFERROR(
  INDEX($J$2:$J$543,
    MATCH(A57&amp;TEXT(I57,"yyyy-mm-dd"),
          $A$2:$A$543&amp;TEXT($H$2:$H$543,"yyyy-mm-dd"),
          0)),
"")</f>
        <v>2.5</v>
      </c>
      <c r="O57" s="147" t="str">
        <f t="shared" ca="1" si="1"/>
        <v/>
      </c>
      <c r="P57" s="147">
        <f t="shared" ref="P57:Q57" ca="1" si="66">IF(N57="",0,IF(N57&lt;=2,1,IF(N57&lt;=4,2,IF(N57&lt;=5.5,3,4))))</f>
        <v>2</v>
      </c>
      <c r="Q57" s="147">
        <f t="shared" ca="1" si="66"/>
        <v>0</v>
      </c>
      <c r="R57" s="147" t="str">
        <f t="shared" ca="1" si="3"/>
        <v>Regressed</v>
      </c>
      <c r="S57" s="147">
        <f t="shared" si="4"/>
        <v>1</v>
      </c>
      <c r="T57" s="147"/>
      <c r="U57" s="147"/>
      <c r="V57" s="148" t="e">
        <f ca="1"/>
        <v>#NAME?</v>
      </c>
      <c r="W57" s="147" t="e">
        <f t="shared" ca="1" si="5"/>
        <v>#NAME?</v>
      </c>
      <c r="X57" s="147" t="e">
        <f t="shared" ca="1" si="6"/>
        <v>#NAME?</v>
      </c>
      <c r="Y57" s="147" t="e">
        <f t="shared" ca="1" si="7"/>
        <v>#NAME?</v>
      </c>
      <c r="Z57" s="147"/>
      <c r="AA57" s="147"/>
      <c r="AB57" s="147"/>
      <c r="AC57" s="147"/>
      <c r="AD57" s="147"/>
      <c r="AE57" s="147"/>
      <c r="AF57" s="147"/>
      <c r="AG57" s="147"/>
      <c r="AH57" s="147"/>
      <c r="AI57" s="147"/>
      <c r="AJ57" s="147"/>
      <c r="AK57" s="147"/>
      <c r="AL57" s="147"/>
      <c r="AM57" s="151"/>
      <c r="AN57" s="148" t="str">
        <f ca="1">IFERROR(__xludf.DUMMYFUNCTION("""COMPUTED_VALUE"""),"227122")</f>
        <v>227122</v>
      </c>
      <c r="AO57" s="147" t="str">
        <f t="shared" ca="1" si="8"/>
        <v>QC</v>
      </c>
      <c r="AP57" s="147" t="e">
        <f t="shared" ca="1" si="9"/>
        <v>#NAME?</v>
      </c>
      <c r="AQ57" s="147" t="str">
        <f t="shared" ca="1" si="10"/>
        <v>POC</v>
      </c>
      <c r="AR57" s="147"/>
      <c r="AS57" s="147"/>
      <c r="AT57" s="147"/>
      <c r="AU57" s="147"/>
      <c r="AV57" s="147"/>
      <c r="AW57" s="147"/>
      <c r="AX57" s="147"/>
      <c r="AY57" s="147"/>
      <c r="AZ57" s="147"/>
      <c r="BA57" s="147"/>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7"/>
      <c r="CE57" s="147"/>
      <c r="CF57" s="147"/>
      <c r="CG57" s="147"/>
      <c r="CH57" s="147"/>
      <c r="CI57" s="147"/>
      <c r="CJ57" s="147"/>
      <c r="CK57" s="147"/>
    </row>
    <row r="58" spans="1:89">
      <c r="A58" s="153" t="s">
        <v>357</v>
      </c>
      <c r="B58" s="154" t="s">
        <v>358</v>
      </c>
      <c r="C58" s="155" t="s">
        <v>57</v>
      </c>
      <c r="D58" s="155" t="s">
        <v>851</v>
      </c>
      <c r="E58" s="154" t="s">
        <v>21</v>
      </c>
      <c r="F58" s="3" t="s">
        <v>916</v>
      </c>
      <c r="G58" s="3" t="s">
        <v>934</v>
      </c>
      <c r="H58" s="156" t="str">
        <f ca="1">IFERROR(
  _xludf.MINIFS(ATTENDANCE_LOG!$F:$F,
         ATTENDANCE_LOG!$A:$A, C58,
         ATTENDANCE_LOG!$B:$B, E58),
"")</f>
        <v/>
      </c>
      <c r="I58" s="156" t="str">
        <f t="shared" ca="1" si="0"/>
        <v/>
      </c>
      <c r="J58" s="3">
        <f>IFERROR(VLOOKUP(F58, LEVEL_HELPER!$A:$B, 2, 0), "")</f>
        <v>2.5</v>
      </c>
      <c r="K58" s="3">
        <f>IFERROR(VLOOKUP(G58, LEVEL_HELPER!$A:$B, 2, 0), "")</f>
        <v>3.5</v>
      </c>
      <c r="L58" s="157" t="s">
        <v>942</v>
      </c>
      <c r="M58" s="157" t="s">
        <v>921</v>
      </c>
      <c r="N58" s="3">
        <f t="array" aca="1" ref="N58" ca="1">IFERROR(
  INDEX($J$2:$J$543,
    MATCH(A58&amp;TEXT(I58,"yyyy-mm-dd"),
          $A$2:$A$543&amp;TEXT($H$2:$H$543,"yyyy-mm-dd"),
          0)),
"")</f>
        <v>2.5</v>
      </c>
      <c r="O58" s="147" t="str">
        <f t="shared" ca="1" si="1"/>
        <v/>
      </c>
      <c r="P58" s="147">
        <f t="shared" ref="P58:Q58" ca="1" si="67">IF(N58="",0,IF(N58&lt;=2,1,IF(N58&lt;=4,2,IF(N58&lt;=5.5,3,4))))</f>
        <v>2</v>
      </c>
      <c r="Q58" s="147">
        <f t="shared" ca="1" si="67"/>
        <v>0</v>
      </c>
      <c r="R58" s="147" t="str">
        <f t="shared" ca="1" si="3"/>
        <v>Regressed</v>
      </c>
      <c r="S58" s="147">
        <f t="shared" si="4"/>
        <v>1</v>
      </c>
      <c r="T58" s="147"/>
      <c r="U58" s="147"/>
      <c r="V58" s="148" t="e">
        <f ca="1"/>
        <v>#NAME?</v>
      </c>
      <c r="W58" s="147" t="e">
        <f t="shared" ca="1" si="5"/>
        <v>#NAME?</v>
      </c>
      <c r="X58" s="147" t="e">
        <f t="shared" ca="1" si="6"/>
        <v>#NAME?</v>
      </c>
      <c r="Y58" s="147" t="e">
        <f t="shared" ca="1" si="7"/>
        <v>#NAME?</v>
      </c>
      <c r="Z58" s="147"/>
      <c r="AA58" s="147"/>
      <c r="AB58" s="147"/>
      <c r="AC58" s="147"/>
      <c r="AD58" s="147"/>
      <c r="AE58" s="147"/>
      <c r="AF58" s="147"/>
      <c r="AG58" s="147"/>
      <c r="AH58" s="147"/>
      <c r="AI58" s="147"/>
      <c r="AJ58" s="147"/>
      <c r="AK58" s="147"/>
      <c r="AL58" s="147"/>
      <c r="AM58" s="151"/>
      <c r="AN58" s="148" t="str">
        <f ca="1">IFERROR(__xludf.DUMMYFUNCTION("""COMPUTED_VALUE"""),"247263")</f>
        <v>247263</v>
      </c>
      <c r="AO58" s="147" t="str">
        <f t="shared" ca="1" si="8"/>
        <v>GSD</v>
      </c>
      <c r="AP58" s="147" t="e">
        <f t="shared" ca="1" si="9"/>
        <v>#NAME?</v>
      </c>
      <c r="AQ58" s="147" t="str">
        <f t="shared" ca="1" si="10"/>
        <v>MOC</v>
      </c>
      <c r="AR58" s="147"/>
      <c r="AS58" s="147"/>
      <c r="AT58" s="147"/>
      <c r="AU58" s="147"/>
      <c r="AV58" s="147"/>
      <c r="AW58" s="147"/>
      <c r="AX58" s="147"/>
      <c r="AY58" s="147"/>
      <c r="AZ58" s="147"/>
      <c r="BA58" s="147"/>
      <c r="BB58" s="147"/>
      <c r="BC58" s="147"/>
      <c r="BD58" s="147"/>
      <c r="BE58" s="147"/>
      <c r="BF58" s="147"/>
      <c r="BG58" s="147"/>
      <c r="BH58" s="147"/>
      <c r="BI58" s="147"/>
      <c r="BJ58" s="147"/>
      <c r="BK58" s="147"/>
      <c r="BL58" s="147"/>
      <c r="BM58" s="147"/>
      <c r="BN58" s="147"/>
      <c r="BO58" s="147"/>
      <c r="BP58" s="147"/>
      <c r="BQ58" s="147"/>
      <c r="BR58" s="147"/>
      <c r="BS58" s="147"/>
      <c r="BT58" s="147"/>
      <c r="BU58" s="147"/>
      <c r="BV58" s="147"/>
      <c r="BW58" s="147"/>
      <c r="BX58" s="147"/>
      <c r="BY58" s="147"/>
      <c r="BZ58" s="147"/>
      <c r="CA58" s="147"/>
      <c r="CB58" s="147"/>
      <c r="CC58" s="147"/>
      <c r="CD58" s="147"/>
      <c r="CE58" s="147"/>
      <c r="CF58" s="147"/>
      <c r="CG58" s="147"/>
      <c r="CH58" s="147"/>
      <c r="CI58" s="147"/>
      <c r="CJ58" s="147"/>
      <c r="CK58" s="147"/>
    </row>
    <row r="59" spans="1:89">
      <c r="A59" s="159" t="s">
        <v>230</v>
      </c>
      <c r="B59" s="3" t="s">
        <v>231</v>
      </c>
      <c r="C59" s="160" t="s">
        <v>57</v>
      </c>
      <c r="D59" s="160" t="s">
        <v>851</v>
      </c>
      <c r="E59" s="3" t="s">
        <v>21</v>
      </c>
      <c r="F59" s="3" t="s">
        <v>926</v>
      </c>
      <c r="G59" s="3" t="s">
        <v>917</v>
      </c>
      <c r="H59" s="156" t="str">
        <f ca="1">IFERROR(
  _xludf.MINIFS(ATTENDANCE_LOG!$F:$F,
         ATTENDANCE_LOG!$A:$A, C59,
         ATTENDANCE_LOG!$B:$B, E59),
"")</f>
        <v/>
      </c>
      <c r="I59" s="156" t="str">
        <f t="shared" ca="1" si="0"/>
        <v/>
      </c>
      <c r="J59" s="3">
        <f>IFERROR(VLOOKUP(F59, LEVEL_HELPER!$A:$B, 2, 0), "")</f>
        <v>1</v>
      </c>
      <c r="K59" s="3">
        <f>IFERROR(VLOOKUP(G59, LEVEL_HELPER!$A:$B, 2, 0), "")</f>
        <v>3</v>
      </c>
      <c r="L59" s="157" t="s">
        <v>942</v>
      </c>
      <c r="M59" s="157" t="s">
        <v>921</v>
      </c>
      <c r="N59" s="3">
        <f t="array" aca="1" ref="N59" ca="1">IFERROR(
  INDEX($J$2:$J$543,
    MATCH(A59&amp;TEXT(I59,"yyyy-mm-dd"),
          $A$2:$A$543&amp;TEXT($H$2:$H$543,"yyyy-mm-dd"),
          0)),
"")</f>
        <v>1</v>
      </c>
      <c r="O59" s="147" t="str">
        <f t="shared" ca="1" si="1"/>
        <v/>
      </c>
      <c r="P59" s="147">
        <f t="shared" ref="P59:Q59" ca="1" si="68">IF(N59="",0,IF(N59&lt;=2,1,IF(N59&lt;=4,2,IF(N59&lt;=5.5,3,4))))</f>
        <v>1</v>
      </c>
      <c r="Q59" s="147">
        <f t="shared" ca="1" si="68"/>
        <v>0</v>
      </c>
      <c r="R59" s="147" t="str">
        <f t="shared" ca="1" si="3"/>
        <v>Regressed</v>
      </c>
      <c r="S59" s="147">
        <f t="shared" si="4"/>
        <v>1</v>
      </c>
      <c r="T59" s="147"/>
      <c r="U59" s="147"/>
      <c r="V59" s="148" t="e">
        <f ca="1"/>
        <v>#NAME?</v>
      </c>
      <c r="W59" s="147" t="e">
        <f t="shared" ca="1" si="5"/>
        <v>#NAME?</v>
      </c>
      <c r="X59" s="147" t="e">
        <f t="shared" ca="1" si="6"/>
        <v>#NAME?</v>
      </c>
      <c r="Y59" s="147" t="e">
        <f t="shared" ca="1" si="7"/>
        <v>#NAME?</v>
      </c>
      <c r="Z59" s="147"/>
      <c r="AA59" s="147"/>
      <c r="AB59" s="147"/>
      <c r="AC59" s="147"/>
      <c r="AD59" s="147"/>
      <c r="AE59" s="147"/>
      <c r="AF59" s="147"/>
      <c r="AG59" s="147"/>
      <c r="AH59" s="147"/>
      <c r="AI59" s="147"/>
      <c r="AJ59" s="147"/>
      <c r="AK59" s="147"/>
      <c r="AL59" s="147"/>
      <c r="AM59" s="151"/>
      <c r="AN59" s="148" t="str">
        <f ca="1">IFERROR(__xludf.DUMMYFUNCTION("""COMPUTED_VALUE"""),"247083")</f>
        <v>247083</v>
      </c>
      <c r="AO59" s="147" t="str">
        <f t="shared" ca="1" si="8"/>
        <v>GSD</v>
      </c>
      <c r="AP59" s="147" t="e">
        <f t="shared" ca="1" si="9"/>
        <v>#NAME?</v>
      </c>
      <c r="AQ59" s="147" t="str">
        <f t="shared" ca="1" si="10"/>
        <v>LBU</v>
      </c>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row>
    <row r="60" spans="1:89">
      <c r="A60" s="159" t="s">
        <v>568</v>
      </c>
      <c r="B60" s="3" t="s">
        <v>569</v>
      </c>
      <c r="C60" s="160" t="s">
        <v>57</v>
      </c>
      <c r="D60" s="160" t="s">
        <v>851</v>
      </c>
      <c r="E60" s="3" t="s">
        <v>21</v>
      </c>
      <c r="F60" s="3" t="s">
        <v>926</v>
      </c>
      <c r="G60" s="3" t="s">
        <v>917</v>
      </c>
      <c r="H60" s="156" t="str">
        <f ca="1">IFERROR(
  _xludf.MINIFS(ATTENDANCE_LOG!$F:$F,
         ATTENDANCE_LOG!$A:$A, C60,
         ATTENDANCE_LOG!$B:$B, E60),
"")</f>
        <v/>
      </c>
      <c r="I60" s="156" t="str">
        <f t="shared" ca="1" si="0"/>
        <v/>
      </c>
      <c r="J60" s="3">
        <f>IFERROR(VLOOKUP(F60, LEVEL_HELPER!$A:$B, 2, 0), "")</f>
        <v>1</v>
      </c>
      <c r="K60" s="3">
        <f>IFERROR(VLOOKUP(G60, LEVEL_HELPER!$A:$B, 2, 0), "")</f>
        <v>3</v>
      </c>
      <c r="L60" s="157" t="s">
        <v>942</v>
      </c>
      <c r="M60" s="157" t="s">
        <v>922</v>
      </c>
      <c r="N60" s="3">
        <f t="array" aca="1" ref="N60" ca="1">IFERROR(
  INDEX($J$2:$J$543,
    MATCH(A60&amp;TEXT(I60,"yyyy-mm-dd"),
          $A$2:$A$543&amp;TEXT($H$2:$H$543,"yyyy-mm-dd"),
          0)),
"")</f>
        <v>1</v>
      </c>
      <c r="O60" s="147" t="str">
        <f t="shared" ca="1" si="1"/>
        <v/>
      </c>
      <c r="P60" s="147">
        <f t="shared" ref="P60:Q60" ca="1" si="69">IF(N60="",0,IF(N60&lt;=2,1,IF(N60&lt;=4,2,IF(N60&lt;=5.5,3,4))))</f>
        <v>1</v>
      </c>
      <c r="Q60" s="147">
        <f t="shared" ca="1" si="69"/>
        <v>0</v>
      </c>
      <c r="R60" s="147" t="str">
        <f t="shared" ca="1" si="3"/>
        <v>Regressed</v>
      </c>
      <c r="S60" s="147">
        <f t="shared" si="4"/>
        <v>1</v>
      </c>
      <c r="T60" s="147"/>
      <c r="U60" s="147"/>
      <c r="V60" s="148" t="e">
        <f ca="1"/>
        <v>#NAME?</v>
      </c>
      <c r="W60" s="147" t="e">
        <f t="shared" ca="1" si="5"/>
        <v>#NAME?</v>
      </c>
      <c r="X60" s="147" t="e">
        <f t="shared" ca="1" si="6"/>
        <v>#NAME?</v>
      </c>
      <c r="Y60" s="147" t="e">
        <f t="shared" ca="1" si="7"/>
        <v>#NAME?</v>
      </c>
      <c r="Z60" s="147"/>
      <c r="AA60" s="147"/>
      <c r="AB60" s="147"/>
      <c r="AC60" s="147"/>
      <c r="AD60" s="147"/>
      <c r="AE60" s="147"/>
      <c r="AF60" s="147"/>
      <c r="AG60" s="147"/>
      <c r="AH60" s="147"/>
      <c r="AI60" s="147"/>
      <c r="AJ60" s="147"/>
      <c r="AK60" s="147"/>
      <c r="AL60" s="147"/>
      <c r="AM60" s="151"/>
      <c r="AN60" s="148" t="str">
        <f ca="1">IFERROR(__xludf.DUMMYFUNCTION("""COMPUTED_VALUE"""),"247178")</f>
        <v>247178</v>
      </c>
      <c r="AO60" s="147" t="str">
        <f t="shared" ca="1" si="8"/>
        <v>GSD</v>
      </c>
      <c r="AP60" s="147" t="e">
        <f t="shared" ca="1" si="9"/>
        <v>#NAME?</v>
      </c>
      <c r="AQ60" s="147" t="str">
        <f t="shared" ca="1" si="10"/>
        <v>LBU</v>
      </c>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row>
    <row r="61" spans="1:89">
      <c r="A61" s="159" t="s">
        <v>625</v>
      </c>
      <c r="B61" s="3" t="s">
        <v>626</v>
      </c>
      <c r="C61" s="160" t="s">
        <v>57</v>
      </c>
      <c r="D61" s="160" t="s">
        <v>851</v>
      </c>
      <c r="E61" s="3" t="s">
        <v>21</v>
      </c>
      <c r="F61" s="3" t="s">
        <v>926</v>
      </c>
      <c r="G61" s="3" t="s">
        <v>917</v>
      </c>
      <c r="H61" s="156" t="str">
        <f ca="1">IFERROR(
  _xludf.MINIFS(ATTENDANCE_LOG!$F:$F,
         ATTENDANCE_LOG!$A:$A, C61,
         ATTENDANCE_LOG!$B:$B, E61),
"")</f>
        <v/>
      </c>
      <c r="I61" s="156" t="str">
        <f t="shared" ca="1" si="0"/>
        <v/>
      </c>
      <c r="J61" s="3">
        <f>IFERROR(VLOOKUP(F61, LEVEL_HELPER!$A:$B, 2, 0), "")</f>
        <v>1</v>
      </c>
      <c r="K61" s="3">
        <f>IFERROR(VLOOKUP(G61, LEVEL_HELPER!$A:$B, 2, 0), "")</f>
        <v>3</v>
      </c>
      <c r="L61" s="157" t="s">
        <v>942</v>
      </c>
      <c r="M61" s="157" t="s">
        <v>921</v>
      </c>
      <c r="N61" s="3">
        <f t="array" aca="1" ref="N61" ca="1">IFERROR(
  INDEX($J$2:$J$543,
    MATCH(A61&amp;TEXT(I61,"yyyy-mm-dd"),
          $A$2:$A$543&amp;TEXT($H$2:$H$543,"yyyy-mm-dd"),
          0)),
"")</f>
        <v>1</v>
      </c>
      <c r="O61" s="147" t="str">
        <f t="shared" ca="1" si="1"/>
        <v/>
      </c>
      <c r="P61" s="147">
        <f t="shared" ref="P61:Q61" ca="1" si="70">IF(N61="",0,IF(N61&lt;=2,1,IF(N61&lt;=4,2,IF(N61&lt;=5.5,3,4))))</f>
        <v>1</v>
      </c>
      <c r="Q61" s="147">
        <f t="shared" ca="1" si="70"/>
        <v>0</v>
      </c>
      <c r="R61" s="147" t="str">
        <f t="shared" ca="1" si="3"/>
        <v>Regressed</v>
      </c>
      <c r="S61" s="147">
        <f t="shared" si="4"/>
        <v>1</v>
      </c>
      <c r="T61" s="147"/>
      <c r="U61" s="147"/>
      <c r="V61" s="148" t="e">
        <f ca="1"/>
        <v>#NAME?</v>
      </c>
      <c r="W61" s="147" t="e">
        <f t="shared" ca="1" si="5"/>
        <v>#NAME?</v>
      </c>
      <c r="X61" s="147" t="e">
        <f t="shared" ca="1" si="6"/>
        <v>#NAME?</v>
      </c>
      <c r="Y61" s="147" t="e">
        <f t="shared" ca="1" si="7"/>
        <v>#NAME?</v>
      </c>
      <c r="Z61" s="147"/>
      <c r="AA61" s="147"/>
      <c r="AB61" s="147"/>
      <c r="AC61" s="147"/>
      <c r="AD61" s="147"/>
      <c r="AE61" s="147"/>
      <c r="AF61" s="147"/>
      <c r="AG61" s="147"/>
      <c r="AH61" s="147"/>
      <c r="AI61" s="147"/>
      <c r="AJ61" s="147"/>
      <c r="AK61" s="147"/>
      <c r="AL61" s="147"/>
      <c r="AM61" s="151"/>
      <c r="AN61" s="148" t="str">
        <f ca="1">IFERROR(__xludf.DUMMYFUNCTION("""COMPUTED_VALUE"""),"153139")</f>
        <v>153139</v>
      </c>
      <c r="AO61" s="147" t="str">
        <f t="shared" ca="1" si="8"/>
        <v>BA</v>
      </c>
      <c r="AP61" s="147" t="e">
        <f t="shared" ca="1" si="9"/>
        <v>#NAME?</v>
      </c>
      <c r="AQ61" s="147" t="str">
        <f t="shared" ca="1" si="10"/>
        <v>POC</v>
      </c>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row>
    <row r="62" spans="1:89">
      <c r="A62" s="159" t="s">
        <v>675</v>
      </c>
      <c r="B62" s="3" t="s">
        <v>676</v>
      </c>
      <c r="C62" s="160" t="s">
        <v>57</v>
      </c>
      <c r="D62" s="160" t="s">
        <v>851</v>
      </c>
      <c r="E62" s="3" t="s">
        <v>21</v>
      </c>
      <c r="F62" s="3" t="s">
        <v>916</v>
      </c>
      <c r="G62" s="3" t="s">
        <v>917</v>
      </c>
      <c r="H62" s="156" t="str">
        <f ca="1">IFERROR(
  _xludf.MINIFS(ATTENDANCE_LOG!$F:$F,
         ATTENDANCE_LOG!$A:$A, C62,
         ATTENDANCE_LOG!$B:$B, E62),
"")</f>
        <v/>
      </c>
      <c r="I62" s="156" t="str">
        <f t="shared" ca="1" si="0"/>
        <v/>
      </c>
      <c r="J62" s="3">
        <f>IFERROR(VLOOKUP(F62, LEVEL_HELPER!$A:$B, 2, 0), "")</f>
        <v>2.5</v>
      </c>
      <c r="K62" s="3">
        <f>IFERROR(VLOOKUP(G62, LEVEL_HELPER!$A:$B, 2, 0), "")</f>
        <v>3</v>
      </c>
      <c r="L62" s="157" t="s">
        <v>918</v>
      </c>
      <c r="M62" s="157" t="s">
        <v>923</v>
      </c>
      <c r="N62" s="3">
        <f t="array" aca="1" ref="N62" ca="1">IFERROR(
  INDEX($J$2:$J$543,
    MATCH(A62&amp;TEXT(I62,"yyyy-mm-dd"),
          $A$2:$A$543&amp;TEXT($H$2:$H$543,"yyyy-mm-dd"),
          0)),
"")</f>
        <v>2.5</v>
      </c>
      <c r="O62" s="147" t="str">
        <f t="shared" ca="1" si="1"/>
        <v/>
      </c>
      <c r="P62" s="147">
        <f t="shared" ref="P62:Q62" ca="1" si="71">IF(N62="",0,IF(N62&lt;=2,1,IF(N62&lt;=4,2,IF(N62&lt;=5.5,3,4))))</f>
        <v>2</v>
      </c>
      <c r="Q62" s="147">
        <f t="shared" ca="1" si="71"/>
        <v>0</v>
      </c>
      <c r="R62" s="147" t="str">
        <f t="shared" ca="1" si="3"/>
        <v>Regressed</v>
      </c>
      <c r="S62" s="147">
        <f t="shared" si="4"/>
        <v>1</v>
      </c>
      <c r="T62" s="147"/>
      <c r="U62" s="147"/>
      <c r="V62" s="148" t="e">
        <f ca="1"/>
        <v>#NAME?</v>
      </c>
      <c r="W62" s="147" t="e">
        <f t="shared" ca="1" si="5"/>
        <v>#NAME?</v>
      </c>
      <c r="X62" s="147" t="e">
        <f t="shared" ca="1" si="6"/>
        <v>#NAME?</v>
      </c>
      <c r="Y62" s="147" t="e">
        <f t="shared" ca="1" si="7"/>
        <v>#NAME?</v>
      </c>
      <c r="Z62" s="147"/>
      <c r="AA62" s="147"/>
      <c r="AB62" s="147"/>
      <c r="AC62" s="147"/>
      <c r="AD62" s="147"/>
      <c r="AE62" s="147"/>
      <c r="AF62" s="147"/>
      <c r="AG62" s="147"/>
      <c r="AH62" s="147"/>
      <c r="AI62" s="147"/>
      <c r="AJ62" s="147"/>
      <c r="AK62" s="147"/>
      <c r="AL62" s="147"/>
      <c r="AM62" s="151"/>
      <c r="AN62" s="148" t="str">
        <f ca="1">IFERROR(__xludf.DUMMYFUNCTION("""COMPUTED_VALUE"""),"227091")</f>
        <v>227091</v>
      </c>
      <c r="AO62" s="147" t="str">
        <f t="shared" ca="1" si="8"/>
        <v>GSD</v>
      </c>
      <c r="AP62" s="147" t="e">
        <f t="shared" ca="1" si="9"/>
        <v>#NAME?</v>
      </c>
      <c r="AQ62" s="147" t="str">
        <f t="shared" ca="1" si="10"/>
        <v>POC</v>
      </c>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row>
    <row r="63" spans="1:89">
      <c r="A63" s="153" t="s">
        <v>357</v>
      </c>
      <c r="B63" s="154" t="s">
        <v>358</v>
      </c>
      <c r="C63" s="155" t="s">
        <v>57</v>
      </c>
      <c r="D63" s="155" t="s">
        <v>851</v>
      </c>
      <c r="E63" s="154" t="s">
        <v>22</v>
      </c>
      <c r="F63" s="3" t="s">
        <v>934</v>
      </c>
      <c r="G63" s="3"/>
      <c r="H63" s="156" t="str">
        <f ca="1">IFERROR(
  _xludf.MINIFS(ATTENDANCE_LOG!$F:$F,
         ATTENDANCE_LOG!$A:$A, C63,
         ATTENDANCE_LOG!$B:$B, E63),
"")</f>
        <v/>
      </c>
      <c r="I63" s="156" t="str">
        <f t="shared" ca="1" si="0"/>
        <v/>
      </c>
      <c r="J63" s="3">
        <f>IFERROR(VLOOKUP(F63, LEVEL_HELPER!$A:$B, 2, 0), "")</f>
        <v>3.5</v>
      </c>
      <c r="K63" s="3" t="str">
        <f>IFERROR(VLOOKUP(G63, LEVEL_HELPER!$A:$B, 2, 0), "")</f>
        <v/>
      </c>
      <c r="L63" s="157" t="s">
        <v>942</v>
      </c>
      <c r="M63" s="157" t="s">
        <v>921</v>
      </c>
      <c r="N63" s="3">
        <f t="array" aca="1" ref="N63" ca="1">IFERROR(
  INDEX($J$2:$J$543,
    MATCH(A63&amp;TEXT(I63,"yyyy-mm-dd"),
          $A$2:$A$543&amp;TEXT($H$2:$H$543,"yyyy-mm-dd"),
          0)),
"")</f>
        <v>2.5</v>
      </c>
      <c r="O63" s="147" t="str">
        <f t="shared" ca="1" si="1"/>
        <v/>
      </c>
      <c r="P63" s="147">
        <f t="shared" ref="P63:Q63" ca="1" si="72">IF(N63="",0,IF(N63&lt;=2,1,IF(N63&lt;=4,2,IF(N63&lt;=5.5,3,4))))</f>
        <v>2</v>
      </c>
      <c r="Q63" s="147">
        <f t="shared" ca="1" si="72"/>
        <v>0</v>
      </c>
      <c r="R63" s="147" t="str">
        <f t="shared" ca="1" si="3"/>
        <v>Regressed</v>
      </c>
      <c r="S63" s="147">
        <f t="shared" si="4"/>
        <v>0</v>
      </c>
      <c r="T63" s="147"/>
      <c r="U63" s="147"/>
      <c r="V63" s="148" t="e">
        <f ca="1"/>
        <v>#NAME?</v>
      </c>
      <c r="W63" s="147" t="e">
        <f t="shared" ca="1" si="5"/>
        <v>#NAME?</v>
      </c>
      <c r="X63" s="147" t="e">
        <f t="shared" ca="1" si="6"/>
        <v>#NAME?</v>
      </c>
      <c r="Y63" s="147" t="e">
        <f t="shared" ca="1" si="7"/>
        <v>#NAME?</v>
      </c>
      <c r="Z63" s="147"/>
      <c r="AA63" s="147"/>
      <c r="AB63" s="147"/>
      <c r="AC63" s="147"/>
      <c r="AD63" s="147"/>
      <c r="AE63" s="147"/>
      <c r="AF63" s="147"/>
      <c r="AG63" s="147"/>
      <c r="AH63" s="147"/>
      <c r="AI63" s="147"/>
      <c r="AJ63" s="147"/>
      <c r="AK63" s="147"/>
      <c r="AL63" s="147"/>
      <c r="AM63" s="151"/>
      <c r="AN63" s="148" t="str">
        <f ca="1">IFERROR(__xludf.DUMMYFUNCTION("""COMPUTED_VALUE"""),"193523")</f>
        <v>193523</v>
      </c>
      <c r="AO63" s="147" t="str">
        <f t="shared" ca="1" si="8"/>
        <v>DEV</v>
      </c>
      <c r="AP63" s="147" t="e">
        <f t="shared" ca="1" si="9"/>
        <v>#NAME?</v>
      </c>
      <c r="AQ63" s="147" t="str">
        <f t="shared" ca="1" si="10"/>
        <v>TBU</v>
      </c>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7"/>
      <c r="CA63" s="147"/>
      <c r="CB63" s="147"/>
      <c r="CC63" s="147"/>
      <c r="CD63" s="147"/>
      <c r="CE63" s="147"/>
      <c r="CF63" s="147"/>
      <c r="CG63" s="147"/>
      <c r="CH63" s="147"/>
      <c r="CI63" s="147"/>
      <c r="CJ63" s="147"/>
      <c r="CK63" s="147"/>
    </row>
    <row r="64" spans="1:89">
      <c r="A64" s="159" t="s">
        <v>167</v>
      </c>
      <c r="B64" s="3" t="s">
        <v>168</v>
      </c>
      <c r="C64" s="160" t="s">
        <v>57</v>
      </c>
      <c r="D64" s="160" t="s">
        <v>851</v>
      </c>
      <c r="E64" s="3" t="s">
        <v>22</v>
      </c>
      <c r="F64" s="3"/>
      <c r="G64" s="3"/>
      <c r="H64" s="156" t="str">
        <f ca="1">IFERROR(
  _xludf.MINIFS(ATTENDANCE_LOG!$F:$F,
         ATTENDANCE_LOG!$A:$A, C64,
         ATTENDANCE_LOG!$B:$B, E64),
"")</f>
        <v/>
      </c>
      <c r="I64" s="156" t="str">
        <f t="shared" ca="1" si="0"/>
        <v/>
      </c>
      <c r="J64" s="3" t="str">
        <f>IFERROR(VLOOKUP(F64, LEVEL_HELPER!$A:$B, 2, 0), "")</f>
        <v/>
      </c>
      <c r="K64" s="3" t="str">
        <f>IFERROR(VLOOKUP(G64, LEVEL_HELPER!$A:$B, 2, 0), "")</f>
        <v/>
      </c>
      <c r="L64" s="157" t="s">
        <v>918</v>
      </c>
      <c r="M64" s="157" t="s">
        <v>922</v>
      </c>
      <c r="N64" s="3" t="str">
        <f t="array" aca="1" ref="N64" ca="1">IFERROR(
  INDEX($J$2:$J$543,
    MATCH(A64&amp;TEXT(I64,"yyyy-mm-dd"),
          $A$2:$A$543&amp;TEXT($H$2:$H$543,"yyyy-mm-dd"),
          0)),
"")</f>
        <v/>
      </c>
      <c r="O64" s="147" t="str">
        <f t="shared" ca="1" si="1"/>
        <v/>
      </c>
      <c r="P64" s="147">
        <f t="shared" ref="P64:Q64" ca="1" si="73">IF(N64="",0,IF(N64&lt;=2,1,IF(N64&lt;=4,2,IF(N64&lt;=5.5,3,4))))</f>
        <v>0</v>
      </c>
      <c r="Q64" s="147">
        <f t="shared" ca="1" si="73"/>
        <v>0</v>
      </c>
      <c r="R64" s="147" t="str">
        <f t="shared" ca="1" si="3"/>
        <v>No Data</v>
      </c>
      <c r="S64" s="147">
        <f t="shared" si="4"/>
        <v>1</v>
      </c>
      <c r="T64" s="147"/>
      <c r="U64" s="147"/>
      <c r="V64" s="148" t="e">
        <f ca="1"/>
        <v>#NAME?</v>
      </c>
      <c r="W64" s="147" t="e">
        <f t="shared" ca="1" si="5"/>
        <v>#NAME?</v>
      </c>
      <c r="X64" s="147" t="e">
        <f t="shared" ca="1" si="6"/>
        <v>#NAME?</v>
      </c>
      <c r="Y64" s="147" t="e">
        <f t="shared" ca="1" si="7"/>
        <v>#NAME?</v>
      </c>
      <c r="Z64" s="147"/>
      <c r="AA64" s="147"/>
      <c r="AB64" s="147"/>
      <c r="AC64" s="147"/>
      <c r="AD64" s="147"/>
      <c r="AE64" s="147"/>
      <c r="AF64" s="147"/>
      <c r="AG64" s="147"/>
      <c r="AH64" s="147"/>
      <c r="AI64" s="147"/>
      <c r="AJ64" s="147"/>
      <c r="AK64" s="147"/>
      <c r="AL64" s="147"/>
      <c r="AM64" s="151"/>
      <c r="AN64" s="148" t="str">
        <f ca="1">IFERROR(__xludf.DUMMYFUNCTION("""COMPUTED_VALUE"""),"247119")</f>
        <v>247119</v>
      </c>
      <c r="AO64" s="147" t="str">
        <f t="shared" ca="1" si="8"/>
        <v>DEV</v>
      </c>
      <c r="AP64" s="147" t="e">
        <f t="shared" ca="1" si="9"/>
        <v>#NAME?</v>
      </c>
      <c r="AQ64" s="147" t="str">
        <f t="shared" ca="1" si="10"/>
        <v>MOC</v>
      </c>
      <c r="AR64" s="147"/>
      <c r="AS64" s="147"/>
      <c r="AT64" s="147"/>
      <c r="AU64" s="147"/>
      <c r="AV64" s="147"/>
      <c r="AW64" s="147"/>
      <c r="AX64" s="147"/>
      <c r="AY64" s="147"/>
      <c r="AZ64" s="147"/>
      <c r="BA64" s="147"/>
      <c r="BB64" s="147"/>
      <c r="BC64" s="147"/>
      <c r="BD64" s="147"/>
      <c r="BE64" s="147"/>
      <c r="BF64" s="147"/>
      <c r="BG64" s="147"/>
      <c r="BH64" s="147"/>
      <c r="BI64" s="147"/>
      <c r="BJ64" s="147"/>
      <c r="BK64" s="147"/>
      <c r="BL64" s="147"/>
      <c r="BM64" s="147"/>
      <c r="BN64" s="147"/>
      <c r="BO64" s="147"/>
      <c r="BP64" s="147"/>
      <c r="BQ64" s="147"/>
      <c r="BR64" s="147"/>
      <c r="BS64" s="147"/>
      <c r="BT64" s="147"/>
      <c r="BU64" s="147"/>
      <c r="BV64" s="147"/>
      <c r="BW64" s="147"/>
      <c r="BX64" s="147"/>
      <c r="BY64" s="147"/>
      <c r="BZ64" s="147"/>
      <c r="CA64" s="147"/>
      <c r="CB64" s="147"/>
      <c r="CC64" s="147"/>
      <c r="CD64" s="147"/>
      <c r="CE64" s="147"/>
      <c r="CF64" s="147"/>
      <c r="CG64" s="147"/>
      <c r="CH64" s="147"/>
      <c r="CI64" s="147"/>
      <c r="CJ64" s="147"/>
      <c r="CK64" s="147"/>
    </row>
    <row r="65" spans="1:89">
      <c r="A65" s="159" t="s">
        <v>184</v>
      </c>
      <c r="B65" s="3" t="s">
        <v>185</v>
      </c>
      <c r="C65" s="160" t="s">
        <v>57</v>
      </c>
      <c r="D65" s="160" t="s">
        <v>851</v>
      </c>
      <c r="E65" s="3" t="s">
        <v>22</v>
      </c>
      <c r="F65" s="3"/>
      <c r="G65" s="3"/>
      <c r="H65" s="156" t="str">
        <f ca="1">IFERROR(
  _xludf.MINIFS(ATTENDANCE_LOG!$F:$F,
         ATTENDANCE_LOG!$A:$A, C65,
         ATTENDANCE_LOG!$B:$B, E65),
"")</f>
        <v/>
      </c>
      <c r="I65" s="156" t="str">
        <f t="shared" ca="1" si="0"/>
        <v/>
      </c>
      <c r="J65" s="3" t="str">
        <f>IFERROR(VLOOKUP(F65, LEVEL_HELPER!$A:$B, 2, 0), "")</f>
        <v/>
      </c>
      <c r="K65" s="3" t="str">
        <f>IFERROR(VLOOKUP(G65, LEVEL_HELPER!$A:$B, 2, 0), "")</f>
        <v/>
      </c>
      <c r="L65" s="157" t="s">
        <v>942</v>
      </c>
      <c r="M65" s="157" t="s">
        <v>925</v>
      </c>
      <c r="N65" s="3" t="str">
        <f t="array" aca="1" ref="N65" ca="1">IFERROR(
  INDEX($J$2:$J$543,
    MATCH(A65&amp;TEXT(I65,"yyyy-mm-dd"),
          $A$2:$A$543&amp;TEXT($H$2:$H$543,"yyyy-mm-dd"),
          0)),
"")</f>
        <v/>
      </c>
      <c r="O65" s="147" t="str">
        <f t="shared" ca="1" si="1"/>
        <v/>
      </c>
      <c r="P65" s="147">
        <f t="shared" ref="P65:Q65" ca="1" si="74">IF(N65="",0,IF(N65&lt;=2,1,IF(N65&lt;=4,2,IF(N65&lt;=5.5,3,4))))</f>
        <v>0</v>
      </c>
      <c r="Q65" s="147">
        <f t="shared" ca="1" si="74"/>
        <v>0</v>
      </c>
      <c r="R65" s="147" t="str">
        <f t="shared" ca="1" si="3"/>
        <v>No Data</v>
      </c>
      <c r="S65" s="147">
        <f t="shared" si="4"/>
        <v>1</v>
      </c>
      <c r="T65" s="147"/>
      <c r="U65" s="147"/>
      <c r="V65" s="148" t="e">
        <f ca="1"/>
        <v>#NAME?</v>
      </c>
      <c r="W65" s="147" t="e">
        <f t="shared" ca="1" si="5"/>
        <v>#NAME?</v>
      </c>
      <c r="X65" s="147" t="e">
        <f t="shared" ca="1" si="6"/>
        <v>#NAME?</v>
      </c>
      <c r="Y65" s="147" t="e">
        <f t="shared" ca="1" si="7"/>
        <v>#NAME?</v>
      </c>
      <c r="Z65" s="147"/>
      <c r="AA65" s="147"/>
      <c r="AB65" s="147"/>
      <c r="AC65" s="147"/>
      <c r="AD65" s="147"/>
      <c r="AE65" s="147"/>
      <c r="AF65" s="147"/>
      <c r="AG65" s="147"/>
      <c r="AH65" s="147"/>
      <c r="AI65" s="147"/>
      <c r="AJ65" s="147"/>
      <c r="AK65" s="147"/>
      <c r="AL65" s="147"/>
      <c r="AM65" s="151"/>
      <c r="AN65" s="148" t="str">
        <f ca="1">IFERROR(__xludf.DUMMYFUNCTION("""COMPUTED_VALUE"""),"247147")</f>
        <v>247147</v>
      </c>
      <c r="AO65" s="147" t="str">
        <f t="shared" ca="1" si="8"/>
        <v>GSD</v>
      </c>
      <c r="AP65" s="147" t="e">
        <f t="shared" ca="1" si="9"/>
        <v>#NAME?</v>
      </c>
      <c r="AQ65" s="147" t="str">
        <f t="shared" ca="1" si="10"/>
        <v>POC</v>
      </c>
      <c r="AR65" s="147"/>
      <c r="AS65" s="147"/>
      <c r="AT65" s="147"/>
      <c r="AU65" s="147"/>
      <c r="AV65" s="147"/>
      <c r="AW65" s="147"/>
      <c r="AX65" s="147"/>
      <c r="AY65" s="147"/>
      <c r="AZ65" s="147"/>
      <c r="BA65" s="147"/>
      <c r="BB65" s="147"/>
      <c r="BC65" s="147"/>
      <c r="BD65" s="147"/>
      <c r="BE65" s="147"/>
      <c r="BF65" s="147"/>
      <c r="BG65" s="147"/>
      <c r="BH65" s="147"/>
      <c r="BI65" s="147"/>
      <c r="BJ65" s="147"/>
      <c r="BK65" s="147"/>
      <c r="BL65" s="147"/>
      <c r="BM65" s="147"/>
      <c r="BN65" s="147"/>
      <c r="BO65" s="147"/>
      <c r="BP65" s="147"/>
      <c r="BQ65" s="147"/>
      <c r="BR65" s="147"/>
      <c r="BS65" s="147"/>
      <c r="BT65" s="147"/>
      <c r="BU65" s="147"/>
      <c r="BV65" s="147"/>
      <c r="BW65" s="147"/>
      <c r="BX65" s="147"/>
      <c r="BY65" s="147"/>
      <c r="BZ65" s="147"/>
      <c r="CA65" s="147"/>
      <c r="CB65" s="147"/>
      <c r="CC65" s="147"/>
      <c r="CD65" s="147"/>
      <c r="CE65" s="147"/>
      <c r="CF65" s="147"/>
      <c r="CG65" s="147"/>
      <c r="CH65" s="147"/>
      <c r="CI65" s="147"/>
      <c r="CJ65" s="147"/>
      <c r="CK65" s="147"/>
    </row>
    <row r="66" spans="1:89">
      <c r="A66" s="159" t="s">
        <v>188</v>
      </c>
      <c r="B66" s="3" t="s">
        <v>189</v>
      </c>
      <c r="C66" s="160" t="s">
        <v>57</v>
      </c>
      <c r="D66" s="160" t="s">
        <v>851</v>
      </c>
      <c r="E66" s="3" t="s">
        <v>22</v>
      </c>
      <c r="F66" s="3"/>
      <c r="G66" s="3"/>
      <c r="H66" s="156" t="str">
        <f ca="1">IFERROR(
  _xludf.MINIFS(ATTENDANCE_LOG!$F:$F,
         ATTENDANCE_LOG!$A:$A, C66,
         ATTENDANCE_LOG!$B:$B, E66),
"")</f>
        <v/>
      </c>
      <c r="I66" s="156" t="str">
        <f t="shared" ca="1" si="0"/>
        <v/>
      </c>
      <c r="J66" s="3" t="str">
        <f>IFERROR(VLOOKUP(F66, LEVEL_HELPER!$A:$B, 2, 0), "")</f>
        <v/>
      </c>
      <c r="K66" s="3" t="str">
        <f>IFERROR(VLOOKUP(G66, LEVEL_HELPER!$A:$B, 2, 0), "")</f>
        <v/>
      </c>
      <c r="L66" s="157" t="s">
        <v>918</v>
      </c>
      <c r="M66" s="157" t="s">
        <v>922</v>
      </c>
      <c r="N66" s="3" t="str">
        <f t="array" aca="1" ref="N66" ca="1">IFERROR(
  INDEX($J$2:$J$543,
    MATCH(A66&amp;TEXT(I66,"yyyy-mm-dd"),
          $A$2:$A$543&amp;TEXT($H$2:$H$543,"yyyy-mm-dd"),
          0)),
"")</f>
        <v/>
      </c>
      <c r="O66" s="147" t="str">
        <f t="shared" ca="1" si="1"/>
        <v/>
      </c>
      <c r="P66" s="147">
        <f t="shared" ref="P66:Q66" ca="1" si="75">IF(N66="",0,IF(N66&lt;=2,1,IF(N66&lt;=4,2,IF(N66&lt;=5.5,3,4))))</f>
        <v>0</v>
      </c>
      <c r="Q66" s="147">
        <f t="shared" ca="1" si="75"/>
        <v>0</v>
      </c>
      <c r="R66" s="147" t="str">
        <f t="shared" ca="1" si="3"/>
        <v>No Data</v>
      </c>
      <c r="S66" s="147">
        <f t="shared" si="4"/>
        <v>1</v>
      </c>
      <c r="T66" s="147"/>
      <c r="U66" s="147"/>
      <c r="V66" s="148" t="e">
        <f ca="1"/>
        <v>#NAME?</v>
      </c>
      <c r="W66" s="147" t="e">
        <f t="shared" ca="1" si="5"/>
        <v>#NAME?</v>
      </c>
      <c r="X66" s="147" t="e">
        <f t="shared" ca="1" si="6"/>
        <v>#NAME?</v>
      </c>
      <c r="Y66" s="147" t="e">
        <f t="shared" ca="1" si="7"/>
        <v>#NAME?</v>
      </c>
      <c r="Z66" s="147"/>
      <c r="AA66" s="147"/>
      <c r="AB66" s="147"/>
      <c r="AC66" s="147"/>
      <c r="AD66" s="147"/>
      <c r="AE66" s="147"/>
      <c r="AF66" s="147"/>
      <c r="AG66" s="147"/>
      <c r="AH66" s="147"/>
      <c r="AI66" s="147"/>
      <c r="AJ66" s="147"/>
      <c r="AK66" s="147"/>
      <c r="AL66" s="147"/>
      <c r="AM66" s="151"/>
      <c r="AN66" s="148" t="str">
        <f ca="1">IFERROR(__xludf.DUMMYFUNCTION("""COMPUTED_VALUE"""),"203701")</f>
        <v>203701</v>
      </c>
      <c r="AO66" s="147" t="str">
        <f t="shared" ca="1" si="8"/>
        <v>DEV</v>
      </c>
      <c r="AP66" s="147" t="e">
        <f t="shared" ca="1" si="9"/>
        <v>#NAME?</v>
      </c>
      <c r="AQ66" s="147" t="str">
        <f t="shared" ca="1" si="10"/>
        <v>MOC</v>
      </c>
      <c r="AR66" s="147"/>
      <c r="AS66" s="147"/>
      <c r="AT66" s="147"/>
      <c r="AU66" s="147"/>
      <c r="AV66" s="147"/>
      <c r="AW66" s="147"/>
      <c r="AX66" s="147"/>
      <c r="AY66" s="147"/>
      <c r="AZ66" s="147"/>
      <c r="BA66" s="147"/>
      <c r="BB66" s="147"/>
      <c r="BC66" s="147"/>
      <c r="BD66" s="147"/>
      <c r="BE66" s="147"/>
      <c r="BF66" s="147"/>
      <c r="BG66" s="147"/>
      <c r="BH66" s="147"/>
      <c r="BI66" s="147"/>
      <c r="BJ66" s="147"/>
      <c r="BK66" s="147"/>
      <c r="BL66" s="147"/>
      <c r="BM66" s="147"/>
      <c r="BN66" s="147"/>
      <c r="BO66" s="147"/>
      <c r="BP66" s="147"/>
      <c r="BQ66" s="147"/>
      <c r="BR66" s="147"/>
      <c r="BS66" s="147"/>
      <c r="BT66" s="147"/>
      <c r="BU66" s="147"/>
      <c r="BV66" s="147"/>
      <c r="BW66" s="147"/>
      <c r="BX66" s="147"/>
      <c r="BY66" s="147"/>
      <c r="BZ66" s="147"/>
      <c r="CA66" s="147"/>
      <c r="CB66" s="147"/>
      <c r="CC66" s="147"/>
      <c r="CD66" s="147"/>
      <c r="CE66" s="147"/>
      <c r="CF66" s="147"/>
      <c r="CG66" s="147"/>
      <c r="CH66" s="147"/>
      <c r="CI66" s="147"/>
      <c r="CJ66" s="147"/>
      <c r="CK66" s="147"/>
    </row>
    <row r="67" spans="1:89">
      <c r="A67" s="159" t="s">
        <v>230</v>
      </c>
      <c r="B67" s="3" t="s">
        <v>231</v>
      </c>
      <c r="C67" s="160" t="s">
        <v>57</v>
      </c>
      <c r="D67" s="160" t="s">
        <v>851</v>
      </c>
      <c r="E67" s="3" t="s">
        <v>22</v>
      </c>
      <c r="F67" s="3" t="s">
        <v>917</v>
      </c>
      <c r="G67" s="3"/>
      <c r="H67" s="156" t="str">
        <f ca="1">IFERROR(
  _xludf.MINIFS(ATTENDANCE_LOG!$F:$F,
         ATTENDANCE_LOG!$A:$A, C67,
         ATTENDANCE_LOG!$B:$B, E67),
"")</f>
        <v/>
      </c>
      <c r="I67" s="156" t="str">
        <f t="shared" ca="1" si="0"/>
        <v/>
      </c>
      <c r="J67" s="3">
        <f>IFERROR(VLOOKUP(F67, LEVEL_HELPER!$A:$B, 2, 0), "")</f>
        <v>3</v>
      </c>
      <c r="K67" s="3" t="str">
        <f>IFERROR(VLOOKUP(G67, LEVEL_HELPER!$A:$B, 2, 0), "")</f>
        <v/>
      </c>
      <c r="L67" s="157" t="s">
        <v>942</v>
      </c>
      <c r="M67" s="157" t="s">
        <v>921</v>
      </c>
      <c r="N67" s="3">
        <f t="array" aca="1" ref="N67" ca="1">IFERROR(
  INDEX($J$2:$J$543,
    MATCH(A67&amp;TEXT(I67,"yyyy-mm-dd"),
          $A$2:$A$543&amp;TEXT($H$2:$H$543,"yyyy-mm-dd"),
          0)),
"")</f>
        <v>1</v>
      </c>
      <c r="O67" s="147" t="str">
        <f t="shared" ca="1" si="1"/>
        <v/>
      </c>
      <c r="P67" s="147">
        <f t="shared" ref="P67:Q67" ca="1" si="76">IF(N67="",0,IF(N67&lt;=2,1,IF(N67&lt;=4,2,IF(N67&lt;=5.5,3,4))))</f>
        <v>1</v>
      </c>
      <c r="Q67" s="147">
        <f t="shared" ca="1" si="76"/>
        <v>0</v>
      </c>
      <c r="R67" s="147" t="str">
        <f t="shared" ca="1" si="3"/>
        <v>Regressed</v>
      </c>
      <c r="S67" s="147">
        <f t="shared" si="4"/>
        <v>0</v>
      </c>
      <c r="T67" s="147"/>
      <c r="U67" s="147"/>
      <c r="V67" s="148" t="e">
        <f ca="1"/>
        <v>#NAME?</v>
      </c>
      <c r="W67" s="147" t="e">
        <f t="shared" ca="1" si="5"/>
        <v>#NAME?</v>
      </c>
      <c r="X67" s="147" t="e">
        <f t="shared" ca="1" si="6"/>
        <v>#NAME?</v>
      </c>
      <c r="Y67" s="147" t="e">
        <f t="shared" ca="1" si="7"/>
        <v>#NAME?</v>
      </c>
      <c r="Z67" s="147"/>
      <c r="AA67" s="147"/>
      <c r="AB67" s="147"/>
      <c r="AC67" s="147"/>
      <c r="AD67" s="147"/>
      <c r="AE67" s="147"/>
      <c r="AF67" s="147"/>
      <c r="AG67" s="147"/>
      <c r="AH67" s="147"/>
      <c r="AI67" s="147"/>
      <c r="AJ67" s="147"/>
      <c r="AK67" s="147"/>
      <c r="AL67" s="147"/>
      <c r="AM67" s="151"/>
      <c r="AN67" s="148" t="str">
        <f ca="1">IFERROR(__xludf.DUMMYFUNCTION("""COMPUTED_VALUE"""),"247065")</f>
        <v>247065</v>
      </c>
      <c r="AO67" s="147" t="str">
        <f t="shared" ca="1" si="8"/>
        <v>DEV</v>
      </c>
      <c r="AP67" s="147" t="e">
        <f t="shared" ca="1" si="9"/>
        <v>#NAME?</v>
      </c>
      <c r="AQ67" s="147" t="str">
        <f t="shared" ca="1" si="10"/>
        <v>ONC</v>
      </c>
      <c r="AR67" s="147"/>
      <c r="AS67" s="147"/>
      <c r="AT67" s="147"/>
      <c r="AU67" s="147"/>
      <c r="AV67" s="147"/>
      <c r="AW67" s="147"/>
      <c r="AX67" s="147"/>
      <c r="AY67" s="147"/>
      <c r="AZ67" s="147"/>
      <c r="BA67" s="147"/>
      <c r="BB67" s="147"/>
      <c r="BC67" s="147"/>
      <c r="BD67" s="147"/>
      <c r="BE67" s="147"/>
      <c r="BF67" s="147"/>
      <c r="BG67" s="147"/>
      <c r="BH67" s="147"/>
      <c r="BI67" s="147"/>
      <c r="BJ67" s="147"/>
      <c r="BK67" s="147"/>
      <c r="BL67" s="147"/>
      <c r="BM67" s="147"/>
      <c r="BN67" s="147"/>
      <c r="BO67" s="147"/>
      <c r="BP67" s="147"/>
      <c r="BQ67" s="147"/>
      <c r="BR67" s="147"/>
      <c r="BS67" s="147"/>
      <c r="BT67" s="147"/>
      <c r="BU67" s="147"/>
      <c r="BV67" s="147"/>
      <c r="BW67" s="147"/>
      <c r="BX67" s="147"/>
      <c r="BY67" s="147"/>
      <c r="BZ67" s="147"/>
      <c r="CA67" s="147"/>
      <c r="CB67" s="147"/>
      <c r="CC67" s="147"/>
      <c r="CD67" s="147"/>
      <c r="CE67" s="147"/>
      <c r="CF67" s="147"/>
      <c r="CG67" s="147"/>
      <c r="CH67" s="147"/>
      <c r="CI67" s="147"/>
      <c r="CJ67" s="147"/>
      <c r="CK67" s="147"/>
    </row>
    <row r="68" spans="1:89">
      <c r="A68" s="159" t="s">
        <v>568</v>
      </c>
      <c r="B68" s="3" t="s">
        <v>569</v>
      </c>
      <c r="C68" s="160" t="s">
        <v>57</v>
      </c>
      <c r="D68" s="160" t="s">
        <v>851</v>
      </c>
      <c r="E68" s="3" t="s">
        <v>22</v>
      </c>
      <c r="F68" s="3" t="s">
        <v>917</v>
      </c>
      <c r="G68" s="3" t="s">
        <v>940</v>
      </c>
      <c r="H68" s="156" t="str">
        <f ca="1">IFERROR(
  _xludf.MINIFS(ATTENDANCE_LOG!$F:$F,
         ATTENDANCE_LOG!$A:$A, C68,
         ATTENDANCE_LOG!$B:$B, E68),
"")</f>
        <v/>
      </c>
      <c r="I68" s="156" t="str">
        <f t="shared" ca="1" si="0"/>
        <v/>
      </c>
      <c r="J68" s="3">
        <f>IFERROR(VLOOKUP(F68, LEVEL_HELPER!$A:$B, 2, 0), "")</f>
        <v>3</v>
      </c>
      <c r="K68" s="3">
        <f>IFERROR(VLOOKUP(G68, LEVEL_HELPER!$A:$B, 2, 0), "")</f>
        <v>5</v>
      </c>
      <c r="L68" s="157" t="s">
        <v>942</v>
      </c>
      <c r="M68" s="157" t="s">
        <v>922</v>
      </c>
      <c r="N68" s="3">
        <f t="array" aca="1" ref="N68" ca="1">IFERROR(
  INDEX($J$2:$J$543,
    MATCH(A68&amp;TEXT(I68,"yyyy-mm-dd"),
          $A$2:$A$543&amp;TEXT($H$2:$H$543,"yyyy-mm-dd"),
          0)),
"")</f>
        <v>1</v>
      </c>
      <c r="O68" s="147" t="str">
        <f t="shared" ca="1" si="1"/>
        <v/>
      </c>
      <c r="P68" s="147">
        <f t="shared" ref="P68:Q68" ca="1" si="77">IF(N68="",0,IF(N68&lt;=2,1,IF(N68&lt;=4,2,IF(N68&lt;=5.5,3,4))))</f>
        <v>1</v>
      </c>
      <c r="Q68" s="147">
        <f t="shared" ca="1" si="77"/>
        <v>0</v>
      </c>
      <c r="R68" s="147" t="str">
        <f t="shared" ca="1" si="3"/>
        <v>Regressed</v>
      </c>
      <c r="S68" s="147">
        <f t="shared" si="4"/>
        <v>0</v>
      </c>
      <c r="T68" s="147"/>
      <c r="U68" s="147"/>
      <c r="V68" s="148" t="e">
        <f ca="1"/>
        <v>#NAME?</v>
      </c>
      <c r="W68" s="147" t="e">
        <f t="shared" ca="1" si="5"/>
        <v>#NAME?</v>
      </c>
      <c r="X68" s="147" t="e">
        <f t="shared" ca="1" si="6"/>
        <v>#NAME?</v>
      </c>
      <c r="Y68" s="147" t="e">
        <f t="shared" ca="1" si="7"/>
        <v>#NAME?</v>
      </c>
      <c r="Z68" s="147"/>
      <c r="AA68" s="147"/>
      <c r="AB68" s="147"/>
      <c r="AC68" s="147"/>
      <c r="AD68" s="147"/>
      <c r="AE68" s="147"/>
      <c r="AF68" s="147"/>
      <c r="AG68" s="147"/>
      <c r="AH68" s="147"/>
      <c r="AI68" s="147"/>
      <c r="AJ68" s="147"/>
      <c r="AK68" s="147"/>
      <c r="AL68" s="147"/>
      <c r="AM68" s="151"/>
      <c r="AN68" s="148" t="str">
        <f ca="1">IFERROR(__xludf.DUMMYFUNCTION("""COMPUTED_VALUE"""),"193496")</f>
        <v>193496</v>
      </c>
      <c r="AO68" s="147" t="str">
        <f t="shared" ca="1" si="8"/>
        <v>GSD</v>
      </c>
      <c r="AP68" s="147" t="e">
        <f t="shared" ca="1" si="9"/>
        <v>#NAME?</v>
      </c>
      <c r="AQ68" s="147" t="str">
        <f t="shared" ca="1" si="10"/>
        <v>POC</v>
      </c>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c r="BP68" s="147"/>
      <c r="BQ68" s="147"/>
      <c r="BR68" s="147"/>
      <c r="BS68" s="147"/>
      <c r="BT68" s="147"/>
      <c r="BU68" s="147"/>
      <c r="BV68" s="147"/>
      <c r="BW68" s="147"/>
      <c r="BX68" s="147"/>
      <c r="BY68" s="147"/>
      <c r="BZ68" s="147"/>
      <c r="CA68" s="147"/>
      <c r="CB68" s="147"/>
      <c r="CC68" s="147"/>
      <c r="CD68" s="147"/>
      <c r="CE68" s="147"/>
      <c r="CF68" s="147"/>
      <c r="CG68" s="147"/>
      <c r="CH68" s="147"/>
      <c r="CI68" s="147"/>
      <c r="CJ68" s="147"/>
      <c r="CK68" s="147"/>
    </row>
    <row r="69" spans="1:89">
      <c r="A69" s="159" t="s">
        <v>625</v>
      </c>
      <c r="B69" s="3" t="s">
        <v>626</v>
      </c>
      <c r="C69" s="160" t="s">
        <v>57</v>
      </c>
      <c r="D69" s="160" t="s">
        <v>851</v>
      </c>
      <c r="E69" s="3" t="s">
        <v>22</v>
      </c>
      <c r="F69" s="3" t="s">
        <v>917</v>
      </c>
      <c r="G69" s="3"/>
      <c r="H69" s="156" t="str">
        <f ca="1">IFERROR(
  _xludf.MINIFS(ATTENDANCE_LOG!$F:$F,
         ATTENDANCE_LOG!$A:$A, C69,
         ATTENDANCE_LOG!$B:$B, E69),
"")</f>
        <v/>
      </c>
      <c r="I69" s="156" t="str">
        <f t="shared" ca="1" si="0"/>
        <v/>
      </c>
      <c r="J69" s="3">
        <f>IFERROR(VLOOKUP(F69, LEVEL_HELPER!$A:$B, 2, 0), "")</f>
        <v>3</v>
      </c>
      <c r="K69" s="3" t="str">
        <f>IFERROR(VLOOKUP(G69, LEVEL_HELPER!$A:$B, 2, 0), "")</f>
        <v/>
      </c>
      <c r="L69" s="157" t="s">
        <v>942</v>
      </c>
      <c r="M69" s="157" t="s">
        <v>921</v>
      </c>
      <c r="N69" s="3">
        <f t="array" aca="1" ref="N69" ca="1">IFERROR(
  INDEX($J$2:$J$543,
    MATCH(A69&amp;TEXT(I69,"yyyy-mm-dd"),
          $A$2:$A$543&amp;TEXT($H$2:$H$543,"yyyy-mm-dd"),
          0)),
"")</f>
        <v>1</v>
      </c>
      <c r="O69" s="147" t="str">
        <f t="shared" ca="1" si="1"/>
        <v/>
      </c>
      <c r="P69" s="147">
        <f t="shared" ref="P69:Q69" ca="1" si="78">IF(N69="",0,IF(N69&lt;=2,1,IF(N69&lt;=4,2,IF(N69&lt;=5.5,3,4))))</f>
        <v>1</v>
      </c>
      <c r="Q69" s="147">
        <f t="shared" ca="1" si="78"/>
        <v>0</v>
      </c>
      <c r="R69" s="147" t="str">
        <f t="shared" ca="1" si="3"/>
        <v>Regressed</v>
      </c>
      <c r="S69" s="147">
        <f t="shared" si="4"/>
        <v>0</v>
      </c>
      <c r="T69" s="147"/>
      <c r="U69" s="147"/>
      <c r="V69" s="148" t="e">
        <f ca="1"/>
        <v>#NAME?</v>
      </c>
      <c r="W69" s="147" t="e">
        <f t="shared" ca="1" si="5"/>
        <v>#NAME?</v>
      </c>
      <c r="X69" s="147" t="e">
        <f t="shared" ca="1" si="6"/>
        <v>#NAME?</v>
      </c>
      <c r="Y69" s="147" t="e">
        <f t="shared" ca="1" si="7"/>
        <v>#NAME?</v>
      </c>
      <c r="Z69" s="147"/>
      <c r="AA69" s="147"/>
      <c r="AB69" s="147"/>
      <c r="AC69" s="147"/>
      <c r="AD69" s="147"/>
      <c r="AE69" s="147"/>
      <c r="AF69" s="147"/>
      <c r="AG69" s="147"/>
      <c r="AH69" s="147"/>
      <c r="AI69" s="147"/>
      <c r="AJ69" s="147"/>
      <c r="AK69" s="147"/>
      <c r="AL69" s="147"/>
      <c r="AM69" s="151"/>
      <c r="AN69" s="148" t="str">
        <f ca="1">IFERROR(__xludf.DUMMYFUNCTION("""COMPUTED_VALUE"""),"183427")</f>
        <v>183427</v>
      </c>
      <c r="AO69" s="147" t="str">
        <f t="shared" ca="1" si="8"/>
        <v>DEV</v>
      </c>
      <c r="AP69" s="147" t="e">
        <f t="shared" ca="1" si="9"/>
        <v>#NAME?</v>
      </c>
      <c r="AQ69" s="147" t="str">
        <f t="shared" ca="1" si="10"/>
        <v>ONC</v>
      </c>
      <c r="AR69" s="147"/>
      <c r="AS69" s="147"/>
      <c r="AT69" s="147"/>
      <c r="AU69" s="147"/>
      <c r="AV69" s="147"/>
      <c r="AW69" s="147"/>
      <c r="AX69" s="147"/>
      <c r="AY69" s="147"/>
      <c r="AZ69" s="147"/>
      <c r="BA69" s="147"/>
      <c r="BB69" s="147"/>
      <c r="BC69" s="147"/>
      <c r="BD69" s="147"/>
      <c r="BE69" s="147"/>
      <c r="BF69" s="147"/>
      <c r="BG69" s="147"/>
      <c r="BH69" s="147"/>
      <c r="BI69" s="147"/>
      <c r="BJ69" s="147"/>
      <c r="BK69" s="147"/>
      <c r="BL69" s="147"/>
      <c r="BM69" s="147"/>
      <c r="BN69" s="147"/>
      <c r="BO69" s="147"/>
      <c r="BP69" s="147"/>
      <c r="BQ69" s="147"/>
      <c r="BR69" s="147"/>
      <c r="BS69" s="147"/>
      <c r="BT69" s="147"/>
      <c r="BU69" s="147"/>
      <c r="BV69" s="147"/>
      <c r="BW69" s="147"/>
      <c r="BX69" s="147"/>
      <c r="BY69" s="147"/>
      <c r="BZ69" s="147"/>
      <c r="CA69" s="147"/>
      <c r="CB69" s="147"/>
      <c r="CC69" s="147"/>
      <c r="CD69" s="147"/>
      <c r="CE69" s="147"/>
      <c r="CF69" s="147"/>
      <c r="CG69" s="147"/>
      <c r="CH69" s="147"/>
      <c r="CI69" s="147"/>
      <c r="CJ69" s="147"/>
      <c r="CK69" s="147"/>
    </row>
    <row r="70" spans="1:89">
      <c r="A70" s="159" t="s">
        <v>697</v>
      </c>
      <c r="B70" s="3" t="s">
        <v>698</v>
      </c>
      <c r="C70" s="160" t="s">
        <v>57</v>
      </c>
      <c r="D70" s="160" t="s">
        <v>851</v>
      </c>
      <c r="E70" s="3" t="s">
        <v>22</v>
      </c>
      <c r="F70" s="3"/>
      <c r="G70" s="3"/>
      <c r="H70" s="156" t="str">
        <f ca="1">IFERROR(
  _xludf.MINIFS(ATTENDANCE_LOG!$F:$F,
         ATTENDANCE_LOG!$A:$A, C70,
         ATTENDANCE_LOG!$B:$B, E70),
"")</f>
        <v/>
      </c>
      <c r="I70" s="156" t="str">
        <f t="shared" ca="1" si="0"/>
        <v/>
      </c>
      <c r="J70" s="3" t="str">
        <f>IFERROR(VLOOKUP(F70, LEVEL_HELPER!$A:$B, 2, 0), "")</f>
        <v/>
      </c>
      <c r="K70" s="3" t="str">
        <f>IFERROR(VLOOKUP(G70, LEVEL_HELPER!$A:$B, 2, 0), "")</f>
        <v/>
      </c>
      <c r="L70" s="157" t="s">
        <v>942</v>
      </c>
      <c r="M70" s="157" t="s">
        <v>925</v>
      </c>
      <c r="N70" s="3" t="str">
        <f t="array" aca="1" ref="N70" ca="1">IFERROR(
  INDEX($J$2:$J$543,
    MATCH(A70&amp;TEXT(I70,"yyyy-mm-dd"),
          $A$2:$A$543&amp;TEXT($H$2:$H$543,"yyyy-mm-dd"),
          0)),
"")</f>
        <v/>
      </c>
      <c r="O70" s="147" t="str">
        <f t="shared" ca="1" si="1"/>
        <v/>
      </c>
      <c r="P70" s="147">
        <f t="shared" ref="P70:Q70" ca="1" si="79">IF(N70="",0,IF(N70&lt;=2,1,IF(N70&lt;=4,2,IF(N70&lt;=5.5,3,4))))</f>
        <v>0</v>
      </c>
      <c r="Q70" s="147">
        <f t="shared" ca="1" si="79"/>
        <v>0</v>
      </c>
      <c r="R70" s="147" t="str">
        <f t="shared" ca="1" si="3"/>
        <v>No Data</v>
      </c>
      <c r="S70" s="147">
        <f t="shared" si="4"/>
        <v>1</v>
      </c>
      <c r="T70" s="147"/>
      <c r="U70" s="147"/>
      <c r="V70" s="148" t="e">
        <f ca="1"/>
        <v>#NAME?</v>
      </c>
      <c r="W70" s="147" t="e">
        <f t="shared" ca="1" si="5"/>
        <v>#NAME?</v>
      </c>
      <c r="X70" s="147" t="e">
        <f t="shared" ca="1" si="6"/>
        <v>#NAME?</v>
      </c>
      <c r="Y70" s="147" t="e">
        <f t="shared" ca="1" si="7"/>
        <v>#NAME?</v>
      </c>
      <c r="Z70" s="147"/>
      <c r="AA70" s="147"/>
      <c r="AB70" s="147"/>
      <c r="AC70" s="147"/>
      <c r="AD70" s="147"/>
      <c r="AE70" s="147"/>
      <c r="AF70" s="147"/>
      <c r="AG70" s="147"/>
      <c r="AH70" s="147"/>
      <c r="AI70" s="147"/>
      <c r="AJ70" s="147"/>
      <c r="AK70" s="147"/>
      <c r="AL70" s="147"/>
      <c r="AM70" s="151"/>
      <c r="AN70" s="148" t="str">
        <f ca="1">IFERROR(__xludf.DUMMYFUNCTION("""COMPUTED_VALUE"""),"193490")</f>
        <v>193490</v>
      </c>
      <c r="AO70" s="147" t="str">
        <f t="shared" ca="1" si="8"/>
        <v>GSD</v>
      </c>
      <c r="AP70" s="147" t="e">
        <f t="shared" ca="1" si="9"/>
        <v>#NAME?</v>
      </c>
      <c r="AQ70" s="147" t="str">
        <f t="shared" ca="1" si="10"/>
        <v>POC</v>
      </c>
      <c r="AR70" s="147"/>
      <c r="AS70" s="147"/>
      <c r="AT70" s="147"/>
      <c r="AU70" s="147"/>
      <c r="AV70" s="147"/>
      <c r="AW70" s="147"/>
      <c r="AX70" s="147"/>
      <c r="AY70" s="147"/>
      <c r="AZ70" s="147"/>
      <c r="BA70" s="147"/>
      <c r="BB70" s="147"/>
      <c r="BC70" s="147"/>
      <c r="BD70" s="147"/>
      <c r="BE70" s="147"/>
      <c r="BF70" s="147"/>
      <c r="BG70" s="147"/>
      <c r="BH70" s="147"/>
      <c r="BI70" s="147"/>
      <c r="BJ70" s="147"/>
      <c r="BK70" s="147"/>
      <c r="BL70" s="147"/>
      <c r="BM70" s="147"/>
      <c r="BN70" s="147"/>
      <c r="BO70" s="147"/>
      <c r="BP70" s="147"/>
      <c r="BQ70" s="147"/>
      <c r="BR70" s="147"/>
      <c r="BS70" s="147"/>
      <c r="BT70" s="147"/>
      <c r="BU70" s="147"/>
      <c r="BV70" s="147"/>
      <c r="BW70" s="147"/>
      <c r="BX70" s="147"/>
      <c r="BY70" s="147"/>
      <c r="BZ70" s="147"/>
      <c r="CA70" s="147"/>
      <c r="CB70" s="147"/>
      <c r="CC70" s="147"/>
      <c r="CD70" s="147"/>
      <c r="CE70" s="147"/>
      <c r="CF70" s="147"/>
      <c r="CG70" s="147"/>
      <c r="CH70" s="147"/>
      <c r="CI70" s="147"/>
      <c r="CJ70" s="147"/>
      <c r="CK70" s="147"/>
    </row>
    <row r="71" spans="1:89">
      <c r="A71" s="153" t="s">
        <v>603</v>
      </c>
      <c r="B71" s="154" t="s">
        <v>604</v>
      </c>
      <c r="C71" s="155" t="s">
        <v>58</v>
      </c>
      <c r="D71" s="155" t="s">
        <v>852</v>
      </c>
      <c r="E71" s="154" t="s">
        <v>24</v>
      </c>
      <c r="F71" s="3"/>
      <c r="G71" s="3"/>
      <c r="H71" s="156" t="str">
        <f ca="1">IFERROR(
  _xludf.MINIFS(ATTENDANCE_LOG!$F:$F,
         ATTENDANCE_LOG!$A:$A, C71,
         ATTENDANCE_LOG!$B:$B, E71),
"")</f>
        <v/>
      </c>
      <c r="I71" s="156" t="str">
        <f t="shared" ca="1" si="0"/>
        <v/>
      </c>
      <c r="J71" s="3" t="str">
        <f>IFERROR(VLOOKUP(F71, LEVEL_HELPER!$A:$B, 2, 0), "")</f>
        <v/>
      </c>
      <c r="K71" s="3" t="str">
        <f>IFERROR(VLOOKUP(G71, LEVEL_HELPER!$A:$B, 2, 0), "")</f>
        <v/>
      </c>
      <c r="L71" s="157" t="s">
        <v>942</v>
      </c>
      <c r="M71" s="157" t="s">
        <v>925</v>
      </c>
      <c r="N71" s="3" t="str">
        <f t="array" aca="1" ref="N71" ca="1">IFERROR(
  INDEX($J$2:$J$543,
    MATCH(A71&amp;TEXT(I71,"yyyy-mm-dd"),
          $A$2:$A$543&amp;TEXT($H$2:$H$543,"yyyy-mm-dd"),
          0)),
"")</f>
        <v/>
      </c>
      <c r="O71" s="147" t="str">
        <f t="shared" ca="1" si="1"/>
        <v/>
      </c>
      <c r="P71" s="147">
        <f t="shared" ref="P71:Q71" ca="1" si="80">IF(N71="",0,IF(N71&lt;=2,1,IF(N71&lt;=4,2,IF(N71&lt;=5.5,3,4))))</f>
        <v>0</v>
      </c>
      <c r="Q71" s="147">
        <f t="shared" ca="1" si="80"/>
        <v>0</v>
      </c>
      <c r="R71" s="147" t="str">
        <f t="shared" ca="1" si="3"/>
        <v>No Data</v>
      </c>
      <c r="S71" s="147">
        <f t="shared" si="4"/>
        <v>1</v>
      </c>
      <c r="T71" s="147"/>
      <c r="U71" s="147"/>
      <c r="V71" s="148" t="e">
        <f ca="1"/>
        <v>#NAME?</v>
      </c>
      <c r="W71" s="147" t="e">
        <f t="shared" ca="1" si="5"/>
        <v>#NAME?</v>
      </c>
      <c r="X71" s="147" t="e">
        <f t="shared" ca="1" si="6"/>
        <v>#NAME?</v>
      </c>
      <c r="Y71" s="147" t="e">
        <f t="shared" ca="1" si="7"/>
        <v>#NAME?</v>
      </c>
      <c r="Z71" s="147"/>
      <c r="AA71" s="147"/>
      <c r="AB71" s="147"/>
      <c r="AC71" s="147"/>
      <c r="AD71" s="147"/>
      <c r="AE71" s="147"/>
      <c r="AF71" s="147"/>
      <c r="AG71" s="147"/>
      <c r="AH71" s="147"/>
      <c r="AI71" s="147"/>
      <c r="AJ71" s="147"/>
      <c r="AK71" s="147"/>
      <c r="AL71" s="147"/>
      <c r="AM71" s="151"/>
      <c r="AN71" s="148" t="str">
        <f ca="1">IFERROR(__xludf.DUMMYFUNCTION("""COMPUTED_VALUE"""),"173268")</f>
        <v>173268</v>
      </c>
      <c r="AO71" s="147" t="str">
        <f t="shared" ca="1" si="8"/>
        <v>GSD</v>
      </c>
      <c r="AP71" s="147" t="e">
        <f t="shared" ca="1" si="9"/>
        <v>#NAME?</v>
      </c>
      <c r="AQ71" s="147" t="str">
        <f t="shared" ca="1" si="10"/>
        <v>TBU</v>
      </c>
      <c r="AR71" s="147"/>
      <c r="AS71" s="147"/>
      <c r="AT71" s="147"/>
      <c r="AU71" s="147"/>
      <c r="AV71" s="147"/>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47"/>
      <c r="CJ71" s="147"/>
      <c r="CK71" s="147"/>
    </row>
    <row r="72" spans="1:89">
      <c r="A72" s="159" t="s">
        <v>239</v>
      </c>
      <c r="B72" s="3" t="s">
        <v>240</v>
      </c>
      <c r="C72" s="160" t="s">
        <v>58</v>
      </c>
      <c r="D72" s="160" t="s">
        <v>852</v>
      </c>
      <c r="E72" s="3" t="s">
        <v>24</v>
      </c>
      <c r="F72" s="3"/>
      <c r="G72" s="3"/>
      <c r="H72" s="156" t="str">
        <f ca="1">IFERROR(
  _xludf.MINIFS(ATTENDANCE_LOG!$F:$F,
         ATTENDANCE_LOG!$A:$A, C72,
         ATTENDANCE_LOG!$B:$B, E72),
"")</f>
        <v/>
      </c>
      <c r="I72" s="156" t="str">
        <f t="shared" ca="1" si="0"/>
        <v/>
      </c>
      <c r="J72" s="3" t="str">
        <f>IFERROR(VLOOKUP(F72, LEVEL_HELPER!$A:$B, 2, 0), "")</f>
        <v/>
      </c>
      <c r="K72" s="3" t="str">
        <f>IFERROR(VLOOKUP(G72, LEVEL_HELPER!$A:$B, 2, 0), "")</f>
        <v/>
      </c>
      <c r="L72" s="157" t="s">
        <v>942</v>
      </c>
      <c r="M72" s="157" t="s">
        <v>925</v>
      </c>
      <c r="N72" s="3" t="str">
        <f t="array" aca="1" ref="N72" ca="1">IFERROR(
  INDEX($J$2:$J$543,
    MATCH(A72&amp;TEXT(I72,"yyyy-mm-dd"),
          $A$2:$A$543&amp;TEXT($H$2:$H$543,"yyyy-mm-dd"),
          0)),
"")</f>
        <v/>
      </c>
      <c r="O72" s="147" t="str">
        <f t="shared" ca="1" si="1"/>
        <v/>
      </c>
      <c r="P72" s="147">
        <f t="shared" ref="P72:Q72" ca="1" si="81">IF(N72="",0,IF(N72&lt;=2,1,IF(N72&lt;=4,2,IF(N72&lt;=5.5,3,4))))</f>
        <v>0</v>
      </c>
      <c r="Q72" s="147">
        <f t="shared" ca="1" si="81"/>
        <v>0</v>
      </c>
      <c r="R72" s="147" t="str">
        <f t="shared" ca="1" si="3"/>
        <v>No Data</v>
      </c>
      <c r="S72" s="147">
        <f t="shared" si="4"/>
        <v>1</v>
      </c>
      <c r="T72" s="147"/>
      <c r="U72" s="147"/>
      <c r="V72" s="148" t="e">
        <f ca="1"/>
        <v>#NAME?</v>
      </c>
      <c r="W72" s="147" t="e">
        <f t="shared" ca="1" si="5"/>
        <v>#NAME?</v>
      </c>
      <c r="X72" s="147" t="e">
        <f t="shared" ca="1" si="6"/>
        <v>#NAME?</v>
      </c>
      <c r="Y72" s="147" t="e">
        <f t="shared" ca="1" si="7"/>
        <v>#NAME?</v>
      </c>
      <c r="Z72" s="147"/>
      <c r="AA72" s="147"/>
      <c r="AB72" s="147"/>
      <c r="AC72" s="147"/>
      <c r="AD72" s="147"/>
      <c r="AE72" s="147"/>
      <c r="AF72" s="147"/>
      <c r="AG72" s="147"/>
      <c r="AH72" s="147"/>
      <c r="AI72" s="147"/>
      <c r="AJ72" s="147"/>
      <c r="AK72" s="147"/>
      <c r="AL72" s="147"/>
      <c r="AM72" s="151"/>
      <c r="AN72" s="148" t="str">
        <f ca="1">IFERROR(__xludf.DUMMYFUNCTION("""COMPUTED_VALUE"""),"183379")</f>
        <v>183379</v>
      </c>
      <c r="AO72" s="147" t="str">
        <f t="shared" ca="1" si="8"/>
        <v>DEV</v>
      </c>
      <c r="AP72" s="147" t="e">
        <f t="shared" ca="1" si="9"/>
        <v>#NAME?</v>
      </c>
      <c r="AQ72" s="147" t="str">
        <f t="shared" ca="1" si="10"/>
        <v>ONC</v>
      </c>
      <c r="AR72" s="147"/>
      <c r="AS72" s="147"/>
      <c r="AT72" s="147"/>
      <c r="AU72" s="147"/>
      <c r="AV72" s="147"/>
      <c r="AW72" s="147"/>
      <c r="AX72" s="147"/>
      <c r="AY72" s="147"/>
      <c r="AZ72" s="147"/>
      <c r="BA72" s="147"/>
      <c r="BB72" s="147"/>
      <c r="BC72" s="147"/>
      <c r="BD72" s="147"/>
      <c r="BE72" s="147"/>
      <c r="BF72" s="147"/>
      <c r="BG72" s="147"/>
      <c r="BH72" s="147"/>
      <c r="BI72" s="147"/>
      <c r="BJ72" s="147"/>
      <c r="BK72" s="147"/>
      <c r="BL72" s="147"/>
      <c r="BM72" s="147"/>
      <c r="BN72" s="147"/>
      <c r="BO72" s="147"/>
      <c r="BP72" s="147"/>
      <c r="BQ72" s="147"/>
      <c r="BR72" s="147"/>
      <c r="BS72" s="147"/>
      <c r="BT72" s="147"/>
      <c r="BU72" s="147"/>
      <c r="BV72" s="147"/>
      <c r="BW72" s="147"/>
      <c r="BX72" s="147"/>
      <c r="BY72" s="147"/>
      <c r="BZ72" s="147"/>
      <c r="CA72" s="147"/>
      <c r="CB72" s="147"/>
      <c r="CC72" s="147"/>
      <c r="CD72" s="147"/>
      <c r="CE72" s="147"/>
      <c r="CF72" s="147"/>
      <c r="CG72" s="147"/>
      <c r="CH72" s="147"/>
      <c r="CI72" s="147"/>
      <c r="CJ72" s="147"/>
      <c r="CK72" s="147"/>
    </row>
    <row r="73" spans="1:89">
      <c r="A73" s="159" t="s">
        <v>263</v>
      </c>
      <c r="B73" s="3" t="s">
        <v>264</v>
      </c>
      <c r="C73" s="160" t="s">
        <v>58</v>
      </c>
      <c r="D73" s="160" t="s">
        <v>852</v>
      </c>
      <c r="E73" s="3" t="s">
        <v>24</v>
      </c>
      <c r="F73" s="3"/>
      <c r="G73" s="3"/>
      <c r="H73" s="156" t="str">
        <f ca="1">IFERROR(
  _xludf.MINIFS(ATTENDANCE_LOG!$F:$F,
         ATTENDANCE_LOG!$A:$A, C73,
         ATTENDANCE_LOG!$B:$B, E73),
"")</f>
        <v/>
      </c>
      <c r="I73" s="156" t="str">
        <f t="shared" ca="1" si="0"/>
        <v/>
      </c>
      <c r="J73" s="3" t="str">
        <f>IFERROR(VLOOKUP(F73, LEVEL_HELPER!$A:$B, 2, 0), "")</f>
        <v/>
      </c>
      <c r="K73" s="3" t="str">
        <f>IFERROR(VLOOKUP(G73, LEVEL_HELPER!$A:$B, 2, 0), "")</f>
        <v/>
      </c>
      <c r="L73" s="157" t="s">
        <v>918</v>
      </c>
      <c r="M73" s="157" t="s">
        <v>925</v>
      </c>
      <c r="N73" s="3" t="str">
        <f t="array" aca="1" ref="N73" ca="1">IFERROR(
  INDEX($J$2:$J$543,
    MATCH(A73&amp;TEXT(I73,"yyyy-mm-dd"),
          $A$2:$A$543&amp;TEXT($H$2:$H$543,"yyyy-mm-dd"),
          0)),
"")</f>
        <v/>
      </c>
      <c r="O73" s="147" t="str">
        <f t="shared" ca="1" si="1"/>
        <v/>
      </c>
      <c r="P73" s="147">
        <f t="shared" ref="P73:Q73" ca="1" si="82">IF(N73="",0,IF(N73&lt;=2,1,IF(N73&lt;=4,2,IF(N73&lt;=5.5,3,4))))</f>
        <v>0</v>
      </c>
      <c r="Q73" s="147">
        <f t="shared" ca="1" si="82"/>
        <v>0</v>
      </c>
      <c r="R73" s="147" t="str">
        <f t="shared" ca="1" si="3"/>
        <v>No Data</v>
      </c>
      <c r="S73" s="147">
        <f t="shared" si="4"/>
        <v>1</v>
      </c>
      <c r="T73" s="147"/>
      <c r="U73" s="147"/>
      <c r="V73" s="148" t="e">
        <f ca="1"/>
        <v>#NAME?</v>
      </c>
      <c r="W73" s="147" t="e">
        <f t="shared" ca="1" si="5"/>
        <v>#NAME?</v>
      </c>
      <c r="X73" s="147" t="e">
        <f t="shared" ca="1" si="6"/>
        <v>#NAME?</v>
      </c>
      <c r="Y73" s="147" t="e">
        <f t="shared" ca="1" si="7"/>
        <v>#NAME?</v>
      </c>
      <c r="Z73" s="147"/>
      <c r="AA73" s="147"/>
      <c r="AB73" s="147"/>
      <c r="AC73" s="147"/>
      <c r="AD73" s="147"/>
      <c r="AE73" s="147"/>
      <c r="AF73" s="147"/>
      <c r="AG73" s="147"/>
      <c r="AH73" s="147"/>
      <c r="AI73" s="147"/>
      <c r="AJ73" s="147"/>
      <c r="AK73" s="147"/>
      <c r="AL73" s="147"/>
      <c r="AM73" s="151"/>
      <c r="AN73" s="148" t="str">
        <f ca="1">IFERROR(__xludf.DUMMYFUNCTION("""COMPUTED_VALUE"""),"227101")</f>
        <v>227101</v>
      </c>
      <c r="AO73" s="147" t="str">
        <f t="shared" ca="1" si="8"/>
        <v>DEV</v>
      </c>
      <c r="AP73" s="147" t="e">
        <f t="shared" ca="1" si="9"/>
        <v>#NAME?</v>
      </c>
      <c r="AQ73" s="147" t="str">
        <f t="shared" ca="1" si="10"/>
        <v>ONC</v>
      </c>
      <c r="AR73" s="147"/>
      <c r="AS73" s="147"/>
      <c r="AT73" s="147"/>
      <c r="AU73" s="147"/>
      <c r="AV73" s="147"/>
      <c r="AW73" s="147"/>
      <c r="AX73" s="147"/>
      <c r="AY73" s="147"/>
      <c r="AZ73" s="147"/>
      <c r="BA73" s="147"/>
      <c r="BB73" s="147"/>
      <c r="BC73" s="147"/>
      <c r="BD73" s="147"/>
      <c r="BE73" s="147"/>
      <c r="BF73" s="147"/>
      <c r="BG73" s="147"/>
      <c r="BH73" s="147"/>
      <c r="BI73" s="147"/>
      <c r="BJ73" s="147"/>
      <c r="BK73" s="147"/>
      <c r="BL73" s="147"/>
      <c r="BM73" s="147"/>
      <c r="BN73" s="147"/>
      <c r="BO73" s="147"/>
      <c r="BP73" s="147"/>
      <c r="BQ73" s="147"/>
      <c r="BR73" s="147"/>
      <c r="BS73" s="147"/>
      <c r="BT73" s="147"/>
      <c r="BU73" s="147"/>
      <c r="BV73" s="147"/>
      <c r="BW73" s="147"/>
      <c r="BX73" s="147"/>
      <c r="BY73" s="147"/>
      <c r="BZ73" s="147"/>
      <c r="CA73" s="147"/>
      <c r="CB73" s="147"/>
      <c r="CC73" s="147"/>
      <c r="CD73" s="147"/>
      <c r="CE73" s="147"/>
      <c r="CF73" s="147"/>
      <c r="CG73" s="147"/>
      <c r="CH73" s="147"/>
      <c r="CI73" s="147"/>
      <c r="CJ73" s="147"/>
      <c r="CK73" s="147"/>
    </row>
    <row r="74" spans="1:89">
      <c r="A74" s="159" t="s">
        <v>383</v>
      </c>
      <c r="B74" s="3" t="s">
        <v>384</v>
      </c>
      <c r="C74" s="160" t="s">
        <v>58</v>
      </c>
      <c r="D74" s="160" t="s">
        <v>852</v>
      </c>
      <c r="E74" s="3" t="s">
        <v>24</v>
      </c>
      <c r="F74" s="3"/>
      <c r="G74" s="3"/>
      <c r="H74" s="156" t="str">
        <f ca="1">IFERROR(
  _xludf.MINIFS(ATTENDANCE_LOG!$F:$F,
         ATTENDANCE_LOG!$A:$A, C74,
         ATTENDANCE_LOG!$B:$B, E74),
"")</f>
        <v/>
      </c>
      <c r="I74" s="156" t="str">
        <f t="shared" ca="1" si="0"/>
        <v/>
      </c>
      <c r="J74" s="3" t="str">
        <f>IFERROR(VLOOKUP(F74, LEVEL_HELPER!$A:$B, 2, 0), "")</f>
        <v/>
      </c>
      <c r="K74" s="3" t="str">
        <f>IFERROR(VLOOKUP(G74, LEVEL_HELPER!$A:$B, 2, 0), "")</f>
        <v/>
      </c>
      <c r="L74" s="157" t="s">
        <v>941</v>
      </c>
      <c r="M74" s="157" t="s">
        <v>925</v>
      </c>
      <c r="N74" s="3" t="str">
        <f t="array" aca="1" ref="N74" ca="1">IFERROR(
  INDEX($J$2:$J$543,
    MATCH(A74&amp;TEXT(I74,"yyyy-mm-dd"),
          $A$2:$A$543&amp;TEXT($H$2:$H$543,"yyyy-mm-dd"),
          0)),
"")</f>
        <v/>
      </c>
      <c r="O74" s="147" t="str">
        <f t="shared" ca="1" si="1"/>
        <v/>
      </c>
      <c r="P74" s="147">
        <f t="shared" ref="P74:Q74" ca="1" si="83">IF(N74="",0,IF(N74&lt;=2,1,IF(N74&lt;=4,2,IF(N74&lt;=5.5,3,4))))</f>
        <v>0</v>
      </c>
      <c r="Q74" s="147">
        <f t="shared" ca="1" si="83"/>
        <v>0</v>
      </c>
      <c r="R74" s="147" t="str">
        <f t="shared" ca="1" si="3"/>
        <v>No Data</v>
      </c>
      <c r="S74" s="147">
        <f t="shared" si="4"/>
        <v>1</v>
      </c>
      <c r="T74" s="147"/>
      <c r="U74" s="147"/>
      <c r="V74" s="148" t="e">
        <f ca="1"/>
        <v>#NAME?</v>
      </c>
      <c r="W74" s="147" t="e">
        <f t="shared" ca="1" si="5"/>
        <v>#NAME?</v>
      </c>
      <c r="X74" s="147" t="e">
        <f t="shared" ca="1" si="6"/>
        <v>#NAME?</v>
      </c>
      <c r="Y74" s="147" t="e">
        <f t="shared" ca="1" si="7"/>
        <v>#NAME?</v>
      </c>
      <c r="Z74" s="147"/>
      <c r="AA74" s="147"/>
      <c r="AB74" s="147"/>
      <c r="AC74" s="147"/>
      <c r="AD74" s="147"/>
      <c r="AE74" s="147"/>
      <c r="AF74" s="147"/>
      <c r="AG74" s="147"/>
      <c r="AH74" s="147"/>
      <c r="AI74" s="147"/>
      <c r="AJ74" s="147"/>
      <c r="AK74" s="147"/>
      <c r="AL74" s="147"/>
      <c r="AM74" s="151"/>
      <c r="AN74" s="148" t="str">
        <f ca="1">IFERROR(__xludf.DUMMYFUNCTION("""COMPUTED_VALUE"""),"193495")</f>
        <v>193495</v>
      </c>
      <c r="AO74" s="147" t="str">
        <f t="shared" ca="1" si="8"/>
        <v>DEV</v>
      </c>
      <c r="AP74" s="147" t="e">
        <f t="shared" ca="1" si="9"/>
        <v>#NAME?</v>
      </c>
      <c r="AQ74" s="147" t="str">
        <f t="shared" ca="1" si="10"/>
        <v>CHORUS</v>
      </c>
      <c r="AR74" s="147"/>
      <c r="AS74" s="147"/>
      <c r="AT74" s="147"/>
      <c r="AU74" s="147"/>
      <c r="AV74" s="147"/>
      <c r="AW74" s="147"/>
      <c r="AX74" s="147"/>
      <c r="AY74" s="147"/>
      <c r="AZ74" s="147"/>
      <c r="BA74" s="147"/>
      <c r="BB74" s="147"/>
      <c r="BC74" s="147"/>
      <c r="BD74" s="147"/>
      <c r="BE74" s="147"/>
      <c r="BF74" s="147"/>
      <c r="BG74" s="147"/>
      <c r="BH74" s="147"/>
      <c r="BI74" s="147"/>
      <c r="BJ74" s="147"/>
      <c r="BK74" s="147"/>
      <c r="BL74" s="147"/>
      <c r="BM74" s="147"/>
      <c r="BN74" s="147"/>
      <c r="BO74" s="147"/>
      <c r="BP74" s="147"/>
      <c r="BQ74" s="147"/>
      <c r="BR74" s="147"/>
      <c r="BS74" s="147"/>
      <c r="BT74" s="147"/>
      <c r="BU74" s="147"/>
      <c r="BV74" s="147"/>
      <c r="BW74" s="147"/>
      <c r="BX74" s="147"/>
      <c r="BY74" s="147"/>
      <c r="BZ74" s="147"/>
      <c r="CA74" s="147"/>
      <c r="CB74" s="147"/>
      <c r="CC74" s="147"/>
      <c r="CD74" s="147"/>
      <c r="CE74" s="147"/>
      <c r="CF74" s="147"/>
      <c r="CG74" s="147"/>
      <c r="CH74" s="147"/>
      <c r="CI74" s="147"/>
      <c r="CJ74" s="147"/>
      <c r="CK74" s="147"/>
    </row>
    <row r="75" spans="1:89">
      <c r="A75" s="159" t="s">
        <v>528</v>
      </c>
      <c r="B75" s="3" t="s">
        <v>529</v>
      </c>
      <c r="C75" s="160" t="s">
        <v>58</v>
      </c>
      <c r="D75" s="160" t="s">
        <v>852</v>
      </c>
      <c r="E75" s="3" t="s">
        <v>24</v>
      </c>
      <c r="F75" s="3"/>
      <c r="G75" s="3"/>
      <c r="H75" s="156" t="str">
        <f ca="1">IFERROR(
  _xludf.MINIFS(ATTENDANCE_LOG!$F:$F,
         ATTENDANCE_LOG!$A:$A, C75,
         ATTENDANCE_LOG!$B:$B, E75),
"")</f>
        <v/>
      </c>
      <c r="I75" s="156" t="str">
        <f t="shared" ca="1" si="0"/>
        <v/>
      </c>
      <c r="J75" s="3" t="str">
        <f>IFERROR(VLOOKUP(F75, LEVEL_HELPER!$A:$B, 2, 0), "")</f>
        <v/>
      </c>
      <c r="K75" s="3" t="str">
        <f>IFERROR(VLOOKUP(G75, LEVEL_HELPER!$A:$B, 2, 0), "")</f>
        <v/>
      </c>
      <c r="L75" s="157" t="s">
        <v>942</v>
      </c>
      <c r="M75" s="157" t="s">
        <v>925</v>
      </c>
      <c r="N75" s="3" t="str">
        <f t="array" aca="1" ref="N75" ca="1">IFERROR(
  INDEX($J$2:$J$543,
    MATCH(A75&amp;TEXT(I75,"yyyy-mm-dd"),
          $A$2:$A$543&amp;TEXT($H$2:$H$543,"yyyy-mm-dd"),
          0)),
"")</f>
        <v/>
      </c>
      <c r="O75" s="147" t="str">
        <f t="shared" ca="1" si="1"/>
        <v/>
      </c>
      <c r="P75" s="147">
        <f t="shared" ref="P75:Q75" ca="1" si="84">IF(N75="",0,IF(N75&lt;=2,1,IF(N75&lt;=4,2,IF(N75&lt;=5.5,3,4))))</f>
        <v>0</v>
      </c>
      <c r="Q75" s="147">
        <f t="shared" ca="1" si="84"/>
        <v>0</v>
      </c>
      <c r="R75" s="147" t="str">
        <f t="shared" ca="1" si="3"/>
        <v>No Data</v>
      </c>
      <c r="S75" s="147">
        <f t="shared" si="4"/>
        <v>1</v>
      </c>
      <c r="T75" s="147"/>
      <c r="U75" s="147"/>
      <c r="V75" s="148" t="e">
        <f ca="1"/>
        <v>#NAME?</v>
      </c>
      <c r="W75" s="147" t="e">
        <f t="shared" ca="1" si="5"/>
        <v>#NAME?</v>
      </c>
      <c r="X75" s="147" t="e">
        <f t="shared" ca="1" si="6"/>
        <v>#NAME?</v>
      </c>
      <c r="Y75" s="147" t="e">
        <f t="shared" ca="1" si="7"/>
        <v>#NAME?</v>
      </c>
      <c r="Z75" s="147"/>
      <c r="AA75" s="147"/>
      <c r="AB75" s="147"/>
      <c r="AC75" s="147"/>
      <c r="AD75" s="147"/>
      <c r="AE75" s="147"/>
      <c r="AF75" s="147"/>
      <c r="AG75" s="147"/>
      <c r="AH75" s="147"/>
      <c r="AI75" s="147"/>
      <c r="AJ75" s="147"/>
      <c r="AK75" s="147"/>
      <c r="AL75" s="147"/>
      <c r="AM75" s="151"/>
      <c r="AN75" s="148" t="str">
        <f ca="1">IFERROR(__xludf.DUMMYFUNCTION("""COMPUTED_VALUE"""),"247262")</f>
        <v>247262</v>
      </c>
      <c r="AO75" s="147" t="str">
        <f t="shared" ca="1" si="8"/>
        <v>GSD</v>
      </c>
      <c r="AP75" s="147" t="e">
        <f t="shared" ca="1" si="9"/>
        <v>#NAME?</v>
      </c>
      <c r="AQ75" s="147" t="str">
        <f t="shared" ca="1" si="10"/>
        <v>MOC</v>
      </c>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7"/>
      <c r="CH75" s="147"/>
      <c r="CI75" s="147"/>
      <c r="CJ75" s="147"/>
      <c r="CK75" s="147"/>
    </row>
    <row r="76" spans="1:89">
      <c r="A76" s="159" t="s">
        <v>665</v>
      </c>
      <c r="B76" s="3" t="s">
        <v>666</v>
      </c>
      <c r="C76" s="160" t="s">
        <v>58</v>
      </c>
      <c r="D76" s="160" t="s">
        <v>852</v>
      </c>
      <c r="E76" s="3" t="s">
        <v>24</v>
      </c>
      <c r="F76" s="3"/>
      <c r="G76" s="3"/>
      <c r="H76" s="156" t="str">
        <f ca="1">IFERROR(
  _xludf.MINIFS(ATTENDANCE_LOG!$F:$F,
         ATTENDANCE_LOG!$A:$A, C76,
         ATTENDANCE_LOG!$B:$B, E76),
"")</f>
        <v/>
      </c>
      <c r="I76" s="156" t="str">
        <f t="shared" ca="1" si="0"/>
        <v/>
      </c>
      <c r="J76" s="3" t="str">
        <f>IFERROR(VLOOKUP(F76, LEVEL_HELPER!$A:$B, 2, 0), "")</f>
        <v/>
      </c>
      <c r="K76" s="3" t="str">
        <f>IFERROR(VLOOKUP(G76, LEVEL_HELPER!$A:$B, 2, 0), "")</f>
        <v/>
      </c>
      <c r="L76" s="157" t="s">
        <v>942</v>
      </c>
      <c r="M76" s="157" t="s">
        <v>925</v>
      </c>
      <c r="N76" s="3" t="str">
        <f t="array" aca="1" ref="N76" ca="1">IFERROR(
  INDEX($J$2:$J$543,
    MATCH(A76&amp;TEXT(I76,"yyyy-mm-dd"),
          $A$2:$A$543&amp;TEXT($H$2:$H$543,"yyyy-mm-dd"),
          0)),
"")</f>
        <v/>
      </c>
      <c r="O76" s="147" t="str">
        <f t="shared" ca="1" si="1"/>
        <v/>
      </c>
      <c r="P76" s="147">
        <f t="shared" ref="P76:Q76" ca="1" si="85">IF(N76="",0,IF(N76&lt;=2,1,IF(N76&lt;=4,2,IF(N76&lt;=5.5,3,4))))</f>
        <v>0</v>
      </c>
      <c r="Q76" s="147">
        <f t="shared" ca="1" si="85"/>
        <v>0</v>
      </c>
      <c r="R76" s="147" t="str">
        <f t="shared" ca="1" si="3"/>
        <v>No Data</v>
      </c>
      <c r="S76" s="147">
        <f t="shared" si="4"/>
        <v>1</v>
      </c>
      <c r="T76" s="147"/>
      <c r="U76" s="147"/>
      <c r="V76" s="148" t="e">
        <f ca="1"/>
        <v>#NAME?</v>
      </c>
      <c r="W76" s="147" t="e">
        <f t="shared" ca="1" si="5"/>
        <v>#NAME?</v>
      </c>
      <c r="X76" s="147" t="e">
        <f t="shared" ca="1" si="6"/>
        <v>#NAME?</v>
      </c>
      <c r="Y76" s="147" t="e">
        <f t="shared" ca="1" si="7"/>
        <v>#NAME?</v>
      </c>
      <c r="Z76" s="147"/>
      <c r="AA76" s="147"/>
      <c r="AB76" s="147"/>
      <c r="AC76" s="147"/>
      <c r="AD76" s="147"/>
      <c r="AE76" s="147"/>
      <c r="AF76" s="147"/>
      <c r="AG76" s="147"/>
      <c r="AH76" s="147"/>
      <c r="AI76" s="147"/>
      <c r="AJ76" s="147"/>
      <c r="AK76" s="147"/>
      <c r="AL76" s="147"/>
      <c r="AM76" s="151"/>
      <c r="AN76" s="148" t="str">
        <f ca="1">IFERROR(__xludf.DUMMYFUNCTION("""COMPUTED_VALUE"""),"193516")</f>
        <v>193516</v>
      </c>
      <c r="AO76" s="147" t="str">
        <f t="shared" ca="1" si="8"/>
        <v>DEV</v>
      </c>
      <c r="AP76" s="147" t="e">
        <f t="shared" ca="1" si="9"/>
        <v>#NAME?</v>
      </c>
      <c r="AQ76" s="147" t="str">
        <f t="shared" ca="1" si="10"/>
        <v>ONC</v>
      </c>
      <c r="AR76" s="147"/>
      <c r="AS76" s="147"/>
      <c r="AT76" s="147"/>
      <c r="AU76" s="147"/>
      <c r="AV76" s="147"/>
      <c r="AW76" s="147"/>
      <c r="AX76" s="147"/>
      <c r="AY76" s="147"/>
      <c r="AZ76" s="147"/>
      <c r="BA76" s="147"/>
      <c r="BB76" s="147"/>
      <c r="BC76" s="147"/>
      <c r="BD76" s="147"/>
      <c r="BE76" s="147"/>
      <c r="BF76" s="147"/>
      <c r="BG76" s="147"/>
      <c r="BH76" s="147"/>
      <c r="BI76" s="147"/>
      <c r="BJ76" s="147"/>
      <c r="BK76" s="147"/>
      <c r="BL76" s="147"/>
      <c r="BM76" s="147"/>
      <c r="BN76" s="147"/>
      <c r="BO76" s="147"/>
      <c r="BP76" s="147"/>
      <c r="BQ76" s="147"/>
      <c r="BR76" s="147"/>
      <c r="BS76" s="147"/>
      <c r="BT76" s="147"/>
      <c r="BU76" s="147"/>
      <c r="BV76" s="147"/>
      <c r="BW76" s="147"/>
      <c r="BX76" s="147"/>
      <c r="BY76" s="147"/>
      <c r="BZ76" s="147"/>
      <c r="CA76" s="147"/>
      <c r="CB76" s="147"/>
      <c r="CC76" s="147"/>
      <c r="CD76" s="147"/>
      <c r="CE76" s="147"/>
      <c r="CF76" s="147"/>
      <c r="CG76" s="147"/>
      <c r="CH76" s="147"/>
      <c r="CI76" s="147"/>
      <c r="CJ76" s="147"/>
      <c r="CK76" s="147"/>
    </row>
    <row r="77" spans="1:89">
      <c r="A77" s="153" t="s">
        <v>603</v>
      </c>
      <c r="B77" s="154" t="s">
        <v>604</v>
      </c>
      <c r="C77" s="155" t="s">
        <v>58</v>
      </c>
      <c r="D77" s="155" t="s">
        <v>852</v>
      </c>
      <c r="E77" s="154" t="s">
        <v>21</v>
      </c>
      <c r="F77" s="3" t="s">
        <v>926</v>
      </c>
      <c r="G77" s="3" t="s">
        <v>917</v>
      </c>
      <c r="H77" s="156" t="str">
        <f ca="1">IFERROR(
  _xludf.MINIFS(ATTENDANCE_LOG!$F:$F,
         ATTENDANCE_LOG!$A:$A, C77,
         ATTENDANCE_LOG!$B:$B, E77),
"")</f>
        <v/>
      </c>
      <c r="I77" s="156" t="str">
        <f t="shared" ca="1" si="0"/>
        <v/>
      </c>
      <c r="J77" s="3">
        <f>IFERROR(VLOOKUP(F77, LEVEL_HELPER!$A:$B, 2, 0), "")</f>
        <v>1</v>
      </c>
      <c r="K77" s="3">
        <f>IFERROR(VLOOKUP(G77, LEVEL_HELPER!$A:$B, 2, 0), "")</f>
        <v>3</v>
      </c>
      <c r="L77" s="157" t="s">
        <v>942</v>
      </c>
      <c r="M77" s="157" t="s">
        <v>925</v>
      </c>
      <c r="N77" s="3" t="str">
        <f t="array" aca="1" ref="N77" ca="1">IFERROR(
  INDEX($J$2:$J$543,
    MATCH(A77&amp;TEXT(I77,"yyyy-mm-dd"),
          $A$2:$A$543&amp;TEXT($H$2:$H$543,"yyyy-mm-dd"),
          0)),
"")</f>
        <v/>
      </c>
      <c r="O77" s="147" t="str">
        <f t="shared" ca="1" si="1"/>
        <v/>
      </c>
      <c r="P77" s="147">
        <f t="shared" ref="P77:Q77" ca="1" si="86">IF(N77="",0,IF(N77&lt;=2,1,IF(N77&lt;=4,2,IF(N77&lt;=5.5,3,4))))</f>
        <v>0</v>
      </c>
      <c r="Q77" s="147">
        <f t="shared" ca="1" si="86"/>
        <v>0</v>
      </c>
      <c r="R77" s="147" t="str">
        <f t="shared" ca="1" si="3"/>
        <v>No Data</v>
      </c>
      <c r="S77" s="147">
        <f t="shared" si="4"/>
        <v>0</v>
      </c>
      <c r="T77" s="147"/>
      <c r="U77" s="147"/>
      <c r="V77" s="148" t="e">
        <f ca="1"/>
        <v>#NAME?</v>
      </c>
      <c r="W77" s="147" t="e">
        <f t="shared" ca="1" si="5"/>
        <v>#NAME?</v>
      </c>
      <c r="X77" s="147" t="e">
        <f t="shared" ca="1" si="6"/>
        <v>#NAME?</v>
      </c>
      <c r="Y77" s="147" t="e">
        <f t="shared" ca="1" si="7"/>
        <v>#NAME?</v>
      </c>
      <c r="Z77" s="147"/>
      <c r="AA77" s="147"/>
      <c r="AB77" s="147"/>
      <c r="AC77" s="147"/>
      <c r="AD77" s="147"/>
      <c r="AE77" s="147"/>
      <c r="AF77" s="147"/>
      <c r="AG77" s="147"/>
      <c r="AH77" s="147"/>
      <c r="AI77" s="147"/>
      <c r="AJ77" s="147"/>
      <c r="AK77" s="147"/>
      <c r="AL77" s="147"/>
      <c r="AM77" s="151"/>
      <c r="AN77" s="148" t="str">
        <f ca="1">IFERROR(__xludf.DUMMYFUNCTION("""COMPUTED_VALUE"""),"193526")</f>
        <v>193526</v>
      </c>
      <c r="AO77" s="147" t="str">
        <f t="shared" ca="1" si="8"/>
        <v>DEV</v>
      </c>
      <c r="AP77" s="147" t="e">
        <f t="shared" ca="1" si="9"/>
        <v>#NAME?</v>
      </c>
      <c r="AQ77" s="147" t="str">
        <f t="shared" ca="1" si="10"/>
        <v>TBU</v>
      </c>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7"/>
      <c r="CA77" s="147"/>
      <c r="CB77" s="147"/>
      <c r="CC77" s="147"/>
      <c r="CD77" s="147"/>
      <c r="CE77" s="147"/>
      <c r="CF77" s="147"/>
      <c r="CG77" s="147"/>
      <c r="CH77" s="147"/>
      <c r="CI77" s="147"/>
      <c r="CJ77" s="147"/>
      <c r="CK77" s="147"/>
    </row>
    <row r="78" spans="1:89">
      <c r="A78" s="159" t="s">
        <v>239</v>
      </c>
      <c r="B78" s="3" t="s">
        <v>240</v>
      </c>
      <c r="C78" s="160" t="s">
        <v>58</v>
      </c>
      <c r="D78" s="160" t="s">
        <v>852</v>
      </c>
      <c r="E78" s="3" t="s">
        <v>21</v>
      </c>
      <c r="F78" s="3" t="s">
        <v>926</v>
      </c>
      <c r="G78" s="3" t="s">
        <v>928</v>
      </c>
      <c r="H78" s="156" t="str">
        <f ca="1">IFERROR(
  _xludf.MINIFS(ATTENDANCE_LOG!$F:$F,
         ATTENDANCE_LOG!$A:$A, C78,
         ATTENDANCE_LOG!$B:$B, E78),
"")</f>
        <v/>
      </c>
      <c r="I78" s="156" t="str">
        <f t="shared" ca="1" si="0"/>
        <v/>
      </c>
      <c r="J78" s="3">
        <f>IFERROR(VLOOKUP(F78, LEVEL_HELPER!$A:$B, 2, 0), "")</f>
        <v>1</v>
      </c>
      <c r="K78" s="3">
        <f>IFERROR(VLOOKUP(G78, LEVEL_HELPER!$A:$B, 2, 0), "")</f>
        <v>1.5</v>
      </c>
      <c r="L78" s="157" t="s">
        <v>942</v>
      </c>
      <c r="M78" s="157" t="s">
        <v>925</v>
      </c>
      <c r="N78" s="3" t="str">
        <f t="array" aca="1" ref="N78" ca="1">IFERROR(
  INDEX($J$2:$J$543,
    MATCH(A78&amp;TEXT(I78,"yyyy-mm-dd"),
          $A$2:$A$543&amp;TEXT($H$2:$H$543,"yyyy-mm-dd"),
          0)),
"")</f>
        <v/>
      </c>
      <c r="O78" s="147" t="str">
        <f t="shared" ca="1" si="1"/>
        <v/>
      </c>
      <c r="P78" s="147">
        <f t="shared" ref="P78:Q78" ca="1" si="87">IF(N78="",0,IF(N78&lt;=2,1,IF(N78&lt;=4,2,IF(N78&lt;=5.5,3,4))))</f>
        <v>0</v>
      </c>
      <c r="Q78" s="147">
        <f t="shared" ca="1" si="87"/>
        <v>0</v>
      </c>
      <c r="R78" s="147" t="str">
        <f t="shared" ca="1" si="3"/>
        <v>No Data</v>
      </c>
      <c r="S78" s="147">
        <f t="shared" si="4"/>
        <v>0</v>
      </c>
      <c r="T78" s="147"/>
      <c r="U78" s="147"/>
      <c r="V78" s="148" t="e">
        <f ca="1"/>
        <v>#NAME?</v>
      </c>
      <c r="W78" s="147" t="e">
        <f t="shared" ca="1" si="5"/>
        <v>#NAME?</v>
      </c>
      <c r="X78" s="147" t="e">
        <f t="shared" ca="1" si="6"/>
        <v>#NAME?</v>
      </c>
      <c r="Y78" s="147" t="e">
        <f t="shared" ca="1" si="7"/>
        <v>#NAME?</v>
      </c>
      <c r="Z78" s="147"/>
      <c r="AA78" s="147"/>
      <c r="AB78" s="147"/>
      <c r="AC78" s="147"/>
      <c r="AD78" s="147"/>
      <c r="AE78" s="147"/>
      <c r="AF78" s="147"/>
      <c r="AG78" s="147"/>
      <c r="AH78" s="147"/>
      <c r="AI78" s="147"/>
      <c r="AJ78" s="147"/>
      <c r="AK78" s="147"/>
      <c r="AL78" s="147"/>
      <c r="AM78" s="151"/>
      <c r="AN78" s="148" t="str">
        <f ca="1">IFERROR(__xludf.DUMMYFUNCTION("""COMPUTED_VALUE"""),"247102")</f>
        <v>247102</v>
      </c>
      <c r="AO78" s="147" t="str">
        <f t="shared" ca="1" si="8"/>
        <v>GSD</v>
      </c>
      <c r="AP78" s="147" t="e">
        <f t="shared" ca="1" si="9"/>
        <v>#NAME?</v>
      </c>
      <c r="AQ78" s="147" t="str">
        <f t="shared" ca="1" si="10"/>
        <v>POC</v>
      </c>
      <c r="AR78" s="147"/>
      <c r="AS78" s="147"/>
      <c r="AT78" s="147"/>
      <c r="AU78" s="147"/>
      <c r="AV78" s="147"/>
      <c r="AW78" s="147"/>
      <c r="AX78" s="147"/>
      <c r="AY78" s="147"/>
      <c r="AZ78" s="147"/>
      <c r="BA78" s="147"/>
      <c r="BB78" s="147"/>
      <c r="BC78" s="147"/>
      <c r="BD78" s="147"/>
      <c r="BE78" s="147"/>
      <c r="BF78" s="147"/>
      <c r="BG78" s="147"/>
      <c r="BH78" s="147"/>
      <c r="BI78" s="147"/>
      <c r="BJ78" s="147"/>
      <c r="BK78" s="147"/>
      <c r="BL78" s="147"/>
      <c r="BM78" s="147"/>
      <c r="BN78" s="147"/>
      <c r="BO78" s="147"/>
      <c r="BP78" s="147"/>
      <c r="BQ78" s="147"/>
      <c r="BR78" s="147"/>
      <c r="BS78" s="147"/>
      <c r="BT78" s="147"/>
      <c r="BU78" s="147"/>
      <c r="BV78" s="147"/>
      <c r="BW78" s="147"/>
      <c r="BX78" s="147"/>
      <c r="BY78" s="147"/>
      <c r="BZ78" s="147"/>
      <c r="CA78" s="147"/>
      <c r="CB78" s="147"/>
      <c r="CC78" s="147"/>
      <c r="CD78" s="147"/>
      <c r="CE78" s="147"/>
      <c r="CF78" s="147"/>
      <c r="CG78" s="147"/>
      <c r="CH78" s="147"/>
      <c r="CI78" s="147"/>
      <c r="CJ78" s="147"/>
      <c r="CK78" s="147"/>
    </row>
    <row r="79" spans="1:89">
      <c r="A79" s="159" t="s">
        <v>263</v>
      </c>
      <c r="B79" s="3" t="s">
        <v>264</v>
      </c>
      <c r="C79" s="160" t="s">
        <v>58</v>
      </c>
      <c r="D79" s="160" t="s">
        <v>852</v>
      </c>
      <c r="E79" s="3" t="s">
        <v>21</v>
      </c>
      <c r="F79" s="3" t="s">
        <v>926</v>
      </c>
      <c r="G79" s="3" t="s">
        <v>917</v>
      </c>
      <c r="H79" s="156" t="str">
        <f ca="1">IFERROR(
  _xludf.MINIFS(ATTENDANCE_LOG!$F:$F,
         ATTENDANCE_LOG!$A:$A, C79,
         ATTENDANCE_LOG!$B:$B, E79),
"")</f>
        <v/>
      </c>
      <c r="I79" s="156" t="str">
        <f t="shared" ca="1" si="0"/>
        <v/>
      </c>
      <c r="J79" s="3">
        <f>IFERROR(VLOOKUP(F79, LEVEL_HELPER!$A:$B, 2, 0), "")</f>
        <v>1</v>
      </c>
      <c r="K79" s="3">
        <f>IFERROR(VLOOKUP(G79, LEVEL_HELPER!$A:$B, 2, 0), "")</f>
        <v>3</v>
      </c>
      <c r="L79" s="157" t="s">
        <v>918</v>
      </c>
      <c r="M79" s="157" t="s">
        <v>925</v>
      </c>
      <c r="N79" s="3" t="str">
        <f t="array" aca="1" ref="N79" ca="1">IFERROR(
  INDEX($J$2:$J$543,
    MATCH(A79&amp;TEXT(I79,"yyyy-mm-dd"),
          $A$2:$A$543&amp;TEXT($H$2:$H$543,"yyyy-mm-dd"),
          0)),
"")</f>
        <v/>
      </c>
      <c r="O79" s="147" t="str">
        <f t="shared" ca="1" si="1"/>
        <v/>
      </c>
      <c r="P79" s="147">
        <f t="shared" ref="P79:Q79" ca="1" si="88">IF(N79="",0,IF(N79&lt;=2,1,IF(N79&lt;=4,2,IF(N79&lt;=5.5,3,4))))</f>
        <v>0</v>
      </c>
      <c r="Q79" s="147">
        <f t="shared" ca="1" si="88"/>
        <v>0</v>
      </c>
      <c r="R79" s="147" t="str">
        <f t="shared" ca="1" si="3"/>
        <v>No Data</v>
      </c>
      <c r="S79" s="147">
        <f t="shared" si="4"/>
        <v>0</v>
      </c>
      <c r="T79" s="147"/>
      <c r="U79" s="147"/>
      <c r="V79" s="148" t="e">
        <f ca="1"/>
        <v>#NAME?</v>
      </c>
      <c r="W79" s="147" t="e">
        <f t="shared" ca="1" si="5"/>
        <v>#NAME?</v>
      </c>
      <c r="X79" s="147" t="e">
        <f t="shared" ca="1" si="6"/>
        <v>#NAME?</v>
      </c>
      <c r="Y79" s="147" t="e">
        <f t="shared" ca="1" si="7"/>
        <v>#NAME?</v>
      </c>
      <c r="Z79" s="147"/>
      <c r="AA79" s="147"/>
      <c r="AB79" s="147"/>
      <c r="AC79" s="147"/>
      <c r="AD79" s="147"/>
      <c r="AE79" s="147"/>
      <c r="AF79" s="147"/>
      <c r="AG79" s="147"/>
      <c r="AH79" s="147"/>
      <c r="AI79" s="147"/>
      <c r="AJ79" s="147"/>
      <c r="AK79" s="147"/>
      <c r="AL79" s="147"/>
      <c r="AM79" s="151"/>
      <c r="AN79" s="148" t="str">
        <f ca="1">IFERROR(__xludf.DUMMYFUNCTION("""COMPUTED_VALUE"""),"247234")</f>
        <v>247234</v>
      </c>
      <c r="AO79" s="147" t="str">
        <f t="shared" ca="1" si="8"/>
        <v>QC</v>
      </c>
      <c r="AP79" s="147" t="e">
        <f t="shared" ca="1" si="9"/>
        <v>#NAME?</v>
      </c>
      <c r="AQ79" s="147" t="str">
        <f t="shared" ca="1" si="10"/>
        <v>LBU</v>
      </c>
      <c r="AR79" s="147"/>
      <c r="AS79" s="147"/>
      <c r="AT79" s="147"/>
      <c r="AU79" s="147"/>
      <c r="AV79" s="147"/>
      <c r="AW79" s="147"/>
      <c r="AX79" s="147"/>
      <c r="AY79" s="147"/>
      <c r="AZ79" s="147"/>
      <c r="BA79" s="147"/>
      <c r="BB79" s="147"/>
      <c r="BC79" s="147"/>
      <c r="BD79" s="147"/>
      <c r="BE79" s="147"/>
      <c r="BF79" s="147"/>
      <c r="BG79" s="147"/>
      <c r="BH79" s="147"/>
      <c r="BI79" s="147"/>
      <c r="BJ79" s="147"/>
      <c r="BK79" s="147"/>
      <c r="BL79" s="147"/>
      <c r="BM79" s="147"/>
      <c r="BN79" s="147"/>
      <c r="BO79" s="147"/>
      <c r="BP79" s="147"/>
      <c r="BQ79" s="147"/>
      <c r="BR79" s="147"/>
      <c r="BS79" s="147"/>
      <c r="BT79" s="147"/>
      <c r="BU79" s="147"/>
      <c r="BV79" s="147"/>
      <c r="BW79" s="147"/>
      <c r="BX79" s="147"/>
      <c r="BY79" s="147"/>
      <c r="BZ79" s="147"/>
      <c r="CA79" s="147"/>
      <c r="CB79" s="147"/>
      <c r="CC79" s="147"/>
      <c r="CD79" s="147"/>
      <c r="CE79" s="147"/>
      <c r="CF79" s="147"/>
      <c r="CG79" s="147"/>
      <c r="CH79" s="147"/>
      <c r="CI79" s="147"/>
      <c r="CJ79" s="147"/>
      <c r="CK79" s="147"/>
    </row>
    <row r="80" spans="1:89">
      <c r="A80" s="159" t="s">
        <v>528</v>
      </c>
      <c r="B80" s="3" t="s">
        <v>529</v>
      </c>
      <c r="C80" s="160" t="s">
        <v>58</v>
      </c>
      <c r="D80" s="160" t="s">
        <v>852</v>
      </c>
      <c r="E80" s="3" t="s">
        <v>21</v>
      </c>
      <c r="F80" s="3" t="s">
        <v>926</v>
      </c>
      <c r="G80" s="3" t="s">
        <v>928</v>
      </c>
      <c r="H80" s="156" t="str">
        <f ca="1">IFERROR(
  _xludf.MINIFS(ATTENDANCE_LOG!$F:$F,
         ATTENDANCE_LOG!$A:$A, C80,
         ATTENDANCE_LOG!$B:$B, E80),
"")</f>
        <v/>
      </c>
      <c r="I80" s="156" t="str">
        <f t="shared" ca="1" si="0"/>
        <v/>
      </c>
      <c r="J80" s="3">
        <f>IFERROR(VLOOKUP(F80, LEVEL_HELPER!$A:$B, 2, 0), "")</f>
        <v>1</v>
      </c>
      <c r="K80" s="3">
        <f>IFERROR(VLOOKUP(G80, LEVEL_HELPER!$A:$B, 2, 0), "")</f>
        <v>1.5</v>
      </c>
      <c r="L80" s="157" t="s">
        <v>942</v>
      </c>
      <c r="M80" s="157" t="s">
        <v>925</v>
      </c>
      <c r="N80" s="3" t="str">
        <f t="array" aca="1" ref="N80" ca="1">IFERROR(
  INDEX($J$2:$J$543,
    MATCH(A80&amp;TEXT(I80,"yyyy-mm-dd"),
          $A$2:$A$543&amp;TEXT($H$2:$H$543,"yyyy-mm-dd"),
          0)),
"")</f>
        <v/>
      </c>
      <c r="O80" s="147" t="str">
        <f t="shared" ca="1" si="1"/>
        <v/>
      </c>
      <c r="P80" s="147">
        <f t="shared" ref="P80:Q80" ca="1" si="89">IF(N80="",0,IF(N80&lt;=2,1,IF(N80&lt;=4,2,IF(N80&lt;=5.5,3,4))))</f>
        <v>0</v>
      </c>
      <c r="Q80" s="147">
        <f t="shared" ca="1" si="89"/>
        <v>0</v>
      </c>
      <c r="R80" s="147" t="str">
        <f t="shared" ca="1" si="3"/>
        <v>No Data</v>
      </c>
      <c r="S80" s="147">
        <f t="shared" si="4"/>
        <v>0</v>
      </c>
      <c r="T80" s="147"/>
      <c r="U80" s="147"/>
      <c r="V80" s="148" t="e">
        <f ca="1"/>
        <v>#NAME?</v>
      </c>
      <c r="W80" s="147" t="e">
        <f t="shared" ca="1" si="5"/>
        <v>#NAME?</v>
      </c>
      <c r="X80" s="147" t="e">
        <f t="shared" ca="1" si="6"/>
        <v>#NAME?</v>
      </c>
      <c r="Y80" s="147" t="e">
        <f t="shared" ca="1" si="7"/>
        <v>#NAME?</v>
      </c>
      <c r="Z80" s="147"/>
      <c r="AA80" s="147"/>
      <c r="AB80" s="147"/>
      <c r="AC80" s="147"/>
      <c r="AD80" s="147"/>
      <c r="AE80" s="147"/>
      <c r="AF80" s="147"/>
      <c r="AG80" s="147"/>
      <c r="AH80" s="147"/>
      <c r="AI80" s="147"/>
      <c r="AJ80" s="147"/>
      <c r="AK80" s="147"/>
      <c r="AL80" s="147"/>
      <c r="AM80" s="151"/>
      <c r="AN80" s="148" t="str">
        <f ca="1">IFERROR(__xludf.DUMMYFUNCTION("""COMPUTED_VALUE"""),"193530")</f>
        <v>193530</v>
      </c>
      <c r="AO80" s="147" t="str">
        <f t="shared" ca="1" si="8"/>
        <v>DEV</v>
      </c>
      <c r="AP80" s="147" t="e">
        <f t="shared" ca="1" si="9"/>
        <v>#NAME?</v>
      </c>
      <c r="AQ80" s="147" t="str">
        <f t="shared" ca="1" si="10"/>
        <v>ONC</v>
      </c>
      <c r="AR80" s="147"/>
      <c r="AS80" s="147"/>
      <c r="AT80" s="147"/>
      <c r="AU80" s="147"/>
      <c r="AV80" s="147"/>
      <c r="AW80" s="147"/>
      <c r="AX80" s="147"/>
      <c r="AY80" s="147"/>
      <c r="AZ80" s="147"/>
      <c r="BA80" s="147"/>
      <c r="BB80" s="147"/>
      <c r="BC80" s="147"/>
      <c r="BD80" s="147"/>
      <c r="BE80" s="147"/>
      <c r="BF80" s="147"/>
      <c r="BG80" s="147"/>
      <c r="BH80" s="147"/>
      <c r="BI80" s="147"/>
      <c r="BJ80" s="147"/>
      <c r="BK80" s="147"/>
      <c r="BL80" s="147"/>
      <c r="BM80" s="147"/>
      <c r="BN80" s="147"/>
      <c r="BO80" s="147"/>
      <c r="BP80" s="147"/>
      <c r="BQ80" s="147"/>
      <c r="BR80" s="147"/>
      <c r="BS80" s="147"/>
      <c r="BT80" s="147"/>
      <c r="BU80" s="147"/>
      <c r="BV80" s="147"/>
      <c r="BW80" s="147"/>
      <c r="BX80" s="147"/>
      <c r="BY80" s="147"/>
      <c r="BZ80" s="147"/>
      <c r="CA80" s="147"/>
      <c r="CB80" s="147"/>
      <c r="CC80" s="147"/>
      <c r="CD80" s="147"/>
      <c r="CE80" s="147"/>
      <c r="CF80" s="147"/>
      <c r="CG80" s="147"/>
      <c r="CH80" s="147"/>
      <c r="CI80" s="147"/>
      <c r="CJ80" s="147"/>
      <c r="CK80" s="147"/>
    </row>
    <row r="81" spans="1:89">
      <c r="A81" s="159" t="s">
        <v>665</v>
      </c>
      <c r="B81" s="3" t="s">
        <v>666</v>
      </c>
      <c r="C81" s="160" t="s">
        <v>58</v>
      </c>
      <c r="D81" s="160" t="s">
        <v>852</v>
      </c>
      <c r="E81" s="3" t="s">
        <v>21</v>
      </c>
      <c r="F81" s="3" t="s">
        <v>926</v>
      </c>
      <c r="G81" s="3" t="s">
        <v>934</v>
      </c>
      <c r="H81" s="156" t="str">
        <f ca="1">IFERROR(
  _xludf.MINIFS(ATTENDANCE_LOG!$F:$F,
         ATTENDANCE_LOG!$A:$A, C81,
         ATTENDANCE_LOG!$B:$B, E81),
"")</f>
        <v/>
      </c>
      <c r="I81" s="156" t="str">
        <f t="shared" ca="1" si="0"/>
        <v/>
      </c>
      <c r="J81" s="3">
        <f>IFERROR(VLOOKUP(F81, LEVEL_HELPER!$A:$B, 2, 0), "")</f>
        <v>1</v>
      </c>
      <c r="K81" s="3">
        <f>IFERROR(VLOOKUP(G81, LEVEL_HELPER!$A:$B, 2, 0), "")</f>
        <v>3.5</v>
      </c>
      <c r="L81" s="157" t="s">
        <v>942</v>
      </c>
      <c r="M81" s="157" t="s">
        <v>925</v>
      </c>
      <c r="N81" s="3" t="str">
        <f t="array" aca="1" ref="N81" ca="1">IFERROR(
  INDEX($J$2:$J$543,
    MATCH(A81&amp;TEXT(I81,"yyyy-mm-dd"),
          $A$2:$A$543&amp;TEXT($H$2:$H$543,"yyyy-mm-dd"),
          0)),
"")</f>
        <v/>
      </c>
      <c r="O81" s="147" t="str">
        <f t="shared" ca="1" si="1"/>
        <v/>
      </c>
      <c r="P81" s="147">
        <f t="shared" ref="P81:Q81" ca="1" si="90">IF(N81="",0,IF(N81&lt;=2,1,IF(N81&lt;=4,2,IF(N81&lt;=5.5,3,4))))</f>
        <v>0</v>
      </c>
      <c r="Q81" s="147">
        <f t="shared" ca="1" si="90"/>
        <v>0</v>
      </c>
      <c r="R81" s="147" t="str">
        <f t="shared" ca="1" si="3"/>
        <v>No Data</v>
      </c>
      <c r="S81" s="147">
        <f t="shared" si="4"/>
        <v>0</v>
      </c>
      <c r="T81" s="147"/>
      <c r="U81" s="147"/>
      <c r="V81" s="148" t="e">
        <f ca="1"/>
        <v>#NAME?</v>
      </c>
      <c r="W81" s="147" t="e">
        <f t="shared" ca="1" si="5"/>
        <v>#NAME?</v>
      </c>
      <c r="X81" s="147" t="e">
        <f t="shared" ca="1" si="6"/>
        <v>#NAME?</v>
      </c>
      <c r="Y81" s="147" t="e">
        <f t="shared" ca="1" si="7"/>
        <v>#NAME?</v>
      </c>
      <c r="Z81" s="147"/>
      <c r="AA81" s="147"/>
      <c r="AB81" s="147"/>
      <c r="AC81" s="147"/>
      <c r="AD81" s="147"/>
      <c r="AE81" s="147"/>
      <c r="AF81" s="147"/>
      <c r="AG81" s="147"/>
      <c r="AH81" s="147"/>
      <c r="AI81" s="147"/>
      <c r="AJ81" s="147"/>
      <c r="AK81" s="147"/>
      <c r="AL81" s="147"/>
      <c r="AM81" s="151"/>
      <c r="AN81" s="148" t="str">
        <f ca="1">IFERROR(__xludf.DUMMYFUNCTION("""COMPUTED_VALUE"""),"203764")</f>
        <v>203764</v>
      </c>
      <c r="AO81" s="147" t="str">
        <f t="shared" ca="1" si="8"/>
        <v>DEV</v>
      </c>
      <c r="AP81" s="147" t="e">
        <f t="shared" ca="1" si="9"/>
        <v>#NAME?</v>
      </c>
      <c r="AQ81" s="147" t="str">
        <f t="shared" ca="1" si="10"/>
        <v>MOC</v>
      </c>
      <c r="AR81" s="147"/>
      <c r="AS81" s="147"/>
      <c r="AT81" s="147"/>
      <c r="AU81" s="147"/>
      <c r="AV81" s="147"/>
      <c r="AW81" s="147"/>
      <c r="AX81" s="147"/>
      <c r="AY81" s="147"/>
      <c r="AZ81" s="147"/>
      <c r="BA81" s="147"/>
      <c r="BB81" s="147"/>
      <c r="BC81" s="147"/>
      <c r="BD81" s="147"/>
      <c r="BE81" s="147"/>
      <c r="BF81" s="147"/>
      <c r="BG81" s="147"/>
      <c r="BH81" s="147"/>
      <c r="BI81" s="147"/>
      <c r="BJ81" s="147"/>
      <c r="BK81" s="147"/>
      <c r="BL81" s="147"/>
      <c r="BM81" s="147"/>
      <c r="BN81" s="147"/>
      <c r="BO81" s="147"/>
      <c r="BP81" s="147"/>
      <c r="BQ81" s="147"/>
      <c r="BR81" s="147"/>
      <c r="BS81" s="147"/>
      <c r="BT81" s="147"/>
      <c r="BU81" s="147"/>
      <c r="BV81" s="147"/>
      <c r="BW81" s="147"/>
      <c r="BX81" s="147"/>
      <c r="BY81" s="147"/>
      <c r="BZ81" s="147"/>
      <c r="CA81" s="147"/>
      <c r="CB81" s="147"/>
      <c r="CC81" s="147"/>
      <c r="CD81" s="147"/>
      <c r="CE81" s="147"/>
      <c r="CF81" s="147"/>
      <c r="CG81" s="147"/>
      <c r="CH81" s="147"/>
      <c r="CI81" s="147"/>
      <c r="CJ81" s="147"/>
      <c r="CK81" s="147"/>
    </row>
    <row r="82" spans="1:89">
      <c r="A82" s="153" t="s">
        <v>603</v>
      </c>
      <c r="B82" s="154" t="s">
        <v>604</v>
      </c>
      <c r="C82" s="155" t="s">
        <v>58</v>
      </c>
      <c r="D82" s="155" t="s">
        <v>852</v>
      </c>
      <c r="E82" s="154" t="s">
        <v>22</v>
      </c>
      <c r="F82" s="3" t="s">
        <v>917</v>
      </c>
      <c r="G82" s="3" t="s">
        <v>940</v>
      </c>
      <c r="H82" s="156" t="str">
        <f ca="1">IFERROR(
  _xludf.MINIFS(ATTENDANCE_LOG!$F:$F,
         ATTENDANCE_LOG!$A:$A, C82,
         ATTENDANCE_LOG!$B:$B, E82),
"")</f>
        <v/>
      </c>
      <c r="I82" s="156" t="str">
        <f t="shared" ca="1" si="0"/>
        <v/>
      </c>
      <c r="J82" s="3">
        <f>IFERROR(VLOOKUP(F82, LEVEL_HELPER!$A:$B, 2, 0), "")</f>
        <v>3</v>
      </c>
      <c r="K82" s="3">
        <f>IFERROR(VLOOKUP(G82, LEVEL_HELPER!$A:$B, 2, 0), "")</f>
        <v>5</v>
      </c>
      <c r="L82" s="157" t="s">
        <v>942</v>
      </c>
      <c r="M82" s="157" t="s">
        <v>925</v>
      </c>
      <c r="N82" s="3" t="str">
        <f t="array" aca="1" ref="N82" ca="1">IFERROR(
  INDEX($J$2:$J$543,
    MATCH(A82&amp;TEXT(I82,"yyyy-mm-dd"),
          $A$2:$A$543&amp;TEXT($H$2:$H$543,"yyyy-mm-dd"),
          0)),
"")</f>
        <v/>
      </c>
      <c r="O82" s="147" t="str">
        <f t="shared" ca="1" si="1"/>
        <v/>
      </c>
      <c r="P82" s="147">
        <f t="shared" ref="P82:Q82" ca="1" si="91">IF(N82="",0,IF(N82&lt;=2,1,IF(N82&lt;=4,2,IF(N82&lt;=5.5,3,4))))</f>
        <v>0</v>
      </c>
      <c r="Q82" s="147">
        <f t="shared" ca="1" si="91"/>
        <v>0</v>
      </c>
      <c r="R82" s="147" t="str">
        <f t="shared" ca="1" si="3"/>
        <v>No Data</v>
      </c>
      <c r="S82" s="147">
        <f t="shared" si="4"/>
        <v>0</v>
      </c>
      <c r="T82" s="147"/>
      <c r="U82" s="147"/>
      <c r="V82" s="148" t="e">
        <f ca="1"/>
        <v>#NAME?</v>
      </c>
      <c r="W82" s="147" t="e">
        <f t="shared" ca="1" si="5"/>
        <v>#NAME?</v>
      </c>
      <c r="X82" s="147" t="e">
        <f t="shared" ca="1" si="6"/>
        <v>#NAME?</v>
      </c>
      <c r="Y82" s="147" t="e">
        <f t="shared" ca="1" si="7"/>
        <v>#NAME?</v>
      </c>
      <c r="Z82" s="147"/>
      <c r="AA82" s="147"/>
      <c r="AB82" s="147"/>
      <c r="AC82" s="147"/>
      <c r="AD82" s="147"/>
      <c r="AE82" s="147"/>
      <c r="AF82" s="147"/>
      <c r="AG82" s="147"/>
      <c r="AH82" s="147"/>
      <c r="AI82" s="147"/>
      <c r="AJ82" s="147"/>
      <c r="AK82" s="147"/>
      <c r="AL82" s="147"/>
      <c r="AM82" s="151"/>
      <c r="AN82" s="148" t="str">
        <f ca="1">IFERROR(__xludf.DUMMYFUNCTION("""COMPUTED_VALUE"""),"237147")</f>
        <v>237147</v>
      </c>
      <c r="AO82" s="147" t="str">
        <f t="shared" ca="1" si="8"/>
        <v>GSD</v>
      </c>
      <c r="AP82" s="147" t="e">
        <f t="shared" ca="1" si="9"/>
        <v>#NAME?</v>
      </c>
      <c r="AQ82" s="147" t="str">
        <f t="shared" ca="1" si="10"/>
        <v>MOC</v>
      </c>
      <c r="AR82" s="147"/>
      <c r="AS82" s="147"/>
      <c r="AT82" s="147"/>
      <c r="AU82" s="147"/>
      <c r="AV82" s="147"/>
      <c r="AW82" s="147"/>
      <c r="AX82" s="147"/>
      <c r="AY82" s="147"/>
      <c r="AZ82" s="147"/>
      <c r="BA82" s="147"/>
      <c r="BB82" s="147"/>
      <c r="BC82" s="147"/>
      <c r="BD82" s="147"/>
      <c r="BE82" s="147"/>
      <c r="BF82" s="147"/>
      <c r="BG82" s="147"/>
      <c r="BH82" s="147"/>
      <c r="BI82" s="147"/>
      <c r="BJ82" s="147"/>
      <c r="BK82" s="147"/>
      <c r="BL82" s="147"/>
      <c r="BM82" s="147"/>
      <c r="BN82" s="147"/>
      <c r="BO82" s="147"/>
      <c r="BP82" s="147"/>
      <c r="BQ82" s="147"/>
      <c r="BR82" s="147"/>
      <c r="BS82" s="147"/>
      <c r="BT82" s="147"/>
      <c r="BU82" s="147"/>
      <c r="BV82" s="147"/>
      <c r="BW82" s="147"/>
      <c r="BX82" s="147"/>
      <c r="BY82" s="147"/>
      <c r="BZ82" s="147"/>
      <c r="CA82" s="147"/>
      <c r="CB82" s="147"/>
      <c r="CC82" s="147"/>
      <c r="CD82" s="147"/>
      <c r="CE82" s="147"/>
      <c r="CF82" s="147"/>
      <c r="CG82" s="147"/>
      <c r="CH82" s="147"/>
      <c r="CI82" s="147"/>
      <c r="CJ82" s="147"/>
      <c r="CK82" s="147"/>
    </row>
    <row r="83" spans="1:89">
      <c r="A83" s="159" t="s">
        <v>239</v>
      </c>
      <c r="B83" s="3" t="s">
        <v>240</v>
      </c>
      <c r="C83" s="160" t="s">
        <v>58</v>
      </c>
      <c r="D83" s="160" t="s">
        <v>852</v>
      </c>
      <c r="E83" s="3" t="s">
        <v>22</v>
      </c>
      <c r="F83" s="3" t="s">
        <v>928</v>
      </c>
      <c r="G83" s="3" t="s">
        <v>940</v>
      </c>
      <c r="H83" s="156" t="str">
        <f ca="1">IFERROR(
  _xludf.MINIFS(ATTENDANCE_LOG!$F:$F,
         ATTENDANCE_LOG!$A:$A, C83,
         ATTENDANCE_LOG!$B:$B, E83),
"")</f>
        <v/>
      </c>
      <c r="I83" s="156" t="str">
        <f t="shared" ca="1" si="0"/>
        <v/>
      </c>
      <c r="J83" s="3">
        <f>IFERROR(VLOOKUP(F83, LEVEL_HELPER!$A:$B, 2, 0), "")</f>
        <v>1.5</v>
      </c>
      <c r="K83" s="3">
        <f>IFERROR(VLOOKUP(G83, LEVEL_HELPER!$A:$B, 2, 0), "")</f>
        <v>5</v>
      </c>
      <c r="L83" s="157" t="s">
        <v>942</v>
      </c>
      <c r="M83" s="157" t="s">
        <v>925</v>
      </c>
      <c r="N83" s="3" t="str">
        <f t="array" aca="1" ref="N83" ca="1">IFERROR(
  INDEX($J$2:$J$543,
    MATCH(A83&amp;TEXT(I83,"yyyy-mm-dd"),
          $A$2:$A$543&amp;TEXT($H$2:$H$543,"yyyy-mm-dd"),
          0)),
"")</f>
        <v/>
      </c>
      <c r="O83" s="147" t="str">
        <f t="shared" ca="1" si="1"/>
        <v/>
      </c>
      <c r="P83" s="147">
        <f t="shared" ref="P83:Q83" ca="1" si="92">IF(N83="",0,IF(N83&lt;=2,1,IF(N83&lt;=4,2,IF(N83&lt;=5.5,3,4))))</f>
        <v>0</v>
      </c>
      <c r="Q83" s="147">
        <f t="shared" ca="1" si="92"/>
        <v>0</v>
      </c>
      <c r="R83" s="147" t="str">
        <f t="shared" ca="1" si="3"/>
        <v>No Data</v>
      </c>
      <c r="S83" s="147">
        <f t="shared" si="4"/>
        <v>0</v>
      </c>
      <c r="T83" s="147"/>
      <c r="U83" s="147"/>
      <c r="V83" s="148" t="e">
        <f ca="1"/>
        <v>#NAME?</v>
      </c>
      <c r="W83" s="147" t="e">
        <f t="shared" ca="1" si="5"/>
        <v>#NAME?</v>
      </c>
      <c r="X83" s="147" t="e">
        <f t="shared" ca="1" si="6"/>
        <v>#NAME?</v>
      </c>
      <c r="Y83" s="147" t="e">
        <f t="shared" ca="1" si="7"/>
        <v>#NAME?</v>
      </c>
      <c r="Z83" s="147"/>
      <c r="AA83" s="147"/>
      <c r="AB83" s="147"/>
      <c r="AC83" s="147"/>
      <c r="AD83" s="147"/>
      <c r="AE83" s="147"/>
      <c r="AF83" s="147"/>
      <c r="AG83" s="147"/>
      <c r="AH83" s="147"/>
      <c r="AI83" s="147"/>
      <c r="AJ83" s="147"/>
      <c r="AK83" s="147"/>
      <c r="AL83" s="147"/>
      <c r="AM83" s="151"/>
      <c r="AN83" s="148" t="str">
        <f ca="1">IFERROR(__xludf.DUMMYFUNCTION("""COMPUTED_VALUE"""),"257132")</f>
        <v>257132</v>
      </c>
      <c r="AO83" s="147" t="str">
        <f t="shared" ca="1" si="8"/>
        <v>QC</v>
      </c>
      <c r="AP83" s="147" t="e">
        <f t="shared" ca="1" si="9"/>
        <v>#NAME?</v>
      </c>
      <c r="AQ83" s="147" t="str">
        <f t="shared" ca="1" si="10"/>
        <v>ONC</v>
      </c>
      <c r="AR83" s="147"/>
      <c r="AS83" s="147"/>
      <c r="AT83" s="147"/>
      <c r="AU83" s="147"/>
      <c r="AV83" s="147"/>
      <c r="AW83" s="147"/>
      <c r="AX83" s="147"/>
      <c r="AY83" s="147"/>
      <c r="AZ83" s="147"/>
      <c r="BA83" s="147"/>
      <c r="BB83" s="147"/>
      <c r="BC83" s="147"/>
      <c r="BD83" s="147"/>
      <c r="BE83" s="147"/>
      <c r="BF83" s="147"/>
      <c r="BG83" s="147"/>
      <c r="BH83" s="147"/>
      <c r="BI83" s="147"/>
      <c r="BJ83" s="147"/>
      <c r="BK83" s="147"/>
      <c r="BL83" s="147"/>
      <c r="BM83" s="147"/>
      <c r="BN83" s="147"/>
      <c r="BO83" s="147"/>
      <c r="BP83" s="147"/>
      <c r="BQ83" s="147"/>
      <c r="BR83" s="147"/>
      <c r="BS83" s="147"/>
      <c r="BT83" s="147"/>
      <c r="BU83" s="147"/>
      <c r="BV83" s="147"/>
      <c r="BW83" s="147"/>
      <c r="BX83" s="147"/>
      <c r="BY83" s="147"/>
      <c r="BZ83" s="147"/>
      <c r="CA83" s="147"/>
      <c r="CB83" s="147"/>
      <c r="CC83" s="147"/>
      <c r="CD83" s="147"/>
      <c r="CE83" s="147"/>
      <c r="CF83" s="147"/>
      <c r="CG83" s="147"/>
      <c r="CH83" s="147"/>
      <c r="CI83" s="147"/>
      <c r="CJ83" s="147"/>
      <c r="CK83" s="147"/>
    </row>
    <row r="84" spans="1:89">
      <c r="A84" s="159" t="s">
        <v>263</v>
      </c>
      <c r="B84" s="3" t="s">
        <v>264</v>
      </c>
      <c r="C84" s="160" t="s">
        <v>58</v>
      </c>
      <c r="D84" s="160" t="s">
        <v>852</v>
      </c>
      <c r="E84" s="3" t="s">
        <v>22</v>
      </c>
      <c r="F84" s="3" t="s">
        <v>917</v>
      </c>
      <c r="G84" s="3" t="s">
        <v>931</v>
      </c>
      <c r="H84" s="156" t="str">
        <f ca="1">IFERROR(
  _xludf.MINIFS(ATTENDANCE_LOG!$F:$F,
         ATTENDANCE_LOG!$A:$A, C84,
         ATTENDANCE_LOG!$B:$B, E84),
"")</f>
        <v/>
      </c>
      <c r="I84" s="156" t="str">
        <f t="shared" ca="1" si="0"/>
        <v/>
      </c>
      <c r="J84" s="3">
        <f>IFERROR(VLOOKUP(F84, LEVEL_HELPER!$A:$B, 2, 0), "")</f>
        <v>3</v>
      </c>
      <c r="K84" s="3">
        <f>IFERROR(VLOOKUP(G84, LEVEL_HELPER!$A:$B, 2, 0), "")</f>
        <v>4.5</v>
      </c>
      <c r="L84" s="157" t="s">
        <v>918</v>
      </c>
      <c r="M84" s="157" t="s">
        <v>925</v>
      </c>
      <c r="N84" s="3" t="str">
        <f t="array" aca="1" ref="N84" ca="1">IFERROR(
  INDEX($J$2:$J$543,
    MATCH(A84&amp;TEXT(I84,"yyyy-mm-dd"),
          $A$2:$A$543&amp;TEXT($H$2:$H$543,"yyyy-mm-dd"),
          0)),
"")</f>
        <v/>
      </c>
      <c r="O84" s="147" t="str">
        <f t="shared" ca="1" si="1"/>
        <v/>
      </c>
      <c r="P84" s="147">
        <f t="shared" ref="P84:Q84" ca="1" si="93">IF(N84="",0,IF(N84&lt;=2,1,IF(N84&lt;=4,2,IF(N84&lt;=5.5,3,4))))</f>
        <v>0</v>
      </c>
      <c r="Q84" s="147">
        <f t="shared" ca="1" si="93"/>
        <v>0</v>
      </c>
      <c r="R84" s="147" t="str">
        <f t="shared" ca="1" si="3"/>
        <v>No Data</v>
      </c>
      <c r="S84" s="147">
        <f t="shared" si="4"/>
        <v>0</v>
      </c>
      <c r="T84" s="147"/>
      <c r="U84" s="147"/>
      <c r="V84" s="148" t="e">
        <f ca="1"/>
        <v>#NAME?</v>
      </c>
      <c r="W84" s="147" t="e">
        <f t="shared" ca="1" si="5"/>
        <v>#NAME?</v>
      </c>
      <c r="X84" s="147" t="e">
        <f t="shared" ca="1" si="6"/>
        <v>#NAME?</v>
      </c>
      <c r="Y84" s="147" t="e">
        <f t="shared" ca="1" si="7"/>
        <v>#NAME?</v>
      </c>
      <c r="Z84" s="147"/>
      <c r="AA84" s="147"/>
      <c r="AB84" s="147"/>
      <c r="AC84" s="147"/>
      <c r="AD84" s="147"/>
      <c r="AE84" s="147"/>
      <c r="AF84" s="147"/>
      <c r="AG84" s="147"/>
      <c r="AH84" s="147"/>
      <c r="AI84" s="147"/>
      <c r="AJ84" s="147"/>
      <c r="AK84" s="147"/>
      <c r="AL84" s="147"/>
      <c r="AM84" s="151"/>
      <c r="AN84" s="148" t="str">
        <f ca="1">IFERROR(__xludf.DUMMYFUNCTION("""COMPUTED_VALUE"""),"237050")</f>
        <v>237050</v>
      </c>
      <c r="AO84" s="147" t="str">
        <f t="shared" ca="1" si="8"/>
        <v>QC</v>
      </c>
      <c r="AP84" s="147" t="e">
        <f t="shared" ca="1" si="9"/>
        <v>#NAME?</v>
      </c>
      <c r="AQ84" s="147" t="str">
        <f t="shared" ca="1" si="10"/>
        <v>POC</v>
      </c>
      <c r="AR84" s="147"/>
      <c r="AS84" s="147"/>
      <c r="AT84" s="147"/>
      <c r="AU84" s="147"/>
      <c r="AV84" s="147"/>
      <c r="AW84" s="147"/>
      <c r="AX84" s="147"/>
      <c r="AY84" s="147"/>
      <c r="AZ84" s="147"/>
      <c r="BA84" s="147"/>
      <c r="BB84" s="147"/>
      <c r="BC84" s="147"/>
      <c r="BD84" s="147"/>
      <c r="BE84" s="147"/>
      <c r="BF84" s="147"/>
      <c r="BG84" s="147"/>
      <c r="BH84" s="147"/>
      <c r="BI84" s="147"/>
      <c r="BJ84" s="147"/>
      <c r="BK84" s="147"/>
      <c r="BL84" s="147"/>
      <c r="BM84" s="147"/>
      <c r="BN84" s="147"/>
      <c r="BO84" s="147"/>
      <c r="BP84" s="147"/>
      <c r="BQ84" s="147"/>
      <c r="BR84" s="147"/>
      <c r="BS84" s="147"/>
      <c r="BT84" s="147"/>
      <c r="BU84" s="147"/>
      <c r="BV84" s="147"/>
      <c r="BW84" s="147"/>
      <c r="BX84" s="147"/>
      <c r="BY84" s="147"/>
      <c r="BZ84" s="147"/>
      <c r="CA84" s="147"/>
      <c r="CB84" s="147"/>
      <c r="CC84" s="147"/>
      <c r="CD84" s="147"/>
      <c r="CE84" s="147"/>
      <c r="CF84" s="147"/>
      <c r="CG84" s="147"/>
      <c r="CH84" s="147"/>
      <c r="CI84" s="147"/>
      <c r="CJ84" s="147"/>
      <c r="CK84" s="147"/>
    </row>
    <row r="85" spans="1:89">
      <c r="A85" s="159" t="s">
        <v>528</v>
      </c>
      <c r="B85" s="3" t="s">
        <v>529</v>
      </c>
      <c r="C85" s="160" t="s">
        <v>58</v>
      </c>
      <c r="D85" s="160" t="s">
        <v>852</v>
      </c>
      <c r="E85" s="3" t="s">
        <v>22</v>
      </c>
      <c r="F85" s="3" t="s">
        <v>928</v>
      </c>
      <c r="G85" s="3" t="s">
        <v>940</v>
      </c>
      <c r="H85" s="156" t="str">
        <f ca="1">IFERROR(
  _xludf.MINIFS(ATTENDANCE_LOG!$F:$F,
         ATTENDANCE_LOG!$A:$A, C85,
         ATTENDANCE_LOG!$B:$B, E85),
"")</f>
        <v/>
      </c>
      <c r="I85" s="156" t="str">
        <f t="shared" ca="1" si="0"/>
        <v/>
      </c>
      <c r="J85" s="3">
        <f>IFERROR(VLOOKUP(F85, LEVEL_HELPER!$A:$B, 2, 0), "")</f>
        <v>1.5</v>
      </c>
      <c r="K85" s="3">
        <f>IFERROR(VLOOKUP(G85, LEVEL_HELPER!$A:$B, 2, 0), "")</f>
        <v>5</v>
      </c>
      <c r="L85" s="157" t="s">
        <v>942</v>
      </c>
      <c r="M85" s="157" t="s">
        <v>925</v>
      </c>
      <c r="N85" s="3" t="str">
        <f t="array" aca="1" ref="N85" ca="1">IFERROR(
  INDEX($J$2:$J$543,
    MATCH(A85&amp;TEXT(I85,"yyyy-mm-dd"),
          $A$2:$A$543&amp;TEXT($H$2:$H$543,"yyyy-mm-dd"),
          0)),
"")</f>
        <v/>
      </c>
      <c r="O85" s="147" t="str">
        <f t="shared" ca="1" si="1"/>
        <v/>
      </c>
      <c r="P85" s="147">
        <f t="shared" ref="P85:Q85" ca="1" si="94">IF(N85="",0,IF(N85&lt;=2,1,IF(N85&lt;=4,2,IF(N85&lt;=5.5,3,4))))</f>
        <v>0</v>
      </c>
      <c r="Q85" s="147">
        <f t="shared" ca="1" si="94"/>
        <v>0</v>
      </c>
      <c r="R85" s="147" t="str">
        <f t="shared" ca="1" si="3"/>
        <v>No Data</v>
      </c>
      <c r="S85" s="147">
        <f t="shared" si="4"/>
        <v>0</v>
      </c>
      <c r="T85" s="147"/>
      <c r="U85" s="147"/>
      <c r="V85" s="148" t="e">
        <f ca="1"/>
        <v>#NAME?</v>
      </c>
      <c r="W85" s="147" t="e">
        <f t="shared" ca="1" si="5"/>
        <v>#NAME?</v>
      </c>
      <c r="X85" s="147" t="e">
        <f t="shared" ca="1" si="6"/>
        <v>#NAME?</v>
      </c>
      <c r="Y85" s="147" t="e">
        <f t="shared" ca="1" si="7"/>
        <v>#NAME?</v>
      </c>
      <c r="Z85" s="147"/>
      <c r="AA85" s="147"/>
      <c r="AB85" s="147"/>
      <c r="AC85" s="147"/>
      <c r="AD85" s="147"/>
      <c r="AE85" s="147"/>
      <c r="AF85" s="147"/>
      <c r="AG85" s="147"/>
      <c r="AH85" s="147"/>
      <c r="AI85" s="147"/>
      <c r="AJ85" s="147"/>
      <c r="AK85" s="147"/>
      <c r="AL85" s="147"/>
      <c r="AM85" s="151"/>
      <c r="AN85" s="148" t="str">
        <f ca="1">IFERROR(__xludf.DUMMYFUNCTION("""COMPUTED_VALUE"""),"227148")</f>
        <v>227148</v>
      </c>
      <c r="AO85" s="147" t="str">
        <f t="shared" ca="1" si="8"/>
        <v>QC</v>
      </c>
      <c r="AP85" s="147" t="e">
        <f t="shared" ca="1" si="9"/>
        <v>#NAME?</v>
      </c>
      <c r="AQ85" s="147" t="str">
        <f t="shared" ca="1" si="10"/>
        <v>POC</v>
      </c>
      <c r="AR85" s="147"/>
      <c r="AS85" s="147"/>
      <c r="AT85" s="147"/>
      <c r="AU85" s="147"/>
      <c r="AV85" s="147"/>
      <c r="AW85" s="147"/>
      <c r="AX85" s="147"/>
      <c r="AY85" s="147"/>
      <c r="AZ85" s="147"/>
      <c r="BA85" s="147"/>
      <c r="BB85" s="147"/>
      <c r="BC85" s="147"/>
      <c r="BD85" s="147"/>
      <c r="BE85" s="147"/>
      <c r="BF85" s="147"/>
      <c r="BG85" s="147"/>
      <c r="BH85" s="147"/>
      <c r="BI85" s="147"/>
      <c r="BJ85" s="147"/>
      <c r="BK85" s="147"/>
      <c r="BL85" s="147"/>
      <c r="BM85" s="147"/>
      <c r="BN85" s="147"/>
      <c r="BO85" s="147"/>
      <c r="BP85" s="147"/>
      <c r="BQ85" s="147"/>
      <c r="BR85" s="147"/>
      <c r="BS85" s="147"/>
      <c r="BT85" s="147"/>
      <c r="BU85" s="147"/>
      <c r="BV85" s="147"/>
      <c r="BW85" s="147"/>
      <c r="BX85" s="147"/>
      <c r="BY85" s="147"/>
      <c r="BZ85" s="147"/>
      <c r="CA85" s="147"/>
      <c r="CB85" s="147"/>
      <c r="CC85" s="147"/>
      <c r="CD85" s="147"/>
      <c r="CE85" s="147"/>
      <c r="CF85" s="147"/>
      <c r="CG85" s="147"/>
      <c r="CH85" s="147"/>
      <c r="CI85" s="147"/>
      <c r="CJ85" s="147"/>
      <c r="CK85" s="147"/>
    </row>
    <row r="86" spans="1:89">
      <c r="A86" s="159" t="s">
        <v>665</v>
      </c>
      <c r="B86" s="3" t="s">
        <v>666</v>
      </c>
      <c r="C86" s="160" t="s">
        <v>58</v>
      </c>
      <c r="D86" s="160" t="s">
        <v>852</v>
      </c>
      <c r="E86" s="3" t="s">
        <v>22</v>
      </c>
      <c r="F86" s="3" t="s">
        <v>934</v>
      </c>
      <c r="G86" s="3" t="s">
        <v>940</v>
      </c>
      <c r="H86" s="156" t="str">
        <f ca="1">IFERROR(
  _xludf.MINIFS(ATTENDANCE_LOG!$F:$F,
         ATTENDANCE_LOG!$A:$A, C86,
         ATTENDANCE_LOG!$B:$B, E86),
"")</f>
        <v/>
      </c>
      <c r="I86" s="156" t="str">
        <f t="shared" ca="1" si="0"/>
        <v/>
      </c>
      <c r="J86" s="3">
        <f>IFERROR(VLOOKUP(F86, LEVEL_HELPER!$A:$B, 2, 0), "")</f>
        <v>3.5</v>
      </c>
      <c r="K86" s="3">
        <f>IFERROR(VLOOKUP(G86, LEVEL_HELPER!$A:$B, 2, 0), "")</f>
        <v>5</v>
      </c>
      <c r="L86" s="157" t="s">
        <v>942</v>
      </c>
      <c r="M86" s="157" t="s">
        <v>925</v>
      </c>
      <c r="N86" s="3" t="str">
        <f t="array" aca="1" ref="N86" ca="1">IFERROR(
  INDEX($J$2:$J$543,
    MATCH(A86&amp;TEXT(I86,"yyyy-mm-dd"),
          $A$2:$A$543&amp;TEXT($H$2:$H$543,"yyyy-mm-dd"),
          0)),
"")</f>
        <v/>
      </c>
      <c r="O86" s="147" t="str">
        <f t="shared" ca="1" si="1"/>
        <v/>
      </c>
      <c r="P86" s="147">
        <f t="shared" ref="P86:Q86" ca="1" si="95">IF(N86="",0,IF(N86&lt;=2,1,IF(N86&lt;=4,2,IF(N86&lt;=5.5,3,4))))</f>
        <v>0</v>
      </c>
      <c r="Q86" s="147">
        <f t="shared" ca="1" si="95"/>
        <v>0</v>
      </c>
      <c r="R86" s="147" t="str">
        <f t="shared" ca="1" si="3"/>
        <v>No Data</v>
      </c>
      <c r="S86" s="147">
        <f t="shared" si="4"/>
        <v>0</v>
      </c>
      <c r="T86" s="147"/>
      <c r="U86" s="147"/>
      <c r="V86" s="148" t="e">
        <f ca="1"/>
        <v>#NAME?</v>
      </c>
      <c r="W86" s="147" t="e">
        <f t="shared" ca="1" si="5"/>
        <v>#NAME?</v>
      </c>
      <c r="X86" s="147" t="e">
        <f t="shared" ca="1" si="6"/>
        <v>#NAME?</v>
      </c>
      <c r="Y86" s="147" t="e">
        <f t="shared" ca="1" si="7"/>
        <v>#NAME?</v>
      </c>
      <c r="Z86" s="147"/>
      <c r="AA86" s="147"/>
      <c r="AB86" s="147"/>
      <c r="AC86" s="147"/>
      <c r="AD86" s="147"/>
      <c r="AE86" s="147"/>
      <c r="AF86" s="147"/>
      <c r="AG86" s="147"/>
      <c r="AH86" s="147"/>
      <c r="AI86" s="147"/>
      <c r="AJ86" s="147"/>
      <c r="AK86" s="147"/>
      <c r="AL86" s="147"/>
      <c r="AM86" s="151"/>
      <c r="AN86" s="148" t="str">
        <f ca="1">IFERROR(__xludf.DUMMYFUNCTION("""COMPUTED_VALUE"""),"237161")</f>
        <v>237161</v>
      </c>
      <c r="AO86" s="147" t="str">
        <f t="shared" ca="1" si="8"/>
        <v>DEV</v>
      </c>
      <c r="AP86" s="147" t="e">
        <f t="shared" ca="1" si="9"/>
        <v>#NAME?</v>
      </c>
      <c r="AQ86" s="147" t="str">
        <f t="shared" ca="1" si="10"/>
        <v>TBU</v>
      </c>
      <c r="AR86" s="147"/>
      <c r="AS86" s="147"/>
      <c r="AT86" s="147"/>
      <c r="AU86" s="147"/>
      <c r="AV86" s="147"/>
      <c r="AW86" s="147"/>
      <c r="AX86" s="147"/>
      <c r="AY86" s="147"/>
      <c r="AZ86" s="147"/>
      <c r="BA86" s="147"/>
      <c r="BB86" s="147"/>
      <c r="BC86" s="147"/>
      <c r="BD86" s="147"/>
      <c r="BE86" s="147"/>
      <c r="BF86" s="147"/>
      <c r="BG86" s="147"/>
      <c r="BH86" s="147"/>
      <c r="BI86" s="147"/>
      <c r="BJ86" s="147"/>
      <c r="BK86" s="147"/>
      <c r="BL86" s="147"/>
      <c r="BM86" s="147"/>
      <c r="BN86" s="147"/>
      <c r="BO86" s="147"/>
      <c r="BP86" s="147"/>
      <c r="BQ86" s="147"/>
      <c r="BR86" s="147"/>
      <c r="BS86" s="147"/>
      <c r="BT86" s="147"/>
      <c r="BU86" s="147"/>
      <c r="BV86" s="147"/>
      <c r="BW86" s="147"/>
      <c r="BX86" s="147"/>
      <c r="BY86" s="147"/>
      <c r="BZ86" s="147"/>
      <c r="CA86" s="147"/>
      <c r="CB86" s="147"/>
      <c r="CC86" s="147"/>
      <c r="CD86" s="147"/>
      <c r="CE86" s="147"/>
      <c r="CF86" s="147"/>
      <c r="CG86" s="147"/>
      <c r="CH86" s="147"/>
      <c r="CI86" s="147"/>
      <c r="CJ86" s="147"/>
      <c r="CK86" s="147"/>
    </row>
    <row r="87" spans="1:89">
      <c r="A87" s="153" t="s">
        <v>484</v>
      </c>
      <c r="B87" s="154" t="s">
        <v>485</v>
      </c>
      <c r="C87" s="155" t="s">
        <v>59</v>
      </c>
      <c r="D87" s="155" t="s">
        <v>853</v>
      </c>
      <c r="E87" s="154" t="s">
        <v>21</v>
      </c>
      <c r="F87" s="3" t="s">
        <v>916</v>
      </c>
      <c r="G87" s="3" t="s">
        <v>934</v>
      </c>
      <c r="H87" s="156" t="str">
        <f ca="1">IFERROR(
  _xludf.MINIFS(ATTENDANCE_LOG!$F:$F,
         ATTENDANCE_LOG!$A:$A, C87,
         ATTENDANCE_LOG!$B:$B, E87),
"")</f>
        <v/>
      </c>
      <c r="I87" s="156" t="str">
        <f t="shared" ca="1" si="0"/>
        <v/>
      </c>
      <c r="J87" s="3">
        <f>IFERROR(VLOOKUP(F87, LEVEL_HELPER!$A:$B, 2, 0), "")</f>
        <v>2.5</v>
      </c>
      <c r="K87" s="3">
        <f>IFERROR(VLOOKUP(G87, LEVEL_HELPER!$A:$B, 2, 0), "")</f>
        <v>3.5</v>
      </c>
      <c r="L87" s="157" t="s">
        <v>930</v>
      </c>
      <c r="M87" s="157" t="s">
        <v>924</v>
      </c>
      <c r="N87" s="3">
        <f t="array" aca="1" ref="N87" ca="1">IFERROR(
  INDEX($J$2:$J$543,
    MATCH(A87&amp;TEXT(I87,"yyyy-mm-dd"),
          $A$2:$A$543&amp;TEXT($H$2:$H$543,"yyyy-mm-dd"),
          0)),
"")</f>
        <v>2.5</v>
      </c>
      <c r="O87" s="147" t="str">
        <f t="shared" ca="1" si="1"/>
        <v/>
      </c>
      <c r="P87" s="147">
        <f t="shared" ref="P87:Q87" ca="1" si="96">IF(N87="",0,IF(N87&lt;=2,1,IF(N87&lt;=4,2,IF(N87&lt;=5.5,3,4))))</f>
        <v>2</v>
      </c>
      <c r="Q87" s="147">
        <f t="shared" ca="1" si="96"/>
        <v>0</v>
      </c>
      <c r="R87" s="147" t="str">
        <f t="shared" ca="1" si="3"/>
        <v>Regressed</v>
      </c>
      <c r="S87" s="147">
        <f t="shared" si="4"/>
        <v>1</v>
      </c>
      <c r="T87" s="147"/>
      <c r="U87" s="147"/>
      <c r="V87" s="148" t="e">
        <f ca="1"/>
        <v>#NAME?</v>
      </c>
      <c r="W87" s="147" t="e">
        <f t="shared" ca="1" si="5"/>
        <v>#NAME?</v>
      </c>
      <c r="X87" s="147" t="e">
        <f t="shared" ca="1" si="6"/>
        <v>#NAME?</v>
      </c>
      <c r="Y87" s="147" t="e">
        <f t="shared" ca="1" si="7"/>
        <v>#NAME?</v>
      </c>
      <c r="Z87" s="147"/>
      <c r="AA87" s="147"/>
      <c r="AB87" s="147"/>
      <c r="AC87" s="147"/>
      <c r="AD87" s="147"/>
      <c r="AE87" s="147"/>
      <c r="AF87" s="147"/>
      <c r="AG87" s="147"/>
      <c r="AH87" s="147"/>
      <c r="AI87" s="147"/>
      <c r="AJ87" s="147"/>
      <c r="AK87" s="147"/>
      <c r="AL87" s="147"/>
      <c r="AM87" s="151"/>
      <c r="AN87" s="148" t="str">
        <f ca="1">IFERROR(__xludf.DUMMYFUNCTION("""COMPUTED_VALUE"""),"193511")</f>
        <v>193511</v>
      </c>
      <c r="AO87" s="147" t="str">
        <f t="shared" ca="1" si="8"/>
        <v>DEV</v>
      </c>
      <c r="AP87" s="147" t="e">
        <f t="shared" ca="1" si="9"/>
        <v>#NAME?</v>
      </c>
      <c r="AQ87" s="147" t="str">
        <f t="shared" ca="1" si="10"/>
        <v>ONC</v>
      </c>
      <c r="AR87" s="147"/>
      <c r="AS87" s="147"/>
      <c r="AT87" s="147"/>
      <c r="AU87" s="147"/>
      <c r="AV87" s="147"/>
      <c r="AW87" s="147"/>
      <c r="AX87" s="147"/>
      <c r="AY87" s="147"/>
      <c r="AZ87" s="147"/>
      <c r="BA87" s="147"/>
      <c r="BB87" s="147"/>
      <c r="BC87" s="147"/>
      <c r="BD87" s="147"/>
      <c r="BE87" s="147"/>
      <c r="BF87" s="147"/>
      <c r="BG87" s="147"/>
      <c r="BH87" s="147"/>
      <c r="BI87" s="147"/>
      <c r="BJ87" s="147"/>
      <c r="BK87" s="147"/>
      <c r="BL87" s="147"/>
      <c r="BM87" s="147"/>
      <c r="BN87" s="147"/>
      <c r="BO87" s="147"/>
      <c r="BP87" s="147"/>
      <c r="BQ87" s="147"/>
      <c r="BR87" s="147"/>
      <c r="BS87" s="147"/>
      <c r="BT87" s="147"/>
      <c r="BU87" s="147"/>
      <c r="BV87" s="147"/>
      <c r="BW87" s="147"/>
      <c r="BX87" s="147"/>
      <c r="BY87" s="147"/>
      <c r="BZ87" s="147"/>
      <c r="CA87" s="147"/>
      <c r="CB87" s="147"/>
      <c r="CC87" s="147"/>
      <c r="CD87" s="147"/>
      <c r="CE87" s="147"/>
      <c r="CF87" s="147"/>
      <c r="CG87" s="147"/>
      <c r="CH87" s="147"/>
      <c r="CI87" s="147"/>
      <c r="CJ87" s="147"/>
      <c r="CK87" s="147"/>
    </row>
    <row r="88" spans="1:89">
      <c r="A88" s="159" t="s">
        <v>159</v>
      </c>
      <c r="B88" s="3" t="s">
        <v>160</v>
      </c>
      <c r="C88" s="160" t="s">
        <v>59</v>
      </c>
      <c r="D88" s="160" t="s">
        <v>853</v>
      </c>
      <c r="E88" s="3" t="s">
        <v>21</v>
      </c>
      <c r="F88" s="3"/>
      <c r="G88" s="3"/>
      <c r="H88" s="156" t="str">
        <f ca="1">IFERROR(
  _xludf.MINIFS(ATTENDANCE_LOG!$F:$F,
         ATTENDANCE_LOG!$A:$A, C88,
         ATTENDANCE_LOG!$B:$B, E88),
"")</f>
        <v/>
      </c>
      <c r="I88" s="156" t="str">
        <f t="shared" ca="1" si="0"/>
        <v/>
      </c>
      <c r="J88" s="3" t="str">
        <f>IFERROR(VLOOKUP(F88, LEVEL_HELPER!$A:$B, 2, 0), "")</f>
        <v/>
      </c>
      <c r="K88" s="3" t="str">
        <f>IFERROR(VLOOKUP(G88, LEVEL_HELPER!$A:$B, 2, 0), "")</f>
        <v/>
      </c>
      <c r="L88" s="157" t="s">
        <v>930</v>
      </c>
      <c r="M88" s="157" t="s">
        <v>922</v>
      </c>
      <c r="N88" s="3" t="str">
        <f t="array" aca="1" ref="N88" ca="1">IFERROR(
  INDEX($J$2:$J$543,
    MATCH(A88&amp;TEXT(I88,"yyyy-mm-dd"),
          $A$2:$A$543&amp;TEXT($H$2:$H$543,"yyyy-mm-dd"),
          0)),
"")</f>
        <v/>
      </c>
      <c r="O88" s="147" t="str">
        <f t="shared" ca="1" si="1"/>
        <v/>
      </c>
      <c r="P88" s="147">
        <f t="shared" ref="P88:Q88" ca="1" si="97">IF(N88="",0,IF(N88&lt;=2,1,IF(N88&lt;=4,2,IF(N88&lt;=5.5,3,4))))</f>
        <v>0</v>
      </c>
      <c r="Q88" s="147">
        <f t="shared" ca="1" si="97"/>
        <v>0</v>
      </c>
      <c r="R88" s="147" t="str">
        <f t="shared" ca="1" si="3"/>
        <v>No Data</v>
      </c>
      <c r="S88" s="147">
        <f t="shared" si="4"/>
        <v>1</v>
      </c>
      <c r="T88" s="147"/>
      <c r="U88" s="147"/>
      <c r="V88" s="148" t="e">
        <f ca="1"/>
        <v>#NAME?</v>
      </c>
      <c r="W88" s="147" t="e">
        <f t="shared" ca="1" si="5"/>
        <v>#NAME?</v>
      </c>
      <c r="X88" s="147" t="e">
        <f t="shared" ca="1" si="6"/>
        <v>#NAME?</v>
      </c>
      <c r="Y88" s="147" t="e">
        <f t="shared" ca="1" si="7"/>
        <v>#NAME?</v>
      </c>
      <c r="Z88" s="147"/>
      <c r="AA88" s="147"/>
      <c r="AB88" s="147"/>
      <c r="AC88" s="147"/>
      <c r="AD88" s="147"/>
      <c r="AE88" s="147"/>
      <c r="AF88" s="147"/>
      <c r="AG88" s="147"/>
      <c r="AH88" s="147"/>
      <c r="AI88" s="147"/>
      <c r="AJ88" s="147"/>
      <c r="AK88" s="147"/>
      <c r="AL88" s="147"/>
      <c r="AM88" s="151"/>
      <c r="AN88" s="148" t="str">
        <f ca="1">IFERROR(__xludf.DUMMYFUNCTION("""COMPUTED_VALUE"""),"183340")</f>
        <v>183340</v>
      </c>
      <c r="AO88" s="147" t="str">
        <f t="shared" ca="1" si="8"/>
        <v>DEV</v>
      </c>
      <c r="AP88" s="147" t="e">
        <f t="shared" ca="1" si="9"/>
        <v>#NAME?</v>
      </c>
      <c r="AQ88" s="147" t="str">
        <f t="shared" ca="1" si="10"/>
        <v>POC</v>
      </c>
      <c r="AR88" s="147"/>
      <c r="AS88" s="147"/>
      <c r="AT88" s="147"/>
      <c r="AU88" s="147"/>
      <c r="AV88" s="147"/>
      <c r="AW88" s="147"/>
      <c r="AX88" s="147"/>
      <c r="AY88" s="147"/>
      <c r="AZ88" s="147"/>
      <c r="BA88" s="147"/>
      <c r="BB88" s="147"/>
      <c r="BC88" s="147"/>
      <c r="BD88" s="147"/>
      <c r="BE88" s="147"/>
      <c r="BF88" s="147"/>
      <c r="BG88" s="147"/>
      <c r="BH88" s="147"/>
      <c r="BI88" s="147"/>
      <c r="BJ88" s="147"/>
      <c r="BK88" s="147"/>
      <c r="BL88" s="147"/>
      <c r="BM88" s="147"/>
      <c r="BN88" s="147"/>
      <c r="BO88" s="147"/>
      <c r="BP88" s="147"/>
      <c r="BQ88" s="147"/>
      <c r="BR88" s="147"/>
      <c r="BS88" s="147"/>
      <c r="BT88" s="147"/>
      <c r="BU88" s="147"/>
      <c r="BV88" s="147"/>
      <c r="BW88" s="147"/>
      <c r="BX88" s="147"/>
      <c r="BY88" s="147"/>
      <c r="BZ88" s="147"/>
      <c r="CA88" s="147"/>
      <c r="CB88" s="147"/>
      <c r="CC88" s="147"/>
      <c r="CD88" s="147"/>
      <c r="CE88" s="147"/>
      <c r="CF88" s="147"/>
      <c r="CG88" s="147"/>
      <c r="CH88" s="147"/>
      <c r="CI88" s="147"/>
      <c r="CJ88" s="147"/>
      <c r="CK88" s="147"/>
    </row>
    <row r="89" spans="1:89">
      <c r="A89" s="159" t="s">
        <v>313</v>
      </c>
      <c r="B89" s="3" t="s">
        <v>314</v>
      </c>
      <c r="C89" s="160" t="s">
        <v>59</v>
      </c>
      <c r="D89" s="160" t="s">
        <v>853</v>
      </c>
      <c r="E89" s="3" t="s">
        <v>21</v>
      </c>
      <c r="F89" s="3" t="s">
        <v>926</v>
      </c>
      <c r="G89" s="3" t="s">
        <v>917</v>
      </c>
      <c r="H89" s="156" t="str">
        <f ca="1">IFERROR(
  _xludf.MINIFS(ATTENDANCE_LOG!$F:$F,
         ATTENDANCE_LOG!$A:$A, C89,
         ATTENDANCE_LOG!$B:$B, E89),
"")</f>
        <v/>
      </c>
      <c r="I89" s="156" t="str">
        <f t="shared" ca="1" si="0"/>
        <v/>
      </c>
      <c r="J89" s="3">
        <f>IFERROR(VLOOKUP(F89, LEVEL_HELPER!$A:$B, 2, 0), "")</f>
        <v>1</v>
      </c>
      <c r="K89" s="3">
        <f>IFERROR(VLOOKUP(G89, LEVEL_HELPER!$A:$B, 2, 0), "")</f>
        <v>3</v>
      </c>
      <c r="L89" s="157" t="s">
        <v>930</v>
      </c>
      <c r="M89" s="157" t="s">
        <v>922</v>
      </c>
      <c r="N89" s="3">
        <f t="array" aca="1" ref="N89" ca="1">IFERROR(
  INDEX($J$2:$J$543,
    MATCH(A89&amp;TEXT(I89,"yyyy-mm-dd"),
          $A$2:$A$543&amp;TEXT($H$2:$H$543,"yyyy-mm-dd"),
          0)),
"")</f>
        <v>1</v>
      </c>
      <c r="O89" s="147" t="str">
        <f t="shared" ca="1" si="1"/>
        <v/>
      </c>
      <c r="P89" s="147">
        <f t="shared" ref="P89:Q89" ca="1" si="98">IF(N89="",0,IF(N89&lt;=2,1,IF(N89&lt;=4,2,IF(N89&lt;=5.5,3,4))))</f>
        <v>1</v>
      </c>
      <c r="Q89" s="147">
        <f t="shared" ca="1" si="98"/>
        <v>0</v>
      </c>
      <c r="R89" s="147" t="str">
        <f t="shared" ca="1" si="3"/>
        <v>Regressed</v>
      </c>
      <c r="S89" s="147">
        <f t="shared" si="4"/>
        <v>1</v>
      </c>
      <c r="T89" s="147"/>
      <c r="U89" s="147"/>
      <c r="V89" s="148" t="e">
        <f ca="1"/>
        <v>#NAME?</v>
      </c>
      <c r="W89" s="147" t="e">
        <f t="shared" ca="1" si="5"/>
        <v>#NAME?</v>
      </c>
      <c r="X89" s="147" t="e">
        <f t="shared" ca="1" si="6"/>
        <v>#NAME?</v>
      </c>
      <c r="Y89" s="147" t="e">
        <f t="shared" ca="1" si="7"/>
        <v>#NAME?</v>
      </c>
      <c r="Z89" s="147"/>
      <c r="AA89" s="147"/>
      <c r="AB89" s="147"/>
      <c r="AC89" s="147"/>
      <c r="AD89" s="147"/>
      <c r="AE89" s="147"/>
      <c r="AF89" s="147"/>
      <c r="AG89" s="147"/>
      <c r="AH89" s="147"/>
      <c r="AI89" s="147"/>
      <c r="AJ89" s="147"/>
      <c r="AK89" s="147"/>
      <c r="AL89" s="147"/>
      <c r="AM89" s="151"/>
      <c r="AN89" s="148" t="str">
        <f ca="1">IFERROR(__xludf.DUMMYFUNCTION("""COMPUTED_VALUE"""),"213916")</f>
        <v>213916</v>
      </c>
      <c r="AO89" s="147" t="str">
        <f t="shared" ca="1" si="8"/>
        <v>DEV</v>
      </c>
      <c r="AP89" s="147" t="e">
        <f t="shared" ca="1" si="9"/>
        <v>#NAME?</v>
      </c>
      <c r="AQ89" s="147" t="str">
        <f t="shared" ca="1" si="10"/>
        <v>MOC</v>
      </c>
      <c r="AR89" s="147"/>
      <c r="AS89" s="147"/>
      <c r="AT89" s="147"/>
      <c r="AU89" s="147"/>
      <c r="AV89" s="147"/>
      <c r="AW89" s="147"/>
      <c r="AX89" s="147"/>
      <c r="AY89" s="147"/>
      <c r="AZ89" s="147"/>
      <c r="BA89" s="147"/>
      <c r="BB89" s="147"/>
      <c r="BC89" s="147"/>
      <c r="BD89" s="147"/>
      <c r="BE89" s="147"/>
      <c r="BF89" s="147"/>
      <c r="BG89" s="147"/>
      <c r="BH89" s="147"/>
      <c r="BI89" s="147"/>
      <c r="BJ89" s="147"/>
      <c r="BK89" s="147"/>
      <c r="BL89" s="147"/>
      <c r="BM89" s="147"/>
      <c r="BN89" s="147"/>
      <c r="BO89" s="147"/>
      <c r="BP89" s="147"/>
      <c r="BQ89" s="147"/>
      <c r="BR89" s="147"/>
      <c r="BS89" s="147"/>
      <c r="BT89" s="147"/>
      <c r="BU89" s="147"/>
      <c r="BV89" s="147"/>
      <c r="BW89" s="147"/>
      <c r="BX89" s="147"/>
      <c r="BY89" s="147"/>
      <c r="BZ89" s="147"/>
      <c r="CA89" s="147"/>
      <c r="CB89" s="147"/>
      <c r="CC89" s="147"/>
      <c r="CD89" s="147"/>
      <c r="CE89" s="147"/>
      <c r="CF89" s="147"/>
      <c r="CG89" s="147"/>
      <c r="CH89" s="147"/>
      <c r="CI89" s="147"/>
      <c r="CJ89" s="147"/>
      <c r="CK89" s="147"/>
    </row>
    <row r="90" spans="1:89">
      <c r="A90" s="159" t="s">
        <v>433</v>
      </c>
      <c r="B90" s="3" t="s">
        <v>432</v>
      </c>
      <c r="C90" s="160" t="s">
        <v>59</v>
      </c>
      <c r="D90" s="160" t="s">
        <v>853</v>
      </c>
      <c r="E90" s="3" t="s">
        <v>21</v>
      </c>
      <c r="F90" s="3" t="s">
        <v>916</v>
      </c>
      <c r="G90" s="3" t="s">
        <v>917</v>
      </c>
      <c r="H90" s="156" t="str">
        <f ca="1">IFERROR(
  _xludf.MINIFS(ATTENDANCE_LOG!$F:$F,
         ATTENDANCE_LOG!$A:$A, C90,
         ATTENDANCE_LOG!$B:$B, E90),
"")</f>
        <v/>
      </c>
      <c r="I90" s="156" t="str">
        <f t="shared" ca="1" si="0"/>
        <v/>
      </c>
      <c r="J90" s="3">
        <f>IFERROR(VLOOKUP(F90, LEVEL_HELPER!$A:$B, 2, 0), "")</f>
        <v>2.5</v>
      </c>
      <c r="K90" s="3">
        <f>IFERROR(VLOOKUP(G90, LEVEL_HELPER!$A:$B, 2, 0), "")</f>
        <v>3</v>
      </c>
      <c r="L90" s="157" t="s">
        <v>930</v>
      </c>
      <c r="M90" s="157" t="s">
        <v>922</v>
      </c>
      <c r="N90" s="3">
        <f t="array" aca="1" ref="N90" ca="1">IFERROR(
  INDEX($J$2:$J$543,
    MATCH(A90&amp;TEXT(I90,"yyyy-mm-dd"),
          $A$2:$A$543&amp;TEXT($H$2:$H$543,"yyyy-mm-dd"),
          0)),
"")</f>
        <v>2.5</v>
      </c>
      <c r="O90" s="147" t="str">
        <f t="shared" ca="1" si="1"/>
        <v/>
      </c>
      <c r="P90" s="147">
        <f t="shared" ref="P90:Q90" ca="1" si="99">IF(N90="",0,IF(N90&lt;=2,1,IF(N90&lt;=4,2,IF(N90&lt;=5.5,3,4))))</f>
        <v>2</v>
      </c>
      <c r="Q90" s="147">
        <f t="shared" ca="1" si="99"/>
        <v>0</v>
      </c>
      <c r="R90" s="147" t="str">
        <f t="shared" ca="1" si="3"/>
        <v>Regressed</v>
      </c>
      <c r="S90" s="147">
        <f t="shared" si="4"/>
        <v>1</v>
      </c>
      <c r="T90" s="147"/>
      <c r="U90" s="147"/>
      <c r="V90" s="148" t="e">
        <f ca="1"/>
        <v>#NAME?</v>
      </c>
      <c r="W90" s="147" t="e">
        <f t="shared" ca="1" si="5"/>
        <v>#NAME?</v>
      </c>
      <c r="X90" s="147" t="e">
        <f t="shared" ca="1" si="6"/>
        <v>#NAME?</v>
      </c>
      <c r="Y90" s="147" t="e">
        <f t="shared" ca="1" si="7"/>
        <v>#NAME?</v>
      </c>
      <c r="Z90" s="147"/>
      <c r="AA90" s="147"/>
      <c r="AB90" s="147"/>
      <c r="AC90" s="147"/>
      <c r="AD90" s="147"/>
      <c r="AE90" s="147"/>
      <c r="AF90" s="147"/>
      <c r="AG90" s="147"/>
      <c r="AH90" s="147"/>
      <c r="AI90" s="147"/>
      <c r="AJ90" s="147"/>
      <c r="AK90" s="147"/>
      <c r="AL90" s="147"/>
      <c r="AM90" s="151"/>
      <c r="AN90" s="148" t="str">
        <f ca="1">IFERROR(__xludf.DUMMYFUNCTION("""COMPUTED_VALUE"""),"227155")</f>
        <v>227155</v>
      </c>
      <c r="AO90" s="147" t="str">
        <f t="shared" ca="1" si="8"/>
        <v>QC</v>
      </c>
      <c r="AP90" s="147" t="e">
        <f t="shared" ca="1" si="9"/>
        <v>#NAME?</v>
      </c>
      <c r="AQ90" s="147" t="str">
        <f t="shared" ca="1" si="10"/>
        <v>POC</v>
      </c>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7"/>
      <c r="BN90" s="147"/>
      <c r="BO90" s="147"/>
      <c r="BP90" s="147"/>
      <c r="BQ90" s="147"/>
      <c r="BR90" s="147"/>
      <c r="BS90" s="147"/>
      <c r="BT90" s="147"/>
      <c r="BU90" s="147"/>
      <c r="BV90" s="147"/>
      <c r="BW90" s="147"/>
      <c r="BX90" s="147"/>
      <c r="BY90" s="147"/>
      <c r="BZ90" s="147"/>
      <c r="CA90" s="147"/>
      <c r="CB90" s="147"/>
      <c r="CC90" s="147"/>
      <c r="CD90" s="147"/>
      <c r="CE90" s="147"/>
      <c r="CF90" s="147"/>
      <c r="CG90" s="147"/>
      <c r="CH90" s="147"/>
      <c r="CI90" s="147"/>
      <c r="CJ90" s="147"/>
      <c r="CK90" s="147"/>
    </row>
    <row r="91" spans="1:89">
      <c r="A91" s="159" t="s">
        <v>451</v>
      </c>
      <c r="B91" s="3" t="s">
        <v>452</v>
      </c>
      <c r="C91" s="160" t="s">
        <v>59</v>
      </c>
      <c r="D91" s="160" t="s">
        <v>853</v>
      </c>
      <c r="E91" s="3" t="s">
        <v>21</v>
      </c>
      <c r="F91" s="3" t="s">
        <v>926</v>
      </c>
      <c r="G91" s="3" t="s">
        <v>934</v>
      </c>
      <c r="H91" s="156" t="str">
        <f ca="1">IFERROR(
  _xludf.MINIFS(ATTENDANCE_LOG!$F:$F,
         ATTENDANCE_LOG!$A:$A, C91,
         ATTENDANCE_LOG!$B:$B, E91),
"")</f>
        <v/>
      </c>
      <c r="I91" s="156" t="str">
        <f t="shared" ca="1" si="0"/>
        <v/>
      </c>
      <c r="J91" s="3">
        <f>IFERROR(VLOOKUP(F91, LEVEL_HELPER!$A:$B, 2, 0), "")</f>
        <v>1</v>
      </c>
      <c r="K91" s="3">
        <f>IFERROR(VLOOKUP(G91, LEVEL_HELPER!$A:$B, 2, 0), "")</f>
        <v>3.5</v>
      </c>
      <c r="L91" s="157" t="s">
        <v>930</v>
      </c>
      <c r="M91" s="157" t="s">
        <v>922</v>
      </c>
      <c r="N91" s="3">
        <f t="array" aca="1" ref="N91" ca="1">IFERROR(
  INDEX($J$2:$J$543,
    MATCH(A91&amp;TEXT(I91,"yyyy-mm-dd"),
          $A$2:$A$543&amp;TEXT($H$2:$H$543,"yyyy-mm-dd"),
          0)),
"")</f>
        <v>1</v>
      </c>
      <c r="O91" s="147" t="str">
        <f t="shared" ca="1" si="1"/>
        <v/>
      </c>
      <c r="P91" s="147">
        <f t="shared" ref="P91:Q91" ca="1" si="100">IF(N91="",0,IF(N91&lt;=2,1,IF(N91&lt;=4,2,IF(N91&lt;=5.5,3,4))))</f>
        <v>1</v>
      </c>
      <c r="Q91" s="147">
        <f t="shared" ca="1" si="100"/>
        <v>0</v>
      </c>
      <c r="R91" s="147" t="str">
        <f t="shared" ca="1" si="3"/>
        <v>Regressed</v>
      </c>
      <c r="S91" s="147">
        <f t="shared" si="4"/>
        <v>1</v>
      </c>
      <c r="T91" s="147"/>
      <c r="U91" s="147"/>
      <c r="V91" s="148" t="e">
        <f ca="1"/>
        <v>#NAME?</v>
      </c>
      <c r="W91" s="147" t="e">
        <f t="shared" ca="1" si="5"/>
        <v>#NAME?</v>
      </c>
      <c r="X91" s="147" t="e">
        <f t="shared" ca="1" si="6"/>
        <v>#NAME?</v>
      </c>
      <c r="Y91" s="147" t="e">
        <f t="shared" ca="1" si="7"/>
        <v>#NAME?</v>
      </c>
      <c r="Z91" s="147"/>
      <c r="AA91" s="147"/>
      <c r="AB91" s="147"/>
      <c r="AC91" s="147"/>
      <c r="AD91" s="147"/>
      <c r="AE91" s="147"/>
      <c r="AF91" s="147"/>
      <c r="AG91" s="147"/>
      <c r="AH91" s="147"/>
      <c r="AI91" s="147"/>
      <c r="AJ91" s="147"/>
      <c r="AK91" s="147"/>
      <c r="AL91" s="147"/>
      <c r="AM91" s="151"/>
      <c r="AN91" s="148">
        <f ca="1">IFERROR(__xludf.DUMMYFUNCTION("""COMPUTED_VALUE"""),193470)</f>
        <v>193470</v>
      </c>
      <c r="AO91" s="147" t="e">
        <f t="shared" ca="1" si="8"/>
        <v>#N/A</v>
      </c>
      <c r="AP91" s="147" t="e">
        <f t="shared" ca="1" si="9"/>
        <v>#NAME?</v>
      </c>
      <c r="AQ91" s="147" t="e">
        <f t="shared" ca="1" si="10"/>
        <v>#N/A</v>
      </c>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7"/>
      <c r="BN91" s="147"/>
      <c r="BO91" s="147"/>
      <c r="BP91" s="147"/>
      <c r="BQ91" s="147"/>
      <c r="BR91" s="147"/>
      <c r="BS91" s="147"/>
      <c r="BT91" s="147"/>
      <c r="BU91" s="147"/>
      <c r="BV91" s="147"/>
      <c r="BW91" s="147"/>
      <c r="BX91" s="147"/>
      <c r="BY91" s="147"/>
      <c r="BZ91" s="147"/>
      <c r="CA91" s="147"/>
      <c r="CB91" s="147"/>
      <c r="CC91" s="147"/>
      <c r="CD91" s="147"/>
      <c r="CE91" s="147"/>
      <c r="CF91" s="147"/>
      <c r="CG91" s="147"/>
      <c r="CH91" s="147"/>
      <c r="CI91" s="147"/>
      <c r="CJ91" s="147"/>
      <c r="CK91" s="147"/>
    </row>
    <row r="92" spans="1:89">
      <c r="A92" s="159" t="s">
        <v>466</v>
      </c>
      <c r="B92" s="3" t="s">
        <v>467</v>
      </c>
      <c r="C92" s="160" t="s">
        <v>59</v>
      </c>
      <c r="D92" s="160" t="s">
        <v>853</v>
      </c>
      <c r="E92" s="3" t="s">
        <v>21</v>
      </c>
      <c r="F92" s="3" t="s">
        <v>926</v>
      </c>
      <c r="G92" s="3" t="s">
        <v>928</v>
      </c>
      <c r="H92" s="156" t="str">
        <f ca="1">IFERROR(
  _xludf.MINIFS(ATTENDANCE_LOG!$F:$F,
         ATTENDANCE_LOG!$A:$A, C92,
         ATTENDANCE_LOG!$B:$B, E92),
"")</f>
        <v/>
      </c>
      <c r="I92" s="156" t="str">
        <f t="shared" ca="1" si="0"/>
        <v/>
      </c>
      <c r="J92" s="3">
        <f>IFERROR(VLOOKUP(F92, LEVEL_HELPER!$A:$B, 2, 0), "")</f>
        <v>1</v>
      </c>
      <c r="K92" s="3">
        <f>IFERROR(VLOOKUP(G92, LEVEL_HELPER!$A:$B, 2, 0), "")</f>
        <v>1.5</v>
      </c>
      <c r="L92" s="157" t="s">
        <v>930</v>
      </c>
      <c r="M92" s="157" t="s">
        <v>922</v>
      </c>
      <c r="N92" s="3">
        <f t="array" aca="1" ref="N92" ca="1">IFERROR(
  INDEX($J$2:$J$543,
    MATCH(A92&amp;TEXT(I92,"yyyy-mm-dd"),
          $A$2:$A$543&amp;TEXT($H$2:$H$543,"yyyy-mm-dd"),
          0)),
"")</f>
        <v>1</v>
      </c>
      <c r="O92" s="147" t="str">
        <f t="shared" ca="1" si="1"/>
        <v/>
      </c>
      <c r="P92" s="147">
        <f t="shared" ref="P92:Q92" ca="1" si="101">IF(N92="",0,IF(N92&lt;=2,1,IF(N92&lt;=4,2,IF(N92&lt;=5.5,3,4))))</f>
        <v>1</v>
      </c>
      <c r="Q92" s="147">
        <f t="shared" ca="1" si="101"/>
        <v>0</v>
      </c>
      <c r="R92" s="147" t="str">
        <f t="shared" ca="1" si="3"/>
        <v>Regressed</v>
      </c>
      <c r="S92" s="147">
        <f t="shared" si="4"/>
        <v>1</v>
      </c>
      <c r="T92" s="147"/>
      <c r="U92" s="147"/>
      <c r="V92" s="148" t="e">
        <f ca="1"/>
        <v>#NAME?</v>
      </c>
      <c r="W92" s="147" t="e">
        <f t="shared" ca="1" si="5"/>
        <v>#NAME?</v>
      </c>
      <c r="X92" s="147" t="e">
        <f t="shared" ca="1" si="6"/>
        <v>#NAME?</v>
      </c>
      <c r="Y92" s="147" t="e">
        <f t="shared" ca="1" si="7"/>
        <v>#NAME?</v>
      </c>
      <c r="Z92" s="147"/>
      <c r="AA92" s="147"/>
      <c r="AB92" s="147"/>
      <c r="AC92" s="147"/>
      <c r="AD92" s="147"/>
      <c r="AE92" s="147"/>
      <c r="AF92" s="147"/>
      <c r="AG92" s="147"/>
      <c r="AH92" s="147"/>
      <c r="AI92" s="147"/>
      <c r="AJ92" s="147"/>
      <c r="AK92" s="147"/>
      <c r="AL92" s="147"/>
      <c r="AM92" s="151"/>
      <c r="AN92" s="148" t="str">
        <f ca="1">IFERROR(__xludf.DUMMYFUNCTION("""COMPUTED_VALUE"""),"153138")</f>
        <v>153138</v>
      </c>
      <c r="AO92" s="147" t="str">
        <f t="shared" ca="1" si="8"/>
        <v>DEV</v>
      </c>
      <c r="AP92" s="147" t="e">
        <f t="shared" ca="1" si="9"/>
        <v>#NAME?</v>
      </c>
      <c r="AQ92" s="147" t="str">
        <f t="shared" ca="1" si="10"/>
        <v>ONC</v>
      </c>
      <c r="AR92" s="147"/>
      <c r="AS92" s="147"/>
      <c r="AT92" s="147"/>
      <c r="AU92" s="147"/>
      <c r="AV92" s="147"/>
      <c r="AW92" s="147"/>
      <c r="AX92" s="147"/>
      <c r="AY92" s="147"/>
      <c r="AZ92" s="147"/>
      <c r="BA92" s="147"/>
      <c r="BB92" s="147"/>
      <c r="BC92" s="147"/>
      <c r="BD92" s="147"/>
      <c r="BE92" s="147"/>
      <c r="BF92" s="147"/>
      <c r="BG92" s="147"/>
      <c r="BH92" s="147"/>
      <c r="BI92" s="147"/>
      <c r="BJ92" s="147"/>
      <c r="BK92" s="147"/>
      <c r="BL92" s="147"/>
      <c r="BM92" s="147"/>
      <c r="BN92" s="147"/>
      <c r="BO92" s="147"/>
      <c r="BP92" s="147"/>
      <c r="BQ92" s="147"/>
      <c r="BR92" s="147"/>
      <c r="BS92" s="147"/>
      <c r="BT92" s="147"/>
      <c r="BU92" s="147"/>
      <c r="BV92" s="147"/>
      <c r="BW92" s="147"/>
      <c r="BX92" s="147"/>
      <c r="BY92" s="147"/>
      <c r="BZ92" s="147"/>
      <c r="CA92" s="147"/>
      <c r="CB92" s="147"/>
      <c r="CC92" s="147"/>
      <c r="CD92" s="147"/>
      <c r="CE92" s="147"/>
      <c r="CF92" s="147"/>
      <c r="CG92" s="147"/>
      <c r="CH92" s="147"/>
      <c r="CI92" s="147"/>
      <c r="CJ92" s="147"/>
      <c r="CK92" s="147"/>
    </row>
    <row r="93" spans="1:89">
      <c r="A93" s="153" t="s">
        <v>330</v>
      </c>
      <c r="B93" s="154" t="s">
        <v>331</v>
      </c>
      <c r="C93" s="155" t="s">
        <v>59</v>
      </c>
      <c r="D93" s="155" t="s">
        <v>853</v>
      </c>
      <c r="E93" s="154" t="s">
        <v>22</v>
      </c>
      <c r="F93" s="3" t="s">
        <v>931</v>
      </c>
      <c r="G93" s="3" t="s">
        <v>937</v>
      </c>
      <c r="H93" s="156" t="str">
        <f ca="1">IFERROR(
  _xludf.MINIFS(ATTENDANCE_LOG!$F:$F,
         ATTENDANCE_LOG!$A:$A, C93,
         ATTENDANCE_LOG!$B:$B, E93),
"")</f>
        <v/>
      </c>
      <c r="I93" s="156" t="str">
        <f t="shared" ca="1" si="0"/>
        <v/>
      </c>
      <c r="J93" s="3">
        <f>IFERROR(VLOOKUP(F93, LEVEL_HELPER!$A:$B, 2, 0), "")</f>
        <v>4.5</v>
      </c>
      <c r="K93" s="3">
        <f>IFERROR(VLOOKUP(G93, LEVEL_HELPER!$A:$B, 2, 0), "")</f>
        <v>5.5</v>
      </c>
      <c r="L93" s="157" t="s">
        <v>942</v>
      </c>
      <c r="M93" s="157" t="s">
        <v>922</v>
      </c>
      <c r="N93" s="3">
        <f t="array" aca="1" ref="N93" ca="1">IFERROR(
  INDEX($J$2:$J$543,
    MATCH(A93&amp;TEXT(I93,"yyyy-mm-dd"),
          $A$2:$A$543&amp;TEXT($H$2:$H$543,"yyyy-mm-dd"),
          0)),
"")</f>
        <v>2.5</v>
      </c>
      <c r="O93" s="147" t="str">
        <f t="shared" ca="1" si="1"/>
        <v/>
      </c>
      <c r="P93" s="147">
        <f t="shared" ref="P93:Q93" ca="1" si="102">IF(N93="",0,IF(N93&lt;=2,1,IF(N93&lt;=4,2,IF(N93&lt;=5.5,3,4))))</f>
        <v>2</v>
      </c>
      <c r="Q93" s="147">
        <f t="shared" ca="1" si="102"/>
        <v>0</v>
      </c>
      <c r="R93" s="147" t="str">
        <f t="shared" ca="1" si="3"/>
        <v>Regressed</v>
      </c>
      <c r="S93" s="147">
        <f t="shared" si="4"/>
        <v>0</v>
      </c>
      <c r="T93" s="147"/>
      <c r="U93" s="147"/>
      <c r="V93" s="148" t="e">
        <f ca="1"/>
        <v>#NAME?</v>
      </c>
      <c r="W93" s="147" t="e">
        <f t="shared" ca="1" si="5"/>
        <v>#NAME?</v>
      </c>
      <c r="X93" s="147" t="e">
        <f t="shared" ca="1" si="6"/>
        <v>#NAME?</v>
      </c>
      <c r="Y93" s="147" t="e">
        <f t="shared" ca="1" si="7"/>
        <v>#NAME?</v>
      </c>
      <c r="Z93" s="147"/>
      <c r="AA93" s="147"/>
      <c r="AB93" s="147"/>
      <c r="AC93" s="147"/>
      <c r="AD93" s="147"/>
      <c r="AE93" s="147"/>
      <c r="AF93" s="147"/>
      <c r="AG93" s="147"/>
      <c r="AH93" s="147"/>
      <c r="AI93" s="147"/>
      <c r="AJ93" s="147"/>
      <c r="AK93" s="147"/>
      <c r="AL93" s="147"/>
      <c r="AM93" s="151"/>
      <c r="AN93" s="148" t="str">
        <f ca="1">IFERROR(__xludf.DUMMYFUNCTION("""COMPUTED_VALUE"""),"193522")</f>
        <v>193522</v>
      </c>
      <c r="AO93" s="147" t="str">
        <f t="shared" ca="1" si="8"/>
        <v>DEV</v>
      </c>
      <c r="AP93" s="147" t="e">
        <f t="shared" ca="1" si="9"/>
        <v>#NAME?</v>
      </c>
      <c r="AQ93" s="147" t="str">
        <f t="shared" ca="1" si="10"/>
        <v>ONC</v>
      </c>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7"/>
      <c r="BN93" s="147"/>
      <c r="BO93" s="147"/>
      <c r="BP93" s="147"/>
      <c r="BQ93" s="147"/>
      <c r="BR93" s="147"/>
      <c r="BS93" s="147"/>
      <c r="BT93" s="147"/>
      <c r="BU93" s="147"/>
      <c r="BV93" s="147"/>
      <c r="BW93" s="147"/>
      <c r="BX93" s="147"/>
      <c r="BY93" s="147"/>
      <c r="BZ93" s="147"/>
      <c r="CA93" s="147"/>
      <c r="CB93" s="147"/>
      <c r="CC93" s="147"/>
      <c r="CD93" s="147"/>
      <c r="CE93" s="147"/>
      <c r="CF93" s="147"/>
      <c r="CG93" s="147"/>
      <c r="CH93" s="147"/>
      <c r="CI93" s="147"/>
      <c r="CJ93" s="147"/>
      <c r="CK93" s="147"/>
    </row>
    <row r="94" spans="1:89">
      <c r="A94" s="159" t="s">
        <v>247</v>
      </c>
      <c r="B94" s="3" t="s">
        <v>248</v>
      </c>
      <c r="C94" s="160" t="s">
        <v>59</v>
      </c>
      <c r="D94" s="160" t="s">
        <v>853</v>
      </c>
      <c r="E94" s="3" t="s">
        <v>22</v>
      </c>
      <c r="F94" s="3" t="s">
        <v>928</v>
      </c>
      <c r="G94" s="3" t="s">
        <v>928</v>
      </c>
      <c r="H94" s="156" t="str">
        <f ca="1">IFERROR(
  _xludf.MINIFS(ATTENDANCE_LOG!$F:$F,
         ATTENDANCE_LOG!$A:$A, C94,
         ATTENDANCE_LOG!$B:$B, E94),
"")</f>
        <v/>
      </c>
      <c r="I94" s="156" t="str">
        <f t="shared" ca="1" si="0"/>
        <v/>
      </c>
      <c r="J94" s="3">
        <f>IFERROR(VLOOKUP(F94, LEVEL_HELPER!$A:$B, 2, 0), "")</f>
        <v>1.5</v>
      </c>
      <c r="K94" s="3">
        <f>IFERROR(VLOOKUP(G94, LEVEL_HELPER!$A:$B, 2, 0), "")</f>
        <v>1.5</v>
      </c>
      <c r="L94" s="157" t="s">
        <v>930</v>
      </c>
      <c r="M94" s="157" t="s">
        <v>922</v>
      </c>
      <c r="N94" s="3">
        <f t="array" aca="1" ref="N94" ca="1">IFERROR(
  INDEX($J$2:$J$543,
    MATCH(A94&amp;TEXT(I94,"yyyy-mm-dd"),
          $A$2:$A$543&amp;TEXT($H$2:$H$543,"yyyy-mm-dd"),
          0)),
"")</f>
        <v>1.5</v>
      </c>
      <c r="O94" s="147" t="str">
        <f t="shared" ca="1" si="1"/>
        <v/>
      </c>
      <c r="P94" s="147">
        <f t="shared" ref="P94:Q94" ca="1" si="103">IF(N94="",0,IF(N94&lt;=2,1,IF(N94&lt;=4,2,IF(N94&lt;=5.5,3,4))))</f>
        <v>1</v>
      </c>
      <c r="Q94" s="147">
        <f t="shared" ca="1" si="103"/>
        <v>0</v>
      </c>
      <c r="R94" s="147" t="str">
        <f t="shared" ca="1" si="3"/>
        <v>Regressed</v>
      </c>
      <c r="S94" s="147">
        <f t="shared" si="4"/>
        <v>1</v>
      </c>
      <c r="T94" s="147"/>
      <c r="U94" s="147"/>
      <c r="V94" s="148" t="e">
        <f ca="1"/>
        <v>#NAME?</v>
      </c>
      <c r="W94" s="147" t="e">
        <f t="shared" ca="1" si="5"/>
        <v>#NAME?</v>
      </c>
      <c r="X94" s="147" t="e">
        <f t="shared" ca="1" si="6"/>
        <v>#NAME?</v>
      </c>
      <c r="Y94" s="147" t="e">
        <f t="shared" ca="1" si="7"/>
        <v>#NAME?</v>
      </c>
      <c r="Z94" s="147"/>
      <c r="AA94" s="147"/>
      <c r="AB94" s="147"/>
      <c r="AC94" s="147"/>
      <c r="AD94" s="147"/>
      <c r="AE94" s="147"/>
      <c r="AF94" s="147"/>
      <c r="AG94" s="147"/>
      <c r="AH94" s="147"/>
      <c r="AI94" s="147"/>
      <c r="AJ94" s="147"/>
      <c r="AK94" s="147"/>
      <c r="AL94" s="147"/>
      <c r="AM94" s="151"/>
      <c r="AN94" s="148" t="str">
        <f ca="1">IFERROR(__xludf.DUMMYFUNCTION("""COMPUTED_VALUE"""),"237070")</f>
        <v>237070</v>
      </c>
      <c r="AO94" s="147" t="str">
        <f t="shared" ca="1" si="8"/>
        <v>DEV</v>
      </c>
      <c r="AP94" s="147" t="e">
        <f t="shared" ca="1" si="9"/>
        <v>#NAME?</v>
      </c>
      <c r="AQ94" s="147" t="str">
        <f t="shared" ca="1" si="10"/>
        <v>ONC</v>
      </c>
      <c r="AR94" s="147"/>
      <c r="AS94" s="147"/>
      <c r="AT94" s="147"/>
      <c r="AU94" s="147"/>
      <c r="AV94" s="147"/>
      <c r="AW94" s="147"/>
      <c r="AX94" s="147"/>
      <c r="AY94" s="147"/>
      <c r="AZ94" s="147"/>
      <c r="BA94" s="147"/>
      <c r="BB94" s="147"/>
      <c r="BC94" s="147"/>
      <c r="BD94" s="147"/>
      <c r="BE94" s="147"/>
      <c r="BF94" s="147"/>
      <c r="BG94" s="147"/>
      <c r="BH94" s="147"/>
      <c r="BI94" s="147"/>
      <c r="BJ94" s="147"/>
      <c r="BK94" s="147"/>
      <c r="BL94" s="147"/>
      <c r="BM94" s="147"/>
      <c r="BN94" s="147"/>
      <c r="BO94" s="147"/>
      <c r="BP94" s="147"/>
      <c r="BQ94" s="147"/>
      <c r="BR94" s="147"/>
      <c r="BS94" s="147"/>
      <c r="BT94" s="147"/>
      <c r="BU94" s="147"/>
      <c r="BV94" s="147"/>
      <c r="BW94" s="147"/>
      <c r="BX94" s="147"/>
      <c r="BY94" s="147"/>
      <c r="BZ94" s="147"/>
      <c r="CA94" s="147"/>
      <c r="CB94" s="147"/>
      <c r="CC94" s="147"/>
      <c r="CD94" s="147"/>
      <c r="CE94" s="147"/>
      <c r="CF94" s="147"/>
      <c r="CG94" s="147"/>
      <c r="CH94" s="147"/>
      <c r="CI94" s="147"/>
      <c r="CJ94" s="147"/>
      <c r="CK94" s="147"/>
    </row>
    <row r="95" spans="1:89">
      <c r="A95" s="159" t="s">
        <v>294</v>
      </c>
      <c r="B95" s="3" t="s">
        <v>295</v>
      </c>
      <c r="C95" s="160" t="s">
        <v>59</v>
      </c>
      <c r="D95" s="160" t="s">
        <v>853</v>
      </c>
      <c r="E95" s="3" t="s">
        <v>22</v>
      </c>
      <c r="F95" s="3" t="s">
        <v>928</v>
      </c>
      <c r="G95" s="3" t="s">
        <v>917</v>
      </c>
      <c r="H95" s="156" t="str">
        <f ca="1">IFERROR(
  _xludf.MINIFS(ATTENDANCE_LOG!$F:$F,
         ATTENDANCE_LOG!$A:$A, C95,
         ATTENDANCE_LOG!$B:$B, E95),
"")</f>
        <v/>
      </c>
      <c r="I95" s="156" t="str">
        <f t="shared" ca="1" si="0"/>
        <v/>
      </c>
      <c r="J95" s="3">
        <f>IFERROR(VLOOKUP(F95, LEVEL_HELPER!$A:$B, 2, 0), "")</f>
        <v>1.5</v>
      </c>
      <c r="K95" s="3">
        <f>IFERROR(VLOOKUP(G95, LEVEL_HELPER!$A:$B, 2, 0), "")</f>
        <v>3</v>
      </c>
      <c r="L95" s="157" t="s">
        <v>930</v>
      </c>
      <c r="M95" s="157" t="s">
        <v>922</v>
      </c>
      <c r="N95" s="3">
        <f t="array" aca="1" ref="N95" ca="1">IFERROR(
  INDEX($J$2:$J$543,
    MATCH(A95&amp;TEXT(I95,"yyyy-mm-dd"),
          $A$2:$A$543&amp;TEXT($H$2:$H$543,"yyyy-mm-dd"),
          0)),
"")</f>
        <v>1</v>
      </c>
      <c r="O95" s="147" t="str">
        <f t="shared" ca="1" si="1"/>
        <v/>
      </c>
      <c r="P95" s="147">
        <f t="shared" ref="P95:Q95" ca="1" si="104">IF(N95="",0,IF(N95&lt;=2,1,IF(N95&lt;=4,2,IF(N95&lt;=5.5,3,4))))</f>
        <v>1</v>
      </c>
      <c r="Q95" s="147">
        <f t="shared" ca="1" si="104"/>
        <v>0</v>
      </c>
      <c r="R95" s="147" t="str">
        <f t="shared" ca="1" si="3"/>
        <v>Regressed</v>
      </c>
      <c r="S95" s="147">
        <f t="shared" si="4"/>
        <v>0</v>
      </c>
      <c r="T95" s="147"/>
      <c r="U95" s="147"/>
      <c r="V95" s="148" t="e">
        <f ca="1"/>
        <v>#NAME?</v>
      </c>
      <c r="W95" s="147" t="e">
        <f t="shared" ca="1" si="5"/>
        <v>#NAME?</v>
      </c>
      <c r="X95" s="147" t="e">
        <f t="shared" ca="1" si="6"/>
        <v>#NAME?</v>
      </c>
      <c r="Y95" s="147" t="e">
        <f t="shared" ca="1" si="7"/>
        <v>#NAME?</v>
      </c>
      <c r="Z95" s="147"/>
      <c r="AA95" s="147"/>
      <c r="AB95" s="147"/>
      <c r="AC95" s="147"/>
      <c r="AD95" s="147"/>
      <c r="AE95" s="147"/>
      <c r="AF95" s="147"/>
      <c r="AG95" s="147"/>
      <c r="AH95" s="147"/>
      <c r="AI95" s="147"/>
      <c r="AJ95" s="147"/>
      <c r="AK95" s="147"/>
      <c r="AL95" s="147"/>
      <c r="AM95" s="151"/>
      <c r="AN95" s="148" t="str">
        <f ca="1">IFERROR(__xludf.DUMMYFUNCTION("""COMPUTED_VALUE"""),"203757")</f>
        <v>203757</v>
      </c>
      <c r="AO95" s="147" t="str">
        <f t="shared" ca="1" si="8"/>
        <v>DEV</v>
      </c>
      <c r="AP95" s="147" t="e">
        <f t="shared" ca="1" si="9"/>
        <v>#NAME?</v>
      </c>
      <c r="AQ95" s="147" t="str">
        <f t="shared" ca="1" si="10"/>
        <v>ONC</v>
      </c>
      <c r="AR95" s="147"/>
      <c r="AS95" s="147"/>
      <c r="AT95" s="147"/>
      <c r="AU95" s="147"/>
      <c r="AV95" s="147"/>
      <c r="AW95" s="147"/>
      <c r="AX95" s="147"/>
      <c r="AY95" s="147"/>
      <c r="AZ95" s="147"/>
      <c r="BA95" s="147"/>
      <c r="BB95" s="147"/>
      <c r="BC95" s="147"/>
      <c r="BD95" s="147"/>
      <c r="BE95" s="147"/>
      <c r="BF95" s="147"/>
      <c r="BG95" s="147"/>
      <c r="BH95" s="147"/>
      <c r="BI95" s="147"/>
      <c r="BJ95" s="147"/>
      <c r="BK95" s="147"/>
      <c r="BL95" s="147"/>
      <c r="BM95" s="147"/>
      <c r="BN95" s="147"/>
      <c r="BO95" s="147"/>
      <c r="BP95" s="147"/>
      <c r="BQ95" s="147"/>
      <c r="BR95" s="147"/>
      <c r="BS95" s="147"/>
      <c r="BT95" s="147"/>
      <c r="BU95" s="147"/>
      <c r="BV95" s="147"/>
      <c r="BW95" s="147"/>
      <c r="BX95" s="147"/>
      <c r="BY95" s="147"/>
      <c r="BZ95" s="147"/>
      <c r="CA95" s="147"/>
      <c r="CB95" s="147"/>
      <c r="CC95" s="147"/>
      <c r="CD95" s="147"/>
      <c r="CE95" s="147"/>
      <c r="CF95" s="147"/>
      <c r="CG95" s="147"/>
      <c r="CH95" s="147"/>
      <c r="CI95" s="147"/>
      <c r="CJ95" s="147"/>
      <c r="CK95" s="147"/>
    </row>
    <row r="96" spans="1:89">
      <c r="A96" s="159" t="s">
        <v>313</v>
      </c>
      <c r="B96" s="3" t="s">
        <v>314</v>
      </c>
      <c r="C96" s="160" t="s">
        <v>59</v>
      </c>
      <c r="D96" s="160" t="s">
        <v>853</v>
      </c>
      <c r="E96" s="3" t="s">
        <v>22</v>
      </c>
      <c r="F96" s="3" t="s">
        <v>917</v>
      </c>
      <c r="G96" s="3" t="s">
        <v>940</v>
      </c>
      <c r="H96" s="156" t="str">
        <f ca="1">IFERROR(
  _xludf.MINIFS(ATTENDANCE_LOG!$F:$F,
         ATTENDANCE_LOG!$A:$A, C96,
         ATTENDANCE_LOG!$B:$B, E96),
"")</f>
        <v/>
      </c>
      <c r="I96" s="156" t="str">
        <f t="shared" ca="1" si="0"/>
        <v/>
      </c>
      <c r="J96" s="3">
        <f>IFERROR(VLOOKUP(F96, LEVEL_HELPER!$A:$B, 2, 0), "")</f>
        <v>3</v>
      </c>
      <c r="K96" s="3">
        <f>IFERROR(VLOOKUP(G96, LEVEL_HELPER!$A:$B, 2, 0), "")</f>
        <v>5</v>
      </c>
      <c r="L96" s="157" t="s">
        <v>930</v>
      </c>
      <c r="M96" s="157" t="s">
        <v>922</v>
      </c>
      <c r="N96" s="3">
        <f t="array" aca="1" ref="N96" ca="1">IFERROR(
  INDEX($J$2:$J$543,
    MATCH(A96&amp;TEXT(I96,"yyyy-mm-dd"),
          $A$2:$A$543&amp;TEXT($H$2:$H$543,"yyyy-mm-dd"),
          0)),
"")</f>
        <v>1</v>
      </c>
      <c r="O96" s="147" t="str">
        <f t="shared" ca="1" si="1"/>
        <v/>
      </c>
      <c r="P96" s="147">
        <f t="shared" ref="P96:Q96" ca="1" si="105">IF(N96="",0,IF(N96&lt;=2,1,IF(N96&lt;=4,2,IF(N96&lt;=5.5,3,4))))</f>
        <v>1</v>
      </c>
      <c r="Q96" s="147">
        <f t="shared" ca="1" si="105"/>
        <v>0</v>
      </c>
      <c r="R96" s="147" t="str">
        <f t="shared" ca="1" si="3"/>
        <v>Regressed</v>
      </c>
      <c r="S96" s="147">
        <f t="shared" si="4"/>
        <v>0</v>
      </c>
      <c r="T96" s="147"/>
      <c r="U96" s="147"/>
      <c r="V96" s="148" t="e">
        <f ca="1"/>
        <v>#NAME?</v>
      </c>
      <c r="W96" s="147" t="e">
        <f t="shared" ca="1" si="5"/>
        <v>#NAME?</v>
      </c>
      <c r="X96" s="147" t="e">
        <f t="shared" ca="1" si="6"/>
        <v>#NAME?</v>
      </c>
      <c r="Y96" s="147" t="e">
        <f t="shared" ca="1" si="7"/>
        <v>#NAME?</v>
      </c>
      <c r="Z96" s="147"/>
      <c r="AA96" s="147"/>
      <c r="AB96" s="147"/>
      <c r="AC96" s="147"/>
      <c r="AD96" s="147"/>
      <c r="AE96" s="147"/>
      <c r="AF96" s="147"/>
      <c r="AG96" s="147"/>
      <c r="AH96" s="147"/>
      <c r="AI96" s="147"/>
      <c r="AJ96" s="147"/>
      <c r="AK96" s="147"/>
      <c r="AL96" s="147"/>
      <c r="AM96" s="151"/>
      <c r="AN96" s="148" t="str">
        <f ca="1">IFERROR(__xludf.DUMMYFUNCTION("""COMPUTED_VALUE"""),"213911")</f>
        <v>213911</v>
      </c>
      <c r="AO96" s="147" t="str">
        <f t="shared" ca="1" si="8"/>
        <v>DEV</v>
      </c>
      <c r="AP96" s="147" t="e">
        <f t="shared" ca="1" si="9"/>
        <v>#NAME?</v>
      </c>
      <c r="AQ96" s="147" t="str">
        <f t="shared" ca="1" si="10"/>
        <v>ONC</v>
      </c>
      <c r="AR96" s="147"/>
      <c r="AS96" s="147"/>
      <c r="AT96" s="147"/>
      <c r="AU96" s="147"/>
      <c r="AV96" s="147"/>
      <c r="AW96" s="147"/>
      <c r="AX96" s="147"/>
      <c r="AY96" s="147"/>
      <c r="AZ96" s="147"/>
      <c r="BA96" s="147"/>
      <c r="BB96" s="147"/>
      <c r="BC96" s="147"/>
      <c r="BD96" s="147"/>
      <c r="BE96" s="147"/>
      <c r="BF96" s="147"/>
      <c r="BG96" s="147"/>
      <c r="BH96" s="147"/>
      <c r="BI96" s="147"/>
      <c r="BJ96" s="147"/>
      <c r="BK96" s="147"/>
      <c r="BL96" s="147"/>
      <c r="BM96" s="147"/>
      <c r="BN96" s="147"/>
      <c r="BO96" s="147"/>
      <c r="BP96" s="147"/>
      <c r="BQ96" s="147"/>
      <c r="BR96" s="147"/>
      <c r="BS96" s="147"/>
      <c r="BT96" s="147"/>
      <c r="BU96" s="147"/>
      <c r="BV96" s="147"/>
      <c r="BW96" s="147"/>
      <c r="BX96" s="147"/>
      <c r="BY96" s="147"/>
      <c r="BZ96" s="147"/>
      <c r="CA96" s="147"/>
      <c r="CB96" s="147"/>
      <c r="CC96" s="147"/>
      <c r="CD96" s="147"/>
      <c r="CE96" s="147"/>
      <c r="CF96" s="147"/>
      <c r="CG96" s="147"/>
      <c r="CH96" s="147"/>
      <c r="CI96" s="147"/>
      <c r="CJ96" s="147"/>
      <c r="CK96" s="147"/>
    </row>
    <row r="97" spans="1:89">
      <c r="A97" s="159" t="s">
        <v>411</v>
      </c>
      <c r="B97" s="3" t="s">
        <v>412</v>
      </c>
      <c r="C97" s="160" t="s">
        <v>59</v>
      </c>
      <c r="D97" s="160" t="s">
        <v>853</v>
      </c>
      <c r="E97" s="3" t="s">
        <v>22</v>
      </c>
      <c r="F97" s="3" t="s">
        <v>928</v>
      </c>
      <c r="G97" s="3" t="s">
        <v>940</v>
      </c>
      <c r="H97" s="156" t="str">
        <f ca="1">IFERROR(
  _xludf.MINIFS(ATTENDANCE_LOG!$F:$F,
         ATTENDANCE_LOG!$A:$A, C97,
         ATTENDANCE_LOG!$B:$B, E97),
"")</f>
        <v/>
      </c>
      <c r="I97" s="156" t="str">
        <f t="shared" ca="1" si="0"/>
        <v/>
      </c>
      <c r="J97" s="3">
        <f>IFERROR(VLOOKUP(F97, LEVEL_HELPER!$A:$B, 2, 0), "")</f>
        <v>1.5</v>
      </c>
      <c r="K97" s="3">
        <f>IFERROR(VLOOKUP(G97, LEVEL_HELPER!$A:$B, 2, 0), "")</f>
        <v>5</v>
      </c>
      <c r="L97" s="157" t="s">
        <v>930</v>
      </c>
      <c r="M97" s="157" t="s">
        <v>922</v>
      </c>
      <c r="N97" s="3">
        <f t="array" aca="1" ref="N97" ca="1">IFERROR(
  INDEX($J$2:$J$543,
    MATCH(A97&amp;TEXT(I97,"yyyy-mm-dd"),
          $A$2:$A$543&amp;TEXT($H$2:$H$543,"yyyy-mm-dd"),
          0)),
"")</f>
        <v>2.5</v>
      </c>
      <c r="O97" s="147" t="str">
        <f t="shared" ca="1" si="1"/>
        <v/>
      </c>
      <c r="P97" s="147">
        <f t="shared" ref="P97:Q97" ca="1" si="106">IF(N97="",0,IF(N97&lt;=2,1,IF(N97&lt;=4,2,IF(N97&lt;=5.5,3,4))))</f>
        <v>2</v>
      </c>
      <c r="Q97" s="147">
        <f t="shared" ca="1" si="106"/>
        <v>0</v>
      </c>
      <c r="R97" s="147" t="str">
        <f t="shared" ca="1" si="3"/>
        <v>Regressed</v>
      </c>
      <c r="S97" s="147">
        <f t="shared" si="4"/>
        <v>0</v>
      </c>
      <c r="T97" s="147"/>
      <c r="U97" s="147"/>
      <c r="V97" s="148" t="e">
        <f ca="1"/>
        <v>#NAME?</v>
      </c>
      <c r="W97" s="147" t="e">
        <f t="shared" ca="1" si="5"/>
        <v>#NAME?</v>
      </c>
      <c r="X97" s="147" t="e">
        <f t="shared" ca="1" si="6"/>
        <v>#NAME?</v>
      </c>
      <c r="Y97" s="147" t="e">
        <f t="shared" ca="1" si="7"/>
        <v>#NAME?</v>
      </c>
      <c r="Z97" s="147"/>
      <c r="AA97" s="147"/>
      <c r="AB97" s="147"/>
      <c r="AC97" s="147"/>
      <c r="AD97" s="147"/>
      <c r="AE97" s="147"/>
      <c r="AF97" s="147"/>
      <c r="AG97" s="147"/>
      <c r="AH97" s="147"/>
      <c r="AI97" s="147"/>
      <c r="AJ97" s="147"/>
      <c r="AK97" s="147"/>
      <c r="AL97" s="147"/>
      <c r="AM97" s="151"/>
      <c r="AN97" s="148" t="str">
        <f ca="1">IFERROR(__xludf.DUMMYFUNCTION("""COMPUTED_VALUE"""),"203791")</f>
        <v>203791</v>
      </c>
      <c r="AO97" s="147" t="str">
        <f t="shared" ca="1" si="8"/>
        <v>DEV</v>
      </c>
      <c r="AP97" s="147" t="e">
        <f t="shared" ca="1" si="9"/>
        <v>#NAME?</v>
      </c>
      <c r="AQ97" s="147" t="str">
        <f t="shared" ca="1" si="10"/>
        <v>ONC</v>
      </c>
      <c r="AR97" s="147"/>
      <c r="AS97" s="147"/>
      <c r="AT97" s="147"/>
      <c r="AU97" s="147"/>
      <c r="AV97" s="147"/>
      <c r="AW97" s="147"/>
      <c r="AX97" s="147"/>
      <c r="AY97" s="147"/>
      <c r="AZ97" s="147"/>
      <c r="BA97" s="147"/>
      <c r="BB97" s="147"/>
      <c r="BC97" s="147"/>
      <c r="BD97" s="147"/>
      <c r="BE97" s="147"/>
      <c r="BF97" s="147"/>
      <c r="BG97" s="147"/>
      <c r="BH97" s="147"/>
      <c r="BI97" s="147"/>
      <c r="BJ97" s="147"/>
      <c r="BK97" s="147"/>
      <c r="BL97" s="147"/>
      <c r="BM97" s="147"/>
      <c r="BN97" s="147"/>
      <c r="BO97" s="147"/>
      <c r="BP97" s="147"/>
      <c r="BQ97" s="147"/>
      <c r="BR97" s="147"/>
      <c r="BS97" s="147"/>
      <c r="BT97" s="147"/>
      <c r="BU97" s="147"/>
      <c r="BV97" s="147"/>
      <c r="BW97" s="147"/>
      <c r="BX97" s="147"/>
      <c r="BY97" s="147"/>
      <c r="BZ97" s="147"/>
      <c r="CA97" s="147"/>
      <c r="CB97" s="147"/>
      <c r="CC97" s="147"/>
      <c r="CD97" s="147"/>
      <c r="CE97" s="147"/>
      <c r="CF97" s="147"/>
      <c r="CG97" s="147"/>
      <c r="CH97" s="147"/>
      <c r="CI97" s="147"/>
      <c r="CJ97" s="147"/>
      <c r="CK97" s="147"/>
    </row>
    <row r="98" spans="1:89">
      <c r="A98" s="159" t="s">
        <v>451</v>
      </c>
      <c r="B98" s="3" t="s">
        <v>452</v>
      </c>
      <c r="C98" s="160" t="s">
        <v>59</v>
      </c>
      <c r="D98" s="160" t="s">
        <v>853</v>
      </c>
      <c r="E98" s="3" t="s">
        <v>22</v>
      </c>
      <c r="F98" s="3" t="s">
        <v>934</v>
      </c>
      <c r="G98" s="3" t="s">
        <v>937</v>
      </c>
      <c r="H98" s="156" t="str">
        <f ca="1">IFERROR(
  _xludf.MINIFS(ATTENDANCE_LOG!$F:$F,
         ATTENDANCE_LOG!$A:$A, C98,
         ATTENDANCE_LOG!$B:$B, E98),
"")</f>
        <v/>
      </c>
      <c r="I98" s="156" t="str">
        <f t="shared" ca="1" si="0"/>
        <v/>
      </c>
      <c r="J98" s="3">
        <f>IFERROR(VLOOKUP(F98, LEVEL_HELPER!$A:$B, 2, 0), "")</f>
        <v>3.5</v>
      </c>
      <c r="K98" s="3">
        <f>IFERROR(VLOOKUP(G98, LEVEL_HELPER!$A:$B, 2, 0), "")</f>
        <v>5.5</v>
      </c>
      <c r="L98" s="157" t="s">
        <v>930</v>
      </c>
      <c r="M98" s="157" t="s">
        <v>922</v>
      </c>
      <c r="N98" s="3">
        <f t="array" aca="1" ref="N98" ca="1">IFERROR(
  INDEX($J$2:$J$543,
    MATCH(A98&amp;TEXT(I98,"yyyy-mm-dd"),
          $A$2:$A$543&amp;TEXT($H$2:$H$543,"yyyy-mm-dd"),
          0)),
"")</f>
        <v>1</v>
      </c>
      <c r="O98" s="147" t="str">
        <f t="shared" ca="1" si="1"/>
        <v/>
      </c>
      <c r="P98" s="147">
        <f t="shared" ref="P98:Q98" ca="1" si="107">IF(N98="",0,IF(N98&lt;=2,1,IF(N98&lt;=4,2,IF(N98&lt;=5.5,3,4))))</f>
        <v>1</v>
      </c>
      <c r="Q98" s="147">
        <f t="shared" ca="1" si="107"/>
        <v>0</v>
      </c>
      <c r="R98" s="147" t="str">
        <f t="shared" ca="1" si="3"/>
        <v>Regressed</v>
      </c>
      <c r="S98" s="147">
        <f t="shared" si="4"/>
        <v>0</v>
      </c>
      <c r="T98" s="147"/>
      <c r="U98" s="147"/>
      <c r="V98" s="148" t="e">
        <f ca="1"/>
        <v>#NAME?</v>
      </c>
      <c r="W98" s="147" t="e">
        <f t="shared" ca="1" si="5"/>
        <v>#NAME?</v>
      </c>
      <c r="X98" s="147" t="e">
        <f t="shared" ca="1" si="6"/>
        <v>#NAME?</v>
      </c>
      <c r="Y98" s="147" t="e">
        <f t="shared" ca="1" si="7"/>
        <v>#NAME?</v>
      </c>
      <c r="Z98" s="147"/>
      <c r="AA98" s="147"/>
      <c r="AB98" s="147"/>
      <c r="AC98" s="147"/>
      <c r="AD98" s="147"/>
      <c r="AE98" s="147"/>
      <c r="AF98" s="147"/>
      <c r="AG98" s="147"/>
      <c r="AH98" s="147"/>
      <c r="AI98" s="147"/>
      <c r="AJ98" s="147"/>
      <c r="AK98" s="147"/>
      <c r="AL98" s="147"/>
      <c r="AM98" s="151"/>
      <c r="AN98" s="148" t="str">
        <f ca="1">IFERROR(__xludf.DUMMYFUNCTION("""COMPUTED_VALUE"""),"237031")</f>
        <v>237031</v>
      </c>
      <c r="AO98" s="147" t="str">
        <f t="shared" ca="1" si="8"/>
        <v>DEV</v>
      </c>
      <c r="AP98" s="147" t="e">
        <f t="shared" ca="1" si="9"/>
        <v>#NAME?</v>
      </c>
      <c r="AQ98" s="147" t="str">
        <f t="shared" ca="1" si="10"/>
        <v>ONC</v>
      </c>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7"/>
      <c r="BN98" s="147"/>
      <c r="BO98" s="147"/>
      <c r="BP98" s="147"/>
      <c r="BQ98" s="147"/>
      <c r="BR98" s="147"/>
      <c r="BS98" s="147"/>
      <c r="BT98" s="147"/>
      <c r="BU98" s="147"/>
      <c r="BV98" s="147"/>
      <c r="BW98" s="147"/>
      <c r="BX98" s="147"/>
      <c r="BY98" s="147"/>
      <c r="BZ98" s="147"/>
      <c r="CA98" s="147"/>
      <c r="CB98" s="147"/>
      <c r="CC98" s="147"/>
      <c r="CD98" s="147"/>
      <c r="CE98" s="147"/>
      <c r="CF98" s="147"/>
      <c r="CG98" s="147"/>
      <c r="CH98" s="147"/>
      <c r="CI98" s="147"/>
      <c r="CJ98" s="147"/>
      <c r="CK98" s="147"/>
    </row>
    <row r="99" spans="1:89">
      <c r="A99" s="159" t="s">
        <v>466</v>
      </c>
      <c r="B99" s="3" t="s">
        <v>467</v>
      </c>
      <c r="C99" s="160" t="s">
        <v>59</v>
      </c>
      <c r="D99" s="160" t="s">
        <v>853</v>
      </c>
      <c r="E99" s="3" t="s">
        <v>22</v>
      </c>
      <c r="F99" s="3" t="s">
        <v>928</v>
      </c>
      <c r="G99" s="3" t="s">
        <v>917</v>
      </c>
      <c r="H99" s="156" t="str">
        <f ca="1">IFERROR(
  _xludf.MINIFS(ATTENDANCE_LOG!$F:$F,
         ATTENDANCE_LOG!$A:$A, C99,
         ATTENDANCE_LOG!$B:$B, E99),
"")</f>
        <v/>
      </c>
      <c r="I99" s="156" t="str">
        <f t="shared" ca="1" si="0"/>
        <v/>
      </c>
      <c r="J99" s="3">
        <f>IFERROR(VLOOKUP(F99, LEVEL_HELPER!$A:$B, 2, 0), "")</f>
        <v>1.5</v>
      </c>
      <c r="K99" s="3">
        <f>IFERROR(VLOOKUP(G99, LEVEL_HELPER!$A:$B, 2, 0), "")</f>
        <v>3</v>
      </c>
      <c r="L99" s="157" t="s">
        <v>930</v>
      </c>
      <c r="M99" s="157" t="s">
        <v>922</v>
      </c>
      <c r="N99" s="3">
        <f t="array" aca="1" ref="N99" ca="1">IFERROR(
  INDEX($J$2:$J$543,
    MATCH(A99&amp;TEXT(I99,"yyyy-mm-dd"),
          $A$2:$A$543&amp;TEXT($H$2:$H$543,"yyyy-mm-dd"),
          0)),
"")</f>
        <v>1</v>
      </c>
      <c r="O99" s="147" t="str">
        <f t="shared" ca="1" si="1"/>
        <v/>
      </c>
      <c r="P99" s="147">
        <f t="shared" ref="P99:Q99" ca="1" si="108">IF(N99="",0,IF(N99&lt;=2,1,IF(N99&lt;=4,2,IF(N99&lt;=5.5,3,4))))</f>
        <v>1</v>
      </c>
      <c r="Q99" s="147">
        <f t="shared" ca="1" si="108"/>
        <v>0</v>
      </c>
      <c r="R99" s="147" t="str">
        <f t="shared" ca="1" si="3"/>
        <v>Regressed</v>
      </c>
      <c r="S99" s="147">
        <f t="shared" si="4"/>
        <v>0</v>
      </c>
      <c r="T99" s="147"/>
      <c r="U99" s="147"/>
      <c r="V99" s="148" t="e">
        <f ca="1"/>
        <v>#NAME?</v>
      </c>
      <c r="W99" s="147" t="e">
        <f t="shared" ca="1" si="5"/>
        <v>#NAME?</v>
      </c>
      <c r="X99" s="147" t="e">
        <f t="shared" ca="1" si="6"/>
        <v>#NAME?</v>
      </c>
      <c r="Y99" s="147" t="e">
        <f t="shared" ca="1" si="7"/>
        <v>#NAME?</v>
      </c>
      <c r="Z99" s="147"/>
      <c r="AA99" s="147"/>
      <c r="AB99" s="147"/>
      <c r="AC99" s="147"/>
      <c r="AD99" s="147"/>
      <c r="AE99" s="147"/>
      <c r="AF99" s="147"/>
      <c r="AG99" s="147"/>
      <c r="AH99" s="147"/>
      <c r="AI99" s="147"/>
      <c r="AJ99" s="147"/>
      <c r="AK99" s="147"/>
      <c r="AL99" s="147"/>
      <c r="AM99" s="151"/>
      <c r="AN99" s="148" t="str">
        <f ca="1">IFERROR(__xludf.DUMMYFUNCTION("""COMPUTED_VALUE"""),"203713")</f>
        <v>203713</v>
      </c>
      <c r="AO99" s="147" t="str">
        <f t="shared" ca="1" si="8"/>
        <v>DEV</v>
      </c>
      <c r="AP99" s="147" t="e">
        <f t="shared" ca="1" si="9"/>
        <v>#NAME?</v>
      </c>
      <c r="AQ99" s="147" t="str">
        <f t="shared" ca="1" si="10"/>
        <v>ONC</v>
      </c>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7"/>
      <c r="BN99" s="147"/>
      <c r="BO99" s="147"/>
      <c r="BP99" s="147"/>
      <c r="BQ99" s="147"/>
      <c r="BR99" s="147"/>
      <c r="BS99" s="147"/>
      <c r="BT99" s="147"/>
      <c r="BU99" s="147"/>
      <c r="BV99" s="147"/>
      <c r="BW99" s="147"/>
      <c r="BX99" s="147"/>
      <c r="BY99" s="147"/>
      <c r="BZ99" s="147"/>
      <c r="CA99" s="147"/>
      <c r="CB99" s="147"/>
      <c r="CC99" s="147"/>
      <c r="CD99" s="147"/>
      <c r="CE99" s="147"/>
      <c r="CF99" s="147"/>
      <c r="CG99" s="147"/>
      <c r="CH99" s="147"/>
      <c r="CI99" s="147"/>
      <c r="CJ99" s="147"/>
      <c r="CK99" s="147"/>
    </row>
    <row r="100" spans="1:89">
      <c r="A100" s="159" t="s">
        <v>484</v>
      </c>
      <c r="B100" s="3" t="s">
        <v>485</v>
      </c>
      <c r="C100" s="160" t="s">
        <v>59</v>
      </c>
      <c r="D100" s="160" t="s">
        <v>853</v>
      </c>
      <c r="E100" s="3" t="s">
        <v>22</v>
      </c>
      <c r="F100" s="3" t="s">
        <v>934</v>
      </c>
      <c r="G100" s="3" t="s">
        <v>934</v>
      </c>
      <c r="H100" s="156" t="str">
        <f ca="1">IFERROR(
  _xludf.MINIFS(ATTENDANCE_LOG!$F:$F,
         ATTENDANCE_LOG!$A:$A, C100,
         ATTENDANCE_LOG!$B:$B, E100),
"")</f>
        <v/>
      </c>
      <c r="I100" s="156" t="str">
        <f t="shared" ca="1" si="0"/>
        <v/>
      </c>
      <c r="J100" s="3">
        <f>IFERROR(VLOOKUP(F100, LEVEL_HELPER!$A:$B, 2, 0), "")</f>
        <v>3.5</v>
      </c>
      <c r="K100" s="3">
        <f>IFERROR(VLOOKUP(G100, LEVEL_HELPER!$A:$B, 2, 0), "")</f>
        <v>3.5</v>
      </c>
      <c r="L100" s="157" t="s">
        <v>930</v>
      </c>
      <c r="M100" s="157" t="s">
        <v>924</v>
      </c>
      <c r="N100" s="3">
        <f t="array" aca="1" ref="N100" ca="1">IFERROR(
  INDEX($J$2:$J$543,
    MATCH(A100&amp;TEXT(I100,"yyyy-mm-dd"),
          $A$2:$A$543&amp;TEXT($H$2:$H$543,"yyyy-mm-dd"),
          0)),
"")</f>
        <v>2.5</v>
      </c>
      <c r="O100" s="147" t="str">
        <f t="shared" ca="1" si="1"/>
        <v/>
      </c>
      <c r="P100" s="147">
        <f t="shared" ref="P100:Q100" ca="1" si="109">IF(N100="",0,IF(N100&lt;=2,1,IF(N100&lt;=4,2,IF(N100&lt;=5.5,3,4))))</f>
        <v>2</v>
      </c>
      <c r="Q100" s="147">
        <f t="shared" ca="1" si="109"/>
        <v>0</v>
      </c>
      <c r="R100" s="147" t="str">
        <f t="shared" ca="1" si="3"/>
        <v>Regressed</v>
      </c>
      <c r="S100" s="147">
        <f t="shared" si="4"/>
        <v>0</v>
      </c>
      <c r="T100" s="147"/>
      <c r="U100" s="147"/>
      <c r="V100" s="148" t="e">
        <f ca="1"/>
        <v>#NAME?</v>
      </c>
      <c r="W100" s="147" t="e">
        <f t="shared" ca="1" si="5"/>
        <v>#NAME?</v>
      </c>
      <c r="X100" s="147" t="e">
        <f t="shared" ca="1" si="6"/>
        <v>#NAME?</v>
      </c>
      <c r="Y100" s="147" t="e">
        <f t="shared" ca="1" si="7"/>
        <v>#NAME?</v>
      </c>
      <c r="Z100" s="147"/>
      <c r="AA100" s="147"/>
      <c r="AB100" s="147"/>
      <c r="AC100" s="147"/>
      <c r="AD100" s="147"/>
      <c r="AE100" s="147"/>
      <c r="AF100" s="147"/>
      <c r="AG100" s="147"/>
      <c r="AH100" s="147"/>
      <c r="AI100" s="147"/>
      <c r="AJ100" s="147"/>
      <c r="AK100" s="147"/>
      <c r="AL100" s="147"/>
      <c r="AM100" s="151"/>
      <c r="AN100" s="148" t="str">
        <f ca="1">IFERROR(__xludf.DUMMYFUNCTION("""COMPUTED_VALUE"""),"213874")</f>
        <v>213874</v>
      </c>
      <c r="AO100" s="147" t="str">
        <f t="shared" ca="1" si="8"/>
        <v>DEV</v>
      </c>
      <c r="AP100" s="147" t="e">
        <f t="shared" ca="1" si="9"/>
        <v>#NAME?</v>
      </c>
      <c r="AQ100" s="147" t="str">
        <f t="shared" ca="1" si="10"/>
        <v>ONC</v>
      </c>
      <c r="AR100" s="147"/>
      <c r="AS100" s="147"/>
      <c r="AT100" s="147"/>
      <c r="AU100" s="147"/>
      <c r="AV100" s="147"/>
      <c r="AW100" s="147"/>
      <c r="AX100" s="147"/>
      <c r="AY100" s="147"/>
      <c r="AZ100" s="147"/>
      <c r="BA100" s="147"/>
      <c r="BB100" s="147"/>
      <c r="BC100" s="147"/>
      <c r="BD100" s="147"/>
      <c r="BE100" s="147"/>
      <c r="BF100" s="147"/>
      <c r="BG100" s="147"/>
      <c r="BH100" s="147"/>
      <c r="BI100" s="147"/>
      <c r="BJ100" s="147"/>
      <c r="BK100" s="147"/>
      <c r="BL100" s="147"/>
      <c r="BM100" s="147"/>
      <c r="BN100" s="147"/>
      <c r="BO100" s="147"/>
      <c r="BP100" s="147"/>
      <c r="BQ100" s="147"/>
      <c r="BR100" s="147"/>
      <c r="BS100" s="147"/>
      <c r="BT100" s="147"/>
      <c r="BU100" s="147"/>
      <c r="BV100" s="147"/>
      <c r="BW100" s="147"/>
      <c r="BX100" s="147"/>
      <c r="BY100" s="147"/>
      <c r="BZ100" s="147"/>
      <c r="CA100" s="147"/>
      <c r="CB100" s="147"/>
      <c r="CC100" s="147"/>
      <c r="CD100" s="147"/>
      <c r="CE100" s="147"/>
      <c r="CF100" s="147"/>
      <c r="CG100" s="147"/>
      <c r="CH100" s="147"/>
      <c r="CI100" s="147"/>
      <c r="CJ100" s="147"/>
      <c r="CK100" s="147"/>
    </row>
    <row r="101" spans="1:89">
      <c r="A101" s="159" t="s">
        <v>547</v>
      </c>
      <c r="B101" s="3" t="s">
        <v>548</v>
      </c>
      <c r="C101" s="160" t="s">
        <v>59</v>
      </c>
      <c r="D101" s="160" t="s">
        <v>853</v>
      </c>
      <c r="E101" s="3" t="s">
        <v>22</v>
      </c>
      <c r="F101" s="3" t="s">
        <v>931</v>
      </c>
      <c r="G101" s="3" t="s">
        <v>940</v>
      </c>
      <c r="H101" s="156" t="str">
        <f ca="1">IFERROR(
  _xludf.MINIFS(ATTENDANCE_LOG!$F:$F,
         ATTENDANCE_LOG!$A:$A, C101,
         ATTENDANCE_LOG!$B:$B, E101),
"")</f>
        <v/>
      </c>
      <c r="I101" s="156" t="str">
        <f t="shared" ca="1" si="0"/>
        <v/>
      </c>
      <c r="J101" s="3">
        <f>IFERROR(VLOOKUP(F101, LEVEL_HELPER!$A:$B, 2, 0), "")</f>
        <v>4.5</v>
      </c>
      <c r="K101" s="3">
        <f>IFERROR(VLOOKUP(G101, LEVEL_HELPER!$A:$B, 2, 0), "")</f>
        <v>5</v>
      </c>
      <c r="L101" s="157" t="s">
        <v>930</v>
      </c>
      <c r="M101" s="157" t="s">
        <v>922</v>
      </c>
      <c r="N101" s="3">
        <f t="array" aca="1" ref="N101" ca="1">IFERROR(
  INDEX($J$2:$J$543,
    MATCH(A101&amp;TEXT(I101,"yyyy-mm-dd"),
          $A$2:$A$543&amp;TEXT($H$2:$H$543,"yyyy-mm-dd"),
          0)),
"")</f>
        <v>4.5</v>
      </c>
      <c r="O101" s="147" t="str">
        <f t="shared" ca="1" si="1"/>
        <v/>
      </c>
      <c r="P101" s="147">
        <f t="shared" ref="P101:Q101" ca="1" si="110">IF(N101="",0,IF(N101&lt;=2,1,IF(N101&lt;=4,2,IF(N101&lt;=5.5,3,4))))</f>
        <v>3</v>
      </c>
      <c r="Q101" s="147">
        <f t="shared" ca="1" si="110"/>
        <v>0</v>
      </c>
      <c r="R101" s="147" t="str">
        <f t="shared" ca="1" si="3"/>
        <v>Regressed</v>
      </c>
      <c r="S101" s="147">
        <f t="shared" si="4"/>
        <v>0</v>
      </c>
      <c r="T101" s="147"/>
      <c r="U101" s="147"/>
      <c r="V101" s="148" t="e">
        <f ca="1"/>
        <v>#NAME?</v>
      </c>
      <c r="W101" s="147" t="e">
        <f t="shared" ca="1" si="5"/>
        <v>#NAME?</v>
      </c>
      <c r="X101" s="147" t="e">
        <f t="shared" ca="1" si="6"/>
        <v>#NAME?</v>
      </c>
      <c r="Y101" s="147" t="e">
        <f t="shared" ca="1" si="7"/>
        <v>#NAME?</v>
      </c>
      <c r="Z101" s="147"/>
      <c r="AA101" s="147"/>
      <c r="AB101" s="147"/>
      <c r="AC101" s="147"/>
      <c r="AD101" s="147"/>
      <c r="AE101" s="147"/>
      <c r="AF101" s="147"/>
      <c r="AG101" s="147"/>
      <c r="AH101" s="147"/>
      <c r="AI101" s="147"/>
      <c r="AJ101" s="147"/>
      <c r="AK101" s="147"/>
      <c r="AL101" s="147"/>
      <c r="AM101" s="151"/>
      <c r="AN101" s="148" t="str">
        <f ca="1">IFERROR(__xludf.DUMMYFUNCTION("""COMPUTED_VALUE"""),"203725")</f>
        <v>203725</v>
      </c>
      <c r="AO101" s="147" t="str">
        <f t="shared" ca="1" si="8"/>
        <v>DEV</v>
      </c>
      <c r="AP101" s="147" t="e">
        <f t="shared" ca="1" si="9"/>
        <v>#NAME?</v>
      </c>
      <c r="AQ101" s="147" t="str">
        <f t="shared" ca="1" si="10"/>
        <v>ONC</v>
      </c>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c r="BM101" s="147"/>
      <c r="BN101" s="147"/>
      <c r="BO101" s="147"/>
      <c r="BP101" s="147"/>
      <c r="BQ101" s="147"/>
      <c r="BR101" s="147"/>
      <c r="BS101" s="147"/>
      <c r="BT101" s="147"/>
      <c r="BU101" s="147"/>
      <c r="BV101" s="147"/>
      <c r="BW101" s="147"/>
      <c r="BX101" s="147"/>
      <c r="BY101" s="147"/>
      <c r="BZ101" s="147"/>
      <c r="CA101" s="147"/>
      <c r="CB101" s="147"/>
      <c r="CC101" s="147"/>
      <c r="CD101" s="147"/>
      <c r="CE101" s="147"/>
      <c r="CF101" s="147"/>
      <c r="CG101" s="147"/>
      <c r="CH101" s="147"/>
      <c r="CI101" s="147"/>
      <c r="CJ101" s="147"/>
      <c r="CK101" s="147"/>
    </row>
    <row r="102" spans="1:89">
      <c r="A102" s="153" t="s">
        <v>627</v>
      </c>
      <c r="B102" s="154" t="s">
        <v>628</v>
      </c>
      <c r="C102" s="155" t="s">
        <v>60</v>
      </c>
      <c r="D102" s="155" t="s">
        <v>854</v>
      </c>
      <c r="E102" s="154" t="s">
        <v>21</v>
      </c>
      <c r="F102" s="3" t="s">
        <v>926</v>
      </c>
      <c r="G102" s="3" t="s">
        <v>916</v>
      </c>
      <c r="H102" s="156" t="str">
        <f ca="1">IFERROR(
  _xludf.MINIFS(ATTENDANCE_LOG!$F:$F,
         ATTENDANCE_LOG!$A:$A, C102,
         ATTENDANCE_LOG!$B:$B, E102),
"")</f>
        <v/>
      </c>
      <c r="I102" s="156" t="str">
        <f t="shared" ca="1" si="0"/>
        <v/>
      </c>
      <c r="J102" s="3">
        <f>IFERROR(VLOOKUP(F102, LEVEL_HELPER!$A:$B, 2, 0), "")</f>
        <v>1</v>
      </c>
      <c r="K102" s="3">
        <f>IFERROR(VLOOKUP(G102, LEVEL_HELPER!$A:$B, 2, 0), "")</f>
        <v>2.5</v>
      </c>
      <c r="L102" s="157" t="s">
        <v>944</v>
      </c>
      <c r="M102" s="157" t="s">
        <v>921</v>
      </c>
      <c r="N102" s="3">
        <f t="array" aca="1" ref="N102" ca="1">IFERROR(
  INDEX($J$2:$J$543,
    MATCH(A102&amp;TEXT(I102,"yyyy-mm-dd"),
          $A$2:$A$543&amp;TEXT($H$2:$H$543,"yyyy-mm-dd"),
          0)),
"")</f>
        <v>1</v>
      </c>
      <c r="O102" s="147" t="str">
        <f t="shared" ca="1" si="1"/>
        <v/>
      </c>
      <c r="P102" s="147">
        <f t="shared" ref="P102:Q102" ca="1" si="111">IF(N102="",0,IF(N102&lt;=2,1,IF(N102&lt;=4,2,IF(N102&lt;=5.5,3,4))))</f>
        <v>1</v>
      </c>
      <c r="Q102" s="147">
        <f t="shared" ca="1" si="111"/>
        <v>0</v>
      </c>
      <c r="R102" s="147" t="str">
        <f t="shared" ca="1" si="3"/>
        <v>Regressed</v>
      </c>
      <c r="S102" s="147">
        <f t="shared" si="4"/>
        <v>1</v>
      </c>
      <c r="T102" s="147"/>
      <c r="U102" s="147"/>
      <c r="V102" s="148" t="e">
        <f ca="1"/>
        <v>#NAME?</v>
      </c>
      <c r="W102" s="147" t="e">
        <f t="shared" ca="1" si="5"/>
        <v>#NAME?</v>
      </c>
      <c r="X102" s="147" t="e">
        <f t="shared" ca="1" si="6"/>
        <v>#NAME?</v>
      </c>
      <c r="Y102" s="147" t="e">
        <f t="shared" ca="1" si="7"/>
        <v>#NAME?</v>
      </c>
      <c r="Z102" s="147"/>
      <c r="AA102" s="147"/>
      <c r="AB102" s="147"/>
      <c r="AC102" s="147"/>
      <c r="AD102" s="147"/>
      <c r="AE102" s="147"/>
      <c r="AF102" s="147"/>
      <c r="AG102" s="147"/>
      <c r="AH102" s="147"/>
      <c r="AI102" s="147"/>
      <c r="AJ102" s="147"/>
      <c r="AK102" s="147"/>
      <c r="AL102" s="147"/>
      <c r="AM102" s="151"/>
      <c r="AN102" s="148" t="str">
        <f ca="1">IFERROR(__xludf.DUMMYFUNCTION("""COMPUTED_VALUE"""),"227005")</f>
        <v>227005</v>
      </c>
      <c r="AO102" s="147" t="str">
        <f t="shared" ca="1" si="8"/>
        <v>IM</v>
      </c>
      <c r="AP102" s="147" t="e">
        <f t="shared" ca="1" si="9"/>
        <v>#NAME?</v>
      </c>
      <c r="AQ102" s="147" t="str">
        <f t="shared" ca="1" si="10"/>
        <v>CHORUS</v>
      </c>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c r="BM102" s="147"/>
      <c r="BN102" s="147"/>
      <c r="BO102" s="147"/>
      <c r="BP102" s="147"/>
      <c r="BQ102" s="147"/>
      <c r="BR102" s="147"/>
      <c r="BS102" s="147"/>
      <c r="BT102" s="147"/>
      <c r="BU102" s="147"/>
      <c r="BV102" s="147"/>
      <c r="BW102" s="147"/>
      <c r="BX102" s="147"/>
      <c r="BY102" s="147"/>
      <c r="BZ102" s="147"/>
      <c r="CA102" s="147"/>
      <c r="CB102" s="147"/>
      <c r="CC102" s="147"/>
      <c r="CD102" s="147"/>
      <c r="CE102" s="147"/>
      <c r="CF102" s="147"/>
      <c r="CG102" s="147"/>
      <c r="CH102" s="147"/>
      <c r="CI102" s="147"/>
      <c r="CJ102" s="147"/>
      <c r="CK102" s="147"/>
    </row>
    <row r="103" spans="1:89">
      <c r="A103" s="159" t="s">
        <v>216</v>
      </c>
      <c r="B103" s="3" t="s">
        <v>217</v>
      </c>
      <c r="C103" s="160" t="s">
        <v>60</v>
      </c>
      <c r="D103" s="160" t="s">
        <v>854</v>
      </c>
      <c r="E103" s="3" t="s">
        <v>21</v>
      </c>
      <c r="F103" s="3" t="s">
        <v>916</v>
      </c>
      <c r="G103" s="3" t="s">
        <v>916</v>
      </c>
      <c r="H103" s="156" t="str">
        <f ca="1">IFERROR(
  _xludf.MINIFS(ATTENDANCE_LOG!$F:$F,
         ATTENDANCE_LOG!$A:$A, C103,
         ATTENDANCE_LOG!$B:$B, E103),
"")</f>
        <v/>
      </c>
      <c r="I103" s="156" t="str">
        <f t="shared" ca="1" si="0"/>
        <v/>
      </c>
      <c r="J103" s="3">
        <f>IFERROR(VLOOKUP(F103, LEVEL_HELPER!$A:$B, 2, 0), "")</f>
        <v>2.5</v>
      </c>
      <c r="K103" s="3">
        <f>IFERROR(VLOOKUP(G103, LEVEL_HELPER!$A:$B, 2, 0), "")</f>
        <v>2.5</v>
      </c>
      <c r="L103" s="157" t="s">
        <v>942</v>
      </c>
      <c r="M103" s="157" t="s">
        <v>921</v>
      </c>
      <c r="N103" s="3">
        <f t="array" aca="1" ref="N103" ca="1">IFERROR(
  INDEX($J$2:$J$543,
    MATCH(A103&amp;TEXT(I103,"yyyy-mm-dd"),
          $A$2:$A$543&amp;TEXT($H$2:$H$543,"yyyy-mm-dd"),
          0)),
"")</f>
        <v>2.5</v>
      </c>
      <c r="O103" s="147" t="str">
        <f t="shared" ca="1" si="1"/>
        <v/>
      </c>
      <c r="P103" s="147">
        <f t="shared" ref="P103:Q103" ca="1" si="112">IF(N103="",0,IF(N103&lt;=2,1,IF(N103&lt;=4,2,IF(N103&lt;=5.5,3,4))))</f>
        <v>2</v>
      </c>
      <c r="Q103" s="147">
        <f t="shared" ca="1" si="112"/>
        <v>0</v>
      </c>
      <c r="R103" s="147" t="str">
        <f t="shared" ca="1" si="3"/>
        <v>Regressed</v>
      </c>
      <c r="S103" s="147">
        <f t="shared" si="4"/>
        <v>1</v>
      </c>
      <c r="T103" s="147"/>
      <c r="U103" s="147"/>
      <c r="V103" s="148" t="e">
        <f ca="1"/>
        <v>#NAME?</v>
      </c>
      <c r="W103" s="147" t="e">
        <f t="shared" ca="1" si="5"/>
        <v>#NAME?</v>
      </c>
      <c r="X103" s="147" t="e">
        <f t="shared" ca="1" si="6"/>
        <v>#NAME?</v>
      </c>
      <c r="Y103" s="147" t="e">
        <f t="shared" ca="1" si="7"/>
        <v>#NAME?</v>
      </c>
      <c r="Z103" s="147"/>
      <c r="AA103" s="147"/>
      <c r="AB103" s="147"/>
      <c r="AC103" s="147"/>
      <c r="AD103" s="147"/>
      <c r="AE103" s="147"/>
      <c r="AF103" s="147"/>
      <c r="AG103" s="147"/>
      <c r="AH103" s="147"/>
      <c r="AI103" s="147"/>
      <c r="AJ103" s="147"/>
      <c r="AK103" s="147"/>
      <c r="AL103" s="147"/>
      <c r="AM103" s="151"/>
      <c r="AN103" s="148" t="str">
        <f ca="1">IFERROR(__xludf.DUMMYFUNCTION("""COMPUTED_VALUE"""),"213813")</f>
        <v>213813</v>
      </c>
      <c r="AO103" s="147" t="str">
        <f t="shared" ca="1" si="8"/>
        <v>DEV</v>
      </c>
      <c r="AP103" s="147" t="e">
        <f t="shared" ca="1" si="9"/>
        <v>#NAME?</v>
      </c>
      <c r="AQ103" s="147" t="str">
        <f t="shared" ca="1" si="10"/>
        <v>LBU</v>
      </c>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7"/>
      <c r="BN103" s="147"/>
      <c r="BO103" s="147"/>
      <c r="BP103" s="147"/>
      <c r="BQ103" s="147"/>
      <c r="BR103" s="147"/>
      <c r="BS103" s="147"/>
      <c r="BT103" s="147"/>
      <c r="BU103" s="147"/>
      <c r="BV103" s="147"/>
      <c r="BW103" s="147"/>
      <c r="BX103" s="147"/>
      <c r="BY103" s="147"/>
      <c r="BZ103" s="147"/>
      <c r="CA103" s="147"/>
      <c r="CB103" s="147"/>
      <c r="CC103" s="147"/>
      <c r="CD103" s="147"/>
      <c r="CE103" s="147"/>
      <c r="CF103" s="147"/>
      <c r="CG103" s="147"/>
      <c r="CH103" s="147"/>
      <c r="CI103" s="147"/>
      <c r="CJ103" s="147"/>
      <c r="CK103" s="147"/>
    </row>
    <row r="104" spans="1:89">
      <c r="A104" s="159" t="s">
        <v>232</v>
      </c>
      <c r="B104" s="3" t="s">
        <v>233</v>
      </c>
      <c r="C104" s="160" t="s">
        <v>60</v>
      </c>
      <c r="D104" s="160" t="s">
        <v>854</v>
      </c>
      <c r="E104" s="3" t="s">
        <v>21</v>
      </c>
      <c r="F104" s="3" t="s">
        <v>926</v>
      </c>
      <c r="G104" s="3" t="s">
        <v>916</v>
      </c>
      <c r="H104" s="156" t="str">
        <f ca="1">IFERROR(
  _xludf.MINIFS(ATTENDANCE_LOG!$F:$F,
         ATTENDANCE_LOG!$A:$A, C104,
         ATTENDANCE_LOG!$B:$B, E104),
"")</f>
        <v/>
      </c>
      <c r="I104" s="156" t="str">
        <f t="shared" ca="1" si="0"/>
        <v/>
      </c>
      <c r="J104" s="3">
        <f>IFERROR(VLOOKUP(F104, LEVEL_HELPER!$A:$B, 2, 0), "")</f>
        <v>1</v>
      </c>
      <c r="K104" s="3">
        <f>IFERROR(VLOOKUP(G104, LEVEL_HELPER!$A:$B, 2, 0), "")</f>
        <v>2.5</v>
      </c>
      <c r="L104" s="157" t="s">
        <v>942</v>
      </c>
      <c r="M104" s="157" t="s">
        <v>921</v>
      </c>
      <c r="N104" s="3">
        <f t="array" aca="1" ref="N104" ca="1">IFERROR(
  INDEX($J$2:$J$543,
    MATCH(A104&amp;TEXT(I104,"yyyy-mm-dd"),
          $A$2:$A$543&amp;TEXT($H$2:$H$543,"yyyy-mm-dd"),
          0)),
"")</f>
        <v>1</v>
      </c>
      <c r="O104" s="147" t="str">
        <f t="shared" ca="1" si="1"/>
        <v/>
      </c>
      <c r="P104" s="147">
        <f t="shared" ref="P104:Q104" ca="1" si="113">IF(N104="",0,IF(N104&lt;=2,1,IF(N104&lt;=4,2,IF(N104&lt;=5.5,3,4))))</f>
        <v>1</v>
      </c>
      <c r="Q104" s="147">
        <f t="shared" ca="1" si="113"/>
        <v>0</v>
      </c>
      <c r="R104" s="147" t="str">
        <f t="shared" ca="1" si="3"/>
        <v>Regressed</v>
      </c>
      <c r="S104" s="147">
        <f t="shared" si="4"/>
        <v>1</v>
      </c>
      <c r="T104" s="147"/>
      <c r="U104" s="147"/>
      <c r="V104" s="148" t="e">
        <f ca="1"/>
        <v>#NAME?</v>
      </c>
      <c r="W104" s="147" t="e">
        <f t="shared" ca="1" si="5"/>
        <v>#NAME?</v>
      </c>
      <c r="X104" s="147" t="e">
        <f t="shared" ca="1" si="6"/>
        <v>#NAME?</v>
      </c>
      <c r="Y104" s="147" t="e">
        <f t="shared" ca="1" si="7"/>
        <v>#NAME?</v>
      </c>
      <c r="Z104" s="147"/>
      <c r="AA104" s="147"/>
      <c r="AB104" s="147"/>
      <c r="AC104" s="147"/>
      <c r="AD104" s="147"/>
      <c r="AE104" s="147"/>
      <c r="AF104" s="147"/>
      <c r="AG104" s="147"/>
      <c r="AH104" s="147"/>
      <c r="AI104" s="147"/>
      <c r="AJ104" s="147"/>
      <c r="AK104" s="147"/>
      <c r="AL104" s="147"/>
      <c r="AM104" s="151"/>
      <c r="AN104" s="148" t="str">
        <f ca="1">IFERROR(__xludf.DUMMYFUNCTION("""COMPUTED_VALUE"""),"203786")</f>
        <v>203786</v>
      </c>
      <c r="AO104" s="147" t="str">
        <f t="shared" ca="1" si="8"/>
        <v>BA</v>
      </c>
      <c r="AP104" s="147" t="e">
        <f t="shared" ca="1" si="9"/>
        <v>#NAME?</v>
      </c>
      <c r="AQ104" s="147" t="str">
        <f t="shared" ca="1" si="10"/>
        <v>LBU</v>
      </c>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7"/>
      <c r="BN104" s="147"/>
      <c r="BO104" s="147"/>
      <c r="BP104" s="147"/>
      <c r="BQ104" s="147"/>
      <c r="BR104" s="147"/>
      <c r="BS104" s="147"/>
      <c r="BT104" s="147"/>
      <c r="BU104" s="147"/>
      <c r="BV104" s="147"/>
      <c r="BW104" s="147"/>
      <c r="BX104" s="147"/>
      <c r="BY104" s="147"/>
      <c r="BZ104" s="147"/>
      <c r="CA104" s="147"/>
      <c r="CB104" s="147"/>
      <c r="CC104" s="147"/>
      <c r="CD104" s="147"/>
      <c r="CE104" s="147"/>
      <c r="CF104" s="147"/>
      <c r="CG104" s="147"/>
      <c r="CH104" s="147"/>
      <c r="CI104" s="147"/>
      <c r="CJ104" s="147"/>
      <c r="CK104" s="147"/>
    </row>
    <row r="105" spans="1:89">
      <c r="A105" s="159" t="s">
        <v>321</v>
      </c>
      <c r="B105" s="3" t="s">
        <v>322</v>
      </c>
      <c r="C105" s="160" t="s">
        <v>60</v>
      </c>
      <c r="D105" s="160" t="s">
        <v>854</v>
      </c>
      <c r="E105" s="3" t="s">
        <v>21</v>
      </c>
      <c r="F105" s="3" t="s">
        <v>926</v>
      </c>
      <c r="G105" s="3" t="s">
        <v>916</v>
      </c>
      <c r="H105" s="156" t="str">
        <f ca="1">IFERROR(
  _xludf.MINIFS(ATTENDANCE_LOG!$F:$F,
         ATTENDANCE_LOG!$A:$A, C105,
         ATTENDANCE_LOG!$B:$B, E105),
"")</f>
        <v/>
      </c>
      <c r="I105" s="156" t="str">
        <f t="shared" ca="1" si="0"/>
        <v/>
      </c>
      <c r="J105" s="3">
        <f>IFERROR(VLOOKUP(F105, LEVEL_HELPER!$A:$B, 2, 0), "")</f>
        <v>1</v>
      </c>
      <c r="K105" s="3">
        <f>IFERROR(VLOOKUP(G105, LEVEL_HELPER!$A:$B, 2, 0), "")</f>
        <v>2.5</v>
      </c>
      <c r="L105" s="157" t="s">
        <v>918</v>
      </c>
      <c r="M105" s="157" t="s">
        <v>921</v>
      </c>
      <c r="N105" s="3">
        <f t="array" aca="1" ref="N105" ca="1">IFERROR(
  INDEX($J$2:$J$543,
    MATCH(A105&amp;TEXT(I105,"yyyy-mm-dd"),
          $A$2:$A$543&amp;TEXT($H$2:$H$543,"yyyy-mm-dd"),
          0)),
"")</f>
        <v>1</v>
      </c>
      <c r="O105" s="147" t="str">
        <f t="shared" ca="1" si="1"/>
        <v/>
      </c>
      <c r="P105" s="147">
        <f t="shared" ref="P105:Q105" ca="1" si="114">IF(N105="",0,IF(N105&lt;=2,1,IF(N105&lt;=4,2,IF(N105&lt;=5.5,3,4))))</f>
        <v>1</v>
      </c>
      <c r="Q105" s="147">
        <f t="shared" ca="1" si="114"/>
        <v>0</v>
      </c>
      <c r="R105" s="147" t="str">
        <f t="shared" ca="1" si="3"/>
        <v>Regressed</v>
      </c>
      <c r="S105" s="147">
        <f t="shared" si="4"/>
        <v>1</v>
      </c>
      <c r="T105" s="147"/>
      <c r="U105" s="147"/>
      <c r="V105" s="148" t="e">
        <f ca="1"/>
        <v>#NAME?</v>
      </c>
      <c r="W105" s="147" t="e">
        <f t="shared" ca="1" si="5"/>
        <v>#NAME?</v>
      </c>
      <c r="X105" s="147" t="e">
        <f t="shared" ca="1" si="6"/>
        <v>#NAME?</v>
      </c>
      <c r="Y105" s="147" t="e">
        <f t="shared" ca="1" si="7"/>
        <v>#NAME?</v>
      </c>
      <c r="Z105" s="147"/>
      <c r="AA105" s="147"/>
      <c r="AB105" s="147"/>
      <c r="AC105" s="147"/>
      <c r="AD105" s="147"/>
      <c r="AE105" s="147"/>
      <c r="AF105" s="147"/>
      <c r="AG105" s="147"/>
      <c r="AH105" s="147"/>
      <c r="AI105" s="147"/>
      <c r="AJ105" s="147"/>
      <c r="AK105" s="147"/>
      <c r="AL105" s="147"/>
      <c r="AM105" s="151"/>
      <c r="AN105" s="148" t="str">
        <f ca="1">IFERROR(__xludf.DUMMYFUNCTION("""COMPUTED_VALUE"""),"257121")</f>
        <v>257121</v>
      </c>
      <c r="AO105" s="147" t="str">
        <f t="shared" ca="1" si="8"/>
        <v>GSD</v>
      </c>
      <c r="AP105" s="147" t="e">
        <f t="shared" ca="1" si="9"/>
        <v>#NAME?</v>
      </c>
      <c r="AQ105" s="147" t="str">
        <f t="shared" ca="1" si="10"/>
        <v>POC</v>
      </c>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7"/>
      <c r="CA105" s="147"/>
      <c r="CB105" s="147"/>
      <c r="CC105" s="147"/>
      <c r="CD105" s="147"/>
      <c r="CE105" s="147"/>
      <c r="CF105" s="147"/>
      <c r="CG105" s="147"/>
      <c r="CH105" s="147"/>
      <c r="CI105" s="147"/>
      <c r="CJ105" s="147"/>
      <c r="CK105" s="147"/>
    </row>
    <row r="106" spans="1:89">
      <c r="A106" s="159" t="s">
        <v>689</v>
      </c>
      <c r="B106" s="3" t="s">
        <v>690</v>
      </c>
      <c r="C106" s="160" t="s">
        <v>60</v>
      </c>
      <c r="D106" s="160" t="s">
        <v>854</v>
      </c>
      <c r="E106" s="3" t="s">
        <v>21</v>
      </c>
      <c r="F106" s="3" t="s">
        <v>926</v>
      </c>
      <c r="G106" s="3" t="s">
        <v>916</v>
      </c>
      <c r="H106" s="156" t="str">
        <f ca="1">IFERROR(
  _xludf.MINIFS(ATTENDANCE_LOG!$F:$F,
         ATTENDANCE_LOG!$A:$A, C106,
         ATTENDANCE_LOG!$B:$B, E106),
"")</f>
        <v/>
      </c>
      <c r="I106" s="156" t="str">
        <f t="shared" ca="1" si="0"/>
        <v/>
      </c>
      <c r="J106" s="3">
        <f>IFERROR(VLOOKUP(F106, LEVEL_HELPER!$A:$B, 2, 0), "")</f>
        <v>1</v>
      </c>
      <c r="K106" s="3">
        <f>IFERROR(VLOOKUP(G106, LEVEL_HELPER!$A:$B, 2, 0), "")</f>
        <v>2.5</v>
      </c>
      <c r="L106" s="157" t="s">
        <v>943</v>
      </c>
      <c r="M106" s="157" t="s">
        <v>921</v>
      </c>
      <c r="N106" s="3">
        <f t="array" aca="1" ref="N106" ca="1">IFERROR(
  INDEX($J$2:$J$543,
    MATCH(A106&amp;TEXT(I106,"yyyy-mm-dd"),
          $A$2:$A$543&amp;TEXT($H$2:$H$543,"yyyy-mm-dd"),
          0)),
"")</f>
        <v>1</v>
      </c>
      <c r="O106" s="147" t="str">
        <f t="shared" ca="1" si="1"/>
        <v/>
      </c>
      <c r="P106" s="147">
        <f t="shared" ref="P106:Q106" ca="1" si="115">IF(N106="",0,IF(N106&lt;=2,1,IF(N106&lt;=4,2,IF(N106&lt;=5.5,3,4))))</f>
        <v>1</v>
      </c>
      <c r="Q106" s="147">
        <f t="shared" ca="1" si="115"/>
        <v>0</v>
      </c>
      <c r="R106" s="147" t="str">
        <f t="shared" ca="1" si="3"/>
        <v>Regressed</v>
      </c>
      <c r="S106" s="147">
        <f t="shared" si="4"/>
        <v>1</v>
      </c>
      <c r="T106" s="147"/>
      <c r="U106" s="147"/>
      <c r="V106" s="148" t="e">
        <f ca="1"/>
        <v>#NAME?</v>
      </c>
      <c r="W106" s="147" t="e">
        <f t="shared" ca="1" si="5"/>
        <v>#NAME?</v>
      </c>
      <c r="X106" s="147" t="e">
        <f t="shared" ca="1" si="6"/>
        <v>#NAME?</v>
      </c>
      <c r="Y106" s="147" t="e">
        <f t="shared" ca="1" si="7"/>
        <v>#NAME?</v>
      </c>
      <c r="Z106" s="147"/>
      <c r="AA106" s="147"/>
      <c r="AB106" s="147"/>
      <c r="AC106" s="147"/>
      <c r="AD106" s="147"/>
      <c r="AE106" s="147"/>
      <c r="AF106" s="147"/>
      <c r="AG106" s="147"/>
      <c r="AH106" s="147"/>
      <c r="AI106" s="147"/>
      <c r="AJ106" s="147"/>
      <c r="AK106" s="147"/>
      <c r="AL106" s="147"/>
      <c r="AM106" s="151"/>
      <c r="AN106" s="148" t="str">
        <f ca="1">IFERROR(__xludf.DUMMYFUNCTION("""COMPUTED_VALUE"""),"257135")</f>
        <v>257135</v>
      </c>
      <c r="AO106" s="147" t="str">
        <f t="shared" ca="1" si="8"/>
        <v>Designer</v>
      </c>
      <c r="AP106" s="147" t="e">
        <f t="shared" ca="1" si="9"/>
        <v>#NAME?</v>
      </c>
      <c r="AQ106" s="147" t="str">
        <f t="shared" ca="1" si="10"/>
        <v>LBU</v>
      </c>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7"/>
      <c r="BN106" s="147"/>
      <c r="BO106" s="147"/>
      <c r="BP106" s="147"/>
      <c r="BQ106" s="147"/>
      <c r="BR106" s="147"/>
      <c r="BS106" s="147"/>
      <c r="BT106" s="147"/>
      <c r="BU106" s="147"/>
      <c r="BV106" s="147"/>
      <c r="BW106" s="147"/>
      <c r="BX106" s="147"/>
      <c r="BY106" s="147"/>
      <c r="BZ106" s="147"/>
      <c r="CA106" s="147"/>
      <c r="CB106" s="147"/>
      <c r="CC106" s="147"/>
      <c r="CD106" s="147"/>
      <c r="CE106" s="147"/>
      <c r="CF106" s="147"/>
      <c r="CG106" s="147"/>
      <c r="CH106" s="147"/>
      <c r="CI106" s="147"/>
      <c r="CJ106" s="147"/>
      <c r="CK106" s="147"/>
    </row>
    <row r="107" spans="1:89">
      <c r="A107" s="153" t="s">
        <v>504</v>
      </c>
      <c r="B107" s="154" t="s">
        <v>505</v>
      </c>
      <c r="C107" s="155" t="s">
        <v>60</v>
      </c>
      <c r="D107" s="155" t="s">
        <v>854</v>
      </c>
      <c r="E107" s="154" t="s">
        <v>22</v>
      </c>
      <c r="F107" s="3" t="s">
        <v>926</v>
      </c>
      <c r="G107" s="3"/>
      <c r="H107" s="156" t="str">
        <f ca="1">IFERROR(
  _xludf.MINIFS(ATTENDANCE_LOG!$F:$F,
         ATTENDANCE_LOG!$A:$A, C107,
         ATTENDANCE_LOG!$B:$B, E107),
"")</f>
        <v/>
      </c>
      <c r="I107" s="156" t="str">
        <f t="shared" ca="1" si="0"/>
        <v/>
      </c>
      <c r="J107" s="3">
        <f>IFERROR(VLOOKUP(F107, LEVEL_HELPER!$A:$B, 2, 0), "")</f>
        <v>1</v>
      </c>
      <c r="K107" s="3" t="str">
        <f>IFERROR(VLOOKUP(G107, LEVEL_HELPER!$A:$B, 2, 0), "")</f>
        <v/>
      </c>
      <c r="L107" s="157" t="s">
        <v>942</v>
      </c>
      <c r="M107" s="157" t="s">
        <v>921</v>
      </c>
      <c r="N107" s="3">
        <f t="array" aca="1" ref="N107" ca="1">IFERROR(
  INDEX($J$2:$J$543,
    MATCH(A107&amp;TEXT(I107,"yyyy-mm-dd"),
          $A$2:$A$543&amp;TEXT($H$2:$H$543,"yyyy-mm-dd"),
          0)),
"")</f>
        <v>1</v>
      </c>
      <c r="O107" s="147" t="str">
        <f t="shared" ca="1" si="1"/>
        <v/>
      </c>
      <c r="P107" s="147">
        <f t="shared" ref="P107:Q107" ca="1" si="116">IF(N107="",0,IF(N107&lt;=2,1,IF(N107&lt;=4,2,IF(N107&lt;=5.5,3,4))))</f>
        <v>1</v>
      </c>
      <c r="Q107" s="147">
        <f t="shared" ca="1" si="116"/>
        <v>0</v>
      </c>
      <c r="R107" s="147" t="str">
        <f t="shared" ca="1" si="3"/>
        <v>Regressed</v>
      </c>
      <c r="S107" s="147">
        <f t="shared" si="4"/>
        <v>1</v>
      </c>
      <c r="T107" s="147"/>
      <c r="U107" s="147"/>
      <c r="V107" s="148" t="e">
        <f ca="1"/>
        <v>#NAME?</v>
      </c>
      <c r="W107" s="147" t="e">
        <f t="shared" ca="1" si="5"/>
        <v>#NAME?</v>
      </c>
      <c r="X107" s="147" t="e">
        <f t="shared" ca="1" si="6"/>
        <v>#NAME?</v>
      </c>
      <c r="Y107" s="147" t="e">
        <f t="shared" ca="1" si="7"/>
        <v>#NAME?</v>
      </c>
      <c r="Z107" s="147"/>
      <c r="AA107" s="147"/>
      <c r="AB107" s="147"/>
      <c r="AC107" s="147"/>
      <c r="AD107" s="147"/>
      <c r="AE107" s="147"/>
      <c r="AF107" s="147"/>
      <c r="AG107" s="147"/>
      <c r="AH107" s="147"/>
      <c r="AI107" s="147"/>
      <c r="AJ107" s="147"/>
      <c r="AK107" s="147"/>
      <c r="AL107" s="147"/>
      <c r="AM107" s="151"/>
      <c r="AN107" s="148" t="str">
        <f ca="1">IFERROR(__xludf.DUMMYFUNCTION("""COMPUTED_VALUE"""),"257059")</f>
        <v>257059</v>
      </c>
      <c r="AO107" s="147" t="str">
        <f t="shared" ca="1" si="8"/>
        <v>Designer</v>
      </c>
      <c r="AP107" s="147" t="e">
        <f t="shared" ca="1" si="9"/>
        <v>#NAME?</v>
      </c>
      <c r="AQ107" s="147" t="str">
        <f t="shared" ca="1" si="10"/>
        <v>LBU</v>
      </c>
      <c r="AR107" s="147"/>
      <c r="AS107" s="147"/>
      <c r="AT107" s="147"/>
      <c r="AU107" s="147"/>
      <c r="AV107" s="147"/>
      <c r="AW107" s="147"/>
      <c r="AX107" s="147"/>
      <c r="AY107" s="147"/>
      <c r="AZ107" s="147"/>
      <c r="BA107" s="147"/>
      <c r="BB107" s="147"/>
      <c r="BC107" s="147"/>
      <c r="BD107" s="147"/>
      <c r="BE107" s="147"/>
      <c r="BF107" s="147"/>
      <c r="BG107" s="147"/>
      <c r="BH107" s="147"/>
      <c r="BI107" s="147"/>
      <c r="BJ107" s="147"/>
      <c r="BK107" s="147"/>
      <c r="BL107" s="147"/>
      <c r="BM107" s="147"/>
      <c r="BN107" s="147"/>
      <c r="BO107" s="147"/>
      <c r="BP107" s="147"/>
      <c r="BQ107" s="147"/>
      <c r="BR107" s="147"/>
      <c r="BS107" s="147"/>
      <c r="BT107" s="147"/>
      <c r="BU107" s="147"/>
      <c r="BV107" s="147"/>
      <c r="BW107" s="147"/>
      <c r="BX107" s="147"/>
      <c r="BY107" s="147"/>
      <c r="BZ107" s="147"/>
      <c r="CA107" s="147"/>
      <c r="CB107" s="147"/>
      <c r="CC107" s="147"/>
      <c r="CD107" s="147"/>
      <c r="CE107" s="147"/>
      <c r="CF107" s="147"/>
      <c r="CG107" s="147"/>
      <c r="CH107" s="147"/>
      <c r="CI107" s="147"/>
      <c r="CJ107" s="147"/>
      <c r="CK107" s="147"/>
    </row>
    <row r="108" spans="1:89">
      <c r="A108" s="159" t="s">
        <v>140</v>
      </c>
      <c r="B108" s="3" t="s">
        <v>141</v>
      </c>
      <c r="C108" s="160" t="s">
        <v>60</v>
      </c>
      <c r="D108" s="160" t="s">
        <v>854</v>
      </c>
      <c r="E108" s="3" t="s">
        <v>22</v>
      </c>
      <c r="F108" s="3" t="s">
        <v>916</v>
      </c>
      <c r="G108" s="3"/>
      <c r="H108" s="156" t="str">
        <f ca="1">IFERROR(
  _xludf.MINIFS(ATTENDANCE_LOG!$F:$F,
         ATTENDANCE_LOG!$A:$A, C108,
         ATTENDANCE_LOG!$B:$B, E108),
"")</f>
        <v/>
      </c>
      <c r="I108" s="156" t="str">
        <f t="shared" ca="1" si="0"/>
        <v/>
      </c>
      <c r="J108" s="3">
        <f>IFERROR(VLOOKUP(F108, LEVEL_HELPER!$A:$B, 2, 0), "")</f>
        <v>2.5</v>
      </c>
      <c r="K108" s="3" t="str">
        <f>IFERROR(VLOOKUP(G108, LEVEL_HELPER!$A:$B, 2, 0), "")</f>
        <v/>
      </c>
      <c r="L108" s="157" t="s">
        <v>942</v>
      </c>
      <c r="M108" s="157" t="s">
        <v>921</v>
      </c>
      <c r="N108" s="3">
        <f t="array" aca="1" ref="N108" ca="1">IFERROR(
  INDEX($J$2:$J$543,
    MATCH(A108&amp;TEXT(I108,"yyyy-mm-dd"),
          $A$2:$A$543&amp;TEXT($H$2:$H$543,"yyyy-mm-dd"),
          0)),
"")</f>
        <v>2.5</v>
      </c>
      <c r="O108" s="147" t="str">
        <f t="shared" ca="1" si="1"/>
        <v/>
      </c>
      <c r="P108" s="147">
        <f t="shared" ref="P108:Q108" ca="1" si="117">IF(N108="",0,IF(N108&lt;=2,1,IF(N108&lt;=4,2,IF(N108&lt;=5.5,3,4))))</f>
        <v>2</v>
      </c>
      <c r="Q108" s="147">
        <f t="shared" ca="1" si="117"/>
        <v>0</v>
      </c>
      <c r="R108" s="147" t="str">
        <f t="shared" ca="1" si="3"/>
        <v>Regressed</v>
      </c>
      <c r="S108" s="147">
        <f t="shared" si="4"/>
        <v>1</v>
      </c>
      <c r="T108" s="147"/>
      <c r="U108" s="147"/>
      <c r="V108" s="148" t="e">
        <f ca="1"/>
        <v>#NAME?</v>
      </c>
      <c r="W108" s="147" t="e">
        <f t="shared" ca="1" si="5"/>
        <v>#NAME?</v>
      </c>
      <c r="X108" s="147" t="e">
        <f t="shared" ca="1" si="6"/>
        <v>#NAME?</v>
      </c>
      <c r="Y108" s="147" t="e">
        <f t="shared" ca="1" si="7"/>
        <v>#NAME?</v>
      </c>
      <c r="Z108" s="147"/>
      <c r="AA108" s="147"/>
      <c r="AB108" s="147"/>
      <c r="AC108" s="147"/>
      <c r="AD108" s="147"/>
      <c r="AE108" s="147"/>
      <c r="AF108" s="147"/>
      <c r="AG108" s="147"/>
      <c r="AH108" s="147"/>
      <c r="AI108" s="147"/>
      <c r="AJ108" s="147"/>
      <c r="AK108" s="147"/>
      <c r="AL108" s="147"/>
      <c r="AM108" s="151"/>
      <c r="AN108" s="147"/>
      <c r="AO108" s="147" t="e">
        <f t="shared" si="8"/>
        <v>#N/A</v>
      </c>
      <c r="AP108" s="147" t="e">
        <f t="shared" ca="1" si="9"/>
        <v>#NAME?</v>
      </c>
      <c r="AQ108" s="147" t="e">
        <f t="shared" si="10"/>
        <v>#N/A</v>
      </c>
      <c r="AR108" s="147"/>
      <c r="AS108" s="147"/>
      <c r="AT108" s="147"/>
      <c r="AU108" s="147"/>
      <c r="AV108" s="147"/>
      <c r="AW108" s="147"/>
      <c r="AX108" s="147"/>
      <c r="AY108" s="147"/>
      <c r="AZ108" s="147"/>
      <c r="BA108" s="147"/>
      <c r="BB108" s="147"/>
      <c r="BC108" s="147"/>
      <c r="BD108" s="147"/>
      <c r="BE108" s="147"/>
      <c r="BF108" s="147"/>
      <c r="BG108" s="147"/>
      <c r="BH108" s="147"/>
      <c r="BI108" s="147"/>
      <c r="BJ108" s="147"/>
      <c r="BK108" s="147"/>
      <c r="BL108" s="147"/>
      <c r="BM108" s="147"/>
      <c r="BN108" s="147"/>
      <c r="BO108" s="147"/>
      <c r="BP108" s="147"/>
      <c r="BQ108" s="147"/>
      <c r="BR108" s="147"/>
      <c r="BS108" s="147"/>
      <c r="BT108" s="147"/>
      <c r="BU108" s="147"/>
      <c r="BV108" s="147"/>
      <c r="BW108" s="147"/>
      <c r="BX108" s="147"/>
      <c r="BY108" s="147"/>
      <c r="BZ108" s="147"/>
      <c r="CA108" s="147"/>
      <c r="CB108" s="147"/>
      <c r="CC108" s="147"/>
      <c r="CD108" s="147"/>
      <c r="CE108" s="147"/>
      <c r="CF108" s="147"/>
      <c r="CG108" s="147"/>
      <c r="CH108" s="147"/>
      <c r="CI108" s="147"/>
      <c r="CJ108" s="147"/>
      <c r="CK108" s="147"/>
    </row>
    <row r="109" spans="1:89">
      <c r="A109" s="159" t="s">
        <v>216</v>
      </c>
      <c r="B109" s="3" t="s">
        <v>217</v>
      </c>
      <c r="C109" s="160" t="s">
        <v>60</v>
      </c>
      <c r="D109" s="160" t="s">
        <v>854</v>
      </c>
      <c r="E109" s="3" t="s">
        <v>22</v>
      </c>
      <c r="F109" s="3" t="s">
        <v>916</v>
      </c>
      <c r="G109" s="3"/>
      <c r="H109" s="156" t="str">
        <f ca="1">IFERROR(
  _xludf.MINIFS(ATTENDANCE_LOG!$F:$F,
         ATTENDANCE_LOG!$A:$A, C109,
         ATTENDANCE_LOG!$B:$B, E109),
"")</f>
        <v/>
      </c>
      <c r="I109" s="156" t="str">
        <f t="shared" ca="1" si="0"/>
        <v/>
      </c>
      <c r="J109" s="3">
        <f>IFERROR(VLOOKUP(F109, LEVEL_HELPER!$A:$B, 2, 0), "")</f>
        <v>2.5</v>
      </c>
      <c r="K109" s="3" t="str">
        <f>IFERROR(VLOOKUP(G109, LEVEL_HELPER!$A:$B, 2, 0), "")</f>
        <v/>
      </c>
      <c r="L109" s="157" t="s">
        <v>942</v>
      </c>
      <c r="M109" s="157" t="s">
        <v>921</v>
      </c>
      <c r="N109" s="3">
        <f t="array" aca="1" ref="N109" ca="1">IFERROR(
  INDEX($J$2:$J$543,
    MATCH(A109&amp;TEXT(I109,"yyyy-mm-dd"),
          $A$2:$A$543&amp;TEXT($H$2:$H$543,"yyyy-mm-dd"),
          0)),
"")</f>
        <v>2.5</v>
      </c>
      <c r="O109" s="147" t="str">
        <f t="shared" ca="1" si="1"/>
        <v/>
      </c>
      <c r="P109" s="147">
        <f t="shared" ref="P109:Q109" ca="1" si="118">IF(N109="",0,IF(N109&lt;=2,1,IF(N109&lt;=4,2,IF(N109&lt;=5.5,3,4))))</f>
        <v>2</v>
      </c>
      <c r="Q109" s="147">
        <f t="shared" ca="1" si="118"/>
        <v>0</v>
      </c>
      <c r="R109" s="147" t="str">
        <f t="shared" ca="1" si="3"/>
        <v>Regressed</v>
      </c>
      <c r="S109" s="147">
        <f t="shared" si="4"/>
        <v>0</v>
      </c>
      <c r="T109" s="147"/>
      <c r="U109" s="147"/>
      <c r="V109" s="148" t="e">
        <f ca="1"/>
        <v>#NAME?</v>
      </c>
      <c r="W109" s="147" t="e">
        <f t="shared" ca="1" si="5"/>
        <v>#NAME?</v>
      </c>
      <c r="X109" s="147" t="e">
        <f t="shared" ca="1" si="6"/>
        <v>#NAME?</v>
      </c>
      <c r="Y109" s="147" t="e">
        <f t="shared" ca="1" si="7"/>
        <v>#NAME?</v>
      </c>
      <c r="Z109" s="147"/>
      <c r="AA109" s="147"/>
      <c r="AB109" s="147"/>
      <c r="AC109" s="147"/>
      <c r="AD109" s="147"/>
      <c r="AE109" s="147"/>
      <c r="AF109" s="147"/>
      <c r="AG109" s="147"/>
      <c r="AH109" s="147"/>
      <c r="AI109" s="147"/>
      <c r="AJ109" s="147"/>
      <c r="AK109" s="147"/>
      <c r="AL109" s="147"/>
      <c r="AM109" s="151"/>
      <c r="AN109" s="147"/>
      <c r="AO109" s="147" t="e">
        <f t="shared" si="8"/>
        <v>#N/A</v>
      </c>
      <c r="AP109" s="147" t="e">
        <f t="shared" ca="1" si="9"/>
        <v>#NAME?</v>
      </c>
      <c r="AQ109" s="147" t="e">
        <f t="shared" si="10"/>
        <v>#N/A</v>
      </c>
      <c r="AR109" s="147"/>
      <c r="AS109" s="147"/>
      <c r="AT109" s="147"/>
      <c r="AU109" s="147"/>
      <c r="AV109" s="147"/>
      <c r="AW109" s="147"/>
      <c r="AX109" s="147"/>
      <c r="AY109" s="147"/>
      <c r="AZ109" s="147"/>
      <c r="BA109" s="147"/>
      <c r="BB109" s="147"/>
      <c r="BC109" s="147"/>
      <c r="BD109" s="147"/>
      <c r="BE109" s="147"/>
      <c r="BF109" s="147"/>
      <c r="BG109" s="147"/>
      <c r="BH109" s="147"/>
      <c r="BI109" s="147"/>
      <c r="BJ109" s="147"/>
      <c r="BK109" s="147"/>
      <c r="BL109" s="147"/>
      <c r="BM109" s="147"/>
      <c r="BN109" s="147"/>
      <c r="BO109" s="147"/>
      <c r="BP109" s="147"/>
      <c r="BQ109" s="147"/>
      <c r="BR109" s="147"/>
      <c r="BS109" s="147"/>
      <c r="BT109" s="147"/>
      <c r="BU109" s="147"/>
      <c r="BV109" s="147"/>
      <c r="BW109" s="147"/>
      <c r="BX109" s="147"/>
      <c r="BY109" s="147"/>
      <c r="BZ109" s="147"/>
      <c r="CA109" s="147"/>
      <c r="CB109" s="147"/>
      <c r="CC109" s="147"/>
      <c r="CD109" s="147"/>
      <c r="CE109" s="147"/>
      <c r="CF109" s="147"/>
      <c r="CG109" s="147"/>
      <c r="CH109" s="147"/>
      <c r="CI109" s="147"/>
      <c r="CJ109" s="147"/>
      <c r="CK109" s="147"/>
    </row>
    <row r="110" spans="1:89">
      <c r="A110" s="159" t="s">
        <v>232</v>
      </c>
      <c r="B110" s="3" t="s">
        <v>233</v>
      </c>
      <c r="C110" s="160" t="s">
        <v>60</v>
      </c>
      <c r="D110" s="160" t="s">
        <v>854</v>
      </c>
      <c r="E110" s="3" t="s">
        <v>22</v>
      </c>
      <c r="F110" s="3" t="s">
        <v>916</v>
      </c>
      <c r="G110" s="3"/>
      <c r="H110" s="156" t="str">
        <f ca="1">IFERROR(
  _xludf.MINIFS(ATTENDANCE_LOG!$F:$F,
         ATTENDANCE_LOG!$A:$A, C110,
         ATTENDANCE_LOG!$B:$B, E110),
"")</f>
        <v/>
      </c>
      <c r="I110" s="156" t="str">
        <f t="shared" ca="1" si="0"/>
        <v/>
      </c>
      <c r="J110" s="3">
        <f>IFERROR(VLOOKUP(F110, LEVEL_HELPER!$A:$B, 2, 0), "")</f>
        <v>2.5</v>
      </c>
      <c r="K110" s="3" t="str">
        <f>IFERROR(VLOOKUP(G110, LEVEL_HELPER!$A:$B, 2, 0), "")</f>
        <v/>
      </c>
      <c r="L110" s="157" t="s">
        <v>942</v>
      </c>
      <c r="M110" s="157" t="s">
        <v>921</v>
      </c>
      <c r="N110" s="3">
        <f t="array" aca="1" ref="N110" ca="1">IFERROR(
  INDEX($J$2:$J$543,
    MATCH(A110&amp;TEXT(I110,"yyyy-mm-dd"),
          $A$2:$A$543&amp;TEXT($H$2:$H$543,"yyyy-mm-dd"),
          0)),
"")</f>
        <v>1</v>
      </c>
      <c r="O110" s="147" t="str">
        <f t="shared" ca="1" si="1"/>
        <v/>
      </c>
      <c r="P110" s="147">
        <f t="shared" ref="P110:Q110" ca="1" si="119">IF(N110="",0,IF(N110&lt;=2,1,IF(N110&lt;=4,2,IF(N110&lt;=5.5,3,4))))</f>
        <v>1</v>
      </c>
      <c r="Q110" s="147">
        <f t="shared" ca="1" si="119"/>
        <v>0</v>
      </c>
      <c r="R110" s="147" t="str">
        <f t="shared" ca="1" si="3"/>
        <v>Regressed</v>
      </c>
      <c r="S110" s="147">
        <f t="shared" si="4"/>
        <v>0</v>
      </c>
      <c r="T110" s="147"/>
      <c r="U110" s="147"/>
      <c r="V110" s="148" t="e">
        <f ca="1"/>
        <v>#NAME?</v>
      </c>
      <c r="W110" s="147" t="e">
        <f t="shared" ca="1" si="5"/>
        <v>#NAME?</v>
      </c>
      <c r="X110" s="147" t="e">
        <f t="shared" ca="1" si="6"/>
        <v>#NAME?</v>
      </c>
      <c r="Y110" s="147" t="e">
        <f t="shared" ca="1" si="7"/>
        <v>#NAME?</v>
      </c>
      <c r="Z110" s="147"/>
      <c r="AA110" s="147"/>
      <c r="AB110" s="147"/>
      <c r="AC110" s="147"/>
      <c r="AD110" s="147"/>
      <c r="AE110" s="147"/>
      <c r="AF110" s="147"/>
      <c r="AG110" s="147"/>
      <c r="AH110" s="147"/>
      <c r="AI110" s="147"/>
      <c r="AJ110" s="147"/>
      <c r="AK110" s="147"/>
      <c r="AL110" s="147"/>
      <c r="AM110" s="151"/>
      <c r="AN110" s="147"/>
      <c r="AO110" s="147" t="e">
        <f t="shared" si="8"/>
        <v>#N/A</v>
      </c>
      <c r="AP110" s="147" t="e">
        <f t="shared" ca="1" si="9"/>
        <v>#NAME?</v>
      </c>
      <c r="AQ110" s="147" t="e">
        <f t="shared" si="10"/>
        <v>#N/A</v>
      </c>
      <c r="AR110" s="147"/>
      <c r="AS110" s="147"/>
      <c r="AT110" s="147"/>
      <c r="AU110" s="147"/>
      <c r="AV110" s="147"/>
      <c r="AW110" s="147"/>
      <c r="AX110" s="147"/>
      <c r="AY110" s="147"/>
      <c r="AZ110" s="147"/>
      <c r="BA110" s="147"/>
      <c r="BB110" s="147"/>
      <c r="BC110" s="147"/>
      <c r="BD110" s="147"/>
      <c r="BE110" s="147"/>
      <c r="BF110" s="147"/>
      <c r="BG110" s="147"/>
      <c r="BH110" s="147"/>
      <c r="BI110" s="147"/>
      <c r="BJ110" s="147"/>
      <c r="BK110" s="147"/>
      <c r="BL110" s="147"/>
      <c r="BM110" s="147"/>
      <c r="BN110" s="147"/>
      <c r="BO110" s="147"/>
      <c r="BP110" s="147"/>
      <c r="BQ110" s="147"/>
      <c r="BR110" s="147"/>
      <c r="BS110" s="147"/>
      <c r="BT110" s="147"/>
      <c r="BU110" s="147"/>
      <c r="BV110" s="147"/>
      <c r="BW110" s="147"/>
      <c r="BX110" s="147"/>
      <c r="BY110" s="147"/>
      <c r="BZ110" s="147"/>
      <c r="CA110" s="147"/>
      <c r="CB110" s="147"/>
      <c r="CC110" s="147"/>
      <c r="CD110" s="147"/>
      <c r="CE110" s="147"/>
      <c r="CF110" s="147"/>
      <c r="CG110" s="147"/>
      <c r="CH110" s="147"/>
      <c r="CI110" s="147"/>
      <c r="CJ110" s="147"/>
      <c r="CK110" s="147"/>
    </row>
    <row r="111" spans="1:89">
      <c r="A111" s="159" t="s">
        <v>321</v>
      </c>
      <c r="B111" s="3" t="s">
        <v>322</v>
      </c>
      <c r="C111" s="160" t="s">
        <v>60</v>
      </c>
      <c r="D111" s="160" t="s">
        <v>854</v>
      </c>
      <c r="E111" s="3" t="s">
        <v>22</v>
      </c>
      <c r="F111" s="3" t="s">
        <v>916</v>
      </c>
      <c r="G111" s="3"/>
      <c r="H111" s="156" t="str">
        <f ca="1">IFERROR(
  _xludf.MINIFS(ATTENDANCE_LOG!$F:$F,
         ATTENDANCE_LOG!$A:$A, C111,
         ATTENDANCE_LOG!$B:$B, E111),
"")</f>
        <v/>
      </c>
      <c r="I111" s="156" t="str">
        <f t="shared" ca="1" si="0"/>
        <v/>
      </c>
      <c r="J111" s="3">
        <f>IFERROR(VLOOKUP(F111, LEVEL_HELPER!$A:$B, 2, 0), "")</f>
        <v>2.5</v>
      </c>
      <c r="K111" s="3" t="str">
        <f>IFERROR(VLOOKUP(G111, LEVEL_HELPER!$A:$B, 2, 0), "")</f>
        <v/>
      </c>
      <c r="L111" s="157" t="s">
        <v>918</v>
      </c>
      <c r="M111" s="157" t="s">
        <v>921</v>
      </c>
      <c r="N111" s="3">
        <f t="array" aca="1" ref="N111" ca="1">IFERROR(
  INDEX($J$2:$J$543,
    MATCH(A111&amp;TEXT(I111,"yyyy-mm-dd"),
          $A$2:$A$543&amp;TEXT($H$2:$H$543,"yyyy-mm-dd"),
          0)),
"")</f>
        <v>1</v>
      </c>
      <c r="O111" s="147" t="str">
        <f t="shared" ca="1" si="1"/>
        <v/>
      </c>
      <c r="P111" s="147">
        <f t="shared" ref="P111:Q111" ca="1" si="120">IF(N111="",0,IF(N111&lt;=2,1,IF(N111&lt;=4,2,IF(N111&lt;=5.5,3,4))))</f>
        <v>1</v>
      </c>
      <c r="Q111" s="147">
        <f t="shared" ca="1" si="120"/>
        <v>0</v>
      </c>
      <c r="R111" s="147" t="str">
        <f t="shared" ca="1" si="3"/>
        <v>Regressed</v>
      </c>
      <c r="S111" s="147">
        <f t="shared" si="4"/>
        <v>0</v>
      </c>
      <c r="T111" s="147"/>
      <c r="U111" s="147"/>
      <c r="V111" s="148" t="e">
        <f ca="1"/>
        <v>#NAME?</v>
      </c>
      <c r="W111" s="147" t="e">
        <f t="shared" ca="1" si="5"/>
        <v>#NAME?</v>
      </c>
      <c r="X111" s="147" t="e">
        <f t="shared" ca="1" si="6"/>
        <v>#NAME?</v>
      </c>
      <c r="Y111" s="147" t="e">
        <f t="shared" ca="1" si="7"/>
        <v>#NAME?</v>
      </c>
      <c r="Z111" s="147"/>
      <c r="AA111" s="147"/>
      <c r="AB111" s="147"/>
      <c r="AC111" s="147"/>
      <c r="AD111" s="147"/>
      <c r="AE111" s="147"/>
      <c r="AF111" s="147"/>
      <c r="AG111" s="147"/>
      <c r="AH111" s="147"/>
      <c r="AI111" s="147"/>
      <c r="AJ111" s="147"/>
      <c r="AK111" s="147"/>
      <c r="AL111" s="147"/>
      <c r="AM111" s="151"/>
      <c r="AN111" s="147"/>
      <c r="AO111" s="147" t="e">
        <f t="shared" si="8"/>
        <v>#N/A</v>
      </c>
      <c r="AP111" s="147" t="e">
        <f t="shared" ca="1" si="9"/>
        <v>#NAME?</v>
      </c>
      <c r="AQ111" s="147" t="e">
        <f t="shared" si="10"/>
        <v>#N/A</v>
      </c>
      <c r="AR111" s="147"/>
      <c r="AS111" s="147"/>
      <c r="AT111" s="147"/>
      <c r="AU111" s="147"/>
      <c r="AV111" s="147"/>
      <c r="AW111" s="147"/>
      <c r="AX111" s="147"/>
      <c r="AY111" s="147"/>
      <c r="AZ111" s="147"/>
      <c r="BA111" s="147"/>
      <c r="BB111" s="147"/>
      <c r="BC111" s="147"/>
      <c r="BD111" s="147"/>
      <c r="BE111" s="147"/>
      <c r="BF111" s="147"/>
      <c r="BG111" s="147"/>
      <c r="BH111" s="147"/>
      <c r="BI111" s="147"/>
      <c r="BJ111" s="147"/>
      <c r="BK111" s="147"/>
      <c r="BL111" s="147"/>
      <c r="BM111" s="147"/>
      <c r="BN111" s="147"/>
      <c r="BO111" s="147"/>
      <c r="BP111" s="147"/>
      <c r="BQ111" s="147"/>
      <c r="BR111" s="147"/>
      <c r="BS111" s="147"/>
      <c r="BT111" s="147"/>
      <c r="BU111" s="147"/>
      <c r="BV111" s="147"/>
      <c r="BW111" s="147"/>
      <c r="BX111" s="147"/>
      <c r="BY111" s="147"/>
      <c r="BZ111" s="147"/>
      <c r="CA111" s="147"/>
      <c r="CB111" s="147"/>
      <c r="CC111" s="147"/>
      <c r="CD111" s="147"/>
      <c r="CE111" s="147"/>
      <c r="CF111" s="147"/>
      <c r="CG111" s="147"/>
      <c r="CH111" s="147"/>
      <c r="CI111" s="147"/>
      <c r="CJ111" s="147"/>
      <c r="CK111" s="147"/>
    </row>
    <row r="112" spans="1:89">
      <c r="A112" s="159" t="s">
        <v>340</v>
      </c>
      <c r="B112" s="3" t="s">
        <v>341</v>
      </c>
      <c r="C112" s="160" t="s">
        <v>60</v>
      </c>
      <c r="D112" s="160" t="s">
        <v>854</v>
      </c>
      <c r="E112" s="3" t="s">
        <v>22</v>
      </c>
      <c r="F112" s="3" t="s">
        <v>916</v>
      </c>
      <c r="G112" s="3"/>
      <c r="H112" s="156" t="str">
        <f ca="1">IFERROR(
  _xludf.MINIFS(ATTENDANCE_LOG!$F:$F,
         ATTENDANCE_LOG!$A:$A, C112,
         ATTENDANCE_LOG!$B:$B, E112),
"")</f>
        <v/>
      </c>
      <c r="I112" s="156" t="str">
        <f t="shared" ca="1" si="0"/>
        <v/>
      </c>
      <c r="J112" s="3">
        <f>IFERROR(VLOOKUP(F112, LEVEL_HELPER!$A:$B, 2, 0), "")</f>
        <v>2.5</v>
      </c>
      <c r="K112" s="3" t="str">
        <f>IFERROR(VLOOKUP(G112, LEVEL_HELPER!$A:$B, 2, 0), "")</f>
        <v/>
      </c>
      <c r="L112" s="157" t="s">
        <v>942</v>
      </c>
      <c r="M112" s="157" t="s">
        <v>921</v>
      </c>
      <c r="N112" s="3">
        <f t="array" aca="1" ref="N112" ca="1">IFERROR(
  INDEX($J$2:$J$543,
    MATCH(A112&amp;TEXT(I112,"yyyy-mm-dd"),
          $A$2:$A$543&amp;TEXT($H$2:$H$543,"yyyy-mm-dd"),
          0)),
"")</f>
        <v>2.5</v>
      </c>
      <c r="O112" s="147" t="str">
        <f t="shared" ca="1" si="1"/>
        <v/>
      </c>
      <c r="P112" s="147">
        <f t="shared" ref="P112:Q112" ca="1" si="121">IF(N112="",0,IF(N112&lt;=2,1,IF(N112&lt;=4,2,IF(N112&lt;=5.5,3,4))))</f>
        <v>2</v>
      </c>
      <c r="Q112" s="147">
        <f t="shared" ca="1" si="121"/>
        <v>0</v>
      </c>
      <c r="R112" s="147" t="str">
        <f t="shared" ca="1" si="3"/>
        <v>Regressed</v>
      </c>
      <c r="S112" s="147">
        <f t="shared" si="4"/>
        <v>1</v>
      </c>
      <c r="T112" s="147"/>
      <c r="U112" s="147"/>
      <c r="V112" s="148" t="e">
        <f ca="1"/>
        <v>#NAME?</v>
      </c>
      <c r="W112" s="147" t="e">
        <f t="shared" ca="1" si="5"/>
        <v>#NAME?</v>
      </c>
      <c r="X112" s="147" t="e">
        <f t="shared" ca="1" si="6"/>
        <v>#NAME?</v>
      </c>
      <c r="Y112" s="147" t="e">
        <f t="shared" ca="1" si="7"/>
        <v>#NAME?</v>
      </c>
      <c r="Z112" s="147"/>
      <c r="AA112" s="147"/>
      <c r="AB112" s="147"/>
      <c r="AC112" s="147"/>
      <c r="AD112" s="147"/>
      <c r="AE112" s="147"/>
      <c r="AF112" s="147"/>
      <c r="AG112" s="147"/>
      <c r="AH112" s="147"/>
      <c r="AI112" s="147"/>
      <c r="AJ112" s="147"/>
      <c r="AK112" s="147"/>
      <c r="AL112" s="147"/>
      <c r="AM112" s="151"/>
      <c r="AN112" s="147"/>
      <c r="AO112" s="147" t="e">
        <f t="shared" si="8"/>
        <v>#N/A</v>
      </c>
      <c r="AP112" s="147" t="e">
        <f t="shared" ca="1" si="9"/>
        <v>#NAME?</v>
      </c>
      <c r="AQ112" s="147" t="e">
        <f t="shared" si="10"/>
        <v>#N/A</v>
      </c>
      <c r="AR112" s="147"/>
      <c r="AS112" s="147"/>
      <c r="AT112" s="147"/>
      <c r="AU112" s="147"/>
      <c r="AV112" s="147"/>
      <c r="AW112" s="147"/>
      <c r="AX112" s="147"/>
      <c r="AY112" s="147"/>
      <c r="AZ112" s="147"/>
      <c r="BA112" s="147"/>
      <c r="BB112" s="147"/>
      <c r="BC112" s="147"/>
      <c r="BD112" s="147"/>
      <c r="BE112" s="147"/>
      <c r="BF112" s="147"/>
      <c r="BG112" s="147"/>
      <c r="BH112" s="147"/>
      <c r="BI112" s="147"/>
      <c r="BJ112" s="147"/>
      <c r="BK112" s="147"/>
      <c r="BL112" s="147"/>
      <c r="BM112" s="147"/>
      <c r="BN112" s="147"/>
      <c r="BO112" s="147"/>
      <c r="BP112" s="147"/>
      <c r="BQ112" s="147"/>
      <c r="BR112" s="147"/>
      <c r="BS112" s="147"/>
      <c r="BT112" s="147"/>
      <c r="BU112" s="147"/>
      <c r="BV112" s="147"/>
      <c r="BW112" s="147"/>
      <c r="BX112" s="147"/>
      <c r="BY112" s="147"/>
      <c r="BZ112" s="147"/>
      <c r="CA112" s="147"/>
      <c r="CB112" s="147"/>
      <c r="CC112" s="147"/>
      <c r="CD112" s="147"/>
      <c r="CE112" s="147"/>
      <c r="CF112" s="147"/>
      <c r="CG112" s="147"/>
      <c r="CH112" s="147"/>
      <c r="CI112" s="147"/>
      <c r="CJ112" s="147"/>
      <c r="CK112" s="147"/>
    </row>
    <row r="113" spans="1:89">
      <c r="A113" s="159" t="s">
        <v>395</v>
      </c>
      <c r="B113" s="3" t="s">
        <v>396</v>
      </c>
      <c r="C113" s="160" t="s">
        <v>60</v>
      </c>
      <c r="D113" s="160" t="s">
        <v>854</v>
      </c>
      <c r="E113" s="3" t="s">
        <v>22</v>
      </c>
      <c r="F113" s="3" t="s">
        <v>916</v>
      </c>
      <c r="G113" s="3"/>
      <c r="H113" s="156" t="str">
        <f ca="1">IFERROR(
  _xludf.MINIFS(ATTENDANCE_LOG!$F:$F,
         ATTENDANCE_LOG!$A:$A, C113,
         ATTENDANCE_LOG!$B:$B, E113),
"")</f>
        <v/>
      </c>
      <c r="I113" s="156" t="str">
        <f t="shared" ca="1" si="0"/>
        <v/>
      </c>
      <c r="J113" s="3">
        <f>IFERROR(VLOOKUP(F113, LEVEL_HELPER!$A:$B, 2, 0), "")</f>
        <v>2.5</v>
      </c>
      <c r="K113" s="3" t="str">
        <f>IFERROR(VLOOKUP(G113, LEVEL_HELPER!$A:$B, 2, 0), "")</f>
        <v/>
      </c>
      <c r="L113" s="157" t="s">
        <v>918</v>
      </c>
      <c r="M113" s="157" t="s">
        <v>921</v>
      </c>
      <c r="N113" s="3">
        <f t="array" aca="1" ref="N113" ca="1">IFERROR(
  INDEX($J$2:$J$543,
    MATCH(A113&amp;TEXT(I113,"yyyy-mm-dd"),
          $A$2:$A$543&amp;TEXT($H$2:$H$543,"yyyy-mm-dd"),
          0)),
"")</f>
        <v>2.5</v>
      </c>
      <c r="O113" s="147" t="str">
        <f t="shared" ca="1" si="1"/>
        <v/>
      </c>
      <c r="P113" s="147">
        <f t="shared" ref="P113:Q113" ca="1" si="122">IF(N113="",0,IF(N113&lt;=2,1,IF(N113&lt;=4,2,IF(N113&lt;=5.5,3,4))))</f>
        <v>2</v>
      </c>
      <c r="Q113" s="147">
        <f t="shared" ca="1" si="122"/>
        <v>0</v>
      </c>
      <c r="R113" s="147" t="str">
        <f t="shared" ca="1" si="3"/>
        <v>Regressed</v>
      </c>
      <c r="S113" s="147">
        <f t="shared" si="4"/>
        <v>1</v>
      </c>
      <c r="T113" s="147"/>
      <c r="U113" s="147"/>
      <c r="V113" s="148" t="e">
        <f ca="1"/>
        <v>#NAME?</v>
      </c>
      <c r="W113" s="147" t="e">
        <f t="shared" ca="1" si="5"/>
        <v>#NAME?</v>
      </c>
      <c r="X113" s="147" t="e">
        <f t="shared" ca="1" si="6"/>
        <v>#NAME?</v>
      </c>
      <c r="Y113" s="147" t="e">
        <f t="shared" ca="1" si="7"/>
        <v>#NAME?</v>
      </c>
      <c r="Z113" s="147"/>
      <c r="AA113" s="147"/>
      <c r="AB113" s="147"/>
      <c r="AC113" s="147"/>
      <c r="AD113" s="147"/>
      <c r="AE113" s="147"/>
      <c r="AF113" s="147"/>
      <c r="AG113" s="147"/>
      <c r="AH113" s="147"/>
      <c r="AI113" s="147"/>
      <c r="AJ113" s="147"/>
      <c r="AK113" s="147"/>
      <c r="AL113" s="147"/>
      <c r="AM113" s="151"/>
      <c r="AN113" s="147"/>
      <c r="AO113" s="147" t="e">
        <f t="shared" si="8"/>
        <v>#N/A</v>
      </c>
      <c r="AP113" s="147" t="e">
        <f t="shared" ca="1" si="9"/>
        <v>#NAME?</v>
      </c>
      <c r="AQ113" s="147" t="e">
        <f t="shared" si="10"/>
        <v>#N/A</v>
      </c>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7"/>
      <c r="BN113" s="147"/>
      <c r="BO113" s="147"/>
      <c r="BP113" s="147"/>
      <c r="BQ113" s="147"/>
      <c r="BR113" s="147"/>
      <c r="BS113" s="147"/>
      <c r="BT113" s="147"/>
      <c r="BU113" s="147"/>
      <c r="BV113" s="147"/>
      <c r="BW113" s="147"/>
      <c r="BX113" s="147"/>
      <c r="BY113" s="147"/>
      <c r="BZ113" s="147"/>
      <c r="CA113" s="147"/>
      <c r="CB113" s="147"/>
      <c r="CC113" s="147"/>
      <c r="CD113" s="147"/>
      <c r="CE113" s="147"/>
      <c r="CF113" s="147"/>
      <c r="CG113" s="147"/>
      <c r="CH113" s="147"/>
      <c r="CI113" s="147"/>
      <c r="CJ113" s="147"/>
      <c r="CK113" s="147"/>
    </row>
    <row r="114" spans="1:89">
      <c r="A114" s="159" t="s">
        <v>583</v>
      </c>
      <c r="B114" s="3" t="s">
        <v>584</v>
      </c>
      <c r="C114" s="160" t="s">
        <v>60</v>
      </c>
      <c r="D114" s="160" t="s">
        <v>854</v>
      </c>
      <c r="E114" s="3" t="s">
        <v>22</v>
      </c>
      <c r="F114" s="3" t="s">
        <v>931</v>
      </c>
      <c r="G114" s="3"/>
      <c r="H114" s="156" t="str">
        <f ca="1">IFERROR(
  _xludf.MINIFS(ATTENDANCE_LOG!$F:$F,
         ATTENDANCE_LOG!$A:$A, C114,
         ATTENDANCE_LOG!$B:$B, E114),
"")</f>
        <v/>
      </c>
      <c r="I114" s="156" t="str">
        <f t="shared" ca="1" si="0"/>
        <v/>
      </c>
      <c r="J114" s="3">
        <f>IFERROR(VLOOKUP(F114, LEVEL_HELPER!$A:$B, 2, 0), "")</f>
        <v>4.5</v>
      </c>
      <c r="K114" s="3" t="str">
        <f>IFERROR(VLOOKUP(G114, LEVEL_HELPER!$A:$B, 2, 0), "")</f>
        <v/>
      </c>
      <c r="L114" s="157" t="s">
        <v>942</v>
      </c>
      <c r="M114" s="157" t="s">
        <v>921</v>
      </c>
      <c r="N114" s="3">
        <f t="array" aca="1" ref="N114" ca="1">IFERROR(
  INDEX($J$2:$J$543,
    MATCH(A114&amp;TEXT(I114,"yyyy-mm-dd"),
          $A$2:$A$543&amp;TEXT($H$2:$H$543,"yyyy-mm-dd"),
          0)),
"")</f>
        <v>4.5</v>
      </c>
      <c r="O114" s="147" t="str">
        <f t="shared" ca="1" si="1"/>
        <v/>
      </c>
      <c r="P114" s="147">
        <f t="shared" ref="P114:Q114" ca="1" si="123">IF(N114="",0,IF(N114&lt;=2,1,IF(N114&lt;=4,2,IF(N114&lt;=5.5,3,4))))</f>
        <v>3</v>
      </c>
      <c r="Q114" s="147">
        <f t="shared" ca="1" si="123"/>
        <v>0</v>
      </c>
      <c r="R114" s="147" t="str">
        <f t="shared" ca="1" si="3"/>
        <v>Regressed</v>
      </c>
      <c r="S114" s="147">
        <f t="shared" si="4"/>
        <v>1</v>
      </c>
      <c r="T114" s="147"/>
      <c r="U114" s="147"/>
      <c r="V114" s="148" t="e">
        <f ca="1"/>
        <v>#NAME?</v>
      </c>
      <c r="W114" s="147" t="e">
        <f t="shared" ca="1" si="5"/>
        <v>#NAME?</v>
      </c>
      <c r="X114" s="147" t="e">
        <f t="shared" ca="1" si="6"/>
        <v>#NAME?</v>
      </c>
      <c r="Y114" s="147" t="e">
        <f t="shared" ca="1" si="7"/>
        <v>#NAME?</v>
      </c>
      <c r="Z114" s="147"/>
      <c r="AA114" s="147"/>
      <c r="AB114" s="147"/>
      <c r="AC114" s="147"/>
      <c r="AD114" s="147"/>
      <c r="AE114" s="147"/>
      <c r="AF114" s="147"/>
      <c r="AG114" s="147"/>
      <c r="AH114" s="147"/>
      <c r="AI114" s="147"/>
      <c r="AJ114" s="147"/>
      <c r="AK114" s="147"/>
      <c r="AL114" s="147"/>
      <c r="AM114" s="151"/>
      <c r="AN114" s="147"/>
      <c r="AO114" s="147" t="e">
        <f t="shared" si="8"/>
        <v>#N/A</v>
      </c>
      <c r="AP114" s="147" t="e">
        <f t="shared" ca="1" si="9"/>
        <v>#NAME?</v>
      </c>
      <c r="AQ114" s="147" t="e">
        <f t="shared" si="10"/>
        <v>#N/A</v>
      </c>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7"/>
      <c r="CA114" s="147"/>
      <c r="CB114" s="147"/>
      <c r="CC114" s="147"/>
      <c r="CD114" s="147"/>
      <c r="CE114" s="147"/>
      <c r="CF114" s="147"/>
      <c r="CG114" s="147"/>
      <c r="CH114" s="147"/>
      <c r="CI114" s="147"/>
      <c r="CJ114" s="147"/>
      <c r="CK114" s="147"/>
    </row>
    <row r="115" spans="1:89">
      <c r="A115" s="153" t="s">
        <v>395</v>
      </c>
      <c r="B115" s="154" t="s">
        <v>396</v>
      </c>
      <c r="C115" s="155" t="s">
        <v>61</v>
      </c>
      <c r="D115" s="155" t="s">
        <v>855</v>
      </c>
      <c r="E115" s="154" t="s">
        <v>21</v>
      </c>
      <c r="F115" s="3" t="s">
        <v>916</v>
      </c>
      <c r="G115" s="3" t="s">
        <v>916</v>
      </c>
      <c r="H115" s="156" t="str">
        <f ca="1">IFERROR(
  _xludf.MINIFS(ATTENDANCE_LOG!$F:$F,
         ATTENDANCE_LOG!$A:$A, C115,
         ATTENDANCE_LOG!$B:$B, E115),
"")</f>
        <v/>
      </c>
      <c r="I115" s="156" t="str">
        <f t="shared" ca="1" si="0"/>
        <v/>
      </c>
      <c r="J115" s="3">
        <f>IFERROR(VLOOKUP(F115, LEVEL_HELPER!$A:$B, 2, 0), "")</f>
        <v>2.5</v>
      </c>
      <c r="K115" s="3">
        <f>IFERROR(VLOOKUP(G115, LEVEL_HELPER!$A:$B, 2, 0), "")</f>
        <v>2.5</v>
      </c>
      <c r="L115" s="157" t="s">
        <v>918</v>
      </c>
      <c r="M115" s="157" t="s">
        <v>921</v>
      </c>
      <c r="N115" s="3">
        <f t="array" aca="1" ref="N115" ca="1">IFERROR(
  INDEX($J$2:$J$543,
    MATCH(A115&amp;TEXT(I115,"yyyy-mm-dd"),
          $A$2:$A$543&amp;TEXT($H$2:$H$543,"yyyy-mm-dd"),
          0)),
"")</f>
        <v>2.5</v>
      </c>
      <c r="O115" s="147" t="str">
        <f t="shared" ca="1" si="1"/>
        <v/>
      </c>
      <c r="P115" s="147">
        <f t="shared" ref="P115:Q115" ca="1" si="124">IF(N115="",0,IF(N115&lt;=2,1,IF(N115&lt;=4,2,IF(N115&lt;=5.5,3,4))))</f>
        <v>2</v>
      </c>
      <c r="Q115" s="147">
        <f t="shared" ca="1" si="124"/>
        <v>0</v>
      </c>
      <c r="R115" s="147" t="str">
        <f t="shared" ca="1" si="3"/>
        <v>Regressed</v>
      </c>
      <c r="S115" s="147">
        <f t="shared" si="4"/>
        <v>0</v>
      </c>
      <c r="T115" s="147"/>
      <c r="U115" s="147"/>
      <c r="V115" s="148" t="e">
        <f ca="1"/>
        <v>#NAME?</v>
      </c>
      <c r="W115" s="147" t="e">
        <f t="shared" ca="1" si="5"/>
        <v>#NAME?</v>
      </c>
      <c r="X115" s="147" t="e">
        <f t="shared" ca="1" si="6"/>
        <v>#NAME?</v>
      </c>
      <c r="Y115" s="147" t="e">
        <f t="shared" ca="1" si="7"/>
        <v>#NAME?</v>
      </c>
      <c r="Z115" s="147"/>
      <c r="AA115" s="147"/>
      <c r="AB115" s="147"/>
      <c r="AC115" s="147"/>
      <c r="AD115" s="147"/>
      <c r="AE115" s="147"/>
      <c r="AF115" s="147"/>
      <c r="AG115" s="147"/>
      <c r="AH115" s="147"/>
      <c r="AI115" s="147"/>
      <c r="AJ115" s="147"/>
      <c r="AK115" s="147"/>
      <c r="AL115" s="147"/>
      <c r="AM115" s="151"/>
      <c r="AN115" s="147"/>
      <c r="AO115" s="147" t="e">
        <f t="shared" si="8"/>
        <v>#N/A</v>
      </c>
      <c r="AP115" s="147" t="e">
        <f t="shared" ca="1" si="9"/>
        <v>#NAME?</v>
      </c>
      <c r="AQ115" s="147" t="e">
        <f t="shared" si="10"/>
        <v>#N/A</v>
      </c>
      <c r="AR115" s="147"/>
      <c r="AS115" s="147"/>
      <c r="AT115" s="147"/>
      <c r="AU115" s="147"/>
      <c r="AV115" s="147"/>
      <c r="AW115" s="147"/>
      <c r="AX115" s="147"/>
      <c r="AY115" s="147"/>
      <c r="AZ115" s="147"/>
      <c r="BA115" s="147"/>
      <c r="BB115" s="147"/>
      <c r="BC115" s="147"/>
      <c r="BD115" s="147"/>
      <c r="BE115" s="147"/>
      <c r="BF115" s="147"/>
      <c r="BG115" s="147"/>
      <c r="BH115" s="147"/>
      <c r="BI115" s="147"/>
      <c r="BJ115" s="147"/>
      <c r="BK115" s="147"/>
      <c r="BL115" s="147"/>
      <c r="BM115" s="147"/>
      <c r="BN115" s="147"/>
      <c r="BO115" s="147"/>
      <c r="BP115" s="147"/>
      <c r="BQ115" s="147"/>
      <c r="BR115" s="147"/>
      <c r="BS115" s="147"/>
      <c r="BT115" s="147"/>
      <c r="BU115" s="147"/>
      <c r="BV115" s="147"/>
      <c r="BW115" s="147"/>
      <c r="BX115" s="147"/>
      <c r="BY115" s="147"/>
      <c r="BZ115" s="147"/>
      <c r="CA115" s="147"/>
      <c r="CB115" s="147"/>
      <c r="CC115" s="147"/>
      <c r="CD115" s="147"/>
      <c r="CE115" s="147"/>
      <c r="CF115" s="147"/>
      <c r="CG115" s="147"/>
      <c r="CH115" s="147"/>
      <c r="CI115" s="147"/>
      <c r="CJ115" s="147"/>
      <c r="CK115" s="147"/>
    </row>
    <row r="116" spans="1:89">
      <c r="A116" s="159" t="s">
        <v>140</v>
      </c>
      <c r="B116" s="3" t="s">
        <v>141</v>
      </c>
      <c r="C116" s="160" t="s">
        <v>61</v>
      </c>
      <c r="D116" s="160" t="s">
        <v>855</v>
      </c>
      <c r="E116" s="3" t="s">
        <v>21</v>
      </c>
      <c r="F116" s="3" t="s">
        <v>926</v>
      </c>
      <c r="G116" s="3" t="s">
        <v>916</v>
      </c>
      <c r="H116" s="156" t="str">
        <f ca="1">IFERROR(
  _xludf.MINIFS(ATTENDANCE_LOG!$F:$F,
         ATTENDANCE_LOG!$A:$A, C116,
         ATTENDANCE_LOG!$B:$B, E116),
"")</f>
        <v/>
      </c>
      <c r="I116" s="156" t="str">
        <f t="shared" ca="1" si="0"/>
        <v/>
      </c>
      <c r="J116" s="3">
        <f>IFERROR(VLOOKUP(F116, LEVEL_HELPER!$A:$B, 2, 0), "")</f>
        <v>1</v>
      </c>
      <c r="K116" s="3">
        <f>IFERROR(VLOOKUP(G116, LEVEL_HELPER!$A:$B, 2, 0), "")</f>
        <v>2.5</v>
      </c>
      <c r="L116" s="157" t="s">
        <v>942</v>
      </c>
      <c r="M116" s="157" t="s">
        <v>921</v>
      </c>
      <c r="N116" s="3">
        <f t="array" aca="1" ref="N116" ca="1">IFERROR(
  INDEX($J$2:$J$543,
    MATCH(A116&amp;TEXT(I116,"yyyy-mm-dd"),
          $A$2:$A$543&amp;TEXT($H$2:$H$543,"yyyy-mm-dd"),
          0)),
"")</f>
        <v>2.5</v>
      </c>
      <c r="O116" s="147" t="str">
        <f t="shared" ca="1" si="1"/>
        <v/>
      </c>
      <c r="P116" s="147">
        <f t="shared" ref="P116:Q116" ca="1" si="125">IF(N116="",0,IF(N116&lt;=2,1,IF(N116&lt;=4,2,IF(N116&lt;=5.5,3,4))))</f>
        <v>2</v>
      </c>
      <c r="Q116" s="147">
        <f t="shared" ca="1" si="125"/>
        <v>0</v>
      </c>
      <c r="R116" s="147" t="str">
        <f t="shared" ca="1" si="3"/>
        <v>Regressed</v>
      </c>
      <c r="S116" s="147">
        <f t="shared" si="4"/>
        <v>0</v>
      </c>
      <c r="T116" s="147"/>
      <c r="U116" s="147"/>
      <c r="V116" s="148" t="e">
        <f ca="1"/>
        <v>#NAME?</v>
      </c>
      <c r="W116" s="147" t="e">
        <f t="shared" ca="1" si="5"/>
        <v>#NAME?</v>
      </c>
      <c r="X116" s="147" t="e">
        <f t="shared" ca="1" si="6"/>
        <v>#NAME?</v>
      </c>
      <c r="Y116" s="147" t="e">
        <f t="shared" ca="1" si="7"/>
        <v>#NAME?</v>
      </c>
      <c r="Z116" s="147"/>
      <c r="AA116" s="147"/>
      <c r="AB116" s="147"/>
      <c r="AC116" s="147"/>
      <c r="AD116" s="147"/>
      <c r="AE116" s="147"/>
      <c r="AF116" s="147"/>
      <c r="AG116" s="147"/>
      <c r="AH116" s="147"/>
      <c r="AI116" s="147"/>
      <c r="AJ116" s="147"/>
      <c r="AK116" s="147"/>
      <c r="AL116" s="147"/>
      <c r="AM116" s="151"/>
      <c r="AN116" s="147"/>
      <c r="AO116" s="147" t="e">
        <f t="shared" si="8"/>
        <v>#N/A</v>
      </c>
      <c r="AP116" s="147" t="e">
        <f t="shared" ca="1" si="9"/>
        <v>#NAME?</v>
      </c>
      <c r="AQ116" s="147" t="e">
        <f t="shared" si="10"/>
        <v>#N/A</v>
      </c>
      <c r="AR116" s="147"/>
      <c r="AS116" s="147"/>
      <c r="AT116" s="147"/>
      <c r="AU116" s="147"/>
      <c r="AV116" s="147"/>
      <c r="AW116" s="147"/>
      <c r="AX116" s="147"/>
      <c r="AY116" s="147"/>
      <c r="AZ116" s="147"/>
      <c r="BA116" s="147"/>
      <c r="BB116" s="147"/>
      <c r="BC116" s="147"/>
      <c r="BD116" s="147"/>
      <c r="BE116" s="147"/>
      <c r="BF116" s="147"/>
      <c r="BG116" s="147"/>
      <c r="BH116" s="147"/>
      <c r="BI116" s="147"/>
      <c r="BJ116" s="147"/>
      <c r="BK116" s="147"/>
      <c r="BL116" s="147"/>
      <c r="BM116" s="147"/>
      <c r="BN116" s="147"/>
      <c r="BO116" s="147"/>
      <c r="BP116" s="147"/>
      <c r="BQ116" s="147"/>
      <c r="BR116" s="147"/>
      <c r="BS116" s="147"/>
      <c r="BT116" s="147"/>
      <c r="BU116" s="147"/>
      <c r="BV116" s="147"/>
      <c r="BW116" s="147"/>
      <c r="BX116" s="147"/>
      <c r="BY116" s="147"/>
      <c r="BZ116" s="147"/>
      <c r="CA116" s="147"/>
      <c r="CB116" s="147"/>
      <c r="CC116" s="147"/>
      <c r="CD116" s="147"/>
      <c r="CE116" s="147"/>
      <c r="CF116" s="147"/>
      <c r="CG116" s="147"/>
      <c r="CH116" s="147"/>
      <c r="CI116" s="147"/>
      <c r="CJ116" s="147"/>
      <c r="CK116" s="147"/>
    </row>
    <row r="117" spans="1:89">
      <c r="A117" s="159" t="s">
        <v>340</v>
      </c>
      <c r="B117" s="3" t="s">
        <v>341</v>
      </c>
      <c r="C117" s="160" t="s">
        <v>61</v>
      </c>
      <c r="D117" s="160" t="s">
        <v>855</v>
      </c>
      <c r="E117" s="3" t="s">
        <v>21</v>
      </c>
      <c r="F117" s="3" t="s">
        <v>926</v>
      </c>
      <c r="G117" s="3" t="s">
        <v>916</v>
      </c>
      <c r="H117" s="156" t="str">
        <f ca="1">IFERROR(
  _xludf.MINIFS(ATTENDANCE_LOG!$F:$F,
         ATTENDANCE_LOG!$A:$A, C117,
         ATTENDANCE_LOG!$B:$B, E117),
"")</f>
        <v/>
      </c>
      <c r="I117" s="156" t="str">
        <f t="shared" ca="1" si="0"/>
        <v/>
      </c>
      <c r="J117" s="3">
        <f>IFERROR(VLOOKUP(F117, LEVEL_HELPER!$A:$B, 2, 0), "")</f>
        <v>1</v>
      </c>
      <c r="K117" s="3">
        <f>IFERROR(VLOOKUP(G117, LEVEL_HELPER!$A:$B, 2, 0), "")</f>
        <v>2.5</v>
      </c>
      <c r="L117" s="157" t="s">
        <v>942</v>
      </c>
      <c r="M117" s="157" t="s">
        <v>921</v>
      </c>
      <c r="N117" s="3">
        <f t="array" aca="1" ref="N117" ca="1">IFERROR(
  INDEX($J$2:$J$543,
    MATCH(A117&amp;TEXT(I117,"yyyy-mm-dd"),
          $A$2:$A$543&amp;TEXT($H$2:$H$543,"yyyy-mm-dd"),
          0)),
"")</f>
        <v>2.5</v>
      </c>
      <c r="O117" s="147" t="str">
        <f t="shared" ca="1" si="1"/>
        <v/>
      </c>
      <c r="P117" s="147">
        <f t="shared" ref="P117:Q117" ca="1" si="126">IF(N117="",0,IF(N117&lt;=2,1,IF(N117&lt;=4,2,IF(N117&lt;=5.5,3,4))))</f>
        <v>2</v>
      </c>
      <c r="Q117" s="147">
        <f t="shared" ca="1" si="126"/>
        <v>0</v>
      </c>
      <c r="R117" s="147" t="str">
        <f t="shared" ca="1" si="3"/>
        <v>Regressed</v>
      </c>
      <c r="S117" s="147">
        <f t="shared" si="4"/>
        <v>0</v>
      </c>
      <c r="T117" s="147"/>
      <c r="U117" s="147"/>
      <c r="V117" s="148" t="e">
        <f ca="1"/>
        <v>#NAME?</v>
      </c>
      <c r="W117" s="147" t="e">
        <f t="shared" ca="1" si="5"/>
        <v>#NAME?</v>
      </c>
      <c r="X117" s="147" t="e">
        <f t="shared" ca="1" si="6"/>
        <v>#NAME?</v>
      </c>
      <c r="Y117" s="147" t="e">
        <f t="shared" ca="1" si="7"/>
        <v>#NAME?</v>
      </c>
      <c r="Z117" s="147"/>
      <c r="AA117" s="147"/>
      <c r="AB117" s="147"/>
      <c r="AC117" s="147"/>
      <c r="AD117" s="147"/>
      <c r="AE117" s="147"/>
      <c r="AF117" s="147"/>
      <c r="AG117" s="147"/>
      <c r="AH117" s="147"/>
      <c r="AI117" s="147"/>
      <c r="AJ117" s="147"/>
      <c r="AK117" s="147"/>
      <c r="AL117" s="147"/>
      <c r="AM117" s="151"/>
      <c r="AN117" s="147"/>
      <c r="AO117" s="147" t="e">
        <f t="shared" si="8"/>
        <v>#N/A</v>
      </c>
      <c r="AP117" s="147" t="e">
        <f t="shared" ca="1" si="9"/>
        <v>#NAME?</v>
      </c>
      <c r="AQ117" s="147" t="e">
        <f t="shared" si="10"/>
        <v>#N/A</v>
      </c>
      <c r="AR117" s="147"/>
      <c r="AS117" s="147"/>
      <c r="AT117" s="147"/>
      <c r="AU117" s="147"/>
      <c r="AV117" s="147"/>
      <c r="AW117" s="147"/>
      <c r="AX117" s="147"/>
      <c r="AY117" s="147"/>
      <c r="AZ117" s="147"/>
      <c r="BA117" s="147"/>
      <c r="BB117" s="147"/>
      <c r="BC117" s="147"/>
      <c r="BD117" s="147"/>
      <c r="BE117" s="147"/>
      <c r="BF117" s="147"/>
      <c r="BG117" s="147"/>
      <c r="BH117" s="147"/>
      <c r="BI117" s="147"/>
      <c r="BJ117" s="147"/>
      <c r="BK117" s="147"/>
      <c r="BL117" s="147"/>
      <c r="BM117" s="147"/>
      <c r="BN117" s="147"/>
      <c r="BO117" s="147"/>
      <c r="BP117" s="147"/>
      <c r="BQ117" s="147"/>
      <c r="BR117" s="147"/>
      <c r="BS117" s="147"/>
      <c r="BT117" s="147"/>
      <c r="BU117" s="147"/>
      <c r="BV117" s="147"/>
      <c r="BW117" s="147"/>
      <c r="BX117" s="147"/>
      <c r="BY117" s="147"/>
      <c r="BZ117" s="147"/>
      <c r="CA117" s="147"/>
      <c r="CB117" s="147"/>
      <c r="CC117" s="147"/>
      <c r="CD117" s="147"/>
      <c r="CE117" s="147"/>
      <c r="CF117" s="147"/>
      <c r="CG117" s="147"/>
      <c r="CH117" s="147"/>
      <c r="CI117" s="147"/>
      <c r="CJ117" s="147"/>
      <c r="CK117" s="147"/>
    </row>
    <row r="118" spans="1:89">
      <c r="A118" s="159" t="s">
        <v>504</v>
      </c>
      <c r="B118" s="3" t="s">
        <v>505</v>
      </c>
      <c r="C118" s="160" t="s">
        <v>61</v>
      </c>
      <c r="D118" s="160" t="s">
        <v>855</v>
      </c>
      <c r="E118" s="3" t="s">
        <v>21</v>
      </c>
      <c r="F118" s="3" t="s">
        <v>926</v>
      </c>
      <c r="G118" s="3" t="s">
        <v>926</v>
      </c>
      <c r="H118" s="156" t="str">
        <f ca="1">IFERROR(
  _xludf.MINIFS(ATTENDANCE_LOG!$F:$F,
         ATTENDANCE_LOG!$A:$A, C118,
         ATTENDANCE_LOG!$B:$B, E118),
"")</f>
        <v/>
      </c>
      <c r="I118" s="156" t="str">
        <f t="shared" ca="1" si="0"/>
        <v/>
      </c>
      <c r="J118" s="3">
        <f>IFERROR(VLOOKUP(F118, LEVEL_HELPER!$A:$B, 2, 0), "")</f>
        <v>1</v>
      </c>
      <c r="K118" s="3">
        <f>IFERROR(VLOOKUP(G118, LEVEL_HELPER!$A:$B, 2, 0), "")</f>
        <v>1</v>
      </c>
      <c r="L118" s="157" t="s">
        <v>942</v>
      </c>
      <c r="M118" s="157" t="s">
        <v>921</v>
      </c>
      <c r="N118" s="3">
        <f t="array" aca="1" ref="N118" ca="1">IFERROR(
  INDEX($J$2:$J$543,
    MATCH(A118&amp;TEXT(I118,"yyyy-mm-dd"),
          $A$2:$A$543&amp;TEXT($H$2:$H$543,"yyyy-mm-dd"),
          0)),
"")</f>
        <v>1</v>
      </c>
      <c r="O118" s="147" t="str">
        <f t="shared" ca="1" si="1"/>
        <v/>
      </c>
      <c r="P118" s="147">
        <f t="shared" ref="P118:Q118" ca="1" si="127">IF(N118="",0,IF(N118&lt;=2,1,IF(N118&lt;=4,2,IF(N118&lt;=5.5,3,4))))</f>
        <v>1</v>
      </c>
      <c r="Q118" s="147">
        <f t="shared" ca="1" si="127"/>
        <v>0</v>
      </c>
      <c r="R118" s="147" t="str">
        <f t="shared" ca="1" si="3"/>
        <v>Regressed</v>
      </c>
      <c r="S118" s="147">
        <f t="shared" si="4"/>
        <v>0</v>
      </c>
      <c r="T118" s="147"/>
      <c r="U118" s="147"/>
      <c r="V118" s="148" t="e">
        <f ca="1"/>
        <v>#NAME?</v>
      </c>
      <c r="W118" s="147" t="e">
        <f t="shared" ca="1" si="5"/>
        <v>#NAME?</v>
      </c>
      <c r="X118" s="147" t="e">
        <f t="shared" ca="1" si="6"/>
        <v>#NAME?</v>
      </c>
      <c r="Y118" s="147" t="e">
        <f t="shared" ca="1" si="7"/>
        <v>#NAME?</v>
      </c>
      <c r="Z118" s="147"/>
      <c r="AA118" s="147"/>
      <c r="AB118" s="147"/>
      <c r="AC118" s="147"/>
      <c r="AD118" s="147"/>
      <c r="AE118" s="147"/>
      <c r="AF118" s="147"/>
      <c r="AG118" s="147"/>
      <c r="AH118" s="147"/>
      <c r="AI118" s="147"/>
      <c r="AJ118" s="147"/>
      <c r="AK118" s="147"/>
      <c r="AL118" s="147"/>
      <c r="AM118" s="151"/>
      <c r="AN118" s="147"/>
      <c r="AO118" s="147" t="e">
        <f t="shared" si="8"/>
        <v>#N/A</v>
      </c>
      <c r="AP118" s="147" t="e">
        <f t="shared" ca="1" si="9"/>
        <v>#NAME?</v>
      </c>
      <c r="AQ118" s="147" t="e">
        <f t="shared" si="10"/>
        <v>#N/A</v>
      </c>
      <c r="AR118" s="147"/>
      <c r="AS118" s="147"/>
      <c r="AT118" s="147"/>
      <c r="AU118" s="147"/>
      <c r="AV118" s="147"/>
      <c r="AW118" s="147"/>
      <c r="AX118" s="147"/>
      <c r="AY118" s="147"/>
      <c r="AZ118" s="147"/>
      <c r="BA118" s="147"/>
      <c r="BB118" s="147"/>
      <c r="BC118" s="147"/>
      <c r="BD118" s="147"/>
      <c r="BE118" s="147"/>
      <c r="BF118" s="147"/>
      <c r="BG118" s="147"/>
      <c r="BH118" s="147"/>
      <c r="BI118" s="147"/>
      <c r="BJ118" s="147"/>
      <c r="BK118" s="147"/>
      <c r="BL118" s="147"/>
      <c r="BM118" s="147"/>
      <c r="BN118" s="147"/>
      <c r="BO118" s="147"/>
      <c r="BP118" s="147"/>
      <c r="BQ118" s="147"/>
      <c r="BR118" s="147"/>
      <c r="BS118" s="147"/>
      <c r="BT118" s="147"/>
      <c r="BU118" s="147"/>
      <c r="BV118" s="147"/>
      <c r="BW118" s="147"/>
      <c r="BX118" s="147"/>
      <c r="BY118" s="147"/>
      <c r="BZ118" s="147"/>
      <c r="CA118" s="147"/>
      <c r="CB118" s="147"/>
      <c r="CC118" s="147"/>
      <c r="CD118" s="147"/>
      <c r="CE118" s="147"/>
      <c r="CF118" s="147"/>
      <c r="CG118" s="147"/>
      <c r="CH118" s="147"/>
      <c r="CI118" s="147"/>
      <c r="CJ118" s="147"/>
      <c r="CK118" s="147"/>
    </row>
    <row r="119" spans="1:89">
      <c r="A119" s="159" t="s">
        <v>583</v>
      </c>
      <c r="B119" s="3" t="s">
        <v>584</v>
      </c>
      <c r="C119" s="160" t="s">
        <v>61</v>
      </c>
      <c r="D119" s="160" t="s">
        <v>855</v>
      </c>
      <c r="E119" s="3" t="s">
        <v>21</v>
      </c>
      <c r="F119" s="3" t="s">
        <v>916</v>
      </c>
      <c r="G119" s="3" t="s">
        <v>931</v>
      </c>
      <c r="H119" s="156" t="str">
        <f ca="1">IFERROR(
  _xludf.MINIFS(ATTENDANCE_LOG!$F:$F,
         ATTENDANCE_LOG!$A:$A, C119,
         ATTENDANCE_LOG!$B:$B, E119),
"")</f>
        <v/>
      </c>
      <c r="I119" s="156" t="str">
        <f t="shared" ca="1" si="0"/>
        <v/>
      </c>
      <c r="J119" s="3">
        <f>IFERROR(VLOOKUP(F119, LEVEL_HELPER!$A:$B, 2, 0), "")</f>
        <v>2.5</v>
      </c>
      <c r="K119" s="3">
        <f>IFERROR(VLOOKUP(G119, LEVEL_HELPER!$A:$B, 2, 0), "")</f>
        <v>4.5</v>
      </c>
      <c r="L119" s="157" t="s">
        <v>942</v>
      </c>
      <c r="M119" s="157" t="s">
        <v>921</v>
      </c>
      <c r="N119" s="3">
        <f t="array" aca="1" ref="N119" ca="1">IFERROR(
  INDEX($J$2:$J$543,
    MATCH(A119&amp;TEXT(I119,"yyyy-mm-dd"),
          $A$2:$A$543&amp;TEXT($H$2:$H$543,"yyyy-mm-dd"),
          0)),
"")</f>
        <v>4.5</v>
      </c>
      <c r="O119" s="147" t="str">
        <f t="shared" ca="1" si="1"/>
        <v/>
      </c>
      <c r="P119" s="147">
        <f t="shared" ref="P119:Q119" ca="1" si="128">IF(N119="",0,IF(N119&lt;=2,1,IF(N119&lt;=4,2,IF(N119&lt;=5.5,3,4))))</f>
        <v>3</v>
      </c>
      <c r="Q119" s="147">
        <f t="shared" ca="1" si="128"/>
        <v>0</v>
      </c>
      <c r="R119" s="147" t="str">
        <f t="shared" ca="1" si="3"/>
        <v>Regressed</v>
      </c>
      <c r="S119" s="147">
        <f t="shared" si="4"/>
        <v>0</v>
      </c>
      <c r="T119" s="147"/>
      <c r="U119" s="147"/>
      <c r="V119" s="148" t="e">
        <f ca="1"/>
        <v>#NAME?</v>
      </c>
      <c r="W119" s="147" t="e">
        <f t="shared" ca="1" si="5"/>
        <v>#NAME?</v>
      </c>
      <c r="X119" s="147" t="e">
        <f t="shared" ca="1" si="6"/>
        <v>#NAME?</v>
      </c>
      <c r="Y119" s="147" t="e">
        <f t="shared" ca="1" si="7"/>
        <v>#NAME?</v>
      </c>
      <c r="Z119" s="147"/>
      <c r="AA119" s="147"/>
      <c r="AB119" s="147"/>
      <c r="AC119" s="147"/>
      <c r="AD119" s="147"/>
      <c r="AE119" s="147"/>
      <c r="AF119" s="147"/>
      <c r="AG119" s="147"/>
      <c r="AH119" s="147"/>
      <c r="AI119" s="147"/>
      <c r="AJ119" s="147"/>
      <c r="AK119" s="147"/>
      <c r="AL119" s="147"/>
      <c r="AM119" s="151"/>
      <c r="AN119" s="147"/>
      <c r="AO119" s="147" t="e">
        <f t="shared" si="8"/>
        <v>#N/A</v>
      </c>
      <c r="AP119" s="147" t="e">
        <f t="shared" ca="1" si="9"/>
        <v>#NAME?</v>
      </c>
      <c r="AQ119" s="147" t="e">
        <f t="shared" si="10"/>
        <v>#N/A</v>
      </c>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7"/>
      <c r="BN119" s="147"/>
      <c r="BO119" s="147"/>
      <c r="BP119" s="147"/>
      <c r="BQ119" s="147"/>
      <c r="BR119" s="147"/>
      <c r="BS119" s="147"/>
      <c r="BT119" s="147"/>
      <c r="BU119" s="147"/>
      <c r="BV119" s="147"/>
      <c r="BW119" s="147"/>
      <c r="BX119" s="147"/>
      <c r="BY119" s="147"/>
      <c r="BZ119" s="147"/>
      <c r="CA119" s="147"/>
      <c r="CB119" s="147"/>
      <c r="CC119" s="147"/>
      <c r="CD119" s="147"/>
      <c r="CE119" s="147"/>
      <c r="CF119" s="147"/>
      <c r="CG119" s="147"/>
      <c r="CH119" s="147"/>
      <c r="CI119" s="147"/>
      <c r="CJ119" s="147"/>
      <c r="CK119" s="147"/>
    </row>
    <row r="120" spans="1:89">
      <c r="A120" s="153" t="s">
        <v>307</v>
      </c>
      <c r="B120" s="154" t="s">
        <v>308</v>
      </c>
      <c r="C120" s="155" t="s">
        <v>62</v>
      </c>
      <c r="D120" s="155" t="s">
        <v>856</v>
      </c>
      <c r="E120" s="154" t="s">
        <v>21</v>
      </c>
      <c r="F120" s="3" t="s">
        <v>916</v>
      </c>
      <c r="G120" s="3" t="s">
        <v>934</v>
      </c>
      <c r="H120" s="156" t="str">
        <f ca="1">IFERROR(
  _xludf.MINIFS(ATTENDANCE_LOG!$F:$F,
         ATTENDANCE_LOG!$A:$A, C120,
         ATTENDANCE_LOG!$B:$B, E120),
"")</f>
        <v/>
      </c>
      <c r="I120" s="156" t="str">
        <f t="shared" ca="1" si="0"/>
        <v/>
      </c>
      <c r="J120" s="3">
        <f>IFERROR(VLOOKUP(F120, LEVEL_HELPER!$A:$B, 2, 0), "")</f>
        <v>2.5</v>
      </c>
      <c r="K120" s="3">
        <f>IFERROR(VLOOKUP(G120, LEVEL_HELPER!$A:$B, 2, 0), "")</f>
        <v>3.5</v>
      </c>
      <c r="L120" s="157" t="s">
        <v>942</v>
      </c>
      <c r="M120" s="157" t="s">
        <v>921</v>
      </c>
      <c r="N120" s="3">
        <f t="array" aca="1" ref="N120" ca="1">IFERROR(
  INDEX($J$2:$J$543,
    MATCH(A120&amp;TEXT(I120,"yyyy-mm-dd"),
          $A$2:$A$543&amp;TEXT($H$2:$H$543,"yyyy-mm-dd"),
          0)),
"")</f>
        <v>2.5</v>
      </c>
      <c r="O120" s="147" t="str">
        <f t="shared" ca="1" si="1"/>
        <v/>
      </c>
      <c r="P120" s="147">
        <f t="shared" ref="P120:Q120" ca="1" si="129">IF(N120="",0,IF(N120&lt;=2,1,IF(N120&lt;=4,2,IF(N120&lt;=5.5,3,4))))</f>
        <v>2</v>
      </c>
      <c r="Q120" s="147">
        <f t="shared" ca="1" si="129"/>
        <v>0</v>
      </c>
      <c r="R120" s="147" t="str">
        <f t="shared" ca="1" si="3"/>
        <v>Regressed</v>
      </c>
      <c r="S120" s="147">
        <f t="shared" si="4"/>
        <v>1</v>
      </c>
      <c r="T120" s="147"/>
      <c r="U120" s="147"/>
      <c r="V120" s="148" t="e">
        <f ca="1"/>
        <v>#NAME?</v>
      </c>
      <c r="W120" s="147" t="e">
        <f t="shared" ca="1" si="5"/>
        <v>#NAME?</v>
      </c>
      <c r="X120" s="147" t="e">
        <f t="shared" ca="1" si="6"/>
        <v>#NAME?</v>
      </c>
      <c r="Y120" s="147" t="e">
        <f t="shared" ca="1" si="7"/>
        <v>#NAME?</v>
      </c>
      <c r="Z120" s="147"/>
      <c r="AA120" s="147"/>
      <c r="AB120" s="147"/>
      <c r="AC120" s="147"/>
      <c r="AD120" s="147"/>
      <c r="AE120" s="147"/>
      <c r="AF120" s="147"/>
      <c r="AG120" s="147"/>
      <c r="AH120" s="147"/>
      <c r="AI120" s="147"/>
      <c r="AJ120" s="147"/>
      <c r="AK120" s="147"/>
      <c r="AL120" s="147"/>
      <c r="AM120" s="151"/>
      <c r="AN120" s="147"/>
      <c r="AO120" s="147" t="e">
        <f t="shared" si="8"/>
        <v>#N/A</v>
      </c>
      <c r="AP120" s="147" t="e">
        <f t="shared" ca="1" si="9"/>
        <v>#NAME?</v>
      </c>
      <c r="AQ120" s="147" t="e">
        <f t="shared" si="10"/>
        <v>#N/A</v>
      </c>
      <c r="AR120" s="147"/>
      <c r="AS120" s="147"/>
      <c r="AT120" s="147"/>
      <c r="AU120" s="147"/>
      <c r="AV120" s="147"/>
      <c r="AW120" s="147"/>
      <c r="AX120" s="147"/>
      <c r="AY120" s="147"/>
      <c r="AZ120" s="147"/>
      <c r="BA120" s="147"/>
      <c r="BB120" s="147"/>
      <c r="BC120" s="147"/>
      <c r="BD120" s="147"/>
      <c r="BE120" s="147"/>
      <c r="BF120" s="147"/>
      <c r="BG120" s="147"/>
      <c r="BH120" s="147"/>
      <c r="BI120" s="147"/>
      <c r="BJ120" s="147"/>
      <c r="BK120" s="147"/>
      <c r="BL120" s="147"/>
      <c r="BM120" s="147"/>
      <c r="BN120" s="147"/>
      <c r="BO120" s="147"/>
      <c r="BP120" s="147"/>
      <c r="BQ120" s="147"/>
      <c r="BR120" s="147"/>
      <c r="BS120" s="147"/>
      <c r="BT120" s="147"/>
      <c r="BU120" s="147"/>
      <c r="BV120" s="147"/>
      <c r="BW120" s="147"/>
      <c r="BX120" s="147"/>
      <c r="BY120" s="147"/>
      <c r="BZ120" s="147"/>
      <c r="CA120" s="147"/>
      <c r="CB120" s="147"/>
      <c r="CC120" s="147"/>
      <c r="CD120" s="147"/>
      <c r="CE120" s="147"/>
      <c r="CF120" s="147"/>
      <c r="CG120" s="147"/>
      <c r="CH120" s="147"/>
      <c r="CI120" s="147"/>
      <c r="CJ120" s="147"/>
      <c r="CK120" s="147"/>
    </row>
    <row r="121" spans="1:89">
      <c r="A121" s="159" t="s">
        <v>190</v>
      </c>
      <c r="B121" s="3" t="s">
        <v>191</v>
      </c>
      <c r="C121" s="160" t="s">
        <v>62</v>
      </c>
      <c r="D121" s="160" t="s">
        <v>856</v>
      </c>
      <c r="E121" s="3" t="s">
        <v>21</v>
      </c>
      <c r="F121" s="3" t="s">
        <v>926</v>
      </c>
      <c r="G121" s="3"/>
      <c r="H121" s="156" t="str">
        <f ca="1">IFERROR(
  _xludf.MINIFS(ATTENDANCE_LOG!$F:$F,
         ATTENDANCE_LOG!$A:$A, C121,
         ATTENDANCE_LOG!$B:$B, E121),
"")</f>
        <v/>
      </c>
      <c r="I121" s="156" t="str">
        <f t="shared" ca="1" si="0"/>
        <v/>
      </c>
      <c r="J121" s="3">
        <f>IFERROR(VLOOKUP(F121, LEVEL_HELPER!$A:$B, 2, 0), "")</f>
        <v>1</v>
      </c>
      <c r="K121" s="3" t="str">
        <f>IFERROR(VLOOKUP(G121, LEVEL_HELPER!$A:$B, 2, 0), "")</f>
        <v/>
      </c>
      <c r="L121" s="157" t="s">
        <v>943</v>
      </c>
      <c r="M121" s="157" t="s">
        <v>921</v>
      </c>
      <c r="N121" s="3">
        <f t="array" aca="1" ref="N121" ca="1">IFERROR(
  INDEX($J$2:$J$543,
    MATCH(A121&amp;TEXT(I121,"yyyy-mm-dd"),
          $A$2:$A$543&amp;TEXT($H$2:$H$543,"yyyy-mm-dd"),
          0)),
"")</f>
        <v>1</v>
      </c>
      <c r="O121" s="147" t="str">
        <f t="shared" ca="1" si="1"/>
        <v/>
      </c>
      <c r="P121" s="147">
        <f t="shared" ref="P121:Q121" ca="1" si="130">IF(N121="",0,IF(N121&lt;=2,1,IF(N121&lt;=4,2,IF(N121&lt;=5.5,3,4))))</f>
        <v>1</v>
      </c>
      <c r="Q121" s="147">
        <f t="shared" ca="1" si="130"/>
        <v>0</v>
      </c>
      <c r="R121" s="147" t="str">
        <f t="shared" ca="1" si="3"/>
        <v>Regressed</v>
      </c>
      <c r="S121" s="147">
        <f t="shared" si="4"/>
        <v>1</v>
      </c>
      <c r="T121" s="147"/>
      <c r="U121" s="147"/>
      <c r="V121" s="148" t="e">
        <f ca="1"/>
        <v>#NAME?</v>
      </c>
      <c r="W121" s="147" t="e">
        <f t="shared" ca="1" si="5"/>
        <v>#NAME?</v>
      </c>
      <c r="X121" s="147" t="e">
        <f t="shared" ca="1" si="6"/>
        <v>#NAME?</v>
      </c>
      <c r="Y121" s="147" t="e">
        <f t="shared" ca="1" si="7"/>
        <v>#NAME?</v>
      </c>
      <c r="Z121" s="147"/>
      <c r="AA121" s="147"/>
      <c r="AB121" s="147"/>
      <c r="AC121" s="147"/>
      <c r="AD121" s="147"/>
      <c r="AE121" s="147"/>
      <c r="AF121" s="147"/>
      <c r="AG121" s="147"/>
      <c r="AH121" s="147"/>
      <c r="AI121" s="147"/>
      <c r="AJ121" s="147"/>
      <c r="AK121" s="147"/>
      <c r="AL121" s="147"/>
      <c r="AM121" s="151"/>
      <c r="AN121" s="147"/>
      <c r="AO121" s="147" t="e">
        <f t="shared" si="8"/>
        <v>#N/A</v>
      </c>
      <c r="AP121" s="147" t="e">
        <f t="shared" ca="1" si="9"/>
        <v>#NAME?</v>
      </c>
      <c r="AQ121" s="147" t="e">
        <f t="shared" si="10"/>
        <v>#N/A</v>
      </c>
      <c r="AR121" s="147"/>
      <c r="AS121" s="147"/>
      <c r="AT121" s="147"/>
      <c r="AU121" s="147"/>
      <c r="AV121" s="147"/>
      <c r="AW121" s="147"/>
      <c r="AX121" s="147"/>
      <c r="AY121" s="147"/>
      <c r="AZ121" s="147"/>
      <c r="BA121" s="147"/>
      <c r="BB121" s="147"/>
      <c r="BC121" s="147"/>
      <c r="BD121" s="147"/>
      <c r="BE121" s="147"/>
      <c r="BF121" s="147"/>
      <c r="BG121" s="147"/>
      <c r="BH121" s="147"/>
      <c r="BI121" s="147"/>
      <c r="BJ121" s="147"/>
      <c r="BK121" s="147"/>
      <c r="BL121" s="147"/>
      <c r="BM121" s="147"/>
      <c r="BN121" s="147"/>
      <c r="BO121" s="147"/>
      <c r="BP121" s="147"/>
      <c r="BQ121" s="147"/>
      <c r="BR121" s="147"/>
      <c r="BS121" s="147"/>
      <c r="BT121" s="147"/>
      <c r="BU121" s="147"/>
      <c r="BV121" s="147"/>
      <c r="BW121" s="147"/>
      <c r="BX121" s="147"/>
      <c r="BY121" s="147"/>
      <c r="BZ121" s="147"/>
      <c r="CA121" s="147"/>
      <c r="CB121" s="147"/>
      <c r="CC121" s="147"/>
      <c r="CD121" s="147"/>
      <c r="CE121" s="147"/>
      <c r="CF121" s="147"/>
      <c r="CG121" s="147"/>
      <c r="CH121" s="147"/>
      <c r="CI121" s="147"/>
      <c r="CJ121" s="147"/>
      <c r="CK121" s="147"/>
    </row>
    <row r="122" spans="1:89">
      <c r="A122" s="159" t="s">
        <v>198</v>
      </c>
      <c r="B122" s="3" t="s">
        <v>199</v>
      </c>
      <c r="C122" s="160" t="s">
        <v>62</v>
      </c>
      <c r="D122" s="160" t="s">
        <v>856</v>
      </c>
      <c r="E122" s="3" t="s">
        <v>21</v>
      </c>
      <c r="F122" s="3" t="s">
        <v>916</v>
      </c>
      <c r="G122" s="3"/>
      <c r="H122" s="156" t="str">
        <f ca="1">IFERROR(
  _xludf.MINIFS(ATTENDANCE_LOG!$F:$F,
         ATTENDANCE_LOG!$A:$A, C122,
         ATTENDANCE_LOG!$B:$B, E122),
"")</f>
        <v/>
      </c>
      <c r="I122" s="156" t="str">
        <f t="shared" ca="1" si="0"/>
        <v/>
      </c>
      <c r="J122" s="3">
        <f>IFERROR(VLOOKUP(F122, LEVEL_HELPER!$A:$B, 2, 0), "")</f>
        <v>2.5</v>
      </c>
      <c r="K122" s="3" t="str">
        <f>IFERROR(VLOOKUP(G122, LEVEL_HELPER!$A:$B, 2, 0), "")</f>
        <v/>
      </c>
      <c r="L122" s="157" t="s">
        <v>942</v>
      </c>
      <c r="M122" s="157" t="s">
        <v>925</v>
      </c>
      <c r="N122" s="3">
        <f t="array" aca="1" ref="N122" ca="1">IFERROR(
  INDEX($J$2:$J$543,
    MATCH(A122&amp;TEXT(I122,"yyyy-mm-dd"),
          $A$2:$A$543&amp;TEXT($H$2:$H$543,"yyyy-mm-dd"),
          0)),
"")</f>
        <v>2.5</v>
      </c>
      <c r="O122" s="147" t="str">
        <f t="shared" ca="1" si="1"/>
        <v/>
      </c>
      <c r="P122" s="147">
        <f t="shared" ref="P122:Q122" ca="1" si="131">IF(N122="",0,IF(N122&lt;=2,1,IF(N122&lt;=4,2,IF(N122&lt;=5.5,3,4))))</f>
        <v>2</v>
      </c>
      <c r="Q122" s="147">
        <f t="shared" ca="1" si="131"/>
        <v>0</v>
      </c>
      <c r="R122" s="147" t="str">
        <f t="shared" ca="1" si="3"/>
        <v>Regressed</v>
      </c>
      <c r="S122" s="147">
        <f t="shared" si="4"/>
        <v>1</v>
      </c>
      <c r="T122" s="147"/>
      <c r="U122" s="147"/>
      <c r="V122" s="148" t="e">
        <f ca="1"/>
        <v>#NAME?</v>
      </c>
      <c r="W122" s="147" t="e">
        <f t="shared" ca="1" si="5"/>
        <v>#NAME?</v>
      </c>
      <c r="X122" s="147" t="e">
        <f t="shared" ca="1" si="6"/>
        <v>#NAME?</v>
      </c>
      <c r="Y122" s="147" t="e">
        <f t="shared" ca="1" si="7"/>
        <v>#NAME?</v>
      </c>
      <c r="Z122" s="147"/>
      <c r="AA122" s="147"/>
      <c r="AB122" s="147"/>
      <c r="AC122" s="147"/>
      <c r="AD122" s="147"/>
      <c r="AE122" s="147"/>
      <c r="AF122" s="147"/>
      <c r="AG122" s="147"/>
      <c r="AH122" s="147"/>
      <c r="AI122" s="147"/>
      <c r="AJ122" s="147"/>
      <c r="AK122" s="147"/>
      <c r="AL122" s="147"/>
      <c r="AM122" s="151"/>
      <c r="AN122" s="147"/>
      <c r="AO122" s="147" t="e">
        <f t="shared" si="8"/>
        <v>#N/A</v>
      </c>
      <c r="AP122" s="147" t="e">
        <f t="shared" ca="1" si="9"/>
        <v>#NAME?</v>
      </c>
      <c r="AQ122" s="147" t="e">
        <f t="shared" si="10"/>
        <v>#N/A</v>
      </c>
      <c r="AR122" s="147"/>
      <c r="AS122" s="147"/>
      <c r="AT122" s="147"/>
      <c r="AU122" s="147"/>
      <c r="AV122" s="147"/>
      <c r="AW122" s="147"/>
      <c r="AX122" s="147"/>
      <c r="AY122" s="147"/>
      <c r="AZ122" s="147"/>
      <c r="BA122" s="147"/>
      <c r="BB122" s="147"/>
      <c r="BC122" s="147"/>
      <c r="BD122" s="147"/>
      <c r="BE122" s="147"/>
      <c r="BF122" s="147"/>
      <c r="BG122" s="147"/>
      <c r="BH122" s="147"/>
      <c r="BI122" s="147"/>
      <c r="BJ122" s="147"/>
      <c r="BK122" s="147"/>
      <c r="BL122" s="147"/>
      <c r="BM122" s="147"/>
      <c r="BN122" s="147"/>
      <c r="BO122" s="147"/>
      <c r="BP122" s="147"/>
      <c r="BQ122" s="147"/>
      <c r="BR122" s="147"/>
      <c r="BS122" s="147"/>
      <c r="BT122" s="147"/>
      <c r="BU122" s="147"/>
      <c r="BV122" s="147"/>
      <c r="BW122" s="147"/>
      <c r="BX122" s="147"/>
      <c r="BY122" s="147"/>
      <c r="BZ122" s="147"/>
      <c r="CA122" s="147"/>
      <c r="CB122" s="147"/>
      <c r="CC122" s="147"/>
      <c r="CD122" s="147"/>
      <c r="CE122" s="147"/>
      <c r="CF122" s="147"/>
      <c r="CG122" s="147"/>
      <c r="CH122" s="147"/>
      <c r="CI122" s="147"/>
      <c r="CJ122" s="147"/>
      <c r="CK122" s="147"/>
    </row>
    <row r="123" spans="1:89">
      <c r="A123" s="159" t="s">
        <v>237</v>
      </c>
      <c r="B123" s="3" t="s">
        <v>238</v>
      </c>
      <c r="C123" s="160" t="s">
        <v>62</v>
      </c>
      <c r="D123" s="160" t="s">
        <v>856</v>
      </c>
      <c r="E123" s="3" t="s">
        <v>21</v>
      </c>
      <c r="F123" s="3" t="s">
        <v>916</v>
      </c>
      <c r="G123" s="3"/>
      <c r="H123" s="156" t="str">
        <f ca="1">IFERROR(
  _xludf.MINIFS(ATTENDANCE_LOG!$F:$F,
         ATTENDANCE_LOG!$A:$A, C123,
         ATTENDANCE_LOG!$B:$B, E123),
"")</f>
        <v/>
      </c>
      <c r="I123" s="156" t="str">
        <f t="shared" ca="1" si="0"/>
        <v/>
      </c>
      <c r="J123" s="3">
        <f>IFERROR(VLOOKUP(F123, LEVEL_HELPER!$A:$B, 2, 0), "")</f>
        <v>2.5</v>
      </c>
      <c r="K123" s="3" t="str">
        <f>IFERROR(VLOOKUP(G123, LEVEL_HELPER!$A:$B, 2, 0), "")</f>
        <v/>
      </c>
      <c r="L123" s="157" t="s">
        <v>918</v>
      </c>
      <c r="M123" s="157" t="s">
        <v>921</v>
      </c>
      <c r="N123" s="3">
        <f t="array" aca="1" ref="N123" ca="1">IFERROR(
  INDEX($J$2:$J$543,
    MATCH(A123&amp;TEXT(I123,"yyyy-mm-dd"),
          $A$2:$A$543&amp;TEXT($H$2:$H$543,"yyyy-mm-dd"),
          0)),
"")</f>
        <v>2.5</v>
      </c>
      <c r="O123" s="147" t="str">
        <f t="shared" ca="1" si="1"/>
        <v/>
      </c>
      <c r="P123" s="147">
        <f t="shared" ref="P123:Q123" ca="1" si="132">IF(N123="",0,IF(N123&lt;=2,1,IF(N123&lt;=4,2,IF(N123&lt;=5.5,3,4))))</f>
        <v>2</v>
      </c>
      <c r="Q123" s="147">
        <f t="shared" ca="1" si="132"/>
        <v>0</v>
      </c>
      <c r="R123" s="147" t="str">
        <f t="shared" ca="1" si="3"/>
        <v>Regressed</v>
      </c>
      <c r="S123" s="147">
        <f t="shared" si="4"/>
        <v>1</v>
      </c>
      <c r="T123" s="147"/>
      <c r="U123" s="147"/>
      <c r="V123" s="148" t="e">
        <f ca="1"/>
        <v>#NAME?</v>
      </c>
      <c r="W123" s="147" t="e">
        <f t="shared" ca="1" si="5"/>
        <v>#NAME?</v>
      </c>
      <c r="X123" s="147" t="e">
        <f t="shared" ca="1" si="6"/>
        <v>#NAME?</v>
      </c>
      <c r="Y123" s="147" t="e">
        <f t="shared" ca="1" si="7"/>
        <v>#NAME?</v>
      </c>
      <c r="Z123" s="147"/>
      <c r="AA123" s="147"/>
      <c r="AB123" s="147"/>
      <c r="AC123" s="147"/>
      <c r="AD123" s="147"/>
      <c r="AE123" s="147"/>
      <c r="AF123" s="147"/>
      <c r="AG123" s="147"/>
      <c r="AH123" s="147"/>
      <c r="AI123" s="147"/>
      <c r="AJ123" s="147"/>
      <c r="AK123" s="147"/>
      <c r="AL123" s="147"/>
      <c r="AM123" s="151"/>
      <c r="AN123" s="147"/>
      <c r="AO123" s="147" t="e">
        <f t="shared" si="8"/>
        <v>#N/A</v>
      </c>
      <c r="AP123" s="147" t="e">
        <f t="shared" ca="1" si="9"/>
        <v>#NAME?</v>
      </c>
      <c r="AQ123" s="147" t="e">
        <f t="shared" si="10"/>
        <v>#N/A</v>
      </c>
      <c r="AR123" s="147"/>
      <c r="AS123" s="147"/>
      <c r="AT123" s="147"/>
      <c r="AU123" s="147"/>
      <c r="AV123" s="147"/>
      <c r="AW123" s="147"/>
      <c r="AX123" s="147"/>
      <c r="AY123" s="147"/>
      <c r="AZ123" s="147"/>
      <c r="BA123" s="147"/>
      <c r="BB123" s="147"/>
      <c r="BC123" s="147"/>
      <c r="BD123" s="147"/>
      <c r="BE123" s="147"/>
      <c r="BF123" s="147"/>
      <c r="BG123" s="147"/>
      <c r="BH123" s="147"/>
      <c r="BI123" s="147"/>
      <c r="BJ123" s="147"/>
      <c r="BK123" s="147"/>
      <c r="BL123" s="147"/>
      <c r="BM123" s="147"/>
      <c r="BN123" s="147"/>
      <c r="BO123" s="147"/>
      <c r="BP123" s="147"/>
      <c r="BQ123" s="147"/>
      <c r="BR123" s="147"/>
      <c r="BS123" s="147"/>
      <c r="BT123" s="147"/>
      <c r="BU123" s="147"/>
      <c r="BV123" s="147"/>
      <c r="BW123" s="147"/>
      <c r="BX123" s="147"/>
      <c r="BY123" s="147"/>
      <c r="BZ123" s="147"/>
      <c r="CA123" s="147"/>
      <c r="CB123" s="147"/>
      <c r="CC123" s="147"/>
      <c r="CD123" s="147"/>
      <c r="CE123" s="147"/>
      <c r="CF123" s="147"/>
      <c r="CG123" s="147"/>
      <c r="CH123" s="147"/>
      <c r="CI123" s="147"/>
      <c r="CJ123" s="147"/>
      <c r="CK123" s="147"/>
    </row>
    <row r="124" spans="1:89">
      <c r="A124" s="159" t="s">
        <v>249</v>
      </c>
      <c r="B124" s="3" t="s">
        <v>250</v>
      </c>
      <c r="C124" s="160" t="s">
        <v>62</v>
      </c>
      <c r="D124" s="160" t="s">
        <v>856</v>
      </c>
      <c r="E124" s="3" t="s">
        <v>21</v>
      </c>
      <c r="F124" s="3" t="s">
        <v>926</v>
      </c>
      <c r="G124" s="3"/>
      <c r="H124" s="156" t="str">
        <f ca="1">IFERROR(
  _xludf.MINIFS(ATTENDANCE_LOG!$F:$F,
         ATTENDANCE_LOG!$A:$A, C124,
         ATTENDANCE_LOG!$B:$B, E124),
"")</f>
        <v/>
      </c>
      <c r="I124" s="156" t="str">
        <f t="shared" ca="1" si="0"/>
        <v/>
      </c>
      <c r="J124" s="3">
        <f>IFERROR(VLOOKUP(F124, LEVEL_HELPER!$A:$B, 2, 0), "")</f>
        <v>1</v>
      </c>
      <c r="K124" s="3" t="str">
        <f>IFERROR(VLOOKUP(G124, LEVEL_HELPER!$A:$B, 2, 0), "")</f>
        <v/>
      </c>
      <c r="L124" s="157" t="s">
        <v>942</v>
      </c>
      <c r="M124" s="157" t="s">
        <v>921</v>
      </c>
      <c r="N124" s="3">
        <f t="array" aca="1" ref="N124" ca="1">IFERROR(
  INDEX($J$2:$J$543,
    MATCH(A124&amp;TEXT(I124,"yyyy-mm-dd"),
          $A$2:$A$543&amp;TEXT($H$2:$H$543,"yyyy-mm-dd"),
          0)),
"")</f>
        <v>1</v>
      </c>
      <c r="O124" s="147" t="str">
        <f t="shared" ca="1" si="1"/>
        <v/>
      </c>
      <c r="P124" s="147">
        <f t="shared" ref="P124:Q124" ca="1" si="133">IF(N124="",0,IF(N124&lt;=2,1,IF(N124&lt;=4,2,IF(N124&lt;=5.5,3,4))))</f>
        <v>1</v>
      </c>
      <c r="Q124" s="147">
        <f t="shared" ca="1" si="133"/>
        <v>0</v>
      </c>
      <c r="R124" s="147" t="str">
        <f t="shared" ca="1" si="3"/>
        <v>Regressed</v>
      </c>
      <c r="S124" s="147">
        <f t="shared" si="4"/>
        <v>1</v>
      </c>
      <c r="T124" s="147"/>
      <c r="U124" s="147"/>
      <c r="V124" s="148" t="e">
        <f ca="1"/>
        <v>#NAME?</v>
      </c>
      <c r="W124" s="147" t="e">
        <f t="shared" ca="1" si="5"/>
        <v>#NAME?</v>
      </c>
      <c r="X124" s="147" t="e">
        <f t="shared" ca="1" si="6"/>
        <v>#NAME?</v>
      </c>
      <c r="Y124" s="147" t="e">
        <f t="shared" ca="1" si="7"/>
        <v>#NAME?</v>
      </c>
      <c r="Z124" s="147"/>
      <c r="AA124" s="147"/>
      <c r="AB124" s="147"/>
      <c r="AC124" s="147"/>
      <c r="AD124" s="147"/>
      <c r="AE124" s="147"/>
      <c r="AF124" s="147"/>
      <c r="AG124" s="147"/>
      <c r="AH124" s="147"/>
      <c r="AI124" s="147"/>
      <c r="AJ124" s="147"/>
      <c r="AK124" s="147"/>
      <c r="AL124" s="147"/>
      <c r="AM124" s="151"/>
      <c r="AN124" s="147"/>
      <c r="AO124" s="147" t="e">
        <f t="shared" si="8"/>
        <v>#N/A</v>
      </c>
      <c r="AP124" s="147" t="e">
        <f t="shared" ca="1" si="9"/>
        <v>#NAME?</v>
      </c>
      <c r="AQ124" s="147" t="e">
        <f t="shared" si="10"/>
        <v>#N/A</v>
      </c>
      <c r="AR124" s="147"/>
      <c r="AS124" s="147"/>
      <c r="AT124" s="147"/>
      <c r="AU124" s="147"/>
      <c r="AV124" s="147"/>
      <c r="AW124" s="147"/>
      <c r="AX124" s="147"/>
      <c r="AY124" s="147"/>
      <c r="AZ124" s="147"/>
      <c r="BA124" s="147"/>
      <c r="BB124" s="147"/>
      <c r="BC124" s="147"/>
      <c r="BD124" s="147"/>
      <c r="BE124" s="147"/>
      <c r="BF124" s="147"/>
      <c r="BG124" s="147"/>
      <c r="BH124" s="147"/>
      <c r="BI124" s="147"/>
      <c r="BJ124" s="147"/>
      <c r="BK124" s="147"/>
      <c r="BL124" s="147"/>
      <c r="BM124" s="147"/>
      <c r="BN124" s="147"/>
      <c r="BO124" s="147"/>
      <c r="BP124" s="147"/>
      <c r="BQ124" s="147"/>
      <c r="BR124" s="147"/>
      <c r="BS124" s="147"/>
      <c r="BT124" s="147"/>
      <c r="BU124" s="147"/>
      <c r="BV124" s="147"/>
      <c r="BW124" s="147"/>
      <c r="BX124" s="147"/>
      <c r="BY124" s="147"/>
      <c r="BZ124" s="147"/>
      <c r="CA124" s="147"/>
      <c r="CB124" s="147"/>
      <c r="CC124" s="147"/>
      <c r="CD124" s="147"/>
      <c r="CE124" s="147"/>
      <c r="CF124" s="147"/>
      <c r="CG124" s="147"/>
      <c r="CH124" s="147"/>
      <c r="CI124" s="147"/>
      <c r="CJ124" s="147"/>
      <c r="CK124" s="147"/>
    </row>
    <row r="125" spans="1:89">
      <c r="A125" s="159" t="s">
        <v>376</v>
      </c>
      <c r="B125" s="3" t="s">
        <v>377</v>
      </c>
      <c r="C125" s="160" t="s">
        <v>62</v>
      </c>
      <c r="D125" s="160" t="s">
        <v>856</v>
      </c>
      <c r="E125" s="3" t="s">
        <v>21</v>
      </c>
      <c r="F125" s="3" t="s">
        <v>926</v>
      </c>
      <c r="G125" s="3"/>
      <c r="H125" s="156" t="str">
        <f ca="1">IFERROR(
  _xludf.MINIFS(ATTENDANCE_LOG!$F:$F,
         ATTENDANCE_LOG!$A:$A, C125,
         ATTENDANCE_LOG!$B:$B, E125),
"")</f>
        <v/>
      </c>
      <c r="I125" s="156" t="str">
        <f t="shared" ca="1" si="0"/>
        <v/>
      </c>
      <c r="J125" s="3">
        <f>IFERROR(VLOOKUP(F125, LEVEL_HELPER!$A:$B, 2, 0), "")</f>
        <v>1</v>
      </c>
      <c r="K125" s="3" t="str">
        <f>IFERROR(VLOOKUP(G125, LEVEL_HELPER!$A:$B, 2, 0), "")</f>
        <v/>
      </c>
      <c r="L125" s="157" t="s">
        <v>918</v>
      </c>
      <c r="M125" s="157" t="s">
        <v>921</v>
      </c>
      <c r="N125" s="3">
        <f t="array" aca="1" ref="N125" ca="1">IFERROR(
  INDEX($J$2:$J$543,
    MATCH(A125&amp;TEXT(I125,"yyyy-mm-dd"),
          $A$2:$A$543&amp;TEXT($H$2:$H$543,"yyyy-mm-dd"),
          0)),
"")</f>
        <v>1</v>
      </c>
      <c r="O125" s="147" t="str">
        <f t="shared" ca="1" si="1"/>
        <v/>
      </c>
      <c r="P125" s="147">
        <f t="shared" ref="P125:Q125" ca="1" si="134">IF(N125="",0,IF(N125&lt;=2,1,IF(N125&lt;=4,2,IF(N125&lt;=5.5,3,4))))</f>
        <v>1</v>
      </c>
      <c r="Q125" s="147">
        <f t="shared" ca="1" si="134"/>
        <v>0</v>
      </c>
      <c r="R125" s="147" t="str">
        <f t="shared" ca="1" si="3"/>
        <v>Regressed</v>
      </c>
      <c r="S125" s="147">
        <f t="shared" si="4"/>
        <v>1</v>
      </c>
      <c r="T125" s="147"/>
      <c r="U125" s="147"/>
      <c r="V125" s="148" t="e">
        <f ca="1"/>
        <v>#NAME?</v>
      </c>
      <c r="W125" s="147" t="e">
        <f t="shared" ca="1" si="5"/>
        <v>#NAME?</v>
      </c>
      <c r="X125" s="147" t="e">
        <f t="shared" ca="1" si="6"/>
        <v>#NAME?</v>
      </c>
      <c r="Y125" s="147" t="e">
        <f t="shared" ca="1" si="7"/>
        <v>#NAME?</v>
      </c>
      <c r="Z125" s="147"/>
      <c r="AA125" s="147"/>
      <c r="AB125" s="147"/>
      <c r="AC125" s="147"/>
      <c r="AD125" s="147"/>
      <c r="AE125" s="147"/>
      <c r="AF125" s="147"/>
      <c r="AG125" s="147"/>
      <c r="AH125" s="147"/>
      <c r="AI125" s="147"/>
      <c r="AJ125" s="147"/>
      <c r="AK125" s="147"/>
      <c r="AL125" s="147"/>
      <c r="AM125" s="151"/>
      <c r="AN125" s="147"/>
      <c r="AO125" s="147" t="e">
        <f t="shared" si="8"/>
        <v>#N/A</v>
      </c>
      <c r="AP125" s="147" t="e">
        <f t="shared" ca="1" si="9"/>
        <v>#NAME?</v>
      </c>
      <c r="AQ125" s="147" t="e">
        <f t="shared" si="10"/>
        <v>#N/A</v>
      </c>
      <c r="AR125" s="147"/>
      <c r="AS125" s="147"/>
      <c r="AT125" s="147"/>
      <c r="AU125" s="147"/>
      <c r="AV125" s="147"/>
      <c r="AW125" s="147"/>
      <c r="AX125" s="147"/>
      <c r="AY125" s="147"/>
      <c r="AZ125" s="147"/>
      <c r="BA125" s="147"/>
      <c r="BB125" s="147"/>
      <c r="BC125" s="147"/>
      <c r="BD125" s="147"/>
      <c r="BE125" s="147"/>
      <c r="BF125" s="147"/>
      <c r="BG125" s="147"/>
      <c r="BH125" s="147"/>
      <c r="BI125" s="147"/>
      <c r="BJ125" s="147"/>
      <c r="BK125" s="147"/>
      <c r="BL125" s="147"/>
      <c r="BM125" s="147"/>
      <c r="BN125" s="147"/>
      <c r="BO125" s="147"/>
      <c r="BP125" s="147"/>
      <c r="BQ125" s="147"/>
      <c r="BR125" s="147"/>
      <c r="BS125" s="147"/>
      <c r="BT125" s="147"/>
      <c r="BU125" s="147"/>
      <c r="BV125" s="147"/>
      <c r="BW125" s="147"/>
      <c r="BX125" s="147"/>
      <c r="BY125" s="147"/>
      <c r="BZ125" s="147"/>
      <c r="CA125" s="147"/>
      <c r="CB125" s="147"/>
      <c r="CC125" s="147"/>
      <c r="CD125" s="147"/>
      <c r="CE125" s="147"/>
      <c r="CF125" s="147"/>
      <c r="CG125" s="147"/>
      <c r="CH125" s="147"/>
      <c r="CI125" s="147"/>
      <c r="CJ125" s="147"/>
      <c r="CK125" s="147"/>
    </row>
    <row r="126" spans="1:89">
      <c r="A126" s="159" t="s">
        <v>387</v>
      </c>
      <c r="B126" s="3" t="s">
        <v>388</v>
      </c>
      <c r="C126" s="160" t="s">
        <v>62</v>
      </c>
      <c r="D126" s="160" t="s">
        <v>856</v>
      </c>
      <c r="E126" s="3" t="s">
        <v>21</v>
      </c>
      <c r="F126" s="3" t="s">
        <v>926</v>
      </c>
      <c r="G126" s="3" t="s">
        <v>928</v>
      </c>
      <c r="H126" s="156" t="str">
        <f ca="1">IFERROR(
  _xludf.MINIFS(ATTENDANCE_LOG!$F:$F,
         ATTENDANCE_LOG!$A:$A, C126,
         ATTENDANCE_LOG!$B:$B, E126),
"")</f>
        <v/>
      </c>
      <c r="I126" s="156" t="str">
        <f t="shared" ca="1" si="0"/>
        <v/>
      </c>
      <c r="J126" s="3">
        <f>IFERROR(VLOOKUP(F126, LEVEL_HELPER!$A:$B, 2, 0), "")</f>
        <v>1</v>
      </c>
      <c r="K126" s="3">
        <f>IFERROR(VLOOKUP(G126, LEVEL_HELPER!$A:$B, 2, 0), "")</f>
        <v>1.5</v>
      </c>
      <c r="L126" s="157" t="s">
        <v>942</v>
      </c>
      <c r="M126" s="157" t="s">
        <v>921</v>
      </c>
      <c r="N126" s="3">
        <f t="array" aca="1" ref="N126" ca="1">IFERROR(
  INDEX($J$2:$J$543,
    MATCH(A126&amp;TEXT(I126,"yyyy-mm-dd"),
          $A$2:$A$543&amp;TEXT($H$2:$H$543,"yyyy-mm-dd"),
          0)),
"")</f>
        <v>1</v>
      </c>
      <c r="O126" s="147" t="str">
        <f t="shared" ca="1" si="1"/>
        <v/>
      </c>
      <c r="P126" s="147">
        <f t="shared" ref="P126:Q126" ca="1" si="135">IF(N126="",0,IF(N126&lt;=2,1,IF(N126&lt;=4,2,IF(N126&lt;=5.5,3,4))))</f>
        <v>1</v>
      </c>
      <c r="Q126" s="147">
        <f t="shared" ca="1" si="135"/>
        <v>0</v>
      </c>
      <c r="R126" s="147" t="str">
        <f t="shared" ca="1" si="3"/>
        <v>Regressed</v>
      </c>
      <c r="S126" s="147">
        <f t="shared" si="4"/>
        <v>1</v>
      </c>
      <c r="T126" s="147"/>
      <c r="U126" s="147"/>
      <c r="V126" s="148" t="e">
        <f ca="1"/>
        <v>#NAME?</v>
      </c>
      <c r="W126" s="147" t="e">
        <f t="shared" ca="1" si="5"/>
        <v>#NAME?</v>
      </c>
      <c r="X126" s="147" t="e">
        <f t="shared" ca="1" si="6"/>
        <v>#NAME?</v>
      </c>
      <c r="Y126" s="147" t="e">
        <f t="shared" ca="1" si="7"/>
        <v>#NAME?</v>
      </c>
      <c r="Z126" s="147"/>
      <c r="AA126" s="147"/>
      <c r="AB126" s="147"/>
      <c r="AC126" s="147"/>
      <c r="AD126" s="147"/>
      <c r="AE126" s="147"/>
      <c r="AF126" s="147"/>
      <c r="AG126" s="147"/>
      <c r="AH126" s="147"/>
      <c r="AI126" s="147"/>
      <c r="AJ126" s="147"/>
      <c r="AK126" s="147"/>
      <c r="AL126" s="147"/>
      <c r="AM126" s="151"/>
      <c r="AN126" s="147"/>
      <c r="AO126" s="147" t="e">
        <f t="shared" si="8"/>
        <v>#N/A</v>
      </c>
      <c r="AP126" s="147" t="e">
        <f t="shared" ca="1" si="9"/>
        <v>#NAME?</v>
      </c>
      <c r="AQ126" s="147" t="e">
        <f t="shared" si="10"/>
        <v>#N/A</v>
      </c>
      <c r="AR126" s="147"/>
      <c r="AS126" s="147"/>
      <c r="AT126" s="147"/>
      <c r="AU126" s="147"/>
      <c r="AV126" s="147"/>
      <c r="AW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47"/>
      <c r="BU126" s="147"/>
      <c r="BV126" s="147"/>
      <c r="BW126" s="147"/>
      <c r="BX126" s="147"/>
      <c r="BY126" s="147"/>
      <c r="BZ126" s="147"/>
      <c r="CA126" s="147"/>
      <c r="CB126" s="147"/>
      <c r="CC126" s="147"/>
      <c r="CD126" s="147"/>
      <c r="CE126" s="147"/>
      <c r="CF126" s="147"/>
      <c r="CG126" s="147"/>
      <c r="CH126" s="147"/>
      <c r="CI126" s="147"/>
      <c r="CJ126" s="147"/>
      <c r="CK126" s="147"/>
    </row>
    <row r="127" spans="1:89">
      <c r="A127" s="153" t="s">
        <v>298</v>
      </c>
      <c r="B127" s="154" t="s">
        <v>299</v>
      </c>
      <c r="C127" s="155" t="s">
        <v>63</v>
      </c>
      <c r="D127" s="155" t="s">
        <v>857</v>
      </c>
      <c r="E127" s="154" t="s">
        <v>21</v>
      </c>
      <c r="F127" s="3" t="s">
        <v>926</v>
      </c>
      <c r="G127" s="3" t="s">
        <v>917</v>
      </c>
      <c r="H127" s="156" t="str">
        <f ca="1">IFERROR(
  _xludf.MINIFS(ATTENDANCE_LOG!$F:$F,
         ATTENDANCE_LOG!$A:$A, C127,
         ATTENDANCE_LOG!$B:$B, E127),
"")</f>
        <v/>
      </c>
      <c r="I127" s="156" t="str">
        <f t="shared" ca="1" si="0"/>
        <v/>
      </c>
      <c r="J127" s="3">
        <f>IFERROR(VLOOKUP(F127, LEVEL_HELPER!$A:$B, 2, 0), "")</f>
        <v>1</v>
      </c>
      <c r="K127" s="3">
        <f>IFERROR(VLOOKUP(G127, LEVEL_HELPER!$A:$B, 2, 0), "")</f>
        <v>3</v>
      </c>
      <c r="L127" s="157" t="s">
        <v>942</v>
      </c>
      <c r="M127" s="157" t="s">
        <v>924</v>
      </c>
      <c r="N127" s="3">
        <f t="array" aca="1" ref="N127" ca="1">IFERROR(
  INDEX($J$2:$J$543,
    MATCH(A127&amp;TEXT(I127,"yyyy-mm-dd"),
          $A$2:$A$543&amp;TEXT($H$2:$H$543,"yyyy-mm-dd"),
          0)),
"")</f>
        <v>1</v>
      </c>
      <c r="O127" s="147" t="str">
        <f t="shared" ca="1" si="1"/>
        <v/>
      </c>
      <c r="P127" s="147">
        <f t="shared" ref="P127:Q127" ca="1" si="136">IF(N127="",0,IF(N127&lt;=2,1,IF(N127&lt;=4,2,IF(N127&lt;=5.5,3,4))))</f>
        <v>1</v>
      </c>
      <c r="Q127" s="147">
        <f t="shared" ca="1" si="136"/>
        <v>0</v>
      </c>
      <c r="R127" s="147" t="str">
        <f t="shared" ca="1" si="3"/>
        <v>Regressed</v>
      </c>
      <c r="S127" s="147">
        <f t="shared" si="4"/>
        <v>1</v>
      </c>
      <c r="T127" s="147"/>
      <c r="U127" s="147"/>
      <c r="V127" s="148" t="e">
        <f ca="1"/>
        <v>#NAME?</v>
      </c>
      <c r="W127" s="147" t="e">
        <f t="shared" ca="1" si="5"/>
        <v>#NAME?</v>
      </c>
      <c r="X127" s="147" t="e">
        <f t="shared" ca="1" si="6"/>
        <v>#NAME?</v>
      </c>
      <c r="Y127" s="147" t="e">
        <f t="shared" ca="1" si="7"/>
        <v>#NAME?</v>
      </c>
      <c r="Z127" s="147"/>
      <c r="AA127" s="147"/>
      <c r="AB127" s="147"/>
      <c r="AC127" s="147"/>
      <c r="AD127" s="147"/>
      <c r="AE127" s="147"/>
      <c r="AF127" s="147"/>
      <c r="AG127" s="147"/>
      <c r="AH127" s="147"/>
      <c r="AI127" s="147"/>
      <c r="AJ127" s="147"/>
      <c r="AK127" s="147"/>
      <c r="AL127" s="147"/>
      <c r="AM127" s="151"/>
      <c r="AN127" s="147"/>
      <c r="AO127" s="147" t="e">
        <f t="shared" si="8"/>
        <v>#N/A</v>
      </c>
      <c r="AP127" s="147" t="e">
        <f t="shared" ca="1" si="9"/>
        <v>#NAME?</v>
      </c>
      <c r="AQ127" s="147" t="e">
        <f t="shared" si="10"/>
        <v>#N/A</v>
      </c>
      <c r="AR127" s="147"/>
      <c r="AS127" s="147"/>
      <c r="AT127" s="147"/>
      <c r="AU127" s="147"/>
      <c r="AV127" s="147"/>
      <c r="AW127" s="147"/>
      <c r="AX127" s="147"/>
      <c r="AY127" s="147"/>
      <c r="AZ127" s="147"/>
      <c r="BA127" s="147"/>
      <c r="BB127" s="147"/>
      <c r="BC127" s="147"/>
      <c r="BD127" s="147"/>
      <c r="BE127" s="147"/>
      <c r="BF127" s="147"/>
      <c r="BG127" s="147"/>
      <c r="BH127" s="147"/>
      <c r="BI127" s="147"/>
      <c r="BJ127" s="147"/>
      <c r="BK127" s="147"/>
      <c r="BL127" s="147"/>
      <c r="BM127" s="147"/>
      <c r="BN127" s="147"/>
      <c r="BO127" s="147"/>
      <c r="BP127" s="147"/>
      <c r="BQ127" s="147"/>
      <c r="BR127" s="147"/>
      <c r="BS127" s="147"/>
      <c r="BT127" s="147"/>
      <c r="BU127" s="147"/>
      <c r="BV127" s="147"/>
      <c r="BW127" s="147"/>
      <c r="BX127" s="147"/>
      <c r="BY127" s="147"/>
      <c r="BZ127" s="147"/>
      <c r="CA127" s="147"/>
      <c r="CB127" s="147"/>
      <c r="CC127" s="147"/>
      <c r="CD127" s="147"/>
      <c r="CE127" s="147"/>
      <c r="CF127" s="147"/>
      <c r="CG127" s="147"/>
      <c r="CH127" s="147"/>
      <c r="CI127" s="147"/>
      <c r="CJ127" s="147"/>
      <c r="CK127" s="147"/>
    </row>
    <row r="128" spans="1:89">
      <c r="A128" s="159" t="s">
        <v>220</v>
      </c>
      <c r="B128" s="3" t="s">
        <v>221</v>
      </c>
      <c r="C128" s="160" t="s">
        <v>63</v>
      </c>
      <c r="D128" s="160" t="s">
        <v>857</v>
      </c>
      <c r="E128" s="3" t="s">
        <v>21</v>
      </c>
      <c r="F128" s="3" t="s">
        <v>926</v>
      </c>
      <c r="G128" s="3" t="s">
        <v>928</v>
      </c>
      <c r="H128" s="156" t="str">
        <f ca="1">IFERROR(
  _xludf.MINIFS(ATTENDANCE_LOG!$F:$F,
         ATTENDANCE_LOG!$A:$A, C128,
         ATTENDANCE_LOG!$B:$B, E128),
"")</f>
        <v/>
      </c>
      <c r="I128" s="156" t="str">
        <f t="shared" ca="1" si="0"/>
        <v/>
      </c>
      <c r="J128" s="3">
        <f>IFERROR(VLOOKUP(F128, LEVEL_HELPER!$A:$B, 2, 0), "")</f>
        <v>1</v>
      </c>
      <c r="K128" s="3">
        <f>IFERROR(VLOOKUP(G128, LEVEL_HELPER!$A:$B, 2, 0), "")</f>
        <v>1.5</v>
      </c>
      <c r="L128" s="157" t="s">
        <v>942</v>
      </c>
      <c r="M128" s="157" t="s">
        <v>924</v>
      </c>
      <c r="N128" s="3">
        <f t="array" aca="1" ref="N128" ca="1">IFERROR(
  INDEX($J$2:$J$543,
    MATCH(A128&amp;TEXT(I128,"yyyy-mm-dd"),
          $A$2:$A$543&amp;TEXT($H$2:$H$543,"yyyy-mm-dd"),
          0)),
"")</f>
        <v>1</v>
      </c>
      <c r="O128" s="147" t="str">
        <f t="shared" ca="1" si="1"/>
        <v/>
      </c>
      <c r="P128" s="147">
        <f t="shared" ref="P128:Q128" ca="1" si="137">IF(N128="",0,IF(N128&lt;=2,1,IF(N128&lt;=4,2,IF(N128&lt;=5.5,3,4))))</f>
        <v>1</v>
      </c>
      <c r="Q128" s="147">
        <f t="shared" ca="1" si="137"/>
        <v>0</v>
      </c>
      <c r="R128" s="147" t="str">
        <f t="shared" ca="1" si="3"/>
        <v>Regressed</v>
      </c>
      <c r="S128" s="147">
        <f t="shared" si="4"/>
        <v>1</v>
      </c>
      <c r="T128" s="147"/>
      <c r="U128" s="147"/>
      <c r="V128" s="148" t="e">
        <f ca="1"/>
        <v>#NAME?</v>
      </c>
      <c r="W128" s="147" t="e">
        <f t="shared" ca="1" si="5"/>
        <v>#NAME?</v>
      </c>
      <c r="X128" s="147" t="e">
        <f t="shared" ca="1" si="6"/>
        <v>#NAME?</v>
      </c>
      <c r="Y128" s="147" t="e">
        <f t="shared" ca="1" si="7"/>
        <v>#NAME?</v>
      </c>
      <c r="Z128" s="147"/>
      <c r="AA128" s="147"/>
      <c r="AB128" s="147"/>
      <c r="AC128" s="147"/>
      <c r="AD128" s="147"/>
      <c r="AE128" s="147"/>
      <c r="AF128" s="147"/>
      <c r="AG128" s="147"/>
      <c r="AH128" s="147"/>
      <c r="AI128" s="147"/>
      <c r="AJ128" s="147"/>
      <c r="AK128" s="147"/>
      <c r="AL128" s="147"/>
      <c r="AM128" s="151"/>
      <c r="AN128" s="147"/>
      <c r="AO128" s="147" t="e">
        <f t="shared" si="8"/>
        <v>#N/A</v>
      </c>
      <c r="AP128" s="147" t="e">
        <f t="shared" ca="1" si="9"/>
        <v>#NAME?</v>
      </c>
      <c r="AQ128" s="147" t="e">
        <f t="shared" si="10"/>
        <v>#N/A</v>
      </c>
      <c r="AR128" s="147"/>
      <c r="AS128" s="147"/>
      <c r="AT128" s="147"/>
      <c r="AU128" s="147"/>
      <c r="AV128" s="147"/>
      <c r="AW128" s="147"/>
      <c r="AX128" s="147"/>
      <c r="AY128" s="147"/>
      <c r="AZ128" s="147"/>
      <c r="BA128" s="147"/>
      <c r="BB128" s="147"/>
      <c r="BC128" s="147"/>
      <c r="BD128" s="147"/>
      <c r="BE128" s="147"/>
      <c r="BF128" s="147"/>
      <c r="BG128" s="147"/>
      <c r="BH128" s="147"/>
      <c r="BI128" s="147"/>
      <c r="BJ128" s="147"/>
      <c r="BK128" s="147"/>
      <c r="BL128" s="147"/>
      <c r="BM128" s="147"/>
      <c r="BN128" s="147"/>
      <c r="BO128" s="147"/>
      <c r="BP128" s="147"/>
      <c r="BQ128" s="147"/>
      <c r="BR128" s="147"/>
      <c r="BS128" s="147"/>
      <c r="BT128" s="147"/>
      <c r="BU128" s="147"/>
      <c r="BV128" s="147"/>
      <c r="BW128" s="147"/>
      <c r="BX128" s="147"/>
      <c r="BY128" s="147"/>
      <c r="BZ128" s="147"/>
      <c r="CA128" s="147"/>
      <c r="CB128" s="147"/>
      <c r="CC128" s="147"/>
      <c r="CD128" s="147"/>
      <c r="CE128" s="147"/>
      <c r="CF128" s="147"/>
      <c r="CG128" s="147"/>
      <c r="CH128" s="147"/>
      <c r="CI128" s="147"/>
      <c r="CJ128" s="147"/>
      <c r="CK128" s="147"/>
    </row>
    <row r="129" spans="1:89">
      <c r="A129" s="159" t="s">
        <v>234</v>
      </c>
      <c r="B129" s="3" t="s">
        <v>235</v>
      </c>
      <c r="C129" s="160" t="s">
        <v>63</v>
      </c>
      <c r="D129" s="160" t="s">
        <v>857</v>
      </c>
      <c r="E129" s="3" t="s">
        <v>21</v>
      </c>
      <c r="F129" s="3" t="s">
        <v>916</v>
      </c>
      <c r="G129" s="3" t="s">
        <v>917</v>
      </c>
      <c r="H129" s="156" t="str">
        <f ca="1">IFERROR(
  _xludf.MINIFS(ATTENDANCE_LOG!$F:$F,
         ATTENDANCE_LOG!$A:$A, C129,
         ATTENDANCE_LOG!$B:$B, E129),
"")</f>
        <v/>
      </c>
      <c r="I129" s="156" t="str">
        <f t="shared" ca="1" si="0"/>
        <v/>
      </c>
      <c r="J129" s="3">
        <f>IFERROR(VLOOKUP(F129, LEVEL_HELPER!$A:$B, 2, 0), "")</f>
        <v>2.5</v>
      </c>
      <c r="K129" s="3">
        <f>IFERROR(VLOOKUP(G129, LEVEL_HELPER!$A:$B, 2, 0), "")</f>
        <v>3</v>
      </c>
      <c r="L129" s="157" t="s">
        <v>942</v>
      </c>
      <c r="M129" s="157" t="s">
        <v>924</v>
      </c>
      <c r="N129" s="3">
        <f t="array" aca="1" ref="N129" ca="1">IFERROR(
  INDEX($J$2:$J$543,
    MATCH(A129&amp;TEXT(I129,"yyyy-mm-dd"),
          $A$2:$A$543&amp;TEXT($H$2:$H$543,"yyyy-mm-dd"),
          0)),
"")</f>
        <v>2.5</v>
      </c>
      <c r="O129" s="147" t="str">
        <f t="shared" ca="1" si="1"/>
        <v/>
      </c>
      <c r="P129" s="147">
        <f t="shared" ref="P129:Q129" ca="1" si="138">IF(N129="",0,IF(N129&lt;=2,1,IF(N129&lt;=4,2,IF(N129&lt;=5.5,3,4))))</f>
        <v>2</v>
      </c>
      <c r="Q129" s="147">
        <f t="shared" ca="1" si="138"/>
        <v>0</v>
      </c>
      <c r="R129" s="147" t="str">
        <f t="shared" ca="1" si="3"/>
        <v>Regressed</v>
      </c>
      <c r="S129" s="147">
        <f t="shared" si="4"/>
        <v>1</v>
      </c>
      <c r="T129" s="147"/>
      <c r="U129" s="147"/>
      <c r="V129" s="148" t="e">
        <f ca="1"/>
        <v>#NAME?</v>
      </c>
      <c r="W129" s="147" t="e">
        <f t="shared" ca="1" si="5"/>
        <v>#NAME?</v>
      </c>
      <c r="X129" s="147" t="e">
        <f t="shared" ca="1" si="6"/>
        <v>#NAME?</v>
      </c>
      <c r="Y129" s="147" t="e">
        <f t="shared" ca="1" si="7"/>
        <v>#NAME?</v>
      </c>
      <c r="Z129" s="147"/>
      <c r="AA129" s="147"/>
      <c r="AB129" s="147"/>
      <c r="AC129" s="147"/>
      <c r="AD129" s="147"/>
      <c r="AE129" s="147"/>
      <c r="AF129" s="147"/>
      <c r="AG129" s="147"/>
      <c r="AH129" s="147"/>
      <c r="AI129" s="147"/>
      <c r="AJ129" s="147"/>
      <c r="AK129" s="147"/>
      <c r="AL129" s="147"/>
      <c r="AM129" s="151"/>
      <c r="AN129" s="147"/>
      <c r="AO129" s="147" t="e">
        <f t="shared" si="8"/>
        <v>#N/A</v>
      </c>
      <c r="AP129" s="147" t="e">
        <f t="shared" ca="1" si="9"/>
        <v>#NAME?</v>
      </c>
      <c r="AQ129" s="147" t="e">
        <f t="shared" si="10"/>
        <v>#N/A</v>
      </c>
      <c r="AR129" s="147"/>
      <c r="AS129" s="147"/>
      <c r="AT129" s="147"/>
      <c r="AU129" s="147"/>
      <c r="AV129" s="147"/>
      <c r="AW129" s="147"/>
      <c r="AX129" s="147"/>
      <c r="AY129" s="147"/>
      <c r="AZ129" s="147"/>
      <c r="BA129" s="147"/>
      <c r="BB129" s="147"/>
      <c r="BC129" s="147"/>
      <c r="BD129" s="147"/>
      <c r="BE129" s="147"/>
      <c r="BF129" s="147"/>
      <c r="BG129" s="147"/>
      <c r="BH129" s="147"/>
      <c r="BI129" s="147"/>
      <c r="BJ129" s="147"/>
      <c r="BK129" s="147"/>
      <c r="BL129" s="147"/>
      <c r="BM129" s="147"/>
      <c r="BN129" s="147"/>
      <c r="BO129" s="147"/>
      <c r="BP129" s="147"/>
      <c r="BQ129" s="147"/>
      <c r="BR129" s="147"/>
      <c r="BS129" s="147"/>
      <c r="BT129" s="147"/>
      <c r="BU129" s="147"/>
      <c r="BV129" s="147"/>
      <c r="BW129" s="147"/>
      <c r="BX129" s="147"/>
      <c r="BY129" s="147"/>
      <c r="BZ129" s="147"/>
      <c r="CA129" s="147"/>
      <c r="CB129" s="147"/>
      <c r="CC129" s="147"/>
      <c r="CD129" s="147"/>
      <c r="CE129" s="147"/>
      <c r="CF129" s="147"/>
      <c r="CG129" s="147"/>
      <c r="CH129" s="147"/>
      <c r="CI129" s="147"/>
      <c r="CJ129" s="147"/>
      <c r="CK129" s="147"/>
    </row>
    <row r="130" spans="1:89">
      <c r="A130" s="159" t="s">
        <v>438</v>
      </c>
      <c r="B130" s="3" t="s">
        <v>439</v>
      </c>
      <c r="C130" s="160" t="s">
        <v>63</v>
      </c>
      <c r="D130" s="160" t="s">
        <v>857</v>
      </c>
      <c r="E130" s="3" t="s">
        <v>21</v>
      </c>
      <c r="F130" s="3" t="s">
        <v>926</v>
      </c>
      <c r="G130" s="3" t="s">
        <v>928</v>
      </c>
      <c r="H130" s="156" t="str">
        <f ca="1">IFERROR(
  _xludf.MINIFS(ATTENDANCE_LOG!$F:$F,
         ATTENDANCE_LOG!$A:$A, C130,
         ATTENDANCE_LOG!$B:$B, E130),
"")</f>
        <v/>
      </c>
      <c r="I130" s="156" t="str">
        <f t="shared" ca="1" si="0"/>
        <v/>
      </c>
      <c r="J130" s="3">
        <f>IFERROR(VLOOKUP(F130, LEVEL_HELPER!$A:$B, 2, 0), "")</f>
        <v>1</v>
      </c>
      <c r="K130" s="3">
        <f>IFERROR(VLOOKUP(G130, LEVEL_HELPER!$A:$B, 2, 0), "")</f>
        <v>1.5</v>
      </c>
      <c r="L130" s="157" t="s">
        <v>942</v>
      </c>
      <c r="M130" s="157" t="s">
        <v>924</v>
      </c>
      <c r="N130" s="3">
        <f t="array" aca="1" ref="N130" ca="1">IFERROR(
  INDEX($J$2:$J$543,
    MATCH(A130&amp;TEXT(I130,"yyyy-mm-dd"),
          $A$2:$A$543&amp;TEXT($H$2:$H$543,"yyyy-mm-dd"),
          0)),
"")</f>
        <v>1</v>
      </c>
      <c r="O130" s="147" t="str">
        <f t="shared" ca="1" si="1"/>
        <v/>
      </c>
      <c r="P130" s="147">
        <f t="shared" ref="P130:Q130" ca="1" si="139">IF(N130="",0,IF(N130&lt;=2,1,IF(N130&lt;=4,2,IF(N130&lt;=5.5,3,4))))</f>
        <v>1</v>
      </c>
      <c r="Q130" s="147">
        <f t="shared" ca="1" si="139"/>
        <v>0</v>
      </c>
      <c r="R130" s="147" t="str">
        <f t="shared" ca="1" si="3"/>
        <v>Regressed</v>
      </c>
      <c r="S130" s="147">
        <f t="shared" si="4"/>
        <v>1</v>
      </c>
      <c r="T130" s="147"/>
      <c r="U130" s="147"/>
      <c r="V130" s="148" t="e">
        <f ca="1"/>
        <v>#NAME?</v>
      </c>
      <c r="W130" s="147" t="e">
        <f t="shared" ca="1" si="5"/>
        <v>#NAME?</v>
      </c>
      <c r="X130" s="147" t="e">
        <f t="shared" ca="1" si="6"/>
        <v>#NAME?</v>
      </c>
      <c r="Y130" s="147" t="e">
        <f t="shared" ca="1" si="7"/>
        <v>#NAME?</v>
      </c>
      <c r="Z130" s="147"/>
      <c r="AA130" s="147"/>
      <c r="AB130" s="147"/>
      <c r="AC130" s="147"/>
      <c r="AD130" s="147"/>
      <c r="AE130" s="147"/>
      <c r="AF130" s="147"/>
      <c r="AG130" s="147"/>
      <c r="AH130" s="147"/>
      <c r="AI130" s="147"/>
      <c r="AJ130" s="147"/>
      <c r="AK130" s="147"/>
      <c r="AL130" s="147"/>
      <c r="AM130" s="151"/>
      <c r="AN130" s="147"/>
      <c r="AO130" s="147" t="e">
        <f t="shared" si="8"/>
        <v>#N/A</v>
      </c>
      <c r="AP130" s="147" t="e">
        <f t="shared" ca="1" si="9"/>
        <v>#NAME?</v>
      </c>
      <c r="AQ130" s="147" t="e">
        <f t="shared" si="10"/>
        <v>#N/A</v>
      </c>
      <c r="AR130" s="147"/>
      <c r="AS130" s="147"/>
      <c r="AT130" s="147"/>
      <c r="AU130" s="147"/>
      <c r="AV130" s="147"/>
      <c r="AW130" s="147"/>
      <c r="AX130" s="147"/>
      <c r="AY130" s="147"/>
      <c r="AZ130" s="147"/>
      <c r="BA130" s="147"/>
      <c r="BB130" s="147"/>
      <c r="BC130" s="147"/>
      <c r="BD130" s="147"/>
      <c r="BE130" s="147"/>
      <c r="BF130" s="147"/>
      <c r="BG130" s="147"/>
      <c r="BH130" s="147"/>
      <c r="BI130" s="147"/>
      <c r="BJ130" s="147"/>
      <c r="BK130" s="147"/>
      <c r="BL130" s="147"/>
      <c r="BM130" s="147"/>
      <c r="BN130" s="147"/>
      <c r="BO130" s="147"/>
      <c r="BP130" s="147"/>
      <c r="BQ130" s="147"/>
      <c r="BR130" s="147"/>
      <c r="BS130" s="147"/>
      <c r="BT130" s="147"/>
      <c r="BU130" s="147"/>
      <c r="BV130" s="147"/>
      <c r="BW130" s="147"/>
      <c r="BX130" s="147"/>
      <c r="BY130" s="147"/>
      <c r="BZ130" s="147"/>
      <c r="CA130" s="147"/>
      <c r="CB130" s="147"/>
      <c r="CC130" s="147"/>
      <c r="CD130" s="147"/>
      <c r="CE130" s="147"/>
      <c r="CF130" s="147"/>
      <c r="CG130" s="147"/>
      <c r="CH130" s="147"/>
      <c r="CI130" s="147"/>
      <c r="CJ130" s="147"/>
      <c r="CK130" s="147"/>
    </row>
    <row r="131" spans="1:89">
      <c r="A131" s="159" t="s">
        <v>599</v>
      </c>
      <c r="B131" s="3" t="s">
        <v>600</v>
      </c>
      <c r="C131" s="160" t="s">
        <v>63</v>
      </c>
      <c r="D131" s="160" t="s">
        <v>857</v>
      </c>
      <c r="E131" s="3" t="s">
        <v>21</v>
      </c>
      <c r="F131" s="3" t="s">
        <v>916</v>
      </c>
      <c r="G131" s="3" t="s">
        <v>934</v>
      </c>
      <c r="H131" s="156" t="str">
        <f ca="1">IFERROR(
  _xludf.MINIFS(ATTENDANCE_LOG!$F:$F,
         ATTENDANCE_LOG!$A:$A, C131,
         ATTENDANCE_LOG!$B:$B, E131),
"")</f>
        <v/>
      </c>
      <c r="I131" s="156" t="str">
        <f t="shared" ca="1" si="0"/>
        <v/>
      </c>
      <c r="J131" s="3">
        <f>IFERROR(VLOOKUP(F131, LEVEL_HELPER!$A:$B, 2, 0), "")</f>
        <v>2.5</v>
      </c>
      <c r="K131" s="3">
        <f>IFERROR(VLOOKUP(G131, LEVEL_HELPER!$A:$B, 2, 0), "")</f>
        <v>3.5</v>
      </c>
      <c r="L131" s="157" t="s">
        <v>942</v>
      </c>
      <c r="M131" s="157" t="s">
        <v>924</v>
      </c>
      <c r="N131" s="3">
        <f t="array" aca="1" ref="N131" ca="1">IFERROR(
  INDEX($J$2:$J$543,
    MATCH(A131&amp;TEXT(I131,"yyyy-mm-dd"),
          $A$2:$A$543&amp;TEXT($H$2:$H$543,"yyyy-mm-dd"),
          0)),
"")</f>
        <v>2.5</v>
      </c>
      <c r="O131" s="147" t="str">
        <f t="shared" ca="1" si="1"/>
        <v/>
      </c>
      <c r="P131" s="147">
        <f t="shared" ref="P131:Q131" ca="1" si="140">IF(N131="",0,IF(N131&lt;=2,1,IF(N131&lt;=4,2,IF(N131&lt;=5.5,3,4))))</f>
        <v>2</v>
      </c>
      <c r="Q131" s="147">
        <f t="shared" ca="1" si="140"/>
        <v>0</v>
      </c>
      <c r="R131" s="147" t="str">
        <f t="shared" ca="1" si="3"/>
        <v>Regressed</v>
      </c>
      <c r="S131" s="147">
        <f t="shared" si="4"/>
        <v>1</v>
      </c>
      <c r="T131" s="147"/>
      <c r="U131" s="147"/>
      <c r="V131" s="148" t="e">
        <f ca="1"/>
        <v>#NAME?</v>
      </c>
      <c r="W131" s="147" t="e">
        <f t="shared" ca="1" si="5"/>
        <v>#NAME?</v>
      </c>
      <c r="X131" s="147" t="e">
        <f t="shared" ca="1" si="6"/>
        <v>#NAME?</v>
      </c>
      <c r="Y131" s="147" t="e">
        <f t="shared" ca="1" si="7"/>
        <v>#NAME?</v>
      </c>
      <c r="Z131" s="147"/>
      <c r="AA131" s="147"/>
      <c r="AB131" s="147"/>
      <c r="AC131" s="147"/>
      <c r="AD131" s="147"/>
      <c r="AE131" s="147"/>
      <c r="AF131" s="147"/>
      <c r="AG131" s="147"/>
      <c r="AH131" s="147"/>
      <c r="AI131" s="147"/>
      <c r="AJ131" s="147"/>
      <c r="AK131" s="147"/>
      <c r="AL131" s="147"/>
      <c r="AM131" s="151"/>
      <c r="AN131" s="147"/>
      <c r="AO131" s="147" t="e">
        <f t="shared" si="8"/>
        <v>#N/A</v>
      </c>
      <c r="AP131" s="147" t="e">
        <f t="shared" ca="1" si="9"/>
        <v>#NAME?</v>
      </c>
      <c r="AQ131" s="147" t="e">
        <f t="shared" si="10"/>
        <v>#N/A</v>
      </c>
      <c r="AR131" s="147"/>
      <c r="AS131" s="147"/>
      <c r="AT131" s="147"/>
      <c r="AU131" s="147"/>
      <c r="AV131" s="147"/>
      <c r="AW131" s="147"/>
      <c r="AX131" s="147"/>
      <c r="AY131" s="147"/>
      <c r="AZ131" s="147"/>
      <c r="BA131" s="147"/>
      <c r="BB131" s="147"/>
      <c r="BC131" s="147"/>
      <c r="BD131" s="147"/>
      <c r="BE131" s="147"/>
      <c r="BF131" s="147"/>
      <c r="BG131" s="147"/>
      <c r="BH131" s="147"/>
      <c r="BI131" s="147"/>
      <c r="BJ131" s="147"/>
      <c r="BK131" s="147"/>
      <c r="BL131" s="147"/>
      <c r="BM131" s="147"/>
      <c r="BN131" s="147"/>
      <c r="BO131" s="147"/>
      <c r="BP131" s="147"/>
      <c r="BQ131" s="147"/>
      <c r="BR131" s="147"/>
      <c r="BS131" s="147"/>
      <c r="BT131" s="147"/>
      <c r="BU131" s="147"/>
      <c r="BV131" s="147"/>
      <c r="BW131" s="147"/>
      <c r="BX131" s="147"/>
      <c r="BY131" s="147"/>
      <c r="BZ131" s="147"/>
      <c r="CA131" s="147"/>
      <c r="CB131" s="147"/>
      <c r="CC131" s="147"/>
      <c r="CD131" s="147"/>
      <c r="CE131" s="147"/>
      <c r="CF131" s="147"/>
      <c r="CG131" s="147"/>
      <c r="CH131" s="147"/>
      <c r="CI131" s="147"/>
      <c r="CJ131" s="147"/>
      <c r="CK131" s="147"/>
    </row>
    <row r="132" spans="1:89">
      <c r="A132" s="159" t="s">
        <v>611</v>
      </c>
      <c r="B132" s="3" t="s">
        <v>612</v>
      </c>
      <c r="C132" s="160" t="s">
        <v>63</v>
      </c>
      <c r="D132" s="160" t="s">
        <v>857</v>
      </c>
      <c r="E132" s="3" t="s">
        <v>21</v>
      </c>
      <c r="F132" s="3" t="s">
        <v>926</v>
      </c>
      <c r="G132" s="3" t="s">
        <v>934</v>
      </c>
      <c r="H132" s="156" t="str">
        <f ca="1">IFERROR(
  _xludf.MINIFS(ATTENDANCE_LOG!$F:$F,
         ATTENDANCE_LOG!$A:$A, C132,
         ATTENDANCE_LOG!$B:$B, E132),
"")</f>
        <v/>
      </c>
      <c r="I132" s="156" t="str">
        <f t="shared" ca="1" si="0"/>
        <v/>
      </c>
      <c r="J132" s="3">
        <f>IFERROR(VLOOKUP(F132, LEVEL_HELPER!$A:$B, 2, 0), "")</f>
        <v>1</v>
      </c>
      <c r="K132" s="3">
        <f>IFERROR(VLOOKUP(G132, LEVEL_HELPER!$A:$B, 2, 0), "")</f>
        <v>3.5</v>
      </c>
      <c r="L132" s="157" t="s">
        <v>918</v>
      </c>
      <c r="M132" s="157" t="s">
        <v>922</v>
      </c>
      <c r="N132" s="3">
        <f t="array" aca="1" ref="N132" ca="1">IFERROR(
  INDEX($J$2:$J$543,
    MATCH(A132&amp;TEXT(I132,"yyyy-mm-dd"),
          $A$2:$A$543&amp;TEXT($H$2:$H$543,"yyyy-mm-dd"),
          0)),
"")</f>
        <v>1</v>
      </c>
      <c r="O132" s="147" t="str">
        <f t="shared" ca="1" si="1"/>
        <v/>
      </c>
      <c r="P132" s="147">
        <f t="shared" ref="P132:Q132" ca="1" si="141">IF(N132="",0,IF(N132&lt;=2,1,IF(N132&lt;=4,2,IF(N132&lt;=5.5,3,4))))</f>
        <v>1</v>
      </c>
      <c r="Q132" s="147">
        <f t="shared" ca="1" si="141"/>
        <v>0</v>
      </c>
      <c r="R132" s="147" t="str">
        <f t="shared" ca="1" si="3"/>
        <v>Regressed</v>
      </c>
      <c r="S132" s="147">
        <f t="shared" si="4"/>
        <v>1</v>
      </c>
      <c r="T132" s="147"/>
      <c r="U132" s="147"/>
      <c r="V132" s="148" t="e">
        <f ca="1"/>
        <v>#NAME?</v>
      </c>
      <c r="W132" s="147" t="e">
        <f t="shared" ca="1" si="5"/>
        <v>#NAME?</v>
      </c>
      <c r="X132" s="147" t="e">
        <f t="shared" ca="1" si="6"/>
        <v>#NAME?</v>
      </c>
      <c r="Y132" s="147" t="e">
        <f t="shared" ca="1" si="7"/>
        <v>#NAME?</v>
      </c>
      <c r="Z132" s="147"/>
      <c r="AA132" s="147"/>
      <c r="AB132" s="147"/>
      <c r="AC132" s="147"/>
      <c r="AD132" s="147"/>
      <c r="AE132" s="147"/>
      <c r="AF132" s="147"/>
      <c r="AG132" s="147"/>
      <c r="AH132" s="147"/>
      <c r="AI132" s="147"/>
      <c r="AJ132" s="147"/>
      <c r="AK132" s="147"/>
      <c r="AL132" s="147"/>
      <c r="AM132" s="151"/>
      <c r="AN132" s="147"/>
      <c r="AO132" s="147" t="e">
        <f t="shared" si="8"/>
        <v>#N/A</v>
      </c>
      <c r="AP132" s="147" t="e">
        <f t="shared" ca="1" si="9"/>
        <v>#NAME?</v>
      </c>
      <c r="AQ132" s="147" t="e">
        <f t="shared" si="10"/>
        <v>#N/A</v>
      </c>
      <c r="AR132" s="147"/>
      <c r="AS132" s="147"/>
      <c r="AT132" s="147"/>
      <c r="AU132" s="147"/>
      <c r="AV132" s="147"/>
      <c r="AW132" s="147"/>
      <c r="AX132" s="147"/>
      <c r="AY132" s="147"/>
      <c r="AZ132" s="147"/>
      <c r="BA132" s="147"/>
      <c r="BB132" s="147"/>
      <c r="BC132" s="147"/>
      <c r="BD132" s="147"/>
      <c r="BE132" s="147"/>
      <c r="BF132" s="147"/>
      <c r="BG132" s="147"/>
      <c r="BH132" s="147"/>
      <c r="BI132" s="147"/>
      <c r="BJ132" s="147"/>
      <c r="BK132" s="147"/>
      <c r="BL132" s="147"/>
      <c r="BM132" s="147"/>
      <c r="BN132" s="147"/>
      <c r="BO132" s="147"/>
      <c r="BP132" s="147"/>
      <c r="BQ132" s="147"/>
      <c r="BR132" s="147"/>
      <c r="BS132" s="147"/>
      <c r="BT132" s="147"/>
      <c r="BU132" s="147"/>
      <c r="BV132" s="147"/>
      <c r="BW132" s="147"/>
      <c r="BX132" s="147"/>
      <c r="BY132" s="147"/>
      <c r="BZ132" s="147"/>
      <c r="CA132" s="147"/>
      <c r="CB132" s="147"/>
      <c r="CC132" s="147"/>
      <c r="CD132" s="147"/>
      <c r="CE132" s="147"/>
      <c r="CF132" s="147"/>
      <c r="CG132" s="147"/>
      <c r="CH132" s="147"/>
      <c r="CI132" s="147"/>
      <c r="CJ132" s="147"/>
      <c r="CK132" s="147"/>
    </row>
    <row r="133" spans="1:89">
      <c r="A133" s="153" t="s">
        <v>298</v>
      </c>
      <c r="B133" s="154" t="s">
        <v>299</v>
      </c>
      <c r="C133" s="155" t="s">
        <v>63</v>
      </c>
      <c r="D133" s="155" t="s">
        <v>857</v>
      </c>
      <c r="E133" s="154" t="s">
        <v>22</v>
      </c>
      <c r="F133" s="3" t="s">
        <v>917</v>
      </c>
      <c r="G133" s="3" t="s">
        <v>934</v>
      </c>
      <c r="H133" s="156" t="str">
        <f ca="1">IFERROR(
  _xludf.MINIFS(ATTENDANCE_LOG!$F:$F,
         ATTENDANCE_LOG!$A:$A, C133,
         ATTENDANCE_LOG!$B:$B, E133),
"")</f>
        <v/>
      </c>
      <c r="I133" s="156" t="str">
        <f t="shared" ca="1" si="0"/>
        <v/>
      </c>
      <c r="J133" s="3">
        <f>IFERROR(VLOOKUP(F133, LEVEL_HELPER!$A:$B, 2, 0), "")</f>
        <v>3</v>
      </c>
      <c r="K133" s="3">
        <f>IFERROR(VLOOKUP(G133, LEVEL_HELPER!$A:$B, 2, 0), "")</f>
        <v>3.5</v>
      </c>
      <c r="L133" s="157" t="s">
        <v>942</v>
      </c>
      <c r="M133" s="157" t="s">
        <v>924</v>
      </c>
      <c r="N133" s="3">
        <f t="array" aca="1" ref="N133" ca="1">IFERROR(
  INDEX($J$2:$J$543,
    MATCH(A133&amp;TEXT(I133,"yyyy-mm-dd"),
          $A$2:$A$543&amp;TEXT($H$2:$H$543,"yyyy-mm-dd"),
          0)),
"")</f>
        <v>1</v>
      </c>
      <c r="O133" s="147" t="str">
        <f t="shared" ca="1" si="1"/>
        <v/>
      </c>
      <c r="P133" s="147">
        <f t="shared" ref="P133:Q133" ca="1" si="142">IF(N133="",0,IF(N133&lt;=2,1,IF(N133&lt;=4,2,IF(N133&lt;=5.5,3,4))))</f>
        <v>1</v>
      </c>
      <c r="Q133" s="147">
        <f t="shared" ca="1" si="142"/>
        <v>0</v>
      </c>
      <c r="R133" s="147" t="str">
        <f t="shared" ca="1" si="3"/>
        <v>Regressed</v>
      </c>
      <c r="S133" s="147">
        <f t="shared" si="4"/>
        <v>0</v>
      </c>
      <c r="T133" s="147"/>
      <c r="U133" s="147"/>
      <c r="V133" s="148" t="e">
        <f ca="1"/>
        <v>#NAME?</v>
      </c>
      <c r="W133" s="147" t="e">
        <f t="shared" ca="1" si="5"/>
        <v>#NAME?</v>
      </c>
      <c r="X133" s="147" t="e">
        <f t="shared" ca="1" si="6"/>
        <v>#NAME?</v>
      </c>
      <c r="Y133" s="147" t="e">
        <f t="shared" ca="1" si="7"/>
        <v>#NAME?</v>
      </c>
      <c r="Z133" s="147"/>
      <c r="AA133" s="147"/>
      <c r="AB133" s="147"/>
      <c r="AC133" s="147"/>
      <c r="AD133" s="147"/>
      <c r="AE133" s="147"/>
      <c r="AF133" s="147"/>
      <c r="AG133" s="147"/>
      <c r="AH133" s="147"/>
      <c r="AI133" s="147"/>
      <c r="AJ133" s="147"/>
      <c r="AK133" s="147"/>
      <c r="AL133" s="147"/>
      <c r="AM133" s="151"/>
      <c r="AN133" s="147"/>
      <c r="AO133" s="147" t="e">
        <f t="shared" si="8"/>
        <v>#N/A</v>
      </c>
      <c r="AP133" s="147" t="e">
        <f t="shared" ca="1" si="9"/>
        <v>#NAME?</v>
      </c>
      <c r="AQ133" s="147" t="e">
        <f t="shared" si="10"/>
        <v>#N/A</v>
      </c>
      <c r="AR133" s="147"/>
      <c r="AS133" s="147"/>
      <c r="AT133" s="147"/>
      <c r="AU133" s="147"/>
      <c r="AV133" s="147"/>
      <c r="AW133" s="147"/>
      <c r="AX133" s="147"/>
      <c r="AY133" s="147"/>
      <c r="AZ133" s="147"/>
      <c r="BA133" s="147"/>
      <c r="BB133" s="147"/>
      <c r="BC133" s="147"/>
      <c r="BD133" s="147"/>
      <c r="BE133" s="147"/>
      <c r="BF133" s="147"/>
      <c r="BG133" s="147"/>
      <c r="BH133" s="147"/>
      <c r="BI133" s="147"/>
      <c r="BJ133" s="147"/>
      <c r="BK133" s="147"/>
      <c r="BL133" s="147"/>
      <c r="BM133" s="147"/>
      <c r="BN133" s="147"/>
      <c r="BO133" s="147"/>
      <c r="BP133" s="147"/>
      <c r="BQ133" s="147"/>
      <c r="BR133" s="147"/>
      <c r="BS133" s="147"/>
      <c r="BT133" s="147"/>
      <c r="BU133" s="147"/>
      <c r="BV133" s="147"/>
      <c r="BW133" s="147"/>
      <c r="BX133" s="147"/>
      <c r="BY133" s="147"/>
      <c r="BZ133" s="147"/>
      <c r="CA133" s="147"/>
      <c r="CB133" s="147"/>
      <c r="CC133" s="147"/>
      <c r="CD133" s="147"/>
      <c r="CE133" s="147"/>
      <c r="CF133" s="147"/>
      <c r="CG133" s="147"/>
      <c r="CH133" s="147"/>
      <c r="CI133" s="147"/>
      <c r="CJ133" s="147"/>
      <c r="CK133" s="147"/>
    </row>
    <row r="134" spans="1:89">
      <c r="A134" s="159" t="s">
        <v>220</v>
      </c>
      <c r="B134" s="3" t="s">
        <v>221</v>
      </c>
      <c r="C134" s="160" t="s">
        <v>63</v>
      </c>
      <c r="D134" s="160" t="s">
        <v>857</v>
      </c>
      <c r="E134" s="3" t="s">
        <v>22</v>
      </c>
      <c r="F134" s="3" t="s">
        <v>928</v>
      </c>
      <c r="G134" s="3" t="s">
        <v>917</v>
      </c>
      <c r="H134" s="156" t="str">
        <f ca="1">IFERROR(
  _xludf.MINIFS(ATTENDANCE_LOG!$F:$F,
         ATTENDANCE_LOG!$A:$A, C134,
         ATTENDANCE_LOG!$B:$B, E134),
"")</f>
        <v/>
      </c>
      <c r="I134" s="156" t="str">
        <f t="shared" ca="1" si="0"/>
        <v/>
      </c>
      <c r="J134" s="3">
        <f>IFERROR(VLOOKUP(F134, LEVEL_HELPER!$A:$B, 2, 0), "")</f>
        <v>1.5</v>
      </c>
      <c r="K134" s="3">
        <f>IFERROR(VLOOKUP(G134, LEVEL_HELPER!$A:$B, 2, 0), "")</f>
        <v>3</v>
      </c>
      <c r="L134" s="157" t="s">
        <v>942</v>
      </c>
      <c r="M134" s="157" t="s">
        <v>924</v>
      </c>
      <c r="N134" s="3">
        <f t="array" aca="1" ref="N134" ca="1">IFERROR(
  INDEX($J$2:$J$543,
    MATCH(A134&amp;TEXT(I134,"yyyy-mm-dd"),
          $A$2:$A$543&amp;TEXT($H$2:$H$543,"yyyy-mm-dd"),
          0)),
"")</f>
        <v>1</v>
      </c>
      <c r="O134" s="147" t="str">
        <f t="shared" ca="1" si="1"/>
        <v/>
      </c>
      <c r="P134" s="147">
        <f t="shared" ref="P134:Q134" ca="1" si="143">IF(N134="",0,IF(N134&lt;=2,1,IF(N134&lt;=4,2,IF(N134&lt;=5.5,3,4))))</f>
        <v>1</v>
      </c>
      <c r="Q134" s="147">
        <f t="shared" ca="1" si="143"/>
        <v>0</v>
      </c>
      <c r="R134" s="147" t="str">
        <f t="shared" ca="1" si="3"/>
        <v>Regressed</v>
      </c>
      <c r="S134" s="147">
        <f t="shared" si="4"/>
        <v>0</v>
      </c>
      <c r="T134" s="147"/>
      <c r="U134" s="147"/>
      <c r="V134" s="148" t="e">
        <f ca="1"/>
        <v>#NAME?</v>
      </c>
      <c r="W134" s="147" t="e">
        <f t="shared" ca="1" si="5"/>
        <v>#NAME?</v>
      </c>
      <c r="X134" s="147" t="e">
        <f t="shared" ca="1" si="6"/>
        <v>#NAME?</v>
      </c>
      <c r="Y134" s="147" t="e">
        <f t="shared" ca="1" si="7"/>
        <v>#NAME?</v>
      </c>
      <c r="Z134" s="147"/>
      <c r="AA134" s="147"/>
      <c r="AB134" s="147"/>
      <c r="AC134" s="147"/>
      <c r="AD134" s="147"/>
      <c r="AE134" s="147"/>
      <c r="AF134" s="147"/>
      <c r="AG134" s="147"/>
      <c r="AH134" s="147"/>
      <c r="AI134" s="147"/>
      <c r="AJ134" s="147"/>
      <c r="AK134" s="147"/>
      <c r="AL134" s="147"/>
      <c r="AM134" s="151"/>
      <c r="AN134" s="147"/>
      <c r="AO134" s="147" t="e">
        <f t="shared" si="8"/>
        <v>#N/A</v>
      </c>
      <c r="AP134" s="147" t="e">
        <f t="shared" ca="1" si="9"/>
        <v>#NAME?</v>
      </c>
      <c r="AQ134" s="147" t="e">
        <f t="shared" si="10"/>
        <v>#N/A</v>
      </c>
      <c r="AR134" s="147"/>
      <c r="AS134" s="147"/>
      <c r="AT134" s="147"/>
      <c r="AU134" s="147"/>
      <c r="AV134" s="147"/>
      <c r="AW134" s="147"/>
      <c r="AX134" s="147"/>
      <c r="AY134" s="147"/>
      <c r="AZ134" s="147"/>
      <c r="BA134" s="147"/>
      <c r="BB134" s="147"/>
      <c r="BC134" s="147"/>
      <c r="BD134" s="147"/>
      <c r="BE134" s="147"/>
      <c r="BF134" s="147"/>
      <c r="BG134" s="147"/>
      <c r="BH134" s="147"/>
      <c r="BI134" s="147"/>
      <c r="BJ134" s="147"/>
      <c r="BK134" s="147"/>
      <c r="BL134" s="147"/>
      <c r="BM134" s="147"/>
      <c r="BN134" s="147"/>
      <c r="BO134" s="147"/>
      <c r="BP134" s="147"/>
      <c r="BQ134" s="147"/>
      <c r="BR134" s="147"/>
      <c r="BS134" s="147"/>
      <c r="BT134" s="147"/>
      <c r="BU134" s="147"/>
      <c r="BV134" s="147"/>
      <c r="BW134" s="147"/>
      <c r="BX134" s="147"/>
      <c r="BY134" s="147"/>
      <c r="BZ134" s="147"/>
      <c r="CA134" s="147"/>
      <c r="CB134" s="147"/>
      <c r="CC134" s="147"/>
      <c r="CD134" s="147"/>
      <c r="CE134" s="147"/>
      <c r="CF134" s="147"/>
      <c r="CG134" s="147"/>
      <c r="CH134" s="147"/>
      <c r="CI134" s="147"/>
      <c r="CJ134" s="147"/>
      <c r="CK134" s="147"/>
    </row>
    <row r="135" spans="1:89">
      <c r="A135" s="159" t="s">
        <v>234</v>
      </c>
      <c r="B135" s="3" t="s">
        <v>235</v>
      </c>
      <c r="C135" s="160" t="s">
        <v>63</v>
      </c>
      <c r="D135" s="160" t="s">
        <v>857</v>
      </c>
      <c r="E135" s="3" t="s">
        <v>22</v>
      </c>
      <c r="F135" s="3" t="s">
        <v>917</v>
      </c>
      <c r="G135" s="3" t="s">
        <v>934</v>
      </c>
      <c r="H135" s="156" t="str">
        <f ca="1">IFERROR(
  _xludf.MINIFS(ATTENDANCE_LOG!$F:$F,
         ATTENDANCE_LOG!$A:$A, C135,
         ATTENDANCE_LOG!$B:$B, E135),
"")</f>
        <v/>
      </c>
      <c r="I135" s="156" t="str">
        <f t="shared" ca="1" si="0"/>
        <v/>
      </c>
      <c r="J135" s="3">
        <f>IFERROR(VLOOKUP(F135, LEVEL_HELPER!$A:$B, 2, 0), "")</f>
        <v>3</v>
      </c>
      <c r="K135" s="3">
        <f>IFERROR(VLOOKUP(G135, LEVEL_HELPER!$A:$B, 2, 0), "")</f>
        <v>3.5</v>
      </c>
      <c r="L135" s="157" t="s">
        <v>942</v>
      </c>
      <c r="M135" s="157" t="s">
        <v>924</v>
      </c>
      <c r="N135" s="3">
        <f t="array" aca="1" ref="N135" ca="1">IFERROR(
  INDEX($J$2:$J$543,
    MATCH(A135&amp;TEXT(I135,"yyyy-mm-dd"),
          $A$2:$A$543&amp;TEXT($H$2:$H$543,"yyyy-mm-dd"),
          0)),
"")</f>
        <v>2.5</v>
      </c>
      <c r="O135" s="147" t="str">
        <f t="shared" ca="1" si="1"/>
        <v/>
      </c>
      <c r="P135" s="147">
        <f t="shared" ref="P135:Q135" ca="1" si="144">IF(N135="",0,IF(N135&lt;=2,1,IF(N135&lt;=4,2,IF(N135&lt;=5.5,3,4))))</f>
        <v>2</v>
      </c>
      <c r="Q135" s="147">
        <f t="shared" ca="1" si="144"/>
        <v>0</v>
      </c>
      <c r="R135" s="147" t="str">
        <f t="shared" ca="1" si="3"/>
        <v>Regressed</v>
      </c>
      <c r="S135" s="147">
        <f t="shared" si="4"/>
        <v>0</v>
      </c>
      <c r="T135" s="147"/>
      <c r="U135" s="147"/>
      <c r="V135" s="148" t="e">
        <f ca="1"/>
        <v>#NAME?</v>
      </c>
      <c r="W135" s="147" t="e">
        <f t="shared" ca="1" si="5"/>
        <v>#NAME?</v>
      </c>
      <c r="X135" s="147" t="e">
        <f t="shared" ca="1" si="6"/>
        <v>#NAME?</v>
      </c>
      <c r="Y135" s="147" t="e">
        <f t="shared" ca="1" si="7"/>
        <v>#NAME?</v>
      </c>
      <c r="Z135" s="147"/>
      <c r="AA135" s="147"/>
      <c r="AB135" s="147"/>
      <c r="AC135" s="147"/>
      <c r="AD135" s="147"/>
      <c r="AE135" s="147"/>
      <c r="AF135" s="147"/>
      <c r="AG135" s="147"/>
      <c r="AH135" s="147"/>
      <c r="AI135" s="147"/>
      <c r="AJ135" s="147"/>
      <c r="AK135" s="147"/>
      <c r="AL135" s="147"/>
      <c r="AM135" s="151"/>
      <c r="AN135" s="147"/>
      <c r="AO135" s="147" t="e">
        <f t="shared" si="8"/>
        <v>#N/A</v>
      </c>
      <c r="AP135" s="147" t="e">
        <f t="shared" ca="1" si="9"/>
        <v>#NAME?</v>
      </c>
      <c r="AQ135" s="147" t="e">
        <f t="shared" si="10"/>
        <v>#N/A</v>
      </c>
      <c r="AR135" s="147"/>
      <c r="AS135" s="147"/>
      <c r="AT135" s="147"/>
      <c r="AU135" s="147"/>
      <c r="AV135" s="147"/>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47"/>
      <c r="CJ135" s="147"/>
      <c r="CK135" s="147"/>
    </row>
    <row r="136" spans="1:89">
      <c r="A136" s="159" t="s">
        <v>438</v>
      </c>
      <c r="B136" s="3" t="s">
        <v>439</v>
      </c>
      <c r="C136" s="160" t="s">
        <v>63</v>
      </c>
      <c r="D136" s="160" t="s">
        <v>857</v>
      </c>
      <c r="E136" s="3" t="s">
        <v>22</v>
      </c>
      <c r="F136" s="3" t="s">
        <v>928</v>
      </c>
      <c r="G136" s="3"/>
      <c r="H136" s="156" t="str">
        <f ca="1">IFERROR(
  _xludf.MINIFS(ATTENDANCE_LOG!$F:$F,
         ATTENDANCE_LOG!$A:$A, C136,
         ATTENDANCE_LOG!$B:$B, E136),
"")</f>
        <v/>
      </c>
      <c r="I136" s="156" t="str">
        <f t="shared" ca="1" si="0"/>
        <v/>
      </c>
      <c r="J136" s="3">
        <f>IFERROR(VLOOKUP(F136, LEVEL_HELPER!$A:$B, 2, 0), "")</f>
        <v>1.5</v>
      </c>
      <c r="K136" s="3" t="str">
        <f>IFERROR(VLOOKUP(G136, LEVEL_HELPER!$A:$B, 2, 0), "")</f>
        <v/>
      </c>
      <c r="L136" s="157" t="s">
        <v>942</v>
      </c>
      <c r="M136" s="157" t="s">
        <v>924</v>
      </c>
      <c r="N136" s="3">
        <f t="array" aca="1" ref="N136" ca="1">IFERROR(
  INDEX($J$2:$J$543,
    MATCH(A136&amp;TEXT(I136,"yyyy-mm-dd"),
          $A$2:$A$543&amp;TEXT($H$2:$H$543,"yyyy-mm-dd"),
          0)),
"")</f>
        <v>1</v>
      </c>
      <c r="O136" s="147" t="str">
        <f t="shared" ca="1" si="1"/>
        <v/>
      </c>
      <c r="P136" s="147">
        <f t="shared" ref="P136:Q136" ca="1" si="145">IF(N136="",0,IF(N136&lt;=2,1,IF(N136&lt;=4,2,IF(N136&lt;=5.5,3,4))))</f>
        <v>1</v>
      </c>
      <c r="Q136" s="147">
        <f t="shared" ca="1" si="145"/>
        <v>0</v>
      </c>
      <c r="R136" s="147" t="str">
        <f t="shared" ca="1" si="3"/>
        <v>Regressed</v>
      </c>
      <c r="S136" s="147">
        <f t="shared" si="4"/>
        <v>0</v>
      </c>
      <c r="T136" s="147"/>
      <c r="U136" s="147"/>
      <c r="V136" s="148" t="e">
        <f ca="1"/>
        <v>#NAME?</v>
      </c>
      <c r="W136" s="147" t="e">
        <f t="shared" ca="1" si="5"/>
        <v>#NAME?</v>
      </c>
      <c r="X136" s="147" t="e">
        <f t="shared" ca="1" si="6"/>
        <v>#NAME?</v>
      </c>
      <c r="Y136" s="147" t="e">
        <f t="shared" ca="1" si="7"/>
        <v>#NAME?</v>
      </c>
      <c r="Z136" s="147"/>
      <c r="AA136" s="147"/>
      <c r="AB136" s="147"/>
      <c r="AC136" s="147"/>
      <c r="AD136" s="147"/>
      <c r="AE136" s="147"/>
      <c r="AF136" s="147"/>
      <c r="AG136" s="147"/>
      <c r="AH136" s="147"/>
      <c r="AI136" s="147"/>
      <c r="AJ136" s="147"/>
      <c r="AK136" s="147"/>
      <c r="AL136" s="147"/>
      <c r="AM136" s="151"/>
      <c r="AN136" s="147"/>
      <c r="AO136" s="147" t="e">
        <f t="shared" si="8"/>
        <v>#N/A</v>
      </c>
      <c r="AP136" s="147" t="e">
        <f t="shared" ca="1" si="9"/>
        <v>#NAME?</v>
      </c>
      <c r="AQ136" s="147" t="e">
        <f t="shared" si="10"/>
        <v>#N/A</v>
      </c>
      <c r="AR136" s="147"/>
      <c r="AS136" s="147"/>
      <c r="AT136" s="147"/>
      <c r="AU136" s="147"/>
      <c r="AV136" s="147"/>
      <c r="AW136" s="147"/>
      <c r="AX136" s="147"/>
      <c r="AY136" s="147"/>
      <c r="AZ136" s="147"/>
      <c r="BA136" s="147"/>
      <c r="BB136" s="147"/>
      <c r="BC136" s="147"/>
      <c r="BD136" s="147"/>
      <c r="BE136" s="147"/>
      <c r="BF136" s="147"/>
      <c r="BG136" s="147"/>
      <c r="BH136" s="147"/>
      <c r="BI136" s="147"/>
      <c r="BJ136" s="147"/>
      <c r="BK136" s="147"/>
      <c r="BL136" s="147"/>
      <c r="BM136" s="147"/>
      <c r="BN136" s="147"/>
      <c r="BO136" s="147"/>
      <c r="BP136" s="147"/>
      <c r="BQ136" s="147"/>
      <c r="BR136" s="147"/>
      <c r="BS136" s="147"/>
      <c r="BT136" s="147"/>
      <c r="BU136" s="147"/>
      <c r="BV136" s="147"/>
      <c r="BW136" s="147"/>
      <c r="BX136" s="147"/>
      <c r="BY136" s="147"/>
      <c r="BZ136" s="147"/>
      <c r="CA136" s="147"/>
      <c r="CB136" s="147"/>
      <c r="CC136" s="147"/>
      <c r="CD136" s="147"/>
      <c r="CE136" s="147"/>
      <c r="CF136" s="147"/>
      <c r="CG136" s="147"/>
      <c r="CH136" s="147"/>
      <c r="CI136" s="147"/>
      <c r="CJ136" s="147"/>
      <c r="CK136" s="147"/>
    </row>
    <row r="137" spans="1:89">
      <c r="A137" s="159" t="s">
        <v>599</v>
      </c>
      <c r="B137" s="3" t="s">
        <v>600</v>
      </c>
      <c r="C137" s="160" t="s">
        <v>63</v>
      </c>
      <c r="D137" s="160" t="s">
        <v>857</v>
      </c>
      <c r="E137" s="3" t="s">
        <v>22</v>
      </c>
      <c r="F137" s="3" t="s">
        <v>934</v>
      </c>
      <c r="G137" s="3" t="s">
        <v>934</v>
      </c>
      <c r="H137" s="156" t="str">
        <f ca="1">IFERROR(
  _xludf.MINIFS(ATTENDANCE_LOG!$F:$F,
         ATTENDANCE_LOG!$A:$A, C137,
         ATTENDANCE_LOG!$B:$B, E137),
"")</f>
        <v/>
      </c>
      <c r="I137" s="156" t="str">
        <f t="shared" ca="1" si="0"/>
        <v/>
      </c>
      <c r="J137" s="3">
        <f>IFERROR(VLOOKUP(F137, LEVEL_HELPER!$A:$B, 2, 0), "")</f>
        <v>3.5</v>
      </c>
      <c r="K137" s="3">
        <f>IFERROR(VLOOKUP(G137, LEVEL_HELPER!$A:$B, 2, 0), "")</f>
        <v>3.5</v>
      </c>
      <c r="L137" s="157" t="s">
        <v>942</v>
      </c>
      <c r="M137" s="157" t="s">
        <v>924</v>
      </c>
      <c r="N137" s="3">
        <f t="array" aca="1" ref="N137" ca="1">IFERROR(
  INDEX($J$2:$J$543,
    MATCH(A137&amp;TEXT(I137,"yyyy-mm-dd"),
          $A$2:$A$543&amp;TEXT($H$2:$H$543,"yyyy-mm-dd"),
          0)),
"")</f>
        <v>2.5</v>
      </c>
      <c r="O137" s="147" t="str">
        <f t="shared" ca="1" si="1"/>
        <v/>
      </c>
      <c r="P137" s="147">
        <f t="shared" ref="P137:Q137" ca="1" si="146">IF(N137="",0,IF(N137&lt;=2,1,IF(N137&lt;=4,2,IF(N137&lt;=5.5,3,4))))</f>
        <v>2</v>
      </c>
      <c r="Q137" s="147">
        <f t="shared" ca="1" si="146"/>
        <v>0</v>
      </c>
      <c r="R137" s="147" t="str">
        <f t="shared" ca="1" si="3"/>
        <v>Regressed</v>
      </c>
      <c r="S137" s="147">
        <f t="shared" si="4"/>
        <v>0</v>
      </c>
      <c r="T137" s="147"/>
      <c r="U137" s="147"/>
      <c r="V137" s="148" t="e">
        <f ca="1"/>
        <v>#NAME?</v>
      </c>
      <c r="W137" s="147" t="e">
        <f t="shared" ca="1" si="5"/>
        <v>#NAME?</v>
      </c>
      <c r="X137" s="147" t="e">
        <f t="shared" ca="1" si="6"/>
        <v>#NAME?</v>
      </c>
      <c r="Y137" s="147" t="e">
        <f t="shared" ca="1" si="7"/>
        <v>#NAME?</v>
      </c>
      <c r="Z137" s="147"/>
      <c r="AA137" s="147"/>
      <c r="AB137" s="147"/>
      <c r="AC137" s="147"/>
      <c r="AD137" s="147"/>
      <c r="AE137" s="147"/>
      <c r="AF137" s="147"/>
      <c r="AG137" s="147"/>
      <c r="AH137" s="147"/>
      <c r="AI137" s="147"/>
      <c r="AJ137" s="147"/>
      <c r="AK137" s="147"/>
      <c r="AL137" s="147"/>
      <c r="AM137" s="151"/>
      <c r="AN137" s="147"/>
      <c r="AO137" s="147" t="e">
        <f t="shared" si="8"/>
        <v>#N/A</v>
      </c>
      <c r="AP137" s="147" t="e">
        <f t="shared" ca="1" si="9"/>
        <v>#NAME?</v>
      </c>
      <c r="AQ137" s="147" t="e">
        <f t="shared" si="10"/>
        <v>#N/A</v>
      </c>
      <c r="AR137" s="147"/>
      <c r="AS137" s="147"/>
      <c r="AT137" s="147"/>
      <c r="AU137" s="147"/>
      <c r="AV137" s="147"/>
      <c r="AW137" s="147"/>
      <c r="AX137" s="147"/>
      <c r="AY137" s="147"/>
      <c r="AZ137" s="147"/>
      <c r="BA137" s="147"/>
      <c r="BB137" s="147"/>
      <c r="BC137" s="147"/>
      <c r="BD137" s="147"/>
      <c r="BE137" s="147"/>
      <c r="BF137" s="147"/>
      <c r="BG137" s="147"/>
      <c r="BH137" s="147"/>
      <c r="BI137" s="147"/>
      <c r="BJ137" s="147"/>
      <c r="BK137" s="147"/>
      <c r="BL137" s="147"/>
      <c r="BM137" s="147"/>
      <c r="BN137" s="147"/>
      <c r="BO137" s="147"/>
      <c r="BP137" s="147"/>
      <c r="BQ137" s="147"/>
      <c r="BR137" s="147"/>
      <c r="BS137" s="147"/>
      <c r="BT137" s="147"/>
      <c r="BU137" s="147"/>
      <c r="BV137" s="147"/>
      <c r="BW137" s="147"/>
      <c r="BX137" s="147"/>
      <c r="BY137" s="147"/>
      <c r="BZ137" s="147"/>
      <c r="CA137" s="147"/>
      <c r="CB137" s="147"/>
      <c r="CC137" s="147"/>
      <c r="CD137" s="147"/>
      <c r="CE137" s="147"/>
      <c r="CF137" s="147"/>
      <c r="CG137" s="147"/>
      <c r="CH137" s="147"/>
      <c r="CI137" s="147"/>
      <c r="CJ137" s="147"/>
      <c r="CK137" s="147"/>
    </row>
    <row r="138" spans="1:89">
      <c r="A138" s="159" t="s">
        <v>611</v>
      </c>
      <c r="B138" s="3" t="s">
        <v>612</v>
      </c>
      <c r="C138" s="160" t="s">
        <v>63</v>
      </c>
      <c r="D138" s="160" t="s">
        <v>857</v>
      </c>
      <c r="E138" s="3" t="s">
        <v>22</v>
      </c>
      <c r="F138" s="3" t="s">
        <v>934</v>
      </c>
      <c r="G138" s="3" t="s">
        <v>940</v>
      </c>
      <c r="H138" s="156" t="str">
        <f ca="1">IFERROR(
  _xludf.MINIFS(ATTENDANCE_LOG!$F:$F,
         ATTENDANCE_LOG!$A:$A, C138,
         ATTENDANCE_LOG!$B:$B, E138),
"")</f>
        <v/>
      </c>
      <c r="I138" s="156" t="str">
        <f t="shared" ca="1" si="0"/>
        <v/>
      </c>
      <c r="J138" s="3">
        <f>IFERROR(VLOOKUP(F138, LEVEL_HELPER!$A:$B, 2, 0), "")</f>
        <v>3.5</v>
      </c>
      <c r="K138" s="3">
        <f>IFERROR(VLOOKUP(G138, LEVEL_HELPER!$A:$B, 2, 0), "")</f>
        <v>5</v>
      </c>
      <c r="L138" s="157" t="s">
        <v>918</v>
      </c>
      <c r="M138" s="157" t="s">
        <v>922</v>
      </c>
      <c r="N138" s="3">
        <f t="array" aca="1" ref="N138" ca="1">IFERROR(
  INDEX($J$2:$J$543,
    MATCH(A138&amp;TEXT(I138,"yyyy-mm-dd"),
          $A$2:$A$543&amp;TEXT($H$2:$H$543,"yyyy-mm-dd"),
          0)),
"")</f>
        <v>1</v>
      </c>
      <c r="O138" s="147" t="str">
        <f t="shared" ca="1" si="1"/>
        <v/>
      </c>
      <c r="P138" s="147">
        <f t="shared" ref="P138:Q138" ca="1" si="147">IF(N138="",0,IF(N138&lt;=2,1,IF(N138&lt;=4,2,IF(N138&lt;=5.5,3,4))))</f>
        <v>1</v>
      </c>
      <c r="Q138" s="147">
        <f t="shared" ca="1" si="147"/>
        <v>0</v>
      </c>
      <c r="R138" s="147" t="str">
        <f t="shared" ca="1" si="3"/>
        <v>Regressed</v>
      </c>
      <c r="S138" s="147">
        <f t="shared" si="4"/>
        <v>0</v>
      </c>
      <c r="T138" s="147"/>
      <c r="U138" s="147"/>
      <c r="V138" s="148" t="e">
        <f ca="1"/>
        <v>#NAME?</v>
      </c>
      <c r="W138" s="147" t="e">
        <f t="shared" ca="1" si="5"/>
        <v>#NAME?</v>
      </c>
      <c r="X138" s="147" t="e">
        <f t="shared" ca="1" si="6"/>
        <v>#NAME?</v>
      </c>
      <c r="Y138" s="147" t="e">
        <f t="shared" ca="1" si="7"/>
        <v>#NAME?</v>
      </c>
      <c r="Z138" s="147"/>
      <c r="AA138" s="147"/>
      <c r="AB138" s="147"/>
      <c r="AC138" s="147"/>
      <c r="AD138" s="147"/>
      <c r="AE138" s="147"/>
      <c r="AF138" s="147"/>
      <c r="AG138" s="147"/>
      <c r="AH138" s="147"/>
      <c r="AI138" s="147"/>
      <c r="AJ138" s="147"/>
      <c r="AK138" s="147"/>
      <c r="AL138" s="147"/>
      <c r="AM138" s="151"/>
      <c r="AN138" s="147"/>
      <c r="AO138" s="147" t="e">
        <f t="shared" si="8"/>
        <v>#N/A</v>
      </c>
      <c r="AP138" s="147" t="e">
        <f t="shared" ca="1" si="9"/>
        <v>#NAME?</v>
      </c>
      <c r="AQ138" s="147" t="e">
        <f t="shared" si="10"/>
        <v>#N/A</v>
      </c>
      <c r="AR138" s="147"/>
      <c r="AS138" s="147"/>
      <c r="AT138" s="147"/>
      <c r="AU138" s="147"/>
      <c r="AV138" s="147"/>
      <c r="AW138" s="147"/>
      <c r="AX138" s="147"/>
      <c r="AY138" s="147"/>
      <c r="AZ138" s="147"/>
      <c r="BA138" s="147"/>
      <c r="BB138" s="147"/>
      <c r="BC138" s="147"/>
      <c r="BD138" s="147"/>
      <c r="BE138" s="147"/>
      <c r="BF138" s="147"/>
      <c r="BG138" s="147"/>
      <c r="BH138" s="147"/>
      <c r="BI138" s="147"/>
      <c r="BJ138" s="147"/>
      <c r="BK138" s="147"/>
      <c r="BL138" s="147"/>
      <c r="BM138" s="147"/>
      <c r="BN138" s="147"/>
      <c r="BO138" s="147"/>
      <c r="BP138" s="147"/>
      <c r="BQ138" s="147"/>
      <c r="BR138" s="147"/>
      <c r="BS138" s="147"/>
      <c r="BT138" s="147"/>
      <c r="BU138" s="147"/>
      <c r="BV138" s="147"/>
      <c r="BW138" s="147"/>
      <c r="BX138" s="147"/>
      <c r="BY138" s="147"/>
      <c r="BZ138" s="147"/>
      <c r="CA138" s="147"/>
      <c r="CB138" s="147"/>
      <c r="CC138" s="147"/>
      <c r="CD138" s="147"/>
      <c r="CE138" s="147"/>
      <c r="CF138" s="147"/>
      <c r="CG138" s="147"/>
      <c r="CH138" s="147"/>
      <c r="CI138" s="147"/>
      <c r="CJ138" s="147"/>
      <c r="CK138" s="147"/>
    </row>
    <row r="139" spans="1:89">
      <c r="A139" s="153" t="s">
        <v>298</v>
      </c>
      <c r="B139" s="154" t="s">
        <v>299</v>
      </c>
      <c r="C139" s="155" t="s">
        <v>63</v>
      </c>
      <c r="D139" s="155" t="s">
        <v>857</v>
      </c>
      <c r="E139" s="154" t="s">
        <v>23</v>
      </c>
      <c r="F139" s="3"/>
      <c r="G139" s="3"/>
      <c r="H139" s="156" t="str">
        <f ca="1">IFERROR(
  _xludf.MINIFS(ATTENDANCE_LOG!$F:$F,
         ATTENDANCE_LOG!$A:$A, C139,
         ATTENDANCE_LOG!$B:$B, E139),
"")</f>
        <v/>
      </c>
      <c r="I139" s="156" t="str">
        <f t="shared" ca="1" si="0"/>
        <v/>
      </c>
      <c r="J139" s="3" t="str">
        <f>IFERROR(VLOOKUP(F139, LEVEL_HELPER!$A:$B, 2, 0), "")</f>
        <v/>
      </c>
      <c r="K139" s="3" t="str">
        <f>IFERROR(VLOOKUP(G139, LEVEL_HELPER!$A:$B, 2, 0), "")</f>
        <v/>
      </c>
      <c r="L139" s="157" t="s">
        <v>942</v>
      </c>
      <c r="M139" s="157" t="s">
        <v>924</v>
      </c>
      <c r="N139" s="3">
        <f t="array" aca="1" ref="N139" ca="1">IFERROR(
  INDEX($J$2:$J$543,
    MATCH(A139&amp;TEXT(I139,"yyyy-mm-dd"),
          $A$2:$A$543&amp;TEXT($H$2:$H$543,"yyyy-mm-dd"),
          0)),
"")</f>
        <v>1</v>
      </c>
      <c r="O139" s="147" t="str">
        <f t="shared" ca="1" si="1"/>
        <v/>
      </c>
      <c r="P139" s="147">
        <f t="shared" ref="P139:Q139" ca="1" si="148">IF(N139="",0,IF(N139&lt;=2,1,IF(N139&lt;=4,2,IF(N139&lt;=5.5,3,4))))</f>
        <v>1</v>
      </c>
      <c r="Q139" s="147">
        <f t="shared" ca="1" si="148"/>
        <v>0</v>
      </c>
      <c r="R139" s="147" t="str">
        <f t="shared" ca="1" si="3"/>
        <v>Regressed</v>
      </c>
      <c r="S139" s="147">
        <f t="shared" si="4"/>
        <v>0</v>
      </c>
      <c r="T139" s="147"/>
      <c r="U139" s="147"/>
      <c r="V139" s="148" t="e">
        <f ca="1"/>
        <v>#NAME?</v>
      </c>
      <c r="W139" s="147" t="e">
        <f t="shared" ca="1" si="5"/>
        <v>#NAME?</v>
      </c>
      <c r="X139" s="147" t="e">
        <f t="shared" ca="1" si="6"/>
        <v>#NAME?</v>
      </c>
      <c r="Y139" s="147" t="e">
        <f t="shared" ca="1" si="7"/>
        <v>#NAME?</v>
      </c>
      <c r="Z139" s="147"/>
      <c r="AA139" s="147"/>
      <c r="AB139" s="147"/>
      <c r="AC139" s="147"/>
      <c r="AD139" s="147"/>
      <c r="AE139" s="147"/>
      <c r="AF139" s="147"/>
      <c r="AG139" s="147"/>
      <c r="AH139" s="147"/>
      <c r="AI139" s="147"/>
      <c r="AJ139" s="147"/>
      <c r="AK139" s="147"/>
      <c r="AL139" s="147"/>
      <c r="AM139" s="151"/>
      <c r="AN139" s="147"/>
      <c r="AO139" s="147" t="e">
        <f t="shared" si="8"/>
        <v>#N/A</v>
      </c>
      <c r="AP139" s="147" t="e">
        <f t="shared" ca="1" si="9"/>
        <v>#NAME?</v>
      </c>
      <c r="AQ139" s="147" t="e">
        <f t="shared" si="10"/>
        <v>#N/A</v>
      </c>
      <c r="AR139" s="147"/>
      <c r="AS139" s="147"/>
      <c r="AT139" s="147"/>
      <c r="AU139" s="147"/>
      <c r="AV139" s="147"/>
      <c r="AW139" s="147"/>
      <c r="AX139" s="147"/>
      <c r="AY139" s="147"/>
      <c r="AZ139" s="147"/>
      <c r="BA139" s="147"/>
      <c r="BB139" s="147"/>
      <c r="BC139" s="147"/>
      <c r="BD139" s="147"/>
      <c r="BE139" s="147"/>
      <c r="BF139" s="147"/>
      <c r="BG139" s="147"/>
      <c r="BH139" s="147"/>
      <c r="BI139" s="147"/>
      <c r="BJ139" s="147"/>
      <c r="BK139" s="147"/>
      <c r="BL139" s="147"/>
      <c r="BM139" s="147"/>
      <c r="BN139" s="147"/>
      <c r="BO139" s="147"/>
      <c r="BP139" s="147"/>
      <c r="BQ139" s="147"/>
      <c r="BR139" s="147"/>
      <c r="BS139" s="147"/>
      <c r="BT139" s="147"/>
      <c r="BU139" s="147"/>
      <c r="BV139" s="147"/>
      <c r="BW139" s="147"/>
      <c r="BX139" s="147"/>
      <c r="BY139" s="147"/>
      <c r="BZ139" s="147"/>
      <c r="CA139" s="147"/>
      <c r="CB139" s="147"/>
      <c r="CC139" s="147"/>
      <c r="CD139" s="147"/>
      <c r="CE139" s="147"/>
      <c r="CF139" s="147"/>
      <c r="CG139" s="147"/>
      <c r="CH139" s="147"/>
      <c r="CI139" s="147"/>
      <c r="CJ139" s="147"/>
      <c r="CK139" s="147"/>
    </row>
    <row r="140" spans="1:89">
      <c r="A140" s="159" t="s">
        <v>220</v>
      </c>
      <c r="B140" s="3" t="s">
        <v>221</v>
      </c>
      <c r="C140" s="160" t="s">
        <v>63</v>
      </c>
      <c r="D140" s="160" t="s">
        <v>857</v>
      </c>
      <c r="E140" s="3" t="s">
        <v>23</v>
      </c>
      <c r="F140" s="3"/>
      <c r="G140" s="3"/>
      <c r="H140" s="156" t="str">
        <f ca="1">IFERROR(
  _xludf.MINIFS(ATTENDANCE_LOG!$F:$F,
         ATTENDANCE_LOG!$A:$A, C140,
         ATTENDANCE_LOG!$B:$B, E140),
"")</f>
        <v/>
      </c>
      <c r="I140" s="156" t="str">
        <f t="shared" ca="1" si="0"/>
        <v/>
      </c>
      <c r="J140" s="3" t="str">
        <f>IFERROR(VLOOKUP(F140, LEVEL_HELPER!$A:$B, 2, 0), "")</f>
        <v/>
      </c>
      <c r="K140" s="3" t="str">
        <f>IFERROR(VLOOKUP(G140, LEVEL_HELPER!$A:$B, 2, 0), "")</f>
        <v/>
      </c>
      <c r="L140" s="157" t="s">
        <v>942</v>
      </c>
      <c r="M140" s="157" t="s">
        <v>924</v>
      </c>
      <c r="N140" s="3">
        <f t="array" aca="1" ref="N140" ca="1">IFERROR(
  INDEX($J$2:$J$543,
    MATCH(A140&amp;TEXT(I140,"yyyy-mm-dd"),
          $A$2:$A$543&amp;TEXT($H$2:$H$543,"yyyy-mm-dd"),
          0)),
"")</f>
        <v>1</v>
      </c>
      <c r="O140" s="147" t="str">
        <f t="shared" ca="1" si="1"/>
        <v/>
      </c>
      <c r="P140" s="147">
        <f t="shared" ref="P140:Q140" ca="1" si="149">IF(N140="",0,IF(N140&lt;=2,1,IF(N140&lt;=4,2,IF(N140&lt;=5.5,3,4))))</f>
        <v>1</v>
      </c>
      <c r="Q140" s="147">
        <f t="shared" ca="1" si="149"/>
        <v>0</v>
      </c>
      <c r="R140" s="147" t="str">
        <f t="shared" ca="1" si="3"/>
        <v>Regressed</v>
      </c>
      <c r="S140" s="147">
        <f t="shared" si="4"/>
        <v>0</v>
      </c>
      <c r="T140" s="147"/>
      <c r="U140" s="147"/>
      <c r="V140" s="148" t="e">
        <f ca="1"/>
        <v>#NAME?</v>
      </c>
      <c r="W140" s="147" t="e">
        <f t="shared" ca="1" si="5"/>
        <v>#NAME?</v>
      </c>
      <c r="X140" s="147" t="e">
        <f t="shared" ca="1" si="6"/>
        <v>#NAME?</v>
      </c>
      <c r="Y140" s="147" t="e">
        <f t="shared" ca="1" si="7"/>
        <v>#NAME?</v>
      </c>
      <c r="Z140" s="147"/>
      <c r="AA140" s="147"/>
      <c r="AB140" s="147"/>
      <c r="AC140" s="147"/>
      <c r="AD140" s="147"/>
      <c r="AE140" s="147"/>
      <c r="AF140" s="147"/>
      <c r="AG140" s="147"/>
      <c r="AH140" s="147"/>
      <c r="AI140" s="147"/>
      <c r="AJ140" s="147"/>
      <c r="AK140" s="147"/>
      <c r="AL140" s="147"/>
      <c r="AM140" s="151"/>
      <c r="AN140" s="147"/>
      <c r="AO140" s="147" t="e">
        <f t="shared" si="8"/>
        <v>#N/A</v>
      </c>
      <c r="AP140" s="147" t="e">
        <f t="shared" ca="1" si="9"/>
        <v>#NAME?</v>
      </c>
      <c r="AQ140" s="147" t="e">
        <f t="shared" si="10"/>
        <v>#N/A</v>
      </c>
      <c r="AR140" s="147"/>
      <c r="AS140" s="147"/>
      <c r="AT140" s="147"/>
      <c r="AU140" s="147"/>
      <c r="AV140" s="147"/>
      <c r="AW140" s="147"/>
      <c r="AX140" s="147"/>
      <c r="AY140" s="147"/>
      <c r="AZ140" s="147"/>
      <c r="BA140" s="147"/>
      <c r="BB140" s="147"/>
      <c r="BC140" s="147"/>
      <c r="BD140" s="147"/>
      <c r="BE140" s="147"/>
      <c r="BF140" s="147"/>
      <c r="BG140" s="147"/>
      <c r="BH140" s="147"/>
      <c r="BI140" s="147"/>
      <c r="BJ140" s="147"/>
      <c r="BK140" s="147"/>
      <c r="BL140" s="147"/>
      <c r="BM140" s="147"/>
      <c r="BN140" s="147"/>
      <c r="BO140" s="147"/>
      <c r="BP140" s="147"/>
      <c r="BQ140" s="147"/>
      <c r="BR140" s="147"/>
      <c r="BS140" s="147"/>
      <c r="BT140" s="147"/>
      <c r="BU140" s="147"/>
      <c r="BV140" s="147"/>
      <c r="BW140" s="147"/>
      <c r="BX140" s="147"/>
      <c r="BY140" s="147"/>
      <c r="BZ140" s="147"/>
      <c r="CA140" s="147"/>
      <c r="CB140" s="147"/>
      <c r="CC140" s="147"/>
      <c r="CD140" s="147"/>
      <c r="CE140" s="147"/>
      <c r="CF140" s="147"/>
      <c r="CG140" s="147"/>
      <c r="CH140" s="147"/>
      <c r="CI140" s="147"/>
      <c r="CJ140" s="147"/>
      <c r="CK140" s="147"/>
    </row>
    <row r="141" spans="1:89">
      <c r="A141" s="159" t="s">
        <v>234</v>
      </c>
      <c r="B141" s="3" t="s">
        <v>235</v>
      </c>
      <c r="C141" s="160" t="s">
        <v>63</v>
      </c>
      <c r="D141" s="160" t="s">
        <v>857</v>
      </c>
      <c r="E141" s="3" t="s">
        <v>23</v>
      </c>
      <c r="F141" s="3"/>
      <c r="G141" s="3"/>
      <c r="H141" s="156" t="str">
        <f ca="1">IFERROR(
  _xludf.MINIFS(ATTENDANCE_LOG!$F:$F,
         ATTENDANCE_LOG!$A:$A, C141,
         ATTENDANCE_LOG!$B:$B, E141),
"")</f>
        <v/>
      </c>
      <c r="I141" s="156" t="str">
        <f t="shared" ca="1" si="0"/>
        <v/>
      </c>
      <c r="J141" s="3" t="str">
        <f>IFERROR(VLOOKUP(F141, LEVEL_HELPER!$A:$B, 2, 0), "")</f>
        <v/>
      </c>
      <c r="K141" s="3" t="str">
        <f>IFERROR(VLOOKUP(G141, LEVEL_HELPER!$A:$B, 2, 0), "")</f>
        <v/>
      </c>
      <c r="L141" s="157" t="s">
        <v>942</v>
      </c>
      <c r="M141" s="157" t="s">
        <v>924</v>
      </c>
      <c r="N141" s="3">
        <f t="array" aca="1" ref="N141" ca="1">IFERROR(
  INDEX($J$2:$J$543,
    MATCH(A141&amp;TEXT(I141,"yyyy-mm-dd"),
          $A$2:$A$543&amp;TEXT($H$2:$H$543,"yyyy-mm-dd"),
          0)),
"")</f>
        <v>2.5</v>
      </c>
      <c r="O141" s="147" t="str">
        <f t="shared" ca="1" si="1"/>
        <v/>
      </c>
      <c r="P141" s="147">
        <f t="shared" ref="P141:Q141" ca="1" si="150">IF(N141="",0,IF(N141&lt;=2,1,IF(N141&lt;=4,2,IF(N141&lt;=5.5,3,4))))</f>
        <v>2</v>
      </c>
      <c r="Q141" s="147">
        <f t="shared" ca="1" si="150"/>
        <v>0</v>
      </c>
      <c r="R141" s="147" t="str">
        <f t="shared" ca="1" si="3"/>
        <v>Regressed</v>
      </c>
      <c r="S141" s="147">
        <f t="shared" si="4"/>
        <v>0</v>
      </c>
      <c r="T141" s="147"/>
      <c r="U141" s="147"/>
      <c r="V141" s="148" t="e">
        <f ca="1"/>
        <v>#NAME?</v>
      </c>
      <c r="W141" s="147" t="e">
        <f t="shared" ca="1" si="5"/>
        <v>#NAME?</v>
      </c>
      <c r="X141" s="147" t="e">
        <f t="shared" ca="1" si="6"/>
        <v>#NAME?</v>
      </c>
      <c r="Y141" s="147" t="e">
        <f t="shared" ca="1" si="7"/>
        <v>#NAME?</v>
      </c>
      <c r="Z141" s="147"/>
      <c r="AA141" s="147"/>
      <c r="AB141" s="147"/>
      <c r="AC141" s="147"/>
      <c r="AD141" s="147"/>
      <c r="AE141" s="147"/>
      <c r="AF141" s="147"/>
      <c r="AG141" s="147"/>
      <c r="AH141" s="147"/>
      <c r="AI141" s="147"/>
      <c r="AJ141" s="147"/>
      <c r="AK141" s="147"/>
      <c r="AL141" s="147"/>
      <c r="AM141" s="151"/>
      <c r="AN141" s="147"/>
      <c r="AO141" s="147" t="e">
        <f t="shared" si="8"/>
        <v>#N/A</v>
      </c>
      <c r="AP141" s="147" t="e">
        <f t="shared" ca="1" si="9"/>
        <v>#NAME?</v>
      </c>
      <c r="AQ141" s="147" t="e">
        <f t="shared" si="10"/>
        <v>#N/A</v>
      </c>
      <c r="AR141" s="147"/>
      <c r="AS141" s="147"/>
      <c r="AT141" s="147"/>
      <c r="AU141" s="147"/>
      <c r="AV141" s="147"/>
      <c r="AW141" s="147"/>
      <c r="AX141" s="147"/>
      <c r="AY141" s="147"/>
      <c r="AZ141" s="147"/>
      <c r="BA141" s="147"/>
      <c r="BB141" s="147"/>
      <c r="BC141" s="147"/>
      <c r="BD141" s="147"/>
      <c r="BE141" s="147"/>
      <c r="BF141" s="147"/>
      <c r="BG141" s="147"/>
      <c r="BH141" s="147"/>
      <c r="BI141" s="147"/>
      <c r="BJ141" s="147"/>
      <c r="BK141" s="147"/>
      <c r="BL141" s="147"/>
      <c r="BM141" s="147"/>
      <c r="BN141" s="147"/>
      <c r="BO141" s="147"/>
      <c r="BP141" s="147"/>
      <c r="BQ141" s="147"/>
      <c r="BR141" s="147"/>
      <c r="BS141" s="147"/>
      <c r="BT141" s="147"/>
      <c r="BU141" s="147"/>
      <c r="BV141" s="147"/>
      <c r="BW141" s="147"/>
      <c r="BX141" s="147"/>
      <c r="BY141" s="147"/>
      <c r="BZ141" s="147"/>
      <c r="CA141" s="147"/>
      <c r="CB141" s="147"/>
      <c r="CC141" s="147"/>
      <c r="CD141" s="147"/>
      <c r="CE141" s="147"/>
      <c r="CF141" s="147"/>
      <c r="CG141" s="147"/>
      <c r="CH141" s="147"/>
      <c r="CI141" s="147"/>
      <c r="CJ141" s="147"/>
      <c r="CK141" s="147"/>
    </row>
    <row r="142" spans="1:89">
      <c r="A142" s="159" t="s">
        <v>553</v>
      </c>
      <c r="B142" s="3" t="s">
        <v>554</v>
      </c>
      <c r="C142" s="160" t="s">
        <v>63</v>
      </c>
      <c r="D142" s="160" t="s">
        <v>857</v>
      </c>
      <c r="E142" s="3" t="s">
        <v>23</v>
      </c>
      <c r="F142" s="3"/>
      <c r="G142" s="3"/>
      <c r="H142" s="156" t="str">
        <f ca="1">IFERROR(
  _xludf.MINIFS(ATTENDANCE_LOG!$F:$F,
         ATTENDANCE_LOG!$A:$A, C142,
         ATTENDANCE_LOG!$B:$B, E142),
"")</f>
        <v/>
      </c>
      <c r="I142" s="156" t="str">
        <f t="shared" ca="1" si="0"/>
        <v/>
      </c>
      <c r="J142" s="3" t="str">
        <f>IFERROR(VLOOKUP(F142, LEVEL_HELPER!$A:$B, 2, 0), "")</f>
        <v/>
      </c>
      <c r="K142" s="3" t="str">
        <f>IFERROR(VLOOKUP(G142, LEVEL_HELPER!$A:$B, 2, 0), "")</f>
        <v/>
      </c>
      <c r="L142" s="157" t="s">
        <v>942</v>
      </c>
      <c r="M142" s="157" t="s">
        <v>924</v>
      </c>
      <c r="N142" s="3">
        <f t="array" aca="1" ref="N142" ca="1">IFERROR(
  INDEX($J$2:$J$543,
    MATCH(A142&amp;TEXT(I142,"yyyy-mm-dd"),
          $A$2:$A$543&amp;TEXT($H$2:$H$543,"yyyy-mm-dd"),
          0)),
"")</f>
        <v>1</v>
      </c>
      <c r="O142" s="147" t="str">
        <f t="shared" ca="1" si="1"/>
        <v/>
      </c>
      <c r="P142" s="147">
        <f t="shared" ref="P142:Q142" ca="1" si="151">IF(N142="",0,IF(N142&lt;=2,1,IF(N142&lt;=4,2,IF(N142&lt;=5.5,3,4))))</f>
        <v>1</v>
      </c>
      <c r="Q142" s="147">
        <f t="shared" ca="1" si="151"/>
        <v>0</v>
      </c>
      <c r="R142" s="147" t="str">
        <f t="shared" ca="1" si="3"/>
        <v>Regressed</v>
      </c>
      <c r="S142" s="147">
        <f t="shared" si="4"/>
        <v>0</v>
      </c>
      <c r="T142" s="147"/>
      <c r="U142" s="147"/>
      <c r="V142" s="148" t="e">
        <f ca="1"/>
        <v>#NAME?</v>
      </c>
      <c r="W142" s="147" t="e">
        <f t="shared" ca="1" si="5"/>
        <v>#NAME?</v>
      </c>
      <c r="X142" s="147" t="e">
        <f t="shared" ca="1" si="6"/>
        <v>#NAME?</v>
      </c>
      <c r="Y142" s="147" t="e">
        <f t="shared" ca="1" si="7"/>
        <v>#NAME?</v>
      </c>
      <c r="Z142" s="147"/>
      <c r="AA142" s="147"/>
      <c r="AB142" s="147"/>
      <c r="AC142" s="147"/>
      <c r="AD142" s="147"/>
      <c r="AE142" s="147"/>
      <c r="AF142" s="147"/>
      <c r="AG142" s="147"/>
      <c r="AH142" s="147"/>
      <c r="AI142" s="147"/>
      <c r="AJ142" s="147"/>
      <c r="AK142" s="147"/>
      <c r="AL142" s="147"/>
      <c r="AM142" s="151"/>
      <c r="AN142" s="147"/>
      <c r="AO142" s="147" t="e">
        <f t="shared" si="8"/>
        <v>#N/A</v>
      </c>
      <c r="AP142" s="147" t="e">
        <f t="shared" ca="1" si="9"/>
        <v>#NAME?</v>
      </c>
      <c r="AQ142" s="147" t="e">
        <f t="shared" si="10"/>
        <v>#N/A</v>
      </c>
      <c r="AR142" s="147"/>
      <c r="AS142" s="147"/>
      <c r="AT142" s="147"/>
      <c r="AU142" s="147"/>
      <c r="AV142" s="147"/>
      <c r="AW142" s="147"/>
      <c r="AX142" s="147"/>
      <c r="AY142" s="147"/>
      <c r="AZ142" s="147"/>
      <c r="BA142" s="147"/>
      <c r="BB142" s="147"/>
      <c r="BC142" s="147"/>
      <c r="BD142" s="147"/>
      <c r="BE142" s="147"/>
      <c r="BF142" s="147"/>
      <c r="BG142" s="147"/>
      <c r="BH142" s="147"/>
      <c r="BI142" s="147"/>
      <c r="BJ142" s="147"/>
      <c r="BK142" s="147"/>
      <c r="BL142" s="147"/>
      <c r="BM142" s="147"/>
      <c r="BN142" s="147"/>
      <c r="BO142" s="147"/>
      <c r="BP142" s="147"/>
      <c r="BQ142" s="147"/>
      <c r="BR142" s="147"/>
      <c r="BS142" s="147"/>
      <c r="BT142" s="147"/>
      <c r="BU142" s="147"/>
      <c r="BV142" s="147"/>
      <c r="BW142" s="147"/>
      <c r="BX142" s="147"/>
      <c r="BY142" s="147"/>
      <c r="BZ142" s="147"/>
      <c r="CA142" s="147"/>
      <c r="CB142" s="147"/>
      <c r="CC142" s="147"/>
      <c r="CD142" s="147"/>
      <c r="CE142" s="147"/>
      <c r="CF142" s="147"/>
      <c r="CG142" s="147"/>
      <c r="CH142" s="147"/>
      <c r="CI142" s="147"/>
      <c r="CJ142" s="147"/>
      <c r="CK142" s="147"/>
    </row>
    <row r="143" spans="1:89">
      <c r="A143" s="159" t="s">
        <v>599</v>
      </c>
      <c r="B143" s="3" t="s">
        <v>600</v>
      </c>
      <c r="C143" s="160" t="s">
        <v>63</v>
      </c>
      <c r="D143" s="160" t="s">
        <v>857</v>
      </c>
      <c r="E143" s="3" t="s">
        <v>23</v>
      </c>
      <c r="F143" s="3"/>
      <c r="G143" s="3"/>
      <c r="H143" s="156" t="str">
        <f ca="1">IFERROR(
  _xludf.MINIFS(ATTENDANCE_LOG!$F:$F,
         ATTENDANCE_LOG!$A:$A, C143,
         ATTENDANCE_LOG!$B:$B, E143),
"")</f>
        <v/>
      </c>
      <c r="I143" s="156" t="str">
        <f t="shared" ca="1" si="0"/>
        <v/>
      </c>
      <c r="J143" s="3" t="str">
        <f>IFERROR(VLOOKUP(F143, LEVEL_HELPER!$A:$B, 2, 0), "")</f>
        <v/>
      </c>
      <c r="K143" s="3" t="str">
        <f>IFERROR(VLOOKUP(G143, LEVEL_HELPER!$A:$B, 2, 0), "")</f>
        <v/>
      </c>
      <c r="L143" s="157" t="s">
        <v>942</v>
      </c>
      <c r="M143" s="157" t="s">
        <v>924</v>
      </c>
      <c r="N143" s="3">
        <f t="array" aca="1" ref="N143" ca="1">IFERROR(
  INDEX($J$2:$J$543,
    MATCH(A143&amp;TEXT(I143,"yyyy-mm-dd"),
          $A$2:$A$543&amp;TEXT($H$2:$H$543,"yyyy-mm-dd"),
          0)),
"")</f>
        <v>2.5</v>
      </c>
      <c r="O143" s="147" t="str">
        <f t="shared" ca="1" si="1"/>
        <v/>
      </c>
      <c r="P143" s="147">
        <f t="shared" ref="P143:Q143" ca="1" si="152">IF(N143="",0,IF(N143&lt;=2,1,IF(N143&lt;=4,2,IF(N143&lt;=5.5,3,4))))</f>
        <v>2</v>
      </c>
      <c r="Q143" s="147">
        <f t="shared" ca="1" si="152"/>
        <v>0</v>
      </c>
      <c r="R143" s="147" t="str">
        <f t="shared" ca="1" si="3"/>
        <v>Regressed</v>
      </c>
      <c r="S143" s="147">
        <f t="shared" si="4"/>
        <v>0</v>
      </c>
      <c r="T143" s="147"/>
      <c r="U143" s="147"/>
      <c r="V143" s="148" t="e">
        <f ca="1"/>
        <v>#NAME?</v>
      </c>
      <c r="W143" s="147" t="e">
        <f t="shared" ca="1" si="5"/>
        <v>#NAME?</v>
      </c>
      <c r="X143" s="147" t="e">
        <f t="shared" ca="1" si="6"/>
        <v>#NAME?</v>
      </c>
      <c r="Y143" s="147" t="e">
        <f t="shared" ca="1" si="7"/>
        <v>#NAME?</v>
      </c>
      <c r="Z143" s="147"/>
      <c r="AA143" s="147"/>
      <c r="AB143" s="147"/>
      <c r="AC143" s="147"/>
      <c r="AD143" s="147"/>
      <c r="AE143" s="147"/>
      <c r="AF143" s="147"/>
      <c r="AG143" s="147"/>
      <c r="AH143" s="147"/>
      <c r="AI143" s="147"/>
      <c r="AJ143" s="147"/>
      <c r="AK143" s="147"/>
      <c r="AL143" s="147"/>
      <c r="AM143" s="151"/>
      <c r="AN143" s="147"/>
      <c r="AO143" s="147" t="e">
        <f t="shared" si="8"/>
        <v>#N/A</v>
      </c>
      <c r="AP143" s="147" t="e">
        <f t="shared" ca="1" si="9"/>
        <v>#NAME?</v>
      </c>
      <c r="AQ143" s="147" t="e">
        <f t="shared" si="10"/>
        <v>#N/A</v>
      </c>
      <c r="AR143" s="147"/>
      <c r="AS143" s="147"/>
      <c r="AT143" s="147"/>
      <c r="AU143" s="147"/>
      <c r="AV143" s="147"/>
      <c r="AW143" s="147"/>
      <c r="AX143" s="147"/>
      <c r="AY143" s="147"/>
      <c r="AZ143" s="147"/>
      <c r="BA143" s="147"/>
      <c r="BB143" s="147"/>
      <c r="BC143" s="147"/>
      <c r="BD143" s="147"/>
      <c r="BE143" s="147"/>
      <c r="BF143" s="147"/>
      <c r="BG143" s="147"/>
      <c r="BH143" s="147"/>
      <c r="BI143" s="147"/>
      <c r="BJ143" s="147"/>
      <c r="BK143" s="147"/>
      <c r="BL143" s="147"/>
      <c r="BM143" s="147"/>
      <c r="BN143" s="147"/>
      <c r="BO143" s="147"/>
      <c r="BP143" s="147"/>
      <c r="BQ143" s="147"/>
      <c r="BR143" s="147"/>
      <c r="BS143" s="147"/>
      <c r="BT143" s="147"/>
      <c r="BU143" s="147"/>
      <c r="BV143" s="147"/>
      <c r="BW143" s="147"/>
      <c r="BX143" s="147"/>
      <c r="BY143" s="147"/>
      <c r="BZ143" s="147"/>
      <c r="CA143" s="147"/>
      <c r="CB143" s="147"/>
      <c r="CC143" s="147"/>
      <c r="CD143" s="147"/>
      <c r="CE143" s="147"/>
      <c r="CF143" s="147"/>
      <c r="CG143" s="147"/>
      <c r="CH143" s="147"/>
      <c r="CI143" s="147"/>
      <c r="CJ143" s="147"/>
      <c r="CK143" s="147"/>
    </row>
    <row r="144" spans="1:89">
      <c r="A144" s="159" t="s">
        <v>611</v>
      </c>
      <c r="B144" s="3" t="s">
        <v>612</v>
      </c>
      <c r="C144" s="160" t="s">
        <v>63</v>
      </c>
      <c r="D144" s="160" t="s">
        <v>857</v>
      </c>
      <c r="E144" s="3" t="s">
        <v>23</v>
      </c>
      <c r="F144" s="3"/>
      <c r="G144" s="3"/>
      <c r="H144" s="156" t="str">
        <f ca="1">IFERROR(
  _xludf.MINIFS(ATTENDANCE_LOG!$F:$F,
         ATTENDANCE_LOG!$A:$A, C144,
         ATTENDANCE_LOG!$B:$B, E144),
"")</f>
        <v/>
      </c>
      <c r="I144" s="156" t="str">
        <f t="shared" ca="1" si="0"/>
        <v/>
      </c>
      <c r="J144" s="3" t="str">
        <f>IFERROR(VLOOKUP(F144, LEVEL_HELPER!$A:$B, 2, 0), "")</f>
        <v/>
      </c>
      <c r="K144" s="3" t="str">
        <f>IFERROR(VLOOKUP(G144, LEVEL_HELPER!$A:$B, 2, 0), "")</f>
        <v/>
      </c>
      <c r="L144" s="157" t="s">
        <v>918</v>
      </c>
      <c r="M144" s="157" t="s">
        <v>922</v>
      </c>
      <c r="N144" s="3">
        <f t="array" aca="1" ref="N144" ca="1">IFERROR(
  INDEX($J$2:$J$543,
    MATCH(A144&amp;TEXT(I144,"yyyy-mm-dd"),
          $A$2:$A$543&amp;TEXT($H$2:$H$543,"yyyy-mm-dd"),
          0)),
"")</f>
        <v>1</v>
      </c>
      <c r="O144" s="147" t="str">
        <f t="shared" ca="1" si="1"/>
        <v/>
      </c>
      <c r="P144" s="147">
        <f t="shared" ref="P144:Q144" ca="1" si="153">IF(N144="",0,IF(N144&lt;=2,1,IF(N144&lt;=4,2,IF(N144&lt;=5.5,3,4))))</f>
        <v>1</v>
      </c>
      <c r="Q144" s="147">
        <f t="shared" ca="1" si="153"/>
        <v>0</v>
      </c>
      <c r="R144" s="147" t="str">
        <f t="shared" ca="1" si="3"/>
        <v>Regressed</v>
      </c>
      <c r="S144" s="147">
        <f t="shared" si="4"/>
        <v>0</v>
      </c>
      <c r="T144" s="147"/>
      <c r="U144" s="147"/>
      <c r="V144" s="148" t="e">
        <f ca="1"/>
        <v>#NAME?</v>
      </c>
      <c r="W144" s="147" t="e">
        <f t="shared" ca="1" si="5"/>
        <v>#NAME?</v>
      </c>
      <c r="X144" s="147" t="e">
        <f t="shared" ca="1" si="6"/>
        <v>#NAME?</v>
      </c>
      <c r="Y144" s="147" t="e">
        <f t="shared" ca="1" si="7"/>
        <v>#NAME?</v>
      </c>
      <c r="Z144" s="147"/>
      <c r="AA144" s="147"/>
      <c r="AB144" s="147"/>
      <c r="AC144" s="147"/>
      <c r="AD144" s="147"/>
      <c r="AE144" s="147"/>
      <c r="AF144" s="147"/>
      <c r="AG144" s="147"/>
      <c r="AH144" s="147"/>
      <c r="AI144" s="147"/>
      <c r="AJ144" s="147"/>
      <c r="AK144" s="147"/>
      <c r="AL144" s="147"/>
      <c r="AM144" s="151"/>
      <c r="AN144" s="147"/>
      <c r="AO144" s="147" t="e">
        <f t="shared" si="8"/>
        <v>#N/A</v>
      </c>
      <c r="AP144" s="147" t="e">
        <f t="shared" ca="1" si="9"/>
        <v>#NAME?</v>
      </c>
      <c r="AQ144" s="147" t="e">
        <f t="shared" si="10"/>
        <v>#N/A</v>
      </c>
      <c r="AR144" s="147"/>
      <c r="AS144" s="147"/>
      <c r="AT144" s="147"/>
      <c r="AU144" s="147"/>
      <c r="AV144" s="147"/>
      <c r="AW144" s="147"/>
      <c r="AX144" s="147"/>
      <c r="AY144" s="147"/>
      <c r="AZ144" s="147"/>
      <c r="BA144" s="147"/>
      <c r="BB144" s="147"/>
      <c r="BC144" s="147"/>
      <c r="BD144" s="147"/>
      <c r="BE144" s="147"/>
      <c r="BF144" s="147"/>
      <c r="BG144" s="147"/>
      <c r="BH144" s="147"/>
      <c r="BI144" s="147"/>
      <c r="BJ144" s="147"/>
      <c r="BK144" s="147"/>
      <c r="BL144" s="147"/>
      <c r="BM144" s="147"/>
      <c r="BN144" s="147"/>
      <c r="BO144" s="147"/>
      <c r="BP144" s="147"/>
      <c r="BQ144" s="147"/>
      <c r="BR144" s="147"/>
      <c r="BS144" s="147"/>
      <c r="BT144" s="147"/>
      <c r="BU144" s="147"/>
      <c r="BV144" s="147"/>
      <c r="BW144" s="147"/>
      <c r="BX144" s="147"/>
      <c r="BY144" s="147"/>
      <c r="BZ144" s="147"/>
      <c r="CA144" s="147"/>
      <c r="CB144" s="147"/>
      <c r="CC144" s="147"/>
      <c r="CD144" s="147"/>
      <c r="CE144" s="147"/>
      <c r="CF144" s="147"/>
      <c r="CG144" s="147"/>
      <c r="CH144" s="147"/>
      <c r="CI144" s="147"/>
      <c r="CJ144" s="147"/>
      <c r="CK144" s="147"/>
    </row>
    <row r="145" spans="1:89">
      <c r="A145" s="153" t="s">
        <v>945</v>
      </c>
      <c r="B145" s="154" t="s">
        <v>723</v>
      </c>
      <c r="C145" s="155" t="s">
        <v>64</v>
      </c>
      <c r="D145" s="155" t="s">
        <v>829</v>
      </c>
      <c r="E145" s="154" t="s">
        <v>21</v>
      </c>
      <c r="F145" s="3" t="s">
        <v>926</v>
      </c>
      <c r="G145" s="3" t="s">
        <v>926</v>
      </c>
      <c r="H145" s="156" t="str">
        <f ca="1">IFERROR(
  _xludf.MINIFS(ATTENDANCE_LOG!$F:$F,
         ATTENDANCE_LOG!$A:$A, C145,
         ATTENDANCE_LOG!$B:$B, E145),
"")</f>
        <v/>
      </c>
      <c r="I145" s="156" t="str">
        <f t="shared" ca="1" si="0"/>
        <v/>
      </c>
      <c r="J145" s="3">
        <f>IFERROR(VLOOKUP(F145, LEVEL_HELPER!$A:$B, 2, 0), "")</f>
        <v>1</v>
      </c>
      <c r="K145" s="3">
        <f>IFERROR(VLOOKUP(G145, LEVEL_HELPER!$A:$B, 2, 0), "")</f>
        <v>1</v>
      </c>
      <c r="L145" s="157" t="s">
        <v>918</v>
      </c>
      <c r="M145" s="157" t="s">
        <v>922</v>
      </c>
      <c r="N145" s="3">
        <f t="array" aca="1" ref="N145" ca="1">IFERROR(
  INDEX($J$2:$J$543,
    MATCH(A145&amp;TEXT(I145,"yyyy-mm-dd"),
          $A$2:$A$543&amp;TEXT($H$2:$H$543,"yyyy-mm-dd"),
          0)),
"")</f>
        <v>1</v>
      </c>
      <c r="O145" s="147" t="str">
        <f t="shared" ca="1" si="1"/>
        <v/>
      </c>
      <c r="P145" s="147">
        <f t="shared" ref="P145:Q145" ca="1" si="154">IF(N145="",0,IF(N145&lt;=2,1,IF(N145&lt;=4,2,IF(N145&lt;=5.5,3,4))))</f>
        <v>1</v>
      </c>
      <c r="Q145" s="147">
        <f t="shared" ca="1" si="154"/>
        <v>0</v>
      </c>
      <c r="R145" s="147" t="str">
        <f t="shared" ca="1" si="3"/>
        <v>Regressed</v>
      </c>
      <c r="S145" s="147">
        <f t="shared" si="4"/>
        <v>1</v>
      </c>
      <c r="T145" s="147"/>
      <c r="U145" s="147"/>
      <c r="V145" s="148" t="e">
        <f ca="1"/>
        <v>#NAME?</v>
      </c>
      <c r="W145" s="147" t="e">
        <f t="shared" ca="1" si="5"/>
        <v>#NAME?</v>
      </c>
      <c r="X145" s="147" t="e">
        <f t="shared" ca="1" si="6"/>
        <v>#NAME?</v>
      </c>
      <c r="Y145" s="147" t="e">
        <f t="shared" ca="1" si="7"/>
        <v>#NAME?</v>
      </c>
      <c r="Z145" s="147"/>
      <c r="AA145" s="147"/>
      <c r="AB145" s="147"/>
      <c r="AC145" s="147"/>
      <c r="AD145" s="147"/>
      <c r="AE145" s="147"/>
      <c r="AF145" s="147"/>
      <c r="AG145" s="147"/>
      <c r="AH145" s="147"/>
      <c r="AI145" s="147"/>
      <c r="AJ145" s="147"/>
      <c r="AK145" s="147"/>
      <c r="AL145" s="147"/>
      <c r="AM145" s="151"/>
      <c r="AN145" s="147"/>
      <c r="AO145" s="147" t="e">
        <f t="shared" si="8"/>
        <v>#N/A</v>
      </c>
      <c r="AP145" s="147" t="e">
        <f t="shared" ca="1" si="9"/>
        <v>#NAME?</v>
      </c>
      <c r="AQ145" s="147" t="e">
        <f t="shared" si="10"/>
        <v>#N/A</v>
      </c>
      <c r="AR145" s="147"/>
      <c r="AS145" s="147"/>
      <c r="AT145" s="147"/>
      <c r="AU145" s="147"/>
      <c r="AV145" s="147"/>
      <c r="AW145" s="147"/>
      <c r="AX145" s="147"/>
      <c r="AY145" s="147"/>
      <c r="AZ145" s="147"/>
      <c r="BA145" s="147"/>
      <c r="BB145" s="147"/>
      <c r="BC145" s="147"/>
      <c r="BD145" s="147"/>
      <c r="BE145" s="147"/>
      <c r="BF145" s="147"/>
      <c r="BG145" s="147"/>
      <c r="BH145" s="147"/>
      <c r="BI145" s="147"/>
      <c r="BJ145" s="147"/>
      <c r="BK145" s="147"/>
      <c r="BL145" s="147"/>
      <c r="BM145" s="147"/>
      <c r="BN145" s="147"/>
      <c r="BO145" s="147"/>
      <c r="BP145" s="147"/>
      <c r="BQ145" s="147"/>
      <c r="BR145" s="147"/>
      <c r="BS145" s="147"/>
      <c r="BT145" s="147"/>
      <c r="BU145" s="147"/>
      <c r="BV145" s="147"/>
      <c r="BW145" s="147"/>
      <c r="BX145" s="147"/>
      <c r="BY145" s="147"/>
      <c r="BZ145" s="147"/>
      <c r="CA145" s="147"/>
      <c r="CB145" s="147"/>
      <c r="CC145" s="147"/>
      <c r="CD145" s="147"/>
      <c r="CE145" s="147"/>
      <c r="CF145" s="147"/>
      <c r="CG145" s="147"/>
      <c r="CH145" s="147"/>
      <c r="CI145" s="147"/>
      <c r="CJ145" s="147"/>
      <c r="CK145" s="147"/>
    </row>
    <row r="146" spans="1:89">
      <c r="A146" s="159" t="s">
        <v>317</v>
      </c>
      <c r="B146" s="3" t="s">
        <v>318</v>
      </c>
      <c r="C146" s="160" t="s">
        <v>64</v>
      </c>
      <c r="D146" s="160" t="s">
        <v>829</v>
      </c>
      <c r="E146" s="3" t="s">
        <v>21</v>
      </c>
      <c r="F146" s="3" t="s">
        <v>926</v>
      </c>
      <c r="G146" s="3" t="s">
        <v>926</v>
      </c>
      <c r="H146" s="156" t="str">
        <f ca="1">IFERROR(
  _xludf.MINIFS(ATTENDANCE_LOG!$F:$F,
         ATTENDANCE_LOG!$A:$A, C146,
         ATTENDANCE_LOG!$B:$B, E146),
"")</f>
        <v/>
      </c>
      <c r="I146" s="156" t="str">
        <f t="shared" ca="1" si="0"/>
        <v/>
      </c>
      <c r="J146" s="3">
        <f>IFERROR(VLOOKUP(F146, LEVEL_HELPER!$A:$B, 2, 0), "")</f>
        <v>1</v>
      </c>
      <c r="K146" s="3">
        <f>IFERROR(VLOOKUP(G146, LEVEL_HELPER!$A:$B, 2, 0), "")</f>
        <v>1</v>
      </c>
      <c r="L146" s="157" t="s">
        <v>918</v>
      </c>
      <c r="M146" s="157" t="s">
        <v>924</v>
      </c>
      <c r="N146" s="3">
        <f t="array" aca="1" ref="N146" ca="1">IFERROR(
  INDEX($J$2:$J$543,
    MATCH(A146&amp;TEXT(I146,"yyyy-mm-dd"),
          $A$2:$A$543&amp;TEXT($H$2:$H$543,"yyyy-mm-dd"),
          0)),
"")</f>
        <v>1</v>
      </c>
      <c r="O146" s="147" t="str">
        <f t="shared" ca="1" si="1"/>
        <v/>
      </c>
      <c r="P146" s="147">
        <f t="shared" ref="P146:Q146" ca="1" si="155">IF(N146="",0,IF(N146&lt;=2,1,IF(N146&lt;=4,2,IF(N146&lt;=5.5,3,4))))</f>
        <v>1</v>
      </c>
      <c r="Q146" s="147">
        <f t="shared" ca="1" si="155"/>
        <v>0</v>
      </c>
      <c r="R146" s="147" t="str">
        <f t="shared" ca="1" si="3"/>
        <v>Regressed</v>
      </c>
      <c r="S146" s="147">
        <f t="shared" si="4"/>
        <v>1</v>
      </c>
      <c r="T146" s="147"/>
      <c r="U146" s="147"/>
      <c r="V146" s="148" t="e">
        <f ca="1"/>
        <v>#NAME?</v>
      </c>
      <c r="W146" s="147" t="e">
        <f t="shared" ca="1" si="5"/>
        <v>#NAME?</v>
      </c>
      <c r="X146" s="147" t="e">
        <f t="shared" ca="1" si="6"/>
        <v>#NAME?</v>
      </c>
      <c r="Y146" s="147" t="e">
        <f t="shared" ca="1" si="7"/>
        <v>#NAME?</v>
      </c>
      <c r="Z146" s="147"/>
      <c r="AA146" s="147"/>
      <c r="AB146" s="147"/>
      <c r="AC146" s="147"/>
      <c r="AD146" s="147"/>
      <c r="AE146" s="147"/>
      <c r="AF146" s="147"/>
      <c r="AG146" s="147"/>
      <c r="AH146" s="147"/>
      <c r="AI146" s="147"/>
      <c r="AJ146" s="147"/>
      <c r="AK146" s="147"/>
      <c r="AL146" s="147"/>
      <c r="AM146" s="151"/>
      <c r="AN146" s="147"/>
      <c r="AO146" s="147" t="e">
        <f t="shared" si="8"/>
        <v>#N/A</v>
      </c>
      <c r="AP146" s="147" t="e">
        <f t="shared" ca="1" si="9"/>
        <v>#NAME?</v>
      </c>
      <c r="AQ146" s="147" t="e">
        <f t="shared" si="10"/>
        <v>#N/A</v>
      </c>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7"/>
      <c r="BU146" s="147"/>
      <c r="BV146" s="147"/>
      <c r="BW146" s="147"/>
      <c r="BX146" s="147"/>
      <c r="BY146" s="147"/>
      <c r="BZ146" s="147"/>
      <c r="CA146" s="147"/>
      <c r="CB146" s="147"/>
      <c r="CC146" s="147"/>
      <c r="CD146" s="147"/>
      <c r="CE146" s="147"/>
      <c r="CF146" s="147"/>
      <c r="CG146" s="147"/>
      <c r="CH146" s="147"/>
      <c r="CI146" s="147"/>
      <c r="CJ146" s="147"/>
      <c r="CK146" s="147"/>
    </row>
    <row r="147" spans="1:89">
      <c r="A147" s="159" t="s">
        <v>342</v>
      </c>
      <c r="B147" s="3" t="s">
        <v>343</v>
      </c>
      <c r="C147" s="160" t="s">
        <v>64</v>
      </c>
      <c r="D147" s="160" t="s">
        <v>829</v>
      </c>
      <c r="E147" s="3" t="s">
        <v>21</v>
      </c>
      <c r="F147" s="3" t="s">
        <v>926</v>
      </c>
      <c r="G147" s="3" t="s">
        <v>926</v>
      </c>
      <c r="H147" s="156" t="str">
        <f ca="1">IFERROR(
  _xludf.MINIFS(ATTENDANCE_LOG!$F:$F,
         ATTENDANCE_LOG!$A:$A, C147,
         ATTENDANCE_LOG!$B:$B, E147),
"")</f>
        <v/>
      </c>
      <c r="I147" s="156" t="str">
        <f t="shared" ca="1" si="0"/>
        <v/>
      </c>
      <c r="J147" s="3">
        <f>IFERROR(VLOOKUP(F147, LEVEL_HELPER!$A:$B, 2, 0), "")</f>
        <v>1</v>
      </c>
      <c r="K147" s="3">
        <f>IFERROR(VLOOKUP(G147, LEVEL_HELPER!$A:$B, 2, 0), "")</f>
        <v>1</v>
      </c>
      <c r="L147" s="157" t="s">
        <v>918</v>
      </c>
      <c r="M147" s="157" t="s">
        <v>923</v>
      </c>
      <c r="N147" s="3">
        <f t="array" aca="1" ref="N147" ca="1">IFERROR(
  INDEX($J$2:$J$543,
    MATCH(A147&amp;TEXT(I147,"yyyy-mm-dd"),
          $A$2:$A$543&amp;TEXT($H$2:$H$543,"yyyy-mm-dd"),
          0)),
"")</f>
        <v>1</v>
      </c>
      <c r="O147" s="147" t="str">
        <f t="shared" ca="1" si="1"/>
        <v/>
      </c>
      <c r="P147" s="147">
        <f t="shared" ref="P147:Q147" ca="1" si="156">IF(N147="",0,IF(N147&lt;=2,1,IF(N147&lt;=4,2,IF(N147&lt;=5.5,3,4))))</f>
        <v>1</v>
      </c>
      <c r="Q147" s="147">
        <f t="shared" ca="1" si="156"/>
        <v>0</v>
      </c>
      <c r="R147" s="147" t="str">
        <f t="shared" ca="1" si="3"/>
        <v>Regressed</v>
      </c>
      <c r="S147" s="147">
        <f t="shared" si="4"/>
        <v>1</v>
      </c>
      <c r="T147" s="147"/>
      <c r="U147" s="147"/>
      <c r="V147" s="148" t="e">
        <f ca="1"/>
        <v>#NAME?</v>
      </c>
      <c r="W147" s="147" t="e">
        <f t="shared" ca="1" si="5"/>
        <v>#NAME?</v>
      </c>
      <c r="X147" s="147" t="e">
        <f t="shared" ca="1" si="6"/>
        <v>#NAME?</v>
      </c>
      <c r="Y147" s="147" t="e">
        <f t="shared" ca="1" si="7"/>
        <v>#NAME?</v>
      </c>
      <c r="Z147" s="147"/>
      <c r="AA147" s="147"/>
      <c r="AB147" s="147"/>
      <c r="AC147" s="147"/>
      <c r="AD147" s="147"/>
      <c r="AE147" s="147"/>
      <c r="AF147" s="147"/>
      <c r="AG147" s="147"/>
      <c r="AH147" s="147"/>
      <c r="AI147" s="147"/>
      <c r="AJ147" s="147"/>
      <c r="AK147" s="147"/>
      <c r="AL147" s="147"/>
      <c r="AM147" s="151"/>
      <c r="AN147" s="147"/>
      <c r="AO147" s="147" t="e">
        <f t="shared" si="8"/>
        <v>#N/A</v>
      </c>
      <c r="AP147" s="147" t="e">
        <f t="shared" ca="1" si="9"/>
        <v>#NAME?</v>
      </c>
      <c r="AQ147" s="147" t="e">
        <f t="shared" si="10"/>
        <v>#N/A</v>
      </c>
      <c r="AR147" s="147"/>
      <c r="AS147" s="147"/>
      <c r="AT147" s="147"/>
      <c r="AU147" s="147"/>
      <c r="AV147" s="147"/>
      <c r="AW147" s="147"/>
      <c r="AX147" s="147"/>
      <c r="AY147" s="147"/>
      <c r="AZ147" s="147"/>
      <c r="BA147" s="147"/>
      <c r="BB147" s="147"/>
      <c r="BC147" s="147"/>
      <c r="BD147" s="147"/>
      <c r="BE147" s="147"/>
      <c r="BF147" s="147"/>
      <c r="BG147" s="147"/>
      <c r="BH147" s="147"/>
      <c r="BI147" s="147"/>
      <c r="BJ147" s="147"/>
      <c r="BK147" s="147"/>
      <c r="BL147" s="147"/>
      <c r="BM147" s="147"/>
      <c r="BN147" s="147"/>
      <c r="BO147" s="147"/>
      <c r="BP147" s="147"/>
      <c r="BQ147" s="147"/>
      <c r="BR147" s="147"/>
      <c r="BS147" s="147"/>
      <c r="BT147" s="147"/>
      <c r="BU147" s="147"/>
      <c r="BV147" s="147"/>
      <c r="BW147" s="147"/>
      <c r="BX147" s="147"/>
      <c r="BY147" s="147"/>
      <c r="BZ147" s="147"/>
      <c r="CA147" s="147"/>
      <c r="CB147" s="147"/>
      <c r="CC147" s="147"/>
      <c r="CD147" s="147"/>
      <c r="CE147" s="147"/>
      <c r="CF147" s="147"/>
      <c r="CG147" s="147"/>
      <c r="CH147" s="147"/>
      <c r="CI147" s="147"/>
      <c r="CJ147" s="147"/>
      <c r="CK147" s="147"/>
    </row>
    <row r="148" spans="1:89">
      <c r="A148" s="159" t="s">
        <v>370</v>
      </c>
      <c r="B148" s="3" t="s">
        <v>371</v>
      </c>
      <c r="C148" s="160" t="s">
        <v>64</v>
      </c>
      <c r="D148" s="160" t="s">
        <v>829</v>
      </c>
      <c r="E148" s="3" t="s">
        <v>21</v>
      </c>
      <c r="F148" s="3" t="s">
        <v>926</v>
      </c>
      <c r="G148" s="3" t="s">
        <v>926</v>
      </c>
      <c r="H148" s="156" t="str">
        <f ca="1">IFERROR(
  _xludf.MINIFS(ATTENDANCE_LOG!$F:$F,
         ATTENDANCE_LOG!$A:$A, C148,
         ATTENDANCE_LOG!$B:$B, E148),
"")</f>
        <v/>
      </c>
      <c r="I148" s="156" t="str">
        <f t="shared" ca="1" si="0"/>
        <v/>
      </c>
      <c r="J148" s="3">
        <f>IFERROR(VLOOKUP(F148, LEVEL_HELPER!$A:$B, 2, 0), "")</f>
        <v>1</v>
      </c>
      <c r="K148" s="3">
        <f>IFERROR(VLOOKUP(G148, LEVEL_HELPER!$A:$B, 2, 0), "")</f>
        <v>1</v>
      </c>
      <c r="L148" s="157" t="s">
        <v>918</v>
      </c>
      <c r="M148" s="157" t="s">
        <v>924</v>
      </c>
      <c r="N148" s="3">
        <f t="array" aca="1" ref="N148" ca="1">IFERROR(
  INDEX($J$2:$J$543,
    MATCH(A148&amp;TEXT(I148,"yyyy-mm-dd"),
          $A$2:$A$543&amp;TEXT($H$2:$H$543,"yyyy-mm-dd"),
          0)),
"")</f>
        <v>1</v>
      </c>
      <c r="O148" s="147" t="str">
        <f t="shared" ca="1" si="1"/>
        <v/>
      </c>
      <c r="P148" s="147">
        <f t="shared" ref="P148:Q148" ca="1" si="157">IF(N148="",0,IF(N148&lt;=2,1,IF(N148&lt;=4,2,IF(N148&lt;=5.5,3,4))))</f>
        <v>1</v>
      </c>
      <c r="Q148" s="147">
        <f t="shared" ca="1" si="157"/>
        <v>0</v>
      </c>
      <c r="R148" s="147" t="str">
        <f t="shared" ca="1" si="3"/>
        <v>Regressed</v>
      </c>
      <c r="S148" s="147">
        <f t="shared" si="4"/>
        <v>1</v>
      </c>
      <c r="T148" s="147"/>
      <c r="U148" s="147"/>
      <c r="V148" s="148" t="e">
        <f ca="1"/>
        <v>#NAME?</v>
      </c>
      <c r="W148" s="147" t="e">
        <f t="shared" ca="1" si="5"/>
        <v>#NAME?</v>
      </c>
      <c r="X148" s="147" t="e">
        <f t="shared" ca="1" si="6"/>
        <v>#NAME?</v>
      </c>
      <c r="Y148" s="147" t="e">
        <f t="shared" ca="1" si="7"/>
        <v>#NAME?</v>
      </c>
      <c r="Z148" s="147"/>
      <c r="AA148" s="147"/>
      <c r="AB148" s="147"/>
      <c r="AC148" s="147"/>
      <c r="AD148" s="147"/>
      <c r="AE148" s="147"/>
      <c r="AF148" s="147"/>
      <c r="AG148" s="147"/>
      <c r="AH148" s="147"/>
      <c r="AI148" s="147"/>
      <c r="AJ148" s="147"/>
      <c r="AK148" s="147"/>
      <c r="AL148" s="147"/>
      <c r="AM148" s="151"/>
      <c r="AN148" s="147"/>
      <c r="AO148" s="147" t="e">
        <f t="shared" si="8"/>
        <v>#N/A</v>
      </c>
      <c r="AP148" s="147" t="e">
        <f t="shared" ca="1" si="9"/>
        <v>#NAME?</v>
      </c>
      <c r="AQ148" s="147" t="e">
        <f t="shared" si="10"/>
        <v>#N/A</v>
      </c>
      <c r="AR148" s="147"/>
      <c r="AS148" s="147"/>
      <c r="AT148" s="147"/>
      <c r="AU148" s="147"/>
      <c r="AV148" s="147"/>
      <c r="AW148" s="147"/>
      <c r="AX148" s="147"/>
      <c r="AY148" s="147"/>
      <c r="AZ148" s="147"/>
      <c r="BA148" s="147"/>
      <c r="BB148" s="147"/>
      <c r="BC148" s="147"/>
      <c r="BD148" s="147"/>
      <c r="BE148" s="147"/>
      <c r="BF148" s="147"/>
      <c r="BG148" s="147"/>
      <c r="BH148" s="147"/>
      <c r="BI148" s="147"/>
      <c r="BJ148" s="147"/>
      <c r="BK148" s="147"/>
      <c r="BL148" s="147"/>
      <c r="BM148" s="147"/>
      <c r="BN148" s="147"/>
      <c r="BO148" s="147"/>
      <c r="BP148" s="147"/>
      <c r="BQ148" s="147"/>
      <c r="BR148" s="147"/>
      <c r="BS148" s="147"/>
      <c r="BT148" s="147"/>
      <c r="BU148" s="147"/>
      <c r="BV148" s="147"/>
      <c r="BW148" s="147"/>
      <c r="BX148" s="147"/>
      <c r="BY148" s="147"/>
      <c r="BZ148" s="147"/>
      <c r="CA148" s="147"/>
      <c r="CB148" s="147"/>
      <c r="CC148" s="147"/>
      <c r="CD148" s="147"/>
      <c r="CE148" s="147"/>
      <c r="CF148" s="147"/>
      <c r="CG148" s="147"/>
      <c r="CH148" s="147"/>
      <c r="CI148" s="147"/>
      <c r="CJ148" s="147"/>
      <c r="CK148" s="147"/>
    </row>
    <row r="149" spans="1:89">
      <c r="A149" s="159" t="s">
        <v>717</v>
      </c>
      <c r="B149" s="3" t="s">
        <v>718</v>
      </c>
      <c r="C149" s="160" t="s">
        <v>64</v>
      </c>
      <c r="D149" s="160" t="s">
        <v>829</v>
      </c>
      <c r="E149" s="3" t="s">
        <v>21</v>
      </c>
      <c r="F149" s="3" t="s">
        <v>931</v>
      </c>
      <c r="G149" s="3" t="s">
        <v>916</v>
      </c>
      <c r="H149" s="156" t="str">
        <f ca="1">IFERROR(
  _xludf.MINIFS(ATTENDANCE_LOG!$F:$F,
         ATTENDANCE_LOG!$A:$A, C149,
         ATTENDANCE_LOG!$B:$B, E149),
"")</f>
        <v/>
      </c>
      <c r="I149" s="156" t="str">
        <f t="shared" ca="1" si="0"/>
        <v/>
      </c>
      <c r="J149" s="3">
        <f>IFERROR(VLOOKUP(F149, LEVEL_HELPER!$A:$B, 2, 0), "")</f>
        <v>4.5</v>
      </c>
      <c r="K149" s="3">
        <f>IFERROR(VLOOKUP(G149, LEVEL_HELPER!$A:$B, 2, 0), "")</f>
        <v>2.5</v>
      </c>
      <c r="L149" s="157" t="s">
        <v>918</v>
      </c>
      <c r="M149" s="157" t="s">
        <v>924</v>
      </c>
      <c r="N149" s="3">
        <f t="array" aca="1" ref="N149" ca="1">IFERROR(
  INDEX($J$2:$J$543,
    MATCH(A149&amp;TEXT(I149,"yyyy-mm-dd"),
          $A$2:$A$543&amp;TEXT($H$2:$H$543,"yyyy-mm-dd"),
          0)),
"")</f>
        <v>4.5</v>
      </c>
      <c r="O149" s="147" t="str">
        <f t="shared" ca="1" si="1"/>
        <v/>
      </c>
      <c r="P149" s="147">
        <f t="shared" ref="P149:Q149" ca="1" si="158">IF(N149="",0,IF(N149&lt;=2,1,IF(N149&lt;=4,2,IF(N149&lt;=5.5,3,4))))</f>
        <v>3</v>
      </c>
      <c r="Q149" s="147">
        <f t="shared" ca="1" si="158"/>
        <v>0</v>
      </c>
      <c r="R149" s="147" t="str">
        <f t="shared" ca="1" si="3"/>
        <v>Regressed</v>
      </c>
      <c r="S149" s="147">
        <f t="shared" si="4"/>
        <v>1</v>
      </c>
      <c r="T149" s="147"/>
      <c r="U149" s="147"/>
      <c r="V149" s="148" t="e">
        <f ca="1"/>
        <v>#NAME?</v>
      </c>
      <c r="W149" s="147" t="e">
        <f t="shared" ca="1" si="5"/>
        <v>#NAME?</v>
      </c>
      <c r="X149" s="147" t="e">
        <f t="shared" ca="1" si="6"/>
        <v>#NAME?</v>
      </c>
      <c r="Y149" s="147" t="e">
        <f t="shared" ca="1" si="7"/>
        <v>#NAME?</v>
      </c>
      <c r="Z149" s="147"/>
      <c r="AA149" s="147"/>
      <c r="AB149" s="147"/>
      <c r="AC149" s="147"/>
      <c r="AD149" s="147"/>
      <c r="AE149" s="147"/>
      <c r="AF149" s="147"/>
      <c r="AG149" s="147"/>
      <c r="AH149" s="147"/>
      <c r="AI149" s="147"/>
      <c r="AJ149" s="147"/>
      <c r="AK149" s="147"/>
      <c r="AL149" s="147"/>
      <c r="AM149" s="151"/>
      <c r="AN149" s="147"/>
      <c r="AO149" s="147" t="e">
        <f t="shared" si="8"/>
        <v>#N/A</v>
      </c>
      <c r="AP149" s="147" t="e">
        <f t="shared" ca="1" si="9"/>
        <v>#NAME?</v>
      </c>
      <c r="AQ149" s="147" t="e">
        <f t="shared" si="10"/>
        <v>#N/A</v>
      </c>
      <c r="AR149" s="147"/>
      <c r="AS149" s="147"/>
      <c r="AT149" s="147"/>
      <c r="AU149" s="147"/>
      <c r="AV149" s="147"/>
      <c r="AW149" s="147"/>
      <c r="AX149" s="147"/>
      <c r="AY149" s="147"/>
      <c r="AZ149" s="147"/>
      <c r="BA149" s="147"/>
      <c r="BB149" s="147"/>
      <c r="BC149" s="147"/>
      <c r="BD149" s="147"/>
      <c r="BE149" s="147"/>
      <c r="BF149" s="147"/>
      <c r="BG149" s="147"/>
      <c r="BH149" s="147"/>
      <c r="BI149" s="147"/>
      <c r="BJ149" s="147"/>
      <c r="BK149" s="147"/>
      <c r="BL149" s="147"/>
      <c r="BM149" s="147"/>
      <c r="BN149" s="147"/>
      <c r="BO149" s="147"/>
      <c r="BP149" s="147"/>
      <c r="BQ149" s="147"/>
      <c r="BR149" s="147"/>
      <c r="BS149" s="147"/>
      <c r="BT149" s="147"/>
      <c r="BU149" s="147"/>
      <c r="BV149" s="147"/>
      <c r="BW149" s="147"/>
      <c r="BX149" s="147"/>
      <c r="BY149" s="147"/>
      <c r="BZ149" s="147"/>
      <c r="CA149" s="147"/>
      <c r="CB149" s="147"/>
      <c r="CC149" s="147"/>
      <c r="CD149" s="147"/>
      <c r="CE149" s="147"/>
      <c r="CF149" s="147"/>
      <c r="CG149" s="147"/>
      <c r="CH149" s="147"/>
      <c r="CI149" s="147"/>
      <c r="CJ149" s="147"/>
      <c r="CK149" s="147"/>
    </row>
    <row r="150" spans="1:89">
      <c r="A150" s="153" t="s">
        <v>149</v>
      </c>
      <c r="B150" s="154" t="s">
        <v>150</v>
      </c>
      <c r="C150" s="155" t="s">
        <v>65</v>
      </c>
      <c r="D150" s="155" t="s">
        <v>858</v>
      </c>
      <c r="E150" s="154" t="s">
        <v>21</v>
      </c>
      <c r="F150" s="3" t="s">
        <v>926</v>
      </c>
      <c r="G150" s="3" t="s">
        <v>916</v>
      </c>
      <c r="H150" s="156" t="str">
        <f ca="1">IFERROR(
  _xludf.MINIFS(ATTENDANCE_LOG!$F:$F,
         ATTENDANCE_LOG!$A:$A, C150,
         ATTENDANCE_LOG!$B:$B, E150),
"")</f>
        <v/>
      </c>
      <c r="I150" s="156" t="str">
        <f t="shared" ca="1" si="0"/>
        <v/>
      </c>
      <c r="J150" s="3">
        <f>IFERROR(VLOOKUP(F150, LEVEL_HELPER!$A:$B, 2, 0), "")</f>
        <v>1</v>
      </c>
      <c r="K150" s="3">
        <f>IFERROR(VLOOKUP(G150, LEVEL_HELPER!$A:$B, 2, 0), "")</f>
        <v>2.5</v>
      </c>
      <c r="L150" s="157" t="s">
        <v>918</v>
      </c>
      <c r="M150" s="157" t="s">
        <v>924</v>
      </c>
      <c r="N150" s="3">
        <f t="array" aca="1" ref="N150" ca="1">IFERROR(
  INDEX($J$2:$J$543,
    MATCH(A150&amp;TEXT(I150,"yyyy-mm-dd"),
          $A$2:$A$543&amp;TEXT($H$2:$H$543,"yyyy-mm-dd"),
          0)),
"")</f>
        <v>1</v>
      </c>
      <c r="O150" s="147" t="str">
        <f t="shared" ca="1" si="1"/>
        <v/>
      </c>
      <c r="P150" s="147">
        <f t="shared" ref="P150:Q150" ca="1" si="159">IF(N150="",0,IF(N150&lt;=2,1,IF(N150&lt;=4,2,IF(N150&lt;=5.5,3,4))))</f>
        <v>1</v>
      </c>
      <c r="Q150" s="147">
        <f t="shared" ca="1" si="159"/>
        <v>0</v>
      </c>
      <c r="R150" s="147" t="str">
        <f t="shared" ca="1" si="3"/>
        <v>Regressed</v>
      </c>
      <c r="S150" s="147">
        <f t="shared" si="4"/>
        <v>1</v>
      </c>
      <c r="T150" s="147"/>
      <c r="U150" s="147"/>
      <c r="V150" s="148" t="e">
        <f ca="1"/>
        <v>#NAME?</v>
      </c>
      <c r="W150" s="147" t="e">
        <f t="shared" ca="1" si="5"/>
        <v>#NAME?</v>
      </c>
      <c r="X150" s="147" t="e">
        <f t="shared" ca="1" si="6"/>
        <v>#NAME?</v>
      </c>
      <c r="Y150" s="147" t="e">
        <f t="shared" ca="1" si="7"/>
        <v>#NAME?</v>
      </c>
      <c r="Z150" s="147"/>
      <c r="AA150" s="147"/>
      <c r="AB150" s="147"/>
      <c r="AC150" s="147"/>
      <c r="AD150" s="147"/>
      <c r="AE150" s="147"/>
      <c r="AF150" s="147"/>
      <c r="AG150" s="147"/>
      <c r="AH150" s="147"/>
      <c r="AI150" s="147"/>
      <c r="AJ150" s="147"/>
      <c r="AK150" s="147"/>
      <c r="AL150" s="147"/>
      <c r="AM150" s="151"/>
      <c r="AN150" s="147"/>
      <c r="AO150" s="147" t="e">
        <f t="shared" si="8"/>
        <v>#N/A</v>
      </c>
      <c r="AP150" s="147" t="e">
        <f t="shared" ca="1" si="9"/>
        <v>#NAME?</v>
      </c>
      <c r="AQ150" s="147" t="e">
        <f t="shared" si="10"/>
        <v>#N/A</v>
      </c>
      <c r="AR150" s="147"/>
      <c r="AS150" s="147"/>
      <c r="AT150" s="147"/>
      <c r="AU150" s="147"/>
      <c r="AV150" s="147"/>
      <c r="AW150" s="147"/>
      <c r="AX150" s="147"/>
      <c r="AY150" s="147"/>
      <c r="AZ150" s="147"/>
      <c r="BA150" s="147"/>
      <c r="BB150" s="147"/>
      <c r="BC150" s="147"/>
      <c r="BD150" s="147"/>
      <c r="BE150" s="147"/>
      <c r="BF150" s="147"/>
      <c r="BG150" s="147"/>
      <c r="BH150" s="147"/>
      <c r="BI150" s="147"/>
      <c r="BJ150" s="147"/>
      <c r="BK150" s="147"/>
      <c r="BL150" s="147"/>
      <c r="BM150" s="147"/>
      <c r="BN150" s="147"/>
      <c r="BO150" s="147"/>
      <c r="BP150" s="147"/>
      <c r="BQ150" s="147"/>
      <c r="BR150" s="147"/>
      <c r="BS150" s="147"/>
      <c r="BT150" s="147"/>
      <c r="BU150" s="147"/>
      <c r="BV150" s="147"/>
      <c r="BW150" s="147"/>
      <c r="BX150" s="147"/>
      <c r="BY150" s="147"/>
      <c r="BZ150" s="147"/>
      <c r="CA150" s="147"/>
      <c r="CB150" s="147"/>
      <c r="CC150" s="147"/>
      <c r="CD150" s="147"/>
      <c r="CE150" s="147"/>
      <c r="CF150" s="147"/>
      <c r="CG150" s="147"/>
      <c r="CH150" s="147"/>
      <c r="CI150" s="147"/>
      <c r="CJ150" s="147"/>
      <c r="CK150" s="147"/>
    </row>
    <row r="151" spans="1:89">
      <c r="A151" s="159" t="s">
        <v>212</v>
      </c>
      <c r="B151" s="3" t="s">
        <v>213</v>
      </c>
      <c r="C151" s="160" t="s">
        <v>65</v>
      </c>
      <c r="D151" s="160" t="s">
        <v>858</v>
      </c>
      <c r="E151" s="3" t="s">
        <v>21</v>
      </c>
      <c r="F151" s="3" t="s">
        <v>926</v>
      </c>
      <c r="G151" s="3" t="s">
        <v>916</v>
      </c>
      <c r="H151" s="156" t="str">
        <f ca="1">IFERROR(
  _xludf.MINIFS(ATTENDANCE_LOG!$F:$F,
         ATTENDANCE_LOG!$A:$A, C151,
         ATTENDANCE_LOG!$B:$B, E151),
"")</f>
        <v/>
      </c>
      <c r="I151" s="156" t="str">
        <f t="shared" ca="1" si="0"/>
        <v/>
      </c>
      <c r="J151" s="3">
        <f>IFERROR(VLOOKUP(F151, LEVEL_HELPER!$A:$B, 2, 0), "")</f>
        <v>1</v>
      </c>
      <c r="K151" s="3">
        <f>IFERROR(VLOOKUP(G151, LEVEL_HELPER!$A:$B, 2, 0), "")</f>
        <v>2.5</v>
      </c>
      <c r="L151" s="157" t="s">
        <v>918</v>
      </c>
      <c r="M151" s="157" t="s">
        <v>924</v>
      </c>
      <c r="N151" s="3">
        <f t="array" aca="1" ref="N151" ca="1">IFERROR(
  INDEX($J$2:$J$543,
    MATCH(A151&amp;TEXT(I151,"yyyy-mm-dd"),
          $A$2:$A$543&amp;TEXT($H$2:$H$543,"yyyy-mm-dd"),
          0)),
"")</f>
        <v>1</v>
      </c>
      <c r="O151" s="147" t="str">
        <f t="shared" ca="1" si="1"/>
        <v/>
      </c>
      <c r="P151" s="147">
        <f t="shared" ref="P151:Q151" ca="1" si="160">IF(N151="",0,IF(N151&lt;=2,1,IF(N151&lt;=4,2,IF(N151&lt;=5.5,3,4))))</f>
        <v>1</v>
      </c>
      <c r="Q151" s="147">
        <f t="shared" ca="1" si="160"/>
        <v>0</v>
      </c>
      <c r="R151" s="147" t="str">
        <f t="shared" ca="1" si="3"/>
        <v>Regressed</v>
      </c>
      <c r="S151" s="147">
        <f t="shared" si="4"/>
        <v>1</v>
      </c>
      <c r="T151" s="147"/>
      <c r="U151" s="147"/>
      <c r="V151" s="148" t="e">
        <f ca="1"/>
        <v>#NAME?</v>
      </c>
      <c r="W151" s="147" t="e">
        <f t="shared" ca="1" si="5"/>
        <v>#NAME?</v>
      </c>
      <c r="X151" s="147" t="e">
        <f t="shared" ca="1" si="6"/>
        <v>#NAME?</v>
      </c>
      <c r="Y151" s="147" t="e">
        <f t="shared" ca="1" si="7"/>
        <v>#NAME?</v>
      </c>
      <c r="Z151" s="147"/>
      <c r="AA151" s="147"/>
      <c r="AB151" s="147"/>
      <c r="AC151" s="147"/>
      <c r="AD151" s="147"/>
      <c r="AE151" s="147"/>
      <c r="AF151" s="147"/>
      <c r="AG151" s="147"/>
      <c r="AH151" s="147"/>
      <c r="AI151" s="147"/>
      <c r="AJ151" s="147"/>
      <c r="AK151" s="147"/>
      <c r="AL151" s="147"/>
      <c r="AM151" s="151"/>
      <c r="AN151" s="147"/>
      <c r="AO151" s="147" t="e">
        <f t="shared" si="8"/>
        <v>#N/A</v>
      </c>
      <c r="AP151" s="147" t="e">
        <f t="shared" ca="1" si="9"/>
        <v>#NAME?</v>
      </c>
      <c r="AQ151" s="147" t="e">
        <f t="shared" si="10"/>
        <v>#N/A</v>
      </c>
      <c r="AR151" s="147"/>
      <c r="AS151" s="147"/>
      <c r="AT151" s="147"/>
      <c r="AU151" s="147"/>
      <c r="AV151" s="147"/>
      <c r="AW151" s="147"/>
      <c r="AX151" s="147"/>
      <c r="AY151" s="147"/>
      <c r="AZ151" s="147"/>
      <c r="BA151" s="147"/>
      <c r="BB151" s="147"/>
      <c r="BC151" s="147"/>
      <c r="BD151" s="147"/>
      <c r="BE151" s="147"/>
      <c r="BF151" s="147"/>
      <c r="BG151" s="147"/>
      <c r="BH151" s="147"/>
      <c r="BI151" s="147"/>
      <c r="BJ151" s="147"/>
      <c r="BK151" s="147"/>
      <c r="BL151" s="147"/>
      <c r="BM151" s="147"/>
      <c r="BN151" s="147"/>
      <c r="BO151" s="147"/>
      <c r="BP151" s="147"/>
      <c r="BQ151" s="147"/>
      <c r="BR151" s="147"/>
      <c r="BS151" s="147"/>
      <c r="BT151" s="147"/>
      <c r="BU151" s="147"/>
      <c r="BV151" s="147"/>
      <c r="BW151" s="147"/>
      <c r="BX151" s="147"/>
      <c r="BY151" s="147"/>
      <c r="BZ151" s="147"/>
      <c r="CA151" s="147"/>
      <c r="CB151" s="147"/>
      <c r="CC151" s="147"/>
      <c r="CD151" s="147"/>
      <c r="CE151" s="147"/>
      <c r="CF151" s="147"/>
      <c r="CG151" s="147"/>
      <c r="CH151" s="147"/>
      <c r="CI151" s="147"/>
      <c r="CJ151" s="147"/>
      <c r="CK151" s="147"/>
    </row>
    <row r="152" spans="1:89">
      <c r="A152" s="159" t="s">
        <v>267</v>
      </c>
      <c r="B152" s="3" t="s">
        <v>268</v>
      </c>
      <c r="C152" s="160" t="s">
        <v>65</v>
      </c>
      <c r="D152" s="160" t="s">
        <v>858</v>
      </c>
      <c r="E152" s="3" t="s">
        <v>21</v>
      </c>
      <c r="F152" s="3" t="s">
        <v>926</v>
      </c>
      <c r="G152" s="3" t="s">
        <v>916</v>
      </c>
      <c r="H152" s="156" t="str">
        <f ca="1">IFERROR(
  _xludf.MINIFS(ATTENDANCE_LOG!$F:$F,
         ATTENDANCE_LOG!$A:$A, C152,
         ATTENDANCE_LOG!$B:$B, E152),
"")</f>
        <v/>
      </c>
      <c r="I152" s="156" t="str">
        <f t="shared" ca="1" si="0"/>
        <v/>
      </c>
      <c r="J152" s="3">
        <f>IFERROR(VLOOKUP(F152, LEVEL_HELPER!$A:$B, 2, 0), "")</f>
        <v>1</v>
      </c>
      <c r="K152" s="3">
        <f>IFERROR(VLOOKUP(G152, LEVEL_HELPER!$A:$B, 2, 0), "")</f>
        <v>2.5</v>
      </c>
      <c r="L152" s="157" t="s">
        <v>918</v>
      </c>
      <c r="M152" s="157" t="s">
        <v>924</v>
      </c>
      <c r="N152" s="3">
        <f t="array" aca="1" ref="N152" ca="1">IFERROR(
  INDEX($J$2:$J$543,
    MATCH(A152&amp;TEXT(I152,"yyyy-mm-dd"),
          $A$2:$A$543&amp;TEXT($H$2:$H$543,"yyyy-mm-dd"),
          0)),
"")</f>
        <v>1</v>
      </c>
      <c r="O152" s="147" t="str">
        <f t="shared" ca="1" si="1"/>
        <v/>
      </c>
      <c r="P152" s="147">
        <f t="shared" ref="P152:Q152" ca="1" si="161">IF(N152="",0,IF(N152&lt;=2,1,IF(N152&lt;=4,2,IF(N152&lt;=5.5,3,4))))</f>
        <v>1</v>
      </c>
      <c r="Q152" s="147">
        <f t="shared" ca="1" si="161"/>
        <v>0</v>
      </c>
      <c r="R152" s="147" t="str">
        <f t="shared" ca="1" si="3"/>
        <v>Regressed</v>
      </c>
      <c r="S152" s="147">
        <f t="shared" si="4"/>
        <v>1</v>
      </c>
      <c r="T152" s="147"/>
      <c r="U152" s="147"/>
      <c r="V152" s="148" t="e">
        <f ca="1"/>
        <v>#NAME?</v>
      </c>
      <c r="W152" s="147" t="e">
        <f t="shared" ca="1" si="5"/>
        <v>#NAME?</v>
      </c>
      <c r="X152" s="147" t="e">
        <f t="shared" ca="1" si="6"/>
        <v>#NAME?</v>
      </c>
      <c r="Y152" s="147" t="e">
        <f t="shared" ca="1" si="7"/>
        <v>#NAME?</v>
      </c>
      <c r="Z152" s="147"/>
      <c r="AA152" s="147"/>
      <c r="AB152" s="147"/>
      <c r="AC152" s="147"/>
      <c r="AD152" s="147"/>
      <c r="AE152" s="147"/>
      <c r="AF152" s="147"/>
      <c r="AG152" s="147"/>
      <c r="AH152" s="147"/>
      <c r="AI152" s="147"/>
      <c r="AJ152" s="147"/>
      <c r="AK152" s="147"/>
      <c r="AL152" s="147"/>
      <c r="AM152" s="151"/>
      <c r="AN152" s="147"/>
      <c r="AO152" s="147" t="e">
        <f t="shared" si="8"/>
        <v>#N/A</v>
      </c>
      <c r="AP152" s="147" t="e">
        <f t="shared" ca="1" si="9"/>
        <v>#NAME?</v>
      </c>
      <c r="AQ152" s="147" t="e">
        <f t="shared" si="10"/>
        <v>#N/A</v>
      </c>
      <c r="AR152" s="147"/>
      <c r="AS152" s="147"/>
      <c r="AT152" s="147"/>
      <c r="AU152" s="147"/>
      <c r="AV152" s="147"/>
      <c r="AW152" s="147"/>
      <c r="AX152" s="147"/>
      <c r="AY152" s="147"/>
      <c r="AZ152" s="147"/>
      <c r="BA152" s="147"/>
      <c r="BB152" s="147"/>
      <c r="BC152" s="147"/>
      <c r="BD152" s="147"/>
      <c r="BE152" s="147"/>
      <c r="BF152" s="147"/>
      <c r="BG152" s="147"/>
      <c r="BH152" s="147"/>
      <c r="BI152" s="147"/>
      <c r="BJ152" s="147"/>
      <c r="BK152" s="147"/>
      <c r="BL152" s="147"/>
      <c r="BM152" s="147"/>
      <c r="BN152" s="147"/>
      <c r="BO152" s="147"/>
      <c r="BP152" s="147"/>
      <c r="BQ152" s="147"/>
      <c r="BR152" s="147"/>
      <c r="BS152" s="147"/>
      <c r="BT152" s="147"/>
      <c r="BU152" s="147"/>
      <c r="BV152" s="147"/>
      <c r="BW152" s="147"/>
      <c r="BX152" s="147"/>
      <c r="BY152" s="147"/>
      <c r="BZ152" s="147"/>
      <c r="CA152" s="147"/>
      <c r="CB152" s="147"/>
      <c r="CC152" s="147"/>
      <c r="CD152" s="147"/>
      <c r="CE152" s="147"/>
      <c r="CF152" s="147"/>
      <c r="CG152" s="147"/>
      <c r="CH152" s="147"/>
      <c r="CI152" s="147"/>
      <c r="CJ152" s="147"/>
      <c r="CK152" s="147"/>
    </row>
    <row r="153" spans="1:89">
      <c r="A153" s="159" t="s">
        <v>413</v>
      </c>
      <c r="B153" s="3" t="s">
        <v>414</v>
      </c>
      <c r="C153" s="160" t="s">
        <v>65</v>
      </c>
      <c r="D153" s="160" t="s">
        <v>858</v>
      </c>
      <c r="E153" s="3" t="s">
        <v>21</v>
      </c>
      <c r="F153" s="3" t="s">
        <v>926</v>
      </c>
      <c r="G153" s="3" t="s">
        <v>916</v>
      </c>
      <c r="H153" s="156" t="str">
        <f ca="1">IFERROR(
  _xludf.MINIFS(ATTENDANCE_LOG!$F:$F,
         ATTENDANCE_LOG!$A:$A, C153,
         ATTENDANCE_LOG!$B:$B, E153),
"")</f>
        <v/>
      </c>
      <c r="I153" s="156" t="str">
        <f t="shared" ca="1" si="0"/>
        <v/>
      </c>
      <c r="J153" s="3">
        <f>IFERROR(VLOOKUP(F153, LEVEL_HELPER!$A:$B, 2, 0), "")</f>
        <v>1</v>
      </c>
      <c r="K153" s="3">
        <f>IFERROR(VLOOKUP(G153, LEVEL_HELPER!$A:$B, 2, 0), "")</f>
        <v>2.5</v>
      </c>
      <c r="L153" s="157" t="s">
        <v>918</v>
      </c>
      <c r="M153" s="157" t="s">
        <v>924</v>
      </c>
      <c r="N153" s="3">
        <f t="array" aca="1" ref="N153" ca="1">IFERROR(
  INDEX($J$2:$J$543,
    MATCH(A153&amp;TEXT(I153,"yyyy-mm-dd"),
          $A$2:$A$543&amp;TEXT($H$2:$H$543,"yyyy-mm-dd"),
          0)),
"")</f>
        <v>1</v>
      </c>
      <c r="O153" s="147" t="str">
        <f t="shared" ca="1" si="1"/>
        <v/>
      </c>
      <c r="P153" s="147">
        <f t="shared" ref="P153:Q153" ca="1" si="162">IF(N153="",0,IF(N153&lt;=2,1,IF(N153&lt;=4,2,IF(N153&lt;=5.5,3,4))))</f>
        <v>1</v>
      </c>
      <c r="Q153" s="147">
        <f t="shared" ca="1" si="162"/>
        <v>0</v>
      </c>
      <c r="R153" s="147" t="str">
        <f t="shared" ca="1" si="3"/>
        <v>Regressed</v>
      </c>
      <c r="S153" s="147">
        <f t="shared" si="4"/>
        <v>1</v>
      </c>
      <c r="T153" s="147"/>
      <c r="U153" s="147"/>
      <c r="V153" s="148" t="e">
        <f ca="1"/>
        <v>#NAME?</v>
      </c>
      <c r="W153" s="147" t="e">
        <f t="shared" ca="1" si="5"/>
        <v>#NAME?</v>
      </c>
      <c r="X153" s="147" t="e">
        <f t="shared" ca="1" si="6"/>
        <v>#NAME?</v>
      </c>
      <c r="Y153" s="147" t="e">
        <f t="shared" ca="1" si="7"/>
        <v>#NAME?</v>
      </c>
      <c r="Z153" s="147"/>
      <c r="AA153" s="147"/>
      <c r="AB153" s="147"/>
      <c r="AC153" s="147"/>
      <c r="AD153" s="147"/>
      <c r="AE153" s="147"/>
      <c r="AF153" s="147"/>
      <c r="AG153" s="147"/>
      <c r="AH153" s="147"/>
      <c r="AI153" s="147"/>
      <c r="AJ153" s="147"/>
      <c r="AK153" s="147"/>
      <c r="AL153" s="147"/>
      <c r="AM153" s="151"/>
      <c r="AN153" s="147"/>
      <c r="AO153" s="147" t="e">
        <f t="shared" si="8"/>
        <v>#N/A</v>
      </c>
      <c r="AP153" s="147" t="e">
        <f t="shared" ca="1" si="9"/>
        <v>#NAME?</v>
      </c>
      <c r="AQ153" s="147" t="e">
        <f t="shared" si="10"/>
        <v>#N/A</v>
      </c>
      <c r="AR153" s="147"/>
      <c r="AS153" s="147"/>
      <c r="AT153" s="147"/>
      <c r="AU153" s="147"/>
      <c r="AV153" s="147"/>
      <c r="AW153" s="147"/>
      <c r="AX153" s="147"/>
      <c r="AY153" s="147"/>
      <c r="AZ153" s="147"/>
      <c r="BA153" s="147"/>
      <c r="BB153" s="147"/>
      <c r="BC153" s="147"/>
      <c r="BD153" s="147"/>
      <c r="BE153" s="147"/>
      <c r="BF153" s="147"/>
      <c r="BG153" s="147"/>
      <c r="BH153" s="147"/>
      <c r="BI153" s="147"/>
      <c r="BJ153" s="147"/>
      <c r="BK153" s="147"/>
      <c r="BL153" s="147"/>
      <c r="BM153" s="147"/>
      <c r="BN153" s="147"/>
      <c r="BO153" s="147"/>
      <c r="BP153" s="147"/>
      <c r="BQ153" s="147"/>
      <c r="BR153" s="147"/>
      <c r="BS153" s="147"/>
      <c r="BT153" s="147"/>
      <c r="BU153" s="147"/>
      <c r="BV153" s="147"/>
      <c r="BW153" s="147"/>
      <c r="BX153" s="147"/>
      <c r="BY153" s="147"/>
      <c r="BZ153" s="147"/>
      <c r="CA153" s="147"/>
      <c r="CB153" s="147"/>
      <c r="CC153" s="147"/>
      <c r="CD153" s="147"/>
      <c r="CE153" s="147"/>
      <c r="CF153" s="147"/>
      <c r="CG153" s="147"/>
      <c r="CH153" s="147"/>
      <c r="CI153" s="147"/>
      <c r="CJ153" s="147"/>
      <c r="CK153" s="147"/>
    </row>
    <row r="154" spans="1:89">
      <c r="A154" s="159" t="s">
        <v>601</v>
      </c>
      <c r="B154" s="3" t="s">
        <v>602</v>
      </c>
      <c r="C154" s="160" t="s">
        <v>65</v>
      </c>
      <c r="D154" s="160" t="s">
        <v>858</v>
      </c>
      <c r="E154" s="3" t="s">
        <v>21</v>
      </c>
      <c r="F154" s="3" t="s">
        <v>931</v>
      </c>
      <c r="G154" s="3"/>
      <c r="H154" s="156" t="str">
        <f ca="1">IFERROR(
  _xludf.MINIFS(ATTENDANCE_LOG!$F:$F,
         ATTENDANCE_LOG!$A:$A, C154,
         ATTENDANCE_LOG!$B:$B, E154),
"")</f>
        <v/>
      </c>
      <c r="I154" s="156" t="str">
        <f t="shared" ca="1" si="0"/>
        <v/>
      </c>
      <c r="J154" s="3">
        <f>IFERROR(VLOOKUP(F154, LEVEL_HELPER!$A:$B, 2, 0), "")</f>
        <v>4.5</v>
      </c>
      <c r="K154" s="3" t="str">
        <f>IFERROR(VLOOKUP(G154, LEVEL_HELPER!$A:$B, 2, 0), "")</f>
        <v/>
      </c>
      <c r="L154" s="157" t="s">
        <v>918</v>
      </c>
      <c r="M154" s="157" t="s">
        <v>922</v>
      </c>
      <c r="N154" s="3">
        <f t="array" aca="1" ref="N154" ca="1">IFERROR(
  INDEX($J$2:$J$543,
    MATCH(A154&amp;TEXT(I154,"yyyy-mm-dd"),
          $A$2:$A$543&amp;TEXT($H$2:$H$543,"yyyy-mm-dd"),
          0)),
"")</f>
        <v>4.5</v>
      </c>
      <c r="O154" s="147" t="str">
        <f t="shared" ca="1" si="1"/>
        <v/>
      </c>
      <c r="P154" s="147">
        <f t="shared" ref="P154:Q154" ca="1" si="163">IF(N154="",0,IF(N154&lt;=2,1,IF(N154&lt;=4,2,IF(N154&lt;=5.5,3,4))))</f>
        <v>3</v>
      </c>
      <c r="Q154" s="147">
        <f t="shared" ca="1" si="163"/>
        <v>0</v>
      </c>
      <c r="R154" s="147" t="str">
        <f t="shared" ca="1" si="3"/>
        <v>Regressed</v>
      </c>
      <c r="S154" s="147">
        <f t="shared" si="4"/>
        <v>1</v>
      </c>
      <c r="T154" s="147"/>
      <c r="U154" s="147"/>
      <c r="V154" s="148" t="e">
        <f ca="1"/>
        <v>#NAME?</v>
      </c>
      <c r="W154" s="147" t="e">
        <f t="shared" ca="1" si="5"/>
        <v>#NAME?</v>
      </c>
      <c r="X154" s="147" t="e">
        <f t="shared" ca="1" si="6"/>
        <v>#NAME?</v>
      </c>
      <c r="Y154" s="147" t="e">
        <f t="shared" ca="1" si="7"/>
        <v>#NAME?</v>
      </c>
      <c r="Z154" s="147"/>
      <c r="AA154" s="147"/>
      <c r="AB154" s="147"/>
      <c r="AC154" s="147"/>
      <c r="AD154" s="147"/>
      <c r="AE154" s="147"/>
      <c r="AF154" s="147"/>
      <c r="AG154" s="147"/>
      <c r="AH154" s="147"/>
      <c r="AI154" s="147"/>
      <c r="AJ154" s="147"/>
      <c r="AK154" s="147"/>
      <c r="AL154" s="147"/>
      <c r="AM154" s="151"/>
      <c r="AN154" s="147"/>
      <c r="AO154" s="147" t="e">
        <f t="shared" si="8"/>
        <v>#N/A</v>
      </c>
      <c r="AP154" s="147" t="e">
        <f t="shared" ca="1" si="9"/>
        <v>#NAME?</v>
      </c>
      <c r="AQ154" s="147" t="e">
        <f t="shared" si="10"/>
        <v>#N/A</v>
      </c>
      <c r="AR154" s="147"/>
      <c r="AS154" s="147"/>
      <c r="AT154" s="147"/>
      <c r="AU154" s="147"/>
      <c r="AV154" s="147"/>
      <c r="AW154" s="147"/>
      <c r="AX154" s="147"/>
      <c r="AY154" s="147"/>
      <c r="AZ154" s="147"/>
      <c r="BA154" s="147"/>
      <c r="BB154" s="147"/>
      <c r="BC154" s="147"/>
      <c r="BD154" s="147"/>
      <c r="BE154" s="147"/>
      <c r="BF154" s="147"/>
      <c r="BG154" s="147"/>
      <c r="BH154" s="147"/>
      <c r="BI154" s="147"/>
      <c r="BJ154" s="147"/>
      <c r="BK154" s="147"/>
      <c r="BL154" s="147"/>
      <c r="BM154" s="147"/>
      <c r="BN154" s="147"/>
      <c r="BO154" s="147"/>
      <c r="BP154" s="147"/>
      <c r="BQ154" s="147"/>
      <c r="BR154" s="147"/>
      <c r="BS154" s="147"/>
      <c r="BT154" s="147"/>
      <c r="BU154" s="147"/>
      <c r="BV154" s="147"/>
      <c r="BW154" s="147"/>
      <c r="BX154" s="147"/>
      <c r="BY154" s="147"/>
      <c r="BZ154" s="147"/>
      <c r="CA154" s="147"/>
      <c r="CB154" s="147"/>
      <c r="CC154" s="147"/>
      <c r="CD154" s="147"/>
      <c r="CE154" s="147"/>
      <c r="CF154" s="147"/>
      <c r="CG154" s="147"/>
      <c r="CH154" s="147"/>
      <c r="CI154" s="147"/>
      <c r="CJ154" s="147"/>
      <c r="CK154" s="147"/>
    </row>
    <row r="155" spans="1:89">
      <c r="A155" s="159" t="s">
        <v>699</v>
      </c>
      <c r="B155" s="3" t="s">
        <v>700</v>
      </c>
      <c r="C155" s="160" t="s">
        <v>65</v>
      </c>
      <c r="D155" s="160" t="s">
        <v>858</v>
      </c>
      <c r="E155" s="3" t="s">
        <v>21</v>
      </c>
      <c r="F155" s="3" t="s">
        <v>916</v>
      </c>
      <c r="G155" s="3" t="s">
        <v>931</v>
      </c>
      <c r="H155" s="156" t="str">
        <f ca="1">IFERROR(
  _xludf.MINIFS(ATTENDANCE_LOG!$F:$F,
         ATTENDANCE_LOG!$A:$A, C155,
         ATTENDANCE_LOG!$B:$B, E155),
"")</f>
        <v/>
      </c>
      <c r="I155" s="156" t="str">
        <f t="shared" ca="1" si="0"/>
        <v/>
      </c>
      <c r="J155" s="3">
        <f>IFERROR(VLOOKUP(F155, LEVEL_HELPER!$A:$B, 2, 0), "")</f>
        <v>2.5</v>
      </c>
      <c r="K155" s="3">
        <f>IFERROR(VLOOKUP(G155, LEVEL_HELPER!$A:$B, 2, 0), "")</f>
        <v>4.5</v>
      </c>
      <c r="L155" s="157" t="s">
        <v>918</v>
      </c>
      <c r="M155" s="157" t="s">
        <v>922</v>
      </c>
      <c r="N155" s="3">
        <f t="array" aca="1" ref="N155" ca="1">IFERROR(
  INDEX($J$2:$J$543,
    MATCH(A155&amp;TEXT(I155,"yyyy-mm-dd"),
          $A$2:$A$543&amp;TEXT($H$2:$H$543,"yyyy-mm-dd"),
          0)),
"")</f>
        <v>2.5</v>
      </c>
      <c r="O155" s="147" t="str">
        <f t="shared" ca="1" si="1"/>
        <v/>
      </c>
      <c r="P155" s="147">
        <f t="shared" ref="P155:Q155" ca="1" si="164">IF(N155="",0,IF(N155&lt;=2,1,IF(N155&lt;=4,2,IF(N155&lt;=5.5,3,4))))</f>
        <v>2</v>
      </c>
      <c r="Q155" s="147">
        <f t="shared" ca="1" si="164"/>
        <v>0</v>
      </c>
      <c r="R155" s="147" t="str">
        <f t="shared" ca="1" si="3"/>
        <v>Regressed</v>
      </c>
      <c r="S155" s="147">
        <f t="shared" si="4"/>
        <v>1</v>
      </c>
      <c r="T155" s="147"/>
      <c r="U155" s="147"/>
      <c r="V155" s="148" t="e">
        <f ca="1"/>
        <v>#NAME?</v>
      </c>
      <c r="W155" s="147" t="e">
        <f t="shared" ca="1" si="5"/>
        <v>#NAME?</v>
      </c>
      <c r="X155" s="147" t="e">
        <f t="shared" ca="1" si="6"/>
        <v>#NAME?</v>
      </c>
      <c r="Y155" s="147" t="e">
        <f t="shared" ca="1" si="7"/>
        <v>#NAME?</v>
      </c>
      <c r="Z155" s="147"/>
      <c r="AA155" s="147"/>
      <c r="AB155" s="147"/>
      <c r="AC155" s="147"/>
      <c r="AD155" s="147"/>
      <c r="AE155" s="147"/>
      <c r="AF155" s="147"/>
      <c r="AG155" s="147"/>
      <c r="AH155" s="147"/>
      <c r="AI155" s="147"/>
      <c r="AJ155" s="147"/>
      <c r="AK155" s="147"/>
      <c r="AL155" s="147"/>
      <c r="AM155" s="151"/>
      <c r="AN155" s="147"/>
      <c r="AO155" s="147" t="e">
        <f t="shared" si="8"/>
        <v>#N/A</v>
      </c>
      <c r="AP155" s="147" t="e">
        <f t="shared" ca="1" si="9"/>
        <v>#NAME?</v>
      </c>
      <c r="AQ155" s="147" t="e">
        <f t="shared" si="10"/>
        <v>#N/A</v>
      </c>
      <c r="AR155" s="147"/>
      <c r="AS155" s="147"/>
      <c r="AT155" s="147"/>
      <c r="AU155" s="147"/>
      <c r="AV155" s="147"/>
      <c r="AW155" s="147"/>
      <c r="AX155" s="147"/>
      <c r="AY155" s="147"/>
      <c r="AZ155" s="147"/>
      <c r="BA155" s="147"/>
      <c r="BB155" s="147"/>
      <c r="BC155" s="147"/>
      <c r="BD155" s="147"/>
      <c r="BE155" s="147"/>
      <c r="BF155" s="147"/>
      <c r="BG155" s="147"/>
      <c r="BH155" s="147"/>
      <c r="BI155" s="147"/>
      <c r="BJ155" s="147"/>
      <c r="BK155" s="147"/>
      <c r="BL155" s="147"/>
      <c r="BM155" s="147"/>
      <c r="BN155" s="147"/>
      <c r="BO155" s="147"/>
      <c r="BP155" s="147"/>
      <c r="BQ155" s="147"/>
      <c r="BR155" s="147"/>
      <c r="BS155" s="147"/>
      <c r="BT155" s="147"/>
      <c r="BU155" s="147"/>
      <c r="BV155" s="147"/>
      <c r="BW155" s="147"/>
      <c r="BX155" s="147"/>
      <c r="BY155" s="147"/>
      <c r="BZ155" s="147"/>
      <c r="CA155" s="147"/>
      <c r="CB155" s="147"/>
      <c r="CC155" s="147"/>
      <c r="CD155" s="147"/>
      <c r="CE155" s="147"/>
      <c r="CF155" s="147"/>
      <c r="CG155" s="147"/>
      <c r="CH155" s="147"/>
      <c r="CI155" s="147"/>
      <c r="CJ155" s="147"/>
      <c r="CK155" s="147"/>
    </row>
    <row r="156" spans="1:89">
      <c r="A156" s="153" t="s">
        <v>413</v>
      </c>
      <c r="B156" s="154" t="s">
        <v>414</v>
      </c>
      <c r="C156" s="155" t="s">
        <v>65</v>
      </c>
      <c r="D156" s="155" t="s">
        <v>858</v>
      </c>
      <c r="E156" s="154" t="s">
        <v>22</v>
      </c>
      <c r="F156" s="3" t="s">
        <v>916</v>
      </c>
      <c r="G156" s="3" t="s">
        <v>916</v>
      </c>
      <c r="H156" s="156" t="str">
        <f ca="1">IFERROR(
  _xludf.MINIFS(ATTENDANCE_LOG!$F:$F,
         ATTENDANCE_LOG!$A:$A, C156,
         ATTENDANCE_LOG!$B:$B, E156),
"")</f>
        <v/>
      </c>
      <c r="I156" s="156" t="str">
        <f t="shared" ca="1" si="0"/>
        <v/>
      </c>
      <c r="J156" s="3">
        <f>IFERROR(VLOOKUP(F156, LEVEL_HELPER!$A:$B, 2, 0), "")</f>
        <v>2.5</v>
      </c>
      <c r="K156" s="3">
        <f>IFERROR(VLOOKUP(G156, LEVEL_HELPER!$A:$B, 2, 0), "")</f>
        <v>2.5</v>
      </c>
      <c r="L156" s="157" t="s">
        <v>918</v>
      </c>
      <c r="M156" s="157" t="s">
        <v>924</v>
      </c>
      <c r="N156" s="3">
        <f t="array" aca="1" ref="N156" ca="1">IFERROR(
  INDEX($J$2:$J$543,
    MATCH(A156&amp;TEXT(I156,"yyyy-mm-dd"),
          $A$2:$A$543&amp;TEXT($H$2:$H$543,"yyyy-mm-dd"),
          0)),
"")</f>
        <v>1</v>
      </c>
      <c r="O156" s="147" t="str">
        <f t="shared" ca="1" si="1"/>
        <v/>
      </c>
      <c r="P156" s="147">
        <f t="shared" ref="P156:Q156" ca="1" si="165">IF(N156="",0,IF(N156&lt;=2,1,IF(N156&lt;=4,2,IF(N156&lt;=5.5,3,4))))</f>
        <v>1</v>
      </c>
      <c r="Q156" s="147">
        <f t="shared" ca="1" si="165"/>
        <v>0</v>
      </c>
      <c r="R156" s="147" t="str">
        <f t="shared" ca="1" si="3"/>
        <v>Regressed</v>
      </c>
      <c r="S156" s="147">
        <f t="shared" si="4"/>
        <v>0</v>
      </c>
      <c r="T156" s="147"/>
      <c r="U156" s="147"/>
      <c r="V156" s="148" t="e">
        <f ca="1"/>
        <v>#NAME?</v>
      </c>
      <c r="W156" s="147" t="e">
        <f t="shared" ca="1" si="5"/>
        <v>#NAME?</v>
      </c>
      <c r="X156" s="147" t="e">
        <f t="shared" ca="1" si="6"/>
        <v>#NAME?</v>
      </c>
      <c r="Y156" s="147" t="e">
        <f t="shared" ca="1" si="7"/>
        <v>#NAME?</v>
      </c>
      <c r="Z156" s="147"/>
      <c r="AA156" s="147"/>
      <c r="AB156" s="147"/>
      <c r="AC156" s="147"/>
      <c r="AD156" s="147"/>
      <c r="AE156" s="147"/>
      <c r="AF156" s="147"/>
      <c r="AG156" s="147"/>
      <c r="AH156" s="147"/>
      <c r="AI156" s="147"/>
      <c r="AJ156" s="147"/>
      <c r="AK156" s="147"/>
      <c r="AL156" s="147"/>
      <c r="AM156" s="151"/>
      <c r="AN156" s="147"/>
      <c r="AO156" s="147" t="e">
        <f t="shared" si="8"/>
        <v>#N/A</v>
      </c>
      <c r="AP156" s="147" t="e">
        <f t="shared" ca="1" si="9"/>
        <v>#NAME?</v>
      </c>
      <c r="AQ156" s="147" t="e">
        <f t="shared" si="10"/>
        <v>#N/A</v>
      </c>
      <c r="AR156" s="147"/>
      <c r="AS156" s="147"/>
      <c r="AT156" s="147"/>
      <c r="AU156" s="147"/>
      <c r="AV156" s="147"/>
      <c r="AW156" s="147"/>
      <c r="AX156" s="147"/>
      <c r="AY156" s="147"/>
      <c r="AZ156" s="147"/>
      <c r="BA156" s="147"/>
      <c r="BB156" s="147"/>
      <c r="BC156" s="147"/>
      <c r="BD156" s="147"/>
      <c r="BE156" s="147"/>
      <c r="BF156" s="147"/>
      <c r="BG156" s="147"/>
      <c r="BH156" s="147"/>
      <c r="BI156" s="147"/>
      <c r="BJ156" s="147"/>
      <c r="BK156" s="147"/>
      <c r="BL156" s="147"/>
      <c r="BM156" s="147"/>
      <c r="BN156" s="147"/>
      <c r="BO156" s="147"/>
      <c r="BP156" s="147"/>
      <c r="BQ156" s="147"/>
      <c r="BR156" s="147"/>
      <c r="BS156" s="147"/>
      <c r="BT156" s="147"/>
      <c r="BU156" s="147"/>
      <c r="BV156" s="147"/>
      <c r="BW156" s="147"/>
      <c r="BX156" s="147"/>
      <c r="BY156" s="147"/>
      <c r="BZ156" s="147"/>
      <c r="CA156" s="147"/>
      <c r="CB156" s="147"/>
      <c r="CC156" s="147"/>
      <c r="CD156" s="147"/>
      <c r="CE156" s="147"/>
      <c r="CF156" s="147"/>
      <c r="CG156" s="147"/>
      <c r="CH156" s="147"/>
      <c r="CI156" s="147"/>
      <c r="CJ156" s="147"/>
      <c r="CK156" s="147"/>
    </row>
    <row r="157" spans="1:89">
      <c r="A157" s="159" t="s">
        <v>212</v>
      </c>
      <c r="B157" s="3" t="s">
        <v>213</v>
      </c>
      <c r="C157" s="160" t="s">
        <v>65</v>
      </c>
      <c r="D157" s="160" t="s">
        <v>858</v>
      </c>
      <c r="E157" s="3" t="s">
        <v>22</v>
      </c>
      <c r="F157" s="3" t="s">
        <v>916</v>
      </c>
      <c r="G157" s="3" t="s">
        <v>916</v>
      </c>
      <c r="H157" s="156" t="str">
        <f ca="1">IFERROR(
  _xludf.MINIFS(ATTENDANCE_LOG!$F:$F,
         ATTENDANCE_LOG!$A:$A, C157,
         ATTENDANCE_LOG!$B:$B, E157),
"")</f>
        <v/>
      </c>
      <c r="I157" s="156" t="str">
        <f t="shared" ca="1" si="0"/>
        <v/>
      </c>
      <c r="J157" s="3">
        <f>IFERROR(VLOOKUP(F157, LEVEL_HELPER!$A:$B, 2, 0), "")</f>
        <v>2.5</v>
      </c>
      <c r="K157" s="3">
        <f>IFERROR(VLOOKUP(G157, LEVEL_HELPER!$A:$B, 2, 0), "")</f>
        <v>2.5</v>
      </c>
      <c r="L157" s="157" t="s">
        <v>918</v>
      </c>
      <c r="M157" s="157" t="s">
        <v>924</v>
      </c>
      <c r="N157" s="3">
        <f t="array" aca="1" ref="N157" ca="1">IFERROR(
  INDEX($J$2:$J$543,
    MATCH(A157&amp;TEXT(I157,"yyyy-mm-dd"),
          $A$2:$A$543&amp;TEXT($H$2:$H$543,"yyyy-mm-dd"),
          0)),
"")</f>
        <v>1</v>
      </c>
      <c r="O157" s="147" t="str">
        <f t="shared" ca="1" si="1"/>
        <v/>
      </c>
      <c r="P157" s="147">
        <f t="shared" ref="P157:Q157" ca="1" si="166">IF(N157="",0,IF(N157&lt;=2,1,IF(N157&lt;=4,2,IF(N157&lt;=5.5,3,4))))</f>
        <v>1</v>
      </c>
      <c r="Q157" s="147">
        <f t="shared" ca="1" si="166"/>
        <v>0</v>
      </c>
      <c r="R157" s="147" t="str">
        <f t="shared" ca="1" si="3"/>
        <v>Regressed</v>
      </c>
      <c r="S157" s="147">
        <f t="shared" si="4"/>
        <v>0</v>
      </c>
      <c r="T157" s="147"/>
      <c r="U157" s="147"/>
      <c r="V157" s="148" t="e">
        <f ca="1"/>
        <v>#NAME?</v>
      </c>
      <c r="W157" s="147" t="e">
        <f t="shared" ca="1" si="5"/>
        <v>#NAME?</v>
      </c>
      <c r="X157" s="147" t="e">
        <f t="shared" ca="1" si="6"/>
        <v>#NAME?</v>
      </c>
      <c r="Y157" s="147" t="e">
        <f t="shared" ca="1" si="7"/>
        <v>#NAME?</v>
      </c>
      <c r="Z157" s="147"/>
      <c r="AA157" s="147"/>
      <c r="AB157" s="147"/>
      <c r="AC157" s="147"/>
      <c r="AD157" s="147"/>
      <c r="AE157" s="147"/>
      <c r="AF157" s="147"/>
      <c r="AG157" s="147"/>
      <c r="AH157" s="147"/>
      <c r="AI157" s="147"/>
      <c r="AJ157" s="147"/>
      <c r="AK157" s="147"/>
      <c r="AL157" s="147"/>
      <c r="AM157" s="151"/>
      <c r="AN157" s="147"/>
      <c r="AO157" s="147" t="e">
        <f t="shared" si="8"/>
        <v>#N/A</v>
      </c>
      <c r="AP157" s="147" t="e">
        <f t="shared" ca="1" si="9"/>
        <v>#NAME?</v>
      </c>
      <c r="AQ157" s="147" t="e">
        <f t="shared" si="10"/>
        <v>#N/A</v>
      </c>
      <c r="AR157" s="147"/>
      <c r="AS157" s="147"/>
      <c r="AT157" s="147"/>
      <c r="AU157" s="147"/>
      <c r="AV157" s="147"/>
      <c r="AW157" s="147"/>
      <c r="AX157" s="147"/>
      <c r="AY157" s="147"/>
      <c r="AZ157" s="147"/>
      <c r="BA157" s="147"/>
      <c r="BB157" s="147"/>
      <c r="BC157" s="147"/>
      <c r="BD157" s="147"/>
      <c r="BE157" s="147"/>
      <c r="BF157" s="147"/>
      <c r="BG157" s="147"/>
      <c r="BH157" s="147"/>
      <c r="BI157" s="147"/>
      <c r="BJ157" s="147"/>
      <c r="BK157" s="147"/>
      <c r="BL157" s="147"/>
      <c r="BM157" s="147"/>
      <c r="BN157" s="147"/>
      <c r="BO157" s="147"/>
      <c r="BP157" s="147"/>
      <c r="BQ157" s="147"/>
      <c r="BR157" s="147"/>
      <c r="BS157" s="147"/>
      <c r="BT157" s="147"/>
      <c r="BU157" s="147"/>
      <c r="BV157" s="147"/>
      <c r="BW157" s="147"/>
      <c r="BX157" s="147"/>
      <c r="BY157" s="147"/>
      <c r="BZ157" s="147"/>
      <c r="CA157" s="147"/>
      <c r="CB157" s="147"/>
      <c r="CC157" s="147"/>
      <c r="CD157" s="147"/>
      <c r="CE157" s="147"/>
      <c r="CF157" s="147"/>
      <c r="CG157" s="147"/>
      <c r="CH157" s="147"/>
      <c r="CI157" s="147"/>
      <c r="CJ157" s="147"/>
      <c r="CK157" s="147"/>
    </row>
    <row r="158" spans="1:89">
      <c r="A158" s="159" t="s">
        <v>267</v>
      </c>
      <c r="B158" s="3" t="s">
        <v>268</v>
      </c>
      <c r="C158" s="160" t="s">
        <v>65</v>
      </c>
      <c r="D158" s="160" t="s">
        <v>858</v>
      </c>
      <c r="E158" s="3" t="s">
        <v>22</v>
      </c>
      <c r="F158" s="3" t="s">
        <v>916</v>
      </c>
      <c r="G158" s="3" t="s">
        <v>916</v>
      </c>
      <c r="H158" s="156" t="str">
        <f ca="1">IFERROR(
  _xludf.MINIFS(ATTENDANCE_LOG!$F:$F,
         ATTENDANCE_LOG!$A:$A, C158,
         ATTENDANCE_LOG!$B:$B, E158),
"")</f>
        <v/>
      </c>
      <c r="I158" s="156" t="str">
        <f t="shared" ca="1" si="0"/>
        <v/>
      </c>
      <c r="J158" s="3">
        <f>IFERROR(VLOOKUP(F158, LEVEL_HELPER!$A:$B, 2, 0), "")</f>
        <v>2.5</v>
      </c>
      <c r="K158" s="3">
        <f>IFERROR(VLOOKUP(G158, LEVEL_HELPER!$A:$B, 2, 0), "")</f>
        <v>2.5</v>
      </c>
      <c r="L158" s="157" t="s">
        <v>918</v>
      </c>
      <c r="M158" s="157" t="s">
        <v>924</v>
      </c>
      <c r="N158" s="3">
        <f t="array" aca="1" ref="N158" ca="1">IFERROR(
  INDEX($J$2:$J$543,
    MATCH(A158&amp;TEXT(I158,"yyyy-mm-dd"),
          $A$2:$A$543&amp;TEXT($H$2:$H$543,"yyyy-mm-dd"),
          0)),
"")</f>
        <v>1</v>
      </c>
      <c r="O158" s="147" t="str">
        <f t="shared" ca="1" si="1"/>
        <v/>
      </c>
      <c r="P158" s="147">
        <f t="shared" ref="P158:Q158" ca="1" si="167">IF(N158="",0,IF(N158&lt;=2,1,IF(N158&lt;=4,2,IF(N158&lt;=5.5,3,4))))</f>
        <v>1</v>
      </c>
      <c r="Q158" s="147">
        <f t="shared" ca="1" si="167"/>
        <v>0</v>
      </c>
      <c r="R158" s="147" t="str">
        <f t="shared" ca="1" si="3"/>
        <v>Regressed</v>
      </c>
      <c r="S158" s="147">
        <f t="shared" si="4"/>
        <v>0</v>
      </c>
      <c r="T158" s="147"/>
      <c r="U158" s="147"/>
      <c r="V158" s="148" t="e">
        <f ca="1"/>
        <v>#NAME?</v>
      </c>
      <c r="W158" s="147" t="e">
        <f t="shared" ca="1" si="5"/>
        <v>#NAME?</v>
      </c>
      <c r="X158" s="147" t="e">
        <f t="shared" ca="1" si="6"/>
        <v>#NAME?</v>
      </c>
      <c r="Y158" s="147" t="e">
        <f t="shared" ca="1" si="7"/>
        <v>#NAME?</v>
      </c>
      <c r="Z158" s="147"/>
      <c r="AA158" s="147"/>
      <c r="AB158" s="147"/>
      <c r="AC158" s="147"/>
      <c r="AD158" s="147"/>
      <c r="AE158" s="147"/>
      <c r="AF158" s="147"/>
      <c r="AG158" s="147"/>
      <c r="AH158" s="147"/>
      <c r="AI158" s="147"/>
      <c r="AJ158" s="147"/>
      <c r="AK158" s="147"/>
      <c r="AL158" s="147"/>
      <c r="AM158" s="151"/>
      <c r="AN158" s="147"/>
      <c r="AO158" s="147" t="e">
        <f t="shared" si="8"/>
        <v>#N/A</v>
      </c>
      <c r="AP158" s="147" t="e">
        <f t="shared" ca="1" si="9"/>
        <v>#NAME?</v>
      </c>
      <c r="AQ158" s="147" t="e">
        <f t="shared" si="10"/>
        <v>#N/A</v>
      </c>
      <c r="AR158" s="147"/>
      <c r="AS158" s="147"/>
      <c r="AT158" s="147"/>
      <c r="AU158" s="147"/>
      <c r="AV158" s="147"/>
      <c r="AW158" s="147"/>
      <c r="AX158" s="147"/>
      <c r="AY158" s="147"/>
      <c r="AZ158" s="147"/>
      <c r="BA158" s="147"/>
      <c r="BB158" s="147"/>
      <c r="BC158" s="147"/>
      <c r="BD158" s="147"/>
      <c r="BE158" s="147"/>
      <c r="BF158" s="147"/>
      <c r="BG158" s="147"/>
      <c r="BH158" s="147"/>
      <c r="BI158" s="147"/>
      <c r="BJ158" s="147"/>
      <c r="BK158" s="147"/>
      <c r="BL158" s="147"/>
      <c r="BM158" s="147"/>
      <c r="BN158" s="147"/>
      <c r="BO158" s="147"/>
      <c r="BP158" s="147"/>
      <c r="BQ158" s="147"/>
      <c r="BR158" s="147"/>
      <c r="BS158" s="147"/>
      <c r="BT158" s="147"/>
      <c r="BU158" s="147"/>
      <c r="BV158" s="147"/>
      <c r="BW158" s="147"/>
      <c r="BX158" s="147"/>
      <c r="BY158" s="147"/>
      <c r="BZ158" s="147"/>
      <c r="CA158" s="147"/>
      <c r="CB158" s="147"/>
      <c r="CC158" s="147"/>
      <c r="CD158" s="147"/>
      <c r="CE158" s="147"/>
      <c r="CF158" s="147"/>
      <c r="CG158" s="147"/>
      <c r="CH158" s="147"/>
      <c r="CI158" s="147"/>
      <c r="CJ158" s="147"/>
      <c r="CK158" s="147"/>
    </row>
    <row r="159" spans="1:89">
      <c r="A159" s="159" t="s">
        <v>699</v>
      </c>
      <c r="B159" s="3" t="s">
        <v>700</v>
      </c>
      <c r="C159" s="160" t="s">
        <v>65</v>
      </c>
      <c r="D159" s="160" t="s">
        <v>858</v>
      </c>
      <c r="E159" s="3" t="s">
        <v>22</v>
      </c>
      <c r="F159" s="3" t="s">
        <v>931</v>
      </c>
      <c r="G159" s="3" t="s">
        <v>931</v>
      </c>
      <c r="H159" s="156" t="str">
        <f ca="1">IFERROR(
  _xludf.MINIFS(ATTENDANCE_LOG!$F:$F,
         ATTENDANCE_LOG!$A:$A, C159,
         ATTENDANCE_LOG!$B:$B, E159),
"")</f>
        <v/>
      </c>
      <c r="I159" s="156" t="str">
        <f t="shared" ca="1" si="0"/>
        <v/>
      </c>
      <c r="J159" s="3">
        <f>IFERROR(VLOOKUP(F159, LEVEL_HELPER!$A:$B, 2, 0), "")</f>
        <v>4.5</v>
      </c>
      <c r="K159" s="3">
        <f>IFERROR(VLOOKUP(G159, LEVEL_HELPER!$A:$B, 2, 0), "")</f>
        <v>4.5</v>
      </c>
      <c r="L159" s="157" t="s">
        <v>918</v>
      </c>
      <c r="M159" s="157" t="s">
        <v>922</v>
      </c>
      <c r="N159" s="3">
        <f t="array" aca="1" ref="N159" ca="1">IFERROR(
  INDEX($J$2:$J$543,
    MATCH(A159&amp;TEXT(I159,"yyyy-mm-dd"),
          $A$2:$A$543&amp;TEXT($H$2:$H$543,"yyyy-mm-dd"),
          0)),
"")</f>
        <v>2.5</v>
      </c>
      <c r="O159" s="147" t="str">
        <f t="shared" ca="1" si="1"/>
        <v/>
      </c>
      <c r="P159" s="147">
        <f t="shared" ref="P159:Q159" ca="1" si="168">IF(N159="",0,IF(N159&lt;=2,1,IF(N159&lt;=4,2,IF(N159&lt;=5.5,3,4))))</f>
        <v>2</v>
      </c>
      <c r="Q159" s="147">
        <f t="shared" ca="1" si="168"/>
        <v>0</v>
      </c>
      <c r="R159" s="147" t="str">
        <f t="shared" ca="1" si="3"/>
        <v>Regressed</v>
      </c>
      <c r="S159" s="147">
        <f t="shared" si="4"/>
        <v>0</v>
      </c>
      <c r="T159" s="147"/>
      <c r="U159" s="147"/>
      <c r="V159" s="148" t="e">
        <f ca="1"/>
        <v>#NAME?</v>
      </c>
      <c r="W159" s="147" t="e">
        <f t="shared" ca="1" si="5"/>
        <v>#NAME?</v>
      </c>
      <c r="X159" s="147" t="e">
        <f t="shared" ca="1" si="6"/>
        <v>#NAME?</v>
      </c>
      <c r="Y159" s="147" t="e">
        <f t="shared" ca="1" si="7"/>
        <v>#NAME?</v>
      </c>
      <c r="Z159" s="147"/>
      <c r="AA159" s="147"/>
      <c r="AB159" s="147"/>
      <c r="AC159" s="147"/>
      <c r="AD159" s="147"/>
      <c r="AE159" s="147"/>
      <c r="AF159" s="147"/>
      <c r="AG159" s="147"/>
      <c r="AH159" s="147"/>
      <c r="AI159" s="147"/>
      <c r="AJ159" s="147"/>
      <c r="AK159" s="147"/>
      <c r="AL159" s="147"/>
      <c r="AM159" s="151"/>
      <c r="AN159" s="147"/>
      <c r="AO159" s="147" t="e">
        <f t="shared" si="8"/>
        <v>#N/A</v>
      </c>
      <c r="AP159" s="147" t="e">
        <f t="shared" ca="1" si="9"/>
        <v>#NAME?</v>
      </c>
      <c r="AQ159" s="147" t="e">
        <f t="shared" si="10"/>
        <v>#N/A</v>
      </c>
      <c r="AR159" s="147"/>
      <c r="AS159" s="147"/>
      <c r="AT159" s="147"/>
      <c r="AU159" s="147"/>
      <c r="AV159" s="147"/>
      <c r="AW159" s="147"/>
      <c r="AX159" s="147"/>
      <c r="AY159" s="147"/>
      <c r="AZ159" s="147"/>
      <c r="BA159" s="147"/>
      <c r="BB159" s="147"/>
      <c r="BC159" s="147"/>
      <c r="BD159" s="147"/>
      <c r="BE159" s="147"/>
      <c r="BF159" s="147"/>
      <c r="BG159" s="147"/>
      <c r="BH159" s="147"/>
      <c r="BI159" s="147"/>
      <c r="BJ159" s="147"/>
      <c r="BK159" s="147"/>
      <c r="BL159" s="147"/>
      <c r="BM159" s="147"/>
      <c r="BN159" s="147"/>
      <c r="BO159" s="147"/>
      <c r="BP159" s="147"/>
      <c r="BQ159" s="147"/>
      <c r="BR159" s="147"/>
      <c r="BS159" s="147"/>
      <c r="BT159" s="147"/>
      <c r="BU159" s="147"/>
      <c r="BV159" s="147"/>
      <c r="BW159" s="147"/>
      <c r="BX159" s="147"/>
      <c r="BY159" s="147"/>
      <c r="BZ159" s="147"/>
      <c r="CA159" s="147"/>
      <c r="CB159" s="147"/>
      <c r="CC159" s="147"/>
      <c r="CD159" s="147"/>
      <c r="CE159" s="147"/>
      <c r="CF159" s="147"/>
      <c r="CG159" s="147"/>
      <c r="CH159" s="147"/>
      <c r="CI159" s="147"/>
      <c r="CJ159" s="147"/>
      <c r="CK159" s="147"/>
    </row>
    <row r="160" spans="1:89">
      <c r="A160" s="153" t="s">
        <v>346</v>
      </c>
      <c r="B160" s="154" t="s">
        <v>347</v>
      </c>
      <c r="C160" s="155" t="s">
        <v>66</v>
      </c>
      <c r="D160" s="155" t="s">
        <v>859</v>
      </c>
      <c r="E160" s="154" t="s">
        <v>21</v>
      </c>
      <c r="F160" s="3"/>
      <c r="G160" s="3"/>
      <c r="H160" s="156" t="str">
        <f ca="1">IFERROR(
  _xludf.MINIFS(ATTENDANCE_LOG!$F:$F,
         ATTENDANCE_LOG!$A:$A, C160,
         ATTENDANCE_LOG!$B:$B, E160),
"")</f>
        <v/>
      </c>
      <c r="I160" s="156" t="str">
        <f t="shared" ca="1" si="0"/>
        <v/>
      </c>
      <c r="J160" s="3" t="str">
        <f>IFERROR(VLOOKUP(F160, LEVEL_HELPER!$A:$B, 2, 0), "")</f>
        <v/>
      </c>
      <c r="K160" s="3" t="str">
        <f>IFERROR(VLOOKUP(G160, LEVEL_HELPER!$A:$B, 2, 0), "")</f>
        <v/>
      </c>
      <c r="L160" s="157" t="s">
        <v>946</v>
      </c>
      <c r="M160" s="157" t="s">
        <v>925</v>
      </c>
      <c r="N160" s="3" t="str">
        <f t="array" aca="1" ref="N160" ca="1">IFERROR(
  INDEX($J$2:$J$543,
    MATCH(A160&amp;TEXT(I160,"yyyy-mm-dd"),
          $A$2:$A$543&amp;TEXT($H$2:$H$543,"yyyy-mm-dd"),
          0)),
"")</f>
        <v/>
      </c>
      <c r="O160" s="147" t="str">
        <f t="shared" ca="1" si="1"/>
        <v/>
      </c>
      <c r="P160" s="147">
        <f t="shared" ref="P160:Q160" ca="1" si="169">IF(N160="",0,IF(N160&lt;=2,1,IF(N160&lt;=4,2,IF(N160&lt;=5.5,3,4))))</f>
        <v>0</v>
      </c>
      <c r="Q160" s="147">
        <f t="shared" ca="1" si="169"/>
        <v>0</v>
      </c>
      <c r="R160" s="147" t="str">
        <f t="shared" ca="1" si="3"/>
        <v>No Data</v>
      </c>
      <c r="S160" s="147">
        <f t="shared" si="4"/>
        <v>1</v>
      </c>
      <c r="T160" s="147"/>
      <c r="U160" s="147"/>
      <c r="V160" s="148" t="e">
        <f ca="1"/>
        <v>#NAME?</v>
      </c>
      <c r="W160" s="147" t="e">
        <f t="shared" ca="1" si="5"/>
        <v>#NAME?</v>
      </c>
      <c r="X160" s="147" t="e">
        <f t="shared" ca="1" si="6"/>
        <v>#NAME?</v>
      </c>
      <c r="Y160" s="147" t="e">
        <f t="shared" ca="1" si="7"/>
        <v>#NAME?</v>
      </c>
      <c r="Z160" s="147"/>
      <c r="AA160" s="147"/>
      <c r="AB160" s="147"/>
      <c r="AC160" s="147"/>
      <c r="AD160" s="147"/>
      <c r="AE160" s="147"/>
      <c r="AF160" s="147"/>
      <c r="AG160" s="147"/>
      <c r="AH160" s="147"/>
      <c r="AI160" s="147"/>
      <c r="AJ160" s="147"/>
      <c r="AK160" s="147"/>
      <c r="AL160" s="147"/>
      <c r="AM160" s="151"/>
      <c r="AN160" s="147"/>
      <c r="AO160" s="147" t="e">
        <f t="shared" si="8"/>
        <v>#N/A</v>
      </c>
      <c r="AP160" s="147" t="e">
        <f t="shared" ca="1" si="9"/>
        <v>#NAME?</v>
      </c>
      <c r="AQ160" s="147" t="e">
        <f t="shared" si="10"/>
        <v>#N/A</v>
      </c>
      <c r="AR160" s="147"/>
      <c r="AS160" s="147"/>
      <c r="AT160" s="147"/>
      <c r="AU160" s="147"/>
      <c r="AV160" s="147"/>
      <c r="AW160" s="147"/>
      <c r="AX160" s="147"/>
      <c r="AY160" s="147"/>
      <c r="AZ160" s="147"/>
      <c r="BA160" s="147"/>
      <c r="BB160" s="147"/>
      <c r="BC160" s="147"/>
      <c r="BD160" s="147"/>
      <c r="BE160" s="147"/>
      <c r="BF160" s="147"/>
      <c r="BG160" s="147"/>
      <c r="BH160" s="147"/>
      <c r="BI160" s="147"/>
      <c r="BJ160" s="147"/>
      <c r="BK160" s="147"/>
      <c r="BL160" s="147"/>
      <c r="BM160" s="147"/>
      <c r="BN160" s="147"/>
      <c r="BO160" s="147"/>
      <c r="BP160" s="147"/>
      <c r="BQ160" s="147"/>
      <c r="BR160" s="147"/>
      <c r="BS160" s="147"/>
      <c r="BT160" s="147"/>
      <c r="BU160" s="147"/>
      <c r="BV160" s="147"/>
      <c r="BW160" s="147"/>
      <c r="BX160" s="147"/>
      <c r="BY160" s="147"/>
      <c r="BZ160" s="147"/>
      <c r="CA160" s="147"/>
      <c r="CB160" s="147"/>
      <c r="CC160" s="147"/>
      <c r="CD160" s="147"/>
      <c r="CE160" s="147"/>
      <c r="CF160" s="147"/>
      <c r="CG160" s="147"/>
      <c r="CH160" s="147"/>
      <c r="CI160" s="147"/>
      <c r="CJ160" s="147"/>
      <c r="CK160" s="147"/>
    </row>
    <row r="161" spans="1:89">
      <c r="A161" s="159" t="s">
        <v>514</v>
      </c>
      <c r="B161" s="3" t="s">
        <v>515</v>
      </c>
      <c r="C161" s="160" t="s">
        <v>66</v>
      </c>
      <c r="D161" s="160" t="s">
        <v>859</v>
      </c>
      <c r="E161" s="3" t="s">
        <v>21</v>
      </c>
      <c r="F161" s="3"/>
      <c r="G161" s="3"/>
      <c r="H161" s="156" t="str">
        <f ca="1">IFERROR(
  _xludf.MINIFS(ATTENDANCE_LOG!$F:$F,
         ATTENDANCE_LOG!$A:$A, C161,
         ATTENDANCE_LOG!$B:$B, E161),
"")</f>
        <v/>
      </c>
      <c r="I161" s="156" t="str">
        <f t="shared" ca="1" si="0"/>
        <v/>
      </c>
      <c r="J161" s="3" t="str">
        <f>IFERROR(VLOOKUP(F161, LEVEL_HELPER!$A:$B, 2, 0), "")</f>
        <v/>
      </c>
      <c r="K161" s="3" t="str">
        <f>IFERROR(VLOOKUP(G161, LEVEL_HELPER!$A:$B, 2, 0), "")</f>
        <v/>
      </c>
      <c r="L161" s="157" t="s">
        <v>942</v>
      </c>
      <c r="M161" s="157" t="s">
        <v>925</v>
      </c>
      <c r="N161" s="3" t="str">
        <f t="array" aca="1" ref="N161" ca="1">IFERROR(
  INDEX($J$2:$J$543,
    MATCH(A161&amp;TEXT(I161,"yyyy-mm-dd"),
          $A$2:$A$543&amp;TEXT($H$2:$H$543,"yyyy-mm-dd"),
          0)),
"")</f>
        <v/>
      </c>
      <c r="O161" s="147" t="str">
        <f t="shared" ca="1" si="1"/>
        <v/>
      </c>
      <c r="P161" s="147">
        <f t="shared" ref="P161:Q161" ca="1" si="170">IF(N161="",0,IF(N161&lt;=2,1,IF(N161&lt;=4,2,IF(N161&lt;=5.5,3,4))))</f>
        <v>0</v>
      </c>
      <c r="Q161" s="147">
        <f t="shared" ca="1" si="170"/>
        <v>0</v>
      </c>
      <c r="R161" s="147" t="str">
        <f t="shared" ca="1" si="3"/>
        <v>No Data</v>
      </c>
      <c r="S161" s="147">
        <f t="shared" si="4"/>
        <v>1</v>
      </c>
      <c r="T161" s="147"/>
      <c r="U161" s="147"/>
      <c r="V161" s="148" t="e">
        <f ca="1"/>
        <v>#NAME?</v>
      </c>
      <c r="W161" s="147" t="e">
        <f t="shared" ca="1" si="5"/>
        <v>#NAME?</v>
      </c>
      <c r="X161" s="147" t="e">
        <f t="shared" ca="1" si="6"/>
        <v>#NAME?</v>
      </c>
      <c r="Y161" s="147" t="e">
        <f t="shared" ca="1" si="7"/>
        <v>#NAME?</v>
      </c>
      <c r="Z161" s="147"/>
      <c r="AA161" s="147"/>
      <c r="AB161" s="147"/>
      <c r="AC161" s="147"/>
      <c r="AD161" s="147"/>
      <c r="AE161" s="147"/>
      <c r="AF161" s="147"/>
      <c r="AG161" s="147"/>
      <c r="AH161" s="147"/>
      <c r="AI161" s="147"/>
      <c r="AJ161" s="147"/>
      <c r="AK161" s="147"/>
      <c r="AL161" s="147"/>
      <c r="AM161" s="151"/>
      <c r="AN161" s="147"/>
      <c r="AO161" s="147" t="e">
        <f t="shared" si="8"/>
        <v>#N/A</v>
      </c>
      <c r="AP161" s="147" t="e">
        <f t="shared" ca="1" si="9"/>
        <v>#NAME?</v>
      </c>
      <c r="AQ161" s="147" t="e">
        <f t="shared" si="10"/>
        <v>#N/A</v>
      </c>
      <c r="AR161" s="147"/>
      <c r="AS161" s="147"/>
      <c r="AT161" s="147"/>
      <c r="AU161" s="147"/>
      <c r="AV161" s="147"/>
      <c r="AW161" s="147"/>
      <c r="AX161" s="147"/>
      <c r="AY161" s="147"/>
      <c r="AZ161" s="147"/>
      <c r="BA161" s="147"/>
      <c r="BB161" s="147"/>
      <c r="BC161" s="147"/>
      <c r="BD161" s="147"/>
      <c r="BE161" s="147"/>
      <c r="BF161" s="147"/>
      <c r="BG161" s="147"/>
      <c r="BH161" s="147"/>
      <c r="BI161" s="147"/>
      <c r="BJ161" s="147"/>
      <c r="BK161" s="147"/>
      <c r="BL161" s="147"/>
      <c r="BM161" s="147"/>
      <c r="BN161" s="147"/>
      <c r="BO161" s="147"/>
      <c r="BP161" s="147"/>
      <c r="BQ161" s="147"/>
      <c r="BR161" s="147"/>
      <c r="BS161" s="147"/>
      <c r="BT161" s="147"/>
      <c r="BU161" s="147"/>
      <c r="BV161" s="147"/>
      <c r="BW161" s="147"/>
      <c r="BX161" s="147"/>
      <c r="BY161" s="147"/>
      <c r="BZ161" s="147"/>
      <c r="CA161" s="147"/>
      <c r="CB161" s="147"/>
      <c r="CC161" s="147"/>
      <c r="CD161" s="147"/>
      <c r="CE161" s="147"/>
      <c r="CF161" s="147"/>
      <c r="CG161" s="147"/>
      <c r="CH161" s="147"/>
      <c r="CI161" s="147"/>
      <c r="CJ161" s="147"/>
      <c r="CK161" s="147"/>
    </row>
    <row r="162" spans="1:89">
      <c r="A162" s="159" t="s">
        <v>518</v>
      </c>
      <c r="B162" s="3" t="s">
        <v>519</v>
      </c>
      <c r="C162" s="160" t="s">
        <v>66</v>
      </c>
      <c r="D162" s="160" t="s">
        <v>859</v>
      </c>
      <c r="E162" s="3" t="s">
        <v>21</v>
      </c>
      <c r="F162" s="3"/>
      <c r="G162" s="3"/>
      <c r="H162" s="156" t="str">
        <f ca="1">IFERROR(
  _xludf.MINIFS(ATTENDANCE_LOG!$F:$F,
         ATTENDANCE_LOG!$A:$A, C162,
         ATTENDANCE_LOG!$B:$B, E162),
"")</f>
        <v/>
      </c>
      <c r="I162" s="156" t="str">
        <f t="shared" ca="1" si="0"/>
        <v/>
      </c>
      <c r="J162" s="3" t="str">
        <f>IFERROR(VLOOKUP(F162, LEVEL_HELPER!$A:$B, 2, 0), "")</f>
        <v/>
      </c>
      <c r="K162" s="3" t="str">
        <f>IFERROR(VLOOKUP(G162, LEVEL_HELPER!$A:$B, 2, 0), "")</f>
        <v/>
      </c>
      <c r="L162" s="157" t="s">
        <v>942</v>
      </c>
      <c r="M162" s="157" t="s">
        <v>925</v>
      </c>
      <c r="N162" s="3" t="str">
        <f t="array" aca="1" ref="N162" ca="1">IFERROR(
  INDEX($J$2:$J$543,
    MATCH(A162&amp;TEXT(I162,"yyyy-mm-dd"),
          $A$2:$A$543&amp;TEXT($H$2:$H$543,"yyyy-mm-dd"),
          0)),
"")</f>
        <v/>
      </c>
      <c r="O162" s="147" t="str">
        <f t="shared" ca="1" si="1"/>
        <v/>
      </c>
      <c r="P162" s="147">
        <f t="shared" ref="P162:Q162" ca="1" si="171">IF(N162="",0,IF(N162&lt;=2,1,IF(N162&lt;=4,2,IF(N162&lt;=5.5,3,4))))</f>
        <v>0</v>
      </c>
      <c r="Q162" s="147">
        <f t="shared" ca="1" si="171"/>
        <v>0</v>
      </c>
      <c r="R162" s="147" t="str">
        <f t="shared" ca="1" si="3"/>
        <v>No Data</v>
      </c>
      <c r="S162" s="147">
        <f t="shared" si="4"/>
        <v>1</v>
      </c>
      <c r="T162" s="147"/>
      <c r="U162" s="147"/>
      <c r="V162" s="148" t="e">
        <f ca="1"/>
        <v>#NAME?</v>
      </c>
      <c r="W162" s="147" t="e">
        <f t="shared" ca="1" si="5"/>
        <v>#NAME?</v>
      </c>
      <c r="X162" s="147" t="e">
        <f t="shared" ca="1" si="6"/>
        <v>#NAME?</v>
      </c>
      <c r="Y162" s="147" t="e">
        <f t="shared" ca="1" si="7"/>
        <v>#NAME?</v>
      </c>
      <c r="Z162" s="147"/>
      <c r="AA162" s="147"/>
      <c r="AB162" s="147"/>
      <c r="AC162" s="147"/>
      <c r="AD162" s="147"/>
      <c r="AE162" s="147"/>
      <c r="AF162" s="147"/>
      <c r="AG162" s="147"/>
      <c r="AH162" s="147"/>
      <c r="AI162" s="147"/>
      <c r="AJ162" s="147"/>
      <c r="AK162" s="147"/>
      <c r="AL162" s="147"/>
      <c r="AM162" s="151"/>
      <c r="AN162" s="147"/>
      <c r="AO162" s="147" t="e">
        <f t="shared" si="8"/>
        <v>#N/A</v>
      </c>
      <c r="AP162" s="147" t="e">
        <f t="shared" ca="1" si="9"/>
        <v>#NAME?</v>
      </c>
      <c r="AQ162" s="147" t="e">
        <f t="shared" si="10"/>
        <v>#N/A</v>
      </c>
      <c r="AR162" s="147"/>
      <c r="AS162" s="147"/>
      <c r="AT162" s="147"/>
      <c r="AU162" s="147"/>
      <c r="AV162" s="147"/>
      <c r="AW162" s="147"/>
      <c r="AX162" s="147"/>
      <c r="AY162" s="147"/>
      <c r="AZ162" s="147"/>
      <c r="BA162" s="147"/>
      <c r="BB162" s="147"/>
      <c r="BC162" s="147"/>
      <c r="BD162" s="147"/>
      <c r="BE162" s="147"/>
      <c r="BF162" s="147"/>
      <c r="BG162" s="147"/>
      <c r="BH162" s="147"/>
      <c r="BI162" s="147"/>
      <c r="BJ162" s="147"/>
      <c r="BK162" s="147"/>
      <c r="BL162" s="147"/>
      <c r="BM162" s="147"/>
      <c r="BN162" s="147"/>
      <c r="BO162" s="147"/>
      <c r="BP162" s="147"/>
      <c r="BQ162" s="147"/>
      <c r="BR162" s="147"/>
      <c r="BS162" s="147"/>
      <c r="BT162" s="147"/>
      <c r="BU162" s="147"/>
      <c r="BV162" s="147"/>
      <c r="BW162" s="147"/>
      <c r="BX162" s="147"/>
      <c r="BY162" s="147"/>
      <c r="BZ162" s="147"/>
      <c r="CA162" s="147"/>
      <c r="CB162" s="147"/>
      <c r="CC162" s="147"/>
      <c r="CD162" s="147"/>
      <c r="CE162" s="147"/>
      <c r="CF162" s="147"/>
      <c r="CG162" s="147"/>
      <c r="CH162" s="147"/>
      <c r="CI162" s="147"/>
      <c r="CJ162" s="147"/>
      <c r="CK162" s="147"/>
    </row>
    <row r="163" spans="1:89">
      <c r="A163" s="159" t="s">
        <v>522</v>
      </c>
      <c r="B163" s="3" t="s">
        <v>523</v>
      </c>
      <c r="C163" s="160" t="s">
        <v>66</v>
      </c>
      <c r="D163" s="160" t="s">
        <v>859</v>
      </c>
      <c r="E163" s="3" t="s">
        <v>21</v>
      </c>
      <c r="F163" s="3"/>
      <c r="G163" s="3"/>
      <c r="H163" s="156" t="str">
        <f ca="1">IFERROR(
  _xludf.MINIFS(ATTENDANCE_LOG!$F:$F,
         ATTENDANCE_LOG!$A:$A, C163,
         ATTENDANCE_LOG!$B:$B, E163),
"")</f>
        <v/>
      </c>
      <c r="I163" s="156" t="str">
        <f t="shared" ca="1" si="0"/>
        <v/>
      </c>
      <c r="J163" s="3" t="str">
        <f>IFERROR(VLOOKUP(F163, LEVEL_HELPER!$A:$B, 2, 0), "")</f>
        <v/>
      </c>
      <c r="K163" s="3" t="str">
        <f>IFERROR(VLOOKUP(G163, LEVEL_HELPER!$A:$B, 2, 0), "")</f>
        <v/>
      </c>
      <c r="L163" s="157" t="s">
        <v>942</v>
      </c>
      <c r="M163" s="157" t="s">
        <v>925</v>
      </c>
      <c r="N163" s="3" t="str">
        <f t="array" aca="1" ref="N163" ca="1">IFERROR(
  INDEX($J$2:$J$543,
    MATCH(A163&amp;TEXT(I163,"yyyy-mm-dd"),
          $A$2:$A$543&amp;TEXT($H$2:$H$543,"yyyy-mm-dd"),
          0)),
"")</f>
        <v/>
      </c>
      <c r="O163" s="147" t="str">
        <f t="shared" ca="1" si="1"/>
        <v/>
      </c>
      <c r="P163" s="147">
        <f t="shared" ref="P163:Q163" ca="1" si="172">IF(N163="",0,IF(N163&lt;=2,1,IF(N163&lt;=4,2,IF(N163&lt;=5.5,3,4))))</f>
        <v>0</v>
      </c>
      <c r="Q163" s="147">
        <f t="shared" ca="1" si="172"/>
        <v>0</v>
      </c>
      <c r="R163" s="147" t="str">
        <f t="shared" ca="1" si="3"/>
        <v>No Data</v>
      </c>
      <c r="S163" s="147">
        <f t="shared" si="4"/>
        <v>1</v>
      </c>
      <c r="T163" s="147"/>
      <c r="U163" s="147"/>
      <c r="V163" s="148" t="e">
        <f ca="1"/>
        <v>#NAME?</v>
      </c>
      <c r="W163" s="147" t="e">
        <f t="shared" ca="1" si="5"/>
        <v>#NAME?</v>
      </c>
      <c r="X163" s="147" t="e">
        <f t="shared" ca="1" si="6"/>
        <v>#NAME?</v>
      </c>
      <c r="Y163" s="147" t="e">
        <f t="shared" ca="1" si="7"/>
        <v>#NAME?</v>
      </c>
      <c r="Z163" s="147"/>
      <c r="AA163" s="147"/>
      <c r="AB163" s="147"/>
      <c r="AC163" s="147"/>
      <c r="AD163" s="147"/>
      <c r="AE163" s="147"/>
      <c r="AF163" s="147"/>
      <c r="AG163" s="147"/>
      <c r="AH163" s="147"/>
      <c r="AI163" s="147"/>
      <c r="AJ163" s="147"/>
      <c r="AK163" s="147"/>
      <c r="AL163" s="147"/>
      <c r="AM163" s="151"/>
      <c r="AN163" s="147"/>
      <c r="AO163" s="147" t="e">
        <f t="shared" si="8"/>
        <v>#N/A</v>
      </c>
      <c r="AP163" s="147" t="e">
        <f t="shared" ca="1" si="9"/>
        <v>#NAME?</v>
      </c>
      <c r="AQ163" s="147" t="e">
        <f t="shared" si="10"/>
        <v>#N/A</v>
      </c>
      <c r="AR163" s="147"/>
      <c r="AS163" s="147"/>
      <c r="AT163" s="147"/>
      <c r="AU163" s="147"/>
      <c r="AV163" s="147"/>
      <c r="AW163" s="147"/>
      <c r="AX163" s="147"/>
      <c r="AY163" s="147"/>
      <c r="AZ163" s="147"/>
      <c r="BA163" s="147"/>
      <c r="BB163" s="147"/>
      <c r="BC163" s="147"/>
      <c r="BD163" s="147"/>
      <c r="BE163" s="147"/>
      <c r="BF163" s="147"/>
      <c r="BG163" s="147"/>
      <c r="BH163" s="147"/>
      <c r="BI163" s="147"/>
      <c r="BJ163" s="147"/>
      <c r="BK163" s="147"/>
      <c r="BL163" s="147"/>
      <c r="BM163" s="147"/>
      <c r="BN163" s="147"/>
      <c r="BO163" s="147"/>
      <c r="BP163" s="147"/>
      <c r="BQ163" s="147"/>
      <c r="BR163" s="147"/>
      <c r="BS163" s="147"/>
      <c r="BT163" s="147"/>
      <c r="BU163" s="147"/>
      <c r="BV163" s="147"/>
      <c r="BW163" s="147"/>
      <c r="BX163" s="147"/>
      <c r="BY163" s="147"/>
      <c r="BZ163" s="147"/>
      <c r="CA163" s="147"/>
      <c r="CB163" s="147"/>
      <c r="CC163" s="147"/>
      <c r="CD163" s="147"/>
      <c r="CE163" s="147"/>
      <c r="CF163" s="147"/>
      <c r="CG163" s="147"/>
      <c r="CH163" s="147"/>
      <c r="CI163" s="147"/>
      <c r="CJ163" s="147"/>
      <c r="CK163" s="147"/>
    </row>
    <row r="164" spans="1:89">
      <c r="A164" s="159" t="s">
        <v>589</v>
      </c>
      <c r="B164" s="3" t="s">
        <v>590</v>
      </c>
      <c r="C164" s="160" t="s">
        <v>66</v>
      </c>
      <c r="D164" s="160" t="s">
        <v>859</v>
      </c>
      <c r="E164" s="3" t="s">
        <v>21</v>
      </c>
      <c r="F164" s="3"/>
      <c r="G164" s="3"/>
      <c r="H164" s="156" t="str">
        <f ca="1">IFERROR(
  _xludf.MINIFS(ATTENDANCE_LOG!$F:$F,
         ATTENDANCE_LOG!$A:$A, C164,
         ATTENDANCE_LOG!$B:$B, E164),
"")</f>
        <v/>
      </c>
      <c r="I164" s="156" t="str">
        <f t="shared" ca="1" si="0"/>
        <v/>
      </c>
      <c r="J164" s="3" t="str">
        <f>IFERROR(VLOOKUP(F164, LEVEL_HELPER!$A:$B, 2, 0), "")</f>
        <v/>
      </c>
      <c r="K164" s="3" t="str">
        <f>IFERROR(VLOOKUP(G164, LEVEL_HELPER!$A:$B, 2, 0), "")</f>
        <v/>
      </c>
      <c r="L164" s="157" t="s">
        <v>942</v>
      </c>
      <c r="M164" s="157" t="s">
        <v>925</v>
      </c>
      <c r="N164" s="3" t="str">
        <f t="array" aca="1" ref="N164" ca="1">IFERROR(
  INDEX($J$2:$J$543,
    MATCH(A164&amp;TEXT(I164,"yyyy-mm-dd"),
          $A$2:$A$543&amp;TEXT($H$2:$H$543,"yyyy-mm-dd"),
          0)),
"")</f>
        <v/>
      </c>
      <c r="O164" s="147" t="str">
        <f t="shared" ca="1" si="1"/>
        <v/>
      </c>
      <c r="P164" s="147">
        <f t="shared" ref="P164:Q164" ca="1" si="173">IF(N164="",0,IF(N164&lt;=2,1,IF(N164&lt;=4,2,IF(N164&lt;=5.5,3,4))))</f>
        <v>0</v>
      </c>
      <c r="Q164" s="147">
        <f t="shared" ca="1" si="173"/>
        <v>0</v>
      </c>
      <c r="R164" s="147" t="str">
        <f t="shared" ca="1" si="3"/>
        <v>No Data</v>
      </c>
      <c r="S164" s="147">
        <f t="shared" si="4"/>
        <v>1</v>
      </c>
      <c r="T164" s="147"/>
      <c r="U164" s="147"/>
      <c r="V164" s="148" t="e">
        <f ca="1"/>
        <v>#NAME?</v>
      </c>
      <c r="W164" s="147" t="e">
        <f t="shared" ca="1" si="5"/>
        <v>#NAME?</v>
      </c>
      <c r="X164" s="147" t="e">
        <f t="shared" ca="1" si="6"/>
        <v>#NAME?</v>
      </c>
      <c r="Y164" s="147" t="e">
        <f t="shared" ca="1" si="7"/>
        <v>#NAME?</v>
      </c>
      <c r="Z164" s="147"/>
      <c r="AA164" s="147"/>
      <c r="AB164" s="147"/>
      <c r="AC164" s="147"/>
      <c r="AD164" s="147"/>
      <c r="AE164" s="147"/>
      <c r="AF164" s="147"/>
      <c r="AG164" s="147"/>
      <c r="AH164" s="147"/>
      <c r="AI164" s="147"/>
      <c r="AJ164" s="147"/>
      <c r="AK164" s="147"/>
      <c r="AL164" s="147"/>
      <c r="AM164" s="151"/>
      <c r="AN164" s="147"/>
      <c r="AO164" s="147" t="e">
        <f t="shared" si="8"/>
        <v>#N/A</v>
      </c>
      <c r="AP164" s="147" t="e">
        <f t="shared" ca="1" si="9"/>
        <v>#NAME?</v>
      </c>
      <c r="AQ164" s="147" t="e">
        <f t="shared" si="10"/>
        <v>#N/A</v>
      </c>
      <c r="AR164" s="147"/>
      <c r="AS164" s="147"/>
      <c r="AT164" s="147"/>
      <c r="AU164" s="147"/>
      <c r="AV164" s="147"/>
      <c r="AW164" s="147"/>
      <c r="AX164" s="147"/>
      <c r="AY164" s="147"/>
      <c r="AZ164" s="147"/>
      <c r="BA164" s="147"/>
      <c r="BB164" s="147"/>
      <c r="BC164" s="147"/>
      <c r="BD164" s="147"/>
      <c r="BE164" s="147"/>
      <c r="BF164" s="147"/>
      <c r="BG164" s="147"/>
      <c r="BH164" s="147"/>
      <c r="BI164" s="147"/>
      <c r="BJ164" s="147"/>
      <c r="BK164" s="147"/>
      <c r="BL164" s="147"/>
      <c r="BM164" s="147"/>
      <c r="BN164" s="147"/>
      <c r="BO164" s="147"/>
      <c r="BP164" s="147"/>
      <c r="BQ164" s="147"/>
      <c r="BR164" s="147"/>
      <c r="BS164" s="147"/>
      <c r="BT164" s="147"/>
      <c r="BU164" s="147"/>
      <c r="BV164" s="147"/>
      <c r="BW164" s="147"/>
      <c r="BX164" s="147"/>
      <c r="BY164" s="147"/>
      <c r="BZ164" s="147"/>
      <c r="CA164" s="147"/>
      <c r="CB164" s="147"/>
      <c r="CC164" s="147"/>
      <c r="CD164" s="147"/>
      <c r="CE164" s="147"/>
      <c r="CF164" s="147"/>
      <c r="CG164" s="147"/>
      <c r="CH164" s="147"/>
      <c r="CI164" s="147"/>
      <c r="CJ164" s="147"/>
      <c r="CK164" s="147"/>
    </row>
    <row r="165" spans="1:89">
      <c r="A165" s="159" t="s">
        <v>645</v>
      </c>
      <c r="B165" s="3" t="s">
        <v>646</v>
      </c>
      <c r="C165" s="160" t="s">
        <v>66</v>
      </c>
      <c r="D165" s="160" t="s">
        <v>859</v>
      </c>
      <c r="E165" s="3" t="s">
        <v>21</v>
      </c>
      <c r="F165" s="3"/>
      <c r="G165" s="3"/>
      <c r="H165" s="156" t="str">
        <f ca="1">IFERROR(
  _xludf.MINIFS(ATTENDANCE_LOG!$F:$F,
         ATTENDANCE_LOG!$A:$A, C165,
         ATTENDANCE_LOG!$B:$B, E165),
"")</f>
        <v/>
      </c>
      <c r="I165" s="156" t="str">
        <f t="shared" ca="1" si="0"/>
        <v/>
      </c>
      <c r="J165" s="3" t="str">
        <f>IFERROR(VLOOKUP(F165, LEVEL_HELPER!$A:$B, 2, 0), "")</f>
        <v/>
      </c>
      <c r="K165" s="3" t="str">
        <f>IFERROR(VLOOKUP(G165, LEVEL_HELPER!$A:$B, 2, 0), "")</f>
        <v/>
      </c>
      <c r="L165" s="157" t="s">
        <v>942</v>
      </c>
      <c r="M165" s="157" t="s">
        <v>925</v>
      </c>
      <c r="N165" s="3" t="str">
        <f t="array" aca="1" ref="N165" ca="1">IFERROR(
  INDEX($J$2:$J$543,
    MATCH(A165&amp;TEXT(I165,"yyyy-mm-dd"),
          $A$2:$A$543&amp;TEXT($H$2:$H$543,"yyyy-mm-dd"),
          0)),
"")</f>
        <v/>
      </c>
      <c r="O165" s="147" t="str">
        <f t="shared" ca="1" si="1"/>
        <v/>
      </c>
      <c r="P165" s="147">
        <f t="shared" ref="P165:Q165" ca="1" si="174">IF(N165="",0,IF(N165&lt;=2,1,IF(N165&lt;=4,2,IF(N165&lt;=5.5,3,4))))</f>
        <v>0</v>
      </c>
      <c r="Q165" s="147">
        <f t="shared" ca="1" si="174"/>
        <v>0</v>
      </c>
      <c r="R165" s="147" t="str">
        <f t="shared" ca="1" si="3"/>
        <v>No Data</v>
      </c>
      <c r="S165" s="147">
        <f t="shared" si="4"/>
        <v>1</v>
      </c>
      <c r="T165" s="147"/>
      <c r="U165" s="147"/>
      <c r="V165" s="148" t="e">
        <f ca="1"/>
        <v>#NAME?</v>
      </c>
      <c r="W165" s="147" t="e">
        <f t="shared" ca="1" si="5"/>
        <v>#NAME?</v>
      </c>
      <c r="X165" s="147" t="e">
        <f t="shared" ca="1" si="6"/>
        <v>#NAME?</v>
      </c>
      <c r="Y165" s="147" t="e">
        <f t="shared" ca="1" si="7"/>
        <v>#NAME?</v>
      </c>
      <c r="Z165" s="147"/>
      <c r="AA165" s="147"/>
      <c r="AB165" s="147"/>
      <c r="AC165" s="147"/>
      <c r="AD165" s="147"/>
      <c r="AE165" s="147"/>
      <c r="AF165" s="147"/>
      <c r="AG165" s="147"/>
      <c r="AH165" s="147"/>
      <c r="AI165" s="147"/>
      <c r="AJ165" s="147"/>
      <c r="AK165" s="147"/>
      <c r="AL165" s="147"/>
      <c r="AM165" s="151"/>
      <c r="AN165" s="147"/>
      <c r="AO165" s="147" t="e">
        <f t="shared" si="8"/>
        <v>#N/A</v>
      </c>
      <c r="AP165" s="147" t="e">
        <f t="shared" ca="1" si="9"/>
        <v>#NAME?</v>
      </c>
      <c r="AQ165" s="147" t="e">
        <f t="shared" si="10"/>
        <v>#N/A</v>
      </c>
      <c r="AR165" s="147"/>
      <c r="AS165" s="147"/>
      <c r="AT165" s="147"/>
      <c r="AU165" s="147"/>
      <c r="AV165" s="147"/>
      <c r="AW165" s="147"/>
      <c r="AX165" s="147"/>
      <c r="AY165" s="147"/>
      <c r="AZ165" s="147"/>
      <c r="BA165" s="147"/>
      <c r="BB165" s="147"/>
      <c r="BC165" s="147"/>
      <c r="BD165" s="147"/>
      <c r="BE165" s="147"/>
      <c r="BF165" s="147"/>
      <c r="BG165" s="147"/>
      <c r="BH165" s="147"/>
      <c r="BI165" s="147"/>
      <c r="BJ165" s="147"/>
      <c r="BK165" s="147"/>
      <c r="BL165" s="147"/>
      <c r="BM165" s="147"/>
      <c r="BN165" s="147"/>
      <c r="BO165" s="147"/>
      <c r="BP165" s="147"/>
      <c r="BQ165" s="147"/>
      <c r="BR165" s="147"/>
      <c r="BS165" s="147"/>
      <c r="BT165" s="147"/>
      <c r="BU165" s="147"/>
      <c r="BV165" s="147"/>
      <c r="BW165" s="147"/>
      <c r="BX165" s="147"/>
      <c r="BY165" s="147"/>
      <c r="BZ165" s="147"/>
      <c r="CA165" s="147"/>
      <c r="CB165" s="147"/>
      <c r="CC165" s="147"/>
      <c r="CD165" s="147"/>
      <c r="CE165" s="147"/>
      <c r="CF165" s="147"/>
      <c r="CG165" s="147"/>
      <c r="CH165" s="147"/>
      <c r="CI165" s="147"/>
      <c r="CJ165" s="147"/>
      <c r="CK165" s="147"/>
    </row>
    <row r="166" spans="1:89">
      <c r="A166" s="153" t="s">
        <v>142</v>
      </c>
      <c r="B166" s="154" t="s">
        <v>143</v>
      </c>
      <c r="C166" s="155" t="s">
        <v>67</v>
      </c>
      <c r="D166" s="155" t="s">
        <v>860</v>
      </c>
      <c r="E166" s="154" t="s">
        <v>21</v>
      </c>
      <c r="F166" s="3"/>
      <c r="G166" s="3"/>
      <c r="H166" s="156" t="str">
        <f ca="1">IFERROR(
  _xludf.MINIFS(ATTENDANCE_LOG!$F:$F,
         ATTENDANCE_LOG!$A:$A, C166,
         ATTENDANCE_LOG!$B:$B, E166),
"")</f>
        <v/>
      </c>
      <c r="I166" s="156" t="str">
        <f t="shared" ca="1" si="0"/>
        <v/>
      </c>
      <c r="J166" s="3" t="str">
        <f>IFERROR(VLOOKUP(F166, LEVEL_HELPER!$A:$B, 2, 0), "")</f>
        <v/>
      </c>
      <c r="K166" s="3" t="str">
        <f>IFERROR(VLOOKUP(G166, LEVEL_HELPER!$A:$B, 2, 0), "")</f>
        <v/>
      </c>
      <c r="L166" s="157" t="s">
        <v>947</v>
      </c>
      <c r="M166" s="157" t="s">
        <v>920</v>
      </c>
      <c r="N166" s="3" t="str">
        <f t="array" aca="1" ref="N166" ca="1">IFERROR(
  INDEX($J$2:$J$543,
    MATCH(A166&amp;TEXT(I166,"yyyy-mm-dd"),
          $A$2:$A$543&amp;TEXT($H$2:$H$543,"yyyy-mm-dd"),
          0)),
"")</f>
        <v/>
      </c>
      <c r="O166" s="147" t="str">
        <f t="shared" ca="1" si="1"/>
        <v/>
      </c>
      <c r="P166" s="147">
        <f t="shared" ref="P166:Q166" ca="1" si="175">IF(N166="",0,IF(N166&lt;=2,1,IF(N166&lt;=4,2,IF(N166&lt;=5.5,3,4))))</f>
        <v>0</v>
      </c>
      <c r="Q166" s="147">
        <f t="shared" ca="1" si="175"/>
        <v>0</v>
      </c>
      <c r="R166" s="147" t="str">
        <f t="shared" ca="1" si="3"/>
        <v>No Data</v>
      </c>
      <c r="S166" s="147">
        <f t="shared" si="4"/>
        <v>1</v>
      </c>
      <c r="T166" s="147"/>
      <c r="U166" s="147"/>
      <c r="V166" s="148" t="e">
        <f ca="1"/>
        <v>#NAME?</v>
      </c>
      <c r="W166" s="147" t="e">
        <f t="shared" ca="1" si="5"/>
        <v>#NAME?</v>
      </c>
      <c r="X166" s="147" t="e">
        <f t="shared" ca="1" si="6"/>
        <v>#NAME?</v>
      </c>
      <c r="Y166" s="147" t="e">
        <f t="shared" ca="1" si="7"/>
        <v>#NAME?</v>
      </c>
      <c r="Z166" s="147"/>
      <c r="AA166" s="147"/>
      <c r="AB166" s="147"/>
      <c r="AC166" s="147"/>
      <c r="AD166" s="147"/>
      <c r="AE166" s="147"/>
      <c r="AF166" s="147"/>
      <c r="AG166" s="147"/>
      <c r="AH166" s="147"/>
      <c r="AI166" s="147"/>
      <c r="AJ166" s="147"/>
      <c r="AK166" s="147"/>
      <c r="AL166" s="147"/>
      <c r="AM166" s="151"/>
      <c r="AN166" s="147"/>
      <c r="AO166" s="147" t="e">
        <f t="shared" si="8"/>
        <v>#N/A</v>
      </c>
      <c r="AP166" s="147" t="e">
        <f t="shared" ca="1" si="9"/>
        <v>#NAME?</v>
      </c>
      <c r="AQ166" s="147" t="e">
        <f t="shared" si="10"/>
        <v>#N/A</v>
      </c>
      <c r="AR166" s="147"/>
      <c r="AS166" s="147"/>
      <c r="AT166" s="147"/>
      <c r="AU166" s="147"/>
      <c r="AV166" s="147"/>
      <c r="AW166" s="147"/>
      <c r="AX166" s="147"/>
      <c r="AY166" s="147"/>
      <c r="AZ166" s="147"/>
      <c r="BA166" s="147"/>
      <c r="BB166" s="147"/>
      <c r="BC166" s="147"/>
      <c r="BD166" s="147"/>
      <c r="BE166" s="147"/>
      <c r="BF166" s="147"/>
      <c r="BG166" s="147"/>
      <c r="BH166" s="147"/>
      <c r="BI166" s="147"/>
      <c r="BJ166" s="147"/>
      <c r="BK166" s="147"/>
      <c r="BL166" s="147"/>
      <c r="BM166" s="147"/>
      <c r="BN166" s="147"/>
      <c r="BO166" s="147"/>
      <c r="BP166" s="147"/>
      <c r="BQ166" s="147"/>
      <c r="BR166" s="147"/>
      <c r="BS166" s="147"/>
      <c r="BT166" s="147"/>
      <c r="BU166" s="147"/>
      <c r="BV166" s="147"/>
      <c r="BW166" s="147"/>
      <c r="BX166" s="147"/>
      <c r="BY166" s="147"/>
      <c r="BZ166" s="147"/>
      <c r="CA166" s="147"/>
      <c r="CB166" s="147"/>
      <c r="CC166" s="147"/>
      <c r="CD166" s="147"/>
      <c r="CE166" s="147"/>
      <c r="CF166" s="147"/>
      <c r="CG166" s="147"/>
      <c r="CH166" s="147"/>
      <c r="CI166" s="147"/>
      <c r="CJ166" s="147"/>
      <c r="CK166" s="147"/>
    </row>
    <row r="167" spans="1:89">
      <c r="A167" s="159" t="s">
        <v>204</v>
      </c>
      <c r="B167" s="3" t="s">
        <v>205</v>
      </c>
      <c r="C167" s="160" t="s">
        <v>67</v>
      </c>
      <c r="D167" s="160" t="s">
        <v>860</v>
      </c>
      <c r="E167" s="3" t="s">
        <v>21</v>
      </c>
      <c r="F167" s="3"/>
      <c r="G167" s="3"/>
      <c r="H167" s="156" t="str">
        <f ca="1">IFERROR(
  _xludf.MINIFS(ATTENDANCE_LOG!$F:$F,
         ATTENDANCE_LOG!$A:$A, C167,
         ATTENDANCE_LOG!$B:$B, E167),
"")</f>
        <v/>
      </c>
      <c r="I167" s="156" t="str">
        <f t="shared" ca="1" si="0"/>
        <v/>
      </c>
      <c r="J167" s="3" t="str">
        <f>IFERROR(VLOOKUP(F167, LEVEL_HELPER!$A:$B, 2, 0), "")</f>
        <v/>
      </c>
      <c r="K167" s="3" t="str">
        <f>IFERROR(VLOOKUP(G167, LEVEL_HELPER!$A:$B, 2, 0), "")</f>
        <v/>
      </c>
      <c r="L167" s="157" t="s">
        <v>947</v>
      </c>
      <c r="M167" s="157" t="s">
        <v>922</v>
      </c>
      <c r="N167" s="3" t="str">
        <f t="array" aca="1" ref="N167" ca="1">IFERROR(
  INDEX($J$2:$J$543,
    MATCH(A167&amp;TEXT(I167,"yyyy-mm-dd"),
          $A$2:$A$543&amp;TEXT($H$2:$H$543,"yyyy-mm-dd"),
          0)),
"")</f>
        <v/>
      </c>
      <c r="O167" s="147" t="str">
        <f t="shared" ca="1" si="1"/>
        <v/>
      </c>
      <c r="P167" s="147">
        <f t="shared" ref="P167:Q167" ca="1" si="176">IF(N167="",0,IF(N167&lt;=2,1,IF(N167&lt;=4,2,IF(N167&lt;=5.5,3,4))))</f>
        <v>0</v>
      </c>
      <c r="Q167" s="147">
        <f t="shared" ca="1" si="176"/>
        <v>0</v>
      </c>
      <c r="R167" s="147" t="str">
        <f t="shared" ca="1" si="3"/>
        <v>No Data</v>
      </c>
      <c r="S167" s="147">
        <f t="shared" si="4"/>
        <v>1</v>
      </c>
      <c r="T167" s="147"/>
      <c r="U167" s="147"/>
      <c r="V167" s="148" t="e">
        <f ca="1"/>
        <v>#NAME?</v>
      </c>
      <c r="W167" s="147" t="e">
        <f t="shared" ca="1" si="5"/>
        <v>#NAME?</v>
      </c>
      <c r="X167" s="147" t="e">
        <f t="shared" ca="1" si="6"/>
        <v>#NAME?</v>
      </c>
      <c r="Y167" s="147" t="e">
        <f t="shared" ca="1" si="7"/>
        <v>#NAME?</v>
      </c>
      <c r="Z167" s="147"/>
      <c r="AA167" s="147"/>
      <c r="AB167" s="147"/>
      <c r="AC167" s="147"/>
      <c r="AD167" s="147"/>
      <c r="AE167" s="147"/>
      <c r="AF167" s="147"/>
      <c r="AG167" s="147"/>
      <c r="AH167" s="147"/>
      <c r="AI167" s="147"/>
      <c r="AJ167" s="147"/>
      <c r="AK167" s="147"/>
      <c r="AL167" s="147"/>
      <c r="AM167" s="151"/>
      <c r="AN167" s="147"/>
      <c r="AO167" s="147" t="e">
        <f t="shared" si="8"/>
        <v>#N/A</v>
      </c>
      <c r="AP167" s="147" t="e">
        <f t="shared" ca="1" si="9"/>
        <v>#NAME?</v>
      </c>
      <c r="AQ167" s="147" t="e">
        <f t="shared" si="10"/>
        <v>#N/A</v>
      </c>
      <c r="AR167" s="147"/>
      <c r="AS167" s="147"/>
      <c r="AT167" s="147"/>
      <c r="AU167" s="147"/>
      <c r="AV167" s="147"/>
      <c r="AW167" s="147"/>
      <c r="AX167" s="147"/>
      <c r="AY167" s="147"/>
      <c r="AZ167" s="147"/>
      <c r="BA167" s="147"/>
      <c r="BB167" s="147"/>
      <c r="BC167" s="147"/>
      <c r="BD167" s="147"/>
      <c r="BE167" s="147"/>
      <c r="BF167" s="147"/>
      <c r="BG167" s="147"/>
      <c r="BH167" s="147"/>
      <c r="BI167" s="147"/>
      <c r="BJ167" s="147"/>
      <c r="BK167" s="147"/>
      <c r="BL167" s="147"/>
      <c r="BM167" s="147"/>
      <c r="BN167" s="147"/>
      <c r="BO167" s="147"/>
      <c r="BP167" s="147"/>
      <c r="BQ167" s="147"/>
      <c r="BR167" s="147"/>
      <c r="BS167" s="147"/>
      <c r="BT167" s="147"/>
      <c r="BU167" s="147"/>
      <c r="BV167" s="147"/>
      <c r="BW167" s="147"/>
      <c r="BX167" s="147"/>
      <c r="BY167" s="147"/>
      <c r="BZ167" s="147"/>
      <c r="CA167" s="147"/>
      <c r="CB167" s="147"/>
      <c r="CC167" s="147"/>
      <c r="CD167" s="147"/>
      <c r="CE167" s="147"/>
      <c r="CF167" s="147"/>
      <c r="CG167" s="147"/>
      <c r="CH167" s="147"/>
      <c r="CI167" s="147"/>
      <c r="CJ167" s="147"/>
      <c r="CK167" s="147"/>
    </row>
    <row r="168" spans="1:89">
      <c r="A168" s="159" t="s">
        <v>222</v>
      </c>
      <c r="B168" s="3" t="s">
        <v>223</v>
      </c>
      <c r="C168" s="160" t="s">
        <v>67</v>
      </c>
      <c r="D168" s="160" t="s">
        <v>860</v>
      </c>
      <c r="E168" s="3" t="s">
        <v>21</v>
      </c>
      <c r="F168" s="3"/>
      <c r="G168" s="3"/>
      <c r="H168" s="156" t="str">
        <f ca="1">IFERROR(
  _xludf.MINIFS(ATTENDANCE_LOG!$F:$F,
         ATTENDANCE_LOG!$A:$A, C168,
         ATTENDANCE_LOG!$B:$B, E168),
"")</f>
        <v/>
      </c>
      <c r="I168" s="156" t="str">
        <f t="shared" ca="1" si="0"/>
        <v/>
      </c>
      <c r="J168" s="3" t="str">
        <f>IFERROR(VLOOKUP(F168, LEVEL_HELPER!$A:$B, 2, 0), "")</f>
        <v/>
      </c>
      <c r="K168" s="3" t="str">
        <f>IFERROR(VLOOKUP(G168, LEVEL_HELPER!$A:$B, 2, 0), "")</f>
        <v/>
      </c>
      <c r="L168" s="157" t="s">
        <v>947</v>
      </c>
      <c r="M168" s="157" t="s">
        <v>920</v>
      </c>
      <c r="N168" s="3" t="str">
        <f t="array" aca="1" ref="N168" ca="1">IFERROR(
  INDEX($J$2:$J$543,
    MATCH(A168&amp;TEXT(I168,"yyyy-mm-dd"),
          $A$2:$A$543&amp;TEXT($H$2:$H$543,"yyyy-mm-dd"),
          0)),
"")</f>
        <v/>
      </c>
      <c r="O168" s="147" t="str">
        <f t="shared" ca="1" si="1"/>
        <v/>
      </c>
      <c r="P168" s="147">
        <f t="shared" ref="P168:Q168" ca="1" si="177">IF(N168="",0,IF(N168&lt;=2,1,IF(N168&lt;=4,2,IF(N168&lt;=5.5,3,4))))</f>
        <v>0</v>
      </c>
      <c r="Q168" s="147">
        <f t="shared" ca="1" si="177"/>
        <v>0</v>
      </c>
      <c r="R168" s="147" t="str">
        <f t="shared" ca="1" si="3"/>
        <v>No Data</v>
      </c>
      <c r="S168" s="147">
        <f t="shared" si="4"/>
        <v>1</v>
      </c>
      <c r="T168" s="147"/>
      <c r="U168" s="147"/>
      <c r="V168" s="148" t="e">
        <f ca="1"/>
        <v>#NAME?</v>
      </c>
      <c r="W168" s="147" t="e">
        <f t="shared" ca="1" si="5"/>
        <v>#NAME?</v>
      </c>
      <c r="X168" s="147" t="e">
        <f t="shared" ca="1" si="6"/>
        <v>#NAME?</v>
      </c>
      <c r="Y168" s="147" t="e">
        <f t="shared" ca="1" si="7"/>
        <v>#NAME?</v>
      </c>
      <c r="Z168" s="147"/>
      <c r="AA168" s="147"/>
      <c r="AB168" s="147"/>
      <c r="AC168" s="147"/>
      <c r="AD168" s="147"/>
      <c r="AE168" s="147"/>
      <c r="AF168" s="147"/>
      <c r="AG168" s="147"/>
      <c r="AH168" s="147"/>
      <c r="AI168" s="147"/>
      <c r="AJ168" s="147"/>
      <c r="AK168" s="147"/>
      <c r="AL168" s="147"/>
      <c r="AM168" s="151"/>
      <c r="AN168" s="147"/>
      <c r="AO168" s="147" t="e">
        <f t="shared" si="8"/>
        <v>#N/A</v>
      </c>
      <c r="AP168" s="147" t="e">
        <f t="shared" ca="1" si="9"/>
        <v>#NAME?</v>
      </c>
      <c r="AQ168" s="147" t="e">
        <f t="shared" si="10"/>
        <v>#N/A</v>
      </c>
      <c r="AR168" s="147"/>
      <c r="AS168" s="147"/>
      <c r="AT168" s="147"/>
      <c r="AU168" s="147"/>
      <c r="AV168" s="147"/>
      <c r="AW168" s="147"/>
      <c r="AX168" s="147"/>
      <c r="AY168" s="147"/>
      <c r="AZ168" s="147"/>
      <c r="BA168" s="147"/>
      <c r="BB168" s="147"/>
      <c r="BC168" s="147"/>
      <c r="BD168" s="147"/>
      <c r="BE168" s="147"/>
      <c r="BF168" s="147"/>
      <c r="BG168" s="147"/>
      <c r="BH168" s="147"/>
      <c r="BI168" s="147"/>
      <c r="BJ168" s="147"/>
      <c r="BK168" s="147"/>
      <c r="BL168" s="147"/>
      <c r="BM168" s="147"/>
      <c r="BN168" s="147"/>
      <c r="BO168" s="147"/>
      <c r="BP168" s="147"/>
      <c r="BQ168" s="147"/>
      <c r="BR168" s="147"/>
      <c r="BS168" s="147"/>
      <c r="BT168" s="147"/>
      <c r="BU168" s="147"/>
      <c r="BV168" s="147"/>
      <c r="BW168" s="147"/>
      <c r="BX168" s="147"/>
      <c r="BY168" s="147"/>
      <c r="BZ168" s="147"/>
      <c r="CA168" s="147"/>
      <c r="CB168" s="147"/>
      <c r="CC168" s="147"/>
      <c r="CD168" s="147"/>
      <c r="CE168" s="147"/>
      <c r="CF168" s="147"/>
      <c r="CG168" s="147"/>
      <c r="CH168" s="147"/>
      <c r="CI168" s="147"/>
      <c r="CJ168" s="147"/>
      <c r="CK168" s="147"/>
    </row>
    <row r="169" spans="1:89">
      <c r="A169" s="159" t="s">
        <v>292</v>
      </c>
      <c r="B169" s="3" t="s">
        <v>293</v>
      </c>
      <c r="C169" s="160" t="s">
        <v>67</v>
      </c>
      <c r="D169" s="160" t="s">
        <v>860</v>
      </c>
      <c r="E169" s="3" t="s">
        <v>21</v>
      </c>
      <c r="F169" s="3"/>
      <c r="G169" s="3"/>
      <c r="H169" s="156" t="str">
        <f ca="1">IFERROR(
  _xludf.MINIFS(ATTENDANCE_LOG!$F:$F,
         ATTENDANCE_LOG!$A:$A, C169,
         ATTENDANCE_LOG!$B:$B, E169),
"")</f>
        <v/>
      </c>
      <c r="I169" s="156" t="str">
        <f t="shared" ca="1" si="0"/>
        <v/>
      </c>
      <c r="J169" s="3" t="str">
        <f>IFERROR(VLOOKUP(F169, LEVEL_HELPER!$A:$B, 2, 0), "")</f>
        <v/>
      </c>
      <c r="K169" s="3" t="str">
        <f>IFERROR(VLOOKUP(G169, LEVEL_HELPER!$A:$B, 2, 0), "")</f>
        <v/>
      </c>
      <c r="L169" s="157" t="s">
        <v>947</v>
      </c>
      <c r="M169" s="157" t="s">
        <v>920</v>
      </c>
      <c r="N169" s="3" t="str">
        <f t="array" aca="1" ref="N169" ca="1">IFERROR(
  INDEX($J$2:$J$543,
    MATCH(A169&amp;TEXT(I169,"yyyy-mm-dd"),
          $A$2:$A$543&amp;TEXT($H$2:$H$543,"yyyy-mm-dd"),
          0)),
"")</f>
        <v/>
      </c>
      <c r="O169" s="147" t="str">
        <f t="shared" ca="1" si="1"/>
        <v/>
      </c>
      <c r="P169" s="147">
        <f t="shared" ref="P169:Q169" ca="1" si="178">IF(N169="",0,IF(N169&lt;=2,1,IF(N169&lt;=4,2,IF(N169&lt;=5.5,3,4))))</f>
        <v>0</v>
      </c>
      <c r="Q169" s="147">
        <f t="shared" ca="1" si="178"/>
        <v>0</v>
      </c>
      <c r="R169" s="147" t="str">
        <f t="shared" ca="1" si="3"/>
        <v>No Data</v>
      </c>
      <c r="S169" s="147">
        <f t="shared" si="4"/>
        <v>1</v>
      </c>
      <c r="T169" s="147"/>
      <c r="U169" s="147"/>
      <c r="V169" s="148" t="e">
        <f ca="1"/>
        <v>#NAME?</v>
      </c>
      <c r="W169" s="147" t="e">
        <f t="shared" ca="1" si="5"/>
        <v>#NAME?</v>
      </c>
      <c r="X169" s="147" t="e">
        <f t="shared" ca="1" si="6"/>
        <v>#NAME?</v>
      </c>
      <c r="Y169" s="147" t="e">
        <f t="shared" ca="1" si="7"/>
        <v>#NAME?</v>
      </c>
      <c r="Z169" s="147"/>
      <c r="AA169" s="147"/>
      <c r="AB169" s="147"/>
      <c r="AC169" s="147"/>
      <c r="AD169" s="147"/>
      <c r="AE169" s="147"/>
      <c r="AF169" s="147"/>
      <c r="AG169" s="147"/>
      <c r="AH169" s="147"/>
      <c r="AI169" s="147"/>
      <c r="AJ169" s="147"/>
      <c r="AK169" s="147"/>
      <c r="AL169" s="147"/>
      <c r="AM169" s="151"/>
      <c r="AN169" s="147"/>
      <c r="AO169" s="147" t="e">
        <f t="shared" si="8"/>
        <v>#N/A</v>
      </c>
      <c r="AP169" s="147" t="e">
        <f t="shared" ca="1" si="9"/>
        <v>#NAME?</v>
      </c>
      <c r="AQ169" s="147" t="e">
        <f t="shared" si="10"/>
        <v>#N/A</v>
      </c>
      <c r="AR169" s="147"/>
      <c r="AS169" s="147"/>
      <c r="AT169" s="147"/>
      <c r="AU169" s="147"/>
      <c r="AV169" s="147"/>
      <c r="AW169" s="147"/>
      <c r="AX169" s="147"/>
      <c r="AY169" s="147"/>
      <c r="AZ169" s="147"/>
      <c r="BA169" s="147"/>
      <c r="BB169" s="147"/>
      <c r="BC169" s="147"/>
      <c r="BD169" s="147"/>
      <c r="BE169" s="147"/>
      <c r="BF169" s="147"/>
      <c r="BG169" s="147"/>
      <c r="BH169" s="147"/>
      <c r="BI169" s="147"/>
      <c r="BJ169" s="147"/>
      <c r="BK169" s="147"/>
      <c r="BL169" s="147"/>
      <c r="BM169" s="147"/>
      <c r="BN169" s="147"/>
      <c r="BO169" s="147"/>
      <c r="BP169" s="147"/>
      <c r="BQ169" s="147"/>
      <c r="BR169" s="147"/>
      <c r="BS169" s="147"/>
      <c r="BT169" s="147"/>
      <c r="BU169" s="147"/>
      <c r="BV169" s="147"/>
      <c r="BW169" s="147"/>
      <c r="BX169" s="147"/>
      <c r="BY169" s="147"/>
      <c r="BZ169" s="147"/>
      <c r="CA169" s="147"/>
      <c r="CB169" s="147"/>
      <c r="CC169" s="147"/>
      <c r="CD169" s="147"/>
      <c r="CE169" s="147"/>
      <c r="CF169" s="147"/>
      <c r="CG169" s="147"/>
      <c r="CH169" s="147"/>
      <c r="CI169" s="147"/>
      <c r="CJ169" s="147"/>
      <c r="CK169" s="147"/>
    </row>
    <row r="170" spans="1:89">
      <c r="A170" s="159" t="s">
        <v>348</v>
      </c>
      <c r="B170" s="3" t="s">
        <v>349</v>
      </c>
      <c r="C170" s="160" t="s">
        <v>67</v>
      </c>
      <c r="D170" s="160" t="s">
        <v>860</v>
      </c>
      <c r="E170" s="3" t="s">
        <v>21</v>
      </c>
      <c r="F170" s="3" t="s">
        <v>916</v>
      </c>
      <c r="G170" s="3" t="s">
        <v>931</v>
      </c>
      <c r="H170" s="156" t="str">
        <f ca="1">IFERROR(
  _xludf.MINIFS(ATTENDANCE_LOG!$F:$F,
         ATTENDANCE_LOG!$A:$A, C170,
         ATTENDANCE_LOG!$B:$B, E170),
"")</f>
        <v/>
      </c>
      <c r="I170" s="156" t="str">
        <f t="shared" ca="1" si="0"/>
        <v/>
      </c>
      <c r="J170" s="3">
        <f>IFERROR(VLOOKUP(F170, LEVEL_HELPER!$A:$B, 2, 0), "")</f>
        <v>2.5</v>
      </c>
      <c r="K170" s="3">
        <f>IFERROR(VLOOKUP(G170, LEVEL_HELPER!$A:$B, 2, 0), "")</f>
        <v>4.5</v>
      </c>
      <c r="L170" s="157" t="s">
        <v>947</v>
      </c>
      <c r="M170" s="157" t="s">
        <v>920</v>
      </c>
      <c r="N170" s="3">
        <f t="array" aca="1" ref="N170" ca="1">IFERROR(
  INDEX($J$2:$J$543,
    MATCH(A170&amp;TEXT(I170,"yyyy-mm-dd"),
          $A$2:$A$543&amp;TEXT($H$2:$H$543,"yyyy-mm-dd"),
          0)),
"")</f>
        <v>2.5</v>
      </c>
      <c r="O170" s="147" t="str">
        <f t="shared" ca="1" si="1"/>
        <v/>
      </c>
      <c r="P170" s="147">
        <f t="shared" ref="P170:Q170" ca="1" si="179">IF(N170="",0,IF(N170&lt;=2,1,IF(N170&lt;=4,2,IF(N170&lt;=5.5,3,4))))</f>
        <v>2</v>
      </c>
      <c r="Q170" s="147">
        <f t="shared" ca="1" si="179"/>
        <v>0</v>
      </c>
      <c r="R170" s="147" t="str">
        <f t="shared" ca="1" si="3"/>
        <v>Regressed</v>
      </c>
      <c r="S170" s="147">
        <f t="shared" si="4"/>
        <v>1</v>
      </c>
      <c r="T170" s="147"/>
      <c r="U170" s="147"/>
      <c r="V170" s="148" t="e">
        <f ca="1"/>
        <v>#NAME?</v>
      </c>
      <c r="W170" s="147" t="e">
        <f t="shared" ca="1" si="5"/>
        <v>#NAME?</v>
      </c>
      <c r="X170" s="147" t="e">
        <f t="shared" ca="1" si="6"/>
        <v>#NAME?</v>
      </c>
      <c r="Y170" s="147" t="e">
        <f t="shared" ca="1" si="7"/>
        <v>#NAME?</v>
      </c>
      <c r="Z170" s="147"/>
      <c r="AA170" s="147"/>
      <c r="AB170" s="147"/>
      <c r="AC170" s="147"/>
      <c r="AD170" s="147"/>
      <c r="AE170" s="147"/>
      <c r="AF170" s="147"/>
      <c r="AG170" s="147"/>
      <c r="AH170" s="147"/>
      <c r="AI170" s="147"/>
      <c r="AJ170" s="147"/>
      <c r="AK170" s="147"/>
      <c r="AL170" s="147"/>
      <c r="AM170" s="151"/>
      <c r="AN170" s="147"/>
      <c r="AO170" s="147" t="e">
        <f t="shared" si="8"/>
        <v>#N/A</v>
      </c>
      <c r="AP170" s="147" t="e">
        <f t="shared" ca="1" si="9"/>
        <v>#NAME?</v>
      </c>
      <c r="AQ170" s="147" t="e">
        <f t="shared" si="10"/>
        <v>#N/A</v>
      </c>
      <c r="AR170" s="147"/>
      <c r="AS170" s="147"/>
      <c r="AT170" s="147"/>
      <c r="AU170" s="147"/>
      <c r="AV170" s="147"/>
      <c r="AW170" s="147"/>
      <c r="AX170" s="147"/>
      <c r="AY170" s="147"/>
      <c r="AZ170" s="147"/>
      <c r="BA170" s="147"/>
      <c r="BB170" s="147"/>
      <c r="BC170" s="147"/>
      <c r="BD170" s="147"/>
      <c r="BE170" s="147"/>
      <c r="BF170" s="147"/>
      <c r="BG170" s="147"/>
      <c r="BH170" s="147"/>
      <c r="BI170" s="147"/>
      <c r="BJ170" s="147"/>
      <c r="BK170" s="147"/>
      <c r="BL170" s="147"/>
      <c r="BM170" s="147"/>
      <c r="BN170" s="147"/>
      <c r="BO170" s="147"/>
      <c r="BP170" s="147"/>
      <c r="BQ170" s="147"/>
      <c r="BR170" s="147"/>
      <c r="BS170" s="147"/>
      <c r="BT170" s="147"/>
      <c r="BU170" s="147"/>
      <c r="BV170" s="147"/>
      <c r="BW170" s="147"/>
      <c r="BX170" s="147"/>
      <c r="BY170" s="147"/>
      <c r="BZ170" s="147"/>
      <c r="CA170" s="147"/>
      <c r="CB170" s="147"/>
      <c r="CC170" s="147"/>
      <c r="CD170" s="147"/>
      <c r="CE170" s="147"/>
      <c r="CF170" s="147"/>
      <c r="CG170" s="147"/>
      <c r="CH170" s="147"/>
      <c r="CI170" s="147"/>
      <c r="CJ170" s="147"/>
      <c r="CK170" s="147"/>
    </row>
    <row r="171" spans="1:89">
      <c r="A171" s="159" t="s">
        <v>480</v>
      </c>
      <c r="B171" s="3" t="s">
        <v>481</v>
      </c>
      <c r="C171" s="160" t="s">
        <v>67</v>
      </c>
      <c r="D171" s="160" t="s">
        <v>860</v>
      </c>
      <c r="E171" s="3" t="s">
        <v>21</v>
      </c>
      <c r="F171" s="3"/>
      <c r="G171" s="3"/>
      <c r="H171" s="156" t="str">
        <f ca="1">IFERROR(
  _xludf.MINIFS(ATTENDANCE_LOG!$F:$F,
         ATTENDANCE_LOG!$A:$A, C171,
         ATTENDANCE_LOG!$B:$B, E171),
"")</f>
        <v/>
      </c>
      <c r="I171" s="156" t="str">
        <f t="shared" ca="1" si="0"/>
        <v/>
      </c>
      <c r="J171" s="3" t="str">
        <f>IFERROR(VLOOKUP(F171, LEVEL_HELPER!$A:$B, 2, 0), "")</f>
        <v/>
      </c>
      <c r="K171" s="3" t="str">
        <f>IFERROR(VLOOKUP(G171, LEVEL_HELPER!$A:$B, 2, 0), "")</f>
        <v/>
      </c>
      <c r="L171" s="157" t="s">
        <v>947</v>
      </c>
      <c r="M171" s="157" t="s">
        <v>920</v>
      </c>
      <c r="N171" s="3" t="str">
        <f t="array" aca="1" ref="N171" ca="1">IFERROR(
  INDEX($J$2:$J$543,
    MATCH(A171&amp;TEXT(I171,"yyyy-mm-dd"),
          $A$2:$A$543&amp;TEXT($H$2:$H$543,"yyyy-mm-dd"),
          0)),
"")</f>
        <v/>
      </c>
      <c r="O171" s="147" t="str">
        <f t="shared" ca="1" si="1"/>
        <v/>
      </c>
      <c r="P171" s="147">
        <f t="shared" ref="P171:Q171" ca="1" si="180">IF(N171="",0,IF(N171&lt;=2,1,IF(N171&lt;=4,2,IF(N171&lt;=5.5,3,4))))</f>
        <v>0</v>
      </c>
      <c r="Q171" s="147">
        <f t="shared" ca="1" si="180"/>
        <v>0</v>
      </c>
      <c r="R171" s="147" t="str">
        <f t="shared" ca="1" si="3"/>
        <v>No Data</v>
      </c>
      <c r="S171" s="147">
        <f t="shared" si="4"/>
        <v>1</v>
      </c>
      <c r="T171" s="147"/>
      <c r="U171" s="147"/>
      <c r="V171" s="148" t="e">
        <f ca="1"/>
        <v>#NAME?</v>
      </c>
      <c r="W171" s="147" t="e">
        <f t="shared" ca="1" si="5"/>
        <v>#NAME?</v>
      </c>
      <c r="X171" s="147" t="e">
        <f t="shared" ca="1" si="6"/>
        <v>#NAME?</v>
      </c>
      <c r="Y171" s="147" t="e">
        <f t="shared" ca="1" si="7"/>
        <v>#NAME?</v>
      </c>
      <c r="Z171" s="147"/>
      <c r="AA171" s="147"/>
      <c r="AB171" s="147"/>
      <c r="AC171" s="147"/>
      <c r="AD171" s="147"/>
      <c r="AE171" s="147"/>
      <c r="AF171" s="147"/>
      <c r="AG171" s="147"/>
      <c r="AH171" s="147"/>
      <c r="AI171" s="147"/>
      <c r="AJ171" s="147"/>
      <c r="AK171" s="147"/>
      <c r="AL171" s="147"/>
      <c r="AM171" s="151"/>
      <c r="AN171" s="147"/>
      <c r="AO171" s="147" t="e">
        <f t="shared" si="8"/>
        <v>#N/A</v>
      </c>
      <c r="AP171" s="147" t="e">
        <f t="shared" ca="1" si="9"/>
        <v>#NAME?</v>
      </c>
      <c r="AQ171" s="147" t="e">
        <f t="shared" si="10"/>
        <v>#N/A</v>
      </c>
      <c r="AR171" s="147"/>
      <c r="AS171" s="147"/>
      <c r="AT171" s="147"/>
      <c r="AU171" s="147"/>
      <c r="AV171" s="147"/>
      <c r="AW171" s="147"/>
      <c r="AX171" s="147"/>
      <c r="AY171" s="147"/>
      <c r="AZ171" s="147"/>
      <c r="BA171" s="147"/>
      <c r="BB171" s="147"/>
      <c r="BC171" s="147"/>
      <c r="BD171" s="147"/>
      <c r="BE171" s="147"/>
      <c r="BF171" s="147"/>
      <c r="BG171" s="147"/>
      <c r="BH171" s="147"/>
      <c r="BI171" s="147"/>
      <c r="BJ171" s="147"/>
      <c r="BK171" s="147"/>
      <c r="BL171" s="147"/>
      <c r="BM171" s="147"/>
      <c r="BN171" s="147"/>
      <c r="BO171" s="147"/>
      <c r="BP171" s="147"/>
      <c r="BQ171" s="147"/>
      <c r="BR171" s="147"/>
      <c r="BS171" s="147"/>
      <c r="BT171" s="147"/>
      <c r="BU171" s="147"/>
      <c r="BV171" s="147"/>
      <c r="BW171" s="147"/>
      <c r="BX171" s="147"/>
      <c r="BY171" s="147"/>
      <c r="BZ171" s="147"/>
      <c r="CA171" s="147"/>
      <c r="CB171" s="147"/>
      <c r="CC171" s="147"/>
      <c r="CD171" s="147"/>
      <c r="CE171" s="147"/>
      <c r="CF171" s="147"/>
      <c r="CG171" s="147"/>
      <c r="CH171" s="147"/>
      <c r="CI171" s="147"/>
      <c r="CJ171" s="147"/>
      <c r="CK171" s="147"/>
    </row>
    <row r="172" spans="1:89">
      <c r="A172" s="159" t="s">
        <v>564</v>
      </c>
      <c r="B172" s="3" t="s">
        <v>565</v>
      </c>
      <c r="C172" s="160" t="s">
        <v>67</v>
      </c>
      <c r="D172" s="160" t="s">
        <v>860</v>
      </c>
      <c r="E172" s="3" t="s">
        <v>21</v>
      </c>
      <c r="F172" s="3"/>
      <c r="G172" s="3"/>
      <c r="H172" s="156" t="str">
        <f ca="1">IFERROR(
  _xludf.MINIFS(ATTENDANCE_LOG!$F:$F,
         ATTENDANCE_LOG!$A:$A, C172,
         ATTENDANCE_LOG!$B:$B, E172),
"")</f>
        <v/>
      </c>
      <c r="I172" s="156" t="str">
        <f t="shared" ca="1" si="0"/>
        <v/>
      </c>
      <c r="J172" s="3" t="str">
        <f>IFERROR(VLOOKUP(F172, LEVEL_HELPER!$A:$B, 2, 0), "")</f>
        <v/>
      </c>
      <c r="K172" s="3" t="str">
        <f>IFERROR(VLOOKUP(G172, LEVEL_HELPER!$A:$B, 2, 0), "")</f>
        <v/>
      </c>
      <c r="L172" s="157" t="s">
        <v>948</v>
      </c>
      <c r="M172" s="157" t="s">
        <v>920</v>
      </c>
      <c r="N172" s="3" t="str">
        <f t="array" aca="1" ref="N172" ca="1">IFERROR(
  INDEX($J$2:$J$543,
    MATCH(A172&amp;TEXT(I172,"yyyy-mm-dd"),
          $A$2:$A$543&amp;TEXT($H$2:$H$543,"yyyy-mm-dd"),
          0)),
"")</f>
        <v/>
      </c>
      <c r="O172" s="147" t="str">
        <f t="shared" ca="1" si="1"/>
        <v/>
      </c>
      <c r="P172" s="147">
        <f t="shared" ref="P172:Q172" ca="1" si="181">IF(N172="",0,IF(N172&lt;=2,1,IF(N172&lt;=4,2,IF(N172&lt;=5.5,3,4))))</f>
        <v>0</v>
      </c>
      <c r="Q172" s="147">
        <f t="shared" ca="1" si="181"/>
        <v>0</v>
      </c>
      <c r="R172" s="147" t="str">
        <f t="shared" ca="1" si="3"/>
        <v>No Data</v>
      </c>
      <c r="S172" s="147">
        <f t="shared" si="4"/>
        <v>1</v>
      </c>
      <c r="T172" s="147"/>
      <c r="U172" s="147"/>
      <c r="V172" s="148" t="e">
        <f ca="1"/>
        <v>#NAME?</v>
      </c>
      <c r="W172" s="147" t="e">
        <f t="shared" ca="1" si="5"/>
        <v>#NAME?</v>
      </c>
      <c r="X172" s="147" t="e">
        <f t="shared" ca="1" si="6"/>
        <v>#NAME?</v>
      </c>
      <c r="Y172" s="147" t="e">
        <f t="shared" ca="1" si="7"/>
        <v>#NAME?</v>
      </c>
      <c r="Z172" s="147"/>
      <c r="AA172" s="147"/>
      <c r="AB172" s="147"/>
      <c r="AC172" s="147"/>
      <c r="AD172" s="147"/>
      <c r="AE172" s="147"/>
      <c r="AF172" s="147"/>
      <c r="AG172" s="147"/>
      <c r="AH172" s="147"/>
      <c r="AI172" s="147"/>
      <c r="AJ172" s="147"/>
      <c r="AK172" s="147"/>
      <c r="AL172" s="147"/>
      <c r="AM172" s="151"/>
      <c r="AN172" s="147"/>
      <c r="AO172" s="147" t="e">
        <f t="shared" si="8"/>
        <v>#N/A</v>
      </c>
      <c r="AP172" s="147" t="e">
        <f t="shared" ca="1" si="9"/>
        <v>#NAME?</v>
      </c>
      <c r="AQ172" s="147" t="e">
        <f t="shared" si="10"/>
        <v>#N/A</v>
      </c>
      <c r="AR172" s="147"/>
      <c r="AS172" s="147"/>
      <c r="AT172" s="147"/>
      <c r="AU172" s="147"/>
      <c r="AV172" s="147"/>
      <c r="AW172" s="147"/>
      <c r="AX172" s="147"/>
      <c r="AY172" s="147"/>
      <c r="AZ172" s="147"/>
      <c r="BA172" s="147"/>
      <c r="BB172" s="147"/>
      <c r="BC172" s="147"/>
      <c r="BD172" s="147"/>
      <c r="BE172" s="147"/>
      <c r="BF172" s="147"/>
      <c r="BG172" s="147"/>
      <c r="BH172" s="147"/>
      <c r="BI172" s="147"/>
      <c r="BJ172" s="147"/>
      <c r="BK172" s="147"/>
      <c r="BL172" s="147"/>
      <c r="BM172" s="147"/>
      <c r="BN172" s="147"/>
      <c r="BO172" s="147"/>
      <c r="BP172" s="147"/>
      <c r="BQ172" s="147"/>
      <c r="BR172" s="147"/>
      <c r="BS172" s="147"/>
      <c r="BT172" s="147"/>
      <c r="BU172" s="147"/>
      <c r="BV172" s="147"/>
      <c r="BW172" s="147"/>
      <c r="BX172" s="147"/>
      <c r="BY172" s="147"/>
      <c r="BZ172" s="147"/>
      <c r="CA172" s="147"/>
      <c r="CB172" s="147"/>
      <c r="CC172" s="147"/>
      <c r="CD172" s="147"/>
      <c r="CE172" s="147"/>
      <c r="CF172" s="147"/>
      <c r="CG172" s="147"/>
      <c r="CH172" s="147"/>
      <c r="CI172" s="147"/>
      <c r="CJ172" s="147"/>
      <c r="CK172" s="147"/>
    </row>
    <row r="173" spans="1:89">
      <c r="A173" s="159" t="s">
        <v>647</v>
      </c>
      <c r="B173" s="3" t="s">
        <v>648</v>
      </c>
      <c r="C173" s="160" t="s">
        <v>67</v>
      </c>
      <c r="D173" s="160" t="s">
        <v>860</v>
      </c>
      <c r="E173" s="3" t="s">
        <v>21</v>
      </c>
      <c r="F173" s="3"/>
      <c r="G173" s="3"/>
      <c r="H173" s="156" t="str">
        <f ca="1">IFERROR(
  _xludf.MINIFS(ATTENDANCE_LOG!$F:$F,
         ATTENDANCE_LOG!$A:$A, C173,
         ATTENDANCE_LOG!$B:$B, E173),
"")</f>
        <v/>
      </c>
      <c r="I173" s="156" t="str">
        <f t="shared" ca="1" si="0"/>
        <v/>
      </c>
      <c r="J173" s="3" t="str">
        <f>IFERROR(VLOOKUP(F173, LEVEL_HELPER!$A:$B, 2, 0), "")</f>
        <v/>
      </c>
      <c r="K173" s="3" t="str">
        <f>IFERROR(VLOOKUP(G173, LEVEL_HELPER!$A:$B, 2, 0), "")</f>
        <v/>
      </c>
      <c r="L173" s="157" t="s">
        <v>948</v>
      </c>
      <c r="M173" s="157" t="s">
        <v>920</v>
      </c>
      <c r="N173" s="3" t="str">
        <f t="array" aca="1" ref="N173" ca="1">IFERROR(
  INDEX($J$2:$J$543,
    MATCH(A173&amp;TEXT(I173,"yyyy-mm-dd"),
          $A$2:$A$543&amp;TEXT($H$2:$H$543,"yyyy-mm-dd"),
          0)),
"")</f>
        <v/>
      </c>
      <c r="O173" s="147" t="str">
        <f t="shared" ca="1" si="1"/>
        <v/>
      </c>
      <c r="P173" s="147">
        <f t="shared" ref="P173:Q173" ca="1" si="182">IF(N173="",0,IF(N173&lt;=2,1,IF(N173&lt;=4,2,IF(N173&lt;=5.5,3,4))))</f>
        <v>0</v>
      </c>
      <c r="Q173" s="147">
        <f t="shared" ca="1" si="182"/>
        <v>0</v>
      </c>
      <c r="R173" s="147" t="str">
        <f t="shared" ca="1" si="3"/>
        <v>No Data</v>
      </c>
      <c r="S173" s="147">
        <f t="shared" si="4"/>
        <v>1</v>
      </c>
      <c r="T173" s="147"/>
      <c r="U173" s="147"/>
      <c r="V173" s="148" t="e">
        <f ca="1"/>
        <v>#NAME?</v>
      </c>
      <c r="W173" s="147" t="e">
        <f t="shared" ca="1" si="5"/>
        <v>#NAME?</v>
      </c>
      <c r="X173" s="147" t="e">
        <f t="shared" ca="1" si="6"/>
        <v>#NAME?</v>
      </c>
      <c r="Y173" s="147" t="e">
        <f t="shared" ca="1" si="7"/>
        <v>#NAME?</v>
      </c>
      <c r="Z173" s="147"/>
      <c r="AA173" s="147"/>
      <c r="AB173" s="147"/>
      <c r="AC173" s="147"/>
      <c r="AD173" s="147"/>
      <c r="AE173" s="147"/>
      <c r="AF173" s="147"/>
      <c r="AG173" s="147"/>
      <c r="AH173" s="147"/>
      <c r="AI173" s="147"/>
      <c r="AJ173" s="147"/>
      <c r="AK173" s="147"/>
      <c r="AL173" s="147"/>
      <c r="AM173" s="151"/>
      <c r="AN173" s="147"/>
      <c r="AO173" s="147" t="e">
        <f t="shared" si="8"/>
        <v>#N/A</v>
      </c>
      <c r="AP173" s="147" t="e">
        <f t="shared" ca="1" si="9"/>
        <v>#NAME?</v>
      </c>
      <c r="AQ173" s="147" t="e">
        <f t="shared" si="10"/>
        <v>#N/A</v>
      </c>
      <c r="AR173" s="147"/>
      <c r="AS173" s="147"/>
      <c r="AT173" s="147"/>
      <c r="AU173" s="147"/>
      <c r="AV173" s="147"/>
      <c r="AW173" s="147"/>
      <c r="AX173" s="147"/>
      <c r="AY173" s="147"/>
      <c r="AZ173" s="147"/>
      <c r="BA173" s="147"/>
      <c r="BB173" s="147"/>
      <c r="BC173" s="147"/>
      <c r="BD173" s="147"/>
      <c r="BE173" s="147"/>
      <c r="BF173" s="147"/>
      <c r="BG173" s="147"/>
      <c r="BH173" s="147"/>
      <c r="BI173" s="147"/>
      <c r="BJ173" s="147"/>
      <c r="BK173" s="147"/>
      <c r="BL173" s="147"/>
      <c r="BM173" s="147"/>
      <c r="BN173" s="147"/>
      <c r="BO173" s="147"/>
      <c r="BP173" s="147"/>
      <c r="BQ173" s="147"/>
      <c r="BR173" s="147"/>
      <c r="BS173" s="147"/>
      <c r="BT173" s="147"/>
      <c r="BU173" s="147"/>
      <c r="BV173" s="147"/>
      <c r="BW173" s="147"/>
      <c r="BX173" s="147"/>
      <c r="BY173" s="147"/>
      <c r="BZ173" s="147"/>
      <c r="CA173" s="147"/>
      <c r="CB173" s="147"/>
      <c r="CC173" s="147"/>
      <c r="CD173" s="147"/>
      <c r="CE173" s="147"/>
      <c r="CF173" s="147"/>
      <c r="CG173" s="147"/>
      <c r="CH173" s="147"/>
      <c r="CI173" s="147"/>
      <c r="CJ173" s="147"/>
      <c r="CK173" s="147"/>
    </row>
    <row r="174" spans="1:89">
      <c r="A174" s="153" t="s">
        <v>556</v>
      </c>
      <c r="B174" s="154" t="s">
        <v>557</v>
      </c>
      <c r="C174" s="155" t="s">
        <v>68</v>
      </c>
      <c r="D174" s="155" t="s">
        <v>861</v>
      </c>
      <c r="E174" s="154" t="s">
        <v>21</v>
      </c>
      <c r="F174" s="3" t="s">
        <v>916</v>
      </c>
      <c r="G174" s="3" t="s">
        <v>934</v>
      </c>
      <c r="H174" s="156" t="str">
        <f ca="1">IFERROR(
  _xludf.MINIFS(ATTENDANCE_LOG!$F:$F,
         ATTENDANCE_LOG!$A:$A, C174,
         ATTENDANCE_LOG!$B:$B, E174),
"")</f>
        <v/>
      </c>
      <c r="I174" s="156" t="str">
        <f t="shared" ca="1" si="0"/>
        <v/>
      </c>
      <c r="J174" s="3">
        <f>IFERROR(VLOOKUP(F174, LEVEL_HELPER!$A:$B, 2, 0), "")</f>
        <v>2.5</v>
      </c>
      <c r="K174" s="3">
        <f>IFERROR(VLOOKUP(G174, LEVEL_HELPER!$A:$B, 2, 0), "")</f>
        <v>3.5</v>
      </c>
      <c r="L174" s="157" t="s">
        <v>942</v>
      </c>
      <c r="M174" s="157" t="s">
        <v>924</v>
      </c>
      <c r="N174" s="3">
        <f t="array" aca="1" ref="N174" ca="1">IFERROR(
  INDEX($J$2:$J$543,
    MATCH(A174&amp;TEXT(I174,"yyyy-mm-dd"),
          $A$2:$A$543&amp;TEXT($H$2:$H$543,"yyyy-mm-dd"),
          0)),
"")</f>
        <v>2.5</v>
      </c>
      <c r="O174" s="147" t="str">
        <f t="shared" ca="1" si="1"/>
        <v/>
      </c>
      <c r="P174" s="147">
        <f t="shared" ref="P174:Q174" ca="1" si="183">IF(N174="",0,IF(N174&lt;=2,1,IF(N174&lt;=4,2,IF(N174&lt;=5.5,3,4))))</f>
        <v>2</v>
      </c>
      <c r="Q174" s="147">
        <f t="shared" ca="1" si="183"/>
        <v>0</v>
      </c>
      <c r="R174" s="147" t="str">
        <f t="shared" ca="1" si="3"/>
        <v>Regressed</v>
      </c>
      <c r="S174" s="147">
        <f t="shared" si="4"/>
        <v>1</v>
      </c>
      <c r="T174" s="147"/>
      <c r="U174" s="147"/>
      <c r="V174" s="148" t="e">
        <f ca="1"/>
        <v>#NAME?</v>
      </c>
      <c r="W174" s="147" t="e">
        <f t="shared" ca="1" si="5"/>
        <v>#NAME?</v>
      </c>
      <c r="X174" s="147" t="e">
        <f t="shared" ca="1" si="6"/>
        <v>#NAME?</v>
      </c>
      <c r="Y174" s="147" t="e">
        <f t="shared" ca="1" si="7"/>
        <v>#NAME?</v>
      </c>
      <c r="Z174" s="147"/>
      <c r="AA174" s="147"/>
      <c r="AB174" s="147"/>
      <c r="AC174" s="147"/>
      <c r="AD174" s="147"/>
      <c r="AE174" s="147"/>
      <c r="AF174" s="147"/>
      <c r="AG174" s="147"/>
      <c r="AH174" s="147"/>
      <c r="AI174" s="147"/>
      <c r="AJ174" s="147"/>
      <c r="AK174" s="147"/>
      <c r="AL174" s="147"/>
      <c r="AM174" s="151"/>
      <c r="AN174" s="147"/>
      <c r="AO174" s="147" t="e">
        <f t="shared" si="8"/>
        <v>#N/A</v>
      </c>
      <c r="AP174" s="147" t="e">
        <f t="shared" ca="1" si="9"/>
        <v>#NAME?</v>
      </c>
      <c r="AQ174" s="147" t="e">
        <f t="shared" si="10"/>
        <v>#N/A</v>
      </c>
      <c r="AR174" s="147"/>
      <c r="AS174" s="147"/>
      <c r="AT174" s="147"/>
      <c r="AU174" s="147"/>
      <c r="AV174" s="147"/>
      <c r="AW174" s="147"/>
      <c r="AX174" s="147"/>
      <c r="AY174" s="147"/>
      <c r="AZ174" s="147"/>
      <c r="BA174" s="147"/>
      <c r="BB174" s="147"/>
      <c r="BC174" s="147"/>
      <c r="BD174" s="147"/>
      <c r="BE174" s="147"/>
      <c r="BF174" s="147"/>
      <c r="BG174" s="147"/>
      <c r="BH174" s="147"/>
      <c r="BI174" s="147"/>
      <c r="BJ174" s="147"/>
      <c r="BK174" s="147"/>
      <c r="BL174" s="147"/>
      <c r="BM174" s="147"/>
      <c r="BN174" s="147"/>
      <c r="BO174" s="147"/>
      <c r="BP174" s="147"/>
      <c r="BQ174" s="147"/>
      <c r="BR174" s="147"/>
      <c r="BS174" s="147"/>
      <c r="BT174" s="147"/>
      <c r="BU174" s="147"/>
      <c r="BV174" s="147"/>
      <c r="BW174" s="147"/>
      <c r="BX174" s="147"/>
      <c r="BY174" s="147"/>
      <c r="BZ174" s="147"/>
      <c r="CA174" s="147"/>
      <c r="CB174" s="147"/>
      <c r="CC174" s="147"/>
      <c r="CD174" s="147"/>
      <c r="CE174" s="147"/>
      <c r="CF174" s="147"/>
      <c r="CG174" s="147"/>
      <c r="CH174" s="147"/>
      <c r="CI174" s="147"/>
      <c r="CJ174" s="147"/>
      <c r="CK174" s="147"/>
    </row>
    <row r="175" spans="1:89">
      <c r="A175" s="159" t="s">
        <v>218</v>
      </c>
      <c r="B175" s="3" t="s">
        <v>219</v>
      </c>
      <c r="C175" s="160" t="s">
        <v>68</v>
      </c>
      <c r="D175" s="160" t="s">
        <v>861</v>
      </c>
      <c r="E175" s="3" t="s">
        <v>21</v>
      </c>
      <c r="F175" s="3" t="s">
        <v>926</v>
      </c>
      <c r="G175" s="3" t="s">
        <v>934</v>
      </c>
      <c r="H175" s="156" t="str">
        <f ca="1">IFERROR(
  _xludf.MINIFS(ATTENDANCE_LOG!$F:$F,
         ATTENDANCE_LOG!$A:$A, C175,
         ATTENDANCE_LOG!$B:$B, E175),
"")</f>
        <v/>
      </c>
      <c r="I175" s="156" t="str">
        <f t="shared" ca="1" si="0"/>
        <v/>
      </c>
      <c r="J175" s="3">
        <f>IFERROR(VLOOKUP(F175, LEVEL_HELPER!$A:$B, 2, 0), "")</f>
        <v>1</v>
      </c>
      <c r="K175" s="3">
        <f>IFERROR(VLOOKUP(G175, LEVEL_HELPER!$A:$B, 2, 0), "")</f>
        <v>3.5</v>
      </c>
      <c r="L175" s="157" t="s">
        <v>942</v>
      </c>
      <c r="M175" s="157" t="s">
        <v>924</v>
      </c>
      <c r="N175" s="3">
        <f t="array" aca="1" ref="N175" ca="1">IFERROR(
  INDEX($J$2:$J$543,
    MATCH(A175&amp;TEXT(I175,"yyyy-mm-dd"),
          $A$2:$A$543&amp;TEXT($H$2:$H$543,"yyyy-mm-dd"),
          0)),
"")</f>
        <v>1</v>
      </c>
      <c r="O175" s="147" t="str">
        <f t="shared" ca="1" si="1"/>
        <v/>
      </c>
      <c r="P175" s="147">
        <f t="shared" ref="P175:Q175" ca="1" si="184">IF(N175="",0,IF(N175&lt;=2,1,IF(N175&lt;=4,2,IF(N175&lt;=5.5,3,4))))</f>
        <v>1</v>
      </c>
      <c r="Q175" s="147">
        <f t="shared" ca="1" si="184"/>
        <v>0</v>
      </c>
      <c r="R175" s="147" t="str">
        <f t="shared" ca="1" si="3"/>
        <v>Regressed</v>
      </c>
      <c r="S175" s="147">
        <f t="shared" si="4"/>
        <v>1</v>
      </c>
      <c r="T175" s="147"/>
      <c r="U175" s="147"/>
      <c r="V175" s="148" t="e">
        <f ca="1"/>
        <v>#NAME?</v>
      </c>
      <c r="W175" s="147" t="e">
        <f t="shared" ca="1" si="5"/>
        <v>#NAME?</v>
      </c>
      <c r="X175" s="147" t="e">
        <f t="shared" ca="1" si="6"/>
        <v>#NAME?</v>
      </c>
      <c r="Y175" s="147" t="e">
        <f t="shared" ca="1" si="7"/>
        <v>#NAME?</v>
      </c>
      <c r="Z175" s="147"/>
      <c r="AA175" s="147"/>
      <c r="AB175" s="147"/>
      <c r="AC175" s="147"/>
      <c r="AD175" s="147"/>
      <c r="AE175" s="147"/>
      <c r="AF175" s="147"/>
      <c r="AG175" s="147"/>
      <c r="AH175" s="147"/>
      <c r="AI175" s="147"/>
      <c r="AJ175" s="147"/>
      <c r="AK175" s="147"/>
      <c r="AL175" s="147"/>
      <c r="AM175" s="151"/>
      <c r="AN175" s="147"/>
      <c r="AO175" s="147" t="e">
        <f t="shared" si="8"/>
        <v>#N/A</v>
      </c>
      <c r="AP175" s="147" t="e">
        <f t="shared" ca="1" si="9"/>
        <v>#NAME?</v>
      </c>
      <c r="AQ175" s="147" t="e">
        <f t="shared" si="10"/>
        <v>#N/A</v>
      </c>
      <c r="AR175" s="147"/>
      <c r="AS175" s="147"/>
      <c r="AT175" s="147"/>
      <c r="AU175" s="147"/>
      <c r="AV175" s="147"/>
      <c r="AW175" s="147"/>
      <c r="AX175" s="147"/>
      <c r="AY175" s="147"/>
      <c r="AZ175" s="147"/>
      <c r="BA175" s="147"/>
      <c r="BB175" s="147"/>
      <c r="BC175" s="147"/>
      <c r="BD175" s="147"/>
      <c r="BE175" s="147"/>
      <c r="BF175" s="147"/>
      <c r="BG175" s="147"/>
      <c r="BH175" s="147"/>
      <c r="BI175" s="147"/>
      <c r="BJ175" s="147"/>
      <c r="BK175" s="147"/>
      <c r="BL175" s="147"/>
      <c r="BM175" s="147"/>
      <c r="BN175" s="147"/>
      <c r="BO175" s="147"/>
      <c r="BP175" s="147"/>
      <c r="BQ175" s="147"/>
      <c r="BR175" s="147"/>
      <c r="BS175" s="147"/>
      <c r="BT175" s="147"/>
      <c r="BU175" s="147"/>
      <c r="BV175" s="147"/>
      <c r="BW175" s="147"/>
      <c r="BX175" s="147"/>
      <c r="BY175" s="147"/>
      <c r="BZ175" s="147"/>
      <c r="CA175" s="147"/>
      <c r="CB175" s="147"/>
      <c r="CC175" s="147"/>
      <c r="CD175" s="147"/>
      <c r="CE175" s="147"/>
      <c r="CF175" s="147"/>
      <c r="CG175" s="147"/>
      <c r="CH175" s="147"/>
      <c r="CI175" s="147"/>
      <c r="CJ175" s="147"/>
      <c r="CK175" s="147"/>
    </row>
    <row r="176" spans="1:89">
      <c r="A176" s="159" t="s">
        <v>374</v>
      </c>
      <c r="B176" s="3" t="s">
        <v>375</v>
      </c>
      <c r="C176" s="160" t="s">
        <v>68</v>
      </c>
      <c r="D176" s="160" t="s">
        <v>861</v>
      </c>
      <c r="E176" s="3" t="s">
        <v>21</v>
      </c>
      <c r="F176" s="3"/>
      <c r="G176" s="3"/>
      <c r="H176" s="156" t="str">
        <f ca="1">IFERROR(
  _xludf.MINIFS(ATTENDANCE_LOG!$F:$F,
         ATTENDANCE_LOG!$A:$A, C176,
         ATTENDANCE_LOG!$B:$B, E176),
"")</f>
        <v/>
      </c>
      <c r="I176" s="156" t="str">
        <f t="shared" ca="1" si="0"/>
        <v/>
      </c>
      <c r="J176" s="3" t="str">
        <f>IFERROR(VLOOKUP(F176, LEVEL_HELPER!$A:$B, 2, 0), "")</f>
        <v/>
      </c>
      <c r="K176" s="3" t="str">
        <f>IFERROR(VLOOKUP(G176, LEVEL_HELPER!$A:$B, 2, 0), "")</f>
        <v/>
      </c>
      <c r="L176" s="157" t="s">
        <v>942</v>
      </c>
      <c r="M176" s="157" t="s">
        <v>924</v>
      </c>
      <c r="N176" s="3" t="str">
        <f t="array" aca="1" ref="N176" ca="1">IFERROR(
  INDEX($J$2:$J$543,
    MATCH(A176&amp;TEXT(I176,"yyyy-mm-dd"),
          $A$2:$A$543&amp;TEXT($H$2:$H$543,"yyyy-mm-dd"),
          0)),
"")</f>
        <v/>
      </c>
      <c r="O176" s="147" t="str">
        <f t="shared" ca="1" si="1"/>
        <v/>
      </c>
      <c r="P176" s="147">
        <f t="shared" ref="P176:Q176" ca="1" si="185">IF(N176="",0,IF(N176&lt;=2,1,IF(N176&lt;=4,2,IF(N176&lt;=5.5,3,4))))</f>
        <v>0</v>
      </c>
      <c r="Q176" s="147">
        <f t="shared" ca="1" si="185"/>
        <v>0</v>
      </c>
      <c r="R176" s="147" t="str">
        <f t="shared" ca="1" si="3"/>
        <v>No Data</v>
      </c>
      <c r="S176" s="147">
        <f t="shared" si="4"/>
        <v>1</v>
      </c>
      <c r="T176" s="147"/>
      <c r="U176" s="147"/>
      <c r="V176" s="148" t="e">
        <f ca="1"/>
        <v>#NAME?</v>
      </c>
      <c r="W176" s="147" t="e">
        <f t="shared" ca="1" si="5"/>
        <v>#NAME?</v>
      </c>
      <c r="X176" s="147" t="e">
        <f t="shared" ca="1" si="6"/>
        <v>#NAME?</v>
      </c>
      <c r="Y176" s="147" t="e">
        <f t="shared" ca="1" si="7"/>
        <v>#NAME?</v>
      </c>
      <c r="Z176" s="147"/>
      <c r="AA176" s="147"/>
      <c r="AB176" s="147"/>
      <c r="AC176" s="147"/>
      <c r="AD176" s="147"/>
      <c r="AE176" s="147"/>
      <c r="AF176" s="147"/>
      <c r="AG176" s="147"/>
      <c r="AH176" s="147"/>
      <c r="AI176" s="147"/>
      <c r="AJ176" s="147"/>
      <c r="AK176" s="147"/>
      <c r="AL176" s="147"/>
      <c r="AM176" s="151"/>
      <c r="AN176" s="147"/>
      <c r="AO176" s="147" t="e">
        <f t="shared" si="8"/>
        <v>#N/A</v>
      </c>
      <c r="AP176" s="147" t="e">
        <f t="shared" ca="1" si="9"/>
        <v>#NAME?</v>
      </c>
      <c r="AQ176" s="147" t="e">
        <f t="shared" si="10"/>
        <v>#N/A</v>
      </c>
      <c r="AR176" s="147"/>
      <c r="AS176" s="147"/>
      <c r="AT176" s="147"/>
      <c r="AU176" s="147"/>
      <c r="AV176" s="147"/>
      <c r="AW176" s="147"/>
      <c r="AX176" s="147"/>
      <c r="AY176" s="147"/>
      <c r="AZ176" s="147"/>
      <c r="BA176" s="147"/>
      <c r="BB176" s="147"/>
      <c r="BC176" s="147"/>
      <c r="BD176" s="147"/>
      <c r="BE176" s="147"/>
      <c r="BF176" s="147"/>
      <c r="BG176" s="147"/>
      <c r="BH176" s="147"/>
      <c r="BI176" s="147"/>
      <c r="BJ176" s="147"/>
      <c r="BK176" s="147"/>
      <c r="BL176" s="147"/>
      <c r="BM176" s="147"/>
      <c r="BN176" s="147"/>
      <c r="BO176" s="147"/>
      <c r="BP176" s="147"/>
      <c r="BQ176" s="147"/>
      <c r="BR176" s="147"/>
      <c r="BS176" s="147"/>
      <c r="BT176" s="147"/>
      <c r="BU176" s="147"/>
      <c r="BV176" s="147"/>
      <c r="BW176" s="147"/>
      <c r="BX176" s="147"/>
      <c r="BY176" s="147"/>
      <c r="BZ176" s="147"/>
      <c r="CA176" s="147"/>
      <c r="CB176" s="147"/>
      <c r="CC176" s="147"/>
      <c r="CD176" s="147"/>
      <c r="CE176" s="147"/>
      <c r="CF176" s="147"/>
      <c r="CG176" s="147"/>
      <c r="CH176" s="147"/>
      <c r="CI176" s="147"/>
      <c r="CJ176" s="147"/>
      <c r="CK176" s="147"/>
    </row>
    <row r="177" spans="1:89">
      <c r="A177" s="159" t="s">
        <v>643</v>
      </c>
      <c r="B177" s="3" t="s">
        <v>644</v>
      </c>
      <c r="C177" s="160" t="s">
        <v>68</v>
      </c>
      <c r="D177" s="160" t="s">
        <v>861</v>
      </c>
      <c r="E177" s="3" t="s">
        <v>21</v>
      </c>
      <c r="F177" s="3" t="s">
        <v>926</v>
      </c>
      <c r="G177" s="3" t="s">
        <v>917</v>
      </c>
      <c r="H177" s="156" t="str">
        <f ca="1">IFERROR(
  _xludf.MINIFS(ATTENDANCE_LOG!$F:$F,
         ATTENDANCE_LOG!$A:$A, C177,
         ATTENDANCE_LOG!$B:$B, E177),
"")</f>
        <v/>
      </c>
      <c r="I177" s="156" t="str">
        <f t="shared" ca="1" si="0"/>
        <v/>
      </c>
      <c r="J177" s="3">
        <f>IFERROR(VLOOKUP(F177, LEVEL_HELPER!$A:$B, 2, 0), "")</f>
        <v>1</v>
      </c>
      <c r="K177" s="3">
        <f>IFERROR(VLOOKUP(G177, LEVEL_HELPER!$A:$B, 2, 0), "")</f>
        <v>3</v>
      </c>
      <c r="L177" s="157" t="s">
        <v>942</v>
      </c>
      <c r="M177" s="157" t="s">
        <v>924</v>
      </c>
      <c r="N177" s="3">
        <f t="array" aca="1" ref="N177" ca="1">IFERROR(
  INDEX($J$2:$J$543,
    MATCH(A177&amp;TEXT(I177,"yyyy-mm-dd"),
          $A$2:$A$543&amp;TEXT($H$2:$H$543,"yyyy-mm-dd"),
          0)),
"")</f>
        <v>1</v>
      </c>
      <c r="O177" s="147" t="str">
        <f t="shared" ca="1" si="1"/>
        <v/>
      </c>
      <c r="P177" s="147">
        <f t="shared" ref="P177:Q177" ca="1" si="186">IF(N177="",0,IF(N177&lt;=2,1,IF(N177&lt;=4,2,IF(N177&lt;=5.5,3,4))))</f>
        <v>1</v>
      </c>
      <c r="Q177" s="147">
        <f t="shared" ca="1" si="186"/>
        <v>0</v>
      </c>
      <c r="R177" s="147" t="str">
        <f t="shared" ca="1" si="3"/>
        <v>Regressed</v>
      </c>
      <c r="S177" s="147">
        <f t="shared" si="4"/>
        <v>1</v>
      </c>
      <c r="T177" s="147"/>
      <c r="U177" s="147"/>
      <c r="V177" s="148" t="e">
        <f ca="1"/>
        <v>#NAME?</v>
      </c>
      <c r="W177" s="147" t="e">
        <f t="shared" ca="1" si="5"/>
        <v>#NAME?</v>
      </c>
      <c r="X177" s="147" t="e">
        <f t="shared" ca="1" si="6"/>
        <v>#NAME?</v>
      </c>
      <c r="Y177" s="147" t="e">
        <f t="shared" ca="1" si="7"/>
        <v>#NAME?</v>
      </c>
      <c r="Z177" s="147"/>
      <c r="AA177" s="147"/>
      <c r="AB177" s="147"/>
      <c r="AC177" s="147"/>
      <c r="AD177" s="147"/>
      <c r="AE177" s="147"/>
      <c r="AF177" s="147"/>
      <c r="AG177" s="147"/>
      <c r="AH177" s="147"/>
      <c r="AI177" s="147"/>
      <c r="AJ177" s="147"/>
      <c r="AK177" s="147"/>
      <c r="AL177" s="147"/>
      <c r="AM177" s="151"/>
      <c r="AN177" s="147"/>
      <c r="AO177" s="147" t="e">
        <f t="shared" si="8"/>
        <v>#N/A</v>
      </c>
      <c r="AP177" s="147" t="e">
        <f t="shared" ca="1" si="9"/>
        <v>#NAME?</v>
      </c>
      <c r="AQ177" s="147" t="e">
        <f t="shared" si="10"/>
        <v>#N/A</v>
      </c>
      <c r="AR177" s="147"/>
      <c r="AS177" s="147"/>
      <c r="AT177" s="147"/>
      <c r="AU177" s="147"/>
      <c r="AV177" s="147"/>
      <c r="AW177" s="147"/>
      <c r="AX177" s="147"/>
      <c r="AY177" s="147"/>
      <c r="AZ177" s="147"/>
      <c r="BA177" s="147"/>
      <c r="BB177" s="147"/>
      <c r="BC177" s="147"/>
      <c r="BD177" s="147"/>
      <c r="BE177" s="147"/>
      <c r="BF177" s="147"/>
      <c r="BG177" s="147"/>
      <c r="BH177" s="147"/>
      <c r="BI177" s="147"/>
      <c r="BJ177" s="147"/>
      <c r="BK177" s="147"/>
      <c r="BL177" s="147"/>
      <c r="BM177" s="147"/>
      <c r="BN177" s="147"/>
      <c r="BO177" s="147"/>
      <c r="BP177" s="147"/>
      <c r="BQ177" s="147"/>
      <c r="BR177" s="147"/>
      <c r="BS177" s="147"/>
      <c r="BT177" s="147"/>
      <c r="BU177" s="147"/>
      <c r="BV177" s="147"/>
      <c r="BW177" s="147"/>
      <c r="BX177" s="147"/>
      <c r="BY177" s="147"/>
      <c r="BZ177" s="147"/>
      <c r="CA177" s="147"/>
      <c r="CB177" s="147"/>
      <c r="CC177" s="147"/>
      <c r="CD177" s="147"/>
      <c r="CE177" s="147"/>
      <c r="CF177" s="147"/>
      <c r="CG177" s="147"/>
      <c r="CH177" s="147"/>
      <c r="CI177" s="147"/>
      <c r="CJ177" s="147"/>
      <c r="CK177" s="147"/>
    </row>
    <row r="178" spans="1:89">
      <c r="A178" s="153" t="s">
        <v>556</v>
      </c>
      <c r="B178" s="154" t="s">
        <v>557</v>
      </c>
      <c r="C178" s="155" t="s">
        <v>68</v>
      </c>
      <c r="D178" s="155" t="s">
        <v>861</v>
      </c>
      <c r="E178" s="154" t="s">
        <v>22</v>
      </c>
      <c r="F178" s="3" t="s">
        <v>934</v>
      </c>
      <c r="G178" s="3"/>
      <c r="H178" s="156" t="str">
        <f ca="1">IFERROR(
  _xludf.MINIFS(ATTENDANCE_LOG!$F:$F,
         ATTENDANCE_LOG!$A:$A, C178,
         ATTENDANCE_LOG!$B:$B, E178),
"")</f>
        <v/>
      </c>
      <c r="I178" s="156" t="str">
        <f t="shared" ca="1" si="0"/>
        <v/>
      </c>
      <c r="J178" s="3">
        <f>IFERROR(VLOOKUP(F178, LEVEL_HELPER!$A:$B, 2, 0), "")</f>
        <v>3.5</v>
      </c>
      <c r="K178" s="3" t="str">
        <f>IFERROR(VLOOKUP(G178, LEVEL_HELPER!$A:$B, 2, 0), "")</f>
        <v/>
      </c>
      <c r="L178" s="157" t="s">
        <v>942</v>
      </c>
      <c r="M178" s="157" t="s">
        <v>924</v>
      </c>
      <c r="N178" s="3">
        <f t="array" aca="1" ref="N178" ca="1">IFERROR(
  INDEX($J$2:$J$543,
    MATCH(A178&amp;TEXT(I178,"yyyy-mm-dd"),
          $A$2:$A$543&amp;TEXT($H$2:$H$543,"yyyy-mm-dd"),
          0)),
"")</f>
        <v>2.5</v>
      </c>
      <c r="O178" s="147" t="str">
        <f t="shared" ca="1" si="1"/>
        <v/>
      </c>
      <c r="P178" s="147">
        <f t="shared" ref="P178:Q178" ca="1" si="187">IF(N178="",0,IF(N178&lt;=2,1,IF(N178&lt;=4,2,IF(N178&lt;=5.5,3,4))))</f>
        <v>2</v>
      </c>
      <c r="Q178" s="147">
        <f t="shared" ca="1" si="187"/>
        <v>0</v>
      </c>
      <c r="R178" s="147" t="str">
        <f t="shared" ca="1" si="3"/>
        <v>Regressed</v>
      </c>
      <c r="S178" s="147">
        <f t="shared" si="4"/>
        <v>0</v>
      </c>
      <c r="T178" s="147"/>
      <c r="U178" s="147"/>
      <c r="V178" s="148" t="e">
        <f ca="1"/>
        <v>#NAME?</v>
      </c>
      <c r="W178" s="147" t="e">
        <f t="shared" ca="1" si="5"/>
        <v>#NAME?</v>
      </c>
      <c r="X178" s="147" t="e">
        <f t="shared" ca="1" si="6"/>
        <v>#NAME?</v>
      </c>
      <c r="Y178" s="147" t="e">
        <f t="shared" ca="1" si="7"/>
        <v>#NAME?</v>
      </c>
      <c r="Z178" s="147"/>
      <c r="AA178" s="147"/>
      <c r="AB178" s="147"/>
      <c r="AC178" s="147"/>
      <c r="AD178" s="147"/>
      <c r="AE178" s="147"/>
      <c r="AF178" s="147"/>
      <c r="AG178" s="147"/>
      <c r="AH178" s="147"/>
      <c r="AI178" s="147"/>
      <c r="AJ178" s="147"/>
      <c r="AK178" s="147"/>
      <c r="AL178" s="147"/>
      <c r="AM178" s="151"/>
      <c r="AN178" s="147"/>
      <c r="AO178" s="147" t="e">
        <f t="shared" si="8"/>
        <v>#N/A</v>
      </c>
      <c r="AP178" s="147" t="e">
        <f t="shared" ca="1" si="9"/>
        <v>#NAME?</v>
      </c>
      <c r="AQ178" s="147" t="e">
        <f t="shared" si="10"/>
        <v>#N/A</v>
      </c>
      <c r="AR178" s="147"/>
      <c r="AS178" s="147"/>
      <c r="AT178" s="147"/>
      <c r="AU178" s="147"/>
      <c r="AV178" s="147"/>
      <c r="AW178" s="147"/>
      <c r="AX178" s="147"/>
      <c r="AY178" s="147"/>
      <c r="AZ178" s="147"/>
      <c r="BA178" s="147"/>
      <c r="BB178" s="147"/>
      <c r="BC178" s="147"/>
      <c r="BD178" s="147"/>
      <c r="BE178" s="147"/>
      <c r="BF178" s="147"/>
      <c r="BG178" s="147"/>
      <c r="BH178" s="147"/>
      <c r="BI178" s="147"/>
      <c r="BJ178" s="147"/>
      <c r="BK178" s="147"/>
      <c r="BL178" s="147"/>
      <c r="BM178" s="147"/>
      <c r="BN178" s="147"/>
      <c r="BO178" s="147"/>
      <c r="BP178" s="147"/>
      <c r="BQ178" s="147"/>
      <c r="BR178" s="147"/>
      <c r="BS178" s="147"/>
      <c r="BT178" s="147"/>
      <c r="BU178" s="147"/>
      <c r="BV178" s="147"/>
      <c r="BW178" s="147"/>
      <c r="BX178" s="147"/>
      <c r="BY178" s="147"/>
      <c r="BZ178" s="147"/>
      <c r="CA178" s="147"/>
      <c r="CB178" s="147"/>
      <c r="CC178" s="147"/>
      <c r="CD178" s="147"/>
      <c r="CE178" s="147"/>
      <c r="CF178" s="147"/>
      <c r="CG178" s="147"/>
      <c r="CH178" s="147"/>
      <c r="CI178" s="147"/>
      <c r="CJ178" s="147"/>
      <c r="CK178" s="147"/>
    </row>
    <row r="179" spans="1:89">
      <c r="A179" s="159" t="s">
        <v>218</v>
      </c>
      <c r="B179" s="3" t="s">
        <v>219</v>
      </c>
      <c r="C179" s="160" t="s">
        <v>68</v>
      </c>
      <c r="D179" s="160" t="s">
        <v>861</v>
      </c>
      <c r="E179" s="3" t="s">
        <v>22</v>
      </c>
      <c r="F179" s="3" t="s">
        <v>926</v>
      </c>
      <c r="G179" s="3"/>
      <c r="H179" s="156" t="str">
        <f ca="1">IFERROR(
  _xludf.MINIFS(ATTENDANCE_LOG!$F:$F,
         ATTENDANCE_LOG!$A:$A, C179,
         ATTENDANCE_LOG!$B:$B, E179),
"")</f>
        <v/>
      </c>
      <c r="I179" s="156" t="str">
        <f t="shared" ca="1" si="0"/>
        <v/>
      </c>
      <c r="J179" s="3">
        <f>IFERROR(VLOOKUP(F179, LEVEL_HELPER!$A:$B, 2, 0), "")</f>
        <v>1</v>
      </c>
      <c r="K179" s="3" t="str">
        <f>IFERROR(VLOOKUP(G179, LEVEL_HELPER!$A:$B, 2, 0), "")</f>
        <v/>
      </c>
      <c r="L179" s="157" t="s">
        <v>942</v>
      </c>
      <c r="M179" s="157" t="s">
        <v>924</v>
      </c>
      <c r="N179" s="3">
        <f t="array" aca="1" ref="N179" ca="1">IFERROR(
  INDEX($J$2:$J$543,
    MATCH(A179&amp;TEXT(I179,"yyyy-mm-dd"),
          $A$2:$A$543&amp;TEXT($H$2:$H$543,"yyyy-mm-dd"),
          0)),
"")</f>
        <v>1</v>
      </c>
      <c r="O179" s="147" t="str">
        <f t="shared" ca="1" si="1"/>
        <v/>
      </c>
      <c r="P179" s="147">
        <f t="shared" ref="P179:Q179" ca="1" si="188">IF(N179="",0,IF(N179&lt;=2,1,IF(N179&lt;=4,2,IF(N179&lt;=5.5,3,4))))</f>
        <v>1</v>
      </c>
      <c r="Q179" s="147">
        <f t="shared" ca="1" si="188"/>
        <v>0</v>
      </c>
      <c r="R179" s="147" t="str">
        <f t="shared" ca="1" si="3"/>
        <v>Regressed</v>
      </c>
      <c r="S179" s="147">
        <f t="shared" si="4"/>
        <v>0</v>
      </c>
      <c r="T179" s="147"/>
      <c r="U179" s="147"/>
      <c r="V179" s="148" t="e">
        <f ca="1"/>
        <v>#NAME?</v>
      </c>
      <c r="W179" s="147" t="e">
        <f t="shared" ca="1" si="5"/>
        <v>#NAME?</v>
      </c>
      <c r="X179" s="147" t="e">
        <f t="shared" ca="1" si="6"/>
        <v>#NAME?</v>
      </c>
      <c r="Y179" s="147" t="e">
        <f t="shared" ca="1" si="7"/>
        <v>#NAME?</v>
      </c>
      <c r="Z179" s="147"/>
      <c r="AA179" s="147"/>
      <c r="AB179" s="147"/>
      <c r="AC179" s="147"/>
      <c r="AD179" s="147"/>
      <c r="AE179" s="147"/>
      <c r="AF179" s="147"/>
      <c r="AG179" s="147"/>
      <c r="AH179" s="147"/>
      <c r="AI179" s="147"/>
      <c r="AJ179" s="147"/>
      <c r="AK179" s="147"/>
      <c r="AL179" s="147"/>
      <c r="AM179" s="151"/>
      <c r="AN179" s="147"/>
      <c r="AO179" s="147" t="e">
        <f t="shared" si="8"/>
        <v>#N/A</v>
      </c>
      <c r="AP179" s="147" t="e">
        <f t="shared" ca="1" si="9"/>
        <v>#NAME?</v>
      </c>
      <c r="AQ179" s="147" t="e">
        <f t="shared" si="10"/>
        <v>#N/A</v>
      </c>
      <c r="AR179" s="147"/>
      <c r="AS179" s="147"/>
      <c r="AT179" s="147"/>
      <c r="AU179" s="147"/>
      <c r="AV179" s="147"/>
      <c r="AW179" s="147"/>
      <c r="AX179" s="147"/>
      <c r="AY179" s="147"/>
      <c r="AZ179" s="147"/>
      <c r="BA179" s="147"/>
      <c r="BB179" s="147"/>
      <c r="BC179" s="147"/>
      <c r="BD179" s="147"/>
      <c r="BE179" s="147"/>
      <c r="BF179" s="147"/>
      <c r="BG179" s="147"/>
      <c r="BH179" s="147"/>
      <c r="BI179" s="147"/>
      <c r="BJ179" s="147"/>
      <c r="BK179" s="147"/>
      <c r="BL179" s="147"/>
      <c r="BM179" s="147"/>
      <c r="BN179" s="147"/>
      <c r="BO179" s="147"/>
      <c r="BP179" s="147"/>
      <c r="BQ179" s="147"/>
      <c r="BR179" s="147"/>
      <c r="BS179" s="147"/>
      <c r="BT179" s="147"/>
      <c r="BU179" s="147"/>
      <c r="BV179" s="147"/>
      <c r="BW179" s="147"/>
      <c r="BX179" s="147"/>
      <c r="BY179" s="147"/>
      <c r="BZ179" s="147"/>
      <c r="CA179" s="147"/>
      <c r="CB179" s="147"/>
      <c r="CC179" s="147"/>
      <c r="CD179" s="147"/>
      <c r="CE179" s="147"/>
      <c r="CF179" s="147"/>
      <c r="CG179" s="147"/>
      <c r="CH179" s="147"/>
      <c r="CI179" s="147"/>
      <c r="CJ179" s="147"/>
      <c r="CK179" s="147"/>
    </row>
    <row r="180" spans="1:89">
      <c r="A180" s="159" t="s">
        <v>323</v>
      </c>
      <c r="B180" s="3" t="s">
        <v>324</v>
      </c>
      <c r="C180" s="160" t="s">
        <v>68</v>
      </c>
      <c r="D180" s="160" t="s">
        <v>861</v>
      </c>
      <c r="E180" s="3" t="s">
        <v>22</v>
      </c>
      <c r="F180" s="3" t="s">
        <v>926</v>
      </c>
      <c r="G180" s="3"/>
      <c r="H180" s="156" t="str">
        <f ca="1">IFERROR(
  _xludf.MINIFS(ATTENDANCE_LOG!$F:$F,
         ATTENDANCE_LOG!$A:$A, C180,
         ATTENDANCE_LOG!$B:$B, E180),
"")</f>
        <v/>
      </c>
      <c r="I180" s="156" t="str">
        <f t="shared" ca="1" si="0"/>
        <v/>
      </c>
      <c r="J180" s="3">
        <f>IFERROR(VLOOKUP(F180, LEVEL_HELPER!$A:$B, 2, 0), "")</f>
        <v>1</v>
      </c>
      <c r="K180" s="3" t="str">
        <f>IFERROR(VLOOKUP(G180, LEVEL_HELPER!$A:$B, 2, 0), "")</f>
        <v/>
      </c>
      <c r="L180" s="157" t="s">
        <v>942</v>
      </c>
      <c r="M180" s="157" t="s">
        <v>924</v>
      </c>
      <c r="N180" s="3">
        <f t="array" aca="1" ref="N180" ca="1">IFERROR(
  INDEX($J$2:$J$543,
    MATCH(A180&amp;TEXT(I180,"yyyy-mm-dd"),
          $A$2:$A$543&amp;TEXT($H$2:$H$543,"yyyy-mm-dd"),
          0)),
"")</f>
        <v>1</v>
      </c>
      <c r="O180" s="147" t="str">
        <f t="shared" ca="1" si="1"/>
        <v/>
      </c>
      <c r="P180" s="147">
        <f t="shared" ref="P180:Q180" ca="1" si="189">IF(N180="",0,IF(N180&lt;=2,1,IF(N180&lt;=4,2,IF(N180&lt;=5.5,3,4))))</f>
        <v>1</v>
      </c>
      <c r="Q180" s="147">
        <f t="shared" ca="1" si="189"/>
        <v>0</v>
      </c>
      <c r="R180" s="147" t="str">
        <f t="shared" ca="1" si="3"/>
        <v>Regressed</v>
      </c>
      <c r="S180" s="147">
        <f t="shared" si="4"/>
        <v>1</v>
      </c>
      <c r="T180" s="147"/>
      <c r="U180" s="147"/>
      <c r="V180" s="148" t="e">
        <f ca="1"/>
        <v>#NAME?</v>
      </c>
      <c r="W180" s="147" t="e">
        <f t="shared" ca="1" si="5"/>
        <v>#NAME?</v>
      </c>
      <c r="X180" s="147" t="e">
        <f t="shared" ca="1" si="6"/>
        <v>#NAME?</v>
      </c>
      <c r="Y180" s="147" t="e">
        <f t="shared" ca="1" si="7"/>
        <v>#NAME?</v>
      </c>
      <c r="Z180" s="147"/>
      <c r="AA180" s="147"/>
      <c r="AB180" s="147"/>
      <c r="AC180" s="147"/>
      <c r="AD180" s="147"/>
      <c r="AE180" s="147"/>
      <c r="AF180" s="147"/>
      <c r="AG180" s="147"/>
      <c r="AH180" s="147"/>
      <c r="AI180" s="147"/>
      <c r="AJ180" s="147"/>
      <c r="AK180" s="147"/>
      <c r="AL180" s="147"/>
      <c r="AM180" s="151"/>
      <c r="AN180" s="147"/>
      <c r="AO180" s="147" t="e">
        <f t="shared" si="8"/>
        <v>#N/A</v>
      </c>
      <c r="AP180" s="147" t="e">
        <f t="shared" ca="1" si="9"/>
        <v>#NAME?</v>
      </c>
      <c r="AQ180" s="147" t="e">
        <f t="shared" si="10"/>
        <v>#N/A</v>
      </c>
      <c r="AR180" s="147"/>
      <c r="AS180" s="147"/>
      <c r="AT180" s="147"/>
      <c r="AU180" s="147"/>
      <c r="AV180" s="147"/>
      <c r="AW180" s="147"/>
      <c r="AX180" s="147"/>
      <c r="AY180" s="147"/>
      <c r="AZ180" s="147"/>
      <c r="BA180" s="147"/>
      <c r="BB180" s="147"/>
      <c r="BC180" s="147"/>
      <c r="BD180" s="147"/>
      <c r="BE180" s="147"/>
      <c r="BF180" s="147"/>
      <c r="BG180" s="147"/>
      <c r="BH180" s="147"/>
      <c r="BI180" s="147"/>
      <c r="BJ180" s="147"/>
      <c r="BK180" s="147"/>
      <c r="BL180" s="147"/>
      <c r="BM180" s="147"/>
      <c r="BN180" s="147"/>
      <c r="BO180" s="147"/>
      <c r="BP180" s="147"/>
      <c r="BQ180" s="147"/>
      <c r="BR180" s="147"/>
      <c r="BS180" s="147"/>
      <c r="BT180" s="147"/>
      <c r="BU180" s="147"/>
      <c r="BV180" s="147"/>
      <c r="BW180" s="147"/>
      <c r="BX180" s="147"/>
      <c r="BY180" s="147"/>
      <c r="BZ180" s="147"/>
      <c r="CA180" s="147"/>
      <c r="CB180" s="147"/>
      <c r="CC180" s="147"/>
      <c r="CD180" s="147"/>
      <c r="CE180" s="147"/>
      <c r="CF180" s="147"/>
      <c r="CG180" s="147"/>
      <c r="CH180" s="147"/>
      <c r="CI180" s="147"/>
      <c r="CJ180" s="147"/>
      <c r="CK180" s="147"/>
    </row>
    <row r="181" spans="1:89">
      <c r="A181" s="159" t="s">
        <v>639</v>
      </c>
      <c r="B181" s="3" t="s">
        <v>640</v>
      </c>
      <c r="C181" s="160" t="s">
        <v>68</v>
      </c>
      <c r="D181" s="160" t="s">
        <v>861</v>
      </c>
      <c r="E181" s="3" t="s">
        <v>22</v>
      </c>
      <c r="F181" s="3" t="s">
        <v>916</v>
      </c>
      <c r="G181" s="3"/>
      <c r="H181" s="156" t="str">
        <f ca="1">IFERROR(
  _xludf.MINIFS(ATTENDANCE_LOG!$F:$F,
         ATTENDANCE_LOG!$A:$A, C181,
         ATTENDANCE_LOG!$B:$B, E181),
"")</f>
        <v/>
      </c>
      <c r="I181" s="156" t="str">
        <f t="shared" ca="1" si="0"/>
        <v/>
      </c>
      <c r="J181" s="3">
        <f>IFERROR(VLOOKUP(F181, LEVEL_HELPER!$A:$B, 2, 0), "")</f>
        <v>2.5</v>
      </c>
      <c r="K181" s="3" t="str">
        <f>IFERROR(VLOOKUP(G181, LEVEL_HELPER!$A:$B, 2, 0), "")</f>
        <v/>
      </c>
      <c r="L181" s="157" t="s">
        <v>942</v>
      </c>
      <c r="M181" s="157" t="s">
        <v>924</v>
      </c>
      <c r="N181" s="3">
        <f t="array" aca="1" ref="N181" ca="1">IFERROR(
  INDEX($J$2:$J$543,
    MATCH(A181&amp;TEXT(I181,"yyyy-mm-dd"),
          $A$2:$A$543&amp;TEXT($H$2:$H$543,"yyyy-mm-dd"),
          0)),
"")</f>
        <v>2.5</v>
      </c>
      <c r="O181" s="147" t="str">
        <f t="shared" ca="1" si="1"/>
        <v/>
      </c>
      <c r="P181" s="147">
        <f t="shared" ref="P181:Q181" ca="1" si="190">IF(N181="",0,IF(N181&lt;=2,1,IF(N181&lt;=4,2,IF(N181&lt;=5.5,3,4))))</f>
        <v>2</v>
      </c>
      <c r="Q181" s="147">
        <f t="shared" ca="1" si="190"/>
        <v>0</v>
      </c>
      <c r="R181" s="147" t="str">
        <f t="shared" ca="1" si="3"/>
        <v>Regressed</v>
      </c>
      <c r="S181" s="147">
        <f t="shared" si="4"/>
        <v>1</v>
      </c>
      <c r="T181" s="147"/>
      <c r="U181" s="147"/>
      <c r="V181" s="148" t="e">
        <f ca="1"/>
        <v>#NAME?</v>
      </c>
      <c r="W181" s="147" t="e">
        <f t="shared" ca="1" si="5"/>
        <v>#NAME?</v>
      </c>
      <c r="X181" s="147" t="e">
        <f t="shared" ca="1" si="6"/>
        <v>#NAME?</v>
      </c>
      <c r="Y181" s="147" t="e">
        <f t="shared" ca="1" si="7"/>
        <v>#NAME?</v>
      </c>
      <c r="Z181" s="147"/>
      <c r="AA181" s="147"/>
      <c r="AB181" s="147"/>
      <c r="AC181" s="147"/>
      <c r="AD181" s="147"/>
      <c r="AE181" s="147"/>
      <c r="AF181" s="147"/>
      <c r="AG181" s="147"/>
      <c r="AH181" s="147"/>
      <c r="AI181" s="147"/>
      <c r="AJ181" s="147"/>
      <c r="AK181" s="147"/>
      <c r="AL181" s="147"/>
      <c r="AM181" s="151"/>
      <c r="AN181" s="147"/>
      <c r="AO181" s="147" t="e">
        <f t="shared" si="8"/>
        <v>#N/A</v>
      </c>
      <c r="AP181" s="147" t="e">
        <f t="shared" ca="1" si="9"/>
        <v>#NAME?</v>
      </c>
      <c r="AQ181" s="147" t="e">
        <f t="shared" si="10"/>
        <v>#N/A</v>
      </c>
      <c r="AR181" s="147"/>
      <c r="AS181" s="147"/>
      <c r="AT181" s="147"/>
      <c r="AU181" s="147"/>
      <c r="AV181" s="147"/>
      <c r="AW181" s="147"/>
      <c r="AX181" s="147"/>
      <c r="AY181" s="147"/>
      <c r="AZ181" s="147"/>
      <c r="BA181" s="147"/>
      <c r="BB181" s="147"/>
      <c r="BC181" s="147"/>
      <c r="BD181" s="147"/>
      <c r="BE181" s="147"/>
      <c r="BF181" s="147"/>
      <c r="BG181" s="147"/>
      <c r="BH181" s="147"/>
      <c r="BI181" s="147"/>
      <c r="BJ181" s="147"/>
      <c r="BK181" s="147"/>
      <c r="BL181" s="147"/>
      <c r="BM181" s="147"/>
      <c r="BN181" s="147"/>
      <c r="BO181" s="147"/>
      <c r="BP181" s="147"/>
      <c r="BQ181" s="147"/>
      <c r="BR181" s="147"/>
      <c r="BS181" s="147"/>
      <c r="BT181" s="147"/>
      <c r="BU181" s="147"/>
      <c r="BV181" s="147"/>
      <c r="BW181" s="147"/>
      <c r="BX181" s="147"/>
      <c r="BY181" s="147"/>
      <c r="BZ181" s="147"/>
      <c r="CA181" s="147"/>
      <c r="CB181" s="147"/>
      <c r="CC181" s="147"/>
      <c r="CD181" s="147"/>
      <c r="CE181" s="147"/>
      <c r="CF181" s="147"/>
      <c r="CG181" s="147"/>
      <c r="CH181" s="147"/>
      <c r="CI181" s="147"/>
      <c r="CJ181" s="147"/>
      <c r="CK181" s="147"/>
    </row>
    <row r="182" spans="1:89">
      <c r="A182" s="159" t="s">
        <v>643</v>
      </c>
      <c r="B182" s="3" t="s">
        <v>644</v>
      </c>
      <c r="C182" s="160" t="s">
        <v>68</v>
      </c>
      <c r="D182" s="160" t="s">
        <v>861</v>
      </c>
      <c r="E182" s="3" t="s">
        <v>22</v>
      </c>
      <c r="F182" s="3" t="s">
        <v>917</v>
      </c>
      <c r="G182" s="3"/>
      <c r="H182" s="156" t="str">
        <f ca="1">IFERROR(
  _xludf.MINIFS(ATTENDANCE_LOG!$F:$F,
         ATTENDANCE_LOG!$A:$A, C182,
         ATTENDANCE_LOG!$B:$B, E182),
"")</f>
        <v/>
      </c>
      <c r="I182" s="156" t="str">
        <f t="shared" ca="1" si="0"/>
        <v/>
      </c>
      <c r="J182" s="3">
        <f>IFERROR(VLOOKUP(F182, LEVEL_HELPER!$A:$B, 2, 0), "")</f>
        <v>3</v>
      </c>
      <c r="K182" s="3" t="str">
        <f>IFERROR(VLOOKUP(G182, LEVEL_HELPER!$A:$B, 2, 0), "")</f>
        <v/>
      </c>
      <c r="L182" s="157" t="s">
        <v>942</v>
      </c>
      <c r="M182" s="157" t="s">
        <v>924</v>
      </c>
      <c r="N182" s="3">
        <f t="array" aca="1" ref="N182" ca="1">IFERROR(
  INDEX($J$2:$J$543,
    MATCH(A182&amp;TEXT(I182,"yyyy-mm-dd"),
          $A$2:$A$543&amp;TEXT($H$2:$H$543,"yyyy-mm-dd"),
          0)),
"")</f>
        <v>1</v>
      </c>
      <c r="O182" s="147" t="str">
        <f t="shared" ca="1" si="1"/>
        <v/>
      </c>
      <c r="P182" s="147">
        <f t="shared" ref="P182:Q182" ca="1" si="191">IF(N182="",0,IF(N182&lt;=2,1,IF(N182&lt;=4,2,IF(N182&lt;=5.5,3,4))))</f>
        <v>1</v>
      </c>
      <c r="Q182" s="147">
        <f t="shared" ca="1" si="191"/>
        <v>0</v>
      </c>
      <c r="R182" s="147" t="str">
        <f t="shared" ca="1" si="3"/>
        <v>Regressed</v>
      </c>
      <c r="S182" s="147">
        <f t="shared" si="4"/>
        <v>0</v>
      </c>
      <c r="T182" s="147"/>
      <c r="U182" s="147"/>
      <c r="V182" s="148" t="e">
        <f ca="1"/>
        <v>#NAME?</v>
      </c>
      <c r="W182" s="147" t="e">
        <f t="shared" ca="1" si="5"/>
        <v>#NAME?</v>
      </c>
      <c r="X182" s="147" t="e">
        <f t="shared" ca="1" si="6"/>
        <v>#NAME?</v>
      </c>
      <c r="Y182" s="147" t="e">
        <f t="shared" ca="1" si="7"/>
        <v>#NAME?</v>
      </c>
      <c r="Z182" s="147"/>
      <c r="AA182" s="147"/>
      <c r="AB182" s="147"/>
      <c r="AC182" s="147"/>
      <c r="AD182" s="147"/>
      <c r="AE182" s="147"/>
      <c r="AF182" s="147"/>
      <c r="AG182" s="147"/>
      <c r="AH182" s="147"/>
      <c r="AI182" s="147"/>
      <c r="AJ182" s="147"/>
      <c r="AK182" s="147"/>
      <c r="AL182" s="147"/>
      <c r="AM182" s="151"/>
      <c r="AN182" s="147"/>
      <c r="AO182" s="147" t="e">
        <f t="shared" si="8"/>
        <v>#N/A</v>
      </c>
      <c r="AP182" s="147" t="e">
        <f t="shared" ca="1" si="9"/>
        <v>#NAME?</v>
      </c>
      <c r="AQ182" s="147" t="e">
        <f t="shared" si="10"/>
        <v>#N/A</v>
      </c>
      <c r="AR182" s="147"/>
      <c r="AS182" s="147"/>
      <c r="AT182" s="147"/>
      <c r="AU182" s="147"/>
      <c r="AV182" s="147"/>
      <c r="AW182" s="147"/>
      <c r="AX182" s="147"/>
      <c r="AY182" s="147"/>
      <c r="AZ182" s="147"/>
      <c r="BA182" s="147"/>
      <c r="BB182" s="147"/>
      <c r="BC182" s="147"/>
      <c r="BD182" s="147"/>
      <c r="BE182" s="147"/>
      <c r="BF182" s="147"/>
      <c r="BG182" s="147"/>
      <c r="BH182" s="147"/>
      <c r="BI182" s="147"/>
      <c r="BJ182" s="147"/>
      <c r="BK182" s="147"/>
      <c r="BL182" s="147"/>
      <c r="BM182" s="147"/>
      <c r="BN182" s="147"/>
      <c r="BO182" s="147"/>
      <c r="BP182" s="147"/>
      <c r="BQ182" s="147"/>
      <c r="BR182" s="147"/>
      <c r="BS182" s="147"/>
      <c r="BT182" s="147"/>
      <c r="BU182" s="147"/>
      <c r="BV182" s="147"/>
      <c r="BW182" s="147"/>
      <c r="BX182" s="147"/>
      <c r="BY182" s="147"/>
      <c r="BZ182" s="147"/>
      <c r="CA182" s="147"/>
      <c r="CB182" s="147"/>
      <c r="CC182" s="147"/>
      <c r="CD182" s="147"/>
      <c r="CE182" s="147"/>
      <c r="CF182" s="147"/>
      <c r="CG182" s="147"/>
      <c r="CH182" s="147"/>
      <c r="CI182" s="147"/>
      <c r="CJ182" s="147"/>
      <c r="CK182" s="147"/>
    </row>
    <row r="183" spans="1:89">
      <c r="A183" s="159" t="s">
        <v>715</v>
      </c>
      <c r="B183" s="3" t="s">
        <v>716</v>
      </c>
      <c r="C183" s="160" t="s">
        <v>68</v>
      </c>
      <c r="D183" s="160" t="s">
        <v>861</v>
      </c>
      <c r="E183" s="3" t="s">
        <v>22</v>
      </c>
      <c r="F183" s="3" t="s">
        <v>916</v>
      </c>
      <c r="G183" s="3"/>
      <c r="H183" s="156" t="str">
        <f ca="1">IFERROR(
  _xludf.MINIFS(ATTENDANCE_LOG!$F:$F,
         ATTENDANCE_LOG!$A:$A, C183,
         ATTENDANCE_LOG!$B:$B, E183),
"")</f>
        <v/>
      </c>
      <c r="I183" s="156" t="str">
        <f t="shared" ca="1" si="0"/>
        <v/>
      </c>
      <c r="J183" s="3">
        <f>IFERROR(VLOOKUP(F183, LEVEL_HELPER!$A:$B, 2, 0), "")</f>
        <v>2.5</v>
      </c>
      <c r="K183" s="3" t="str">
        <f>IFERROR(VLOOKUP(G183, LEVEL_HELPER!$A:$B, 2, 0), "")</f>
        <v/>
      </c>
      <c r="L183" s="157" t="s">
        <v>942</v>
      </c>
      <c r="M183" s="157" t="s">
        <v>924</v>
      </c>
      <c r="N183" s="3">
        <f t="array" aca="1" ref="N183" ca="1">IFERROR(
  INDEX($J$2:$J$543,
    MATCH(A183&amp;TEXT(I183,"yyyy-mm-dd"),
          $A$2:$A$543&amp;TEXT($H$2:$H$543,"yyyy-mm-dd"),
          0)),
"")</f>
        <v>2.5</v>
      </c>
      <c r="O183" s="147" t="str">
        <f t="shared" ca="1" si="1"/>
        <v/>
      </c>
      <c r="P183" s="147">
        <f t="shared" ref="P183:Q183" ca="1" si="192">IF(N183="",0,IF(N183&lt;=2,1,IF(N183&lt;=4,2,IF(N183&lt;=5.5,3,4))))</f>
        <v>2</v>
      </c>
      <c r="Q183" s="147">
        <f t="shared" ca="1" si="192"/>
        <v>0</v>
      </c>
      <c r="R183" s="147" t="str">
        <f t="shared" ca="1" si="3"/>
        <v>Regressed</v>
      </c>
      <c r="S183" s="147">
        <f t="shared" si="4"/>
        <v>1</v>
      </c>
      <c r="T183" s="147"/>
      <c r="U183" s="147"/>
      <c r="V183" s="148" t="e">
        <f ca="1"/>
        <v>#NAME?</v>
      </c>
      <c r="W183" s="147" t="e">
        <f t="shared" ca="1" si="5"/>
        <v>#NAME?</v>
      </c>
      <c r="X183" s="147" t="e">
        <f t="shared" ca="1" si="6"/>
        <v>#NAME?</v>
      </c>
      <c r="Y183" s="147" t="e">
        <f t="shared" ca="1" si="7"/>
        <v>#NAME?</v>
      </c>
      <c r="Z183" s="147"/>
      <c r="AA183" s="147"/>
      <c r="AB183" s="147"/>
      <c r="AC183" s="147"/>
      <c r="AD183" s="147"/>
      <c r="AE183" s="147"/>
      <c r="AF183" s="147"/>
      <c r="AG183" s="147"/>
      <c r="AH183" s="147"/>
      <c r="AI183" s="147"/>
      <c r="AJ183" s="147"/>
      <c r="AK183" s="147"/>
      <c r="AL183" s="147"/>
      <c r="AM183" s="151"/>
      <c r="AN183" s="147"/>
      <c r="AO183" s="147" t="e">
        <f t="shared" si="8"/>
        <v>#N/A</v>
      </c>
      <c r="AP183" s="147" t="e">
        <f t="shared" ca="1" si="9"/>
        <v>#NAME?</v>
      </c>
      <c r="AQ183" s="147" t="e">
        <f t="shared" si="10"/>
        <v>#N/A</v>
      </c>
      <c r="AR183" s="147"/>
      <c r="AS183" s="147"/>
      <c r="AT183" s="147"/>
      <c r="AU183" s="147"/>
      <c r="AV183" s="147"/>
      <c r="AW183" s="147"/>
      <c r="AX183" s="147"/>
      <c r="AY183" s="147"/>
      <c r="AZ183" s="147"/>
      <c r="BA183" s="147"/>
      <c r="BB183" s="147"/>
      <c r="BC183" s="147"/>
      <c r="BD183" s="147"/>
      <c r="BE183" s="147"/>
      <c r="BF183" s="147"/>
      <c r="BG183" s="147"/>
      <c r="BH183" s="147"/>
      <c r="BI183" s="147"/>
      <c r="BJ183" s="147"/>
      <c r="BK183" s="147"/>
      <c r="BL183" s="147"/>
      <c r="BM183" s="147"/>
      <c r="BN183" s="147"/>
      <c r="BO183" s="147"/>
      <c r="BP183" s="147"/>
      <c r="BQ183" s="147"/>
      <c r="BR183" s="147"/>
      <c r="BS183" s="147"/>
      <c r="BT183" s="147"/>
      <c r="BU183" s="147"/>
      <c r="BV183" s="147"/>
      <c r="BW183" s="147"/>
      <c r="BX183" s="147"/>
      <c r="BY183" s="147"/>
      <c r="BZ183" s="147"/>
      <c r="CA183" s="147"/>
      <c r="CB183" s="147"/>
      <c r="CC183" s="147"/>
      <c r="CD183" s="147"/>
      <c r="CE183" s="147"/>
      <c r="CF183" s="147"/>
      <c r="CG183" s="147"/>
      <c r="CH183" s="147"/>
      <c r="CI183" s="147"/>
      <c r="CJ183" s="147"/>
      <c r="CK183" s="147"/>
    </row>
    <row r="184" spans="1:89">
      <c r="A184" s="153" t="s">
        <v>257</v>
      </c>
      <c r="B184" s="154" t="s">
        <v>258</v>
      </c>
      <c r="C184" s="155" t="s">
        <v>69</v>
      </c>
      <c r="D184" s="155" t="s">
        <v>862</v>
      </c>
      <c r="E184" s="154" t="s">
        <v>21</v>
      </c>
      <c r="F184" s="3" t="s">
        <v>916</v>
      </c>
      <c r="G184" s="3" t="s">
        <v>931</v>
      </c>
      <c r="H184" s="156" t="str">
        <f ca="1">IFERROR(
  _xludf.MINIFS(ATTENDANCE_LOG!$F:$F,
         ATTENDANCE_LOG!$A:$A, C184,
         ATTENDANCE_LOG!$B:$B, E184),
"")</f>
        <v/>
      </c>
      <c r="I184" s="156" t="str">
        <f t="shared" ca="1" si="0"/>
        <v/>
      </c>
      <c r="J184" s="3">
        <f>IFERROR(VLOOKUP(F184, LEVEL_HELPER!$A:$B, 2, 0), "")</f>
        <v>2.5</v>
      </c>
      <c r="K184" s="3">
        <f>IFERROR(VLOOKUP(G184, LEVEL_HELPER!$A:$B, 2, 0), "")</f>
        <v>4.5</v>
      </c>
      <c r="L184" s="157" t="s">
        <v>942</v>
      </c>
      <c r="M184" s="157" t="s">
        <v>924</v>
      </c>
      <c r="N184" s="3">
        <f t="array" aca="1" ref="N184" ca="1">IFERROR(
  INDEX($J$2:$J$543,
    MATCH(A184&amp;TEXT(I184,"yyyy-mm-dd"),
          $A$2:$A$543&amp;TEXT($H$2:$H$543,"yyyy-mm-dd"),
          0)),
"")</f>
        <v>2.5</v>
      </c>
      <c r="O184" s="147" t="str">
        <f t="shared" ca="1" si="1"/>
        <v/>
      </c>
      <c r="P184" s="147">
        <f t="shared" ref="P184:Q184" ca="1" si="193">IF(N184="",0,IF(N184&lt;=2,1,IF(N184&lt;=4,2,IF(N184&lt;=5.5,3,4))))</f>
        <v>2</v>
      </c>
      <c r="Q184" s="147">
        <f t="shared" ca="1" si="193"/>
        <v>0</v>
      </c>
      <c r="R184" s="147" t="str">
        <f t="shared" ca="1" si="3"/>
        <v>Regressed</v>
      </c>
      <c r="S184" s="147">
        <f t="shared" si="4"/>
        <v>1</v>
      </c>
      <c r="T184" s="147"/>
      <c r="U184" s="147"/>
      <c r="V184" s="148" t="e">
        <f ca="1"/>
        <v>#NAME?</v>
      </c>
      <c r="W184" s="147" t="e">
        <f t="shared" ca="1" si="5"/>
        <v>#NAME?</v>
      </c>
      <c r="X184" s="147" t="e">
        <f t="shared" ca="1" si="6"/>
        <v>#NAME?</v>
      </c>
      <c r="Y184" s="147" t="e">
        <f t="shared" ca="1" si="7"/>
        <v>#NAME?</v>
      </c>
      <c r="Z184" s="147"/>
      <c r="AA184" s="147"/>
      <c r="AB184" s="147"/>
      <c r="AC184" s="147"/>
      <c r="AD184" s="147"/>
      <c r="AE184" s="147"/>
      <c r="AF184" s="147"/>
      <c r="AG184" s="147"/>
      <c r="AH184" s="147"/>
      <c r="AI184" s="147"/>
      <c r="AJ184" s="147"/>
      <c r="AK184" s="147"/>
      <c r="AL184" s="147"/>
      <c r="AM184" s="151"/>
      <c r="AN184" s="147"/>
      <c r="AO184" s="147" t="e">
        <f t="shared" si="8"/>
        <v>#N/A</v>
      </c>
      <c r="AP184" s="147" t="e">
        <f t="shared" ca="1" si="9"/>
        <v>#NAME?</v>
      </c>
      <c r="AQ184" s="147" t="e">
        <f t="shared" si="10"/>
        <v>#N/A</v>
      </c>
      <c r="AR184" s="147"/>
      <c r="AS184" s="147"/>
      <c r="AT184" s="147"/>
      <c r="AU184" s="147"/>
      <c r="AV184" s="147"/>
      <c r="AW184" s="147"/>
      <c r="AX184" s="147"/>
      <c r="AY184" s="147"/>
      <c r="AZ184" s="147"/>
      <c r="BA184" s="147"/>
      <c r="BB184" s="147"/>
      <c r="BC184" s="147"/>
      <c r="BD184" s="147"/>
      <c r="BE184" s="147"/>
      <c r="BF184" s="147"/>
      <c r="BG184" s="147"/>
      <c r="BH184" s="147"/>
      <c r="BI184" s="147"/>
      <c r="BJ184" s="147"/>
      <c r="BK184" s="147"/>
      <c r="BL184" s="147"/>
      <c r="BM184" s="147"/>
      <c r="BN184" s="147"/>
      <c r="BO184" s="147"/>
      <c r="BP184" s="147"/>
      <c r="BQ184" s="147"/>
      <c r="BR184" s="147"/>
      <c r="BS184" s="147"/>
      <c r="BT184" s="147"/>
      <c r="BU184" s="147"/>
      <c r="BV184" s="147"/>
      <c r="BW184" s="147"/>
      <c r="BX184" s="147"/>
      <c r="BY184" s="147"/>
      <c r="BZ184" s="147"/>
      <c r="CA184" s="147"/>
      <c r="CB184" s="147"/>
      <c r="CC184" s="147"/>
      <c r="CD184" s="147"/>
      <c r="CE184" s="147"/>
      <c r="CF184" s="147"/>
      <c r="CG184" s="147"/>
      <c r="CH184" s="147"/>
      <c r="CI184" s="147"/>
      <c r="CJ184" s="147"/>
      <c r="CK184" s="147"/>
    </row>
    <row r="185" spans="1:89">
      <c r="A185" s="159" t="s">
        <v>311</v>
      </c>
      <c r="B185" s="3" t="s">
        <v>312</v>
      </c>
      <c r="C185" s="160" t="s">
        <v>69</v>
      </c>
      <c r="D185" s="160" t="s">
        <v>862</v>
      </c>
      <c r="E185" s="3" t="s">
        <v>21</v>
      </c>
      <c r="F185" s="3" t="s">
        <v>926</v>
      </c>
      <c r="G185" s="3" t="s">
        <v>926</v>
      </c>
      <c r="H185" s="156" t="str">
        <f ca="1">IFERROR(
  _xludf.MINIFS(ATTENDANCE_LOG!$F:$F,
         ATTENDANCE_LOG!$A:$A, C185,
         ATTENDANCE_LOG!$B:$B, E185),
"")</f>
        <v/>
      </c>
      <c r="I185" s="156" t="str">
        <f t="shared" ca="1" si="0"/>
        <v/>
      </c>
      <c r="J185" s="3">
        <f>IFERROR(VLOOKUP(F185, LEVEL_HELPER!$A:$B, 2, 0), "")</f>
        <v>1</v>
      </c>
      <c r="K185" s="3">
        <f>IFERROR(VLOOKUP(G185, LEVEL_HELPER!$A:$B, 2, 0), "")</f>
        <v>1</v>
      </c>
      <c r="L185" s="157" t="s">
        <v>942</v>
      </c>
      <c r="M185" s="157" t="s">
        <v>924</v>
      </c>
      <c r="N185" s="3">
        <f t="array" aca="1" ref="N185" ca="1">IFERROR(
  INDEX($J$2:$J$543,
    MATCH(A185&amp;TEXT(I185,"yyyy-mm-dd"),
          $A$2:$A$543&amp;TEXT($H$2:$H$543,"yyyy-mm-dd"),
          0)),
"")</f>
        <v>1</v>
      </c>
      <c r="O185" s="147" t="str">
        <f t="shared" ca="1" si="1"/>
        <v/>
      </c>
      <c r="P185" s="147">
        <f t="shared" ref="P185:Q185" ca="1" si="194">IF(N185="",0,IF(N185&lt;=2,1,IF(N185&lt;=4,2,IF(N185&lt;=5.5,3,4))))</f>
        <v>1</v>
      </c>
      <c r="Q185" s="147">
        <f t="shared" ca="1" si="194"/>
        <v>0</v>
      </c>
      <c r="R185" s="147" t="str">
        <f t="shared" ca="1" si="3"/>
        <v>Regressed</v>
      </c>
      <c r="S185" s="147">
        <f t="shared" si="4"/>
        <v>1</v>
      </c>
      <c r="T185" s="147"/>
      <c r="U185" s="147"/>
      <c r="V185" s="148" t="e">
        <f ca="1"/>
        <v>#NAME?</v>
      </c>
      <c r="W185" s="147" t="e">
        <f t="shared" ca="1" si="5"/>
        <v>#NAME?</v>
      </c>
      <c r="X185" s="147" t="e">
        <f t="shared" ca="1" si="6"/>
        <v>#NAME?</v>
      </c>
      <c r="Y185" s="147" t="e">
        <f t="shared" ca="1" si="7"/>
        <v>#NAME?</v>
      </c>
      <c r="Z185" s="147"/>
      <c r="AA185" s="147"/>
      <c r="AB185" s="147"/>
      <c r="AC185" s="147"/>
      <c r="AD185" s="147"/>
      <c r="AE185" s="147"/>
      <c r="AF185" s="147"/>
      <c r="AG185" s="147"/>
      <c r="AH185" s="147"/>
      <c r="AI185" s="147"/>
      <c r="AJ185" s="147"/>
      <c r="AK185" s="147"/>
      <c r="AL185" s="147"/>
      <c r="AM185" s="151"/>
      <c r="AN185" s="147"/>
      <c r="AO185" s="147" t="e">
        <f t="shared" si="8"/>
        <v>#N/A</v>
      </c>
      <c r="AP185" s="147" t="e">
        <f t="shared" ca="1" si="9"/>
        <v>#NAME?</v>
      </c>
      <c r="AQ185" s="147" t="e">
        <f t="shared" si="10"/>
        <v>#N/A</v>
      </c>
      <c r="AR185" s="147"/>
      <c r="AS185" s="147"/>
      <c r="AT185" s="147"/>
      <c r="AU185" s="147"/>
      <c r="AV185" s="147"/>
      <c r="AW185" s="147"/>
      <c r="AX185" s="147"/>
      <c r="AY185" s="147"/>
      <c r="AZ185" s="147"/>
      <c r="BA185" s="147"/>
      <c r="BB185" s="147"/>
      <c r="BC185" s="147"/>
      <c r="BD185" s="147"/>
      <c r="BE185" s="147"/>
      <c r="BF185" s="147"/>
      <c r="BG185" s="147"/>
      <c r="BH185" s="147"/>
      <c r="BI185" s="147"/>
      <c r="BJ185" s="147"/>
      <c r="BK185" s="147"/>
      <c r="BL185" s="147"/>
      <c r="BM185" s="147"/>
      <c r="BN185" s="147"/>
      <c r="BO185" s="147"/>
      <c r="BP185" s="147"/>
      <c r="BQ185" s="147"/>
      <c r="BR185" s="147"/>
      <c r="BS185" s="147"/>
      <c r="BT185" s="147"/>
      <c r="BU185" s="147"/>
      <c r="BV185" s="147"/>
      <c r="BW185" s="147"/>
      <c r="BX185" s="147"/>
      <c r="BY185" s="147"/>
      <c r="BZ185" s="147"/>
      <c r="CA185" s="147"/>
      <c r="CB185" s="147"/>
      <c r="CC185" s="147"/>
      <c r="CD185" s="147"/>
      <c r="CE185" s="147"/>
      <c r="CF185" s="147"/>
      <c r="CG185" s="147"/>
      <c r="CH185" s="147"/>
      <c r="CI185" s="147"/>
      <c r="CJ185" s="147"/>
      <c r="CK185" s="147"/>
    </row>
    <row r="186" spans="1:89">
      <c r="A186" s="159" t="s">
        <v>323</v>
      </c>
      <c r="B186" s="3" t="s">
        <v>324</v>
      </c>
      <c r="C186" s="160" t="s">
        <v>69</v>
      </c>
      <c r="D186" s="160" t="s">
        <v>862</v>
      </c>
      <c r="E186" s="3" t="s">
        <v>21</v>
      </c>
      <c r="F186" s="3" t="s">
        <v>926</v>
      </c>
      <c r="G186" s="3" t="s">
        <v>926</v>
      </c>
      <c r="H186" s="156" t="str">
        <f ca="1">IFERROR(
  _xludf.MINIFS(ATTENDANCE_LOG!$F:$F,
         ATTENDANCE_LOG!$A:$A, C186,
         ATTENDANCE_LOG!$B:$B, E186),
"")</f>
        <v/>
      </c>
      <c r="I186" s="156" t="str">
        <f t="shared" ca="1" si="0"/>
        <v/>
      </c>
      <c r="J186" s="3">
        <f>IFERROR(VLOOKUP(F186, LEVEL_HELPER!$A:$B, 2, 0), "")</f>
        <v>1</v>
      </c>
      <c r="K186" s="3">
        <f>IFERROR(VLOOKUP(G186, LEVEL_HELPER!$A:$B, 2, 0), "")</f>
        <v>1</v>
      </c>
      <c r="L186" s="157" t="s">
        <v>942</v>
      </c>
      <c r="M186" s="157" t="s">
        <v>924</v>
      </c>
      <c r="N186" s="3">
        <f t="array" aca="1" ref="N186" ca="1">IFERROR(
  INDEX($J$2:$J$543,
    MATCH(A186&amp;TEXT(I186,"yyyy-mm-dd"),
          $A$2:$A$543&amp;TEXT($H$2:$H$543,"yyyy-mm-dd"),
          0)),
"")</f>
        <v>1</v>
      </c>
      <c r="O186" s="147" t="str">
        <f t="shared" ca="1" si="1"/>
        <v/>
      </c>
      <c r="P186" s="147">
        <f t="shared" ref="P186:Q186" ca="1" si="195">IF(N186="",0,IF(N186&lt;=2,1,IF(N186&lt;=4,2,IF(N186&lt;=5.5,3,4))))</f>
        <v>1</v>
      </c>
      <c r="Q186" s="147">
        <f t="shared" ca="1" si="195"/>
        <v>0</v>
      </c>
      <c r="R186" s="147" t="str">
        <f t="shared" ca="1" si="3"/>
        <v>Regressed</v>
      </c>
      <c r="S186" s="147">
        <f t="shared" si="4"/>
        <v>0</v>
      </c>
      <c r="T186" s="147"/>
      <c r="U186" s="147"/>
      <c r="V186" s="148" t="e">
        <f ca="1"/>
        <v>#NAME?</v>
      </c>
      <c r="W186" s="147" t="e">
        <f t="shared" ca="1" si="5"/>
        <v>#NAME?</v>
      </c>
      <c r="X186" s="147" t="e">
        <f t="shared" ca="1" si="6"/>
        <v>#NAME?</v>
      </c>
      <c r="Y186" s="147" t="e">
        <f t="shared" ca="1" si="7"/>
        <v>#NAME?</v>
      </c>
      <c r="Z186" s="147"/>
      <c r="AA186" s="147"/>
      <c r="AB186" s="147"/>
      <c r="AC186" s="147"/>
      <c r="AD186" s="147"/>
      <c r="AE186" s="147"/>
      <c r="AF186" s="147"/>
      <c r="AG186" s="147"/>
      <c r="AH186" s="147"/>
      <c r="AI186" s="147"/>
      <c r="AJ186" s="147"/>
      <c r="AK186" s="147"/>
      <c r="AL186" s="147"/>
      <c r="AM186" s="151"/>
      <c r="AN186" s="147"/>
      <c r="AO186" s="147" t="e">
        <f t="shared" si="8"/>
        <v>#N/A</v>
      </c>
      <c r="AP186" s="147" t="e">
        <f t="shared" ca="1" si="9"/>
        <v>#NAME?</v>
      </c>
      <c r="AQ186" s="147" t="e">
        <f t="shared" si="10"/>
        <v>#N/A</v>
      </c>
      <c r="AR186" s="147"/>
      <c r="AS186" s="147"/>
      <c r="AT186" s="147"/>
      <c r="AU186" s="147"/>
      <c r="AV186" s="147"/>
      <c r="AW186" s="147"/>
      <c r="AX186" s="147"/>
      <c r="AY186" s="147"/>
      <c r="AZ186" s="147"/>
      <c r="BA186" s="147"/>
      <c r="BB186" s="147"/>
      <c r="BC186" s="147"/>
      <c r="BD186" s="147"/>
      <c r="BE186" s="147"/>
      <c r="BF186" s="147"/>
      <c r="BG186" s="147"/>
      <c r="BH186" s="147"/>
      <c r="BI186" s="147"/>
      <c r="BJ186" s="147"/>
      <c r="BK186" s="147"/>
      <c r="BL186" s="147"/>
      <c r="BM186" s="147"/>
      <c r="BN186" s="147"/>
      <c r="BO186" s="147"/>
      <c r="BP186" s="147"/>
      <c r="BQ186" s="147"/>
      <c r="BR186" s="147"/>
      <c r="BS186" s="147"/>
      <c r="BT186" s="147"/>
      <c r="BU186" s="147"/>
      <c r="BV186" s="147"/>
      <c r="BW186" s="147"/>
      <c r="BX186" s="147"/>
      <c r="BY186" s="147"/>
      <c r="BZ186" s="147"/>
      <c r="CA186" s="147"/>
      <c r="CB186" s="147"/>
      <c r="CC186" s="147"/>
      <c r="CD186" s="147"/>
      <c r="CE186" s="147"/>
      <c r="CF186" s="147"/>
      <c r="CG186" s="147"/>
      <c r="CH186" s="147"/>
      <c r="CI186" s="147"/>
      <c r="CJ186" s="147"/>
      <c r="CK186" s="147"/>
    </row>
    <row r="187" spans="1:89">
      <c r="A187" s="159" t="s">
        <v>403</v>
      </c>
      <c r="B187" s="3" t="s">
        <v>404</v>
      </c>
      <c r="C187" s="160" t="s">
        <v>69</v>
      </c>
      <c r="D187" s="160" t="s">
        <v>862</v>
      </c>
      <c r="E187" s="3" t="s">
        <v>21</v>
      </c>
      <c r="F187" s="3" t="s">
        <v>916</v>
      </c>
      <c r="G187" s="3" t="s">
        <v>931</v>
      </c>
      <c r="H187" s="156" t="str">
        <f ca="1">IFERROR(
  _xludf.MINIFS(ATTENDANCE_LOG!$F:$F,
         ATTENDANCE_LOG!$A:$A, C187,
         ATTENDANCE_LOG!$B:$B, E187),
"")</f>
        <v/>
      </c>
      <c r="I187" s="156" t="str">
        <f t="shared" ca="1" si="0"/>
        <v/>
      </c>
      <c r="J187" s="3">
        <f>IFERROR(VLOOKUP(F187, LEVEL_HELPER!$A:$B, 2, 0), "")</f>
        <v>2.5</v>
      </c>
      <c r="K187" s="3">
        <f>IFERROR(VLOOKUP(G187, LEVEL_HELPER!$A:$B, 2, 0), "")</f>
        <v>4.5</v>
      </c>
      <c r="L187" s="157" t="s">
        <v>942</v>
      </c>
      <c r="M187" s="157" t="s">
        <v>924</v>
      </c>
      <c r="N187" s="3">
        <f t="array" aca="1" ref="N187" ca="1">IFERROR(
  INDEX($J$2:$J$543,
    MATCH(A187&amp;TEXT(I187,"yyyy-mm-dd"),
          $A$2:$A$543&amp;TEXT($H$2:$H$543,"yyyy-mm-dd"),
          0)),
"")</f>
        <v>2.5</v>
      </c>
      <c r="O187" s="147" t="str">
        <f t="shared" ca="1" si="1"/>
        <v/>
      </c>
      <c r="P187" s="147">
        <f t="shared" ref="P187:Q187" ca="1" si="196">IF(N187="",0,IF(N187&lt;=2,1,IF(N187&lt;=4,2,IF(N187&lt;=5.5,3,4))))</f>
        <v>2</v>
      </c>
      <c r="Q187" s="147">
        <f t="shared" ca="1" si="196"/>
        <v>0</v>
      </c>
      <c r="R187" s="147" t="str">
        <f t="shared" ca="1" si="3"/>
        <v>Regressed</v>
      </c>
      <c r="S187" s="147">
        <f t="shared" si="4"/>
        <v>1</v>
      </c>
      <c r="T187" s="147"/>
      <c r="U187" s="147"/>
      <c r="V187" s="148" t="e">
        <f ca="1"/>
        <v>#NAME?</v>
      </c>
      <c r="W187" s="147" t="e">
        <f t="shared" ca="1" si="5"/>
        <v>#NAME?</v>
      </c>
      <c r="X187" s="147" t="e">
        <f t="shared" ca="1" si="6"/>
        <v>#NAME?</v>
      </c>
      <c r="Y187" s="147" t="e">
        <f t="shared" ca="1" si="7"/>
        <v>#NAME?</v>
      </c>
      <c r="Z187" s="147"/>
      <c r="AA187" s="147"/>
      <c r="AB187" s="147"/>
      <c r="AC187" s="147"/>
      <c r="AD187" s="147"/>
      <c r="AE187" s="147"/>
      <c r="AF187" s="147"/>
      <c r="AG187" s="147"/>
      <c r="AH187" s="147"/>
      <c r="AI187" s="147"/>
      <c r="AJ187" s="147"/>
      <c r="AK187" s="147"/>
      <c r="AL187" s="147"/>
      <c r="AM187" s="151"/>
      <c r="AN187" s="147"/>
      <c r="AO187" s="147" t="e">
        <f t="shared" si="8"/>
        <v>#N/A</v>
      </c>
      <c r="AP187" s="147" t="e">
        <f t="shared" ca="1" si="9"/>
        <v>#NAME?</v>
      </c>
      <c r="AQ187" s="147" t="e">
        <f t="shared" si="10"/>
        <v>#N/A</v>
      </c>
      <c r="AR187" s="147"/>
      <c r="AS187" s="147"/>
      <c r="AT187" s="147"/>
      <c r="AU187" s="147"/>
      <c r="AV187" s="147"/>
      <c r="AW187" s="147"/>
      <c r="AX187" s="147"/>
      <c r="AY187" s="147"/>
      <c r="AZ187" s="147"/>
      <c r="BA187" s="147"/>
      <c r="BB187" s="147"/>
      <c r="BC187" s="147"/>
      <c r="BD187" s="147"/>
      <c r="BE187" s="147"/>
      <c r="BF187" s="147"/>
      <c r="BG187" s="147"/>
      <c r="BH187" s="147"/>
      <c r="BI187" s="147"/>
      <c r="BJ187" s="147"/>
      <c r="BK187" s="147"/>
      <c r="BL187" s="147"/>
      <c r="BM187" s="147"/>
      <c r="BN187" s="147"/>
      <c r="BO187" s="147"/>
      <c r="BP187" s="147"/>
      <c r="BQ187" s="147"/>
      <c r="BR187" s="147"/>
      <c r="BS187" s="147"/>
      <c r="BT187" s="147"/>
      <c r="BU187" s="147"/>
      <c r="BV187" s="147"/>
      <c r="BW187" s="147"/>
      <c r="BX187" s="147"/>
      <c r="BY187" s="147"/>
      <c r="BZ187" s="147"/>
      <c r="CA187" s="147"/>
      <c r="CB187" s="147"/>
      <c r="CC187" s="147"/>
      <c r="CD187" s="147"/>
      <c r="CE187" s="147"/>
      <c r="CF187" s="147"/>
      <c r="CG187" s="147"/>
      <c r="CH187" s="147"/>
      <c r="CI187" s="147"/>
      <c r="CJ187" s="147"/>
      <c r="CK187" s="147"/>
    </row>
    <row r="188" spans="1:89">
      <c r="A188" s="159" t="s">
        <v>639</v>
      </c>
      <c r="B188" s="3" t="s">
        <v>640</v>
      </c>
      <c r="C188" s="160" t="s">
        <v>69</v>
      </c>
      <c r="D188" s="160" t="s">
        <v>862</v>
      </c>
      <c r="E188" s="3" t="s">
        <v>21</v>
      </c>
      <c r="F188" s="3" t="s">
        <v>926</v>
      </c>
      <c r="G188" s="3" t="s">
        <v>916</v>
      </c>
      <c r="H188" s="156" t="str">
        <f ca="1">IFERROR(
  _xludf.MINIFS(ATTENDANCE_LOG!$F:$F,
         ATTENDANCE_LOG!$A:$A, C188,
         ATTENDANCE_LOG!$B:$B, E188),
"")</f>
        <v/>
      </c>
      <c r="I188" s="156" t="str">
        <f t="shared" ca="1" si="0"/>
        <v/>
      </c>
      <c r="J188" s="3">
        <f>IFERROR(VLOOKUP(F188, LEVEL_HELPER!$A:$B, 2, 0), "")</f>
        <v>1</v>
      </c>
      <c r="K188" s="3">
        <f>IFERROR(VLOOKUP(G188, LEVEL_HELPER!$A:$B, 2, 0), "")</f>
        <v>2.5</v>
      </c>
      <c r="L188" s="157" t="s">
        <v>942</v>
      </c>
      <c r="M188" s="157" t="s">
        <v>924</v>
      </c>
      <c r="N188" s="3">
        <f t="array" aca="1" ref="N188" ca="1">IFERROR(
  INDEX($J$2:$J$543,
    MATCH(A188&amp;TEXT(I188,"yyyy-mm-dd"),
          $A$2:$A$543&amp;TEXT($H$2:$H$543,"yyyy-mm-dd"),
          0)),
"")</f>
        <v>2.5</v>
      </c>
      <c r="O188" s="147" t="str">
        <f t="shared" ca="1" si="1"/>
        <v/>
      </c>
      <c r="P188" s="147">
        <f t="shared" ref="P188:Q188" ca="1" si="197">IF(N188="",0,IF(N188&lt;=2,1,IF(N188&lt;=4,2,IF(N188&lt;=5.5,3,4))))</f>
        <v>2</v>
      </c>
      <c r="Q188" s="147">
        <f t="shared" ca="1" si="197"/>
        <v>0</v>
      </c>
      <c r="R188" s="147" t="str">
        <f t="shared" ca="1" si="3"/>
        <v>Regressed</v>
      </c>
      <c r="S188" s="147">
        <f t="shared" si="4"/>
        <v>0</v>
      </c>
      <c r="T188" s="147"/>
      <c r="U188" s="147"/>
      <c r="V188" s="148" t="e">
        <f ca="1"/>
        <v>#NAME?</v>
      </c>
      <c r="W188" s="147" t="e">
        <f t="shared" ca="1" si="5"/>
        <v>#NAME?</v>
      </c>
      <c r="X188" s="147" t="e">
        <f t="shared" ca="1" si="6"/>
        <v>#NAME?</v>
      </c>
      <c r="Y188" s="147" t="e">
        <f t="shared" ca="1" si="7"/>
        <v>#NAME?</v>
      </c>
      <c r="Z188" s="147"/>
      <c r="AA188" s="147"/>
      <c r="AB188" s="147"/>
      <c r="AC188" s="147"/>
      <c r="AD188" s="147"/>
      <c r="AE188" s="147"/>
      <c r="AF188" s="147"/>
      <c r="AG188" s="147"/>
      <c r="AH188" s="147"/>
      <c r="AI188" s="147"/>
      <c r="AJ188" s="147"/>
      <c r="AK188" s="147"/>
      <c r="AL188" s="147"/>
      <c r="AM188" s="151"/>
      <c r="AN188" s="147"/>
      <c r="AO188" s="147" t="e">
        <f t="shared" si="8"/>
        <v>#N/A</v>
      </c>
      <c r="AP188" s="147" t="e">
        <f t="shared" ca="1" si="9"/>
        <v>#NAME?</v>
      </c>
      <c r="AQ188" s="147" t="e">
        <f t="shared" si="10"/>
        <v>#N/A</v>
      </c>
      <c r="AR188" s="147"/>
      <c r="AS188" s="147"/>
      <c r="AT188" s="147"/>
      <c r="AU188" s="147"/>
      <c r="AV188" s="147"/>
      <c r="AW188" s="147"/>
      <c r="AX188" s="147"/>
      <c r="AY188" s="147"/>
      <c r="AZ188" s="147"/>
      <c r="BA188" s="147"/>
      <c r="BB188" s="147"/>
      <c r="BC188" s="147"/>
      <c r="BD188" s="147"/>
      <c r="BE188" s="147"/>
      <c r="BF188" s="147"/>
      <c r="BG188" s="147"/>
      <c r="BH188" s="147"/>
      <c r="BI188" s="147"/>
      <c r="BJ188" s="147"/>
      <c r="BK188" s="147"/>
      <c r="BL188" s="147"/>
      <c r="BM188" s="147"/>
      <c r="BN188" s="147"/>
      <c r="BO188" s="147"/>
      <c r="BP188" s="147"/>
      <c r="BQ188" s="147"/>
      <c r="BR188" s="147"/>
      <c r="BS188" s="147"/>
      <c r="BT188" s="147"/>
      <c r="BU188" s="147"/>
      <c r="BV188" s="147"/>
      <c r="BW188" s="147"/>
      <c r="BX188" s="147"/>
      <c r="BY188" s="147"/>
      <c r="BZ188" s="147"/>
      <c r="CA188" s="147"/>
      <c r="CB188" s="147"/>
      <c r="CC188" s="147"/>
      <c r="CD188" s="147"/>
      <c r="CE188" s="147"/>
      <c r="CF188" s="147"/>
      <c r="CG188" s="147"/>
      <c r="CH188" s="147"/>
      <c r="CI188" s="147"/>
      <c r="CJ188" s="147"/>
      <c r="CK188" s="147"/>
    </row>
    <row r="189" spans="1:89">
      <c r="A189" s="159" t="s">
        <v>715</v>
      </c>
      <c r="B189" s="3" t="s">
        <v>716</v>
      </c>
      <c r="C189" s="160" t="s">
        <v>69</v>
      </c>
      <c r="D189" s="160" t="s">
        <v>862</v>
      </c>
      <c r="E189" s="3" t="s">
        <v>21</v>
      </c>
      <c r="F189" s="3" t="s">
        <v>916</v>
      </c>
      <c r="G189" s="3" t="s">
        <v>916</v>
      </c>
      <c r="H189" s="156" t="str">
        <f ca="1">IFERROR(
  _xludf.MINIFS(ATTENDANCE_LOG!$F:$F,
         ATTENDANCE_LOG!$A:$A, C189,
         ATTENDANCE_LOG!$B:$B, E189),
"")</f>
        <v/>
      </c>
      <c r="I189" s="156" t="str">
        <f t="shared" ca="1" si="0"/>
        <v/>
      </c>
      <c r="J189" s="3">
        <f>IFERROR(VLOOKUP(F189, LEVEL_HELPER!$A:$B, 2, 0), "")</f>
        <v>2.5</v>
      </c>
      <c r="K189" s="3">
        <f>IFERROR(VLOOKUP(G189, LEVEL_HELPER!$A:$B, 2, 0), "")</f>
        <v>2.5</v>
      </c>
      <c r="L189" s="157" t="s">
        <v>942</v>
      </c>
      <c r="M189" s="157" t="s">
        <v>924</v>
      </c>
      <c r="N189" s="3">
        <f t="array" aca="1" ref="N189" ca="1">IFERROR(
  INDEX($J$2:$J$543,
    MATCH(A189&amp;TEXT(I189,"yyyy-mm-dd"),
          $A$2:$A$543&amp;TEXT($H$2:$H$543,"yyyy-mm-dd"),
          0)),
"")</f>
        <v>2.5</v>
      </c>
      <c r="O189" s="147" t="str">
        <f t="shared" ca="1" si="1"/>
        <v/>
      </c>
      <c r="P189" s="147">
        <f t="shared" ref="P189:Q189" ca="1" si="198">IF(N189="",0,IF(N189&lt;=2,1,IF(N189&lt;=4,2,IF(N189&lt;=5.5,3,4))))</f>
        <v>2</v>
      </c>
      <c r="Q189" s="147">
        <f t="shared" ca="1" si="198"/>
        <v>0</v>
      </c>
      <c r="R189" s="147" t="str">
        <f t="shared" ca="1" si="3"/>
        <v>Regressed</v>
      </c>
      <c r="S189" s="147">
        <f t="shared" si="4"/>
        <v>0</v>
      </c>
      <c r="T189" s="147"/>
      <c r="U189" s="147"/>
      <c r="V189" s="148" t="e">
        <f ca="1"/>
        <v>#NAME?</v>
      </c>
      <c r="W189" s="147" t="e">
        <f t="shared" ca="1" si="5"/>
        <v>#NAME?</v>
      </c>
      <c r="X189" s="147" t="e">
        <f t="shared" ca="1" si="6"/>
        <v>#NAME?</v>
      </c>
      <c r="Y189" s="147" t="e">
        <f t="shared" ca="1" si="7"/>
        <v>#NAME?</v>
      </c>
      <c r="Z189" s="147"/>
      <c r="AA189" s="147"/>
      <c r="AB189" s="147"/>
      <c r="AC189" s="147"/>
      <c r="AD189" s="147"/>
      <c r="AE189" s="147"/>
      <c r="AF189" s="147"/>
      <c r="AG189" s="147"/>
      <c r="AH189" s="147"/>
      <c r="AI189" s="147"/>
      <c r="AJ189" s="147"/>
      <c r="AK189" s="147"/>
      <c r="AL189" s="147"/>
      <c r="AM189" s="151"/>
      <c r="AN189" s="147"/>
      <c r="AO189" s="147" t="e">
        <f t="shared" si="8"/>
        <v>#N/A</v>
      </c>
      <c r="AP189" s="147" t="e">
        <f t="shared" ca="1" si="9"/>
        <v>#NAME?</v>
      </c>
      <c r="AQ189" s="147" t="e">
        <f t="shared" si="10"/>
        <v>#N/A</v>
      </c>
      <c r="AR189" s="147"/>
      <c r="AS189" s="147"/>
      <c r="AT189" s="147"/>
      <c r="AU189" s="147"/>
      <c r="AV189" s="147"/>
      <c r="AW189" s="147"/>
      <c r="AX189" s="147"/>
      <c r="AY189" s="147"/>
      <c r="AZ189" s="147"/>
      <c r="BA189" s="147"/>
      <c r="BB189" s="147"/>
      <c r="BC189" s="147"/>
      <c r="BD189" s="147"/>
      <c r="BE189" s="147"/>
      <c r="BF189" s="147"/>
      <c r="BG189" s="147"/>
      <c r="BH189" s="147"/>
      <c r="BI189" s="147"/>
      <c r="BJ189" s="147"/>
      <c r="BK189" s="147"/>
      <c r="BL189" s="147"/>
      <c r="BM189" s="147"/>
      <c r="BN189" s="147"/>
      <c r="BO189" s="147"/>
      <c r="BP189" s="147"/>
      <c r="BQ189" s="147"/>
      <c r="BR189" s="147"/>
      <c r="BS189" s="147"/>
      <c r="BT189" s="147"/>
      <c r="BU189" s="147"/>
      <c r="BV189" s="147"/>
      <c r="BW189" s="147"/>
      <c r="BX189" s="147"/>
      <c r="BY189" s="147"/>
      <c r="BZ189" s="147"/>
      <c r="CA189" s="147"/>
      <c r="CB189" s="147"/>
      <c r="CC189" s="147"/>
      <c r="CD189" s="147"/>
      <c r="CE189" s="147"/>
      <c r="CF189" s="147"/>
      <c r="CG189" s="147"/>
      <c r="CH189" s="147"/>
      <c r="CI189" s="147"/>
      <c r="CJ189" s="147"/>
      <c r="CK189" s="147"/>
    </row>
    <row r="190" spans="1:89">
      <c r="A190" s="153" t="s">
        <v>434</v>
      </c>
      <c r="B190" s="154" t="s">
        <v>435</v>
      </c>
      <c r="C190" s="155" t="s">
        <v>70</v>
      </c>
      <c r="D190" s="155" t="s">
        <v>863</v>
      </c>
      <c r="E190" s="154" t="s">
        <v>21</v>
      </c>
      <c r="F190" s="3" t="s">
        <v>926</v>
      </c>
      <c r="G190" s="3" t="s">
        <v>934</v>
      </c>
      <c r="H190" s="156" t="str">
        <f ca="1">IFERROR(
  _xludf.MINIFS(ATTENDANCE_LOG!$F:$F,
         ATTENDANCE_LOG!$A:$A, C190,
         ATTENDANCE_LOG!$B:$B, E190),
"")</f>
        <v/>
      </c>
      <c r="I190" s="156" t="str">
        <f t="shared" ca="1" si="0"/>
        <v/>
      </c>
      <c r="J190" s="3">
        <f>IFERROR(VLOOKUP(F190, LEVEL_HELPER!$A:$B, 2, 0), "")</f>
        <v>1</v>
      </c>
      <c r="K190" s="3">
        <f>IFERROR(VLOOKUP(G190, LEVEL_HELPER!$A:$B, 2, 0), "")</f>
        <v>3.5</v>
      </c>
      <c r="L190" s="157" t="s">
        <v>942</v>
      </c>
      <c r="M190" s="157" t="s">
        <v>925</v>
      </c>
      <c r="N190" s="3">
        <f t="array" aca="1" ref="N190" ca="1">IFERROR(
  INDEX($J$2:$J$543,
    MATCH(A190&amp;TEXT(I190,"yyyy-mm-dd"),
          $A$2:$A$543&amp;TEXT($H$2:$H$543,"yyyy-mm-dd"),
          0)),
"")</f>
        <v>1</v>
      </c>
      <c r="O190" s="147" t="str">
        <f t="shared" ca="1" si="1"/>
        <v/>
      </c>
      <c r="P190" s="147">
        <f t="shared" ref="P190:Q190" ca="1" si="199">IF(N190="",0,IF(N190&lt;=2,1,IF(N190&lt;=4,2,IF(N190&lt;=5.5,3,4))))</f>
        <v>1</v>
      </c>
      <c r="Q190" s="147">
        <f t="shared" ca="1" si="199"/>
        <v>0</v>
      </c>
      <c r="R190" s="147" t="str">
        <f t="shared" ca="1" si="3"/>
        <v>Regressed</v>
      </c>
      <c r="S190" s="147">
        <f t="shared" si="4"/>
        <v>1</v>
      </c>
      <c r="T190" s="147"/>
      <c r="U190" s="147"/>
      <c r="V190" s="148" t="e">
        <f ca="1"/>
        <v>#NAME?</v>
      </c>
      <c r="W190" s="147" t="e">
        <f t="shared" ca="1" si="5"/>
        <v>#NAME?</v>
      </c>
      <c r="X190" s="147" t="e">
        <f t="shared" ca="1" si="6"/>
        <v>#NAME?</v>
      </c>
      <c r="Y190" s="147" t="e">
        <f t="shared" ca="1" si="7"/>
        <v>#NAME?</v>
      </c>
      <c r="Z190" s="147"/>
      <c r="AA190" s="147"/>
      <c r="AB190" s="147"/>
      <c r="AC190" s="147"/>
      <c r="AD190" s="147"/>
      <c r="AE190" s="147"/>
      <c r="AF190" s="147"/>
      <c r="AG190" s="147"/>
      <c r="AH190" s="147"/>
      <c r="AI190" s="147"/>
      <c r="AJ190" s="147"/>
      <c r="AK190" s="147"/>
      <c r="AL190" s="147"/>
      <c r="AM190" s="151"/>
      <c r="AN190" s="147"/>
      <c r="AO190" s="147" t="e">
        <f t="shared" si="8"/>
        <v>#N/A</v>
      </c>
      <c r="AP190" s="147" t="e">
        <f t="shared" ca="1" si="9"/>
        <v>#NAME?</v>
      </c>
      <c r="AQ190" s="147" t="e">
        <f t="shared" si="10"/>
        <v>#N/A</v>
      </c>
      <c r="AR190" s="147"/>
      <c r="AS190" s="147"/>
      <c r="AT190" s="147"/>
      <c r="AU190" s="147"/>
      <c r="AV190" s="147"/>
      <c r="AW190" s="147"/>
      <c r="AX190" s="147"/>
      <c r="AY190" s="147"/>
      <c r="AZ190" s="147"/>
      <c r="BA190" s="147"/>
      <c r="BB190" s="147"/>
      <c r="BC190" s="147"/>
      <c r="BD190" s="147"/>
      <c r="BE190" s="147"/>
      <c r="BF190" s="147"/>
      <c r="BG190" s="147"/>
      <c r="BH190" s="147"/>
      <c r="BI190" s="147"/>
      <c r="BJ190" s="147"/>
      <c r="BK190" s="147"/>
      <c r="BL190" s="147"/>
      <c r="BM190" s="147"/>
      <c r="BN190" s="147"/>
      <c r="BO190" s="147"/>
      <c r="BP190" s="147"/>
      <c r="BQ190" s="147"/>
      <c r="BR190" s="147"/>
      <c r="BS190" s="147"/>
      <c r="BT190" s="147"/>
      <c r="BU190" s="147"/>
      <c r="BV190" s="147"/>
      <c r="BW190" s="147"/>
      <c r="BX190" s="147"/>
      <c r="BY190" s="147"/>
      <c r="BZ190" s="147"/>
      <c r="CA190" s="147"/>
      <c r="CB190" s="147"/>
      <c r="CC190" s="147"/>
      <c r="CD190" s="147"/>
      <c r="CE190" s="147"/>
      <c r="CF190" s="147"/>
      <c r="CG190" s="147"/>
      <c r="CH190" s="147"/>
      <c r="CI190" s="147"/>
      <c r="CJ190" s="147"/>
      <c r="CK190" s="147"/>
    </row>
    <row r="191" spans="1:89">
      <c r="A191" s="159" t="s">
        <v>167</v>
      </c>
      <c r="B191" s="3" t="s">
        <v>168</v>
      </c>
      <c r="C191" s="160" t="s">
        <v>70</v>
      </c>
      <c r="D191" s="160" t="s">
        <v>863</v>
      </c>
      <c r="E191" s="3" t="s">
        <v>21</v>
      </c>
      <c r="F191" s="3" t="s">
        <v>926</v>
      </c>
      <c r="G191" s="3" t="s">
        <v>928</v>
      </c>
      <c r="H191" s="156" t="str">
        <f ca="1">IFERROR(
  _xludf.MINIFS(ATTENDANCE_LOG!$F:$F,
         ATTENDANCE_LOG!$A:$A, C191,
         ATTENDANCE_LOG!$B:$B, E191),
"")</f>
        <v/>
      </c>
      <c r="I191" s="156" t="str">
        <f t="shared" ca="1" si="0"/>
        <v/>
      </c>
      <c r="J191" s="3">
        <f>IFERROR(VLOOKUP(F191, LEVEL_HELPER!$A:$B, 2, 0), "")</f>
        <v>1</v>
      </c>
      <c r="K191" s="3">
        <f>IFERROR(VLOOKUP(G191, LEVEL_HELPER!$A:$B, 2, 0), "")</f>
        <v>1.5</v>
      </c>
      <c r="L191" s="157" t="s">
        <v>918</v>
      </c>
      <c r="M191" s="157" t="s">
        <v>922</v>
      </c>
      <c r="N191" s="3" t="str">
        <f t="array" aca="1" ref="N191" ca="1">IFERROR(
  INDEX($J$2:$J$543,
    MATCH(A191&amp;TEXT(I191,"yyyy-mm-dd"),
          $A$2:$A$543&amp;TEXT($H$2:$H$543,"yyyy-mm-dd"),
          0)),
"")</f>
        <v/>
      </c>
      <c r="O191" s="147" t="str">
        <f t="shared" ca="1" si="1"/>
        <v/>
      </c>
      <c r="P191" s="147">
        <f t="shared" ref="P191:Q191" ca="1" si="200">IF(N191="",0,IF(N191&lt;=2,1,IF(N191&lt;=4,2,IF(N191&lt;=5.5,3,4))))</f>
        <v>0</v>
      </c>
      <c r="Q191" s="147">
        <f t="shared" ca="1" si="200"/>
        <v>0</v>
      </c>
      <c r="R191" s="147" t="str">
        <f t="shared" ca="1" si="3"/>
        <v>No Data</v>
      </c>
      <c r="S191" s="147">
        <f t="shared" si="4"/>
        <v>0</v>
      </c>
      <c r="T191" s="147"/>
      <c r="U191" s="147"/>
      <c r="V191" s="148" t="e">
        <f ca="1"/>
        <v>#NAME?</v>
      </c>
      <c r="W191" s="147" t="e">
        <f t="shared" ca="1" si="5"/>
        <v>#NAME?</v>
      </c>
      <c r="X191" s="147" t="e">
        <f t="shared" ca="1" si="6"/>
        <v>#NAME?</v>
      </c>
      <c r="Y191" s="147" t="e">
        <f t="shared" ca="1" si="7"/>
        <v>#NAME?</v>
      </c>
      <c r="Z191" s="147"/>
      <c r="AA191" s="147"/>
      <c r="AB191" s="147"/>
      <c r="AC191" s="147"/>
      <c r="AD191" s="147"/>
      <c r="AE191" s="147"/>
      <c r="AF191" s="147"/>
      <c r="AG191" s="147"/>
      <c r="AH191" s="147"/>
      <c r="AI191" s="147"/>
      <c r="AJ191" s="147"/>
      <c r="AK191" s="147"/>
      <c r="AL191" s="147"/>
      <c r="AM191" s="151"/>
      <c r="AN191" s="147"/>
      <c r="AO191" s="147" t="e">
        <f t="shared" si="8"/>
        <v>#N/A</v>
      </c>
      <c r="AP191" s="147" t="e">
        <f t="shared" ca="1" si="9"/>
        <v>#NAME?</v>
      </c>
      <c r="AQ191" s="147" t="e">
        <f t="shared" si="10"/>
        <v>#N/A</v>
      </c>
      <c r="AR191" s="147"/>
      <c r="AS191" s="147"/>
      <c r="AT191" s="147"/>
      <c r="AU191" s="147"/>
      <c r="AV191" s="147"/>
      <c r="AW191" s="147"/>
      <c r="AX191" s="147"/>
      <c r="AY191" s="147"/>
      <c r="AZ191" s="147"/>
      <c r="BA191" s="147"/>
      <c r="BB191" s="147"/>
      <c r="BC191" s="147"/>
      <c r="BD191" s="147"/>
      <c r="BE191" s="147"/>
      <c r="BF191" s="147"/>
      <c r="BG191" s="147"/>
      <c r="BH191" s="147"/>
      <c r="BI191" s="147"/>
      <c r="BJ191" s="147"/>
      <c r="BK191" s="147"/>
      <c r="BL191" s="147"/>
      <c r="BM191" s="147"/>
      <c r="BN191" s="147"/>
      <c r="BO191" s="147"/>
      <c r="BP191" s="147"/>
      <c r="BQ191" s="147"/>
      <c r="BR191" s="147"/>
      <c r="BS191" s="147"/>
      <c r="BT191" s="147"/>
      <c r="BU191" s="147"/>
      <c r="BV191" s="147"/>
      <c r="BW191" s="147"/>
      <c r="BX191" s="147"/>
      <c r="BY191" s="147"/>
      <c r="BZ191" s="147"/>
      <c r="CA191" s="147"/>
      <c r="CB191" s="147"/>
      <c r="CC191" s="147"/>
      <c r="CD191" s="147"/>
      <c r="CE191" s="147"/>
      <c r="CF191" s="147"/>
      <c r="CG191" s="147"/>
      <c r="CH191" s="147"/>
      <c r="CI191" s="147"/>
      <c r="CJ191" s="147"/>
      <c r="CK191" s="147"/>
    </row>
    <row r="192" spans="1:89">
      <c r="A192" s="159" t="s">
        <v>184</v>
      </c>
      <c r="B192" s="3" t="s">
        <v>185</v>
      </c>
      <c r="C192" s="160" t="s">
        <v>70</v>
      </c>
      <c r="D192" s="160" t="s">
        <v>863</v>
      </c>
      <c r="E192" s="3" t="s">
        <v>21</v>
      </c>
      <c r="F192" s="3" t="s">
        <v>926</v>
      </c>
      <c r="G192" s="3" t="s">
        <v>934</v>
      </c>
      <c r="H192" s="156" t="str">
        <f ca="1">IFERROR(
  _xludf.MINIFS(ATTENDANCE_LOG!$F:$F,
         ATTENDANCE_LOG!$A:$A, C192,
         ATTENDANCE_LOG!$B:$B, E192),
"")</f>
        <v/>
      </c>
      <c r="I192" s="156" t="str">
        <f t="shared" ca="1" si="0"/>
        <v/>
      </c>
      <c r="J192" s="3">
        <f>IFERROR(VLOOKUP(F192, LEVEL_HELPER!$A:$B, 2, 0), "")</f>
        <v>1</v>
      </c>
      <c r="K192" s="3">
        <f>IFERROR(VLOOKUP(G192, LEVEL_HELPER!$A:$B, 2, 0), "")</f>
        <v>3.5</v>
      </c>
      <c r="L192" s="157" t="s">
        <v>942</v>
      </c>
      <c r="M192" s="157" t="s">
        <v>925</v>
      </c>
      <c r="N192" s="3" t="str">
        <f t="array" aca="1" ref="N192" ca="1">IFERROR(
  INDEX($J$2:$J$543,
    MATCH(A192&amp;TEXT(I192,"yyyy-mm-dd"),
          $A$2:$A$543&amp;TEXT($H$2:$H$543,"yyyy-mm-dd"),
          0)),
"")</f>
        <v/>
      </c>
      <c r="O192" s="147" t="str">
        <f t="shared" ca="1" si="1"/>
        <v/>
      </c>
      <c r="P192" s="147">
        <f t="shared" ref="P192:Q192" ca="1" si="201">IF(N192="",0,IF(N192&lt;=2,1,IF(N192&lt;=4,2,IF(N192&lt;=5.5,3,4))))</f>
        <v>0</v>
      </c>
      <c r="Q192" s="147">
        <f t="shared" ca="1" si="201"/>
        <v>0</v>
      </c>
      <c r="R192" s="147" t="str">
        <f t="shared" ca="1" si="3"/>
        <v>No Data</v>
      </c>
      <c r="S192" s="147">
        <f t="shared" si="4"/>
        <v>0</v>
      </c>
      <c r="T192" s="147"/>
      <c r="U192" s="147"/>
      <c r="V192" s="148" t="e">
        <f ca="1"/>
        <v>#NAME?</v>
      </c>
      <c r="W192" s="147" t="e">
        <f t="shared" ca="1" si="5"/>
        <v>#NAME?</v>
      </c>
      <c r="X192" s="147" t="e">
        <f t="shared" ca="1" si="6"/>
        <v>#NAME?</v>
      </c>
      <c r="Y192" s="147" t="e">
        <f t="shared" ca="1" si="7"/>
        <v>#NAME?</v>
      </c>
      <c r="Z192" s="147"/>
      <c r="AA192" s="147"/>
      <c r="AB192" s="147"/>
      <c r="AC192" s="147"/>
      <c r="AD192" s="147"/>
      <c r="AE192" s="147"/>
      <c r="AF192" s="147"/>
      <c r="AG192" s="147"/>
      <c r="AH192" s="147"/>
      <c r="AI192" s="147"/>
      <c r="AJ192" s="147"/>
      <c r="AK192" s="147"/>
      <c r="AL192" s="147"/>
      <c r="AM192" s="151"/>
      <c r="AN192" s="147"/>
      <c r="AO192" s="147" t="e">
        <f t="shared" si="8"/>
        <v>#N/A</v>
      </c>
      <c r="AP192" s="147" t="e">
        <f t="shared" ca="1" si="9"/>
        <v>#NAME?</v>
      </c>
      <c r="AQ192" s="147" t="e">
        <f t="shared" si="10"/>
        <v>#N/A</v>
      </c>
      <c r="AR192" s="147"/>
      <c r="AS192" s="147"/>
      <c r="AT192" s="147"/>
      <c r="AU192" s="147"/>
      <c r="AV192" s="147"/>
      <c r="AW192" s="147"/>
      <c r="AX192" s="147"/>
      <c r="AY192" s="147"/>
      <c r="AZ192" s="147"/>
      <c r="BA192" s="147"/>
      <c r="BB192" s="147"/>
      <c r="BC192" s="147"/>
      <c r="BD192" s="147"/>
      <c r="BE192" s="147"/>
      <c r="BF192" s="147"/>
      <c r="BG192" s="147"/>
      <c r="BH192" s="147"/>
      <c r="BI192" s="147"/>
      <c r="BJ192" s="147"/>
      <c r="BK192" s="147"/>
      <c r="BL192" s="147"/>
      <c r="BM192" s="147"/>
      <c r="BN192" s="147"/>
      <c r="BO192" s="147"/>
      <c r="BP192" s="147"/>
      <c r="BQ192" s="147"/>
      <c r="BR192" s="147"/>
      <c r="BS192" s="147"/>
      <c r="BT192" s="147"/>
      <c r="BU192" s="147"/>
      <c r="BV192" s="147"/>
      <c r="BW192" s="147"/>
      <c r="BX192" s="147"/>
      <c r="BY192" s="147"/>
      <c r="BZ192" s="147"/>
      <c r="CA192" s="147"/>
      <c r="CB192" s="147"/>
      <c r="CC192" s="147"/>
      <c r="CD192" s="147"/>
      <c r="CE192" s="147"/>
      <c r="CF192" s="147"/>
      <c r="CG192" s="147"/>
      <c r="CH192" s="147"/>
      <c r="CI192" s="147"/>
      <c r="CJ192" s="147"/>
      <c r="CK192" s="147"/>
    </row>
    <row r="193" spans="1:89">
      <c r="A193" s="159" t="s">
        <v>188</v>
      </c>
      <c r="B193" s="3" t="s">
        <v>189</v>
      </c>
      <c r="C193" s="160" t="s">
        <v>70</v>
      </c>
      <c r="D193" s="160" t="s">
        <v>863</v>
      </c>
      <c r="E193" s="3" t="s">
        <v>21</v>
      </c>
      <c r="F193" s="3" t="s">
        <v>926</v>
      </c>
      <c r="G193" s="3" t="s">
        <v>934</v>
      </c>
      <c r="H193" s="156" t="str">
        <f ca="1">IFERROR(
  _xludf.MINIFS(ATTENDANCE_LOG!$F:$F,
         ATTENDANCE_LOG!$A:$A, C193,
         ATTENDANCE_LOG!$B:$B, E193),
"")</f>
        <v/>
      </c>
      <c r="I193" s="156" t="str">
        <f t="shared" ca="1" si="0"/>
        <v/>
      </c>
      <c r="J193" s="3">
        <f>IFERROR(VLOOKUP(F193, LEVEL_HELPER!$A:$B, 2, 0), "")</f>
        <v>1</v>
      </c>
      <c r="K193" s="3">
        <f>IFERROR(VLOOKUP(G193, LEVEL_HELPER!$A:$B, 2, 0), "")</f>
        <v>3.5</v>
      </c>
      <c r="L193" s="157" t="s">
        <v>918</v>
      </c>
      <c r="M193" s="157" t="s">
        <v>922</v>
      </c>
      <c r="N193" s="3" t="str">
        <f t="array" aca="1" ref="N193" ca="1">IFERROR(
  INDEX($J$2:$J$543,
    MATCH(A193&amp;TEXT(I193,"yyyy-mm-dd"),
          $A$2:$A$543&amp;TEXT($H$2:$H$543,"yyyy-mm-dd"),
          0)),
"")</f>
        <v/>
      </c>
      <c r="O193" s="147" t="str">
        <f t="shared" ca="1" si="1"/>
        <v/>
      </c>
      <c r="P193" s="147">
        <f t="shared" ref="P193:Q193" ca="1" si="202">IF(N193="",0,IF(N193&lt;=2,1,IF(N193&lt;=4,2,IF(N193&lt;=5.5,3,4))))</f>
        <v>0</v>
      </c>
      <c r="Q193" s="147">
        <f t="shared" ca="1" si="202"/>
        <v>0</v>
      </c>
      <c r="R193" s="147" t="str">
        <f t="shared" ca="1" si="3"/>
        <v>No Data</v>
      </c>
      <c r="S193" s="147">
        <f t="shared" si="4"/>
        <v>0</v>
      </c>
      <c r="T193" s="147"/>
      <c r="U193" s="147"/>
      <c r="V193" s="148" t="e">
        <f ca="1"/>
        <v>#NAME?</v>
      </c>
      <c r="W193" s="147" t="e">
        <f t="shared" ca="1" si="5"/>
        <v>#NAME?</v>
      </c>
      <c r="X193" s="147" t="e">
        <f t="shared" ca="1" si="6"/>
        <v>#NAME?</v>
      </c>
      <c r="Y193" s="147" t="e">
        <f t="shared" ca="1" si="7"/>
        <v>#NAME?</v>
      </c>
      <c r="Z193" s="147"/>
      <c r="AA193" s="147"/>
      <c r="AB193" s="147"/>
      <c r="AC193" s="147"/>
      <c r="AD193" s="147"/>
      <c r="AE193" s="147"/>
      <c r="AF193" s="147"/>
      <c r="AG193" s="147"/>
      <c r="AH193" s="147"/>
      <c r="AI193" s="147"/>
      <c r="AJ193" s="147"/>
      <c r="AK193" s="147"/>
      <c r="AL193" s="147"/>
      <c r="AM193" s="151"/>
      <c r="AN193" s="147"/>
      <c r="AO193" s="147" t="e">
        <f t="shared" si="8"/>
        <v>#N/A</v>
      </c>
      <c r="AP193" s="147" t="e">
        <f t="shared" ca="1" si="9"/>
        <v>#NAME?</v>
      </c>
      <c r="AQ193" s="147" t="e">
        <f t="shared" si="10"/>
        <v>#N/A</v>
      </c>
      <c r="AR193" s="147"/>
      <c r="AS193" s="147"/>
      <c r="AT193" s="147"/>
      <c r="AU193" s="147"/>
      <c r="AV193" s="147"/>
      <c r="AW193" s="147"/>
      <c r="AX193" s="147"/>
      <c r="AY193" s="147"/>
      <c r="AZ193" s="147"/>
      <c r="BA193" s="147"/>
      <c r="BB193" s="147"/>
      <c r="BC193" s="147"/>
      <c r="BD193" s="147"/>
      <c r="BE193" s="147"/>
      <c r="BF193" s="147"/>
      <c r="BG193" s="147"/>
      <c r="BH193" s="147"/>
      <c r="BI193" s="147"/>
      <c r="BJ193" s="147"/>
      <c r="BK193" s="147"/>
      <c r="BL193" s="147"/>
      <c r="BM193" s="147"/>
      <c r="BN193" s="147"/>
      <c r="BO193" s="147"/>
      <c r="BP193" s="147"/>
      <c r="BQ193" s="147"/>
      <c r="BR193" s="147"/>
      <c r="BS193" s="147"/>
      <c r="BT193" s="147"/>
      <c r="BU193" s="147"/>
      <c r="BV193" s="147"/>
      <c r="BW193" s="147"/>
      <c r="BX193" s="147"/>
      <c r="BY193" s="147"/>
      <c r="BZ193" s="147"/>
      <c r="CA193" s="147"/>
      <c r="CB193" s="147"/>
      <c r="CC193" s="147"/>
      <c r="CD193" s="147"/>
      <c r="CE193" s="147"/>
      <c r="CF193" s="147"/>
      <c r="CG193" s="147"/>
      <c r="CH193" s="147"/>
      <c r="CI193" s="147"/>
      <c r="CJ193" s="147"/>
      <c r="CK193" s="147"/>
    </row>
    <row r="194" spans="1:89">
      <c r="A194" s="159" t="s">
        <v>192</v>
      </c>
      <c r="B194" s="3" t="s">
        <v>193</v>
      </c>
      <c r="C194" s="160" t="s">
        <v>70</v>
      </c>
      <c r="D194" s="160" t="s">
        <v>863</v>
      </c>
      <c r="E194" s="3" t="s">
        <v>21</v>
      </c>
      <c r="F194" s="3" t="s">
        <v>926</v>
      </c>
      <c r="G194" s="3" t="s">
        <v>917</v>
      </c>
      <c r="H194" s="156" t="str">
        <f ca="1">IFERROR(
  _xludf.MINIFS(ATTENDANCE_LOG!$F:$F,
         ATTENDANCE_LOG!$A:$A, C194,
         ATTENDANCE_LOG!$B:$B, E194),
"")</f>
        <v/>
      </c>
      <c r="I194" s="156" t="str">
        <f t="shared" ca="1" si="0"/>
        <v/>
      </c>
      <c r="J194" s="3">
        <f>IFERROR(VLOOKUP(F194, LEVEL_HELPER!$A:$B, 2, 0), "")</f>
        <v>1</v>
      </c>
      <c r="K194" s="3">
        <f>IFERROR(VLOOKUP(G194, LEVEL_HELPER!$A:$B, 2, 0), "")</f>
        <v>3</v>
      </c>
      <c r="L194" s="157" t="s">
        <v>942</v>
      </c>
      <c r="M194" s="157" t="s">
        <v>922</v>
      </c>
      <c r="N194" s="3">
        <f t="array" aca="1" ref="N194" ca="1">IFERROR(
  INDEX($J$2:$J$543,
    MATCH(A194&amp;TEXT(I194,"yyyy-mm-dd"),
          $A$2:$A$543&amp;TEXT($H$2:$H$543,"yyyy-mm-dd"),
          0)),
"")</f>
        <v>1</v>
      </c>
      <c r="O194" s="147" t="str">
        <f t="shared" ca="1" si="1"/>
        <v/>
      </c>
      <c r="P194" s="147">
        <f t="shared" ref="P194:Q194" ca="1" si="203">IF(N194="",0,IF(N194&lt;=2,1,IF(N194&lt;=4,2,IF(N194&lt;=5.5,3,4))))</f>
        <v>1</v>
      </c>
      <c r="Q194" s="147">
        <f t="shared" ca="1" si="203"/>
        <v>0</v>
      </c>
      <c r="R194" s="147" t="str">
        <f t="shared" ca="1" si="3"/>
        <v>Regressed</v>
      </c>
      <c r="S194" s="147">
        <f t="shared" si="4"/>
        <v>1</v>
      </c>
      <c r="T194" s="147"/>
      <c r="U194" s="147"/>
      <c r="V194" s="148" t="e">
        <f ca="1"/>
        <v>#NAME?</v>
      </c>
      <c r="W194" s="147" t="e">
        <f t="shared" ca="1" si="5"/>
        <v>#NAME?</v>
      </c>
      <c r="X194" s="147" t="e">
        <f t="shared" ca="1" si="6"/>
        <v>#NAME?</v>
      </c>
      <c r="Y194" s="147" t="e">
        <f t="shared" ca="1" si="7"/>
        <v>#NAME?</v>
      </c>
      <c r="Z194" s="147"/>
      <c r="AA194" s="147"/>
      <c r="AB194" s="147"/>
      <c r="AC194" s="147"/>
      <c r="AD194" s="147"/>
      <c r="AE194" s="147"/>
      <c r="AF194" s="147"/>
      <c r="AG194" s="147"/>
      <c r="AH194" s="147"/>
      <c r="AI194" s="147"/>
      <c r="AJ194" s="147"/>
      <c r="AK194" s="147"/>
      <c r="AL194" s="147"/>
      <c r="AM194" s="151"/>
      <c r="AN194" s="147"/>
      <c r="AO194" s="147" t="e">
        <f t="shared" si="8"/>
        <v>#N/A</v>
      </c>
      <c r="AP194" s="147" t="e">
        <f t="shared" ca="1" si="9"/>
        <v>#NAME?</v>
      </c>
      <c r="AQ194" s="147" t="e">
        <f t="shared" si="10"/>
        <v>#N/A</v>
      </c>
      <c r="AR194" s="147"/>
      <c r="AS194" s="147"/>
      <c r="AT194" s="147"/>
      <c r="AU194" s="147"/>
      <c r="AV194" s="147"/>
      <c r="AW194" s="147"/>
      <c r="AX194" s="147"/>
      <c r="AY194" s="147"/>
      <c r="AZ194" s="147"/>
      <c r="BA194" s="147"/>
      <c r="BB194" s="147"/>
      <c r="BC194" s="147"/>
      <c r="BD194" s="147"/>
      <c r="BE194" s="147"/>
      <c r="BF194" s="147"/>
      <c r="BG194" s="147"/>
      <c r="BH194" s="147"/>
      <c r="BI194" s="147"/>
      <c r="BJ194" s="147"/>
      <c r="BK194" s="147"/>
      <c r="BL194" s="147"/>
      <c r="BM194" s="147"/>
      <c r="BN194" s="147"/>
      <c r="BO194" s="147"/>
      <c r="BP194" s="147"/>
      <c r="BQ194" s="147"/>
      <c r="BR194" s="147"/>
      <c r="BS194" s="147"/>
      <c r="BT194" s="147"/>
      <c r="BU194" s="147"/>
      <c r="BV194" s="147"/>
      <c r="BW194" s="147"/>
      <c r="BX194" s="147"/>
      <c r="BY194" s="147"/>
      <c r="BZ194" s="147"/>
      <c r="CA194" s="147"/>
      <c r="CB194" s="147"/>
      <c r="CC194" s="147"/>
      <c r="CD194" s="147"/>
      <c r="CE194" s="147"/>
      <c r="CF194" s="147"/>
      <c r="CG194" s="147"/>
      <c r="CH194" s="147"/>
      <c r="CI194" s="147"/>
      <c r="CJ194" s="147"/>
      <c r="CK194" s="147"/>
    </row>
    <row r="195" spans="1:89">
      <c r="A195" s="159" t="s">
        <v>202</v>
      </c>
      <c r="B195" s="3" t="s">
        <v>203</v>
      </c>
      <c r="C195" s="160" t="s">
        <v>70</v>
      </c>
      <c r="D195" s="160" t="s">
        <v>863</v>
      </c>
      <c r="E195" s="3" t="s">
        <v>21</v>
      </c>
      <c r="F195" s="3" t="s">
        <v>931</v>
      </c>
      <c r="G195" s="3" t="s">
        <v>931</v>
      </c>
      <c r="H195" s="156" t="str">
        <f ca="1">IFERROR(
  _xludf.MINIFS(ATTENDANCE_LOG!$F:$F,
         ATTENDANCE_LOG!$A:$A, C195,
         ATTENDANCE_LOG!$B:$B, E195),
"")</f>
        <v/>
      </c>
      <c r="I195" s="156" t="str">
        <f t="shared" ca="1" si="0"/>
        <v/>
      </c>
      <c r="J195" s="3">
        <f>IFERROR(VLOOKUP(F195, LEVEL_HELPER!$A:$B, 2, 0), "")</f>
        <v>4.5</v>
      </c>
      <c r="K195" s="3">
        <f>IFERROR(VLOOKUP(G195, LEVEL_HELPER!$A:$B, 2, 0), "")</f>
        <v>4.5</v>
      </c>
      <c r="L195" s="157" t="s">
        <v>942</v>
      </c>
      <c r="M195" s="157" t="s">
        <v>925</v>
      </c>
      <c r="N195" s="3">
        <f t="array" aca="1" ref="N195" ca="1">IFERROR(
  INDEX($J$2:$J$543,
    MATCH(A195&amp;TEXT(I195,"yyyy-mm-dd"),
          $A$2:$A$543&amp;TEXT($H$2:$H$543,"yyyy-mm-dd"),
          0)),
"")</f>
        <v>4.5</v>
      </c>
      <c r="O195" s="147" t="str">
        <f t="shared" ca="1" si="1"/>
        <v/>
      </c>
      <c r="P195" s="147">
        <f t="shared" ref="P195:Q195" ca="1" si="204">IF(N195="",0,IF(N195&lt;=2,1,IF(N195&lt;=4,2,IF(N195&lt;=5.5,3,4))))</f>
        <v>3</v>
      </c>
      <c r="Q195" s="147">
        <f t="shared" ca="1" si="204"/>
        <v>0</v>
      </c>
      <c r="R195" s="147" t="str">
        <f t="shared" ca="1" si="3"/>
        <v>Regressed</v>
      </c>
      <c r="S195" s="147">
        <f t="shared" si="4"/>
        <v>1</v>
      </c>
      <c r="T195" s="147"/>
      <c r="U195" s="147"/>
      <c r="V195" s="148" t="e">
        <f ca="1"/>
        <v>#NAME?</v>
      </c>
      <c r="W195" s="147" t="e">
        <f t="shared" ca="1" si="5"/>
        <v>#NAME?</v>
      </c>
      <c r="X195" s="147" t="e">
        <f t="shared" ca="1" si="6"/>
        <v>#NAME?</v>
      </c>
      <c r="Y195" s="147" t="e">
        <f t="shared" ca="1" si="7"/>
        <v>#NAME?</v>
      </c>
      <c r="Z195" s="147"/>
      <c r="AA195" s="147"/>
      <c r="AB195" s="147"/>
      <c r="AC195" s="147"/>
      <c r="AD195" s="147"/>
      <c r="AE195" s="147"/>
      <c r="AF195" s="147"/>
      <c r="AG195" s="147"/>
      <c r="AH195" s="147"/>
      <c r="AI195" s="147"/>
      <c r="AJ195" s="147"/>
      <c r="AK195" s="147"/>
      <c r="AL195" s="147"/>
      <c r="AM195" s="151"/>
      <c r="AN195" s="147"/>
      <c r="AO195" s="147" t="e">
        <f t="shared" si="8"/>
        <v>#N/A</v>
      </c>
      <c r="AP195" s="147" t="e">
        <f t="shared" ca="1" si="9"/>
        <v>#NAME?</v>
      </c>
      <c r="AQ195" s="147" t="e">
        <f t="shared" si="10"/>
        <v>#N/A</v>
      </c>
      <c r="AR195" s="147"/>
      <c r="AS195" s="147"/>
      <c r="AT195" s="147"/>
      <c r="AU195" s="147"/>
      <c r="AV195" s="147"/>
      <c r="AW195" s="147"/>
      <c r="AX195" s="147"/>
      <c r="AY195" s="147"/>
      <c r="AZ195" s="147"/>
      <c r="BA195" s="147"/>
      <c r="BB195" s="147"/>
      <c r="BC195" s="147"/>
      <c r="BD195" s="147"/>
      <c r="BE195" s="147"/>
      <c r="BF195" s="147"/>
      <c r="BG195" s="147"/>
      <c r="BH195" s="147"/>
      <c r="BI195" s="147"/>
      <c r="BJ195" s="147"/>
      <c r="BK195" s="147"/>
      <c r="BL195" s="147"/>
      <c r="BM195" s="147"/>
      <c r="BN195" s="147"/>
      <c r="BO195" s="147"/>
      <c r="BP195" s="147"/>
      <c r="BQ195" s="147"/>
      <c r="BR195" s="147"/>
      <c r="BS195" s="147"/>
      <c r="BT195" s="147"/>
      <c r="BU195" s="147"/>
      <c r="BV195" s="147"/>
      <c r="BW195" s="147"/>
      <c r="BX195" s="147"/>
      <c r="BY195" s="147"/>
      <c r="BZ195" s="147"/>
      <c r="CA195" s="147"/>
      <c r="CB195" s="147"/>
      <c r="CC195" s="147"/>
      <c r="CD195" s="147"/>
      <c r="CE195" s="147"/>
      <c r="CF195" s="147"/>
      <c r="CG195" s="147"/>
      <c r="CH195" s="147"/>
      <c r="CI195" s="147"/>
      <c r="CJ195" s="147"/>
      <c r="CK195" s="147"/>
    </row>
    <row r="196" spans="1:89">
      <c r="A196" s="159" t="s">
        <v>607</v>
      </c>
      <c r="B196" s="3" t="s">
        <v>608</v>
      </c>
      <c r="C196" s="160" t="s">
        <v>70</v>
      </c>
      <c r="D196" s="160" t="s">
        <v>863</v>
      </c>
      <c r="E196" s="3" t="s">
        <v>21</v>
      </c>
      <c r="F196" s="3" t="s">
        <v>926</v>
      </c>
      <c r="G196" s="3" t="s">
        <v>934</v>
      </c>
      <c r="H196" s="156" t="str">
        <f ca="1">IFERROR(
  _xludf.MINIFS(ATTENDANCE_LOG!$F:$F,
         ATTENDANCE_LOG!$A:$A, C196,
         ATTENDANCE_LOG!$B:$B, E196),
"")</f>
        <v/>
      </c>
      <c r="I196" s="156" t="str">
        <f t="shared" ca="1" si="0"/>
        <v/>
      </c>
      <c r="J196" s="3">
        <f>IFERROR(VLOOKUP(F196, LEVEL_HELPER!$A:$B, 2, 0), "")</f>
        <v>1</v>
      </c>
      <c r="K196" s="3">
        <f>IFERROR(VLOOKUP(G196, LEVEL_HELPER!$A:$B, 2, 0), "")</f>
        <v>3.5</v>
      </c>
      <c r="L196" s="157" t="s">
        <v>942</v>
      </c>
      <c r="M196" s="157" t="s">
        <v>921</v>
      </c>
      <c r="N196" s="3">
        <f t="array" aca="1" ref="N196" ca="1">IFERROR(
  INDEX($J$2:$J$543,
    MATCH(A196&amp;TEXT(I196,"yyyy-mm-dd"),
          $A$2:$A$543&amp;TEXT($H$2:$H$543,"yyyy-mm-dd"),
          0)),
"")</f>
        <v>1</v>
      </c>
      <c r="O196" s="147" t="str">
        <f t="shared" ca="1" si="1"/>
        <v/>
      </c>
      <c r="P196" s="147">
        <f t="shared" ref="P196:Q196" ca="1" si="205">IF(N196="",0,IF(N196&lt;=2,1,IF(N196&lt;=4,2,IF(N196&lt;=5.5,3,4))))</f>
        <v>1</v>
      </c>
      <c r="Q196" s="147">
        <f t="shared" ca="1" si="205"/>
        <v>0</v>
      </c>
      <c r="R196" s="147" t="str">
        <f t="shared" ca="1" si="3"/>
        <v>Regressed</v>
      </c>
      <c r="S196" s="147">
        <f t="shared" si="4"/>
        <v>1</v>
      </c>
      <c r="T196" s="147"/>
      <c r="U196" s="147"/>
      <c r="V196" s="148" t="e">
        <f ca="1"/>
        <v>#NAME?</v>
      </c>
      <c r="W196" s="147" t="e">
        <f t="shared" ca="1" si="5"/>
        <v>#NAME?</v>
      </c>
      <c r="X196" s="147" t="e">
        <f t="shared" ca="1" si="6"/>
        <v>#NAME?</v>
      </c>
      <c r="Y196" s="147" t="e">
        <f t="shared" ca="1" si="7"/>
        <v>#NAME?</v>
      </c>
      <c r="Z196" s="147"/>
      <c r="AA196" s="147"/>
      <c r="AB196" s="147"/>
      <c r="AC196" s="147"/>
      <c r="AD196" s="147"/>
      <c r="AE196" s="147"/>
      <c r="AF196" s="147"/>
      <c r="AG196" s="147"/>
      <c r="AH196" s="147"/>
      <c r="AI196" s="147"/>
      <c r="AJ196" s="147"/>
      <c r="AK196" s="147"/>
      <c r="AL196" s="147"/>
      <c r="AM196" s="151"/>
      <c r="AN196" s="147"/>
      <c r="AO196" s="147" t="e">
        <f t="shared" si="8"/>
        <v>#N/A</v>
      </c>
      <c r="AP196" s="147" t="e">
        <f t="shared" ca="1" si="9"/>
        <v>#NAME?</v>
      </c>
      <c r="AQ196" s="147" t="e">
        <f t="shared" si="10"/>
        <v>#N/A</v>
      </c>
      <c r="AR196" s="147"/>
      <c r="AS196" s="147"/>
      <c r="AT196" s="147"/>
      <c r="AU196" s="147"/>
      <c r="AV196" s="147"/>
      <c r="AW196" s="147"/>
      <c r="AX196" s="147"/>
      <c r="AY196" s="147"/>
      <c r="AZ196" s="147"/>
      <c r="BA196" s="147"/>
      <c r="BB196" s="147"/>
      <c r="BC196" s="147"/>
      <c r="BD196" s="147"/>
      <c r="BE196" s="147"/>
      <c r="BF196" s="147"/>
      <c r="BG196" s="147"/>
      <c r="BH196" s="147"/>
      <c r="BI196" s="147"/>
      <c r="BJ196" s="147"/>
      <c r="BK196" s="147"/>
      <c r="BL196" s="147"/>
      <c r="BM196" s="147"/>
      <c r="BN196" s="147"/>
      <c r="BO196" s="147"/>
      <c r="BP196" s="147"/>
      <c r="BQ196" s="147"/>
      <c r="BR196" s="147"/>
      <c r="BS196" s="147"/>
      <c r="BT196" s="147"/>
      <c r="BU196" s="147"/>
      <c r="BV196" s="147"/>
      <c r="BW196" s="147"/>
      <c r="BX196" s="147"/>
      <c r="BY196" s="147"/>
      <c r="BZ196" s="147"/>
      <c r="CA196" s="147"/>
      <c r="CB196" s="147"/>
      <c r="CC196" s="147"/>
      <c r="CD196" s="147"/>
      <c r="CE196" s="147"/>
      <c r="CF196" s="147"/>
      <c r="CG196" s="147"/>
      <c r="CH196" s="147"/>
      <c r="CI196" s="147"/>
      <c r="CJ196" s="147"/>
      <c r="CK196" s="147"/>
    </row>
    <row r="197" spans="1:89">
      <c r="A197" s="159" t="s">
        <v>697</v>
      </c>
      <c r="B197" s="3" t="s">
        <v>698</v>
      </c>
      <c r="C197" s="160" t="s">
        <v>70</v>
      </c>
      <c r="D197" s="160" t="s">
        <v>863</v>
      </c>
      <c r="E197" s="3" t="s">
        <v>21</v>
      </c>
      <c r="F197" s="3" t="s">
        <v>926</v>
      </c>
      <c r="G197" s="3" t="s">
        <v>917</v>
      </c>
      <c r="H197" s="156" t="str">
        <f ca="1">IFERROR(
  _xludf.MINIFS(ATTENDANCE_LOG!$F:$F,
         ATTENDANCE_LOG!$A:$A, C197,
         ATTENDANCE_LOG!$B:$B, E197),
"")</f>
        <v/>
      </c>
      <c r="I197" s="156" t="str">
        <f t="shared" ca="1" si="0"/>
        <v/>
      </c>
      <c r="J197" s="3">
        <f>IFERROR(VLOOKUP(F197, LEVEL_HELPER!$A:$B, 2, 0), "")</f>
        <v>1</v>
      </c>
      <c r="K197" s="3">
        <f>IFERROR(VLOOKUP(G197, LEVEL_HELPER!$A:$B, 2, 0), "")</f>
        <v>3</v>
      </c>
      <c r="L197" s="157" t="s">
        <v>942</v>
      </c>
      <c r="M197" s="157" t="s">
        <v>925</v>
      </c>
      <c r="N197" s="3" t="str">
        <f t="array" aca="1" ref="N197" ca="1">IFERROR(
  INDEX($J$2:$J$543,
    MATCH(A197&amp;TEXT(I197,"yyyy-mm-dd"),
          $A$2:$A$543&amp;TEXT($H$2:$H$543,"yyyy-mm-dd"),
          0)),
"")</f>
        <v/>
      </c>
      <c r="O197" s="147" t="str">
        <f t="shared" ca="1" si="1"/>
        <v/>
      </c>
      <c r="P197" s="147">
        <f t="shared" ref="P197:Q197" ca="1" si="206">IF(N197="",0,IF(N197&lt;=2,1,IF(N197&lt;=4,2,IF(N197&lt;=5.5,3,4))))</f>
        <v>0</v>
      </c>
      <c r="Q197" s="147">
        <f t="shared" ca="1" si="206"/>
        <v>0</v>
      </c>
      <c r="R197" s="147" t="str">
        <f t="shared" ca="1" si="3"/>
        <v>No Data</v>
      </c>
      <c r="S197" s="147">
        <f t="shared" si="4"/>
        <v>0</v>
      </c>
      <c r="T197" s="147"/>
      <c r="U197" s="147"/>
      <c r="V197" s="148" t="e">
        <f ca="1"/>
        <v>#NAME?</v>
      </c>
      <c r="W197" s="147" t="e">
        <f t="shared" ca="1" si="5"/>
        <v>#NAME?</v>
      </c>
      <c r="X197" s="147" t="e">
        <f t="shared" ca="1" si="6"/>
        <v>#NAME?</v>
      </c>
      <c r="Y197" s="147" t="e">
        <f t="shared" ca="1" si="7"/>
        <v>#NAME?</v>
      </c>
      <c r="Z197" s="147"/>
      <c r="AA197" s="147"/>
      <c r="AB197" s="147"/>
      <c r="AC197" s="147"/>
      <c r="AD197" s="147"/>
      <c r="AE197" s="147"/>
      <c r="AF197" s="147"/>
      <c r="AG197" s="147"/>
      <c r="AH197" s="147"/>
      <c r="AI197" s="147"/>
      <c r="AJ197" s="147"/>
      <c r="AK197" s="147"/>
      <c r="AL197" s="147"/>
      <c r="AM197" s="151"/>
      <c r="AN197" s="147"/>
      <c r="AO197" s="147" t="e">
        <f t="shared" si="8"/>
        <v>#N/A</v>
      </c>
      <c r="AP197" s="147" t="e">
        <f t="shared" ca="1" si="9"/>
        <v>#NAME?</v>
      </c>
      <c r="AQ197" s="147" t="e">
        <f t="shared" si="10"/>
        <v>#N/A</v>
      </c>
      <c r="AR197" s="147"/>
      <c r="AS197" s="147"/>
      <c r="AT197" s="147"/>
      <c r="AU197" s="147"/>
      <c r="AV197" s="147"/>
      <c r="AW197" s="147"/>
      <c r="AX197" s="147"/>
      <c r="AY197" s="147"/>
      <c r="AZ197" s="147"/>
      <c r="BA197" s="147"/>
      <c r="BB197" s="147"/>
      <c r="BC197" s="147"/>
      <c r="BD197" s="147"/>
      <c r="BE197" s="147"/>
      <c r="BF197" s="147"/>
      <c r="BG197" s="147"/>
      <c r="BH197" s="147"/>
      <c r="BI197" s="147"/>
      <c r="BJ197" s="147"/>
      <c r="BK197" s="147"/>
      <c r="BL197" s="147"/>
      <c r="BM197" s="147"/>
      <c r="BN197" s="147"/>
      <c r="BO197" s="147"/>
      <c r="BP197" s="147"/>
      <c r="BQ197" s="147"/>
      <c r="BR197" s="147"/>
      <c r="BS197" s="147"/>
      <c r="BT197" s="147"/>
      <c r="BU197" s="147"/>
      <c r="BV197" s="147"/>
      <c r="BW197" s="147"/>
      <c r="BX197" s="147"/>
      <c r="BY197" s="147"/>
      <c r="BZ197" s="147"/>
      <c r="CA197" s="147"/>
      <c r="CB197" s="147"/>
      <c r="CC197" s="147"/>
      <c r="CD197" s="147"/>
      <c r="CE197" s="147"/>
      <c r="CF197" s="147"/>
      <c r="CG197" s="147"/>
      <c r="CH197" s="147"/>
      <c r="CI197" s="147"/>
      <c r="CJ197" s="147"/>
      <c r="CK197" s="147"/>
    </row>
    <row r="198" spans="1:89">
      <c r="A198" s="153" t="s">
        <v>434</v>
      </c>
      <c r="B198" s="154" t="s">
        <v>435</v>
      </c>
      <c r="C198" s="155" t="s">
        <v>70</v>
      </c>
      <c r="D198" s="155" t="s">
        <v>863</v>
      </c>
      <c r="E198" s="154" t="s">
        <v>22</v>
      </c>
      <c r="F198" s="3" t="s">
        <v>934</v>
      </c>
      <c r="G198" s="3"/>
      <c r="H198" s="156" t="str">
        <f ca="1">IFERROR(
  _xludf.MINIFS(ATTENDANCE_LOG!$F:$F,
         ATTENDANCE_LOG!$A:$A, C198,
         ATTENDANCE_LOG!$B:$B, E198),
"")</f>
        <v/>
      </c>
      <c r="I198" s="156" t="str">
        <f t="shared" ca="1" si="0"/>
        <v/>
      </c>
      <c r="J198" s="3">
        <f>IFERROR(VLOOKUP(F198, LEVEL_HELPER!$A:$B, 2, 0), "")</f>
        <v>3.5</v>
      </c>
      <c r="K198" s="3" t="str">
        <f>IFERROR(VLOOKUP(G198, LEVEL_HELPER!$A:$B, 2, 0), "")</f>
        <v/>
      </c>
      <c r="L198" s="157" t="s">
        <v>942</v>
      </c>
      <c r="M198" s="157" t="s">
        <v>925</v>
      </c>
      <c r="N198" s="3">
        <f t="array" aca="1" ref="N198" ca="1">IFERROR(
  INDEX($J$2:$J$543,
    MATCH(A198&amp;TEXT(I198,"yyyy-mm-dd"),
          $A$2:$A$543&amp;TEXT($H$2:$H$543,"yyyy-mm-dd"),
          0)),
"")</f>
        <v>1</v>
      </c>
      <c r="O198" s="147" t="str">
        <f t="shared" ca="1" si="1"/>
        <v/>
      </c>
      <c r="P198" s="147">
        <f t="shared" ref="P198:Q198" ca="1" si="207">IF(N198="",0,IF(N198&lt;=2,1,IF(N198&lt;=4,2,IF(N198&lt;=5.5,3,4))))</f>
        <v>1</v>
      </c>
      <c r="Q198" s="147">
        <f t="shared" ca="1" si="207"/>
        <v>0</v>
      </c>
      <c r="R198" s="147" t="str">
        <f t="shared" ca="1" si="3"/>
        <v>Regressed</v>
      </c>
      <c r="S198" s="147">
        <f t="shared" si="4"/>
        <v>0</v>
      </c>
      <c r="T198" s="147"/>
      <c r="U198" s="147"/>
      <c r="V198" s="148" t="e">
        <f ca="1"/>
        <v>#NAME?</v>
      </c>
      <c r="W198" s="147" t="e">
        <f t="shared" ca="1" si="5"/>
        <v>#NAME?</v>
      </c>
      <c r="X198" s="147" t="e">
        <f t="shared" ca="1" si="6"/>
        <v>#NAME?</v>
      </c>
      <c r="Y198" s="147" t="e">
        <f t="shared" ca="1" si="7"/>
        <v>#NAME?</v>
      </c>
      <c r="Z198" s="147"/>
      <c r="AA198" s="147"/>
      <c r="AB198" s="147"/>
      <c r="AC198" s="147"/>
      <c r="AD198" s="147"/>
      <c r="AE198" s="147"/>
      <c r="AF198" s="147"/>
      <c r="AG198" s="147"/>
      <c r="AH198" s="147"/>
      <c r="AI198" s="147"/>
      <c r="AJ198" s="147"/>
      <c r="AK198" s="147"/>
      <c r="AL198" s="147"/>
      <c r="AM198" s="151"/>
      <c r="AN198" s="147"/>
      <c r="AO198" s="147" t="e">
        <f t="shared" si="8"/>
        <v>#N/A</v>
      </c>
      <c r="AP198" s="147" t="e">
        <f t="shared" ca="1" si="9"/>
        <v>#NAME?</v>
      </c>
      <c r="AQ198" s="147" t="e">
        <f t="shared" si="10"/>
        <v>#N/A</v>
      </c>
      <c r="AR198" s="147"/>
      <c r="AS198" s="147"/>
      <c r="AT198" s="147"/>
      <c r="AU198" s="147"/>
      <c r="AV198" s="147"/>
      <c r="AW198" s="147"/>
      <c r="AX198" s="147"/>
      <c r="AY198" s="147"/>
      <c r="AZ198" s="147"/>
      <c r="BA198" s="147"/>
      <c r="BB198" s="147"/>
      <c r="BC198" s="147"/>
      <c r="BD198" s="147"/>
      <c r="BE198" s="147"/>
      <c r="BF198" s="147"/>
      <c r="BG198" s="147"/>
      <c r="BH198" s="147"/>
      <c r="BI198" s="147"/>
      <c r="BJ198" s="147"/>
      <c r="BK198" s="147"/>
      <c r="BL198" s="147"/>
      <c r="BM198" s="147"/>
      <c r="BN198" s="147"/>
      <c r="BO198" s="147"/>
      <c r="BP198" s="147"/>
      <c r="BQ198" s="147"/>
      <c r="BR198" s="147"/>
      <c r="BS198" s="147"/>
      <c r="BT198" s="147"/>
      <c r="BU198" s="147"/>
      <c r="BV198" s="147"/>
      <c r="BW198" s="147"/>
      <c r="BX198" s="147"/>
      <c r="BY198" s="147"/>
      <c r="BZ198" s="147"/>
      <c r="CA198" s="147"/>
      <c r="CB198" s="147"/>
      <c r="CC198" s="147"/>
      <c r="CD198" s="147"/>
      <c r="CE198" s="147"/>
      <c r="CF198" s="147"/>
      <c r="CG198" s="147"/>
      <c r="CH198" s="147"/>
      <c r="CI198" s="147"/>
      <c r="CJ198" s="147"/>
      <c r="CK198" s="147"/>
    </row>
    <row r="199" spans="1:89">
      <c r="A199" s="159" t="s">
        <v>167</v>
      </c>
      <c r="B199" s="3" t="s">
        <v>168</v>
      </c>
      <c r="C199" s="160" t="s">
        <v>70</v>
      </c>
      <c r="D199" s="160" t="s">
        <v>863</v>
      </c>
      <c r="E199" s="3" t="s">
        <v>22</v>
      </c>
      <c r="F199" s="3" t="s">
        <v>928</v>
      </c>
      <c r="G199" s="3" t="s">
        <v>928</v>
      </c>
      <c r="H199" s="156" t="str">
        <f ca="1">IFERROR(
  _xludf.MINIFS(ATTENDANCE_LOG!$F:$F,
         ATTENDANCE_LOG!$A:$A, C199,
         ATTENDANCE_LOG!$B:$B, E199),
"")</f>
        <v/>
      </c>
      <c r="I199" s="156" t="str">
        <f t="shared" ca="1" si="0"/>
        <v/>
      </c>
      <c r="J199" s="3">
        <f>IFERROR(VLOOKUP(F199, LEVEL_HELPER!$A:$B, 2, 0), "")</f>
        <v>1.5</v>
      </c>
      <c r="K199" s="3">
        <f>IFERROR(VLOOKUP(G199, LEVEL_HELPER!$A:$B, 2, 0), "")</f>
        <v>1.5</v>
      </c>
      <c r="L199" s="157" t="s">
        <v>918</v>
      </c>
      <c r="M199" s="157" t="s">
        <v>922</v>
      </c>
      <c r="N199" s="3" t="str">
        <f t="array" aca="1" ref="N199" ca="1">IFERROR(
  INDEX($J$2:$J$543,
    MATCH(A199&amp;TEXT(I199,"yyyy-mm-dd"),
          $A$2:$A$543&amp;TEXT($H$2:$H$543,"yyyy-mm-dd"),
          0)),
"")</f>
        <v/>
      </c>
      <c r="O199" s="147" t="str">
        <f t="shared" ca="1" si="1"/>
        <v/>
      </c>
      <c r="P199" s="147">
        <f t="shared" ref="P199:Q199" ca="1" si="208">IF(N199="",0,IF(N199&lt;=2,1,IF(N199&lt;=4,2,IF(N199&lt;=5.5,3,4))))</f>
        <v>0</v>
      </c>
      <c r="Q199" s="147">
        <f t="shared" ca="1" si="208"/>
        <v>0</v>
      </c>
      <c r="R199" s="147" t="str">
        <f t="shared" ca="1" si="3"/>
        <v>No Data</v>
      </c>
      <c r="S199" s="147">
        <f t="shared" si="4"/>
        <v>0</v>
      </c>
      <c r="T199" s="147"/>
      <c r="U199" s="147"/>
      <c r="V199" s="148" t="e">
        <f ca="1"/>
        <v>#NAME?</v>
      </c>
      <c r="W199" s="147" t="e">
        <f t="shared" ca="1" si="5"/>
        <v>#NAME?</v>
      </c>
      <c r="X199" s="147" t="e">
        <f t="shared" ca="1" si="6"/>
        <v>#NAME?</v>
      </c>
      <c r="Y199" s="147" t="e">
        <f t="shared" ca="1" si="7"/>
        <v>#NAME?</v>
      </c>
      <c r="Z199" s="147"/>
      <c r="AA199" s="147"/>
      <c r="AB199" s="147"/>
      <c r="AC199" s="147"/>
      <c r="AD199" s="147"/>
      <c r="AE199" s="147"/>
      <c r="AF199" s="147"/>
      <c r="AG199" s="147"/>
      <c r="AH199" s="147"/>
      <c r="AI199" s="147"/>
      <c r="AJ199" s="147"/>
      <c r="AK199" s="147"/>
      <c r="AL199" s="147"/>
      <c r="AM199" s="151"/>
      <c r="AN199" s="147"/>
      <c r="AO199" s="147" t="e">
        <f t="shared" si="8"/>
        <v>#N/A</v>
      </c>
      <c r="AP199" s="147" t="e">
        <f t="shared" ca="1" si="9"/>
        <v>#NAME?</v>
      </c>
      <c r="AQ199" s="147" t="e">
        <f t="shared" si="10"/>
        <v>#N/A</v>
      </c>
      <c r="AR199" s="147"/>
      <c r="AS199" s="147"/>
      <c r="AT199" s="147"/>
      <c r="AU199" s="147"/>
      <c r="AV199" s="147"/>
      <c r="AW199" s="147"/>
      <c r="AX199" s="147"/>
      <c r="AY199" s="147"/>
      <c r="AZ199" s="147"/>
      <c r="BA199" s="147"/>
      <c r="BB199" s="147"/>
      <c r="BC199" s="147"/>
      <c r="BD199" s="147"/>
      <c r="BE199" s="147"/>
      <c r="BF199" s="147"/>
      <c r="BG199" s="147"/>
      <c r="BH199" s="147"/>
      <c r="BI199" s="147"/>
      <c r="BJ199" s="147"/>
      <c r="BK199" s="147"/>
      <c r="BL199" s="147"/>
      <c r="BM199" s="147"/>
      <c r="BN199" s="147"/>
      <c r="BO199" s="147"/>
      <c r="BP199" s="147"/>
      <c r="BQ199" s="147"/>
      <c r="BR199" s="147"/>
      <c r="BS199" s="147"/>
      <c r="BT199" s="147"/>
      <c r="BU199" s="147"/>
      <c r="BV199" s="147"/>
      <c r="BW199" s="147"/>
      <c r="BX199" s="147"/>
      <c r="BY199" s="147"/>
      <c r="BZ199" s="147"/>
      <c r="CA199" s="147"/>
      <c r="CB199" s="147"/>
      <c r="CC199" s="147"/>
      <c r="CD199" s="147"/>
      <c r="CE199" s="147"/>
      <c r="CF199" s="147"/>
      <c r="CG199" s="147"/>
      <c r="CH199" s="147"/>
      <c r="CI199" s="147"/>
      <c r="CJ199" s="147"/>
      <c r="CK199" s="147"/>
    </row>
    <row r="200" spans="1:89">
      <c r="A200" s="159" t="s">
        <v>184</v>
      </c>
      <c r="B200" s="3" t="s">
        <v>185</v>
      </c>
      <c r="C200" s="160" t="s">
        <v>70</v>
      </c>
      <c r="D200" s="160" t="s">
        <v>863</v>
      </c>
      <c r="E200" s="3" t="s">
        <v>22</v>
      </c>
      <c r="F200" s="3" t="s">
        <v>934</v>
      </c>
      <c r="G200" s="3"/>
      <c r="H200" s="156" t="str">
        <f ca="1">IFERROR(
  _xludf.MINIFS(ATTENDANCE_LOG!$F:$F,
         ATTENDANCE_LOG!$A:$A, C200,
         ATTENDANCE_LOG!$B:$B, E200),
"")</f>
        <v/>
      </c>
      <c r="I200" s="156" t="str">
        <f t="shared" ca="1" si="0"/>
        <v/>
      </c>
      <c r="J200" s="3">
        <f>IFERROR(VLOOKUP(F200, LEVEL_HELPER!$A:$B, 2, 0), "")</f>
        <v>3.5</v>
      </c>
      <c r="K200" s="3" t="str">
        <f>IFERROR(VLOOKUP(G200, LEVEL_HELPER!$A:$B, 2, 0), "")</f>
        <v/>
      </c>
      <c r="L200" s="157" t="s">
        <v>942</v>
      </c>
      <c r="M200" s="157" t="s">
        <v>925</v>
      </c>
      <c r="N200" s="3" t="str">
        <f t="array" aca="1" ref="N200" ca="1">IFERROR(
  INDEX($J$2:$J$543,
    MATCH(A200&amp;TEXT(I200,"yyyy-mm-dd"),
          $A$2:$A$543&amp;TEXT($H$2:$H$543,"yyyy-mm-dd"),
          0)),
"")</f>
        <v/>
      </c>
      <c r="O200" s="147" t="str">
        <f t="shared" ca="1" si="1"/>
        <v/>
      </c>
      <c r="P200" s="147">
        <f t="shared" ref="P200:Q200" ca="1" si="209">IF(N200="",0,IF(N200&lt;=2,1,IF(N200&lt;=4,2,IF(N200&lt;=5.5,3,4))))</f>
        <v>0</v>
      </c>
      <c r="Q200" s="147">
        <f t="shared" ca="1" si="209"/>
        <v>0</v>
      </c>
      <c r="R200" s="147" t="str">
        <f t="shared" ca="1" si="3"/>
        <v>No Data</v>
      </c>
      <c r="S200" s="147">
        <f t="shared" si="4"/>
        <v>0</v>
      </c>
      <c r="T200" s="147"/>
      <c r="U200" s="147"/>
      <c r="V200" s="148" t="e">
        <f ca="1"/>
        <v>#NAME?</v>
      </c>
      <c r="W200" s="147" t="e">
        <f t="shared" ca="1" si="5"/>
        <v>#NAME?</v>
      </c>
      <c r="X200" s="147" t="e">
        <f t="shared" ca="1" si="6"/>
        <v>#NAME?</v>
      </c>
      <c r="Y200" s="147" t="e">
        <f t="shared" ca="1" si="7"/>
        <v>#NAME?</v>
      </c>
      <c r="Z200" s="147"/>
      <c r="AA200" s="147"/>
      <c r="AB200" s="147"/>
      <c r="AC200" s="147"/>
      <c r="AD200" s="147"/>
      <c r="AE200" s="147"/>
      <c r="AF200" s="147"/>
      <c r="AG200" s="147"/>
      <c r="AH200" s="147"/>
      <c r="AI200" s="147"/>
      <c r="AJ200" s="147"/>
      <c r="AK200" s="147"/>
      <c r="AL200" s="147"/>
      <c r="AM200" s="151"/>
      <c r="AN200" s="147"/>
      <c r="AO200" s="147" t="e">
        <f t="shared" si="8"/>
        <v>#N/A</v>
      </c>
      <c r="AP200" s="147" t="e">
        <f t="shared" ca="1" si="9"/>
        <v>#NAME?</v>
      </c>
      <c r="AQ200" s="147" t="e">
        <f t="shared" si="10"/>
        <v>#N/A</v>
      </c>
      <c r="AR200" s="147"/>
      <c r="AS200" s="147"/>
      <c r="AT200" s="147"/>
      <c r="AU200" s="147"/>
      <c r="AV200" s="147"/>
      <c r="AW200" s="147"/>
      <c r="AX200" s="147"/>
      <c r="AY200" s="147"/>
      <c r="AZ200" s="147"/>
      <c r="BA200" s="147"/>
      <c r="BB200" s="147"/>
      <c r="BC200" s="147"/>
      <c r="BD200" s="147"/>
      <c r="BE200" s="147"/>
      <c r="BF200" s="147"/>
      <c r="BG200" s="147"/>
      <c r="BH200" s="147"/>
      <c r="BI200" s="147"/>
      <c r="BJ200" s="147"/>
      <c r="BK200" s="147"/>
      <c r="BL200" s="147"/>
      <c r="BM200" s="147"/>
      <c r="BN200" s="147"/>
      <c r="BO200" s="147"/>
      <c r="BP200" s="147"/>
      <c r="BQ200" s="147"/>
      <c r="BR200" s="147"/>
      <c r="BS200" s="147"/>
      <c r="BT200" s="147"/>
      <c r="BU200" s="147"/>
      <c r="BV200" s="147"/>
      <c r="BW200" s="147"/>
      <c r="BX200" s="147"/>
      <c r="BY200" s="147"/>
      <c r="BZ200" s="147"/>
      <c r="CA200" s="147"/>
      <c r="CB200" s="147"/>
      <c r="CC200" s="147"/>
      <c r="CD200" s="147"/>
      <c r="CE200" s="147"/>
      <c r="CF200" s="147"/>
      <c r="CG200" s="147"/>
      <c r="CH200" s="147"/>
      <c r="CI200" s="147"/>
      <c r="CJ200" s="147"/>
      <c r="CK200" s="147"/>
    </row>
    <row r="201" spans="1:89">
      <c r="A201" s="159" t="s">
        <v>188</v>
      </c>
      <c r="B201" s="3" t="s">
        <v>189</v>
      </c>
      <c r="C201" s="160" t="s">
        <v>70</v>
      </c>
      <c r="D201" s="160" t="s">
        <v>863</v>
      </c>
      <c r="E201" s="3" t="s">
        <v>22</v>
      </c>
      <c r="F201" s="3" t="s">
        <v>934</v>
      </c>
      <c r="G201" s="3"/>
      <c r="H201" s="156" t="str">
        <f ca="1">IFERROR(
  _xludf.MINIFS(ATTENDANCE_LOG!$F:$F,
         ATTENDANCE_LOG!$A:$A, C201,
         ATTENDANCE_LOG!$B:$B, E201),
"")</f>
        <v/>
      </c>
      <c r="I201" s="156" t="str">
        <f t="shared" ca="1" si="0"/>
        <v/>
      </c>
      <c r="J201" s="3">
        <f>IFERROR(VLOOKUP(F201, LEVEL_HELPER!$A:$B, 2, 0), "")</f>
        <v>3.5</v>
      </c>
      <c r="K201" s="3" t="str">
        <f>IFERROR(VLOOKUP(G201, LEVEL_HELPER!$A:$B, 2, 0), "")</f>
        <v/>
      </c>
      <c r="L201" s="157" t="s">
        <v>918</v>
      </c>
      <c r="M201" s="157" t="s">
        <v>922</v>
      </c>
      <c r="N201" s="3" t="str">
        <f t="array" aca="1" ref="N201" ca="1">IFERROR(
  INDEX($J$2:$J$543,
    MATCH(A201&amp;TEXT(I201,"yyyy-mm-dd"),
          $A$2:$A$543&amp;TEXT($H$2:$H$543,"yyyy-mm-dd"),
          0)),
"")</f>
        <v/>
      </c>
      <c r="O201" s="147" t="str">
        <f t="shared" ca="1" si="1"/>
        <v/>
      </c>
      <c r="P201" s="147">
        <f t="shared" ref="P201:Q201" ca="1" si="210">IF(N201="",0,IF(N201&lt;=2,1,IF(N201&lt;=4,2,IF(N201&lt;=5.5,3,4))))</f>
        <v>0</v>
      </c>
      <c r="Q201" s="147">
        <f t="shared" ca="1" si="210"/>
        <v>0</v>
      </c>
      <c r="R201" s="147" t="str">
        <f t="shared" ca="1" si="3"/>
        <v>No Data</v>
      </c>
      <c r="S201" s="147">
        <f t="shared" si="4"/>
        <v>0</v>
      </c>
      <c r="T201" s="147"/>
      <c r="U201" s="147"/>
      <c r="V201" s="148" t="e">
        <f ca="1"/>
        <v>#NAME?</v>
      </c>
      <c r="W201" s="147" t="e">
        <f t="shared" ca="1" si="5"/>
        <v>#NAME?</v>
      </c>
      <c r="X201" s="147" t="e">
        <f t="shared" ca="1" si="6"/>
        <v>#NAME?</v>
      </c>
      <c r="Y201" s="147" t="e">
        <f t="shared" ca="1" si="7"/>
        <v>#NAME?</v>
      </c>
      <c r="Z201" s="147"/>
      <c r="AA201" s="147"/>
      <c r="AB201" s="147"/>
      <c r="AC201" s="147"/>
      <c r="AD201" s="147"/>
      <c r="AE201" s="147"/>
      <c r="AF201" s="147"/>
      <c r="AG201" s="147"/>
      <c r="AH201" s="147"/>
      <c r="AI201" s="147"/>
      <c r="AJ201" s="147"/>
      <c r="AK201" s="147"/>
      <c r="AL201" s="147"/>
      <c r="AM201" s="151"/>
      <c r="AN201" s="147"/>
      <c r="AO201" s="147" t="e">
        <f t="shared" si="8"/>
        <v>#N/A</v>
      </c>
      <c r="AP201" s="147" t="e">
        <f t="shared" ca="1" si="9"/>
        <v>#NAME?</v>
      </c>
      <c r="AQ201" s="147" t="e">
        <f t="shared" si="10"/>
        <v>#N/A</v>
      </c>
      <c r="AR201" s="147"/>
      <c r="AS201" s="147"/>
      <c r="AT201" s="147"/>
      <c r="AU201" s="147"/>
      <c r="AV201" s="147"/>
      <c r="AW201" s="147"/>
      <c r="AX201" s="147"/>
      <c r="AY201" s="147"/>
      <c r="AZ201" s="147"/>
      <c r="BA201" s="147"/>
      <c r="BB201" s="147"/>
      <c r="BC201" s="147"/>
      <c r="BD201" s="147"/>
      <c r="BE201" s="147"/>
      <c r="BF201" s="147"/>
      <c r="BG201" s="147"/>
      <c r="BH201" s="147"/>
      <c r="BI201" s="147"/>
      <c r="BJ201" s="147"/>
      <c r="BK201" s="147"/>
      <c r="BL201" s="147"/>
      <c r="BM201" s="147"/>
      <c r="BN201" s="147"/>
      <c r="BO201" s="147"/>
      <c r="BP201" s="147"/>
      <c r="BQ201" s="147"/>
      <c r="BR201" s="147"/>
      <c r="BS201" s="147"/>
      <c r="BT201" s="147"/>
      <c r="BU201" s="147"/>
      <c r="BV201" s="147"/>
      <c r="BW201" s="147"/>
      <c r="BX201" s="147"/>
      <c r="BY201" s="147"/>
      <c r="BZ201" s="147"/>
      <c r="CA201" s="147"/>
      <c r="CB201" s="147"/>
      <c r="CC201" s="147"/>
      <c r="CD201" s="147"/>
      <c r="CE201" s="147"/>
      <c r="CF201" s="147"/>
      <c r="CG201" s="147"/>
      <c r="CH201" s="147"/>
      <c r="CI201" s="147"/>
      <c r="CJ201" s="147"/>
      <c r="CK201" s="147"/>
    </row>
    <row r="202" spans="1:89">
      <c r="A202" s="159" t="s">
        <v>697</v>
      </c>
      <c r="B202" s="3" t="s">
        <v>698</v>
      </c>
      <c r="C202" s="160" t="s">
        <v>70</v>
      </c>
      <c r="D202" s="160" t="s">
        <v>863</v>
      </c>
      <c r="E202" s="3" t="s">
        <v>22</v>
      </c>
      <c r="F202" s="3" t="s">
        <v>934</v>
      </c>
      <c r="G202" s="3"/>
      <c r="H202" s="156" t="str">
        <f ca="1">IFERROR(
  _xludf.MINIFS(ATTENDANCE_LOG!$F:$F,
         ATTENDANCE_LOG!$A:$A, C202,
         ATTENDANCE_LOG!$B:$B, E202),
"")</f>
        <v/>
      </c>
      <c r="I202" s="156" t="str">
        <f t="shared" ca="1" si="0"/>
        <v/>
      </c>
      <c r="J202" s="3">
        <f>IFERROR(VLOOKUP(F202, LEVEL_HELPER!$A:$B, 2, 0), "")</f>
        <v>3.5</v>
      </c>
      <c r="K202" s="3" t="str">
        <f>IFERROR(VLOOKUP(G202, LEVEL_HELPER!$A:$B, 2, 0), "")</f>
        <v/>
      </c>
      <c r="L202" s="157" t="s">
        <v>942</v>
      </c>
      <c r="M202" s="157" t="s">
        <v>925</v>
      </c>
      <c r="N202" s="3" t="str">
        <f t="array" aca="1" ref="N202" ca="1">IFERROR(
  INDEX($J$2:$J$543,
    MATCH(A202&amp;TEXT(I202,"yyyy-mm-dd"),
          $A$2:$A$543&amp;TEXT($H$2:$H$543,"yyyy-mm-dd"),
          0)),
"")</f>
        <v/>
      </c>
      <c r="O202" s="147" t="str">
        <f t="shared" ca="1" si="1"/>
        <v/>
      </c>
      <c r="P202" s="147">
        <f t="shared" ref="P202:Q202" ca="1" si="211">IF(N202="",0,IF(N202&lt;=2,1,IF(N202&lt;=4,2,IF(N202&lt;=5.5,3,4))))</f>
        <v>0</v>
      </c>
      <c r="Q202" s="147">
        <f t="shared" ca="1" si="211"/>
        <v>0</v>
      </c>
      <c r="R202" s="147" t="str">
        <f t="shared" ca="1" si="3"/>
        <v>No Data</v>
      </c>
      <c r="S202" s="147">
        <f t="shared" si="4"/>
        <v>0</v>
      </c>
      <c r="T202" s="147"/>
      <c r="U202" s="147"/>
      <c r="V202" s="148" t="e">
        <f ca="1"/>
        <v>#NAME?</v>
      </c>
      <c r="W202" s="147" t="e">
        <f t="shared" ca="1" si="5"/>
        <v>#NAME?</v>
      </c>
      <c r="X202" s="147" t="e">
        <f t="shared" ca="1" si="6"/>
        <v>#NAME?</v>
      </c>
      <c r="Y202" s="147" t="e">
        <f t="shared" ca="1" si="7"/>
        <v>#NAME?</v>
      </c>
      <c r="Z202" s="147"/>
      <c r="AA202" s="147"/>
      <c r="AB202" s="147"/>
      <c r="AC202" s="147"/>
      <c r="AD202" s="147"/>
      <c r="AE202" s="147"/>
      <c r="AF202" s="147"/>
      <c r="AG202" s="147"/>
      <c r="AH202" s="147"/>
      <c r="AI202" s="147"/>
      <c r="AJ202" s="147"/>
      <c r="AK202" s="147"/>
      <c r="AL202" s="147"/>
      <c r="AM202" s="151"/>
      <c r="AN202" s="147"/>
      <c r="AO202" s="147" t="e">
        <f t="shared" si="8"/>
        <v>#N/A</v>
      </c>
      <c r="AP202" s="147" t="e">
        <f t="shared" ca="1" si="9"/>
        <v>#NAME?</v>
      </c>
      <c r="AQ202" s="147" t="e">
        <f t="shared" si="10"/>
        <v>#N/A</v>
      </c>
      <c r="AR202" s="147"/>
      <c r="AS202" s="147"/>
      <c r="AT202" s="147"/>
      <c r="AU202" s="147"/>
      <c r="AV202" s="147"/>
      <c r="AW202" s="147"/>
      <c r="AX202" s="147"/>
      <c r="AY202" s="147"/>
      <c r="AZ202" s="147"/>
      <c r="BA202" s="147"/>
      <c r="BB202" s="147"/>
      <c r="BC202" s="147"/>
      <c r="BD202" s="147"/>
      <c r="BE202" s="147"/>
      <c r="BF202" s="147"/>
      <c r="BG202" s="147"/>
      <c r="BH202" s="147"/>
      <c r="BI202" s="147"/>
      <c r="BJ202" s="147"/>
      <c r="BK202" s="147"/>
      <c r="BL202" s="147"/>
      <c r="BM202" s="147"/>
      <c r="BN202" s="147"/>
      <c r="BO202" s="147"/>
      <c r="BP202" s="147"/>
      <c r="BQ202" s="147"/>
      <c r="BR202" s="147"/>
      <c r="BS202" s="147"/>
      <c r="BT202" s="147"/>
      <c r="BU202" s="147"/>
      <c r="BV202" s="147"/>
      <c r="BW202" s="147"/>
      <c r="BX202" s="147"/>
      <c r="BY202" s="147"/>
      <c r="BZ202" s="147"/>
      <c r="CA202" s="147"/>
      <c r="CB202" s="147"/>
      <c r="CC202" s="147"/>
      <c r="CD202" s="147"/>
      <c r="CE202" s="147"/>
      <c r="CF202" s="147"/>
      <c r="CG202" s="147"/>
      <c r="CH202" s="147"/>
      <c r="CI202" s="147"/>
      <c r="CJ202" s="147"/>
      <c r="CK202" s="147"/>
    </row>
    <row r="203" spans="1:89">
      <c r="A203" s="153" t="s">
        <v>631</v>
      </c>
      <c r="B203" s="154" t="s">
        <v>632</v>
      </c>
      <c r="C203" s="155" t="s">
        <v>71</v>
      </c>
      <c r="D203" s="155" t="s">
        <v>864</v>
      </c>
      <c r="E203" s="154" t="s">
        <v>24</v>
      </c>
      <c r="F203" s="3" t="s">
        <v>931</v>
      </c>
      <c r="G203" s="3" t="s">
        <v>949</v>
      </c>
      <c r="H203" s="156" t="str">
        <f ca="1">IFERROR(
  _xludf.MINIFS(ATTENDANCE_LOG!$F:$F,
         ATTENDANCE_LOG!$A:$A, C203,
         ATTENDANCE_LOG!$B:$B, E203),
"")</f>
        <v/>
      </c>
      <c r="I203" s="156" t="str">
        <f t="shared" ca="1" si="0"/>
        <v/>
      </c>
      <c r="J203" s="3">
        <f>IFERROR(VLOOKUP(F203, LEVEL_HELPER!$A:$B, 2, 0), "")</f>
        <v>4.5</v>
      </c>
      <c r="K203" s="3">
        <f>IFERROR(VLOOKUP(G203, LEVEL_HELPER!$A:$B, 2, 0), "")</f>
        <v>6</v>
      </c>
      <c r="L203" s="157" t="s">
        <v>950</v>
      </c>
      <c r="M203" s="157" t="s">
        <v>922</v>
      </c>
      <c r="N203" s="3">
        <f t="array" aca="1" ref="N203" ca="1">IFERROR(
  INDEX($J$2:$J$543,
    MATCH(A203&amp;TEXT(I203,"yyyy-mm-dd"),
          $A$2:$A$543&amp;TEXT($H$2:$H$543,"yyyy-mm-dd"),
          0)),
"")</f>
        <v>4.5</v>
      </c>
      <c r="O203" s="147" t="str">
        <f t="shared" ca="1" si="1"/>
        <v/>
      </c>
      <c r="P203" s="147">
        <f t="shared" ref="P203:Q203" ca="1" si="212">IF(N203="",0,IF(N203&lt;=2,1,IF(N203&lt;=4,2,IF(N203&lt;=5.5,3,4))))</f>
        <v>3</v>
      </c>
      <c r="Q203" s="147">
        <f t="shared" ca="1" si="212"/>
        <v>0</v>
      </c>
      <c r="R203" s="147" t="str">
        <f t="shared" ca="1" si="3"/>
        <v>Regressed</v>
      </c>
      <c r="S203" s="147">
        <f t="shared" si="4"/>
        <v>1</v>
      </c>
      <c r="T203" s="147"/>
      <c r="U203" s="147"/>
      <c r="V203" s="148" t="e">
        <f ca="1"/>
        <v>#NAME?</v>
      </c>
      <c r="W203" s="147" t="e">
        <f t="shared" ca="1" si="5"/>
        <v>#NAME?</v>
      </c>
      <c r="X203" s="147" t="e">
        <f t="shared" ca="1" si="6"/>
        <v>#NAME?</v>
      </c>
      <c r="Y203" s="147" t="e">
        <f t="shared" ca="1" si="7"/>
        <v>#NAME?</v>
      </c>
      <c r="Z203" s="147"/>
      <c r="AA203" s="147"/>
      <c r="AB203" s="147"/>
      <c r="AC203" s="147"/>
      <c r="AD203" s="147"/>
      <c r="AE203" s="147"/>
      <c r="AF203" s="147"/>
      <c r="AG203" s="147"/>
      <c r="AH203" s="147"/>
      <c r="AI203" s="147"/>
      <c r="AJ203" s="147"/>
      <c r="AK203" s="147"/>
      <c r="AL203" s="147"/>
      <c r="AM203" s="151"/>
      <c r="AN203" s="147"/>
      <c r="AO203" s="147" t="e">
        <f t="shared" si="8"/>
        <v>#N/A</v>
      </c>
      <c r="AP203" s="147" t="e">
        <f t="shared" ca="1" si="9"/>
        <v>#NAME?</v>
      </c>
      <c r="AQ203" s="147" t="e">
        <f t="shared" si="10"/>
        <v>#N/A</v>
      </c>
      <c r="AR203" s="147"/>
      <c r="AS203" s="147"/>
      <c r="AT203" s="147"/>
      <c r="AU203" s="147"/>
      <c r="AV203" s="147"/>
      <c r="AW203" s="147"/>
      <c r="AX203" s="147"/>
      <c r="AY203" s="147"/>
      <c r="AZ203" s="147"/>
      <c r="BA203" s="147"/>
      <c r="BB203" s="147"/>
      <c r="BC203" s="147"/>
      <c r="BD203" s="147"/>
      <c r="BE203" s="147"/>
      <c r="BF203" s="147"/>
      <c r="BG203" s="147"/>
      <c r="BH203" s="147"/>
      <c r="BI203" s="147"/>
      <c r="BJ203" s="147"/>
      <c r="BK203" s="147"/>
      <c r="BL203" s="147"/>
      <c r="BM203" s="147"/>
      <c r="BN203" s="147"/>
      <c r="BO203" s="147"/>
      <c r="BP203" s="147"/>
      <c r="BQ203" s="147"/>
      <c r="BR203" s="147"/>
      <c r="BS203" s="147"/>
      <c r="BT203" s="147"/>
      <c r="BU203" s="147"/>
      <c r="BV203" s="147"/>
      <c r="BW203" s="147"/>
      <c r="BX203" s="147"/>
      <c r="BY203" s="147"/>
      <c r="BZ203" s="147"/>
      <c r="CA203" s="147"/>
      <c r="CB203" s="147"/>
      <c r="CC203" s="147"/>
      <c r="CD203" s="147"/>
      <c r="CE203" s="147"/>
      <c r="CF203" s="147"/>
      <c r="CG203" s="147"/>
      <c r="CH203" s="147"/>
      <c r="CI203" s="147"/>
      <c r="CJ203" s="147"/>
      <c r="CK203" s="147"/>
    </row>
    <row r="204" spans="1:89">
      <c r="A204" s="159" t="s">
        <v>288</v>
      </c>
      <c r="B204" s="3" t="s">
        <v>289</v>
      </c>
      <c r="C204" s="160" t="s">
        <v>71</v>
      </c>
      <c r="D204" s="160" t="s">
        <v>864</v>
      </c>
      <c r="E204" s="3" t="s">
        <v>24</v>
      </c>
      <c r="F204" s="3" t="s">
        <v>931</v>
      </c>
      <c r="G204" s="3" t="s">
        <v>949</v>
      </c>
      <c r="H204" s="156" t="str">
        <f ca="1">IFERROR(
  _xludf.MINIFS(ATTENDANCE_LOG!$F:$F,
         ATTENDANCE_LOG!$A:$A, C204,
         ATTENDANCE_LOG!$B:$B, E204),
"")</f>
        <v/>
      </c>
      <c r="I204" s="156" t="str">
        <f t="shared" ca="1" si="0"/>
        <v/>
      </c>
      <c r="J204" s="3">
        <f>IFERROR(VLOOKUP(F204, LEVEL_HELPER!$A:$B, 2, 0), "")</f>
        <v>4.5</v>
      </c>
      <c r="K204" s="3">
        <f>IFERROR(VLOOKUP(G204, LEVEL_HELPER!$A:$B, 2, 0), "")</f>
        <v>6</v>
      </c>
      <c r="L204" s="157" t="s">
        <v>950</v>
      </c>
      <c r="M204" s="157" t="s">
        <v>922</v>
      </c>
      <c r="N204" s="3">
        <f t="array" aca="1" ref="N204" ca="1">IFERROR(
  INDEX($J$2:$J$543,
    MATCH(A204&amp;TEXT(I204,"yyyy-mm-dd"),
          $A$2:$A$543&amp;TEXT($H$2:$H$543,"yyyy-mm-dd"),
          0)),
"")</f>
        <v>4.5</v>
      </c>
      <c r="O204" s="147" t="str">
        <f t="shared" ca="1" si="1"/>
        <v/>
      </c>
      <c r="P204" s="147">
        <f t="shared" ref="P204:Q204" ca="1" si="213">IF(N204="",0,IF(N204&lt;=2,1,IF(N204&lt;=4,2,IF(N204&lt;=5.5,3,4))))</f>
        <v>3</v>
      </c>
      <c r="Q204" s="147">
        <f t="shared" ca="1" si="213"/>
        <v>0</v>
      </c>
      <c r="R204" s="147" t="str">
        <f t="shared" ca="1" si="3"/>
        <v>Regressed</v>
      </c>
      <c r="S204" s="147">
        <f t="shared" si="4"/>
        <v>1</v>
      </c>
      <c r="T204" s="147"/>
      <c r="U204" s="147"/>
      <c r="V204" s="148" t="e">
        <f ca="1"/>
        <v>#NAME?</v>
      </c>
      <c r="W204" s="147" t="e">
        <f t="shared" ca="1" si="5"/>
        <v>#NAME?</v>
      </c>
      <c r="X204" s="147" t="e">
        <f t="shared" ca="1" si="6"/>
        <v>#NAME?</v>
      </c>
      <c r="Y204" s="147" t="e">
        <f t="shared" ca="1" si="7"/>
        <v>#NAME?</v>
      </c>
      <c r="Z204" s="147"/>
      <c r="AA204" s="147"/>
      <c r="AB204" s="147"/>
      <c r="AC204" s="147"/>
      <c r="AD204" s="147"/>
      <c r="AE204" s="147"/>
      <c r="AF204" s="147"/>
      <c r="AG204" s="147"/>
      <c r="AH204" s="147"/>
      <c r="AI204" s="147"/>
      <c r="AJ204" s="147"/>
      <c r="AK204" s="147"/>
      <c r="AL204" s="147"/>
      <c r="AM204" s="151"/>
      <c r="AN204" s="147"/>
      <c r="AO204" s="147" t="e">
        <f t="shared" si="8"/>
        <v>#N/A</v>
      </c>
      <c r="AP204" s="147" t="e">
        <f t="shared" ca="1" si="9"/>
        <v>#NAME?</v>
      </c>
      <c r="AQ204" s="147" t="e">
        <f t="shared" si="10"/>
        <v>#N/A</v>
      </c>
      <c r="AR204" s="147"/>
      <c r="AS204" s="147"/>
      <c r="AT204" s="147"/>
      <c r="AU204" s="147"/>
      <c r="AV204" s="147"/>
      <c r="AW204" s="147"/>
      <c r="AX204" s="147"/>
      <c r="AY204" s="147"/>
      <c r="AZ204" s="147"/>
      <c r="BA204" s="147"/>
      <c r="BB204" s="147"/>
      <c r="BC204" s="147"/>
      <c r="BD204" s="147"/>
      <c r="BE204" s="147"/>
      <c r="BF204" s="147"/>
      <c r="BG204" s="147"/>
      <c r="BH204" s="147"/>
      <c r="BI204" s="147"/>
      <c r="BJ204" s="147"/>
      <c r="BK204" s="147"/>
      <c r="BL204" s="147"/>
      <c r="BM204" s="147"/>
      <c r="BN204" s="147"/>
      <c r="BO204" s="147"/>
      <c r="BP204" s="147"/>
      <c r="BQ204" s="147"/>
      <c r="BR204" s="147"/>
      <c r="BS204" s="147"/>
      <c r="BT204" s="147"/>
      <c r="BU204" s="147"/>
      <c r="BV204" s="147"/>
      <c r="BW204" s="147"/>
      <c r="BX204" s="147"/>
      <c r="BY204" s="147"/>
      <c r="BZ204" s="147"/>
      <c r="CA204" s="147"/>
      <c r="CB204" s="147"/>
      <c r="CC204" s="147"/>
      <c r="CD204" s="147"/>
      <c r="CE204" s="147"/>
      <c r="CF204" s="147"/>
      <c r="CG204" s="147"/>
      <c r="CH204" s="147"/>
      <c r="CI204" s="147"/>
      <c r="CJ204" s="147"/>
      <c r="CK204" s="147"/>
    </row>
    <row r="205" spans="1:89">
      <c r="A205" s="159" t="s">
        <v>348</v>
      </c>
      <c r="B205" s="3" t="s">
        <v>349</v>
      </c>
      <c r="C205" s="160" t="s">
        <v>71</v>
      </c>
      <c r="D205" s="160" t="s">
        <v>864</v>
      </c>
      <c r="E205" s="3" t="s">
        <v>24</v>
      </c>
      <c r="F205" s="3" t="s">
        <v>931</v>
      </c>
      <c r="G205" s="3"/>
      <c r="H205" s="156" t="str">
        <f ca="1">IFERROR(
  _xludf.MINIFS(ATTENDANCE_LOG!$F:$F,
         ATTENDANCE_LOG!$A:$A, C205,
         ATTENDANCE_LOG!$B:$B, E205),
"")</f>
        <v/>
      </c>
      <c r="I205" s="156" t="str">
        <f t="shared" ca="1" si="0"/>
        <v/>
      </c>
      <c r="J205" s="3">
        <f>IFERROR(VLOOKUP(F205, LEVEL_HELPER!$A:$B, 2, 0), "")</f>
        <v>4.5</v>
      </c>
      <c r="K205" s="3" t="str">
        <f>IFERROR(VLOOKUP(G205, LEVEL_HELPER!$A:$B, 2, 0), "")</f>
        <v/>
      </c>
      <c r="L205" s="157" t="s">
        <v>951</v>
      </c>
      <c r="M205" s="157" t="s">
        <v>920</v>
      </c>
      <c r="N205" s="3">
        <f t="array" aca="1" ref="N205" ca="1">IFERROR(
  INDEX($J$2:$J$543,
    MATCH(A205&amp;TEXT(I205,"yyyy-mm-dd"),
          $A$2:$A$543&amp;TEXT($H$2:$H$543,"yyyy-mm-dd"),
          0)),
"")</f>
        <v>2.5</v>
      </c>
      <c r="O205" s="147" t="str">
        <f t="shared" ca="1" si="1"/>
        <v/>
      </c>
      <c r="P205" s="147">
        <f t="shared" ref="P205:Q205" ca="1" si="214">IF(N205="",0,IF(N205&lt;=2,1,IF(N205&lt;=4,2,IF(N205&lt;=5.5,3,4))))</f>
        <v>2</v>
      </c>
      <c r="Q205" s="147">
        <f t="shared" ca="1" si="214"/>
        <v>0</v>
      </c>
      <c r="R205" s="147" t="str">
        <f t="shared" ca="1" si="3"/>
        <v>Regressed</v>
      </c>
      <c r="S205" s="147">
        <f t="shared" si="4"/>
        <v>0</v>
      </c>
      <c r="T205" s="147"/>
      <c r="U205" s="147"/>
      <c r="V205" s="148" t="e">
        <f ca="1"/>
        <v>#NAME?</v>
      </c>
      <c r="W205" s="147" t="e">
        <f t="shared" ca="1" si="5"/>
        <v>#NAME?</v>
      </c>
      <c r="X205" s="147" t="e">
        <f t="shared" ca="1" si="6"/>
        <v>#NAME?</v>
      </c>
      <c r="Y205" s="147" t="e">
        <f t="shared" ca="1" si="7"/>
        <v>#NAME?</v>
      </c>
      <c r="Z205" s="147"/>
      <c r="AA205" s="147"/>
      <c r="AB205" s="147"/>
      <c r="AC205" s="147"/>
      <c r="AD205" s="147"/>
      <c r="AE205" s="147"/>
      <c r="AF205" s="147"/>
      <c r="AG205" s="147"/>
      <c r="AH205" s="147"/>
      <c r="AI205" s="147"/>
      <c r="AJ205" s="147"/>
      <c r="AK205" s="147"/>
      <c r="AL205" s="147"/>
      <c r="AM205" s="151"/>
      <c r="AN205" s="147"/>
      <c r="AO205" s="147" t="e">
        <f t="shared" si="8"/>
        <v>#N/A</v>
      </c>
      <c r="AP205" s="147" t="e">
        <f t="shared" ca="1" si="9"/>
        <v>#NAME?</v>
      </c>
      <c r="AQ205" s="147" t="e">
        <f t="shared" si="10"/>
        <v>#N/A</v>
      </c>
      <c r="AR205" s="147"/>
      <c r="AS205" s="147"/>
      <c r="AT205" s="147"/>
      <c r="AU205" s="147"/>
      <c r="AV205" s="147"/>
      <c r="AW205" s="147"/>
      <c r="AX205" s="147"/>
      <c r="AY205" s="147"/>
      <c r="AZ205" s="147"/>
      <c r="BA205" s="147"/>
      <c r="BB205" s="147"/>
      <c r="BC205" s="147"/>
      <c r="BD205" s="147"/>
      <c r="BE205" s="147"/>
      <c r="BF205" s="147"/>
      <c r="BG205" s="147"/>
      <c r="BH205" s="147"/>
      <c r="BI205" s="147"/>
      <c r="BJ205" s="147"/>
      <c r="BK205" s="147"/>
      <c r="BL205" s="147"/>
      <c r="BM205" s="147"/>
      <c r="BN205" s="147"/>
      <c r="BO205" s="147"/>
      <c r="BP205" s="147"/>
      <c r="BQ205" s="147"/>
      <c r="BR205" s="147"/>
      <c r="BS205" s="147"/>
      <c r="BT205" s="147"/>
      <c r="BU205" s="147"/>
      <c r="BV205" s="147"/>
      <c r="BW205" s="147"/>
      <c r="BX205" s="147"/>
      <c r="BY205" s="147"/>
      <c r="BZ205" s="147"/>
      <c r="CA205" s="147"/>
      <c r="CB205" s="147"/>
      <c r="CC205" s="147"/>
      <c r="CD205" s="147"/>
      <c r="CE205" s="147"/>
      <c r="CF205" s="147"/>
      <c r="CG205" s="147"/>
      <c r="CH205" s="147"/>
      <c r="CI205" s="147"/>
      <c r="CJ205" s="147"/>
      <c r="CK205" s="147"/>
    </row>
    <row r="206" spans="1:89">
      <c r="A206" s="159" t="s">
        <v>570</v>
      </c>
      <c r="B206" s="3" t="s">
        <v>571</v>
      </c>
      <c r="C206" s="160" t="s">
        <v>71</v>
      </c>
      <c r="D206" s="160" t="s">
        <v>864</v>
      </c>
      <c r="E206" s="3" t="s">
        <v>24</v>
      </c>
      <c r="F206" s="3" t="s">
        <v>931</v>
      </c>
      <c r="G206" s="3" t="s">
        <v>949</v>
      </c>
      <c r="H206" s="156" t="str">
        <f ca="1">IFERROR(
  _xludf.MINIFS(ATTENDANCE_LOG!$F:$F,
         ATTENDANCE_LOG!$A:$A, C206,
         ATTENDANCE_LOG!$B:$B, E206),
"")</f>
        <v/>
      </c>
      <c r="I206" s="156" t="str">
        <f t="shared" ca="1" si="0"/>
        <v/>
      </c>
      <c r="J206" s="3">
        <f>IFERROR(VLOOKUP(F206, LEVEL_HELPER!$A:$B, 2, 0), "")</f>
        <v>4.5</v>
      </c>
      <c r="K206" s="3">
        <f>IFERROR(VLOOKUP(G206, LEVEL_HELPER!$A:$B, 2, 0), "")</f>
        <v>6</v>
      </c>
      <c r="L206" s="157" t="s">
        <v>950</v>
      </c>
      <c r="M206" s="157" t="s">
        <v>921</v>
      </c>
      <c r="N206" s="3">
        <f t="array" aca="1" ref="N206" ca="1">IFERROR(
  INDEX($J$2:$J$543,
    MATCH(A206&amp;TEXT(I206,"yyyy-mm-dd"),
          $A$2:$A$543&amp;TEXT($H$2:$H$543,"yyyy-mm-dd"),
          0)),
"")</f>
        <v>4.5</v>
      </c>
      <c r="O206" s="147" t="str">
        <f t="shared" ca="1" si="1"/>
        <v/>
      </c>
      <c r="P206" s="147">
        <f t="shared" ref="P206:Q206" ca="1" si="215">IF(N206="",0,IF(N206&lt;=2,1,IF(N206&lt;=4,2,IF(N206&lt;=5.5,3,4))))</f>
        <v>3</v>
      </c>
      <c r="Q206" s="147">
        <f t="shared" ca="1" si="215"/>
        <v>0</v>
      </c>
      <c r="R206" s="147" t="str">
        <f t="shared" ca="1" si="3"/>
        <v>Regressed</v>
      </c>
      <c r="S206" s="147">
        <f t="shared" si="4"/>
        <v>1</v>
      </c>
      <c r="T206" s="147"/>
      <c r="U206" s="147"/>
      <c r="V206" s="148" t="e">
        <f ca="1"/>
        <v>#NAME?</v>
      </c>
      <c r="W206" s="147" t="e">
        <f t="shared" ca="1" si="5"/>
        <v>#NAME?</v>
      </c>
      <c r="X206" s="147" t="e">
        <f t="shared" ca="1" si="6"/>
        <v>#NAME?</v>
      </c>
      <c r="Y206" s="147" t="e">
        <f t="shared" ca="1" si="7"/>
        <v>#NAME?</v>
      </c>
      <c r="Z206" s="147"/>
      <c r="AA206" s="147"/>
      <c r="AB206" s="147"/>
      <c r="AC206" s="147"/>
      <c r="AD206" s="147"/>
      <c r="AE206" s="147"/>
      <c r="AF206" s="147"/>
      <c r="AG206" s="147"/>
      <c r="AH206" s="147"/>
      <c r="AI206" s="147"/>
      <c r="AJ206" s="147"/>
      <c r="AK206" s="147"/>
      <c r="AL206" s="147"/>
      <c r="AM206" s="151"/>
      <c r="AN206" s="147"/>
      <c r="AO206" s="147" t="e">
        <f t="shared" si="8"/>
        <v>#N/A</v>
      </c>
      <c r="AP206" s="147" t="e">
        <f t="shared" ca="1" si="9"/>
        <v>#NAME?</v>
      </c>
      <c r="AQ206" s="147" t="e">
        <f t="shared" si="10"/>
        <v>#N/A</v>
      </c>
      <c r="AR206" s="147"/>
      <c r="AS206" s="147"/>
      <c r="AT206" s="147"/>
      <c r="AU206" s="147"/>
      <c r="AV206" s="147"/>
      <c r="AW206" s="147"/>
      <c r="AX206" s="147"/>
      <c r="AY206" s="147"/>
      <c r="AZ206" s="147"/>
      <c r="BA206" s="147"/>
      <c r="BB206" s="147"/>
      <c r="BC206" s="147"/>
      <c r="BD206" s="147"/>
      <c r="BE206" s="147"/>
      <c r="BF206" s="147"/>
      <c r="BG206" s="147"/>
      <c r="BH206" s="147"/>
      <c r="BI206" s="147"/>
      <c r="BJ206" s="147"/>
      <c r="BK206" s="147"/>
      <c r="BL206" s="147"/>
      <c r="BM206" s="147"/>
      <c r="BN206" s="147"/>
      <c r="BO206" s="147"/>
      <c r="BP206" s="147"/>
      <c r="BQ206" s="147"/>
      <c r="BR206" s="147"/>
      <c r="BS206" s="147"/>
      <c r="BT206" s="147"/>
      <c r="BU206" s="147"/>
      <c r="BV206" s="147"/>
      <c r="BW206" s="147"/>
      <c r="BX206" s="147"/>
      <c r="BY206" s="147"/>
      <c r="BZ206" s="147"/>
      <c r="CA206" s="147"/>
      <c r="CB206" s="147"/>
      <c r="CC206" s="147"/>
      <c r="CD206" s="147"/>
      <c r="CE206" s="147"/>
      <c r="CF206" s="147"/>
      <c r="CG206" s="147"/>
      <c r="CH206" s="147"/>
      <c r="CI206" s="147"/>
      <c r="CJ206" s="147"/>
      <c r="CK206" s="147"/>
    </row>
    <row r="207" spans="1:89">
      <c r="A207" s="159" t="s">
        <v>619</v>
      </c>
      <c r="B207" s="3" t="s">
        <v>620</v>
      </c>
      <c r="C207" s="160" t="s">
        <v>71</v>
      </c>
      <c r="D207" s="160" t="s">
        <v>864</v>
      </c>
      <c r="E207" s="3" t="s">
        <v>24</v>
      </c>
      <c r="F207" s="3" t="s">
        <v>931</v>
      </c>
      <c r="G207" s="3" t="s">
        <v>949</v>
      </c>
      <c r="H207" s="156" t="str">
        <f ca="1">IFERROR(
  _xludf.MINIFS(ATTENDANCE_LOG!$F:$F,
         ATTENDANCE_LOG!$A:$A, C207,
         ATTENDANCE_LOG!$B:$B, E207),
"")</f>
        <v/>
      </c>
      <c r="I207" s="156" t="str">
        <f t="shared" ca="1" si="0"/>
        <v/>
      </c>
      <c r="J207" s="3">
        <f>IFERROR(VLOOKUP(F207, LEVEL_HELPER!$A:$B, 2, 0), "")</f>
        <v>4.5</v>
      </c>
      <c r="K207" s="3">
        <f>IFERROR(VLOOKUP(G207, LEVEL_HELPER!$A:$B, 2, 0), "")</f>
        <v>6</v>
      </c>
      <c r="L207" s="157" t="s">
        <v>950</v>
      </c>
      <c r="M207" s="157" t="s">
        <v>922</v>
      </c>
      <c r="N207" s="3">
        <f t="array" aca="1" ref="N207" ca="1">IFERROR(
  INDEX($J$2:$J$543,
    MATCH(A207&amp;TEXT(I207,"yyyy-mm-dd"),
          $A$2:$A$543&amp;TEXT($H$2:$H$543,"yyyy-mm-dd"),
          0)),
"")</f>
        <v>4.5</v>
      </c>
      <c r="O207" s="147" t="str">
        <f t="shared" ca="1" si="1"/>
        <v/>
      </c>
      <c r="P207" s="147">
        <f t="shared" ref="P207:Q207" ca="1" si="216">IF(N207="",0,IF(N207&lt;=2,1,IF(N207&lt;=4,2,IF(N207&lt;=5.5,3,4))))</f>
        <v>3</v>
      </c>
      <c r="Q207" s="147">
        <f t="shared" ca="1" si="216"/>
        <v>0</v>
      </c>
      <c r="R207" s="147" t="str">
        <f t="shared" ca="1" si="3"/>
        <v>Regressed</v>
      </c>
      <c r="S207" s="147">
        <f t="shared" si="4"/>
        <v>1</v>
      </c>
      <c r="T207" s="147"/>
      <c r="U207" s="147"/>
      <c r="V207" s="148" t="e">
        <f ca="1"/>
        <v>#NAME?</v>
      </c>
      <c r="W207" s="147" t="e">
        <f t="shared" ca="1" si="5"/>
        <v>#NAME?</v>
      </c>
      <c r="X207" s="147" t="e">
        <f t="shared" ca="1" si="6"/>
        <v>#NAME?</v>
      </c>
      <c r="Y207" s="147" t="e">
        <f t="shared" ca="1" si="7"/>
        <v>#NAME?</v>
      </c>
      <c r="Z207" s="147"/>
      <c r="AA207" s="147"/>
      <c r="AB207" s="147"/>
      <c r="AC207" s="147"/>
      <c r="AD207" s="147"/>
      <c r="AE207" s="147"/>
      <c r="AF207" s="147"/>
      <c r="AG207" s="147"/>
      <c r="AH207" s="147"/>
      <c r="AI207" s="147"/>
      <c r="AJ207" s="147"/>
      <c r="AK207" s="147"/>
      <c r="AL207" s="147"/>
      <c r="AM207" s="151"/>
      <c r="AN207" s="147"/>
      <c r="AO207" s="147" t="e">
        <f t="shared" si="8"/>
        <v>#N/A</v>
      </c>
      <c r="AP207" s="147" t="e">
        <f t="shared" ca="1" si="9"/>
        <v>#NAME?</v>
      </c>
      <c r="AQ207" s="147" t="e">
        <f t="shared" si="10"/>
        <v>#N/A</v>
      </c>
      <c r="AR207" s="147"/>
      <c r="AS207" s="147"/>
      <c r="AT207" s="147"/>
      <c r="AU207" s="147"/>
      <c r="AV207" s="147"/>
      <c r="AW207" s="147"/>
      <c r="AX207" s="147"/>
      <c r="AY207" s="147"/>
      <c r="AZ207" s="147"/>
      <c r="BA207" s="147"/>
      <c r="BB207" s="147"/>
      <c r="BC207" s="147"/>
      <c r="BD207" s="147"/>
      <c r="BE207" s="147"/>
      <c r="BF207" s="147"/>
      <c r="BG207" s="147"/>
      <c r="BH207" s="147"/>
      <c r="BI207" s="147"/>
      <c r="BJ207" s="147"/>
      <c r="BK207" s="147"/>
      <c r="BL207" s="147"/>
      <c r="BM207" s="147"/>
      <c r="BN207" s="147"/>
      <c r="BO207" s="147"/>
      <c r="BP207" s="147"/>
      <c r="BQ207" s="147"/>
      <c r="BR207" s="147"/>
      <c r="BS207" s="147"/>
      <c r="BT207" s="147"/>
      <c r="BU207" s="147"/>
      <c r="BV207" s="147"/>
      <c r="BW207" s="147"/>
      <c r="BX207" s="147"/>
      <c r="BY207" s="147"/>
      <c r="BZ207" s="147"/>
      <c r="CA207" s="147"/>
      <c r="CB207" s="147"/>
      <c r="CC207" s="147"/>
      <c r="CD207" s="147"/>
      <c r="CE207" s="147"/>
      <c r="CF207" s="147"/>
      <c r="CG207" s="147"/>
      <c r="CH207" s="147"/>
      <c r="CI207" s="147"/>
      <c r="CJ207" s="147"/>
      <c r="CK207" s="147"/>
    </row>
    <row r="208" spans="1:89">
      <c r="A208" s="159" t="s">
        <v>635</v>
      </c>
      <c r="B208" s="3" t="s">
        <v>636</v>
      </c>
      <c r="C208" s="160" t="s">
        <v>71</v>
      </c>
      <c r="D208" s="160" t="s">
        <v>864</v>
      </c>
      <c r="E208" s="3" t="s">
        <v>24</v>
      </c>
      <c r="F208" s="3" t="s">
        <v>931</v>
      </c>
      <c r="G208" s="3" t="s">
        <v>949</v>
      </c>
      <c r="H208" s="156" t="str">
        <f ca="1">IFERROR(
  _xludf.MINIFS(ATTENDANCE_LOG!$F:$F,
         ATTENDANCE_LOG!$A:$A, C208,
         ATTENDANCE_LOG!$B:$B, E208),
"")</f>
        <v/>
      </c>
      <c r="I208" s="156" t="str">
        <f t="shared" ca="1" si="0"/>
        <v/>
      </c>
      <c r="J208" s="3">
        <f>IFERROR(VLOOKUP(F208, LEVEL_HELPER!$A:$B, 2, 0), "")</f>
        <v>4.5</v>
      </c>
      <c r="K208" s="3">
        <f>IFERROR(VLOOKUP(G208, LEVEL_HELPER!$A:$B, 2, 0), "")</f>
        <v>6</v>
      </c>
      <c r="L208" s="157" t="s">
        <v>918</v>
      </c>
      <c r="M208" s="157" t="s">
        <v>922</v>
      </c>
      <c r="N208" s="3">
        <f t="array" aca="1" ref="N208" ca="1">IFERROR(
  INDEX($J$2:$J$543,
    MATCH(A208&amp;TEXT(I208,"yyyy-mm-dd"),
          $A$2:$A$543&amp;TEXT($H$2:$H$543,"yyyy-mm-dd"),
          0)),
"")</f>
        <v>4.5</v>
      </c>
      <c r="O208" s="147" t="str">
        <f t="shared" ca="1" si="1"/>
        <v/>
      </c>
      <c r="P208" s="147">
        <f t="shared" ref="P208:Q208" ca="1" si="217">IF(N208="",0,IF(N208&lt;=2,1,IF(N208&lt;=4,2,IF(N208&lt;=5.5,3,4))))</f>
        <v>3</v>
      </c>
      <c r="Q208" s="147">
        <f t="shared" ca="1" si="217"/>
        <v>0</v>
      </c>
      <c r="R208" s="147" t="str">
        <f t="shared" ca="1" si="3"/>
        <v>Regressed</v>
      </c>
      <c r="S208" s="147">
        <f t="shared" si="4"/>
        <v>1</v>
      </c>
      <c r="T208" s="147"/>
      <c r="U208" s="147"/>
      <c r="V208" s="148" t="e">
        <f ca="1"/>
        <v>#NAME?</v>
      </c>
      <c r="W208" s="147" t="e">
        <f t="shared" ca="1" si="5"/>
        <v>#NAME?</v>
      </c>
      <c r="X208" s="147" t="e">
        <f t="shared" ca="1" si="6"/>
        <v>#NAME?</v>
      </c>
      <c r="Y208" s="147" t="e">
        <f t="shared" ca="1" si="7"/>
        <v>#NAME?</v>
      </c>
      <c r="Z208" s="147"/>
      <c r="AA208" s="147"/>
      <c r="AB208" s="147"/>
      <c r="AC208" s="147"/>
      <c r="AD208" s="147"/>
      <c r="AE208" s="147"/>
      <c r="AF208" s="147"/>
      <c r="AG208" s="147"/>
      <c r="AH208" s="147"/>
      <c r="AI208" s="147"/>
      <c r="AJ208" s="147"/>
      <c r="AK208" s="147"/>
      <c r="AL208" s="147"/>
      <c r="AM208" s="151"/>
      <c r="AN208" s="147"/>
      <c r="AO208" s="147" t="e">
        <f t="shared" si="8"/>
        <v>#N/A</v>
      </c>
      <c r="AP208" s="147" t="e">
        <f t="shared" ca="1" si="9"/>
        <v>#NAME?</v>
      </c>
      <c r="AQ208" s="147" t="e">
        <f t="shared" si="10"/>
        <v>#N/A</v>
      </c>
      <c r="AR208" s="147"/>
      <c r="AS208" s="147"/>
      <c r="AT208" s="147"/>
      <c r="AU208" s="147"/>
      <c r="AV208" s="147"/>
      <c r="AW208" s="147"/>
      <c r="AX208" s="147"/>
      <c r="AY208" s="147"/>
      <c r="AZ208" s="147"/>
      <c r="BA208" s="147"/>
      <c r="BB208" s="147"/>
      <c r="BC208" s="147"/>
      <c r="BD208" s="147"/>
      <c r="BE208" s="147"/>
      <c r="BF208" s="147"/>
      <c r="BG208" s="147"/>
      <c r="BH208" s="147"/>
      <c r="BI208" s="147"/>
      <c r="BJ208" s="147"/>
      <c r="BK208" s="147"/>
      <c r="BL208" s="147"/>
      <c r="BM208" s="147"/>
      <c r="BN208" s="147"/>
      <c r="BO208" s="147"/>
      <c r="BP208" s="147"/>
      <c r="BQ208" s="147"/>
      <c r="BR208" s="147"/>
      <c r="BS208" s="147"/>
      <c r="BT208" s="147"/>
      <c r="BU208" s="147"/>
      <c r="BV208" s="147"/>
      <c r="BW208" s="147"/>
      <c r="BX208" s="147"/>
      <c r="BY208" s="147"/>
      <c r="BZ208" s="147"/>
      <c r="CA208" s="147"/>
      <c r="CB208" s="147"/>
      <c r="CC208" s="147"/>
      <c r="CD208" s="147"/>
      <c r="CE208" s="147"/>
      <c r="CF208" s="147"/>
      <c r="CG208" s="147"/>
      <c r="CH208" s="147"/>
      <c r="CI208" s="147"/>
      <c r="CJ208" s="147"/>
      <c r="CK208" s="147"/>
    </row>
    <row r="209" spans="1:89">
      <c r="A209" s="159" t="s">
        <v>667</v>
      </c>
      <c r="B209" s="3" t="s">
        <v>668</v>
      </c>
      <c r="C209" s="160" t="s">
        <v>71</v>
      </c>
      <c r="D209" s="160" t="s">
        <v>864</v>
      </c>
      <c r="E209" s="3" t="s">
        <v>24</v>
      </c>
      <c r="F209" s="3" t="s">
        <v>931</v>
      </c>
      <c r="G209" s="3" t="s">
        <v>949</v>
      </c>
      <c r="H209" s="156" t="str">
        <f ca="1">IFERROR(
  _xludf.MINIFS(ATTENDANCE_LOG!$F:$F,
         ATTENDANCE_LOG!$A:$A, C209,
         ATTENDANCE_LOG!$B:$B, E209),
"")</f>
        <v/>
      </c>
      <c r="I209" s="156" t="str">
        <f t="shared" ca="1" si="0"/>
        <v/>
      </c>
      <c r="J209" s="3">
        <f>IFERROR(VLOOKUP(F209, LEVEL_HELPER!$A:$B, 2, 0), "")</f>
        <v>4.5</v>
      </c>
      <c r="K209" s="3">
        <f>IFERROR(VLOOKUP(G209, LEVEL_HELPER!$A:$B, 2, 0), "")</f>
        <v>6</v>
      </c>
      <c r="L209" s="157" t="s">
        <v>944</v>
      </c>
      <c r="M209" s="157" t="s">
        <v>921</v>
      </c>
      <c r="N209" s="3">
        <f t="array" aca="1" ref="N209" ca="1">IFERROR(
  INDEX($J$2:$J$543,
    MATCH(A209&amp;TEXT(I209,"yyyy-mm-dd"),
          $A$2:$A$543&amp;TEXT($H$2:$H$543,"yyyy-mm-dd"),
          0)),
"")</f>
        <v>4.5</v>
      </c>
      <c r="O209" s="147" t="str">
        <f t="shared" ca="1" si="1"/>
        <v/>
      </c>
      <c r="P209" s="147">
        <f t="shared" ref="P209:Q209" ca="1" si="218">IF(N209="",0,IF(N209&lt;=2,1,IF(N209&lt;=4,2,IF(N209&lt;=5.5,3,4))))</f>
        <v>3</v>
      </c>
      <c r="Q209" s="147">
        <f t="shared" ca="1" si="218"/>
        <v>0</v>
      </c>
      <c r="R209" s="147" t="str">
        <f t="shared" ca="1" si="3"/>
        <v>Regressed</v>
      </c>
      <c r="S209" s="147">
        <f t="shared" si="4"/>
        <v>1</v>
      </c>
      <c r="T209" s="147"/>
      <c r="U209" s="147"/>
      <c r="V209" s="148" t="e">
        <f ca="1"/>
        <v>#NAME?</v>
      </c>
      <c r="W209" s="147" t="e">
        <f t="shared" ca="1" si="5"/>
        <v>#NAME?</v>
      </c>
      <c r="X209" s="147" t="e">
        <f t="shared" ca="1" si="6"/>
        <v>#NAME?</v>
      </c>
      <c r="Y209" s="147" t="e">
        <f t="shared" ca="1" si="7"/>
        <v>#NAME?</v>
      </c>
      <c r="Z209" s="147"/>
      <c r="AA209" s="147"/>
      <c r="AB209" s="147"/>
      <c r="AC209" s="147"/>
      <c r="AD209" s="147"/>
      <c r="AE209" s="147"/>
      <c r="AF209" s="147"/>
      <c r="AG209" s="147"/>
      <c r="AH209" s="147"/>
      <c r="AI209" s="147"/>
      <c r="AJ209" s="147"/>
      <c r="AK209" s="147"/>
      <c r="AL209" s="147"/>
      <c r="AM209" s="151"/>
      <c r="AN209" s="147"/>
      <c r="AO209" s="147" t="e">
        <f t="shared" si="8"/>
        <v>#N/A</v>
      </c>
      <c r="AP209" s="147" t="e">
        <f t="shared" ca="1" si="9"/>
        <v>#NAME?</v>
      </c>
      <c r="AQ209" s="147" t="e">
        <f t="shared" si="10"/>
        <v>#N/A</v>
      </c>
      <c r="AR209" s="147"/>
      <c r="AS209" s="147"/>
      <c r="AT209" s="147"/>
      <c r="AU209" s="147"/>
      <c r="AV209" s="147"/>
      <c r="AW209" s="147"/>
      <c r="AX209" s="147"/>
      <c r="AY209" s="147"/>
      <c r="AZ209" s="147"/>
      <c r="BA209" s="147"/>
      <c r="BB209" s="147"/>
      <c r="BC209" s="147"/>
      <c r="BD209" s="147"/>
      <c r="BE209" s="147"/>
      <c r="BF209" s="147"/>
      <c r="BG209" s="147"/>
      <c r="BH209" s="147"/>
      <c r="BI209" s="147"/>
      <c r="BJ209" s="147"/>
      <c r="BK209" s="147"/>
      <c r="BL209" s="147"/>
      <c r="BM209" s="147"/>
      <c r="BN209" s="147"/>
      <c r="BO209" s="147"/>
      <c r="BP209" s="147"/>
      <c r="BQ209" s="147"/>
      <c r="BR209" s="147"/>
      <c r="BS209" s="147"/>
      <c r="BT209" s="147"/>
      <c r="BU209" s="147"/>
      <c r="BV209" s="147"/>
      <c r="BW209" s="147"/>
      <c r="BX209" s="147"/>
      <c r="BY209" s="147"/>
      <c r="BZ209" s="147"/>
      <c r="CA209" s="147"/>
      <c r="CB209" s="147"/>
      <c r="CC209" s="147"/>
      <c r="CD209" s="147"/>
      <c r="CE209" s="147"/>
      <c r="CF209" s="147"/>
      <c r="CG209" s="147"/>
      <c r="CH209" s="147"/>
      <c r="CI209" s="147"/>
      <c r="CJ209" s="147"/>
      <c r="CK209" s="147"/>
    </row>
    <row r="210" spans="1:89">
      <c r="A210" s="153" t="s">
        <v>683</v>
      </c>
      <c r="B210" s="154" t="s">
        <v>684</v>
      </c>
      <c r="C210" s="155" t="s">
        <v>72</v>
      </c>
      <c r="D210" s="155" t="s">
        <v>865</v>
      </c>
      <c r="E210" s="154" t="s">
        <v>21</v>
      </c>
      <c r="F210" s="3" t="s">
        <v>926</v>
      </c>
      <c r="G210" s="3" t="s">
        <v>917</v>
      </c>
      <c r="H210" s="156" t="str">
        <f ca="1">IFERROR(
  _xludf.MINIFS(ATTENDANCE_LOG!$F:$F,
         ATTENDANCE_LOG!$A:$A, C210,
         ATTENDANCE_LOG!$B:$B, E210),
"")</f>
        <v/>
      </c>
      <c r="I210" s="156" t="str">
        <f t="shared" ca="1" si="0"/>
        <v/>
      </c>
      <c r="J210" s="3">
        <f>IFERROR(VLOOKUP(F210, LEVEL_HELPER!$A:$B, 2, 0), "")</f>
        <v>1</v>
      </c>
      <c r="K210" s="3">
        <f>IFERROR(VLOOKUP(G210, LEVEL_HELPER!$A:$B, 2, 0), "")</f>
        <v>3</v>
      </c>
      <c r="L210" s="157" t="s">
        <v>942</v>
      </c>
      <c r="M210" s="157" t="s">
        <v>919</v>
      </c>
      <c r="N210" s="3">
        <f t="array" aca="1" ref="N210" ca="1">IFERROR(
  INDEX($J$2:$J$543,
    MATCH(A210&amp;TEXT(I210,"yyyy-mm-dd"),
          $A$2:$A$543&amp;TEXT($H$2:$H$543,"yyyy-mm-dd"),
          0)),
"")</f>
        <v>1</v>
      </c>
      <c r="O210" s="147" t="str">
        <f t="shared" ca="1" si="1"/>
        <v/>
      </c>
      <c r="P210" s="147">
        <f t="shared" ref="P210:Q210" ca="1" si="219">IF(N210="",0,IF(N210&lt;=2,1,IF(N210&lt;=4,2,IF(N210&lt;=5.5,3,4))))</f>
        <v>1</v>
      </c>
      <c r="Q210" s="147">
        <f t="shared" ca="1" si="219"/>
        <v>0</v>
      </c>
      <c r="R210" s="147" t="str">
        <f t="shared" ca="1" si="3"/>
        <v>Regressed</v>
      </c>
      <c r="S210" s="147">
        <f t="shared" si="4"/>
        <v>1</v>
      </c>
      <c r="T210" s="147"/>
      <c r="U210" s="147"/>
      <c r="V210" s="148" t="e">
        <f ca="1"/>
        <v>#NAME?</v>
      </c>
      <c r="W210" s="147" t="e">
        <f t="shared" ca="1" si="5"/>
        <v>#NAME?</v>
      </c>
      <c r="X210" s="147" t="e">
        <f t="shared" ca="1" si="6"/>
        <v>#NAME?</v>
      </c>
      <c r="Y210" s="147" t="e">
        <f t="shared" ca="1" si="7"/>
        <v>#NAME?</v>
      </c>
      <c r="Z210" s="147"/>
      <c r="AA210" s="147"/>
      <c r="AB210" s="147"/>
      <c r="AC210" s="147"/>
      <c r="AD210" s="147"/>
      <c r="AE210" s="147"/>
      <c r="AF210" s="147"/>
      <c r="AG210" s="147"/>
      <c r="AH210" s="147"/>
      <c r="AI210" s="147"/>
      <c r="AJ210" s="147"/>
      <c r="AK210" s="147"/>
      <c r="AL210" s="147"/>
      <c r="AM210" s="151"/>
      <c r="AN210" s="147"/>
      <c r="AO210" s="147" t="e">
        <f t="shared" si="8"/>
        <v>#N/A</v>
      </c>
      <c r="AP210" s="147" t="e">
        <f t="shared" ca="1" si="9"/>
        <v>#NAME?</v>
      </c>
      <c r="AQ210" s="147" t="e">
        <f t="shared" si="10"/>
        <v>#N/A</v>
      </c>
      <c r="AR210" s="147"/>
      <c r="AS210" s="147"/>
      <c r="AT210" s="147"/>
      <c r="AU210" s="147"/>
      <c r="AV210" s="147"/>
      <c r="AW210" s="147"/>
      <c r="AX210" s="147"/>
      <c r="AY210" s="147"/>
      <c r="AZ210" s="147"/>
      <c r="BA210" s="147"/>
      <c r="BB210" s="147"/>
      <c r="BC210" s="147"/>
      <c r="BD210" s="147"/>
      <c r="BE210" s="147"/>
      <c r="BF210" s="147"/>
      <c r="BG210" s="147"/>
      <c r="BH210" s="147"/>
      <c r="BI210" s="147"/>
      <c r="BJ210" s="147"/>
      <c r="BK210" s="147"/>
      <c r="BL210" s="147"/>
      <c r="BM210" s="147"/>
      <c r="BN210" s="147"/>
      <c r="BO210" s="147"/>
      <c r="BP210" s="147"/>
      <c r="BQ210" s="147"/>
      <c r="BR210" s="147"/>
      <c r="BS210" s="147"/>
      <c r="BT210" s="147"/>
      <c r="BU210" s="147"/>
      <c r="BV210" s="147"/>
      <c r="BW210" s="147"/>
      <c r="BX210" s="147"/>
      <c r="BY210" s="147"/>
      <c r="BZ210" s="147"/>
      <c r="CA210" s="147"/>
      <c r="CB210" s="147"/>
      <c r="CC210" s="147"/>
      <c r="CD210" s="147"/>
      <c r="CE210" s="147"/>
      <c r="CF210" s="147"/>
      <c r="CG210" s="147"/>
      <c r="CH210" s="147"/>
      <c r="CI210" s="147"/>
      <c r="CJ210" s="147"/>
      <c r="CK210" s="147"/>
    </row>
    <row r="211" spans="1:89">
      <c r="A211" s="159" t="s">
        <v>265</v>
      </c>
      <c r="B211" s="3" t="s">
        <v>266</v>
      </c>
      <c r="C211" s="160" t="s">
        <v>72</v>
      </c>
      <c r="D211" s="160" t="s">
        <v>865</v>
      </c>
      <c r="E211" s="3" t="s">
        <v>21</v>
      </c>
      <c r="F211" s="3" t="s">
        <v>926</v>
      </c>
      <c r="G211" s="3" t="s">
        <v>917</v>
      </c>
      <c r="H211" s="156" t="str">
        <f ca="1">IFERROR(
  _xludf.MINIFS(ATTENDANCE_LOG!$F:$F,
         ATTENDANCE_LOG!$A:$A, C211,
         ATTENDANCE_LOG!$B:$B, E211),
"")</f>
        <v/>
      </c>
      <c r="I211" s="156" t="str">
        <f t="shared" ca="1" si="0"/>
        <v/>
      </c>
      <c r="J211" s="3">
        <f>IFERROR(VLOOKUP(F211, LEVEL_HELPER!$A:$B, 2, 0), "")</f>
        <v>1</v>
      </c>
      <c r="K211" s="3">
        <f>IFERROR(VLOOKUP(G211, LEVEL_HELPER!$A:$B, 2, 0), "")</f>
        <v>3</v>
      </c>
      <c r="L211" s="157" t="s">
        <v>942</v>
      </c>
      <c r="M211" s="157" t="s">
        <v>919</v>
      </c>
      <c r="N211" s="3">
        <f t="array" aca="1" ref="N211" ca="1">IFERROR(
  INDEX($J$2:$J$543,
    MATCH(A211&amp;TEXT(I211,"yyyy-mm-dd"),
          $A$2:$A$543&amp;TEXT($H$2:$H$543,"yyyy-mm-dd"),
          0)),
"")</f>
        <v>1</v>
      </c>
      <c r="O211" s="147" t="str">
        <f t="shared" ca="1" si="1"/>
        <v/>
      </c>
      <c r="P211" s="147">
        <f t="shared" ref="P211:Q211" ca="1" si="220">IF(N211="",0,IF(N211&lt;=2,1,IF(N211&lt;=4,2,IF(N211&lt;=5.5,3,4))))</f>
        <v>1</v>
      </c>
      <c r="Q211" s="147">
        <f t="shared" ca="1" si="220"/>
        <v>0</v>
      </c>
      <c r="R211" s="147" t="str">
        <f t="shared" ca="1" si="3"/>
        <v>Regressed</v>
      </c>
      <c r="S211" s="147">
        <f t="shared" si="4"/>
        <v>1</v>
      </c>
      <c r="T211" s="147"/>
      <c r="U211" s="147"/>
      <c r="V211" s="148" t="e">
        <f ca="1"/>
        <v>#NAME?</v>
      </c>
      <c r="W211" s="147" t="e">
        <f t="shared" ca="1" si="5"/>
        <v>#NAME?</v>
      </c>
      <c r="X211" s="147" t="e">
        <f t="shared" ca="1" si="6"/>
        <v>#NAME?</v>
      </c>
      <c r="Y211" s="147" t="e">
        <f t="shared" ca="1" si="7"/>
        <v>#NAME?</v>
      </c>
      <c r="Z211" s="147"/>
      <c r="AA211" s="147"/>
      <c r="AB211" s="147"/>
      <c r="AC211" s="147"/>
      <c r="AD211" s="147"/>
      <c r="AE211" s="147"/>
      <c r="AF211" s="147"/>
      <c r="AG211" s="147"/>
      <c r="AH211" s="147"/>
      <c r="AI211" s="147"/>
      <c r="AJ211" s="147"/>
      <c r="AK211" s="147"/>
      <c r="AL211" s="147"/>
      <c r="AM211" s="151"/>
      <c r="AN211" s="147"/>
      <c r="AO211" s="147" t="e">
        <f t="shared" si="8"/>
        <v>#N/A</v>
      </c>
      <c r="AP211" s="147" t="e">
        <f t="shared" ca="1" si="9"/>
        <v>#NAME?</v>
      </c>
      <c r="AQ211" s="147" t="e">
        <f t="shared" si="10"/>
        <v>#N/A</v>
      </c>
      <c r="AR211" s="147"/>
      <c r="AS211" s="147"/>
      <c r="AT211" s="147"/>
      <c r="AU211" s="147"/>
      <c r="AV211" s="147"/>
      <c r="AW211" s="147"/>
      <c r="AX211" s="147"/>
      <c r="AY211" s="147"/>
      <c r="AZ211" s="147"/>
      <c r="BA211" s="147"/>
      <c r="BB211" s="147"/>
      <c r="BC211" s="147"/>
      <c r="BD211" s="147"/>
      <c r="BE211" s="147"/>
      <c r="BF211" s="147"/>
      <c r="BG211" s="147"/>
      <c r="BH211" s="147"/>
      <c r="BI211" s="147"/>
      <c r="BJ211" s="147"/>
      <c r="BK211" s="147"/>
      <c r="BL211" s="147"/>
      <c r="BM211" s="147"/>
      <c r="BN211" s="147"/>
      <c r="BO211" s="147"/>
      <c r="BP211" s="147"/>
      <c r="BQ211" s="147"/>
      <c r="BR211" s="147"/>
      <c r="BS211" s="147"/>
      <c r="BT211" s="147"/>
      <c r="BU211" s="147"/>
      <c r="BV211" s="147"/>
      <c r="BW211" s="147"/>
      <c r="BX211" s="147"/>
      <c r="BY211" s="147"/>
      <c r="BZ211" s="147"/>
      <c r="CA211" s="147"/>
      <c r="CB211" s="147"/>
      <c r="CC211" s="147"/>
      <c r="CD211" s="147"/>
      <c r="CE211" s="147"/>
      <c r="CF211" s="147"/>
      <c r="CG211" s="147"/>
      <c r="CH211" s="147"/>
      <c r="CI211" s="147"/>
      <c r="CJ211" s="147"/>
      <c r="CK211" s="147"/>
    </row>
    <row r="212" spans="1:89">
      <c r="A212" s="159" t="s">
        <v>108</v>
      </c>
      <c r="B212" s="3" t="s">
        <v>283</v>
      </c>
      <c r="C212" s="160" t="s">
        <v>72</v>
      </c>
      <c r="D212" s="160" t="s">
        <v>865</v>
      </c>
      <c r="E212" s="3" t="s">
        <v>21</v>
      </c>
      <c r="F212" s="3" t="s">
        <v>926</v>
      </c>
      <c r="G212" s="3" t="s">
        <v>917</v>
      </c>
      <c r="H212" s="156" t="str">
        <f ca="1">IFERROR(
  _xludf.MINIFS(ATTENDANCE_LOG!$F:$F,
         ATTENDANCE_LOG!$A:$A, C212,
         ATTENDANCE_LOG!$B:$B, E212),
"")</f>
        <v/>
      </c>
      <c r="I212" s="156" t="str">
        <f t="shared" ca="1" si="0"/>
        <v/>
      </c>
      <c r="J212" s="3">
        <f>IFERROR(VLOOKUP(F212, LEVEL_HELPER!$A:$B, 2, 0), "")</f>
        <v>1</v>
      </c>
      <c r="K212" s="3">
        <f>IFERROR(VLOOKUP(G212, LEVEL_HELPER!$A:$B, 2, 0), "")</f>
        <v>3</v>
      </c>
      <c r="L212" s="157" t="s">
        <v>942</v>
      </c>
      <c r="M212" s="157" t="s">
        <v>919</v>
      </c>
      <c r="N212" s="3">
        <f t="array" aca="1" ref="N212" ca="1">IFERROR(
  INDEX($J$2:$J$543,
    MATCH(A212&amp;TEXT(I212,"yyyy-mm-dd"),
          $A$2:$A$543&amp;TEXT($H$2:$H$543,"yyyy-mm-dd"),
          0)),
"")</f>
        <v>1</v>
      </c>
      <c r="O212" s="147" t="str">
        <f t="shared" ca="1" si="1"/>
        <v/>
      </c>
      <c r="P212" s="147">
        <f t="shared" ref="P212:Q212" ca="1" si="221">IF(N212="",0,IF(N212&lt;=2,1,IF(N212&lt;=4,2,IF(N212&lt;=5.5,3,4))))</f>
        <v>1</v>
      </c>
      <c r="Q212" s="147">
        <f t="shared" ca="1" si="221"/>
        <v>0</v>
      </c>
      <c r="R212" s="147" t="str">
        <f t="shared" ca="1" si="3"/>
        <v>Regressed</v>
      </c>
      <c r="S212" s="147">
        <f t="shared" si="4"/>
        <v>1</v>
      </c>
      <c r="T212" s="147"/>
      <c r="U212" s="147"/>
      <c r="V212" s="148" t="e">
        <f ca="1"/>
        <v>#NAME?</v>
      </c>
      <c r="W212" s="147" t="e">
        <f t="shared" ca="1" si="5"/>
        <v>#NAME?</v>
      </c>
      <c r="X212" s="147" t="e">
        <f t="shared" ca="1" si="6"/>
        <v>#NAME?</v>
      </c>
      <c r="Y212" s="147" t="e">
        <f t="shared" ca="1" si="7"/>
        <v>#NAME?</v>
      </c>
      <c r="Z212" s="147"/>
      <c r="AA212" s="147"/>
      <c r="AB212" s="147"/>
      <c r="AC212" s="147"/>
      <c r="AD212" s="147"/>
      <c r="AE212" s="147"/>
      <c r="AF212" s="147"/>
      <c r="AG212" s="147"/>
      <c r="AH212" s="147"/>
      <c r="AI212" s="147"/>
      <c r="AJ212" s="147"/>
      <c r="AK212" s="147"/>
      <c r="AL212" s="147"/>
      <c r="AM212" s="151"/>
      <c r="AN212" s="147"/>
      <c r="AO212" s="147" t="e">
        <f t="shared" si="8"/>
        <v>#N/A</v>
      </c>
      <c r="AP212" s="147" t="e">
        <f t="shared" ca="1" si="9"/>
        <v>#NAME?</v>
      </c>
      <c r="AQ212" s="147" t="e">
        <f t="shared" si="10"/>
        <v>#N/A</v>
      </c>
      <c r="AR212" s="147"/>
      <c r="AS212" s="147"/>
      <c r="AT212" s="147"/>
      <c r="AU212" s="147"/>
      <c r="AV212" s="147"/>
      <c r="AW212" s="147"/>
      <c r="AX212" s="147"/>
      <c r="AY212" s="147"/>
      <c r="AZ212" s="147"/>
      <c r="BA212" s="147"/>
      <c r="BB212" s="147"/>
      <c r="BC212" s="147"/>
      <c r="BD212" s="147"/>
      <c r="BE212" s="147"/>
      <c r="BF212" s="147"/>
      <c r="BG212" s="147"/>
      <c r="BH212" s="147"/>
      <c r="BI212" s="147"/>
      <c r="BJ212" s="147"/>
      <c r="BK212" s="147"/>
      <c r="BL212" s="147"/>
      <c r="BM212" s="147"/>
      <c r="BN212" s="147"/>
      <c r="BO212" s="147"/>
      <c r="BP212" s="147"/>
      <c r="BQ212" s="147"/>
      <c r="BR212" s="147"/>
      <c r="BS212" s="147"/>
      <c r="BT212" s="147"/>
      <c r="BU212" s="147"/>
      <c r="BV212" s="147"/>
      <c r="BW212" s="147"/>
      <c r="BX212" s="147"/>
      <c r="BY212" s="147"/>
      <c r="BZ212" s="147"/>
      <c r="CA212" s="147"/>
      <c r="CB212" s="147"/>
      <c r="CC212" s="147"/>
      <c r="CD212" s="147"/>
      <c r="CE212" s="147"/>
      <c r="CF212" s="147"/>
      <c r="CG212" s="147"/>
      <c r="CH212" s="147"/>
      <c r="CI212" s="147"/>
      <c r="CJ212" s="147"/>
      <c r="CK212" s="147"/>
    </row>
    <row r="213" spans="1:89">
      <c r="A213" s="159" t="s">
        <v>315</v>
      </c>
      <c r="B213" s="3" t="s">
        <v>316</v>
      </c>
      <c r="C213" s="160" t="s">
        <v>72</v>
      </c>
      <c r="D213" s="160" t="s">
        <v>865</v>
      </c>
      <c r="E213" s="3" t="s">
        <v>21</v>
      </c>
      <c r="F213" s="3" t="s">
        <v>926</v>
      </c>
      <c r="G213" s="3" t="s">
        <v>928</v>
      </c>
      <c r="H213" s="156" t="str">
        <f ca="1">IFERROR(
  _xludf.MINIFS(ATTENDANCE_LOG!$F:$F,
         ATTENDANCE_LOG!$A:$A, C213,
         ATTENDANCE_LOG!$B:$B, E213),
"")</f>
        <v/>
      </c>
      <c r="I213" s="156" t="str">
        <f t="shared" ca="1" si="0"/>
        <v/>
      </c>
      <c r="J213" s="3">
        <f>IFERROR(VLOOKUP(F213, LEVEL_HELPER!$A:$B, 2, 0), "")</f>
        <v>1</v>
      </c>
      <c r="K213" s="3">
        <f>IFERROR(VLOOKUP(G213, LEVEL_HELPER!$A:$B, 2, 0), "")</f>
        <v>1.5</v>
      </c>
      <c r="L213" s="157" t="s">
        <v>942</v>
      </c>
      <c r="M213" s="157" t="s">
        <v>925</v>
      </c>
      <c r="N213" s="3">
        <f t="array" aca="1" ref="N213" ca="1">IFERROR(
  INDEX($J$2:$J$543,
    MATCH(A213&amp;TEXT(I213,"yyyy-mm-dd"),
          $A$2:$A$543&amp;TEXT($H$2:$H$543,"yyyy-mm-dd"),
          0)),
"")</f>
        <v>1</v>
      </c>
      <c r="O213" s="147" t="str">
        <f t="shared" ca="1" si="1"/>
        <v/>
      </c>
      <c r="P213" s="147">
        <f t="shared" ref="P213:Q213" ca="1" si="222">IF(N213="",0,IF(N213&lt;=2,1,IF(N213&lt;=4,2,IF(N213&lt;=5.5,3,4))))</f>
        <v>1</v>
      </c>
      <c r="Q213" s="147">
        <f t="shared" ca="1" si="222"/>
        <v>0</v>
      </c>
      <c r="R213" s="147" t="str">
        <f t="shared" ca="1" si="3"/>
        <v>Regressed</v>
      </c>
      <c r="S213" s="147">
        <f t="shared" si="4"/>
        <v>1</v>
      </c>
      <c r="T213" s="147"/>
      <c r="U213" s="147"/>
      <c r="V213" s="148" t="e">
        <f ca="1"/>
        <v>#NAME?</v>
      </c>
      <c r="W213" s="147" t="e">
        <f t="shared" ca="1" si="5"/>
        <v>#NAME?</v>
      </c>
      <c r="X213" s="147" t="e">
        <f t="shared" ca="1" si="6"/>
        <v>#NAME?</v>
      </c>
      <c r="Y213" s="147" t="e">
        <f t="shared" ca="1" si="7"/>
        <v>#NAME?</v>
      </c>
      <c r="Z213" s="147"/>
      <c r="AA213" s="147"/>
      <c r="AB213" s="147"/>
      <c r="AC213" s="147"/>
      <c r="AD213" s="147"/>
      <c r="AE213" s="147"/>
      <c r="AF213" s="147"/>
      <c r="AG213" s="147"/>
      <c r="AH213" s="147"/>
      <c r="AI213" s="147"/>
      <c r="AJ213" s="147"/>
      <c r="AK213" s="147"/>
      <c r="AL213" s="147"/>
      <c r="AM213" s="151"/>
      <c r="AN213" s="147"/>
      <c r="AO213" s="147" t="e">
        <f t="shared" si="8"/>
        <v>#N/A</v>
      </c>
      <c r="AP213" s="147" t="e">
        <f t="shared" ca="1" si="9"/>
        <v>#NAME?</v>
      </c>
      <c r="AQ213" s="147" t="e">
        <f t="shared" si="10"/>
        <v>#N/A</v>
      </c>
      <c r="AR213" s="147"/>
      <c r="AS213" s="147"/>
      <c r="AT213" s="147"/>
      <c r="AU213" s="147"/>
      <c r="AV213" s="147"/>
      <c r="AW213" s="147"/>
      <c r="AX213" s="147"/>
      <c r="AY213" s="147"/>
      <c r="AZ213" s="147"/>
      <c r="BA213" s="147"/>
      <c r="BB213" s="147"/>
      <c r="BC213" s="147"/>
      <c r="BD213" s="147"/>
      <c r="BE213" s="147"/>
      <c r="BF213" s="147"/>
      <c r="BG213" s="147"/>
      <c r="BH213" s="147"/>
      <c r="BI213" s="147"/>
      <c r="BJ213" s="147"/>
      <c r="BK213" s="147"/>
      <c r="BL213" s="147"/>
      <c r="BM213" s="147"/>
      <c r="BN213" s="147"/>
      <c r="BO213" s="147"/>
      <c r="BP213" s="147"/>
      <c r="BQ213" s="147"/>
      <c r="BR213" s="147"/>
      <c r="BS213" s="147"/>
      <c r="BT213" s="147"/>
      <c r="BU213" s="147"/>
      <c r="BV213" s="147"/>
      <c r="BW213" s="147"/>
      <c r="BX213" s="147"/>
      <c r="BY213" s="147"/>
      <c r="BZ213" s="147"/>
      <c r="CA213" s="147"/>
      <c r="CB213" s="147"/>
      <c r="CC213" s="147"/>
      <c r="CD213" s="147"/>
      <c r="CE213" s="147"/>
      <c r="CF213" s="147"/>
      <c r="CG213" s="147"/>
      <c r="CH213" s="147"/>
      <c r="CI213" s="147"/>
      <c r="CJ213" s="147"/>
      <c r="CK213" s="147"/>
    </row>
    <row r="214" spans="1:89">
      <c r="A214" s="159" t="s">
        <v>334</v>
      </c>
      <c r="B214" s="3" t="s">
        <v>335</v>
      </c>
      <c r="C214" s="160" t="s">
        <v>72</v>
      </c>
      <c r="D214" s="160" t="s">
        <v>865</v>
      </c>
      <c r="E214" s="3" t="s">
        <v>21</v>
      </c>
      <c r="F214" s="3" t="s">
        <v>916</v>
      </c>
      <c r="G214" s="3" t="s">
        <v>931</v>
      </c>
      <c r="H214" s="156" t="str">
        <f ca="1">IFERROR(
  _xludf.MINIFS(ATTENDANCE_LOG!$F:$F,
         ATTENDANCE_LOG!$A:$A, C214,
         ATTENDANCE_LOG!$B:$B, E214),
"")</f>
        <v/>
      </c>
      <c r="I214" s="156" t="str">
        <f t="shared" ca="1" si="0"/>
        <v/>
      </c>
      <c r="J214" s="3">
        <f>IFERROR(VLOOKUP(F214, LEVEL_HELPER!$A:$B, 2, 0), "")</f>
        <v>2.5</v>
      </c>
      <c r="K214" s="3">
        <f>IFERROR(VLOOKUP(G214, LEVEL_HELPER!$A:$B, 2, 0), "")</f>
        <v>4.5</v>
      </c>
      <c r="L214" s="157" t="s">
        <v>942</v>
      </c>
      <c r="M214" s="157" t="s">
        <v>925</v>
      </c>
      <c r="N214" s="3">
        <f t="array" aca="1" ref="N214" ca="1">IFERROR(
  INDEX($J$2:$J$543,
    MATCH(A214&amp;TEXT(I214,"yyyy-mm-dd"),
          $A$2:$A$543&amp;TEXT($H$2:$H$543,"yyyy-mm-dd"),
          0)),
"")</f>
        <v>2.5</v>
      </c>
      <c r="O214" s="147" t="str">
        <f t="shared" ca="1" si="1"/>
        <v/>
      </c>
      <c r="P214" s="147">
        <f t="shared" ref="P214:Q214" ca="1" si="223">IF(N214="",0,IF(N214&lt;=2,1,IF(N214&lt;=4,2,IF(N214&lt;=5.5,3,4))))</f>
        <v>2</v>
      </c>
      <c r="Q214" s="147">
        <f t="shared" ca="1" si="223"/>
        <v>0</v>
      </c>
      <c r="R214" s="147" t="str">
        <f t="shared" ca="1" si="3"/>
        <v>Regressed</v>
      </c>
      <c r="S214" s="147">
        <f t="shared" si="4"/>
        <v>1</v>
      </c>
      <c r="T214" s="147"/>
      <c r="U214" s="147"/>
      <c r="V214" s="148" t="e">
        <f ca="1"/>
        <v>#NAME?</v>
      </c>
      <c r="W214" s="147" t="e">
        <f t="shared" ca="1" si="5"/>
        <v>#NAME?</v>
      </c>
      <c r="X214" s="147" t="e">
        <f t="shared" ca="1" si="6"/>
        <v>#NAME?</v>
      </c>
      <c r="Y214" s="147" t="e">
        <f t="shared" ca="1" si="7"/>
        <v>#NAME?</v>
      </c>
      <c r="Z214" s="147"/>
      <c r="AA214" s="147"/>
      <c r="AB214" s="147"/>
      <c r="AC214" s="147"/>
      <c r="AD214" s="147"/>
      <c r="AE214" s="147"/>
      <c r="AF214" s="147"/>
      <c r="AG214" s="147"/>
      <c r="AH214" s="147"/>
      <c r="AI214" s="147"/>
      <c r="AJ214" s="147"/>
      <c r="AK214" s="147"/>
      <c r="AL214" s="147"/>
      <c r="AM214" s="151"/>
      <c r="AN214" s="147"/>
      <c r="AO214" s="147" t="e">
        <f t="shared" si="8"/>
        <v>#N/A</v>
      </c>
      <c r="AP214" s="147" t="e">
        <f t="shared" ca="1" si="9"/>
        <v>#NAME?</v>
      </c>
      <c r="AQ214" s="147" t="e">
        <f t="shared" si="10"/>
        <v>#N/A</v>
      </c>
      <c r="AR214" s="147"/>
      <c r="AS214" s="147"/>
      <c r="AT214" s="147"/>
      <c r="AU214" s="147"/>
      <c r="AV214" s="147"/>
      <c r="AW214" s="147"/>
      <c r="AX214" s="147"/>
      <c r="AY214" s="147"/>
      <c r="AZ214" s="147"/>
      <c r="BA214" s="147"/>
      <c r="BB214" s="147"/>
      <c r="BC214" s="147"/>
      <c r="BD214" s="147"/>
      <c r="BE214" s="147"/>
      <c r="BF214" s="147"/>
      <c r="BG214" s="147"/>
      <c r="BH214" s="147"/>
      <c r="BI214" s="147"/>
      <c r="BJ214" s="147"/>
      <c r="BK214" s="147"/>
      <c r="BL214" s="147"/>
      <c r="BM214" s="147"/>
      <c r="BN214" s="147"/>
      <c r="BO214" s="147"/>
      <c r="BP214" s="147"/>
      <c r="BQ214" s="147"/>
      <c r="BR214" s="147"/>
      <c r="BS214" s="147"/>
      <c r="BT214" s="147"/>
      <c r="BU214" s="147"/>
      <c r="BV214" s="147"/>
      <c r="BW214" s="147"/>
      <c r="BX214" s="147"/>
      <c r="BY214" s="147"/>
      <c r="BZ214" s="147"/>
      <c r="CA214" s="147"/>
      <c r="CB214" s="147"/>
      <c r="CC214" s="147"/>
      <c r="CD214" s="147"/>
      <c r="CE214" s="147"/>
      <c r="CF214" s="147"/>
      <c r="CG214" s="147"/>
      <c r="CH214" s="147"/>
      <c r="CI214" s="147"/>
      <c r="CJ214" s="147"/>
      <c r="CK214" s="147"/>
    </row>
    <row r="215" spans="1:89">
      <c r="A215" s="159" t="s">
        <v>401</v>
      </c>
      <c r="B215" s="3" t="s">
        <v>402</v>
      </c>
      <c r="C215" s="160" t="s">
        <v>72</v>
      </c>
      <c r="D215" s="160" t="s">
        <v>865</v>
      </c>
      <c r="E215" s="3" t="s">
        <v>21</v>
      </c>
      <c r="F215" s="3" t="s">
        <v>926</v>
      </c>
      <c r="G215" s="3" t="s">
        <v>934</v>
      </c>
      <c r="H215" s="156" t="str">
        <f ca="1">IFERROR(
  _xludf.MINIFS(ATTENDANCE_LOG!$F:$F,
         ATTENDANCE_LOG!$A:$A, C215,
         ATTENDANCE_LOG!$B:$B, E215),
"")</f>
        <v/>
      </c>
      <c r="I215" s="156" t="str">
        <f t="shared" ca="1" si="0"/>
        <v/>
      </c>
      <c r="J215" s="3">
        <f>IFERROR(VLOOKUP(F215, LEVEL_HELPER!$A:$B, 2, 0), "")</f>
        <v>1</v>
      </c>
      <c r="K215" s="3">
        <f>IFERROR(VLOOKUP(G215, LEVEL_HELPER!$A:$B, 2, 0), "")</f>
        <v>3.5</v>
      </c>
      <c r="L215" s="157" t="s">
        <v>942</v>
      </c>
      <c r="M215" s="157" t="s">
        <v>919</v>
      </c>
      <c r="N215" s="3">
        <f t="array" aca="1" ref="N215" ca="1">IFERROR(
  INDEX($J$2:$J$543,
    MATCH(A215&amp;TEXT(I215,"yyyy-mm-dd"),
          $A$2:$A$543&amp;TEXT($H$2:$H$543,"yyyy-mm-dd"),
          0)),
"")</f>
        <v>1</v>
      </c>
      <c r="O215" s="147" t="str">
        <f t="shared" ca="1" si="1"/>
        <v/>
      </c>
      <c r="P215" s="147">
        <f t="shared" ref="P215:Q215" ca="1" si="224">IF(N215="",0,IF(N215&lt;=2,1,IF(N215&lt;=4,2,IF(N215&lt;=5.5,3,4))))</f>
        <v>1</v>
      </c>
      <c r="Q215" s="147">
        <f t="shared" ca="1" si="224"/>
        <v>0</v>
      </c>
      <c r="R215" s="147" t="str">
        <f t="shared" ca="1" si="3"/>
        <v>Regressed</v>
      </c>
      <c r="S215" s="147">
        <f t="shared" si="4"/>
        <v>1</v>
      </c>
      <c r="T215" s="147"/>
      <c r="U215" s="147"/>
      <c r="V215" s="148" t="e">
        <f ca="1"/>
        <v>#NAME?</v>
      </c>
      <c r="W215" s="147" t="e">
        <f t="shared" ca="1" si="5"/>
        <v>#NAME?</v>
      </c>
      <c r="X215" s="147" t="e">
        <f t="shared" ca="1" si="6"/>
        <v>#NAME?</v>
      </c>
      <c r="Y215" s="147" t="e">
        <f t="shared" ca="1" si="7"/>
        <v>#NAME?</v>
      </c>
      <c r="Z215" s="147"/>
      <c r="AA215" s="147"/>
      <c r="AB215" s="147"/>
      <c r="AC215" s="147"/>
      <c r="AD215" s="147"/>
      <c r="AE215" s="147"/>
      <c r="AF215" s="147"/>
      <c r="AG215" s="147"/>
      <c r="AH215" s="147"/>
      <c r="AI215" s="147"/>
      <c r="AJ215" s="147"/>
      <c r="AK215" s="147"/>
      <c r="AL215" s="147"/>
      <c r="AM215" s="151"/>
      <c r="AN215" s="147"/>
      <c r="AO215" s="147" t="e">
        <f t="shared" si="8"/>
        <v>#N/A</v>
      </c>
      <c r="AP215" s="147" t="e">
        <f t="shared" ca="1" si="9"/>
        <v>#NAME?</v>
      </c>
      <c r="AQ215" s="147" t="e">
        <f t="shared" si="10"/>
        <v>#N/A</v>
      </c>
      <c r="AR215" s="147"/>
      <c r="AS215" s="147"/>
      <c r="AT215" s="147"/>
      <c r="AU215" s="147"/>
      <c r="AV215" s="147"/>
      <c r="AW215" s="147"/>
      <c r="AX215" s="147"/>
      <c r="AY215" s="147"/>
      <c r="AZ215" s="147"/>
      <c r="BA215" s="147"/>
      <c r="BB215" s="147"/>
      <c r="BC215" s="147"/>
      <c r="BD215" s="147"/>
      <c r="BE215" s="147"/>
      <c r="BF215" s="147"/>
      <c r="BG215" s="147"/>
      <c r="BH215" s="147"/>
      <c r="BI215" s="147"/>
      <c r="BJ215" s="147"/>
      <c r="BK215" s="147"/>
      <c r="BL215" s="147"/>
      <c r="BM215" s="147"/>
      <c r="BN215" s="147"/>
      <c r="BO215" s="147"/>
      <c r="BP215" s="147"/>
      <c r="BQ215" s="147"/>
      <c r="BR215" s="147"/>
      <c r="BS215" s="147"/>
      <c r="BT215" s="147"/>
      <c r="BU215" s="147"/>
      <c r="BV215" s="147"/>
      <c r="BW215" s="147"/>
      <c r="BX215" s="147"/>
      <c r="BY215" s="147"/>
      <c r="BZ215" s="147"/>
      <c r="CA215" s="147"/>
      <c r="CB215" s="147"/>
      <c r="CC215" s="147"/>
      <c r="CD215" s="147"/>
      <c r="CE215" s="147"/>
      <c r="CF215" s="147"/>
      <c r="CG215" s="147"/>
      <c r="CH215" s="147"/>
      <c r="CI215" s="147"/>
      <c r="CJ215" s="147"/>
      <c r="CK215" s="147"/>
    </row>
    <row r="216" spans="1:89">
      <c r="A216" s="159" t="s">
        <v>572</v>
      </c>
      <c r="B216" s="3" t="s">
        <v>573</v>
      </c>
      <c r="C216" s="160" t="s">
        <v>72</v>
      </c>
      <c r="D216" s="160" t="s">
        <v>865</v>
      </c>
      <c r="E216" s="3" t="s">
        <v>21</v>
      </c>
      <c r="F216" s="3" t="s">
        <v>926</v>
      </c>
      <c r="G216" s="3" t="s">
        <v>917</v>
      </c>
      <c r="H216" s="156" t="str">
        <f ca="1">IFERROR(
  _xludf.MINIFS(ATTENDANCE_LOG!$F:$F,
         ATTENDANCE_LOG!$A:$A, C216,
         ATTENDANCE_LOG!$B:$B, E216),
"")</f>
        <v/>
      </c>
      <c r="I216" s="156" t="str">
        <f t="shared" ca="1" si="0"/>
        <v/>
      </c>
      <c r="J216" s="3">
        <f>IFERROR(VLOOKUP(F216, LEVEL_HELPER!$A:$B, 2, 0), "")</f>
        <v>1</v>
      </c>
      <c r="K216" s="3">
        <f>IFERROR(VLOOKUP(G216, LEVEL_HELPER!$A:$B, 2, 0), "")</f>
        <v>3</v>
      </c>
      <c r="L216" s="157" t="s">
        <v>942</v>
      </c>
      <c r="M216" s="157" t="s">
        <v>925</v>
      </c>
      <c r="N216" s="3">
        <f t="array" aca="1" ref="N216" ca="1">IFERROR(
  INDEX($J$2:$J$543,
    MATCH(A216&amp;TEXT(I216,"yyyy-mm-dd"),
          $A$2:$A$543&amp;TEXT($H$2:$H$543,"yyyy-mm-dd"),
          0)),
"")</f>
        <v>1</v>
      </c>
      <c r="O216" s="147" t="str">
        <f t="shared" ca="1" si="1"/>
        <v/>
      </c>
      <c r="P216" s="147">
        <f t="shared" ref="P216:Q216" ca="1" si="225">IF(N216="",0,IF(N216&lt;=2,1,IF(N216&lt;=4,2,IF(N216&lt;=5.5,3,4))))</f>
        <v>1</v>
      </c>
      <c r="Q216" s="147">
        <f t="shared" ca="1" si="225"/>
        <v>0</v>
      </c>
      <c r="R216" s="147" t="str">
        <f t="shared" ca="1" si="3"/>
        <v>Regressed</v>
      </c>
      <c r="S216" s="147">
        <f t="shared" si="4"/>
        <v>1</v>
      </c>
      <c r="T216" s="147"/>
      <c r="U216" s="147"/>
      <c r="V216" s="148" t="e">
        <f ca="1"/>
        <v>#NAME?</v>
      </c>
      <c r="W216" s="147" t="e">
        <f t="shared" ca="1" si="5"/>
        <v>#NAME?</v>
      </c>
      <c r="X216" s="147" t="e">
        <f t="shared" ca="1" si="6"/>
        <v>#NAME?</v>
      </c>
      <c r="Y216" s="147" t="e">
        <f t="shared" ca="1" si="7"/>
        <v>#NAME?</v>
      </c>
      <c r="Z216" s="147"/>
      <c r="AA216" s="147"/>
      <c r="AB216" s="147"/>
      <c r="AC216" s="147"/>
      <c r="AD216" s="147"/>
      <c r="AE216" s="147"/>
      <c r="AF216" s="147"/>
      <c r="AG216" s="147"/>
      <c r="AH216" s="147"/>
      <c r="AI216" s="147"/>
      <c r="AJ216" s="147"/>
      <c r="AK216" s="147"/>
      <c r="AL216" s="147"/>
      <c r="AM216" s="151"/>
      <c r="AN216" s="147"/>
      <c r="AO216" s="147" t="e">
        <f t="shared" si="8"/>
        <v>#N/A</v>
      </c>
      <c r="AP216" s="147" t="e">
        <f t="shared" ca="1" si="9"/>
        <v>#NAME?</v>
      </c>
      <c r="AQ216" s="147" t="e">
        <f t="shared" si="10"/>
        <v>#N/A</v>
      </c>
      <c r="AR216" s="147"/>
      <c r="AS216" s="147"/>
      <c r="AT216" s="147"/>
      <c r="AU216" s="147"/>
      <c r="AV216" s="147"/>
      <c r="AW216" s="147"/>
      <c r="AX216" s="147"/>
      <c r="AY216" s="147"/>
      <c r="AZ216" s="147"/>
      <c r="BA216" s="147"/>
      <c r="BB216" s="147"/>
      <c r="BC216" s="147"/>
      <c r="BD216" s="147"/>
      <c r="BE216" s="147"/>
      <c r="BF216" s="147"/>
      <c r="BG216" s="147"/>
      <c r="BH216" s="147"/>
      <c r="BI216" s="147"/>
      <c r="BJ216" s="147"/>
      <c r="BK216" s="147"/>
      <c r="BL216" s="147"/>
      <c r="BM216" s="147"/>
      <c r="BN216" s="147"/>
      <c r="BO216" s="147"/>
      <c r="BP216" s="147"/>
      <c r="BQ216" s="147"/>
      <c r="BR216" s="147"/>
      <c r="BS216" s="147"/>
      <c r="BT216" s="147"/>
      <c r="BU216" s="147"/>
      <c r="BV216" s="147"/>
      <c r="BW216" s="147"/>
      <c r="BX216" s="147"/>
      <c r="BY216" s="147"/>
      <c r="BZ216" s="147"/>
      <c r="CA216" s="147"/>
      <c r="CB216" s="147"/>
      <c r="CC216" s="147"/>
      <c r="CD216" s="147"/>
      <c r="CE216" s="147"/>
      <c r="CF216" s="147"/>
      <c r="CG216" s="147"/>
      <c r="CH216" s="147"/>
      <c r="CI216" s="147"/>
      <c r="CJ216" s="147"/>
      <c r="CK216" s="147"/>
    </row>
    <row r="217" spans="1:89">
      <c r="A217" s="159" t="s">
        <v>576</v>
      </c>
      <c r="B217" s="3" t="s">
        <v>577</v>
      </c>
      <c r="C217" s="160" t="s">
        <v>72</v>
      </c>
      <c r="D217" s="160" t="s">
        <v>865</v>
      </c>
      <c r="E217" s="3" t="s">
        <v>21</v>
      </c>
      <c r="F217" s="3" t="s">
        <v>916</v>
      </c>
      <c r="G217" s="3" t="s">
        <v>934</v>
      </c>
      <c r="H217" s="156" t="str">
        <f ca="1">IFERROR(
  _xludf.MINIFS(ATTENDANCE_LOG!$F:$F,
         ATTENDANCE_LOG!$A:$A, C217,
         ATTENDANCE_LOG!$B:$B, E217),
"")</f>
        <v/>
      </c>
      <c r="I217" s="156" t="str">
        <f t="shared" ca="1" si="0"/>
        <v/>
      </c>
      <c r="J217" s="3">
        <f>IFERROR(VLOOKUP(F217, LEVEL_HELPER!$A:$B, 2, 0), "")</f>
        <v>2.5</v>
      </c>
      <c r="K217" s="3">
        <f>IFERROR(VLOOKUP(G217, LEVEL_HELPER!$A:$B, 2, 0), "")</f>
        <v>3.5</v>
      </c>
      <c r="L217" s="157" t="s">
        <v>942</v>
      </c>
      <c r="M217" s="157" t="s">
        <v>919</v>
      </c>
      <c r="N217" s="3">
        <f t="array" aca="1" ref="N217" ca="1">IFERROR(
  INDEX($J$2:$J$543,
    MATCH(A217&amp;TEXT(I217,"yyyy-mm-dd"),
          $A$2:$A$543&amp;TEXT($H$2:$H$543,"yyyy-mm-dd"),
          0)),
"")</f>
        <v>2.5</v>
      </c>
      <c r="O217" s="147" t="str">
        <f t="shared" ca="1" si="1"/>
        <v/>
      </c>
      <c r="P217" s="147">
        <f t="shared" ref="P217:Q217" ca="1" si="226">IF(N217="",0,IF(N217&lt;=2,1,IF(N217&lt;=4,2,IF(N217&lt;=5.5,3,4))))</f>
        <v>2</v>
      </c>
      <c r="Q217" s="147">
        <f t="shared" ca="1" si="226"/>
        <v>0</v>
      </c>
      <c r="R217" s="147" t="str">
        <f t="shared" ca="1" si="3"/>
        <v>Regressed</v>
      </c>
      <c r="S217" s="147">
        <f t="shared" si="4"/>
        <v>1</v>
      </c>
      <c r="T217" s="147"/>
      <c r="U217" s="147"/>
      <c r="V217" s="148" t="e">
        <f ca="1"/>
        <v>#NAME?</v>
      </c>
      <c r="W217" s="147" t="e">
        <f t="shared" ca="1" si="5"/>
        <v>#NAME?</v>
      </c>
      <c r="X217" s="147" t="e">
        <f t="shared" ca="1" si="6"/>
        <v>#NAME?</v>
      </c>
      <c r="Y217" s="147" t="e">
        <f t="shared" ca="1" si="7"/>
        <v>#NAME?</v>
      </c>
      <c r="Z217" s="147"/>
      <c r="AA217" s="147"/>
      <c r="AB217" s="147"/>
      <c r="AC217" s="147"/>
      <c r="AD217" s="147"/>
      <c r="AE217" s="147"/>
      <c r="AF217" s="147"/>
      <c r="AG217" s="147"/>
      <c r="AH217" s="147"/>
      <c r="AI217" s="147"/>
      <c r="AJ217" s="147"/>
      <c r="AK217" s="147"/>
      <c r="AL217" s="147"/>
      <c r="AM217" s="151"/>
      <c r="AN217" s="147"/>
      <c r="AO217" s="147" t="e">
        <f t="shared" si="8"/>
        <v>#N/A</v>
      </c>
      <c r="AP217" s="147" t="e">
        <f t="shared" ca="1" si="9"/>
        <v>#NAME?</v>
      </c>
      <c r="AQ217" s="147" t="e">
        <f t="shared" si="10"/>
        <v>#N/A</v>
      </c>
      <c r="AR217" s="147"/>
      <c r="AS217" s="147"/>
      <c r="AT217" s="147"/>
      <c r="AU217" s="147"/>
      <c r="AV217" s="147"/>
      <c r="AW217" s="147"/>
      <c r="AX217" s="147"/>
      <c r="AY217" s="147"/>
      <c r="AZ217" s="147"/>
      <c r="BA217" s="147"/>
      <c r="BB217" s="147"/>
      <c r="BC217" s="147"/>
      <c r="BD217" s="147"/>
      <c r="BE217" s="147"/>
      <c r="BF217" s="147"/>
      <c r="BG217" s="147"/>
      <c r="BH217" s="147"/>
      <c r="BI217" s="147"/>
      <c r="BJ217" s="147"/>
      <c r="BK217" s="147"/>
      <c r="BL217" s="147"/>
      <c r="BM217" s="147"/>
      <c r="BN217" s="147"/>
      <c r="BO217" s="147"/>
      <c r="BP217" s="147"/>
      <c r="BQ217" s="147"/>
      <c r="BR217" s="147"/>
      <c r="BS217" s="147"/>
      <c r="BT217" s="147"/>
      <c r="BU217" s="147"/>
      <c r="BV217" s="147"/>
      <c r="BW217" s="147"/>
      <c r="BX217" s="147"/>
      <c r="BY217" s="147"/>
      <c r="BZ217" s="147"/>
      <c r="CA217" s="147"/>
      <c r="CB217" s="147"/>
      <c r="CC217" s="147"/>
      <c r="CD217" s="147"/>
      <c r="CE217" s="147"/>
      <c r="CF217" s="147"/>
      <c r="CG217" s="147"/>
      <c r="CH217" s="147"/>
      <c r="CI217" s="147"/>
      <c r="CJ217" s="147"/>
      <c r="CK217" s="147"/>
    </row>
    <row r="218" spans="1:89">
      <c r="A218" s="153" t="s">
        <v>683</v>
      </c>
      <c r="B218" s="154" t="s">
        <v>684</v>
      </c>
      <c r="C218" s="155" t="s">
        <v>72</v>
      </c>
      <c r="D218" s="155" t="s">
        <v>865</v>
      </c>
      <c r="E218" s="154" t="s">
        <v>22</v>
      </c>
      <c r="F218" s="3" t="s">
        <v>917</v>
      </c>
      <c r="G218" s="3" t="s">
        <v>934</v>
      </c>
      <c r="H218" s="156" t="str">
        <f ca="1">IFERROR(
  _xludf.MINIFS(ATTENDANCE_LOG!$F:$F,
         ATTENDANCE_LOG!$A:$A, C218,
         ATTENDANCE_LOG!$B:$B, E218),
"")</f>
        <v/>
      </c>
      <c r="I218" s="156" t="str">
        <f t="shared" ca="1" si="0"/>
        <v/>
      </c>
      <c r="J218" s="3">
        <f>IFERROR(VLOOKUP(F218, LEVEL_HELPER!$A:$B, 2, 0), "")</f>
        <v>3</v>
      </c>
      <c r="K218" s="3">
        <f>IFERROR(VLOOKUP(G218, LEVEL_HELPER!$A:$B, 2, 0), "")</f>
        <v>3.5</v>
      </c>
      <c r="L218" s="157" t="s">
        <v>942</v>
      </c>
      <c r="M218" s="157" t="s">
        <v>919</v>
      </c>
      <c r="N218" s="3">
        <f t="array" aca="1" ref="N218" ca="1">IFERROR(
  INDEX($J$2:$J$543,
    MATCH(A218&amp;TEXT(I218,"yyyy-mm-dd"),
          $A$2:$A$543&amp;TEXT($H$2:$H$543,"yyyy-mm-dd"),
          0)),
"")</f>
        <v>1</v>
      </c>
      <c r="O218" s="147" t="str">
        <f t="shared" ca="1" si="1"/>
        <v/>
      </c>
      <c r="P218" s="147">
        <f t="shared" ref="P218:Q218" ca="1" si="227">IF(N218="",0,IF(N218&lt;=2,1,IF(N218&lt;=4,2,IF(N218&lt;=5.5,3,4))))</f>
        <v>1</v>
      </c>
      <c r="Q218" s="147">
        <f t="shared" ca="1" si="227"/>
        <v>0</v>
      </c>
      <c r="R218" s="147" t="str">
        <f t="shared" ca="1" si="3"/>
        <v>Regressed</v>
      </c>
      <c r="S218" s="147">
        <f t="shared" si="4"/>
        <v>0</v>
      </c>
      <c r="T218" s="147"/>
      <c r="U218" s="147"/>
      <c r="V218" s="148" t="e">
        <f ca="1"/>
        <v>#NAME?</v>
      </c>
      <c r="W218" s="147" t="e">
        <f t="shared" ca="1" si="5"/>
        <v>#NAME?</v>
      </c>
      <c r="X218" s="147" t="e">
        <f t="shared" ca="1" si="6"/>
        <v>#NAME?</v>
      </c>
      <c r="Y218" s="147" t="e">
        <f t="shared" ca="1" si="7"/>
        <v>#NAME?</v>
      </c>
      <c r="Z218" s="147"/>
      <c r="AA218" s="147"/>
      <c r="AB218" s="147"/>
      <c r="AC218" s="147"/>
      <c r="AD218" s="147"/>
      <c r="AE218" s="147"/>
      <c r="AF218" s="147"/>
      <c r="AG218" s="147"/>
      <c r="AH218" s="147"/>
      <c r="AI218" s="147"/>
      <c r="AJ218" s="147"/>
      <c r="AK218" s="147"/>
      <c r="AL218" s="147"/>
      <c r="AM218" s="151"/>
      <c r="AN218" s="147"/>
      <c r="AO218" s="147" t="e">
        <f t="shared" si="8"/>
        <v>#N/A</v>
      </c>
      <c r="AP218" s="147" t="e">
        <f t="shared" ca="1" si="9"/>
        <v>#NAME?</v>
      </c>
      <c r="AQ218" s="147" t="e">
        <f t="shared" si="10"/>
        <v>#N/A</v>
      </c>
      <c r="AR218" s="147"/>
      <c r="AS218" s="147"/>
      <c r="AT218" s="147"/>
      <c r="AU218" s="147"/>
      <c r="AV218" s="147"/>
      <c r="AW218" s="147"/>
      <c r="AX218" s="147"/>
      <c r="AY218" s="147"/>
      <c r="AZ218" s="147"/>
      <c r="BA218" s="147"/>
      <c r="BB218" s="147"/>
      <c r="BC218" s="147"/>
      <c r="BD218" s="147"/>
      <c r="BE218" s="147"/>
      <c r="BF218" s="147"/>
      <c r="BG218" s="147"/>
      <c r="BH218" s="147"/>
      <c r="BI218" s="147"/>
      <c r="BJ218" s="147"/>
      <c r="BK218" s="147"/>
      <c r="BL218" s="147"/>
      <c r="BM218" s="147"/>
      <c r="BN218" s="147"/>
      <c r="BO218" s="147"/>
      <c r="BP218" s="147"/>
      <c r="BQ218" s="147"/>
      <c r="BR218" s="147"/>
      <c r="BS218" s="147"/>
      <c r="BT218" s="147"/>
      <c r="BU218" s="147"/>
      <c r="BV218" s="147"/>
      <c r="BW218" s="147"/>
      <c r="BX218" s="147"/>
      <c r="BY218" s="147"/>
      <c r="BZ218" s="147"/>
      <c r="CA218" s="147"/>
      <c r="CB218" s="147"/>
      <c r="CC218" s="147"/>
      <c r="CD218" s="147"/>
      <c r="CE218" s="147"/>
      <c r="CF218" s="147"/>
      <c r="CG218" s="147"/>
      <c r="CH218" s="147"/>
      <c r="CI218" s="147"/>
      <c r="CJ218" s="147"/>
      <c r="CK218" s="147"/>
    </row>
    <row r="219" spans="1:89">
      <c r="A219" s="159" t="s">
        <v>265</v>
      </c>
      <c r="B219" s="3" t="s">
        <v>266</v>
      </c>
      <c r="C219" s="160" t="s">
        <v>72</v>
      </c>
      <c r="D219" s="160" t="s">
        <v>865</v>
      </c>
      <c r="E219" s="3" t="s">
        <v>22</v>
      </c>
      <c r="F219" s="3" t="s">
        <v>917</v>
      </c>
      <c r="G219" s="3" t="s">
        <v>934</v>
      </c>
      <c r="H219" s="156" t="str">
        <f ca="1">IFERROR(
  _xludf.MINIFS(ATTENDANCE_LOG!$F:$F,
         ATTENDANCE_LOG!$A:$A, C219,
         ATTENDANCE_LOG!$B:$B, E219),
"")</f>
        <v/>
      </c>
      <c r="I219" s="156" t="str">
        <f t="shared" ca="1" si="0"/>
        <v/>
      </c>
      <c r="J219" s="3">
        <f>IFERROR(VLOOKUP(F219, LEVEL_HELPER!$A:$B, 2, 0), "")</f>
        <v>3</v>
      </c>
      <c r="K219" s="3">
        <f>IFERROR(VLOOKUP(G219, LEVEL_HELPER!$A:$B, 2, 0), "")</f>
        <v>3.5</v>
      </c>
      <c r="L219" s="157" t="s">
        <v>942</v>
      </c>
      <c r="M219" s="157" t="s">
        <v>919</v>
      </c>
      <c r="N219" s="3">
        <f t="array" aca="1" ref="N219" ca="1">IFERROR(
  INDEX($J$2:$J$543,
    MATCH(A219&amp;TEXT(I219,"yyyy-mm-dd"),
          $A$2:$A$543&amp;TEXT($H$2:$H$543,"yyyy-mm-dd"),
          0)),
"")</f>
        <v>1</v>
      </c>
      <c r="O219" s="147" t="str">
        <f t="shared" ca="1" si="1"/>
        <v/>
      </c>
      <c r="P219" s="147">
        <f t="shared" ref="P219:Q219" ca="1" si="228">IF(N219="",0,IF(N219&lt;=2,1,IF(N219&lt;=4,2,IF(N219&lt;=5.5,3,4))))</f>
        <v>1</v>
      </c>
      <c r="Q219" s="147">
        <f t="shared" ca="1" si="228"/>
        <v>0</v>
      </c>
      <c r="R219" s="147" t="str">
        <f t="shared" ca="1" si="3"/>
        <v>Regressed</v>
      </c>
      <c r="S219" s="147">
        <f t="shared" si="4"/>
        <v>0</v>
      </c>
      <c r="T219" s="147"/>
      <c r="U219" s="147"/>
      <c r="V219" s="148" t="e">
        <f ca="1"/>
        <v>#NAME?</v>
      </c>
      <c r="W219" s="147" t="e">
        <f t="shared" ca="1" si="5"/>
        <v>#NAME?</v>
      </c>
      <c r="X219" s="147" t="e">
        <f t="shared" ca="1" si="6"/>
        <v>#NAME?</v>
      </c>
      <c r="Y219" s="147" t="e">
        <f t="shared" ca="1" si="7"/>
        <v>#NAME?</v>
      </c>
      <c r="Z219" s="147"/>
      <c r="AA219" s="147"/>
      <c r="AB219" s="147"/>
      <c r="AC219" s="147"/>
      <c r="AD219" s="147"/>
      <c r="AE219" s="147"/>
      <c r="AF219" s="147"/>
      <c r="AG219" s="147"/>
      <c r="AH219" s="147"/>
      <c r="AI219" s="147"/>
      <c r="AJ219" s="147"/>
      <c r="AK219" s="147"/>
      <c r="AL219" s="147"/>
      <c r="AM219" s="151"/>
      <c r="AN219" s="147"/>
      <c r="AO219" s="147" t="e">
        <f t="shared" si="8"/>
        <v>#N/A</v>
      </c>
      <c r="AP219" s="147" t="e">
        <f t="shared" ca="1" si="9"/>
        <v>#NAME?</v>
      </c>
      <c r="AQ219" s="147" t="e">
        <f t="shared" si="10"/>
        <v>#N/A</v>
      </c>
      <c r="AR219" s="147"/>
      <c r="AS219" s="147"/>
      <c r="AT219" s="147"/>
      <c r="AU219" s="147"/>
      <c r="AV219" s="147"/>
      <c r="AW219" s="147"/>
      <c r="AX219" s="147"/>
      <c r="AY219" s="147"/>
      <c r="AZ219" s="147"/>
      <c r="BA219" s="147"/>
      <c r="BB219" s="147"/>
      <c r="BC219" s="147"/>
      <c r="BD219" s="147"/>
      <c r="BE219" s="147"/>
      <c r="BF219" s="147"/>
      <c r="BG219" s="147"/>
      <c r="BH219" s="147"/>
      <c r="BI219" s="147"/>
      <c r="BJ219" s="147"/>
      <c r="BK219" s="147"/>
      <c r="BL219" s="147"/>
      <c r="BM219" s="147"/>
      <c r="BN219" s="147"/>
      <c r="BO219" s="147"/>
      <c r="BP219" s="147"/>
      <c r="BQ219" s="147"/>
      <c r="BR219" s="147"/>
      <c r="BS219" s="147"/>
      <c r="BT219" s="147"/>
      <c r="BU219" s="147"/>
      <c r="BV219" s="147"/>
      <c r="BW219" s="147"/>
      <c r="BX219" s="147"/>
      <c r="BY219" s="147"/>
      <c r="BZ219" s="147"/>
      <c r="CA219" s="147"/>
      <c r="CB219" s="147"/>
      <c r="CC219" s="147"/>
      <c r="CD219" s="147"/>
      <c r="CE219" s="147"/>
      <c r="CF219" s="147"/>
      <c r="CG219" s="147"/>
      <c r="CH219" s="147"/>
      <c r="CI219" s="147"/>
      <c r="CJ219" s="147"/>
      <c r="CK219" s="147"/>
    </row>
    <row r="220" spans="1:89">
      <c r="A220" s="159" t="s">
        <v>108</v>
      </c>
      <c r="B220" s="3" t="s">
        <v>283</v>
      </c>
      <c r="C220" s="160" t="s">
        <v>72</v>
      </c>
      <c r="D220" s="160" t="s">
        <v>865</v>
      </c>
      <c r="E220" s="3" t="s">
        <v>22</v>
      </c>
      <c r="F220" s="3" t="s">
        <v>917</v>
      </c>
      <c r="G220" s="3" t="s">
        <v>934</v>
      </c>
      <c r="H220" s="156" t="str">
        <f ca="1">IFERROR(
  _xludf.MINIFS(ATTENDANCE_LOG!$F:$F,
         ATTENDANCE_LOG!$A:$A, C220,
         ATTENDANCE_LOG!$B:$B, E220),
"")</f>
        <v/>
      </c>
      <c r="I220" s="156" t="str">
        <f t="shared" ca="1" si="0"/>
        <v/>
      </c>
      <c r="J220" s="3">
        <f>IFERROR(VLOOKUP(F220, LEVEL_HELPER!$A:$B, 2, 0), "")</f>
        <v>3</v>
      </c>
      <c r="K220" s="3">
        <f>IFERROR(VLOOKUP(G220, LEVEL_HELPER!$A:$B, 2, 0), "")</f>
        <v>3.5</v>
      </c>
      <c r="L220" s="157" t="s">
        <v>942</v>
      </c>
      <c r="M220" s="157" t="s">
        <v>919</v>
      </c>
      <c r="N220" s="3">
        <f t="array" aca="1" ref="N220" ca="1">IFERROR(
  INDEX($J$2:$J$543,
    MATCH(A220&amp;TEXT(I220,"yyyy-mm-dd"),
          $A$2:$A$543&amp;TEXT($H$2:$H$543,"yyyy-mm-dd"),
          0)),
"")</f>
        <v>1</v>
      </c>
      <c r="O220" s="147" t="str">
        <f t="shared" ca="1" si="1"/>
        <v/>
      </c>
      <c r="P220" s="147">
        <f t="shared" ref="P220:Q220" ca="1" si="229">IF(N220="",0,IF(N220&lt;=2,1,IF(N220&lt;=4,2,IF(N220&lt;=5.5,3,4))))</f>
        <v>1</v>
      </c>
      <c r="Q220" s="147">
        <f t="shared" ca="1" si="229"/>
        <v>0</v>
      </c>
      <c r="R220" s="147" t="str">
        <f t="shared" ca="1" si="3"/>
        <v>Regressed</v>
      </c>
      <c r="S220" s="147">
        <f t="shared" si="4"/>
        <v>0</v>
      </c>
      <c r="T220" s="147"/>
      <c r="U220" s="147"/>
      <c r="V220" s="148" t="e">
        <f ca="1"/>
        <v>#NAME?</v>
      </c>
      <c r="W220" s="147" t="e">
        <f t="shared" ca="1" si="5"/>
        <v>#NAME?</v>
      </c>
      <c r="X220" s="147" t="e">
        <f t="shared" ca="1" si="6"/>
        <v>#NAME?</v>
      </c>
      <c r="Y220" s="147" t="e">
        <f t="shared" ca="1" si="7"/>
        <v>#NAME?</v>
      </c>
      <c r="Z220" s="147"/>
      <c r="AA220" s="147"/>
      <c r="AB220" s="147"/>
      <c r="AC220" s="147"/>
      <c r="AD220" s="147"/>
      <c r="AE220" s="147"/>
      <c r="AF220" s="147"/>
      <c r="AG220" s="147"/>
      <c r="AH220" s="147"/>
      <c r="AI220" s="147"/>
      <c r="AJ220" s="147"/>
      <c r="AK220" s="147"/>
      <c r="AL220" s="147"/>
      <c r="AM220" s="151"/>
      <c r="AN220" s="147"/>
      <c r="AO220" s="147" t="e">
        <f t="shared" si="8"/>
        <v>#N/A</v>
      </c>
      <c r="AP220" s="147" t="e">
        <f t="shared" ca="1" si="9"/>
        <v>#NAME?</v>
      </c>
      <c r="AQ220" s="147" t="e">
        <f t="shared" si="10"/>
        <v>#N/A</v>
      </c>
      <c r="AR220" s="147"/>
      <c r="AS220" s="147"/>
      <c r="AT220" s="147"/>
      <c r="AU220" s="147"/>
      <c r="AV220" s="147"/>
      <c r="AW220" s="147"/>
      <c r="AX220" s="147"/>
      <c r="AY220" s="147"/>
      <c r="AZ220" s="147"/>
      <c r="BA220" s="147"/>
      <c r="BB220" s="147"/>
      <c r="BC220" s="147"/>
      <c r="BD220" s="147"/>
      <c r="BE220" s="147"/>
      <c r="BF220" s="147"/>
      <c r="BG220" s="147"/>
      <c r="BH220" s="147"/>
      <c r="BI220" s="147"/>
      <c r="BJ220" s="147"/>
      <c r="BK220" s="147"/>
      <c r="BL220" s="147"/>
      <c r="BM220" s="147"/>
      <c r="BN220" s="147"/>
      <c r="BO220" s="147"/>
      <c r="BP220" s="147"/>
      <c r="BQ220" s="147"/>
      <c r="BR220" s="147"/>
      <c r="BS220" s="147"/>
      <c r="BT220" s="147"/>
      <c r="BU220" s="147"/>
      <c r="BV220" s="147"/>
      <c r="BW220" s="147"/>
      <c r="BX220" s="147"/>
      <c r="BY220" s="147"/>
      <c r="BZ220" s="147"/>
      <c r="CA220" s="147"/>
      <c r="CB220" s="147"/>
      <c r="CC220" s="147"/>
      <c r="CD220" s="147"/>
      <c r="CE220" s="147"/>
      <c r="CF220" s="147"/>
      <c r="CG220" s="147"/>
      <c r="CH220" s="147"/>
      <c r="CI220" s="147"/>
      <c r="CJ220" s="147"/>
      <c r="CK220" s="147"/>
    </row>
    <row r="221" spans="1:89">
      <c r="A221" s="159" t="s">
        <v>315</v>
      </c>
      <c r="B221" s="3" t="s">
        <v>316</v>
      </c>
      <c r="C221" s="160" t="s">
        <v>72</v>
      </c>
      <c r="D221" s="160" t="s">
        <v>865</v>
      </c>
      <c r="E221" s="3" t="s">
        <v>22</v>
      </c>
      <c r="F221" s="3" t="s">
        <v>928</v>
      </c>
      <c r="G221" s="3" t="s">
        <v>928</v>
      </c>
      <c r="H221" s="156" t="str">
        <f ca="1">IFERROR(
  _xludf.MINIFS(ATTENDANCE_LOG!$F:$F,
         ATTENDANCE_LOG!$A:$A, C221,
         ATTENDANCE_LOG!$B:$B, E221),
"")</f>
        <v/>
      </c>
      <c r="I221" s="156" t="str">
        <f t="shared" ca="1" si="0"/>
        <v/>
      </c>
      <c r="J221" s="3">
        <f>IFERROR(VLOOKUP(F221, LEVEL_HELPER!$A:$B, 2, 0), "")</f>
        <v>1.5</v>
      </c>
      <c r="K221" s="3">
        <f>IFERROR(VLOOKUP(G221, LEVEL_HELPER!$A:$B, 2, 0), "")</f>
        <v>1.5</v>
      </c>
      <c r="L221" s="157" t="s">
        <v>942</v>
      </c>
      <c r="M221" s="157" t="s">
        <v>925</v>
      </c>
      <c r="N221" s="3">
        <f t="array" aca="1" ref="N221" ca="1">IFERROR(
  INDEX($J$2:$J$543,
    MATCH(A221&amp;TEXT(I221,"yyyy-mm-dd"),
          $A$2:$A$543&amp;TEXT($H$2:$H$543,"yyyy-mm-dd"),
          0)),
"")</f>
        <v>1</v>
      </c>
      <c r="O221" s="147" t="str">
        <f t="shared" ca="1" si="1"/>
        <v/>
      </c>
      <c r="P221" s="147">
        <f t="shared" ref="P221:Q221" ca="1" si="230">IF(N221="",0,IF(N221&lt;=2,1,IF(N221&lt;=4,2,IF(N221&lt;=5.5,3,4))))</f>
        <v>1</v>
      </c>
      <c r="Q221" s="147">
        <f t="shared" ca="1" si="230"/>
        <v>0</v>
      </c>
      <c r="R221" s="147" t="str">
        <f t="shared" ca="1" si="3"/>
        <v>Regressed</v>
      </c>
      <c r="S221" s="147">
        <f t="shared" si="4"/>
        <v>0</v>
      </c>
      <c r="T221" s="147"/>
      <c r="U221" s="147"/>
      <c r="V221" s="148" t="e">
        <f ca="1"/>
        <v>#NAME?</v>
      </c>
      <c r="W221" s="147" t="e">
        <f t="shared" ca="1" si="5"/>
        <v>#NAME?</v>
      </c>
      <c r="X221" s="147" t="e">
        <f t="shared" ca="1" si="6"/>
        <v>#NAME?</v>
      </c>
      <c r="Y221" s="147" t="e">
        <f t="shared" ca="1" si="7"/>
        <v>#NAME?</v>
      </c>
      <c r="Z221" s="147"/>
      <c r="AA221" s="147"/>
      <c r="AB221" s="147"/>
      <c r="AC221" s="147"/>
      <c r="AD221" s="147"/>
      <c r="AE221" s="147"/>
      <c r="AF221" s="147"/>
      <c r="AG221" s="147"/>
      <c r="AH221" s="147"/>
      <c r="AI221" s="147"/>
      <c r="AJ221" s="147"/>
      <c r="AK221" s="147"/>
      <c r="AL221" s="147"/>
      <c r="AM221" s="151"/>
      <c r="AN221" s="147"/>
      <c r="AO221" s="147" t="e">
        <f t="shared" si="8"/>
        <v>#N/A</v>
      </c>
      <c r="AP221" s="147" t="e">
        <f t="shared" ca="1" si="9"/>
        <v>#NAME?</v>
      </c>
      <c r="AQ221" s="147" t="e">
        <f t="shared" si="10"/>
        <v>#N/A</v>
      </c>
      <c r="AR221" s="147"/>
      <c r="AS221" s="147"/>
      <c r="AT221" s="147"/>
      <c r="AU221" s="147"/>
      <c r="AV221" s="147"/>
      <c r="AW221" s="147"/>
      <c r="AX221" s="147"/>
      <c r="AY221" s="147"/>
      <c r="AZ221" s="147"/>
      <c r="BA221" s="147"/>
      <c r="BB221" s="147"/>
      <c r="BC221" s="147"/>
      <c r="BD221" s="147"/>
      <c r="BE221" s="147"/>
      <c r="BF221" s="147"/>
      <c r="BG221" s="147"/>
      <c r="BH221" s="147"/>
      <c r="BI221" s="147"/>
      <c r="BJ221" s="147"/>
      <c r="BK221" s="147"/>
      <c r="BL221" s="147"/>
      <c r="BM221" s="147"/>
      <c r="BN221" s="147"/>
      <c r="BO221" s="147"/>
      <c r="BP221" s="147"/>
      <c r="BQ221" s="147"/>
      <c r="BR221" s="147"/>
      <c r="BS221" s="147"/>
      <c r="BT221" s="147"/>
      <c r="BU221" s="147"/>
      <c r="BV221" s="147"/>
      <c r="BW221" s="147"/>
      <c r="BX221" s="147"/>
      <c r="BY221" s="147"/>
      <c r="BZ221" s="147"/>
      <c r="CA221" s="147"/>
      <c r="CB221" s="147"/>
      <c r="CC221" s="147"/>
      <c r="CD221" s="147"/>
      <c r="CE221" s="147"/>
      <c r="CF221" s="147"/>
      <c r="CG221" s="147"/>
      <c r="CH221" s="147"/>
      <c r="CI221" s="147"/>
      <c r="CJ221" s="147"/>
      <c r="CK221" s="147"/>
    </row>
    <row r="222" spans="1:89">
      <c r="A222" s="159" t="s">
        <v>334</v>
      </c>
      <c r="B222" s="3" t="s">
        <v>335</v>
      </c>
      <c r="C222" s="160" t="s">
        <v>72</v>
      </c>
      <c r="D222" s="160" t="s">
        <v>865</v>
      </c>
      <c r="E222" s="3" t="s">
        <v>22</v>
      </c>
      <c r="F222" s="3" t="s">
        <v>931</v>
      </c>
      <c r="G222" s="3"/>
      <c r="H222" s="156" t="str">
        <f ca="1">IFERROR(
  _xludf.MINIFS(ATTENDANCE_LOG!$F:$F,
         ATTENDANCE_LOG!$A:$A, C222,
         ATTENDANCE_LOG!$B:$B, E222),
"")</f>
        <v/>
      </c>
      <c r="I222" s="156" t="str">
        <f t="shared" ca="1" si="0"/>
        <v/>
      </c>
      <c r="J222" s="3">
        <f>IFERROR(VLOOKUP(F222, LEVEL_HELPER!$A:$B, 2, 0), "")</f>
        <v>4.5</v>
      </c>
      <c r="K222" s="3" t="str">
        <f>IFERROR(VLOOKUP(G222, LEVEL_HELPER!$A:$B, 2, 0), "")</f>
        <v/>
      </c>
      <c r="L222" s="157" t="s">
        <v>942</v>
      </c>
      <c r="M222" s="157" t="s">
        <v>925</v>
      </c>
      <c r="N222" s="3">
        <f t="array" aca="1" ref="N222" ca="1">IFERROR(
  INDEX($J$2:$J$543,
    MATCH(A222&amp;TEXT(I222,"yyyy-mm-dd"),
          $A$2:$A$543&amp;TEXT($H$2:$H$543,"yyyy-mm-dd"),
          0)),
"")</f>
        <v>2.5</v>
      </c>
      <c r="O222" s="147" t="str">
        <f t="shared" ca="1" si="1"/>
        <v/>
      </c>
      <c r="P222" s="147">
        <f t="shared" ref="P222:Q222" ca="1" si="231">IF(N222="",0,IF(N222&lt;=2,1,IF(N222&lt;=4,2,IF(N222&lt;=5.5,3,4))))</f>
        <v>2</v>
      </c>
      <c r="Q222" s="147">
        <f t="shared" ca="1" si="231"/>
        <v>0</v>
      </c>
      <c r="R222" s="147" t="str">
        <f t="shared" ca="1" si="3"/>
        <v>Regressed</v>
      </c>
      <c r="S222" s="147">
        <f t="shared" si="4"/>
        <v>0</v>
      </c>
      <c r="T222" s="147"/>
      <c r="U222" s="147"/>
      <c r="V222" s="148" t="e">
        <f ca="1"/>
        <v>#NAME?</v>
      </c>
      <c r="W222" s="147" t="e">
        <f t="shared" ca="1" si="5"/>
        <v>#NAME?</v>
      </c>
      <c r="X222" s="147" t="e">
        <f t="shared" ca="1" si="6"/>
        <v>#NAME?</v>
      </c>
      <c r="Y222" s="147" t="e">
        <f t="shared" ca="1" si="7"/>
        <v>#NAME?</v>
      </c>
      <c r="Z222" s="147"/>
      <c r="AA222" s="147"/>
      <c r="AB222" s="147"/>
      <c r="AC222" s="147"/>
      <c r="AD222" s="147"/>
      <c r="AE222" s="147"/>
      <c r="AF222" s="147"/>
      <c r="AG222" s="147"/>
      <c r="AH222" s="147"/>
      <c r="AI222" s="147"/>
      <c r="AJ222" s="147"/>
      <c r="AK222" s="147"/>
      <c r="AL222" s="147"/>
      <c r="AM222" s="151"/>
      <c r="AN222" s="147"/>
      <c r="AO222" s="147" t="e">
        <f t="shared" si="8"/>
        <v>#N/A</v>
      </c>
      <c r="AP222" s="147" t="e">
        <f t="shared" ca="1" si="9"/>
        <v>#NAME?</v>
      </c>
      <c r="AQ222" s="147" t="e">
        <f t="shared" si="10"/>
        <v>#N/A</v>
      </c>
      <c r="AR222" s="147"/>
      <c r="AS222" s="147"/>
      <c r="AT222" s="147"/>
      <c r="AU222" s="147"/>
      <c r="AV222" s="147"/>
      <c r="AW222" s="147"/>
      <c r="AX222" s="147"/>
      <c r="AY222" s="147"/>
      <c r="AZ222" s="147"/>
      <c r="BA222" s="147"/>
      <c r="BB222" s="147"/>
      <c r="BC222" s="147"/>
      <c r="BD222" s="147"/>
      <c r="BE222" s="147"/>
      <c r="BF222" s="147"/>
      <c r="BG222" s="147"/>
      <c r="BH222" s="147"/>
      <c r="BI222" s="147"/>
      <c r="BJ222" s="147"/>
      <c r="BK222" s="147"/>
      <c r="BL222" s="147"/>
      <c r="BM222" s="147"/>
      <c r="BN222" s="147"/>
      <c r="BO222" s="147"/>
      <c r="BP222" s="147"/>
      <c r="BQ222" s="147"/>
      <c r="BR222" s="147"/>
      <c r="BS222" s="147"/>
      <c r="BT222" s="147"/>
      <c r="BU222" s="147"/>
      <c r="BV222" s="147"/>
      <c r="BW222" s="147"/>
      <c r="BX222" s="147"/>
      <c r="BY222" s="147"/>
      <c r="BZ222" s="147"/>
      <c r="CA222" s="147"/>
      <c r="CB222" s="147"/>
      <c r="CC222" s="147"/>
      <c r="CD222" s="147"/>
      <c r="CE222" s="147"/>
      <c r="CF222" s="147"/>
      <c r="CG222" s="147"/>
      <c r="CH222" s="147"/>
      <c r="CI222" s="147"/>
      <c r="CJ222" s="147"/>
      <c r="CK222" s="147"/>
    </row>
    <row r="223" spans="1:89">
      <c r="A223" s="159" t="s">
        <v>401</v>
      </c>
      <c r="B223" s="3" t="s">
        <v>402</v>
      </c>
      <c r="C223" s="160" t="s">
        <v>72</v>
      </c>
      <c r="D223" s="160" t="s">
        <v>865</v>
      </c>
      <c r="E223" s="3" t="s">
        <v>22</v>
      </c>
      <c r="F223" s="3" t="s">
        <v>934</v>
      </c>
      <c r="G223" s="3" t="s">
        <v>952</v>
      </c>
      <c r="H223" s="156" t="str">
        <f ca="1">IFERROR(
  _xludf.MINIFS(ATTENDANCE_LOG!$F:$F,
         ATTENDANCE_LOG!$A:$A, C223,
         ATTENDANCE_LOG!$B:$B, E223),
"")</f>
        <v/>
      </c>
      <c r="I223" s="156" t="str">
        <f t="shared" ca="1" si="0"/>
        <v/>
      </c>
      <c r="J223" s="3">
        <f>IFERROR(VLOOKUP(F223, LEVEL_HELPER!$A:$B, 2, 0), "")</f>
        <v>3.5</v>
      </c>
      <c r="K223" s="3">
        <f>IFERROR(VLOOKUP(G223, LEVEL_HELPER!$A:$B, 2, 0), "")</f>
        <v>4</v>
      </c>
      <c r="L223" s="157" t="s">
        <v>942</v>
      </c>
      <c r="M223" s="157" t="s">
        <v>919</v>
      </c>
      <c r="N223" s="3">
        <f t="array" aca="1" ref="N223" ca="1">IFERROR(
  INDEX($J$2:$J$543,
    MATCH(A223&amp;TEXT(I223,"yyyy-mm-dd"),
          $A$2:$A$543&amp;TEXT($H$2:$H$543,"yyyy-mm-dd"),
          0)),
"")</f>
        <v>1</v>
      </c>
      <c r="O223" s="147" t="str">
        <f t="shared" ca="1" si="1"/>
        <v/>
      </c>
      <c r="P223" s="147">
        <f t="shared" ref="P223:Q223" ca="1" si="232">IF(N223="",0,IF(N223&lt;=2,1,IF(N223&lt;=4,2,IF(N223&lt;=5.5,3,4))))</f>
        <v>1</v>
      </c>
      <c r="Q223" s="147">
        <f t="shared" ca="1" si="232"/>
        <v>0</v>
      </c>
      <c r="R223" s="147" t="str">
        <f t="shared" ca="1" si="3"/>
        <v>Regressed</v>
      </c>
      <c r="S223" s="147">
        <f t="shared" si="4"/>
        <v>0</v>
      </c>
      <c r="T223" s="147"/>
      <c r="U223" s="147"/>
      <c r="V223" s="148" t="e">
        <f ca="1"/>
        <v>#NAME?</v>
      </c>
      <c r="W223" s="147" t="e">
        <f t="shared" ca="1" si="5"/>
        <v>#NAME?</v>
      </c>
      <c r="X223" s="147" t="e">
        <f t="shared" ca="1" si="6"/>
        <v>#NAME?</v>
      </c>
      <c r="Y223" s="147" t="e">
        <f t="shared" ca="1" si="7"/>
        <v>#NAME?</v>
      </c>
      <c r="Z223" s="147"/>
      <c r="AA223" s="147"/>
      <c r="AB223" s="147"/>
      <c r="AC223" s="147"/>
      <c r="AD223" s="147"/>
      <c r="AE223" s="147"/>
      <c r="AF223" s="147"/>
      <c r="AG223" s="147"/>
      <c r="AH223" s="147"/>
      <c r="AI223" s="147"/>
      <c r="AJ223" s="147"/>
      <c r="AK223" s="147"/>
      <c r="AL223" s="147"/>
      <c r="AM223" s="151"/>
      <c r="AN223" s="147"/>
      <c r="AO223" s="147" t="e">
        <f t="shared" si="8"/>
        <v>#N/A</v>
      </c>
      <c r="AP223" s="147" t="e">
        <f t="shared" ca="1" si="9"/>
        <v>#NAME?</v>
      </c>
      <c r="AQ223" s="147" t="e">
        <f t="shared" si="10"/>
        <v>#N/A</v>
      </c>
      <c r="AR223" s="147"/>
      <c r="AS223" s="147"/>
      <c r="AT223" s="147"/>
      <c r="AU223" s="147"/>
      <c r="AV223" s="147"/>
      <c r="AW223" s="147"/>
      <c r="AX223" s="147"/>
      <c r="AY223" s="147"/>
      <c r="AZ223" s="147"/>
      <c r="BA223" s="147"/>
      <c r="BB223" s="147"/>
      <c r="BC223" s="147"/>
      <c r="BD223" s="147"/>
      <c r="BE223" s="147"/>
      <c r="BF223" s="147"/>
      <c r="BG223" s="147"/>
      <c r="BH223" s="147"/>
      <c r="BI223" s="147"/>
      <c r="BJ223" s="147"/>
      <c r="BK223" s="147"/>
      <c r="BL223" s="147"/>
      <c r="BM223" s="147"/>
      <c r="BN223" s="147"/>
      <c r="BO223" s="147"/>
      <c r="BP223" s="147"/>
      <c r="BQ223" s="147"/>
      <c r="BR223" s="147"/>
      <c r="BS223" s="147"/>
      <c r="BT223" s="147"/>
      <c r="BU223" s="147"/>
      <c r="BV223" s="147"/>
      <c r="BW223" s="147"/>
      <c r="BX223" s="147"/>
      <c r="BY223" s="147"/>
      <c r="BZ223" s="147"/>
      <c r="CA223" s="147"/>
      <c r="CB223" s="147"/>
      <c r="CC223" s="147"/>
      <c r="CD223" s="147"/>
      <c r="CE223" s="147"/>
      <c r="CF223" s="147"/>
      <c r="CG223" s="147"/>
      <c r="CH223" s="147"/>
      <c r="CI223" s="147"/>
      <c r="CJ223" s="147"/>
      <c r="CK223" s="147"/>
    </row>
    <row r="224" spans="1:89">
      <c r="A224" s="159" t="s">
        <v>572</v>
      </c>
      <c r="B224" s="3" t="s">
        <v>573</v>
      </c>
      <c r="C224" s="160" t="s">
        <v>72</v>
      </c>
      <c r="D224" s="160" t="s">
        <v>865</v>
      </c>
      <c r="E224" s="3" t="s">
        <v>22</v>
      </c>
      <c r="F224" s="3" t="s">
        <v>917</v>
      </c>
      <c r="G224" s="3" t="s">
        <v>917</v>
      </c>
      <c r="H224" s="156" t="str">
        <f ca="1">IFERROR(
  _xludf.MINIFS(ATTENDANCE_LOG!$F:$F,
         ATTENDANCE_LOG!$A:$A, C224,
         ATTENDANCE_LOG!$B:$B, E224),
"")</f>
        <v/>
      </c>
      <c r="I224" s="156" t="str">
        <f t="shared" ca="1" si="0"/>
        <v/>
      </c>
      <c r="J224" s="3">
        <f>IFERROR(VLOOKUP(F224, LEVEL_HELPER!$A:$B, 2, 0), "")</f>
        <v>3</v>
      </c>
      <c r="K224" s="3">
        <f>IFERROR(VLOOKUP(G224, LEVEL_HELPER!$A:$B, 2, 0), "")</f>
        <v>3</v>
      </c>
      <c r="L224" s="157" t="s">
        <v>942</v>
      </c>
      <c r="M224" s="157" t="s">
        <v>925</v>
      </c>
      <c r="N224" s="3">
        <f t="array" aca="1" ref="N224" ca="1">IFERROR(
  INDEX($J$2:$J$543,
    MATCH(A224&amp;TEXT(I224,"yyyy-mm-dd"),
          $A$2:$A$543&amp;TEXT($H$2:$H$543,"yyyy-mm-dd"),
          0)),
"")</f>
        <v>1</v>
      </c>
      <c r="O224" s="147" t="str">
        <f t="shared" ca="1" si="1"/>
        <v/>
      </c>
      <c r="P224" s="147">
        <f t="shared" ref="P224:Q224" ca="1" si="233">IF(N224="",0,IF(N224&lt;=2,1,IF(N224&lt;=4,2,IF(N224&lt;=5.5,3,4))))</f>
        <v>1</v>
      </c>
      <c r="Q224" s="147">
        <f t="shared" ca="1" si="233"/>
        <v>0</v>
      </c>
      <c r="R224" s="147" t="str">
        <f t="shared" ca="1" si="3"/>
        <v>Regressed</v>
      </c>
      <c r="S224" s="147">
        <f t="shared" si="4"/>
        <v>0</v>
      </c>
      <c r="T224" s="147"/>
      <c r="U224" s="147"/>
      <c r="V224" s="148" t="e">
        <f ca="1"/>
        <v>#NAME?</v>
      </c>
      <c r="W224" s="147" t="e">
        <f t="shared" ca="1" si="5"/>
        <v>#NAME?</v>
      </c>
      <c r="X224" s="147" t="e">
        <f t="shared" ca="1" si="6"/>
        <v>#NAME?</v>
      </c>
      <c r="Y224" s="147" t="e">
        <f t="shared" ca="1" si="7"/>
        <v>#NAME?</v>
      </c>
      <c r="Z224" s="147"/>
      <c r="AA224" s="147"/>
      <c r="AB224" s="147"/>
      <c r="AC224" s="147"/>
      <c r="AD224" s="147"/>
      <c r="AE224" s="147"/>
      <c r="AF224" s="147"/>
      <c r="AG224" s="147"/>
      <c r="AH224" s="147"/>
      <c r="AI224" s="147"/>
      <c r="AJ224" s="147"/>
      <c r="AK224" s="147"/>
      <c r="AL224" s="147"/>
      <c r="AM224" s="151"/>
      <c r="AN224" s="147"/>
      <c r="AO224" s="147" t="e">
        <f t="shared" si="8"/>
        <v>#N/A</v>
      </c>
      <c r="AP224" s="147" t="e">
        <f t="shared" ca="1" si="9"/>
        <v>#NAME?</v>
      </c>
      <c r="AQ224" s="147" t="e">
        <f t="shared" si="10"/>
        <v>#N/A</v>
      </c>
      <c r="AR224" s="147"/>
      <c r="AS224" s="147"/>
      <c r="AT224" s="147"/>
      <c r="AU224" s="147"/>
      <c r="AV224" s="147"/>
      <c r="AW224" s="147"/>
      <c r="AX224" s="147"/>
      <c r="AY224" s="147"/>
      <c r="AZ224" s="147"/>
      <c r="BA224" s="147"/>
      <c r="BB224" s="147"/>
      <c r="BC224" s="147"/>
      <c r="BD224" s="147"/>
      <c r="BE224" s="147"/>
      <c r="BF224" s="147"/>
      <c r="BG224" s="147"/>
      <c r="BH224" s="147"/>
      <c r="BI224" s="147"/>
      <c r="BJ224" s="147"/>
      <c r="BK224" s="147"/>
      <c r="BL224" s="147"/>
      <c r="BM224" s="147"/>
      <c r="BN224" s="147"/>
      <c r="BO224" s="147"/>
      <c r="BP224" s="147"/>
      <c r="BQ224" s="147"/>
      <c r="BR224" s="147"/>
      <c r="BS224" s="147"/>
      <c r="BT224" s="147"/>
      <c r="BU224" s="147"/>
      <c r="BV224" s="147"/>
      <c r="BW224" s="147"/>
      <c r="BX224" s="147"/>
      <c r="BY224" s="147"/>
      <c r="BZ224" s="147"/>
      <c r="CA224" s="147"/>
      <c r="CB224" s="147"/>
      <c r="CC224" s="147"/>
      <c r="CD224" s="147"/>
      <c r="CE224" s="147"/>
      <c r="CF224" s="147"/>
      <c r="CG224" s="147"/>
      <c r="CH224" s="147"/>
      <c r="CI224" s="147"/>
      <c r="CJ224" s="147"/>
      <c r="CK224" s="147"/>
    </row>
    <row r="225" spans="1:89">
      <c r="A225" s="159" t="s">
        <v>576</v>
      </c>
      <c r="B225" s="3" t="s">
        <v>577</v>
      </c>
      <c r="C225" s="160" t="s">
        <v>72</v>
      </c>
      <c r="D225" s="160" t="s">
        <v>865</v>
      </c>
      <c r="E225" s="3" t="s">
        <v>22</v>
      </c>
      <c r="F225" s="3" t="s">
        <v>934</v>
      </c>
      <c r="G225" s="3" t="s">
        <v>934</v>
      </c>
      <c r="H225" s="156" t="str">
        <f ca="1">IFERROR(
  _xludf.MINIFS(ATTENDANCE_LOG!$F:$F,
         ATTENDANCE_LOG!$A:$A, C225,
         ATTENDANCE_LOG!$B:$B, E225),
"")</f>
        <v/>
      </c>
      <c r="I225" s="156" t="str">
        <f t="shared" ca="1" si="0"/>
        <v/>
      </c>
      <c r="J225" s="3">
        <f>IFERROR(VLOOKUP(F225, LEVEL_HELPER!$A:$B, 2, 0), "")</f>
        <v>3.5</v>
      </c>
      <c r="K225" s="3">
        <f>IFERROR(VLOOKUP(G225, LEVEL_HELPER!$A:$B, 2, 0), "")</f>
        <v>3.5</v>
      </c>
      <c r="L225" s="157" t="s">
        <v>942</v>
      </c>
      <c r="M225" s="157" t="s">
        <v>919</v>
      </c>
      <c r="N225" s="3">
        <f t="array" aca="1" ref="N225" ca="1">IFERROR(
  INDEX($J$2:$J$543,
    MATCH(A225&amp;TEXT(I225,"yyyy-mm-dd"),
          $A$2:$A$543&amp;TEXT($H$2:$H$543,"yyyy-mm-dd"),
          0)),
"")</f>
        <v>2.5</v>
      </c>
      <c r="O225" s="147" t="str">
        <f t="shared" ca="1" si="1"/>
        <v/>
      </c>
      <c r="P225" s="147">
        <f t="shared" ref="P225:Q225" ca="1" si="234">IF(N225="",0,IF(N225&lt;=2,1,IF(N225&lt;=4,2,IF(N225&lt;=5.5,3,4))))</f>
        <v>2</v>
      </c>
      <c r="Q225" s="147">
        <f t="shared" ca="1" si="234"/>
        <v>0</v>
      </c>
      <c r="R225" s="147" t="str">
        <f t="shared" ca="1" si="3"/>
        <v>Regressed</v>
      </c>
      <c r="S225" s="147">
        <f t="shared" si="4"/>
        <v>0</v>
      </c>
      <c r="T225" s="147"/>
      <c r="U225" s="147"/>
      <c r="V225" s="148" t="e">
        <f ca="1"/>
        <v>#NAME?</v>
      </c>
      <c r="W225" s="147" t="e">
        <f t="shared" ca="1" si="5"/>
        <v>#NAME?</v>
      </c>
      <c r="X225" s="147" t="e">
        <f t="shared" ca="1" si="6"/>
        <v>#NAME?</v>
      </c>
      <c r="Y225" s="147" t="e">
        <f t="shared" ca="1" si="7"/>
        <v>#NAME?</v>
      </c>
      <c r="Z225" s="147"/>
      <c r="AA225" s="147"/>
      <c r="AB225" s="147"/>
      <c r="AC225" s="147"/>
      <c r="AD225" s="147"/>
      <c r="AE225" s="147"/>
      <c r="AF225" s="147"/>
      <c r="AG225" s="147"/>
      <c r="AH225" s="147"/>
      <c r="AI225" s="147"/>
      <c r="AJ225" s="147"/>
      <c r="AK225" s="147"/>
      <c r="AL225" s="147"/>
      <c r="AM225" s="151"/>
      <c r="AN225" s="147"/>
      <c r="AO225" s="147" t="e">
        <f t="shared" si="8"/>
        <v>#N/A</v>
      </c>
      <c r="AP225" s="147" t="e">
        <f t="shared" ca="1" si="9"/>
        <v>#NAME?</v>
      </c>
      <c r="AQ225" s="147" t="e">
        <f t="shared" si="10"/>
        <v>#N/A</v>
      </c>
      <c r="AR225" s="147"/>
      <c r="AS225" s="147"/>
      <c r="AT225" s="147"/>
      <c r="AU225" s="147"/>
      <c r="AV225" s="147"/>
      <c r="AW225" s="147"/>
      <c r="AX225" s="147"/>
      <c r="AY225" s="147"/>
      <c r="AZ225" s="147"/>
      <c r="BA225" s="147"/>
      <c r="BB225" s="147"/>
      <c r="BC225" s="147"/>
      <c r="BD225" s="147"/>
      <c r="BE225" s="147"/>
      <c r="BF225" s="147"/>
      <c r="BG225" s="147"/>
      <c r="BH225" s="147"/>
      <c r="BI225" s="147"/>
      <c r="BJ225" s="147"/>
      <c r="BK225" s="147"/>
      <c r="BL225" s="147"/>
      <c r="BM225" s="147"/>
      <c r="BN225" s="147"/>
      <c r="BO225" s="147"/>
      <c r="BP225" s="147"/>
      <c r="BQ225" s="147"/>
      <c r="BR225" s="147"/>
      <c r="BS225" s="147"/>
      <c r="BT225" s="147"/>
      <c r="BU225" s="147"/>
      <c r="BV225" s="147"/>
      <c r="BW225" s="147"/>
      <c r="BX225" s="147"/>
      <c r="BY225" s="147"/>
      <c r="BZ225" s="147"/>
      <c r="CA225" s="147"/>
      <c r="CB225" s="147"/>
      <c r="CC225" s="147"/>
      <c r="CD225" s="147"/>
      <c r="CE225" s="147"/>
      <c r="CF225" s="147"/>
      <c r="CG225" s="147"/>
      <c r="CH225" s="147"/>
      <c r="CI225" s="147"/>
      <c r="CJ225" s="147"/>
      <c r="CK225" s="147"/>
    </row>
    <row r="226" spans="1:89">
      <c r="A226" s="153" t="s">
        <v>683</v>
      </c>
      <c r="B226" s="154" t="s">
        <v>684</v>
      </c>
      <c r="C226" s="155" t="s">
        <v>72</v>
      </c>
      <c r="D226" s="155" t="s">
        <v>865</v>
      </c>
      <c r="E226" s="154" t="s">
        <v>23</v>
      </c>
      <c r="F226" s="3"/>
      <c r="G226" s="3"/>
      <c r="H226" s="156" t="str">
        <f ca="1">IFERROR(
  _xludf.MINIFS(ATTENDANCE_LOG!$F:$F,
         ATTENDANCE_LOG!$A:$A, C226,
         ATTENDANCE_LOG!$B:$B, E226),
"")</f>
        <v/>
      </c>
      <c r="I226" s="156" t="str">
        <f t="shared" ca="1" si="0"/>
        <v/>
      </c>
      <c r="J226" s="3" t="str">
        <f>IFERROR(VLOOKUP(F226, LEVEL_HELPER!$A:$B, 2, 0), "")</f>
        <v/>
      </c>
      <c r="K226" s="3" t="str">
        <f>IFERROR(VLOOKUP(G226, LEVEL_HELPER!$A:$B, 2, 0), "")</f>
        <v/>
      </c>
      <c r="L226" s="157" t="s">
        <v>942</v>
      </c>
      <c r="M226" s="157" t="s">
        <v>919</v>
      </c>
      <c r="N226" s="3">
        <f t="array" aca="1" ref="N226" ca="1">IFERROR(
  INDEX($J$2:$J$543,
    MATCH(A226&amp;TEXT(I226,"yyyy-mm-dd"),
          $A$2:$A$543&amp;TEXT($H$2:$H$543,"yyyy-mm-dd"),
          0)),
"")</f>
        <v>1</v>
      </c>
      <c r="O226" s="147" t="str">
        <f t="shared" ca="1" si="1"/>
        <v/>
      </c>
      <c r="P226" s="147">
        <f t="shared" ref="P226:Q226" ca="1" si="235">IF(N226="",0,IF(N226&lt;=2,1,IF(N226&lt;=4,2,IF(N226&lt;=5.5,3,4))))</f>
        <v>1</v>
      </c>
      <c r="Q226" s="147">
        <f t="shared" ca="1" si="235"/>
        <v>0</v>
      </c>
      <c r="R226" s="147" t="str">
        <f t="shared" ca="1" si="3"/>
        <v>Regressed</v>
      </c>
      <c r="S226" s="147">
        <f t="shared" si="4"/>
        <v>0</v>
      </c>
      <c r="T226" s="147"/>
      <c r="U226" s="147"/>
      <c r="V226" s="148" t="e">
        <f ca="1"/>
        <v>#NAME?</v>
      </c>
      <c r="W226" s="147" t="e">
        <f t="shared" ca="1" si="5"/>
        <v>#NAME?</v>
      </c>
      <c r="X226" s="147" t="e">
        <f t="shared" ca="1" si="6"/>
        <v>#NAME?</v>
      </c>
      <c r="Y226" s="147" t="e">
        <f t="shared" ca="1" si="7"/>
        <v>#NAME?</v>
      </c>
      <c r="Z226" s="147"/>
      <c r="AA226" s="147"/>
      <c r="AB226" s="147"/>
      <c r="AC226" s="147"/>
      <c r="AD226" s="147"/>
      <c r="AE226" s="147"/>
      <c r="AF226" s="147"/>
      <c r="AG226" s="147"/>
      <c r="AH226" s="147"/>
      <c r="AI226" s="147"/>
      <c r="AJ226" s="147"/>
      <c r="AK226" s="147"/>
      <c r="AL226" s="147"/>
      <c r="AM226" s="151"/>
      <c r="AN226" s="147"/>
      <c r="AO226" s="147" t="e">
        <f t="shared" si="8"/>
        <v>#N/A</v>
      </c>
      <c r="AP226" s="147" t="e">
        <f t="shared" ca="1" si="9"/>
        <v>#NAME?</v>
      </c>
      <c r="AQ226" s="147" t="e">
        <f t="shared" si="10"/>
        <v>#N/A</v>
      </c>
      <c r="AR226" s="147"/>
      <c r="AS226" s="147"/>
      <c r="AT226" s="147"/>
      <c r="AU226" s="147"/>
      <c r="AV226" s="147"/>
      <c r="AW226" s="147"/>
      <c r="AX226" s="147"/>
      <c r="AY226" s="147"/>
      <c r="AZ226" s="147"/>
      <c r="BA226" s="147"/>
      <c r="BB226" s="147"/>
      <c r="BC226" s="147"/>
      <c r="BD226" s="147"/>
      <c r="BE226" s="147"/>
      <c r="BF226" s="147"/>
      <c r="BG226" s="147"/>
      <c r="BH226" s="147"/>
      <c r="BI226" s="147"/>
      <c r="BJ226" s="147"/>
      <c r="BK226" s="147"/>
      <c r="BL226" s="147"/>
      <c r="BM226" s="147"/>
      <c r="BN226" s="147"/>
      <c r="BO226" s="147"/>
      <c r="BP226" s="147"/>
      <c r="BQ226" s="147"/>
      <c r="BR226" s="147"/>
      <c r="BS226" s="147"/>
      <c r="BT226" s="147"/>
      <c r="BU226" s="147"/>
      <c r="BV226" s="147"/>
      <c r="BW226" s="147"/>
      <c r="BX226" s="147"/>
      <c r="BY226" s="147"/>
      <c r="BZ226" s="147"/>
      <c r="CA226" s="147"/>
      <c r="CB226" s="147"/>
      <c r="CC226" s="147"/>
      <c r="CD226" s="147"/>
      <c r="CE226" s="147"/>
      <c r="CF226" s="147"/>
      <c r="CG226" s="147"/>
      <c r="CH226" s="147"/>
      <c r="CI226" s="147"/>
      <c r="CJ226" s="147"/>
      <c r="CK226" s="147"/>
    </row>
    <row r="227" spans="1:89">
      <c r="A227" s="159" t="s">
        <v>265</v>
      </c>
      <c r="B227" s="3" t="s">
        <v>266</v>
      </c>
      <c r="C227" s="160" t="s">
        <v>72</v>
      </c>
      <c r="D227" s="160" t="s">
        <v>865</v>
      </c>
      <c r="E227" s="3" t="s">
        <v>23</v>
      </c>
      <c r="F227" s="3"/>
      <c r="G227" s="3"/>
      <c r="H227" s="156" t="str">
        <f ca="1">IFERROR(
  _xludf.MINIFS(ATTENDANCE_LOG!$F:$F,
         ATTENDANCE_LOG!$A:$A, C227,
         ATTENDANCE_LOG!$B:$B, E227),
"")</f>
        <v/>
      </c>
      <c r="I227" s="156" t="str">
        <f t="shared" ca="1" si="0"/>
        <v/>
      </c>
      <c r="J227" s="3" t="str">
        <f>IFERROR(VLOOKUP(F227, LEVEL_HELPER!$A:$B, 2, 0), "")</f>
        <v/>
      </c>
      <c r="K227" s="3" t="str">
        <f>IFERROR(VLOOKUP(G227, LEVEL_HELPER!$A:$B, 2, 0), "")</f>
        <v/>
      </c>
      <c r="L227" s="157" t="s">
        <v>942</v>
      </c>
      <c r="M227" s="157" t="s">
        <v>919</v>
      </c>
      <c r="N227" s="3">
        <f t="array" aca="1" ref="N227" ca="1">IFERROR(
  INDEX($J$2:$J$543,
    MATCH(A227&amp;TEXT(I227,"yyyy-mm-dd"),
          $A$2:$A$543&amp;TEXT($H$2:$H$543,"yyyy-mm-dd"),
          0)),
"")</f>
        <v>1</v>
      </c>
      <c r="O227" s="147" t="str">
        <f t="shared" ca="1" si="1"/>
        <v/>
      </c>
      <c r="P227" s="147">
        <f t="shared" ref="P227:Q227" ca="1" si="236">IF(N227="",0,IF(N227&lt;=2,1,IF(N227&lt;=4,2,IF(N227&lt;=5.5,3,4))))</f>
        <v>1</v>
      </c>
      <c r="Q227" s="147">
        <f t="shared" ca="1" si="236"/>
        <v>0</v>
      </c>
      <c r="R227" s="147" t="str">
        <f t="shared" ca="1" si="3"/>
        <v>Regressed</v>
      </c>
      <c r="S227" s="147">
        <f t="shared" si="4"/>
        <v>0</v>
      </c>
      <c r="T227" s="147"/>
      <c r="U227" s="147"/>
      <c r="V227" s="148" t="e">
        <f ca="1"/>
        <v>#NAME?</v>
      </c>
      <c r="W227" s="147" t="e">
        <f t="shared" ca="1" si="5"/>
        <v>#NAME?</v>
      </c>
      <c r="X227" s="147" t="e">
        <f t="shared" ca="1" si="6"/>
        <v>#NAME?</v>
      </c>
      <c r="Y227" s="147" t="e">
        <f t="shared" ca="1" si="7"/>
        <v>#NAME?</v>
      </c>
      <c r="Z227" s="147"/>
      <c r="AA227" s="147"/>
      <c r="AB227" s="147"/>
      <c r="AC227" s="147"/>
      <c r="AD227" s="147"/>
      <c r="AE227" s="147"/>
      <c r="AF227" s="147"/>
      <c r="AG227" s="147"/>
      <c r="AH227" s="147"/>
      <c r="AI227" s="147"/>
      <c r="AJ227" s="147"/>
      <c r="AK227" s="147"/>
      <c r="AL227" s="147"/>
      <c r="AM227" s="151"/>
      <c r="AN227" s="147"/>
      <c r="AO227" s="147" t="e">
        <f t="shared" si="8"/>
        <v>#N/A</v>
      </c>
      <c r="AP227" s="147" t="e">
        <f t="shared" ca="1" si="9"/>
        <v>#NAME?</v>
      </c>
      <c r="AQ227" s="147" t="e">
        <f t="shared" si="10"/>
        <v>#N/A</v>
      </c>
      <c r="AR227" s="147"/>
      <c r="AS227" s="147"/>
      <c r="AT227" s="147"/>
      <c r="AU227" s="147"/>
      <c r="AV227" s="147"/>
      <c r="AW227" s="147"/>
      <c r="AX227" s="147"/>
      <c r="AY227" s="147"/>
      <c r="AZ227" s="147"/>
      <c r="BA227" s="147"/>
      <c r="BB227" s="147"/>
      <c r="BC227" s="147"/>
      <c r="BD227" s="147"/>
      <c r="BE227" s="147"/>
      <c r="BF227" s="147"/>
      <c r="BG227" s="147"/>
      <c r="BH227" s="147"/>
      <c r="BI227" s="147"/>
      <c r="BJ227" s="147"/>
      <c r="BK227" s="147"/>
      <c r="BL227" s="147"/>
      <c r="BM227" s="147"/>
      <c r="BN227" s="147"/>
      <c r="BO227" s="147"/>
      <c r="BP227" s="147"/>
      <c r="BQ227" s="147"/>
      <c r="BR227" s="147"/>
      <c r="BS227" s="147"/>
      <c r="BT227" s="147"/>
      <c r="BU227" s="147"/>
      <c r="BV227" s="147"/>
      <c r="BW227" s="147"/>
      <c r="BX227" s="147"/>
      <c r="BY227" s="147"/>
      <c r="BZ227" s="147"/>
      <c r="CA227" s="147"/>
      <c r="CB227" s="147"/>
      <c r="CC227" s="147"/>
      <c r="CD227" s="147"/>
      <c r="CE227" s="147"/>
      <c r="CF227" s="147"/>
      <c r="CG227" s="147"/>
      <c r="CH227" s="147"/>
      <c r="CI227" s="147"/>
      <c r="CJ227" s="147"/>
      <c r="CK227" s="147"/>
    </row>
    <row r="228" spans="1:89">
      <c r="A228" s="159" t="s">
        <v>108</v>
      </c>
      <c r="B228" s="3" t="s">
        <v>283</v>
      </c>
      <c r="C228" s="160" t="s">
        <v>72</v>
      </c>
      <c r="D228" s="160" t="s">
        <v>865</v>
      </c>
      <c r="E228" s="3" t="s">
        <v>23</v>
      </c>
      <c r="F228" s="3"/>
      <c r="G228" s="3"/>
      <c r="H228" s="156" t="str">
        <f ca="1">IFERROR(
  _xludf.MINIFS(ATTENDANCE_LOG!$F:$F,
         ATTENDANCE_LOG!$A:$A, C228,
         ATTENDANCE_LOG!$B:$B, E228),
"")</f>
        <v/>
      </c>
      <c r="I228" s="156" t="str">
        <f t="shared" ca="1" si="0"/>
        <v/>
      </c>
      <c r="J228" s="3" t="str">
        <f>IFERROR(VLOOKUP(F228, LEVEL_HELPER!$A:$B, 2, 0), "")</f>
        <v/>
      </c>
      <c r="K228" s="3" t="str">
        <f>IFERROR(VLOOKUP(G228, LEVEL_HELPER!$A:$B, 2, 0), "")</f>
        <v/>
      </c>
      <c r="L228" s="157" t="s">
        <v>942</v>
      </c>
      <c r="M228" s="157" t="s">
        <v>919</v>
      </c>
      <c r="N228" s="3">
        <f t="array" aca="1" ref="N228" ca="1">IFERROR(
  INDEX($J$2:$J$543,
    MATCH(A228&amp;TEXT(I228,"yyyy-mm-dd"),
          $A$2:$A$543&amp;TEXT($H$2:$H$543,"yyyy-mm-dd"),
          0)),
"")</f>
        <v>1</v>
      </c>
      <c r="O228" s="147" t="str">
        <f t="shared" ca="1" si="1"/>
        <v/>
      </c>
      <c r="P228" s="147">
        <f t="shared" ref="P228:Q228" ca="1" si="237">IF(N228="",0,IF(N228&lt;=2,1,IF(N228&lt;=4,2,IF(N228&lt;=5.5,3,4))))</f>
        <v>1</v>
      </c>
      <c r="Q228" s="147">
        <f t="shared" ca="1" si="237"/>
        <v>0</v>
      </c>
      <c r="R228" s="147" t="str">
        <f t="shared" ca="1" si="3"/>
        <v>Regressed</v>
      </c>
      <c r="S228" s="147">
        <f t="shared" si="4"/>
        <v>0</v>
      </c>
      <c r="T228" s="147"/>
      <c r="U228" s="147"/>
      <c r="V228" s="148" t="e">
        <f ca="1"/>
        <v>#NAME?</v>
      </c>
      <c r="W228" s="147" t="e">
        <f t="shared" ca="1" si="5"/>
        <v>#NAME?</v>
      </c>
      <c r="X228" s="147" t="e">
        <f t="shared" ca="1" si="6"/>
        <v>#NAME?</v>
      </c>
      <c r="Y228" s="147" t="e">
        <f t="shared" ca="1" si="7"/>
        <v>#NAME?</v>
      </c>
      <c r="Z228" s="147"/>
      <c r="AA228" s="147"/>
      <c r="AB228" s="147"/>
      <c r="AC228" s="147"/>
      <c r="AD228" s="147"/>
      <c r="AE228" s="147"/>
      <c r="AF228" s="147"/>
      <c r="AG228" s="147"/>
      <c r="AH228" s="147"/>
      <c r="AI228" s="147"/>
      <c r="AJ228" s="147"/>
      <c r="AK228" s="147"/>
      <c r="AL228" s="147"/>
      <c r="AM228" s="151"/>
      <c r="AN228" s="147"/>
      <c r="AO228" s="147" t="e">
        <f t="shared" si="8"/>
        <v>#N/A</v>
      </c>
      <c r="AP228" s="147" t="e">
        <f t="shared" ca="1" si="9"/>
        <v>#NAME?</v>
      </c>
      <c r="AQ228" s="147" t="e">
        <f t="shared" si="10"/>
        <v>#N/A</v>
      </c>
      <c r="AR228" s="147"/>
      <c r="AS228" s="147"/>
      <c r="AT228" s="147"/>
      <c r="AU228" s="147"/>
      <c r="AV228" s="147"/>
      <c r="AW228" s="147"/>
      <c r="AX228" s="147"/>
      <c r="AY228" s="147"/>
      <c r="AZ228" s="147"/>
      <c r="BA228" s="147"/>
      <c r="BB228" s="147"/>
      <c r="BC228" s="147"/>
      <c r="BD228" s="147"/>
      <c r="BE228" s="147"/>
      <c r="BF228" s="147"/>
      <c r="BG228" s="147"/>
      <c r="BH228" s="147"/>
      <c r="BI228" s="147"/>
      <c r="BJ228" s="147"/>
      <c r="BK228" s="147"/>
      <c r="BL228" s="147"/>
      <c r="BM228" s="147"/>
      <c r="BN228" s="147"/>
      <c r="BO228" s="147"/>
      <c r="BP228" s="147"/>
      <c r="BQ228" s="147"/>
      <c r="BR228" s="147"/>
      <c r="BS228" s="147"/>
      <c r="BT228" s="147"/>
      <c r="BU228" s="147"/>
      <c r="BV228" s="147"/>
      <c r="BW228" s="147"/>
      <c r="BX228" s="147"/>
      <c r="BY228" s="147"/>
      <c r="BZ228" s="147"/>
      <c r="CA228" s="147"/>
      <c r="CB228" s="147"/>
      <c r="CC228" s="147"/>
      <c r="CD228" s="147"/>
      <c r="CE228" s="147"/>
      <c r="CF228" s="147"/>
      <c r="CG228" s="147"/>
      <c r="CH228" s="147"/>
      <c r="CI228" s="147"/>
      <c r="CJ228" s="147"/>
      <c r="CK228" s="147"/>
    </row>
    <row r="229" spans="1:89">
      <c r="A229" s="159" t="s">
        <v>296</v>
      </c>
      <c r="B229" s="3" t="s">
        <v>297</v>
      </c>
      <c r="C229" s="160" t="s">
        <v>72</v>
      </c>
      <c r="D229" s="160" t="s">
        <v>865</v>
      </c>
      <c r="E229" s="3" t="s">
        <v>23</v>
      </c>
      <c r="F229" s="3"/>
      <c r="G229" s="3"/>
      <c r="H229" s="156" t="str">
        <f ca="1">IFERROR(
  _xludf.MINIFS(ATTENDANCE_LOG!$F:$F,
         ATTENDANCE_LOG!$A:$A, C229,
         ATTENDANCE_LOG!$B:$B, E229),
"")</f>
        <v/>
      </c>
      <c r="I229" s="156" t="str">
        <f t="shared" ca="1" si="0"/>
        <v/>
      </c>
      <c r="J229" s="3" t="str">
        <f>IFERROR(VLOOKUP(F229, LEVEL_HELPER!$A:$B, 2, 0), "")</f>
        <v/>
      </c>
      <c r="K229" s="3" t="str">
        <f>IFERROR(VLOOKUP(G229, LEVEL_HELPER!$A:$B, 2, 0), "")</f>
        <v/>
      </c>
      <c r="L229" s="157" t="s">
        <v>918</v>
      </c>
      <c r="M229" s="157" t="s">
        <v>919</v>
      </c>
      <c r="N229" s="3">
        <f t="array" aca="1" ref="N229" ca="1">IFERROR(
  INDEX($J$2:$J$543,
    MATCH(A229&amp;TEXT(I229,"yyyy-mm-dd"),
          $A$2:$A$543&amp;TEXT($H$2:$H$543,"yyyy-mm-dd"),
          0)),
"")</f>
        <v>1</v>
      </c>
      <c r="O229" s="147" t="str">
        <f t="shared" ca="1" si="1"/>
        <v/>
      </c>
      <c r="P229" s="147">
        <f t="shared" ref="P229:Q229" ca="1" si="238">IF(N229="",0,IF(N229&lt;=2,1,IF(N229&lt;=4,2,IF(N229&lt;=5.5,3,4))))</f>
        <v>1</v>
      </c>
      <c r="Q229" s="147">
        <f t="shared" ca="1" si="238"/>
        <v>0</v>
      </c>
      <c r="R229" s="147" t="str">
        <f t="shared" ca="1" si="3"/>
        <v>Regressed</v>
      </c>
      <c r="S229" s="147">
        <f t="shared" si="4"/>
        <v>0</v>
      </c>
      <c r="T229" s="147"/>
      <c r="U229" s="147"/>
      <c r="V229" s="148" t="e">
        <f ca="1"/>
        <v>#NAME?</v>
      </c>
      <c r="W229" s="147" t="e">
        <f t="shared" ca="1" si="5"/>
        <v>#NAME?</v>
      </c>
      <c r="X229" s="147" t="e">
        <f t="shared" ca="1" si="6"/>
        <v>#NAME?</v>
      </c>
      <c r="Y229" s="147" t="e">
        <f t="shared" ca="1" si="7"/>
        <v>#NAME?</v>
      </c>
      <c r="Z229" s="147"/>
      <c r="AA229" s="147"/>
      <c r="AB229" s="147"/>
      <c r="AC229" s="147"/>
      <c r="AD229" s="147"/>
      <c r="AE229" s="147"/>
      <c r="AF229" s="147"/>
      <c r="AG229" s="147"/>
      <c r="AH229" s="147"/>
      <c r="AI229" s="147"/>
      <c r="AJ229" s="147"/>
      <c r="AK229" s="147"/>
      <c r="AL229" s="147"/>
      <c r="AM229" s="151"/>
      <c r="AN229" s="147"/>
      <c r="AO229" s="147" t="e">
        <f t="shared" si="8"/>
        <v>#N/A</v>
      </c>
      <c r="AP229" s="147" t="e">
        <f t="shared" ca="1" si="9"/>
        <v>#NAME?</v>
      </c>
      <c r="AQ229" s="147" t="e">
        <f t="shared" si="10"/>
        <v>#N/A</v>
      </c>
      <c r="AR229" s="147"/>
      <c r="AS229" s="147"/>
      <c r="AT229" s="147"/>
      <c r="AU229" s="147"/>
      <c r="AV229" s="147"/>
      <c r="AW229" s="147"/>
      <c r="AX229" s="147"/>
      <c r="AY229" s="147"/>
      <c r="AZ229" s="147"/>
      <c r="BA229" s="147"/>
      <c r="BB229" s="147"/>
      <c r="BC229" s="147"/>
      <c r="BD229" s="147"/>
      <c r="BE229" s="147"/>
      <c r="BF229" s="147"/>
      <c r="BG229" s="147"/>
      <c r="BH229" s="147"/>
      <c r="BI229" s="147"/>
      <c r="BJ229" s="147"/>
      <c r="BK229" s="147"/>
      <c r="BL229" s="147"/>
      <c r="BM229" s="147"/>
      <c r="BN229" s="147"/>
      <c r="BO229" s="147"/>
      <c r="BP229" s="147"/>
      <c r="BQ229" s="147"/>
      <c r="BR229" s="147"/>
      <c r="BS229" s="147"/>
      <c r="BT229" s="147"/>
      <c r="BU229" s="147"/>
      <c r="BV229" s="147"/>
      <c r="BW229" s="147"/>
      <c r="BX229" s="147"/>
      <c r="BY229" s="147"/>
      <c r="BZ229" s="147"/>
      <c r="CA229" s="147"/>
      <c r="CB229" s="147"/>
      <c r="CC229" s="147"/>
      <c r="CD229" s="147"/>
      <c r="CE229" s="147"/>
      <c r="CF229" s="147"/>
      <c r="CG229" s="147"/>
      <c r="CH229" s="147"/>
      <c r="CI229" s="147"/>
      <c r="CJ229" s="147"/>
      <c r="CK229" s="147"/>
    </row>
    <row r="230" spans="1:89">
      <c r="A230" s="159" t="s">
        <v>315</v>
      </c>
      <c r="B230" s="3" t="s">
        <v>316</v>
      </c>
      <c r="C230" s="160" t="s">
        <v>72</v>
      </c>
      <c r="D230" s="160" t="s">
        <v>865</v>
      </c>
      <c r="E230" s="3" t="s">
        <v>23</v>
      </c>
      <c r="F230" s="3"/>
      <c r="G230" s="3"/>
      <c r="H230" s="156" t="str">
        <f ca="1">IFERROR(
  _xludf.MINIFS(ATTENDANCE_LOG!$F:$F,
         ATTENDANCE_LOG!$A:$A, C230,
         ATTENDANCE_LOG!$B:$B, E230),
"")</f>
        <v/>
      </c>
      <c r="I230" s="156" t="str">
        <f t="shared" ca="1" si="0"/>
        <v/>
      </c>
      <c r="J230" s="3" t="str">
        <f>IFERROR(VLOOKUP(F230, LEVEL_HELPER!$A:$B, 2, 0), "")</f>
        <v/>
      </c>
      <c r="K230" s="3" t="str">
        <f>IFERROR(VLOOKUP(G230, LEVEL_HELPER!$A:$B, 2, 0), "")</f>
        <v/>
      </c>
      <c r="L230" s="157" t="s">
        <v>942</v>
      </c>
      <c r="M230" s="157" t="s">
        <v>925</v>
      </c>
      <c r="N230" s="3">
        <f t="array" aca="1" ref="N230" ca="1">IFERROR(
  INDEX($J$2:$J$543,
    MATCH(A230&amp;TEXT(I230,"yyyy-mm-dd"),
          $A$2:$A$543&amp;TEXT($H$2:$H$543,"yyyy-mm-dd"),
          0)),
"")</f>
        <v>1</v>
      </c>
      <c r="O230" s="147" t="str">
        <f t="shared" ca="1" si="1"/>
        <v/>
      </c>
      <c r="P230" s="147">
        <f t="shared" ref="P230:Q230" ca="1" si="239">IF(N230="",0,IF(N230&lt;=2,1,IF(N230&lt;=4,2,IF(N230&lt;=5.5,3,4))))</f>
        <v>1</v>
      </c>
      <c r="Q230" s="147">
        <f t="shared" ca="1" si="239"/>
        <v>0</v>
      </c>
      <c r="R230" s="147" t="str">
        <f t="shared" ca="1" si="3"/>
        <v>Regressed</v>
      </c>
      <c r="S230" s="147">
        <f t="shared" si="4"/>
        <v>0</v>
      </c>
      <c r="T230" s="147"/>
      <c r="U230" s="147"/>
      <c r="V230" s="148" t="e">
        <f ca="1"/>
        <v>#NAME?</v>
      </c>
      <c r="W230" s="147" t="e">
        <f t="shared" ca="1" si="5"/>
        <v>#NAME?</v>
      </c>
      <c r="X230" s="147" t="e">
        <f t="shared" ca="1" si="6"/>
        <v>#NAME?</v>
      </c>
      <c r="Y230" s="147" t="e">
        <f t="shared" ca="1" si="7"/>
        <v>#NAME?</v>
      </c>
      <c r="Z230" s="147"/>
      <c r="AA230" s="147"/>
      <c r="AB230" s="147"/>
      <c r="AC230" s="147"/>
      <c r="AD230" s="147"/>
      <c r="AE230" s="147"/>
      <c r="AF230" s="147"/>
      <c r="AG230" s="147"/>
      <c r="AH230" s="147"/>
      <c r="AI230" s="147"/>
      <c r="AJ230" s="147"/>
      <c r="AK230" s="147"/>
      <c r="AL230" s="147"/>
      <c r="AM230" s="151"/>
      <c r="AN230" s="147"/>
      <c r="AO230" s="147" t="e">
        <f t="shared" si="8"/>
        <v>#N/A</v>
      </c>
      <c r="AP230" s="147" t="e">
        <f t="shared" ca="1" si="9"/>
        <v>#NAME?</v>
      </c>
      <c r="AQ230" s="147" t="e">
        <f t="shared" si="10"/>
        <v>#N/A</v>
      </c>
      <c r="AR230" s="147"/>
      <c r="AS230" s="147"/>
      <c r="AT230" s="147"/>
      <c r="AU230" s="147"/>
      <c r="AV230" s="147"/>
      <c r="AW230" s="147"/>
      <c r="AX230" s="147"/>
      <c r="AY230" s="147"/>
      <c r="AZ230" s="147"/>
      <c r="BA230" s="147"/>
      <c r="BB230" s="147"/>
      <c r="BC230" s="147"/>
      <c r="BD230" s="147"/>
      <c r="BE230" s="147"/>
      <c r="BF230" s="147"/>
      <c r="BG230" s="147"/>
      <c r="BH230" s="147"/>
      <c r="BI230" s="147"/>
      <c r="BJ230" s="147"/>
      <c r="BK230" s="147"/>
      <c r="BL230" s="147"/>
      <c r="BM230" s="147"/>
      <c r="BN230" s="147"/>
      <c r="BO230" s="147"/>
      <c r="BP230" s="147"/>
      <c r="BQ230" s="147"/>
      <c r="BR230" s="147"/>
      <c r="BS230" s="147"/>
      <c r="BT230" s="147"/>
      <c r="BU230" s="147"/>
      <c r="BV230" s="147"/>
      <c r="BW230" s="147"/>
      <c r="BX230" s="147"/>
      <c r="BY230" s="147"/>
      <c r="BZ230" s="147"/>
      <c r="CA230" s="147"/>
      <c r="CB230" s="147"/>
      <c r="CC230" s="147"/>
      <c r="CD230" s="147"/>
      <c r="CE230" s="147"/>
      <c r="CF230" s="147"/>
      <c r="CG230" s="147"/>
      <c r="CH230" s="147"/>
      <c r="CI230" s="147"/>
      <c r="CJ230" s="147"/>
      <c r="CK230" s="147"/>
    </row>
    <row r="231" spans="1:89">
      <c r="A231" s="159" t="s">
        <v>319</v>
      </c>
      <c r="B231" s="3" t="s">
        <v>320</v>
      </c>
      <c r="C231" s="160" t="s">
        <v>72</v>
      </c>
      <c r="D231" s="160" t="s">
        <v>865</v>
      </c>
      <c r="E231" s="3" t="s">
        <v>23</v>
      </c>
      <c r="F231" s="3"/>
      <c r="G231" s="3"/>
      <c r="H231" s="156" t="str">
        <f ca="1">IFERROR(
  _xludf.MINIFS(ATTENDANCE_LOG!$F:$F,
         ATTENDANCE_LOG!$A:$A, C231,
         ATTENDANCE_LOG!$B:$B, E231),
"")</f>
        <v/>
      </c>
      <c r="I231" s="156" t="str">
        <f t="shared" ca="1" si="0"/>
        <v/>
      </c>
      <c r="J231" s="3" t="str">
        <f>IFERROR(VLOOKUP(F231, LEVEL_HELPER!$A:$B, 2, 0), "")</f>
        <v/>
      </c>
      <c r="K231" s="3" t="str">
        <f>IFERROR(VLOOKUP(G231, LEVEL_HELPER!$A:$B, 2, 0), "")</f>
        <v/>
      </c>
      <c r="L231" s="157" t="s">
        <v>918</v>
      </c>
      <c r="M231" s="157" t="s">
        <v>919</v>
      </c>
      <c r="N231" s="3">
        <f t="array" aca="1" ref="N231" ca="1">IFERROR(
  INDEX($J$2:$J$543,
    MATCH(A231&amp;TEXT(I231,"yyyy-mm-dd"),
          $A$2:$A$543&amp;TEXT($H$2:$H$543,"yyyy-mm-dd"),
          0)),
"")</f>
        <v>1</v>
      </c>
      <c r="O231" s="147" t="str">
        <f t="shared" ca="1" si="1"/>
        <v/>
      </c>
      <c r="P231" s="147">
        <f t="shared" ref="P231:Q231" ca="1" si="240">IF(N231="",0,IF(N231&lt;=2,1,IF(N231&lt;=4,2,IF(N231&lt;=5.5,3,4))))</f>
        <v>1</v>
      </c>
      <c r="Q231" s="147">
        <f t="shared" ca="1" si="240"/>
        <v>0</v>
      </c>
      <c r="R231" s="147" t="str">
        <f t="shared" ca="1" si="3"/>
        <v>Regressed</v>
      </c>
      <c r="S231" s="147">
        <f t="shared" si="4"/>
        <v>0</v>
      </c>
      <c r="T231" s="147"/>
      <c r="U231" s="147"/>
      <c r="V231" s="148" t="e">
        <f ca="1"/>
        <v>#NAME?</v>
      </c>
      <c r="W231" s="147" t="e">
        <f t="shared" ca="1" si="5"/>
        <v>#NAME?</v>
      </c>
      <c r="X231" s="147" t="e">
        <f t="shared" ca="1" si="6"/>
        <v>#NAME?</v>
      </c>
      <c r="Y231" s="147" t="e">
        <f t="shared" ca="1" si="7"/>
        <v>#NAME?</v>
      </c>
      <c r="Z231" s="147"/>
      <c r="AA231" s="147"/>
      <c r="AB231" s="147"/>
      <c r="AC231" s="147"/>
      <c r="AD231" s="147"/>
      <c r="AE231" s="147"/>
      <c r="AF231" s="147"/>
      <c r="AG231" s="147"/>
      <c r="AH231" s="147"/>
      <c r="AI231" s="147"/>
      <c r="AJ231" s="147"/>
      <c r="AK231" s="147"/>
      <c r="AL231" s="147"/>
      <c r="AM231" s="151"/>
      <c r="AN231" s="147"/>
      <c r="AO231" s="147" t="e">
        <f t="shared" si="8"/>
        <v>#N/A</v>
      </c>
      <c r="AP231" s="147" t="e">
        <f t="shared" ca="1" si="9"/>
        <v>#NAME?</v>
      </c>
      <c r="AQ231" s="147" t="e">
        <f t="shared" si="10"/>
        <v>#N/A</v>
      </c>
      <c r="AR231" s="147"/>
      <c r="AS231" s="147"/>
      <c r="AT231" s="147"/>
      <c r="AU231" s="147"/>
      <c r="AV231" s="147"/>
      <c r="AW231" s="147"/>
      <c r="AX231" s="147"/>
      <c r="AY231" s="147"/>
      <c r="AZ231" s="147"/>
      <c r="BA231" s="147"/>
      <c r="BB231" s="147"/>
      <c r="BC231" s="147"/>
      <c r="BD231" s="147"/>
      <c r="BE231" s="147"/>
      <c r="BF231" s="147"/>
      <c r="BG231" s="147"/>
      <c r="BH231" s="147"/>
      <c r="BI231" s="147"/>
      <c r="BJ231" s="147"/>
      <c r="BK231" s="147"/>
      <c r="BL231" s="147"/>
      <c r="BM231" s="147"/>
      <c r="BN231" s="147"/>
      <c r="BO231" s="147"/>
      <c r="BP231" s="147"/>
      <c r="BQ231" s="147"/>
      <c r="BR231" s="147"/>
      <c r="BS231" s="147"/>
      <c r="BT231" s="147"/>
      <c r="BU231" s="147"/>
      <c r="BV231" s="147"/>
      <c r="BW231" s="147"/>
      <c r="BX231" s="147"/>
      <c r="BY231" s="147"/>
      <c r="BZ231" s="147"/>
      <c r="CA231" s="147"/>
      <c r="CB231" s="147"/>
      <c r="CC231" s="147"/>
      <c r="CD231" s="147"/>
      <c r="CE231" s="147"/>
      <c r="CF231" s="147"/>
      <c r="CG231" s="147"/>
      <c r="CH231" s="147"/>
      <c r="CI231" s="147"/>
      <c r="CJ231" s="147"/>
      <c r="CK231" s="147"/>
    </row>
    <row r="232" spans="1:89">
      <c r="A232" s="159" t="s">
        <v>401</v>
      </c>
      <c r="B232" s="3" t="s">
        <v>402</v>
      </c>
      <c r="C232" s="160" t="s">
        <v>72</v>
      </c>
      <c r="D232" s="160" t="s">
        <v>865</v>
      </c>
      <c r="E232" s="3" t="s">
        <v>23</v>
      </c>
      <c r="F232" s="3"/>
      <c r="G232" s="3"/>
      <c r="H232" s="156" t="str">
        <f ca="1">IFERROR(
  _xludf.MINIFS(ATTENDANCE_LOG!$F:$F,
         ATTENDANCE_LOG!$A:$A, C232,
         ATTENDANCE_LOG!$B:$B, E232),
"")</f>
        <v/>
      </c>
      <c r="I232" s="156" t="str">
        <f t="shared" ca="1" si="0"/>
        <v/>
      </c>
      <c r="J232" s="3" t="str">
        <f>IFERROR(VLOOKUP(F232, LEVEL_HELPER!$A:$B, 2, 0), "")</f>
        <v/>
      </c>
      <c r="K232" s="3" t="str">
        <f>IFERROR(VLOOKUP(G232, LEVEL_HELPER!$A:$B, 2, 0), "")</f>
        <v/>
      </c>
      <c r="L232" s="157" t="s">
        <v>942</v>
      </c>
      <c r="M232" s="157" t="s">
        <v>919</v>
      </c>
      <c r="N232" s="3">
        <f t="array" aca="1" ref="N232" ca="1">IFERROR(
  INDEX($J$2:$J$543,
    MATCH(A232&amp;TEXT(I232,"yyyy-mm-dd"),
          $A$2:$A$543&amp;TEXT($H$2:$H$543,"yyyy-mm-dd"),
          0)),
"")</f>
        <v>1</v>
      </c>
      <c r="O232" s="147" t="str">
        <f t="shared" ca="1" si="1"/>
        <v/>
      </c>
      <c r="P232" s="147">
        <f t="shared" ref="P232:Q232" ca="1" si="241">IF(N232="",0,IF(N232&lt;=2,1,IF(N232&lt;=4,2,IF(N232&lt;=5.5,3,4))))</f>
        <v>1</v>
      </c>
      <c r="Q232" s="147">
        <f t="shared" ca="1" si="241"/>
        <v>0</v>
      </c>
      <c r="R232" s="147" t="str">
        <f t="shared" ca="1" si="3"/>
        <v>Regressed</v>
      </c>
      <c r="S232" s="147">
        <f t="shared" si="4"/>
        <v>0</v>
      </c>
      <c r="T232" s="147"/>
      <c r="U232" s="147"/>
      <c r="V232" s="148" t="e">
        <f ca="1"/>
        <v>#NAME?</v>
      </c>
      <c r="W232" s="147" t="e">
        <f t="shared" ca="1" si="5"/>
        <v>#NAME?</v>
      </c>
      <c r="X232" s="147" t="e">
        <f t="shared" ca="1" si="6"/>
        <v>#NAME?</v>
      </c>
      <c r="Y232" s="147" t="e">
        <f t="shared" ca="1" si="7"/>
        <v>#NAME?</v>
      </c>
      <c r="Z232" s="147"/>
      <c r="AA232" s="147"/>
      <c r="AB232" s="147"/>
      <c r="AC232" s="147"/>
      <c r="AD232" s="147"/>
      <c r="AE232" s="147"/>
      <c r="AF232" s="147"/>
      <c r="AG232" s="147"/>
      <c r="AH232" s="147"/>
      <c r="AI232" s="147"/>
      <c r="AJ232" s="147"/>
      <c r="AK232" s="147"/>
      <c r="AL232" s="147"/>
      <c r="AM232" s="151"/>
      <c r="AN232" s="147"/>
      <c r="AO232" s="147" t="e">
        <f t="shared" si="8"/>
        <v>#N/A</v>
      </c>
      <c r="AP232" s="147" t="e">
        <f t="shared" ca="1" si="9"/>
        <v>#NAME?</v>
      </c>
      <c r="AQ232" s="147" t="e">
        <f t="shared" si="10"/>
        <v>#N/A</v>
      </c>
      <c r="AR232" s="147"/>
      <c r="AS232" s="147"/>
      <c r="AT232" s="147"/>
      <c r="AU232" s="147"/>
      <c r="AV232" s="147"/>
      <c r="AW232" s="147"/>
      <c r="AX232" s="147"/>
      <c r="AY232" s="147"/>
      <c r="AZ232" s="147"/>
      <c r="BA232" s="147"/>
      <c r="BB232" s="147"/>
      <c r="BC232" s="147"/>
      <c r="BD232" s="147"/>
      <c r="BE232" s="147"/>
      <c r="BF232" s="147"/>
      <c r="BG232" s="147"/>
      <c r="BH232" s="147"/>
      <c r="BI232" s="147"/>
      <c r="BJ232" s="147"/>
      <c r="BK232" s="147"/>
      <c r="BL232" s="147"/>
      <c r="BM232" s="147"/>
      <c r="BN232" s="147"/>
      <c r="BO232" s="147"/>
      <c r="BP232" s="147"/>
      <c r="BQ232" s="147"/>
      <c r="BR232" s="147"/>
      <c r="BS232" s="147"/>
      <c r="BT232" s="147"/>
      <c r="BU232" s="147"/>
      <c r="BV232" s="147"/>
      <c r="BW232" s="147"/>
      <c r="BX232" s="147"/>
      <c r="BY232" s="147"/>
      <c r="BZ232" s="147"/>
      <c r="CA232" s="147"/>
      <c r="CB232" s="147"/>
      <c r="CC232" s="147"/>
      <c r="CD232" s="147"/>
      <c r="CE232" s="147"/>
      <c r="CF232" s="147"/>
      <c r="CG232" s="147"/>
      <c r="CH232" s="147"/>
      <c r="CI232" s="147"/>
      <c r="CJ232" s="147"/>
      <c r="CK232" s="147"/>
    </row>
    <row r="233" spans="1:89">
      <c r="A233" s="159" t="s">
        <v>474</v>
      </c>
      <c r="B233" s="3" t="s">
        <v>475</v>
      </c>
      <c r="C233" s="160" t="s">
        <v>72</v>
      </c>
      <c r="D233" s="160" t="s">
        <v>865</v>
      </c>
      <c r="E233" s="3" t="s">
        <v>23</v>
      </c>
      <c r="F233" s="3"/>
      <c r="G233" s="3"/>
      <c r="H233" s="156" t="str">
        <f ca="1">IFERROR(
  _xludf.MINIFS(ATTENDANCE_LOG!$F:$F,
         ATTENDANCE_LOG!$A:$A, C233,
         ATTENDANCE_LOG!$B:$B, E233),
"")</f>
        <v/>
      </c>
      <c r="I233" s="156" t="str">
        <f t="shared" ca="1" si="0"/>
        <v/>
      </c>
      <c r="J233" s="3" t="str">
        <f>IFERROR(VLOOKUP(F233, LEVEL_HELPER!$A:$B, 2, 0), "")</f>
        <v/>
      </c>
      <c r="K233" s="3" t="str">
        <f>IFERROR(VLOOKUP(G233, LEVEL_HELPER!$A:$B, 2, 0), "")</f>
        <v/>
      </c>
      <c r="L233" s="157" t="s">
        <v>918</v>
      </c>
      <c r="M233" s="157" t="s">
        <v>919</v>
      </c>
      <c r="N233" s="3">
        <f t="array" aca="1" ref="N233" ca="1">IFERROR(
  INDEX($J$2:$J$543,
    MATCH(A233&amp;TEXT(I233,"yyyy-mm-dd"),
          $A$2:$A$543&amp;TEXT($H$2:$H$543,"yyyy-mm-dd"),
          0)),
"")</f>
        <v>1</v>
      </c>
      <c r="O233" s="147" t="str">
        <f t="shared" ca="1" si="1"/>
        <v/>
      </c>
      <c r="P233" s="147">
        <f t="shared" ref="P233:Q233" ca="1" si="242">IF(N233="",0,IF(N233&lt;=2,1,IF(N233&lt;=4,2,IF(N233&lt;=5.5,3,4))))</f>
        <v>1</v>
      </c>
      <c r="Q233" s="147">
        <f t="shared" ca="1" si="242"/>
        <v>0</v>
      </c>
      <c r="R233" s="147" t="str">
        <f t="shared" ca="1" si="3"/>
        <v>Regressed</v>
      </c>
      <c r="S233" s="147">
        <f t="shared" si="4"/>
        <v>0</v>
      </c>
      <c r="T233" s="147"/>
      <c r="U233" s="147"/>
      <c r="V233" s="148" t="e">
        <f ca="1"/>
        <v>#NAME?</v>
      </c>
      <c r="W233" s="147" t="e">
        <f t="shared" ca="1" si="5"/>
        <v>#NAME?</v>
      </c>
      <c r="X233" s="147" t="e">
        <f t="shared" ca="1" si="6"/>
        <v>#NAME?</v>
      </c>
      <c r="Y233" s="147" t="e">
        <f t="shared" ca="1" si="7"/>
        <v>#NAME?</v>
      </c>
      <c r="Z233" s="147"/>
      <c r="AA233" s="147"/>
      <c r="AB233" s="147"/>
      <c r="AC233" s="147"/>
      <c r="AD233" s="147"/>
      <c r="AE233" s="147"/>
      <c r="AF233" s="147"/>
      <c r="AG233" s="147"/>
      <c r="AH233" s="147"/>
      <c r="AI233" s="147"/>
      <c r="AJ233" s="147"/>
      <c r="AK233" s="147"/>
      <c r="AL233" s="147"/>
      <c r="AM233" s="151"/>
      <c r="AN233" s="147"/>
      <c r="AO233" s="147" t="e">
        <f t="shared" si="8"/>
        <v>#N/A</v>
      </c>
      <c r="AP233" s="147" t="e">
        <f t="shared" ca="1" si="9"/>
        <v>#NAME?</v>
      </c>
      <c r="AQ233" s="147" t="e">
        <f t="shared" si="10"/>
        <v>#N/A</v>
      </c>
      <c r="AR233" s="147"/>
      <c r="AS233" s="147"/>
      <c r="AT233" s="147"/>
      <c r="AU233" s="147"/>
      <c r="AV233" s="147"/>
      <c r="AW233" s="147"/>
      <c r="AX233" s="147"/>
      <c r="AY233" s="147"/>
      <c r="AZ233" s="147"/>
      <c r="BA233" s="147"/>
      <c r="BB233" s="147"/>
      <c r="BC233" s="147"/>
      <c r="BD233" s="147"/>
      <c r="BE233" s="147"/>
      <c r="BF233" s="147"/>
      <c r="BG233" s="147"/>
      <c r="BH233" s="147"/>
      <c r="BI233" s="147"/>
      <c r="BJ233" s="147"/>
      <c r="BK233" s="147"/>
      <c r="BL233" s="147"/>
      <c r="BM233" s="147"/>
      <c r="BN233" s="147"/>
      <c r="BO233" s="147"/>
      <c r="BP233" s="147"/>
      <c r="BQ233" s="147"/>
      <c r="BR233" s="147"/>
      <c r="BS233" s="147"/>
      <c r="BT233" s="147"/>
      <c r="BU233" s="147"/>
      <c r="BV233" s="147"/>
      <c r="BW233" s="147"/>
      <c r="BX233" s="147"/>
      <c r="BY233" s="147"/>
      <c r="BZ233" s="147"/>
      <c r="CA233" s="147"/>
      <c r="CB233" s="147"/>
      <c r="CC233" s="147"/>
      <c r="CD233" s="147"/>
      <c r="CE233" s="147"/>
      <c r="CF233" s="147"/>
      <c r="CG233" s="147"/>
      <c r="CH233" s="147"/>
      <c r="CI233" s="147"/>
      <c r="CJ233" s="147"/>
      <c r="CK233" s="147"/>
    </row>
    <row r="234" spans="1:89">
      <c r="A234" s="153" t="s">
        <v>309</v>
      </c>
      <c r="B234" s="154" t="s">
        <v>310</v>
      </c>
      <c r="C234" s="155" t="s">
        <v>73</v>
      </c>
      <c r="D234" s="155" t="s">
        <v>866</v>
      </c>
      <c r="E234" s="154" t="s">
        <v>21</v>
      </c>
      <c r="F234" s="3" t="s">
        <v>926</v>
      </c>
      <c r="G234" s="3" t="s">
        <v>928</v>
      </c>
      <c r="H234" s="156" t="str">
        <f ca="1">IFERROR(
  _xludf.MINIFS(ATTENDANCE_LOG!$F:$F,
         ATTENDANCE_LOG!$A:$A, C234,
         ATTENDANCE_LOG!$B:$B, E234),
"")</f>
        <v/>
      </c>
      <c r="I234" s="156" t="str">
        <f t="shared" ca="1" si="0"/>
        <v/>
      </c>
      <c r="J234" s="3">
        <f>IFERROR(VLOOKUP(F234, LEVEL_HELPER!$A:$B, 2, 0), "")</f>
        <v>1</v>
      </c>
      <c r="K234" s="3">
        <f>IFERROR(VLOOKUP(G234, LEVEL_HELPER!$A:$B, 2, 0), "")</f>
        <v>1.5</v>
      </c>
      <c r="L234" s="157" t="s">
        <v>942</v>
      </c>
      <c r="M234" s="157" t="s">
        <v>923</v>
      </c>
      <c r="N234" s="3">
        <f t="array" aca="1" ref="N234" ca="1">IFERROR(
  INDEX($J$2:$J$543,
    MATCH(A234&amp;TEXT(I234,"yyyy-mm-dd"),
          $A$2:$A$543&amp;TEXT($H$2:$H$543,"yyyy-mm-dd"),
          0)),
"")</f>
        <v>1</v>
      </c>
      <c r="O234" s="147" t="str">
        <f t="shared" ca="1" si="1"/>
        <v/>
      </c>
      <c r="P234" s="147">
        <f t="shared" ref="P234:Q234" ca="1" si="243">IF(N234="",0,IF(N234&lt;=2,1,IF(N234&lt;=4,2,IF(N234&lt;=5.5,3,4))))</f>
        <v>1</v>
      </c>
      <c r="Q234" s="147">
        <f t="shared" ca="1" si="243"/>
        <v>0</v>
      </c>
      <c r="R234" s="147" t="str">
        <f t="shared" ca="1" si="3"/>
        <v>Regressed</v>
      </c>
      <c r="S234" s="147">
        <f t="shared" si="4"/>
        <v>1</v>
      </c>
      <c r="T234" s="147"/>
      <c r="U234" s="147"/>
      <c r="V234" s="148" t="e">
        <f ca="1"/>
        <v>#NAME?</v>
      </c>
      <c r="W234" s="147" t="e">
        <f t="shared" ca="1" si="5"/>
        <v>#NAME?</v>
      </c>
      <c r="X234" s="147" t="e">
        <f t="shared" ca="1" si="6"/>
        <v>#NAME?</v>
      </c>
      <c r="Y234" s="147" t="e">
        <f t="shared" ca="1" si="7"/>
        <v>#NAME?</v>
      </c>
      <c r="Z234" s="147"/>
      <c r="AA234" s="147"/>
      <c r="AB234" s="147"/>
      <c r="AC234" s="147"/>
      <c r="AD234" s="147"/>
      <c r="AE234" s="147"/>
      <c r="AF234" s="147"/>
      <c r="AG234" s="147"/>
      <c r="AH234" s="147"/>
      <c r="AI234" s="147"/>
      <c r="AJ234" s="147"/>
      <c r="AK234" s="147"/>
      <c r="AL234" s="147"/>
      <c r="AM234" s="151"/>
      <c r="AN234" s="147"/>
      <c r="AO234" s="147" t="e">
        <f t="shared" si="8"/>
        <v>#N/A</v>
      </c>
      <c r="AP234" s="147" t="e">
        <f t="shared" ca="1" si="9"/>
        <v>#NAME?</v>
      </c>
      <c r="AQ234" s="147" t="e">
        <f t="shared" si="10"/>
        <v>#N/A</v>
      </c>
      <c r="AR234" s="147"/>
      <c r="AS234" s="147"/>
      <c r="AT234" s="147"/>
      <c r="AU234" s="147"/>
      <c r="AV234" s="147"/>
      <c r="AW234" s="147"/>
      <c r="AX234" s="147"/>
      <c r="AY234" s="147"/>
      <c r="AZ234" s="147"/>
      <c r="BA234" s="147"/>
      <c r="BB234" s="147"/>
      <c r="BC234" s="147"/>
      <c r="BD234" s="147"/>
      <c r="BE234" s="147"/>
      <c r="BF234" s="147"/>
      <c r="BG234" s="147"/>
      <c r="BH234" s="147"/>
      <c r="BI234" s="147"/>
      <c r="BJ234" s="147"/>
      <c r="BK234" s="147"/>
      <c r="BL234" s="147"/>
      <c r="BM234" s="147"/>
      <c r="BN234" s="147"/>
      <c r="BO234" s="147"/>
      <c r="BP234" s="147"/>
      <c r="BQ234" s="147"/>
      <c r="BR234" s="147"/>
      <c r="BS234" s="147"/>
      <c r="BT234" s="147"/>
      <c r="BU234" s="147"/>
      <c r="BV234" s="147"/>
      <c r="BW234" s="147"/>
      <c r="BX234" s="147"/>
      <c r="BY234" s="147"/>
      <c r="BZ234" s="147"/>
      <c r="CA234" s="147"/>
      <c r="CB234" s="147"/>
      <c r="CC234" s="147"/>
      <c r="CD234" s="147"/>
      <c r="CE234" s="147"/>
      <c r="CF234" s="147"/>
      <c r="CG234" s="147"/>
      <c r="CH234" s="147"/>
      <c r="CI234" s="147"/>
      <c r="CJ234" s="147"/>
      <c r="CK234" s="147"/>
    </row>
    <row r="235" spans="1:89">
      <c r="A235" s="159" t="s">
        <v>332</v>
      </c>
      <c r="B235" s="3" t="s">
        <v>333</v>
      </c>
      <c r="C235" s="160" t="s">
        <v>73</v>
      </c>
      <c r="D235" s="160" t="s">
        <v>866</v>
      </c>
      <c r="E235" s="3" t="s">
        <v>21</v>
      </c>
      <c r="F235" s="3" t="s">
        <v>926</v>
      </c>
      <c r="G235" s="3" t="s">
        <v>917</v>
      </c>
      <c r="H235" s="156" t="str">
        <f ca="1">IFERROR(
  _xludf.MINIFS(ATTENDANCE_LOG!$F:$F,
         ATTENDANCE_LOG!$A:$A, C235,
         ATTENDANCE_LOG!$B:$B, E235),
"")</f>
        <v/>
      </c>
      <c r="I235" s="156" t="str">
        <f t="shared" ca="1" si="0"/>
        <v/>
      </c>
      <c r="J235" s="3">
        <f>IFERROR(VLOOKUP(F235, LEVEL_HELPER!$A:$B, 2, 0), "")</f>
        <v>1</v>
      </c>
      <c r="K235" s="3">
        <f>IFERROR(VLOOKUP(G235, LEVEL_HELPER!$A:$B, 2, 0), "")</f>
        <v>3</v>
      </c>
      <c r="L235" s="157" t="s">
        <v>942</v>
      </c>
      <c r="M235" s="157" t="s">
        <v>923</v>
      </c>
      <c r="N235" s="3">
        <f t="array" aca="1" ref="N235" ca="1">IFERROR(
  INDEX($J$2:$J$543,
    MATCH(A235&amp;TEXT(I235,"yyyy-mm-dd"),
          $A$2:$A$543&amp;TEXT($H$2:$H$543,"yyyy-mm-dd"),
          0)),
"")</f>
        <v>1</v>
      </c>
      <c r="O235" s="147" t="str">
        <f t="shared" ca="1" si="1"/>
        <v/>
      </c>
      <c r="P235" s="147">
        <f t="shared" ref="P235:Q235" ca="1" si="244">IF(N235="",0,IF(N235&lt;=2,1,IF(N235&lt;=4,2,IF(N235&lt;=5.5,3,4))))</f>
        <v>1</v>
      </c>
      <c r="Q235" s="147">
        <f t="shared" ca="1" si="244"/>
        <v>0</v>
      </c>
      <c r="R235" s="147" t="str">
        <f t="shared" ca="1" si="3"/>
        <v>Regressed</v>
      </c>
      <c r="S235" s="147">
        <f t="shared" si="4"/>
        <v>1</v>
      </c>
      <c r="T235" s="147"/>
      <c r="U235" s="147"/>
      <c r="V235" s="148" t="e">
        <f ca="1"/>
        <v>#NAME?</v>
      </c>
      <c r="W235" s="147" t="e">
        <f t="shared" ca="1" si="5"/>
        <v>#NAME?</v>
      </c>
      <c r="X235" s="147" t="e">
        <f t="shared" ca="1" si="6"/>
        <v>#NAME?</v>
      </c>
      <c r="Y235" s="147" t="e">
        <f t="shared" ca="1" si="7"/>
        <v>#NAME?</v>
      </c>
      <c r="Z235" s="147"/>
      <c r="AA235" s="147"/>
      <c r="AB235" s="147"/>
      <c r="AC235" s="147"/>
      <c r="AD235" s="147"/>
      <c r="AE235" s="147"/>
      <c r="AF235" s="147"/>
      <c r="AG235" s="147"/>
      <c r="AH235" s="147"/>
      <c r="AI235" s="147"/>
      <c r="AJ235" s="147"/>
      <c r="AK235" s="147"/>
      <c r="AL235" s="147"/>
      <c r="AM235" s="151"/>
      <c r="AN235" s="147"/>
      <c r="AO235" s="147" t="e">
        <f t="shared" si="8"/>
        <v>#N/A</v>
      </c>
      <c r="AP235" s="147" t="e">
        <f t="shared" ca="1" si="9"/>
        <v>#NAME?</v>
      </c>
      <c r="AQ235" s="147" t="e">
        <f t="shared" si="10"/>
        <v>#N/A</v>
      </c>
      <c r="AR235" s="147"/>
      <c r="AS235" s="147"/>
      <c r="AT235" s="147"/>
      <c r="AU235" s="147"/>
      <c r="AV235" s="147"/>
      <c r="AW235" s="147"/>
      <c r="AX235" s="147"/>
      <c r="AY235" s="147"/>
      <c r="AZ235" s="147"/>
      <c r="BA235" s="147"/>
      <c r="BB235" s="147"/>
      <c r="BC235" s="147"/>
      <c r="BD235" s="147"/>
      <c r="BE235" s="147"/>
      <c r="BF235" s="147"/>
      <c r="BG235" s="147"/>
      <c r="BH235" s="147"/>
      <c r="BI235" s="147"/>
      <c r="BJ235" s="147"/>
      <c r="BK235" s="147"/>
      <c r="BL235" s="147"/>
      <c r="BM235" s="147"/>
      <c r="BN235" s="147"/>
      <c r="BO235" s="147"/>
      <c r="BP235" s="147"/>
      <c r="BQ235" s="147"/>
      <c r="BR235" s="147"/>
      <c r="BS235" s="147"/>
      <c r="BT235" s="147"/>
      <c r="BU235" s="147"/>
      <c r="BV235" s="147"/>
      <c r="BW235" s="147"/>
      <c r="BX235" s="147"/>
      <c r="BY235" s="147"/>
      <c r="BZ235" s="147"/>
      <c r="CA235" s="147"/>
      <c r="CB235" s="147"/>
      <c r="CC235" s="147"/>
      <c r="CD235" s="147"/>
      <c r="CE235" s="147"/>
      <c r="CF235" s="147"/>
      <c r="CG235" s="147"/>
      <c r="CH235" s="147"/>
      <c r="CI235" s="147"/>
      <c r="CJ235" s="147"/>
      <c r="CK235" s="147"/>
    </row>
    <row r="236" spans="1:89">
      <c r="A236" s="159" t="s">
        <v>419</v>
      </c>
      <c r="B236" s="3" t="s">
        <v>420</v>
      </c>
      <c r="C236" s="160" t="s">
        <v>73</v>
      </c>
      <c r="D236" s="160" t="s">
        <v>866</v>
      </c>
      <c r="E236" s="3" t="s">
        <v>21</v>
      </c>
      <c r="F236" s="3" t="s">
        <v>926</v>
      </c>
      <c r="G236" s="3" t="s">
        <v>926</v>
      </c>
      <c r="H236" s="156" t="str">
        <f ca="1">IFERROR(
  _xludf.MINIFS(ATTENDANCE_LOG!$F:$F,
         ATTENDANCE_LOG!$A:$A, C236,
         ATTENDANCE_LOG!$B:$B, E236),
"")</f>
        <v/>
      </c>
      <c r="I236" s="156" t="str">
        <f t="shared" ca="1" si="0"/>
        <v/>
      </c>
      <c r="J236" s="3">
        <f>IFERROR(VLOOKUP(F236, LEVEL_HELPER!$A:$B, 2, 0), "")</f>
        <v>1</v>
      </c>
      <c r="K236" s="3">
        <f>IFERROR(VLOOKUP(G236, LEVEL_HELPER!$A:$B, 2, 0), "")</f>
        <v>1</v>
      </c>
      <c r="L236" s="157" t="s">
        <v>942</v>
      </c>
      <c r="M236" s="157" t="s">
        <v>922</v>
      </c>
      <c r="N236" s="3">
        <f t="array" aca="1" ref="N236" ca="1">IFERROR(
  INDEX($J$2:$J$543,
    MATCH(A236&amp;TEXT(I236,"yyyy-mm-dd"),
          $A$2:$A$543&amp;TEXT($H$2:$H$543,"yyyy-mm-dd"),
          0)),
"")</f>
        <v>1</v>
      </c>
      <c r="O236" s="147" t="str">
        <f t="shared" ca="1" si="1"/>
        <v/>
      </c>
      <c r="P236" s="147">
        <f t="shared" ref="P236:Q236" ca="1" si="245">IF(N236="",0,IF(N236&lt;=2,1,IF(N236&lt;=4,2,IF(N236&lt;=5.5,3,4))))</f>
        <v>1</v>
      </c>
      <c r="Q236" s="147">
        <f t="shared" ca="1" si="245"/>
        <v>0</v>
      </c>
      <c r="R236" s="147" t="str">
        <f t="shared" ca="1" si="3"/>
        <v>Regressed</v>
      </c>
      <c r="S236" s="147">
        <f t="shared" si="4"/>
        <v>1</v>
      </c>
      <c r="T236" s="147"/>
      <c r="U236" s="147"/>
      <c r="V236" s="148" t="e">
        <f ca="1"/>
        <v>#NAME?</v>
      </c>
      <c r="W236" s="147" t="e">
        <f t="shared" ca="1" si="5"/>
        <v>#NAME?</v>
      </c>
      <c r="X236" s="147" t="e">
        <f t="shared" ca="1" si="6"/>
        <v>#NAME?</v>
      </c>
      <c r="Y236" s="147" t="e">
        <f t="shared" ca="1" si="7"/>
        <v>#NAME?</v>
      </c>
      <c r="Z236" s="147"/>
      <c r="AA236" s="147"/>
      <c r="AB236" s="147"/>
      <c r="AC236" s="147"/>
      <c r="AD236" s="147"/>
      <c r="AE236" s="147"/>
      <c r="AF236" s="147"/>
      <c r="AG236" s="147"/>
      <c r="AH236" s="147"/>
      <c r="AI236" s="147"/>
      <c r="AJ236" s="147"/>
      <c r="AK236" s="147"/>
      <c r="AL236" s="147"/>
      <c r="AM236" s="151"/>
      <c r="AN236" s="147"/>
      <c r="AO236" s="147" t="e">
        <f t="shared" si="8"/>
        <v>#N/A</v>
      </c>
      <c r="AP236" s="147" t="e">
        <f t="shared" ca="1" si="9"/>
        <v>#NAME?</v>
      </c>
      <c r="AQ236" s="147" t="e">
        <f t="shared" si="10"/>
        <v>#N/A</v>
      </c>
      <c r="AR236" s="147"/>
      <c r="AS236" s="147"/>
      <c r="AT236" s="147"/>
      <c r="AU236" s="147"/>
      <c r="AV236" s="147"/>
      <c r="AW236" s="147"/>
      <c r="AX236" s="147"/>
      <c r="AY236" s="147"/>
      <c r="AZ236" s="147"/>
      <c r="BA236" s="147"/>
      <c r="BB236" s="147"/>
      <c r="BC236" s="147"/>
      <c r="BD236" s="147"/>
      <c r="BE236" s="147"/>
      <c r="BF236" s="147"/>
      <c r="BG236" s="147"/>
      <c r="BH236" s="147"/>
      <c r="BI236" s="147"/>
      <c r="BJ236" s="147"/>
      <c r="BK236" s="147"/>
      <c r="BL236" s="147"/>
      <c r="BM236" s="147"/>
      <c r="BN236" s="147"/>
      <c r="BO236" s="147"/>
      <c r="BP236" s="147"/>
      <c r="BQ236" s="147"/>
      <c r="BR236" s="147"/>
      <c r="BS236" s="147"/>
      <c r="BT236" s="147"/>
      <c r="BU236" s="147"/>
      <c r="BV236" s="147"/>
      <c r="BW236" s="147"/>
      <c r="BX236" s="147"/>
      <c r="BY236" s="147"/>
      <c r="BZ236" s="147"/>
      <c r="CA236" s="147"/>
      <c r="CB236" s="147"/>
      <c r="CC236" s="147"/>
      <c r="CD236" s="147"/>
      <c r="CE236" s="147"/>
      <c r="CF236" s="147"/>
      <c r="CG236" s="147"/>
      <c r="CH236" s="147"/>
      <c r="CI236" s="147"/>
      <c r="CJ236" s="147"/>
      <c r="CK236" s="147"/>
    </row>
    <row r="237" spans="1:89">
      <c r="A237" s="159" t="s">
        <v>562</v>
      </c>
      <c r="B237" s="3" t="s">
        <v>563</v>
      </c>
      <c r="C237" s="160" t="s">
        <v>73</v>
      </c>
      <c r="D237" s="160" t="s">
        <v>866</v>
      </c>
      <c r="E237" s="3" t="s">
        <v>21</v>
      </c>
      <c r="F237" s="3" t="s">
        <v>926</v>
      </c>
      <c r="G237" s="3" t="s">
        <v>917</v>
      </c>
      <c r="H237" s="156" t="str">
        <f ca="1">IFERROR(
  _xludf.MINIFS(ATTENDANCE_LOG!$F:$F,
         ATTENDANCE_LOG!$A:$A, C237,
         ATTENDANCE_LOG!$B:$B, E237),
"")</f>
        <v/>
      </c>
      <c r="I237" s="156" t="str">
        <f t="shared" ca="1" si="0"/>
        <v/>
      </c>
      <c r="J237" s="3">
        <f>IFERROR(VLOOKUP(F237, LEVEL_HELPER!$A:$B, 2, 0), "")</f>
        <v>1</v>
      </c>
      <c r="K237" s="3">
        <f>IFERROR(VLOOKUP(G237, LEVEL_HELPER!$A:$B, 2, 0), "")</f>
        <v>3</v>
      </c>
      <c r="L237" s="157" t="s">
        <v>942</v>
      </c>
      <c r="M237" s="157" t="s">
        <v>923</v>
      </c>
      <c r="N237" s="3">
        <f t="array" aca="1" ref="N237" ca="1">IFERROR(
  INDEX($J$2:$J$543,
    MATCH(A237&amp;TEXT(I237,"yyyy-mm-dd"),
          $A$2:$A$543&amp;TEXT($H$2:$H$543,"yyyy-mm-dd"),
          0)),
"")</f>
        <v>1</v>
      </c>
      <c r="O237" s="147" t="str">
        <f t="shared" ca="1" si="1"/>
        <v/>
      </c>
      <c r="P237" s="147">
        <f t="shared" ref="P237:Q237" ca="1" si="246">IF(N237="",0,IF(N237&lt;=2,1,IF(N237&lt;=4,2,IF(N237&lt;=5.5,3,4))))</f>
        <v>1</v>
      </c>
      <c r="Q237" s="147">
        <f t="shared" ca="1" si="246"/>
        <v>0</v>
      </c>
      <c r="R237" s="147" t="str">
        <f t="shared" ca="1" si="3"/>
        <v>Regressed</v>
      </c>
      <c r="S237" s="147">
        <f t="shared" si="4"/>
        <v>1</v>
      </c>
      <c r="T237" s="147"/>
      <c r="U237" s="147"/>
      <c r="V237" s="148" t="e">
        <f ca="1"/>
        <v>#NAME?</v>
      </c>
      <c r="W237" s="147" t="e">
        <f t="shared" ca="1" si="5"/>
        <v>#NAME?</v>
      </c>
      <c r="X237" s="147" t="e">
        <f t="shared" ca="1" si="6"/>
        <v>#NAME?</v>
      </c>
      <c r="Y237" s="147" t="e">
        <f t="shared" ca="1" si="7"/>
        <v>#NAME?</v>
      </c>
      <c r="Z237" s="147"/>
      <c r="AA237" s="147"/>
      <c r="AB237" s="147"/>
      <c r="AC237" s="147"/>
      <c r="AD237" s="147"/>
      <c r="AE237" s="147"/>
      <c r="AF237" s="147"/>
      <c r="AG237" s="147"/>
      <c r="AH237" s="147"/>
      <c r="AI237" s="147"/>
      <c r="AJ237" s="147"/>
      <c r="AK237" s="147"/>
      <c r="AL237" s="147"/>
      <c r="AM237" s="151"/>
      <c r="AN237" s="147"/>
      <c r="AO237" s="147" t="e">
        <f t="shared" si="8"/>
        <v>#N/A</v>
      </c>
      <c r="AP237" s="147" t="e">
        <f t="shared" ca="1" si="9"/>
        <v>#NAME?</v>
      </c>
      <c r="AQ237" s="147" t="e">
        <f t="shared" si="10"/>
        <v>#N/A</v>
      </c>
      <c r="AR237" s="147"/>
      <c r="AS237" s="147"/>
      <c r="AT237" s="147"/>
      <c r="AU237" s="147"/>
      <c r="AV237" s="147"/>
      <c r="AW237" s="147"/>
      <c r="AX237" s="147"/>
      <c r="AY237" s="147"/>
      <c r="AZ237" s="147"/>
      <c r="BA237" s="147"/>
      <c r="BB237" s="147"/>
      <c r="BC237" s="147"/>
      <c r="BD237" s="147"/>
      <c r="BE237" s="147"/>
      <c r="BF237" s="147"/>
      <c r="BG237" s="147"/>
      <c r="BH237" s="147"/>
      <c r="BI237" s="147"/>
      <c r="BJ237" s="147"/>
      <c r="BK237" s="147"/>
      <c r="BL237" s="147"/>
      <c r="BM237" s="147"/>
      <c r="BN237" s="147"/>
      <c r="BO237" s="147"/>
      <c r="BP237" s="147"/>
      <c r="BQ237" s="147"/>
      <c r="BR237" s="147"/>
      <c r="BS237" s="147"/>
      <c r="BT237" s="147"/>
      <c r="BU237" s="147"/>
      <c r="BV237" s="147"/>
      <c r="BW237" s="147"/>
      <c r="BX237" s="147"/>
      <c r="BY237" s="147"/>
      <c r="BZ237" s="147"/>
      <c r="CA237" s="147"/>
      <c r="CB237" s="147"/>
      <c r="CC237" s="147"/>
      <c r="CD237" s="147"/>
      <c r="CE237" s="147"/>
      <c r="CF237" s="147"/>
      <c r="CG237" s="147"/>
      <c r="CH237" s="147"/>
      <c r="CI237" s="147"/>
      <c r="CJ237" s="147"/>
      <c r="CK237" s="147"/>
    </row>
    <row r="238" spans="1:89">
      <c r="A238" s="159" t="s">
        <v>693</v>
      </c>
      <c r="B238" s="3" t="s">
        <v>694</v>
      </c>
      <c r="C238" s="160" t="s">
        <v>73</v>
      </c>
      <c r="D238" s="160" t="s">
        <v>866</v>
      </c>
      <c r="E238" s="3" t="s">
        <v>21</v>
      </c>
      <c r="F238" s="3" t="s">
        <v>926</v>
      </c>
      <c r="G238" s="3" t="s">
        <v>917</v>
      </c>
      <c r="H238" s="156" t="str">
        <f ca="1">IFERROR(
  _xludf.MINIFS(ATTENDANCE_LOG!$F:$F,
         ATTENDANCE_LOG!$A:$A, C238,
         ATTENDANCE_LOG!$B:$B, E238),
"")</f>
        <v/>
      </c>
      <c r="I238" s="156" t="str">
        <f t="shared" ca="1" si="0"/>
        <v/>
      </c>
      <c r="J238" s="3">
        <f>IFERROR(VLOOKUP(F238, LEVEL_HELPER!$A:$B, 2, 0), "")</f>
        <v>1</v>
      </c>
      <c r="K238" s="3">
        <f>IFERROR(VLOOKUP(G238, LEVEL_HELPER!$A:$B, 2, 0), "")</f>
        <v>3</v>
      </c>
      <c r="L238" s="157" t="s">
        <v>942</v>
      </c>
      <c r="M238" s="157" t="s">
        <v>923</v>
      </c>
      <c r="N238" s="3">
        <f t="array" aca="1" ref="N238" ca="1">IFERROR(
  INDEX($J$2:$J$543,
    MATCH(A238&amp;TEXT(I238,"yyyy-mm-dd"),
          $A$2:$A$543&amp;TEXT($H$2:$H$543,"yyyy-mm-dd"),
          0)),
"")</f>
        <v>1</v>
      </c>
      <c r="O238" s="147" t="str">
        <f t="shared" ca="1" si="1"/>
        <v/>
      </c>
      <c r="P238" s="147">
        <f t="shared" ref="P238:Q238" ca="1" si="247">IF(N238="",0,IF(N238&lt;=2,1,IF(N238&lt;=4,2,IF(N238&lt;=5.5,3,4))))</f>
        <v>1</v>
      </c>
      <c r="Q238" s="147">
        <f t="shared" ca="1" si="247"/>
        <v>0</v>
      </c>
      <c r="R238" s="147" t="str">
        <f t="shared" ca="1" si="3"/>
        <v>Regressed</v>
      </c>
      <c r="S238" s="147">
        <f t="shared" si="4"/>
        <v>1</v>
      </c>
      <c r="T238" s="147"/>
      <c r="U238" s="147"/>
      <c r="V238" s="148" t="e">
        <f ca="1"/>
        <v>#NAME?</v>
      </c>
      <c r="W238" s="147" t="e">
        <f t="shared" ca="1" si="5"/>
        <v>#NAME?</v>
      </c>
      <c r="X238" s="147" t="e">
        <f t="shared" ca="1" si="6"/>
        <v>#NAME?</v>
      </c>
      <c r="Y238" s="147" t="e">
        <f t="shared" ca="1" si="7"/>
        <v>#NAME?</v>
      </c>
      <c r="Z238" s="147"/>
      <c r="AA238" s="147"/>
      <c r="AB238" s="147"/>
      <c r="AC238" s="147"/>
      <c r="AD238" s="147"/>
      <c r="AE238" s="147"/>
      <c r="AF238" s="147"/>
      <c r="AG238" s="147"/>
      <c r="AH238" s="147"/>
      <c r="AI238" s="147"/>
      <c r="AJ238" s="147"/>
      <c r="AK238" s="147"/>
      <c r="AL238" s="147"/>
      <c r="AM238" s="151"/>
      <c r="AN238" s="147"/>
      <c r="AO238" s="147" t="e">
        <f t="shared" si="8"/>
        <v>#N/A</v>
      </c>
      <c r="AP238" s="147" t="e">
        <f t="shared" ca="1" si="9"/>
        <v>#NAME?</v>
      </c>
      <c r="AQ238" s="147" t="e">
        <f t="shared" si="10"/>
        <v>#N/A</v>
      </c>
      <c r="AR238" s="147"/>
      <c r="AS238" s="147"/>
      <c r="AT238" s="147"/>
      <c r="AU238" s="147"/>
      <c r="AV238" s="147"/>
      <c r="AW238" s="147"/>
      <c r="AX238" s="147"/>
      <c r="AY238" s="147"/>
      <c r="AZ238" s="147"/>
      <c r="BA238" s="147"/>
      <c r="BB238" s="147"/>
      <c r="BC238" s="147"/>
      <c r="BD238" s="147"/>
      <c r="BE238" s="147"/>
      <c r="BF238" s="147"/>
      <c r="BG238" s="147"/>
      <c r="BH238" s="147"/>
      <c r="BI238" s="147"/>
      <c r="BJ238" s="147"/>
      <c r="BK238" s="147"/>
      <c r="BL238" s="147"/>
      <c r="BM238" s="147"/>
      <c r="BN238" s="147"/>
      <c r="BO238" s="147"/>
      <c r="BP238" s="147"/>
      <c r="BQ238" s="147"/>
      <c r="BR238" s="147"/>
      <c r="BS238" s="147"/>
      <c r="BT238" s="147"/>
      <c r="BU238" s="147"/>
      <c r="BV238" s="147"/>
      <c r="BW238" s="147"/>
      <c r="BX238" s="147"/>
      <c r="BY238" s="147"/>
      <c r="BZ238" s="147"/>
      <c r="CA238" s="147"/>
      <c r="CB238" s="147"/>
      <c r="CC238" s="147"/>
      <c r="CD238" s="147"/>
      <c r="CE238" s="147"/>
      <c r="CF238" s="147"/>
      <c r="CG238" s="147"/>
      <c r="CH238" s="147"/>
      <c r="CI238" s="147"/>
      <c r="CJ238" s="147"/>
      <c r="CK238" s="147"/>
    </row>
    <row r="239" spans="1:89">
      <c r="A239" s="153" t="s">
        <v>224</v>
      </c>
      <c r="B239" s="154" t="s">
        <v>225</v>
      </c>
      <c r="C239" s="155" t="s">
        <v>74</v>
      </c>
      <c r="D239" s="155" t="s">
        <v>867</v>
      </c>
      <c r="E239" s="154" t="s">
        <v>25</v>
      </c>
      <c r="F239" s="3" t="s">
        <v>926</v>
      </c>
      <c r="G239" s="3" t="s">
        <v>926</v>
      </c>
      <c r="H239" s="156" t="str">
        <f ca="1">IFERROR(
  _xludf.MINIFS(ATTENDANCE_LOG!$F:$F,
         ATTENDANCE_LOG!$A:$A, C239,
         ATTENDANCE_LOG!$B:$B, E239),
"")</f>
        <v/>
      </c>
      <c r="I239" s="156" t="str">
        <f t="shared" ca="1" si="0"/>
        <v/>
      </c>
      <c r="J239" s="3">
        <f>IFERROR(VLOOKUP(F239, LEVEL_HELPER!$A:$B, 2, 0), "")</f>
        <v>1</v>
      </c>
      <c r="K239" s="3">
        <f>IFERROR(VLOOKUP(G239, LEVEL_HELPER!$A:$B, 2, 0), "")</f>
        <v>1</v>
      </c>
      <c r="L239" s="157" t="s">
        <v>942</v>
      </c>
      <c r="M239" s="157" t="s">
        <v>922</v>
      </c>
      <c r="N239" s="3">
        <f t="array" aca="1" ref="N239" ca="1">IFERROR(
  INDEX($J$2:$J$543,
    MATCH(A239&amp;TEXT(I239,"yyyy-mm-dd"),
          $A$2:$A$543&amp;TEXT($H$2:$H$543,"yyyy-mm-dd"),
          0)),
"")</f>
        <v>1</v>
      </c>
      <c r="O239" s="147" t="str">
        <f t="shared" ca="1" si="1"/>
        <v/>
      </c>
      <c r="P239" s="147">
        <f t="shared" ref="P239:Q239" ca="1" si="248">IF(N239="",0,IF(N239&lt;=2,1,IF(N239&lt;=4,2,IF(N239&lt;=5.5,3,4))))</f>
        <v>1</v>
      </c>
      <c r="Q239" s="147">
        <f t="shared" ca="1" si="248"/>
        <v>0</v>
      </c>
      <c r="R239" s="147" t="str">
        <f t="shared" ca="1" si="3"/>
        <v>Regressed</v>
      </c>
      <c r="S239" s="147">
        <f t="shared" si="4"/>
        <v>1</v>
      </c>
      <c r="T239" s="147"/>
      <c r="U239" s="147"/>
      <c r="V239" s="148" t="e">
        <f ca="1"/>
        <v>#NAME?</v>
      </c>
      <c r="W239" s="147" t="e">
        <f t="shared" ca="1" si="5"/>
        <v>#NAME?</v>
      </c>
      <c r="X239" s="147" t="e">
        <f t="shared" ca="1" si="6"/>
        <v>#NAME?</v>
      </c>
      <c r="Y239" s="147" t="e">
        <f t="shared" ca="1" si="7"/>
        <v>#NAME?</v>
      </c>
      <c r="Z239" s="147"/>
      <c r="AA239" s="147"/>
      <c r="AB239" s="147"/>
      <c r="AC239" s="147"/>
      <c r="AD239" s="147"/>
      <c r="AE239" s="147"/>
      <c r="AF239" s="147"/>
      <c r="AG239" s="147"/>
      <c r="AH239" s="147"/>
      <c r="AI239" s="147"/>
      <c r="AJ239" s="147"/>
      <c r="AK239" s="147"/>
      <c r="AL239" s="147"/>
      <c r="AM239" s="151"/>
      <c r="AN239" s="147"/>
      <c r="AO239" s="147" t="e">
        <f t="shared" si="8"/>
        <v>#N/A</v>
      </c>
      <c r="AP239" s="147" t="e">
        <f t="shared" ca="1" si="9"/>
        <v>#NAME?</v>
      </c>
      <c r="AQ239" s="147" t="e">
        <f t="shared" si="10"/>
        <v>#N/A</v>
      </c>
      <c r="AR239" s="147"/>
      <c r="AS239" s="147"/>
      <c r="AT239" s="147"/>
      <c r="AU239" s="147"/>
      <c r="AV239" s="147"/>
      <c r="AW239" s="147"/>
      <c r="AX239" s="147"/>
      <c r="AY239" s="147"/>
      <c r="AZ239" s="147"/>
      <c r="BA239" s="147"/>
      <c r="BB239" s="147"/>
      <c r="BC239" s="147"/>
      <c r="BD239" s="147"/>
      <c r="BE239" s="147"/>
      <c r="BF239" s="147"/>
      <c r="BG239" s="147"/>
      <c r="BH239" s="147"/>
      <c r="BI239" s="147"/>
      <c r="BJ239" s="147"/>
      <c r="BK239" s="147"/>
      <c r="BL239" s="147"/>
      <c r="BM239" s="147"/>
      <c r="BN239" s="147"/>
      <c r="BO239" s="147"/>
      <c r="BP239" s="147"/>
      <c r="BQ239" s="147"/>
      <c r="BR239" s="147"/>
      <c r="BS239" s="147"/>
      <c r="BT239" s="147"/>
      <c r="BU239" s="147"/>
      <c r="BV239" s="147"/>
      <c r="BW239" s="147"/>
      <c r="BX239" s="147"/>
      <c r="BY239" s="147"/>
      <c r="BZ239" s="147"/>
      <c r="CA239" s="147"/>
      <c r="CB239" s="147"/>
      <c r="CC239" s="147"/>
      <c r="CD239" s="147"/>
      <c r="CE239" s="147"/>
      <c r="CF239" s="147"/>
      <c r="CG239" s="147"/>
      <c r="CH239" s="147"/>
      <c r="CI239" s="147"/>
      <c r="CJ239" s="147"/>
      <c r="CK239" s="147"/>
    </row>
    <row r="240" spans="1:89">
      <c r="A240" s="159" t="s">
        <v>186</v>
      </c>
      <c r="B240" s="3" t="s">
        <v>187</v>
      </c>
      <c r="C240" s="160" t="s">
        <v>74</v>
      </c>
      <c r="D240" s="160" t="s">
        <v>867</v>
      </c>
      <c r="E240" s="3" t="s">
        <v>25</v>
      </c>
      <c r="F240" s="3" t="s">
        <v>926</v>
      </c>
      <c r="G240" s="3" t="s">
        <v>926</v>
      </c>
      <c r="H240" s="156" t="str">
        <f ca="1">IFERROR(
  _xludf.MINIFS(ATTENDANCE_LOG!$F:$F,
         ATTENDANCE_LOG!$A:$A, C240,
         ATTENDANCE_LOG!$B:$B, E240),
"")</f>
        <v/>
      </c>
      <c r="I240" s="156" t="str">
        <f t="shared" ca="1" si="0"/>
        <v/>
      </c>
      <c r="J240" s="3">
        <f>IFERROR(VLOOKUP(F240, LEVEL_HELPER!$A:$B, 2, 0), "")</f>
        <v>1</v>
      </c>
      <c r="K240" s="3">
        <f>IFERROR(VLOOKUP(G240, LEVEL_HELPER!$A:$B, 2, 0), "")</f>
        <v>1</v>
      </c>
      <c r="L240" s="157" t="s">
        <v>942</v>
      </c>
      <c r="M240" s="157" t="s">
        <v>923</v>
      </c>
      <c r="N240" s="3">
        <f t="array" aca="1" ref="N240" ca="1">IFERROR(
  INDEX($J$2:$J$543,
    MATCH(A240&amp;TEXT(I240,"yyyy-mm-dd"),
          $A$2:$A$543&amp;TEXT($H$2:$H$543,"yyyy-mm-dd"),
          0)),
"")</f>
        <v>1</v>
      </c>
      <c r="O240" s="147" t="str">
        <f t="shared" ca="1" si="1"/>
        <v/>
      </c>
      <c r="P240" s="147">
        <f t="shared" ref="P240:Q240" ca="1" si="249">IF(N240="",0,IF(N240&lt;=2,1,IF(N240&lt;=4,2,IF(N240&lt;=5.5,3,4))))</f>
        <v>1</v>
      </c>
      <c r="Q240" s="147">
        <f t="shared" ca="1" si="249"/>
        <v>0</v>
      </c>
      <c r="R240" s="147" t="str">
        <f t="shared" ca="1" si="3"/>
        <v>Regressed</v>
      </c>
      <c r="S240" s="147">
        <f t="shared" si="4"/>
        <v>1</v>
      </c>
      <c r="T240" s="147"/>
      <c r="U240" s="147"/>
      <c r="V240" s="148" t="e">
        <f ca="1"/>
        <v>#NAME?</v>
      </c>
      <c r="W240" s="147" t="e">
        <f t="shared" ca="1" si="5"/>
        <v>#NAME?</v>
      </c>
      <c r="X240" s="147" t="e">
        <f t="shared" ca="1" si="6"/>
        <v>#NAME?</v>
      </c>
      <c r="Y240" s="147" t="e">
        <f t="shared" ca="1" si="7"/>
        <v>#NAME?</v>
      </c>
      <c r="Z240" s="147"/>
      <c r="AA240" s="147"/>
      <c r="AB240" s="147"/>
      <c r="AC240" s="147"/>
      <c r="AD240" s="147"/>
      <c r="AE240" s="147"/>
      <c r="AF240" s="147"/>
      <c r="AG240" s="147"/>
      <c r="AH240" s="147"/>
      <c r="AI240" s="147"/>
      <c r="AJ240" s="147"/>
      <c r="AK240" s="147"/>
      <c r="AL240" s="147"/>
      <c r="AM240" s="151"/>
      <c r="AN240" s="147"/>
      <c r="AO240" s="147" t="e">
        <f t="shared" si="8"/>
        <v>#N/A</v>
      </c>
      <c r="AP240" s="147" t="e">
        <f t="shared" ca="1" si="9"/>
        <v>#NAME?</v>
      </c>
      <c r="AQ240" s="147" t="e">
        <f t="shared" si="10"/>
        <v>#N/A</v>
      </c>
      <c r="AR240" s="147"/>
      <c r="AS240" s="147"/>
      <c r="AT240" s="147"/>
      <c r="AU240" s="147"/>
      <c r="AV240" s="147"/>
      <c r="AW240" s="147"/>
      <c r="AX240" s="147"/>
      <c r="AY240" s="147"/>
      <c r="AZ240" s="147"/>
      <c r="BA240" s="147"/>
      <c r="BB240" s="147"/>
      <c r="BC240" s="147"/>
      <c r="BD240" s="147"/>
      <c r="BE240" s="147"/>
      <c r="BF240" s="147"/>
      <c r="BG240" s="147"/>
      <c r="BH240" s="147"/>
      <c r="BI240" s="147"/>
      <c r="BJ240" s="147"/>
      <c r="BK240" s="147"/>
      <c r="BL240" s="147"/>
      <c r="BM240" s="147"/>
      <c r="BN240" s="147"/>
      <c r="BO240" s="147"/>
      <c r="BP240" s="147"/>
      <c r="BQ240" s="147"/>
      <c r="BR240" s="147"/>
      <c r="BS240" s="147"/>
      <c r="BT240" s="147"/>
      <c r="BU240" s="147"/>
      <c r="BV240" s="147"/>
      <c r="BW240" s="147"/>
      <c r="BX240" s="147"/>
      <c r="BY240" s="147"/>
      <c r="BZ240" s="147"/>
      <c r="CA240" s="147"/>
      <c r="CB240" s="147"/>
      <c r="CC240" s="147"/>
      <c r="CD240" s="147"/>
      <c r="CE240" s="147"/>
      <c r="CF240" s="147"/>
      <c r="CG240" s="147"/>
      <c r="CH240" s="147"/>
      <c r="CI240" s="147"/>
      <c r="CJ240" s="147"/>
      <c r="CK240" s="147"/>
    </row>
    <row r="241" spans="1:89">
      <c r="A241" s="159" t="s">
        <v>382</v>
      </c>
      <c r="B241" s="3" t="s">
        <v>380</v>
      </c>
      <c r="C241" s="160" t="s">
        <v>74</v>
      </c>
      <c r="D241" s="160" t="s">
        <v>867</v>
      </c>
      <c r="E241" s="3" t="s">
        <v>25</v>
      </c>
      <c r="F241" s="3" t="s">
        <v>926</v>
      </c>
      <c r="G241" s="3" t="s">
        <v>926</v>
      </c>
      <c r="H241" s="156" t="str">
        <f ca="1">IFERROR(
  _xludf.MINIFS(ATTENDANCE_LOG!$F:$F,
         ATTENDANCE_LOG!$A:$A, C241,
         ATTENDANCE_LOG!$B:$B, E241),
"")</f>
        <v/>
      </c>
      <c r="I241" s="156" t="str">
        <f t="shared" ca="1" si="0"/>
        <v/>
      </c>
      <c r="J241" s="3">
        <f>IFERROR(VLOOKUP(F241, LEVEL_HELPER!$A:$B, 2, 0), "")</f>
        <v>1</v>
      </c>
      <c r="K241" s="3">
        <f>IFERROR(VLOOKUP(G241, LEVEL_HELPER!$A:$B, 2, 0), "")</f>
        <v>1</v>
      </c>
      <c r="L241" s="157" t="s">
        <v>942</v>
      </c>
      <c r="M241" s="157" t="s">
        <v>923</v>
      </c>
      <c r="N241" s="3">
        <f t="array" aca="1" ref="N241" ca="1">IFERROR(
  INDEX($J$2:$J$543,
    MATCH(A241&amp;TEXT(I241,"yyyy-mm-dd"),
          $A$2:$A$543&amp;TEXT($H$2:$H$543,"yyyy-mm-dd"),
          0)),
"")</f>
        <v>1</v>
      </c>
      <c r="O241" s="147" t="str">
        <f t="shared" ca="1" si="1"/>
        <v/>
      </c>
      <c r="P241" s="147">
        <f t="shared" ref="P241:Q241" ca="1" si="250">IF(N241="",0,IF(N241&lt;=2,1,IF(N241&lt;=4,2,IF(N241&lt;=5.5,3,4))))</f>
        <v>1</v>
      </c>
      <c r="Q241" s="147">
        <f t="shared" ca="1" si="250"/>
        <v>0</v>
      </c>
      <c r="R241" s="147" t="str">
        <f t="shared" ca="1" si="3"/>
        <v>Regressed</v>
      </c>
      <c r="S241" s="147">
        <f t="shared" si="4"/>
        <v>1</v>
      </c>
      <c r="T241" s="147"/>
      <c r="U241" s="147"/>
      <c r="V241" s="148" t="e">
        <f ca="1"/>
        <v>#NAME?</v>
      </c>
      <c r="W241" s="147" t="e">
        <f t="shared" ca="1" si="5"/>
        <v>#NAME?</v>
      </c>
      <c r="X241" s="147" t="e">
        <f t="shared" ca="1" si="6"/>
        <v>#NAME?</v>
      </c>
      <c r="Y241" s="147" t="e">
        <f t="shared" ca="1" si="7"/>
        <v>#NAME?</v>
      </c>
      <c r="Z241" s="147"/>
      <c r="AA241" s="147"/>
      <c r="AB241" s="147"/>
      <c r="AC241" s="147"/>
      <c r="AD241" s="147"/>
      <c r="AE241" s="147"/>
      <c r="AF241" s="147"/>
      <c r="AG241" s="147"/>
      <c r="AH241" s="147"/>
      <c r="AI241" s="147"/>
      <c r="AJ241" s="147"/>
      <c r="AK241" s="147"/>
      <c r="AL241" s="147"/>
      <c r="AM241" s="151"/>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c r="BI241" s="147"/>
      <c r="BJ241" s="147"/>
      <c r="BK241" s="147"/>
      <c r="BL241" s="147"/>
      <c r="BM241" s="147"/>
      <c r="BN241" s="147"/>
      <c r="BO241" s="147"/>
      <c r="BP241" s="147"/>
      <c r="BQ241" s="147"/>
      <c r="BR241" s="147"/>
      <c r="BS241" s="147"/>
      <c r="BT241" s="147"/>
      <c r="BU241" s="147"/>
      <c r="BV241" s="147"/>
      <c r="BW241" s="147"/>
      <c r="BX241" s="147"/>
      <c r="BY241" s="147"/>
      <c r="BZ241" s="147"/>
      <c r="CA241" s="147"/>
      <c r="CB241" s="147"/>
      <c r="CC241" s="147"/>
      <c r="CD241" s="147"/>
      <c r="CE241" s="147"/>
      <c r="CF241" s="147"/>
      <c r="CG241" s="147"/>
      <c r="CH241" s="147"/>
      <c r="CI241" s="147"/>
      <c r="CJ241" s="147"/>
      <c r="CK241" s="147"/>
    </row>
    <row r="242" spans="1:89">
      <c r="A242" s="159" t="s">
        <v>425</v>
      </c>
      <c r="B242" s="3" t="s">
        <v>426</v>
      </c>
      <c r="C242" s="160" t="s">
        <v>74</v>
      </c>
      <c r="D242" s="160" t="s">
        <v>867</v>
      </c>
      <c r="E242" s="3" t="s">
        <v>25</v>
      </c>
      <c r="F242" s="3" t="s">
        <v>926</v>
      </c>
      <c r="G242" s="3" t="s">
        <v>926</v>
      </c>
      <c r="H242" s="156" t="str">
        <f ca="1">IFERROR(
  _xludf.MINIFS(ATTENDANCE_LOG!$F:$F,
         ATTENDANCE_LOG!$A:$A, C242,
         ATTENDANCE_LOG!$B:$B, E242),
"")</f>
        <v/>
      </c>
      <c r="I242" s="156" t="str">
        <f t="shared" ca="1" si="0"/>
        <v/>
      </c>
      <c r="J242" s="3">
        <f>IFERROR(VLOOKUP(F242, LEVEL_HELPER!$A:$B, 2, 0), "")</f>
        <v>1</v>
      </c>
      <c r="K242" s="3">
        <f>IFERROR(VLOOKUP(G242, LEVEL_HELPER!$A:$B, 2, 0), "")</f>
        <v>1</v>
      </c>
      <c r="L242" s="157" t="s">
        <v>942</v>
      </c>
      <c r="M242" s="157" t="s">
        <v>922</v>
      </c>
      <c r="N242" s="3">
        <f t="array" aca="1" ref="N242" ca="1">IFERROR(
  INDEX($J$2:$J$543,
    MATCH(A242&amp;TEXT(I242,"yyyy-mm-dd"),
          $A$2:$A$543&amp;TEXT($H$2:$H$543,"yyyy-mm-dd"),
          0)),
"")</f>
        <v>1</v>
      </c>
      <c r="O242" s="147" t="str">
        <f t="shared" ca="1" si="1"/>
        <v/>
      </c>
      <c r="P242" s="147">
        <f t="shared" ref="P242:Q242" ca="1" si="251">IF(N242="",0,IF(N242&lt;=2,1,IF(N242&lt;=4,2,IF(N242&lt;=5.5,3,4))))</f>
        <v>1</v>
      </c>
      <c r="Q242" s="147">
        <f t="shared" ca="1" si="251"/>
        <v>0</v>
      </c>
      <c r="R242" s="147" t="str">
        <f t="shared" ca="1" si="3"/>
        <v>Regressed</v>
      </c>
      <c r="S242" s="147">
        <f t="shared" si="4"/>
        <v>1</v>
      </c>
      <c r="T242" s="147"/>
      <c r="U242" s="147"/>
      <c r="V242" s="148" t="e">
        <f ca="1"/>
        <v>#NAME?</v>
      </c>
      <c r="W242" s="147" t="e">
        <f t="shared" ca="1" si="5"/>
        <v>#NAME?</v>
      </c>
      <c r="X242" s="147" t="e">
        <f t="shared" ca="1" si="6"/>
        <v>#NAME?</v>
      </c>
      <c r="Y242" s="147" t="e">
        <f t="shared" ca="1" si="7"/>
        <v>#NAME?</v>
      </c>
      <c r="Z242" s="147"/>
      <c r="AA242" s="147"/>
      <c r="AB242" s="147"/>
      <c r="AC242" s="147"/>
      <c r="AD242" s="147"/>
      <c r="AE242" s="147"/>
      <c r="AF242" s="147"/>
      <c r="AG242" s="147"/>
      <c r="AH242" s="147"/>
      <c r="AI242" s="147"/>
      <c r="AJ242" s="147"/>
      <c r="AK242" s="147"/>
      <c r="AL242" s="147"/>
      <c r="AM242" s="151"/>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c r="BI242" s="147"/>
      <c r="BJ242" s="147"/>
      <c r="BK242" s="147"/>
      <c r="BL242" s="147"/>
      <c r="BM242" s="147"/>
      <c r="BN242" s="147"/>
      <c r="BO242" s="147"/>
      <c r="BP242" s="147"/>
      <c r="BQ242" s="147"/>
      <c r="BR242" s="147"/>
      <c r="BS242" s="147"/>
      <c r="BT242" s="147"/>
      <c r="BU242" s="147"/>
      <c r="BV242" s="147"/>
      <c r="BW242" s="147"/>
      <c r="BX242" s="147"/>
      <c r="BY242" s="147"/>
      <c r="BZ242" s="147"/>
      <c r="CA242" s="147"/>
      <c r="CB242" s="147"/>
      <c r="CC242" s="147"/>
      <c r="CD242" s="147"/>
      <c r="CE242" s="147"/>
      <c r="CF242" s="147"/>
      <c r="CG242" s="147"/>
      <c r="CH242" s="147"/>
      <c r="CI242" s="147"/>
      <c r="CJ242" s="147"/>
      <c r="CK242" s="147"/>
    </row>
    <row r="243" spans="1:89">
      <c r="A243" s="159" t="s">
        <v>431</v>
      </c>
      <c r="B243" s="3" t="s">
        <v>432</v>
      </c>
      <c r="C243" s="160" t="s">
        <v>74</v>
      </c>
      <c r="D243" s="160" t="s">
        <v>867</v>
      </c>
      <c r="E243" s="3" t="s">
        <v>25</v>
      </c>
      <c r="F243" s="3" t="s">
        <v>926</v>
      </c>
      <c r="G243" s="3" t="s">
        <v>926</v>
      </c>
      <c r="H243" s="156" t="str">
        <f ca="1">IFERROR(
  _xludf.MINIFS(ATTENDANCE_LOG!$F:$F,
         ATTENDANCE_LOG!$A:$A, C243,
         ATTENDANCE_LOG!$B:$B, E243),
"")</f>
        <v/>
      </c>
      <c r="I243" s="156" t="str">
        <f t="shared" ca="1" si="0"/>
        <v/>
      </c>
      <c r="J243" s="3">
        <f>IFERROR(VLOOKUP(F243, LEVEL_HELPER!$A:$B, 2, 0), "")</f>
        <v>1</v>
      </c>
      <c r="K243" s="3">
        <f>IFERROR(VLOOKUP(G243, LEVEL_HELPER!$A:$B, 2, 0), "")</f>
        <v>1</v>
      </c>
      <c r="L243" s="157" t="s">
        <v>942</v>
      </c>
      <c r="M243" s="157" t="s">
        <v>923</v>
      </c>
      <c r="N243" s="3">
        <f t="array" aca="1" ref="N243" ca="1">IFERROR(
  INDEX($J$2:$J$543,
    MATCH(A243&amp;TEXT(I243,"yyyy-mm-dd"),
          $A$2:$A$543&amp;TEXT($H$2:$H$543,"yyyy-mm-dd"),
          0)),
"")</f>
        <v>1</v>
      </c>
      <c r="O243" s="147" t="str">
        <f t="shared" ca="1" si="1"/>
        <v/>
      </c>
      <c r="P243" s="147">
        <f t="shared" ref="P243:Q243" ca="1" si="252">IF(N243="",0,IF(N243&lt;=2,1,IF(N243&lt;=4,2,IF(N243&lt;=5.5,3,4))))</f>
        <v>1</v>
      </c>
      <c r="Q243" s="147">
        <f t="shared" ca="1" si="252"/>
        <v>0</v>
      </c>
      <c r="R243" s="147" t="str">
        <f t="shared" ca="1" si="3"/>
        <v>Regressed</v>
      </c>
      <c r="S243" s="147">
        <f t="shared" si="4"/>
        <v>1</v>
      </c>
      <c r="T243" s="147"/>
      <c r="U243" s="147"/>
      <c r="V243" s="148" t="e">
        <f ca="1"/>
        <v>#NAME?</v>
      </c>
      <c r="W243" s="147" t="e">
        <f t="shared" ca="1" si="5"/>
        <v>#NAME?</v>
      </c>
      <c r="X243" s="147" t="e">
        <f t="shared" ca="1" si="6"/>
        <v>#NAME?</v>
      </c>
      <c r="Y243" s="147" t="e">
        <f t="shared" ca="1" si="7"/>
        <v>#NAME?</v>
      </c>
      <c r="Z243" s="147"/>
      <c r="AA243" s="147"/>
      <c r="AB243" s="147"/>
      <c r="AC243" s="147"/>
      <c r="AD243" s="147"/>
      <c r="AE243" s="147"/>
      <c r="AF243" s="147"/>
      <c r="AG243" s="147"/>
      <c r="AH243" s="147"/>
      <c r="AI243" s="147"/>
      <c r="AJ243" s="147"/>
      <c r="AK243" s="147"/>
      <c r="AL243" s="147"/>
      <c r="AM243" s="151"/>
      <c r="AN243" s="147"/>
      <c r="AO243" s="147"/>
      <c r="AP243" s="147"/>
      <c r="AQ243" s="147"/>
      <c r="AR243" s="147"/>
      <c r="AS243" s="147"/>
      <c r="AT243" s="147"/>
      <c r="AU243" s="147"/>
      <c r="AV243" s="147"/>
      <c r="AW243" s="147"/>
      <c r="AX243" s="147"/>
      <c r="AY243" s="147"/>
      <c r="AZ243" s="147"/>
      <c r="BA243" s="147"/>
      <c r="BB243" s="147"/>
      <c r="BC243" s="147"/>
      <c r="BD243" s="147"/>
      <c r="BE243" s="147"/>
      <c r="BF243" s="147"/>
      <c r="BG243" s="147"/>
      <c r="BH243" s="147"/>
      <c r="BI243" s="147"/>
      <c r="BJ243" s="147"/>
      <c r="BK243" s="147"/>
      <c r="BL243" s="147"/>
      <c r="BM243" s="147"/>
      <c r="BN243" s="147"/>
      <c r="BO243" s="147"/>
      <c r="BP243" s="147"/>
      <c r="BQ243" s="147"/>
      <c r="BR243" s="147"/>
      <c r="BS243" s="147"/>
      <c r="BT243" s="147"/>
      <c r="BU243" s="147"/>
      <c r="BV243" s="147"/>
      <c r="BW243" s="147"/>
      <c r="BX243" s="147"/>
      <c r="BY243" s="147"/>
      <c r="BZ243" s="147"/>
      <c r="CA243" s="147"/>
      <c r="CB243" s="147"/>
      <c r="CC243" s="147"/>
      <c r="CD243" s="147"/>
      <c r="CE243" s="147"/>
      <c r="CF243" s="147"/>
      <c r="CG243" s="147"/>
      <c r="CH243" s="147"/>
      <c r="CI243" s="147"/>
      <c r="CJ243" s="147"/>
      <c r="CK243" s="147"/>
    </row>
    <row r="244" spans="1:89">
      <c r="A244" s="159" t="s">
        <v>453</v>
      </c>
      <c r="B244" s="3" t="s">
        <v>454</v>
      </c>
      <c r="C244" s="160" t="s">
        <v>74</v>
      </c>
      <c r="D244" s="160" t="s">
        <v>867</v>
      </c>
      <c r="E244" s="3" t="s">
        <v>25</v>
      </c>
      <c r="F244" s="3" t="s">
        <v>926</v>
      </c>
      <c r="G244" s="3" t="s">
        <v>926</v>
      </c>
      <c r="H244" s="156" t="str">
        <f ca="1">IFERROR(
  _xludf.MINIFS(ATTENDANCE_LOG!$F:$F,
         ATTENDANCE_LOG!$A:$A, C244,
         ATTENDANCE_LOG!$B:$B, E244),
"")</f>
        <v/>
      </c>
      <c r="I244" s="156" t="str">
        <f t="shared" ca="1" si="0"/>
        <v/>
      </c>
      <c r="J244" s="3">
        <f>IFERROR(VLOOKUP(F244, LEVEL_HELPER!$A:$B, 2, 0), "")</f>
        <v>1</v>
      </c>
      <c r="K244" s="3">
        <f>IFERROR(VLOOKUP(G244, LEVEL_HELPER!$A:$B, 2, 0), "")</f>
        <v>1</v>
      </c>
      <c r="L244" s="157" t="s">
        <v>942</v>
      </c>
      <c r="M244" s="157" t="s">
        <v>923</v>
      </c>
      <c r="N244" s="3">
        <f t="array" aca="1" ref="N244" ca="1">IFERROR(
  INDEX($J$2:$J$543,
    MATCH(A244&amp;TEXT(I244,"yyyy-mm-dd"),
          $A$2:$A$543&amp;TEXT($H$2:$H$543,"yyyy-mm-dd"),
          0)),
"")</f>
        <v>1</v>
      </c>
      <c r="O244" s="147" t="str">
        <f t="shared" ca="1" si="1"/>
        <v/>
      </c>
      <c r="P244" s="147">
        <f t="shared" ref="P244:Q244" ca="1" si="253">IF(N244="",0,IF(N244&lt;=2,1,IF(N244&lt;=4,2,IF(N244&lt;=5.5,3,4))))</f>
        <v>1</v>
      </c>
      <c r="Q244" s="147">
        <f t="shared" ca="1" si="253"/>
        <v>0</v>
      </c>
      <c r="R244" s="147" t="str">
        <f t="shared" ca="1" si="3"/>
        <v>Regressed</v>
      </c>
      <c r="S244" s="147">
        <f t="shared" si="4"/>
        <v>1</v>
      </c>
      <c r="T244" s="147"/>
      <c r="U244" s="147"/>
      <c r="V244" s="148" t="e">
        <f ca="1"/>
        <v>#NAME?</v>
      </c>
      <c r="W244" s="147" t="e">
        <f t="shared" ca="1" si="5"/>
        <v>#NAME?</v>
      </c>
      <c r="X244" s="147" t="e">
        <f t="shared" ca="1" si="6"/>
        <v>#NAME?</v>
      </c>
      <c r="Y244" s="147" t="e">
        <f t="shared" ca="1" si="7"/>
        <v>#NAME?</v>
      </c>
      <c r="Z244" s="147"/>
      <c r="AA244" s="147"/>
      <c r="AB244" s="147"/>
      <c r="AC244" s="147"/>
      <c r="AD244" s="147"/>
      <c r="AE244" s="147"/>
      <c r="AF244" s="147"/>
      <c r="AG244" s="147"/>
      <c r="AH244" s="147"/>
      <c r="AI244" s="147"/>
      <c r="AJ244" s="147"/>
      <c r="AK244" s="147"/>
      <c r="AL244" s="147"/>
      <c r="AM244" s="151"/>
      <c r="AN244" s="147"/>
      <c r="AO244" s="147"/>
      <c r="AP244" s="147"/>
      <c r="AQ244" s="147"/>
      <c r="AR244" s="147"/>
      <c r="AS244" s="147"/>
      <c r="AT244" s="147"/>
      <c r="AU244" s="147"/>
      <c r="AV244" s="147"/>
      <c r="AW244" s="147"/>
      <c r="AX244" s="147"/>
      <c r="AY244" s="147"/>
      <c r="AZ244" s="147"/>
      <c r="BA244" s="147"/>
      <c r="BB244" s="147"/>
      <c r="BC244" s="147"/>
      <c r="BD244" s="147"/>
      <c r="BE244" s="147"/>
      <c r="BF244" s="147"/>
      <c r="BG244" s="147"/>
      <c r="BH244" s="147"/>
      <c r="BI244" s="147"/>
      <c r="BJ244" s="147"/>
      <c r="BK244" s="147"/>
      <c r="BL244" s="147"/>
      <c r="BM244" s="147"/>
      <c r="BN244" s="147"/>
      <c r="BO244" s="147"/>
      <c r="BP244" s="147"/>
      <c r="BQ244" s="147"/>
      <c r="BR244" s="147"/>
      <c r="BS244" s="147"/>
      <c r="BT244" s="147"/>
      <c r="BU244" s="147"/>
      <c r="BV244" s="147"/>
      <c r="BW244" s="147"/>
      <c r="BX244" s="147"/>
      <c r="BY244" s="147"/>
      <c r="BZ244" s="147"/>
      <c r="CA244" s="147"/>
      <c r="CB244" s="147"/>
      <c r="CC244" s="147"/>
      <c r="CD244" s="147"/>
      <c r="CE244" s="147"/>
      <c r="CF244" s="147"/>
      <c r="CG244" s="147"/>
      <c r="CH244" s="147"/>
      <c r="CI244" s="147"/>
      <c r="CJ244" s="147"/>
      <c r="CK244" s="147"/>
    </row>
    <row r="245" spans="1:89">
      <c r="A245" s="153" t="s">
        <v>224</v>
      </c>
      <c r="B245" s="154" t="s">
        <v>225</v>
      </c>
      <c r="C245" s="155" t="s">
        <v>74</v>
      </c>
      <c r="D245" s="155" t="s">
        <v>867</v>
      </c>
      <c r="E245" s="154" t="s">
        <v>21</v>
      </c>
      <c r="F245" s="3" t="s">
        <v>926</v>
      </c>
      <c r="G245" s="3" t="s">
        <v>917</v>
      </c>
      <c r="H245" s="156" t="str">
        <f ca="1">IFERROR(
  _xludf.MINIFS(ATTENDANCE_LOG!$F:$F,
         ATTENDANCE_LOG!$A:$A, C245,
         ATTENDANCE_LOG!$B:$B, E245),
"")</f>
        <v/>
      </c>
      <c r="I245" s="156" t="str">
        <f t="shared" ca="1" si="0"/>
        <v/>
      </c>
      <c r="J245" s="3">
        <f>IFERROR(VLOOKUP(F245, LEVEL_HELPER!$A:$B, 2, 0), "")</f>
        <v>1</v>
      </c>
      <c r="K245" s="3">
        <f>IFERROR(VLOOKUP(G245, LEVEL_HELPER!$A:$B, 2, 0), "")</f>
        <v>3</v>
      </c>
      <c r="L245" s="157" t="s">
        <v>942</v>
      </c>
      <c r="M245" s="157" t="s">
        <v>922</v>
      </c>
      <c r="N245" s="3">
        <f t="array" aca="1" ref="N245" ca="1">IFERROR(
  INDEX($J$2:$J$543,
    MATCH(A245&amp;TEXT(I245,"yyyy-mm-dd"),
          $A$2:$A$543&amp;TEXT($H$2:$H$543,"yyyy-mm-dd"),
          0)),
"")</f>
        <v>1</v>
      </c>
      <c r="O245" s="147" t="str">
        <f t="shared" ca="1" si="1"/>
        <v/>
      </c>
      <c r="P245" s="147">
        <f t="shared" ref="P245:Q245" ca="1" si="254">IF(N245="",0,IF(N245&lt;=2,1,IF(N245&lt;=4,2,IF(N245&lt;=5.5,3,4))))</f>
        <v>1</v>
      </c>
      <c r="Q245" s="147">
        <f t="shared" ca="1" si="254"/>
        <v>0</v>
      </c>
      <c r="R245" s="147" t="str">
        <f t="shared" ca="1" si="3"/>
        <v>Regressed</v>
      </c>
      <c r="S245" s="147">
        <f t="shared" si="4"/>
        <v>0</v>
      </c>
      <c r="T245" s="147"/>
      <c r="U245" s="147"/>
      <c r="V245" s="148" t="e">
        <f ca="1"/>
        <v>#NAME?</v>
      </c>
      <c r="W245" s="147" t="e">
        <f t="shared" ca="1" si="5"/>
        <v>#NAME?</v>
      </c>
      <c r="X245" s="147" t="e">
        <f t="shared" ca="1" si="6"/>
        <v>#NAME?</v>
      </c>
      <c r="Y245" s="147" t="e">
        <f t="shared" ca="1" si="7"/>
        <v>#NAME?</v>
      </c>
      <c r="Z245" s="147"/>
      <c r="AA245" s="147"/>
      <c r="AB245" s="147"/>
      <c r="AC245" s="147"/>
      <c r="AD245" s="147"/>
      <c r="AE245" s="147"/>
      <c r="AF245" s="147"/>
      <c r="AG245" s="147"/>
      <c r="AH245" s="147"/>
      <c r="AI245" s="147"/>
      <c r="AJ245" s="147"/>
      <c r="AK245" s="147"/>
      <c r="AL245" s="147"/>
      <c r="AM245" s="151"/>
      <c r="AN245" s="147"/>
      <c r="AO245" s="147"/>
      <c r="AP245" s="147"/>
      <c r="AQ245" s="147"/>
      <c r="AR245" s="147"/>
      <c r="AS245" s="147"/>
      <c r="AT245" s="147"/>
      <c r="AU245" s="147"/>
      <c r="AV245" s="147"/>
      <c r="AW245" s="147"/>
      <c r="AX245" s="147"/>
      <c r="AY245" s="147"/>
      <c r="AZ245" s="147"/>
      <c r="BA245" s="147"/>
      <c r="BB245" s="147"/>
      <c r="BC245" s="147"/>
      <c r="BD245" s="147"/>
      <c r="BE245" s="147"/>
      <c r="BF245" s="147"/>
      <c r="BG245" s="147"/>
      <c r="BH245" s="147"/>
      <c r="BI245" s="147"/>
      <c r="BJ245" s="147"/>
      <c r="BK245" s="147"/>
      <c r="BL245" s="147"/>
      <c r="BM245" s="147"/>
      <c r="BN245" s="147"/>
      <c r="BO245" s="147"/>
      <c r="BP245" s="147"/>
      <c r="BQ245" s="147"/>
      <c r="BR245" s="147"/>
      <c r="BS245" s="147"/>
      <c r="BT245" s="147"/>
      <c r="BU245" s="147"/>
      <c r="BV245" s="147"/>
      <c r="BW245" s="147"/>
      <c r="BX245" s="147"/>
      <c r="BY245" s="147"/>
      <c r="BZ245" s="147"/>
      <c r="CA245" s="147"/>
      <c r="CB245" s="147"/>
      <c r="CC245" s="147"/>
      <c r="CD245" s="147"/>
      <c r="CE245" s="147"/>
      <c r="CF245" s="147"/>
      <c r="CG245" s="147"/>
      <c r="CH245" s="147"/>
      <c r="CI245" s="147"/>
      <c r="CJ245" s="147"/>
      <c r="CK245" s="147"/>
    </row>
    <row r="246" spans="1:89">
      <c r="A246" s="159" t="s">
        <v>186</v>
      </c>
      <c r="B246" s="3" t="s">
        <v>187</v>
      </c>
      <c r="C246" s="160" t="s">
        <v>74</v>
      </c>
      <c r="D246" s="160" t="s">
        <v>867</v>
      </c>
      <c r="E246" s="3" t="s">
        <v>21</v>
      </c>
      <c r="F246" s="3" t="s">
        <v>926</v>
      </c>
      <c r="G246" s="3" t="s">
        <v>934</v>
      </c>
      <c r="H246" s="156" t="str">
        <f ca="1">IFERROR(
  _xludf.MINIFS(ATTENDANCE_LOG!$F:$F,
         ATTENDANCE_LOG!$A:$A, C246,
         ATTENDANCE_LOG!$B:$B, E246),
"")</f>
        <v/>
      </c>
      <c r="I246" s="156" t="str">
        <f t="shared" ca="1" si="0"/>
        <v/>
      </c>
      <c r="J246" s="3">
        <f>IFERROR(VLOOKUP(F246, LEVEL_HELPER!$A:$B, 2, 0), "")</f>
        <v>1</v>
      </c>
      <c r="K246" s="3">
        <f>IFERROR(VLOOKUP(G246, LEVEL_HELPER!$A:$B, 2, 0), "")</f>
        <v>3.5</v>
      </c>
      <c r="L246" s="157" t="s">
        <v>942</v>
      </c>
      <c r="M246" s="157" t="s">
        <v>923</v>
      </c>
      <c r="N246" s="3">
        <f t="array" aca="1" ref="N246" ca="1">IFERROR(
  INDEX($J$2:$J$543,
    MATCH(A246&amp;TEXT(I246,"yyyy-mm-dd"),
          $A$2:$A$543&amp;TEXT($H$2:$H$543,"yyyy-mm-dd"),
          0)),
"")</f>
        <v>1</v>
      </c>
      <c r="O246" s="147" t="str">
        <f t="shared" ca="1" si="1"/>
        <v/>
      </c>
      <c r="P246" s="147">
        <f t="shared" ref="P246:Q246" ca="1" si="255">IF(N246="",0,IF(N246&lt;=2,1,IF(N246&lt;=4,2,IF(N246&lt;=5.5,3,4))))</f>
        <v>1</v>
      </c>
      <c r="Q246" s="147">
        <f t="shared" ca="1" si="255"/>
        <v>0</v>
      </c>
      <c r="R246" s="147" t="str">
        <f t="shared" ca="1" si="3"/>
        <v>Regressed</v>
      </c>
      <c r="S246" s="147">
        <f t="shared" si="4"/>
        <v>0</v>
      </c>
      <c r="T246" s="147"/>
      <c r="U246" s="147"/>
      <c r="V246" s="148" t="e">
        <f ca="1"/>
        <v>#NAME?</v>
      </c>
      <c r="W246" s="147" t="e">
        <f t="shared" ca="1" si="5"/>
        <v>#NAME?</v>
      </c>
      <c r="X246" s="147" t="e">
        <f t="shared" ca="1" si="6"/>
        <v>#NAME?</v>
      </c>
      <c r="Y246" s="147" t="e">
        <f t="shared" ca="1" si="7"/>
        <v>#NAME?</v>
      </c>
      <c r="Z246" s="147"/>
      <c r="AA246" s="147"/>
      <c r="AB246" s="147"/>
      <c r="AC246" s="147"/>
      <c r="AD246" s="147"/>
      <c r="AE246" s="147"/>
      <c r="AF246" s="147"/>
      <c r="AG246" s="147"/>
      <c r="AH246" s="147"/>
      <c r="AI246" s="147"/>
      <c r="AJ246" s="147"/>
      <c r="AK246" s="147"/>
      <c r="AL246" s="147"/>
      <c r="AM246" s="151"/>
      <c r="AN246" s="147"/>
      <c r="AO246" s="147"/>
      <c r="AP246" s="147"/>
      <c r="AQ246" s="147"/>
      <c r="AR246" s="147"/>
      <c r="AS246" s="147"/>
      <c r="AT246" s="147"/>
      <c r="AU246" s="147"/>
      <c r="AV246" s="147"/>
      <c r="AW246" s="147"/>
      <c r="AX246" s="147"/>
      <c r="AY246" s="147"/>
      <c r="AZ246" s="147"/>
      <c r="BA246" s="147"/>
      <c r="BB246" s="147"/>
      <c r="BC246" s="147"/>
      <c r="BD246" s="147"/>
      <c r="BE246" s="147"/>
      <c r="BF246" s="147"/>
      <c r="BG246" s="147"/>
      <c r="BH246" s="147"/>
      <c r="BI246" s="147"/>
      <c r="BJ246" s="147"/>
      <c r="BK246" s="147"/>
      <c r="BL246" s="147"/>
      <c r="BM246" s="147"/>
      <c r="BN246" s="147"/>
      <c r="BO246" s="147"/>
      <c r="BP246" s="147"/>
      <c r="BQ246" s="147"/>
      <c r="BR246" s="147"/>
      <c r="BS246" s="147"/>
      <c r="BT246" s="147"/>
      <c r="BU246" s="147"/>
      <c r="BV246" s="147"/>
      <c r="BW246" s="147"/>
      <c r="BX246" s="147"/>
      <c r="BY246" s="147"/>
      <c r="BZ246" s="147"/>
      <c r="CA246" s="147"/>
      <c r="CB246" s="147"/>
      <c r="CC246" s="147"/>
      <c r="CD246" s="147"/>
      <c r="CE246" s="147"/>
      <c r="CF246" s="147"/>
      <c r="CG246" s="147"/>
      <c r="CH246" s="147"/>
      <c r="CI246" s="147"/>
      <c r="CJ246" s="147"/>
      <c r="CK246" s="147"/>
    </row>
    <row r="247" spans="1:89">
      <c r="A247" s="159" t="s">
        <v>382</v>
      </c>
      <c r="B247" s="3" t="s">
        <v>380</v>
      </c>
      <c r="C247" s="160" t="s">
        <v>74</v>
      </c>
      <c r="D247" s="160" t="s">
        <v>867</v>
      </c>
      <c r="E247" s="3" t="s">
        <v>21</v>
      </c>
      <c r="F247" s="3" t="s">
        <v>926</v>
      </c>
      <c r="G247" s="3" t="s">
        <v>917</v>
      </c>
      <c r="H247" s="156" t="str">
        <f ca="1">IFERROR(
  _xludf.MINIFS(ATTENDANCE_LOG!$F:$F,
         ATTENDANCE_LOG!$A:$A, C247,
         ATTENDANCE_LOG!$B:$B, E247),
"")</f>
        <v/>
      </c>
      <c r="I247" s="156" t="str">
        <f t="shared" ca="1" si="0"/>
        <v/>
      </c>
      <c r="J247" s="3">
        <f>IFERROR(VLOOKUP(F247, LEVEL_HELPER!$A:$B, 2, 0), "")</f>
        <v>1</v>
      </c>
      <c r="K247" s="3">
        <f>IFERROR(VLOOKUP(G247, LEVEL_HELPER!$A:$B, 2, 0), "")</f>
        <v>3</v>
      </c>
      <c r="L247" s="157" t="s">
        <v>942</v>
      </c>
      <c r="M247" s="157" t="s">
        <v>923</v>
      </c>
      <c r="N247" s="3">
        <f t="array" aca="1" ref="N247" ca="1">IFERROR(
  INDEX($J$2:$J$543,
    MATCH(A247&amp;TEXT(I247,"yyyy-mm-dd"),
          $A$2:$A$543&amp;TEXT($H$2:$H$543,"yyyy-mm-dd"),
          0)),
"")</f>
        <v>1</v>
      </c>
      <c r="O247" s="147" t="str">
        <f t="shared" ca="1" si="1"/>
        <v/>
      </c>
      <c r="P247" s="147">
        <f t="shared" ref="P247:Q247" ca="1" si="256">IF(N247="",0,IF(N247&lt;=2,1,IF(N247&lt;=4,2,IF(N247&lt;=5.5,3,4))))</f>
        <v>1</v>
      </c>
      <c r="Q247" s="147">
        <f t="shared" ca="1" si="256"/>
        <v>0</v>
      </c>
      <c r="R247" s="147" t="str">
        <f t="shared" ca="1" si="3"/>
        <v>Regressed</v>
      </c>
      <c r="S247" s="147">
        <f t="shared" si="4"/>
        <v>0</v>
      </c>
      <c r="T247" s="147"/>
      <c r="U247" s="147"/>
      <c r="V247" s="148" t="e">
        <f ca="1"/>
        <v>#NAME?</v>
      </c>
      <c r="W247" s="147" t="e">
        <f t="shared" ca="1" si="5"/>
        <v>#NAME?</v>
      </c>
      <c r="X247" s="147" t="e">
        <f t="shared" ca="1" si="6"/>
        <v>#NAME?</v>
      </c>
      <c r="Y247" s="147" t="e">
        <f t="shared" ca="1" si="7"/>
        <v>#NAME?</v>
      </c>
      <c r="Z247" s="147"/>
      <c r="AA247" s="147"/>
      <c r="AB247" s="147"/>
      <c r="AC247" s="147"/>
      <c r="AD247" s="147"/>
      <c r="AE247" s="147"/>
      <c r="AF247" s="147"/>
      <c r="AG247" s="147"/>
      <c r="AH247" s="147"/>
      <c r="AI247" s="147"/>
      <c r="AJ247" s="147"/>
      <c r="AK247" s="147"/>
      <c r="AL247" s="147"/>
      <c r="AM247" s="151"/>
      <c r="AN247" s="147"/>
      <c r="AO247" s="147"/>
      <c r="AP247" s="147"/>
      <c r="AQ247" s="147"/>
      <c r="AR247" s="147"/>
      <c r="AS247" s="147"/>
      <c r="AT247" s="147"/>
      <c r="AU247" s="147"/>
      <c r="AV247" s="147"/>
      <c r="AW247" s="147"/>
      <c r="AX247" s="147"/>
      <c r="AY247" s="147"/>
      <c r="AZ247" s="147"/>
      <c r="BA247" s="147"/>
      <c r="BB247" s="147"/>
      <c r="BC247" s="147"/>
      <c r="BD247" s="147"/>
      <c r="BE247" s="147"/>
      <c r="BF247" s="147"/>
      <c r="BG247" s="147"/>
      <c r="BH247" s="147"/>
      <c r="BI247" s="147"/>
      <c r="BJ247" s="147"/>
      <c r="BK247" s="147"/>
      <c r="BL247" s="147"/>
      <c r="BM247" s="147"/>
      <c r="BN247" s="147"/>
      <c r="BO247" s="147"/>
      <c r="BP247" s="147"/>
      <c r="BQ247" s="147"/>
      <c r="BR247" s="147"/>
      <c r="BS247" s="147"/>
      <c r="BT247" s="147"/>
      <c r="BU247" s="147"/>
      <c r="BV247" s="147"/>
      <c r="BW247" s="147"/>
      <c r="BX247" s="147"/>
      <c r="BY247" s="147"/>
      <c r="BZ247" s="147"/>
      <c r="CA247" s="147"/>
      <c r="CB247" s="147"/>
      <c r="CC247" s="147"/>
      <c r="CD247" s="147"/>
      <c r="CE247" s="147"/>
      <c r="CF247" s="147"/>
      <c r="CG247" s="147"/>
      <c r="CH247" s="147"/>
      <c r="CI247" s="147"/>
      <c r="CJ247" s="147"/>
      <c r="CK247" s="147"/>
    </row>
    <row r="248" spans="1:89">
      <c r="A248" s="159" t="s">
        <v>425</v>
      </c>
      <c r="B248" s="3" t="s">
        <v>426</v>
      </c>
      <c r="C248" s="160" t="s">
        <v>74</v>
      </c>
      <c r="D248" s="160" t="s">
        <v>867</v>
      </c>
      <c r="E248" s="3" t="s">
        <v>21</v>
      </c>
      <c r="F248" s="3" t="s">
        <v>926</v>
      </c>
      <c r="G248" s="3" t="s">
        <v>934</v>
      </c>
      <c r="H248" s="156" t="str">
        <f ca="1">IFERROR(
  _xludf.MINIFS(ATTENDANCE_LOG!$F:$F,
         ATTENDANCE_LOG!$A:$A, C248,
         ATTENDANCE_LOG!$B:$B, E248),
"")</f>
        <v/>
      </c>
      <c r="I248" s="156" t="str">
        <f t="shared" ca="1" si="0"/>
        <v/>
      </c>
      <c r="J248" s="3">
        <f>IFERROR(VLOOKUP(F248, LEVEL_HELPER!$A:$B, 2, 0), "")</f>
        <v>1</v>
      </c>
      <c r="K248" s="3">
        <f>IFERROR(VLOOKUP(G248, LEVEL_HELPER!$A:$B, 2, 0), "")</f>
        <v>3.5</v>
      </c>
      <c r="L248" s="157" t="s">
        <v>942</v>
      </c>
      <c r="M248" s="157" t="s">
        <v>922</v>
      </c>
      <c r="N248" s="3">
        <f t="array" aca="1" ref="N248" ca="1">IFERROR(
  INDEX($J$2:$J$543,
    MATCH(A248&amp;TEXT(I248,"yyyy-mm-dd"),
          $A$2:$A$543&amp;TEXT($H$2:$H$543,"yyyy-mm-dd"),
          0)),
"")</f>
        <v>1</v>
      </c>
      <c r="O248" s="147" t="str">
        <f t="shared" ca="1" si="1"/>
        <v/>
      </c>
      <c r="P248" s="147">
        <f t="shared" ref="P248:Q248" ca="1" si="257">IF(N248="",0,IF(N248&lt;=2,1,IF(N248&lt;=4,2,IF(N248&lt;=5.5,3,4))))</f>
        <v>1</v>
      </c>
      <c r="Q248" s="147">
        <f t="shared" ca="1" si="257"/>
        <v>0</v>
      </c>
      <c r="R248" s="147" t="str">
        <f t="shared" ca="1" si="3"/>
        <v>Regressed</v>
      </c>
      <c r="S248" s="147">
        <f t="shared" si="4"/>
        <v>0</v>
      </c>
      <c r="T248" s="147"/>
      <c r="U248" s="147"/>
      <c r="V248" s="148" t="e">
        <f ca="1"/>
        <v>#NAME?</v>
      </c>
      <c r="W248" s="147" t="e">
        <f t="shared" ca="1" si="5"/>
        <v>#NAME?</v>
      </c>
      <c r="X248" s="147" t="e">
        <f t="shared" ca="1" si="6"/>
        <v>#NAME?</v>
      </c>
      <c r="Y248" s="147" t="e">
        <f t="shared" ca="1" si="7"/>
        <v>#NAME?</v>
      </c>
      <c r="Z248" s="147"/>
      <c r="AA248" s="147"/>
      <c r="AB248" s="147"/>
      <c r="AC248" s="147"/>
      <c r="AD248" s="147"/>
      <c r="AE248" s="147"/>
      <c r="AF248" s="147"/>
      <c r="AG248" s="147"/>
      <c r="AH248" s="147"/>
      <c r="AI248" s="147"/>
      <c r="AJ248" s="147"/>
      <c r="AK248" s="147"/>
      <c r="AL248" s="147"/>
      <c r="AM248" s="151"/>
      <c r="AN248" s="147"/>
      <c r="AO248" s="147"/>
      <c r="AP248" s="147"/>
      <c r="AQ248" s="147"/>
      <c r="AR248" s="147"/>
      <c r="AS248" s="147"/>
      <c r="AT248" s="147"/>
      <c r="AU248" s="147"/>
      <c r="AV248" s="147"/>
      <c r="AW248" s="147"/>
      <c r="AX248" s="147"/>
      <c r="AY248" s="147"/>
      <c r="AZ248" s="147"/>
      <c r="BA248" s="147"/>
      <c r="BB248" s="147"/>
      <c r="BC248" s="147"/>
      <c r="BD248" s="147"/>
      <c r="BE248" s="147"/>
      <c r="BF248" s="147"/>
      <c r="BG248" s="147"/>
      <c r="BH248" s="147"/>
      <c r="BI248" s="147"/>
      <c r="BJ248" s="147"/>
      <c r="BK248" s="147"/>
      <c r="BL248" s="147"/>
      <c r="BM248" s="147"/>
      <c r="BN248" s="147"/>
      <c r="BO248" s="147"/>
      <c r="BP248" s="147"/>
      <c r="BQ248" s="147"/>
      <c r="BR248" s="147"/>
      <c r="BS248" s="147"/>
      <c r="BT248" s="147"/>
      <c r="BU248" s="147"/>
      <c r="BV248" s="147"/>
      <c r="BW248" s="147"/>
      <c r="BX248" s="147"/>
      <c r="BY248" s="147"/>
      <c r="BZ248" s="147"/>
      <c r="CA248" s="147"/>
      <c r="CB248" s="147"/>
      <c r="CC248" s="147"/>
      <c r="CD248" s="147"/>
      <c r="CE248" s="147"/>
      <c r="CF248" s="147"/>
      <c r="CG248" s="147"/>
      <c r="CH248" s="147"/>
      <c r="CI248" s="147"/>
      <c r="CJ248" s="147"/>
      <c r="CK248" s="147"/>
    </row>
    <row r="249" spans="1:89">
      <c r="A249" s="159" t="s">
        <v>431</v>
      </c>
      <c r="B249" s="3" t="s">
        <v>432</v>
      </c>
      <c r="C249" s="160" t="s">
        <v>74</v>
      </c>
      <c r="D249" s="160" t="s">
        <v>867</v>
      </c>
      <c r="E249" s="3" t="s">
        <v>21</v>
      </c>
      <c r="F249" s="3" t="s">
        <v>926</v>
      </c>
      <c r="G249" s="3" t="s">
        <v>940</v>
      </c>
      <c r="H249" s="156" t="str">
        <f ca="1">IFERROR(
  _xludf.MINIFS(ATTENDANCE_LOG!$F:$F,
         ATTENDANCE_LOG!$A:$A, C249,
         ATTENDANCE_LOG!$B:$B, E249),
"")</f>
        <v/>
      </c>
      <c r="I249" s="156" t="str">
        <f t="shared" ca="1" si="0"/>
        <v/>
      </c>
      <c r="J249" s="3">
        <f>IFERROR(VLOOKUP(F249, LEVEL_HELPER!$A:$B, 2, 0), "")</f>
        <v>1</v>
      </c>
      <c r="K249" s="3">
        <f>IFERROR(VLOOKUP(G249, LEVEL_HELPER!$A:$B, 2, 0), "")</f>
        <v>5</v>
      </c>
      <c r="L249" s="157" t="s">
        <v>942</v>
      </c>
      <c r="M249" s="157" t="s">
        <v>923</v>
      </c>
      <c r="N249" s="3">
        <f t="array" aca="1" ref="N249" ca="1">IFERROR(
  INDEX($J$2:$J$543,
    MATCH(A249&amp;TEXT(I249,"yyyy-mm-dd"),
          $A$2:$A$543&amp;TEXT($H$2:$H$543,"yyyy-mm-dd"),
          0)),
"")</f>
        <v>1</v>
      </c>
      <c r="O249" s="147" t="str">
        <f t="shared" ca="1" si="1"/>
        <v/>
      </c>
      <c r="P249" s="147">
        <f t="shared" ref="P249:Q249" ca="1" si="258">IF(N249="",0,IF(N249&lt;=2,1,IF(N249&lt;=4,2,IF(N249&lt;=5.5,3,4))))</f>
        <v>1</v>
      </c>
      <c r="Q249" s="147">
        <f t="shared" ca="1" si="258"/>
        <v>0</v>
      </c>
      <c r="R249" s="147" t="str">
        <f t="shared" ca="1" si="3"/>
        <v>Regressed</v>
      </c>
      <c r="S249" s="147">
        <f t="shared" si="4"/>
        <v>0</v>
      </c>
      <c r="T249" s="147"/>
      <c r="U249" s="147"/>
      <c r="V249" s="148" t="e">
        <f ca="1"/>
        <v>#NAME?</v>
      </c>
      <c r="W249" s="147" t="e">
        <f t="shared" ca="1" si="5"/>
        <v>#NAME?</v>
      </c>
      <c r="X249" s="147" t="e">
        <f t="shared" ca="1" si="6"/>
        <v>#NAME?</v>
      </c>
      <c r="Y249" s="147" t="e">
        <f t="shared" ca="1" si="7"/>
        <v>#NAME?</v>
      </c>
      <c r="Z249" s="147"/>
      <c r="AA249" s="147"/>
      <c r="AB249" s="147"/>
      <c r="AC249" s="147"/>
      <c r="AD249" s="147"/>
      <c r="AE249" s="147"/>
      <c r="AF249" s="147"/>
      <c r="AG249" s="147"/>
      <c r="AH249" s="147"/>
      <c r="AI249" s="147"/>
      <c r="AJ249" s="147"/>
      <c r="AK249" s="147"/>
      <c r="AL249" s="147"/>
      <c r="AM249" s="151"/>
      <c r="AN249" s="147"/>
      <c r="AO249" s="147"/>
      <c r="AP249" s="147"/>
      <c r="AQ249" s="147"/>
      <c r="AR249" s="147"/>
      <c r="AS249" s="147"/>
      <c r="AT249" s="147"/>
      <c r="AU249" s="147"/>
      <c r="AV249" s="147"/>
      <c r="AW249" s="147"/>
      <c r="AX249" s="147"/>
      <c r="AY249" s="147"/>
      <c r="AZ249" s="147"/>
      <c r="BA249" s="147"/>
      <c r="BB249" s="147"/>
      <c r="BC249" s="147"/>
      <c r="BD249" s="147"/>
      <c r="BE249" s="147"/>
      <c r="BF249" s="147"/>
      <c r="BG249" s="147"/>
      <c r="BH249" s="147"/>
      <c r="BI249" s="147"/>
      <c r="BJ249" s="147"/>
      <c r="BK249" s="147"/>
      <c r="BL249" s="147"/>
      <c r="BM249" s="147"/>
      <c r="BN249" s="147"/>
      <c r="BO249" s="147"/>
      <c r="BP249" s="147"/>
      <c r="BQ249" s="147"/>
      <c r="BR249" s="147"/>
      <c r="BS249" s="147"/>
      <c r="BT249" s="147"/>
      <c r="BU249" s="147"/>
      <c r="BV249" s="147"/>
      <c r="BW249" s="147"/>
      <c r="BX249" s="147"/>
      <c r="BY249" s="147"/>
      <c r="BZ249" s="147"/>
      <c r="CA249" s="147"/>
      <c r="CB249" s="147"/>
      <c r="CC249" s="147"/>
      <c r="CD249" s="147"/>
      <c r="CE249" s="147"/>
      <c r="CF249" s="147"/>
      <c r="CG249" s="147"/>
      <c r="CH249" s="147"/>
      <c r="CI249" s="147"/>
      <c r="CJ249" s="147"/>
      <c r="CK249" s="147"/>
    </row>
    <row r="250" spans="1:89">
      <c r="A250" s="159" t="s">
        <v>453</v>
      </c>
      <c r="B250" s="3" t="s">
        <v>454</v>
      </c>
      <c r="C250" s="160" t="s">
        <v>74</v>
      </c>
      <c r="D250" s="160" t="s">
        <v>867</v>
      </c>
      <c r="E250" s="3" t="s">
        <v>21</v>
      </c>
      <c r="F250" s="3" t="s">
        <v>926</v>
      </c>
      <c r="G250" s="3" t="s">
        <v>917</v>
      </c>
      <c r="H250" s="156" t="str">
        <f ca="1">IFERROR(
  _xludf.MINIFS(ATTENDANCE_LOG!$F:$F,
         ATTENDANCE_LOG!$A:$A, C250,
         ATTENDANCE_LOG!$B:$B, E250),
"")</f>
        <v/>
      </c>
      <c r="I250" s="156" t="str">
        <f t="shared" ca="1" si="0"/>
        <v/>
      </c>
      <c r="J250" s="3">
        <f>IFERROR(VLOOKUP(F250, LEVEL_HELPER!$A:$B, 2, 0), "")</f>
        <v>1</v>
      </c>
      <c r="K250" s="3">
        <f>IFERROR(VLOOKUP(G250, LEVEL_HELPER!$A:$B, 2, 0), "")</f>
        <v>3</v>
      </c>
      <c r="L250" s="157" t="s">
        <v>942</v>
      </c>
      <c r="M250" s="157" t="s">
        <v>923</v>
      </c>
      <c r="N250" s="3">
        <f t="array" aca="1" ref="N250" ca="1">IFERROR(
  INDEX($J$2:$J$543,
    MATCH(A250&amp;TEXT(I250,"yyyy-mm-dd"),
          $A$2:$A$543&amp;TEXT($H$2:$H$543,"yyyy-mm-dd"),
          0)),
"")</f>
        <v>1</v>
      </c>
      <c r="O250" s="147" t="str">
        <f t="shared" ca="1" si="1"/>
        <v/>
      </c>
      <c r="P250" s="147">
        <f t="shared" ref="P250:Q250" ca="1" si="259">IF(N250="",0,IF(N250&lt;=2,1,IF(N250&lt;=4,2,IF(N250&lt;=5.5,3,4))))</f>
        <v>1</v>
      </c>
      <c r="Q250" s="147">
        <f t="shared" ca="1" si="259"/>
        <v>0</v>
      </c>
      <c r="R250" s="147" t="str">
        <f t="shared" ca="1" si="3"/>
        <v>Regressed</v>
      </c>
      <c r="S250" s="147">
        <f t="shared" si="4"/>
        <v>0</v>
      </c>
      <c r="T250" s="147"/>
      <c r="U250" s="147"/>
      <c r="V250" s="148" t="e">
        <f ca="1"/>
        <v>#NAME?</v>
      </c>
      <c r="W250" s="147" t="e">
        <f t="shared" ca="1" si="5"/>
        <v>#NAME?</v>
      </c>
      <c r="X250" s="147" t="e">
        <f t="shared" ca="1" si="6"/>
        <v>#NAME?</v>
      </c>
      <c r="Y250" s="147" t="e">
        <f t="shared" ca="1" si="7"/>
        <v>#NAME?</v>
      </c>
      <c r="Z250" s="147"/>
      <c r="AA250" s="147"/>
      <c r="AB250" s="147"/>
      <c r="AC250" s="147"/>
      <c r="AD250" s="147"/>
      <c r="AE250" s="147"/>
      <c r="AF250" s="147"/>
      <c r="AG250" s="147"/>
      <c r="AH250" s="147"/>
      <c r="AI250" s="147"/>
      <c r="AJ250" s="147"/>
      <c r="AK250" s="147"/>
      <c r="AL250" s="147"/>
      <c r="AM250" s="151"/>
      <c r="AN250" s="147"/>
      <c r="AO250" s="147"/>
      <c r="AP250" s="147"/>
      <c r="AQ250" s="147"/>
      <c r="AR250" s="147"/>
      <c r="AS250" s="147"/>
      <c r="AT250" s="147"/>
      <c r="AU250" s="147"/>
      <c r="AV250" s="147"/>
      <c r="AW250" s="147"/>
      <c r="AX250" s="147"/>
      <c r="AY250" s="147"/>
      <c r="AZ250" s="147"/>
      <c r="BA250" s="147"/>
      <c r="BB250" s="147"/>
      <c r="BC250" s="147"/>
      <c r="BD250" s="147"/>
      <c r="BE250" s="147"/>
      <c r="BF250" s="147"/>
      <c r="BG250" s="147"/>
      <c r="BH250" s="147"/>
      <c r="BI250" s="147"/>
      <c r="BJ250" s="147"/>
      <c r="BK250" s="147"/>
      <c r="BL250" s="147"/>
      <c r="BM250" s="147"/>
      <c r="BN250" s="147"/>
      <c r="BO250" s="147"/>
      <c r="BP250" s="147"/>
      <c r="BQ250" s="147"/>
      <c r="BR250" s="147"/>
      <c r="BS250" s="147"/>
      <c r="BT250" s="147"/>
      <c r="BU250" s="147"/>
      <c r="BV250" s="147"/>
      <c r="BW250" s="147"/>
      <c r="BX250" s="147"/>
      <c r="BY250" s="147"/>
      <c r="BZ250" s="147"/>
      <c r="CA250" s="147"/>
      <c r="CB250" s="147"/>
      <c r="CC250" s="147"/>
      <c r="CD250" s="147"/>
      <c r="CE250" s="147"/>
      <c r="CF250" s="147"/>
      <c r="CG250" s="147"/>
      <c r="CH250" s="147"/>
      <c r="CI250" s="147"/>
      <c r="CJ250" s="147"/>
      <c r="CK250" s="147"/>
    </row>
    <row r="251" spans="1:89">
      <c r="A251" s="159" t="s">
        <v>492</v>
      </c>
      <c r="B251" s="3" t="s">
        <v>493</v>
      </c>
      <c r="C251" s="160" t="s">
        <v>74</v>
      </c>
      <c r="D251" s="160" t="s">
        <v>867</v>
      </c>
      <c r="E251" s="3" t="s">
        <v>21</v>
      </c>
      <c r="F251" s="3"/>
      <c r="G251" s="3"/>
      <c r="H251" s="156" t="str">
        <f ca="1">IFERROR(
  _xludf.MINIFS(ATTENDANCE_LOG!$F:$F,
         ATTENDANCE_LOG!$A:$A, C251,
         ATTENDANCE_LOG!$B:$B, E251),
"")</f>
        <v/>
      </c>
      <c r="I251" s="156" t="str">
        <f t="shared" ca="1" si="0"/>
        <v/>
      </c>
      <c r="J251" s="3" t="str">
        <f>IFERROR(VLOOKUP(F251, LEVEL_HELPER!$A:$B, 2, 0), "")</f>
        <v/>
      </c>
      <c r="K251" s="3" t="str">
        <f>IFERROR(VLOOKUP(G251, LEVEL_HELPER!$A:$B, 2, 0), "")</f>
        <v/>
      </c>
      <c r="L251" s="157" t="s">
        <v>942</v>
      </c>
      <c r="M251" s="157" t="s">
        <v>922</v>
      </c>
      <c r="N251" s="3" t="str">
        <f t="array" aca="1" ref="N251" ca="1">IFERROR(
  INDEX($J$2:$J$543,
    MATCH(A251&amp;TEXT(I251,"yyyy-mm-dd"),
          $A$2:$A$543&amp;TEXT($H$2:$H$543,"yyyy-mm-dd"),
          0)),
"")</f>
        <v/>
      </c>
      <c r="O251" s="147" t="str">
        <f t="shared" ca="1" si="1"/>
        <v/>
      </c>
      <c r="P251" s="147">
        <f t="shared" ref="P251:Q251" ca="1" si="260">IF(N251="",0,IF(N251&lt;=2,1,IF(N251&lt;=4,2,IF(N251&lt;=5.5,3,4))))</f>
        <v>0</v>
      </c>
      <c r="Q251" s="147">
        <f t="shared" ca="1" si="260"/>
        <v>0</v>
      </c>
      <c r="R251" s="147" t="str">
        <f t="shared" ca="1" si="3"/>
        <v>No Data</v>
      </c>
      <c r="S251" s="147">
        <f t="shared" si="4"/>
        <v>1</v>
      </c>
      <c r="T251" s="147"/>
      <c r="U251" s="147"/>
      <c r="V251" s="148" t="e">
        <f ca="1"/>
        <v>#NAME?</v>
      </c>
      <c r="W251" s="147" t="e">
        <f t="shared" ca="1" si="5"/>
        <v>#NAME?</v>
      </c>
      <c r="X251" s="147" t="e">
        <f t="shared" ca="1" si="6"/>
        <v>#NAME?</v>
      </c>
      <c r="Y251" s="147" t="e">
        <f t="shared" ca="1" si="7"/>
        <v>#NAME?</v>
      </c>
      <c r="Z251" s="147"/>
      <c r="AA251" s="147"/>
      <c r="AB251" s="147"/>
      <c r="AC251" s="147"/>
      <c r="AD251" s="147"/>
      <c r="AE251" s="147"/>
      <c r="AF251" s="147"/>
      <c r="AG251" s="147"/>
      <c r="AH251" s="147"/>
      <c r="AI251" s="147"/>
      <c r="AJ251" s="147"/>
      <c r="AK251" s="147"/>
      <c r="AL251" s="147"/>
      <c r="AM251" s="151"/>
      <c r="AN251" s="147"/>
      <c r="AO251" s="147"/>
      <c r="AP251" s="147"/>
      <c r="AQ251" s="147"/>
      <c r="AR251" s="147"/>
      <c r="AS251" s="147"/>
      <c r="AT251" s="147"/>
      <c r="AU251" s="147"/>
      <c r="AV251" s="147"/>
      <c r="AW251" s="147"/>
      <c r="AX251" s="147"/>
      <c r="AY251" s="147"/>
      <c r="AZ251" s="147"/>
      <c r="BA251" s="147"/>
      <c r="BB251" s="147"/>
      <c r="BC251" s="147"/>
      <c r="BD251" s="147"/>
      <c r="BE251" s="147"/>
      <c r="BF251" s="147"/>
      <c r="BG251" s="147"/>
      <c r="BH251" s="147"/>
      <c r="BI251" s="147"/>
      <c r="BJ251" s="147"/>
      <c r="BK251" s="147"/>
      <c r="BL251" s="147"/>
      <c r="BM251" s="147"/>
      <c r="BN251" s="147"/>
      <c r="BO251" s="147"/>
      <c r="BP251" s="147"/>
      <c r="BQ251" s="147"/>
      <c r="BR251" s="147"/>
      <c r="BS251" s="147"/>
      <c r="BT251" s="147"/>
      <c r="BU251" s="147"/>
      <c r="BV251" s="147"/>
      <c r="BW251" s="147"/>
      <c r="BX251" s="147"/>
      <c r="BY251" s="147"/>
      <c r="BZ251" s="147"/>
      <c r="CA251" s="147"/>
      <c r="CB251" s="147"/>
      <c r="CC251" s="147"/>
      <c r="CD251" s="147"/>
      <c r="CE251" s="147"/>
      <c r="CF251" s="147"/>
      <c r="CG251" s="147"/>
      <c r="CH251" s="147"/>
      <c r="CI251" s="147"/>
      <c r="CJ251" s="147"/>
      <c r="CK251" s="147"/>
    </row>
    <row r="252" spans="1:89">
      <c r="A252" s="159" t="s">
        <v>591</v>
      </c>
      <c r="B252" s="3" t="s">
        <v>592</v>
      </c>
      <c r="C252" s="160" t="s">
        <v>74</v>
      </c>
      <c r="D252" s="160" t="s">
        <v>867</v>
      </c>
      <c r="E252" s="3" t="s">
        <v>21</v>
      </c>
      <c r="F252" s="3"/>
      <c r="G252" s="3"/>
      <c r="H252" s="156" t="str">
        <f ca="1">IFERROR(
  _xludf.MINIFS(ATTENDANCE_LOG!$F:$F,
         ATTENDANCE_LOG!$A:$A, C252,
         ATTENDANCE_LOG!$B:$B, E252),
"")</f>
        <v/>
      </c>
      <c r="I252" s="156" t="str">
        <f t="shared" ca="1" si="0"/>
        <v/>
      </c>
      <c r="J252" s="3" t="str">
        <f>IFERROR(VLOOKUP(F252, LEVEL_HELPER!$A:$B, 2, 0), "")</f>
        <v/>
      </c>
      <c r="K252" s="3" t="str">
        <f>IFERROR(VLOOKUP(G252, LEVEL_HELPER!$A:$B, 2, 0), "")</f>
        <v/>
      </c>
      <c r="L252" s="157" t="s">
        <v>942</v>
      </c>
      <c r="M252" s="157" t="s">
        <v>922</v>
      </c>
      <c r="N252" s="3" t="str">
        <f t="array" aca="1" ref="N252" ca="1">IFERROR(
  INDEX($J$2:$J$543,
    MATCH(A252&amp;TEXT(I252,"yyyy-mm-dd"),
          $A$2:$A$543&amp;TEXT($H$2:$H$543,"yyyy-mm-dd"),
          0)),
"")</f>
        <v/>
      </c>
      <c r="O252" s="147" t="str">
        <f t="shared" ca="1" si="1"/>
        <v/>
      </c>
      <c r="P252" s="147">
        <f t="shared" ref="P252:Q252" ca="1" si="261">IF(N252="",0,IF(N252&lt;=2,1,IF(N252&lt;=4,2,IF(N252&lt;=5.5,3,4))))</f>
        <v>0</v>
      </c>
      <c r="Q252" s="147">
        <f t="shared" ca="1" si="261"/>
        <v>0</v>
      </c>
      <c r="R252" s="147" t="str">
        <f t="shared" ca="1" si="3"/>
        <v>No Data</v>
      </c>
      <c r="S252" s="147">
        <f t="shared" si="4"/>
        <v>1</v>
      </c>
      <c r="T252" s="147"/>
      <c r="U252" s="147"/>
      <c r="V252" s="148" t="e">
        <f ca="1"/>
        <v>#NAME?</v>
      </c>
      <c r="W252" s="147" t="e">
        <f t="shared" ca="1" si="5"/>
        <v>#NAME?</v>
      </c>
      <c r="X252" s="147" t="e">
        <f t="shared" ca="1" si="6"/>
        <v>#NAME?</v>
      </c>
      <c r="Y252" s="147" t="e">
        <f t="shared" ca="1" si="7"/>
        <v>#NAME?</v>
      </c>
      <c r="Z252" s="147"/>
      <c r="AA252" s="147"/>
      <c r="AB252" s="147"/>
      <c r="AC252" s="147"/>
      <c r="AD252" s="147"/>
      <c r="AE252" s="147"/>
      <c r="AF252" s="147"/>
      <c r="AG252" s="147"/>
      <c r="AH252" s="147"/>
      <c r="AI252" s="147"/>
      <c r="AJ252" s="147"/>
      <c r="AK252" s="147"/>
      <c r="AL252" s="147"/>
      <c r="AM252" s="151"/>
      <c r="AN252" s="147"/>
      <c r="AO252" s="147"/>
      <c r="AP252" s="147"/>
      <c r="AQ252" s="147"/>
      <c r="AR252" s="147"/>
      <c r="AS252" s="147"/>
      <c r="AT252" s="147"/>
      <c r="AU252" s="147"/>
      <c r="AV252" s="147"/>
      <c r="AW252" s="147"/>
      <c r="AX252" s="147"/>
      <c r="AY252" s="147"/>
      <c r="AZ252" s="147"/>
      <c r="BA252" s="147"/>
      <c r="BB252" s="147"/>
      <c r="BC252" s="147"/>
      <c r="BD252" s="147"/>
      <c r="BE252" s="147"/>
      <c r="BF252" s="147"/>
      <c r="BG252" s="147"/>
      <c r="BH252" s="147"/>
      <c r="BI252" s="147"/>
      <c r="BJ252" s="147"/>
      <c r="BK252" s="147"/>
      <c r="BL252" s="147"/>
      <c r="BM252" s="147"/>
      <c r="BN252" s="147"/>
      <c r="BO252" s="147"/>
      <c r="BP252" s="147"/>
      <c r="BQ252" s="147"/>
      <c r="BR252" s="147"/>
      <c r="BS252" s="147"/>
      <c r="BT252" s="147"/>
      <c r="BU252" s="147"/>
      <c r="BV252" s="147"/>
      <c r="BW252" s="147"/>
      <c r="BX252" s="147"/>
      <c r="BY252" s="147"/>
      <c r="BZ252" s="147"/>
      <c r="CA252" s="147"/>
      <c r="CB252" s="147"/>
      <c r="CC252" s="147"/>
      <c r="CD252" s="147"/>
      <c r="CE252" s="147"/>
      <c r="CF252" s="147"/>
      <c r="CG252" s="147"/>
      <c r="CH252" s="147"/>
      <c r="CI252" s="147"/>
      <c r="CJ252" s="147"/>
      <c r="CK252" s="147"/>
    </row>
    <row r="253" spans="1:89">
      <c r="A253" s="153" t="s">
        <v>224</v>
      </c>
      <c r="B253" s="154" t="s">
        <v>225</v>
      </c>
      <c r="C253" s="155" t="s">
        <v>74</v>
      </c>
      <c r="D253" s="155" t="s">
        <v>867</v>
      </c>
      <c r="E253" s="154" t="s">
        <v>22</v>
      </c>
      <c r="F253" s="3"/>
      <c r="G253" s="3"/>
      <c r="H253" s="156" t="str">
        <f ca="1">IFERROR(
  _xludf.MINIFS(ATTENDANCE_LOG!$F:$F,
         ATTENDANCE_LOG!$A:$A, C253,
         ATTENDANCE_LOG!$B:$B, E253),
"")</f>
        <v/>
      </c>
      <c r="I253" s="156" t="str">
        <f t="shared" ca="1" si="0"/>
        <v/>
      </c>
      <c r="J253" s="3" t="str">
        <f>IFERROR(VLOOKUP(F253, LEVEL_HELPER!$A:$B, 2, 0), "")</f>
        <v/>
      </c>
      <c r="K253" s="3" t="str">
        <f>IFERROR(VLOOKUP(G253, LEVEL_HELPER!$A:$B, 2, 0), "")</f>
        <v/>
      </c>
      <c r="L253" s="157" t="s">
        <v>942</v>
      </c>
      <c r="M253" s="157" t="s">
        <v>922</v>
      </c>
      <c r="N253" s="3">
        <f t="array" aca="1" ref="N253" ca="1">IFERROR(
  INDEX($J$2:$J$543,
    MATCH(A253&amp;TEXT(I253,"yyyy-mm-dd"),
          $A$2:$A$543&amp;TEXT($H$2:$H$543,"yyyy-mm-dd"),
          0)),
"")</f>
        <v>1</v>
      </c>
      <c r="O253" s="147" t="str">
        <f t="shared" ca="1" si="1"/>
        <v/>
      </c>
      <c r="P253" s="147">
        <f t="shared" ref="P253:Q253" ca="1" si="262">IF(N253="",0,IF(N253&lt;=2,1,IF(N253&lt;=4,2,IF(N253&lt;=5.5,3,4))))</f>
        <v>1</v>
      </c>
      <c r="Q253" s="147">
        <f t="shared" ca="1" si="262"/>
        <v>0</v>
      </c>
      <c r="R253" s="147" t="str">
        <f t="shared" ca="1" si="3"/>
        <v>Regressed</v>
      </c>
      <c r="S253" s="147">
        <f t="shared" si="4"/>
        <v>0</v>
      </c>
      <c r="T253" s="147"/>
      <c r="U253" s="147"/>
      <c r="V253" s="148" t="e">
        <f ca="1"/>
        <v>#NAME?</v>
      </c>
      <c r="W253" s="147" t="e">
        <f t="shared" ca="1" si="5"/>
        <v>#NAME?</v>
      </c>
      <c r="X253" s="147" t="e">
        <f t="shared" ca="1" si="6"/>
        <v>#NAME?</v>
      </c>
      <c r="Y253" s="147" t="e">
        <f t="shared" ca="1" si="7"/>
        <v>#NAME?</v>
      </c>
      <c r="Z253" s="147"/>
      <c r="AA253" s="147"/>
      <c r="AB253" s="147"/>
      <c r="AC253" s="147"/>
      <c r="AD253" s="147"/>
      <c r="AE253" s="147"/>
      <c r="AF253" s="147"/>
      <c r="AG253" s="147"/>
      <c r="AH253" s="147"/>
      <c r="AI253" s="147"/>
      <c r="AJ253" s="147"/>
      <c r="AK253" s="147"/>
      <c r="AL253" s="147"/>
      <c r="AM253" s="151"/>
      <c r="AN253" s="147"/>
      <c r="AO253" s="147"/>
      <c r="AP253" s="147"/>
      <c r="AQ253" s="147"/>
      <c r="AR253" s="147"/>
      <c r="AS253" s="147"/>
      <c r="AT253" s="147"/>
      <c r="AU253" s="147"/>
      <c r="AV253" s="147"/>
      <c r="AW253" s="147"/>
      <c r="AX253" s="147"/>
      <c r="AY253" s="147"/>
      <c r="AZ253" s="147"/>
      <c r="BA253" s="147"/>
      <c r="BB253" s="147"/>
      <c r="BC253" s="147"/>
      <c r="BD253" s="147"/>
      <c r="BE253" s="147"/>
      <c r="BF253" s="147"/>
      <c r="BG253" s="147"/>
      <c r="BH253" s="147"/>
      <c r="BI253" s="147"/>
      <c r="BJ253" s="147"/>
      <c r="BK253" s="147"/>
      <c r="BL253" s="147"/>
      <c r="BM253" s="147"/>
      <c r="BN253" s="147"/>
      <c r="BO253" s="147"/>
      <c r="BP253" s="147"/>
      <c r="BQ253" s="147"/>
      <c r="BR253" s="147"/>
      <c r="BS253" s="147"/>
      <c r="BT253" s="147"/>
      <c r="BU253" s="147"/>
      <c r="BV253" s="147"/>
      <c r="BW253" s="147"/>
      <c r="BX253" s="147"/>
      <c r="BY253" s="147"/>
      <c r="BZ253" s="147"/>
      <c r="CA253" s="147"/>
      <c r="CB253" s="147"/>
      <c r="CC253" s="147"/>
      <c r="CD253" s="147"/>
      <c r="CE253" s="147"/>
      <c r="CF253" s="147"/>
      <c r="CG253" s="147"/>
      <c r="CH253" s="147"/>
      <c r="CI253" s="147"/>
      <c r="CJ253" s="147"/>
      <c r="CK253" s="147"/>
    </row>
    <row r="254" spans="1:89">
      <c r="A254" s="159" t="s">
        <v>186</v>
      </c>
      <c r="B254" s="3" t="s">
        <v>187</v>
      </c>
      <c r="C254" s="160" t="s">
        <v>74</v>
      </c>
      <c r="D254" s="160" t="s">
        <v>867</v>
      </c>
      <c r="E254" s="3" t="s">
        <v>22</v>
      </c>
      <c r="F254" s="3"/>
      <c r="G254" s="3"/>
      <c r="H254" s="156" t="str">
        <f ca="1">IFERROR(
  _xludf.MINIFS(ATTENDANCE_LOG!$F:$F,
         ATTENDANCE_LOG!$A:$A, C254,
         ATTENDANCE_LOG!$B:$B, E254),
"")</f>
        <v/>
      </c>
      <c r="I254" s="156" t="str">
        <f t="shared" ca="1" si="0"/>
        <v/>
      </c>
      <c r="J254" s="3" t="str">
        <f>IFERROR(VLOOKUP(F254, LEVEL_HELPER!$A:$B, 2, 0), "")</f>
        <v/>
      </c>
      <c r="K254" s="3" t="str">
        <f>IFERROR(VLOOKUP(G254, LEVEL_HELPER!$A:$B, 2, 0), "")</f>
        <v/>
      </c>
      <c r="L254" s="157" t="s">
        <v>942</v>
      </c>
      <c r="M254" s="157" t="s">
        <v>923</v>
      </c>
      <c r="N254" s="3">
        <f t="array" aca="1" ref="N254" ca="1">IFERROR(
  INDEX($J$2:$J$543,
    MATCH(A254&amp;TEXT(I254,"yyyy-mm-dd"),
          $A$2:$A$543&amp;TEXT($H$2:$H$543,"yyyy-mm-dd"),
          0)),
"")</f>
        <v>1</v>
      </c>
      <c r="O254" s="147" t="str">
        <f t="shared" ca="1" si="1"/>
        <v/>
      </c>
      <c r="P254" s="147">
        <f t="shared" ref="P254:Q254" ca="1" si="263">IF(N254="",0,IF(N254&lt;=2,1,IF(N254&lt;=4,2,IF(N254&lt;=5.5,3,4))))</f>
        <v>1</v>
      </c>
      <c r="Q254" s="147">
        <f t="shared" ca="1" si="263"/>
        <v>0</v>
      </c>
      <c r="R254" s="147" t="str">
        <f t="shared" ca="1" si="3"/>
        <v>Regressed</v>
      </c>
      <c r="S254" s="147">
        <f t="shared" si="4"/>
        <v>0</v>
      </c>
      <c r="T254" s="147"/>
      <c r="U254" s="147"/>
      <c r="V254" s="148" t="e">
        <f ca="1"/>
        <v>#NAME?</v>
      </c>
      <c r="W254" s="147" t="e">
        <f t="shared" ca="1" si="5"/>
        <v>#NAME?</v>
      </c>
      <c r="X254" s="147" t="e">
        <f t="shared" ca="1" si="6"/>
        <v>#NAME?</v>
      </c>
      <c r="Y254" s="147" t="e">
        <f t="shared" ca="1" si="7"/>
        <v>#NAME?</v>
      </c>
      <c r="Z254" s="147"/>
      <c r="AA254" s="147"/>
      <c r="AB254" s="147"/>
      <c r="AC254" s="147"/>
      <c r="AD254" s="147"/>
      <c r="AE254" s="147"/>
      <c r="AF254" s="147"/>
      <c r="AG254" s="147"/>
      <c r="AH254" s="147"/>
      <c r="AI254" s="147"/>
      <c r="AJ254" s="147"/>
      <c r="AK254" s="147"/>
      <c r="AL254" s="147"/>
      <c r="AM254" s="151"/>
      <c r="AN254" s="147"/>
      <c r="AO254" s="147"/>
      <c r="AP254" s="147"/>
      <c r="AQ254" s="147"/>
      <c r="AR254" s="147"/>
      <c r="AS254" s="147"/>
      <c r="AT254" s="147"/>
      <c r="AU254" s="147"/>
      <c r="AV254" s="147"/>
      <c r="AW254" s="147"/>
      <c r="AX254" s="147"/>
      <c r="AY254" s="147"/>
      <c r="AZ254" s="147"/>
      <c r="BA254" s="147"/>
      <c r="BB254" s="147"/>
      <c r="BC254" s="147"/>
      <c r="BD254" s="147"/>
      <c r="BE254" s="147"/>
      <c r="BF254" s="147"/>
      <c r="BG254" s="147"/>
      <c r="BH254" s="147"/>
      <c r="BI254" s="147"/>
      <c r="BJ254" s="147"/>
      <c r="BK254" s="147"/>
      <c r="BL254" s="147"/>
      <c r="BM254" s="147"/>
      <c r="BN254" s="147"/>
      <c r="BO254" s="147"/>
      <c r="BP254" s="147"/>
      <c r="BQ254" s="147"/>
      <c r="BR254" s="147"/>
      <c r="BS254" s="147"/>
      <c r="BT254" s="147"/>
      <c r="BU254" s="147"/>
      <c r="BV254" s="147"/>
      <c r="BW254" s="147"/>
      <c r="BX254" s="147"/>
      <c r="BY254" s="147"/>
      <c r="BZ254" s="147"/>
      <c r="CA254" s="147"/>
      <c r="CB254" s="147"/>
      <c r="CC254" s="147"/>
      <c r="CD254" s="147"/>
      <c r="CE254" s="147"/>
      <c r="CF254" s="147"/>
      <c r="CG254" s="147"/>
      <c r="CH254" s="147"/>
      <c r="CI254" s="147"/>
      <c r="CJ254" s="147"/>
      <c r="CK254" s="147"/>
    </row>
    <row r="255" spans="1:89">
      <c r="A255" s="159" t="s">
        <v>382</v>
      </c>
      <c r="B255" s="3" t="s">
        <v>380</v>
      </c>
      <c r="C255" s="160" t="s">
        <v>74</v>
      </c>
      <c r="D255" s="160" t="s">
        <v>867</v>
      </c>
      <c r="E255" s="3" t="s">
        <v>22</v>
      </c>
      <c r="F255" s="3"/>
      <c r="G255" s="3"/>
      <c r="H255" s="156" t="str">
        <f ca="1">IFERROR(
  _xludf.MINIFS(ATTENDANCE_LOG!$F:$F,
         ATTENDANCE_LOG!$A:$A, C255,
         ATTENDANCE_LOG!$B:$B, E255),
"")</f>
        <v/>
      </c>
      <c r="I255" s="156" t="str">
        <f t="shared" ca="1" si="0"/>
        <v/>
      </c>
      <c r="J255" s="3" t="str">
        <f>IFERROR(VLOOKUP(F255, LEVEL_HELPER!$A:$B, 2, 0), "")</f>
        <v/>
      </c>
      <c r="K255" s="3" t="str">
        <f>IFERROR(VLOOKUP(G255, LEVEL_HELPER!$A:$B, 2, 0), "")</f>
        <v/>
      </c>
      <c r="L255" s="157" t="s">
        <v>942</v>
      </c>
      <c r="M255" s="157" t="s">
        <v>923</v>
      </c>
      <c r="N255" s="3">
        <f t="array" aca="1" ref="N255" ca="1">IFERROR(
  INDEX($J$2:$J$543,
    MATCH(A255&amp;TEXT(I255,"yyyy-mm-dd"),
          $A$2:$A$543&amp;TEXT($H$2:$H$543,"yyyy-mm-dd"),
          0)),
"")</f>
        <v>1</v>
      </c>
      <c r="O255" s="147" t="str">
        <f t="shared" ca="1" si="1"/>
        <v/>
      </c>
      <c r="P255" s="147">
        <f t="shared" ref="P255:Q255" ca="1" si="264">IF(N255="",0,IF(N255&lt;=2,1,IF(N255&lt;=4,2,IF(N255&lt;=5.5,3,4))))</f>
        <v>1</v>
      </c>
      <c r="Q255" s="147">
        <f t="shared" ca="1" si="264"/>
        <v>0</v>
      </c>
      <c r="R255" s="147" t="str">
        <f t="shared" ca="1" si="3"/>
        <v>Regressed</v>
      </c>
      <c r="S255" s="147">
        <f t="shared" si="4"/>
        <v>0</v>
      </c>
      <c r="T255" s="147"/>
      <c r="U255" s="147"/>
      <c r="V255" s="148" t="e">
        <f ca="1"/>
        <v>#NAME?</v>
      </c>
      <c r="W255" s="147" t="e">
        <f t="shared" ca="1" si="5"/>
        <v>#NAME?</v>
      </c>
      <c r="X255" s="147" t="e">
        <f t="shared" ca="1" si="6"/>
        <v>#NAME?</v>
      </c>
      <c r="Y255" s="147" t="e">
        <f t="shared" ca="1" si="7"/>
        <v>#NAME?</v>
      </c>
      <c r="Z255" s="147"/>
      <c r="AA255" s="147"/>
      <c r="AB255" s="147"/>
      <c r="AC255" s="147"/>
      <c r="AD255" s="147"/>
      <c r="AE255" s="147"/>
      <c r="AF255" s="147"/>
      <c r="AG255" s="147"/>
      <c r="AH255" s="147"/>
      <c r="AI255" s="147"/>
      <c r="AJ255" s="147"/>
      <c r="AK255" s="147"/>
      <c r="AL255" s="147"/>
      <c r="AM255" s="151"/>
      <c r="AN255" s="147"/>
      <c r="AO255" s="147"/>
      <c r="AP255" s="147"/>
      <c r="AQ255" s="147"/>
      <c r="AR255" s="147"/>
      <c r="AS255" s="147"/>
      <c r="AT255" s="147"/>
      <c r="AU255" s="147"/>
      <c r="AV255" s="147"/>
      <c r="AW255" s="147"/>
      <c r="AX255" s="147"/>
      <c r="AY255" s="147"/>
      <c r="AZ255" s="147"/>
      <c r="BA255" s="147"/>
      <c r="BB255" s="147"/>
      <c r="BC255" s="147"/>
      <c r="BD255" s="147"/>
      <c r="BE255" s="147"/>
      <c r="BF255" s="147"/>
      <c r="BG255" s="147"/>
      <c r="BH255" s="147"/>
      <c r="BI255" s="147"/>
      <c r="BJ255" s="147"/>
      <c r="BK255" s="147"/>
      <c r="BL255" s="147"/>
      <c r="BM255" s="147"/>
      <c r="BN255" s="147"/>
      <c r="BO255" s="147"/>
      <c r="BP255" s="147"/>
      <c r="BQ255" s="147"/>
      <c r="BR255" s="147"/>
      <c r="BS255" s="147"/>
      <c r="BT255" s="147"/>
      <c r="BU255" s="147"/>
      <c r="BV255" s="147"/>
      <c r="BW255" s="147"/>
      <c r="BX255" s="147"/>
      <c r="BY255" s="147"/>
      <c r="BZ255" s="147"/>
      <c r="CA255" s="147"/>
      <c r="CB255" s="147"/>
      <c r="CC255" s="147"/>
      <c r="CD255" s="147"/>
      <c r="CE255" s="147"/>
      <c r="CF255" s="147"/>
      <c r="CG255" s="147"/>
      <c r="CH255" s="147"/>
      <c r="CI255" s="147"/>
      <c r="CJ255" s="147"/>
      <c r="CK255" s="147"/>
    </row>
    <row r="256" spans="1:89">
      <c r="A256" s="159" t="s">
        <v>425</v>
      </c>
      <c r="B256" s="3" t="s">
        <v>426</v>
      </c>
      <c r="C256" s="160" t="s">
        <v>74</v>
      </c>
      <c r="D256" s="160" t="s">
        <v>867</v>
      </c>
      <c r="E256" s="3" t="s">
        <v>22</v>
      </c>
      <c r="F256" s="3"/>
      <c r="G256" s="3"/>
      <c r="H256" s="156" t="str">
        <f ca="1">IFERROR(
  _xludf.MINIFS(ATTENDANCE_LOG!$F:$F,
         ATTENDANCE_LOG!$A:$A, C256,
         ATTENDANCE_LOG!$B:$B, E256),
"")</f>
        <v/>
      </c>
      <c r="I256" s="156" t="str">
        <f t="shared" ca="1" si="0"/>
        <v/>
      </c>
      <c r="J256" s="3" t="str">
        <f>IFERROR(VLOOKUP(F256, LEVEL_HELPER!$A:$B, 2, 0), "")</f>
        <v/>
      </c>
      <c r="K256" s="3" t="str">
        <f>IFERROR(VLOOKUP(G256, LEVEL_HELPER!$A:$B, 2, 0), "")</f>
        <v/>
      </c>
      <c r="L256" s="157" t="s">
        <v>942</v>
      </c>
      <c r="M256" s="157" t="s">
        <v>922</v>
      </c>
      <c r="N256" s="3">
        <f t="array" aca="1" ref="N256" ca="1">IFERROR(
  INDEX($J$2:$J$543,
    MATCH(A256&amp;TEXT(I256,"yyyy-mm-dd"),
          $A$2:$A$543&amp;TEXT($H$2:$H$543,"yyyy-mm-dd"),
          0)),
"")</f>
        <v>1</v>
      </c>
      <c r="O256" s="147" t="str">
        <f t="shared" ca="1" si="1"/>
        <v/>
      </c>
      <c r="P256" s="147">
        <f t="shared" ref="P256:Q256" ca="1" si="265">IF(N256="",0,IF(N256&lt;=2,1,IF(N256&lt;=4,2,IF(N256&lt;=5.5,3,4))))</f>
        <v>1</v>
      </c>
      <c r="Q256" s="147">
        <f t="shared" ca="1" si="265"/>
        <v>0</v>
      </c>
      <c r="R256" s="147" t="str">
        <f t="shared" ca="1" si="3"/>
        <v>Regressed</v>
      </c>
      <c r="S256" s="147">
        <f t="shared" si="4"/>
        <v>0</v>
      </c>
      <c r="T256" s="147"/>
      <c r="U256" s="147"/>
      <c r="V256" s="148" t="e">
        <f ca="1"/>
        <v>#NAME?</v>
      </c>
      <c r="W256" s="147" t="e">
        <f t="shared" ca="1" si="5"/>
        <v>#NAME?</v>
      </c>
      <c r="X256" s="147" t="e">
        <f t="shared" ca="1" si="6"/>
        <v>#NAME?</v>
      </c>
      <c r="Y256" s="147" t="e">
        <f t="shared" ca="1" si="7"/>
        <v>#NAME?</v>
      </c>
      <c r="Z256" s="147"/>
      <c r="AA256" s="147"/>
      <c r="AB256" s="147"/>
      <c r="AC256" s="147"/>
      <c r="AD256" s="147"/>
      <c r="AE256" s="147"/>
      <c r="AF256" s="147"/>
      <c r="AG256" s="147"/>
      <c r="AH256" s="147"/>
      <c r="AI256" s="147"/>
      <c r="AJ256" s="147"/>
      <c r="AK256" s="147"/>
      <c r="AL256" s="147"/>
      <c r="AM256" s="151"/>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c r="BI256" s="147"/>
      <c r="BJ256" s="147"/>
      <c r="BK256" s="147"/>
      <c r="BL256" s="147"/>
      <c r="BM256" s="147"/>
      <c r="BN256" s="147"/>
      <c r="BO256" s="147"/>
      <c r="BP256" s="147"/>
      <c r="BQ256" s="147"/>
      <c r="BR256" s="147"/>
      <c r="BS256" s="147"/>
      <c r="BT256" s="147"/>
      <c r="BU256" s="147"/>
      <c r="BV256" s="147"/>
      <c r="BW256" s="147"/>
      <c r="BX256" s="147"/>
      <c r="BY256" s="147"/>
      <c r="BZ256" s="147"/>
      <c r="CA256" s="147"/>
      <c r="CB256" s="147"/>
      <c r="CC256" s="147"/>
      <c r="CD256" s="147"/>
      <c r="CE256" s="147"/>
      <c r="CF256" s="147"/>
      <c r="CG256" s="147"/>
      <c r="CH256" s="147"/>
      <c r="CI256" s="147"/>
      <c r="CJ256" s="147"/>
      <c r="CK256" s="147"/>
    </row>
    <row r="257" spans="1:89">
      <c r="A257" s="159" t="s">
        <v>431</v>
      </c>
      <c r="B257" s="3" t="s">
        <v>432</v>
      </c>
      <c r="C257" s="160" t="s">
        <v>74</v>
      </c>
      <c r="D257" s="160" t="s">
        <v>867</v>
      </c>
      <c r="E257" s="3" t="s">
        <v>22</v>
      </c>
      <c r="F257" s="3"/>
      <c r="G257" s="3"/>
      <c r="H257" s="156" t="str">
        <f ca="1">IFERROR(
  _xludf.MINIFS(ATTENDANCE_LOG!$F:$F,
         ATTENDANCE_LOG!$A:$A, C257,
         ATTENDANCE_LOG!$B:$B, E257),
"")</f>
        <v/>
      </c>
      <c r="I257" s="156" t="str">
        <f t="shared" ref="I257:I511" ca="1" si="266">IFERROR(
  _xludf.MINIFS($H:$H, $A:$A, A257, $H:$H, "&gt;"&amp;0),
"")</f>
        <v/>
      </c>
      <c r="J257" s="3" t="str">
        <f>IFERROR(VLOOKUP(F257, LEVEL_HELPER!$A:$B, 2, 0), "")</f>
        <v/>
      </c>
      <c r="K257" s="3" t="str">
        <f>IFERROR(VLOOKUP(G257, LEVEL_HELPER!$A:$B, 2, 0), "")</f>
        <v/>
      </c>
      <c r="L257" s="157" t="s">
        <v>942</v>
      </c>
      <c r="M257" s="157" t="s">
        <v>923</v>
      </c>
      <c r="N257" s="3">
        <f t="array" aca="1" ref="N257" ca="1">IFERROR(
  INDEX($J$2:$J$543,
    MATCH(A257&amp;TEXT(I257,"yyyy-mm-dd"),
          $A$2:$A$543&amp;TEXT($H$2:$H$543,"yyyy-mm-dd"),
          0)),
"")</f>
        <v>1</v>
      </c>
      <c r="O257" s="147" t="str">
        <f t="shared" ref="O257:O511" ca="1" si="267">IFERROR(_xludf.MAXIFS($K:$K, $A:$A, A257), "")</f>
        <v/>
      </c>
      <c r="P257" s="147">
        <f t="shared" ref="P257:Q257" ca="1" si="268">IF(N257="",0,IF(N257&lt;=2,1,IF(N257&lt;=4,2,IF(N257&lt;=5.5,3,4))))</f>
        <v>1</v>
      </c>
      <c r="Q257" s="147">
        <f t="shared" ca="1" si="268"/>
        <v>0</v>
      </c>
      <c r="R257" s="147" t="str">
        <f t="shared" ref="R257:R511" ca="1" si="269">IF(P257=0,"No Data",IF(Q257&lt;P257,"Regressed",IF(Q257=P257,IF(O257&gt;N257,"Progress within level","No Progress"),IF(Q257-P257=1,"Lv"&amp;P257&amp;" → Lv"&amp;Q257,"Lv"&amp;P257&amp;" → Lv"&amp;Q257&amp;" (multi)"))))</f>
        <v>Regressed</v>
      </c>
      <c r="S257" s="147">
        <f t="shared" ref="S257:S511" si="270">IF(COUNTIF($A$2:A257,A257)=1,1,0)</f>
        <v>0</v>
      </c>
      <c r="T257" s="147"/>
      <c r="U257" s="147"/>
      <c r="V257" s="148" t="e">
        <f ca="1"/>
        <v>#NAME?</v>
      </c>
      <c r="W257" s="147" t="e">
        <f t="shared" ref="W257:W305" ca="1" si="271">VLOOKUP(V257,$A$2:$P1854,12,0)</f>
        <v>#NAME?</v>
      </c>
      <c r="X257" s="147" t="e">
        <f t="shared" ref="X257:X305" ca="1" si="272">_xludf.IFS(W257="QC","QC",OR(W257="BA",W257="BC"),"BA, BC",OR(W257="DEV",W257="TA"),"DEV, TA",OR(W257="HR",W257="Admin",W257="Management"),"HR, GA, Mgt",W257="GSD","GSD",OR(W257="PPO",W257="SM",W257="IM"),"PPO, SM, IM ",OR(W257="UI/UX",W257="Designer"),"UI/UX, Des")</f>
        <v>#NAME?</v>
      </c>
      <c r="Y257" s="147" t="e">
        <f t="shared" ref="Y257:Y305" ca="1" si="273">VLOOKUP(V257,$A$2:$P1854,13,0)</f>
        <v>#NAME?</v>
      </c>
      <c r="Z257" s="147"/>
      <c r="AA257" s="147"/>
      <c r="AB257" s="147"/>
      <c r="AC257" s="147"/>
      <c r="AD257" s="147"/>
      <c r="AE257" s="147"/>
      <c r="AF257" s="147"/>
      <c r="AG257" s="147"/>
      <c r="AH257" s="147"/>
      <c r="AI257" s="147"/>
      <c r="AJ257" s="147"/>
      <c r="AK257" s="147"/>
      <c r="AL257" s="147"/>
      <c r="AM257" s="151"/>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c r="BI257" s="147"/>
      <c r="BJ257" s="147"/>
      <c r="BK257" s="147"/>
      <c r="BL257" s="147"/>
      <c r="BM257" s="147"/>
      <c r="BN257" s="147"/>
      <c r="BO257" s="147"/>
      <c r="BP257" s="147"/>
      <c r="BQ257" s="147"/>
      <c r="BR257" s="147"/>
      <c r="BS257" s="147"/>
      <c r="BT257" s="147"/>
      <c r="BU257" s="147"/>
      <c r="BV257" s="147"/>
      <c r="BW257" s="147"/>
      <c r="BX257" s="147"/>
      <c r="BY257" s="147"/>
      <c r="BZ257" s="147"/>
      <c r="CA257" s="147"/>
      <c r="CB257" s="147"/>
      <c r="CC257" s="147"/>
      <c r="CD257" s="147"/>
      <c r="CE257" s="147"/>
      <c r="CF257" s="147"/>
      <c r="CG257" s="147"/>
      <c r="CH257" s="147"/>
      <c r="CI257" s="147"/>
      <c r="CJ257" s="147"/>
      <c r="CK257" s="147"/>
    </row>
    <row r="258" spans="1:89">
      <c r="A258" s="159" t="s">
        <v>453</v>
      </c>
      <c r="B258" s="3" t="s">
        <v>454</v>
      </c>
      <c r="C258" s="160" t="s">
        <v>74</v>
      </c>
      <c r="D258" s="160" t="s">
        <v>867</v>
      </c>
      <c r="E258" s="3" t="s">
        <v>22</v>
      </c>
      <c r="F258" s="3"/>
      <c r="G258" s="3"/>
      <c r="H258" s="156" t="str">
        <f ca="1">IFERROR(
  _xludf.MINIFS(ATTENDANCE_LOG!$F:$F,
         ATTENDANCE_LOG!$A:$A, C258,
         ATTENDANCE_LOG!$B:$B, E258),
"")</f>
        <v/>
      </c>
      <c r="I258" s="156" t="str">
        <f t="shared" ca="1" si="266"/>
        <v/>
      </c>
      <c r="J258" s="3" t="str">
        <f>IFERROR(VLOOKUP(F258, LEVEL_HELPER!$A:$B, 2, 0), "")</f>
        <v/>
      </c>
      <c r="K258" s="3" t="str">
        <f>IFERROR(VLOOKUP(G258, LEVEL_HELPER!$A:$B, 2, 0), "")</f>
        <v/>
      </c>
      <c r="L258" s="157" t="s">
        <v>942</v>
      </c>
      <c r="M258" s="157" t="s">
        <v>923</v>
      </c>
      <c r="N258" s="3">
        <f t="array" aca="1" ref="N258" ca="1">IFERROR(
  INDEX($J$2:$J$543,
    MATCH(A258&amp;TEXT(I258,"yyyy-mm-dd"),
          $A$2:$A$543&amp;TEXT($H$2:$H$543,"yyyy-mm-dd"),
          0)),
"")</f>
        <v>1</v>
      </c>
      <c r="O258" s="147" t="str">
        <f t="shared" ca="1" si="267"/>
        <v/>
      </c>
      <c r="P258" s="147">
        <f t="shared" ref="P258:Q258" ca="1" si="274">IF(N258="",0,IF(N258&lt;=2,1,IF(N258&lt;=4,2,IF(N258&lt;=5.5,3,4))))</f>
        <v>1</v>
      </c>
      <c r="Q258" s="147">
        <f t="shared" ca="1" si="274"/>
        <v>0</v>
      </c>
      <c r="R258" s="147" t="str">
        <f t="shared" ca="1" si="269"/>
        <v>Regressed</v>
      </c>
      <c r="S258" s="147">
        <f t="shared" si="270"/>
        <v>0</v>
      </c>
      <c r="T258" s="147"/>
      <c r="U258" s="147"/>
      <c r="V258" s="148" t="e">
        <f ca="1"/>
        <v>#NAME?</v>
      </c>
      <c r="W258" s="147" t="e">
        <f t="shared" ca="1" si="271"/>
        <v>#NAME?</v>
      </c>
      <c r="X258" s="147" t="e">
        <f t="shared" ca="1" si="272"/>
        <v>#NAME?</v>
      </c>
      <c r="Y258" s="147" t="e">
        <f t="shared" ca="1" si="273"/>
        <v>#NAME?</v>
      </c>
      <c r="Z258" s="147"/>
      <c r="AA258" s="147"/>
      <c r="AB258" s="147"/>
      <c r="AC258" s="147"/>
      <c r="AD258" s="147"/>
      <c r="AE258" s="147"/>
      <c r="AF258" s="147"/>
      <c r="AG258" s="147"/>
      <c r="AH258" s="147"/>
      <c r="AI258" s="147"/>
      <c r="AJ258" s="147"/>
      <c r="AK258" s="147"/>
      <c r="AL258" s="147"/>
      <c r="AM258" s="151"/>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c r="BI258" s="147"/>
      <c r="BJ258" s="147"/>
      <c r="BK258" s="147"/>
      <c r="BL258" s="147"/>
      <c r="BM258" s="147"/>
      <c r="BN258" s="147"/>
      <c r="BO258" s="147"/>
      <c r="BP258" s="147"/>
      <c r="BQ258" s="147"/>
      <c r="BR258" s="147"/>
      <c r="BS258" s="147"/>
      <c r="BT258" s="147"/>
      <c r="BU258" s="147"/>
      <c r="BV258" s="147"/>
      <c r="BW258" s="147"/>
      <c r="BX258" s="147"/>
      <c r="BY258" s="147"/>
      <c r="BZ258" s="147"/>
      <c r="CA258" s="147"/>
      <c r="CB258" s="147"/>
      <c r="CC258" s="147"/>
      <c r="CD258" s="147"/>
      <c r="CE258" s="147"/>
      <c r="CF258" s="147"/>
      <c r="CG258" s="147"/>
      <c r="CH258" s="147"/>
      <c r="CI258" s="147"/>
      <c r="CJ258" s="147"/>
      <c r="CK258" s="147"/>
    </row>
    <row r="259" spans="1:89">
      <c r="A259" s="159" t="s">
        <v>492</v>
      </c>
      <c r="B259" s="3" t="s">
        <v>493</v>
      </c>
      <c r="C259" s="160" t="s">
        <v>74</v>
      </c>
      <c r="D259" s="160" t="s">
        <v>867</v>
      </c>
      <c r="E259" s="3" t="s">
        <v>22</v>
      </c>
      <c r="F259" s="3"/>
      <c r="G259" s="3"/>
      <c r="H259" s="156" t="str">
        <f ca="1">IFERROR(
  _xludf.MINIFS(ATTENDANCE_LOG!$F:$F,
         ATTENDANCE_LOG!$A:$A, C259,
         ATTENDANCE_LOG!$B:$B, E259),
"")</f>
        <v/>
      </c>
      <c r="I259" s="156" t="str">
        <f t="shared" ca="1" si="266"/>
        <v/>
      </c>
      <c r="J259" s="3" t="str">
        <f>IFERROR(VLOOKUP(F259, LEVEL_HELPER!$A:$B, 2, 0), "")</f>
        <v/>
      </c>
      <c r="K259" s="3" t="str">
        <f>IFERROR(VLOOKUP(G259, LEVEL_HELPER!$A:$B, 2, 0), "")</f>
        <v/>
      </c>
      <c r="L259" s="157" t="s">
        <v>942</v>
      </c>
      <c r="M259" s="157" t="s">
        <v>922</v>
      </c>
      <c r="N259" s="3" t="str">
        <f t="array" aca="1" ref="N259" ca="1">IFERROR(
  INDEX($J$2:$J$543,
    MATCH(A259&amp;TEXT(I259,"yyyy-mm-dd"),
          $A$2:$A$543&amp;TEXT($H$2:$H$543,"yyyy-mm-dd"),
          0)),
"")</f>
        <v/>
      </c>
      <c r="O259" s="147" t="str">
        <f t="shared" ca="1" si="267"/>
        <v/>
      </c>
      <c r="P259" s="147">
        <f t="shared" ref="P259:Q259" ca="1" si="275">IF(N259="",0,IF(N259&lt;=2,1,IF(N259&lt;=4,2,IF(N259&lt;=5.5,3,4))))</f>
        <v>0</v>
      </c>
      <c r="Q259" s="147">
        <f t="shared" ca="1" si="275"/>
        <v>0</v>
      </c>
      <c r="R259" s="147" t="str">
        <f t="shared" ca="1" si="269"/>
        <v>No Data</v>
      </c>
      <c r="S259" s="147">
        <f t="shared" si="270"/>
        <v>0</v>
      </c>
      <c r="T259" s="147"/>
      <c r="U259" s="147"/>
      <c r="V259" s="148" t="e">
        <f ca="1"/>
        <v>#NAME?</v>
      </c>
      <c r="W259" s="147" t="e">
        <f t="shared" ca="1" si="271"/>
        <v>#NAME?</v>
      </c>
      <c r="X259" s="147" t="e">
        <f t="shared" ca="1" si="272"/>
        <v>#NAME?</v>
      </c>
      <c r="Y259" s="147" t="e">
        <f t="shared" ca="1" si="273"/>
        <v>#NAME?</v>
      </c>
      <c r="Z259" s="147"/>
      <c r="AA259" s="147"/>
      <c r="AB259" s="147"/>
      <c r="AC259" s="147"/>
      <c r="AD259" s="147"/>
      <c r="AE259" s="147"/>
      <c r="AF259" s="147"/>
      <c r="AG259" s="147"/>
      <c r="AH259" s="147"/>
      <c r="AI259" s="147"/>
      <c r="AJ259" s="147"/>
      <c r="AK259" s="147"/>
      <c r="AL259" s="147"/>
      <c r="AM259" s="151"/>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c r="BI259" s="147"/>
      <c r="BJ259" s="147"/>
      <c r="BK259" s="147"/>
      <c r="BL259" s="147"/>
      <c r="BM259" s="147"/>
      <c r="BN259" s="147"/>
      <c r="BO259" s="147"/>
      <c r="BP259" s="147"/>
      <c r="BQ259" s="147"/>
      <c r="BR259" s="147"/>
      <c r="BS259" s="147"/>
      <c r="BT259" s="147"/>
      <c r="BU259" s="147"/>
      <c r="BV259" s="147"/>
      <c r="BW259" s="147"/>
      <c r="BX259" s="147"/>
      <c r="BY259" s="147"/>
      <c r="BZ259" s="147"/>
      <c r="CA259" s="147"/>
      <c r="CB259" s="147"/>
      <c r="CC259" s="147"/>
      <c r="CD259" s="147"/>
      <c r="CE259" s="147"/>
      <c r="CF259" s="147"/>
      <c r="CG259" s="147"/>
      <c r="CH259" s="147"/>
      <c r="CI259" s="147"/>
      <c r="CJ259" s="147"/>
      <c r="CK259" s="147"/>
    </row>
    <row r="260" spans="1:89">
      <c r="A260" s="159" t="s">
        <v>591</v>
      </c>
      <c r="B260" s="3" t="s">
        <v>592</v>
      </c>
      <c r="C260" s="160" t="s">
        <v>74</v>
      </c>
      <c r="D260" s="160" t="s">
        <v>867</v>
      </c>
      <c r="E260" s="3" t="s">
        <v>22</v>
      </c>
      <c r="F260" s="3"/>
      <c r="G260" s="3"/>
      <c r="H260" s="156" t="str">
        <f ca="1">IFERROR(
  _xludf.MINIFS(ATTENDANCE_LOG!$F:$F,
         ATTENDANCE_LOG!$A:$A, C260,
         ATTENDANCE_LOG!$B:$B, E260),
"")</f>
        <v/>
      </c>
      <c r="I260" s="156" t="str">
        <f t="shared" ca="1" si="266"/>
        <v/>
      </c>
      <c r="J260" s="3" t="str">
        <f>IFERROR(VLOOKUP(F260, LEVEL_HELPER!$A:$B, 2, 0), "")</f>
        <v/>
      </c>
      <c r="K260" s="3" t="str">
        <f>IFERROR(VLOOKUP(G260, LEVEL_HELPER!$A:$B, 2, 0), "")</f>
        <v/>
      </c>
      <c r="L260" s="157" t="s">
        <v>942</v>
      </c>
      <c r="M260" s="157" t="s">
        <v>922</v>
      </c>
      <c r="N260" s="3" t="str">
        <f t="array" aca="1" ref="N260" ca="1">IFERROR(
  INDEX($J$2:$J$543,
    MATCH(A260&amp;TEXT(I260,"yyyy-mm-dd"),
          $A$2:$A$543&amp;TEXT($H$2:$H$543,"yyyy-mm-dd"),
          0)),
"")</f>
        <v/>
      </c>
      <c r="O260" s="147" t="str">
        <f t="shared" ca="1" si="267"/>
        <v/>
      </c>
      <c r="P260" s="147">
        <f t="shared" ref="P260:Q260" ca="1" si="276">IF(N260="",0,IF(N260&lt;=2,1,IF(N260&lt;=4,2,IF(N260&lt;=5.5,3,4))))</f>
        <v>0</v>
      </c>
      <c r="Q260" s="147">
        <f t="shared" ca="1" si="276"/>
        <v>0</v>
      </c>
      <c r="R260" s="147" t="str">
        <f t="shared" ca="1" si="269"/>
        <v>No Data</v>
      </c>
      <c r="S260" s="147">
        <f t="shared" si="270"/>
        <v>0</v>
      </c>
      <c r="T260" s="147"/>
      <c r="U260" s="147"/>
      <c r="V260" s="148" t="e">
        <f ca="1"/>
        <v>#NAME?</v>
      </c>
      <c r="W260" s="147" t="e">
        <f t="shared" ca="1" si="271"/>
        <v>#NAME?</v>
      </c>
      <c r="X260" s="147" t="e">
        <f t="shared" ca="1" si="272"/>
        <v>#NAME?</v>
      </c>
      <c r="Y260" s="147" t="e">
        <f t="shared" ca="1" si="273"/>
        <v>#NAME?</v>
      </c>
      <c r="Z260" s="147"/>
      <c r="AA260" s="147"/>
      <c r="AB260" s="147"/>
      <c r="AC260" s="147"/>
      <c r="AD260" s="147"/>
      <c r="AE260" s="147"/>
      <c r="AF260" s="147"/>
      <c r="AG260" s="147"/>
      <c r="AH260" s="147"/>
      <c r="AI260" s="147"/>
      <c r="AJ260" s="147"/>
      <c r="AK260" s="147"/>
      <c r="AL260" s="147"/>
      <c r="AM260" s="151"/>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c r="BI260" s="147"/>
      <c r="BJ260" s="147"/>
      <c r="BK260" s="147"/>
      <c r="BL260" s="147"/>
      <c r="BM260" s="147"/>
      <c r="BN260" s="147"/>
      <c r="BO260" s="147"/>
      <c r="BP260" s="147"/>
      <c r="BQ260" s="147"/>
      <c r="BR260" s="147"/>
      <c r="BS260" s="147"/>
      <c r="BT260" s="147"/>
      <c r="BU260" s="147"/>
      <c r="BV260" s="147"/>
      <c r="BW260" s="147"/>
      <c r="BX260" s="147"/>
      <c r="BY260" s="147"/>
      <c r="BZ260" s="147"/>
      <c r="CA260" s="147"/>
      <c r="CB260" s="147"/>
      <c r="CC260" s="147"/>
      <c r="CD260" s="147"/>
      <c r="CE260" s="147"/>
      <c r="CF260" s="147"/>
      <c r="CG260" s="147"/>
      <c r="CH260" s="147"/>
      <c r="CI260" s="147"/>
      <c r="CJ260" s="147"/>
      <c r="CK260" s="147"/>
    </row>
    <row r="261" spans="1:89">
      <c r="A261" s="159" t="s">
        <v>593</v>
      </c>
      <c r="B261" s="154" t="s">
        <v>594</v>
      </c>
      <c r="C261" s="155" t="s">
        <v>75</v>
      </c>
      <c r="D261" s="155" t="s">
        <v>868</v>
      </c>
      <c r="E261" s="154" t="s">
        <v>21</v>
      </c>
      <c r="F261" s="3" t="s">
        <v>926</v>
      </c>
      <c r="G261" s="3" t="s">
        <v>928</v>
      </c>
      <c r="H261" s="156" t="str">
        <f ca="1">IFERROR(
  _xludf.MINIFS(ATTENDANCE_LOG!$F:$F,
         ATTENDANCE_LOG!$A:$A, C261,
         ATTENDANCE_LOG!$B:$B, E261),
"")</f>
        <v/>
      </c>
      <c r="I261" s="156" t="str">
        <f t="shared" ca="1" si="266"/>
        <v/>
      </c>
      <c r="J261" s="3">
        <f>IFERROR(VLOOKUP(F261, LEVEL_HELPER!$A:$B, 2, 0), "")</f>
        <v>1</v>
      </c>
      <c r="K261" s="3">
        <f>IFERROR(VLOOKUP(G261, LEVEL_HELPER!$A:$B, 2, 0), "")</f>
        <v>1.5</v>
      </c>
      <c r="L261" s="157" t="s">
        <v>942</v>
      </c>
      <c r="M261" s="157" t="s">
        <v>923</v>
      </c>
      <c r="N261" s="3">
        <f t="array" aca="1" ref="N261" ca="1">IFERROR(
  INDEX($J$2:$J$543,
    MATCH(A261&amp;TEXT(I261,"yyyy-mm-dd"),
          $A$2:$A$543&amp;TEXT($H$2:$H$543,"yyyy-mm-dd"),
          0)),
"")</f>
        <v>1</v>
      </c>
      <c r="O261" s="147" t="str">
        <f t="shared" ca="1" si="267"/>
        <v/>
      </c>
      <c r="P261" s="147">
        <f t="shared" ref="P261:Q261" ca="1" si="277">IF(N261="",0,IF(N261&lt;=2,1,IF(N261&lt;=4,2,IF(N261&lt;=5.5,3,4))))</f>
        <v>1</v>
      </c>
      <c r="Q261" s="147">
        <f t="shared" ca="1" si="277"/>
        <v>0</v>
      </c>
      <c r="R261" s="147" t="str">
        <f t="shared" ca="1" si="269"/>
        <v>Regressed</v>
      </c>
      <c r="S261" s="147">
        <f t="shared" si="270"/>
        <v>1</v>
      </c>
      <c r="T261" s="147"/>
      <c r="U261" s="147"/>
      <c r="V261" s="148" t="e">
        <f ca="1"/>
        <v>#NAME?</v>
      </c>
      <c r="W261" s="147" t="e">
        <f t="shared" ca="1" si="271"/>
        <v>#NAME?</v>
      </c>
      <c r="X261" s="147" t="e">
        <f t="shared" ca="1" si="272"/>
        <v>#NAME?</v>
      </c>
      <c r="Y261" s="147" t="e">
        <f t="shared" ca="1" si="273"/>
        <v>#NAME?</v>
      </c>
      <c r="Z261" s="147"/>
      <c r="AA261" s="147"/>
      <c r="AB261" s="147"/>
      <c r="AC261" s="147"/>
      <c r="AD261" s="147"/>
      <c r="AE261" s="147"/>
      <c r="AF261" s="147"/>
      <c r="AG261" s="147"/>
      <c r="AH261" s="147"/>
      <c r="AI261" s="147"/>
      <c r="AJ261" s="147"/>
      <c r="AK261" s="147"/>
      <c r="AL261" s="147"/>
      <c r="AM261" s="151"/>
      <c r="AN261" s="147"/>
      <c r="AO261" s="147"/>
      <c r="AP261" s="147"/>
      <c r="AQ261" s="147"/>
      <c r="AR261" s="147"/>
      <c r="AS261" s="147"/>
      <c r="AT261" s="147"/>
      <c r="AU261" s="147"/>
      <c r="AV261" s="147"/>
      <c r="AW261" s="147"/>
      <c r="AX261" s="147"/>
      <c r="AY261" s="147"/>
      <c r="AZ261" s="147"/>
      <c r="BA261" s="147"/>
      <c r="BB261" s="147"/>
      <c r="BC261" s="147"/>
      <c r="BD261" s="147"/>
      <c r="BE261" s="147"/>
      <c r="BF261" s="147"/>
      <c r="BG261" s="147"/>
      <c r="BH261" s="147"/>
      <c r="BI261" s="147"/>
      <c r="BJ261" s="147"/>
      <c r="BK261" s="147"/>
      <c r="BL261" s="147"/>
      <c r="BM261" s="147"/>
      <c r="BN261" s="147"/>
      <c r="BO261" s="147"/>
      <c r="BP261" s="147"/>
      <c r="BQ261" s="147"/>
      <c r="BR261" s="147"/>
      <c r="BS261" s="147"/>
      <c r="BT261" s="147"/>
      <c r="BU261" s="147"/>
      <c r="BV261" s="147"/>
      <c r="BW261" s="147"/>
      <c r="BX261" s="147"/>
      <c r="BY261" s="147"/>
      <c r="BZ261" s="147"/>
      <c r="CA261" s="147"/>
      <c r="CB261" s="147"/>
      <c r="CC261" s="147"/>
      <c r="CD261" s="147"/>
      <c r="CE261" s="147"/>
      <c r="CF261" s="147"/>
      <c r="CG261" s="147"/>
      <c r="CH261" s="147"/>
      <c r="CI261" s="147"/>
      <c r="CJ261" s="147"/>
      <c r="CK261" s="147"/>
    </row>
    <row r="262" spans="1:89">
      <c r="A262" s="159" t="s">
        <v>173</v>
      </c>
      <c r="B262" s="3" t="s">
        <v>174</v>
      </c>
      <c r="C262" s="160" t="s">
        <v>75</v>
      </c>
      <c r="D262" s="160" t="s">
        <v>868</v>
      </c>
      <c r="E262" s="3" t="s">
        <v>21</v>
      </c>
      <c r="F262" s="3" t="s">
        <v>926</v>
      </c>
      <c r="G262" s="3" t="s">
        <v>917</v>
      </c>
      <c r="H262" s="156" t="str">
        <f ca="1">IFERROR(
  _xludf.MINIFS(ATTENDANCE_LOG!$F:$F,
         ATTENDANCE_LOG!$A:$A, C262,
         ATTENDANCE_LOG!$B:$B, E262),
"")</f>
        <v/>
      </c>
      <c r="I262" s="156" t="str">
        <f t="shared" ca="1" si="266"/>
        <v/>
      </c>
      <c r="J262" s="3">
        <f>IFERROR(VLOOKUP(F262, LEVEL_HELPER!$A:$B, 2, 0), "")</f>
        <v>1</v>
      </c>
      <c r="K262" s="3">
        <f>IFERROR(VLOOKUP(G262, LEVEL_HELPER!$A:$B, 2, 0), "")</f>
        <v>3</v>
      </c>
      <c r="L262" s="157" t="s">
        <v>942</v>
      </c>
      <c r="M262" s="157" t="s">
        <v>923</v>
      </c>
      <c r="N262" s="3">
        <f t="array" aca="1" ref="N262" ca="1">IFERROR(
  INDEX($J$2:$J$543,
    MATCH(A262&amp;TEXT(I262,"yyyy-mm-dd"),
          $A$2:$A$543&amp;TEXT($H$2:$H$543,"yyyy-mm-dd"),
          0)),
"")</f>
        <v>1</v>
      </c>
      <c r="O262" s="147" t="str">
        <f t="shared" ca="1" si="267"/>
        <v/>
      </c>
      <c r="P262" s="147">
        <f t="shared" ref="P262:Q262" ca="1" si="278">IF(N262="",0,IF(N262&lt;=2,1,IF(N262&lt;=4,2,IF(N262&lt;=5.5,3,4))))</f>
        <v>1</v>
      </c>
      <c r="Q262" s="147">
        <f t="shared" ca="1" si="278"/>
        <v>0</v>
      </c>
      <c r="R262" s="147" t="str">
        <f t="shared" ca="1" si="269"/>
        <v>Regressed</v>
      </c>
      <c r="S262" s="147">
        <f t="shared" si="270"/>
        <v>1</v>
      </c>
      <c r="T262" s="147"/>
      <c r="U262" s="147"/>
      <c r="V262" s="148" t="e">
        <f ca="1"/>
        <v>#NAME?</v>
      </c>
      <c r="W262" s="147" t="e">
        <f t="shared" ca="1" si="271"/>
        <v>#NAME?</v>
      </c>
      <c r="X262" s="147" t="e">
        <f t="shared" ca="1" si="272"/>
        <v>#NAME?</v>
      </c>
      <c r="Y262" s="147" t="e">
        <f t="shared" ca="1" si="273"/>
        <v>#NAME?</v>
      </c>
      <c r="Z262" s="147"/>
      <c r="AA262" s="147"/>
      <c r="AB262" s="147"/>
      <c r="AC262" s="147"/>
      <c r="AD262" s="147"/>
      <c r="AE262" s="147"/>
      <c r="AF262" s="147"/>
      <c r="AG262" s="147"/>
      <c r="AH262" s="147"/>
      <c r="AI262" s="147"/>
      <c r="AJ262" s="147"/>
      <c r="AK262" s="147"/>
      <c r="AL262" s="147"/>
      <c r="AM262" s="151"/>
      <c r="AN262" s="147"/>
      <c r="AO262" s="147"/>
      <c r="AP262" s="147"/>
      <c r="AQ262" s="147"/>
      <c r="AR262" s="147"/>
      <c r="AS262" s="147"/>
      <c r="AT262" s="147"/>
      <c r="AU262" s="147"/>
      <c r="AV262" s="147"/>
      <c r="AW262" s="147"/>
      <c r="AX262" s="147"/>
      <c r="AY262" s="147"/>
      <c r="AZ262" s="147"/>
      <c r="BA262" s="147"/>
      <c r="BB262" s="147"/>
      <c r="BC262" s="147"/>
      <c r="BD262" s="147"/>
      <c r="BE262" s="147"/>
      <c r="BF262" s="147"/>
      <c r="BG262" s="147"/>
      <c r="BH262" s="147"/>
      <c r="BI262" s="147"/>
      <c r="BJ262" s="147"/>
      <c r="BK262" s="147"/>
      <c r="BL262" s="147"/>
      <c r="BM262" s="147"/>
      <c r="BN262" s="147"/>
      <c r="BO262" s="147"/>
      <c r="BP262" s="147"/>
      <c r="BQ262" s="147"/>
      <c r="BR262" s="147"/>
      <c r="BS262" s="147"/>
      <c r="BT262" s="147"/>
      <c r="BU262" s="147"/>
      <c r="BV262" s="147"/>
      <c r="BW262" s="147"/>
      <c r="BX262" s="147"/>
      <c r="BY262" s="147"/>
      <c r="BZ262" s="147"/>
      <c r="CA262" s="147"/>
      <c r="CB262" s="147"/>
      <c r="CC262" s="147"/>
      <c r="CD262" s="147"/>
      <c r="CE262" s="147"/>
      <c r="CF262" s="147"/>
      <c r="CG262" s="147"/>
      <c r="CH262" s="147"/>
      <c r="CI262" s="147"/>
      <c r="CJ262" s="147"/>
      <c r="CK262" s="147"/>
    </row>
    <row r="263" spans="1:89">
      <c r="A263" s="159" t="s">
        <v>281</v>
      </c>
      <c r="B263" s="3" t="s">
        <v>282</v>
      </c>
      <c r="C263" s="160" t="s">
        <v>75</v>
      </c>
      <c r="D263" s="160" t="s">
        <v>868</v>
      </c>
      <c r="E263" s="3" t="s">
        <v>21</v>
      </c>
      <c r="F263" s="3" t="s">
        <v>926</v>
      </c>
      <c r="G263" s="3" t="s">
        <v>917</v>
      </c>
      <c r="H263" s="156" t="str">
        <f ca="1">IFERROR(
  _xludf.MINIFS(ATTENDANCE_LOG!$F:$F,
         ATTENDANCE_LOG!$A:$A, C263,
         ATTENDANCE_LOG!$B:$B, E263),
"")</f>
        <v/>
      </c>
      <c r="I263" s="156" t="str">
        <f t="shared" ca="1" si="266"/>
        <v/>
      </c>
      <c r="J263" s="3">
        <f>IFERROR(VLOOKUP(F263, LEVEL_HELPER!$A:$B, 2, 0), "")</f>
        <v>1</v>
      </c>
      <c r="K263" s="3">
        <f>IFERROR(VLOOKUP(G263, LEVEL_HELPER!$A:$B, 2, 0), "")</f>
        <v>3</v>
      </c>
      <c r="L263" s="157" t="s">
        <v>942</v>
      </c>
      <c r="M263" s="157" t="s">
        <v>923</v>
      </c>
      <c r="N263" s="3">
        <f t="array" aca="1" ref="N263" ca="1">IFERROR(
  INDEX($J$2:$J$543,
    MATCH(A263&amp;TEXT(I263,"yyyy-mm-dd"),
          $A$2:$A$543&amp;TEXT($H$2:$H$543,"yyyy-mm-dd"),
          0)),
"")</f>
        <v>1</v>
      </c>
      <c r="O263" s="147" t="str">
        <f t="shared" ca="1" si="267"/>
        <v/>
      </c>
      <c r="P263" s="147">
        <f t="shared" ref="P263:Q263" ca="1" si="279">IF(N263="",0,IF(N263&lt;=2,1,IF(N263&lt;=4,2,IF(N263&lt;=5.5,3,4))))</f>
        <v>1</v>
      </c>
      <c r="Q263" s="147">
        <f t="shared" ca="1" si="279"/>
        <v>0</v>
      </c>
      <c r="R263" s="147" t="str">
        <f t="shared" ca="1" si="269"/>
        <v>Regressed</v>
      </c>
      <c r="S263" s="147">
        <f t="shared" si="270"/>
        <v>1</v>
      </c>
      <c r="T263" s="147"/>
      <c r="U263" s="147"/>
      <c r="V263" s="148" t="e">
        <f ca="1"/>
        <v>#NAME?</v>
      </c>
      <c r="W263" s="147" t="e">
        <f t="shared" ca="1" si="271"/>
        <v>#NAME?</v>
      </c>
      <c r="X263" s="147" t="e">
        <f t="shared" ca="1" si="272"/>
        <v>#NAME?</v>
      </c>
      <c r="Y263" s="147" t="e">
        <f t="shared" ca="1" si="273"/>
        <v>#NAME?</v>
      </c>
      <c r="Z263" s="147"/>
      <c r="AA263" s="147"/>
      <c r="AB263" s="147"/>
      <c r="AC263" s="147"/>
      <c r="AD263" s="147"/>
      <c r="AE263" s="147"/>
      <c r="AF263" s="147"/>
      <c r="AG263" s="147"/>
      <c r="AH263" s="147"/>
      <c r="AI263" s="147"/>
      <c r="AJ263" s="147"/>
      <c r="AK263" s="147"/>
      <c r="AL263" s="147"/>
      <c r="AM263" s="151"/>
      <c r="AN263" s="147"/>
      <c r="AO263" s="147"/>
      <c r="AP263" s="147"/>
      <c r="AQ263" s="147"/>
      <c r="AR263" s="147"/>
      <c r="AS263" s="147"/>
      <c r="AT263" s="147"/>
      <c r="AU263" s="147"/>
      <c r="AV263" s="147"/>
      <c r="AW263" s="147"/>
      <c r="AX263" s="147"/>
      <c r="AY263" s="147"/>
      <c r="AZ263" s="147"/>
      <c r="BA263" s="147"/>
      <c r="BB263" s="147"/>
      <c r="BC263" s="147"/>
      <c r="BD263" s="147"/>
      <c r="BE263" s="147"/>
      <c r="BF263" s="147"/>
      <c r="BG263" s="147"/>
      <c r="BH263" s="147"/>
      <c r="BI263" s="147"/>
      <c r="BJ263" s="147"/>
      <c r="BK263" s="147"/>
      <c r="BL263" s="147"/>
      <c r="BM263" s="147"/>
      <c r="BN263" s="147"/>
      <c r="BO263" s="147"/>
      <c r="BP263" s="147"/>
      <c r="BQ263" s="147"/>
      <c r="BR263" s="147"/>
      <c r="BS263" s="147"/>
      <c r="BT263" s="147"/>
      <c r="BU263" s="147"/>
      <c r="BV263" s="147"/>
      <c r="BW263" s="147"/>
      <c r="BX263" s="147"/>
      <c r="BY263" s="147"/>
      <c r="BZ263" s="147"/>
      <c r="CA263" s="147"/>
      <c r="CB263" s="147"/>
      <c r="CC263" s="147"/>
      <c r="CD263" s="147"/>
      <c r="CE263" s="147"/>
      <c r="CF263" s="147"/>
      <c r="CG263" s="147"/>
      <c r="CH263" s="147"/>
      <c r="CI263" s="147"/>
      <c r="CJ263" s="147"/>
      <c r="CK263" s="147"/>
    </row>
    <row r="264" spans="1:89">
      <c r="A264" s="159" t="s">
        <v>336</v>
      </c>
      <c r="B264" s="3" t="s">
        <v>337</v>
      </c>
      <c r="C264" s="160" t="s">
        <v>75</v>
      </c>
      <c r="D264" s="160" t="s">
        <v>868</v>
      </c>
      <c r="E264" s="3" t="s">
        <v>21</v>
      </c>
      <c r="F264" s="3" t="s">
        <v>926</v>
      </c>
      <c r="G264" s="3" t="s">
        <v>934</v>
      </c>
      <c r="H264" s="156" t="str">
        <f ca="1">IFERROR(
  _xludf.MINIFS(ATTENDANCE_LOG!$F:$F,
         ATTENDANCE_LOG!$A:$A, C264,
         ATTENDANCE_LOG!$B:$B, E264),
"")</f>
        <v/>
      </c>
      <c r="I264" s="156" t="str">
        <f t="shared" ca="1" si="266"/>
        <v/>
      </c>
      <c r="J264" s="3">
        <f>IFERROR(VLOOKUP(F264, LEVEL_HELPER!$A:$B, 2, 0), "")</f>
        <v>1</v>
      </c>
      <c r="K264" s="3">
        <f>IFERROR(VLOOKUP(G264, LEVEL_HELPER!$A:$B, 2, 0), "")</f>
        <v>3.5</v>
      </c>
      <c r="L264" s="157" t="s">
        <v>918</v>
      </c>
      <c r="M264" s="157" t="s">
        <v>923</v>
      </c>
      <c r="N264" s="3">
        <f t="array" aca="1" ref="N264" ca="1">IFERROR(
  INDEX($J$2:$J$543,
    MATCH(A264&amp;TEXT(I264,"yyyy-mm-dd"),
          $A$2:$A$543&amp;TEXT($H$2:$H$543,"yyyy-mm-dd"),
          0)),
"")</f>
        <v>1</v>
      </c>
      <c r="O264" s="147" t="str">
        <f t="shared" ca="1" si="267"/>
        <v/>
      </c>
      <c r="P264" s="147">
        <f t="shared" ref="P264:Q264" ca="1" si="280">IF(N264="",0,IF(N264&lt;=2,1,IF(N264&lt;=4,2,IF(N264&lt;=5.5,3,4))))</f>
        <v>1</v>
      </c>
      <c r="Q264" s="147">
        <f t="shared" ca="1" si="280"/>
        <v>0</v>
      </c>
      <c r="R264" s="147" t="str">
        <f t="shared" ca="1" si="269"/>
        <v>Regressed</v>
      </c>
      <c r="S264" s="147">
        <f t="shared" si="270"/>
        <v>1</v>
      </c>
      <c r="T264" s="147"/>
      <c r="U264" s="147"/>
      <c r="V264" s="148" t="e">
        <f ca="1"/>
        <v>#NAME?</v>
      </c>
      <c r="W264" s="147" t="e">
        <f t="shared" ca="1" si="271"/>
        <v>#NAME?</v>
      </c>
      <c r="X264" s="147" t="e">
        <f t="shared" ca="1" si="272"/>
        <v>#NAME?</v>
      </c>
      <c r="Y264" s="147" t="e">
        <f t="shared" ca="1" si="273"/>
        <v>#NAME?</v>
      </c>
      <c r="Z264" s="147"/>
      <c r="AA264" s="147"/>
      <c r="AB264" s="147"/>
      <c r="AC264" s="147"/>
      <c r="AD264" s="147"/>
      <c r="AE264" s="147"/>
      <c r="AF264" s="147"/>
      <c r="AG264" s="147"/>
      <c r="AH264" s="147"/>
      <c r="AI264" s="147"/>
      <c r="AJ264" s="147"/>
      <c r="AK264" s="147"/>
      <c r="AL264" s="147"/>
      <c r="AM264" s="151"/>
      <c r="AN264" s="147"/>
      <c r="AO264" s="147"/>
      <c r="AP264" s="147"/>
      <c r="AQ264" s="147"/>
      <c r="AR264" s="147"/>
      <c r="AS264" s="147"/>
      <c r="AT264" s="147"/>
      <c r="AU264" s="147"/>
      <c r="AV264" s="147"/>
      <c r="AW264" s="147"/>
      <c r="AX264" s="147"/>
      <c r="AY264" s="147"/>
      <c r="AZ264" s="147"/>
      <c r="BA264" s="147"/>
      <c r="BB264" s="147"/>
      <c r="BC264" s="147"/>
      <c r="BD264" s="147"/>
      <c r="BE264" s="147"/>
      <c r="BF264" s="147"/>
      <c r="BG264" s="147"/>
      <c r="BH264" s="147"/>
      <c r="BI264" s="147"/>
      <c r="BJ264" s="147"/>
      <c r="BK264" s="147"/>
      <c r="BL264" s="147"/>
      <c r="BM264" s="147"/>
      <c r="BN264" s="147"/>
      <c r="BO264" s="147"/>
      <c r="BP264" s="147"/>
      <c r="BQ264" s="147"/>
      <c r="BR264" s="147"/>
      <c r="BS264" s="147"/>
      <c r="BT264" s="147"/>
      <c r="BU264" s="147"/>
      <c r="BV264" s="147"/>
      <c r="BW264" s="147"/>
      <c r="BX264" s="147"/>
      <c r="BY264" s="147"/>
      <c r="BZ264" s="147"/>
      <c r="CA264" s="147"/>
      <c r="CB264" s="147"/>
      <c r="CC264" s="147"/>
      <c r="CD264" s="147"/>
      <c r="CE264" s="147"/>
      <c r="CF264" s="147"/>
      <c r="CG264" s="147"/>
      <c r="CH264" s="147"/>
      <c r="CI264" s="147"/>
      <c r="CJ264" s="147"/>
      <c r="CK264" s="147"/>
    </row>
    <row r="265" spans="1:89">
      <c r="A265" s="159" t="s">
        <v>417</v>
      </c>
      <c r="B265" s="3" t="s">
        <v>418</v>
      </c>
      <c r="C265" s="160" t="s">
        <v>75</v>
      </c>
      <c r="D265" s="160" t="s">
        <v>868</v>
      </c>
      <c r="E265" s="3" t="s">
        <v>21</v>
      </c>
      <c r="F265" s="3" t="s">
        <v>926</v>
      </c>
      <c r="G265" s="3" t="s">
        <v>928</v>
      </c>
      <c r="H265" s="156" t="str">
        <f ca="1">IFERROR(
  _xludf.MINIFS(ATTENDANCE_LOG!$F:$F,
         ATTENDANCE_LOG!$A:$A, C265,
         ATTENDANCE_LOG!$B:$B, E265),
"")</f>
        <v/>
      </c>
      <c r="I265" s="156" t="str">
        <f t="shared" ca="1" si="266"/>
        <v/>
      </c>
      <c r="J265" s="3">
        <f>IFERROR(VLOOKUP(F265, LEVEL_HELPER!$A:$B, 2, 0), "")</f>
        <v>1</v>
      </c>
      <c r="K265" s="3">
        <f>IFERROR(VLOOKUP(G265, LEVEL_HELPER!$A:$B, 2, 0), "")</f>
        <v>1.5</v>
      </c>
      <c r="L265" s="157" t="s">
        <v>918</v>
      </c>
      <c r="M265" s="157" t="s">
        <v>923</v>
      </c>
      <c r="N265" s="3">
        <f t="array" aca="1" ref="N265" ca="1">IFERROR(
  INDEX($J$2:$J$543,
    MATCH(A265&amp;TEXT(I265,"yyyy-mm-dd"),
          $A$2:$A$543&amp;TEXT($H$2:$H$543,"yyyy-mm-dd"),
          0)),
"")</f>
        <v>1</v>
      </c>
      <c r="O265" s="147" t="str">
        <f t="shared" ca="1" si="267"/>
        <v/>
      </c>
      <c r="P265" s="147">
        <f t="shared" ref="P265:Q265" ca="1" si="281">IF(N265="",0,IF(N265&lt;=2,1,IF(N265&lt;=4,2,IF(N265&lt;=5.5,3,4))))</f>
        <v>1</v>
      </c>
      <c r="Q265" s="147">
        <f t="shared" ca="1" si="281"/>
        <v>0</v>
      </c>
      <c r="R265" s="147" t="str">
        <f t="shared" ca="1" si="269"/>
        <v>Regressed</v>
      </c>
      <c r="S265" s="147">
        <f t="shared" si="270"/>
        <v>1</v>
      </c>
      <c r="T265" s="147"/>
      <c r="U265" s="147"/>
      <c r="V265" s="148" t="e">
        <f ca="1"/>
        <v>#NAME?</v>
      </c>
      <c r="W265" s="147" t="e">
        <f t="shared" ca="1" si="271"/>
        <v>#NAME?</v>
      </c>
      <c r="X265" s="147" t="e">
        <f t="shared" ca="1" si="272"/>
        <v>#NAME?</v>
      </c>
      <c r="Y265" s="147" t="e">
        <f t="shared" ca="1" si="273"/>
        <v>#NAME?</v>
      </c>
      <c r="Z265" s="147"/>
      <c r="AA265" s="147"/>
      <c r="AB265" s="147"/>
      <c r="AC265" s="147"/>
      <c r="AD265" s="147"/>
      <c r="AE265" s="147"/>
      <c r="AF265" s="147"/>
      <c r="AG265" s="147"/>
      <c r="AH265" s="147"/>
      <c r="AI265" s="147"/>
      <c r="AJ265" s="147"/>
      <c r="AK265" s="147"/>
      <c r="AL265" s="147"/>
      <c r="AM265" s="151"/>
      <c r="AN265" s="147"/>
      <c r="AO265" s="147"/>
      <c r="AP265" s="147"/>
      <c r="AQ265" s="147"/>
      <c r="AR265" s="147"/>
      <c r="AS265" s="147"/>
      <c r="AT265" s="147"/>
      <c r="AU265" s="147"/>
      <c r="AV265" s="147"/>
      <c r="AW265" s="147"/>
      <c r="AX265" s="147"/>
      <c r="AY265" s="147"/>
      <c r="AZ265" s="147"/>
      <c r="BA265" s="147"/>
      <c r="BB265" s="147"/>
      <c r="BC265" s="147"/>
      <c r="BD265" s="147"/>
      <c r="BE265" s="147"/>
      <c r="BF265" s="147"/>
      <c r="BG265" s="147"/>
      <c r="BH265" s="147"/>
      <c r="BI265" s="147"/>
      <c r="BJ265" s="147"/>
      <c r="BK265" s="147"/>
      <c r="BL265" s="147"/>
      <c r="BM265" s="147"/>
      <c r="BN265" s="147"/>
      <c r="BO265" s="147"/>
      <c r="BP265" s="147"/>
      <c r="BQ265" s="147"/>
      <c r="BR265" s="147"/>
      <c r="BS265" s="147"/>
      <c r="BT265" s="147"/>
      <c r="BU265" s="147"/>
      <c r="BV265" s="147"/>
      <c r="BW265" s="147"/>
      <c r="BX265" s="147"/>
      <c r="BY265" s="147"/>
      <c r="BZ265" s="147"/>
      <c r="CA265" s="147"/>
      <c r="CB265" s="147"/>
      <c r="CC265" s="147"/>
      <c r="CD265" s="147"/>
      <c r="CE265" s="147"/>
      <c r="CF265" s="147"/>
      <c r="CG265" s="147"/>
      <c r="CH265" s="147"/>
      <c r="CI265" s="147"/>
      <c r="CJ265" s="147"/>
      <c r="CK265" s="147"/>
    </row>
    <row r="266" spans="1:89">
      <c r="A266" s="159" t="s">
        <v>587</v>
      </c>
      <c r="B266" s="3" t="s">
        <v>588</v>
      </c>
      <c r="C266" s="160" t="s">
        <v>75</v>
      </c>
      <c r="D266" s="160" t="s">
        <v>868</v>
      </c>
      <c r="E266" s="3" t="s">
        <v>21</v>
      </c>
      <c r="F266" s="3" t="s">
        <v>926</v>
      </c>
      <c r="G266" s="3" t="s">
        <v>917</v>
      </c>
      <c r="H266" s="156" t="str">
        <f ca="1">IFERROR(
  _xludf.MINIFS(ATTENDANCE_LOG!$F:$F,
         ATTENDANCE_LOG!$A:$A, C266,
         ATTENDANCE_LOG!$B:$B, E266),
"")</f>
        <v/>
      </c>
      <c r="I266" s="156" t="str">
        <f t="shared" ca="1" si="266"/>
        <v/>
      </c>
      <c r="J266" s="3">
        <f>IFERROR(VLOOKUP(F266, LEVEL_HELPER!$A:$B, 2, 0), "")</f>
        <v>1</v>
      </c>
      <c r="K266" s="3">
        <f>IFERROR(VLOOKUP(G266, LEVEL_HELPER!$A:$B, 2, 0), "")</f>
        <v>3</v>
      </c>
      <c r="L266" s="157" t="s">
        <v>942</v>
      </c>
      <c r="M266" s="157" t="s">
        <v>922</v>
      </c>
      <c r="N266" s="3">
        <f t="array" aca="1" ref="N266" ca="1">IFERROR(
  INDEX($J$2:$J$543,
    MATCH(A266&amp;TEXT(I266,"yyyy-mm-dd"),
          $A$2:$A$543&amp;TEXT($H$2:$H$543,"yyyy-mm-dd"),
          0)),
"")</f>
        <v>1</v>
      </c>
      <c r="O266" s="147" t="str">
        <f t="shared" ca="1" si="267"/>
        <v/>
      </c>
      <c r="P266" s="147">
        <f t="shared" ref="P266:Q266" ca="1" si="282">IF(N266="",0,IF(N266&lt;=2,1,IF(N266&lt;=4,2,IF(N266&lt;=5.5,3,4))))</f>
        <v>1</v>
      </c>
      <c r="Q266" s="147">
        <f t="shared" ca="1" si="282"/>
        <v>0</v>
      </c>
      <c r="R266" s="147" t="str">
        <f t="shared" ca="1" si="269"/>
        <v>Regressed</v>
      </c>
      <c r="S266" s="147">
        <f t="shared" si="270"/>
        <v>1</v>
      </c>
      <c r="T266" s="147"/>
      <c r="U266" s="147"/>
      <c r="V266" s="148" t="e">
        <f ca="1"/>
        <v>#NAME?</v>
      </c>
      <c r="W266" s="147" t="e">
        <f t="shared" ca="1" si="271"/>
        <v>#NAME?</v>
      </c>
      <c r="X266" s="147" t="e">
        <f t="shared" ca="1" si="272"/>
        <v>#NAME?</v>
      </c>
      <c r="Y266" s="147" t="e">
        <f t="shared" ca="1" si="273"/>
        <v>#NAME?</v>
      </c>
      <c r="Z266" s="147"/>
      <c r="AA266" s="147"/>
      <c r="AB266" s="147"/>
      <c r="AC266" s="147"/>
      <c r="AD266" s="147"/>
      <c r="AE266" s="147"/>
      <c r="AF266" s="147"/>
      <c r="AG266" s="147"/>
      <c r="AH266" s="147"/>
      <c r="AI266" s="147"/>
      <c r="AJ266" s="147"/>
      <c r="AK266" s="147"/>
      <c r="AL266" s="147"/>
      <c r="AM266" s="151"/>
      <c r="AN266" s="147"/>
      <c r="AO266" s="147"/>
      <c r="AP266" s="147"/>
      <c r="AQ266" s="147"/>
      <c r="AR266" s="147"/>
      <c r="AS266" s="147"/>
      <c r="AT266" s="147"/>
      <c r="AU266" s="147"/>
      <c r="AV266" s="147"/>
      <c r="AW266" s="147"/>
      <c r="AX266" s="147"/>
      <c r="AY266" s="147"/>
      <c r="AZ266" s="147"/>
      <c r="BA266" s="147"/>
      <c r="BB266" s="147"/>
      <c r="BC266" s="147"/>
      <c r="BD266" s="147"/>
      <c r="BE266" s="147"/>
      <c r="BF266" s="147"/>
      <c r="BG266" s="147"/>
      <c r="BH266" s="147"/>
      <c r="BI266" s="147"/>
      <c r="BJ266" s="147"/>
      <c r="BK266" s="147"/>
      <c r="BL266" s="147"/>
      <c r="BM266" s="147"/>
      <c r="BN266" s="147"/>
      <c r="BO266" s="147"/>
      <c r="BP266" s="147"/>
      <c r="BQ266" s="147"/>
      <c r="BR266" s="147"/>
      <c r="BS266" s="147"/>
      <c r="BT266" s="147"/>
      <c r="BU266" s="147"/>
      <c r="BV266" s="147"/>
      <c r="BW266" s="147"/>
      <c r="BX266" s="147"/>
      <c r="BY266" s="147"/>
      <c r="BZ266" s="147"/>
      <c r="CA266" s="147"/>
      <c r="CB266" s="147"/>
      <c r="CC266" s="147"/>
      <c r="CD266" s="147"/>
      <c r="CE266" s="147"/>
      <c r="CF266" s="147"/>
      <c r="CG266" s="147"/>
      <c r="CH266" s="147"/>
      <c r="CI266" s="147"/>
      <c r="CJ266" s="147"/>
      <c r="CK266" s="147"/>
    </row>
    <row r="267" spans="1:89">
      <c r="A267" s="159" t="s">
        <v>593</v>
      </c>
      <c r="B267" s="154" t="s">
        <v>594</v>
      </c>
      <c r="C267" s="155" t="s">
        <v>75</v>
      </c>
      <c r="D267" s="155" t="s">
        <v>868</v>
      </c>
      <c r="E267" s="154" t="s">
        <v>22</v>
      </c>
      <c r="F267" s="3" t="s">
        <v>928</v>
      </c>
      <c r="G267" s="3"/>
      <c r="H267" s="156" t="str">
        <f ca="1">IFERROR(
  _xludf.MINIFS(ATTENDANCE_LOG!$F:$F,
         ATTENDANCE_LOG!$A:$A, C267,
         ATTENDANCE_LOG!$B:$B, E267),
"")</f>
        <v/>
      </c>
      <c r="I267" s="156" t="str">
        <f t="shared" ca="1" si="266"/>
        <v/>
      </c>
      <c r="J267" s="3">
        <f>IFERROR(VLOOKUP(F267, LEVEL_HELPER!$A:$B, 2, 0), "")</f>
        <v>1.5</v>
      </c>
      <c r="K267" s="3" t="str">
        <f>IFERROR(VLOOKUP(G267, LEVEL_HELPER!$A:$B, 2, 0), "")</f>
        <v/>
      </c>
      <c r="L267" s="157" t="s">
        <v>942</v>
      </c>
      <c r="M267" s="157" t="s">
        <v>923</v>
      </c>
      <c r="N267" s="3">
        <f t="array" aca="1" ref="N267" ca="1">IFERROR(
  INDEX($J$2:$J$543,
    MATCH(A267&amp;TEXT(I267,"yyyy-mm-dd"),
          $A$2:$A$543&amp;TEXT($H$2:$H$543,"yyyy-mm-dd"),
          0)),
"")</f>
        <v>1</v>
      </c>
      <c r="O267" s="147" t="str">
        <f t="shared" ca="1" si="267"/>
        <v/>
      </c>
      <c r="P267" s="147">
        <f t="shared" ref="P267:Q267" ca="1" si="283">IF(N267="",0,IF(N267&lt;=2,1,IF(N267&lt;=4,2,IF(N267&lt;=5.5,3,4))))</f>
        <v>1</v>
      </c>
      <c r="Q267" s="147">
        <f t="shared" ca="1" si="283"/>
        <v>0</v>
      </c>
      <c r="R267" s="147" t="str">
        <f t="shared" ca="1" si="269"/>
        <v>Regressed</v>
      </c>
      <c r="S267" s="147">
        <f t="shared" si="270"/>
        <v>0</v>
      </c>
      <c r="T267" s="147"/>
      <c r="U267" s="147"/>
      <c r="V267" s="148" t="e">
        <f ca="1"/>
        <v>#NAME?</v>
      </c>
      <c r="W267" s="147" t="e">
        <f t="shared" ca="1" si="271"/>
        <v>#NAME?</v>
      </c>
      <c r="X267" s="147" t="e">
        <f t="shared" ca="1" si="272"/>
        <v>#NAME?</v>
      </c>
      <c r="Y267" s="147" t="e">
        <f t="shared" ca="1" si="273"/>
        <v>#NAME?</v>
      </c>
      <c r="Z267" s="147"/>
      <c r="AA267" s="147"/>
      <c r="AB267" s="147"/>
      <c r="AC267" s="147"/>
      <c r="AD267" s="147"/>
      <c r="AE267" s="147"/>
      <c r="AF267" s="147"/>
      <c r="AG267" s="147"/>
      <c r="AH267" s="147"/>
      <c r="AI267" s="147"/>
      <c r="AJ267" s="147"/>
      <c r="AK267" s="147"/>
      <c r="AL267" s="147"/>
      <c r="AM267" s="151"/>
      <c r="AN267" s="147"/>
      <c r="AO267" s="147"/>
      <c r="AP267" s="147"/>
      <c r="AQ267" s="147"/>
      <c r="AR267" s="147"/>
      <c r="AS267" s="147"/>
      <c r="AT267" s="147"/>
      <c r="AU267" s="147"/>
      <c r="AV267" s="147"/>
      <c r="AW267" s="147"/>
      <c r="AX267" s="147"/>
      <c r="AY267" s="147"/>
      <c r="AZ267" s="147"/>
      <c r="BA267" s="147"/>
      <c r="BB267" s="147"/>
      <c r="BC267" s="147"/>
      <c r="BD267" s="147"/>
      <c r="BE267" s="147"/>
      <c r="BF267" s="147"/>
      <c r="BG267" s="147"/>
      <c r="BH267" s="147"/>
      <c r="BI267" s="147"/>
      <c r="BJ267" s="147"/>
      <c r="BK267" s="147"/>
      <c r="BL267" s="147"/>
      <c r="BM267" s="147"/>
      <c r="BN267" s="147"/>
      <c r="BO267" s="147"/>
      <c r="BP267" s="147"/>
      <c r="BQ267" s="147"/>
      <c r="BR267" s="147"/>
      <c r="BS267" s="147"/>
      <c r="BT267" s="147"/>
      <c r="BU267" s="147"/>
      <c r="BV267" s="147"/>
      <c r="BW267" s="147"/>
      <c r="BX267" s="147"/>
      <c r="BY267" s="147"/>
      <c r="BZ267" s="147"/>
      <c r="CA267" s="147"/>
      <c r="CB267" s="147"/>
      <c r="CC267" s="147"/>
      <c r="CD267" s="147"/>
      <c r="CE267" s="147"/>
      <c r="CF267" s="147"/>
      <c r="CG267" s="147"/>
      <c r="CH267" s="147"/>
      <c r="CI267" s="147"/>
      <c r="CJ267" s="147"/>
      <c r="CK267" s="147"/>
    </row>
    <row r="268" spans="1:89">
      <c r="A268" s="159" t="s">
        <v>173</v>
      </c>
      <c r="B268" s="3" t="s">
        <v>174</v>
      </c>
      <c r="C268" s="160" t="s">
        <v>75</v>
      </c>
      <c r="D268" s="160" t="s">
        <v>868</v>
      </c>
      <c r="E268" s="3" t="s">
        <v>22</v>
      </c>
      <c r="F268" s="3" t="s">
        <v>917</v>
      </c>
      <c r="G268" s="3"/>
      <c r="H268" s="156" t="str">
        <f ca="1">IFERROR(
  _xludf.MINIFS(ATTENDANCE_LOG!$F:$F,
         ATTENDANCE_LOG!$A:$A, C268,
         ATTENDANCE_LOG!$B:$B, E268),
"")</f>
        <v/>
      </c>
      <c r="I268" s="156" t="str">
        <f t="shared" ca="1" si="266"/>
        <v/>
      </c>
      <c r="J268" s="3">
        <f>IFERROR(VLOOKUP(F268, LEVEL_HELPER!$A:$B, 2, 0), "")</f>
        <v>3</v>
      </c>
      <c r="K268" s="3" t="str">
        <f>IFERROR(VLOOKUP(G268, LEVEL_HELPER!$A:$B, 2, 0), "")</f>
        <v/>
      </c>
      <c r="L268" s="157" t="s">
        <v>942</v>
      </c>
      <c r="M268" s="157" t="s">
        <v>923</v>
      </c>
      <c r="N268" s="3">
        <f t="array" aca="1" ref="N268" ca="1">IFERROR(
  INDEX($J$2:$J$543,
    MATCH(A268&amp;TEXT(I268,"yyyy-mm-dd"),
          $A$2:$A$543&amp;TEXT($H$2:$H$543,"yyyy-mm-dd"),
          0)),
"")</f>
        <v>1</v>
      </c>
      <c r="O268" s="147" t="str">
        <f t="shared" ca="1" si="267"/>
        <v/>
      </c>
      <c r="P268" s="147">
        <f t="shared" ref="P268:Q268" ca="1" si="284">IF(N268="",0,IF(N268&lt;=2,1,IF(N268&lt;=4,2,IF(N268&lt;=5.5,3,4))))</f>
        <v>1</v>
      </c>
      <c r="Q268" s="147">
        <f t="shared" ca="1" si="284"/>
        <v>0</v>
      </c>
      <c r="R268" s="147" t="str">
        <f t="shared" ca="1" si="269"/>
        <v>Regressed</v>
      </c>
      <c r="S268" s="147">
        <f t="shared" si="270"/>
        <v>0</v>
      </c>
      <c r="T268" s="147"/>
      <c r="U268" s="147"/>
      <c r="V268" s="148" t="e">
        <f ca="1"/>
        <v>#NAME?</v>
      </c>
      <c r="W268" s="147" t="e">
        <f t="shared" ca="1" si="271"/>
        <v>#NAME?</v>
      </c>
      <c r="X268" s="147" t="e">
        <f t="shared" ca="1" si="272"/>
        <v>#NAME?</v>
      </c>
      <c r="Y268" s="147" t="e">
        <f t="shared" ca="1" si="273"/>
        <v>#NAME?</v>
      </c>
      <c r="Z268" s="147"/>
      <c r="AA268" s="147"/>
      <c r="AB268" s="147"/>
      <c r="AC268" s="147"/>
      <c r="AD268" s="147"/>
      <c r="AE268" s="147"/>
      <c r="AF268" s="147"/>
      <c r="AG268" s="147"/>
      <c r="AH268" s="147"/>
      <c r="AI268" s="147"/>
      <c r="AJ268" s="147"/>
      <c r="AK268" s="147"/>
      <c r="AL268" s="147"/>
      <c r="AM268" s="151"/>
      <c r="AN268" s="147"/>
      <c r="AO268" s="147"/>
      <c r="AP268" s="147"/>
      <c r="AQ268" s="147"/>
      <c r="AR268" s="147"/>
      <c r="AS268" s="147"/>
      <c r="AT268" s="147"/>
      <c r="AU268" s="147"/>
      <c r="AV268" s="147"/>
      <c r="AW268" s="147"/>
      <c r="AX268" s="147"/>
      <c r="AY268" s="147"/>
      <c r="AZ268" s="147"/>
      <c r="BA268" s="147"/>
      <c r="BB268" s="147"/>
      <c r="BC268" s="147"/>
      <c r="BD268" s="147"/>
      <c r="BE268" s="147"/>
      <c r="BF268" s="147"/>
      <c r="BG268" s="147"/>
      <c r="BH268" s="147"/>
      <c r="BI268" s="147"/>
      <c r="BJ268" s="147"/>
      <c r="BK268" s="147"/>
      <c r="BL268" s="147"/>
      <c r="BM268" s="147"/>
      <c r="BN268" s="147"/>
      <c r="BO268" s="147"/>
      <c r="BP268" s="147"/>
      <c r="BQ268" s="147"/>
      <c r="BR268" s="147"/>
      <c r="BS268" s="147"/>
      <c r="BT268" s="147"/>
      <c r="BU268" s="147"/>
      <c r="BV268" s="147"/>
      <c r="BW268" s="147"/>
      <c r="BX268" s="147"/>
      <c r="BY268" s="147"/>
      <c r="BZ268" s="147"/>
      <c r="CA268" s="147"/>
      <c r="CB268" s="147"/>
      <c r="CC268" s="147"/>
      <c r="CD268" s="147"/>
      <c r="CE268" s="147"/>
      <c r="CF268" s="147"/>
      <c r="CG268" s="147"/>
      <c r="CH268" s="147"/>
      <c r="CI268" s="147"/>
      <c r="CJ268" s="147"/>
      <c r="CK268" s="147"/>
    </row>
    <row r="269" spans="1:89">
      <c r="A269" s="159" t="s">
        <v>281</v>
      </c>
      <c r="B269" s="3" t="s">
        <v>282</v>
      </c>
      <c r="C269" s="160" t="s">
        <v>75</v>
      </c>
      <c r="D269" s="160" t="s">
        <v>868</v>
      </c>
      <c r="E269" s="3" t="s">
        <v>22</v>
      </c>
      <c r="F269" s="3" t="s">
        <v>917</v>
      </c>
      <c r="G269" s="3"/>
      <c r="H269" s="156" t="str">
        <f ca="1">IFERROR(
  _xludf.MINIFS(ATTENDANCE_LOG!$F:$F,
         ATTENDANCE_LOG!$A:$A, C269,
         ATTENDANCE_LOG!$B:$B, E269),
"")</f>
        <v/>
      </c>
      <c r="I269" s="156" t="str">
        <f t="shared" ca="1" si="266"/>
        <v/>
      </c>
      <c r="J269" s="3">
        <f>IFERROR(VLOOKUP(F269, LEVEL_HELPER!$A:$B, 2, 0), "")</f>
        <v>3</v>
      </c>
      <c r="K269" s="3" t="str">
        <f>IFERROR(VLOOKUP(G269, LEVEL_HELPER!$A:$B, 2, 0), "")</f>
        <v/>
      </c>
      <c r="L269" s="157" t="s">
        <v>942</v>
      </c>
      <c r="M269" s="157" t="s">
        <v>923</v>
      </c>
      <c r="N269" s="3">
        <f t="array" aca="1" ref="N269" ca="1">IFERROR(
  INDEX($J$2:$J$543,
    MATCH(A269&amp;TEXT(I269,"yyyy-mm-dd"),
          $A$2:$A$543&amp;TEXT($H$2:$H$543,"yyyy-mm-dd"),
          0)),
"")</f>
        <v>1</v>
      </c>
      <c r="O269" s="147" t="str">
        <f t="shared" ca="1" si="267"/>
        <v/>
      </c>
      <c r="P269" s="147">
        <f t="shared" ref="P269:Q269" ca="1" si="285">IF(N269="",0,IF(N269&lt;=2,1,IF(N269&lt;=4,2,IF(N269&lt;=5.5,3,4))))</f>
        <v>1</v>
      </c>
      <c r="Q269" s="147">
        <f t="shared" ca="1" si="285"/>
        <v>0</v>
      </c>
      <c r="R269" s="147" t="str">
        <f t="shared" ca="1" si="269"/>
        <v>Regressed</v>
      </c>
      <c r="S269" s="147">
        <f t="shared" si="270"/>
        <v>0</v>
      </c>
      <c r="T269" s="147"/>
      <c r="U269" s="147"/>
      <c r="V269" s="148" t="e">
        <f ca="1"/>
        <v>#NAME?</v>
      </c>
      <c r="W269" s="147" t="e">
        <f t="shared" ca="1" si="271"/>
        <v>#NAME?</v>
      </c>
      <c r="X269" s="147" t="e">
        <f t="shared" ca="1" si="272"/>
        <v>#NAME?</v>
      </c>
      <c r="Y269" s="147" t="e">
        <f t="shared" ca="1" si="273"/>
        <v>#NAME?</v>
      </c>
      <c r="Z269" s="147"/>
      <c r="AA269" s="147"/>
      <c r="AB269" s="147"/>
      <c r="AC269" s="147"/>
      <c r="AD269" s="147"/>
      <c r="AE269" s="147"/>
      <c r="AF269" s="147"/>
      <c r="AG269" s="147"/>
      <c r="AH269" s="147"/>
      <c r="AI269" s="147"/>
      <c r="AJ269" s="147"/>
      <c r="AK269" s="147"/>
      <c r="AL269" s="147"/>
      <c r="AM269" s="151"/>
      <c r="AN269" s="147"/>
      <c r="AO269" s="147"/>
      <c r="AP269" s="147"/>
      <c r="AQ269" s="147"/>
      <c r="AR269" s="147"/>
      <c r="AS269" s="147"/>
      <c r="AT269" s="147"/>
      <c r="AU269" s="147"/>
      <c r="AV269" s="147"/>
      <c r="AW269" s="147"/>
      <c r="AX269" s="147"/>
      <c r="AY269" s="147"/>
      <c r="AZ269" s="147"/>
      <c r="BA269" s="147"/>
      <c r="BB269" s="147"/>
      <c r="BC269" s="147"/>
      <c r="BD269" s="147"/>
      <c r="BE269" s="147"/>
      <c r="BF269" s="147"/>
      <c r="BG269" s="147"/>
      <c r="BH269" s="147"/>
      <c r="BI269" s="147"/>
      <c r="BJ269" s="147"/>
      <c r="BK269" s="147"/>
      <c r="BL269" s="147"/>
      <c r="BM269" s="147"/>
      <c r="BN269" s="147"/>
      <c r="BO269" s="147"/>
      <c r="BP269" s="147"/>
      <c r="BQ269" s="147"/>
      <c r="BR269" s="147"/>
      <c r="BS269" s="147"/>
      <c r="BT269" s="147"/>
      <c r="BU269" s="147"/>
      <c r="BV269" s="147"/>
      <c r="BW269" s="147"/>
      <c r="BX269" s="147"/>
      <c r="BY269" s="147"/>
      <c r="BZ269" s="147"/>
      <c r="CA269" s="147"/>
      <c r="CB269" s="147"/>
      <c r="CC269" s="147"/>
      <c r="CD269" s="147"/>
      <c r="CE269" s="147"/>
      <c r="CF269" s="147"/>
      <c r="CG269" s="147"/>
      <c r="CH269" s="147"/>
      <c r="CI269" s="147"/>
      <c r="CJ269" s="147"/>
      <c r="CK269" s="147"/>
    </row>
    <row r="270" spans="1:89">
      <c r="A270" s="159" t="s">
        <v>336</v>
      </c>
      <c r="B270" s="3" t="s">
        <v>337</v>
      </c>
      <c r="C270" s="160" t="s">
        <v>75</v>
      </c>
      <c r="D270" s="160" t="s">
        <v>868</v>
      </c>
      <c r="E270" s="3" t="s">
        <v>22</v>
      </c>
      <c r="F270" s="3" t="s">
        <v>934</v>
      </c>
      <c r="G270" s="3"/>
      <c r="H270" s="156" t="str">
        <f ca="1">IFERROR(
  _xludf.MINIFS(ATTENDANCE_LOG!$F:$F,
         ATTENDANCE_LOG!$A:$A, C270,
         ATTENDANCE_LOG!$B:$B, E270),
"")</f>
        <v/>
      </c>
      <c r="I270" s="156" t="str">
        <f t="shared" ca="1" si="266"/>
        <v/>
      </c>
      <c r="J270" s="3">
        <f>IFERROR(VLOOKUP(F270, LEVEL_HELPER!$A:$B, 2, 0), "")</f>
        <v>3.5</v>
      </c>
      <c r="K270" s="3" t="str">
        <f>IFERROR(VLOOKUP(G270, LEVEL_HELPER!$A:$B, 2, 0), "")</f>
        <v/>
      </c>
      <c r="L270" s="157" t="s">
        <v>918</v>
      </c>
      <c r="M270" s="157" t="s">
        <v>923</v>
      </c>
      <c r="N270" s="3">
        <f t="array" aca="1" ref="N270" ca="1">IFERROR(
  INDEX($J$2:$J$543,
    MATCH(A270&amp;TEXT(I270,"yyyy-mm-dd"),
          $A$2:$A$543&amp;TEXT($H$2:$H$543,"yyyy-mm-dd"),
          0)),
"")</f>
        <v>1</v>
      </c>
      <c r="O270" s="147" t="str">
        <f t="shared" ca="1" si="267"/>
        <v/>
      </c>
      <c r="P270" s="147">
        <f t="shared" ref="P270:Q270" ca="1" si="286">IF(N270="",0,IF(N270&lt;=2,1,IF(N270&lt;=4,2,IF(N270&lt;=5.5,3,4))))</f>
        <v>1</v>
      </c>
      <c r="Q270" s="147">
        <f t="shared" ca="1" si="286"/>
        <v>0</v>
      </c>
      <c r="R270" s="147" t="str">
        <f t="shared" ca="1" si="269"/>
        <v>Regressed</v>
      </c>
      <c r="S270" s="147">
        <f t="shared" si="270"/>
        <v>0</v>
      </c>
      <c r="T270" s="147"/>
      <c r="U270" s="147"/>
      <c r="V270" s="148" t="e">
        <f ca="1"/>
        <v>#NAME?</v>
      </c>
      <c r="W270" s="147" t="e">
        <f t="shared" ca="1" si="271"/>
        <v>#NAME?</v>
      </c>
      <c r="X270" s="147" t="e">
        <f t="shared" ca="1" si="272"/>
        <v>#NAME?</v>
      </c>
      <c r="Y270" s="147" t="e">
        <f t="shared" ca="1" si="273"/>
        <v>#NAME?</v>
      </c>
      <c r="Z270" s="147"/>
      <c r="AA270" s="147"/>
      <c r="AB270" s="147"/>
      <c r="AC270" s="147"/>
      <c r="AD270" s="147"/>
      <c r="AE270" s="147"/>
      <c r="AF270" s="147"/>
      <c r="AG270" s="147"/>
      <c r="AH270" s="147"/>
      <c r="AI270" s="147"/>
      <c r="AJ270" s="147"/>
      <c r="AK270" s="147"/>
      <c r="AL270" s="147"/>
      <c r="AM270" s="151"/>
      <c r="AN270" s="147"/>
      <c r="AO270" s="147"/>
      <c r="AP270" s="147"/>
      <c r="AQ270" s="147"/>
      <c r="AR270" s="147"/>
      <c r="AS270" s="147"/>
      <c r="AT270" s="147"/>
      <c r="AU270" s="147"/>
      <c r="AV270" s="147"/>
      <c r="AW270" s="147"/>
      <c r="AX270" s="147"/>
      <c r="AY270" s="147"/>
      <c r="AZ270" s="147"/>
      <c r="BA270" s="147"/>
      <c r="BB270" s="147"/>
      <c r="BC270" s="147"/>
      <c r="BD270" s="147"/>
      <c r="BE270" s="147"/>
      <c r="BF270" s="147"/>
      <c r="BG270" s="147"/>
      <c r="BH270" s="147"/>
      <c r="BI270" s="147"/>
      <c r="BJ270" s="147"/>
      <c r="BK270" s="147"/>
      <c r="BL270" s="147"/>
      <c r="BM270" s="147"/>
      <c r="BN270" s="147"/>
      <c r="BO270" s="147"/>
      <c r="BP270" s="147"/>
      <c r="BQ270" s="147"/>
      <c r="BR270" s="147"/>
      <c r="BS270" s="147"/>
      <c r="BT270" s="147"/>
      <c r="BU270" s="147"/>
      <c r="BV270" s="147"/>
      <c r="BW270" s="147"/>
      <c r="BX270" s="147"/>
      <c r="BY270" s="147"/>
      <c r="BZ270" s="147"/>
      <c r="CA270" s="147"/>
      <c r="CB270" s="147"/>
      <c r="CC270" s="147"/>
      <c r="CD270" s="147"/>
      <c r="CE270" s="147"/>
      <c r="CF270" s="147"/>
      <c r="CG270" s="147"/>
      <c r="CH270" s="147"/>
      <c r="CI270" s="147"/>
      <c r="CJ270" s="147"/>
      <c r="CK270" s="147"/>
    </row>
    <row r="271" spans="1:89">
      <c r="A271" s="159" t="s">
        <v>417</v>
      </c>
      <c r="B271" s="3" t="s">
        <v>418</v>
      </c>
      <c r="C271" s="160" t="s">
        <v>75</v>
      </c>
      <c r="D271" s="160" t="s">
        <v>868</v>
      </c>
      <c r="E271" s="3" t="s">
        <v>22</v>
      </c>
      <c r="F271" s="3" t="s">
        <v>928</v>
      </c>
      <c r="G271" s="3"/>
      <c r="H271" s="156" t="str">
        <f ca="1">IFERROR(
  _xludf.MINIFS(ATTENDANCE_LOG!$F:$F,
         ATTENDANCE_LOG!$A:$A, C271,
         ATTENDANCE_LOG!$B:$B, E271),
"")</f>
        <v/>
      </c>
      <c r="I271" s="156" t="str">
        <f t="shared" ca="1" si="266"/>
        <v/>
      </c>
      <c r="J271" s="3">
        <f>IFERROR(VLOOKUP(F271, LEVEL_HELPER!$A:$B, 2, 0), "")</f>
        <v>1.5</v>
      </c>
      <c r="K271" s="3" t="str">
        <f>IFERROR(VLOOKUP(G271, LEVEL_HELPER!$A:$B, 2, 0), "")</f>
        <v/>
      </c>
      <c r="L271" s="157" t="s">
        <v>918</v>
      </c>
      <c r="M271" s="157" t="s">
        <v>923</v>
      </c>
      <c r="N271" s="3">
        <f t="array" aca="1" ref="N271" ca="1">IFERROR(
  INDEX($J$2:$J$543,
    MATCH(A271&amp;TEXT(I271,"yyyy-mm-dd"),
          $A$2:$A$543&amp;TEXT($H$2:$H$543,"yyyy-mm-dd"),
          0)),
"")</f>
        <v>1</v>
      </c>
      <c r="O271" s="147" t="str">
        <f t="shared" ca="1" si="267"/>
        <v/>
      </c>
      <c r="P271" s="147">
        <f t="shared" ref="P271:Q271" ca="1" si="287">IF(N271="",0,IF(N271&lt;=2,1,IF(N271&lt;=4,2,IF(N271&lt;=5.5,3,4))))</f>
        <v>1</v>
      </c>
      <c r="Q271" s="147">
        <f t="shared" ca="1" si="287"/>
        <v>0</v>
      </c>
      <c r="R271" s="147" t="str">
        <f t="shared" ca="1" si="269"/>
        <v>Regressed</v>
      </c>
      <c r="S271" s="147">
        <f t="shared" si="270"/>
        <v>0</v>
      </c>
      <c r="T271" s="147"/>
      <c r="U271" s="147"/>
      <c r="V271" s="148" t="e">
        <f ca="1"/>
        <v>#NAME?</v>
      </c>
      <c r="W271" s="147" t="e">
        <f t="shared" ca="1" si="271"/>
        <v>#NAME?</v>
      </c>
      <c r="X271" s="147" t="e">
        <f t="shared" ca="1" si="272"/>
        <v>#NAME?</v>
      </c>
      <c r="Y271" s="147" t="e">
        <f t="shared" ca="1" si="273"/>
        <v>#NAME?</v>
      </c>
      <c r="Z271" s="147"/>
      <c r="AA271" s="147"/>
      <c r="AB271" s="147"/>
      <c r="AC271" s="147"/>
      <c r="AD271" s="147"/>
      <c r="AE271" s="147"/>
      <c r="AF271" s="147"/>
      <c r="AG271" s="147"/>
      <c r="AH271" s="147"/>
      <c r="AI271" s="147"/>
      <c r="AJ271" s="147"/>
      <c r="AK271" s="147"/>
      <c r="AL271" s="147"/>
      <c r="AM271" s="151"/>
      <c r="AN271" s="147"/>
      <c r="AO271" s="147"/>
      <c r="AP271" s="147"/>
      <c r="AQ271" s="147"/>
      <c r="AR271" s="147"/>
      <c r="AS271" s="147"/>
      <c r="AT271" s="147"/>
      <c r="AU271" s="147"/>
      <c r="AV271" s="147"/>
      <c r="AW271" s="147"/>
      <c r="AX271" s="147"/>
      <c r="AY271" s="147"/>
      <c r="AZ271" s="147"/>
      <c r="BA271" s="147"/>
      <c r="BB271" s="147"/>
      <c r="BC271" s="147"/>
      <c r="BD271" s="147"/>
      <c r="BE271" s="147"/>
      <c r="BF271" s="147"/>
      <c r="BG271" s="147"/>
      <c r="BH271" s="147"/>
      <c r="BI271" s="147"/>
      <c r="BJ271" s="147"/>
      <c r="BK271" s="147"/>
      <c r="BL271" s="147"/>
      <c r="BM271" s="147"/>
      <c r="BN271" s="147"/>
      <c r="BO271" s="147"/>
      <c r="BP271" s="147"/>
      <c r="BQ271" s="147"/>
      <c r="BR271" s="147"/>
      <c r="BS271" s="147"/>
      <c r="BT271" s="147"/>
      <c r="BU271" s="147"/>
      <c r="BV271" s="147"/>
      <c r="BW271" s="147"/>
      <c r="BX271" s="147"/>
      <c r="BY271" s="147"/>
      <c r="BZ271" s="147"/>
      <c r="CA271" s="147"/>
      <c r="CB271" s="147"/>
      <c r="CC271" s="147"/>
      <c r="CD271" s="147"/>
      <c r="CE271" s="147"/>
      <c r="CF271" s="147"/>
      <c r="CG271" s="147"/>
      <c r="CH271" s="147"/>
      <c r="CI271" s="147"/>
      <c r="CJ271" s="147"/>
      <c r="CK271" s="147"/>
    </row>
    <row r="272" spans="1:89">
      <c r="A272" s="159" t="s">
        <v>587</v>
      </c>
      <c r="B272" s="3" t="s">
        <v>588</v>
      </c>
      <c r="C272" s="160" t="s">
        <v>75</v>
      </c>
      <c r="D272" s="160" t="s">
        <v>868</v>
      </c>
      <c r="E272" s="3" t="s">
        <v>22</v>
      </c>
      <c r="F272" s="3" t="s">
        <v>917</v>
      </c>
      <c r="G272" s="3"/>
      <c r="H272" s="156" t="str">
        <f ca="1">IFERROR(
  _xludf.MINIFS(ATTENDANCE_LOG!$F:$F,
         ATTENDANCE_LOG!$A:$A, C272,
         ATTENDANCE_LOG!$B:$B, E272),
"")</f>
        <v/>
      </c>
      <c r="I272" s="156" t="str">
        <f t="shared" ca="1" si="266"/>
        <v/>
      </c>
      <c r="J272" s="3">
        <f>IFERROR(VLOOKUP(F272, LEVEL_HELPER!$A:$B, 2, 0), "")</f>
        <v>3</v>
      </c>
      <c r="K272" s="3" t="str">
        <f>IFERROR(VLOOKUP(G272, LEVEL_HELPER!$A:$B, 2, 0), "")</f>
        <v/>
      </c>
      <c r="L272" s="157" t="s">
        <v>942</v>
      </c>
      <c r="M272" s="157" t="s">
        <v>922</v>
      </c>
      <c r="N272" s="3">
        <f t="array" aca="1" ref="N272" ca="1">IFERROR(
  INDEX($J$2:$J$543,
    MATCH(A272&amp;TEXT(I272,"yyyy-mm-dd"),
          $A$2:$A$543&amp;TEXT($H$2:$H$543,"yyyy-mm-dd"),
          0)),
"")</f>
        <v>1</v>
      </c>
      <c r="O272" s="147" t="str">
        <f t="shared" ca="1" si="267"/>
        <v/>
      </c>
      <c r="P272" s="147">
        <f t="shared" ref="P272:Q272" ca="1" si="288">IF(N272="",0,IF(N272&lt;=2,1,IF(N272&lt;=4,2,IF(N272&lt;=5.5,3,4))))</f>
        <v>1</v>
      </c>
      <c r="Q272" s="147">
        <f t="shared" ca="1" si="288"/>
        <v>0</v>
      </c>
      <c r="R272" s="147" t="str">
        <f t="shared" ca="1" si="269"/>
        <v>Regressed</v>
      </c>
      <c r="S272" s="147">
        <f t="shared" si="270"/>
        <v>0</v>
      </c>
      <c r="T272" s="147"/>
      <c r="U272" s="147"/>
      <c r="V272" s="148" t="e">
        <f ca="1"/>
        <v>#NAME?</v>
      </c>
      <c r="W272" s="147" t="e">
        <f t="shared" ca="1" si="271"/>
        <v>#NAME?</v>
      </c>
      <c r="X272" s="147" t="e">
        <f t="shared" ca="1" si="272"/>
        <v>#NAME?</v>
      </c>
      <c r="Y272" s="147" t="e">
        <f t="shared" ca="1" si="273"/>
        <v>#NAME?</v>
      </c>
      <c r="Z272" s="147"/>
      <c r="AA272" s="147"/>
      <c r="AB272" s="147"/>
      <c r="AC272" s="147"/>
      <c r="AD272" s="147"/>
      <c r="AE272" s="147"/>
      <c r="AF272" s="147"/>
      <c r="AG272" s="147"/>
      <c r="AH272" s="147"/>
      <c r="AI272" s="147"/>
      <c r="AJ272" s="147"/>
      <c r="AK272" s="147"/>
      <c r="AL272" s="147"/>
      <c r="AM272" s="151"/>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c r="BI272" s="147"/>
      <c r="BJ272" s="147"/>
      <c r="BK272" s="147"/>
      <c r="BL272" s="147"/>
      <c r="BM272" s="147"/>
      <c r="BN272" s="147"/>
      <c r="BO272" s="147"/>
      <c r="BP272" s="147"/>
      <c r="BQ272" s="147"/>
      <c r="BR272" s="147"/>
      <c r="BS272" s="147"/>
      <c r="BT272" s="147"/>
      <c r="BU272" s="147"/>
      <c r="BV272" s="147"/>
      <c r="BW272" s="147"/>
      <c r="BX272" s="147"/>
      <c r="BY272" s="147"/>
      <c r="BZ272" s="147"/>
      <c r="CA272" s="147"/>
      <c r="CB272" s="147"/>
      <c r="CC272" s="147"/>
      <c r="CD272" s="147"/>
      <c r="CE272" s="147"/>
      <c r="CF272" s="147"/>
      <c r="CG272" s="147"/>
      <c r="CH272" s="147"/>
      <c r="CI272" s="147"/>
      <c r="CJ272" s="147"/>
      <c r="CK272" s="147"/>
    </row>
    <row r="273" spans="1:89">
      <c r="A273" s="153" t="s">
        <v>651</v>
      </c>
      <c r="B273" s="154" t="s">
        <v>652</v>
      </c>
      <c r="C273" s="155" t="s">
        <v>76</v>
      </c>
      <c r="D273" s="155" t="s">
        <v>869</v>
      </c>
      <c r="E273" s="154" t="s">
        <v>21</v>
      </c>
      <c r="F273" s="3" t="s">
        <v>926</v>
      </c>
      <c r="G273" s="3" t="s">
        <v>917</v>
      </c>
      <c r="H273" s="156" t="str">
        <f ca="1">IFERROR(
  _xludf.MINIFS(ATTENDANCE_LOG!$F:$F,
         ATTENDANCE_LOG!$A:$A, C273,
         ATTENDANCE_LOG!$B:$B, E273),
"")</f>
        <v/>
      </c>
      <c r="I273" s="156" t="str">
        <f t="shared" ca="1" si="266"/>
        <v/>
      </c>
      <c r="J273" s="3">
        <f>IFERROR(VLOOKUP(F273, LEVEL_HELPER!$A:$B, 2, 0), "")</f>
        <v>1</v>
      </c>
      <c r="K273" s="3">
        <f>IFERROR(VLOOKUP(G273, LEVEL_HELPER!$A:$B, 2, 0), "")</f>
        <v>3</v>
      </c>
      <c r="L273" s="157" t="s">
        <v>918</v>
      </c>
      <c r="M273" s="157" t="s">
        <v>922</v>
      </c>
      <c r="N273" s="3">
        <f t="array" aca="1" ref="N273" ca="1">IFERROR(
  INDEX($J$2:$J$543,
    MATCH(A273&amp;TEXT(I273,"yyyy-mm-dd"),
          $A$2:$A$543&amp;TEXT($H$2:$H$543,"yyyy-mm-dd"),
          0)),
"")</f>
        <v>1</v>
      </c>
      <c r="O273" s="147" t="str">
        <f t="shared" ca="1" si="267"/>
        <v/>
      </c>
      <c r="P273" s="147">
        <f t="shared" ref="P273:Q273" ca="1" si="289">IF(N273="",0,IF(N273&lt;=2,1,IF(N273&lt;=4,2,IF(N273&lt;=5.5,3,4))))</f>
        <v>1</v>
      </c>
      <c r="Q273" s="147">
        <f t="shared" ca="1" si="289"/>
        <v>0</v>
      </c>
      <c r="R273" s="147" t="str">
        <f t="shared" ca="1" si="269"/>
        <v>Regressed</v>
      </c>
      <c r="S273" s="147">
        <f t="shared" si="270"/>
        <v>1</v>
      </c>
      <c r="T273" s="147"/>
      <c r="U273" s="147"/>
      <c r="V273" s="148" t="e">
        <f ca="1"/>
        <v>#NAME?</v>
      </c>
      <c r="W273" s="147" t="e">
        <f t="shared" ca="1" si="271"/>
        <v>#NAME?</v>
      </c>
      <c r="X273" s="147" t="e">
        <f t="shared" ca="1" si="272"/>
        <v>#NAME?</v>
      </c>
      <c r="Y273" s="147" t="e">
        <f t="shared" ca="1" si="273"/>
        <v>#NAME?</v>
      </c>
      <c r="Z273" s="147"/>
      <c r="AA273" s="147"/>
      <c r="AB273" s="147"/>
      <c r="AC273" s="147"/>
      <c r="AD273" s="147"/>
      <c r="AE273" s="147"/>
      <c r="AF273" s="147"/>
      <c r="AG273" s="147"/>
      <c r="AH273" s="147"/>
      <c r="AI273" s="147"/>
      <c r="AJ273" s="147"/>
      <c r="AK273" s="147"/>
      <c r="AL273" s="147"/>
      <c r="AM273" s="151"/>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c r="BI273" s="147"/>
      <c r="BJ273" s="147"/>
      <c r="BK273" s="147"/>
      <c r="BL273" s="147"/>
      <c r="BM273" s="147"/>
      <c r="BN273" s="147"/>
      <c r="BO273" s="147"/>
      <c r="BP273" s="147"/>
      <c r="BQ273" s="147"/>
      <c r="BR273" s="147"/>
      <c r="BS273" s="147"/>
      <c r="BT273" s="147"/>
      <c r="BU273" s="147"/>
      <c r="BV273" s="147"/>
      <c r="BW273" s="147"/>
      <c r="BX273" s="147"/>
      <c r="BY273" s="147"/>
      <c r="BZ273" s="147"/>
      <c r="CA273" s="147"/>
      <c r="CB273" s="147"/>
      <c r="CC273" s="147"/>
      <c r="CD273" s="147"/>
      <c r="CE273" s="147"/>
      <c r="CF273" s="147"/>
      <c r="CG273" s="147"/>
      <c r="CH273" s="147"/>
      <c r="CI273" s="147"/>
      <c r="CJ273" s="147"/>
      <c r="CK273" s="147"/>
    </row>
    <row r="274" spans="1:89">
      <c r="A274" s="159" t="s">
        <v>210</v>
      </c>
      <c r="B274" s="3" t="s">
        <v>211</v>
      </c>
      <c r="C274" s="160" t="s">
        <v>76</v>
      </c>
      <c r="D274" s="160" t="s">
        <v>869</v>
      </c>
      <c r="E274" s="3" t="s">
        <v>21</v>
      </c>
      <c r="F274" s="3" t="s">
        <v>916</v>
      </c>
      <c r="G274" s="3" t="s">
        <v>917</v>
      </c>
      <c r="H274" s="156" t="str">
        <f ca="1">IFERROR(
  _xludf.MINIFS(ATTENDANCE_LOG!$F:$F,
         ATTENDANCE_LOG!$A:$A, C274,
         ATTENDANCE_LOG!$B:$B, E274),
"")</f>
        <v/>
      </c>
      <c r="I274" s="156" t="str">
        <f t="shared" ca="1" si="266"/>
        <v/>
      </c>
      <c r="J274" s="3">
        <f>IFERROR(VLOOKUP(F274, LEVEL_HELPER!$A:$B, 2, 0), "")</f>
        <v>2.5</v>
      </c>
      <c r="K274" s="3">
        <f>IFERROR(VLOOKUP(G274, LEVEL_HELPER!$A:$B, 2, 0), "")</f>
        <v>3</v>
      </c>
      <c r="L274" s="157" t="s">
        <v>942</v>
      </c>
      <c r="M274" s="157" t="s">
        <v>922</v>
      </c>
      <c r="N274" s="3">
        <f t="array" aca="1" ref="N274" ca="1">IFERROR(
  INDEX($J$2:$J$543,
    MATCH(A274&amp;TEXT(I274,"yyyy-mm-dd"),
          $A$2:$A$543&amp;TEXT($H$2:$H$543,"yyyy-mm-dd"),
          0)),
"")</f>
        <v>2.5</v>
      </c>
      <c r="O274" s="147" t="str">
        <f t="shared" ca="1" si="267"/>
        <v/>
      </c>
      <c r="P274" s="147">
        <f t="shared" ref="P274:Q274" ca="1" si="290">IF(N274="",0,IF(N274&lt;=2,1,IF(N274&lt;=4,2,IF(N274&lt;=5.5,3,4))))</f>
        <v>2</v>
      </c>
      <c r="Q274" s="147">
        <f t="shared" ca="1" si="290"/>
        <v>0</v>
      </c>
      <c r="R274" s="147" t="str">
        <f t="shared" ca="1" si="269"/>
        <v>Regressed</v>
      </c>
      <c r="S274" s="147">
        <f t="shared" si="270"/>
        <v>1</v>
      </c>
      <c r="T274" s="147"/>
      <c r="U274" s="147"/>
      <c r="V274" s="148" t="e">
        <f ca="1"/>
        <v>#NAME?</v>
      </c>
      <c r="W274" s="147" t="e">
        <f t="shared" ca="1" si="271"/>
        <v>#NAME?</v>
      </c>
      <c r="X274" s="147" t="e">
        <f t="shared" ca="1" si="272"/>
        <v>#NAME?</v>
      </c>
      <c r="Y274" s="147" t="e">
        <f t="shared" ca="1" si="273"/>
        <v>#NAME?</v>
      </c>
      <c r="Z274" s="147"/>
      <c r="AA274" s="147"/>
      <c r="AB274" s="147"/>
      <c r="AC274" s="147"/>
      <c r="AD274" s="147"/>
      <c r="AE274" s="147"/>
      <c r="AF274" s="147"/>
      <c r="AG274" s="147"/>
      <c r="AH274" s="147"/>
      <c r="AI274" s="147"/>
      <c r="AJ274" s="147"/>
      <c r="AK274" s="147"/>
      <c r="AL274" s="147"/>
      <c r="AM274" s="151"/>
      <c r="AN274" s="147"/>
      <c r="AO274" s="147"/>
      <c r="AP274" s="147"/>
      <c r="AQ274" s="147"/>
      <c r="AR274" s="147"/>
      <c r="AS274" s="147"/>
      <c r="AT274" s="147"/>
      <c r="AU274" s="147"/>
      <c r="AV274" s="147"/>
      <c r="AW274" s="147"/>
      <c r="AX274" s="147"/>
      <c r="AY274" s="147"/>
      <c r="AZ274" s="147"/>
      <c r="BA274" s="147"/>
      <c r="BB274" s="147"/>
      <c r="BC274" s="147"/>
      <c r="BD274" s="147"/>
      <c r="BE274" s="147"/>
      <c r="BF274" s="147"/>
      <c r="BG274" s="147"/>
      <c r="BH274" s="147"/>
      <c r="BI274" s="147"/>
      <c r="BJ274" s="147"/>
      <c r="BK274" s="147"/>
      <c r="BL274" s="147"/>
      <c r="BM274" s="147"/>
      <c r="BN274" s="147"/>
      <c r="BO274" s="147"/>
      <c r="BP274" s="147"/>
      <c r="BQ274" s="147"/>
      <c r="BR274" s="147"/>
      <c r="BS274" s="147"/>
      <c r="BT274" s="147"/>
      <c r="BU274" s="147"/>
      <c r="BV274" s="147"/>
      <c r="BW274" s="147"/>
      <c r="BX274" s="147"/>
      <c r="BY274" s="147"/>
      <c r="BZ274" s="147"/>
      <c r="CA274" s="147"/>
      <c r="CB274" s="147"/>
      <c r="CC274" s="147"/>
      <c r="CD274" s="147"/>
      <c r="CE274" s="147"/>
      <c r="CF274" s="147"/>
      <c r="CG274" s="147"/>
      <c r="CH274" s="147"/>
      <c r="CI274" s="147"/>
      <c r="CJ274" s="147"/>
      <c r="CK274" s="147"/>
    </row>
    <row r="275" spans="1:89">
      <c r="A275" s="159" t="s">
        <v>440</v>
      </c>
      <c r="B275" s="3" t="s">
        <v>441</v>
      </c>
      <c r="C275" s="160" t="s">
        <v>76</v>
      </c>
      <c r="D275" s="160" t="s">
        <v>869</v>
      </c>
      <c r="E275" s="3" t="s">
        <v>21</v>
      </c>
      <c r="F275" s="3" t="s">
        <v>926</v>
      </c>
      <c r="G275" s="3" t="s">
        <v>926</v>
      </c>
      <c r="H275" s="156" t="str">
        <f ca="1">IFERROR(
  _xludf.MINIFS(ATTENDANCE_LOG!$F:$F,
         ATTENDANCE_LOG!$A:$A, C275,
         ATTENDANCE_LOG!$B:$B, E275),
"")</f>
        <v/>
      </c>
      <c r="I275" s="156" t="str">
        <f t="shared" ca="1" si="266"/>
        <v/>
      </c>
      <c r="J275" s="3">
        <f>IFERROR(VLOOKUP(F275, LEVEL_HELPER!$A:$B, 2, 0), "")</f>
        <v>1</v>
      </c>
      <c r="K275" s="3">
        <f>IFERROR(VLOOKUP(G275, LEVEL_HELPER!$A:$B, 2, 0), "")</f>
        <v>1</v>
      </c>
      <c r="L275" s="157" t="s">
        <v>942</v>
      </c>
      <c r="M275" s="157" t="s">
        <v>922</v>
      </c>
      <c r="N275" s="3">
        <f t="array" aca="1" ref="N275" ca="1">IFERROR(
  INDEX($J$2:$J$543,
    MATCH(A275&amp;TEXT(I275,"yyyy-mm-dd"),
          $A$2:$A$543&amp;TEXT($H$2:$H$543,"yyyy-mm-dd"),
          0)),
"")</f>
        <v>1</v>
      </c>
      <c r="O275" s="147" t="str">
        <f t="shared" ca="1" si="267"/>
        <v/>
      </c>
      <c r="P275" s="147">
        <f t="shared" ref="P275:Q275" ca="1" si="291">IF(N275="",0,IF(N275&lt;=2,1,IF(N275&lt;=4,2,IF(N275&lt;=5.5,3,4))))</f>
        <v>1</v>
      </c>
      <c r="Q275" s="147">
        <f t="shared" ca="1" si="291"/>
        <v>0</v>
      </c>
      <c r="R275" s="147" t="str">
        <f t="shared" ca="1" si="269"/>
        <v>Regressed</v>
      </c>
      <c r="S275" s="147">
        <f t="shared" si="270"/>
        <v>1</v>
      </c>
      <c r="T275" s="147"/>
      <c r="U275" s="147"/>
      <c r="V275" s="148" t="e">
        <f ca="1"/>
        <v>#NAME?</v>
      </c>
      <c r="W275" s="147" t="e">
        <f t="shared" ca="1" si="271"/>
        <v>#NAME?</v>
      </c>
      <c r="X275" s="147" t="e">
        <f t="shared" ca="1" si="272"/>
        <v>#NAME?</v>
      </c>
      <c r="Y275" s="147" t="e">
        <f t="shared" ca="1" si="273"/>
        <v>#NAME?</v>
      </c>
      <c r="Z275" s="147"/>
      <c r="AA275" s="147"/>
      <c r="AB275" s="147"/>
      <c r="AC275" s="147"/>
      <c r="AD275" s="147"/>
      <c r="AE275" s="147"/>
      <c r="AF275" s="147"/>
      <c r="AG275" s="147"/>
      <c r="AH275" s="147"/>
      <c r="AI275" s="147"/>
      <c r="AJ275" s="147"/>
      <c r="AK275" s="147"/>
      <c r="AL275" s="147"/>
      <c r="AM275" s="151"/>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c r="BI275" s="147"/>
      <c r="BJ275" s="147"/>
      <c r="BK275" s="147"/>
      <c r="BL275" s="147"/>
      <c r="BM275" s="147"/>
      <c r="BN275" s="147"/>
      <c r="BO275" s="147"/>
      <c r="BP275" s="147"/>
      <c r="BQ275" s="147"/>
      <c r="BR275" s="147"/>
      <c r="BS275" s="147"/>
      <c r="BT275" s="147"/>
      <c r="BU275" s="147"/>
      <c r="BV275" s="147"/>
      <c r="BW275" s="147"/>
      <c r="BX275" s="147"/>
      <c r="BY275" s="147"/>
      <c r="BZ275" s="147"/>
      <c r="CA275" s="147"/>
      <c r="CB275" s="147"/>
      <c r="CC275" s="147"/>
      <c r="CD275" s="147"/>
      <c r="CE275" s="147"/>
      <c r="CF275" s="147"/>
      <c r="CG275" s="147"/>
      <c r="CH275" s="147"/>
      <c r="CI275" s="147"/>
      <c r="CJ275" s="147"/>
      <c r="CK275" s="147"/>
    </row>
    <row r="276" spans="1:89">
      <c r="A276" s="159" t="s">
        <v>520</v>
      </c>
      <c r="B276" s="3" t="s">
        <v>521</v>
      </c>
      <c r="C276" s="160" t="s">
        <v>76</v>
      </c>
      <c r="D276" s="160" t="s">
        <v>869</v>
      </c>
      <c r="E276" s="3" t="s">
        <v>21</v>
      </c>
      <c r="F276" s="3" t="s">
        <v>926</v>
      </c>
      <c r="G276" s="3" t="s">
        <v>926</v>
      </c>
      <c r="H276" s="156" t="str">
        <f ca="1">IFERROR(
  _xludf.MINIFS(ATTENDANCE_LOG!$F:$F,
         ATTENDANCE_LOG!$A:$A, C276,
         ATTENDANCE_LOG!$B:$B, E276),
"")</f>
        <v/>
      </c>
      <c r="I276" s="156" t="str">
        <f t="shared" ca="1" si="266"/>
        <v/>
      </c>
      <c r="J276" s="3">
        <f>IFERROR(VLOOKUP(F276, LEVEL_HELPER!$A:$B, 2, 0), "")</f>
        <v>1</v>
      </c>
      <c r="K276" s="3">
        <f>IFERROR(VLOOKUP(G276, LEVEL_HELPER!$A:$B, 2, 0), "")</f>
        <v>1</v>
      </c>
      <c r="L276" s="157" t="s">
        <v>942</v>
      </c>
      <c r="M276" s="157" t="s">
        <v>922</v>
      </c>
      <c r="N276" s="3">
        <f t="array" aca="1" ref="N276" ca="1">IFERROR(
  INDEX($J$2:$J$543,
    MATCH(A276&amp;TEXT(I276,"yyyy-mm-dd"),
          $A$2:$A$543&amp;TEXT($H$2:$H$543,"yyyy-mm-dd"),
          0)),
"")</f>
        <v>1</v>
      </c>
      <c r="O276" s="147" t="str">
        <f t="shared" ca="1" si="267"/>
        <v/>
      </c>
      <c r="P276" s="147">
        <f t="shared" ref="P276:Q276" ca="1" si="292">IF(N276="",0,IF(N276&lt;=2,1,IF(N276&lt;=4,2,IF(N276&lt;=5.5,3,4))))</f>
        <v>1</v>
      </c>
      <c r="Q276" s="147">
        <f t="shared" ca="1" si="292"/>
        <v>0</v>
      </c>
      <c r="R276" s="147" t="str">
        <f t="shared" ca="1" si="269"/>
        <v>Regressed</v>
      </c>
      <c r="S276" s="147">
        <f t="shared" si="270"/>
        <v>1</v>
      </c>
      <c r="T276" s="147"/>
      <c r="U276" s="147"/>
      <c r="V276" s="148" t="e">
        <f ca="1"/>
        <v>#NAME?</v>
      </c>
      <c r="W276" s="147" t="e">
        <f t="shared" ca="1" si="271"/>
        <v>#NAME?</v>
      </c>
      <c r="X276" s="147" t="e">
        <f t="shared" ca="1" si="272"/>
        <v>#NAME?</v>
      </c>
      <c r="Y276" s="147" t="e">
        <f t="shared" ca="1" si="273"/>
        <v>#NAME?</v>
      </c>
      <c r="Z276" s="147"/>
      <c r="AA276" s="147"/>
      <c r="AB276" s="147"/>
      <c r="AC276" s="147"/>
      <c r="AD276" s="147"/>
      <c r="AE276" s="147"/>
      <c r="AF276" s="147"/>
      <c r="AG276" s="147"/>
      <c r="AH276" s="147"/>
      <c r="AI276" s="147"/>
      <c r="AJ276" s="147"/>
      <c r="AK276" s="147"/>
      <c r="AL276" s="147"/>
      <c r="AM276" s="151"/>
      <c r="AN276" s="147"/>
      <c r="AO276" s="147"/>
      <c r="AP276" s="147"/>
      <c r="AQ276" s="147"/>
      <c r="AR276" s="147"/>
      <c r="AS276" s="147"/>
      <c r="AT276" s="147"/>
      <c r="AU276" s="147"/>
      <c r="AV276" s="147"/>
      <c r="AW276" s="147"/>
      <c r="AX276" s="147"/>
      <c r="AY276" s="147"/>
      <c r="AZ276" s="147"/>
      <c r="BA276" s="147"/>
      <c r="BB276" s="147"/>
      <c r="BC276" s="147"/>
      <c r="BD276" s="147"/>
      <c r="BE276" s="147"/>
      <c r="BF276" s="147"/>
      <c r="BG276" s="147"/>
      <c r="BH276" s="147"/>
      <c r="BI276" s="147"/>
      <c r="BJ276" s="147"/>
      <c r="BK276" s="147"/>
      <c r="BL276" s="147"/>
      <c r="BM276" s="147"/>
      <c r="BN276" s="147"/>
      <c r="BO276" s="147"/>
      <c r="BP276" s="147"/>
      <c r="BQ276" s="147"/>
      <c r="BR276" s="147"/>
      <c r="BS276" s="147"/>
      <c r="BT276" s="147"/>
      <c r="BU276" s="147"/>
      <c r="BV276" s="147"/>
      <c r="BW276" s="147"/>
      <c r="BX276" s="147"/>
      <c r="BY276" s="147"/>
      <c r="BZ276" s="147"/>
      <c r="CA276" s="147"/>
      <c r="CB276" s="147"/>
      <c r="CC276" s="147"/>
      <c r="CD276" s="147"/>
      <c r="CE276" s="147"/>
      <c r="CF276" s="147"/>
      <c r="CG276" s="147"/>
      <c r="CH276" s="147"/>
      <c r="CI276" s="147"/>
      <c r="CJ276" s="147"/>
      <c r="CK276" s="147"/>
    </row>
    <row r="277" spans="1:89">
      <c r="A277" s="159" t="s">
        <v>595</v>
      </c>
      <c r="B277" s="3" t="s">
        <v>596</v>
      </c>
      <c r="C277" s="160" t="s">
        <v>76</v>
      </c>
      <c r="D277" s="160" t="s">
        <v>869</v>
      </c>
      <c r="E277" s="3" t="s">
        <v>21</v>
      </c>
      <c r="F277" s="3" t="s">
        <v>926</v>
      </c>
      <c r="G277" s="3" t="s">
        <v>926</v>
      </c>
      <c r="H277" s="156" t="str">
        <f ca="1">IFERROR(
  _xludf.MINIFS(ATTENDANCE_LOG!$F:$F,
         ATTENDANCE_LOG!$A:$A, C277,
         ATTENDANCE_LOG!$B:$B, E277),
"")</f>
        <v/>
      </c>
      <c r="I277" s="156" t="str">
        <f t="shared" ca="1" si="266"/>
        <v/>
      </c>
      <c r="J277" s="3">
        <f>IFERROR(VLOOKUP(F277, LEVEL_HELPER!$A:$B, 2, 0), "")</f>
        <v>1</v>
      </c>
      <c r="K277" s="3">
        <f>IFERROR(VLOOKUP(G277, LEVEL_HELPER!$A:$B, 2, 0), "")</f>
        <v>1</v>
      </c>
      <c r="L277" s="157" t="s">
        <v>942</v>
      </c>
      <c r="M277" s="157" t="s">
        <v>922</v>
      </c>
      <c r="N277" s="3">
        <f t="array" aca="1" ref="N277" ca="1">IFERROR(
  INDEX($J$2:$J$543,
    MATCH(A277&amp;TEXT(I277,"yyyy-mm-dd"),
          $A$2:$A$543&amp;TEXT($H$2:$H$543,"yyyy-mm-dd"),
          0)),
"")</f>
        <v>1</v>
      </c>
      <c r="O277" s="147" t="str">
        <f t="shared" ca="1" si="267"/>
        <v/>
      </c>
      <c r="P277" s="147">
        <f t="shared" ref="P277:Q277" ca="1" si="293">IF(N277="",0,IF(N277&lt;=2,1,IF(N277&lt;=4,2,IF(N277&lt;=5.5,3,4))))</f>
        <v>1</v>
      </c>
      <c r="Q277" s="147">
        <f t="shared" ca="1" si="293"/>
        <v>0</v>
      </c>
      <c r="R277" s="147" t="str">
        <f t="shared" ca="1" si="269"/>
        <v>Regressed</v>
      </c>
      <c r="S277" s="147">
        <f t="shared" si="270"/>
        <v>1</v>
      </c>
      <c r="T277" s="147"/>
      <c r="U277" s="147"/>
      <c r="V277" s="148" t="e">
        <f ca="1"/>
        <v>#NAME?</v>
      </c>
      <c r="W277" s="147" t="e">
        <f t="shared" ca="1" si="271"/>
        <v>#NAME?</v>
      </c>
      <c r="X277" s="147" t="e">
        <f t="shared" ca="1" si="272"/>
        <v>#NAME?</v>
      </c>
      <c r="Y277" s="147" t="e">
        <f t="shared" ca="1" si="273"/>
        <v>#NAME?</v>
      </c>
      <c r="Z277" s="147"/>
      <c r="AA277" s="147"/>
      <c r="AB277" s="147"/>
      <c r="AC277" s="147"/>
      <c r="AD277" s="147"/>
      <c r="AE277" s="147"/>
      <c r="AF277" s="147"/>
      <c r="AG277" s="147"/>
      <c r="AH277" s="147"/>
      <c r="AI277" s="147"/>
      <c r="AJ277" s="147"/>
      <c r="AK277" s="147"/>
      <c r="AL277" s="147"/>
      <c r="AM277" s="151"/>
      <c r="AN277" s="147"/>
      <c r="AO277" s="147"/>
      <c r="AP277" s="147"/>
      <c r="AQ277" s="147"/>
      <c r="AR277" s="147"/>
      <c r="AS277" s="147"/>
      <c r="AT277" s="147"/>
      <c r="AU277" s="147"/>
      <c r="AV277" s="147"/>
      <c r="AW277" s="147"/>
      <c r="AX277" s="147"/>
      <c r="AY277" s="147"/>
      <c r="AZ277" s="147"/>
      <c r="BA277" s="147"/>
      <c r="BB277" s="147"/>
      <c r="BC277" s="147"/>
      <c r="BD277" s="147"/>
      <c r="BE277" s="147"/>
      <c r="BF277" s="147"/>
      <c r="BG277" s="147"/>
      <c r="BH277" s="147"/>
      <c r="BI277" s="147"/>
      <c r="BJ277" s="147"/>
      <c r="BK277" s="147"/>
      <c r="BL277" s="147"/>
      <c r="BM277" s="147"/>
      <c r="BN277" s="147"/>
      <c r="BO277" s="147"/>
      <c r="BP277" s="147"/>
      <c r="BQ277" s="147"/>
      <c r="BR277" s="147"/>
      <c r="BS277" s="147"/>
      <c r="BT277" s="147"/>
      <c r="BU277" s="147"/>
      <c r="BV277" s="147"/>
      <c r="BW277" s="147"/>
      <c r="BX277" s="147"/>
      <c r="BY277" s="147"/>
      <c r="BZ277" s="147"/>
      <c r="CA277" s="147"/>
      <c r="CB277" s="147"/>
      <c r="CC277" s="147"/>
      <c r="CD277" s="147"/>
      <c r="CE277" s="147"/>
      <c r="CF277" s="147"/>
      <c r="CG277" s="147"/>
      <c r="CH277" s="147"/>
      <c r="CI277" s="147"/>
      <c r="CJ277" s="147"/>
      <c r="CK277" s="147"/>
    </row>
    <row r="278" spans="1:89">
      <c r="A278" s="159" t="s">
        <v>615</v>
      </c>
      <c r="B278" s="3" t="s">
        <v>616</v>
      </c>
      <c r="C278" s="160" t="s">
        <v>76</v>
      </c>
      <c r="D278" s="160" t="s">
        <v>869</v>
      </c>
      <c r="E278" s="3" t="s">
        <v>21</v>
      </c>
      <c r="F278" s="3" t="s">
        <v>926</v>
      </c>
      <c r="G278" s="3" t="s">
        <v>934</v>
      </c>
      <c r="H278" s="156" t="str">
        <f ca="1">IFERROR(
  _xludf.MINIFS(ATTENDANCE_LOG!$F:$F,
         ATTENDANCE_LOG!$A:$A, C278,
         ATTENDANCE_LOG!$B:$B, E278),
"")</f>
        <v/>
      </c>
      <c r="I278" s="156" t="str">
        <f t="shared" ca="1" si="266"/>
        <v/>
      </c>
      <c r="J278" s="3">
        <f>IFERROR(VLOOKUP(F278, LEVEL_HELPER!$A:$B, 2, 0), "")</f>
        <v>1</v>
      </c>
      <c r="K278" s="3">
        <f>IFERROR(VLOOKUP(G278, LEVEL_HELPER!$A:$B, 2, 0), "")</f>
        <v>3.5</v>
      </c>
      <c r="L278" s="157" t="s">
        <v>918</v>
      </c>
      <c r="M278" s="157" t="s">
        <v>922</v>
      </c>
      <c r="N278" s="3">
        <f t="array" aca="1" ref="N278" ca="1">IFERROR(
  INDEX($J$2:$J$543,
    MATCH(A278&amp;TEXT(I278,"yyyy-mm-dd"),
          $A$2:$A$543&amp;TEXT($H$2:$H$543,"yyyy-mm-dd"),
          0)),
"")</f>
        <v>1</v>
      </c>
      <c r="O278" s="147" t="str">
        <f t="shared" ca="1" si="267"/>
        <v/>
      </c>
      <c r="P278" s="147">
        <f t="shared" ref="P278:Q278" ca="1" si="294">IF(N278="",0,IF(N278&lt;=2,1,IF(N278&lt;=4,2,IF(N278&lt;=5.5,3,4))))</f>
        <v>1</v>
      </c>
      <c r="Q278" s="147">
        <f t="shared" ca="1" si="294"/>
        <v>0</v>
      </c>
      <c r="R278" s="147" t="str">
        <f t="shared" ca="1" si="269"/>
        <v>Regressed</v>
      </c>
      <c r="S278" s="147">
        <f t="shared" si="270"/>
        <v>1</v>
      </c>
      <c r="T278" s="147"/>
      <c r="U278" s="147"/>
      <c r="V278" s="148" t="e">
        <f ca="1"/>
        <v>#NAME?</v>
      </c>
      <c r="W278" s="147" t="e">
        <f t="shared" ca="1" si="271"/>
        <v>#NAME?</v>
      </c>
      <c r="X278" s="147" t="e">
        <f t="shared" ca="1" si="272"/>
        <v>#NAME?</v>
      </c>
      <c r="Y278" s="147" t="e">
        <f t="shared" ca="1" si="273"/>
        <v>#NAME?</v>
      </c>
      <c r="Z278" s="147"/>
      <c r="AA278" s="147"/>
      <c r="AB278" s="147"/>
      <c r="AC278" s="147"/>
      <c r="AD278" s="147"/>
      <c r="AE278" s="147"/>
      <c r="AF278" s="147"/>
      <c r="AG278" s="147"/>
      <c r="AH278" s="147"/>
      <c r="AI278" s="147"/>
      <c r="AJ278" s="147"/>
      <c r="AK278" s="147"/>
      <c r="AL278" s="147"/>
      <c r="AM278" s="151"/>
      <c r="AN278" s="147"/>
      <c r="AO278" s="147"/>
      <c r="AP278" s="147"/>
      <c r="AQ278" s="147"/>
      <c r="AR278" s="147"/>
      <c r="AS278" s="147"/>
      <c r="AT278" s="147"/>
      <c r="AU278" s="147"/>
      <c r="AV278" s="147"/>
      <c r="AW278" s="147"/>
      <c r="AX278" s="147"/>
      <c r="AY278" s="147"/>
      <c r="AZ278" s="147"/>
      <c r="BA278" s="147"/>
      <c r="BB278" s="147"/>
      <c r="BC278" s="147"/>
      <c r="BD278" s="147"/>
      <c r="BE278" s="147"/>
      <c r="BF278" s="147"/>
      <c r="BG278" s="147"/>
      <c r="BH278" s="147"/>
      <c r="BI278" s="147"/>
      <c r="BJ278" s="147"/>
      <c r="BK278" s="147"/>
      <c r="BL278" s="147"/>
      <c r="BM278" s="147"/>
      <c r="BN278" s="147"/>
      <c r="BO278" s="147"/>
      <c r="BP278" s="147"/>
      <c r="BQ278" s="147"/>
      <c r="BR278" s="147"/>
      <c r="BS278" s="147"/>
      <c r="BT278" s="147"/>
      <c r="BU278" s="147"/>
      <c r="BV278" s="147"/>
      <c r="BW278" s="147"/>
      <c r="BX278" s="147"/>
      <c r="BY278" s="147"/>
      <c r="BZ278" s="147"/>
      <c r="CA278" s="147"/>
      <c r="CB278" s="147"/>
      <c r="CC278" s="147"/>
      <c r="CD278" s="147"/>
      <c r="CE278" s="147"/>
      <c r="CF278" s="147"/>
      <c r="CG278" s="147"/>
      <c r="CH278" s="147"/>
      <c r="CI278" s="147"/>
      <c r="CJ278" s="147"/>
      <c r="CK278" s="147"/>
    </row>
    <row r="279" spans="1:89">
      <c r="A279" s="159" t="s">
        <v>685</v>
      </c>
      <c r="B279" s="3" t="s">
        <v>686</v>
      </c>
      <c r="C279" s="160" t="s">
        <v>76</v>
      </c>
      <c r="D279" s="160" t="s">
        <v>869</v>
      </c>
      <c r="E279" s="3" t="s">
        <v>21</v>
      </c>
      <c r="F279" s="3" t="s">
        <v>926</v>
      </c>
      <c r="G279" s="3" t="s">
        <v>926</v>
      </c>
      <c r="H279" s="156" t="str">
        <f ca="1">IFERROR(
  _xludf.MINIFS(ATTENDANCE_LOG!$F:$F,
         ATTENDANCE_LOG!$A:$A, C279,
         ATTENDANCE_LOG!$B:$B, E279),
"")</f>
        <v/>
      </c>
      <c r="I279" s="156" t="str">
        <f t="shared" ca="1" si="266"/>
        <v/>
      </c>
      <c r="J279" s="3">
        <f>IFERROR(VLOOKUP(F279, LEVEL_HELPER!$A:$B, 2, 0), "")</f>
        <v>1</v>
      </c>
      <c r="K279" s="3">
        <f>IFERROR(VLOOKUP(G279, LEVEL_HELPER!$A:$B, 2, 0), "")</f>
        <v>1</v>
      </c>
      <c r="L279" s="157" t="s">
        <v>942</v>
      </c>
      <c r="M279" s="157" t="s">
        <v>922</v>
      </c>
      <c r="N279" s="3">
        <f t="array" aca="1" ref="N279" ca="1">IFERROR(
  INDEX($J$2:$J$543,
    MATCH(A279&amp;TEXT(I279,"yyyy-mm-dd"),
          $A$2:$A$543&amp;TEXT($H$2:$H$543,"yyyy-mm-dd"),
          0)),
"")</f>
        <v>1</v>
      </c>
      <c r="O279" s="147" t="str">
        <f t="shared" ca="1" si="267"/>
        <v/>
      </c>
      <c r="P279" s="147">
        <f t="shared" ref="P279:Q279" ca="1" si="295">IF(N279="",0,IF(N279&lt;=2,1,IF(N279&lt;=4,2,IF(N279&lt;=5.5,3,4))))</f>
        <v>1</v>
      </c>
      <c r="Q279" s="147">
        <f t="shared" ca="1" si="295"/>
        <v>0</v>
      </c>
      <c r="R279" s="147" t="str">
        <f t="shared" ca="1" si="269"/>
        <v>Regressed</v>
      </c>
      <c r="S279" s="147">
        <f t="shared" si="270"/>
        <v>1</v>
      </c>
      <c r="T279" s="147"/>
      <c r="U279" s="147"/>
      <c r="V279" s="148" t="e">
        <f ca="1"/>
        <v>#NAME?</v>
      </c>
      <c r="W279" s="147" t="e">
        <f t="shared" ca="1" si="271"/>
        <v>#NAME?</v>
      </c>
      <c r="X279" s="147" t="e">
        <f t="shared" ca="1" si="272"/>
        <v>#NAME?</v>
      </c>
      <c r="Y279" s="147" t="e">
        <f t="shared" ca="1" si="273"/>
        <v>#NAME?</v>
      </c>
      <c r="Z279" s="147"/>
      <c r="AA279" s="147"/>
      <c r="AB279" s="147"/>
      <c r="AC279" s="147"/>
      <c r="AD279" s="147"/>
      <c r="AE279" s="147"/>
      <c r="AF279" s="147"/>
      <c r="AG279" s="147"/>
      <c r="AH279" s="147"/>
      <c r="AI279" s="147"/>
      <c r="AJ279" s="147"/>
      <c r="AK279" s="147"/>
      <c r="AL279" s="147"/>
      <c r="AM279" s="151"/>
      <c r="AN279" s="147"/>
      <c r="AO279" s="147"/>
      <c r="AP279" s="147"/>
      <c r="AQ279" s="147"/>
      <c r="AR279" s="147"/>
      <c r="AS279" s="147"/>
      <c r="AT279" s="147"/>
      <c r="AU279" s="147"/>
      <c r="AV279" s="147"/>
      <c r="AW279" s="147"/>
      <c r="AX279" s="147"/>
      <c r="AY279" s="147"/>
      <c r="AZ279" s="147"/>
      <c r="BA279" s="147"/>
      <c r="BB279" s="147"/>
      <c r="BC279" s="147"/>
      <c r="BD279" s="147"/>
      <c r="BE279" s="147"/>
      <c r="BF279" s="147"/>
      <c r="BG279" s="147"/>
      <c r="BH279" s="147"/>
      <c r="BI279" s="147"/>
      <c r="BJ279" s="147"/>
      <c r="BK279" s="147"/>
      <c r="BL279" s="147"/>
      <c r="BM279" s="147"/>
      <c r="BN279" s="147"/>
      <c r="BO279" s="147"/>
      <c r="BP279" s="147"/>
      <c r="BQ279" s="147"/>
      <c r="BR279" s="147"/>
      <c r="BS279" s="147"/>
      <c r="BT279" s="147"/>
      <c r="BU279" s="147"/>
      <c r="BV279" s="147"/>
      <c r="BW279" s="147"/>
      <c r="BX279" s="147"/>
      <c r="BY279" s="147"/>
      <c r="BZ279" s="147"/>
      <c r="CA279" s="147"/>
      <c r="CB279" s="147"/>
      <c r="CC279" s="147"/>
      <c r="CD279" s="147"/>
      <c r="CE279" s="147"/>
      <c r="CF279" s="147"/>
      <c r="CG279" s="147"/>
      <c r="CH279" s="147"/>
      <c r="CI279" s="147"/>
      <c r="CJ279" s="147"/>
      <c r="CK279" s="147"/>
    </row>
    <row r="280" spans="1:89">
      <c r="A280" s="159" t="s">
        <v>709</v>
      </c>
      <c r="B280" s="3" t="s">
        <v>710</v>
      </c>
      <c r="C280" s="160" t="s">
        <v>76</v>
      </c>
      <c r="D280" s="160" t="s">
        <v>869</v>
      </c>
      <c r="E280" s="3" t="s">
        <v>21</v>
      </c>
      <c r="F280" s="3" t="s">
        <v>926</v>
      </c>
      <c r="G280" s="3" t="s">
        <v>926</v>
      </c>
      <c r="H280" s="156" t="str">
        <f ca="1">IFERROR(
  _xludf.MINIFS(ATTENDANCE_LOG!$F:$F,
         ATTENDANCE_LOG!$A:$A, C280,
         ATTENDANCE_LOG!$B:$B, E280),
"")</f>
        <v/>
      </c>
      <c r="I280" s="156" t="str">
        <f t="shared" ca="1" si="266"/>
        <v/>
      </c>
      <c r="J280" s="3">
        <f>IFERROR(VLOOKUP(F280, LEVEL_HELPER!$A:$B, 2, 0), "")</f>
        <v>1</v>
      </c>
      <c r="K280" s="3">
        <f>IFERROR(VLOOKUP(G280, LEVEL_HELPER!$A:$B, 2, 0), "")</f>
        <v>1</v>
      </c>
      <c r="L280" s="157" t="s">
        <v>942</v>
      </c>
      <c r="M280" s="157" t="s">
        <v>922</v>
      </c>
      <c r="N280" s="3">
        <f t="array" aca="1" ref="N280" ca="1">IFERROR(
  INDEX($J$2:$J$543,
    MATCH(A280&amp;TEXT(I280,"yyyy-mm-dd"),
          $A$2:$A$543&amp;TEXT($H$2:$H$543,"yyyy-mm-dd"),
          0)),
"")</f>
        <v>1</v>
      </c>
      <c r="O280" s="147" t="str">
        <f t="shared" ca="1" si="267"/>
        <v/>
      </c>
      <c r="P280" s="147">
        <f t="shared" ref="P280:Q280" ca="1" si="296">IF(N280="",0,IF(N280&lt;=2,1,IF(N280&lt;=4,2,IF(N280&lt;=5.5,3,4))))</f>
        <v>1</v>
      </c>
      <c r="Q280" s="147">
        <f t="shared" ca="1" si="296"/>
        <v>0</v>
      </c>
      <c r="R280" s="147" t="str">
        <f t="shared" ca="1" si="269"/>
        <v>Regressed</v>
      </c>
      <c r="S280" s="147">
        <f t="shared" si="270"/>
        <v>1</v>
      </c>
      <c r="T280" s="147"/>
      <c r="U280" s="147"/>
      <c r="V280" s="148" t="e">
        <f ca="1"/>
        <v>#NAME?</v>
      </c>
      <c r="W280" s="147" t="e">
        <f t="shared" ca="1" si="271"/>
        <v>#NAME?</v>
      </c>
      <c r="X280" s="147" t="e">
        <f t="shared" ca="1" si="272"/>
        <v>#NAME?</v>
      </c>
      <c r="Y280" s="147" t="e">
        <f t="shared" ca="1" si="273"/>
        <v>#NAME?</v>
      </c>
      <c r="Z280" s="147"/>
      <c r="AA280" s="147"/>
      <c r="AB280" s="147"/>
      <c r="AC280" s="147"/>
      <c r="AD280" s="147"/>
      <c r="AE280" s="147"/>
      <c r="AF280" s="147"/>
      <c r="AG280" s="147"/>
      <c r="AH280" s="147"/>
      <c r="AI280" s="147"/>
      <c r="AJ280" s="147"/>
      <c r="AK280" s="147"/>
      <c r="AL280" s="147"/>
      <c r="AM280" s="151"/>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c r="BI280" s="147"/>
      <c r="BJ280" s="147"/>
      <c r="BK280" s="147"/>
      <c r="BL280" s="147"/>
      <c r="BM280" s="147"/>
      <c r="BN280" s="147"/>
      <c r="BO280" s="147"/>
      <c r="BP280" s="147"/>
      <c r="BQ280" s="147"/>
      <c r="BR280" s="147"/>
      <c r="BS280" s="147"/>
      <c r="BT280" s="147"/>
      <c r="BU280" s="147"/>
      <c r="BV280" s="147"/>
      <c r="BW280" s="147"/>
      <c r="BX280" s="147"/>
      <c r="BY280" s="147"/>
      <c r="BZ280" s="147"/>
      <c r="CA280" s="147"/>
      <c r="CB280" s="147"/>
      <c r="CC280" s="147"/>
      <c r="CD280" s="147"/>
      <c r="CE280" s="147"/>
      <c r="CF280" s="147"/>
      <c r="CG280" s="147"/>
      <c r="CH280" s="147"/>
      <c r="CI280" s="147"/>
      <c r="CJ280" s="147"/>
      <c r="CK280" s="147"/>
    </row>
    <row r="281" spans="1:89">
      <c r="A281" s="159" t="s">
        <v>210</v>
      </c>
      <c r="B281" s="3" t="s">
        <v>211</v>
      </c>
      <c r="C281" s="160" t="s">
        <v>76</v>
      </c>
      <c r="D281" s="160" t="s">
        <v>869</v>
      </c>
      <c r="E281" s="3" t="s">
        <v>22</v>
      </c>
      <c r="F281" s="3" t="s">
        <v>916</v>
      </c>
      <c r="G281" s="3" t="s">
        <v>917</v>
      </c>
      <c r="H281" s="156" t="str">
        <f ca="1">IFERROR(
  _xludf.MINIFS(ATTENDANCE_LOG!$F:$F,
         ATTENDANCE_LOG!$A:$A, C281,
         ATTENDANCE_LOG!$B:$B, E281),
"")</f>
        <v/>
      </c>
      <c r="I281" s="156" t="str">
        <f t="shared" ca="1" si="266"/>
        <v/>
      </c>
      <c r="J281" s="3">
        <f>IFERROR(VLOOKUP(F281, LEVEL_HELPER!$A:$B, 2, 0), "")</f>
        <v>2.5</v>
      </c>
      <c r="K281" s="3">
        <f>IFERROR(VLOOKUP(G281, LEVEL_HELPER!$A:$B, 2, 0), "")</f>
        <v>3</v>
      </c>
      <c r="L281" s="157" t="s">
        <v>942</v>
      </c>
      <c r="M281" s="157" t="s">
        <v>922</v>
      </c>
      <c r="N281" s="3">
        <f t="array" aca="1" ref="N281" ca="1">IFERROR(
  INDEX($J$2:$J$543,
    MATCH(A281&amp;TEXT(I281,"yyyy-mm-dd"),
          $A$2:$A$543&amp;TEXT($H$2:$H$543,"yyyy-mm-dd"),
          0)),
"")</f>
        <v>2.5</v>
      </c>
      <c r="O281" s="147" t="str">
        <f t="shared" ca="1" si="267"/>
        <v/>
      </c>
      <c r="P281" s="147">
        <f t="shared" ref="P281:Q281" ca="1" si="297">IF(N281="",0,IF(N281&lt;=2,1,IF(N281&lt;=4,2,IF(N281&lt;=5.5,3,4))))</f>
        <v>2</v>
      </c>
      <c r="Q281" s="147">
        <f t="shared" ca="1" si="297"/>
        <v>0</v>
      </c>
      <c r="R281" s="147" t="str">
        <f t="shared" ca="1" si="269"/>
        <v>Regressed</v>
      </c>
      <c r="S281" s="147">
        <f t="shared" si="270"/>
        <v>0</v>
      </c>
      <c r="T281" s="147"/>
      <c r="U281" s="147"/>
      <c r="V281" s="148" t="e">
        <f ca="1"/>
        <v>#NAME?</v>
      </c>
      <c r="W281" s="147" t="e">
        <f t="shared" ca="1" si="271"/>
        <v>#NAME?</v>
      </c>
      <c r="X281" s="147" t="e">
        <f t="shared" ca="1" si="272"/>
        <v>#NAME?</v>
      </c>
      <c r="Y281" s="147" t="e">
        <f t="shared" ca="1" si="273"/>
        <v>#NAME?</v>
      </c>
      <c r="Z281" s="147"/>
      <c r="AA281" s="147"/>
      <c r="AB281" s="147"/>
      <c r="AC281" s="147"/>
      <c r="AD281" s="147"/>
      <c r="AE281" s="147"/>
      <c r="AF281" s="147"/>
      <c r="AG281" s="147"/>
      <c r="AH281" s="147"/>
      <c r="AI281" s="147"/>
      <c r="AJ281" s="147"/>
      <c r="AK281" s="147"/>
      <c r="AL281" s="147"/>
      <c r="AM281" s="151"/>
      <c r="AN281" s="147"/>
      <c r="AO281" s="147"/>
      <c r="AP281" s="147"/>
      <c r="AQ281" s="147"/>
      <c r="AR281" s="147"/>
      <c r="AS281" s="147"/>
      <c r="AT281" s="147"/>
      <c r="AU281" s="147"/>
      <c r="AV281" s="147"/>
      <c r="AW281" s="147"/>
      <c r="AX281" s="147"/>
      <c r="AY281" s="147"/>
      <c r="AZ281" s="147"/>
      <c r="BA281" s="147"/>
      <c r="BB281" s="147"/>
      <c r="BC281" s="147"/>
      <c r="BD281" s="147"/>
      <c r="BE281" s="147"/>
      <c r="BF281" s="147"/>
      <c r="BG281" s="147"/>
      <c r="BH281" s="147"/>
      <c r="BI281" s="147"/>
      <c r="BJ281" s="147"/>
      <c r="BK281" s="147"/>
      <c r="BL281" s="147"/>
      <c r="BM281" s="147"/>
      <c r="BN281" s="147"/>
      <c r="BO281" s="147"/>
      <c r="BP281" s="147"/>
      <c r="BQ281" s="147"/>
      <c r="BR281" s="147"/>
      <c r="BS281" s="147"/>
      <c r="BT281" s="147"/>
      <c r="BU281" s="147"/>
      <c r="BV281" s="147"/>
      <c r="BW281" s="147"/>
      <c r="BX281" s="147"/>
      <c r="BY281" s="147"/>
      <c r="BZ281" s="147"/>
      <c r="CA281" s="147"/>
      <c r="CB281" s="147"/>
      <c r="CC281" s="147"/>
      <c r="CD281" s="147"/>
      <c r="CE281" s="147"/>
      <c r="CF281" s="147"/>
      <c r="CG281" s="147"/>
      <c r="CH281" s="147"/>
      <c r="CI281" s="147"/>
      <c r="CJ281" s="147"/>
      <c r="CK281" s="147"/>
    </row>
    <row r="282" spans="1:89">
      <c r="A282" s="153" t="s">
        <v>651</v>
      </c>
      <c r="B282" s="154" t="s">
        <v>652</v>
      </c>
      <c r="C282" s="155" t="s">
        <v>76</v>
      </c>
      <c r="D282" s="155" t="s">
        <v>869</v>
      </c>
      <c r="E282" s="154" t="s">
        <v>22</v>
      </c>
      <c r="F282" s="3" t="s">
        <v>917</v>
      </c>
      <c r="G282" s="3"/>
      <c r="H282" s="156" t="str">
        <f ca="1">IFERROR(
  _xludf.MINIFS(ATTENDANCE_LOG!$F:$F,
         ATTENDANCE_LOG!$A:$A, C282,
         ATTENDANCE_LOG!$B:$B, E282),
"")</f>
        <v/>
      </c>
      <c r="I282" s="156" t="str">
        <f t="shared" ca="1" si="266"/>
        <v/>
      </c>
      <c r="J282" s="3">
        <f>IFERROR(VLOOKUP(F282, LEVEL_HELPER!$A:$B, 2, 0), "")</f>
        <v>3</v>
      </c>
      <c r="K282" s="3" t="str">
        <f>IFERROR(VLOOKUP(G282, LEVEL_HELPER!$A:$B, 2, 0), "")</f>
        <v/>
      </c>
      <c r="L282" s="157" t="s">
        <v>918</v>
      </c>
      <c r="M282" s="157" t="s">
        <v>922</v>
      </c>
      <c r="N282" s="3">
        <f t="array" aca="1" ref="N282" ca="1">IFERROR(
  INDEX($J$2:$J$543,
    MATCH(A282&amp;TEXT(I282,"yyyy-mm-dd"),
          $A$2:$A$543&amp;TEXT($H$2:$H$543,"yyyy-mm-dd"),
          0)),
"")</f>
        <v>1</v>
      </c>
      <c r="O282" s="147" t="str">
        <f t="shared" ca="1" si="267"/>
        <v/>
      </c>
      <c r="P282" s="147">
        <f t="shared" ref="P282:Q282" ca="1" si="298">IF(N282="",0,IF(N282&lt;=2,1,IF(N282&lt;=4,2,IF(N282&lt;=5.5,3,4))))</f>
        <v>1</v>
      </c>
      <c r="Q282" s="147">
        <f t="shared" ca="1" si="298"/>
        <v>0</v>
      </c>
      <c r="R282" s="147" t="str">
        <f t="shared" ca="1" si="269"/>
        <v>Regressed</v>
      </c>
      <c r="S282" s="147">
        <f t="shared" si="270"/>
        <v>0</v>
      </c>
      <c r="T282" s="147"/>
      <c r="U282" s="147"/>
      <c r="V282" s="148" t="e">
        <f ca="1"/>
        <v>#NAME?</v>
      </c>
      <c r="W282" s="147" t="e">
        <f t="shared" ca="1" si="271"/>
        <v>#NAME?</v>
      </c>
      <c r="X282" s="147" t="e">
        <f t="shared" ca="1" si="272"/>
        <v>#NAME?</v>
      </c>
      <c r="Y282" s="147" t="e">
        <f t="shared" ca="1" si="273"/>
        <v>#NAME?</v>
      </c>
      <c r="Z282" s="147"/>
      <c r="AA282" s="147"/>
      <c r="AB282" s="147"/>
      <c r="AC282" s="147"/>
      <c r="AD282" s="147"/>
      <c r="AE282" s="147"/>
      <c r="AF282" s="147"/>
      <c r="AG282" s="147"/>
      <c r="AH282" s="147"/>
      <c r="AI282" s="147"/>
      <c r="AJ282" s="147"/>
      <c r="AK282" s="147"/>
      <c r="AL282" s="147"/>
      <c r="AM282" s="151"/>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c r="BI282" s="147"/>
      <c r="BJ282" s="147"/>
      <c r="BK282" s="147"/>
      <c r="BL282" s="147"/>
      <c r="BM282" s="147"/>
      <c r="BN282" s="147"/>
      <c r="BO282" s="147"/>
      <c r="BP282" s="147"/>
      <c r="BQ282" s="147"/>
      <c r="BR282" s="147"/>
      <c r="BS282" s="147"/>
      <c r="BT282" s="147"/>
      <c r="BU282" s="147"/>
      <c r="BV282" s="147"/>
      <c r="BW282" s="147"/>
      <c r="BX282" s="147"/>
      <c r="BY282" s="147"/>
      <c r="BZ282" s="147"/>
      <c r="CA282" s="147"/>
      <c r="CB282" s="147"/>
      <c r="CC282" s="147"/>
      <c r="CD282" s="147"/>
      <c r="CE282" s="147"/>
      <c r="CF282" s="147"/>
      <c r="CG282" s="147"/>
      <c r="CH282" s="147"/>
      <c r="CI282" s="147"/>
      <c r="CJ282" s="147"/>
      <c r="CK282" s="147"/>
    </row>
    <row r="283" spans="1:89">
      <c r="A283" s="159" t="s">
        <v>228</v>
      </c>
      <c r="B283" s="3" t="s">
        <v>229</v>
      </c>
      <c r="C283" s="160" t="s">
        <v>76</v>
      </c>
      <c r="D283" s="160" t="s">
        <v>869</v>
      </c>
      <c r="E283" s="3" t="s">
        <v>22</v>
      </c>
      <c r="F283" s="3" t="s">
        <v>917</v>
      </c>
      <c r="G283" s="3"/>
      <c r="H283" s="156" t="str">
        <f ca="1">IFERROR(
  _xludf.MINIFS(ATTENDANCE_LOG!$F:$F,
         ATTENDANCE_LOG!$A:$A, C283,
         ATTENDANCE_LOG!$B:$B, E283),
"")</f>
        <v/>
      </c>
      <c r="I283" s="156" t="str">
        <f t="shared" ca="1" si="266"/>
        <v/>
      </c>
      <c r="J283" s="3">
        <f>IFERROR(VLOOKUP(F283, LEVEL_HELPER!$A:$B, 2, 0), "")</f>
        <v>3</v>
      </c>
      <c r="K283" s="3" t="str">
        <f>IFERROR(VLOOKUP(G283, LEVEL_HELPER!$A:$B, 2, 0), "")</f>
        <v/>
      </c>
      <c r="L283" s="157" t="s">
        <v>942</v>
      </c>
      <c r="M283" s="157" t="s">
        <v>922</v>
      </c>
      <c r="N283" s="3">
        <f t="array" aca="1" ref="N283" ca="1">IFERROR(
  INDEX($J$2:$J$543,
    MATCH(A283&amp;TEXT(I283,"yyyy-mm-dd"),
          $A$2:$A$543&amp;TEXT($H$2:$H$543,"yyyy-mm-dd"),
          0)),
"")</f>
        <v>1</v>
      </c>
      <c r="O283" s="147" t="str">
        <f t="shared" ca="1" si="267"/>
        <v/>
      </c>
      <c r="P283" s="147">
        <f t="shared" ref="P283:Q283" ca="1" si="299">IF(N283="",0,IF(N283&lt;=2,1,IF(N283&lt;=4,2,IF(N283&lt;=5.5,3,4))))</f>
        <v>1</v>
      </c>
      <c r="Q283" s="147">
        <f t="shared" ca="1" si="299"/>
        <v>0</v>
      </c>
      <c r="R283" s="147" t="str">
        <f t="shared" ca="1" si="269"/>
        <v>Regressed</v>
      </c>
      <c r="S283" s="147">
        <f t="shared" si="270"/>
        <v>0</v>
      </c>
      <c r="T283" s="147"/>
      <c r="U283" s="147"/>
      <c r="V283" s="148" t="e">
        <f ca="1"/>
        <v>#NAME?</v>
      </c>
      <c r="W283" s="147" t="e">
        <f t="shared" ca="1" si="271"/>
        <v>#NAME?</v>
      </c>
      <c r="X283" s="147" t="e">
        <f t="shared" ca="1" si="272"/>
        <v>#NAME?</v>
      </c>
      <c r="Y283" s="147" t="e">
        <f t="shared" ca="1" si="273"/>
        <v>#NAME?</v>
      </c>
      <c r="Z283" s="147"/>
      <c r="AA283" s="147"/>
      <c r="AB283" s="147"/>
      <c r="AC283" s="147"/>
      <c r="AD283" s="147"/>
      <c r="AE283" s="147"/>
      <c r="AF283" s="147"/>
      <c r="AG283" s="147"/>
      <c r="AH283" s="147"/>
      <c r="AI283" s="147"/>
      <c r="AJ283" s="147"/>
      <c r="AK283" s="147"/>
      <c r="AL283" s="147"/>
      <c r="AM283" s="151"/>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c r="BI283" s="147"/>
      <c r="BJ283" s="147"/>
      <c r="BK283" s="147"/>
      <c r="BL283" s="147"/>
      <c r="BM283" s="147"/>
      <c r="BN283" s="147"/>
      <c r="BO283" s="147"/>
      <c r="BP283" s="147"/>
      <c r="BQ283" s="147"/>
      <c r="BR283" s="147"/>
      <c r="BS283" s="147"/>
      <c r="BT283" s="147"/>
      <c r="BU283" s="147"/>
      <c r="BV283" s="147"/>
      <c r="BW283" s="147"/>
      <c r="BX283" s="147"/>
      <c r="BY283" s="147"/>
      <c r="BZ283" s="147"/>
      <c r="CA283" s="147"/>
      <c r="CB283" s="147"/>
      <c r="CC283" s="147"/>
      <c r="CD283" s="147"/>
      <c r="CE283" s="147"/>
      <c r="CF283" s="147"/>
      <c r="CG283" s="147"/>
      <c r="CH283" s="147"/>
      <c r="CI283" s="147"/>
      <c r="CJ283" s="147"/>
      <c r="CK283" s="147"/>
    </row>
    <row r="284" spans="1:89">
      <c r="A284" s="159" t="s">
        <v>399</v>
      </c>
      <c r="B284" s="3" t="s">
        <v>400</v>
      </c>
      <c r="C284" s="160" t="s">
        <v>76</v>
      </c>
      <c r="D284" s="160" t="s">
        <v>869</v>
      </c>
      <c r="E284" s="3" t="s">
        <v>22</v>
      </c>
      <c r="F284" s="3" t="s">
        <v>934</v>
      </c>
      <c r="G284" s="3"/>
      <c r="H284" s="156" t="str">
        <f ca="1">IFERROR(
  _xludf.MINIFS(ATTENDANCE_LOG!$F:$F,
         ATTENDANCE_LOG!$A:$A, C284,
         ATTENDANCE_LOG!$B:$B, E284),
"")</f>
        <v/>
      </c>
      <c r="I284" s="156" t="str">
        <f t="shared" ca="1" si="266"/>
        <v/>
      </c>
      <c r="J284" s="3">
        <f>IFERROR(VLOOKUP(F284, LEVEL_HELPER!$A:$B, 2, 0), "")</f>
        <v>3.5</v>
      </c>
      <c r="K284" s="3" t="str">
        <f>IFERROR(VLOOKUP(G284, LEVEL_HELPER!$A:$B, 2, 0), "")</f>
        <v/>
      </c>
      <c r="L284" s="157" t="s">
        <v>944</v>
      </c>
      <c r="M284" s="157" t="s">
        <v>922</v>
      </c>
      <c r="N284" s="3">
        <f t="array" aca="1" ref="N284" ca="1">IFERROR(
  INDEX($J$2:$J$543,
    MATCH(A284&amp;TEXT(I284,"yyyy-mm-dd"),
          $A$2:$A$543&amp;TEXT($H$2:$H$543,"yyyy-mm-dd"),
          0)),
"")</f>
        <v>2.5</v>
      </c>
      <c r="O284" s="147" t="str">
        <f t="shared" ca="1" si="267"/>
        <v/>
      </c>
      <c r="P284" s="147">
        <f t="shared" ref="P284:Q284" ca="1" si="300">IF(N284="",0,IF(N284&lt;=2,1,IF(N284&lt;=4,2,IF(N284&lt;=5.5,3,4))))</f>
        <v>2</v>
      </c>
      <c r="Q284" s="147">
        <f t="shared" ca="1" si="300"/>
        <v>0</v>
      </c>
      <c r="R284" s="147" t="str">
        <f t="shared" ca="1" si="269"/>
        <v>Regressed</v>
      </c>
      <c r="S284" s="147">
        <f t="shared" si="270"/>
        <v>0</v>
      </c>
      <c r="T284" s="147"/>
      <c r="U284" s="147"/>
      <c r="V284" s="148" t="e">
        <f ca="1"/>
        <v>#NAME?</v>
      </c>
      <c r="W284" s="147" t="e">
        <f t="shared" ca="1" si="271"/>
        <v>#NAME?</v>
      </c>
      <c r="X284" s="147" t="e">
        <f t="shared" ca="1" si="272"/>
        <v>#NAME?</v>
      </c>
      <c r="Y284" s="147" t="e">
        <f t="shared" ca="1" si="273"/>
        <v>#NAME?</v>
      </c>
      <c r="Z284" s="147"/>
      <c r="AA284" s="147"/>
      <c r="AB284" s="147"/>
      <c r="AC284" s="147"/>
      <c r="AD284" s="147"/>
      <c r="AE284" s="147"/>
      <c r="AF284" s="147"/>
      <c r="AG284" s="147"/>
      <c r="AH284" s="147"/>
      <c r="AI284" s="147"/>
      <c r="AJ284" s="147"/>
      <c r="AK284" s="147"/>
      <c r="AL284" s="147"/>
      <c r="AM284" s="151"/>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c r="BI284" s="147"/>
      <c r="BJ284" s="147"/>
      <c r="BK284" s="147"/>
      <c r="BL284" s="147"/>
      <c r="BM284" s="147"/>
      <c r="BN284" s="147"/>
      <c r="BO284" s="147"/>
      <c r="BP284" s="147"/>
      <c r="BQ284" s="147"/>
      <c r="BR284" s="147"/>
      <c r="BS284" s="147"/>
      <c r="BT284" s="147"/>
      <c r="BU284" s="147"/>
      <c r="BV284" s="147"/>
      <c r="BW284" s="147"/>
      <c r="BX284" s="147"/>
      <c r="BY284" s="147"/>
      <c r="BZ284" s="147"/>
      <c r="CA284" s="147"/>
      <c r="CB284" s="147"/>
      <c r="CC284" s="147"/>
      <c r="CD284" s="147"/>
      <c r="CE284" s="147"/>
      <c r="CF284" s="147"/>
      <c r="CG284" s="147"/>
      <c r="CH284" s="147"/>
      <c r="CI284" s="147"/>
      <c r="CJ284" s="147"/>
      <c r="CK284" s="147"/>
    </row>
    <row r="285" spans="1:89" ht="14.25" customHeight="1">
      <c r="A285" s="159" t="s">
        <v>534</v>
      </c>
      <c r="B285" s="3" t="s">
        <v>535</v>
      </c>
      <c r="C285" s="160" t="s">
        <v>76</v>
      </c>
      <c r="D285" s="160" t="s">
        <v>869</v>
      </c>
      <c r="E285" s="3" t="s">
        <v>22</v>
      </c>
      <c r="F285" s="3" t="s">
        <v>917</v>
      </c>
      <c r="G285" s="3"/>
      <c r="H285" s="156" t="str">
        <f ca="1">IFERROR(
  _xludf.MINIFS(ATTENDANCE_LOG!$F:$F,
         ATTENDANCE_LOG!$A:$A, C285,
         ATTENDANCE_LOG!$B:$B, E285),
"")</f>
        <v/>
      </c>
      <c r="I285" s="156" t="str">
        <f t="shared" ca="1" si="266"/>
        <v/>
      </c>
      <c r="J285" s="3">
        <f>IFERROR(VLOOKUP(F285, LEVEL_HELPER!$A:$B, 2, 0), "")</f>
        <v>3</v>
      </c>
      <c r="K285" s="3" t="str">
        <f>IFERROR(VLOOKUP(G285, LEVEL_HELPER!$A:$B, 2, 0), "")</f>
        <v/>
      </c>
      <c r="L285" s="157" t="s">
        <v>918</v>
      </c>
      <c r="M285" s="157" t="s">
        <v>922</v>
      </c>
      <c r="N285" s="3">
        <f t="array" aca="1" ref="N285" ca="1">IFERROR(
  INDEX($J$2:$J$543,
    MATCH(A285&amp;TEXT(I285,"yyyy-mm-dd"),
          $A$2:$A$543&amp;TEXT($H$2:$H$543,"yyyy-mm-dd"),
          0)),
"")</f>
        <v>1</v>
      </c>
      <c r="O285" s="147" t="str">
        <f t="shared" ca="1" si="267"/>
        <v/>
      </c>
      <c r="P285" s="147">
        <f t="shared" ref="P285:Q285" ca="1" si="301">IF(N285="",0,IF(N285&lt;=2,1,IF(N285&lt;=4,2,IF(N285&lt;=5.5,3,4))))</f>
        <v>1</v>
      </c>
      <c r="Q285" s="147">
        <f t="shared" ca="1" si="301"/>
        <v>0</v>
      </c>
      <c r="R285" s="147" t="str">
        <f t="shared" ca="1" si="269"/>
        <v>Regressed</v>
      </c>
      <c r="S285" s="147">
        <f t="shared" si="270"/>
        <v>0</v>
      </c>
      <c r="T285" s="147"/>
      <c r="U285" s="147"/>
      <c r="V285" s="148" t="e">
        <f ca="1"/>
        <v>#NAME?</v>
      </c>
      <c r="W285" s="147" t="e">
        <f t="shared" ca="1" si="271"/>
        <v>#NAME?</v>
      </c>
      <c r="X285" s="147" t="e">
        <f t="shared" ca="1" si="272"/>
        <v>#NAME?</v>
      </c>
      <c r="Y285" s="147" t="e">
        <f t="shared" ca="1" si="273"/>
        <v>#NAME?</v>
      </c>
      <c r="Z285" s="147"/>
      <c r="AA285" s="147"/>
      <c r="AB285" s="147"/>
      <c r="AC285" s="147"/>
      <c r="AD285" s="147"/>
      <c r="AE285" s="147"/>
      <c r="AF285" s="147"/>
      <c r="AG285" s="147"/>
      <c r="AH285" s="147"/>
      <c r="AI285" s="147"/>
      <c r="AJ285" s="147"/>
      <c r="AK285" s="147"/>
      <c r="AL285" s="147"/>
      <c r="AM285" s="151"/>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c r="BI285" s="147"/>
      <c r="BJ285" s="147"/>
      <c r="BK285" s="147"/>
      <c r="BL285" s="147"/>
      <c r="BM285" s="147"/>
      <c r="BN285" s="147"/>
      <c r="BO285" s="147"/>
      <c r="BP285" s="147"/>
      <c r="BQ285" s="147"/>
      <c r="BR285" s="147"/>
      <c r="BS285" s="147"/>
      <c r="BT285" s="147"/>
      <c r="BU285" s="147"/>
      <c r="BV285" s="147"/>
      <c r="BW285" s="147"/>
      <c r="BX285" s="147"/>
      <c r="BY285" s="147"/>
      <c r="BZ285" s="147"/>
      <c r="CA285" s="147"/>
      <c r="CB285" s="147"/>
      <c r="CC285" s="147"/>
      <c r="CD285" s="147"/>
      <c r="CE285" s="147"/>
      <c r="CF285" s="147"/>
      <c r="CG285" s="147"/>
      <c r="CH285" s="147"/>
      <c r="CI285" s="147"/>
      <c r="CJ285" s="147"/>
      <c r="CK285" s="147"/>
    </row>
    <row r="286" spans="1:89">
      <c r="A286" s="159" t="s">
        <v>595</v>
      </c>
      <c r="B286" s="3" t="s">
        <v>596</v>
      </c>
      <c r="C286" s="160" t="s">
        <v>76</v>
      </c>
      <c r="D286" s="160" t="s">
        <v>869</v>
      </c>
      <c r="E286" s="3" t="s">
        <v>22</v>
      </c>
      <c r="F286" s="3" t="s">
        <v>926</v>
      </c>
      <c r="G286" s="3"/>
      <c r="H286" s="156" t="str">
        <f ca="1">IFERROR(
  _xludf.MINIFS(ATTENDANCE_LOG!$F:$F,
         ATTENDANCE_LOG!$A:$A, C286,
         ATTENDANCE_LOG!$B:$B, E286),
"")</f>
        <v/>
      </c>
      <c r="I286" s="156" t="str">
        <f t="shared" ca="1" si="266"/>
        <v/>
      </c>
      <c r="J286" s="3">
        <f>IFERROR(VLOOKUP(F286, LEVEL_HELPER!$A:$B, 2, 0), "")</f>
        <v>1</v>
      </c>
      <c r="K286" s="3" t="str">
        <f>IFERROR(VLOOKUP(G286, LEVEL_HELPER!$A:$B, 2, 0), "")</f>
        <v/>
      </c>
      <c r="L286" s="157" t="s">
        <v>942</v>
      </c>
      <c r="M286" s="157" t="s">
        <v>922</v>
      </c>
      <c r="N286" s="3">
        <f t="array" aca="1" ref="N286" ca="1">IFERROR(
  INDEX($J$2:$J$543,
    MATCH(A286&amp;TEXT(I286,"yyyy-mm-dd"),
          $A$2:$A$543&amp;TEXT($H$2:$H$543,"yyyy-mm-dd"),
          0)),
"")</f>
        <v>1</v>
      </c>
      <c r="O286" s="147" t="str">
        <f t="shared" ca="1" si="267"/>
        <v/>
      </c>
      <c r="P286" s="147">
        <f t="shared" ref="P286:Q286" ca="1" si="302">IF(N286="",0,IF(N286&lt;=2,1,IF(N286&lt;=4,2,IF(N286&lt;=5.5,3,4))))</f>
        <v>1</v>
      </c>
      <c r="Q286" s="147">
        <f t="shared" ca="1" si="302"/>
        <v>0</v>
      </c>
      <c r="R286" s="147" t="str">
        <f t="shared" ca="1" si="269"/>
        <v>Regressed</v>
      </c>
      <c r="S286" s="147">
        <f t="shared" si="270"/>
        <v>0</v>
      </c>
      <c r="T286" s="147"/>
      <c r="U286" s="147"/>
      <c r="V286" s="148" t="e">
        <f ca="1"/>
        <v>#NAME?</v>
      </c>
      <c r="W286" s="147" t="e">
        <f t="shared" ca="1" si="271"/>
        <v>#NAME?</v>
      </c>
      <c r="X286" s="147" t="e">
        <f t="shared" ca="1" si="272"/>
        <v>#NAME?</v>
      </c>
      <c r="Y286" s="147" t="e">
        <f t="shared" ca="1" si="273"/>
        <v>#NAME?</v>
      </c>
      <c r="Z286" s="147"/>
      <c r="AA286" s="147"/>
      <c r="AB286" s="147"/>
      <c r="AC286" s="147"/>
      <c r="AD286" s="147"/>
      <c r="AE286" s="147"/>
      <c r="AF286" s="147"/>
      <c r="AG286" s="147"/>
      <c r="AH286" s="147"/>
      <c r="AI286" s="147"/>
      <c r="AJ286" s="147"/>
      <c r="AK286" s="147"/>
      <c r="AL286" s="147"/>
      <c r="AM286" s="151"/>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c r="BI286" s="147"/>
      <c r="BJ286" s="147"/>
      <c r="BK286" s="147"/>
      <c r="BL286" s="147"/>
      <c r="BM286" s="147"/>
      <c r="BN286" s="147"/>
      <c r="BO286" s="147"/>
      <c r="BP286" s="147"/>
      <c r="BQ286" s="147"/>
      <c r="BR286" s="147"/>
      <c r="BS286" s="147"/>
      <c r="BT286" s="147"/>
      <c r="BU286" s="147"/>
      <c r="BV286" s="147"/>
      <c r="BW286" s="147"/>
      <c r="BX286" s="147"/>
      <c r="BY286" s="147"/>
      <c r="BZ286" s="147"/>
      <c r="CA286" s="147"/>
      <c r="CB286" s="147"/>
      <c r="CC286" s="147"/>
      <c r="CD286" s="147"/>
      <c r="CE286" s="147"/>
      <c r="CF286" s="147"/>
      <c r="CG286" s="147"/>
      <c r="CH286" s="147"/>
      <c r="CI286" s="147"/>
      <c r="CJ286" s="147"/>
      <c r="CK286" s="147"/>
    </row>
    <row r="287" spans="1:89">
      <c r="A287" s="159" t="s">
        <v>615</v>
      </c>
      <c r="B287" s="3" t="s">
        <v>616</v>
      </c>
      <c r="C287" s="160" t="s">
        <v>76</v>
      </c>
      <c r="D287" s="160" t="s">
        <v>869</v>
      </c>
      <c r="E287" s="3" t="s">
        <v>22</v>
      </c>
      <c r="F287" s="3" t="s">
        <v>934</v>
      </c>
      <c r="G287" s="3"/>
      <c r="H287" s="156" t="str">
        <f ca="1">IFERROR(
  _xludf.MINIFS(ATTENDANCE_LOG!$F:$F,
         ATTENDANCE_LOG!$A:$A, C287,
         ATTENDANCE_LOG!$B:$B, E287),
"")</f>
        <v/>
      </c>
      <c r="I287" s="156" t="str">
        <f t="shared" ca="1" si="266"/>
        <v/>
      </c>
      <c r="J287" s="3">
        <f>IFERROR(VLOOKUP(F287, LEVEL_HELPER!$A:$B, 2, 0), "")</f>
        <v>3.5</v>
      </c>
      <c r="K287" s="3" t="str">
        <f>IFERROR(VLOOKUP(G287, LEVEL_HELPER!$A:$B, 2, 0), "")</f>
        <v/>
      </c>
      <c r="L287" s="157" t="s">
        <v>918</v>
      </c>
      <c r="M287" s="157" t="s">
        <v>922</v>
      </c>
      <c r="N287" s="3">
        <f t="array" aca="1" ref="N287" ca="1">IFERROR(
  INDEX($J$2:$J$543,
    MATCH(A287&amp;TEXT(I287,"yyyy-mm-dd"),
          $A$2:$A$543&amp;TEXT($H$2:$H$543,"yyyy-mm-dd"),
          0)),
"")</f>
        <v>1</v>
      </c>
      <c r="O287" s="147" t="str">
        <f t="shared" ca="1" si="267"/>
        <v/>
      </c>
      <c r="P287" s="147">
        <f t="shared" ref="P287:Q287" ca="1" si="303">IF(N287="",0,IF(N287&lt;=2,1,IF(N287&lt;=4,2,IF(N287&lt;=5.5,3,4))))</f>
        <v>1</v>
      </c>
      <c r="Q287" s="147">
        <f t="shared" ca="1" si="303"/>
        <v>0</v>
      </c>
      <c r="R287" s="147" t="str">
        <f t="shared" ca="1" si="269"/>
        <v>Regressed</v>
      </c>
      <c r="S287" s="147">
        <f t="shared" si="270"/>
        <v>0</v>
      </c>
      <c r="T287" s="147"/>
      <c r="U287" s="147"/>
      <c r="V287" s="148" t="e">
        <f ca="1"/>
        <v>#NAME?</v>
      </c>
      <c r="W287" s="147" t="e">
        <f t="shared" ca="1" si="271"/>
        <v>#NAME?</v>
      </c>
      <c r="X287" s="147" t="e">
        <f t="shared" ca="1" si="272"/>
        <v>#NAME?</v>
      </c>
      <c r="Y287" s="147" t="e">
        <f t="shared" ca="1" si="273"/>
        <v>#NAME?</v>
      </c>
      <c r="Z287" s="147"/>
      <c r="AA287" s="147"/>
      <c r="AB287" s="147"/>
      <c r="AC287" s="147"/>
      <c r="AD287" s="147"/>
      <c r="AE287" s="147"/>
      <c r="AF287" s="147"/>
      <c r="AG287" s="147"/>
      <c r="AH287" s="147"/>
      <c r="AI287" s="147"/>
      <c r="AJ287" s="147"/>
      <c r="AK287" s="147"/>
      <c r="AL287" s="147"/>
      <c r="AM287" s="151"/>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c r="BI287" s="147"/>
      <c r="BJ287" s="147"/>
      <c r="BK287" s="147"/>
      <c r="BL287" s="147"/>
      <c r="BM287" s="147"/>
      <c r="BN287" s="147"/>
      <c r="BO287" s="147"/>
      <c r="BP287" s="147"/>
      <c r="BQ287" s="147"/>
      <c r="BR287" s="147"/>
      <c r="BS287" s="147"/>
      <c r="BT287" s="147"/>
      <c r="BU287" s="147"/>
      <c r="BV287" s="147"/>
      <c r="BW287" s="147"/>
      <c r="BX287" s="147"/>
      <c r="BY287" s="147"/>
      <c r="BZ287" s="147"/>
      <c r="CA287" s="147"/>
      <c r="CB287" s="147"/>
      <c r="CC287" s="147"/>
      <c r="CD287" s="147"/>
      <c r="CE287" s="147"/>
      <c r="CF287" s="147"/>
      <c r="CG287" s="147"/>
      <c r="CH287" s="147"/>
      <c r="CI287" s="147"/>
      <c r="CJ287" s="147"/>
      <c r="CK287" s="147"/>
    </row>
    <row r="288" spans="1:89">
      <c r="A288" s="153" t="s">
        <v>421</v>
      </c>
      <c r="B288" s="154" t="s">
        <v>422</v>
      </c>
      <c r="C288" s="155" t="s">
        <v>77</v>
      </c>
      <c r="D288" s="155" t="s">
        <v>870</v>
      </c>
      <c r="E288" s="154" t="s">
        <v>21</v>
      </c>
      <c r="F288" s="3" t="s">
        <v>926</v>
      </c>
      <c r="G288" s="3" t="s">
        <v>917</v>
      </c>
      <c r="H288" s="156" t="str">
        <f ca="1">IFERROR(
  _xludf.MINIFS(ATTENDANCE_LOG!$F:$F,
         ATTENDANCE_LOG!$A:$A, C288,
         ATTENDANCE_LOG!$B:$B, E288),
"")</f>
        <v/>
      </c>
      <c r="I288" s="156" t="str">
        <f t="shared" ca="1" si="266"/>
        <v/>
      </c>
      <c r="J288" s="3">
        <f>IFERROR(VLOOKUP(F288, LEVEL_HELPER!$A:$B, 2, 0), "")</f>
        <v>1</v>
      </c>
      <c r="K288" s="3">
        <f>IFERROR(VLOOKUP(G288, LEVEL_HELPER!$A:$B, 2, 0), "")</f>
        <v>3</v>
      </c>
      <c r="L288" s="157" t="s">
        <v>930</v>
      </c>
      <c r="M288" s="157" t="s">
        <v>922</v>
      </c>
      <c r="N288" s="3">
        <f t="array" aca="1" ref="N288" ca="1">IFERROR(
  INDEX($J$2:$J$543,
    MATCH(A288&amp;TEXT(I288,"yyyy-mm-dd"),
          $A$2:$A$543&amp;TEXT($H$2:$H$543,"yyyy-mm-dd"),
          0)),
"")</f>
        <v>1</v>
      </c>
      <c r="O288" s="147" t="str">
        <f t="shared" ca="1" si="267"/>
        <v/>
      </c>
      <c r="P288" s="147">
        <f t="shared" ref="P288:Q288" ca="1" si="304">IF(N288="",0,IF(N288&lt;=2,1,IF(N288&lt;=4,2,IF(N288&lt;=5.5,3,4))))</f>
        <v>1</v>
      </c>
      <c r="Q288" s="147">
        <f t="shared" ca="1" si="304"/>
        <v>0</v>
      </c>
      <c r="R288" s="147" t="str">
        <f t="shared" ca="1" si="269"/>
        <v>Regressed</v>
      </c>
      <c r="S288" s="147">
        <f t="shared" si="270"/>
        <v>1</v>
      </c>
      <c r="T288" s="147"/>
      <c r="U288" s="147"/>
      <c r="V288" s="148" t="e">
        <f ca="1"/>
        <v>#NAME?</v>
      </c>
      <c r="W288" s="147" t="e">
        <f t="shared" ca="1" si="271"/>
        <v>#NAME?</v>
      </c>
      <c r="X288" s="147" t="e">
        <f t="shared" ca="1" si="272"/>
        <v>#NAME?</v>
      </c>
      <c r="Y288" s="147" t="e">
        <f t="shared" ca="1" si="273"/>
        <v>#NAME?</v>
      </c>
      <c r="Z288" s="147"/>
      <c r="AA288" s="147"/>
      <c r="AB288" s="147"/>
      <c r="AC288" s="147"/>
      <c r="AD288" s="147"/>
      <c r="AE288" s="147"/>
      <c r="AF288" s="147"/>
      <c r="AG288" s="147"/>
      <c r="AH288" s="147"/>
      <c r="AI288" s="147"/>
      <c r="AJ288" s="147"/>
      <c r="AK288" s="147"/>
      <c r="AL288" s="147"/>
      <c r="AM288" s="151"/>
      <c r="AN288" s="147"/>
      <c r="AO288" s="147"/>
      <c r="AP288" s="147"/>
      <c r="AQ288" s="147"/>
      <c r="AR288" s="147"/>
      <c r="AS288" s="147"/>
      <c r="AT288" s="147"/>
      <c r="AU288" s="147"/>
      <c r="AV288" s="147"/>
      <c r="AW288" s="147"/>
      <c r="AX288" s="147"/>
      <c r="AY288" s="147"/>
      <c r="AZ288" s="147"/>
      <c r="BA288" s="147"/>
      <c r="BB288" s="147"/>
      <c r="BC288" s="147"/>
      <c r="BD288" s="147"/>
      <c r="BE288" s="147"/>
      <c r="BF288" s="147"/>
      <c r="BG288" s="147"/>
      <c r="BH288" s="147"/>
      <c r="BI288" s="147"/>
      <c r="BJ288" s="147"/>
      <c r="BK288" s="147"/>
      <c r="BL288" s="147"/>
      <c r="BM288" s="147"/>
      <c r="BN288" s="147"/>
      <c r="BO288" s="147"/>
      <c r="BP288" s="147"/>
      <c r="BQ288" s="147"/>
      <c r="BR288" s="147"/>
      <c r="BS288" s="147"/>
      <c r="BT288" s="147"/>
      <c r="BU288" s="147"/>
      <c r="BV288" s="147"/>
      <c r="BW288" s="147"/>
      <c r="BX288" s="147"/>
      <c r="BY288" s="147"/>
      <c r="BZ288" s="147"/>
      <c r="CA288" s="147"/>
      <c r="CB288" s="147"/>
      <c r="CC288" s="147"/>
      <c r="CD288" s="147"/>
      <c r="CE288" s="147"/>
      <c r="CF288" s="147"/>
      <c r="CG288" s="147"/>
      <c r="CH288" s="147"/>
      <c r="CI288" s="147"/>
      <c r="CJ288" s="147"/>
      <c r="CK288" s="147"/>
    </row>
    <row r="289" spans="1:89">
      <c r="A289" s="159" t="s">
        <v>147</v>
      </c>
      <c r="B289" s="3" t="s">
        <v>148</v>
      </c>
      <c r="C289" s="160" t="s">
        <v>77</v>
      </c>
      <c r="D289" s="160" t="s">
        <v>870</v>
      </c>
      <c r="E289" s="3" t="s">
        <v>21</v>
      </c>
      <c r="F289" s="3" t="s">
        <v>926</v>
      </c>
      <c r="G289" s="3" t="s">
        <v>917</v>
      </c>
      <c r="H289" s="156" t="str">
        <f ca="1">IFERROR(
  _xludf.MINIFS(ATTENDANCE_LOG!$F:$F,
         ATTENDANCE_LOG!$A:$A, C289,
         ATTENDANCE_LOG!$B:$B, E289),
"")</f>
        <v/>
      </c>
      <c r="I289" s="156" t="str">
        <f t="shared" ca="1" si="266"/>
        <v/>
      </c>
      <c r="J289" s="3">
        <f>IFERROR(VLOOKUP(F289, LEVEL_HELPER!$A:$B, 2, 0), "")</f>
        <v>1</v>
      </c>
      <c r="K289" s="3">
        <f>IFERROR(VLOOKUP(G289, LEVEL_HELPER!$A:$B, 2, 0), "")</f>
        <v>3</v>
      </c>
      <c r="L289" s="157" t="s">
        <v>930</v>
      </c>
      <c r="M289" s="157" t="s">
        <v>922</v>
      </c>
      <c r="N289" s="3">
        <f t="array" aca="1" ref="N289" ca="1">IFERROR(
  INDEX($J$2:$J$543,
    MATCH(A289&amp;TEXT(I289,"yyyy-mm-dd"),
          $A$2:$A$543&amp;TEXT($H$2:$H$543,"yyyy-mm-dd"),
          0)),
"")</f>
        <v>1</v>
      </c>
      <c r="O289" s="147" t="str">
        <f t="shared" ca="1" si="267"/>
        <v/>
      </c>
      <c r="P289" s="147">
        <f t="shared" ref="P289:Q289" ca="1" si="305">IF(N289="",0,IF(N289&lt;=2,1,IF(N289&lt;=4,2,IF(N289&lt;=5.5,3,4))))</f>
        <v>1</v>
      </c>
      <c r="Q289" s="147">
        <f t="shared" ca="1" si="305"/>
        <v>0</v>
      </c>
      <c r="R289" s="147" t="str">
        <f t="shared" ca="1" si="269"/>
        <v>Regressed</v>
      </c>
      <c r="S289" s="147">
        <f t="shared" si="270"/>
        <v>1</v>
      </c>
      <c r="T289" s="147"/>
      <c r="U289" s="147"/>
      <c r="V289" s="148" t="e">
        <f ca="1"/>
        <v>#NAME?</v>
      </c>
      <c r="W289" s="147" t="e">
        <f t="shared" ca="1" si="271"/>
        <v>#NAME?</v>
      </c>
      <c r="X289" s="147" t="e">
        <f t="shared" ca="1" si="272"/>
        <v>#NAME?</v>
      </c>
      <c r="Y289" s="147" t="e">
        <f t="shared" ca="1" si="273"/>
        <v>#NAME?</v>
      </c>
      <c r="Z289" s="147"/>
      <c r="AA289" s="147"/>
      <c r="AB289" s="147"/>
      <c r="AC289" s="147"/>
      <c r="AD289" s="147"/>
      <c r="AE289" s="147"/>
      <c r="AF289" s="147"/>
      <c r="AG289" s="147"/>
      <c r="AH289" s="147"/>
      <c r="AI289" s="147"/>
      <c r="AJ289" s="147"/>
      <c r="AK289" s="147"/>
      <c r="AL289" s="147"/>
      <c r="AM289" s="151"/>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c r="BI289" s="147"/>
      <c r="BJ289" s="147"/>
      <c r="BK289" s="147"/>
      <c r="BL289" s="147"/>
      <c r="BM289" s="147"/>
      <c r="BN289" s="147"/>
      <c r="BO289" s="147"/>
      <c r="BP289" s="147"/>
      <c r="BQ289" s="147"/>
      <c r="BR289" s="147"/>
      <c r="BS289" s="147"/>
      <c r="BT289" s="147"/>
      <c r="BU289" s="147"/>
      <c r="BV289" s="147"/>
      <c r="BW289" s="147"/>
      <c r="BX289" s="147"/>
      <c r="BY289" s="147"/>
      <c r="BZ289" s="147"/>
      <c r="CA289" s="147"/>
      <c r="CB289" s="147"/>
      <c r="CC289" s="147"/>
      <c r="CD289" s="147"/>
      <c r="CE289" s="147"/>
      <c r="CF289" s="147"/>
      <c r="CG289" s="147"/>
      <c r="CH289" s="147"/>
      <c r="CI289" s="147"/>
      <c r="CJ289" s="147"/>
      <c r="CK289" s="147"/>
    </row>
    <row r="290" spans="1:89">
      <c r="A290" s="159" t="s">
        <v>247</v>
      </c>
      <c r="B290" s="3" t="s">
        <v>248</v>
      </c>
      <c r="C290" s="160" t="s">
        <v>77</v>
      </c>
      <c r="D290" s="160" t="s">
        <v>870</v>
      </c>
      <c r="E290" s="3" t="s">
        <v>21</v>
      </c>
      <c r="F290" s="3" t="s">
        <v>926</v>
      </c>
      <c r="G290" s="3" t="s">
        <v>928</v>
      </c>
      <c r="H290" s="156" t="str">
        <f ca="1">IFERROR(
  _xludf.MINIFS(ATTENDANCE_LOG!$F:$F,
         ATTENDANCE_LOG!$A:$A, C290,
         ATTENDANCE_LOG!$B:$B, E290),
"")</f>
        <v/>
      </c>
      <c r="I290" s="156" t="str">
        <f t="shared" ca="1" si="266"/>
        <v/>
      </c>
      <c r="J290" s="3">
        <f>IFERROR(VLOOKUP(F290, LEVEL_HELPER!$A:$B, 2, 0), "")</f>
        <v>1</v>
      </c>
      <c r="K290" s="3">
        <f>IFERROR(VLOOKUP(G290, LEVEL_HELPER!$A:$B, 2, 0), "")</f>
        <v>1.5</v>
      </c>
      <c r="L290" s="157" t="s">
        <v>930</v>
      </c>
      <c r="M290" s="157" t="s">
        <v>922</v>
      </c>
      <c r="N290" s="3">
        <f t="array" aca="1" ref="N290" ca="1">IFERROR(
  INDEX($J$2:$J$543,
    MATCH(A290&amp;TEXT(I290,"yyyy-mm-dd"),
          $A$2:$A$543&amp;TEXT($H$2:$H$543,"yyyy-mm-dd"),
          0)),
"")</f>
        <v>1.5</v>
      </c>
      <c r="O290" s="147" t="str">
        <f t="shared" ca="1" si="267"/>
        <v/>
      </c>
      <c r="P290" s="147">
        <f t="shared" ref="P290:Q290" ca="1" si="306">IF(N290="",0,IF(N290&lt;=2,1,IF(N290&lt;=4,2,IF(N290&lt;=5.5,3,4))))</f>
        <v>1</v>
      </c>
      <c r="Q290" s="147">
        <f t="shared" ca="1" si="306"/>
        <v>0</v>
      </c>
      <c r="R290" s="147" t="str">
        <f t="shared" ca="1" si="269"/>
        <v>Regressed</v>
      </c>
      <c r="S290" s="147">
        <f t="shared" si="270"/>
        <v>0</v>
      </c>
      <c r="T290" s="147"/>
      <c r="U290" s="147"/>
      <c r="V290" s="148" t="e">
        <f ca="1"/>
        <v>#NAME?</v>
      </c>
      <c r="W290" s="147" t="e">
        <f t="shared" ca="1" si="271"/>
        <v>#NAME?</v>
      </c>
      <c r="X290" s="147" t="e">
        <f t="shared" ca="1" si="272"/>
        <v>#NAME?</v>
      </c>
      <c r="Y290" s="147" t="e">
        <f t="shared" ca="1" si="273"/>
        <v>#NAME?</v>
      </c>
      <c r="Z290" s="147"/>
      <c r="AA290" s="147"/>
      <c r="AB290" s="147"/>
      <c r="AC290" s="147"/>
      <c r="AD290" s="147"/>
      <c r="AE290" s="147"/>
      <c r="AF290" s="147"/>
      <c r="AG290" s="147"/>
      <c r="AH290" s="147"/>
      <c r="AI290" s="147"/>
      <c r="AJ290" s="147"/>
      <c r="AK290" s="147"/>
      <c r="AL290" s="147"/>
      <c r="AM290" s="151"/>
      <c r="AN290" s="147"/>
      <c r="AO290" s="147"/>
      <c r="AP290" s="147"/>
      <c r="AQ290" s="147"/>
      <c r="AR290" s="147"/>
      <c r="AS290" s="147"/>
      <c r="AT290" s="147"/>
      <c r="AU290" s="147"/>
      <c r="AV290" s="147"/>
      <c r="AW290" s="147"/>
      <c r="AX290" s="147"/>
      <c r="AY290" s="147"/>
      <c r="AZ290" s="147"/>
      <c r="BA290" s="147"/>
      <c r="BB290" s="147"/>
      <c r="BC290" s="147"/>
      <c r="BD290" s="147"/>
      <c r="BE290" s="147"/>
      <c r="BF290" s="147"/>
      <c r="BG290" s="147"/>
      <c r="BH290" s="147"/>
      <c r="BI290" s="147"/>
      <c r="BJ290" s="147"/>
      <c r="BK290" s="147"/>
      <c r="BL290" s="147"/>
      <c r="BM290" s="147"/>
      <c r="BN290" s="147"/>
      <c r="BO290" s="147"/>
      <c r="BP290" s="147"/>
      <c r="BQ290" s="147"/>
      <c r="BR290" s="147"/>
      <c r="BS290" s="147"/>
      <c r="BT290" s="147"/>
      <c r="BU290" s="147"/>
      <c r="BV290" s="147"/>
      <c r="BW290" s="147"/>
      <c r="BX290" s="147"/>
      <c r="BY290" s="147"/>
      <c r="BZ290" s="147"/>
      <c r="CA290" s="147"/>
      <c r="CB290" s="147"/>
      <c r="CC290" s="147"/>
      <c r="CD290" s="147"/>
      <c r="CE290" s="147"/>
      <c r="CF290" s="147"/>
      <c r="CG290" s="147"/>
      <c r="CH290" s="147"/>
      <c r="CI290" s="147"/>
      <c r="CJ290" s="147"/>
      <c r="CK290" s="147"/>
    </row>
    <row r="291" spans="1:89">
      <c r="A291" s="159" t="s">
        <v>255</v>
      </c>
      <c r="B291" s="3" t="s">
        <v>256</v>
      </c>
      <c r="C291" s="160" t="s">
        <v>77</v>
      </c>
      <c r="D291" s="160" t="s">
        <v>870</v>
      </c>
      <c r="E291" s="3" t="s">
        <v>21</v>
      </c>
      <c r="F291" s="3" t="s">
        <v>926</v>
      </c>
      <c r="G291" s="3" t="s">
        <v>917</v>
      </c>
      <c r="H291" s="156" t="str">
        <f ca="1">IFERROR(
  _xludf.MINIFS(ATTENDANCE_LOG!$F:$F,
         ATTENDANCE_LOG!$A:$A, C291,
         ATTENDANCE_LOG!$B:$B, E291),
"")</f>
        <v/>
      </c>
      <c r="I291" s="156" t="str">
        <f t="shared" ca="1" si="266"/>
        <v/>
      </c>
      <c r="J291" s="3">
        <f>IFERROR(VLOOKUP(F291, LEVEL_HELPER!$A:$B, 2, 0), "")</f>
        <v>1</v>
      </c>
      <c r="K291" s="3">
        <f>IFERROR(VLOOKUP(G291, LEVEL_HELPER!$A:$B, 2, 0), "")</f>
        <v>3</v>
      </c>
      <c r="L291" s="157" t="s">
        <v>930</v>
      </c>
      <c r="M291" s="157" t="s">
        <v>922</v>
      </c>
      <c r="N291" s="3">
        <f t="array" aca="1" ref="N291" ca="1">IFERROR(
  INDEX($J$2:$J$543,
    MATCH(A291&amp;TEXT(I291,"yyyy-mm-dd"),
          $A$2:$A$543&amp;TEXT($H$2:$H$543,"yyyy-mm-dd"),
          0)),
"")</f>
        <v>1</v>
      </c>
      <c r="O291" s="147" t="str">
        <f t="shared" ca="1" si="267"/>
        <v/>
      </c>
      <c r="P291" s="147">
        <f t="shared" ref="P291:Q291" ca="1" si="307">IF(N291="",0,IF(N291&lt;=2,1,IF(N291&lt;=4,2,IF(N291&lt;=5.5,3,4))))</f>
        <v>1</v>
      </c>
      <c r="Q291" s="147">
        <f t="shared" ca="1" si="307"/>
        <v>0</v>
      </c>
      <c r="R291" s="147" t="str">
        <f t="shared" ca="1" si="269"/>
        <v>Regressed</v>
      </c>
      <c r="S291" s="147">
        <f t="shared" si="270"/>
        <v>1</v>
      </c>
      <c r="T291" s="147"/>
      <c r="U291" s="147"/>
      <c r="V291" s="148" t="e">
        <f ca="1"/>
        <v>#NAME?</v>
      </c>
      <c r="W291" s="147" t="e">
        <f t="shared" ca="1" si="271"/>
        <v>#NAME?</v>
      </c>
      <c r="X291" s="147" t="e">
        <f t="shared" ca="1" si="272"/>
        <v>#NAME?</v>
      </c>
      <c r="Y291" s="147" t="e">
        <f t="shared" ca="1" si="273"/>
        <v>#NAME?</v>
      </c>
      <c r="Z291" s="147"/>
      <c r="AA291" s="147"/>
      <c r="AB291" s="147"/>
      <c r="AC291" s="147"/>
      <c r="AD291" s="147"/>
      <c r="AE291" s="147"/>
      <c r="AF291" s="147"/>
      <c r="AG291" s="147"/>
      <c r="AH291" s="147"/>
      <c r="AI291" s="147"/>
      <c r="AJ291" s="147"/>
      <c r="AK291" s="147"/>
      <c r="AL291" s="147"/>
      <c r="AM291" s="151"/>
      <c r="AN291" s="147"/>
      <c r="AO291" s="147"/>
      <c r="AP291" s="147"/>
      <c r="AQ291" s="147"/>
      <c r="AR291" s="147"/>
      <c r="AS291" s="147"/>
      <c r="AT291" s="147"/>
      <c r="AU291" s="147"/>
      <c r="AV291" s="147"/>
      <c r="AW291" s="147"/>
      <c r="AX291" s="147"/>
      <c r="AY291" s="147"/>
      <c r="AZ291" s="147"/>
      <c r="BA291" s="147"/>
      <c r="BB291" s="147"/>
      <c r="BC291" s="147"/>
      <c r="BD291" s="147"/>
      <c r="BE291" s="147"/>
      <c r="BF291" s="147"/>
      <c r="BG291" s="147"/>
      <c r="BH291" s="147"/>
      <c r="BI291" s="147"/>
      <c r="BJ291" s="147"/>
      <c r="BK291" s="147"/>
      <c r="BL291" s="147"/>
      <c r="BM291" s="147"/>
      <c r="BN291" s="147"/>
      <c r="BO291" s="147"/>
      <c r="BP291" s="147"/>
      <c r="BQ291" s="147"/>
      <c r="BR291" s="147"/>
      <c r="BS291" s="147"/>
      <c r="BT291" s="147"/>
      <c r="BU291" s="147"/>
      <c r="BV291" s="147"/>
      <c r="BW291" s="147"/>
      <c r="BX291" s="147"/>
      <c r="BY291" s="147"/>
      <c r="BZ291" s="147"/>
      <c r="CA291" s="147"/>
      <c r="CB291" s="147"/>
      <c r="CC291" s="147"/>
      <c r="CD291" s="147"/>
      <c r="CE291" s="147"/>
      <c r="CF291" s="147"/>
      <c r="CG291" s="147"/>
      <c r="CH291" s="147"/>
      <c r="CI291" s="147"/>
      <c r="CJ291" s="147"/>
      <c r="CK291" s="147"/>
    </row>
    <row r="292" spans="1:89">
      <c r="A292" s="159" t="s">
        <v>273</v>
      </c>
      <c r="B292" s="3" t="s">
        <v>274</v>
      </c>
      <c r="C292" s="160" t="s">
        <v>77</v>
      </c>
      <c r="D292" s="160" t="s">
        <v>870</v>
      </c>
      <c r="E292" s="3" t="s">
        <v>21</v>
      </c>
      <c r="F292" s="3"/>
      <c r="G292" s="3"/>
      <c r="H292" s="156" t="str">
        <f ca="1">IFERROR(
  _xludf.MINIFS(ATTENDANCE_LOG!$F:$F,
         ATTENDANCE_LOG!$A:$A, C292,
         ATTENDANCE_LOG!$B:$B, E292),
"")</f>
        <v/>
      </c>
      <c r="I292" s="156" t="str">
        <f t="shared" ca="1" si="266"/>
        <v/>
      </c>
      <c r="J292" s="3" t="str">
        <f>IFERROR(VLOOKUP(F292, LEVEL_HELPER!$A:$B, 2, 0), "")</f>
        <v/>
      </c>
      <c r="K292" s="3" t="str">
        <f>IFERROR(VLOOKUP(G292, LEVEL_HELPER!$A:$B, 2, 0), "")</f>
        <v/>
      </c>
      <c r="L292" s="157" t="s">
        <v>930</v>
      </c>
      <c r="M292" s="157" t="s">
        <v>922</v>
      </c>
      <c r="N292" s="3" t="str">
        <f t="array" aca="1" ref="N292" ca="1">IFERROR(
  INDEX($J$2:$J$543,
    MATCH(A292&amp;TEXT(I292,"yyyy-mm-dd"),
          $A$2:$A$543&amp;TEXT($H$2:$H$543,"yyyy-mm-dd"),
          0)),
"")</f>
        <v/>
      </c>
      <c r="O292" s="147" t="str">
        <f t="shared" ca="1" si="267"/>
        <v/>
      </c>
      <c r="P292" s="147">
        <f t="shared" ref="P292:Q292" ca="1" si="308">IF(N292="",0,IF(N292&lt;=2,1,IF(N292&lt;=4,2,IF(N292&lt;=5.5,3,4))))</f>
        <v>0</v>
      </c>
      <c r="Q292" s="147">
        <f t="shared" ca="1" si="308"/>
        <v>0</v>
      </c>
      <c r="R292" s="147" t="str">
        <f t="shared" ca="1" si="269"/>
        <v>No Data</v>
      </c>
      <c r="S292" s="147">
        <f t="shared" si="270"/>
        <v>1</v>
      </c>
      <c r="T292" s="147"/>
      <c r="U292" s="147"/>
      <c r="V292" s="148" t="e">
        <f ca="1"/>
        <v>#NAME?</v>
      </c>
      <c r="W292" s="147" t="e">
        <f t="shared" ca="1" si="271"/>
        <v>#NAME?</v>
      </c>
      <c r="X292" s="147" t="e">
        <f t="shared" ca="1" si="272"/>
        <v>#NAME?</v>
      </c>
      <c r="Y292" s="147" t="e">
        <f t="shared" ca="1" si="273"/>
        <v>#NAME?</v>
      </c>
      <c r="Z292" s="147"/>
      <c r="AA292" s="147"/>
      <c r="AB292" s="147"/>
      <c r="AC292" s="147"/>
      <c r="AD292" s="147"/>
      <c r="AE292" s="147"/>
      <c r="AF292" s="147"/>
      <c r="AG292" s="147"/>
      <c r="AH292" s="147"/>
      <c r="AI292" s="147"/>
      <c r="AJ292" s="147"/>
      <c r="AK292" s="147"/>
      <c r="AL292" s="147"/>
      <c r="AM292" s="151"/>
      <c r="AN292" s="147"/>
      <c r="AO292" s="147"/>
      <c r="AP292" s="147"/>
      <c r="AQ292" s="147"/>
      <c r="AR292" s="147"/>
      <c r="AS292" s="147"/>
      <c r="AT292" s="147"/>
      <c r="AU292" s="147"/>
      <c r="AV292" s="147"/>
      <c r="AW292" s="147"/>
      <c r="AX292" s="147"/>
      <c r="AY292" s="147"/>
      <c r="AZ292" s="147"/>
      <c r="BA292" s="147"/>
      <c r="BB292" s="147"/>
      <c r="BC292" s="147"/>
      <c r="BD292" s="147"/>
      <c r="BE292" s="147"/>
      <c r="BF292" s="147"/>
      <c r="BG292" s="147"/>
      <c r="BH292" s="147"/>
      <c r="BI292" s="147"/>
      <c r="BJ292" s="147"/>
      <c r="BK292" s="147"/>
      <c r="BL292" s="147"/>
      <c r="BM292" s="147"/>
      <c r="BN292" s="147"/>
      <c r="BO292" s="147"/>
      <c r="BP292" s="147"/>
      <c r="BQ292" s="147"/>
      <c r="BR292" s="147"/>
      <c r="BS292" s="147"/>
      <c r="BT292" s="147"/>
      <c r="BU292" s="147"/>
      <c r="BV292" s="147"/>
      <c r="BW292" s="147"/>
      <c r="BX292" s="147"/>
      <c r="BY292" s="147"/>
      <c r="BZ292" s="147"/>
      <c r="CA292" s="147"/>
      <c r="CB292" s="147"/>
      <c r="CC292" s="147"/>
      <c r="CD292" s="147"/>
      <c r="CE292" s="147"/>
      <c r="CF292" s="147"/>
      <c r="CG292" s="147"/>
      <c r="CH292" s="147"/>
      <c r="CI292" s="147"/>
      <c r="CJ292" s="147"/>
      <c r="CK292" s="147"/>
    </row>
    <row r="293" spans="1:89">
      <c r="A293" s="159" t="s">
        <v>302</v>
      </c>
      <c r="B293" s="3" t="s">
        <v>303</v>
      </c>
      <c r="C293" s="160" t="s">
        <v>77</v>
      </c>
      <c r="D293" s="160" t="s">
        <v>870</v>
      </c>
      <c r="E293" s="3" t="s">
        <v>21</v>
      </c>
      <c r="F293" s="3"/>
      <c r="G293" s="3"/>
      <c r="H293" s="156" t="str">
        <f ca="1">IFERROR(
  _xludf.MINIFS(ATTENDANCE_LOG!$F:$F,
         ATTENDANCE_LOG!$A:$A, C293,
         ATTENDANCE_LOG!$B:$B, E293),
"")</f>
        <v/>
      </c>
      <c r="I293" s="156" t="str">
        <f t="shared" ca="1" si="266"/>
        <v/>
      </c>
      <c r="J293" s="3" t="str">
        <f>IFERROR(VLOOKUP(F293, LEVEL_HELPER!$A:$B, 2, 0), "")</f>
        <v/>
      </c>
      <c r="K293" s="3" t="str">
        <f>IFERROR(VLOOKUP(G293, LEVEL_HELPER!$A:$B, 2, 0), "")</f>
        <v/>
      </c>
      <c r="L293" s="157" t="s">
        <v>946</v>
      </c>
      <c r="M293" s="157" t="s">
        <v>922</v>
      </c>
      <c r="N293" s="3" t="str">
        <f t="array" aca="1" ref="N293" ca="1">IFERROR(
  INDEX($J$2:$J$543,
    MATCH(A293&amp;TEXT(I293,"yyyy-mm-dd"),
          $A$2:$A$543&amp;TEXT($H$2:$H$543,"yyyy-mm-dd"),
          0)),
"")</f>
        <v/>
      </c>
      <c r="O293" s="147" t="str">
        <f t="shared" ca="1" si="267"/>
        <v/>
      </c>
      <c r="P293" s="147">
        <f t="shared" ref="P293:Q293" ca="1" si="309">IF(N293="",0,IF(N293&lt;=2,1,IF(N293&lt;=4,2,IF(N293&lt;=5.5,3,4))))</f>
        <v>0</v>
      </c>
      <c r="Q293" s="147">
        <f t="shared" ca="1" si="309"/>
        <v>0</v>
      </c>
      <c r="R293" s="147" t="str">
        <f t="shared" ca="1" si="269"/>
        <v>No Data</v>
      </c>
      <c r="S293" s="147">
        <f t="shared" si="270"/>
        <v>1</v>
      </c>
      <c r="T293" s="147"/>
      <c r="U293" s="147"/>
      <c r="V293" s="148" t="e">
        <f ca="1"/>
        <v>#NAME?</v>
      </c>
      <c r="W293" s="147" t="e">
        <f t="shared" ca="1" si="271"/>
        <v>#NAME?</v>
      </c>
      <c r="X293" s="147" t="e">
        <f t="shared" ca="1" si="272"/>
        <v>#NAME?</v>
      </c>
      <c r="Y293" s="147" t="e">
        <f t="shared" ca="1" si="273"/>
        <v>#NAME?</v>
      </c>
      <c r="Z293" s="147"/>
      <c r="AA293" s="147"/>
      <c r="AB293" s="147"/>
      <c r="AC293" s="147"/>
      <c r="AD293" s="147"/>
      <c r="AE293" s="147"/>
      <c r="AF293" s="147"/>
      <c r="AG293" s="147"/>
      <c r="AH293" s="147"/>
      <c r="AI293" s="147"/>
      <c r="AJ293" s="147"/>
      <c r="AK293" s="147"/>
      <c r="AL293" s="147"/>
      <c r="AM293" s="151"/>
      <c r="AN293" s="147"/>
      <c r="AO293" s="147"/>
      <c r="AP293" s="147"/>
      <c r="AQ293" s="147"/>
      <c r="AR293" s="147"/>
      <c r="AS293" s="147"/>
      <c r="AT293" s="147"/>
      <c r="AU293" s="147"/>
      <c r="AV293" s="147"/>
      <c r="AW293" s="147"/>
      <c r="AX293" s="147"/>
      <c r="AY293" s="147"/>
      <c r="AZ293" s="147"/>
      <c r="BA293" s="147"/>
      <c r="BB293" s="147"/>
      <c r="BC293" s="147"/>
      <c r="BD293" s="147"/>
      <c r="BE293" s="147"/>
      <c r="BF293" s="147"/>
      <c r="BG293" s="147"/>
      <c r="BH293" s="147"/>
      <c r="BI293" s="147"/>
      <c r="BJ293" s="147"/>
      <c r="BK293" s="147"/>
      <c r="BL293" s="147"/>
      <c r="BM293" s="147"/>
      <c r="BN293" s="147"/>
      <c r="BO293" s="147"/>
      <c r="BP293" s="147"/>
      <c r="BQ293" s="147"/>
      <c r="BR293" s="147"/>
      <c r="BS293" s="147"/>
      <c r="BT293" s="147"/>
      <c r="BU293" s="147"/>
      <c r="BV293" s="147"/>
      <c r="BW293" s="147"/>
      <c r="BX293" s="147"/>
      <c r="BY293" s="147"/>
      <c r="BZ293" s="147"/>
      <c r="CA293" s="147"/>
      <c r="CB293" s="147"/>
      <c r="CC293" s="147"/>
      <c r="CD293" s="147"/>
      <c r="CE293" s="147"/>
      <c r="CF293" s="147"/>
      <c r="CG293" s="147"/>
      <c r="CH293" s="147"/>
      <c r="CI293" s="147"/>
      <c r="CJ293" s="147"/>
      <c r="CK293" s="147"/>
    </row>
    <row r="294" spans="1:89">
      <c r="A294" s="159" t="s">
        <v>494</v>
      </c>
      <c r="B294" s="3" t="s">
        <v>495</v>
      </c>
      <c r="C294" s="160" t="s">
        <v>77</v>
      </c>
      <c r="D294" s="160" t="s">
        <v>870</v>
      </c>
      <c r="E294" s="3" t="s">
        <v>21</v>
      </c>
      <c r="F294" s="3" t="s">
        <v>926</v>
      </c>
      <c r="G294" s="3" t="s">
        <v>917</v>
      </c>
      <c r="H294" s="156" t="str">
        <f ca="1">IFERROR(
  _xludf.MINIFS(ATTENDANCE_LOG!$F:$F,
         ATTENDANCE_LOG!$A:$A, C294,
         ATTENDANCE_LOG!$B:$B, E294),
"")</f>
        <v/>
      </c>
      <c r="I294" s="156" t="str">
        <f t="shared" ca="1" si="266"/>
        <v/>
      </c>
      <c r="J294" s="3">
        <f>IFERROR(VLOOKUP(F294, LEVEL_HELPER!$A:$B, 2, 0), "")</f>
        <v>1</v>
      </c>
      <c r="K294" s="3">
        <f>IFERROR(VLOOKUP(G294, LEVEL_HELPER!$A:$B, 2, 0), "")</f>
        <v>3</v>
      </c>
      <c r="L294" s="157" t="s">
        <v>930</v>
      </c>
      <c r="M294" s="157" t="s">
        <v>922</v>
      </c>
      <c r="N294" s="3">
        <f t="array" aca="1" ref="N294" ca="1">IFERROR(
  INDEX($J$2:$J$543,
    MATCH(A294&amp;TEXT(I294,"yyyy-mm-dd"),
          $A$2:$A$543&amp;TEXT($H$2:$H$543,"yyyy-mm-dd"),
          0)),
"")</f>
        <v>1</v>
      </c>
      <c r="O294" s="147" t="str">
        <f t="shared" ca="1" si="267"/>
        <v/>
      </c>
      <c r="P294" s="147">
        <f t="shared" ref="P294:Q294" ca="1" si="310">IF(N294="",0,IF(N294&lt;=2,1,IF(N294&lt;=4,2,IF(N294&lt;=5.5,3,4))))</f>
        <v>1</v>
      </c>
      <c r="Q294" s="147">
        <f t="shared" ca="1" si="310"/>
        <v>0</v>
      </c>
      <c r="R294" s="147" t="str">
        <f t="shared" ca="1" si="269"/>
        <v>Regressed</v>
      </c>
      <c r="S294" s="147">
        <f t="shared" si="270"/>
        <v>1</v>
      </c>
      <c r="T294" s="147"/>
      <c r="U294" s="147"/>
      <c r="V294" s="148" t="e">
        <f ca="1"/>
        <v>#NAME?</v>
      </c>
      <c r="W294" s="147" t="e">
        <f t="shared" ca="1" si="271"/>
        <v>#NAME?</v>
      </c>
      <c r="X294" s="147" t="e">
        <f t="shared" ca="1" si="272"/>
        <v>#NAME?</v>
      </c>
      <c r="Y294" s="147" t="e">
        <f t="shared" ca="1" si="273"/>
        <v>#NAME?</v>
      </c>
      <c r="Z294" s="147"/>
      <c r="AA294" s="147"/>
      <c r="AB294" s="147"/>
      <c r="AC294" s="147"/>
      <c r="AD294" s="147"/>
      <c r="AE294" s="147"/>
      <c r="AF294" s="147"/>
      <c r="AG294" s="147"/>
      <c r="AH294" s="147"/>
      <c r="AI294" s="147"/>
      <c r="AJ294" s="147"/>
      <c r="AK294" s="147"/>
      <c r="AL294" s="147"/>
      <c r="AM294" s="151"/>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c r="BI294" s="147"/>
      <c r="BJ294" s="147"/>
      <c r="BK294" s="147"/>
      <c r="BL294" s="147"/>
      <c r="BM294" s="147"/>
      <c r="BN294" s="147"/>
      <c r="BO294" s="147"/>
      <c r="BP294" s="147"/>
      <c r="BQ294" s="147"/>
      <c r="BR294" s="147"/>
      <c r="BS294" s="147"/>
      <c r="BT294" s="147"/>
      <c r="BU294" s="147"/>
      <c r="BV294" s="147"/>
      <c r="BW294" s="147"/>
      <c r="BX294" s="147"/>
      <c r="BY294" s="147"/>
      <c r="BZ294" s="147"/>
      <c r="CA294" s="147"/>
      <c r="CB294" s="147"/>
      <c r="CC294" s="147"/>
      <c r="CD294" s="147"/>
      <c r="CE294" s="147"/>
      <c r="CF294" s="147"/>
      <c r="CG294" s="147"/>
      <c r="CH294" s="147"/>
      <c r="CI294" s="147"/>
      <c r="CJ294" s="147"/>
      <c r="CK294" s="147"/>
    </row>
    <row r="295" spans="1:89">
      <c r="A295" s="159" t="s">
        <v>498</v>
      </c>
      <c r="B295" s="3" t="s">
        <v>499</v>
      </c>
      <c r="C295" s="160" t="s">
        <v>77</v>
      </c>
      <c r="D295" s="160" t="s">
        <v>870</v>
      </c>
      <c r="E295" s="3" t="s">
        <v>21</v>
      </c>
      <c r="F295" s="3" t="s">
        <v>926</v>
      </c>
      <c r="G295" s="3" t="s">
        <v>928</v>
      </c>
      <c r="H295" s="156" t="str">
        <f ca="1">IFERROR(
  _xludf.MINIFS(ATTENDANCE_LOG!$F:$F,
         ATTENDANCE_LOG!$A:$A, C295,
         ATTENDANCE_LOG!$B:$B, E295),
"")</f>
        <v/>
      </c>
      <c r="I295" s="156" t="str">
        <f t="shared" ca="1" si="266"/>
        <v/>
      </c>
      <c r="J295" s="3">
        <f>IFERROR(VLOOKUP(F295, LEVEL_HELPER!$A:$B, 2, 0), "")</f>
        <v>1</v>
      </c>
      <c r="K295" s="3">
        <f>IFERROR(VLOOKUP(G295, LEVEL_HELPER!$A:$B, 2, 0), "")</f>
        <v>1.5</v>
      </c>
      <c r="L295" s="157" t="s">
        <v>930</v>
      </c>
      <c r="M295" s="157" t="s">
        <v>922</v>
      </c>
      <c r="N295" s="3">
        <f t="array" aca="1" ref="N295" ca="1">IFERROR(
  INDEX($J$2:$J$543,
    MATCH(A295&amp;TEXT(I295,"yyyy-mm-dd"),
          $A$2:$A$543&amp;TEXT($H$2:$H$543,"yyyy-mm-dd"),
          0)),
"")</f>
        <v>1</v>
      </c>
      <c r="O295" s="147" t="str">
        <f t="shared" ca="1" si="267"/>
        <v/>
      </c>
      <c r="P295" s="147">
        <f t="shared" ref="P295:Q295" ca="1" si="311">IF(N295="",0,IF(N295&lt;=2,1,IF(N295&lt;=4,2,IF(N295&lt;=5.5,3,4))))</f>
        <v>1</v>
      </c>
      <c r="Q295" s="147">
        <f t="shared" ca="1" si="311"/>
        <v>0</v>
      </c>
      <c r="R295" s="147" t="str">
        <f t="shared" ca="1" si="269"/>
        <v>Regressed</v>
      </c>
      <c r="S295" s="147">
        <f t="shared" si="270"/>
        <v>1</v>
      </c>
      <c r="T295" s="147"/>
      <c r="U295" s="147"/>
      <c r="V295" s="148" t="e">
        <f ca="1"/>
        <v>#NAME?</v>
      </c>
      <c r="W295" s="147" t="e">
        <f t="shared" ca="1" si="271"/>
        <v>#NAME?</v>
      </c>
      <c r="X295" s="147" t="e">
        <f t="shared" ca="1" si="272"/>
        <v>#NAME?</v>
      </c>
      <c r="Y295" s="147" t="e">
        <f t="shared" ca="1" si="273"/>
        <v>#NAME?</v>
      </c>
      <c r="Z295" s="147"/>
      <c r="AA295" s="147"/>
      <c r="AB295" s="147"/>
      <c r="AC295" s="147"/>
      <c r="AD295" s="147"/>
      <c r="AE295" s="147"/>
      <c r="AF295" s="147"/>
      <c r="AG295" s="147"/>
      <c r="AH295" s="147"/>
      <c r="AI295" s="147"/>
      <c r="AJ295" s="147"/>
      <c r="AK295" s="147"/>
      <c r="AL295" s="147"/>
      <c r="AM295" s="151"/>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c r="BI295" s="147"/>
      <c r="BJ295" s="147"/>
      <c r="BK295" s="147"/>
      <c r="BL295" s="147"/>
      <c r="BM295" s="147"/>
      <c r="BN295" s="147"/>
      <c r="BO295" s="147"/>
      <c r="BP295" s="147"/>
      <c r="BQ295" s="147"/>
      <c r="BR295" s="147"/>
      <c r="BS295" s="147"/>
      <c r="BT295" s="147"/>
      <c r="BU295" s="147"/>
      <c r="BV295" s="147"/>
      <c r="BW295" s="147"/>
      <c r="BX295" s="147"/>
      <c r="BY295" s="147"/>
      <c r="BZ295" s="147"/>
      <c r="CA295" s="147"/>
      <c r="CB295" s="147"/>
      <c r="CC295" s="147"/>
      <c r="CD295" s="147"/>
      <c r="CE295" s="147"/>
      <c r="CF295" s="147"/>
      <c r="CG295" s="147"/>
      <c r="CH295" s="147"/>
      <c r="CI295" s="147"/>
      <c r="CJ295" s="147"/>
      <c r="CK295" s="147"/>
    </row>
    <row r="296" spans="1:89">
      <c r="A296" s="159" t="s">
        <v>566</v>
      </c>
      <c r="B296" s="3" t="s">
        <v>567</v>
      </c>
      <c r="C296" s="160" t="s">
        <v>77</v>
      </c>
      <c r="D296" s="160" t="s">
        <v>870</v>
      </c>
      <c r="E296" s="3" t="s">
        <v>21</v>
      </c>
      <c r="F296" s="3" t="s">
        <v>926</v>
      </c>
      <c r="G296" s="3" t="s">
        <v>928</v>
      </c>
      <c r="H296" s="156" t="str">
        <f ca="1">IFERROR(
  _xludf.MINIFS(ATTENDANCE_LOG!$F:$F,
         ATTENDANCE_LOG!$A:$A, C296,
         ATTENDANCE_LOG!$B:$B, E296),
"")</f>
        <v/>
      </c>
      <c r="I296" s="156" t="str">
        <f t="shared" ca="1" si="266"/>
        <v/>
      </c>
      <c r="J296" s="3">
        <f>IFERROR(VLOOKUP(F296, LEVEL_HELPER!$A:$B, 2, 0), "")</f>
        <v>1</v>
      </c>
      <c r="K296" s="3">
        <f>IFERROR(VLOOKUP(G296, LEVEL_HELPER!$A:$B, 2, 0), "")</f>
        <v>1.5</v>
      </c>
      <c r="L296" s="157" t="s">
        <v>946</v>
      </c>
      <c r="M296" s="157" t="s">
        <v>922</v>
      </c>
      <c r="N296" s="3">
        <f t="array" aca="1" ref="N296" ca="1">IFERROR(
  INDEX($J$2:$J$543,
    MATCH(A296&amp;TEXT(I296,"yyyy-mm-dd"),
          $A$2:$A$543&amp;TEXT($H$2:$H$543,"yyyy-mm-dd"),
          0)),
"")</f>
        <v>1</v>
      </c>
      <c r="O296" s="147" t="str">
        <f t="shared" ca="1" si="267"/>
        <v/>
      </c>
      <c r="P296" s="147">
        <f t="shared" ref="P296:Q296" ca="1" si="312">IF(N296="",0,IF(N296&lt;=2,1,IF(N296&lt;=4,2,IF(N296&lt;=5.5,3,4))))</f>
        <v>1</v>
      </c>
      <c r="Q296" s="147">
        <f t="shared" ca="1" si="312"/>
        <v>0</v>
      </c>
      <c r="R296" s="147" t="str">
        <f t="shared" ca="1" si="269"/>
        <v>Regressed</v>
      </c>
      <c r="S296" s="147">
        <f t="shared" si="270"/>
        <v>1</v>
      </c>
      <c r="T296" s="147"/>
      <c r="U296" s="147"/>
      <c r="V296" s="148" t="e">
        <f ca="1"/>
        <v>#NAME?</v>
      </c>
      <c r="W296" s="147" t="e">
        <f t="shared" ca="1" si="271"/>
        <v>#NAME?</v>
      </c>
      <c r="X296" s="147" t="e">
        <f t="shared" ca="1" si="272"/>
        <v>#NAME?</v>
      </c>
      <c r="Y296" s="147" t="e">
        <f t="shared" ca="1" si="273"/>
        <v>#NAME?</v>
      </c>
      <c r="Z296" s="147"/>
      <c r="AA296" s="147"/>
      <c r="AB296" s="147"/>
      <c r="AC296" s="147"/>
      <c r="AD296" s="147"/>
      <c r="AE296" s="147"/>
      <c r="AF296" s="147"/>
      <c r="AG296" s="147"/>
      <c r="AH296" s="147"/>
      <c r="AI296" s="147"/>
      <c r="AJ296" s="147"/>
      <c r="AK296" s="147"/>
      <c r="AL296" s="147"/>
      <c r="AM296" s="151"/>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c r="BI296" s="147"/>
      <c r="BJ296" s="147"/>
      <c r="BK296" s="147"/>
      <c r="BL296" s="147"/>
      <c r="BM296" s="147"/>
      <c r="BN296" s="147"/>
      <c r="BO296" s="147"/>
      <c r="BP296" s="147"/>
      <c r="BQ296" s="147"/>
      <c r="BR296" s="147"/>
      <c r="BS296" s="147"/>
      <c r="BT296" s="147"/>
      <c r="BU296" s="147"/>
      <c r="BV296" s="147"/>
      <c r="BW296" s="147"/>
      <c r="BX296" s="147"/>
      <c r="BY296" s="147"/>
      <c r="BZ296" s="147"/>
      <c r="CA296" s="147"/>
      <c r="CB296" s="147"/>
      <c r="CC296" s="147"/>
      <c r="CD296" s="147"/>
      <c r="CE296" s="147"/>
      <c r="CF296" s="147"/>
      <c r="CG296" s="147"/>
      <c r="CH296" s="147"/>
      <c r="CI296" s="147"/>
      <c r="CJ296" s="147"/>
      <c r="CK296" s="147"/>
    </row>
    <row r="297" spans="1:89">
      <c r="A297" s="153" t="s">
        <v>421</v>
      </c>
      <c r="B297" s="154" t="s">
        <v>422</v>
      </c>
      <c r="C297" s="155" t="s">
        <v>77</v>
      </c>
      <c r="D297" s="155" t="s">
        <v>870</v>
      </c>
      <c r="E297" s="154" t="s">
        <v>22</v>
      </c>
      <c r="F297" s="3" t="s">
        <v>917</v>
      </c>
      <c r="G297" s="3" t="s">
        <v>934</v>
      </c>
      <c r="H297" s="156" t="str">
        <f ca="1">IFERROR(
  _xludf.MINIFS(ATTENDANCE_LOG!$F:$F,
         ATTENDANCE_LOG!$A:$A, C297,
         ATTENDANCE_LOG!$B:$B, E297),
"")</f>
        <v/>
      </c>
      <c r="I297" s="156" t="str">
        <f t="shared" ca="1" si="266"/>
        <v/>
      </c>
      <c r="J297" s="3">
        <f>IFERROR(VLOOKUP(F297, LEVEL_HELPER!$A:$B, 2, 0), "")</f>
        <v>3</v>
      </c>
      <c r="K297" s="3">
        <f>IFERROR(VLOOKUP(G297, LEVEL_HELPER!$A:$B, 2, 0), "")</f>
        <v>3.5</v>
      </c>
      <c r="L297" s="157" t="s">
        <v>930</v>
      </c>
      <c r="M297" s="157" t="s">
        <v>922</v>
      </c>
      <c r="N297" s="3">
        <f t="array" aca="1" ref="N297" ca="1">IFERROR(
  INDEX($J$2:$J$543,
    MATCH(A297&amp;TEXT(I297,"yyyy-mm-dd"),
          $A$2:$A$543&amp;TEXT($H$2:$H$543,"yyyy-mm-dd"),
          0)),
"")</f>
        <v>1</v>
      </c>
      <c r="O297" s="147" t="str">
        <f t="shared" ca="1" si="267"/>
        <v/>
      </c>
      <c r="P297" s="147">
        <f t="shared" ref="P297:Q297" ca="1" si="313">IF(N297="",0,IF(N297&lt;=2,1,IF(N297&lt;=4,2,IF(N297&lt;=5.5,3,4))))</f>
        <v>1</v>
      </c>
      <c r="Q297" s="147">
        <f t="shared" ca="1" si="313"/>
        <v>0</v>
      </c>
      <c r="R297" s="147" t="str">
        <f t="shared" ca="1" si="269"/>
        <v>Regressed</v>
      </c>
      <c r="S297" s="147">
        <f t="shared" si="270"/>
        <v>0</v>
      </c>
      <c r="T297" s="147"/>
      <c r="U297" s="147"/>
      <c r="V297" s="148" t="e">
        <f ca="1"/>
        <v>#NAME?</v>
      </c>
      <c r="W297" s="147" t="e">
        <f t="shared" ca="1" si="271"/>
        <v>#NAME?</v>
      </c>
      <c r="X297" s="147" t="e">
        <f t="shared" ca="1" si="272"/>
        <v>#NAME?</v>
      </c>
      <c r="Y297" s="147" t="e">
        <f t="shared" ca="1" si="273"/>
        <v>#NAME?</v>
      </c>
      <c r="Z297" s="147"/>
      <c r="AA297" s="147"/>
      <c r="AB297" s="147"/>
      <c r="AC297" s="147"/>
      <c r="AD297" s="147"/>
      <c r="AE297" s="147"/>
      <c r="AF297" s="147"/>
      <c r="AG297" s="147"/>
      <c r="AH297" s="147"/>
      <c r="AI297" s="147"/>
      <c r="AJ297" s="147"/>
      <c r="AK297" s="147"/>
      <c r="AL297" s="147"/>
      <c r="AM297" s="151"/>
      <c r="AN297" s="147"/>
      <c r="AO297" s="147"/>
      <c r="AP297" s="147"/>
      <c r="AQ297" s="147"/>
      <c r="AR297" s="147"/>
      <c r="AS297" s="147"/>
      <c r="AT297" s="147"/>
      <c r="AU297" s="147"/>
      <c r="AV297" s="147"/>
      <c r="AW297" s="147"/>
      <c r="AX297" s="147"/>
      <c r="AY297" s="147"/>
      <c r="AZ297" s="147"/>
      <c r="BA297" s="147"/>
      <c r="BB297" s="147"/>
      <c r="BC297" s="147"/>
      <c r="BD297" s="147"/>
      <c r="BE297" s="147"/>
      <c r="BF297" s="147"/>
      <c r="BG297" s="147"/>
      <c r="BH297" s="147"/>
      <c r="BI297" s="147"/>
      <c r="BJ297" s="147"/>
      <c r="BK297" s="147"/>
      <c r="BL297" s="147"/>
      <c r="BM297" s="147"/>
      <c r="BN297" s="147"/>
      <c r="BO297" s="147"/>
      <c r="BP297" s="147"/>
      <c r="BQ297" s="147"/>
      <c r="BR297" s="147"/>
      <c r="BS297" s="147"/>
      <c r="BT297" s="147"/>
      <c r="BU297" s="147"/>
      <c r="BV297" s="147"/>
      <c r="BW297" s="147"/>
      <c r="BX297" s="147"/>
      <c r="BY297" s="147"/>
      <c r="BZ297" s="147"/>
      <c r="CA297" s="147"/>
      <c r="CB297" s="147"/>
      <c r="CC297" s="147"/>
      <c r="CD297" s="147"/>
      <c r="CE297" s="147"/>
      <c r="CF297" s="147"/>
      <c r="CG297" s="147"/>
      <c r="CH297" s="147"/>
      <c r="CI297" s="147"/>
      <c r="CJ297" s="147"/>
      <c r="CK297" s="147"/>
    </row>
    <row r="298" spans="1:89">
      <c r="A298" s="159" t="s">
        <v>147</v>
      </c>
      <c r="B298" s="3" t="s">
        <v>148</v>
      </c>
      <c r="C298" s="160" t="s">
        <v>77</v>
      </c>
      <c r="D298" s="160" t="s">
        <v>870</v>
      </c>
      <c r="E298" s="3" t="s">
        <v>22</v>
      </c>
      <c r="F298" s="3" t="s">
        <v>917</v>
      </c>
      <c r="G298" s="3" t="s">
        <v>934</v>
      </c>
      <c r="H298" s="156" t="str">
        <f ca="1">IFERROR(
  _xludf.MINIFS(ATTENDANCE_LOG!$F:$F,
         ATTENDANCE_LOG!$A:$A, C298,
         ATTENDANCE_LOG!$B:$B, E298),
"")</f>
        <v/>
      </c>
      <c r="I298" s="156" t="str">
        <f t="shared" ca="1" si="266"/>
        <v/>
      </c>
      <c r="J298" s="3">
        <f>IFERROR(VLOOKUP(F298, LEVEL_HELPER!$A:$B, 2, 0), "")</f>
        <v>3</v>
      </c>
      <c r="K298" s="3">
        <f>IFERROR(VLOOKUP(G298, LEVEL_HELPER!$A:$B, 2, 0), "")</f>
        <v>3.5</v>
      </c>
      <c r="L298" s="157" t="s">
        <v>930</v>
      </c>
      <c r="M298" s="157" t="s">
        <v>922</v>
      </c>
      <c r="N298" s="3">
        <f t="array" aca="1" ref="N298" ca="1">IFERROR(
  INDEX($J$2:$J$543,
    MATCH(A298&amp;TEXT(I298,"yyyy-mm-dd"),
          $A$2:$A$543&amp;TEXT($H$2:$H$543,"yyyy-mm-dd"),
          0)),
"")</f>
        <v>1</v>
      </c>
      <c r="O298" s="147" t="str">
        <f t="shared" ca="1" si="267"/>
        <v/>
      </c>
      <c r="P298" s="147">
        <f t="shared" ref="P298:Q298" ca="1" si="314">IF(N298="",0,IF(N298&lt;=2,1,IF(N298&lt;=4,2,IF(N298&lt;=5.5,3,4))))</f>
        <v>1</v>
      </c>
      <c r="Q298" s="147">
        <f t="shared" ca="1" si="314"/>
        <v>0</v>
      </c>
      <c r="R298" s="147" t="str">
        <f t="shared" ca="1" si="269"/>
        <v>Regressed</v>
      </c>
      <c r="S298" s="147">
        <f t="shared" si="270"/>
        <v>0</v>
      </c>
      <c r="T298" s="147"/>
      <c r="U298" s="147"/>
      <c r="V298" s="148" t="e">
        <f ca="1"/>
        <v>#NAME?</v>
      </c>
      <c r="W298" s="147" t="e">
        <f t="shared" ca="1" si="271"/>
        <v>#NAME?</v>
      </c>
      <c r="X298" s="147" t="e">
        <f t="shared" ca="1" si="272"/>
        <v>#NAME?</v>
      </c>
      <c r="Y298" s="147" t="e">
        <f t="shared" ca="1" si="273"/>
        <v>#NAME?</v>
      </c>
      <c r="Z298" s="147"/>
      <c r="AA298" s="147"/>
      <c r="AB298" s="147"/>
      <c r="AC298" s="147"/>
      <c r="AD298" s="147"/>
      <c r="AE298" s="147"/>
      <c r="AF298" s="147"/>
      <c r="AG298" s="147"/>
      <c r="AH298" s="147"/>
      <c r="AI298" s="147"/>
      <c r="AJ298" s="147"/>
      <c r="AK298" s="147"/>
      <c r="AL298" s="147"/>
      <c r="AM298" s="151"/>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c r="BI298" s="147"/>
      <c r="BJ298" s="147"/>
      <c r="BK298" s="147"/>
      <c r="BL298" s="147"/>
      <c r="BM298" s="147"/>
      <c r="BN298" s="147"/>
      <c r="BO298" s="147"/>
      <c r="BP298" s="147"/>
      <c r="BQ298" s="147"/>
      <c r="BR298" s="147"/>
      <c r="BS298" s="147"/>
      <c r="BT298" s="147"/>
      <c r="BU298" s="147"/>
      <c r="BV298" s="147"/>
      <c r="BW298" s="147"/>
      <c r="BX298" s="147"/>
      <c r="BY298" s="147"/>
      <c r="BZ298" s="147"/>
      <c r="CA298" s="147"/>
      <c r="CB298" s="147"/>
      <c r="CC298" s="147"/>
      <c r="CD298" s="147"/>
      <c r="CE298" s="147"/>
      <c r="CF298" s="147"/>
      <c r="CG298" s="147"/>
      <c r="CH298" s="147"/>
      <c r="CI298" s="147"/>
      <c r="CJ298" s="147"/>
      <c r="CK298" s="147"/>
    </row>
    <row r="299" spans="1:89">
      <c r="A299" s="159" t="s">
        <v>159</v>
      </c>
      <c r="B299" s="3" t="s">
        <v>160</v>
      </c>
      <c r="C299" s="160" t="s">
        <v>77</v>
      </c>
      <c r="D299" s="160" t="s">
        <v>870</v>
      </c>
      <c r="E299" s="3" t="s">
        <v>22</v>
      </c>
      <c r="F299" s="3" t="s">
        <v>917</v>
      </c>
      <c r="G299" s="3" t="s">
        <v>917</v>
      </c>
      <c r="H299" s="156" t="str">
        <f ca="1">IFERROR(
  _xludf.MINIFS(ATTENDANCE_LOG!$F:$F,
         ATTENDANCE_LOG!$A:$A, C299,
         ATTENDANCE_LOG!$B:$B, E299),
"")</f>
        <v/>
      </c>
      <c r="I299" s="156" t="str">
        <f t="shared" ca="1" si="266"/>
        <v/>
      </c>
      <c r="J299" s="3">
        <f>IFERROR(VLOOKUP(F299, LEVEL_HELPER!$A:$B, 2, 0), "")</f>
        <v>3</v>
      </c>
      <c r="K299" s="3">
        <f>IFERROR(VLOOKUP(G299, LEVEL_HELPER!$A:$B, 2, 0), "")</f>
        <v>3</v>
      </c>
      <c r="L299" s="157" t="s">
        <v>930</v>
      </c>
      <c r="M299" s="157" t="s">
        <v>922</v>
      </c>
      <c r="N299" s="3" t="str">
        <f t="array" aca="1" ref="N299" ca="1">IFERROR(
  INDEX($J$2:$J$543,
    MATCH(A299&amp;TEXT(I299,"yyyy-mm-dd"),
          $A$2:$A$543&amp;TEXT($H$2:$H$543,"yyyy-mm-dd"),
          0)),
"")</f>
        <v/>
      </c>
      <c r="O299" s="147" t="str">
        <f t="shared" ca="1" si="267"/>
        <v/>
      </c>
      <c r="P299" s="147">
        <f t="shared" ref="P299:Q299" ca="1" si="315">IF(N299="",0,IF(N299&lt;=2,1,IF(N299&lt;=4,2,IF(N299&lt;=5.5,3,4))))</f>
        <v>0</v>
      </c>
      <c r="Q299" s="147">
        <f t="shared" ca="1" si="315"/>
        <v>0</v>
      </c>
      <c r="R299" s="147" t="str">
        <f t="shared" ca="1" si="269"/>
        <v>No Data</v>
      </c>
      <c r="S299" s="147">
        <f t="shared" si="270"/>
        <v>0</v>
      </c>
      <c r="T299" s="147"/>
      <c r="U299" s="147"/>
      <c r="V299" s="148" t="e">
        <f ca="1"/>
        <v>#NAME?</v>
      </c>
      <c r="W299" s="147" t="e">
        <f t="shared" ca="1" si="271"/>
        <v>#NAME?</v>
      </c>
      <c r="X299" s="147" t="e">
        <f t="shared" ca="1" si="272"/>
        <v>#NAME?</v>
      </c>
      <c r="Y299" s="147" t="e">
        <f t="shared" ca="1" si="273"/>
        <v>#NAME?</v>
      </c>
      <c r="Z299" s="147"/>
      <c r="AA299" s="147"/>
      <c r="AB299" s="147"/>
      <c r="AC299" s="147"/>
      <c r="AD299" s="147"/>
      <c r="AE299" s="147"/>
      <c r="AF299" s="147"/>
      <c r="AG299" s="147"/>
      <c r="AH299" s="147"/>
      <c r="AI299" s="147"/>
      <c r="AJ299" s="147"/>
      <c r="AK299" s="147"/>
      <c r="AL299" s="147"/>
      <c r="AM299" s="151"/>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c r="BI299" s="147"/>
      <c r="BJ299" s="147"/>
      <c r="BK299" s="147"/>
      <c r="BL299" s="147"/>
      <c r="BM299" s="147"/>
      <c r="BN299" s="147"/>
      <c r="BO299" s="147"/>
      <c r="BP299" s="147"/>
      <c r="BQ299" s="147"/>
      <c r="BR299" s="147"/>
      <c r="BS299" s="147"/>
      <c r="BT299" s="147"/>
      <c r="BU299" s="147"/>
      <c r="BV299" s="147"/>
      <c r="BW299" s="147"/>
      <c r="BX299" s="147"/>
      <c r="BY299" s="147"/>
      <c r="BZ299" s="147"/>
      <c r="CA299" s="147"/>
      <c r="CB299" s="147"/>
      <c r="CC299" s="147"/>
      <c r="CD299" s="147"/>
      <c r="CE299" s="147"/>
      <c r="CF299" s="147"/>
      <c r="CG299" s="147"/>
      <c r="CH299" s="147"/>
      <c r="CI299" s="147"/>
      <c r="CJ299" s="147"/>
      <c r="CK299" s="147"/>
    </row>
    <row r="300" spans="1:89">
      <c r="A300" s="159" t="s">
        <v>255</v>
      </c>
      <c r="B300" s="3" t="s">
        <v>256</v>
      </c>
      <c r="C300" s="160" t="s">
        <v>77</v>
      </c>
      <c r="D300" s="160" t="s">
        <v>870</v>
      </c>
      <c r="E300" s="3" t="s">
        <v>22</v>
      </c>
      <c r="F300" s="3" t="s">
        <v>917</v>
      </c>
      <c r="G300" s="3" t="s">
        <v>934</v>
      </c>
      <c r="H300" s="156" t="str">
        <f ca="1">IFERROR(
  _xludf.MINIFS(ATTENDANCE_LOG!$F:$F,
         ATTENDANCE_LOG!$A:$A, C300,
         ATTENDANCE_LOG!$B:$B, E300),
"")</f>
        <v/>
      </c>
      <c r="I300" s="156" t="str">
        <f t="shared" ca="1" si="266"/>
        <v/>
      </c>
      <c r="J300" s="3">
        <f>IFERROR(VLOOKUP(F300, LEVEL_HELPER!$A:$B, 2, 0), "")</f>
        <v>3</v>
      </c>
      <c r="K300" s="3">
        <f>IFERROR(VLOOKUP(G300, LEVEL_HELPER!$A:$B, 2, 0), "")</f>
        <v>3.5</v>
      </c>
      <c r="L300" s="157" t="s">
        <v>930</v>
      </c>
      <c r="M300" s="157" t="s">
        <v>922</v>
      </c>
      <c r="N300" s="3">
        <f t="array" aca="1" ref="N300" ca="1">IFERROR(
  INDEX($J$2:$J$543,
    MATCH(A300&amp;TEXT(I300,"yyyy-mm-dd"),
          $A$2:$A$543&amp;TEXT($H$2:$H$543,"yyyy-mm-dd"),
          0)),
"")</f>
        <v>1</v>
      </c>
      <c r="O300" s="147" t="str">
        <f t="shared" ca="1" si="267"/>
        <v/>
      </c>
      <c r="P300" s="147">
        <f t="shared" ref="P300:Q300" ca="1" si="316">IF(N300="",0,IF(N300&lt;=2,1,IF(N300&lt;=4,2,IF(N300&lt;=5.5,3,4))))</f>
        <v>1</v>
      </c>
      <c r="Q300" s="147">
        <f t="shared" ca="1" si="316"/>
        <v>0</v>
      </c>
      <c r="R300" s="147" t="str">
        <f t="shared" ca="1" si="269"/>
        <v>Regressed</v>
      </c>
      <c r="S300" s="147">
        <f t="shared" si="270"/>
        <v>0</v>
      </c>
      <c r="T300" s="147"/>
      <c r="U300" s="147"/>
      <c r="V300" s="148" t="e">
        <f ca="1"/>
        <v>#NAME?</v>
      </c>
      <c r="W300" s="147" t="e">
        <f t="shared" ca="1" si="271"/>
        <v>#NAME?</v>
      </c>
      <c r="X300" s="147" t="e">
        <f t="shared" ca="1" si="272"/>
        <v>#NAME?</v>
      </c>
      <c r="Y300" s="147" t="e">
        <f t="shared" ca="1" si="273"/>
        <v>#NAME?</v>
      </c>
      <c r="Z300" s="147"/>
      <c r="AA300" s="147"/>
      <c r="AB300" s="147"/>
      <c r="AC300" s="147"/>
      <c r="AD300" s="147"/>
      <c r="AE300" s="147"/>
      <c r="AF300" s="147"/>
      <c r="AG300" s="147"/>
      <c r="AH300" s="147"/>
      <c r="AI300" s="147"/>
      <c r="AJ300" s="147"/>
      <c r="AK300" s="147"/>
      <c r="AL300" s="147"/>
      <c r="AM300" s="151"/>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c r="BI300" s="147"/>
      <c r="BJ300" s="147"/>
      <c r="BK300" s="147"/>
      <c r="BL300" s="147"/>
      <c r="BM300" s="147"/>
      <c r="BN300" s="147"/>
      <c r="BO300" s="147"/>
      <c r="BP300" s="147"/>
      <c r="BQ300" s="147"/>
      <c r="BR300" s="147"/>
      <c r="BS300" s="147"/>
      <c r="BT300" s="147"/>
      <c r="BU300" s="147"/>
      <c r="BV300" s="147"/>
      <c r="BW300" s="147"/>
      <c r="BX300" s="147"/>
      <c r="BY300" s="147"/>
      <c r="BZ300" s="147"/>
      <c r="CA300" s="147"/>
      <c r="CB300" s="147"/>
      <c r="CC300" s="147"/>
      <c r="CD300" s="147"/>
      <c r="CE300" s="147"/>
      <c r="CF300" s="147"/>
      <c r="CG300" s="147"/>
      <c r="CH300" s="147"/>
      <c r="CI300" s="147"/>
      <c r="CJ300" s="147"/>
      <c r="CK300" s="147"/>
    </row>
    <row r="301" spans="1:89">
      <c r="A301" s="159" t="s">
        <v>433</v>
      </c>
      <c r="B301" s="3" t="s">
        <v>432</v>
      </c>
      <c r="C301" s="160" t="s">
        <v>77</v>
      </c>
      <c r="D301" s="160" t="s">
        <v>870</v>
      </c>
      <c r="E301" s="3" t="s">
        <v>22</v>
      </c>
      <c r="F301" s="3" t="s">
        <v>917</v>
      </c>
      <c r="G301" s="3" t="s">
        <v>934</v>
      </c>
      <c r="H301" s="156" t="str">
        <f ca="1">IFERROR(
  _xludf.MINIFS(ATTENDANCE_LOG!$F:$F,
         ATTENDANCE_LOG!$A:$A, C301,
         ATTENDANCE_LOG!$B:$B, E301),
"")</f>
        <v/>
      </c>
      <c r="I301" s="156" t="str">
        <f t="shared" ca="1" si="266"/>
        <v/>
      </c>
      <c r="J301" s="3">
        <f>IFERROR(VLOOKUP(F301, LEVEL_HELPER!$A:$B, 2, 0), "")</f>
        <v>3</v>
      </c>
      <c r="K301" s="3">
        <f>IFERROR(VLOOKUP(G301, LEVEL_HELPER!$A:$B, 2, 0), "")</f>
        <v>3.5</v>
      </c>
      <c r="L301" s="157" t="s">
        <v>930</v>
      </c>
      <c r="M301" s="157" t="s">
        <v>922</v>
      </c>
      <c r="N301" s="3">
        <f t="array" aca="1" ref="N301" ca="1">IFERROR(
  INDEX($J$2:$J$543,
    MATCH(A301&amp;TEXT(I301,"yyyy-mm-dd"),
          $A$2:$A$543&amp;TEXT($H$2:$H$543,"yyyy-mm-dd"),
          0)),
"")</f>
        <v>2.5</v>
      </c>
      <c r="O301" s="147" t="str">
        <f t="shared" ca="1" si="267"/>
        <v/>
      </c>
      <c r="P301" s="147">
        <f t="shared" ref="P301:Q301" ca="1" si="317">IF(N301="",0,IF(N301&lt;=2,1,IF(N301&lt;=4,2,IF(N301&lt;=5.5,3,4))))</f>
        <v>2</v>
      </c>
      <c r="Q301" s="147">
        <f t="shared" ca="1" si="317"/>
        <v>0</v>
      </c>
      <c r="R301" s="147" t="str">
        <f t="shared" ca="1" si="269"/>
        <v>Regressed</v>
      </c>
      <c r="S301" s="147">
        <f t="shared" si="270"/>
        <v>0</v>
      </c>
      <c r="T301" s="147"/>
      <c r="U301" s="147"/>
      <c r="V301" s="148" t="e">
        <f ca="1"/>
        <v>#NAME?</v>
      </c>
      <c r="W301" s="147" t="e">
        <f t="shared" ca="1" si="271"/>
        <v>#NAME?</v>
      </c>
      <c r="X301" s="147" t="e">
        <f t="shared" ca="1" si="272"/>
        <v>#NAME?</v>
      </c>
      <c r="Y301" s="147" t="e">
        <f t="shared" ca="1" si="273"/>
        <v>#NAME?</v>
      </c>
      <c r="Z301" s="147"/>
      <c r="AA301" s="147"/>
      <c r="AB301" s="147"/>
      <c r="AC301" s="147"/>
      <c r="AD301" s="147"/>
      <c r="AE301" s="147"/>
      <c r="AF301" s="147"/>
      <c r="AG301" s="147"/>
      <c r="AH301" s="147"/>
      <c r="AI301" s="147"/>
      <c r="AJ301" s="147"/>
      <c r="AK301" s="147"/>
      <c r="AL301" s="147"/>
      <c r="AM301" s="151"/>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c r="BI301" s="147"/>
      <c r="BJ301" s="147"/>
      <c r="BK301" s="147"/>
      <c r="BL301" s="147"/>
      <c r="BM301" s="147"/>
      <c r="BN301" s="147"/>
      <c r="BO301" s="147"/>
      <c r="BP301" s="147"/>
      <c r="BQ301" s="147"/>
      <c r="BR301" s="147"/>
      <c r="BS301" s="147"/>
      <c r="BT301" s="147"/>
      <c r="BU301" s="147"/>
      <c r="BV301" s="147"/>
      <c r="BW301" s="147"/>
      <c r="BX301" s="147"/>
      <c r="BY301" s="147"/>
      <c r="BZ301" s="147"/>
      <c r="CA301" s="147"/>
      <c r="CB301" s="147"/>
      <c r="CC301" s="147"/>
      <c r="CD301" s="147"/>
      <c r="CE301" s="147"/>
      <c r="CF301" s="147"/>
      <c r="CG301" s="147"/>
      <c r="CH301" s="147"/>
      <c r="CI301" s="147"/>
      <c r="CJ301" s="147"/>
      <c r="CK301" s="147"/>
    </row>
    <row r="302" spans="1:89">
      <c r="A302" s="159" t="s">
        <v>494</v>
      </c>
      <c r="B302" s="3" t="s">
        <v>495</v>
      </c>
      <c r="C302" s="160" t="s">
        <v>77</v>
      </c>
      <c r="D302" s="160" t="s">
        <v>870</v>
      </c>
      <c r="E302" s="3" t="s">
        <v>22</v>
      </c>
      <c r="F302" s="3" t="s">
        <v>917</v>
      </c>
      <c r="G302" s="3" t="s">
        <v>934</v>
      </c>
      <c r="H302" s="156" t="str">
        <f ca="1">IFERROR(
  _xludf.MINIFS(ATTENDANCE_LOG!$F:$F,
         ATTENDANCE_LOG!$A:$A, C302,
         ATTENDANCE_LOG!$B:$B, E302),
"")</f>
        <v/>
      </c>
      <c r="I302" s="156" t="str">
        <f t="shared" ca="1" si="266"/>
        <v/>
      </c>
      <c r="J302" s="3">
        <f>IFERROR(VLOOKUP(F302, LEVEL_HELPER!$A:$B, 2, 0), "")</f>
        <v>3</v>
      </c>
      <c r="K302" s="3">
        <f>IFERROR(VLOOKUP(G302, LEVEL_HELPER!$A:$B, 2, 0), "")</f>
        <v>3.5</v>
      </c>
      <c r="L302" s="157" t="s">
        <v>930</v>
      </c>
      <c r="M302" s="157" t="s">
        <v>922</v>
      </c>
      <c r="N302" s="3">
        <f t="array" aca="1" ref="N302" ca="1">IFERROR(
  INDEX($J$2:$J$543,
    MATCH(A302&amp;TEXT(I302,"yyyy-mm-dd"),
          $A$2:$A$543&amp;TEXT($H$2:$H$543,"yyyy-mm-dd"),
          0)),
"")</f>
        <v>1</v>
      </c>
      <c r="O302" s="147" t="str">
        <f t="shared" ca="1" si="267"/>
        <v/>
      </c>
      <c r="P302" s="147">
        <f t="shared" ref="P302:Q302" ca="1" si="318">IF(N302="",0,IF(N302&lt;=2,1,IF(N302&lt;=4,2,IF(N302&lt;=5.5,3,4))))</f>
        <v>1</v>
      </c>
      <c r="Q302" s="147">
        <f t="shared" ca="1" si="318"/>
        <v>0</v>
      </c>
      <c r="R302" s="147" t="str">
        <f t="shared" ca="1" si="269"/>
        <v>Regressed</v>
      </c>
      <c r="S302" s="147">
        <f t="shared" si="270"/>
        <v>0</v>
      </c>
      <c r="T302" s="147"/>
      <c r="U302" s="147"/>
      <c r="V302" s="148" t="e">
        <f ca="1"/>
        <v>#NAME?</v>
      </c>
      <c r="W302" s="147" t="e">
        <f t="shared" ca="1" si="271"/>
        <v>#NAME?</v>
      </c>
      <c r="X302" s="147" t="e">
        <f t="shared" ca="1" si="272"/>
        <v>#NAME?</v>
      </c>
      <c r="Y302" s="147" t="e">
        <f t="shared" ca="1" si="273"/>
        <v>#NAME?</v>
      </c>
      <c r="Z302" s="147"/>
      <c r="AA302" s="147"/>
      <c r="AB302" s="147"/>
      <c r="AC302" s="147"/>
      <c r="AD302" s="147"/>
      <c r="AE302" s="147"/>
      <c r="AF302" s="147"/>
      <c r="AG302" s="147"/>
      <c r="AH302" s="147"/>
      <c r="AI302" s="147"/>
      <c r="AJ302" s="147"/>
      <c r="AK302" s="147"/>
      <c r="AL302" s="147"/>
      <c r="AM302" s="151"/>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c r="BI302" s="147"/>
      <c r="BJ302" s="147"/>
      <c r="BK302" s="147"/>
      <c r="BL302" s="147"/>
      <c r="BM302" s="147"/>
      <c r="BN302" s="147"/>
      <c r="BO302" s="147"/>
      <c r="BP302" s="147"/>
      <c r="BQ302" s="147"/>
      <c r="BR302" s="147"/>
      <c r="BS302" s="147"/>
      <c r="BT302" s="147"/>
      <c r="BU302" s="147"/>
      <c r="BV302" s="147"/>
      <c r="BW302" s="147"/>
      <c r="BX302" s="147"/>
      <c r="BY302" s="147"/>
      <c r="BZ302" s="147"/>
      <c r="CA302" s="147"/>
      <c r="CB302" s="147"/>
      <c r="CC302" s="147"/>
      <c r="CD302" s="147"/>
      <c r="CE302" s="147"/>
      <c r="CF302" s="147"/>
      <c r="CG302" s="147"/>
      <c r="CH302" s="147"/>
      <c r="CI302" s="147"/>
      <c r="CJ302" s="147"/>
      <c r="CK302" s="147"/>
    </row>
    <row r="303" spans="1:89">
      <c r="A303" s="159" t="s">
        <v>498</v>
      </c>
      <c r="B303" s="3" t="s">
        <v>499</v>
      </c>
      <c r="C303" s="160" t="s">
        <v>77</v>
      </c>
      <c r="D303" s="160" t="s">
        <v>870</v>
      </c>
      <c r="E303" s="3" t="s">
        <v>22</v>
      </c>
      <c r="F303" s="3" t="s">
        <v>928</v>
      </c>
      <c r="G303" s="3" t="s">
        <v>917</v>
      </c>
      <c r="H303" s="156" t="str">
        <f ca="1">IFERROR(
  _xludf.MINIFS(ATTENDANCE_LOG!$F:$F,
         ATTENDANCE_LOG!$A:$A, C303,
         ATTENDANCE_LOG!$B:$B, E303),
"")</f>
        <v/>
      </c>
      <c r="I303" s="156" t="str">
        <f t="shared" ca="1" si="266"/>
        <v/>
      </c>
      <c r="J303" s="3">
        <f>IFERROR(VLOOKUP(F303, LEVEL_HELPER!$A:$B, 2, 0), "")</f>
        <v>1.5</v>
      </c>
      <c r="K303" s="3">
        <f>IFERROR(VLOOKUP(G303, LEVEL_HELPER!$A:$B, 2, 0), "")</f>
        <v>3</v>
      </c>
      <c r="L303" s="157" t="s">
        <v>930</v>
      </c>
      <c r="M303" s="157" t="s">
        <v>922</v>
      </c>
      <c r="N303" s="3">
        <f t="array" aca="1" ref="N303" ca="1">IFERROR(
  INDEX($J$2:$J$543,
    MATCH(A303&amp;TEXT(I303,"yyyy-mm-dd"),
          $A$2:$A$543&amp;TEXT($H$2:$H$543,"yyyy-mm-dd"),
          0)),
"")</f>
        <v>1</v>
      </c>
      <c r="O303" s="147" t="str">
        <f t="shared" ca="1" si="267"/>
        <v/>
      </c>
      <c r="P303" s="147">
        <f t="shared" ref="P303:Q303" ca="1" si="319">IF(N303="",0,IF(N303&lt;=2,1,IF(N303&lt;=4,2,IF(N303&lt;=5.5,3,4))))</f>
        <v>1</v>
      </c>
      <c r="Q303" s="147">
        <f t="shared" ca="1" si="319"/>
        <v>0</v>
      </c>
      <c r="R303" s="147" t="str">
        <f t="shared" ca="1" si="269"/>
        <v>Regressed</v>
      </c>
      <c r="S303" s="147">
        <f t="shared" si="270"/>
        <v>0</v>
      </c>
      <c r="T303" s="147"/>
      <c r="U303" s="147"/>
      <c r="V303" s="148" t="e">
        <f ca="1"/>
        <v>#NAME?</v>
      </c>
      <c r="W303" s="147" t="e">
        <f t="shared" ca="1" si="271"/>
        <v>#NAME?</v>
      </c>
      <c r="X303" s="147" t="e">
        <f t="shared" ca="1" si="272"/>
        <v>#NAME?</v>
      </c>
      <c r="Y303" s="147" t="e">
        <f t="shared" ca="1" si="273"/>
        <v>#NAME?</v>
      </c>
      <c r="Z303" s="147"/>
      <c r="AA303" s="147"/>
      <c r="AB303" s="147"/>
      <c r="AC303" s="147"/>
      <c r="AD303" s="147"/>
      <c r="AE303" s="147"/>
      <c r="AF303" s="147"/>
      <c r="AG303" s="147"/>
      <c r="AH303" s="147"/>
      <c r="AI303" s="147"/>
      <c r="AJ303" s="147"/>
      <c r="AK303" s="147"/>
      <c r="AL303" s="147"/>
      <c r="AM303" s="151"/>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c r="BI303" s="147"/>
      <c r="BJ303" s="147"/>
      <c r="BK303" s="147"/>
      <c r="BL303" s="147"/>
      <c r="BM303" s="147"/>
      <c r="BN303" s="147"/>
      <c r="BO303" s="147"/>
      <c r="BP303" s="147"/>
      <c r="BQ303" s="147"/>
      <c r="BR303" s="147"/>
      <c r="BS303" s="147"/>
      <c r="BT303" s="147"/>
      <c r="BU303" s="147"/>
      <c r="BV303" s="147"/>
      <c r="BW303" s="147"/>
      <c r="BX303" s="147"/>
      <c r="BY303" s="147"/>
      <c r="BZ303" s="147"/>
      <c r="CA303" s="147"/>
      <c r="CB303" s="147"/>
      <c r="CC303" s="147"/>
      <c r="CD303" s="147"/>
      <c r="CE303" s="147"/>
      <c r="CF303" s="147"/>
      <c r="CG303" s="147"/>
      <c r="CH303" s="147"/>
      <c r="CI303" s="147"/>
      <c r="CJ303" s="147"/>
      <c r="CK303" s="147"/>
    </row>
    <row r="304" spans="1:89">
      <c r="A304" s="153" t="s">
        <v>421</v>
      </c>
      <c r="B304" s="154" t="s">
        <v>422</v>
      </c>
      <c r="C304" s="155" t="s">
        <v>77</v>
      </c>
      <c r="D304" s="155" t="s">
        <v>870</v>
      </c>
      <c r="E304" s="154" t="s">
        <v>23</v>
      </c>
      <c r="F304" s="3"/>
      <c r="G304" s="3"/>
      <c r="H304" s="156" t="str">
        <f ca="1">IFERROR(
  _xludf.MINIFS(ATTENDANCE_LOG!$F:$F,
         ATTENDANCE_LOG!$A:$A, C304,
         ATTENDANCE_LOG!$B:$B, E304),
"")</f>
        <v/>
      </c>
      <c r="I304" s="156" t="str">
        <f t="shared" ca="1" si="266"/>
        <v/>
      </c>
      <c r="J304" s="3" t="str">
        <f>IFERROR(VLOOKUP(F304, LEVEL_HELPER!$A:$B, 2, 0), "")</f>
        <v/>
      </c>
      <c r="K304" s="3" t="str">
        <f>IFERROR(VLOOKUP(G304, LEVEL_HELPER!$A:$B, 2, 0), "")</f>
        <v/>
      </c>
      <c r="L304" s="157" t="s">
        <v>930</v>
      </c>
      <c r="M304" s="157" t="s">
        <v>922</v>
      </c>
      <c r="N304" s="3">
        <f t="array" aca="1" ref="N304" ca="1">IFERROR(
  INDEX($J$2:$J$543,
    MATCH(A304&amp;TEXT(I304,"yyyy-mm-dd"),
          $A$2:$A$543&amp;TEXT($H$2:$H$543,"yyyy-mm-dd"),
          0)),
"")</f>
        <v>1</v>
      </c>
      <c r="O304" s="147" t="str">
        <f t="shared" ca="1" si="267"/>
        <v/>
      </c>
      <c r="P304" s="147">
        <f t="shared" ref="P304:Q304" ca="1" si="320">IF(N304="",0,IF(N304&lt;=2,1,IF(N304&lt;=4,2,IF(N304&lt;=5.5,3,4))))</f>
        <v>1</v>
      </c>
      <c r="Q304" s="147">
        <f t="shared" ca="1" si="320"/>
        <v>0</v>
      </c>
      <c r="R304" s="147" t="str">
        <f t="shared" ca="1" si="269"/>
        <v>Regressed</v>
      </c>
      <c r="S304" s="147">
        <f t="shared" si="270"/>
        <v>0</v>
      </c>
      <c r="T304" s="147"/>
      <c r="U304" s="147"/>
      <c r="V304" s="148" t="e">
        <f ca="1"/>
        <v>#NAME?</v>
      </c>
      <c r="W304" s="147" t="e">
        <f t="shared" ca="1" si="271"/>
        <v>#NAME?</v>
      </c>
      <c r="X304" s="147" t="e">
        <f t="shared" ca="1" si="272"/>
        <v>#NAME?</v>
      </c>
      <c r="Y304" s="147" t="e">
        <f t="shared" ca="1" si="273"/>
        <v>#NAME?</v>
      </c>
      <c r="Z304" s="147"/>
      <c r="AA304" s="147"/>
      <c r="AB304" s="147"/>
      <c r="AC304" s="147"/>
      <c r="AD304" s="147"/>
      <c r="AE304" s="147"/>
      <c r="AF304" s="147"/>
      <c r="AG304" s="147"/>
      <c r="AH304" s="147"/>
      <c r="AI304" s="147"/>
      <c r="AJ304" s="147"/>
      <c r="AK304" s="147"/>
      <c r="AL304" s="147"/>
      <c r="AM304" s="151"/>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c r="BI304" s="147"/>
      <c r="BJ304" s="147"/>
      <c r="BK304" s="147"/>
      <c r="BL304" s="147"/>
      <c r="BM304" s="147"/>
      <c r="BN304" s="147"/>
      <c r="BO304" s="147"/>
      <c r="BP304" s="147"/>
      <c r="BQ304" s="147"/>
      <c r="BR304" s="147"/>
      <c r="BS304" s="147"/>
      <c r="BT304" s="147"/>
      <c r="BU304" s="147"/>
      <c r="BV304" s="147"/>
      <c r="BW304" s="147"/>
      <c r="BX304" s="147"/>
      <c r="BY304" s="147"/>
      <c r="BZ304" s="147"/>
      <c r="CA304" s="147"/>
      <c r="CB304" s="147"/>
      <c r="CC304" s="147"/>
      <c r="CD304" s="147"/>
      <c r="CE304" s="147"/>
      <c r="CF304" s="147"/>
      <c r="CG304" s="147"/>
      <c r="CH304" s="147"/>
      <c r="CI304" s="147"/>
      <c r="CJ304" s="147"/>
      <c r="CK304" s="147"/>
    </row>
    <row r="305" spans="1:89">
      <c r="A305" s="159" t="s">
        <v>566</v>
      </c>
      <c r="B305" s="3" t="s">
        <v>567</v>
      </c>
      <c r="C305" s="160" t="s">
        <v>77</v>
      </c>
      <c r="D305" s="160" t="s">
        <v>870</v>
      </c>
      <c r="E305" s="3" t="s">
        <v>22</v>
      </c>
      <c r="F305" s="3"/>
      <c r="G305" s="3"/>
      <c r="H305" s="156" t="str">
        <f ca="1">IFERROR(
  _xludf.MINIFS(ATTENDANCE_LOG!$F:$F,
         ATTENDANCE_LOG!$A:$A, C305,
         ATTENDANCE_LOG!$B:$B, E305),
"")</f>
        <v/>
      </c>
      <c r="I305" s="156" t="str">
        <f t="shared" ca="1" si="266"/>
        <v/>
      </c>
      <c r="J305" s="3" t="str">
        <f>IFERROR(VLOOKUP(F305, LEVEL_HELPER!$A:$B, 2, 0), "")</f>
        <v/>
      </c>
      <c r="K305" s="3" t="str">
        <f>IFERROR(VLOOKUP(G305, LEVEL_HELPER!$A:$B, 2, 0), "")</f>
        <v/>
      </c>
      <c r="L305" s="157" t="s">
        <v>946</v>
      </c>
      <c r="M305" s="157" t="s">
        <v>922</v>
      </c>
      <c r="N305" s="3">
        <f t="array" aca="1" ref="N305" ca="1">IFERROR(
  INDEX($J$2:$J$543,
    MATCH(A305&amp;TEXT(I305,"yyyy-mm-dd"),
          $A$2:$A$543&amp;TEXT($H$2:$H$543,"yyyy-mm-dd"),
          0)),
"")</f>
        <v>1</v>
      </c>
      <c r="O305" s="147" t="str">
        <f t="shared" ca="1" si="267"/>
        <v/>
      </c>
      <c r="P305" s="147">
        <f t="shared" ref="P305:Q305" ca="1" si="321">IF(N305="",0,IF(N305&lt;=2,1,IF(N305&lt;=4,2,IF(N305&lt;=5.5,3,4))))</f>
        <v>1</v>
      </c>
      <c r="Q305" s="147">
        <f t="shared" ca="1" si="321"/>
        <v>0</v>
      </c>
      <c r="R305" s="147" t="str">
        <f t="shared" ca="1" si="269"/>
        <v>Regressed</v>
      </c>
      <c r="S305" s="147">
        <f t="shared" si="270"/>
        <v>0</v>
      </c>
      <c r="T305" s="147"/>
      <c r="U305" s="147"/>
      <c r="V305" s="148" t="e">
        <f ca="1"/>
        <v>#NAME?</v>
      </c>
      <c r="W305" s="147" t="e">
        <f t="shared" ca="1" si="271"/>
        <v>#NAME?</v>
      </c>
      <c r="X305" s="147" t="e">
        <f t="shared" ca="1" si="272"/>
        <v>#NAME?</v>
      </c>
      <c r="Y305" s="147" t="e">
        <f t="shared" ca="1" si="273"/>
        <v>#NAME?</v>
      </c>
      <c r="Z305" s="147"/>
      <c r="AA305" s="147"/>
      <c r="AB305" s="147"/>
      <c r="AC305" s="147"/>
      <c r="AD305" s="147"/>
      <c r="AE305" s="147"/>
      <c r="AF305" s="147"/>
      <c r="AG305" s="147"/>
      <c r="AH305" s="147"/>
      <c r="AI305" s="147"/>
      <c r="AJ305" s="147"/>
      <c r="AK305" s="147"/>
      <c r="AL305" s="147"/>
      <c r="AM305" s="151"/>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c r="BI305" s="147"/>
      <c r="BJ305" s="147"/>
      <c r="BK305" s="147"/>
      <c r="BL305" s="147"/>
      <c r="BM305" s="147"/>
      <c r="BN305" s="147"/>
      <c r="BO305" s="147"/>
      <c r="BP305" s="147"/>
      <c r="BQ305" s="147"/>
      <c r="BR305" s="147"/>
      <c r="BS305" s="147"/>
      <c r="BT305" s="147"/>
      <c r="BU305" s="147"/>
      <c r="BV305" s="147"/>
      <c r="BW305" s="147"/>
      <c r="BX305" s="147"/>
      <c r="BY305" s="147"/>
      <c r="BZ305" s="147"/>
      <c r="CA305" s="147"/>
      <c r="CB305" s="147"/>
      <c r="CC305" s="147"/>
      <c r="CD305" s="147"/>
      <c r="CE305" s="147"/>
      <c r="CF305" s="147"/>
      <c r="CG305" s="147"/>
      <c r="CH305" s="147"/>
      <c r="CI305" s="147"/>
      <c r="CJ305" s="147"/>
      <c r="CK305" s="147"/>
    </row>
    <row r="306" spans="1:89">
      <c r="A306" s="159" t="s">
        <v>147</v>
      </c>
      <c r="B306" s="3" t="s">
        <v>148</v>
      </c>
      <c r="C306" s="160" t="s">
        <v>77</v>
      </c>
      <c r="D306" s="160" t="s">
        <v>870</v>
      </c>
      <c r="E306" s="3" t="s">
        <v>23</v>
      </c>
      <c r="F306" s="3"/>
      <c r="G306" s="3"/>
      <c r="H306" s="156" t="str">
        <f ca="1">IFERROR(
  _xludf.MINIFS(ATTENDANCE_LOG!$F:$F,
         ATTENDANCE_LOG!$A:$A, C306,
         ATTENDANCE_LOG!$B:$B, E306),
"")</f>
        <v/>
      </c>
      <c r="I306" s="156" t="str">
        <f t="shared" ca="1" si="266"/>
        <v/>
      </c>
      <c r="J306" s="3" t="str">
        <f>IFERROR(VLOOKUP(F306, LEVEL_HELPER!$A:$B, 2, 0), "")</f>
        <v/>
      </c>
      <c r="K306" s="3" t="str">
        <f>IFERROR(VLOOKUP(G306, LEVEL_HELPER!$A:$B, 2, 0), "")</f>
        <v/>
      </c>
      <c r="L306" s="157" t="s">
        <v>930</v>
      </c>
      <c r="M306" s="157" t="s">
        <v>922</v>
      </c>
      <c r="N306" s="3">
        <f t="array" aca="1" ref="N306" ca="1">IFERROR(
  INDEX($J$2:$J$543,
    MATCH(A306&amp;TEXT(I306,"yyyy-mm-dd"),
          $A$2:$A$543&amp;TEXT($H$2:$H$543,"yyyy-mm-dd"),
          0)),
"")</f>
        <v>1</v>
      </c>
      <c r="O306" s="147" t="str">
        <f t="shared" ca="1" si="267"/>
        <v/>
      </c>
      <c r="P306" s="147">
        <f t="shared" ref="P306:Q306" ca="1" si="322">IF(N306="",0,IF(N306&lt;=2,1,IF(N306&lt;=4,2,IF(N306&lt;=5.5,3,4))))</f>
        <v>1</v>
      </c>
      <c r="Q306" s="147">
        <f t="shared" ca="1" si="322"/>
        <v>0</v>
      </c>
      <c r="R306" s="147" t="str">
        <f t="shared" ca="1" si="269"/>
        <v>Regressed</v>
      </c>
      <c r="S306" s="147">
        <f t="shared" si="270"/>
        <v>0</v>
      </c>
      <c r="T306" s="147"/>
      <c r="U306" s="147"/>
      <c r="V306" s="148" t="e">
        <f ca="1"/>
        <v>#NAME?</v>
      </c>
      <c r="W306" s="147"/>
      <c r="X306" s="147"/>
      <c r="Y306" s="147"/>
      <c r="Z306" s="147"/>
      <c r="AA306" s="147"/>
      <c r="AB306" s="147"/>
      <c r="AC306" s="147"/>
      <c r="AD306" s="147"/>
      <c r="AE306" s="147"/>
      <c r="AF306" s="147"/>
      <c r="AG306" s="147"/>
      <c r="AH306" s="147"/>
      <c r="AI306" s="147"/>
      <c r="AJ306" s="147"/>
      <c r="AK306" s="147"/>
      <c r="AL306" s="147"/>
      <c r="AM306" s="151"/>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c r="BI306" s="147"/>
      <c r="BJ306" s="147"/>
      <c r="BK306" s="147"/>
      <c r="BL306" s="147"/>
      <c r="BM306" s="147"/>
      <c r="BN306" s="147"/>
      <c r="BO306" s="147"/>
      <c r="BP306" s="147"/>
      <c r="BQ306" s="147"/>
      <c r="BR306" s="147"/>
      <c r="BS306" s="147"/>
      <c r="BT306" s="147"/>
      <c r="BU306" s="147"/>
      <c r="BV306" s="147"/>
      <c r="BW306" s="147"/>
      <c r="BX306" s="147"/>
      <c r="BY306" s="147"/>
      <c r="BZ306" s="147"/>
      <c r="CA306" s="147"/>
      <c r="CB306" s="147"/>
      <c r="CC306" s="147"/>
      <c r="CD306" s="147"/>
      <c r="CE306" s="147"/>
      <c r="CF306" s="147"/>
      <c r="CG306" s="147"/>
      <c r="CH306" s="147"/>
      <c r="CI306" s="147"/>
      <c r="CJ306" s="147"/>
      <c r="CK306" s="147"/>
    </row>
    <row r="307" spans="1:89">
      <c r="A307" s="159" t="s">
        <v>159</v>
      </c>
      <c r="B307" s="3" t="s">
        <v>160</v>
      </c>
      <c r="C307" s="160" t="s">
        <v>77</v>
      </c>
      <c r="D307" s="160" t="s">
        <v>870</v>
      </c>
      <c r="E307" s="3" t="s">
        <v>23</v>
      </c>
      <c r="F307" s="3"/>
      <c r="G307" s="3"/>
      <c r="H307" s="156" t="str">
        <f ca="1">IFERROR(
  _xludf.MINIFS(ATTENDANCE_LOG!$F:$F,
         ATTENDANCE_LOG!$A:$A, C307,
         ATTENDANCE_LOG!$B:$B, E307),
"")</f>
        <v/>
      </c>
      <c r="I307" s="156" t="str">
        <f t="shared" ca="1" si="266"/>
        <v/>
      </c>
      <c r="J307" s="3" t="str">
        <f>IFERROR(VLOOKUP(F307, LEVEL_HELPER!$A:$B, 2, 0), "")</f>
        <v/>
      </c>
      <c r="K307" s="3" t="str">
        <f>IFERROR(VLOOKUP(G307, LEVEL_HELPER!$A:$B, 2, 0), "")</f>
        <v/>
      </c>
      <c r="L307" s="157" t="s">
        <v>930</v>
      </c>
      <c r="M307" s="157" t="s">
        <v>922</v>
      </c>
      <c r="N307" s="3" t="str">
        <f t="array" aca="1" ref="N307" ca="1">IFERROR(
  INDEX($J$2:$J$543,
    MATCH(A307&amp;TEXT(I307,"yyyy-mm-dd"),
          $A$2:$A$543&amp;TEXT($H$2:$H$543,"yyyy-mm-dd"),
          0)),
"")</f>
        <v/>
      </c>
      <c r="O307" s="147" t="str">
        <f t="shared" ca="1" si="267"/>
        <v/>
      </c>
      <c r="P307" s="147">
        <f t="shared" ref="P307:Q307" ca="1" si="323">IF(N307="",0,IF(N307&lt;=2,1,IF(N307&lt;=4,2,IF(N307&lt;=5.5,3,4))))</f>
        <v>0</v>
      </c>
      <c r="Q307" s="147">
        <f t="shared" ca="1" si="323"/>
        <v>0</v>
      </c>
      <c r="R307" s="147" t="str">
        <f t="shared" ca="1" si="269"/>
        <v>No Data</v>
      </c>
      <c r="S307" s="147">
        <f t="shared" si="270"/>
        <v>0</v>
      </c>
      <c r="T307" s="147"/>
      <c r="U307" s="147"/>
      <c r="V307" s="147"/>
      <c r="W307" s="147"/>
      <c r="X307" s="147"/>
      <c r="Y307" s="147"/>
      <c r="Z307" s="147"/>
      <c r="AA307" s="147"/>
      <c r="AB307" s="147"/>
      <c r="AC307" s="147"/>
      <c r="AD307" s="147"/>
      <c r="AE307" s="147"/>
      <c r="AF307" s="147"/>
      <c r="AG307" s="147"/>
      <c r="AH307" s="147"/>
      <c r="AI307" s="147"/>
      <c r="AJ307" s="147"/>
      <c r="AK307" s="147"/>
      <c r="AL307" s="147"/>
      <c r="AM307" s="151"/>
      <c r="AN307" s="147"/>
      <c r="AO307" s="147"/>
      <c r="AP307" s="147"/>
      <c r="AQ307" s="147"/>
      <c r="AR307" s="147"/>
      <c r="AS307" s="147"/>
      <c r="AT307" s="147"/>
      <c r="AU307" s="147"/>
      <c r="AV307" s="147"/>
      <c r="AW307" s="147"/>
      <c r="AX307" s="147"/>
      <c r="AY307" s="147"/>
      <c r="AZ307" s="147"/>
      <c r="BA307" s="147"/>
      <c r="BB307" s="147"/>
      <c r="BC307" s="147"/>
      <c r="BD307" s="147"/>
      <c r="BE307" s="147"/>
      <c r="BF307" s="147"/>
      <c r="BG307" s="147"/>
      <c r="BH307" s="147"/>
      <c r="BI307" s="147"/>
      <c r="BJ307" s="147"/>
      <c r="BK307" s="147"/>
      <c r="BL307" s="147"/>
      <c r="BM307" s="147"/>
      <c r="BN307" s="147"/>
      <c r="BO307" s="147"/>
      <c r="BP307" s="147"/>
      <c r="BQ307" s="147"/>
      <c r="BR307" s="147"/>
      <c r="BS307" s="147"/>
      <c r="BT307" s="147"/>
      <c r="BU307" s="147"/>
      <c r="BV307" s="147"/>
      <c r="BW307" s="147"/>
      <c r="BX307" s="147"/>
      <c r="BY307" s="147"/>
      <c r="BZ307" s="147"/>
      <c r="CA307" s="147"/>
      <c r="CB307" s="147"/>
      <c r="CC307" s="147"/>
      <c r="CD307" s="147"/>
      <c r="CE307" s="147"/>
      <c r="CF307" s="147"/>
      <c r="CG307" s="147"/>
      <c r="CH307" s="147"/>
      <c r="CI307" s="147"/>
      <c r="CJ307" s="147"/>
      <c r="CK307" s="147"/>
    </row>
    <row r="308" spans="1:89">
      <c r="A308" s="159" t="s">
        <v>255</v>
      </c>
      <c r="B308" s="3" t="s">
        <v>256</v>
      </c>
      <c r="C308" s="160" t="s">
        <v>77</v>
      </c>
      <c r="D308" s="160" t="s">
        <v>870</v>
      </c>
      <c r="E308" s="3" t="s">
        <v>23</v>
      </c>
      <c r="F308" s="3"/>
      <c r="G308" s="3"/>
      <c r="H308" s="156" t="str">
        <f ca="1">IFERROR(
  _xludf.MINIFS(ATTENDANCE_LOG!$F:$F,
         ATTENDANCE_LOG!$A:$A, C308,
         ATTENDANCE_LOG!$B:$B, E308),
"")</f>
        <v/>
      </c>
      <c r="I308" s="156" t="str">
        <f t="shared" ca="1" si="266"/>
        <v/>
      </c>
      <c r="J308" s="3" t="str">
        <f>IFERROR(VLOOKUP(F308, LEVEL_HELPER!$A:$B, 2, 0), "")</f>
        <v/>
      </c>
      <c r="K308" s="3" t="str">
        <f>IFERROR(VLOOKUP(G308, LEVEL_HELPER!$A:$B, 2, 0), "")</f>
        <v/>
      </c>
      <c r="L308" s="157" t="s">
        <v>930</v>
      </c>
      <c r="M308" s="157" t="s">
        <v>922</v>
      </c>
      <c r="N308" s="3">
        <f t="array" aca="1" ref="N308" ca="1">IFERROR(
  INDEX($J$2:$J$543,
    MATCH(A308&amp;TEXT(I308,"yyyy-mm-dd"),
          $A$2:$A$543&amp;TEXT($H$2:$H$543,"yyyy-mm-dd"),
          0)),
"")</f>
        <v>1</v>
      </c>
      <c r="O308" s="147" t="str">
        <f t="shared" ca="1" si="267"/>
        <v/>
      </c>
      <c r="P308" s="147">
        <f t="shared" ref="P308:Q308" ca="1" si="324">IF(N308="",0,IF(N308&lt;=2,1,IF(N308&lt;=4,2,IF(N308&lt;=5.5,3,4))))</f>
        <v>1</v>
      </c>
      <c r="Q308" s="147">
        <f t="shared" ca="1" si="324"/>
        <v>0</v>
      </c>
      <c r="R308" s="147" t="str">
        <f t="shared" ca="1" si="269"/>
        <v>Regressed</v>
      </c>
      <c r="S308" s="147">
        <f t="shared" si="270"/>
        <v>0</v>
      </c>
      <c r="T308" s="147"/>
      <c r="U308" s="147"/>
      <c r="V308" s="147"/>
      <c r="W308" s="147"/>
      <c r="X308" s="147"/>
      <c r="Y308" s="147"/>
      <c r="Z308" s="147"/>
      <c r="AA308" s="147"/>
      <c r="AB308" s="147"/>
      <c r="AC308" s="147"/>
      <c r="AD308" s="147"/>
      <c r="AE308" s="147"/>
      <c r="AF308" s="147"/>
      <c r="AG308" s="147"/>
      <c r="AH308" s="147"/>
      <c r="AI308" s="147"/>
      <c r="AJ308" s="147"/>
      <c r="AK308" s="147"/>
      <c r="AL308" s="147"/>
      <c r="AM308" s="151"/>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c r="BI308" s="147"/>
      <c r="BJ308" s="147"/>
      <c r="BK308" s="147"/>
      <c r="BL308" s="147"/>
      <c r="BM308" s="147"/>
      <c r="BN308" s="147"/>
      <c r="BO308" s="147"/>
      <c r="BP308" s="147"/>
      <c r="BQ308" s="147"/>
      <c r="BR308" s="147"/>
      <c r="BS308" s="147"/>
      <c r="BT308" s="147"/>
      <c r="BU308" s="147"/>
      <c r="BV308" s="147"/>
      <c r="BW308" s="147"/>
      <c r="BX308" s="147"/>
      <c r="BY308" s="147"/>
      <c r="BZ308" s="147"/>
      <c r="CA308" s="147"/>
      <c r="CB308" s="147"/>
      <c r="CC308" s="147"/>
      <c r="CD308" s="147"/>
      <c r="CE308" s="147"/>
      <c r="CF308" s="147"/>
      <c r="CG308" s="147"/>
      <c r="CH308" s="147"/>
      <c r="CI308" s="147"/>
      <c r="CJ308" s="147"/>
      <c r="CK308" s="147"/>
    </row>
    <row r="309" spans="1:89">
      <c r="A309" s="159" t="s">
        <v>433</v>
      </c>
      <c r="B309" s="3" t="s">
        <v>432</v>
      </c>
      <c r="C309" s="160" t="s">
        <v>77</v>
      </c>
      <c r="D309" s="160" t="s">
        <v>870</v>
      </c>
      <c r="E309" s="3" t="s">
        <v>23</v>
      </c>
      <c r="F309" s="3"/>
      <c r="G309" s="3"/>
      <c r="H309" s="156" t="str">
        <f ca="1">IFERROR(
  _xludf.MINIFS(ATTENDANCE_LOG!$F:$F,
         ATTENDANCE_LOG!$A:$A, C309,
         ATTENDANCE_LOG!$B:$B, E309),
"")</f>
        <v/>
      </c>
      <c r="I309" s="156" t="str">
        <f t="shared" ca="1" si="266"/>
        <v/>
      </c>
      <c r="J309" s="3" t="str">
        <f>IFERROR(VLOOKUP(F309, LEVEL_HELPER!$A:$B, 2, 0), "")</f>
        <v/>
      </c>
      <c r="K309" s="3" t="str">
        <f>IFERROR(VLOOKUP(G309, LEVEL_HELPER!$A:$B, 2, 0), "")</f>
        <v/>
      </c>
      <c r="L309" s="157" t="s">
        <v>930</v>
      </c>
      <c r="M309" s="157" t="s">
        <v>922</v>
      </c>
      <c r="N309" s="3">
        <f t="array" aca="1" ref="N309" ca="1">IFERROR(
  INDEX($J$2:$J$543,
    MATCH(A309&amp;TEXT(I309,"yyyy-mm-dd"),
          $A$2:$A$543&amp;TEXT($H$2:$H$543,"yyyy-mm-dd"),
          0)),
"")</f>
        <v>2.5</v>
      </c>
      <c r="O309" s="147" t="str">
        <f t="shared" ca="1" si="267"/>
        <v/>
      </c>
      <c r="P309" s="147">
        <f t="shared" ref="P309:Q309" ca="1" si="325">IF(N309="",0,IF(N309&lt;=2,1,IF(N309&lt;=4,2,IF(N309&lt;=5.5,3,4))))</f>
        <v>2</v>
      </c>
      <c r="Q309" s="147">
        <f t="shared" ca="1" si="325"/>
        <v>0</v>
      </c>
      <c r="R309" s="147" t="str">
        <f t="shared" ca="1" si="269"/>
        <v>Regressed</v>
      </c>
      <c r="S309" s="147">
        <f t="shared" si="270"/>
        <v>0</v>
      </c>
      <c r="T309" s="147"/>
      <c r="U309" s="147"/>
      <c r="V309" s="147"/>
      <c r="W309" s="147"/>
      <c r="X309" s="147"/>
      <c r="Y309" s="147"/>
      <c r="Z309" s="147"/>
      <c r="AA309" s="147"/>
      <c r="AB309" s="147"/>
      <c r="AC309" s="147"/>
      <c r="AD309" s="147"/>
      <c r="AE309" s="147"/>
      <c r="AF309" s="147"/>
      <c r="AG309" s="147"/>
      <c r="AH309" s="147"/>
      <c r="AI309" s="147"/>
      <c r="AJ309" s="147"/>
      <c r="AK309" s="147"/>
      <c r="AL309" s="147"/>
      <c r="AM309" s="151"/>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c r="BI309" s="147"/>
      <c r="BJ309" s="147"/>
      <c r="BK309" s="147"/>
      <c r="BL309" s="147"/>
      <c r="BM309" s="147"/>
      <c r="BN309" s="147"/>
      <c r="BO309" s="147"/>
      <c r="BP309" s="147"/>
      <c r="BQ309" s="147"/>
      <c r="BR309" s="147"/>
      <c r="BS309" s="147"/>
      <c r="BT309" s="147"/>
      <c r="BU309" s="147"/>
      <c r="BV309" s="147"/>
      <c r="BW309" s="147"/>
      <c r="BX309" s="147"/>
      <c r="BY309" s="147"/>
      <c r="BZ309" s="147"/>
      <c r="CA309" s="147"/>
      <c r="CB309" s="147"/>
      <c r="CC309" s="147"/>
      <c r="CD309" s="147"/>
      <c r="CE309" s="147"/>
      <c r="CF309" s="147"/>
      <c r="CG309" s="147"/>
      <c r="CH309" s="147"/>
      <c r="CI309" s="147"/>
      <c r="CJ309" s="147"/>
      <c r="CK309" s="147"/>
    </row>
    <row r="310" spans="1:89">
      <c r="A310" s="159" t="s">
        <v>494</v>
      </c>
      <c r="B310" s="3" t="s">
        <v>495</v>
      </c>
      <c r="C310" s="160" t="s">
        <v>77</v>
      </c>
      <c r="D310" s="160" t="s">
        <v>870</v>
      </c>
      <c r="E310" s="3" t="s">
        <v>23</v>
      </c>
      <c r="F310" s="3"/>
      <c r="G310" s="3"/>
      <c r="H310" s="156" t="str">
        <f ca="1">IFERROR(
  _xludf.MINIFS(ATTENDANCE_LOG!$F:$F,
         ATTENDANCE_LOG!$A:$A, C310,
         ATTENDANCE_LOG!$B:$B, E310),
"")</f>
        <v/>
      </c>
      <c r="I310" s="156" t="str">
        <f t="shared" ca="1" si="266"/>
        <v/>
      </c>
      <c r="J310" s="3" t="str">
        <f>IFERROR(VLOOKUP(F310, LEVEL_HELPER!$A:$B, 2, 0), "")</f>
        <v/>
      </c>
      <c r="K310" s="3" t="str">
        <f>IFERROR(VLOOKUP(G310, LEVEL_HELPER!$A:$B, 2, 0), "")</f>
        <v/>
      </c>
      <c r="L310" s="157" t="s">
        <v>930</v>
      </c>
      <c r="M310" s="157" t="s">
        <v>922</v>
      </c>
      <c r="N310" s="3">
        <f t="array" aca="1" ref="N310" ca="1">IFERROR(
  INDEX($J$2:$J$543,
    MATCH(A310&amp;TEXT(I310,"yyyy-mm-dd"),
          $A$2:$A$543&amp;TEXT($H$2:$H$543,"yyyy-mm-dd"),
          0)),
"")</f>
        <v>1</v>
      </c>
      <c r="O310" s="147" t="str">
        <f t="shared" ca="1" si="267"/>
        <v/>
      </c>
      <c r="P310" s="147">
        <f t="shared" ref="P310:Q310" ca="1" si="326">IF(N310="",0,IF(N310&lt;=2,1,IF(N310&lt;=4,2,IF(N310&lt;=5.5,3,4))))</f>
        <v>1</v>
      </c>
      <c r="Q310" s="147">
        <f t="shared" ca="1" si="326"/>
        <v>0</v>
      </c>
      <c r="R310" s="147" t="str">
        <f t="shared" ca="1" si="269"/>
        <v>Regressed</v>
      </c>
      <c r="S310" s="147">
        <f t="shared" si="270"/>
        <v>0</v>
      </c>
      <c r="T310" s="147"/>
      <c r="U310" s="147"/>
      <c r="V310" s="147"/>
      <c r="W310" s="147"/>
      <c r="X310" s="147"/>
      <c r="Y310" s="147"/>
      <c r="Z310" s="147"/>
      <c r="AA310" s="147"/>
      <c r="AB310" s="147"/>
      <c r="AC310" s="147"/>
      <c r="AD310" s="147"/>
      <c r="AE310" s="147"/>
      <c r="AF310" s="147"/>
      <c r="AG310" s="147"/>
      <c r="AH310" s="147"/>
      <c r="AI310" s="147"/>
      <c r="AJ310" s="147"/>
      <c r="AK310" s="147"/>
      <c r="AL310" s="147"/>
      <c r="AM310" s="151"/>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c r="BI310" s="147"/>
      <c r="BJ310" s="147"/>
      <c r="BK310" s="147"/>
      <c r="BL310" s="147"/>
      <c r="BM310" s="147"/>
      <c r="BN310" s="147"/>
      <c r="BO310" s="147"/>
      <c r="BP310" s="147"/>
      <c r="BQ310" s="147"/>
      <c r="BR310" s="147"/>
      <c r="BS310" s="147"/>
      <c r="BT310" s="147"/>
      <c r="BU310" s="147"/>
      <c r="BV310" s="147"/>
      <c r="BW310" s="147"/>
      <c r="BX310" s="147"/>
      <c r="BY310" s="147"/>
      <c r="BZ310" s="147"/>
      <c r="CA310" s="147"/>
      <c r="CB310" s="147"/>
      <c r="CC310" s="147"/>
      <c r="CD310" s="147"/>
      <c r="CE310" s="147"/>
      <c r="CF310" s="147"/>
      <c r="CG310" s="147"/>
      <c r="CH310" s="147"/>
      <c r="CI310" s="147"/>
      <c r="CJ310" s="147"/>
      <c r="CK310" s="147"/>
    </row>
    <row r="311" spans="1:89">
      <c r="A311" s="159" t="s">
        <v>498</v>
      </c>
      <c r="B311" s="3" t="s">
        <v>499</v>
      </c>
      <c r="C311" s="160" t="s">
        <v>77</v>
      </c>
      <c r="D311" s="160" t="s">
        <v>870</v>
      </c>
      <c r="E311" s="3" t="s">
        <v>23</v>
      </c>
      <c r="F311" s="3"/>
      <c r="G311" s="3"/>
      <c r="H311" s="156" t="str">
        <f ca="1">IFERROR(
  _xludf.MINIFS(ATTENDANCE_LOG!$F:$F,
         ATTENDANCE_LOG!$A:$A, C311,
         ATTENDANCE_LOG!$B:$B, E311),
"")</f>
        <v/>
      </c>
      <c r="I311" s="156" t="str">
        <f t="shared" ca="1" si="266"/>
        <v/>
      </c>
      <c r="J311" s="3" t="str">
        <f>IFERROR(VLOOKUP(F311, LEVEL_HELPER!$A:$B, 2, 0), "")</f>
        <v/>
      </c>
      <c r="K311" s="3" t="str">
        <f>IFERROR(VLOOKUP(G311, LEVEL_HELPER!$A:$B, 2, 0), "")</f>
        <v/>
      </c>
      <c r="L311" s="157" t="s">
        <v>930</v>
      </c>
      <c r="M311" s="157" t="s">
        <v>922</v>
      </c>
      <c r="N311" s="3">
        <f t="array" aca="1" ref="N311" ca="1">IFERROR(
  INDEX($J$2:$J$543,
    MATCH(A311&amp;TEXT(I311,"yyyy-mm-dd"),
          $A$2:$A$543&amp;TEXT($H$2:$H$543,"yyyy-mm-dd"),
          0)),
"")</f>
        <v>1</v>
      </c>
      <c r="O311" s="147" t="str">
        <f t="shared" ca="1" si="267"/>
        <v/>
      </c>
      <c r="P311" s="147">
        <f t="shared" ref="P311:Q311" ca="1" si="327">IF(N311="",0,IF(N311&lt;=2,1,IF(N311&lt;=4,2,IF(N311&lt;=5.5,3,4))))</f>
        <v>1</v>
      </c>
      <c r="Q311" s="147">
        <f t="shared" ca="1" si="327"/>
        <v>0</v>
      </c>
      <c r="R311" s="147" t="str">
        <f t="shared" ca="1" si="269"/>
        <v>Regressed</v>
      </c>
      <c r="S311" s="147">
        <f t="shared" si="270"/>
        <v>0</v>
      </c>
      <c r="T311" s="147"/>
      <c r="U311" s="147"/>
      <c r="V311" s="147"/>
      <c r="W311" s="147"/>
      <c r="X311" s="147"/>
      <c r="Y311" s="147"/>
      <c r="Z311" s="147"/>
      <c r="AA311" s="147"/>
      <c r="AB311" s="147"/>
      <c r="AC311" s="147"/>
      <c r="AD311" s="147"/>
      <c r="AE311" s="147"/>
      <c r="AF311" s="147"/>
      <c r="AG311" s="147"/>
      <c r="AH311" s="147"/>
      <c r="AI311" s="147"/>
      <c r="AJ311" s="147"/>
      <c r="AK311" s="147"/>
      <c r="AL311" s="147"/>
      <c r="AM311" s="151"/>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c r="BI311" s="147"/>
      <c r="BJ311" s="147"/>
      <c r="BK311" s="147"/>
      <c r="BL311" s="147"/>
      <c r="BM311" s="147"/>
      <c r="BN311" s="147"/>
      <c r="BO311" s="147"/>
      <c r="BP311" s="147"/>
      <c r="BQ311" s="147"/>
      <c r="BR311" s="147"/>
      <c r="BS311" s="147"/>
      <c r="BT311" s="147"/>
      <c r="BU311" s="147"/>
      <c r="BV311" s="147"/>
      <c r="BW311" s="147"/>
      <c r="BX311" s="147"/>
      <c r="BY311" s="147"/>
      <c r="BZ311" s="147"/>
      <c r="CA311" s="147"/>
      <c r="CB311" s="147"/>
      <c r="CC311" s="147"/>
      <c r="CD311" s="147"/>
      <c r="CE311" s="147"/>
      <c r="CF311" s="147"/>
      <c r="CG311" s="147"/>
      <c r="CH311" s="147"/>
      <c r="CI311" s="147"/>
      <c r="CJ311" s="147"/>
      <c r="CK311" s="147"/>
    </row>
    <row r="312" spans="1:89">
      <c r="A312" s="159" t="s">
        <v>566</v>
      </c>
      <c r="B312" s="3" t="s">
        <v>567</v>
      </c>
      <c r="C312" s="160" t="s">
        <v>77</v>
      </c>
      <c r="D312" s="160" t="s">
        <v>870</v>
      </c>
      <c r="E312" s="3" t="s">
        <v>23</v>
      </c>
      <c r="F312" s="3"/>
      <c r="G312" s="3"/>
      <c r="H312" s="156" t="str">
        <f ca="1">IFERROR(
  _xludf.MINIFS(ATTENDANCE_LOG!$F:$F,
         ATTENDANCE_LOG!$A:$A, C312,
         ATTENDANCE_LOG!$B:$B, E312),
"")</f>
        <v/>
      </c>
      <c r="I312" s="156" t="str">
        <f t="shared" ca="1" si="266"/>
        <v/>
      </c>
      <c r="J312" s="3" t="str">
        <f>IFERROR(VLOOKUP(F312, LEVEL_HELPER!$A:$B, 2, 0), "")</f>
        <v/>
      </c>
      <c r="K312" s="3" t="str">
        <f>IFERROR(VLOOKUP(G312, LEVEL_HELPER!$A:$B, 2, 0), "")</f>
        <v/>
      </c>
      <c r="L312" s="157" t="s">
        <v>946</v>
      </c>
      <c r="M312" s="157" t="s">
        <v>922</v>
      </c>
      <c r="N312" s="3">
        <f t="array" aca="1" ref="N312" ca="1">IFERROR(
  INDEX($J$2:$J$543,
    MATCH(A312&amp;TEXT(I312,"yyyy-mm-dd"),
          $A$2:$A$543&amp;TEXT($H$2:$H$543,"yyyy-mm-dd"),
          0)),
"")</f>
        <v>1</v>
      </c>
      <c r="O312" s="147" t="str">
        <f t="shared" ca="1" si="267"/>
        <v/>
      </c>
      <c r="P312" s="147">
        <f t="shared" ref="P312:Q312" ca="1" si="328">IF(N312="",0,IF(N312&lt;=2,1,IF(N312&lt;=4,2,IF(N312&lt;=5.5,3,4))))</f>
        <v>1</v>
      </c>
      <c r="Q312" s="147">
        <f t="shared" ca="1" si="328"/>
        <v>0</v>
      </c>
      <c r="R312" s="147" t="str">
        <f t="shared" ca="1" si="269"/>
        <v>Regressed</v>
      </c>
      <c r="S312" s="147">
        <f t="shared" si="270"/>
        <v>0</v>
      </c>
      <c r="T312" s="147"/>
      <c r="U312" s="147"/>
      <c r="V312" s="147"/>
      <c r="W312" s="147"/>
      <c r="X312" s="147"/>
      <c r="Y312" s="147"/>
      <c r="Z312" s="147"/>
      <c r="AA312" s="147"/>
      <c r="AB312" s="147"/>
      <c r="AC312" s="147"/>
      <c r="AD312" s="147"/>
      <c r="AE312" s="147"/>
      <c r="AF312" s="147"/>
      <c r="AG312" s="147"/>
      <c r="AH312" s="147"/>
      <c r="AI312" s="147"/>
      <c r="AJ312" s="147"/>
      <c r="AK312" s="147"/>
      <c r="AL312" s="147"/>
      <c r="AM312" s="151"/>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c r="BI312" s="147"/>
      <c r="BJ312" s="147"/>
      <c r="BK312" s="147"/>
      <c r="BL312" s="147"/>
      <c r="BM312" s="147"/>
      <c r="BN312" s="147"/>
      <c r="BO312" s="147"/>
      <c r="BP312" s="147"/>
      <c r="BQ312" s="147"/>
      <c r="BR312" s="147"/>
      <c r="BS312" s="147"/>
      <c r="BT312" s="147"/>
      <c r="BU312" s="147"/>
      <c r="BV312" s="147"/>
      <c r="BW312" s="147"/>
      <c r="BX312" s="147"/>
      <c r="BY312" s="147"/>
      <c r="BZ312" s="147"/>
      <c r="CA312" s="147"/>
      <c r="CB312" s="147"/>
      <c r="CC312" s="147"/>
      <c r="CD312" s="147"/>
      <c r="CE312" s="147"/>
      <c r="CF312" s="147"/>
      <c r="CG312" s="147"/>
      <c r="CH312" s="147"/>
      <c r="CI312" s="147"/>
      <c r="CJ312" s="147"/>
      <c r="CK312" s="147"/>
    </row>
    <row r="313" spans="1:89">
      <c r="A313" s="159" t="s">
        <v>261</v>
      </c>
      <c r="B313" s="154" t="s">
        <v>262</v>
      </c>
      <c r="C313" s="155" t="s">
        <v>78</v>
      </c>
      <c r="D313" s="155" t="s">
        <v>871</v>
      </c>
      <c r="E313" s="154" t="s">
        <v>21</v>
      </c>
      <c r="F313" s="3" t="s">
        <v>931</v>
      </c>
      <c r="G313" s="3"/>
      <c r="H313" s="156" t="str">
        <f ca="1">IFERROR(
  _xludf.MINIFS(ATTENDANCE_LOG!$F:$F,
         ATTENDANCE_LOG!$A:$A, C313,
         ATTENDANCE_LOG!$B:$B, E313),
"")</f>
        <v/>
      </c>
      <c r="I313" s="156" t="str">
        <f t="shared" ca="1" si="266"/>
        <v/>
      </c>
      <c r="J313" s="3">
        <f>IFERROR(VLOOKUP(F313, LEVEL_HELPER!$A:$B, 2, 0), "")</f>
        <v>4.5</v>
      </c>
      <c r="K313" s="3" t="str">
        <f>IFERROR(VLOOKUP(G313, LEVEL_HELPER!$A:$B, 2, 0), "")</f>
        <v/>
      </c>
      <c r="L313" s="157" t="s">
        <v>954</v>
      </c>
      <c r="M313" s="157" t="s">
        <v>921</v>
      </c>
      <c r="N313" s="3">
        <f t="array" aca="1" ref="N313" ca="1">IFERROR(
  INDEX($J$2:$J$543,
    MATCH(A313&amp;TEXT(I313,"yyyy-mm-dd"),
          $A$2:$A$543&amp;TEXT($H$2:$H$543,"yyyy-mm-dd"),
          0)),
"")</f>
        <v>4.5</v>
      </c>
      <c r="O313" s="147" t="str">
        <f t="shared" ca="1" si="267"/>
        <v/>
      </c>
      <c r="P313" s="147">
        <f t="shared" ref="P313:Q313" ca="1" si="329">IF(N313="",0,IF(N313&lt;=2,1,IF(N313&lt;=4,2,IF(N313&lt;=5.5,3,4))))</f>
        <v>3</v>
      </c>
      <c r="Q313" s="147">
        <f t="shared" ca="1" si="329"/>
        <v>0</v>
      </c>
      <c r="R313" s="147" t="str">
        <f t="shared" ca="1" si="269"/>
        <v>Regressed</v>
      </c>
      <c r="S313" s="147">
        <f t="shared" si="270"/>
        <v>1</v>
      </c>
      <c r="T313" s="147"/>
      <c r="U313" s="147"/>
      <c r="V313" s="147"/>
      <c r="W313" s="147"/>
      <c r="X313" s="147"/>
      <c r="Y313" s="147"/>
      <c r="Z313" s="147"/>
      <c r="AA313" s="147"/>
      <c r="AB313" s="147"/>
      <c r="AC313" s="147"/>
      <c r="AD313" s="147"/>
      <c r="AE313" s="147"/>
      <c r="AF313" s="147"/>
      <c r="AG313" s="147"/>
      <c r="AH313" s="147"/>
      <c r="AI313" s="147"/>
      <c r="AJ313" s="147"/>
      <c r="AK313" s="147"/>
      <c r="AL313" s="147"/>
      <c r="AM313" s="151"/>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c r="BI313" s="147"/>
      <c r="BJ313" s="147"/>
      <c r="BK313" s="147"/>
      <c r="BL313" s="147"/>
      <c r="BM313" s="147"/>
      <c r="BN313" s="147"/>
      <c r="BO313" s="147"/>
      <c r="BP313" s="147"/>
      <c r="BQ313" s="147"/>
      <c r="BR313" s="147"/>
      <c r="BS313" s="147"/>
      <c r="BT313" s="147"/>
      <c r="BU313" s="147"/>
      <c r="BV313" s="147"/>
      <c r="BW313" s="147"/>
      <c r="BX313" s="147"/>
      <c r="BY313" s="147"/>
      <c r="BZ313" s="147"/>
      <c r="CA313" s="147"/>
      <c r="CB313" s="147"/>
      <c r="CC313" s="147"/>
      <c r="CD313" s="147"/>
      <c r="CE313" s="147"/>
      <c r="CF313" s="147"/>
      <c r="CG313" s="147"/>
      <c r="CH313" s="147"/>
      <c r="CI313" s="147"/>
      <c r="CJ313" s="147"/>
      <c r="CK313" s="147"/>
    </row>
    <row r="314" spans="1:89">
      <c r="A314" s="159" t="s">
        <v>182</v>
      </c>
      <c r="B314" s="3" t="s">
        <v>183</v>
      </c>
      <c r="C314" s="160" t="s">
        <v>78</v>
      </c>
      <c r="D314" s="160" t="s">
        <v>871</v>
      </c>
      <c r="E314" s="3" t="s">
        <v>21</v>
      </c>
      <c r="F314" s="3" t="s">
        <v>926</v>
      </c>
      <c r="G314" s="3" t="s">
        <v>926</v>
      </c>
      <c r="H314" s="156" t="str">
        <f ca="1">IFERROR(
  _xludf.MINIFS(ATTENDANCE_LOG!$F:$F,
         ATTENDANCE_LOG!$A:$A, C314,
         ATTENDANCE_LOG!$B:$B, E314),
"")</f>
        <v/>
      </c>
      <c r="I314" s="156" t="str">
        <f t="shared" ca="1" si="266"/>
        <v/>
      </c>
      <c r="J314" s="3">
        <f>IFERROR(VLOOKUP(F314, LEVEL_HELPER!$A:$B, 2, 0), "")</f>
        <v>1</v>
      </c>
      <c r="K314" s="3">
        <f>IFERROR(VLOOKUP(G314, LEVEL_HELPER!$A:$B, 2, 0), "")</f>
        <v>1</v>
      </c>
      <c r="L314" s="157" t="s">
        <v>918</v>
      </c>
      <c r="M314" s="157" t="s">
        <v>921</v>
      </c>
      <c r="N314" s="3">
        <f t="array" aca="1" ref="N314" ca="1">IFERROR(
  INDEX($J$2:$J$543,
    MATCH(A314&amp;TEXT(I314,"yyyy-mm-dd"),
          $A$2:$A$543&amp;TEXT($H$2:$H$543,"yyyy-mm-dd"),
          0)),
"")</f>
        <v>1</v>
      </c>
      <c r="O314" s="147" t="str">
        <f t="shared" ca="1" si="267"/>
        <v/>
      </c>
      <c r="P314" s="147">
        <f t="shared" ref="P314:Q314" ca="1" si="330">IF(N314="",0,IF(N314&lt;=2,1,IF(N314&lt;=4,2,IF(N314&lt;=5.5,3,4))))</f>
        <v>1</v>
      </c>
      <c r="Q314" s="147">
        <f t="shared" ca="1" si="330"/>
        <v>0</v>
      </c>
      <c r="R314" s="147" t="str">
        <f t="shared" ca="1" si="269"/>
        <v>Regressed</v>
      </c>
      <c r="S314" s="147">
        <f t="shared" si="270"/>
        <v>1</v>
      </c>
      <c r="T314" s="147"/>
      <c r="U314" s="147"/>
      <c r="V314" s="147"/>
      <c r="W314" s="147"/>
      <c r="X314" s="147"/>
      <c r="Y314" s="147"/>
      <c r="Z314" s="147"/>
      <c r="AA314" s="147"/>
      <c r="AB314" s="147"/>
      <c r="AC314" s="147"/>
      <c r="AD314" s="147"/>
      <c r="AE314" s="147"/>
      <c r="AF314" s="147"/>
      <c r="AG314" s="147"/>
      <c r="AH314" s="147"/>
      <c r="AI314" s="147"/>
      <c r="AJ314" s="147"/>
      <c r="AK314" s="147"/>
      <c r="AL314" s="147"/>
      <c r="AM314" s="151"/>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c r="BI314" s="147"/>
      <c r="BJ314" s="147"/>
      <c r="BK314" s="147"/>
      <c r="BL314" s="147"/>
      <c r="BM314" s="147"/>
      <c r="BN314" s="147"/>
      <c r="BO314" s="147"/>
      <c r="BP314" s="147"/>
      <c r="BQ314" s="147"/>
      <c r="BR314" s="147"/>
      <c r="BS314" s="147"/>
      <c r="BT314" s="147"/>
      <c r="BU314" s="147"/>
      <c r="BV314" s="147"/>
      <c r="BW314" s="147"/>
      <c r="BX314" s="147"/>
      <c r="BY314" s="147"/>
      <c r="BZ314" s="147"/>
      <c r="CA314" s="147"/>
      <c r="CB314" s="147"/>
      <c r="CC314" s="147"/>
      <c r="CD314" s="147"/>
      <c r="CE314" s="147"/>
      <c r="CF314" s="147"/>
      <c r="CG314" s="147"/>
      <c r="CH314" s="147"/>
      <c r="CI314" s="147"/>
      <c r="CJ314" s="147"/>
      <c r="CK314" s="147"/>
    </row>
    <row r="315" spans="1:89">
      <c r="A315" s="159" t="s">
        <v>259</v>
      </c>
      <c r="B315" s="3" t="s">
        <v>260</v>
      </c>
      <c r="C315" s="160" t="s">
        <v>78</v>
      </c>
      <c r="D315" s="160" t="s">
        <v>871</v>
      </c>
      <c r="E315" s="3" t="s">
        <v>21</v>
      </c>
      <c r="F315" s="3" t="s">
        <v>926</v>
      </c>
      <c r="G315" s="3" t="s">
        <v>926</v>
      </c>
      <c r="H315" s="156" t="str">
        <f ca="1">IFERROR(
  _xludf.MINIFS(ATTENDANCE_LOG!$F:$F,
         ATTENDANCE_LOG!$A:$A, C315,
         ATTENDANCE_LOG!$B:$B, E315),
"")</f>
        <v/>
      </c>
      <c r="I315" s="156" t="str">
        <f t="shared" ca="1" si="266"/>
        <v/>
      </c>
      <c r="J315" s="3">
        <f>IFERROR(VLOOKUP(F315, LEVEL_HELPER!$A:$B, 2, 0), "")</f>
        <v>1</v>
      </c>
      <c r="K315" s="3">
        <f>IFERROR(VLOOKUP(G315, LEVEL_HELPER!$A:$B, 2, 0), "")</f>
        <v>1</v>
      </c>
      <c r="L315" s="157" t="s">
        <v>944</v>
      </c>
      <c r="M315" s="157" t="s">
        <v>921</v>
      </c>
      <c r="N315" s="3">
        <f t="array" aca="1" ref="N315" ca="1">IFERROR(
  INDEX($J$2:$J$543,
    MATCH(A315&amp;TEXT(I315,"yyyy-mm-dd"),
          $A$2:$A$543&amp;TEXT($H$2:$H$543,"yyyy-mm-dd"),
          0)),
"")</f>
        <v>1</v>
      </c>
      <c r="O315" s="147" t="str">
        <f t="shared" ca="1" si="267"/>
        <v/>
      </c>
      <c r="P315" s="147">
        <f t="shared" ref="P315:Q315" ca="1" si="331">IF(N315="",0,IF(N315&lt;=2,1,IF(N315&lt;=4,2,IF(N315&lt;=5.5,3,4))))</f>
        <v>1</v>
      </c>
      <c r="Q315" s="147">
        <f t="shared" ca="1" si="331"/>
        <v>0</v>
      </c>
      <c r="R315" s="147" t="str">
        <f t="shared" ca="1" si="269"/>
        <v>Regressed</v>
      </c>
      <c r="S315" s="147">
        <f t="shared" si="270"/>
        <v>1</v>
      </c>
      <c r="T315" s="147"/>
      <c r="U315" s="147"/>
      <c r="V315" s="147"/>
      <c r="W315" s="147"/>
      <c r="X315" s="147"/>
      <c r="Y315" s="147"/>
      <c r="Z315" s="147"/>
      <c r="AA315" s="147"/>
      <c r="AB315" s="147"/>
      <c r="AC315" s="147"/>
      <c r="AD315" s="147"/>
      <c r="AE315" s="147"/>
      <c r="AF315" s="147"/>
      <c r="AG315" s="147"/>
      <c r="AH315" s="147"/>
      <c r="AI315" s="147"/>
      <c r="AJ315" s="147"/>
      <c r="AK315" s="147"/>
      <c r="AL315" s="147"/>
      <c r="AM315" s="151"/>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c r="BI315" s="147"/>
      <c r="BJ315" s="147"/>
      <c r="BK315" s="147"/>
      <c r="BL315" s="147"/>
      <c r="BM315" s="147"/>
      <c r="BN315" s="147"/>
      <c r="BO315" s="147"/>
      <c r="BP315" s="147"/>
      <c r="BQ315" s="147"/>
      <c r="BR315" s="147"/>
      <c r="BS315" s="147"/>
      <c r="BT315" s="147"/>
      <c r="BU315" s="147"/>
      <c r="BV315" s="147"/>
      <c r="BW315" s="147"/>
      <c r="BX315" s="147"/>
      <c r="BY315" s="147"/>
      <c r="BZ315" s="147"/>
      <c r="CA315" s="147"/>
      <c r="CB315" s="147"/>
      <c r="CC315" s="147"/>
      <c r="CD315" s="147"/>
      <c r="CE315" s="147"/>
      <c r="CF315" s="147"/>
      <c r="CG315" s="147"/>
      <c r="CH315" s="147"/>
      <c r="CI315" s="147"/>
      <c r="CJ315" s="147"/>
      <c r="CK315" s="147"/>
    </row>
    <row r="316" spans="1:89">
      <c r="A316" s="159" t="s">
        <v>423</v>
      </c>
      <c r="B316" s="3" t="s">
        <v>424</v>
      </c>
      <c r="C316" s="160" t="s">
        <v>78</v>
      </c>
      <c r="D316" s="160" t="s">
        <v>871</v>
      </c>
      <c r="E316" s="3" t="s">
        <v>21</v>
      </c>
      <c r="F316" s="3" t="s">
        <v>926</v>
      </c>
      <c r="G316" s="3" t="s">
        <v>917</v>
      </c>
      <c r="H316" s="156" t="str">
        <f ca="1">IFERROR(
  _xludf.MINIFS(ATTENDANCE_LOG!$F:$F,
         ATTENDANCE_LOG!$A:$A, C316,
         ATTENDANCE_LOG!$B:$B, E316),
"")</f>
        <v/>
      </c>
      <c r="I316" s="156" t="str">
        <f t="shared" ca="1" si="266"/>
        <v/>
      </c>
      <c r="J316" s="3">
        <f>IFERROR(VLOOKUP(F316, LEVEL_HELPER!$A:$B, 2, 0), "")</f>
        <v>1</v>
      </c>
      <c r="K316" s="3">
        <f>IFERROR(VLOOKUP(G316, LEVEL_HELPER!$A:$B, 2, 0), "")</f>
        <v>3</v>
      </c>
      <c r="L316" s="157" t="s">
        <v>942</v>
      </c>
      <c r="M316" s="157" t="s">
        <v>921</v>
      </c>
      <c r="N316" s="3">
        <f t="array" aca="1" ref="N316" ca="1">IFERROR(
  INDEX($J$2:$J$543,
    MATCH(A316&amp;TEXT(I316,"yyyy-mm-dd"),
          $A$2:$A$543&amp;TEXT($H$2:$H$543,"yyyy-mm-dd"),
          0)),
"")</f>
        <v>1</v>
      </c>
      <c r="O316" s="147" t="str">
        <f t="shared" ca="1" si="267"/>
        <v/>
      </c>
      <c r="P316" s="147">
        <f t="shared" ref="P316:Q316" ca="1" si="332">IF(N316="",0,IF(N316&lt;=2,1,IF(N316&lt;=4,2,IF(N316&lt;=5.5,3,4))))</f>
        <v>1</v>
      </c>
      <c r="Q316" s="147">
        <f t="shared" ca="1" si="332"/>
        <v>0</v>
      </c>
      <c r="R316" s="147" t="str">
        <f t="shared" ca="1" si="269"/>
        <v>Regressed</v>
      </c>
      <c r="S316" s="147">
        <f t="shared" si="270"/>
        <v>1</v>
      </c>
      <c r="T316" s="147"/>
      <c r="U316" s="147"/>
      <c r="V316" s="147"/>
      <c r="W316" s="147"/>
      <c r="X316" s="147"/>
      <c r="Y316" s="147"/>
      <c r="Z316" s="147"/>
      <c r="AA316" s="147"/>
      <c r="AB316" s="147"/>
      <c r="AC316" s="147"/>
      <c r="AD316" s="147"/>
      <c r="AE316" s="147"/>
      <c r="AF316" s="147"/>
      <c r="AG316" s="147"/>
      <c r="AH316" s="147"/>
      <c r="AI316" s="147"/>
      <c r="AJ316" s="147"/>
      <c r="AK316" s="147"/>
      <c r="AL316" s="147"/>
      <c r="AM316" s="151"/>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c r="BI316" s="147"/>
      <c r="BJ316" s="147"/>
      <c r="BK316" s="147"/>
      <c r="BL316" s="147"/>
      <c r="BM316" s="147"/>
      <c r="BN316" s="147"/>
      <c r="BO316" s="147"/>
      <c r="BP316" s="147"/>
      <c r="BQ316" s="147"/>
      <c r="BR316" s="147"/>
      <c r="BS316" s="147"/>
      <c r="BT316" s="147"/>
      <c r="BU316" s="147"/>
      <c r="BV316" s="147"/>
      <c r="BW316" s="147"/>
      <c r="BX316" s="147"/>
      <c r="BY316" s="147"/>
      <c r="BZ316" s="147"/>
      <c r="CA316" s="147"/>
      <c r="CB316" s="147"/>
      <c r="CC316" s="147"/>
      <c r="CD316" s="147"/>
      <c r="CE316" s="147"/>
      <c r="CF316" s="147"/>
      <c r="CG316" s="147"/>
      <c r="CH316" s="147"/>
      <c r="CI316" s="147"/>
      <c r="CJ316" s="147"/>
      <c r="CK316" s="147"/>
    </row>
    <row r="317" spans="1:89">
      <c r="A317" s="159" t="s">
        <v>711</v>
      </c>
      <c r="B317" s="3" t="s">
        <v>712</v>
      </c>
      <c r="C317" s="160" t="s">
        <v>78</v>
      </c>
      <c r="D317" s="160" t="s">
        <v>871</v>
      </c>
      <c r="E317" s="3" t="s">
        <v>21</v>
      </c>
      <c r="F317" s="3" t="s">
        <v>916</v>
      </c>
      <c r="G317" s="3" t="s">
        <v>931</v>
      </c>
      <c r="H317" s="156" t="str">
        <f ca="1">IFERROR(
  _xludf.MINIFS(ATTENDANCE_LOG!$F:$F,
         ATTENDANCE_LOG!$A:$A, C317,
         ATTENDANCE_LOG!$B:$B, E317),
"")</f>
        <v/>
      </c>
      <c r="I317" s="156" t="str">
        <f t="shared" ca="1" si="266"/>
        <v/>
      </c>
      <c r="J317" s="3">
        <f>IFERROR(VLOOKUP(F317, LEVEL_HELPER!$A:$B, 2, 0), "")</f>
        <v>2.5</v>
      </c>
      <c r="K317" s="3">
        <f>IFERROR(VLOOKUP(G317, LEVEL_HELPER!$A:$B, 2, 0), "")</f>
        <v>4.5</v>
      </c>
      <c r="L317" s="157" t="s">
        <v>955</v>
      </c>
      <c r="M317" s="157" t="s">
        <v>921</v>
      </c>
      <c r="N317" s="3">
        <f t="array" aca="1" ref="N317" ca="1">IFERROR(
  INDEX($J$2:$J$543,
    MATCH(A317&amp;TEXT(I317,"yyyy-mm-dd"),
          $A$2:$A$543&amp;TEXT($H$2:$H$543,"yyyy-mm-dd"),
          0)),
"")</f>
        <v>2.5</v>
      </c>
      <c r="O317" s="147" t="str">
        <f t="shared" ca="1" si="267"/>
        <v/>
      </c>
      <c r="P317" s="147">
        <f t="shared" ref="P317:Q317" ca="1" si="333">IF(N317="",0,IF(N317&lt;=2,1,IF(N317&lt;=4,2,IF(N317&lt;=5.5,3,4))))</f>
        <v>2</v>
      </c>
      <c r="Q317" s="147">
        <f t="shared" ca="1" si="333"/>
        <v>0</v>
      </c>
      <c r="R317" s="147" t="str">
        <f t="shared" ca="1" si="269"/>
        <v>Regressed</v>
      </c>
      <c r="S317" s="147">
        <f t="shared" si="270"/>
        <v>1</v>
      </c>
      <c r="T317" s="147"/>
      <c r="U317" s="147"/>
      <c r="V317" s="147"/>
      <c r="W317" s="147"/>
      <c r="X317" s="147"/>
      <c r="Y317" s="147"/>
      <c r="Z317" s="147"/>
      <c r="AA317" s="147"/>
      <c r="AB317" s="147"/>
      <c r="AC317" s="147"/>
      <c r="AD317" s="147"/>
      <c r="AE317" s="147"/>
      <c r="AF317" s="147"/>
      <c r="AG317" s="147"/>
      <c r="AH317" s="147"/>
      <c r="AI317" s="147"/>
      <c r="AJ317" s="147"/>
      <c r="AK317" s="147"/>
      <c r="AL317" s="147"/>
      <c r="AM317" s="151"/>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c r="BL317" s="147"/>
      <c r="BM317" s="147"/>
      <c r="BN317" s="147"/>
      <c r="BO317" s="147"/>
      <c r="BP317" s="147"/>
      <c r="BQ317" s="147"/>
      <c r="BR317" s="147"/>
      <c r="BS317" s="147"/>
      <c r="BT317" s="147"/>
      <c r="BU317" s="147"/>
      <c r="BV317" s="147"/>
      <c r="BW317" s="147"/>
      <c r="BX317" s="147"/>
      <c r="BY317" s="147"/>
      <c r="BZ317" s="147"/>
      <c r="CA317" s="147"/>
      <c r="CB317" s="147"/>
      <c r="CC317" s="147"/>
      <c r="CD317" s="147"/>
      <c r="CE317" s="147"/>
      <c r="CF317" s="147"/>
      <c r="CG317" s="147"/>
      <c r="CH317" s="147"/>
      <c r="CI317" s="147"/>
      <c r="CJ317" s="147"/>
      <c r="CK317" s="147"/>
    </row>
    <row r="318" spans="1:89">
      <c r="A318" s="159" t="s">
        <v>713</v>
      </c>
      <c r="B318" s="3" t="s">
        <v>714</v>
      </c>
      <c r="C318" s="160" t="s">
        <v>78</v>
      </c>
      <c r="D318" s="160" t="s">
        <v>871</v>
      </c>
      <c r="E318" s="3" t="s">
        <v>21</v>
      </c>
      <c r="F318" s="3" t="s">
        <v>926</v>
      </c>
      <c r="G318" s="3"/>
      <c r="H318" s="156" t="str">
        <f ca="1">IFERROR(
  _xludf.MINIFS(ATTENDANCE_LOG!$F:$F,
         ATTENDANCE_LOG!$A:$A, C318,
         ATTENDANCE_LOG!$B:$B, E318),
"")</f>
        <v/>
      </c>
      <c r="I318" s="156" t="str">
        <f t="shared" ca="1" si="266"/>
        <v/>
      </c>
      <c r="J318" s="3">
        <f>IFERROR(VLOOKUP(F318, LEVEL_HELPER!$A:$B, 2, 0), "")</f>
        <v>1</v>
      </c>
      <c r="K318" s="3" t="str">
        <f>IFERROR(VLOOKUP(G318, LEVEL_HELPER!$A:$B, 2, 0), "")</f>
        <v/>
      </c>
      <c r="L318" s="157" t="s">
        <v>942</v>
      </c>
      <c r="M318" s="157" t="s">
        <v>921</v>
      </c>
      <c r="N318" s="3">
        <f t="array" aca="1" ref="N318" ca="1">IFERROR(
  INDEX($J$2:$J$543,
    MATCH(A318&amp;TEXT(I318,"yyyy-mm-dd"),
          $A$2:$A$543&amp;TEXT($H$2:$H$543,"yyyy-mm-dd"),
          0)),
"")</f>
        <v>1</v>
      </c>
      <c r="O318" s="147" t="str">
        <f t="shared" ca="1" si="267"/>
        <v/>
      </c>
      <c r="P318" s="147">
        <f t="shared" ref="P318:Q318" ca="1" si="334">IF(N318="",0,IF(N318&lt;=2,1,IF(N318&lt;=4,2,IF(N318&lt;=5.5,3,4))))</f>
        <v>1</v>
      </c>
      <c r="Q318" s="147">
        <f t="shared" ca="1" si="334"/>
        <v>0</v>
      </c>
      <c r="R318" s="147" t="str">
        <f t="shared" ca="1" si="269"/>
        <v>Regressed</v>
      </c>
      <c r="S318" s="147">
        <f t="shared" si="270"/>
        <v>1</v>
      </c>
      <c r="T318" s="147"/>
      <c r="U318" s="147"/>
      <c r="V318" s="147"/>
      <c r="W318" s="147"/>
      <c r="X318" s="147"/>
      <c r="Y318" s="147"/>
      <c r="Z318" s="147"/>
      <c r="AA318" s="147"/>
      <c r="AB318" s="147"/>
      <c r="AC318" s="147"/>
      <c r="AD318" s="147"/>
      <c r="AE318" s="147"/>
      <c r="AF318" s="147"/>
      <c r="AG318" s="147"/>
      <c r="AH318" s="147"/>
      <c r="AI318" s="147"/>
      <c r="AJ318" s="147"/>
      <c r="AK318" s="147"/>
      <c r="AL318" s="147"/>
      <c r="AM318" s="151"/>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c r="BL318" s="147"/>
      <c r="BM318" s="147"/>
      <c r="BN318" s="147"/>
      <c r="BO318" s="147"/>
      <c r="BP318" s="147"/>
      <c r="BQ318" s="147"/>
      <c r="BR318" s="147"/>
      <c r="BS318" s="147"/>
      <c r="BT318" s="147"/>
      <c r="BU318" s="147"/>
      <c r="BV318" s="147"/>
      <c r="BW318" s="147"/>
      <c r="BX318" s="147"/>
      <c r="BY318" s="147"/>
      <c r="BZ318" s="147"/>
      <c r="CA318" s="147"/>
      <c r="CB318" s="147"/>
      <c r="CC318" s="147"/>
      <c r="CD318" s="147"/>
      <c r="CE318" s="147"/>
      <c r="CF318" s="147"/>
      <c r="CG318" s="147"/>
      <c r="CH318" s="147"/>
      <c r="CI318" s="147"/>
      <c r="CJ318" s="147"/>
      <c r="CK318" s="147"/>
    </row>
    <row r="319" spans="1:89">
      <c r="A319" s="159" t="s">
        <v>182</v>
      </c>
      <c r="B319" s="3" t="s">
        <v>183</v>
      </c>
      <c r="C319" s="160" t="s">
        <v>78</v>
      </c>
      <c r="D319" s="160" t="s">
        <v>871</v>
      </c>
      <c r="E319" s="3" t="s">
        <v>22</v>
      </c>
      <c r="F319" s="3" t="s">
        <v>926</v>
      </c>
      <c r="G319" s="3" t="s">
        <v>926</v>
      </c>
      <c r="H319" s="156" t="str">
        <f ca="1">IFERROR(
  _xludf.MINIFS(ATTENDANCE_LOG!$F:$F,
         ATTENDANCE_LOG!$A:$A, C319,
         ATTENDANCE_LOG!$B:$B, E319),
"")</f>
        <v/>
      </c>
      <c r="I319" s="156" t="str">
        <f t="shared" ca="1" si="266"/>
        <v/>
      </c>
      <c r="J319" s="3">
        <f>IFERROR(VLOOKUP(F319, LEVEL_HELPER!$A:$B, 2, 0), "")</f>
        <v>1</v>
      </c>
      <c r="K319" s="3">
        <f>IFERROR(VLOOKUP(G319, LEVEL_HELPER!$A:$B, 2, 0), "")</f>
        <v>1</v>
      </c>
      <c r="L319" s="157" t="s">
        <v>918</v>
      </c>
      <c r="M319" s="157" t="s">
        <v>921</v>
      </c>
      <c r="N319" s="3">
        <f t="array" aca="1" ref="N319" ca="1">IFERROR(
  INDEX($J$2:$J$543,
    MATCH(A319&amp;TEXT(I319,"yyyy-mm-dd"),
          $A$2:$A$543&amp;TEXT($H$2:$H$543,"yyyy-mm-dd"),
          0)),
"")</f>
        <v>1</v>
      </c>
      <c r="O319" s="147" t="str">
        <f t="shared" ca="1" si="267"/>
        <v/>
      </c>
      <c r="P319" s="147">
        <f t="shared" ref="P319:Q319" ca="1" si="335">IF(N319="",0,IF(N319&lt;=2,1,IF(N319&lt;=4,2,IF(N319&lt;=5.5,3,4))))</f>
        <v>1</v>
      </c>
      <c r="Q319" s="147">
        <f t="shared" ca="1" si="335"/>
        <v>0</v>
      </c>
      <c r="R319" s="147" t="str">
        <f t="shared" ca="1" si="269"/>
        <v>Regressed</v>
      </c>
      <c r="S319" s="147">
        <f t="shared" si="270"/>
        <v>0</v>
      </c>
      <c r="T319" s="147"/>
      <c r="U319" s="147"/>
      <c r="V319" s="147"/>
      <c r="W319" s="147"/>
      <c r="X319" s="147"/>
      <c r="Y319" s="147"/>
      <c r="Z319" s="147"/>
      <c r="AA319" s="147"/>
      <c r="AB319" s="147"/>
      <c r="AC319" s="147"/>
      <c r="AD319" s="147"/>
      <c r="AE319" s="147"/>
      <c r="AF319" s="147"/>
      <c r="AG319" s="147"/>
      <c r="AH319" s="147"/>
      <c r="AI319" s="147"/>
      <c r="AJ319" s="147"/>
      <c r="AK319" s="147"/>
      <c r="AL319" s="147"/>
      <c r="AM319" s="151"/>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c r="BL319" s="147"/>
      <c r="BM319" s="147"/>
      <c r="BN319" s="147"/>
      <c r="BO319" s="147"/>
      <c r="BP319" s="147"/>
      <c r="BQ319" s="147"/>
      <c r="BR319" s="147"/>
      <c r="BS319" s="147"/>
      <c r="BT319" s="147"/>
      <c r="BU319" s="147"/>
      <c r="BV319" s="147"/>
      <c r="BW319" s="147"/>
      <c r="BX319" s="147"/>
      <c r="BY319" s="147"/>
      <c r="BZ319" s="147"/>
      <c r="CA319" s="147"/>
      <c r="CB319" s="147"/>
      <c r="CC319" s="147"/>
      <c r="CD319" s="147"/>
      <c r="CE319" s="147"/>
      <c r="CF319" s="147"/>
      <c r="CG319" s="147"/>
      <c r="CH319" s="147"/>
      <c r="CI319" s="147"/>
      <c r="CJ319" s="147"/>
      <c r="CK319" s="147"/>
    </row>
    <row r="320" spans="1:89">
      <c r="A320" s="159" t="s">
        <v>549</v>
      </c>
      <c r="B320" s="154" t="s">
        <v>550</v>
      </c>
      <c r="C320" s="155" t="s">
        <v>79</v>
      </c>
      <c r="D320" s="155" t="s">
        <v>872</v>
      </c>
      <c r="E320" s="154" t="s">
        <v>21</v>
      </c>
      <c r="F320" s="3" t="s">
        <v>916</v>
      </c>
      <c r="G320" s="3" t="s">
        <v>917</v>
      </c>
      <c r="H320" s="156" t="str">
        <f ca="1">IFERROR(
  _xludf.MINIFS(ATTENDANCE_LOG!$F:$F,
         ATTENDANCE_LOG!$A:$A, C320,
         ATTENDANCE_LOG!$B:$B, E320),
"")</f>
        <v/>
      </c>
      <c r="I320" s="156" t="str">
        <f t="shared" ca="1" si="266"/>
        <v/>
      </c>
      <c r="J320" s="3">
        <f>IFERROR(VLOOKUP(F320, LEVEL_HELPER!$A:$B, 2, 0), "")</f>
        <v>2.5</v>
      </c>
      <c r="K320" s="3">
        <f>IFERROR(VLOOKUP(G320, LEVEL_HELPER!$A:$B, 2, 0), "")</f>
        <v>3</v>
      </c>
      <c r="L320" s="157" t="s">
        <v>942</v>
      </c>
      <c r="M320" s="157" t="s">
        <v>921</v>
      </c>
      <c r="N320" s="3">
        <f t="array" aca="1" ref="N320" ca="1">IFERROR(
  INDEX($J$2:$J$543,
    MATCH(A320&amp;TEXT(I320,"yyyy-mm-dd"),
          $A$2:$A$543&amp;TEXT($H$2:$H$543,"yyyy-mm-dd"),
          0)),
"")</f>
        <v>2.5</v>
      </c>
      <c r="O320" s="147" t="str">
        <f t="shared" ca="1" si="267"/>
        <v/>
      </c>
      <c r="P320" s="147">
        <f t="shared" ref="P320:Q320" ca="1" si="336">IF(N320="",0,IF(N320&lt;=2,1,IF(N320&lt;=4,2,IF(N320&lt;=5.5,3,4))))</f>
        <v>2</v>
      </c>
      <c r="Q320" s="147">
        <f t="shared" ca="1" si="336"/>
        <v>0</v>
      </c>
      <c r="R320" s="147" t="str">
        <f t="shared" ca="1" si="269"/>
        <v>Regressed</v>
      </c>
      <c r="S320" s="147">
        <f t="shared" si="270"/>
        <v>1</v>
      </c>
      <c r="T320" s="147"/>
      <c r="U320" s="147"/>
      <c r="V320" s="147"/>
      <c r="W320" s="147"/>
      <c r="X320" s="147"/>
      <c r="Y320" s="147"/>
      <c r="Z320" s="147"/>
      <c r="AA320" s="147"/>
      <c r="AB320" s="147"/>
      <c r="AC320" s="147"/>
      <c r="AD320" s="147"/>
      <c r="AE320" s="147"/>
      <c r="AF320" s="147"/>
      <c r="AG320" s="147"/>
      <c r="AH320" s="147"/>
      <c r="AI320" s="147"/>
      <c r="AJ320" s="147"/>
      <c r="AK320" s="147"/>
      <c r="AL320" s="147"/>
      <c r="AM320" s="151"/>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c r="BL320" s="147"/>
      <c r="BM320" s="147"/>
      <c r="BN320" s="147"/>
      <c r="BO320" s="147"/>
      <c r="BP320" s="147"/>
      <c r="BQ320" s="147"/>
      <c r="BR320" s="147"/>
      <c r="BS320" s="147"/>
      <c r="BT320" s="147"/>
      <c r="BU320" s="147"/>
      <c r="BV320" s="147"/>
      <c r="BW320" s="147"/>
      <c r="BX320" s="147"/>
      <c r="BY320" s="147"/>
      <c r="BZ320" s="147"/>
      <c r="CA320" s="147"/>
      <c r="CB320" s="147"/>
      <c r="CC320" s="147"/>
      <c r="CD320" s="147"/>
      <c r="CE320" s="147"/>
      <c r="CF320" s="147"/>
      <c r="CG320" s="147"/>
      <c r="CH320" s="147"/>
      <c r="CI320" s="147"/>
      <c r="CJ320" s="147"/>
      <c r="CK320" s="147"/>
    </row>
    <row r="321" spans="1:89">
      <c r="A321" s="159" t="s">
        <v>200</v>
      </c>
      <c r="B321" s="3" t="s">
        <v>201</v>
      </c>
      <c r="C321" s="160" t="s">
        <v>79</v>
      </c>
      <c r="D321" s="160" t="s">
        <v>872</v>
      </c>
      <c r="E321" s="3" t="s">
        <v>21</v>
      </c>
      <c r="F321" s="3" t="s">
        <v>916</v>
      </c>
      <c r="G321" s="3" t="s">
        <v>931</v>
      </c>
      <c r="H321" s="156" t="str">
        <f ca="1">IFERROR(
  _xludf.MINIFS(ATTENDANCE_LOG!$F:$F,
         ATTENDANCE_LOG!$A:$A, C321,
         ATTENDANCE_LOG!$B:$B, E321),
"")</f>
        <v/>
      </c>
      <c r="I321" s="156" t="str">
        <f t="shared" ca="1" si="266"/>
        <v/>
      </c>
      <c r="J321" s="3">
        <f>IFERROR(VLOOKUP(F321, LEVEL_HELPER!$A:$B, 2, 0), "")</f>
        <v>2.5</v>
      </c>
      <c r="K321" s="3">
        <f>IFERROR(VLOOKUP(G321, LEVEL_HELPER!$A:$B, 2, 0), "")</f>
        <v>4.5</v>
      </c>
      <c r="L321" s="157" t="s">
        <v>942</v>
      </c>
      <c r="M321" s="157" t="s">
        <v>921</v>
      </c>
      <c r="N321" s="3">
        <f t="array" aca="1" ref="N321" ca="1">IFERROR(
  INDEX($J$2:$J$543,
    MATCH(A321&amp;TEXT(I321,"yyyy-mm-dd"),
          $A$2:$A$543&amp;TEXT($H$2:$H$543,"yyyy-mm-dd"),
          0)),
"")</f>
        <v>2.5</v>
      </c>
      <c r="O321" s="147" t="str">
        <f t="shared" ca="1" si="267"/>
        <v/>
      </c>
      <c r="P321" s="147">
        <f t="shared" ref="P321:Q321" ca="1" si="337">IF(N321="",0,IF(N321&lt;=2,1,IF(N321&lt;=4,2,IF(N321&lt;=5.5,3,4))))</f>
        <v>2</v>
      </c>
      <c r="Q321" s="147">
        <f t="shared" ca="1" si="337"/>
        <v>0</v>
      </c>
      <c r="R321" s="147" t="str">
        <f t="shared" ca="1" si="269"/>
        <v>Regressed</v>
      </c>
      <c r="S321" s="147">
        <f t="shared" si="270"/>
        <v>1</v>
      </c>
      <c r="T321" s="147"/>
      <c r="U321" s="147"/>
      <c r="V321" s="147"/>
      <c r="W321" s="147"/>
      <c r="X321" s="147"/>
      <c r="Y321" s="147"/>
      <c r="Z321" s="147"/>
      <c r="AA321" s="147"/>
      <c r="AB321" s="147"/>
      <c r="AC321" s="147"/>
      <c r="AD321" s="147"/>
      <c r="AE321" s="147"/>
      <c r="AF321" s="147"/>
      <c r="AG321" s="147"/>
      <c r="AH321" s="147"/>
      <c r="AI321" s="147"/>
      <c r="AJ321" s="147"/>
      <c r="AK321" s="147"/>
      <c r="AL321" s="147"/>
      <c r="AM321" s="151"/>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c r="BI321" s="147"/>
      <c r="BJ321" s="147"/>
      <c r="BK321" s="147"/>
      <c r="BL321" s="147"/>
      <c r="BM321" s="147"/>
      <c r="BN321" s="147"/>
      <c r="BO321" s="147"/>
      <c r="BP321" s="147"/>
      <c r="BQ321" s="147"/>
      <c r="BR321" s="147"/>
      <c r="BS321" s="147"/>
      <c r="BT321" s="147"/>
      <c r="BU321" s="147"/>
      <c r="BV321" s="147"/>
      <c r="BW321" s="147"/>
      <c r="BX321" s="147"/>
      <c r="BY321" s="147"/>
      <c r="BZ321" s="147"/>
      <c r="CA321" s="147"/>
      <c r="CB321" s="147"/>
      <c r="CC321" s="147"/>
      <c r="CD321" s="147"/>
      <c r="CE321" s="147"/>
      <c r="CF321" s="147"/>
      <c r="CG321" s="147"/>
      <c r="CH321" s="147"/>
      <c r="CI321" s="147"/>
      <c r="CJ321" s="147"/>
      <c r="CK321" s="147"/>
    </row>
    <row r="322" spans="1:89">
      <c r="A322" s="159" t="s">
        <v>214</v>
      </c>
      <c r="B322" s="3" t="s">
        <v>215</v>
      </c>
      <c r="C322" s="160" t="s">
        <v>79</v>
      </c>
      <c r="D322" s="160" t="s">
        <v>872</v>
      </c>
      <c r="E322" s="3" t="s">
        <v>21</v>
      </c>
      <c r="F322" s="3" t="s">
        <v>926</v>
      </c>
      <c r="G322" s="3" t="s">
        <v>928</v>
      </c>
      <c r="H322" s="156" t="str">
        <f ca="1">IFERROR(
  _xludf.MINIFS(ATTENDANCE_LOG!$F:$F,
         ATTENDANCE_LOG!$A:$A, C322,
         ATTENDANCE_LOG!$B:$B, E322),
"")</f>
        <v/>
      </c>
      <c r="I322" s="156" t="str">
        <f t="shared" ca="1" si="266"/>
        <v/>
      </c>
      <c r="J322" s="3">
        <f>IFERROR(VLOOKUP(F322, LEVEL_HELPER!$A:$B, 2, 0), "")</f>
        <v>1</v>
      </c>
      <c r="K322" s="3">
        <f>IFERROR(VLOOKUP(G322, LEVEL_HELPER!$A:$B, 2, 0), "")</f>
        <v>1.5</v>
      </c>
      <c r="L322" s="157" t="s">
        <v>942</v>
      </c>
      <c r="M322" s="157" t="s">
        <v>921</v>
      </c>
      <c r="N322" s="3">
        <f t="array" aca="1" ref="N322" ca="1">IFERROR(
  INDEX($J$2:$J$543,
    MATCH(A322&amp;TEXT(I322,"yyyy-mm-dd"),
          $A$2:$A$543&amp;TEXT($H$2:$H$543,"yyyy-mm-dd"),
          0)),
"")</f>
        <v>1</v>
      </c>
      <c r="O322" s="147" t="str">
        <f t="shared" ca="1" si="267"/>
        <v/>
      </c>
      <c r="P322" s="147">
        <f t="shared" ref="P322:Q322" ca="1" si="338">IF(N322="",0,IF(N322&lt;=2,1,IF(N322&lt;=4,2,IF(N322&lt;=5.5,3,4))))</f>
        <v>1</v>
      </c>
      <c r="Q322" s="147">
        <f t="shared" ca="1" si="338"/>
        <v>0</v>
      </c>
      <c r="R322" s="147" t="str">
        <f t="shared" ca="1" si="269"/>
        <v>Regressed</v>
      </c>
      <c r="S322" s="147">
        <f t="shared" si="270"/>
        <v>1</v>
      </c>
      <c r="T322" s="147"/>
      <c r="U322" s="147"/>
      <c r="V322" s="147"/>
      <c r="W322" s="147"/>
      <c r="X322" s="147"/>
      <c r="Y322" s="147"/>
      <c r="Z322" s="147"/>
      <c r="AA322" s="147"/>
      <c r="AB322" s="147"/>
      <c r="AC322" s="147"/>
      <c r="AD322" s="147"/>
      <c r="AE322" s="147"/>
      <c r="AF322" s="147"/>
      <c r="AG322" s="147"/>
      <c r="AH322" s="147"/>
      <c r="AI322" s="147"/>
      <c r="AJ322" s="147"/>
      <c r="AK322" s="147"/>
      <c r="AL322" s="147"/>
      <c r="AM322" s="151"/>
      <c r="AN322" s="147"/>
      <c r="AO322" s="147"/>
      <c r="AP322" s="147"/>
      <c r="AQ322" s="147"/>
      <c r="AR322" s="147"/>
      <c r="AS322" s="147"/>
      <c r="AT322" s="147"/>
      <c r="AU322" s="147"/>
      <c r="AV322" s="147"/>
      <c r="AW322" s="147"/>
      <c r="AX322" s="147"/>
      <c r="AY322" s="147"/>
      <c r="AZ322" s="147"/>
      <c r="BA322" s="147"/>
      <c r="BB322" s="147"/>
      <c r="BC322" s="147"/>
      <c r="BD322" s="147"/>
      <c r="BE322" s="147"/>
      <c r="BF322" s="147"/>
      <c r="BG322" s="147"/>
      <c r="BH322" s="147"/>
      <c r="BI322" s="147"/>
      <c r="BJ322" s="147"/>
      <c r="BK322" s="147"/>
      <c r="BL322" s="147"/>
      <c r="BM322" s="147"/>
      <c r="BN322" s="147"/>
      <c r="BO322" s="147"/>
      <c r="BP322" s="147"/>
      <c r="BQ322" s="147"/>
      <c r="BR322" s="147"/>
      <c r="BS322" s="147"/>
      <c r="BT322" s="147"/>
      <c r="BU322" s="147"/>
      <c r="BV322" s="147"/>
      <c r="BW322" s="147"/>
      <c r="BX322" s="147"/>
      <c r="BY322" s="147"/>
      <c r="BZ322" s="147"/>
      <c r="CA322" s="147"/>
      <c r="CB322" s="147"/>
      <c r="CC322" s="147"/>
      <c r="CD322" s="147"/>
      <c r="CE322" s="147"/>
      <c r="CF322" s="147"/>
      <c r="CG322" s="147"/>
      <c r="CH322" s="147"/>
      <c r="CI322" s="147"/>
      <c r="CJ322" s="147"/>
      <c r="CK322" s="147"/>
    </row>
    <row r="323" spans="1:89">
      <c r="A323" s="159" t="s">
        <v>436</v>
      </c>
      <c r="B323" s="3" t="s">
        <v>437</v>
      </c>
      <c r="C323" s="160" t="s">
        <v>79</v>
      </c>
      <c r="D323" s="160" t="s">
        <v>872</v>
      </c>
      <c r="E323" s="3" t="s">
        <v>21</v>
      </c>
      <c r="F323" s="3" t="s">
        <v>926</v>
      </c>
      <c r="G323" s="3" t="s">
        <v>934</v>
      </c>
      <c r="H323" s="156" t="str">
        <f ca="1">IFERROR(
  _xludf.MINIFS(ATTENDANCE_LOG!$F:$F,
         ATTENDANCE_LOG!$A:$A, C323,
         ATTENDANCE_LOG!$B:$B, E323),
"")</f>
        <v/>
      </c>
      <c r="I323" s="156" t="str">
        <f t="shared" ca="1" si="266"/>
        <v/>
      </c>
      <c r="J323" s="3">
        <f>IFERROR(VLOOKUP(F323, LEVEL_HELPER!$A:$B, 2, 0), "")</f>
        <v>1</v>
      </c>
      <c r="K323" s="3">
        <f>IFERROR(VLOOKUP(G323, LEVEL_HELPER!$A:$B, 2, 0), "")</f>
        <v>3.5</v>
      </c>
      <c r="L323" s="157" t="s">
        <v>942</v>
      </c>
      <c r="M323" s="157" t="s">
        <v>921</v>
      </c>
      <c r="N323" s="3">
        <f t="array" aca="1" ref="N323" ca="1">IFERROR(
  INDEX($J$2:$J$543,
    MATCH(A323&amp;TEXT(I323,"yyyy-mm-dd"),
          $A$2:$A$543&amp;TEXT($H$2:$H$543,"yyyy-mm-dd"),
          0)),
"")</f>
        <v>1</v>
      </c>
      <c r="O323" s="147" t="str">
        <f t="shared" ca="1" si="267"/>
        <v/>
      </c>
      <c r="P323" s="147">
        <f t="shared" ref="P323:Q323" ca="1" si="339">IF(N323="",0,IF(N323&lt;=2,1,IF(N323&lt;=4,2,IF(N323&lt;=5.5,3,4))))</f>
        <v>1</v>
      </c>
      <c r="Q323" s="147">
        <f t="shared" ca="1" si="339"/>
        <v>0</v>
      </c>
      <c r="R323" s="147" t="str">
        <f t="shared" ca="1" si="269"/>
        <v>Regressed</v>
      </c>
      <c r="S323" s="147">
        <f t="shared" si="270"/>
        <v>1</v>
      </c>
      <c r="T323" s="147"/>
      <c r="U323" s="147"/>
      <c r="V323" s="147"/>
      <c r="W323" s="147"/>
      <c r="X323" s="147"/>
      <c r="Y323" s="147"/>
      <c r="Z323" s="147"/>
      <c r="AA323" s="147"/>
      <c r="AB323" s="147"/>
      <c r="AC323" s="147"/>
      <c r="AD323" s="147"/>
      <c r="AE323" s="147"/>
      <c r="AF323" s="147"/>
      <c r="AG323" s="147"/>
      <c r="AH323" s="147"/>
      <c r="AI323" s="147"/>
      <c r="AJ323" s="147"/>
      <c r="AK323" s="147"/>
      <c r="AL323" s="147"/>
      <c r="AM323" s="151"/>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c r="BI323" s="147"/>
      <c r="BJ323" s="147"/>
      <c r="BK323" s="147"/>
      <c r="BL323" s="147"/>
      <c r="BM323" s="147"/>
      <c r="BN323" s="147"/>
      <c r="BO323" s="147"/>
      <c r="BP323" s="147"/>
      <c r="BQ323" s="147"/>
      <c r="BR323" s="147"/>
      <c r="BS323" s="147"/>
      <c r="BT323" s="147"/>
      <c r="BU323" s="147"/>
      <c r="BV323" s="147"/>
      <c r="BW323" s="147"/>
      <c r="BX323" s="147"/>
      <c r="BY323" s="147"/>
      <c r="BZ323" s="147"/>
      <c r="CA323" s="147"/>
      <c r="CB323" s="147"/>
      <c r="CC323" s="147"/>
      <c r="CD323" s="147"/>
      <c r="CE323" s="147"/>
      <c r="CF323" s="147"/>
      <c r="CG323" s="147"/>
      <c r="CH323" s="147"/>
      <c r="CI323" s="147"/>
      <c r="CJ323" s="147"/>
      <c r="CK323" s="147"/>
    </row>
    <row r="324" spans="1:89">
      <c r="A324" s="159" t="s">
        <v>476</v>
      </c>
      <c r="B324" s="3" t="s">
        <v>477</v>
      </c>
      <c r="C324" s="160" t="s">
        <v>79</v>
      </c>
      <c r="D324" s="160" t="s">
        <v>872</v>
      </c>
      <c r="E324" s="3" t="s">
        <v>21</v>
      </c>
      <c r="F324" s="3" t="s">
        <v>926</v>
      </c>
      <c r="G324" s="3" t="s">
        <v>926</v>
      </c>
      <c r="H324" s="156" t="str">
        <f ca="1">IFERROR(
  _xludf.MINIFS(ATTENDANCE_LOG!$F:$F,
         ATTENDANCE_LOG!$A:$A, C324,
         ATTENDANCE_LOG!$B:$B, E324),
"")</f>
        <v/>
      </c>
      <c r="I324" s="156" t="str">
        <f t="shared" ca="1" si="266"/>
        <v/>
      </c>
      <c r="J324" s="3">
        <f>IFERROR(VLOOKUP(F324, LEVEL_HELPER!$A:$B, 2, 0), "")</f>
        <v>1</v>
      </c>
      <c r="K324" s="3">
        <f>IFERROR(VLOOKUP(G324, LEVEL_HELPER!$A:$B, 2, 0), "")</f>
        <v>1</v>
      </c>
      <c r="L324" s="157" t="s">
        <v>942</v>
      </c>
      <c r="M324" s="157" t="s">
        <v>921</v>
      </c>
      <c r="N324" s="3">
        <f t="array" aca="1" ref="N324" ca="1">IFERROR(
  INDEX($J$2:$J$543,
    MATCH(A324&amp;TEXT(I324,"yyyy-mm-dd"),
          $A$2:$A$543&amp;TEXT($H$2:$H$543,"yyyy-mm-dd"),
          0)),
"")</f>
        <v>1</v>
      </c>
      <c r="O324" s="147" t="str">
        <f t="shared" ca="1" si="267"/>
        <v/>
      </c>
      <c r="P324" s="147">
        <f t="shared" ref="P324:Q324" ca="1" si="340">IF(N324="",0,IF(N324&lt;=2,1,IF(N324&lt;=4,2,IF(N324&lt;=5.5,3,4))))</f>
        <v>1</v>
      </c>
      <c r="Q324" s="147">
        <f t="shared" ca="1" si="340"/>
        <v>0</v>
      </c>
      <c r="R324" s="147" t="str">
        <f t="shared" ca="1" si="269"/>
        <v>Regressed</v>
      </c>
      <c r="S324" s="147">
        <f t="shared" si="270"/>
        <v>1</v>
      </c>
      <c r="T324" s="147"/>
      <c r="U324" s="147"/>
      <c r="V324" s="147"/>
      <c r="W324" s="147"/>
      <c r="X324" s="147"/>
      <c r="Y324" s="147"/>
      <c r="Z324" s="147"/>
      <c r="AA324" s="147"/>
      <c r="AB324" s="147"/>
      <c r="AC324" s="147"/>
      <c r="AD324" s="147"/>
      <c r="AE324" s="147"/>
      <c r="AF324" s="147"/>
      <c r="AG324" s="147"/>
      <c r="AH324" s="147"/>
      <c r="AI324" s="147"/>
      <c r="AJ324" s="147"/>
      <c r="AK324" s="147"/>
      <c r="AL324" s="147"/>
      <c r="AM324" s="151"/>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c r="BI324" s="147"/>
      <c r="BJ324" s="147"/>
      <c r="BK324" s="147"/>
      <c r="BL324" s="147"/>
      <c r="BM324" s="147"/>
      <c r="BN324" s="147"/>
      <c r="BO324" s="147"/>
      <c r="BP324" s="147"/>
      <c r="BQ324" s="147"/>
      <c r="BR324" s="147"/>
      <c r="BS324" s="147"/>
      <c r="BT324" s="147"/>
      <c r="BU324" s="147"/>
      <c r="BV324" s="147"/>
      <c r="BW324" s="147"/>
      <c r="BX324" s="147"/>
      <c r="BY324" s="147"/>
      <c r="BZ324" s="147"/>
      <c r="CA324" s="147"/>
      <c r="CB324" s="147"/>
      <c r="CC324" s="147"/>
      <c r="CD324" s="147"/>
      <c r="CE324" s="147"/>
      <c r="CF324" s="147"/>
      <c r="CG324" s="147"/>
      <c r="CH324" s="147"/>
      <c r="CI324" s="147"/>
      <c r="CJ324" s="147"/>
      <c r="CK324" s="147"/>
    </row>
    <row r="325" spans="1:89">
      <c r="A325" s="159" t="s">
        <v>488</v>
      </c>
      <c r="B325" s="3" t="s">
        <v>489</v>
      </c>
      <c r="C325" s="160" t="s">
        <v>79</v>
      </c>
      <c r="D325" s="160" t="s">
        <v>872</v>
      </c>
      <c r="E325" s="3" t="s">
        <v>21</v>
      </c>
      <c r="F325" s="3" t="s">
        <v>916</v>
      </c>
      <c r="G325" s="3" t="s">
        <v>928</v>
      </c>
      <c r="H325" s="156" t="str">
        <f ca="1">IFERROR(
  _xludf.MINIFS(ATTENDANCE_LOG!$F:$F,
         ATTENDANCE_LOG!$A:$A, C325,
         ATTENDANCE_LOG!$B:$B, E325),
"")</f>
        <v/>
      </c>
      <c r="I325" s="156" t="str">
        <f t="shared" ca="1" si="266"/>
        <v/>
      </c>
      <c r="J325" s="3">
        <f>IFERROR(VLOOKUP(F325, LEVEL_HELPER!$A:$B, 2, 0), "")</f>
        <v>2.5</v>
      </c>
      <c r="K325" s="3">
        <f>IFERROR(VLOOKUP(G325, LEVEL_HELPER!$A:$B, 2, 0), "")</f>
        <v>1.5</v>
      </c>
      <c r="L325" s="157" t="s">
        <v>918</v>
      </c>
      <c r="M325" s="157" t="s">
        <v>921</v>
      </c>
      <c r="N325" s="3">
        <f t="array" aca="1" ref="N325" ca="1">IFERROR(
  INDEX($J$2:$J$543,
    MATCH(A325&amp;TEXT(I325,"yyyy-mm-dd"),
          $A$2:$A$543&amp;TEXT($H$2:$H$543,"yyyy-mm-dd"),
          0)),
"")</f>
        <v>2.5</v>
      </c>
      <c r="O325" s="147" t="str">
        <f t="shared" ca="1" si="267"/>
        <v/>
      </c>
      <c r="P325" s="147">
        <f t="shared" ref="P325:Q325" ca="1" si="341">IF(N325="",0,IF(N325&lt;=2,1,IF(N325&lt;=4,2,IF(N325&lt;=5.5,3,4))))</f>
        <v>2</v>
      </c>
      <c r="Q325" s="147">
        <f t="shared" ca="1" si="341"/>
        <v>0</v>
      </c>
      <c r="R325" s="147" t="str">
        <f t="shared" ca="1" si="269"/>
        <v>Regressed</v>
      </c>
      <c r="S325" s="147">
        <f t="shared" si="270"/>
        <v>1</v>
      </c>
      <c r="T325" s="147"/>
      <c r="U325" s="147"/>
      <c r="V325" s="147"/>
      <c r="W325" s="147"/>
      <c r="X325" s="147"/>
      <c r="Y325" s="147"/>
      <c r="Z325" s="147"/>
      <c r="AA325" s="147"/>
      <c r="AB325" s="147"/>
      <c r="AC325" s="147"/>
      <c r="AD325" s="147"/>
      <c r="AE325" s="147"/>
      <c r="AF325" s="147"/>
      <c r="AG325" s="147"/>
      <c r="AH325" s="147"/>
      <c r="AI325" s="147"/>
      <c r="AJ325" s="147"/>
      <c r="AK325" s="147"/>
      <c r="AL325" s="147"/>
      <c r="AM325" s="151"/>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c r="BI325" s="147"/>
      <c r="BJ325" s="147"/>
      <c r="BK325" s="147"/>
      <c r="BL325" s="147"/>
      <c r="BM325" s="147"/>
      <c r="BN325" s="147"/>
      <c r="BO325" s="147"/>
      <c r="BP325" s="147"/>
      <c r="BQ325" s="147"/>
      <c r="BR325" s="147"/>
      <c r="BS325" s="147"/>
      <c r="BT325" s="147"/>
      <c r="BU325" s="147"/>
      <c r="BV325" s="147"/>
      <c r="BW325" s="147"/>
      <c r="BX325" s="147"/>
      <c r="BY325" s="147"/>
      <c r="BZ325" s="147"/>
      <c r="CA325" s="147"/>
      <c r="CB325" s="147"/>
      <c r="CC325" s="147"/>
      <c r="CD325" s="147"/>
      <c r="CE325" s="147"/>
      <c r="CF325" s="147"/>
      <c r="CG325" s="147"/>
      <c r="CH325" s="147"/>
      <c r="CI325" s="147"/>
      <c r="CJ325" s="147"/>
      <c r="CK325" s="147"/>
    </row>
    <row r="326" spans="1:89">
      <c r="A326" s="159" t="s">
        <v>661</v>
      </c>
      <c r="B326" s="154" t="s">
        <v>662</v>
      </c>
      <c r="C326" s="155" t="s">
        <v>80</v>
      </c>
      <c r="D326" s="155" t="s">
        <v>873</v>
      </c>
      <c r="E326" s="154" t="s">
        <v>21</v>
      </c>
      <c r="F326" s="3" t="s">
        <v>916</v>
      </c>
      <c r="G326" s="3"/>
      <c r="H326" s="156" t="str">
        <f ca="1">IFERROR(
  _xludf.MINIFS(ATTENDANCE_LOG!$F:$F,
         ATTENDANCE_LOG!$A:$A, C326,
         ATTENDANCE_LOG!$B:$B, E326),
"")</f>
        <v/>
      </c>
      <c r="I326" s="156" t="str">
        <f t="shared" ca="1" si="266"/>
        <v/>
      </c>
      <c r="J326" s="3">
        <f>IFERROR(VLOOKUP(F326, LEVEL_HELPER!$A:$B, 2, 0), "")</f>
        <v>2.5</v>
      </c>
      <c r="K326" s="3" t="str">
        <f>IFERROR(VLOOKUP(G326, LEVEL_HELPER!$A:$B, 2, 0), "")</f>
        <v/>
      </c>
      <c r="L326" s="157" t="s">
        <v>941</v>
      </c>
      <c r="M326" s="157" t="s">
        <v>921</v>
      </c>
      <c r="N326" s="3">
        <f t="array" aca="1" ref="N326" ca="1">IFERROR(
  INDEX($J$2:$J$543,
    MATCH(A326&amp;TEXT(I326,"yyyy-mm-dd"),
          $A$2:$A$543&amp;TEXT($H$2:$H$543,"yyyy-mm-dd"),
          0)),
"")</f>
        <v>2.5</v>
      </c>
      <c r="O326" s="147" t="str">
        <f t="shared" ca="1" si="267"/>
        <v/>
      </c>
      <c r="P326" s="147">
        <f t="shared" ref="P326:Q326" ca="1" si="342">IF(N326="",0,IF(N326&lt;=2,1,IF(N326&lt;=4,2,IF(N326&lt;=5.5,3,4))))</f>
        <v>2</v>
      </c>
      <c r="Q326" s="147">
        <f t="shared" ca="1" si="342"/>
        <v>0</v>
      </c>
      <c r="R326" s="147" t="str">
        <f t="shared" ca="1" si="269"/>
        <v>Regressed</v>
      </c>
      <c r="S326" s="147">
        <f t="shared" si="270"/>
        <v>1</v>
      </c>
      <c r="T326" s="147"/>
      <c r="U326" s="147"/>
      <c r="V326" s="147"/>
      <c r="W326" s="147"/>
      <c r="X326" s="147"/>
      <c r="Y326" s="147"/>
      <c r="Z326" s="147"/>
      <c r="AA326" s="147"/>
      <c r="AB326" s="147"/>
      <c r="AC326" s="147"/>
      <c r="AD326" s="147"/>
      <c r="AE326" s="147"/>
      <c r="AF326" s="147"/>
      <c r="AG326" s="147"/>
      <c r="AH326" s="147"/>
      <c r="AI326" s="147"/>
      <c r="AJ326" s="147"/>
      <c r="AK326" s="147"/>
      <c r="AL326" s="147"/>
      <c r="AM326" s="151"/>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c r="BI326" s="147"/>
      <c r="BJ326" s="147"/>
      <c r="BK326" s="147"/>
      <c r="BL326" s="147"/>
      <c r="BM326" s="147"/>
      <c r="BN326" s="147"/>
      <c r="BO326" s="147"/>
      <c r="BP326" s="147"/>
      <c r="BQ326" s="147"/>
      <c r="BR326" s="147"/>
      <c r="BS326" s="147"/>
      <c r="BT326" s="147"/>
      <c r="BU326" s="147"/>
      <c r="BV326" s="147"/>
      <c r="BW326" s="147"/>
      <c r="BX326" s="147"/>
      <c r="BY326" s="147"/>
      <c r="BZ326" s="147"/>
      <c r="CA326" s="147"/>
      <c r="CB326" s="147"/>
      <c r="CC326" s="147"/>
      <c r="CD326" s="147"/>
      <c r="CE326" s="147"/>
      <c r="CF326" s="147"/>
      <c r="CG326" s="147"/>
      <c r="CH326" s="147"/>
      <c r="CI326" s="147"/>
      <c r="CJ326" s="147"/>
      <c r="CK326" s="147"/>
    </row>
    <row r="327" spans="1:89">
      <c r="A327" s="159" t="s">
        <v>157</v>
      </c>
      <c r="B327" s="3" t="s">
        <v>158</v>
      </c>
      <c r="C327" s="160" t="s">
        <v>80</v>
      </c>
      <c r="D327" s="160" t="s">
        <v>873</v>
      </c>
      <c r="E327" s="3" t="s">
        <v>21</v>
      </c>
      <c r="F327" s="3" t="s">
        <v>926</v>
      </c>
      <c r="G327" s="3"/>
      <c r="H327" s="156" t="str">
        <f ca="1">IFERROR(
  _xludf.MINIFS(ATTENDANCE_LOG!$F:$F,
         ATTENDANCE_LOG!$A:$A, C327,
         ATTENDANCE_LOG!$B:$B, E327),
"")</f>
        <v/>
      </c>
      <c r="I327" s="156" t="str">
        <f t="shared" ca="1" si="266"/>
        <v/>
      </c>
      <c r="J327" s="3">
        <f>IFERROR(VLOOKUP(F327, LEVEL_HELPER!$A:$B, 2, 0), "")</f>
        <v>1</v>
      </c>
      <c r="K327" s="3" t="str">
        <f>IFERROR(VLOOKUP(G327, LEVEL_HELPER!$A:$B, 2, 0), "")</f>
        <v/>
      </c>
      <c r="L327" s="157" t="s">
        <v>918</v>
      </c>
      <c r="M327" s="157" t="s">
        <v>921</v>
      </c>
      <c r="N327" s="3">
        <f t="array" aca="1" ref="N327" ca="1">IFERROR(
  INDEX($J$2:$J$543,
    MATCH(A327&amp;TEXT(I327,"yyyy-mm-dd"),
          $A$2:$A$543&amp;TEXT($H$2:$H$543,"yyyy-mm-dd"),
          0)),
"")</f>
        <v>1</v>
      </c>
      <c r="O327" s="147" t="str">
        <f t="shared" ca="1" si="267"/>
        <v/>
      </c>
      <c r="P327" s="147">
        <f t="shared" ref="P327:Q327" ca="1" si="343">IF(N327="",0,IF(N327&lt;=2,1,IF(N327&lt;=4,2,IF(N327&lt;=5.5,3,4))))</f>
        <v>1</v>
      </c>
      <c r="Q327" s="147">
        <f t="shared" ca="1" si="343"/>
        <v>0</v>
      </c>
      <c r="R327" s="147" t="str">
        <f t="shared" ca="1" si="269"/>
        <v>Regressed</v>
      </c>
      <c r="S327" s="147">
        <f t="shared" si="270"/>
        <v>1</v>
      </c>
      <c r="T327" s="147"/>
      <c r="U327" s="147"/>
      <c r="V327" s="147"/>
      <c r="W327" s="147"/>
      <c r="X327" s="147"/>
      <c r="Y327" s="147"/>
      <c r="Z327" s="147"/>
      <c r="AA327" s="147"/>
      <c r="AB327" s="147"/>
      <c r="AC327" s="147"/>
      <c r="AD327" s="147"/>
      <c r="AE327" s="147"/>
      <c r="AF327" s="147"/>
      <c r="AG327" s="147"/>
      <c r="AH327" s="147"/>
      <c r="AI327" s="147"/>
      <c r="AJ327" s="147"/>
      <c r="AK327" s="147"/>
      <c r="AL327" s="147"/>
      <c r="AM327" s="151"/>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c r="BI327" s="147"/>
      <c r="BJ327" s="147"/>
      <c r="BK327" s="147"/>
      <c r="BL327" s="147"/>
      <c r="BM327" s="147"/>
      <c r="BN327" s="147"/>
      <c r="BO327" s="147"/>
      <c r="BP327" s="147"/>
      <c r="BQ327" s="147"/>
      <c r="BR327" s="147"/>
      <c r="BS327" s="147"/>
      <c r="BT327" s="147"/>
      <c r="BU327" s="147"/>
      <c r="BV327" s="147"/>
      <c r="BW327" s="147"/>
      <c r="BX327" s="147"/>
      <c r="BY327" s="147"/>
      <c r="BZ327" s="147"/>
      <c r="CA327" s="147"/>
      <c r="CB327" s="147"/>
      <c r="CC327" s="147"/>
      <c r="CD327" s="147"/>
      <c r="CE327" s="147"/>
      <c r="CF327" s="147"/>
      <c r="CG327" s="147"/>
      <c r="CH327" s="147"/>
      <c r="CI327" s="147"/>
      <c r="CJ327" s="147"/>
      <c r="CK327" s="147"/>
    </row>
    <row r="328" spans="1:89">
      <c r="A328" s="159" t="s">
        <v>194</v>
      </c>
      <c r="B328" s="3" t="s">
        <v>195</v>
      </c>
      <c r="C328" s="160" t="s">
        <v>80</v>
      </c>
      <c r="D328" s="160" t="s">
        <v>873</v>
      </c>
      <c r="E328" s="3" t="s">
        <v>21</v>
      </c>
      <c r="F328" s="3" t="s">
        <v>926</v>
      </c>
      <c r="G328" s="3"/>
      <c r="H328" s="156" t="str">
        <f ca="1">IFERROR(
  _xludf.MINIFS(ATTENDANCE_LOG!$F:$F,
         ATTENDANCE_LOG!$A:$A, C328,
         ATTENDANCE_LOG!$B:$B, E328),
"")</f>
        <v/>
      </c>
      <c r="I328" s="156" t="str">
        <f t="shared" ca="1" si="266"/>
        <v/>
      </c>
      <c r="J328" s="3">
        <f>IFERROR(VLOOKUP(F328, LEVEL_HELPER!$A:$B, 2, 0), "")</f>
        <v>1</v>
      </c>
      <c r="K328" s="3" t="str">
        <f>IFERROR(VLOOKUP(G328, LEVEL_HELPER!$A:$B, 2, 0), "")</f>
        <v/>
      </c>
      <c r="L328" s="157" t="s">
        <v>942</v>
      </c>
      <c r="M328" s="157" t="s">
        <v>921</v>
      </c>
      <c r="N328" s="3">
        <f t="array" aca="1" ref="N328" ca="1">IFERROR(
  INDEX($J$2:$J$543,
    MATCH(A328&amp;TEXT(I328,"yyyy-mm-dd"),
          $A$2:$A$543&amp;TEXT($H$2:$H$543,"yyyy-mm-dd"),
          0)),
"")</f>
        <v>1</v>
      </c>
      <c r="O328" s="147" t="str">
        <f t="shared" ca="1" si="267"/>
        <v/>
      </c>
      <c r="P328" s="147">
        <f t="shared" ref="P328:Q328" ca="1" si="344">IF(N328="",0,IF(N328&lt;=2,1,IF(N328&lt;=4,2,IF(N328&lt;=5.5,3,4))))</f>
        <v>1</v>
      </c>
      <c r="Q328" s="147">
        <f t="shared" ca="1" si="344"/>
        <v>0</v>
      </c>
      <c r="R328" s="147" t="str">
        <f t="shared" ca="1" si="269"/>
        <v>Regressed</v>
      </c>
      <c r="S328" s="147">
        <f t="shared" si="270"/>
        <v>1</v>
      </c>
      <c r="T328" s="147"/>
      <c r="U328" s="147"/>
      <c r="V328" s="147"/>
      <c r="W328" s="147"/>
      <c r="X328" s="147"/>
      <c r="Y328" s="147"/>
      <c r="Z328" s="147"/>
      <c r="AA328" s="147"/>
      <c r="AB328" s="147"/>
      <c r="AC328" s="147"/>
      <c r="AD328" s="147"/>
      <c r="AE328" s="147"/>
      <c r="AF328" s="147"/>
      <c r="AG328" s="147"/>
      <c r="AH328" s="147"/>
      <c r="AI328" s="147"/>
      <c r="AJ328" s="147"/>
      <c r="AK328" s="147"/>
      <c r="AL328" s="147"/>
      <c r="AM328" s="151"/>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c r="BI328" s="147"/>
      <c r="BJ328" s="147"/>
      <c r="BK328" s="147"/>
      <c r="BL328" s="147"/>
      <c r="BM328" s="147"/>
      <c r="BN328" s="147"/>
      <c r="BO328" s="147"/>
      <c r="BP328" s="147"/>
      <c r="BQ328" s="147"/>
      <c r="BR328" s="147"/>
      <c r="BS328" s="147"/>
      <c r="BT328" s="147"/>
      <c r="BU328" s="147"/>
      <c r="BV328" s="147"/>
      <c r="BW328" s="147"/>
      <c r="BX328" s="147"/>
      <c r="BY328" s="147"/>
      <c r="BZ328" s="147"/>
      <c r="CA328" s="147"/>
      <c r="CB328" s="147"/>
      <c r="CC328" s="147"/>
      <c r="CD328" s="147"/>
      <c r="CE328" s="147"/>
      <c r="CF328" s="147"/>
      <c r="CG328" s="147"/>
      <c r="CH328" s="147"/>
      <c r="CI328" s="147"/>
      <c r="CJ328" s="147"/>
      <c r="CK328" s="147"/>
    </row>
    <row r="329" spans="1:89">
      <c r="A329" s="159" t="s">
        <v>457</v>
      </c>
      <c r="B329" s="3" t="s">
        <v>458</v>
      </c>
      <c r="C329" s="160" t="s">
        <v>80</v>
      </c>
      <c r="D329" s="160" t="s">
        <v>873</v>
      </c>
      <c r="E329" s="3" t="s">
        <v>21</v>
      </c>
      <c r="F329" s="3" t="s">
        <v>916</v>
      </c>
      <c r="G329" s="3"/>
      <c r="H329" s="156" t="str">
        <f ca="1">IFERROR(
  _xludf.MINIFS(ATTENDANCE_LOG!$F:$F,
         ATTENDANCE_LOG!$A:$A, C329,
         ATTENDANCE_LOG!$B:$B, E329),
"")</f>
        <v/>
      </c>
      <c r="I329" s="156" t="str">
        <f t="shared" ca="1" si="266"/>
        <v/>
      </c>
      <c r="J329" s="3">
        <f>IFERROR(VLOOKUP(F329, LEVEL_HELPER!$A:$B, 2, 0), "")</f>
        <v>2.5</v>
      </c>
      <c r="K329" s="3" t="str">
        <f>IFERROR(VLOOKUP(G329, LEVEL_HELPER!$A:$B, 2, 0), "")</f>
        <v/>
      </c>
      <c r="L329" s="157" t="s">
        <v>918</v>
      </c>
      <c r="M329" s="157" t="s">
        <v>921</v>
      </c>
      <c r="N329" s="3">
        <f t="array" aca="1" ref="N329" ca="1">IFERROR(
  INDEX($J$2:$J$543,
    MATCH(A329&amp;TEXT(I329,"yyyy-mm-dd"),
          $A$2:$A$543&amp;TEXT($H$2:$H$543,"yyyy-mm-dd"),
          0)),
"")</f>
        <v>2.5</v>
      </c>
      <c r="O329" s="147" t="str">
        <f t="shared" ca="1" si="267"/>
        <v/>
      </c>
      <c r="P329" s="147">
        <f t="shared" ref="P329:Q329" ca="1" si="345">IF(N329="",0,IF(N329&lt;=2,1,IF(N329&lt;=4,2,IF(N329&lt;=5.5,3,4))))</f>
        <v>2</v>
      </c>
      <c r="Q329" s="147">
        <f t="shared" ca="1" si="345"/>
        <v>0</v>
      </c>
      <c r="R329" s="147" t="str">
        <f t="shared" ca="1" si="269"/>
        <v>Regressed</v>
      </c>
      <c r="S329" s="147">
        <f t="shared" si="270"/>
        <v>1</v>
      </c>
      <c r="T329" s="147"/>
      <c r="U329" s="147"/>
      <c r="V329" s="147"/>
      <c r="W329" s="147"/>
      <c r="X329" s="147"/>
      <c r="Y329" s="147"/>
      <c r="Z329" s="147"/>
      <c r="AA329" s="147"/>
      <c r="AB329" s="147"/>
      <c r="AC329" s="147"/>
      <c r="AD329" s="147"/>
      <c r="AE329" s="147"/>
      <c r="AF329" s="147"/>
      <c r="AG329" s="147"/>
      <c r="AH329" s="147"/>
      <c r="AI329" s="147"/>
      <c r="AJ329" s="147"/>
      <c r="AK329" s="147"/>
      <c r="AL329" s="147"/>
      <c r="AM329" s="151"/>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c r="BI329" s="147"/>
      <c r="BJ329" s="147"/>
      <c r="BK329" s="147"/>
      <c r="BL329" s="147"/>
      <c r="BM329" s="147"/>
      <c r="BN329" s="147"/>
      <c r="BO329" s="147"/>
      <c r="BP329" s="147"/>
      <c r="BQ329" s="147"/>
      <c r="BR329" s="147"/>
      <c r="BS329" s="147"/>
      <c r="BT329" s="147"/>
      <c r="BU329" s="147"/>
      <c r="BV329" s="147"/>
      <c r="BW329" s="147"/>
      <c r="BX329" s="147"/>
      <c r="BY329" s="147"/>
      <c r="BZ329" s="147"/>
      <c r="CA329" s="147"/>
      <c r="CB329" s="147"/>
      <c r="CC329" s="147"/>
      <c r="CD329" s="147"/>
      <c r="CE329" s="147"/>
      <c r="CF329" s="147"/>
      <c r="CG329" s="147"/>
      <c r="CH329" s="147"/>
      <c r="CI329" s="147"/>
      <c r="CJ329" s="147"/>
      <c r="CK329" s="147"/>
    </row>
    <row r="330" spans="1:89">
      <c r="A330" s="159" t="s">
        <v>541</v>
      </c>
      <c r="B330" s="3" t="s">
        <v>542</v>
      </c>
      <c r="C330" s="160" t="s">
        <v>80</v>
      </c>
      <c r="D330" s="160" t="s">
        <v>873</v>
      </c>
      <c r="E330" s="3" t="s">
        <v>21</v>
      </c>
      <c r="F330" s="3" t="s">
        <v>926</v>
      </c>
      <c r="G330" s="3"/>
      <c r="H330" s="156" t="str">
        <f ca="1">IFERROR(
  _xludf.MINIFS(ATTENDANCE_LOG!$F:$F,
         ATTENDANCE_LOG!$A:$A, C330,
         ATTENDANCE_LOG!$B:$B, E330),
"")</f>
        <v/>
      </c>
      <c r="I330" s="156" t="str">
        <f t="shared" ca="1" si="266"/>
        <v/>
      </c>
      <c r="J330" s="3">
        <f>IFERROR(VLOOKUP(F330, LEVEL_HELPER!$A:$B, 2, 0), "")</f>
        <v>1</v>
      </c>
      <c r="K330" s="3" t="str">
        <f>IFERROR(VLOOKUP(G330, LEVEL_HELPER!$A:$B, 2, 0), "")</f>
        <v/>
      </c>
      <c r="L330" s="157" t="s">
        <v>941</v>
      </c>
      <c r="M330" s="157" t="s">
        <v>921</v>
      </c>
      <c r="N330" s="3">
        <f t="array" aca="1" ref="N330" ca="1">IFERROR(
  INDEX($J$2:$J$543,
    MATCH(A330&amp;TEXT(I330,"yyyy-mm-dd"),
          $A$2:$A$543&amp;TEXT($H$2:$H$543,"yyyy-mm-dd"),
          0)),
"")</f>
        <v>1</v>
      </c>
      <c r="O330" s="147" t="str">
        <f t="shared" ca="1" si="267"/>
        <v/>
      </c>
      <c r="P330" s="147">
        <f t="shared" ref="P330:Q330" ca="1" si="346">IF(N330="",0,IF(N330&lt;=2,1,IF(N330&lt;=4,2,IF(N330&lt;=5.5,3,4))))</f>
        <v>1</v>
      </c>
      <c r="Q330" s="147">
        <f t="shared" ca="1" si="346"/>
        <v>0</v>
      </c>
      <c r="R330" s="147" t="str">
        <f t="shared" ca="1" si="269"/>
        <v>Regressed</v>
      </c>
      <c r="S330" s="147">
        <f t="shared" si="270"/>
        <v>1</v>
      </c>
      <c r="T330" s="147"/>
      <c r="U330" s="147"/>
      <c r="V330" s="147"/>
      <c r="W330" s="147"/>
      <c r="X330" s="147"/>
      <c r="Y330" s="147"/>
      <c r="Z330" s="147"/>
      <c r="AA330" s="147"/>
      <c r="AB330" s="147"/>
      <c r="AC330" s="147"/>
      <c r="AD330" s="147"/>
      <c r="AE330" s="147"/>
      <c r="AF330" s="147"/>
      <c r="AG330" s="147"/>
      <c r="AH330" s="147"/>
      <c r="AI330" s="147"/>
      <c r="AJ330" s="147"/>
      <c r="AK330" s="147"/>
      <c r="AL330" s="147"/>
      <c r="AM330" s="151"/>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c r="BI330" s="147"/>
      <c r="BJ330" s="147"/>
      <c r="BK330" s="147"/>
      <c r="BL330" s="147"/>
      <c r="BM330" s="147"/>
      <c r="BN330" s="147"/>
      <c r="BO330" s="147"/>
      <c r="BP330" s="147"/>
      <c r="BQ330" s="147"/>
      <c r="BR330" s="147"/>
      <c r="BS330" s="147"/>
      <c r="BT330" s="147"/>
      <c r="BU330" s="147"/>
      <c r="BV330" s="147"/>
      <c r="BW330" s="147"/>
      <c r="BX330" s="147"/>
      <c r="BY330" s="147"/>
      <c r="BZ330" s="147"/>
      <c r="CA330" s="147"/>
      <c r="CB330" s="147"/>
      <c r="CC330" s="147"/>
      <c r="CD330" s="147"/>
      <c r="CE330" s="147"/>
      <c r="CF330" s="147"/>
      <c r="CG330" s="147"/>
      <c r="CH330" s="147"/>
      <c r="CI330" s="147"/>
      <c r="CJ330" s="147"/>
      <c r="CK330" s="147"/>
    </row>
    <row r="331" spans="1:89">
      <c r="A331" s="159" t="s">
        <v>703</v>
      </c>
      <c r="B331" s="3" t="s">
        <v>704</v>
      </c>
      <c r="C331" s="160" t="s">
        <v>80</v>
      </c>
      <c r="D331" s="160" t="s">
        <v>873</v>
      </c>
      <c r="E331" s="3" t="s">
        <v>21</v>
      </c>
      <c r="F331" s="3" t="s">
        <v>926</v>
      </c>
      <c r="G331" s="3"/>
      <c r="H331" s="156" t="str">
        <f ca="1">IFERROR(
  _xludf.MINIFS(ATTENDANCE_LOG!$F:$F,
         ATTENDANCE_LOG!$A:$A, C331,
         ATTENDANCE_LOG!$B:$B, E331),
"")</f>
        <v/>
      </c>
      <c r="I331" s="156" t="str">
        <f t="shared" ca="1" si="266"/>
        <v/>
      </c>
      <c r="J331" s="3">
        <f>IFERROR(VLOOKUP(F331, LEVEL_HELPER!$A:$B, 2, 0), "")</f>
        <v>1</v>
      </c>
      <c r="K331" s="3" t="str">
        <f>IFERROR(VLOOKUP(G331, LEVEL_HELPER!$A:$B, 2, 0), "")</f>
        <v/>
      </c>
      <c r="L331" s="157" t="s">
        <v>942</v>
      </c>
      <c r="M331" s="157" t="s">
        <v>921</v>
      </c>
      <c r="N331" s="3">
        <f t="array" aca="1" ref="N331" ca="1">IFERROR(
  INDEX($J$2:$J$543,
    MATCH(A331&amp;TEXT(I331,"yyyy-mm-dd"),
          $A$2:$A$543&amp;TEXT($H$2:$H$543,"yyyy-mm-dd"),
          0)),
"")</f>
        <v>1</v>
      </c>
      <c r="O331" s="147" t="str">
        <f t="shared" ca="1" si="267"/>
        <v/>
      </c>
      <c r="P331" s="147">
        <f t="shared" ref="P331:Q331" ca="1" si="347">IF(N331="",0,IF(N331&lt;=2,1,IF(N331&lt;=4,2,IF(N331&lt;=5.5,3,4))))</f>
        <v>1</v>
      </c>
      <c r="Q331" s="147">
        <f t="shared" ca="1" si="347"/>
        <v>0</v>
      </c>
      <c r="R331" s="147" t="str">
        <f t="shared" ca="1" si="269"/>
        <v>Regressed</v>
      </c>
      <c r="S331" s="147">
        <f t="shared" si="270"/>
        <v>1</v>
      </c>
      <c r="T331" s="147"/>
      <c r="U331" s="147"/>
      <c r="V331" s="147"/>
      <c r="W331" s="147"/>
      <c r="X331" s="147"/>
      <c r="Y331" s="147"/>
      <c r="Z331" s="147"/>
      <c r="AA331" s="147"/>
      <c r="AB331" s="147"/>
      <c r="AC331" s="147"/>
      <c r="AD331" s="147"/>
      <c r="AE331" s="147"/>
      <c r="AF331" s="147"/>
      <c r="AG331" s="147"/>
      <c r="AH331" s="147"/>
      <c r="AI331" s="147"/>
      <c r="AJ331" s="147"/>
      <c r="AK331" s="147"/>
      <c r="AL331" s="147"/>
      <c r="AM331" s="151"/>
      <c r="AN331" s="147"/>
      <c r="AO331" s="147"/>
      <c r="AP331" s="147"/>
      <c r="AQ331" s="147"/>
      <c r="AR331" s="147"/>
      <c r="AS331" s="147"/>
      <c r="AT331" s="147"/>
      <c r="AU331" s="147"/>
      <c r="AV331" s="147"/>
      <c r="AW331" s="147"/>
      <c r="AX331" s="147"/>
      <c r="AY331" s="147"/>
      <c r="AZ331" s="147"/>
      <c r="BA331" s="147"/>
      <c r="BB331" s="147"/>
      <c r="BC331" s="147"/>
      <c r="BD331" s="147"/>
      <c r="BE331" s="147"/>
      <c r="BF331" s="147"/>
      <c r="BG331" s="147"/>
      <c r="BH331" s="147"/>
      <c r="BI331" s="147"/>
      <c r="BJ331" s="147"/>
      <c r="BK331" s="147"/>
      <c r="BL331" s="147"/>
      <c r="BM331" s="147"/>
      <c r="BN331" s="147"/>
      <c r="BO331" s="147"/>
      <c r="BP331" s="147"/>
      <c r="BQ331" s="147"/>
      <c r="BR331" s="147"/>
      <c r="BS331" s="147"/>
      <c r="BT331" s="147"/>
      <c r="BU331" s="147"/>
      <c r="BV331" s="147"/>
      <c r="BW331" s="147"/>
      <c r="BX331" s="147"/>
      <c r="BY331" s="147"/>
      <c r="BZ331" s="147"/>
      <c r="CA331" s="147"/>
      <c r="CB331" s="147"/>
      <c r="CC331" s="147"/>
      <c r="CD331" s="147"/>
      <c r="CE331" s="147"/>
      <c r="CF331" s="147"/>
      <c r="CG331" s="147"/>
      <c r="CH331" s="147"/>
      <c r="CI331" s="147"/>
      <c r="CJ331" s="147"/>
      <c r="CK331" s="147"/>
    </row>
    <row r="332" spans="1:89">
      <c r="A332" s="159" t="s">
        <v>707</v>
      </c>
      <c r="B332" s="3" t="s">
        <v>708</v>
      </c>
      <c r="C332" s="160" t="s">
        <v>80</v>
      </c>
      <c r="D332" s="160" t="s">
        <v>873</v>
      </c>
      <c r="E332" s="3" t="s">
        <v>21</v>
      </c>
      <c r="F332" s="3" t="s">
        <v>926</v>
      </c>
      <c r="G332" s="3"/>
      <c r="H332" s="156" t="str">
        <f ca="1">IFERROR(
  _xludf.MINIFS(ATTENDANCE_LOG!$F:$F,
         ATTENDANCE_LOG!$A:$A, C332,
         ATTENDANCE_LOG!$B:$B, E332),
"")</f>
        <v/>
      </c>
      <c r="I332" s="156" t="str">
        <f t="shared" ca="1" si="266"/>
        <v/>
      </c>
      <c r="J332" s="3">
        <f>IFERROR(VLOOKUP(F332, LEVEL_HELPER!$A:$B, 2, 0), "")</f>
        <v>1</v>
      </c>
      <c r="K332" s="3" t="str">
        <f>IFERROR(VLOOKUP(G332, LEVEL_HELPER!$A:$B, 2, 0), "")</f>
        <v/>
      </c>
      <c r="L332" s="157" t="s">
        <v>941</v>
      </c>
      <c r="M332" s="157" t="s">
        <v>921</v>
      </c>
      <c r="N332" s="3">
        <f t="array" aca="1" ref="N332" ca="1">IFERROR(
  INDEX($J$2:$J$543,
    MATCH(A332&amp;TEXT(I332,"yyyy-mm-dd"),
          $A$2:$A$543&amp;TEXT($H$2:$H$543,"yyyy-mm-dd"),
          0)),
"")</f>
        <v>1</v>
      </c>
      <c r="O332" s="147" t="str">
        <f t="shared" ca="1" si="267"/>
        <v/>
      </c>
      <c r="P332" s="147">
        <f t="shared" ref="P332:Q332" ca="1" si="348">IF(N332="",0,IF(N332&lt;=2,1,IF(N332&lt;=4,2,IF(N332&lt;=5.5,3,4))))</f>
        <v>1</v>
      </c>
      <c r="Q332" s="147">
        <f t="shared" ca="1" si="348"/>
        <v>0</v>
      </c>
      <c r="R332" s="147" t="str">
        <f t="shared" ca="1" si="269"/>
        <v>Regressed</v>
      </c>
      <c r="S332" s="147">
        <f t="shared" si="270"/>
        <v>1</v>
      </c>
      <c r="T332" s="147"/>
      <c r="U332" s="147"/>
      <c r="V332" s="147"/>
      <c r="W332" s="147"/>
      <c r="X332" s="147"/>
      <c r="Y332" s="147"/>
      <c r="Z332" s="147"/>
      <c r="AA332" s="147"/>
      <c r="AB332" s="147"/>
      <c r="AC332" s="147"/>
      <c r="AD332" s="147"/>
      <c r="AE332" s="147"/>
      <c r="AF332" s="147"/>
      <c r="AG332" s="147"/>
      <c r="AH332" s="147"/>
      <c r="AI332" s="147"/>
      <c r="AJ332" s="147"/>
      <c r="AK332" s="147"/>
      <c r="AL332" s="147"/>
      <c r="AM332" s="151"/>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c r="BI332" s="147"/>
      <c r="BJ332" s="147"/>
      <c r="BK332" s="147"/>
      <c r="BL332" s="147"/>
      <c r="BM332" s="147"/>
      <c r="BN332" s="147"/>
      <c r="BO332" s="147"/>
      <c r="BP332" s="147"/>
      <c r="BQ332" s="147"/>
      <c r="BR332" s="147"/>
      <c r="BS332" s="147"/>
      <c r="BT332" s="147"/>
      <c r="BU332" s="147"/>
      <c r="BV332" s="147"/>
      <c r="BW332" s="147"/>
      <c r="BX332" s="147"/>
      <c r="BY332" s="147"/>
      <c r="BZ332" s="147"/>
      <c r="CA332" s="147"/>
      <c r="CB332" s="147"/>
      <c r="CC332" s="147"/>
      <c r="CD332" s="147"/>
      <c r="CE332" s="147"/>
      <c r="CF332" s="147"/>
      <c r="CG332" s="147"/>
      <c r="CH332" s="147"/>
      <c r="CI332" s="147"/>
      <c r="CJ332" s="147"/>
      <c r="CK332" s="147"/>
    </row>
    <row r="333" spans="1:89">
      <c r="A333" s="159" t="s">
        <v>512</v>
      </c>
      <c r="B333" s="154" t="s">
        <v>513</v>
      </c>
      <c r="C333" s="155" t="s">
        <v>81</v>
      </c>
      <c r="D333" s="155" t="s">
        <v>874</v>
      </c>
      <c r="E333" s="154" t="s">
        <v>21</v>
      </c>
      <c r="F333" s="3" t="s">
        <v>926</v>
      </c>
      <c r="G333" s="3" t="s">
        <v>916</v>
      </c>
      <c r="H333" s="156" t="str">
        <f ca="1">IFERROR(
  _xludf.MINIFS(ATTENDANCE_LOG!$F:$F,
         ATTENDANCE_LOG!$A:$A, C333,
         ATTENDANCE_LOG!$B:$B, E333),
"")</f>
        <v/>
      </c>
      <c r="I333" s="156" t="str">
        <f t="shared" ca="1" si="266"/>
        <v/>
      </c>
      <c r="J333" s="3">
        <f>IFERROR(VLOOKUP(F333, LEVEL_HELPER!$A:$B, 2, 0), "")</f>
        <v>1</v>
      </c>
      <c r="K333" s="3">
        <f>IFERROR(VLOOKUP(G333, LEVEL_HELPER!$A:$B, 2, 0), "")</f>
        <v>2.5</v>
      </c>
      <c r="L333" s="157" t="s">
        <v>942</v>
      </c>
      <c r="M333" s="157" t="s">
        <v>923</v>
      </c>
      <c r="N333" s="3">
        <f t="array" aca="1" ref="N333" ca="1">IFERROR(
  INDEX($J$2:$J$543,
    MATCH(A333&amp;TEXT(I333,"yyyy-mm-dd"),
          $A$2:$A$543&amp;TEXT($H$2:$H$543,"yyyy-mm-dd"),
          0)),
"")</f>
        <v>1</v>
      </c>
      <c r="O333" s="147" t="str">
        <f t="shared" ca="1" si="267"/>
        <v/>
      </c>
      <c r="P333" s="147">
        <f t="shared" ref="P333:Q333" ca="1" si="349">IF(N333="",0,IF(N333&lt;=2,1,IF(N333&lt;=4,2,IF(N333&lt;=5.5,3,4))))</f>
        <v>1</v>
      </c>
      <c r="Q333" s="147">
        <f t="shared" ca="1" si="349"/>
        <v>0</v>
      </c>
      <c r="R333" s="147" t="str">
        <f t="shared" ca="1" si="269"/>
        <v>Regressed</v>
      </c>
      <c r="S333" s="147">
        <f t="shared" si="270"/>
        <v>1</v>
      </c>
      <c r="T333" s="147"/>
      <c r="U333" s="147"/>
      <c r="V333" s="147"/>
      <c r="W333" s="147"/>
      <c r="X333" s="147"/>
      <c r="Y333" s="147"/>
      <c r="Z333" s="147"/>
      <c r="AA333" s="147"/>
      <c r="AB333" s="147"/>
      <c r="AC333" s="147"/>
      <c r="AD333" s="147"/>
      <c r="AE333" s="147"/>
      <c r="AF333" s="147"/>
      <c r="AG333" s="147"/>
      <c r="AH333" s="147"/>
      <c r="AI333" s="147"/>
      <c r="AJ333" s="147"/>
      <c r="AK333" s="147"/>
      <c r="AL333" s="147"/>
      <c r="AM333" s="151"/>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c r="BI333" s="147"/>
      <c r="BJ333" s="147"/>
      <c r="BK333" s="147"/>
      <c r="BL333" s="147"/>
      <c r="BM333" s="147"/>
      <c r="BN333" s="147"/>
      <c r="BO333" s="147"/>
      <c r="BP333" s="147"/>
      <c r="BQ333" s="147"/>
      <c r="BR333" s="147"/>
      <c r="BS333" s="147"/>
      <c r="BT333" s="147"/>
      <c r="BU333" s="147"/>
      <c r="BV333" s="147"/>
      <c r="BW333" s="147"/>
      <c r="BX333" s="147"/>
      <c r="BY333" s="147"/>
      <c r="BZ333" s="147"/>
      <c r="CA333" s="147"/>
      <c r="CB333" s="147"/>
      <c r="CC333" s="147"/>
      <c r="CD333" s="147"/>
      <c r="CE333" s="147"/>
      <c r="CF333" s="147"/>
      <c r="CG333" s="147"/>
      <c r="CH333" s="147"/>
      <c r="CI333" s="147"/>
      <c r="CJ333" s="147"/>
      <c r="CK333" s="147"/>
    </row>
    <row r="334" spans="1:89">
      <c r="A334" s="159" t="s">
        <v>524</v>
      </c>
      <c r="B334" s="3" t="s">
        <v>525</v>
      </c>
      <c r="C334" s="160" t="s">
        <v>81</v>
      </c>
      <c r="D334" s="160" t="s">
        <v>874</v>
      </c>
      <c r="E334" s="3" t="s">
        <v>21</v>
      </c>
      <c r="F334" s="3" t="s">
        <v>25</v>
      </c>
      <c r="G334" s="3" t="s">
        <v>928</v>
      </c>
      <c r="H334" s="156" t="str">
        <f ca="1">IFERROR(
  _xludf.MINIFS(ATTENDANCE_LOG!$F:$F,
         ATTENDANCE_LOG!$A:$A, C334,
         ATTENDANCE_LOG!$B:$B, E334),
"")</f>
        <v/>
      </c>
      <c r="I334" s="156" t="str">
        <f t="shared" ca="1" si="266"/>
        <v/>
      </c>
      <c r="J334" s="3">
        <f>IFERROR(VLOOKUP(F334, LEVEL_HELPER!$A:$B, 2, 0), "")</f>
        <v>0.5</v>
      </c>
      <c r="K334" s="3">
        <f>IFERROR(VLOOKUP(G334, LEVEL_HELPER!$A:$B, 2, 0), "")</f>
        <v>1.5</v>
      </c>
      <c r="L334" s="157" t="s">
        <v>942</v>
      </c>
      <c r="M334" s="157" t="s">
        <v>923</v>
      </c>
      <c r="N334" s="3">
        <f t="array" aca="1" ref="N334" ca="1">IFERROR(
  INDEX($J$2:$J$543,
    MATCH(A334&amp;TEXT(I334,"yyyy-mm-dd"),
          $A$2:$A$543&amp;TEXT($H$2:$H$543,"yyyy-mm-dd"),
          0)),
"")</f>
        <v>0.5</v>
      </c>
      <c r="O334" s="147" t="str">
        <f t="shared" ca="1" si="267"/>
        <v/>
      </c>
      <c r="P334" s="147">
        <f t="shared" ref="P334:Q334" ca="1" si="350">IF(N334="",0,IF(N334&lt;=2,1,IF(N334&lt;=4,2,IF(N334&lt;=5.5,3,4))))</f>
        <v>1</v>
      </c>
      <c r="Q334" s="147">
        <f t="shared" ca="1" si="350"/>
        <v>0</v>
      </c>
      <c r="R334" s="147" t="str">
        <f t="shared" ca="1" si="269"/>
        <v>Regressed</v>
      </c>
      <c r="S334" s="147">
        <f t="shared" si="270"/>
        <v>1</v>
      </c>
      <c r="T334" s="147"/>
      <c r="U334" s="147"/>
      <c r="V334" s="147"/>
      <c r="W334" s="147"/>
      <c r="X334" s="147"/>
      <c r="Y334" s="147"/>
      <c r="Z334" s="147"/>
      <c r="AA334" s="147"/>
      <c r="AB334" s="147"/>
      <c r="AC334" s="147"/>
      <c r="AD334" s="147"/>
      <c r="AE334" s="147"/>
      <c r="AF334" s="147"/>
      <c r="AG334" s="147"/>
      <c r="AH334" s="147"/>
      <c r="AI334" s="147"/>
      <c r="AJ334" s="147"/>
      <c r="AK334" s="147"/>
      <c r="AL334" s="147"/>
      <c r="AM334" s="151"/>
      <c r="AN334" s="147"/>
      <c r="AO334" s="147"/>
      <c r="AP334" s="147"/>
      <c r="AQ334" s="147"/>
      <c r="AR334" s="147"/>
      <c r="AS334" s="147"/>
      <c r="AT334" s="147"/>
      <c r="AU334" s="147"/>
      <c r="AV334" s="147"/>
      <c r="AW334" s="147"/>
      <c r="AX334" s="147"/>
      <c r="AY334" s="147"/>
      <c r="AZ334" s="147"/>
      <c r="BA334" s="147"/>
      <c r="BB334" s="147"/>
      <c r="BC334" s="147"/>
      <c r="BD334" s="147"/>
      <c r="BE334" s="147"/>
      <c r="BF334" s="147"/>
      <c r="BG334" s="147"/>
      <c r="BH334" s="147"/>
      <c r="BI334" s="147"/>
      <c r="BJ334" s="147"/>
      <c r="BK334" s="147"/>
      <c r="BL334" s="147"/>
      <c r="BM334" s="147"/>
      <c r="BN334" s="147"/>
      <c r="BO334" s="147"/>
      <c r="BP334" s="147"/>
      <c r="BQ334" s="147"/>
      <c r="BR334" s="147"/>
      <c r="BS334" s="147"/>
      <c r="BT334" s="147"/>
      <c r="BU334" s="147"/>
      <c r="BV334" s="147"/>
      <c r="BW334" s="147"/>
      <c r="BX334" s="147"/>
      <c r="BY334" s="147"/>
      <c r="BZ334" s="147"/>
      <c r="CA334" s="147"/>
      <c r="CB334" s="147"/>
      <c r="CC334" s="147"/>
      <c r="CD334" s="147"/>
      <c r="CE334" s="147"/>
      <c r="CF334" s="147"/>
      <c r="CG334" s="147"/>
      <c r="CH334" s="147"/>
      <c r="CI334" s="147"/>
      <c r="CJ334" s="147"/>
      <c r="CK334" s="147"/>
    </row>
    <row r="335" spans="1:89">
      <c r="A335" s="159" t="s">
        <v>530</v>
      </c>
      <c r="B335" s="3" t="s">
        <v>531</v>
      </c>
      <c r="C335" s="160" t="s">
        <v>81</v>
      </c>
      <c r="D335" s="160" t="s">
        <v>874</v>
      </c>
      <c r="E335" s="3" t="s">
        <v>21</v>
      </c>
      <c r="F335" s="3" t="s">
        <v>926</v>
      </c>
      <c r="G335" s="3" t="s">
        <v>917</v>
      </c>
      <c r="H335" s="156" t="str">
        <f ca="1">IFERROR(
  _xludf.MINIFS(ATTENDANCE_LOG!$F:$F,
         ATTENDANCE_LOG!$A:$A, C335,
         ATTENDANCE_LOG!$B:$B, E335),
"")</f>
        <v/>
      </c>
      <c r="I335" s="156" t="str">
        <f t="shared" ca="1" si="266"/>
        <v/>
      </c>
      <c r="J335" s="3">
        <f>IFERROR(VLOOKUP(F335, LEVEL_HELPER!$A:$B, 2, 0), "")</f>
        <v>1</v>
      </c>
      <c r="K335" s="3">
        <f>IFERROR(VLOOKUP(G335, LEVEL_HELPER!$A:$B, 2, 0), "")</f>
        <v>3</v>
      </c>
      <c r="L335" s="157" t="s">
        <v>942</v>
      </c>
      <c r="M335" s="157" t="s">
        <v>923</v>
      </c>
      <c r="N335" s="3">
        <f t="array" aca="1" ref="N335" ca="1">IFERROR(
  INDEX($J$2:$J$543,
    MATCH(A335&amp;TEXT(I335,"yyyy-mm-dd"),
          $A$2:$A$543&amp;TEXT($H$2:$H$543,"yyyy-mm-dd"),
          0)),
"")</f>
        <v>1</v>
      </c>
      <c r="O335" s="147" t="str">
        <f t="shared" ca="1" si="267"/>
        <v/>
      </c>
      <c r="P335" s="147">
        <f t="shared" ref="P335:Q335" ca="1" si="351">IF(N335="",0,IF(N335&lt;=2,1,IF(N335&lt;=4,2,IF(N335&lt;=5.5,3,4))))</f>
        <v>1</v>
      </c>
      <c r="Q335" s="147">
        <f t="shared" ca="1" si="351"/>
        <v>0</v>
      </c>
      <c r="R335" s="147" t="str">
        <f t="shared" ca="1" si="269"/>
        <v>Regressed</v>
      </c>
      <c r="S335" s="147">
        <f t="shared" si="270"/>
        <v>1</v>
      </c>
      <c r="T335" s="147"/>
      <c r="U335" s="147"/>
      <c r="V335" s="147"/>
      <c r="W335" s="147"/>
      <c r="X335" s="147"/>
      <c r="Y335" s="147"/>
      <c r="Z335" s="147"/>
      <c r="AA335" s="147"/>
      <c r="AB335" s="147"/>
      <c r="AC335" s="147"/>
      <c r="AD335" s="147"/>
      <c r="AE335" s="147"/>
      <c r="AF335" s="147"/>
      <c r="AG335" s="147"/>
      <c r="AH335" s="147"/>
      <c r="AI335" s="147"/>
      <c r="AJ335" s="147"/>
      <c r="AK335" s="147"/>
      <c r="AL335" s="147"/>
      <c r="AM335" s="151"/>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c r="BI335" s="147"/>
      <c r="BJ335" s="147"/>
      <c r="BK335" s="147"/>
      <c r="BL335" s="147"/>
      <c r="BM335" s="147"/>
      <c r="BN335" s="147"/>
      <c r="BO335" s="147"/>
      <c r="BP335" s="147"/>
      <c r="BQ335" s="147"/>
      <c r="BR335" s="147"/>
      <c r="BS335" s="147"/>
      <c r="BT335" s="147"/>
      <c r="BU335" s="147"/>
      <c r="BV335" s="147"/>
      <c r="BW335" s="147"/>
      <c r="BX335" s="147"/>
      <c r="BY335" s="147"/>
      <c r="BZ335" s="147"/>
      <c r="CA335" s="147"/>
      <c r="CB335" s="147"/>
      <c r="CC335" s="147"/>
      <c r="CD335" s="147"/>
      <c r="CE335" s="147"/>
      <c r="CF335" s="147"/>
      <c r="CG335" s="147"/>
      <c r="CH335" s="147"/>
      <c r="CI335" s="147"/>
      <c r="CJ335" s="147"/>
      <c r="CK335" s="147"/>
    </row>
    <row r="336" spans="1:89">
      <c r="A336" s="159" t="s">
        <v>621</v>
      </c>
      <c r="B336" s="3" t="s">
        <v>622</v>
      </c>
      <c r="C336" s="160" t="s">
        <v>81</v>
      </c>
      <c r="D336" s="160" t="s">
        <v>874</v>
      </c>
      <c r="E336" s="3" t="s">
        <v>21</v>
      </c>
      <c r="F336" s="3" t="s">
        <v>926</v>
      </c>
      <c r="G336" s="3" t="s">
        <v>934</v>
      </c>
      <c r="H336" s="156" t="str">
        <f ca="1">IFERROR(
  _xludf.MINIFS(ATTENDANCE_LOG!$F:$F,
         ATTENDANCE_LOG!$A:$A, C336,
         ATTENDANCE_LOG!$B:$B, E336),
"")</f>
        <v/>
      </c>
      <c r="I336" s="156" t="str">
        <f t="shared" ca="1" si="266"/>
        <v/>
      </c>
      <c r="J336" s="3">
        <f>IFERROR(VLOOKUP(F336, LEVEL_HELPER!$A:$B, 2, 0), "")</f>
        <v>1</v>
      </c>
      <c r="K336" s="3">
        <f>IFERROR(VLOOKUP(G336, LEVEL_HELPER!$A:$B, 2, 0), "")</f>
        <v>3.5</v>
      </c>
      <c r="L336" s="157" t="s">
        <v>942</v>
      </c>
      <c r="M336" s="157" t="s">
        <v>923</v>
      </c>
      <c r="N336" s="3">
        <f t="array" aca="1" ref="N336" ca="1">IFERROR(
  INDEX($J$2:$J$543,
    MATCH(A336&amp;TEXT(I336,"yyyy-mm-dd"),
          $A$2:$A$543&amp;TEXT($H$2:$H$543,"yyyy-mm-dd"),
          0)),
"")</f>
        <v>1</v>
      </c>
      <c r="O336" s="147" t="str">
        <f t="shared" ca="1" si="267"/>
        <v/>
      </c>
      <c r="P336" s="147">
        <f t="shared" ref="P336:Q336" ca="1" si="352">IF(N336="",0,IF(N336&lt;=2,1,IF(N336&lt;=4,2,IF(N336&lt;=5.5,3,4))))</f>
        <v>1</v>
      </c>
      <c r="Q336" s="147">
        <f t="shared" ca="1" si="352"/>
        <v>0</v>
      </c>
      <c r="R336" s="147" t="str">
        <f t="shared" ca="1" si="269"/>
        <v>Regressed</v>
      </c>
      <c r="S336" s="147">
        <f t="shared" si="270"/>
        <v>1</v>
      </c>
      <c r="T336" s="147"/>
      <c r="U336" s="147"/>
      <c r="V336" s="147"/>
      <c r="W336" s="147"/>
      <c r="X336" s="147"/>
      <c r="Y336" s="147"/>
      <c r="Z336" s="147"/>
      <c r="AA336" s="147"/>
      <c r="AB336" s="147"/>
      <c r="AC336" s="147"/>
      <c r="AD336" s="147"/>
      <c r="AE336" s="147"/>
      <c r="AF336" s="147"/>
      <c r="AG336" s="147"/>
      <c r="AH336" s="147"/>
      <c r="AI336" s="147"/>
      <c r="AJ336" s="147"/>
      <c r="AK336" s="147"/>
      <c r="AL336" s="147"/>
      <c r="AM336" s="151"/>
      <c r="AN336" s="147"/>
      <c r="AO336" s="147"/>
      <c r="AP336" s="147"/>
      <c r="AQ336" s="147"/>
      <c r="AR336" s="147"/>
      <c r="AS336" s="147"/>
      <c r="AT336" s="147"/>
      <c r="AU336" s="147"/>
      <c r="AV336" s="147"/>
      <c r="AW336" s="147"/>
      <c r="AX336" s="147"/>
      <c r="AY336" s="147"/>
      <c r="AZ336" s="147"/>
      <c r="BA336" s="147"/>
      <c r="BB336" s="147"/>
      <c r="BC336" s="147"/>
      <c r="BD336" s="147"/>
      <c r="BE336" s="147"/>
      <c r="BF336" s="147"/>
      <c r="BG336" s="147"/>
      <c r="BH336" s="147"/>
      <c r="BI336" s="147"/>
      <c r="BJ336" s="147"/>
      <c r="BK336" s="147"/>
      <c r="BL336" s="147"/>
      <c r="BM336" s="147"/>
      <c r="BN336" s="147"/>
      <c r="BO336" s="147"/>
      <c r="BP336" s="147"/>
      <c r="BQ336" s="147"/>
      <c r="BR336" s="147"/>
      <c r="BS336" s="147"/>
      <c r="BT336" s="147"/>
      <c r="BU336" s="147"/>
      <c r="BV336" s="147"/>
      <c r="BW336" s="147"/>
      <c r="BX336" s="147"/>
      <c r="BY336" s="147"/>
      <c r="BZ336" s="147"/>
      <c r="CA336" s="147"/>
      <c r="CB336" s="147"/>
      <c r="CC336" s="147"/>
      <c r="CD336" s="147"/>
      <c r="CE336" s="147"/>
      <c r="CF336" s="147"/>
      <c r="CG336" s="147"/>
      <c r="CH336" s="147"/>
      <c r="CI336" s="147"/>
      <c r="CJ336" s="147"/>
      <c r="CK336" s="147"/>
    </row>
    <row r="337" spans="1:89">
      <c r="A337" s="159" t="s">
        <v>526</v>
      </c>
      <c r="B337" s="154" t="s">
        <v>527</v>
      </c>
      <c r="C337" s="155" t="s">
        <v>82</v>
      </c>
      <c r="D337" s="155" t="s">
        <v>875</v>
      </c>
      <c r="E337" s="154" t="s">
        <v>21</v>
      </c>
      <c r="F337" s="3" t="s">
        <v>926</v>
      </c>
      <c r="G337" s="3" t="s">
        <v>926</v>
      </c>
      <c r="H337" s="156" t="str">
        <f ca="1">IFERROR(
  _xludf.MINIFS(ATTENDANCE_LOG!$F:$F,
         ATTENDANCE_LOG!$A:$A, C337,
         ATTENDANCE_LOG!$B:$B, E337),
"")</f>
        <v/>
      </c>
      <c r="I337" s="156" t="str">
        <f t="shared" ca="1" si="266"/>
        <v/>
      </c>
      <c r="J337" s="3">
        <f>IFERROR(VLOOKUP(F337, LEVEL_HELPER!$A:$B, 2, 0), "")</f>
        <v>1</v>
      </c>
      <c r="K337" s="3">
        <f>IFERROR(VLOOKUP(G337, LEVEL_HELPER!$A:$B, 2, 0), "")</f>
        <v>1</v>
      </c>
      <c r="L337" s="157" t="s">
        <v>942</v>
      </c>
      <c r="M337" s="157" t="s">
        <v>923</v>
      </c>
      <c r="N337" s="3">
        <f t="array" aca="1" ref="N337" ca="1">IFERROR(
  INDEX($J$2:$J$543,
    MATCH(A337&amp;TEXT(I337,"yyyy-mm-dd"),
          $A$2:$A$543&amp;TEXT($H$2:$H$543,"yyyy-mm-dd"),
          0)),
"")</f>
        <v>1</v>
      </c>
      <c r="O337" s="147" t="str">
        <f t="shared" ca="1" si="267"/>
        <v/>
      </c>
      <c r="P337" s="147">
        <f t="shared" ref="P337:Q337" ca="1" si="353">IF(N337="",0,IF(N337&lt;=2,1,IF(N337&lt;=4,2,IF(N337&lt;=5.5,3,4))))</f>
        <v>1</v>
      </c>
      <c r="Q337" s="147">
        <f t="shared" ca="1" si="353"/>
        <v>0</v>
      </c>
      <c r="R337" s="147" t="str">
        <f t="shared" ca="1" si="269"/>
        <v>Regressed</v>
      </c>
      <c r="S337" s="147">
        <f t="shared" si="270"/>
        <v>1</v>
      </c>
      <c r="T337" s="147"/>
      <c r="U337" s="147"/>
      <c r="V337" s="147"/>
      <c r="W337" s="147"/>
      <c r="X337" s="147"/>
      <c r="Y337" s="147"/>
      <c r="Z337" s="147"/>
      <c r="AA337" s="147"/>
      <c r="AB337" s="147"/>
      <c r="AC337" s="147"/>
      <c r="AD337" s="147"/>
      <c r="AE337" s="147"/>
      <c r="AF337" s="147"/>
      <c r="AG337" s="147"/>
      <c r="AH337" s="147"/>
      <c r="AI337" s="147"/>
      <c r="AJ337" s="147"/>
      <c r="AK337" s="147"/>
      <c r="AL337" s="147"/>
      <c r="AM337" s="151"/>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c r="BI337" s="147"/>
      <c r="BJ337" s="147"/>
      <c r="BK337" s="147"/>
      <c r="BL337" s="147"/>
      <c r="BM337" s="147"/>
      <c r="BN337" s="147"/>
      <c r="BO337" s="147"/>
      <c r="BP337" s="147"/>
      <c r="BQ337" s="147"/>
      <c r="BR337" s="147"/>
      <c r="BS337" s="147"/>
      <c r="BT337" s="147"/>
      <c r="BU337" s="147"/>
      <c r="BV337" s="147"/>
      <c r="BW337" s="147"/>
      <c r="BX337" s="147"/>
      <c r="BY337" s="147"/>
      <c r="BZ337" s="147"/>
      <c r="CA337" s="147"/>
      <c r="CB337" s="147"/>
      <c r="CC337" s="147"/>
      <c r="CD337" s="147"/>
      <c r="CE337" s="147"/>
      <c r="CF337" s="147"/>
      <c r="CG337" s="147"/>
      <c r="CH337" s="147"/>
      <c r="CI337" s="147"/>
      <c r="CJ337" s="147"/>
      <c r="CK337" s="147"/>
    </row>
    <row r="338" spans="1:89">
      <c r="A338" s="159" t="s">
        <v>271</v>
      </c>
      <c r="B338" s="3" t="s">
        <v>272</v>
      </c>
      <c r="C338" s="160" t="s">
        <v>82</v>
      </c>
      <c r="D338" s="160" t="s">
        <v>875</v>
      </c>
      <c r="E338" s="3" t="s">
        <v>21</v>
      </c>
      <c r="F338" s="3" t="s">
        <v>926</v>
      </c>
      <c r="G338" s="3" t="s">
        <v>926</v>
      </c>
      <c r="H338" s="156" t="str">
        <f ca="1">IFERROR(
  _xludf.MINIFS(ATTENDANCE_LOG!$F:$F,
         ATTENDANCE_LOG!$A:$A, C338,
         ATTENDANCE_LOG!$B:$B, E338),
"")</f>
        <v/>
      </c>
      <c r="I338" s="156" t="str">
        <f t="shared" ca="1" si="266"/>
        <v/>
      </c>
      <c r="J338" s="3">
        <f>IFERROR(VLOOKUP(F338, LEVEL_HELPER!$A:$B, 2, 0), "")</f>
        <v>1</v>
      </c>
      <c r="K338" s="3">
        <f>IFERROR(VLOOKUP(G338, LEVEL_HELPER!$A:$B, 2, 0), "")</f>
        <v>1</v>
      </c>
      <c r="L338" s="157" t="s">
        <v>942</v>
      </c>
      <c r="M338" s="157" t="s">
        <v>925</v>
      </c>
      <c r="N338" s="3">
        <f t="array" aca="1" ref="N338" ca="1">IFERROR(
  INDEX($J$2:$J$543,
    MATCH(A338&amp;TEXT(I338,"yyyy-mm-dd"),
          $A$2:$A$543&amp;TEXT($H$2:$H$543,"yyyy-mm-dd"),
          0)),
"")</f>
        <v>1</v>
      </c>
      <c r="O338" s="147" t="str">
        <f t="shared" ca="1" si="267"/>
        <v/>
      </c>
      <c r="P338" s="147">
        <f t="shared" ref="P338:Q338" ca="1" si="354">IF(N338="",0,IF(N338&lt;=2,1,IF(N338&lt;=4,2,IF(N338&lt;=5.5,3,4))))</f>
        <v>1</v>
      </c>
      <c r="Q338" s="147">
        <f t="shared" ca="1" si="354"/>
        <v>0</v>
      </c>
      <c r="R338" s="147" t="str">
        <f t="shared" ca="1" si="269"/>
        <v>Regressed</v>
      </c>
      <c r="S338" s="147">
        <f t="shared" si="270"/>
        <v>1</v>
      </c>
      <c r="T338" s="147"/>
      <c r="U338" s="147"/>
      <c r="V338" s="147"/>
      <c r="W338" s="147"/>
      <c r="X338" s="147"/>
      <c r="Y338" s="147"/>
      <c r="Z338" s="147"/>
      <c r="AA338" s="147"/>
      <c r="AB338" s="147"/>
      <c r="AC338" s="147"/>
      <c r="AD338" s="147"/>
      <c r="AE338" s="147"/>
      <c r="AF338" s="147"/>
      <c r="AG338" s="147"/>
      <c r="AH338" s="147"/>
      <c r="AI338" s="147"/>
      <c r="AJ338" s="147"/>
      <c r="AK338" s="147"/>
      <c r="AL338" s="147"/>
      <c r="AM338" s="151"/>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row>
    <row r="339" spans="1:89">
      <c r="A339" s="159" t="s">
        <v>279</v>
      </c>
      <c r="B339" s="3" t="s">
        <v>280</v>
      </c>
      <c r="C339" s="160" t="s">
        <v>82</v>
      </c>
      <c r="D339" s="160" t="s">
        <v>875</v>
      </c>
      <c r="E339" s="3" t="s">
        <v>21</v>
      </c>
      <c r="F339" s="3" t="s">
        <v>926</v>
      </c>
      <c r="G339" s="3" t="s">
        <v>917</v>
      </c>
      <c r="H339" s="156" t="str">
        <f ca="1">IFERROR(
  _xludf.MINIFS(ATTENDANCE_LOG!$F:$F,
         ATTENDANCE_LOG!$A:$A, C339,
         ATTENDANCE_LOG!$B:$B, E339),
"")</f>
        <v/>
      </c>
      <c r="I339" s="156" t="str">
        <f t="shared" ca="1" si="266"/>
        <v/>
      </c>
      <c r="J339" s="3">
        <f>IFERROR(VLOOKUP(F339, LEVEL_HELPER!$A:$B, 2, 0), "")</f>
        <v>1</v>
      </c>
      <c r="K339" s="3">
        <f>IFERROR(VLOOKUP(G339, LEVEL_HELPER!$A:$B, 2, 0), "")</f>
        <v>3</v>
      </c>
      <c r="L339" s="157" t="s">
        <v>942</v>
      </c>
      <c r="M339" s="157" t="s">
        <v>923</v>
      </c>
      <c r="N339" s="3">
        <f t="array" aca="1" ref="N339" ca="1">IFERROR(
  INDEX($J$2:$J$543,
    MATCH(A339&amp;TEXT(I339,"yyyy-mm-dd"),
          $A$2:$A$543&amp;TEXT($H$2:$H$543,"yyyy-mm-dd"),
          0)),
"")</f>
        <v>1</v>
      </c>
      <c r="O339" s="147" t="str">
        <f t="shared" ca="1" si="267"/>
        <v/>
      </c>
      <c r="P339" s="147">
        <f t="shared" ref="P339:Q339" ca="1" si="355">IF(N339="",0,IF(N339&lt;=2,1,IF(N339&lt;=4,2,IF(N339&lt;=5.5,3,4))))</f>
        <v>1</v>
      </c>
      <c r="Q339" s="147">
        <f t="shared" ca="1" si="355"/>
        <v>0</v>
      </c>
      <c r="R339" s="147" t="str">
        <f t="shared" ca="1" si="269"/>
        <v>Regressed</v>
      </c>
      <c r="S339" s="147">
        <f t="shared" si="270"/>
        <v>1</v>
      </c>
      <c r="T339" s="147"/>
      <c r="U339" s="147"/>
      <c r="V339" s="147"/>
      <c r="W339" s="147"/>
      <c r="X339" s="147"/>
      <c r="Y339" s="147"/>
      <c r="Z339" s="147"/>
      <c r="AA339" s="147"/>
      <c r="AB339" s="147"/>
      <c r="AC339" s="147"/>
      <c r="AD339" s="147"/>
      <c r="AE339" s="147"/>
      <c r="AF339" s="147"/>
      <c r="AG339" s="147"/>
      <c r="AH339" s="147"/>
      <c r="AI339" s="147"/>
      <c r="AJ339" s="147"/>
      <c r="AK339" s="147"/>
      <c r="AL339" s="147"/>
      <c r="AM339" s="151"/>
      <c r="AN339" s="147"/>
      <c r="AO339" s="147"/>
      <c r="AP339" s="147"/>
      <c r="AQ339" s="147"/>
      <c r="AR339" s="147"/>
      <c r="AS339" s="147"/>
      <c r="AT339" s="147"/>
      <c r="AU339" s="147"/>
      <c r="AV339" s="147"/>
      <c r="AW339" s="147"/>
      <c r="AX339" s="147"/>
      <c r="AY339" s="147"/>
      <c r="AZ339" s="147"/>
      <c r="BA339" s="147"/>
      <c r="BB339" s="147"/>
      <c r="BC339" s="147"/>
      <c r="BD339" s="147"/>
      <c r="BE339" s="147"/>
      <c r="BF339" s="147"/>
      <c r="BG339" s="147"/>
      <c r="BH339" s="147"/>
      <c r="BI339" s="147"/>
      <c r="BJ339" s="147"/>
      <c r="BK339" s="147"/>
      <c r="BL339" s="147"/>
      <c r="BM339" s="147"/>
      <c r="BN339" s="147"/>
      <c r="BO339" s="147"/>
      <c r="BP339" s="147"/>
      <c r="BQ339" s="147"/>
      <c r="BR339" s="147"/>
      <c r="BS339" s="147"/>
      <c r="BT339" s="147"/>
      <c r="BU339" s="147"/>
      <c r="BV339" s="147"/>
      <c r="BW339" s="147"/>
      <c r="BX339" s="147"/>
      <c r="BY339" s="147"/>
      <c r="BZ339" s="147"/>
      <c r="CA339" s="147"/>
      <c r="CB339" s="147"/>
      <c r="CC339" s="147"/>
      <c r="CD339" s="147"/>
      <c r="CE339" s="147"/>
      <c r="CF339" s="147"/>
      <c r="CG339" s="147"/>
      <c r="CH339" s="147"/>
      <c r="CI339" s="147"/>
      <c r="CJ339" s="147"/>
      <c r="CK339" s="147"/>
    </row>
    <row r="340" spans="1:89">
      <c r="A340" s="159" t="s">
        <v>300</v>
      </c>
      <c r="B340" s="3" t="s">
        <v>301</v>
      </c>
      <c r="C340" s="160" t="s">
        <v>82</v>
      </c>
      <c r="D340" s="160" t="s">
        <v>875</v>
      </c>
      <c r="E340" s="3" t="s">
        <v>21</v>
      </c>
      <c r="F340" s="3" t="s">
        <v>926</v>
      </c>
      <c r="G340" s="3" t="s">
        <v>917</v>
      </c>
      <c r="H340" s="156" t="str">
        <f ca="1">IFERROR(
  _xludf.MINIFS(ATTENDANCE_LOG!$F:$F,
         ATTENDANCE_LOG!$A:$A, C340,
         ATTENDANCE_LOG!$B:$B, E340),
"")</f>
        <v/>
      </c>
      <c r="I340" s="156" t="str">
        <f t="shared" ca="1" si="266"/>
        <v/>
      </c>
      <c r="J340" s="3">
        <f>IFERROR(VLOOKUP(F340, LEVEL_HELPER!$A:$B, 2, 0), "")</f>
        <v>1</v>
      </c>
      <c r="K340" s="3">
        <f>IFERROR(VLOOKUP(G340, LEVEL_HELPER!$A:$B, 2, 0), "")</f>
        <v>3</v>
      </c>
      <c r="L340" s="157" t="s">
        <v>942</v>
      </c>
      <c r="M340" s="157" t="s">
        <v>923</v>
      </c>
      <c r="N340" s="3">
        <f t="array" aca="1" ref="N340" ca="1">IFERROR(
  INDEX($J$2:$J$543,
    MATCH(A340&amp;TEXT(I340,"yyyy-mm-dd"),
          $A$2:$A$543&amp;TEXT($H$2:$H$543,"yyyy-mm-dd"),
          0)),
"")</f>
        <v>1</v>
      </c>
      <c r="O340" s="147" t="str">
        <f t="shared" ca="1" si="267"/>
        <v/>
      </c>
      <c r="P340" s="147">
        <f t="shared" ref="P340:Q340" ca="1" si="356">IF(N340="",0,IF(N340&lt;=2,1,IF(N340&lt;=4,2,IF(N340&lt;=5.5,3,4))))</f>
        <v>1</v>
      </c>
      <c r="Q340" s="147">
        <f t="shared" ca="1" si="356"/>
        <v>0</v>
      </c>
      <c r="R340" s="147" t="str">
        <f t="shared" ca="1" si="269"/>
        <v>Regressed</v>
      </c>
      <c r="S340" s="147">
        <f t="shared" si="270"/>
        <v>1</v>
      </c>
      <c r="T340" s="147"/>
      <c r="U340" s="147"/>
      <c r="V340" s="147"/>
      <c r="W340" s="147"/>
      <c r="X340" s="147"/>
      <c r="Y340" s="147"/>
      <c r="Z340" s="147"/>
      <c r="AA340" s="147"/>
      <c r="AB340" s="147"/>
      <c r="AC340" s="147"/>
      <c r="AD340" s="147"/>
      <c r="AE340" s="147"/>
      <c r="AF340" s="147"/>
      <c r="AG340" s="147"/>
      <c r="AH340" s="147"/>
      <c r="AI340" s="147"/>
      <c r="AJ340" s="147"/>
      <c r="AK340" s="147"/>
      <c r="AL340" s="147"/>
      <c r="AM340" s="151"/>
      <c r="AN340" s="147"/>
      <c r="AO340" s="147"/>
      <c r="AP340" s="147"/>
      <c r="AQ340" s="147"/>
      <c r="AR340" s="147"/>
      <c r="AS340" s="147"/>
      <c r="AT340" s="147"/>
      <c r="AU340" s="147"/>
      <c r="AV340" s="147"/>
      <c r="AW340" s="147"/>
      <c r="AX340" s="147"/>
      <c r="AY340" s="147"/>
      <c r="AZ340" s="147"/>
      <c r="BA340" s="147"/>
      <c r="BB340" s="147"/>
      <c r="BC340" s="147"/>
      <c r="BD340" s="147"/>
      <c r="BE340" s="147"/>
      <c r="BF340" s="147"/>
      <c r="BG340" s="147"/>
      <c r="BH340" s="147"/>
      <c r="BI340" s="147"/>
      <c r="BJ340" s="147"/>
      <c r="BK340" s="147"/>
      <c r="BL340" s="147"/>
      <c r="BM340" s="147"/>
      <c r="BN340" s="147"/>
      <c r="BO340" s="147"/>
      <c r="BP340" s="147"/>
      <c r="BQ340" s="147"/>
      <c r="BR340" s="147"/>
      <c r="BS340" s="147"/>
      <c r="BT340" s="147"/>
      <c r="BU340" s="147"/>
      <c r="BV340" s="147"/>
      <c r="BW340" s="147"/>
      <c r="BX340" s="147"/>
      <c r="BY340" s="147"/>
      <c r="BZ340" s="147"/>
      <c r="CA340" s="147"/>
      <c r="CB340" s="147"/>
      <c r="CC340" s="147"/>
      <c r="CD340" s="147"/>
      <c r="CE340" s="147"/>
      <c r="CF340" s="147"/>
      <c r="CG340" s="147"/>
      <c r="CH340" s="147"/>
      <c r="CI340" s="147"/>
      <c r="CJ340" s="147"/>
      <c r="CK340" s="147"/>
    </row>
    <row r="341" spans="1:89">
      <c r="A341" s="159" t="s">
        <v>350</v>
      </c>
      <c r="B341" s="3" t="s">
        <v>351</v>
      </c>
      <c r="C341" s="160" t="s">
        <v>82</v>
      </c>
      <c r="D341" s="160" t="s">
        <v>875</v>
      </c>
      <c r="E341" s="3" t="s">
        <v>21</v>
      </c>
      <c r="F341" s="3" t="s">
        <v>926</v>
      </c>
      <c r="G341" s="3" t="s">
        <v>926</v>
      </c>
      <c r="H341" s="156" t="str">
        <f ca="1">IFERROR(
  _xludf.MINIFS(ATTENDANCE_LOG!$F:$F,
         ATTENDANCE_LOG!$A:$A, C341,
         ATTENDANCE_LOG!$B:$B, E341),
"")</f>
        <v/>
      </c>
      <c r="I341" s="156" t="str">
        <f t="shared" ca="1" si="266"/>
        <v/>
      </c>
      <c r="J341" s="3">
        <f>IFERROR(VLOOKUP(F341, LEVEL_HELPER!$A:$B, 2, 0), "")</f>
        <v>1</v>
      </c>
      <c r="K341" s="3">
        <f>IFERROR(VLOOKUP(G341, LEVEL_HELPER!$A:$B, 2, 0), "")</f>
        <v>1</v>
      </c>
      <c r="L341" s="157" t="s">
        <v>942</v>
      </c>
      <c r="M341" s="157" t="s">
        <v>923</v>
      </c>
      <c r="N341" s="3">
        <f t="array" aca="1" ref="N341" ca="1">IFERROR(
  INDEX($J$2:$J$543,
    MATCH(A341&amp;TEXT(I341,"yyyy-mm-dd"),
          $A$2:$A$543&amp;TEXT($H$2:$H$543,"yyyy-mm-dd"),
          0)),
"")</f>
        <v>1</v>
      </c>
      <c r="O341" s="147" t="str">
        <f t="shared" ca="1" si="267"/>
        <v/>
      </c>
      <c r="P341" s="147">
        <f t="shared" ref="P341:Q341" ca="1" si="357">IF(N341="",0,IF(N341&lt;=2,1,IF(N341&lt;=4,2,IF(N341&lt;=5.5,3,4))))</f>
        <v>1</v>
      </c>
      <c r="Q341" s="147">
        <f t="shared" ca="1" si="357"/>
        <v>0</v>
      </c>
      <c r="R341" s="147" t="str">
        <f t="shared" ca="1" si="269"/>
        <v>Regressed</v>
      </c>
      <c r="S341" s="147">
        <f t="shared" si="270"/>
        <v>1</v>
      </c>
      <c r="T341" s="147"/>
      <c r="U341" s="147"/>
      <c r="V341" s="147"/>
      <c r="W341" s="147"/>
      <c r="X341" s="147"/>
      <c r="Y341" s="147"/>
      <c r="Z341" s="147"/>
      <c r="AA341" s="147"/>
      <c r="AB341" s="147"/>
      <c r="AC341" s="147"/>
      <c r="AD341" s="147"/>
      <c r="AE341" s="147"/>
      <c r="AF341" s="147"/>
      <c r="AG341" s="147"/>
      <c r="AH341" s="147"/>
      <c r="AI341" s="147"/>
      <c r="AJ341" s="147"/>
      <c r="AK341" s="147"/>
      <c r="AL341" s="147"/>
      <c r="AM341" s="151"/>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c r="BI341" s="147"/>
      <c r="BJ341" s="147"/>
      <c r="BK341" s="147"/>
      <c r="BL341" s="147"/>
      <c r="BM341" s="147"/>
      <c r="BN341" s="147"/>
      <c r="BO341" s="147"/>
      <c r="BP341" s="147"/>
      <c r="BQ341" s="147"/>
      <c r="BR341" s="147"/>
      <c r="BS341" s="147"/>
      <c r="BT341" s="147"/>
      <c r="BU341" s="147"/>
      <c r="BV341" s="147"/>
      <c r="BW341" s="147"/>
      <c r="BX341" s="147"/>
      <c r="BY341" s="147"/>
      <c r="BZ341" s="147"/>
      <c r="CA341" s="147"/>
      <c r="CB341" s="147"/>
      <c r="CC341" s="147"/>
      <c r="CD341" s="147"/>
      <c r="CE341" s="147"/>
      <c r="CF341" s="147"/>
      <c r="CG341" s="147"/>
      <c r="CH341" s="147"/>
      <c r="CI341" s="147"/>
      <c r="CJ341" s="147"/>
      <c r="CK341" s="147"/>
    </row>
    <row r="342" spans="1:89">
      <c r="A342" s="159" t="s">
        <v>526</v>
      </c>
      <c r="B342" s="154" t="s">
        <v>527</v>
      </c>
      <c r="C342" s="155" t="s">
        <v>82</v>
      </c>
      <c r="D342" s="155" t="s">
        <v>875</v>
      </c>
      <c r="E342" s="154" t="s">
        <v>22</v>
      </c>
      <c r="F342" s="3" t="s">
        <v>926</v>
      </c>
      <c r="G342" s="3" t="s">
        <v>917</v>
      </c>
      <c r="H342" s="156" t="str">
        <f ca="1">IFERROR(
  _xludf.MINIFS(ATTENDANCE_LOG!$F:$F,
         ATTENDANCE_LOG!$A:$A, C342,
         ATTENDANCE_LOG!$B:$B, E342),
"")</f>
        <v/>
      </c>
      <c r="I342" s="156" t="str">
        <f t="shared" ca="1" si="266"/>
        <v/>
      </c>
      <c r="J342" s="3">
        <f>IFERROR(VLOOKUP(F342, LEVEL_HELPER!$A:$B, 2, 0), "")</f>
        <v>1</v>
      </c>
      <c r="K342" s="3">
        <f>IFERROR(VLOOKUP(G342, LEVEL_HELPER!$A:$B, 2, 0), "")</f>
        <v>3</v>
      </c>
      <c r="L342" s="157" t="s">
        <v>942</v>
      </c>
      <c r="M342" s="157" t="s">
        <v>923</v>
      </c>
      <c r="N342" s="3">
        <f t="array" aca="1" ref="N342" ca="1">IFERROR(
  INDEX($J$2:$J$543,
    MATCH(A342&amp;TEXT(I342,"yyyy-mm-dd"),
          $A$2:$A$543&amp;TEXT($H$2:$H$543,"yyyy-mm-dd"),
          0)),
"")</f>
        <v>1</v>
      </c>
      <c r="O342" s="147" t="str">
        <f t="shared" ca="1" si="267"/>
        <v/>
      </c>
      <c r="P342" s="147">
        <f t="shared" ref="P342:Q342" ca="1" si="358">IF(N342="",0,IF(N342&lt;=2,1,IF(N342&lt;=4,2,IF(N342&lt;=5.5,3,4))))</f>
        <v>1</v>
      </c>
      <c r="Q342" s="147">
        <f t="shared" ca="1" si="358"/>
        <v>0</v>
      </c>
      <c r="R342" s="147" t="str">
        <f t="shared" ca="1" si="269"/>
        <v>Regressed</v>
      </c>
      <c r="S342" s="147">
        <f t="shared" si="270"/>
        <v>0</v>
      </c>
      <c r="T342" s="147"/>
      <c r="U342" s="147"/>
      <c r="V342" s="147"/>
      <c r="W342" s="147"/>
      <c r="X342" s="147"/>
      <c r="Y342" s="147"/>
      <c r="Z342" s="147"/>
      <c r="AA342" s="147"/>
      <c r="AB342" s="147"/>
      <c r="AC342" s="147"/>
      <c r="AD342" s="147"/>
      <c r="AE342" s="147"/>
      <c r="AF342" s="147"/>
      <c r="AG342" s="147"/>
      <c r="AH342" s="147"/>
      <c r="AI342" s="147"/>
      <c r="AJ342" s="147"/>
      <c r="AK342" s="147"/>
      <c r="AL342" s="147"/>
      <c r="AM342" s="151"/>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c r="BI342" s="147"/>
      <c r="BJ342" s="147"/>
      <c r="BK342" s="147"/>
      <c r="BL342" s="147"/>
      <c r="BM342" s="147"/>
      <c r="BN342" s="147"/>
      <c r="BO342" s="147"/>
      <c r="BP342" s="147"/>
      <c r="BQ342" s="147"/>
      <c r="BR342" s="147"/>
      <c r="BS342" s="147"/>
      <c r="BT342" s="147"/>
      <c r="BU342" s="147"/>
      <c r="BV342" s="147"/>
      <c r="BW342" s="147"/>
      <c r="BX342" s="147"/>
      <c r="BY342" s="147"/>
      <c r="BZ342" s="147"/>
      <c r="CA342" s="147"/>
      <c r="CB342" s="147"/>
      <c r="CC342" s="147"/>
      <c r="CD342" s="147"/>
      <c r="CE342" s="147"/>
      <c r="CF342" s="147"/>
      <c r="CG342" s="147"/>
      <c r="CH342" s="147"/>
      <c r="CI342" s="147"/>
      <c r="CJ342" s="147"/>
      <c r="CK342" s="147"/>
    </row>
    <row r="343" spans="1:89">
      <c r="A343" s="159" t="s">
        <v>271</v>
      </c>
      <c r="B343" s="3" t="s">
        <v>272</v>
      </c>
      <c r="C343" s="160" t="s">
        <v>82</v>
      </c>
      <c r="D343" s="160" t="s">
        <v>875</v>
      </c>
      <c r="E343" s="3" t="s">
        <v>22</v>
      </c>
      <c r="F343" s="3" t="s">
        <v>926</v>
      </c>
      <c r="G343" s="3"/>
      <c r="H343" s="156" t="str">
        <f ca="1">IFERROR(
  _xludf.MINIFS(ATTENDANCE_LOG!$F:$F,
         ATTENDANCE_LOG!$A:$A, C343,
         ATTENDANCE_LOG!$B:$B, E343),
"")</f>
        <v/>
      </c>
      <c r="I343" s="156" t="str">
        <f t="shared" ca="1" si="266"/>
        <v/>
      </c>
      <c r="J343" s="3">
        <f>IFERROR(VLOOKUP(F343, LEVEL_HELPER!$A:$B, 2, 0), "")</f>
        <v>1</v>
      </c>
      <c r="K343" s="3" t="str">
        <f>IFERROR(VLOOKUP(G343, LEVEL_HELPER!$A:$B, 2, 0), "")</f>
        <v/>
      </c>
      <c r="L343" s="157" t="s">
        <v>942</v>
      </c>
      <c r="M343" s="157" t="s">
        <v>925</v>
      </c>
      <c r="N343" s="3">
        <f t="array" aca="1" ref="N343" ca="1">IFERROR(
  INDEX($J$2:$J$543,
    MATCH(A343&amp;TEXT(I343,"yyyy-mm-dd"),
          $A$2:$A$543&amp;TEXT($H$2:$H$543,"yyyy-mm-dd"),
          0)),
"")</f>
        <v>1</v>
      </c>
      <c r="O343" s="147" t="str">
        <f t="shared" ca="1" si="267"/>
        <v/>
      </c>
      <c r="P343" s="147">
        <f t="shared" ref="P343:Q343" ca="1" si="359">IF(N343="",0,IF(N343&lt;=2,1,IF(N343&lt;=4,2,IF(N343&lt;=5.5,3,4))))</f>
        <v>1</v>
      </c>
      <c r="Q343" s="147">
        <f t="shared" ca="1" si="359"/>
        <v>0</v>
      </c>
      <c r="R343" s="147" t="str">
        <f t="shared" ca="1" si="269"/>
        <v>Regressed</v>
      </c>
      <c r="S343" s="147">
        <f t="shared" si="270"/>
        <v>0</v>
      </c>
      <c r="T343" s="147"/>
      <c r="U343" s="147"/>
      <c r="V343" s="147"/>
      <c r="W343" s="147"/>
      <c r="X343" s="147"/>
      <c r="Y343" s="147"/>
      <c r="Z343" s="147"/>
      <c r="AA343" s="147"/>
      <c r="AB343" s="147"/>
      <c r="AC343" s="147"/>
      <c r="AD343" s="147"/>
      <c r="AE343" s="147"/>
      <c r="AF343" s="147"/>
      <c r="AG343" s="147"/>
      <c r="AH343" s="147"/>
      <c r="AI343" s="147"/>
      <c r="AJ343" s="147"/>
      <c r="AK343" s="147"/>
      <c r="AL343" s="147"/>
      <c r="AM343" s="151"/>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c r="BI343" s="147"/>
      <c r="BJ343" s="147"/>
      <c r="BK343" s="147"/>
      <c r="BL343" s="147"/>
      <c r="BM343" s="147"/>
      <c r="BN343" s="147"/>
      <c r="BO343" s="147"/>
      <c r="BP343" s="147"/>
      <c r="BQ343" s="147"/>
      <c r="BR343" s="147"/>
      <c r="BS343" s="147"/>
      <c r="BT343" s="147"/>
      <c r="BU343" s="147"/>
      <c r="BV343" s="147"/>
      <c r="BW343" s="147"/>
      <c r="BX343" s="147"/>
      <c r="BY343" s="147"/>
      <c r="BZ343" s="147"/>
      <c r="CA343" s="147"/>
      <c r="CB343" s="147"/>
      <c r="CC343" s="147"/>
      <c r="CD343" s="147"/>
      <c r="CE343" s="147"/>
      <c r="CF343" s="147"/>
      <c r="CG343" s="147"/>
      <c r="CH343" s="147"/>
      <c r="CI343" s="147"/>
      <c r="CJ343" s="147"/>
      <c r="CK343" s="147"/>
    </row>
    <row r="344" spans="1:89">
      <c r="A344" s="159" t="s">
        <v>279</v>
      </c>
      <c r="B344" s="3" t="s">
        <v>280</v>
      </c>
      <c r="C344" s="160" t="s">
        <v>82</v>
      </c>
      <c r="D344" s="160" t="s">
        <v>875</v>
      </c>
      <c r="E344" s="3" t="s">
        <v>22</v>
      </c>
      <c r="F344" s="3" t="s">
        <v>917</v>
      </c>
      <c r="G344" s="3"/>
      <c r="H344" s="156" t="str">
        <f ca="1">IFERROR(
  _xludf.MINIFS(ATTENDANCE_LOG!$F:$F,
         ATTENDANCE_LOG!$A:$A, C344,
         ATTENDANCE_LOG!$B:$B, E344),
"")</f>
        <v/>
      </c>
      <c r="I344" s="156" t="str">
        <f t="shared" ca="1" si="266"/>
        <v/>
      </c>
      <c r="J344" s="3">
        <f>IFERROR(VLOOKUP(F344, LEVEL_HELPER!$A:$B, 2, 0), "")</f>
        <v>3</v>
      </c>
      <c r="K344" s="3" t="str">
        <f>IFERROR(VLOOKUP(G344, LEVEL_HELPER!$A:$B, 2, 0), "")</f>
        <v/>
      </c>
      <c r="L344" s="157" t="s">
        <v>942</v>
      </c>
      <c r="M344" s="157" t="s">
        <v>923</v>
      </c>
      <c r="N344" s="3">
        <f t="array" aca="1" ref="N344" ca="1">IFERROR(
  INDEX($J$2:$J$543,
    MATCH(A344&amp;TEXT(I344,"yyyy-mm-dd"),
          $A$2:$A$543&amp;TEXT($H$2:$H$543,"yyyy-mm-dd"),
          0)),
"")</f>
        <v>1</v>
      </c>
      <c r="O344" s="147" t="str">
        <f t="shared" ca="1" si="267"/>
        <v/>
      </c>
      <c r="P344" s="147">
        <f t="shared" ref="P344:Q344" ca="1" si="360">IF(N344="",0,IF(N344&lt;=2,1,IF(N344&lt;=4,2,IF(N344&lt;=5.5,3,4))))</f>
        <v>1</v>
      </c>
      <c r="Q344" s="147">
        <f t="shared" ca="1" si="360"/>
        <v>0</v>
      </c>
      <c r="R344" s="147" t="str">
        <f t="shared" ca="1" si="269"/>
        <v>Regressed</v>
      </c>
      <c r="S344" s="147">
        <f t="shared" si="270"/>
        <v>0</v>
      </c>
      <c r="T344" s="147"/>
      <c r="U344" s="147"/>
      <c r="V344" s="147"/>
      <c r="W344" s="147"/>
      <c r="X344" s="147"/>
      <c r="Y344" s="147"/>
      <c r="Z344" s="147"/>
      <c r="AA344" s="147"/>
      <c r="AB344" s="147"/>
      <c r="AC344" s="147"/>
      <c r="AD344" s="147"/>
      <c r="AE344" s="147"/>
      <c r="AF344" s="147"/>
      <c r="AG344" s="147"/>
      <c r="AH344" s="147"/>
      <c r="AI344" s="147"/>
      <c r="AJ344" s="147"/>
      <c r="AK344" s="147"/>
      <c r="AL344" s="147"/>
      <c r="AM344" s="151"/>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c r="BI344" s="147"/>
      <c r="BJ344" s="147"/>
      <c r="BK344" s="147"/>
      <c r="BL344" s="147"/>
      <c r="BM344" s="147"/>
      <c r="BN344" s="147"/>
      <c r="BO344" s="147"/>
      <c r="BP344" s="147"/>
      <c r="BQ344" s="147"/>
      <c r="BR344" s="147"/>
      <c r="BS344" s="147"/>
      <c r="BT344" s="147"/>
      <c r="BU344" s="147"/>
      <c r="BV344" s="147"/>
      <c r="BW344" s="147"/>
      <c r="BX344" s="147"/>
      <c r="BY344" s="147"/>
      <c r="BZ344" s="147"/>
      <c r="CA344" s="147"/>
      <c r="CB344" s="147"/>
      <c r="CC344" s="147"/>
      <c r="CD344" s="147"/>
      <c r="CE344" s="147"/>
      <c r="CF344" s="147"/>
      <c r="CG344" s="147"/>
      <c r="CH344" s="147"/>
      <c r="CI344" s="147"/>
      <c r="CJ344" s="147"/>
      <c r="CK344" s="147"/>
    </row>
    <row r="345" spans="1:89">
      <c r="A345" s="159" t="s">
        <v>300</v>
      </c>
      <c r="B345" s="3" t="s">
        <v>301</v>
      </c>
      <c r="C345" s="160" t="s">
        <v>82</v>
      </c>
      <c r="D345" s="160" t="s">
        <v>875</v>
      </c>
      <c r="E345" s="3" t="s">
        <v>22</v>
      </c>
      <c r="F345" s="3" t="s">
        <v>917</v>
      </c>
      <c r="G345" s="3" t="s">
        <v>940</v>
      </c>
      <c r="H345" s="156" t="str">
        <f ca="1">IFERROR(
  _xludf.MINIFS(ATTENDANCE_LOG!$F:$F,
         ATTENDANCE_LOG!$A:$A, C345,
         ATTENDANCE_LOG!$B:$B, E345),
"")</f>
        <v/>
      </c>
      <c r="I345" s="156" t="str">
        <f t="shared" ca="1" si="266"/>
        <v/>
      </c>
      <c r="J345" s="3">
        <f>IFERROR(VLOOKUP(F345, LEVEL_HELPER!$A:$B, 2, 0), "")</f>
        <v>3</v>
      </c>
      <c r="K345" s="3">
        <f>IFERROR(VLOOKUP(G345, LEVEL_HELPER!$A:$B, 2, 0), "")</f>
        <v>5</v>
      </c>
      <c r="L345" s="157" t="s">
        <v>942</v>
      </c>
      <c r="M345" s="157" t="s">
        <v>923</v>
      </c>
      <c r="N345" s="3">
        <f t="array" aca="1" ref="N345" ca="1">IFERROR(
  INDEX($J$2:$J$543,
    MATCH(A345&amp;TEXT(I345,"yyyy-mm-dd"),
          $A$2:$A$543&amp;TEXT($H$2:$H$543,"yyyy-mm-dd"),
          0)),
"")</f>
        <v>1</v>
      </c>
      <c r="O345" s="147" t="str">
        <f t="shared" ca="1" si="267"/>
        <v/>
      </c>
      <c r="P345" s="147">
        <f t="shared" ref="P345:Q345" ca="1" si="361">IF(N345="",0,IF(N345&lt;=2,1,IF(N345&lt;=4,2,IF(N345&lt;=5.5,3,4))))</f>
        <v>1</v>
      </c>
      <c r="Q345" s="147">
        <f t="shared" ca="1" si="361"/>
        <v>0</v>
      </c>
      <c r="R345" s="147" t="str">
        <f t="shared" ca="1" si="269"/>
        <v>Regressed</v>
      </c>
      <c r="S345" s="147">
        <f t="shared" si="270"/>
        <v>0</v>
      </c>
      <c r="T345" s="147"/>
      <c r="U345" s="147"/>
      <c r="V345" s="147"/>
      <c r="W345" s="147"/>
      <c r="X345" s="147"/>
      <c r="Y345" s="147"/>
      <c r="Z345" s="147"/>
      <c r="AA345" s="147"/>
      <c r="AB345" s="147"/>
      <c r="AC345" s="147"/>
      <c r="AD345" s="147"/>
      <c r="AE345" s="147"/>
      <c r="AF345" s="147"/>
      <c r="AG345" s="147"/>
      <c r="AH345" s="147"/>
      <c r="AI345" s="147"/>
      <c r="AJ345" s="147"/>
      <c r="AK345" s="147"/>
      <c r="AL345" s="147"/>
      <c r="AM345" s="151"/>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c r="BI345" s="147"/>
      <c r="BJ345" s="147"/>
      <c r="BK345" s="147"/>
      <c r="BL345" s="147"/>
      <c r="BM345" s="147"/>
      <c r="BN345" s="147"/>
      <c r="BO345" s="147"/>
      <c r="BP345" s="147"/>
      <c r="BQ345" s="147"/>
      <c r="BR345" s="147"/>
      <c r="BS345" s="147"/>
      <c r="BT345" s="147"/>
      <c r="BU345" s="147"/>
      <c r="BV345" s="147"/>
      <c r="BW345" s="147"/>
      <c r="BX345" s="147"/>
      <c r="BY345" s="147"/>
      <c r="BZ345" s="147"/>
      <c r="CA345" s="147"/>
      <c r="CB345" s="147"/>
      <c r="CC345" s="147"/>
      <c r="CD345" s="147"/>
      <c r="CE345" s="147"/>
      <c r="CF345" s="147"/>
      <c r="CG345" s="147"/>
      <c r="CH345" s="147"/>
      <c r="CI345" s="147"/>
      <c r="CJ345" s="147"/>
      <c r="CK345" s="147"/>
    </row>
    <row r="346" spans="1:89">
      <c r="A346" s="159" t="s">
        <v>309</v>
      </c>
      <c r="B346" s="3" t="s">
        <v>310</v>
      </c>
      <c r="C346" s="160" t="s">
        <v>82</v>
      </c>
      <c r="D346" s="160" t="s">
        <v>875</v>
      </c>
      <c r="E346" s="3" t="s">
        <v>22</v>
      </c>
      <c r="F346" s="3" t="s">
        <v>928</v>
      </c>
      <c r="G346" s="3" t="s">
        <v>940</v>
      </c>
      <c r="H346" s="156" t="str">
        <f ca="1">IFERROR(
  _xludf.MINIFS(ATTENDANCE_LOG!$F:$F,
         ATTENDANCE_LOG!$A:$A, C346,
         ATTENDANCE_LOG!$B:$B, E346),
"")</f>
        <v/>
      </c>
      <c r="I346" s="156" t="str">
        <f t="shared" ca="1" si="266"/>
        <v/>
      </c>
      <c r="J346" s="3">
        <f>IFERROR(VLOOKUP(F346, LEVEL_HELPER!$A:$B, 2, 0), "")</f>
        <v>1.5</v>
      </c>
      <c r="K346" s="3">
        <f>IFERROR(VLOOKUP(G346, LEVEL_HELPER!$A:$B, 2, 0), "")</f>
        <v>5</v>
      </c>
      <c r="L346" s="157" t="s">
        <v>942</v>
      </c>
      <c r="M346" s="157" t="s">
        <v>923</v>
      </c>
      <c r="N346" s="3">
        <f t="array" aca="1" ref="N346" ca="1">IFERROR(
  INDEX($J$2:$J$543,
    MATCH(A346&amp;TEXT(I346,"yyyy-mm-dd"),
          $A$2:$A$543&amp;TEXT($H$2:$H$543,"yyyy-mm-dd"),
          0)),
"")</f>
        <v>1</v>
      </c>
      <c r="O346" s="147" t="str">
        <f t="shared" ca="1" si="267"/>
        <v/>
      </c>
      <c r="P346" s="147">
        <f t="shared" ref="P346:Q346" ca="1" si="362">IF(N346="",0,IF(N346&lt;=2,1,IF(N346&lt;=4,2,IF(N346&lt;=5.5,3,4))))</f>
        <v>1</v>
      </c>
      <c r="Q346" s="147">
        <f t="shared" ca="1" si="362"/>
        <v>0</v>
      </c>
      <c r="R346" s="147" t="str">
        <f t="shared" ca="1" si="269"/>
        <v>Regressed</v>
      </c>
      <c r="S346" s="147">
        <f t="shared" si="270"/>
        <v>0</v>
      </c>
      <c r="T346" s="147"/>
      <c r="U346" s="147"/>
      <c r="V346" s="147"/>
      <c r="W346" s="147"/>
      <c r="X346" s="147"/>
      <c r="Y346" s="147"/>
      <c r="Z346" s="147"/>
      <c r="AA346" s="147"/>
      <c r="AB346" s="147"/>
      <c r="AC346" s="147"/>
      <c r="AD346" s="147"/>
      <c r="AE346" s="147"/>
      <c r="AF346" s="147"/>
      <c r="AG346" s="147"/>
      <c r="AH346" s="147"/>
      <c r="AI346" s="147"/>
      <c r="AJ346" s="147"/>
      <c r="AK346" s="147"/>
      <c r="AL346" s="147"/>
      <c r="AM346" s="151"/>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c r="BI346" s="147"/>
      <c r="BJ346" s="147"/>
      <c r="BK346" s="147"/>
      <c r="BL346" s="147"/>
      <c r="BM346" s="147"/>
      <c r="BN346" s="147"/>
      <c r="BO346" s="147"/>
      <c r="BP346" s="147"/>
      <c r="BQ346" s="147"/>
      <c r="BR346" s="147"/>
      <c r="BS346" s="147"/>
      <c r="BT346" s="147"/>
      <c r="BU346" s="147"/>
      <c r="BV346" s="147"/>
      <c r="BW346" s="147"/>
      <c r="BX346" s="147"/>
      <c r="BY346" s="147"/>
      <c r="BZ346" s="147"/>
      <c r="CA346" s="147"/>
      <c r="CB346" s="147"/>
      <c r="CC346" s="147"/>
      <c r="CD346" s="147"/>
      <c r="CE346" s="147"/>
      <c r="CF346" s="147"/>
      <c r="CG346" s="147"/>
      <c r="CH346" s="147"/>
      <c r="CI346" s="147"/>
      <c r="CJ346" s="147"/>
      <c r="CK346" s="147"/>
    </row>
    <row r="347" spans="1:89">
      <c r="A347" s="159" t="s">
        <v>332</v>
      </c>
      <c r="B347" s="3" t="s">
        <v>333</v>
      </c>
      <c r="C347" s="160" t="s">
        <v>82</v>
      </c>
      <c r="D347" s="160" t="s">
        <v>875</v>
      </c>
      <c r="E347" s="3" t="s">
        <v>22</v>
      </c>
      <c r="F347" s="3" t="s">
        <v>917</v>
      </c>
      <c r="G347" s="3" t="s">
        <v>940</v>
      </c>
      <c r="H347" s="156" t="str">
        <f ca="1">IFERROR(
  _xludf.MINIFS(ATTENDANCE_LOG!$F:$F,
         ATTENDANCE_LOG!$A:$A, C347,
         ATTENDANCE_LOG!$B:$B, E347),
"")</f>
        <v/>
      </c>
      <c r="I347" s="156" t="str">
        <f t="shared" ca="1" si="266"/>
        <v/>
      </c>
      <c r="J347" s="3">
        <f>IFERROR(VLOOKUP(F347, LEVEL_HELPER!$A:$B, 2, 0), "")</f>
        <v>3</v>
      </c>
      <c r="K347" s="3">
        <f>IFERROR(VLOOKUP(G347, LEVEL_HELPER!$A:$B, 2, 0), "")</f>
        <v>5</v>
      </c>
      <c r="L347" s="157" t="s">
        <v>942</v>
      </c>
      <c r="M347" s="157" t="s">
        <v>923</v>
      </c>
      <c r="N347" s="3">
        <f t="array" aca="1" ref="N347" ca="1">IFERROR(
  INDEX($J$2:$J$543,
    MATCH(A347&amp;TEXT(I347,"yyyy-mm-dd"),
          $A$2:$A$543&amp;TEXT($H$2:$H$543,"yyyy-mm-dd"),
          0)),
"")</f>
        <v>1</v>
      </c>
      <c r="O347" s="147" t="str">
        <f t="shared" ca="1" si="267"/>
        <v/>
      </c>
      <c r="P347" s="147">
        <f t="shared" ref="P347:Q347" ca="1" si="363">IF(N347="",0,IF(N347&lt;=2,1,IF(N347&lt;=4,2,IF(N347&lt;=5.5,3,4))))</f>
        <v>1</v>
      </c>
      <c r="Q347" s="147">
        <f t="shared" ca="1" si="363"/>
        <v>0</v>
      </c>
      <c r="R347" s="147" t="str">
        <f t="shared" ca="1" si="269"/>
        <v>Regressed</v>
      </c>
      <c r="S347" s="147">
        <f t="shared" si="270"/>
        <v>0</v>
      </c>
      <c r="T347" s="147"/>
      <c r="U347" s="147"/>
      <c r="V347" s="147"/>
      <c r="W347" s="147"/>
      <c r="X347" s="147"/>
      <c r="Y347" s="147"/>
      <c r="Z347" s="147"/>
      <c r="AA347" s="147"/>
      <c r="AB347" s="147"/>
      <c r="AC347" s="147"/>
      <c r="AD347" s="147"/>
      <c r="AE347" s="147"/>
      <c r="AF347" s="147"/>
      <c r="AG347" s="147"/>
      <c r="AH347" s="147"/>
      <c r="AI347" s="147"/>
      <c r="AJ347" s="147"/>
      <c r="AK347" s="147"/>
      <c r="AL347" s="147"/>
      <c r="AM347" s="151"/>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c r="BI347" s="147"/>
      <c r="BJ347" s="147"/>
      <c r="BK347" s="147"/>
      <c r="BL347" s="147"/>
      <c r="BM347" s="147"/>
      <c r="BN347" s="147"/>
      <c r="BO347" s="147"/>
      <c r="BP347" s="147"/>
      <c r="BQ347" s="147"/>
      <c r="BR347" s="147"/>
      <c r="BS347" s="147"/>
      <c r="BT347" s="147"/>
      <c r="BU347" s="147"/>
      <c r="BV347" s="147"/>
      <c r="BW347" s="147"/>
      <c r="BX347" s="147"/>
      <c r="BY347" s="147"/>
      <c r="BZ347" s="147"/>
      <c r="CA347" s="147"/>
      <c r="CB347" s="147"/>
      <c r="CC347" s="147"/>
      <c r="CD347" s="147"/>
      <c r="CE347" s="147"/>
      <c r="CF347" s="147"/>
      <c r="CG347" s="147"/>
      <c r="CH347" s="147"/>
      <c r="CI347" s="147"/>
      <c r="CJ347" s="147"/>
      <c r="CK347" s="147"/>
    </row>
    <row r="348" spans="1:89">
      <c r="A348" s="159" t="s">
        <v>562</v>
      </c>
      <c r="B348" s="3" t="s">
        <v>563</v>
      </c>
      <c r="C348" s="160" t="s">
        <v>82</v>
      </c>
      <c r="D348" s="160" t="s">
        <v>875</v>
      </c>
      <c r="E348" s="3" t="s">
        <v>22</v>
      </c>
      <c r="F348" s="3" t="s">
        <v>917</v>
      </c>
      <c r="G348" s="3" t="s">
        <v>934</v>
      </c>
      <c r="H348" s="156" t="str">
        <f ca="1">IFERROR(
  _xludf.MINIFS(ATTENDANCE_LOG!$F:$F,
         ATTENDANCE_LOG!$A:$A, C348,
         ATTENDANCE_LOG!$B:$B, E348),
"")</f>
        <v/>
      </c>
      <c r="I348" s="156" t="str">
        <f t="shared" ca="1" si="266"/>
        <v/>
      </c>
      <c r="J348" s="3">
        <f>IFERROR(VLOOKUP(F348, LEVEL_HELPER!$A:$B, 2, 0), "")</f>
        <v>3</v>
      </c>
      <c r="K348" s="3">
        <f>IFERROR(VLOOKUP(G348, LEVEL_HELPER!$A:$B, 2, 0), "")</f>
        <v>3.5</v>
      </c>
      <c r="L348" s="157" t="s">
        <v>942</v>
      </c>
      <c r="M348" s="157" t="s">
        <v>923</v>
      </c>
      <c r="N348" s="3">
        <f t="array" aca="1" ref="N348" ca="1">IFERROR(
  INDEX($J$2:$J$543,
    MATCH(A348&amp;TEXT(I348,"yyyy-mm-dd"),
          $A$2:$A$543&amp;TEXT($H$2:$H$543,"yyyy-mm-dd"),
          0)),
"")</f>
        <v>1</v>
      </c>
      <c r="O348" s="147" t="str">
        <f t="shared" ca="1" si="267"/>
        <v/>
      </c>
      <c r="P348" s="147">
        <f t="shared" ref="P348:Q348" ca="1" si="364">IF(N348="",0,IF(N348&lt;=2,1,IF(N348&lt;=4,2,IF(N348&lt;=5.5,3,4))))</f>
        <v>1</v>
      </c>
      <c r="Q348" s="147">
        <f t="shared" ca="1" si="364"/>
        <v>0</v>
      </c>
      <c r="R348" s="147" t="str">
        <f t="shared" ca="1" si="269"/>
        <v>Regressed</v>
      </c>
      <c r="S348" s="147">
        <f t="shared" si="270"/>
        <v>0</v>
      </c>
      <c r="T348" s="147"/>
      <c r="U348" s="147"/>
      <c r="V348" s="147"/>
      <c r="W348" s="147"/>
      <c r="X348" s="147"/>
      <c r="Y348" s="147"/>
      <c r="Z348" s="147"/>
      <c r="AA348" s="147"/>
      <c r="AB348" s="147"/>
      <c r="AC348" s="147"/>
      <c r="AD348" s="147"/>
      <c r="AE348" s="147"/>
      <c r="AF348" s="147"/>
      <c r="AG348" s="147"/>
      <c r="AH348" s="147"/>
      <c r="AI348" s="147"/>
      <c r="AJ348" s="147"/>
      <c r="AK348" s="147"/>
      <c r="AL348" s="147"/>
      <c r="AM348" s="151"/>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c r="BI348" s="147"/>
      <c r="BJ348" s="147"/>
      <c r="BK348" s="147"/>
      <c r="BL348" s="147"/>
      <c r="BM348" s="147"/>
      <c r="BN348" s="147"/>
      <c r="BO348" s="147"/>
      <c r="BP348" s="147"/>
      <c r="BQ348" s="147"/>
      <c r="BR348" s="147"/>
      <c r="BS348" s="147"/>
      <c r="BT348" s="147"/>
      <c r="BU348" s="147"/>
      <c r="BV348" s="147"/>
      <c r="BW348" s="147"/>
      <c r="BX348" s="147"/>
      <c r="BY348" s="147"/>
      <c r="BZ348" s="147"/>
      <c r="CA348" s="147"/>
      <c r="CB348" s="147"/>
      <c r="CC348" s="147"/>
      <c r="CD348" s="147"/>
      <c r="CE348" s="147"/>
      <c r="CF348" s="147"/>
      <c r="CG348" s="147"/>
      <c r="CH348" s="147"/>
      <c r="CI348" s="147"/>
      <c r="CJ348" s="147"/>
      <c r="CK348" s="147"/>
    </row>
    <row r="349" spans="1:89">
      <c r="A349" s="159" t="s">
        <v>693</v>
      </c>
      <c r="B349" s="3" t="s">
        <v>694</v>
      </c>
      <c r="C349" s="160" t="s">
        <v>82</v>
      </c>
      <c r="D349" s="160" t="s">
        <v>875</v>
      </c>
      <c r="E349" s="3" t="s">
        <v>22</v>
      </c>
      <c r="F349" s="3" t="s">
        <v>917</v>
      </c>
      <c r="G349" s="3" t="s">
        <v>934</v>
      </c>
      <c r="H349" s="156" t="str">
        <f ca="1">IFERROR(
  _xludf.MINIFS(ATTENDANCE_LOG!$F:$F,
         ATTENDANCE_LOG!$A:$A, C349,
         ATTENDANCE_LOG!$B:$B, E349),
"")</f>
        <v/>
      </c>
      <c r="I349" s="156" t="str">
        <f t="shared" ca="1" si="266"/>
        <v/>
      </c>
      <c r="J349" s="3">
        <f>IFERROR(VLOOKUP(F349, LEVEL_HELPER!$A:$B, 2, 0), "")</f>
        <v>3</v>
      </c>
      <c r="K349" s="3">
        <f>IFERROR(VLOOKUP(G349, LEVEL_HELPER!$A:$B, 2, 0), "")</f>
        <v>3.5</v>
      </c>
      <c r="L349" s="157" t="s">
        <v>942</v>
      </c>
      <c r="M349" s="157" t="s">
        <v>923</v>
      </c>
      <c r="N349" s="3">
        <f t="array" aca="1" ref="N349" ca="1">IFERROR(
  INDEX($J$2:$J$543,
    MATCH(A349&amp;TEXT(I349,"yyyy-mm-dd"),
          $A$2:$A$543&amp;TEXT($H$2:$H$543,"yyyy-mm-dd"),
          0)),
"")</f>
        <v>1</v>
      </c>
      <c r="O349" s="147" t="str">
        <f t="shared" ca="1" si="267"/>
        <v/>
      </c>
      <c r="P349" s="147">
        <f t="shared" ref="P349:Q349" ca="1" si="365">IF(N349="",0,IF(N349&lt;=2,1,IF(N349&lt;=4,2,IF(N349&lt;=5.5,3,4))))</f>
        <v>1</v>
      </c>
      <c r="Q349" s="147">
        <f t="shared" ca="1" si="365"/>
        <v>0</v>
      </c>
      <c r="R349" s="147" t="str">
        <f t="shared" ca="1" si="269"/>
        <v>Regressed</v>
      </c>
      <c r="S349" s="147">
        <f t="shared" si="270"/>
        <v>0</v>
      </c>
      <c r="T349" s="147"/>
      <c r="U349" s="147"/>
      <c r="V349" s="147"/>
      <c r="W349" s="147"/>
      <c r="X349" s="147"/>
      <c r="Y349" s="147"/>
      <c r="Z349" s="147"/>
      <c r="AA349" s="147"/>
      <c r="AB349" s="147"/>
      <c r="AC349" s="147"/>
      <c r="AD349" s="147"/>
      <c r="AE349" s="147"/>
      <c r="AF349" s="147"/>
      <c r="AG349" s="147"/>
      <c r="AH349" s="147"/>
      <c r="AI349" s="147"/>
      <c r="AJ349" s="147"/>
      <c r="AK349" s="147"/>
      <c r="AL349" s="147"/>
      <c r="AM349" s="151"/>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c r="BI349" s="147"/>
      <c r="BJ349" s="147"/>
      <c r="BK349" s="147"/>
      <c r="BL349" s="147"/>
      <c r="BM349" s="147"/>
      <c r="BN349" s="147"/>
      <c r="BO349" s="147"/>
      <c r="BP349" s="147"/>
      <c r="BQ349" s="147"/>
      <c r="BR349" s="147"/>
      <c r="BS349" s="147"/>
      <c r="BT349" s="147"/>
      <c r="BU349" s="147"/>
      <c r="BV349" s="147"/>
      <c r="BW349" s="147"/>
      <c r="BX349" s="147"/>
      <c r="BY349" s="147"/>
      <c r="BZ349" s="147"/>
      <c r="CA349" s="147"/>
      <c r="CB349" s="147"/>
      <c r="CC349" s="147"/>
      <c r="CD349" s="147"/>
      <c r="CE349" s="147"/>
      <c r="CF349" s="147"/>
      <c r="CG349" s="147"/>
      <c r="CH349" s="147"/>
      <c r="CI349" s="147"/>
      <c r="CJ349" s="147"/>
      <c r="CK349" s="147"/>
    </row>
    <row r="350" spans="1:89">
      <c r="A350" s="159" t="s">
        <v>208</v>
      </c>
      <c r="B350" s="154" t="s">
        <v>209</v>
      </c>
      <c r="C350" s="155" t="s">
        <v>83</v>
      </c>
      <c r="D350" s="155" t="s">
        <v>876</v>
      </c>
      <c r="E350" s="154" t="s">
        <v>21</v>
      </c>
      <c r="F350" s="3" t="s">
        <v>926</v>
      </c>
      <c r="G350" s="3" t="s">
        <v>934</v>
      </c>
      <c r="H350" s="156" t="str">
        <f ca="1">IFERROR(
  _xludf.MINIFS(ATTENDANCE_LOG!$F:$F,
         ATTENDANCE_LOG!$A:$A, C350,
         ATTENDANCE_LOG!$B:$B, E350),
"")</f>
        <v/>
      </c>
      <c r="I350" s="156" t="str">
        <f t="shared" ca="1" si="266"/>
        <v/>
      </c>
      <c r="J350" s="3">
        <f>IFERROR(VLOOKUP(F350, LEVEL_HELPER!$A:$B, 2, 0), "")</f>
        <v>1</v>
      </c>
      <c r="K350" s="3">
        <f>IFERROR(VLOOKUP(G350, LEVEL_HELPER!$A:$B, 2, 0), "")</f>
        <v>3.5</v>
      </c>
      <c r="L350" s="157" t="s">
        <v>942</v>
      </c>
      <c r="M350" s="157" t="s">
        <v>923</v>
      </c>
      <c r="N350" s="3">
        <f t="array" aca="1" ref="N350" ca="1">IFERROR(
  INDEX($J$2:$J$543,
    MATCH(A350&amp;TEXT(I350,"yyyy-mm-dd"),
          $A$2:$A$543&amp;TEXT($H$2:$H$543,"yyyy-mm-dd"),
          0)),
"")</f>
        <v>1</v>
      </c>
      <c r="O350" s="147" t="str">
        <f t="shared" ca="1" si="267"/>
        <v/>
      </c>
      <c r="P350" s="147">
        <f t="shared" ref="P350:Q350" ca="1" si="366">IF(N350="",0,IF(N350&lt;=2,1,IF(N350&lt;=4,2,IF(N350&lt;=5.5,3,4))))</f>
        <v>1</v>
      </c>
      <c r="Q350" s="147">
        <f t="shared" ca="1" si="366"/>
        <v>0</v>
      </c>
      <c r="R350" s="147" t="str">
        <f t="shared" ca="1" si="269"/>
        <v>Regressed</v>
      </c>
      <c r="S350" s="147">
        <f t="shared" si="270"/>
        <v>1</v>
      </c>
      <c r="T350" s="147"/>
      <c r="U350" s="147"/>
      <c r="V350" s="147"/>
      <c r="W350" s="147"/>
      <c r="X350" s="147"/>
      <c r="Y350" s="147"/>
      <c r="Z350" s="147"/>
      <c r="AA350" s="147"/>
      <c r="AB350" s="147"/>
      <c r="AC350" s="147"/>
      <c r="AD350" s="147"/>
      <c r="AE350" s="147"/>
      <c r="AF350" s="147"/>
      <c r="AG350" s="147"/>
      <c r="AH350" s="147"/>
      <c r="AI350" s="147"/>
      <c r="AJ350" s="147"/>
      <c r="AK350" s="147"/>
      <c r="AL350" s="147"/>
      <c r="AM350" s="151"/>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c r="BI350" s="147"/>
      <c r="BJ350" s="147"/>
      <c r="BK350" s="147"/>
      <c r="BL350" s="147"/>
      <c r="BM350" s="147"/>
      <c r="BN350" s="147"/>
      <c r="BO350" s="147"/>
      <c r="BP350" s="147"/>
      <c r="BQ350" s="147"/>
      <c r="BR350" s="147"/>
      <c r="BS350" s="147"/>
      <c r="BT350" s="147"/>
      <c r="BU350" s="147"/>
      <c r="BV350" s="147"/>
      <c r="BW350" s="147"/>
      <c r="BX350" s="147"/>
      <c r="BY350" s="147"/>
      <c r="BZ350" s="147"/>
      <c r="CA350" s="147"/>
      <c r="CB350" s="147"/>
      <c r="CC350" s="147"/>
      <c r="CD350" s="147"/>
      <c r="CE350" s="147"/>
      <c r="CF350" s="147"/>
      <c r="CG350" s="147"/>
      <c r="CH350" s="147"/>
      <c r="CI350" s="147"/>
      <c r="CJ350" s="147"/>
      <c r="CK350" s="147"/>
    </row>
    <row r="351" spans="1:89">
      <c r="A351" s="159" t="s">
        <v>243</v>
      </c>
      <c r="B351" s="3" t="s">
        <v>244</v>
      </c>
      <c r="C351" s="160" t="s">
        <v>83</v>
      </c>
      <c r="D351" s="160" t="s">
        <v>876</v>
      </c>
      <c r="E351" s="3" t="s">
        <v>21</v>
      </c>
      <c r="F351" s="3" t="s">
        <v>926</v>
      </c>
      <c r="G351" s="3" t="s">
        <v>917</v>
      </c>
      <c r="H351" s="156" t="str">
        <f ca="1">IFERROR(
  _xludf.MINIFS(ATTENDANCE_LOG!$F:$F,
         ATTENDANCE_LOG!$A:$A, C351,
         ATTENDANCE_LOG!$B:$B, E351),
"")</f>
        <v/>
      </c>
      <c r="I351" s="156" t="str">
        <f t="shared" ca="1" si="266"/>
        <v/>
      </c>
      <c r="J351" s="3">
        <f>IFERROR(VLOOKUP(F351, LEVEL_HELPER!$A:$B, 2, 0), "")</f>
        <v>1</v>
      </c>
      <c r="K351" s="3">
        <f>IFERROR(VLOOKUP(G351, LEVEL_HELPER!$A:$B, 2, 0), "")</f>
        <v>3</v>
      </c>
      <c r="L351" s="157" t="s">
        <v>942</v>
      </c>
      <c r="M351" s="157" t="s">
        <v>923</v>
      </c>
      <c r="N351" s="3">
        <f t="array" aca="1" ref="N351" ca="1">IFERROR(
  INDEX($J$2:$J$543,
    MATCH(A351&amp;TEXT(I351,"yyyy-mm-dd"),
          $A$2:$A$543&amp;TEXT($H$2:$H$543,"yyyy-mm-dd"),
          0)),
"")</f>
        <v>1</v>
      </c>
      <c r="O351" s="147" t="str">
        <f t="shared" ca="1" si="267"/>
        <v/>
      </c>
      <c r="P351" s="147">
        <f t="shared" ref="P351:Q351" ca="1" si="367">IF(N351="",0,IF(N351&lt;=2,1,IF(N351&lt;=4,2,IF(N351&lt;=5.5,3,4))))</f>
        <v>1</v>
      </c>
      <c r="Q351" s="147">
        <f t="shared" ca="1" si="367"/>
        <v>0</v>
      </c>
      <c r="R351" s="147" t="str">
        <f t="shared" ca="1" si="269"/>
        <v>Regressed</v>
      </c>
      <c r="S351" s="147">
        <f t="shared" si="270"/>
        <v>1</v>
      </c>
      <c r="T351" s="147"/>
      <c r="U351" s="147"/>
      <c r="V351" s="147"/>
      <c r="W351" s="147"/>
      <c r="X351" s="147"/>
      <c r="Y351" s="147"/>
      <c r="Z351" s="147"/>
      <c r="AA351" s="147"/>
      <c r="AB351" s="147"/>
      <c r="AC351" s="147"/>
      <c r="AD351" s="147"/>
      <c r="AE351" s="147"/>
      <c r="AF351" s="147"/>
      <c r="AG351" s="147"/>
      <c r="AH351" s="147"/>
      <c r="AI351" s="147"/>
      <c r="AJ351" s="147"/>
      <c r="AK351" s="147"/>
      <c r="AL351" s="147"/>
      <c r="AM351" s="151"/>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c r="BI351" s="147"/>
      <c r="BJ351" s="147"/>
      <c r="BK351" s="147"/>
      <c r="BL351" s="147"/>
      <c r="BM351" s="147"/>
      <c r="BN351" s="147"/>
      <c r="BO351" s="147"/>
      <c r="BP351" s="147"/>
      <c r="BQ351" s="147"/>
      <c r="BR351" s="147"/>
      <c r="BS351" s="147"/>
      <c r="BT351" s="147"/>
      <c r="BU351" s="147"/>
      <c r="BV351" s="147"/>
      <c r="BW351" s="147"/>
      <c r="BX351" s="147"/>
      <c r="BY351" s="147"/>
      <c r="BZ351" s="147"/>
      <c r="CA351" s="147"/>
      <c r="CB351" s="147"/>
      <c r="CC351" s="147"/>
      <c r="CD351" s="147"/>
      <c r="CE351" s="147"/>
      <c r="CF351" s="147"/>
      <c r="CG351" s="147"/>
      <c r="CH351" s="147"/>
      <c r="CI351" s="147"/>
      <c r="CJ351" s="147"/>
      <c r="CK351" s="147"/>
    </row>
    <row r="352" spans="1:89">
      <c r="A352" s="159" t="s">
        <v>305</v>
      </c>
      <c r="B352" s="3" t="s">
        <v>306</v>
      </c>
      <c r="C352" s="160" t="s">
        <v>83</v>
      </c>
      <c r="D352" s="160" t="s">
        <v>876</v>
      </c>
      <c r="E352" s="3" t="s">
        <v>21</v>
      </c>
      <c r="F352" s="3" t="s">
        <v>926</v>
      </c>
      <c r="G352" s="3" t="s">
        <v>928</v>
      </c>
      <c r="H352" s="156" t="str">
        <f ca="1">IFERROR(
  _xludf.MINIFS(ATTENDANCE_LOG!$F:$F,
         ATTENDANCE_LOG!$A:$A, C352,
         ATTENDANCE_LOG!$B:$B, E352),
"")</f>
        <v/>
      </c>
      <c r="I352" s="156" t="str">
        <f t="shared" ca="1" si="266"/>
        <v/>
      </c>
      <c r="J352" s="3">
        <f>IFERROR(VLOOKUP(F352, LEVEL_HELPER!$A:$B, 2, 0), "")</f>
        <v>1</v>
      </c>
      <c r="K352" s="3">
        <f>IFERROR(VLOOKUP(G352, LEVEL_HELPER!$A:$B, 2, 0), "")</f>
        <v>1.5</v>
      </c>
      <c r="L352" s="157" t="s">
        <v>942</v>
      </c>
      <c r="M352" s="157" t="s">
        <v>923</v>
      </c>
      <c r="N352" s="3">
        <f t="array" aca="1" ref="N352" ca="1">IFERROR(
  INDEX($J$2:$J$543,
    MATCH(A352&amp;TEXT(I352,"yyyy-mm-dd"),
          $A$2:$A$543&amp;TEXT($H$2:$H$543,"yyyy-mm-dd"),
          0)),
"")</f>
        <v>1</v>
      </c>
      <c r="O352" s="147" t="str">
        <f t="shared" ca="1" si="267"/>
        <v/>
      </c>
      <c r="P352" s="147">
        <f t="shared" ref="P352:Q352" ca="1" si="368">IF(N352="",0,IF(N352&lt;=2,1,IF(N352&lt;=4,2,IF(N352&lt;=5.5,3,4))))</f>
        <v>1</v>
      </c>
      <c r="Q352" s="147">
        <f t="shared" ca="1" si="368"/>
        <v>0</v>
      </c>
      <c r="R352" s="147" t="str">
        <f t="shared" ca="1" si="269"/>
        <v>Regressed</v>
      </c>
      <c r="S352" s="147">
        <f t="shared" si="270"/>
        <v>1</v>
      </c>
      <c r="T352" s="147"/>
      <c r="U352" s="147"/>
      <c r="V352" s="147"/>
      <c r="W352" s="147"/>
      <c r="X352" s="147"/>
      <c r="Y352" s="147"/>
      <c r="Z352" s="147"/>
      <c r="AA352" s="147"/>
      <c r="AB352" s="147"/>
      <c r="AC352" s="147"/>
      <c r="AD352" s="147"/>
      <c r="AE352" s="147"/>
      <c r="AF352" s="147"/>
      <c r="AG352" s="147"/>
      <c r="AH352" s="147"/>
      <c r="AI352" s="147"/>
      <c r="AJ352" s="147"/>
      <c r="AK352" s="147"/>
      <c r="AL352" s="147"/>
      <c r="AM352" s="151"/>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c r="BI352" s="147"/>
      <c r="BJ352" s="147"/>
      <c r="BK352" s="147"/>
      <c r="BL352" s="147"/>
      <c r="BM352" s="147"/>
      <c r="BN352" s="147"/>
      <c r="BO352" s="147"/>
      <c r="BP352" s="147"/>
      <c r="BQ352" s="147"/>
      <c r="BR352" s="147"/>
      <c r="BS352" s="147"/>
      <c r="BT352" s="147"/>
      <c r="BU352" s="147"/>
      <c r="BV352" s="147"/>
      <c r="BW352" s="147"/>
      <c r="BX352" s="147"/>
      <c r="BY352" s="147"/>
      <c r="BZ352" s="147"/>
      <c r="CA352" s="147"/>
      <c r="CB352" s="147"/>
      <c r="CC352" s="147"/>
      <c r="CD352" s="147"/>
      <c r="CE352" s="147"/>
      <c r="CF352" s="147"/>
      <c r="CG352" s="147"/>
      <c r="CH352" s="147"/>
      <c r="CI352" s="147"/>
      <c r="CJ352" s="147"/>
      <c r="CK352" s="147"/>
    </row>
    <row r="353" spans="1:89">
      <c r="A353" s="159" t="s">
        <v>442</v>
      </c>
      <c r="B353" s="3" t="s">
        <v>443</v>
      </c>
      <c r="C353" s="160" t="s">
        <v>83</v>
      </c>
      <c r="D353" s="160" t="s">
        <v>876</v>
      </c>
      <c r="E353" s="3" t="s">
        <v>21</v>
      </c>
      <c r="F353" s="3" t="s">
        <v>926</v>
      </c>
      <c r="G353" s="3" t="s">
        <v>917</v>
      </c>
      <c r="H353" s="156" t="str">
        <f ca="1">IFERROR(
  _xludf.MINIFS(ATTENDANCE_LOG!$F:$F,
         ATTENDANCE_LOG!$A:$A, C353,
         ATTENDANCE_LOG!$B:$B, E353),
"")</f>
        <v/>
      </c>
      <c r="I353" s="156" t="str">
        <f t="shared" ca="1" si="266"/>
        <v/>
      </c>
      <c r="J353" s="3">
        <f>IFERROR(VLOOKUP(F353, LEVEL_HELPER!$A:$B, 2, 0), "")</f>
        <v>1</v>
      </c>
      <c r="K353" s="3">
        <f>IFERROR(VLOOKUP(G353, LEVEL_HELPER!$A:$B, 2, 0), "")</f>
        <v>3</v>
      </c>
      <c r="L353" s="157" t="s">
        <v>942</v>
      </c>
      <c r="M353" s="157" t="s">
        <v>923</v>
      </c>
      <c r="N353" s="3">
        <f t="array" aca="1" ref="N353" ca="1">IFERROR(
  INDEX($J$2:$J$543,
    MATCH(A353&amp;TEXT(I353,"yyyy-mm-dd"),
          $A$2:$A$543&amp;TEXT($H$2:$H$543,"yyyy-mm-dd"),
          0)),
"")</f>
        <v>1</v>
      </c>
      <c r="O353" s="147" t="str">
        <f t="shared" ca="1" si="267"/>
        <v/>
      </c>
      <c r="P353" s="147">
        <f t="shared" ref="P353:Q353" ca="1" si="369">IF(N353="",0,IF(N353&lt;=2,1,IF(N353&lt;=4,2,IF(N353&lt;=5.5,3,4))))</f>
        <v>1</v>
      </c>
      <c r="Q353" s="147">
        <f t="shared" ca="1" si="369"/>
        <v>0</v>
      </c>
      <c r="R353" s="147" t="str">
        <f t="shared" ca="1" si="269"/>
        <v>Regressed</v>
      </c>
      <c r="S353" s="147">
        <f t="shared" si="270"/>
        <v>1</v>
      </c>
      <c r="T353" s="147"/>
      <c r="U353" s="147"/>
      <c r="V353" s="147"/>
      <c r="W353" s="147"/>
      <c r="X353" s="147"/>
      <c r="Y353" s="147"/>
      <c r="Z353" s="147"/>
      <c r="AA353" s="147"/>
      <c r="AB353" s="147"/>
      <c r="AC353" s="147"/>
      <c r="AD353" s="147"/>
      <c r="AE353" s="147"/>
      <c r="AF353" s="147"/>
      <c r="AG353" s="147"/>
      <c r="AH353" s="147"/>
      <c r="AI353" s="147"/>
      <c r="AJ353" s="147"/>
      <c r="AK353" s="147"/>
      <c r="AL353" s="147"/>
      <c r="AM353" s="151"/>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c r="BI353" s="147"/>
      <c r="BJ353" s="147"/>
      <c r="BK353" s="147"/>
      <c r="BL353" s="147"/>
      <c r="BM353" s="147"/>
      <c r="BN353" s="147"/>
      <c r="BO353" s="147"/>
      <c r="BP353" s="147"/>
      <c r="BQ353" s="147"/>
      <c r="BR353" s="147"/>
      <c r="BS353" s="147"/>
      <c r="BT353" s="147"/>
      <c r="BU353" s="147"/>
      <c r="BV353" s="147"/>
      <c r="BW353" s="147"/>
      <c r="BX353" s="147"/>
      <c r="BY353" s="147"/>
      <c r="BZ353" s="147"/>
      <c r="CA353" s="147"/>
      <c r="CB353" s="147"/>
      <c r="CC353" s="147"/>
      <c r="CD353" s="147"/>
      <c r="CE353" s="147"/>
      <c r="CF353" s="147"/>
      <c r="CG353" s="147"/>
      <c r="CH353" s="147"/>
      <c r="CI353" s="147"/>
      <c r="CJ353" s="147"/>
      <c r="CK353" s="147"/>
    </row>
    <row r="354" spans="1:89">
      <c r="A354" s="159" t="s">
        <v>633</v>
      </c>
      <c r="B354" s="3" t="s">
        <v>634</v>
      </c>
      <c r="C354" s="160" t="s">
        <v>83</v>
      </c>
      <c r="D354" s="160" t="s">
        <v>876</v>
      </c>
      <c r="E354" s="3" t="s">
        <v>21</v>
      </c>
      <c r="F354" s="3" t="s">
        <v>926</v>
      </c>
      <c r="G354" s="3" t="s">
        <v>917</v>
      </c>
      <c r="H354" s="156" t="str">
        <f ca="1">IFERROR(
  _xludf.MINIFS(ATTENDANCE_LOG!$F:$F,
         ATTENDANCE_LOG!$A:$A, C354,
         ATTENDANCE_LOG!$B:$B, E354),
"")</f>
        <v/>
      </c>
      <c r="I354" s="156" t="str">
        <f t="shared" ca="1" si="266"/>
        <v/>
      </c>
      <c r="J354" s="3">
        <f>IFERROR(VLOOKUP(F354, LEVEL_HELPER!$A:$B, 2, 0), "")</f>
        <v>1</v>
      </c>
      <c r="K354" s="3">
        <f>IFERROR(VLOOKUP(G354, LEVEL_HELPER!$A:$B, 2, 0), "")</f>
        <v>3</v>
      </c>
      <c r="L354" s="157" t="s">
        <v>942</v>
      </c>
      <c r="M354" s="157" t="s">
        <v>923</v>
      </c>
      <c r="N354" s="3">
        <f t="array" aca="1" ref="N354" ca="1">IFERROR(
  INDEX($J$2:$J$543,
    MATCH(A354&amp;TEXT(I354,"yyyy-mm-dd"),
          $A$2:$A$543&amp;TEXT($H$2:$H$543,"yyyy-mm-dd"),
          0)),
"")</f>
        <v>1</v>
      </c>
      <c r="O354" s="147" t="str">
        <f t="shared" ca="1" si="267"/>
        <v/>
      </c>
      <c r="P354" s="147">
        <f t="shared" ref="P354:Q354" ca="1" si="370">IF(N354="",0,IF(N354&lt;=2,1,IF(N354&lt;=4,2,IF(N354&lt;=5.5,3,4))))</f>
        <v>1</v>
      </c>
      <c r="Q354" s="147">
        <f t="shared" ca="1" si="370"/>
        <v>0</v>
      </c>
      <c r="R354" s="147" t="str">
        <f t="shared" ca="1" si="269"/>
        <v>Regressed</v>
      </c>
      <c r="S354" s="147">
        <f t="shared" si="270"/>
        <v>1</v>
      </c>
      <c r="T354" s="147"/>
      <c r="U354" s="147"/>
      <c r="V354" s="147"/>
      <c r="W354" s="147"/>
      <c r="X354" s="147"/>
      <c r="Y354" s="147"/>
      <c r="Z354" s="147"/>
      <c r="AA354" s="147"/>
      <c r="AB354" s="147"/>
      <c r="AC354" s="147"/>
      <c r="AD354" s="147"/>
      <c r="AE354" s="147"/>
      <c r="AF354" s="147"/>
      <c r="AG354" s="147"/>
      <c r="AH354" s="147"/>
      <c r="AI354" s="147"/>
      <c r="AJ354" s="147"/>
      <c r="AK354" s="147"/>
      <c r="AL354" s="147"/>
      <c r="AM354" s="151"/>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c r="BI354" s="147"/>
      <c r="BJ354" s="147"/>
      <c r="BK354" s="147"/>
      <c r="BL354" s="147"/>
      <c r="BM354" s="147"/>
      <c r="BN354" s="147"/>
      <c r="BO354" s="147"/>
      <c r="BP354" s="147"/>
      <c r="BQ354" s="147"/>
      <c r="BR354" s="147"/>
      <c r="BS354" s="147"/>
      <c r="BT354" s="147"/>
      <c r="BU354" s="147"/>
      <c r="BV354" s="147"/>
      <c r="BW354" s="147"/>
      <c r="BX354" s="147"/>
      <c r="BY354" s="147"/>
      <c r="BZ354" s="147"/>
      <c r="CA354" s="147"/>
      <c r="CB354" s="147"/>
      <c r="CC354" s="147"/>
      <c r="CD354" s="147"/>
      <c r="CE354" s="147"/>
      <c r="CF354" s="147"/>
      <c r="CG354" s="147"/>
      <c r="CH354" s="147"/>
      <c r="CI354" s="147"/>
      <c r="CJ354" s="147"/>
      <c r="CK354" s="147"/>
    </row>
    <row r="355" spans="1:89">
      <c r="A355" s="159" t="s">
        <v>641</v>
      </c>
      <c r="B355" s="3" t="s">
        <v>642</v>
      </c>
      <c r="C355" s="160" t="s">
        <v>83</v>
      </c>
      <c r="D355" s="160" t="s">
        <v>876</v>
      </c>
      <c r="E355" s="3" t="s">
        <v>21</v>
      </c>
      <c r="F355" s="3" t="s">
        <v>926</v>
      </c>
      <c r="G355" s="3" t="s">
        <v>934</v>
      </c>
      <c r="H355" s="156" t="str">
        <f ca="1">IFERROR(
  _xludf.MINIFS(ATTENDANCE_LOG!$F:$F,
         ATTENDANCE_LOG!$A:$A, C355,
         ATTENDANCE_LOG!$B:$B, E355),
"")</f>
        <v/>
      </c>
      <c r="I355" s="156" t="str">
        <f t="shared" ca="1" si="266"/>
        <v/>
      </c>
      <c r="J355" s="3">
        <f>IFERROR(VLOOKUP(F355, LEVEL_HELPER!$A:$B, 2, 0), "")</f>
        <v>1</v>
      </c>
      <c r="K355" s="3">
        <f>IFERROR(VLOOKUP(G355, LEVEL_HELPER!$A:$B, 2, 0), "")</f>
        <v>3.5</v>
      </c>
      <c r="L355" s="157" t="s">
        <v>942</v>
      </c>
      <c r="M355" s="157" t="s">
        <v>923</v>
      </c>
      <c r="N355" s="3">
        <f t="array" aca="1" ref="N355" ca="1">IFERROR(
  INDEX($J$2:$J$543,
    MATCH(A355&amp;TEXT(I355,"yyyy-mm-dd"),
          $A$2:$A$543&amp;TEXT($H$2:$H$543,"yyyy-mm-dd"),
          0)),
"")</f>
        <v>1</v>
      </c>
      <c r="O355" s="147" t="str">
        <f t="shared" ca="1" si="267"/>
        <v/>
      </c>
      <c r="P355" s="147">
        <f t="shared" ref="P355:Q355" ca="1" si="371">IF(N355="",0,IF(N355&lt;=2,1,IF(N355&lt;=4,2,IF(N355&lt;=5.5,3,4))))</f>
        <v>1</v>
      </c>
      <c r="Q355" s="147">
        <f t="shared" ca="1" si="371"/>
        <v>0</v>
      </c>
      <c r="R355" s="147" t="str">
        <f t="shared" ca="1" si="269"/>
        <v>Regressed</v>
      </c>
      <c r="S355" s="147">
        <f t="shared" si="270"/>
        <v>1</v>
      </c>
      <c r="T355" s="147"/>
      <c r="U355" s="147"/>
      <c r="V355" s="147"/>
      <c r="W355" s="147"/>
      <c r="X355" s="147"/>
      <c r="Y355" s="147"/>
      <c r="Z355" s="147"/>
      <c r="AA355" s="147"/>
      <c r="AB355" s="147"/>
      <c r="AC355" s="147"/>
      <c r="AD355" s="147"/>
      <c r="AE355" s="147"/>
      <c r="AF355" s="147"/>
      <c r="AG355" s="147"/>
      <c r="AH355" s="147"/>
      <c r="AI355" s="147"/>
      <c r="AJ355" s="147"/>
      <c r="AK355" s="147"/>
      <c r="AL355" s="147"/>
      <c r="AM355" s="151"/>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c r="BI355" s="147"/>
      <c r="BJ355" s="147"/>
      <c r="BK355" s="147"/>
      <c r="BL355" s="147"/>
      <c r="BM355" s="147"/>
      <c r="BN355" s="147"/>
      <c r="BO355" s="147"/>
      <c r="BP355" s="147"/>
      <c r="BQ355" s="147"/>
      <c r="BR355" s="147"/>
      <c r="BS355" s="147"/>
      <c r="BT355" s="147"/>
      <c r="BU355" s="147"/>
      <c r="BV355" s="147"/>
      <c r="BW355" s="147"/>
      <c r="BX355" s="147"/>
      <c r="BY355" s="147"/>
      <c r="BZ355" s="147"/>
      <c r="CA355" s="147"/>
      <c r="CB355" s="147"/>
      <c r="CC355" s="147"/>
      <c r="CD355" s="147"/>
      <c r="CE355" s="147"/>
      <c r="CF355" s="147"/>
      <c r="CG355" s="147"/>
      <c r="CH355" s="147"/>
      <c r="CI355" s="147"/>
      <c r="CJ355" s="147"/>
      <c r="CK355" s="147"/>
    </row>
    <row r="356" spans="1:89">
      <c r="A356" s="159" t="s">
        <v>671</v>
      </c>
      <c r="B356" s="3" t="s">
        <v>672</v>
      </c>
      <c r="C356" s="160" t="s">
        <v>83</v>
      </c>
      <c r="D356" s="160" t="s">
        <v>876</v>
      </c>
      <c r="E356" s="3" t="s">
        <v>21</v>
      </c>
      <c r="F356" s="3" t="s">
        <v>926</v>
      </c>
      <c r="G356" s="3" t="s">
        <v>934</v>
      </c>
      <c r="H356" s="156" t="str">
        <f ca="1">IFERROR(
  _xludf.MINIFS(ATTENDANCE_LOG!$F:$F,
         ATTENDANCE_LOG!$A:$A, C356,
         ATTENDANCE_LOG!$B:$B, E356),
"")</f>
        <v/>
      </c>
      <c r="I356" s="156" t="str">
        <f t="shared" ca="1" si="266"/>
        <v/>
      </c>
      <c r="J356" s="3">
        <f>IFERROR(VLOOKUP(F356, LEVEL_HELPER!$A:$B, 2, 0), "")</f>
        <v>1</v>
      </c>
      <c r="K356" s="3">
        <f>IFERROR(VLOOKUP(G356, LEVEL_HELPER!$A:$B, 2, 0), "")</f>
        <v>3.5</v>
      </c>
      <c r="L356" s="157" t="s">
        <v>942</v>
      </c>
      <c r="M356" s="157" t="s">
        <v>923</v>
      </c>
      <c r="N356" s="3">
        <f t="array" aca="1" ref="N356" ca="1">IFERROR(
  INDEX($J$2:$J$543,
    MATCH(A356&amp;TEXT(I356,"yyyy-mm-dd"),
          $A$2:$A$543&amp;TEXT($H$2:$H$543,"yyyy-mm-dd"),
          0)),
"")</f>
        <v>1</v>
      </c>
      <c r="O356" s="147" t="str">
        <f t="shared" ca="1" si="267"/>
        <v/>
      </c>
      <c r="P356" s="147">
        <f t="shared" ref="P356:Q356" ca="1" si="372">IF(N356="",0,IF(N356&lt;=2,1,IF(N356&lt;=4,2,IF(N356&lt;=5.5,3,4))))</f>
        <v>1</v>
      </c>
      <c r="Q356" s="147">
        <f t="shared" ca="1" si="372"/>
        <v>0</v>
      </c>
      <c r="R356" s="147" t="str">
        <f t="shared" ca="1" si="269"/>
        <v>Regressed</v>
      </c>
      <c r="S356" s="147">
        <f t="shared" si="270"/>
        <v>1</v>
      </c>
      <c r="T356" s="147"/>
      <c r="U356" s="147"/>
      <c r="V356" s="147"/>
      <c r="W356" s="147"/>
      <c r="X356" s="147"/>
      <c r="Y356" s="147"/>
      <c r="Z356" s="147"/>
      <c r="AA356" s="147"/>
      <c r="AB356" s="147"/>
      <c r="AC356" s="147"/>
      <c r="AD356" s="147"/>
      <c r="AE356" s="147"/>
      <c r="AF356" s="147"/>
      <c r="AG356" s="147"/>
      <c r="AH356" s="147"/>
      <c r="AI356" s="147"/>
      <c r="AJ356" s="147"/>
      <c r="AK356" s="147"/>
      <c r="AL356" s="147"/>
      <c r="AM356" s="151"/>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c r="BI356" s="147"/>
      <c r="BJ356" s="147"/>
      <c r="BK356" s="147"/>
      <c r="BL356" s="147"/>
      <c r="BM356" s="147"/>
      <c r="BN356" s="147"/>
      <c r="BO356" s="147"/>
      <c r="BP356" s="147"/>
      <c r="BQ356" s="147"/>
      <c r="BR356" s="147"/>
      <c r="BS356" s="147"/>
      <c r="BT356" s="147"/>
      <c r="BU356" s="147"/>
      <c r="BV356" s="147"/>
      <c r="BW356" s="147"/>
      <c r="BX356" s="147"/>
      <c r="BY356" s="147"/>
      <c r="BZ356" s="147"/>
      <c r="CA356" s="147"/>
      <c r="CB356" s="147"/>
      <c r="CC356" s="147"/>
      <c r="CD356" s="147"/>
      <c r="CE356" s="147"/>
      <c r="CF356" s="147"/>
      <c r="CG356" s="147"/>
      <c r="CH356" s="147"/>
      <c r="CI356" s="147"/>
      <c r="CJ356" s="147"/>
      <c r="CK356" s="147"/>
    </row>
    <row r="357" spans="1:89">
      <c r="A357" s="159" t="s">
        <v>208</v>
      </c>
      <c r="B357" s="154" t="s">
        <v>209</v>
      </c>
      <c r="C357" s="155" t="s">
        <v>83</v>
      </c>
      <c r="D357" s="155" t="s">
        <v>876</v>
      </c>
      <c r="E357" s="154" t="s">
        <v>22</v>
      </c>
      <c r="F357" s="3" t="s">
        <v>934</v>
      </c>
      <c r="G357" s="3" t="s">
        <v>940</v>
      </c>
      <c r="H357" s="156" t="str">
        <f ca="1">IFERROR(
  _xludf.MINIFS(ATTENDANCE_LOG!$F:$F,
         ATTENDANCE_LOG!$A:$A, C357,
         ATTENDANCE_LOG!$B:$B, E357),
"")</f>
        <v/>
      </c>
      <c r="I357" s="156" t="str">
        <f t="shared" ca="1" si="266"/>
        <v/>
      </c>
      <c r="J357" s="3">
        <f>IFERROR(VLOOKUP(F357, LEVEL_HELPER!$A:$B, 2, 0), "")</f>
        <v>3.5</v>
      </c>
      <c r="K357" s="3">
        <f>IFERROR(VLOOKUP(G357, LEVEL_HELPER!$A:$B, 2, 0), "")</f>
        <v>5</v>
      </c>
      <c r="L357" s="157" t="s">
        <v>942</v>
      </c>
      <c r="M357" s="157" t="s">
        <v>923</v>
      </c>
      <c r="N357" s="3">
        <f t="array" aca="1" ref="N357" ca="1">IFERROR(
  INDEX($J$2:$J$543,
    MATCH(A357&amp;TEXT(I357,"yyyy-mm-dd"),
          $A$2:$A$543&amp;TEXT($H$2:$H$543,"yyyy-mm-dd"),
          0)),
"")</f>
        <v>1</v>
      </c>
      <c r="O357" s="147" t="str">
        <f t="shared" ca="1" si="267"/>
        <v/>
      </c>
      <c r="P357" s="147">
        <f t="shared" ref="P357:Q357" ca="1" si="373">IF(N357="",0,IF(N357&lt;=2,1,IF(N357&lt;=4,2,IF(N357&lt;=5.5,3,4))))</f>
        <v>1</v>
      </c>
      <c r="Q357" s="147">
        <f t="shared" ca="1" si="373"/>
        <v>0</v>
      </c>
      <c r="R357" s="147" t="str">
        <f t="shared" ca="1" si="269"/>
        <v>Regressed</v>
      </c>
      <c r="S357" s="147">
        <f t="shared" si="270"/>
        <v>0</v>
      </c>
      <c r="T357" s="147"/>
      <c r="U357" s="147"/>
      <c r="V357" s="147"/>
      <c r="W357" s="147"/>
      <c r="X357" s="147"/>
      <c r="Y357" s="147"/>
      <c r="Z357" s="147"/>
      <c r="AA357" s="147"/>
      <c r="AB357" s="147"/>
      <c r="AC357" s="147"/>
      <c r="AD357" s="147"/>
      <c r="AE357" s="147"/>
      <c r="AF357" s="147"/>
      <c r="AG357" s="147"/>
      <c r="AH357" s="147"/>
      <c r="AI357" s="147"/>
      <c r="AJ357" s="147"/>
      <c r="AK357" s="147"/>
      <c r="AL357" s="147"/>
      <c r="AM357" s="151"/>
      <c r="AN357" s="147"/>
      <c r="AO357" s="147"/>
      <c r="AP357" s="147"/>
      <c r="AQ357" s="147"/>
      <c r="AR357" s="147"/>
      <c r="AS357" s="147"/>
      <c r="AT357" s="147"/>
      <c r="AU357" s="147"/>
      <c r="AV357" s="147"/>
      <c r="AW357" s="147"/>
      <c r="AX357" s="147"/>
      <c r="AY357" s="147"/>
      <c r="AZ357" s="147"/>
      <c r="BA357" s="147"/>
      <c r="BB357" s="147"/>
      <c r="BC357" s="147"/>
      <c r="BD357" s="147"/>
      <c r="BE357" s="147"/>
      <c r="BF357" s="147"/>
      <c r="BG357" s="147"/>
      <c r="BH357" s="147"/>
      <c r="BI357" s="147"/>
      <c r="BJ357" s="147"/>
      <c r="BK357" s="147"/>
      <c r="BL357" s="147"/>
      <c r="BM357" s="147"/>
      <c r="BN357" s="147"/>
      <c r="BO357" s="147"/>
      <c r="BP357" s="147"/>
      <c r="BQ357" s="147"/>
      <c r="BR357" s="147"/>
      <c r="BS357" s="147"/>
      <c r="BT357" s="147"/>
      <c r="BU357" s="147"/>
      <c r="BV357" s="147"/>
      <c r="BW357" s="147"/>
      <c r="BX357" s="147"/>
      <c r="BY357" s="147"/>
      <c r="BZ357" s="147"/>
      <c r="CA357" s="147"/>
      <c r="CB357" s="147"/>
      <c r="CC357" s="147"/>
      <c r="CD357" s="147"/>
      <c r="CE357" s="147"/>
      <c r="CF357" s="147"/>
      <c r="CG357" s="147"/>
      <c r="CH357" s="147"/>
      <c r="CI357" s="147"/>
      <c r="CJ357" s="147"/>
      <c r="CK357" s="147"/>
    </row>
    <row r="358" spans="1:89">
      <c r="A358" s="159" t="s">
        <v>241</v>
      </c>
      <c r="B358" s="3" t="s">
        <v>242</v>
      </c>
      <c r="C358" s="160" t="s">
        <v>83</v>
      </c>
      <c r="D358" s="160" t="s">
        <v>876</v>
      </c>
      <c r="E358" s="3" t="s">
        <v>22</v>
      </c>
      <c r="F358" s="3" t="s">
        <v>928</v>
      </c>
      <c r="G358" s="3" t="s">
        <v>917</v>
      </c>
      <c r="H358" s="156" t="str">
        <f ca="1">IFERROR(
  _xludf.MINIFS(ATTENDANCE_LOG!$F:$F,
         ATTENDANCE_LOG!$A:$A, C358,
         ATTENDANCE_LOG!$B:$B, E358),
"")</f>
        <v/>
      </c>
      <c r="I358" s="156" t="str">
        <f t="shared" ca="1" si="266"/>
        <v/>
      </c>
      <c r="J358" s="3">
        <f>IFERROR(VLOOKUP(F358, LEVEL_HELPER!$A:$B, 2, 0), "")</f>
        <v>1.5</v>
      </c>
      <c r="K358" s="3">
        <f>IFERROR(VLOOKUP(G358, LEVEL_HELPER!$A:$B, 2, 0), "")</f>
        <v>3</v>
      </c>
      <c r="L358" s="157" t="s">
        <v>918</v>
      </c>
      <c r="M358" s="157" t="s">
        <v>923</v>
      </c>
      <c r="N358" s="3">
        <f t="array" aca="1" ref="N358" ca="1">IFERROR(
  INDEX($J$2:$J$543,
    MATCH(A358&amp;TEXT(I358,"yyyy-mm-dd"),
          $A$2:$A$543&amp;TEXT($H$2:$H$543,"yyyy-mm-dd"),
          0)),
"")</f>
        <v>1.5</v>
      </c>
      <c r="O358" s="147" t="str">
        <f t="shared" ca="1" si="267"/>
        <v/>
      </c>
      <c r="P358" s="147">
        <f t="shared" ref="P358:Q358" ca="1" si="374">IF(N358="",0,IF(N358&lt;=2,1,IF(N358&lt;=4,2,IF(N358&lt;=5.5,3,4))))</f>
        <v>1</v>
      </c>
      <c r="Q358" s="147">
        <f t="shared" ca="1" si="374"/>
        <v>0</v>
      </c>
      <c r="R358" s="147" t="str">
        <f t="shared" ca="1" si="269"/>
        <v>Regressed</v>
      </c>
      <c r="S358" s="147">
        <f t="shared" si="270"/>
        <v>1</v>
      </c>
      <c r="T358" s="147"/>
      <c r="U358" s="147"/>
      <c r="V358" s="147"/>
      <c r="W358" s="147"/>
      <c r="X358" s="147"/>
      <c r="Y358" s="147"/>
      <c r="Z358" s="147"/>
      <c r="AA358" s="147"/>
      <c r="AB358" s="147"/>
      <c r="AC358" s="147"/>
      <c r="AD358" s="147"/>
      <c r="AE358" s="147"/>
      <c r="AF358" s="147"/>
      <c r="AG358" s="147"/>
      <c r="AH358" s="147"/>
      <c r="AI358" s="147"/>
      <c r="AJ358" s="147"/>
      <c r="AK358" s="147"/>
      <c r="AL358" s="147"/>
      <c r="AM358" s="151"/>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c r="BI358" s="147"/>
      <c r="BJ358" s="147"/>
      <c r="BK358" s="147"/>
      <c r="BL358" s="147"/>
      <c r="BM358" s="147"/>
      <c r="BN358" s="147"/>
      <c r="BO358" s="147"/>
      <c r="BP358" s="147"/>
      <c r="BQ358" s="147"/>
      <c r="BR358" s="147"/>
      <c r="BS358" s="147"/>
      <c r="BT358" s="147"/>
      <c r="BU358" s="147"/>
      <c r="BV358" s="147"/>
      <c r="BW358" s="147"/>
      <c r="BX358" s="147"/>
      <c r="BY358" s="147"/>
      <c r="BZ358" s="147"/>
      <c r="CA358" s="147"/>
      <c r="CB358" s="147"/>
      <c r="CC358" s="147"/>
      <c r="CD358" s="147"/>
      <c r="CE358" s="147"/>
      <c r="CF358" s="147"/>
      <c r="CG358" s="147"/>
      <c r="CH358" s="147"/>
      <c r="CI358" s="147"/>
      <c r="CJ358" s="147"/>
      <c r="CK358" s="147"/>
    </row>
    <row r="359" spans="1:89">
      <c r="A359" s="159" t="s">
        <v>243</v>
      </c>
      <c r="B359" s="3" t="s">
        <v>244</v>
      </c>
      <c r="C359" s="160" t="s">
        <v>83</v>
      </c>
      <c r="D359" s="160" t="s">
        <v>876</v>
      </c>
      <c r="E359" s="3" t="s">
        <v>22</v>
      </c>
      <c r="F359" s="3" t="s">
        <v>926</v>
      </c>
      <c r="G359" s="3" t="s">
        <v>917</v>
      </c>
      <c r="H359" s="156" t="str">
        <f ca="1">IFERROR(
  _xludf.MINIFS(ATTENDANCE_LOG!$F:$F,
         ATTENDANCE_LOG!$A:$A, C359,
         ATTENDANCE_LOG!$B:$B, E359),
"")</f>
        <v/>
      </c>
      <c r="I359" s="156" t="str">
        <f t="shared" ca="1" si="266"/>
        <v/>
      </c>
      <c r="J359" s="3">
        <f>IFERROR(VLOOKUP(F359, LEVEL_HELPER!$A:$B, 2, 0), "")</f>
        <v>1</v>
      </c>
      <c r="K359" s="3">
        <f>IFERROR(VLOOKUP(G359, LEVEL_HELPER!$A:$B, 2, 0), "")</f>
        <v>3</v>
      </c>
      <c r="L359" s="157" t="s">
        <v>942</v>
      </c>
      <c r="M359" s="157" t="s">
        <v>923</v>
      </c>
      <c r="N359" s="3">
        <f t="array" aca="1" ref="N359" ca="1">IFERROR(
  INDEX($J$2:$J$543,
    MATCH(A359&amp;TEXT(I359,"yyyy-mm-dd"),
          $A$2:$A$543&amp;TEXT($H$2:$H$543,"yyyy-mm-dd"),
          0)),
"")</f>
        <v>1</v>
      </c>
      <c r="O359" s="147" t="str">
        <f t="shared" ca="1" si="267"/>
        <v/>
      </c>
      <c r="P359" s="147">
        <f t="shared" ref="P359:Q359" ca="1" si="375">IF(N359="",0,IF(N359&lt;=2,1,IF(N359&lt;=4,2,IF(N359&lt;=5.5,3,4))))</f>
        <v>1</v>
      </c>
      <c r="Q359" s="147">
        <f t="shared" ca="1" si="375"/>
        <v>0</v>
      </c>
      <c r="R359" s="147" t="str">
        <f t="shared" ca="1" si="269"/>
        <v>Regressed</v>
      </c>
      <c r="S359" s="147">
        <f t="shared" si="270"/>
        <v>0</v>
      </c>
      <c r="T359" s="147"/>
      <c r="U359" s="147"/>
      <c r="V359" s="147"/>
      <c r="W359" s="147"/>
      <c r="X359" s="147"/>
      <c r="Y359" s="147"/>
      <c r="Z359" s="147"/>
      <c r="AA359" s="147"/>
      <c r="AB359" s="147"/>
      <c r="AC359" s="147"/>
      <c r="AD359" s="147"/>
      <c r="AE359" s="147"/>
      <c r="AF359" s="147"/>
      <c r="AG359" s="147"/>
      <c r="AH359" s="147"/>
      <c r="AI359" s="147"/>
      <c r="AJ359" s="147"/>
      <c r="AK359" s="147"/>
      <c r="AL359" s="147"/>
      <c r="AM359" s="151"/>
      <c r="AN359" s="147"/>
      <c r="AO359" s="147"/>
      <c r="AP359" s="147"/>
      <c r="AQ359" s="147"/>
      <c r="AR359" s="147"/>
      <c r="AS359" s="147"/>
      <c r="AT359" s="147"/>
      <c r="AU359" s="147"/>
      <c r="AV359" s="147"/>
      <c r="AW359" s="147"/>
      <c r="AX359" s="147"/>
      <c r="AY359" s="147"/>
      <c r="AZ359" s="147"/>
      <c r="BA359" s="147"/>
      <c r="BB359" s="147"/>
      <c r="BC359" s="147"/>
      <c r="BD359" s="147"/>
      <c r="BE359" s="147"/>
      <c r="BF359" s="147"/>
      <c r="BG359" s="147"/>
      <c r="BH359" s="147"/>
      <c r="BI359" s="147"/>
      <c r="BJ359" s="147"/>
      <c r="BK359" s="147"/>
      <c r="BL359" s="147"/>
      <c r="BM359" s="147"/>
      <c r="BN359" s="147"/>
      <c r="BO359" s="147"/>
      <c r="BP359" s="147"/>
      <c r="BQ359" s="147"/>
      <c r="BR359" s="147"/>
      <c r="BS359" s="147"/>
      <c r="BT359" s="147"/>
      <c r="BU359" s="147"/>
      <c r="BV359" s="147"/>
      <c r="BW359" s="147"/>
      <c r="BX359" s="147"/>
      <c r="BY359" s="147"/>
      <c r="BZ359" s="147"/>
      <c r="CA359" s="147"/>
      <c r="CB359" s="147"/>
      <c r="CC359" s="147"/>
      <c r="CD359" s="147"/>
      <c r="CE359" s="147"/>
      <c r="CF359" s="147"/>
      <c r="CG359" s="147"/>
      <c r="CH359" s="147"/>
      <c r="CI359" s="147"/>
      <c r="CJ359" s="147"/>
      <c r="CK359" s="147"/>
    </row>
    <row r="360" spans="1:89">
      <c r="A360" s="159" t="s">
        <v>305</v>
      </c>
      <c r="B360" s="3" t="s">
        <v>306</v>
      </c>
      <c r="C360" s="160" t="s">
        <v>83</v>
      </c>
      <c r="D360" s="160" t="s">
        <v>876</v>
      </c>
      <c r="E360" s="3" t="s">
        <v>22</v>
      </c>
      <c r="F360" s="3" t="s">
        <v>928</v>
      </c>
      <c r="G360" s="3" t="s">
        <v>917</v>
      </c>
      <c r="H360" s="156" t="str">
        <f ca="1">IFERROR(
  _xludf.MINIFS(ATTENDANCE_LOG!$F:$F,
         ATTENDANCE_LOG!$A:$A, C360,
         ATTENDANCE_LOG!$B:$B, E360),
"")</f>
        <v/>
      </c>
      <c r="I360" s="156" t="str">
        <f t="shared" ca="1" si="266"/>
        <v/>
      </c>
      <c r="J360" s="3">
        <f>IFERROR(VLOOKUP(F360, LEVEL_HELPER!$A:$B, 2, 0), "")</f>
        <v>1.5</v>
      </c>
      <c r="K360" s="3">
        <f>IFERROR(VLOOKUP(G360, LEVEL_HELPER!$A:$B, 2, 0), "")</f>
        <v>3</v>
      </c>
      <c r="L360" s="157" t="s">
        <v>942</v>
      </c>
      <c r="M360" s="157" t="s">
        <v>923</v>
      </c>
      <c r="N360" s="3">
        <f t="array" aca="1" ref="N360" ca="1">IFERROR(
  INDEX($J$2:$J$543,
    MATCH(A360&amp;TEXT(I360,"yyyy-mm-dd"),
          $A$2:$A$543&amp;TEXT($H$2:$H$543,"yyyy-mm-dd"),
          0)),
"")</f>
        <v>1</v>
      </c>
      <c r="O360" s="147" t="str">
        <f t="shared" ca="1" si="267"/>
        <v/>
      </c>
      <c r="P360" s="147">
        <f t="shared" ref="P360:Q360" ca="1" si="376">IF(N360="",0,IF(N360&lt;=2,1,IF(N360&lt;=4,2,IF(N360&lt;=5.5,3,4))))</f>
        <v>1</v>
      </c>
      <c r="Q360" s="147">
        <f t="shared" ca="1" si="376"/>
        <v>0</v>
      </c>
      <c r="R360" s="147" t="str">
        <f t="shared" ca="1" si="269"/>
        <v>Regressed</v>
      </c>
      <c r="S360" s="147">
        <f t="shared" si="270"/>
        <v>0</v>
      </c>
      <c r="T360" s="147"/>
      <c r="U360" s="147"/>
      <c r="V360" s="147"/>
      <c r="W360" s="147"/>
      <c r="X360" s="147"/>
      <c r="Y360" s="147"/>
      <c r="Z360" s="147"/>
      <c r="AA360" s="147"/>
      <c r="AB360" s="147"/>
      <c r="AC360" s="147"/>
      <c r="AD360" s="147"/>
      <c r="AE360" s="147"/>
      <c r="AF360" s="147"/>
      <c r="AG360" s="147"/>
      <c r="AH360" s="147"/>
      <c r="AI360" s="147"/>
      <c r="AJ360" s="147"/>
      <c r="AK360" s="147"/>
      <c r="AL360" s="147"/>
      <c r="AM360" s="151"/>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c r="BI360" s="147"/>
      <c r="BJ360" s="147"/>
      <c r="BK360" s="147"/>
      <c r="BL360" s="147"/>
      <c r="BM360" s="147"/>
      <c r="BN360" s="147"/>
      <c r="BO360" s="147"/>
      <c r="BP360" s="147"/>
      <c r="BQ360" s="147"/>
      <c r="BR360" s="147"/>
      <c r="BS360" s="147"/>
      <c r="BT360" s="147"/>
      <c r="BU360" s="147"/>
      <c r="BV360" s="147"/>
      <c r="BW360" s="147"/>
      <c r="BX360" s="147"/>
      <c r="BY360" s="147"/>
      <c r="BZ360" s="147"/>
      <c r="CA360" s="147"/>
      <c r="CB360" s="147"/>
      <c r="CC360" s="147"/>
      <c r="CD360" s="147"/>
      <c r="CE360" s="147"/>
      <c r="CF360" s="147"/>
      <c r="CG360" s="147"/>
      <c r="CH360" s="147"/>
      <c r="CI360" s="147"/>
      <c r="CJ360" s="147"/>
      <c r="CK360" s="147"/>
    </row>
    <row r="361" spans="1:89">
      <c r="A361" s="159" t="s">
        <v>442</v>
      </c>
      <c r="B361" s="3" t="s">
        <v>443</v>
      </c>
      <c r="C361" s="160" t="s">
        <v>83</v>
      </c>
      <c r="D361" s="160" t="s">
        <v>876</v>
      </c>
      <c r="E361" s="3" t="s">
        <v>22</v>
      </c>
      <c r="F361" s="3" t="s">
        <v>917</v>
      </c>
      <c r="G361" s="3" t="s">
        <v>934</v>
      </c>
      <c r="H361" s="156" t="str">
        <f ca="1">IFERROR(
  _xludf.MINIFS(ATTENDANCE_LOG!$F:$F,
         ATTENDANCE_LOG!$A:$A, C361,
         ATTENDANCE_LOG!$B:$B, E361),
"")</f>
        <v/>
      </c>
      <c r="I361" s="156" t="str">
        <f t="shared" ca="1" si="266"/>
        <v/>
      </c>
      <c r="J361" s="3">
        <f>IFERROR(VLOOKUP(F361, LEVEL_HELPER!$A:$B, 2, 0), "")</f>
        <v>3</v>
      </c>
      <c r="K361" s="3">
        <f>IFERROR(VLOOKUP(G361, LEVEL_HELPER!$A:$B, 2, 0), "")</f>
        <v>3.5</v>
      </c>
      <c r="L361" s="157" t="s">
        <v>942</v>
      </c>
      <c r="M361" s="157" t="s">
        <v>923</v>
      </c>
      <c r="N361" s="3">
        <f t="array" aca="1" ref="N361" ca="1">IFERROR(
  INDEX($J$2:$J$543,
    MATCH(A361&amp;TEXT(I361,"yyyy-mm-dd"),
          $A$2:$A$543&amp;TEXT($H$2:$H$543,"yyyy-mm-dd"),
          0)),
"")</f>
        <v>1</v>
      </c>
      <c r="O361" s="147" t="str">
        <f t="shared" ca="1" si="267"/>
        <v/>
      </c>
      <c r="P361" s="147">
        <f t="shared" ref="P361:Q361" ca="1" si="377">IF(N361="",0,IF(N361&lt;=2,1,IF(N361&lt;=4,2,IF(N361&lt;=5.5,3,4))))</f>
        <v>1</v>
      </c>
      <c r="Q361" s="147">
        <f t="shared" ca="1" si="377"/>
        <v>0</v>
      </c>
      <c r="R361" s="147" t="str">
        <f t="shared" ca="1" si="269"/>
        <v>Regressed</v>
      </c>
      <c r="S361" s="147">
        <f t="shared" si="270"/>
        <v>0</v>
      </c>
      <c r="T361" s="147"/>
      <c r="U361" s="147"/>
      <c r="V361" s="147"/>
      <c r="W361" s="147"/>
      <c r="X361" s="147"/>
      <c r="Y361" s="147"/>
      <c r="Z361" s="147"/>
      <c r="AA361" s="147"/>
      <c r="AB361" s="147"/>
      <c r="AC361" s="147"/>
      <c r="AD361" s="147"/>
      <c r="AE361" s="147"/>
      <c r="AF361" s="147"/>
      <c r="AG361" s="147"/>
      <c r="AH361" s="147"/>
      <c r="AI361" s="147"/>
      <c r="AJ361" s="147"/>
      <c r="AK361" s="147"/>
      <c r="AL361" s="147"/>
      <c r="AM361" s="151"/>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c r="BI361" s="147"/>
      <c r="BJ361" s="147"/>
      <c r="BK361" s="147"/>
      <c r="BL361" s="147"/>
      <c r="BM361" s="147"/>
      <c r="BN361" s="147"/>
      <c r="BO361" s="147"/>
      <c r="BP361" s="147"/>
      <c r="BQ361" s="147"/>
      <c r="BR361" s="147"/>
      <c r="BS361" s="147"/>
      <c r="BT361" s="147"/>
      <c r="BU361" s="147"/>
      <c r="BV361" s="147"/>
      <c r="BW361" s="147"/>
      <c r="BX361" s="147"/>
      <c r="BY361" s="147"/>
      <c r="BZ361" s="147"/>
      <c r="CA361" s="147"/>
      <c r="CB361" s="147"/>
      <c r="CC361" s="147"/>
      <c r="CD361" s="147"/>
      <c r="CE361" s="147"/>
      <c r="CF361" s="147"/>
      <c r="CG361" s="147"/>
      <c r="CH361" s="147"/>
      <c r="CI361" s="147"/>
      <c r="CJ361" s="147"/>
      <c r="CK361" s="147"/>
    </row>
    <row r="362" spans="1:89">
      <c r="A362" s="159" t="s">
        <v>463</v>
      </c>
      <c r="B362" s="3" t="s">
        <v>464</v>
      </c>
      <c r="C362" s="160" t="s">
        <v>83</v>
      </c>
      <c r="D362" s="160" t="s">
        <v>876</v>
      </c>
      <c r="E362" s="3" t="s">
        <v>22</v>
      </c>
      <c r="F362" s="3" t="s">
        <v>928</v>
      </c>
      <c r="G362" s="3"/>
      <c r="H362" s="156" t="str">
        <f ca="1">IFERROR(
  _xludf.MINIFS(ATTENDANCE_LOG!$F:$F,
         ATTENDANCE_LOG!$A:$A, C362,
         ATTENDANCE_LOG!$B:$B, E362),
"")</f>
        <v/>
      </c>
      <c r="I362" s="156" t="str">
        <f t="shared" ca="1" si="266"/>
        <v/>
      </c>
      <c r="J362" s="3">
        <f>IFERROR(VLOOKUP(F362, LEVEL_HELPER!$A:$B, 2, 0), "")</f>
        <v>1.5</v>
      </c>
      <c r="K362" s="3" t="str">
        <f>IFERROR(VLOOKUP(G362, LEVEL_HELPER!$A:$B, 2, 0), "")</f>
        <v/>
      </c>
      <c r="L362" s="157" t="s">
        <v>918</v>
      </c>
      <c r="M362" s="157" t="s">
        <v>923</v>
      </c>
      <c r="N362" s="3">
        <f t="array" aca="1" ref="N362" ca="1">IFERROR(
  INDEX($J$2:$J$543,
    MATCH(A362&amp;TEXT(I362,"yyyy-mm-dd"),
          $A$2:$A$543&amp;TEXT($H$2:$H$543,"yyyy-mm-dd"),
          0)),
"")</f>
        <v>1.5</v>
      </c>
      <c r="O362" s="147" t="str">
        <f t="shared" ca="1" si="267"/>
        <v/>
      </c>
      <c r="P362" s="147">
        <f t="shared" ref="P362:Q362" ca="1" si="378">IF(N362="",0,IF(N362&lt;=2,1,IF(N362&lt;=4,2,IF(N362&lt;=5.5,3,4))))</f>
        <v>1</v>
      </c>
      <c r="Q362" s="147">
        <f t="shared" ca="1" si="378"/>
        <v>0</v>
      </c>
      <c r="R362" s="147" t="str">
        <f t="shared" ca="1" si="269"/>
        <v>Regressed</v>
      </c>
      <c r="S362" s="147">
        <f t="shared" si="270"/>
        <v>1</v>
      </c>
      <c r="T362" s="147"/>
      <c r="U362" s="147"/>
      <c r="V362" s="147"/>
      <c r="W362" s="147"/>
      <c r="X362" s="147"/>
      <c r="Y362" s="147"/>
      <c r="Z362" s="147"/>
      <c r="AA362" s="147"/>
      <c r="AB362" s="147"/>
      <c r="AC362" s="147"/>
      <c r="AD362" s="147"/>
      <c r="AE362" s="147"/>
      <c r="AF362" s="147"/>
      <c r="AG362" s="147"/>
      <c r="AH362" s="147"/>
      <c r="AI362" s="147"/>
      <c r="AJ362" s="147"/>
      <c r="AK362" s="147"/>
      <c r="AL362" s="147"/>
      <c r="AM362" s="151"/>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c r="BI362" s="147"/>
      <c r="BJ362" s="147"/>
      <c r="BK362" s="147"/>
      <c r="BL362" s="147"/>
      <c r="BM362" s="147"/>
      <c r="BN362" s="147"/>
      <c r="BO362" s="147"/>
      <c r="BP362" s="147"/>
      <c r="BQ362" s="147"/>
      <c r="BR362" s="147"/>
      <c r="BS362" s="147"/>
      <c r="BT362" s="147"/>
      <c r="BU362" s="147"/>
      <c r="BV362" s="147"/>
      <c r="BW362" s="147"/>
      <c r="BX362" s="147"/>
      <c r="BY362" s="147"/>
      <c r="BZ362" s="147"/>
      <c r="CA362" s="147"/>
      <c r="CB362" s="147"/>
      <c r="CC362" s="147"/>
      <c r="CD362" s="147"/>
      <c r="CE362" s="147"/>
      <c r="CF362" s="147"/>
      <c r="CG362" s="147"/>
      <c r="CH362" s="147"/>
      <c r="CI362" s="147"/>
      <c r="CJ362" s="147"/>
      <c r="CK362" s="147"/>
    </row>
    <row r="363" spans="1:89">
      <c r="A363" s="159" t="s">
        <v>633</v>
      </c>
      <c r="B363" s="3" t="s">
        <v>634</v>
      </c>
      <c r="C363" s="160" t="s">
        <v>83</v>
      </c>
      <c r="D363" s="160" t="s">
        <v>876</v>
      </c>
      <c r="E363" s="3" t="s">
        <v>22</v>
      </c>
      <c r="F363" s="3" t="s">
        <v>917</v>
      </c>
      <c r="G363" s="3" t="s">
        <v>928</v>
      </c>
      <c r="H363" s="156" t="str">
        <f ca="1">IFERROR(
  _xludf.MINIFS(ATTENDANCE_LOG!$F:$F,
         ATTENDANCE_LOG!$A:$A, C363,
         ATTENDANCE_LOG!$B:$B, E363),
"")</f>
        <v/>
      </c>
      <c r="I363" s="156" t="str">
        <f t="shared" ca="1" si="266"/>
        <v/>
      </c>
      <c r="J363" s="3">
        <f>IFERROR(VLOOKUP(F363, LEVEL_HELPER!$A:$B, 2, 0), "")</f>
        <v>3</v>
      </c>
      <c r="K363" s="3">
        <f>IFERROR(VLOOKUP(G363, LEVEL_HELPER!$A:$B, 2, 0), "")</f>
        <v>1.5</v>
      </c>
      <c r="L363" s="157" t="s">
        <v>942</v>
      </c>
      <c r="M363" s="157" t="s">
        <v>923</v>
      </c>
      <c r="N363" s="3">
        <f t="array" aca="1" ref="N363" ca="1">IFERROR(
  INDEX($J$2:$J$543,
    MATCH(A363&amp;TEXT(I363,"yyyy-mm-dd"),
          $A$2:$A$543&amp;TEXT($H$2:$H$543,"yyyy-mm-dd"),
          0)),
"")</f>
        <v>1</v>
      </c>
      <c r="O363" s="147" t="str">
        <f t="shared" ca="1" si="267"/>
        <v/>
      </c>
      <c r="P363" s="147">
        <f t="shared" ref="P363:Q363" ca="1" si="379">IF(N363="",0,IF(N363&lt;=2,1,IF(N363&lt;=4,2,IF(N363&lt;=5.5,3,4))))</f>
        <v>1</v>
      </c>
      <c r="Q363" s="147">
        <f t="shared" ca="1" si="379"/>
        <v>0</v>
      </c>
      <c r="R363" s="147" t="str">
        <f t="shared" ca="1" si="269"/>
        <v>Regressed</v>
      </c>
      <c r="S363" s="147">
        <f t="shared" si="270"/>
        <v>0</v>
      </c>
      <c r="T363" s="147"/>
      <c r="U363" s="147"/>
      <c r="V363" s="147"/>
      <c r="W363" s="147"/>
      <c r="X363" s="147"/>
      <c r="Y363" s="147"/>
      <c r="Z363" s="147"/>
      <c r="AA363" s="147"/>
      <c r="AB363" s="147"/>
      <c r="AC363" s="147"/>
      <c r="AD363" s="147"/>
      <c r="AE363" s="147"/>
      <c r="AF363" s="147"/>
      <c r="AG363" s="147"/>
      <c r="AH363" s="147"/>
      <c r="AI363" s="147"/>
      <c r="AJ363" s="147"/>
      <c r="AK363" s="147"/>
      <c r="AL363" s="147"/>
      <c r="AM363" s="151"/>
      <c r="AN363" s="147"/>
      <c r="AO363" s="147"/>
      <c r="AP363" s="147"/>
      <c r="AQ363" s="147"/>
      <c r="AR363" s="147"/>
      <c r="AS363" s="147"/>
      <c r="AT363" s="147"/>
      <c r="AU363" s="147"/>
      <c r="AV363" s="147"/>
      <c r="AW363" s="147"/>
      <c r="AX363" s="147"/>
      <c r="AY363" s="147"/>
      <c r="AZ363" s="147"/>
      <c r="BA363" s="147"/>
      <c r="BB363" s="147"/>
      <c r="BC363" s="147"/>
      <c r="BD363" s="147"/>
      <c r="BE363" s="147"/>
      <c r="BF363" s="147"/>
      <c r="BG363" s="147"/>
      <c r="BH363" s="147"/>
      <c r="BI363" s="147"/>
      <c r="BJ363" s="147"/>
      <c r="BK363" s="147"/>
      <c r="BL363" s="147"/>
      <c r="BM363" s="147"/>
      <c r="BN363" s="147"/>
      <c r="BO363" s="147"/>
      <c r="BP363" s="147"/>
      <c r="BQ363" s="147"/>
      <c r="BR363" s="147"/>
      <c r="BS363" s="147"/>
      <c r="BT363" s="147"/>
      <c r="BU363" s="147"/>
      <c r="BV363" s="147"/>
      <c r="BW363" s="147"/>
      <c r="BX363" s="147"/>
      <c r="BY363" s="147"/>
      <c r="BZ363" s="147"/>
      <c r="CA363" s="147"/>
      <c r="CB363" s="147"/>
      <c r="CC363" s="147"/>
      <c r="CD363" s="147"/>
      <c r="CE363" s="147"/>
      <c r="CF363" s="147"/>
      <c r="CG363" s="147"/>
      <c r="CH363" s="147"/>
      <c r="CI363" s="147"/>
      <c r="CJ363" s="147"/>
      <c r="CK363" s="147"/>
    </row>
    <row r="364" spans="1:89">
      <c r="A364" s="159" t="s">
        <v>641</v>
      </c>
      <c r="B364" s="3" t="s">
        <v>642</v>
      </c>
      <c r="C364" s="160" t="s">
        <v>83</v>
      </c>
      <c r="D364" s="160" t="s">
        <v>876</v>
      </c>
      <c r="E364" s="3" t="s">
        <v>22</v>
      </c>
      <c r="F364" s="3" t="s">
        <v>934</v>
      </c>
      <c r="G364" s="3" t="s">
        <v>940</v>
      </c>
      <c r="H364" s="156" t="str">
        <f ca="1">IFERROR(
  _xludf.MINIFS(ATTENDANCE_LOG!$F:$F,
         ATTENDANCE_LOG!$A:$A, C364,
         ATTENDANCE_LOG!$B:$B, E364),
"")</f>
        <v/>
      </c>
      <c r="I364" s="156" t="str">
        <f t="shared" ca="1" si="266"/>
        <v/>
      </c>
      <c r="J364" s="3">
        <f>IFERROR(VLOOKUP(F364, LEVEL_HELPER!$A:$B, 2, 0), "")</f>
        <v>3.5</v>
      </c>
      <c r="K364" s="3">
        <f>IFERROR(VLOOKUP(G364, LEVEL_HELPER!$A:$B, 2, 0), "")</f>
        <v>5</v>
      </c>
      <c r="L364" s="157" t="s">
        <v>942</v>
      </c>
      <c r="M364" s="157" t="s">
        <v>923</v>
      </c>
      <c r="N364" s="3">
        <f t="array" aca="1" ref="N364" ca="1">IFERROR(
  INDEX($J$2:$J$543,
    MATCH(A364&amp;TEXT(I364,"yyyy-mm-dd"),
          $A$2:$A$543&amp;TEXT($H$2:$H$543,"yyyy-mm-dd"),
          0)),
"")</f>
        <v>1</v>
      </c>
      <c r="O364" s="147" t="str">
        <f t="shared" ca="1" si="267"/>
        <v/>
      </c>
      <c r="P364" s="147">
        <f t="shared" ref="P364:Q364" ca="1" si="380">IF(N364="",0,IF(N364&lt;=2,1,IF(N364&lt;=4,2,IF(N364&lt;=5.5,3,4))))</f>
        <v>1</v>
      </c>
      <c r="Q364" s="147">
        <f t="shared" ca="1" si="380"/>
        <v>0</v>
      </c>
      <c r="R364" s="147" t="str">
        <f t="shared" ca="1" si="269"/>
        <v>Regressed</v>
      </c>
      <c r="S364" s="147">
        <f t="shared" si="270"/>
        <v>0</v>
      </c>
      <c r="T364" s="147"/>
      <c r="U364" s="147"/>
      <c r="V364" s="147"/>
      <c r="W364" s="147"/>
      <c r="X364" s="147"/>
      <c r="Y364" s="147"/>
      <c r="Z364" s="147"/>
      <c r="AA364" s="147"/>
      <c r="AB364" s="147"/>
      <c r="AC364" s="147"/>
      <c r="AD364" s="147"/>
      <c r="AE364" s="147"/>
      <c r="AF364" s="147"/>
      <c r="AG364" s="147"/>
      <c r="AH364" s="147"/>
      <c r="AI364" s="147"/>
      <c r="AJ364" s="147"/>
      <c r="AK364" s="147"/>
      <c r="AL364" s="147"/>
      <c r="AM364" s="151"/>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c r="BI364" s="147"/>
      <c r="BJ364" s="147"/>
      <c r="BK364" s="147"/>
      <c r="BL364" s="147"/>
      <c r="BM364" s="147"/>
      <c r="BN364" s="147"/>
      <c r="BO364" s="147"/>
      <c r="BP364" s="147"/>
      <c r="BQ364" s="147"/>
      <c r="BR364" s="147"/>
      <c r="BS364" s="147"/>
      <c r="BT364" s="147"/>
      <c r="BU364" s="147"/>
      <c r="BV364" s="147"/>
      <c r="BW364" s="147"/>
      <c r="BX364" s="147"/>
      <c r="BY364" s="147"/>
      <c r="BZ364" s="147"/>
      <c r="CA364" s="147"/>
      <c r="CB364" s="147"/>
      <c r="CC364" s="147"/>
      <c r="CD364" s="147"/>
      <c r="CE364" s="147"/>
      <c r="CF364" s="147"/>
      <c r="CG364" s="147"/>
      <c r="CH364" s="147"/>
      <c r="CI364" s="147"/>
      <c r="CJ364" s="147"/>
      <c r="CK364" s="147"/>
    </row>
    <row r="365" spans="1:89">
      <c r="A365" s="159" t="s">
        <v>671</v>
      </c>
      <c r="B365" s="3" t="s">
        <v>672</v>
      </c>
      <c r="C365" s="160" t="s">
        <v>83</v>
      </c>
      <c r="D365" s="160" t="s">
        <v>876</v>
      </c>
      <c r="E365" s="3" t="s">
        <v>22</v>
      </c>
      <c r="F365" s="3" t="s">
        <v>934</v>
      </c>
      <c r="G365" s="3" t="s">
        <v>934</v>
      </c>
      <c r="H365" s="156" t="str">
        <f ca="1">IFERROR(
  _xludf.MINIFS(ATTENDANCE_LOG!$F:$F,
         ATTENDANCE_LOG!$A:$A, C365,
         ATTENDANCE_LOG!$B:$B, E365),
"")</f>
        <v/>
      </c>
      <c r="I365" s="156" t="str">
        <f t="shared" ca="1" si="266"/>
        <v/>
      </c>
      <c r="J365" s="3">
        <f>IFERROR(VLOOKUP(F365, LEVEL_HELPER!$A:$B, 2, 0), "")</f>
        <v>3.5</v>
      </c>
      <c r="K365" s="3">
        <f>IFERROR(VLOOKUP(G365, LEVEL_HELPER!$A:$B, 2, 0), "")</f>
        <v>3.5</v>
      </c>
      <c r="L365" s="157" t="s">
        <v>942</v>
      </c>
      <c r="M365" s="157" t="s">
        <v>923</v>
      </c>
      <c r="N365" s="3">
        <f t="array" aca="1" ref="N365" ca="1">IFERROR(
  INDEX($J$2:$J$543,
    MATCH(A365&amp;TEXT(I365,"yyyy-mm-dd"),
          $A$2:$A$543&amp;TEXT($H$2:$H$543,"yyyy-mm-dd"),
          0)),
"")</f>
        <v>1</v>
      </c>
      <c r="O365" s="147" t="str">
        <f t="shared" ca="1" si="267"/>
        <v/>
      </c>
      <c r="P365" s="147">
        <f t="shared" ref="P365:Q365" ca="1" si="381">IF(N365="",0,IF(N365&lt;=2,1,IF(N365&lt;=4,2,IF(N365&lt;=5.5,3,4))))</f>
        <v>1</v>
      </c>
      <c r="Q365" s="147">
        <f t="shared" ca="1" si="381"/>
        <v>0</v>
      </c>
      <c r="R365" s="147" t="str">
        <f t="shared" ca="1" si="269"/>
        <v>Regressed</v>
      </c>
      <c r="S365" s="147">
        <f t="shared" si="270"/>
        <v>0</v>
      </c>
      <c r="T365" s="147"/>
      <c r="U365" s="147"/>
      <c r="V365" s="147"/>
      <c r="W365" s="147"/>
      <c r="X365" s="147"/>
      <c r="Y365" s="147"/>
      <c r="Z365" s="147"/>
      <c r="AA365" s="147"/>
      <c r="AB365" s="147"/>
      <c r="AC365" s="147"/>
      <c r="AD365" s="147"/>
      <c r="AE365" s="147"/>
      <c r="AF365" s="147"/>
      <c r="AG365" s="147"/>
      <c r="AH365" s="147"/>
      <c r="AI365" s="147"/>
      <c r="AJ365" s="147"/>
      <c r="AK365" s="147"/>
      <c r="AL365" s="147"/>
      <c r="AM365" s="151"/>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c r="BI365" s="147"/>
      <c r="BJ365" s="147"/>
      <c r="BK365" s="147"/>
      <c r="BL365" s="147"/>
      <c r="BM365" s="147"/>
      <c r="BN365" s="147"/>
      <c r="BO365" s="147"/>
      <c r="BP365" s="147"/>
      <c r="BQ365" s="147"/>
      <c r="BR365" s="147"/>
      <c r="BS365" s="147"/>
      <c r="BT365" s="147"/>
      <c r="BU365" s="147"/>
      <c r="BV365" s="147"/>
      <c r="BW365" s="147"/>
      <c r="BX365" s="147"/>
      <c r="BY365" s="147"/>
      <c r="BZ365" s="147"/>
      <c r="CA365" s="147"/>
      <c r="CB365" s="147"/>
      <c r="CC365" s="147"/>
      <c r="CD365" s="147"/>
      <c r="CE365" s="147"/>
      <c r="CF365" s="147"/>
      <c r="CG365" s="147"/>
      <c r="CH365" s="147"/>
      <c r="CI365" s="147"/>
      <c r="CJ365" s="147"/>
      <c r="CK365" s="147"/>
    </row>
    <row r="366" spans="1:89">
      <c r="A366" s="153" t="s">
        <v>649</v>
      </c>
      <c r="B366" s="154" t="s">
        <v>650</v>
      </c>
      <c r="C366" s="155" t="s">
        <v>84</v>
      </c>
      <c r="D366" s="155" t="s">
        <v>877</v>
      </c>
      <c r="E366" s="154" t="s">
        <v>24</v>
      </c>
      <c r="F366" s="3"/>
      <c r="G366" s="3"/>
      <c r="H366" s="156" t="str">
        <f ca="1">IFERROR(
  _xludf.MINIFS(ATTENDANCE_LOG!$F:$F,
         ATTENDANCE_LOG!$A:$A, C366,
         ATTENDANCE_LOG!$B:$B, E366),
"")</f>
        <v/>
      </c>
      <c r="I366" s="156" t="str">
        <f t="shared" ca="1" si="266"/>
        <v/>
      </c>
      <c r="J366" s="3" t="str">
        <f>IFERROR(VLOOKUP(F366, LEVEL_HELPER!$A:$B, 2, 0), "")</f>
        <v/>
      </c>
      <c r="K366" s="3" t="str">
        <f>IFERROR(VLOOKUP(G366, LEVEL_HELPER!$A:$B, 2, 0), "")</f>
        <v/>
      </c>
      <c r="L366" s="157" t="s">
        <v>930</v>
      </c>
      <c r="M366" s="157" t="s">
        <v>923</v>
      </c>
      <c r="N366" s="3" t="str">
        <f t="array" aca="1" ref="N366" ca="1">IFERROR(
  INDEX($J$2:$J$543,
    MATCH(A366&amp;TEXT(I366,"yyyy-mm-dd"),
          $A$2:$A$543&amp;TEXT($H$2:$H$543,"yyyy-mm-dd"),
          0)),
"")</f>
        <v/>
      </c>
      <c r="O366" s="147" t="str">
        <f t="shared" ca="1" si="267"/>
        <v/>
      </c>
      <c r="P366" s="147">
        <f t="shared" ref="P366:Q366" ca="1" si="382">IF(N366="",0,IF(N366&lt;=2,1,IF(N366&lt;=4,2,IF(N366&lt;=5.5,3,4))))</f>
        <v>0</v>
      </c>
      <c r="Q366" s="147">
        <f t="shared" ca="1" si="382"/>
        <v>0</v>
      </c>
      <c r="R366" s="147" t="str">
        <f t="shared" ca="1" si="269"/>
        <v>No Data</v>
      </c>
      <c r="S366" s="147">
        <f t="shared" si="270"/>
        <v>1</v>
      </c>
      <c r="T366" s="147"/>
      <c r="U366" s="147"/>
      <c r="V366" s="147"/>
      <c r="W366" s="147"/>
      <c r="X366" s="147"/>
      <c r="Y366" s="147"/>
      <c r="Z366" s="147"/>
      <c r="AA366" s="147"/>
      <c r="AB366" s="147"/>
      <c r="AC366" s="147"/>
      <c r="AD366" s="147"/>
      <c r="AE366" s="147"/>
      <c r="AF366" s="147"/>
      <c r="AG366" s="147"/>
      <c r="AH366" s="147"/>
      <c r="AI366" s="147"/>
      <c r="AJ366" s="147"/>
      <c r="AK366" s="147"/>
      <c r="AL366" s="147"/>
      <c r="AM366" s="151"/>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c r="BI366" s="147"/>
      <c r="BJ366" s="147"/>
      <c r="BK366" s="147"/>
      <c r="BL366" s="147"/>
      <c r="BM366" s="147"/>
      <c r="BN366" s="147"/>
      <c r="BO366" s="147"/>
      <c r="BP366" s="147"/>
      <c r="BQ366" s="147"/>
      <c r="BR366" s="147"/>
      <c r="BS366" s="147"/>
      <c r="BT366" s="147"/>
      <c r="BU366" s="147"/>
      <c r="BV366" s="147"/>
      <c r="BW366" s="147"/>
      <c r="BX366" s="147"/>
      <c r="BY366" s="147"/>
      <c r="BZ366" s="147"/>
      <c r="CA366" s="147"/>
      <c r="CB366" s="147"/>
      <c r="CC366" s="147"/>
      <c r="CD366" s="147"/>
      <c r="CE366" s="147"/>
      <c r="CF366" s="147"/>
      <c r="CG366" s="147"/>
      <c r="CH366" s="147"/>
      <c r="CI366" s="147"/>
      <c r="CJ366" s="147"/>
      <c r="CK366" s="147"/>
    </row>
    <row r="367" spans="1:89">
      <c r="A367" s="159" t="s">
        <v>253</v>
      </c>
      <c r="B367" s="3" t="s">
        <v>254</v>
      </c>
      <c r="C367" s="160" t="s">
        <v>84</v>
      </c>
      <c r="D367" s="160" t="s">
        <v>877</v>
      </c>
      <c r="E367" s="3" t="s">
        <v>24</v>
      </c>
      <c r="F367" s="3"/>
      <c r="G367" s="3"/>
      <c r="H367" s="156" t="str">
        <f ca="1">IFERROR(
  _xludf.MINIFS(ATTENDANCE_LOG!$F:$F,
         ATTENDANCE_LOG!$A:$A, C367,
         ATTENDANCE_LOG!$B:$B, E367),
"")</f>
        <v/>
      </c>
      <c r="I367" s="156" t="str">
        <f t="shared" ca="1" si="266"/>
        <v/>
      </c>
      <c r="J367" s="3" t="str">
        <f>IFERROR(VLOOKUP(F367, LEVEL_HELPER!$A:$B, 2, 0), "")</f>
        <v/>
      </c>
      <c r="K367" s="3" t="str">
        <f>IFERROR(VLOOKUP(G367, LEVEL_HELPER!$A:$B, 2, 0), "")</f>
        <v/>
      </c>
      <c r="L367" s="157" t="s">
        <v>930</v>
      </c>
      <c r="M367" s="157" t="s">
        <v>923</v>
      </c>
      <c r="N367" s="3" t="str">
        <f t="array" aca="1" ref="N367" ca="1">IFERROR(
  INDEX($J$2:$J$543,
    MATCH(A367&amp;TEXT(I367,"yyyy-mm-dd"),
          $A$2:$A$543&amp;TEXT($H$2:$H$543,"yyyy-mm-dd"),
          0)),
"")</f>
        <v/>
      </c>
      <c r="O367" s="147" t="str">
        <f t="shared" ca="1" si="267"/>
        <v/>
      </c>
      <c r="P367" s="147">
        <f t="shared" ref="P367:Q367" ca="1" si="383">IF(N367="",0,IF(N367&lt;=2,1,IF(N367&lt;=4,2,IF(N367&lt;=5.5,3,4))))</f>
        <v>0</v>
      </c>
      <c r="Q367" s="147">
        <f t="shared" ca="1" si="383"/>
        <v>0</v>
      </c>
      <c r="R367" s="147" t="str">
        <f t="shared" ca="1" si="269"/>
        <v>No Data</v>
      </c>
      <c r="S367" s="147">
        <f t="shared" si="270"/>
        <v>1</v>
      </c>
      <c r="T367" s="147"/>
      <c r="U367" s="147"/>
      <c r="V367" s="147"/>
      <c r="W367" s="147"/>
      <c r="X367" s="147"/>
      <c r="Y367" s="147"/>
      <c r="Z367" s="147"/>
      <c r="AA367" s="147"/>
      <c r="AB367" s="147"/>
      <c r="AC367" s="147"/>
      <c r="AD367" s="147"/>
      <c r="AE367" s="147"/>
      <c r="AF367" s="147"/>
      <c r="AG367" s="147"/>
      <c r="AH367" s="147"/>
      <c r="AI367" s="147"/>
      <c r="AJ367" s="147"/>
      <c r="AK367" s="147"/>
      <c r="AL367" s="147"/>
      <c r="AM367" s="151"/>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c r="BI367" s="147"/>
      <c r="BJ367" s="147"/>
      <c r="BK367" s="147"/>
      <c r="BL367" s="147"/>
      <c r="BM367" s="147"/>
      <c r="BN367" s="147"/>
      <c r="BO367" s="147"/>
      <c r="BP367" s="147"/>
      <c r="BQ367" s="147"/>
      <c r="BR367" s="147"/>
      <c r="BS367" s="147"/>
      <c r="BT367" s="147"/>
      <c r="BU367" s="147"/>
      <c r="BV367" s="147"/>
      <c r="BW367" s="147"/>
      <c r="BX367" s="147"/>
      <c r="BY367" s="147"/>
      <c r="BZ367" s="147"/>
      <c r="CA367" s="147"/>
      <c r="CB367" s="147"/>
      <c r="CC367" s="147"/>
      <c r="CD367" s="147"/>
      <c r="CE367" s="147"/>
      <c r="CF367" s="147"/>
      <c r="CG367" s="147"/>
      <c r="CH367" s="147"/>
      <c r="CI367" s="147"/>
      <c r="CJ367" s="147"/>
      <c r="CK367" s="147"/>
    </row>
    <row r="368" spans="1:89">
      <c r="A368" s="159" t="s">
        <v>447</v>
      </c>
      <c r="B368" s="3" t="s">
        <v>448</v>
      </c>
      <c r="C368" s="160" t="s">
        <v>84</v>
      </c>
      <c r="D368" s="160" t="s">
        <v>877</v>
      </c>
      <c r="E368" s="3" t="s">
        <v>24</v>
      </c>
      <c r="F368" s="3"/>
      <c r="G368" s="3"/>
      <c r="H368" s="156" t="str">
        <f ca="1">IFERROR(
  _xludf.MINIFS(ATTENDANCE_LOG!$F:$F,
         ATTENDANCE_LOG!$A:$A, C368,
         ATTENDANCE_LOG!$B:$B, E368),
"")</f>
        <v/>
      </c>
      <c r="I368" s="156" t="str">
        <f t="shared" ca="1" si="266"/>
        <v/>
      </c>
      <c r="J368" s="3" t="str">
        <f>IFERROR(VLOOKUP(F368, LEVEL_HELPER!$A:$B, 2, 0), "")</f>
        <v/>
      </c>
      <c r="K368" s="3" t="str">
        <f>IFERROR(VLOOKUP(G368, LEVEL_HELPER!$A:$B, 2, 0), "")</f>
        <v/>
      </c>
      <c r="L368" s="157" t="s">
        <v>930</v>
      </c>
      <c r="M368" s="157" t="s">
        <v>923</v>
      </c>
      <c r="N368" s="3" t="str">
        <f t="array" aca="1" ref="N368" ca="1">IFERROR(
  INDEX($J$2:$J$543,
    MATCH(A368&amp;TEXT(I368,"yyyy-mm-dd"),
          $A$2:$A$543&amp;TEXT($H$2:$H$543,"yyyy-mm-dd"),
          0)),
"")</f>
        <v/>
      </c>
      <c r="O368" s="147" t="str">
        <f t="shared" ca="1" si="267"/>
        <v/>
      </c>
      <c r="P368" s="147">
        <f t="shared" ref="P368:Q368" ca="1" si="384">IF(N368="",0,IF(N368&lt;=2,1,IF(N368&lt;=4,2,IF(N368&lt;=5.5,3,4))))</f>
        <v>0</v>
      </c>
      <c r="Q368" s="147">
        <f t="shared" ca="1" si="384"/>
        <v>0</v>
      </c>
      <c r="R368" s="147" t="str">
        <f t="shared" ca="1" si="269"/>
        <v>No Data</v>
      </c>
      <c r="S368" s="147">
        <f t="shared" si="270"/>
        <v>1</v>
      </c>
      <c r="T368" s="147"/>
      <c r="U368" s="147"/>
      <c r="V368" s="147"/>
      <c r="W368" s="147"/>
      <c r="X368" s="147"/>
      <c r="Y368" s="147"/>
      <c r="Z368" s="147"/>
      <c r="AA368" s="147"/>
      <c r="AB368" s="147"/>
      <c r="AC368" s="147"/>
      <c r="AD368" s="147"/>
      <c r="AE368" s="147"/>
      <c r="AF368" s="147"/>
      <c r="AG368" s="147"/>
      <c r="AH368" s="147"/>
      <c r="AI368" s="147"/>
      <c r="AJ368" s="147"/>
      <c r="AK368" s="147"/>
      <c r="AL368" s="147"/>
      <c r="AM368" s="151"/>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c r="BI368" s="147"/>
      <c r="BJ368" s="147"/>
      <c r="BK368" s="147"/>
      <c r="BL368" s="147"/>
      <c r="BM368" s="147"/>
      <c r="BN368" s="147"/>
      <c r="BO368" s="147"/>
      <c r="BP368" s="147"/>
      <c r="BQ368" s="147"/>
      <c r="BR368" s="147"/>
      <c r="BS368" s="147"/>
      <c r="BT368" s="147"/>
      <c r="BU368" s="147"/>
      <c r="BV368" s="147"/>
      <c r="BW368" s="147"/>
      <c r="BX368" s="147"/>
      <c r="BY368" s="147"/>
      <c r="BZ368" s="147"/>
      <c r="CA368" s="147"/>
      <c r="CB368" s="147"/>
      <c r="CC368" s="147"/>
      <c r="CD368" s="147"/>
      <c r="CE368" s="147"/>
      <c r="CF368" s="147"/>
      <c r="CG368" s="147"/>
      <c r="CH368" s="147"/>
      <c r="CI368" s="147"/>
      <c r="CJ368" s="147"/>
      <c r="CK368" s="147"/>
    </row>
    <row r="369" spans="1:89">
      <c r="A369" s="159" t="s">
        <v>486</v>
      </c>
      <c r="B369" s="3" t="s">
        <v>487</v>
      </c>
      <c r="C369" s="160" t="s">
        <v>84</v>
      </c>
      <c r="D369" s="160" t="s">
        <v>877</v>
      </c>
      <c r="E369" s="3" t="s">
        <v>24</v>
      </c>
      <c r="F369" s="3"/>
      <c r="G369" s="3"/>
      <c r="H369" s="156" t="str">
        <f ca="1">IFERROR(
  _xludf.MINIFS(ATTENDANCE_LOG!$F:$F,
         ATTENDANCE_LOG!$A:$A, C369,
         ATTENDANCE_LOG!$B:$B, E369),
"")</f>
        <v/>
      </c>
      <c r="I369" s="156" t="str">
        <f t="shared" ca="1" si="266"/>
        <v/>
      </c>
      <c r="J369" s="3" t="str">
        <f>IFERROR(VLOOKUP(F369, LEVEL_HELPER!$A:$B, 2, 0), "")</f>
        <v/>
      </c>
      <c r="K369" s="3" t="str">
        <f>IFERROR(VLOOKUP(G369, LEVEL_HELPER!$A:$B, 2, 0), "")</f>
        <v/>
      </c>
      <c r="L369" s="157" t="s">
        <v>930</v>
      </c>
      <c r="M369" s="157" t="s">
        <v>923</v>
      </c>
      <c r="N369" s="3" t="str">
        <f t="array" aca="1" ref="N369" ca="1">IFERROR(
  INDEX($J$2:$J$543,
    MATCH(A369&amp;TEXT(I369,"yyyy-mm-dd"),
          $A$2:$A$543&amp;TEXT($H$2:$H$543,"yyyy-mm-dd"),
          0)),
"")</f>
        <v/>
      </c>
      <c r="O369" s="147" t="str">
        <f t="shared" ca="1" si="267"/>
        <v/>
      </c>
      <c r="P369" s="147">
        <f t="shared" ref="P369:Q369" ca="1" si="385">IF(N369="",0,IF(N369&lt;=2,1,IF(N369&lt;=4,2,IF(N369&lt;=5.5,3,4))))</f>
        <v>0</v>
      </c>
      <c r="Q369" s="147">
        <f t="shared" ca="1" si="385"/>
        <v>0</v>
      </c>
      <c r="R369" s="147" t="str">
        <f t="shared" ca="1" si="269"/>
        <v>No Data</v>
      </c>
      <c r="S369" s="147">
        <f t="shared" si="270"/>
        <v>1</v>
      </c>
      <c r="T369" s="147"/>
      <c r="U369" s="147"/>
      <c r="V369" s="147"/>
      <c r="W369" s="147"/>
      <c r="X369" s="147"/>
      <c r="Y369" s="147"/>
      <c r="Z369" s="147"/>
      <c r="AA369" s="147"/>
      <c r="AB369" s="147"/>
      <c r="AC369" s="147"/>
      <c r="AD369" s="147"/>
      <c r="AE369" s="147"/>
      <c r="AF369" s="147"/>
      <c r="AG369" s="147"/>
      <c r="AH369" s="147"/>
      <c r="AI369" s="147"/>
      <c r="AJ369" s="147"/>
      <c r="AK369" s="147"/>
      <c r="AL369" s="147"/>
      <c r="AM369" s="151"/>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c r="BI369" s="147"/>
      <c r="BJ369" s="147"/>
      <c r="BK369" s="147"/>
      <c r="BL369" s="147"/>
      <c r="BM369" s="147"/>
      <c r="BN369" s="147"/>
      <c r="BO369" s="147"/>
      <c r="BP369" s="147"/>
      <c r="BQ369" s="147"/>
      <c r="BR369" s="147"/>
      <c r="BS369" s="147"/>
      <c r="BT369" s="147"/>
      <c r="BU369" s="147"/>
      <c r="BV369" s="147"/>
      <c r="BW369" s="147"/>
      <c r="BX369" s="147"/>
      <c r="BY369" s="147"/>
      <c r="BZ369" s="147"/>
      <c r="CA369" s="147"/>
      <c r="CB369" s="147"/>
      <c r="CC369" s="147"/>
      <c r="CD369" s="147"/>
      <c r="CE369" s="147"/>
      <c r="CF369" s="147"/>
      <c r="CG369" s="147"/>
      <c r="CH369" s="147"/>
      <c r="CI369" s="147"/>
      <c r="CJ369" s="147"/>
      <c r="CK369" s="147"/>
    </row>
    <row r="370" spans="1:89">
      <c r="A370" s="159" t="s">
        <v>508</v>
      </c>
      <c r="B370" s="3" t="s">
        <v>509</v>
      </c>
      <c r="C370" s="160" t="s">
        <v>84</v>
      </c>
      <c r="D370" s="160" t="s">
        <v>877</v>
      </c>
      <c r="E370" s="3" t="s">
        <v>24</v>
      </c>
      <c r="F370" s="3"/>
      <c r="G370" s="3"/>
      <c r="H370" s="156" t="str">
        <f ca="1">IFERROR(
  _xludf.MINIFS(ATTENDANCE_LOG!$F:$F,
         ATTENDANCE_LOG!$A:$A, C370,
         ATTENDANCE_LOG!$B:$B, E370),
"")</f>
        <v/>
      </c>
      <c r="I370" s="156" t="str">
        <f t="shared" ca="1" si="266"/>
        <v/>
      </c>
      <c r="J370" s="3" t="str">
        <f>IFERROR(VLOOKUP(F370, LEVEL_HELPER!$A:$B, 2, 0), "")</f>
        <v/>
      </c>
      <c r="K370" s="3" t="str">
        <f>IFERROR(VLOOKUP(G370, LEVEL_HELPER!$A:$B, 2, 0), "")</f>
        <v/>
      </c>
      <c r="L370" s="157" t="s">
        <v>930</v>
      </c>
      <c r="M370" s="157" t="s">
        <v>923</v>
      </c>
      <c r="N370" s="3" t="str">
        <f t="array" aca="1" ref="N370" ca="1">IFERROR(
  INDEX($J$2:$J$543,
    MATCH(A370&amp;TEXT(I370,"yyyy-mm-dd"),
          $A$2:$A$543&amp;TEXT($H$2:$H$543,"yyyy-mm-dd"),
          0)),
"")</f>
        <v/>
      </c>
      <c r="O370" s="147" t="str">
        <f t="shared" ca="1" si="267"/>
        <v/>
      </c>
      <c r="P370" s="147">
        <f t="shared" ref="P370:Q370" ca="1" si="386">IF(N370="",0,IF(N370&lt;=2,1,IF(N370&lt;=4,2,IF(N370&lt;=5.5,3,4))))</f>
        <v>0</v>
      </c>
      <c r="Q370" s="147">
        <f t="shared" ca="1" si="386"/>
        <v>0</v>
      </c>
      <c r="R370" s="147" t="str">
        <f t="shared" ca="1" si="269"/>
        <v>No Data</v>
      </c>
      <c r="S370" s="147">
        <f t="shared" si="270"/>
        <v>1</v>
      </c>
      <c r="T370" s="147"/>
      <c r="U370" s="147"/>
      <c r="V370" s="147"/>
      <c r="W370" s="147"/>
      <c r="X370" s="147"/>
      <c r="Y370" s="147"/>
      <c r="Z370" s="147"/>
      <c r="AA370" s="147"/>
      <c r="AB370" s="147"/>
      <c r="AC370" s="147"/>
      <c r="AD370" s="147"/>
      <c r="AE370" s="147"/>
      <c r="AF370" s="147"/>
      <c r="AG370" s="147"/>
      <c r="AH370" s="147"/>
      <c r="AI370" s="147"/>
      <c r="AJ370" s="147"/>
      <c r="AK370" s="147"/>
      <c r="AL370" s="147"/>
      <c r="AM370" s="151"/>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c r="BI370" s="147"/>
      <c r="BJ370" s="147"/>
      <c r="BK370" s="147"/>
      <c r="BL370" s="147"/>
      <c r="BM370" s="147"/>
      <c r="BN370" s="147"/>
      <c r="BO370" s="147"/>
      <c r="BP370" s="147"/>
      <c r="BQ370" s="147"/>
      <c r="BR370" s="147"/>
      <c r="BS370" s="147"/>
      <c r="BT370" s="147"/>
      <c r="BU370" s="147"/>
      <c r="BV370" s="147"/>
      <c r="BW370" s="147"/>
      <c r="BX370" s="147"/>
      <c r="BY370" s="147"/>
      <c r="BZ370" s="147"/>
      <c r="CA370" s="147"/>
      <c r="CB370" s="147"/>
      <c r="CC370" s="147"/>
      <c r="CD370" s="147"/>
      <c r="CE370" s="147"/>
      <c r="CF370" s="147"/>
      <c r="CG370" s="147"/>
      <c r="CH370" s="147"/>
      <c r="CI370" s="147"/>
      <c r="CJ370" s="147"/>
      <c r="CK370" s="147"/>
    </row>
    <row r="371" spans="1:89">
      <c r="A371" s="159" t="s">
        <v>597</v>
      </c>
      <c r="B371" s="3" t="s">
        <v>598</v>
      </c>
      <c r="C371" s="160" t="s">
        <v>84</v>
      </c>
      <c r="D371" s="160" t="s">
        <v>877</v>
      </c>
      <c r="E371" s="3" t="s">
        <v>24</v>
      </c>
      <c r="F371" s="3"/>
      <c r="G371" s="3"/>
      <c r="H371" s="156" t="str">
        <f ca="1">IFERROR(
  _xludf.MINIFS(ATTENDANCE_LOG!$F:$F,
         ATTENDANCE_LOG!$A:$A, C371,
         ATTENDANCE_LOG!$B:$B, E371),
"")</f>
        <v/>
      </c>
      <c r="I371" s="156" t="str">
        <f t="shared" ca="1" si="266"/>
        <v/>
      </c>
      <c r="J371" s="3" t="str">
        <f>IFERROR(VLOOKUP(F371, LEVEL_HELPER!$A:$B, 2, 0), "")</f>
        <v/>
      </c>
      <c r="K371" s="3" t="str">
        <f>IFERROR(VLOOKUP(G371, LEVEL_HELPER!$A:$B, 2, 0), "")</f>
        <v/>
      </c>
      <c r="L371" s="157" t="s">
        <v>930</v>
      </c>
      <c r="M371" s="157" t="s">
        <v>923</v>
      </c>
      <c r="N371" s="3" t="str">
        <f t="array" aca="1" ref="N371" ca="1">IFERROR(
  INDEX($J$2:$J$543,
    MATCH(A371&amp;TEXT(I371,"yyyy-mm-dd"),
          $A$2:$A$543&amp;TEXT($H$2:$H$543,"yyyy-mm-dd"),
          0)),
"")</f>
        <v/>
      </c>
      <c r="O371" s="147" t="str">
        <f t="shared" ca="1" si="267"/>
        <v/>
      </c>
      <c r="P371" s="147">
        <f t="shared" ref="P371:Q371" ca="1" si="387">IF(N371="",0,IF(N371&lt;=2,1,IF(N371&lt;=4,2,IF(N371&lt;=5.5,3,4))))</f>
        <v>0</v>
      </c>
      <c r="Q371" s="147">
        <f t="shared" ca="1" si="387"/>
        <v>0</v>
      </c>
      <c r="R371" s="147" t="str">
        <f t="shared" ca="1" si="269"/>
        <v>No Data</v>
      </c>
      <c r="S371" s="147">
        <f t="shared" si="270"/>
        <v>1</v>
      </c>
      <c r="T371" s="147"/>
      <c r="U371" s="147"/>
      <c r="V371" s="147"/>
      <c r="W371" s="147"/>
      <c r="X371" s="147"/>
      <c r="Y371" s="147"/>
      <c r="Z371" s="147"/>
      <c r="AA371" s="147"/>
      <c r="AB371" s="147"/>
      <c r="AC371" s="147"/>
      <c r="AD371" s="147"/>
      <c r="AE371" s="147"/>
      <c r="AF371" s="147"/>
      <c r="AG371" s="147"/>
      <c r="AH371" s="147"/>
      <c r="AI371" s="147"/>
      <c r="AJ371" s="147"/>
      <c r="AK371" s="147"/>
      <c r="AL371" s="147"/>
      <c r="AM371" s="151"/>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c r="BI371" s="147"/>
      <c r="BJ371" s="147"/>
      <c r="BK371" s="147"/>
      <c r="BL371" s="147"/>
      <c r="BM371" s="147"/>
      <c r="BN371" s="147"/>
      <c r="BO371" s="147"/>
      <c r="BP371" s="147"/>
      <c r="BQ371" s="147"/>
      <c r="BR371" s="147"/>
      <c r="BS371" s="147"/>
      <c r="BT371" s="147"/>
      <c r="BU371" s="147"/>
      <c r="BV371" s="147"/>
      <c r="BW371" s="147"/>
      <c r="BX371" s="147"/>
      <c r="BY371" s="147"/>
      <c r="BZ371" s="147"/>
      <c r="CA371" s="147"/>
      <c r="CB371" s="147"/>
      <c r="CC371" s="147"/>
      <c r="CD371" s="147"/>
      <c r="CE371" s="147"/>
      <c r="CF371" s="147"/>
      <c r="CG371" s="147"/>
      <c r="CH371" s="147"/>
      <c r="CI371" s="147"/>
      <c r="CJ371" s="147"/>
      <c r="CK371" s="147"/>
    </row>
    <row r="372" spans="1:89">
      <c r="A372" s="159" t="s">
        <v>623</v>
      </c>
      <c r="B372" s="3" t="s">
        <v>624</v>
      </c>
      <c r="C372" s="160" t="s">
        <v>84</v>
      </c>
      <c r="D372" s="160" t="s">
        <v>877</v>
      </c>
      <c r="E372" s="3" t="s">
        <v>24</v>
      </c>
      <c r="F372" s="3"/>
      <c r="G372" s="3"/>
      <c r="H372" s="156" t="str">
        <f ca="1">IFERROR(
  _xludf.MINIFS(ATTENDANCE_LOG!$F:$F,
         ATTENDANCE_LOG!$A:$A, C372,
         ATTENDANCE_LOG!$B:$B, E372),
"")</f>
        <v/>
      </c>
      <c r="I372" s="156" t="str">
        <f t="shared" ca="1" si="266"/>
        <v/>
      </c>
      <c r="J372" s="3" t="str">
        <f>IFERROR(VLOOKUP(F372, LEVEL_HELPER!$A:$B, 2, 0), "")</f>
        <v/>
      </c>
      <c r="K372" s="3" t="str">
        <f>IFERROR(VLOOKUP(G372, LEVEL_HELPER!$A:$B, 2, 0), "")</f>
        <v/>
      </c>
      <c r="L372" s="157" t="s">
        <v>930</v>
      </c>
      <c r="M372" s="157" t="s">
        <v>923</v>
      </c>
      <c r="N372" s="3" t="str">
        <f t="array" aca="1" ref="N372" ca="1">IFERROR(
  INDEX($J$2:$J$543,
    MATCH(A372&amp;TEXT(I372,"yyyy-mm-dd"),
          $A$2:$A$543&amp;TEXT($H$2:$H$543,"yyyy-mm-dd"),
          0)),
"")</f>
        <v/>
      </c>
      <c r="O372" s="147" t="str">
        <f t="shared" ca="1" si="267"/>
        <v/>
      </c>
      <c r="P372" s="147">
        <f t="shared" ref="P372:Q372" ca="1" si="388">IF(N372="",0,IF(N372&lt;=2,1,IF(N372&lt;=4,2,IF(N372&lt;=5.5,3,4))))</f>
        <v>0</v>
      </c>
      <c r="Q372" s="147">
        <f t="shared" ca="1" si="388"/>
        <v>0</v>
      </c>
      <c r="R372" s="147" t="str">
        <f t="shared" ca="1" si="269"/>
        <v>No Data</v>
      </c>
      <c r="S372" s="147">
        <f t="shared" si="270"/>
        <v>1</v>
      </c>
      <c r="T372" s="147"/>
      <c r="U372" s="147"/>
      <c r="V372" s="147"/>
      <c r="W372" s="147"/>
      <c r="X372" s="147"/>
      <c r="Y372" s="147"/>
      <c r="Z372" s="147"/>
      <c r="AA372" s="147"/>
      <c r="AB372" s="147"/>
      <c r="AC372" s="147"/>
      <c r="AD372" s="147"/>
      <c r="AE372" s="147"/>
      <c r="AF372" s="147"/>
      <c r="AG372" s="147"/>
      <c r="AH372" s="147"/>
      <c r="AI372" s="147"/>
      <c r="AJ372" s="147"/>
      <c r="AK372" s="147"/>
      <c r="AL372" s="147"/>
      <c r="AM372" s="151"/>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c r="BI372" s="147"/>
      <c r="BJ372" s="147"/>
      <c r="BK372" s="147"/>
      <c r="BL372" s="147"/>
      <c r="BM372" s="147"/>
      <c r="BN372" s="147"/>
      <c r="BO372" s="147"/>
      <c r="BP372" s="147"/>
      <c r="BQ372" s="147"/>
      <c r="BR372" s="147"/>
      <c r="BS372" s="147"/>
      <c r="BT372" s="147"/>
      <c r="BU372" s="147"/>
      <c r="BV372" s="147"/>
      <c r="BW372" s="147"/>
      <c r="BX372" s="147"/>
      <c r="BY372" s="147"/>
      <c r="BZ372" s="147"/>
      <c r="CA372" s="147"/>
      <c r="CB372" s="147"/>
      <c r="CC372" s="147"/>
      <c r="CD372" s="147"/>
      <c r="CE372" s="147"/>
      <c r="CF372" s="147"/>
      <c r="CG372" s="147"/>
      <c r="CH372" s="147"/>
      <c r="CI372" s="147"/>
      <c r="CJ372" s="147"/>
      <c r="CK372" s="147"/>
    </row>
    <row r="373" spans="1:89">
      <c r="A373" s="153" t="s">
        <v>649</v>
      </c>
      <c r="B373" s="154" t="s">
        <v>650</v>
      </c>
      <c r="C373" s="155" t="s">
        <v>84</v>
      </c>
      <c r="D373" s="155" t="s">
        <v>877</v>
      </c>
      <c r="E373" s="154" t="s">
        <v>21</v>
      </c>
      <c r="F373" s="3" t="s">
        <v>926</v>
      </c>
      <c r="G373" s="3" t="s">
        <v>917</v>
      </c>
      <c r="H373" s="156" t="str">
        <f ca="1">IFERROR(
  _xludf.MINIFS(ATTENDANCE_LOG!$F:$F,
         ATTENDANCE_LOG!$A:$A, C373,
         ATTENDANCE_LOG!$B:$B, E373),
"")</f>
        <v/>
      </c>
      <c r="I373" s="156" t="str">
        <f t="shared" ca="1" si="266"/>
        <v/>
      </c>
      <c r="J373" s="3">
        <f>IFERROR(VLOOKUP(F373, LEVEL_HELPER!$A:$B, 2, 0), "")</f>
        <v>1</v>
      </c>
      <c r="K373" s="3">
        <f>IFERROR(VLOOKUP(G373, LEVEL_HELPER!$A:$B, 2, 0), "")</f>
        <v>3</v>
      </c>
      <c r="L373" s="157" t="s">
        <v>930</v>
      </c>
      <c r="M373" s="157" t="s">
        <v>923</v>
      </c>
      <c r="N373" s="3" t="str">
        <f t="array" aca="1" ref="N373" ca="1">IFERROR(
  INDEX($J$2:$J$543,
    MATCH(A373&amp;TEXT(I373,"yyyy-mm-dd"),
          $A$2:$A$543&amp;TEXT($H$2:$H$543,"yyyy-mm-dd"),
          0)),
"")</f>
        <v/>
      </c>
      <c r="O373" s="147" t="str">
        <f t="shared" ca="1" si="267"/>
        <v/>
      </c>
      <c r="P373" s="147">
        <f t="shared" ref="P373:Q373" ca="1" si="389">IF(N373="",0,IF(N373&lt;=2,1,IF(N373&lt;=4,2,IF(N373&lt;=5.5,3,4))))</f>
        <v>0</v>
      </c>
      <c r="Q373" s="147">
        <f t="shared" ca="1" si="389"/>
        <v>0</v>
      </c>
      <c r="R373" s="147" t="str">
        <f t="shared" ca="1" si="269"/>
        <v>No Data</v>
      </c>
      <c r="S373" s="147">
        <f t="shared" si="270"/>
        <v>0</v>
      </c>
      <c r="T373" s="147"/>
      <c r="U373" s="147"/>
      <c r="V373" s="147"/>
      <c r="W373" s="147"/>
      <c r="X373" s="147"/>
      <c r="Y373" s="147"/>
      <c r="Z373" s="147"/>
      <c r="AA373" s="147"/>
      <c r="AB373" s="147"/>
      <c r="AC373" s="147"/>
      <c r="AD373" s="147"/>
      <c r="AE373" s="147"/>
      <c r="AF373" s="147"/>
      <c r="AG373" s="147"/>
      <c r="AH373" s="147"/>
      <c r="AI373" s="147"/>
      <c r="AJ373" s="147"/>
      <c r="AK373" s="147"/>
      <c r="AL373" s="147"/>
      <c r="AM373" s="151"/>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c r="BI373" s="147"/>
      <c r="BJ373" s="147"/>
      <c r="BK373" s="147"/>
      <c r="BL373" s="147"/>
      <c r="BM373" s="147"/>
      <c r="BN373" s="147"/>
      <c r="BO373" s="147"/>
      <c r="BP373" s="147"/>
      <c r="BQ373" s="147"/>
      <c r="BR373" s="147"/>
      <c r="BS373" s="147"/>
      <c r="BT373" s="147"/>
      <c r="BU373" s="147"/>
      <c r="BV373" s="147"/>
      <c r="BW373" s="147"/>
      <c r="BX373" s="147"/>
      <c r="BY373" s="147"/>
      <c r="BZ373" s="147"/>
      <c r="CA373" s="147"/>
      <c r="CB373" s="147"/>
      <c r="CC373" s="147"/>
      <c r="CD373" s="147"/>
      <c r="CE373" s="147"/>
      <c r="CF373" s="147"/>
      <c r="CG373" s="147"/>
      <c r="CH373" s="147"/>
      <c r="CI373" s="147"/>
      <c r="CJ373" s="147"/>
      <c r="CK373" s="147"/>
    </row>
    <row r="374" spans="1:89">
      <c r="A374" s="159" t="s">
        <v>241</v>
      </c>
      <c r="B374" s="3" t="s">
        <v>242</v>
      </c>
      <c r="C374" s="160" t="s">
        <v>84</v>
      </c>
      <c r="D374" s="160" t="s">
        <v>877</v>
      </c>
      <c r="E374" s="3" t="s">
        <v>21</v>
      </c>
      <c r="F374" s="3" t="s">
        <v>926</v>
      </c>
      <c r="G374" s="3" t="s">
        <v>928</v>
      </c>
      <c r="H374" s="156" t="str">
        <f ca="1">IFERROR(
  _xludf.MINIFS(ATTENDANCE_LOG!$F:$F,
         ATTENDANCE_LOG!$A:$A, C374,
         ATTENDANCE_LOG!$B:$B, E374),
"")</f>
        <v/>
      </c>
      <c r="I374" s="156" t="str">
        <f t="shared" ca="1" si="266"/>
        <v/>
      </c>
      <c r="J374" s="3">
        <f>IFERROR(VLOOKUP(F374, LEVEL_HELPER!$A:$B, 2, 0), "")</f>
        <v>1</v>
      </c>
      <c r="K374" s="3">
        <f>IFERROR(VLOOKUP(G374, LEVEL_HELPER!$A:$B, 2, 0), "")</f>
        <v>1.5</v>
      </c>
      <c r="L374" s="157" t="s">
        <v>918</v>
      </c>
      <c r="M374" s="157" t="s">
        <v>923</v>
      </c>
      <c r="N374" s="3">
        <f t="array" aca="1" ref="N374" ca="1">IFERROR(
  INDEX($J$2:$J$543,
    MATCH(A374&amp;TEXT(I374,"yyyy-mm-dd"),
          $A$2:$A$543&amp;TEXT($H$2:$H$543,"yyyy-mm-dd"),
          0)),
"")</f>
        <v>1.5</v>
      </c>
      <c r="O374" s="147" t="str">
        <f t="shared" ca="1" si="267"/>
        <v/>
      </c>
      <c r="P374" s="147">
        <f t="shared" ref="P374:Q374" ca="1" si="390">IF(N374="",0,IF(N374&lt;=2,1,IF(N374&lt;=4,2,IF(N374&lt;=5.5,3,4))))</f>
        <v>1</v>
      </c>
      <c r="Q374" s="147">
        <f t="shared" ca="1" si="390"/>
        <v>0</v>
      </c>
      <c r="R374" s="147" t="str">
        <f t="shared" ca="1" si="269"/>
        <v>Regressed</v>
      </c>
      <c r="S374" s="147">
        <f t="shared" si="270"/>
        <v>0</v>
      </c>
      <c r="T374" s="147"/>
      <c r="U374" s="147"/>
      <c r="V374" s="147"/>
      <c r="W374" s="147"/>
      <c r="X374" s="147"/>
      <c r="Y374" s="147"/>
      <c r="Z374" s="147"/>
      <c r="AA374" s="147"/>
      <c r="AB374" s="147"/>
      <c r="AC374" s="147"/>
      <c r="AD374" s="147"/>
      <c r="AE374" s="147"/>
      <c r="AF374" s="147"/>
      <c r="AG374" s="147"/>
      <c r="AH374" s="147"/>
      <c r="AI374" s="147"/>
      <c r="AJ374" s="147"/>
      <c r="AK374" s="147"/>
      <c r="AL374" s="147"/>
      <c r="AM374" s="151"/>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c r="BI374" s="147"/>
      <c r="BJ374" s="147"/>
      <c r="BK374" s="147"/>
      <c r="BL374" s="147"/>
      <c r="BM374" s="147"/>
      <c r="BN374" s="147"/>
      <c r="BO374" s="147"/>
      <c r="BP374" s="147"/>
      <c r="BQ374" s="147"/>
      <c r="BR374" s="147"/>
      <c r="BS374" s="147"/>
      <c r="BT374" s="147"/>
      <c r="BU374" s="147"/>
      <c r="BV374" s="147"/>
      <c r="BW374" s="147"/>
      <c r="BX374" s="147"/>
      <c r="BY374" s="147"/>
      <c r="BZ374" s="147"/>
      <c r="CA374" s="147"/>
      <c r="CB374" s="147"/>
      <c r="CC374" s="147"/>
      <c r="CD374" s="147"/>
      <c r="CE374" s="147"/>
      <c r="CF374" s="147"/>
      <c r="CG374" s="147"/>
      <c r="CH374" s="147"/>
      <c r="CI374" s="147"/>
      <c r="CJ374" s="147"/>
      <c r="CK374" s="147"/>
    </row>
    <row r="375" spans="1:89">
      <c r="A375" s="159" t="s">
        <v>253</v>
      </c>
      <c r="B375" s="3" t="s">
        <v>254</v>
      </c>
      <c r="C375" s="160" t="s">
        <v>84</v>
      </c>
      <c r="D375" s="160" t="s">
        <v>877</v>
      </c>
      <c r="E375" s="3" t="s">
        <v>21</v>
      </c>
      <c r="F375" s="3" t="s">
        <v>916</v>
      </c>
      <c r="G375" s="3" t="s">
        <v>934</v>
      </c>
      <c r="H375" s="156" t="str">
        <f ca="1">IFERROR(
  _xludf.MINIFS(ATTENDANCE_LOG!$F:$F,
         ATTENDANCE_LOG!$A:$A, C375,
         ATTENDANCE_LOG!$B:$B, E375),
"")</f>
        <v/>
      </c>
      <c r="I375" s="156" t="str">
        <f t="shared" ca="1" si="266"/>
        <v/>
      </c>
      <c r="J375" s="3">
        <f>IFERROR(VLOOKUP(F375, LEVEL_HELPER!$A:$B, 2, 0), "")</f>
        <v>2.5</v>
      </c>
      <c r="K375" s="3">
        <f>IFERROR(VLOOKUP(G375, LEVEL_HELPER!$A:$B, 2, 0), "")</f>
        <v>3.5</v>
      </c>
      <c r="L375" s="157" t="s">
        <v>930</v>
      </c>
      <c r="M375" s="157" t="s">
        <v>923</v>
      </c>
      <c r="N375" s="3" t="str">
        <f t="array" aca="1" ref="N375" ca="1">IFERROR(
  INDEX($J$2:$J$543,
    MATCH(A375&amp;TEXT(I375,"yyyy-mm-dd"),
          $A$2:$A$543&amp;TEXT($H$2:$H$543,"yyyy-mm-dd"),
          0)),
"")</f>
        <v/>
      </c>
      <c r="O375" s="147" t="str">
        <f t="shared" ca="1" si="267"/>
        <v/>
      </c>
      <c r="P375" s="147">
        <f t="shared" ref="P375:Q375" ca="1" si="391">IF(N375="",0,IF(N375&lt;=2,1,IF(N375&lt;=4,2,IF(N375&lt;=5.5,3,4))))</f>
        <v>0</v>
      </c>
      <c r="Q375" s="147">
        <f t="shared" ca="1" si="391"/>
        <v>0</v>
      </c>
      <c r="R375" s="147" t="str">
        <f t="shared" ca="1" si="269"/>
        <v>No Data</v>
      </c>
      <c r="S375" s="147">
        <f t="shared" si="270"/>
        <v>0</v>
      </c>
      <c r="T375" s="147"/>
      <c r="U375" s="147"/>
      <c r="V375" s="147"/>
      <c r="W375" s="147"/>
      <c r="X375" s="147"/>
      <c r="Y375" s="147"/>
      <c r="Z375" s="147"/>
      <c r="AA375" s="147"/>
      <c r="AB375" s="147"/>
      <c r="AC375" s="147"/>
      <c r="AD375" s="147"/>
      <c r="AE375" s="147"/>
      <c r="AF375" s="147"/>
      <c r="AG375" s="147"/>
      <c r="AH375" s="147"/>
      <c r="AI375" s="147"/>
      <c r="AJ375" s="147"/>
      <c r="AK375" s="147"/>
      <c r="AL375" s="147"/>
      <c r="AM375" s="151"/>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c r="BI375" s="147"/>
      <c r="BJ375" s="147"/>
      <c r="BK375" s="147"/>
      <c r="BL375" s="147"/>
      <c r="BM375" s="147"/>
      <c r="BN375" s="147"/>
      <c r="BO375" s="147"/>
      <c r="BP375" s="147"/>
      <c r="BQ375" s="147"/>
      <c r="BR375" s="147"/>
      <c r="BS375" s="147"/>
      <c r="BT375" s="147"/>
      <c r="BU375" s="147"/>
      <c r="BV375" s="147"/>
      <c r="BW375" s="147"/>
      <c r="BX375" s="147"/>
      <c r="BY375" s="147"/>
      <c r="BZ375" s="147"/>
      <c r="CA375" s="147"/>
      <c r="CB375" s="147"/>
      <c r="CC375" s="147"/>
      <c r="CD375" s="147"/>
      <c r="CE375" s="147"/>
      <c r="CF375" s="147"/>
      <c r="CG375" s="147"/>
      <c r="CH375" s="147"/>
      <c r="CI375" s="147"/>
      <c r="CJ375" s="147"/>
      <c r="CK375" s="147"/>
    </row>
    <row r="376" spans="1:89">
      <c r="A376" s="159" t="s">
        <v>447</v>
      </c>
      <c r="B376" s="3" t="s">
        <v>448</v>
      </c>
      <c r="C376" s="160" t="s">
        <v>84</v>
      </c>
      <c r="D376" s="160" t="s">
        <v>877</v>
      </c>
      <c r="E376" s="3" t="s">
        <v>21</v>
      </c>
      <c r="F376" s="3" t="s">
        <v>926</v>
      </c>
      <c r="G376" s="3" t="s">
        <v>928</v>
      </c>
      <c r="H376" s="156" t="str">
        <f ca="1">IFERROR(
  _xludf.MINIFS(ATTENDANCE_LOG!$F:$F,
         ATTENDANCE_LOG!$A:$A, C376,
         ATTENDANCE_LOG!$B:$B, E376),
"")</f>
        <v/>
      </c>
      <c r="I376" s="156" t="str">
        <f t="shared" ca="1" si="266"/>
        <v/>
      </c>
      <c r="J376" s="3">
        <f>IFERROR(VLOOKUP(F376, LEVEL_HELPER!$A:$B, 2, 0), "")</f>
        <v>1</v>
      </c>
      <c r="K376" s="3">
        <f>IFERROR(VLOOKUP(G376, LEVEL_HELPER!$A:$B, 2, 0), "")</f>
        <v>1.5</v>
      </c>
      <c r="L376" s="157" t="s">
        <v>930</v>
      </c>
      <c r="M376" s="157" t="s">
        <v>923</v>
      </c>
      <c r="N376" s="3" t="str">
        <f t="array" aca="1" ref="N376" ca="1">IFERROR(
  INDEX($J$2:$J$543,
    MATCH(A376&amp;TEXT(I376,"yyyy-mm-dd"),
          $A$2:$A$543&amp;TEXT($H$2:$H$543,"yyyy-mm-dd"),
          0)),
"")</f>
        <v/>
      </c>
      <c r="O376" s="147" t="str">
        <f t="shared" ca="1" si="267"/>
        <v/>
      </c>
      <c r="P376" s="147">
        <f t="shared" ref="P376:Q376" ca="1" si="392">IF(N376="",0,IF(N376&lt;=2,1,IF(N376&lt;=4,2,IF(N376&lt;=5.5,3,4))))</f>
        <v>0</v>
      </c>
      <c r="Q376" s="147">
        <f t="shared" ca="1" si="392"/>
        <v>0</v>
      </c>
      <c r="R376" s="147" t="str">
        <f t="shared" ca="1" si="269"/>
        <v>No Data</v>
      </c>
      <c r="S376" s="147">
        <f t="shared" si="270"/>
        <v>0</v>
      </c>
      <c r="T376" s="147"/>
      <c r="U376" s="147"/>
      <c r="V376" s="147"/>
      <c r="W376" s="147"/>
      <c r="X376" s="147"/>
      <c r="Y376" s="147"/>
      <c r="Z376" s="147"/>
      <c r="AA376" s="147"/>
      <c r="AB376" s="147"/>
      <c r="AC376" s="147"/>
      <c r="AD376" s="147"/>
      <c r="AE376" s="147"/>
      <c r="AF376" s="147"/>
      <c r="AG376" s="147"/>
      <c r="AH376" s="147"/>
      <c r="AI376" s="147"/>
      <c r="AJ376" s="147"/>
      <c r="AK376" s="147"/>
      <c r="AL376" s="147"/>
      <c r="AM376" s="151"/>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c r="BI376" s="147"/>
      <c r="BJ376" s="147"/>
      <c r="BK376" s="147"/>
      <c r="BL376" s="147"/>
      <c r="BM376" s="147"/>
      <c r="BN376" s="147"/>
      <c r="BO376" s="147"/>
      <c r="BP376" s="147"/>
      <c r="BQ376" s="147"/>
      <c r="BR376" s="147"/>
      <c r="BS376" s="147"/>
      <c r="BT376" s="147"/>
      <c r="BU376" s="147"/>
      <c r="BV376" s="147"/>
      <c r="BW376" s="147"/>
      <c r="BX376" s="147"/>
      <c r="BY376" s="147"/>
      <c r="BZ376" s="147"/>
      <c r="CA376" s="147"/>
      <c r="CB376" s="147"/>
      <c r="CC376" s="147"/>
      <c r="CD376" s="147"/>
      <c r="CE376" s="147"/>
      <c r="CF376" s="147"/>
      <c r="CG376" s="147"/>
      <c r="CH376" s="147"/>
      <c r="CI376" s="147"/>
      <c r="CJ376" s="147"/>
      <c r="CK376" s="147"/>
    </row>
    <row r="377" spans="1:89">
      <c r="A377" s="159" t="s">
        <v>463</v>
      </c>
      <c r="B377" s="3" t="s">
        <v>464</v>
      </c>
      <c r="C377" s="160" t="s">
        <v>84</v>
      </c>
      <c r="D377" s="160" t="s">
        <v>877</v>
      </c>
      <c r="E377" s="3" t="s">
        <v>21</v>
      </c>
      <c r="F377" s="3" t="s">
        <v>926</v>
      </c>
      <c r="G377" s="3" t="s">
        <v>928</v>
      </c>
      <c r="H377" s="156" t="str">
        <f ca="1">IFERROR(
  _xludf.MINIFS(ATTENDANCE_LOG!$F:$F,
         ATTENDANCE_LOG!$A:$A, C377,
         ATTENDANCE_LOG!$B:$B, E377),
"")</f>
        <v/>
      </c>
      <c r="I377" s="156" t="str">
        <f t="shared" ca="1" si="266"/>
        <v/>
      </c>
      <c r="J377" s="3">
        <f>IFERROR(VLOOKUP(F377, LEVEL_HELPER!$A:$B, 2, 0), "")</f>
        <v>1</v>
      </c>
      <c r="K377" s="3">
        <f>IFERROR(VLOOKUP(G377, LEVEL_HELPER!$A:$B, 2, 0), "")</f>
        <v>1.5</v>
      </c>
      <c r="L377" s="157" t="s">
        <v>918</v>
      </c>
      <c r="M377" s="157" t="s">
        <v>923</v>
      </c>
      <c r="N377" s="3">
        <f t="array" aca="1" ref="N377" ca="1">IFERROR(
  INDEX($J$2:$J$543,
    MATCH(A377&amp;TEXT(I377,"yyyy-mm-dd"),
          $A$2:$A$543&amp;TEXT($H$2:$H$543,"yyyy-mm-dd"),
          0)),
"")</f>
        <v>1.5</v>
      </c>
      <c r="O377" s="147" t="str">
        <f t="shared" ca="1" si="267"/>
        <v/>
      </c>
      <c r="P377" s="147">
        <f t="shared" ref="P377:Q377" ca="1" si="393">IF(N377="",0,IF(N377&lt;=2,1,IF(N377&lt;=4,2,IF(N377&lt;=5.5,3,4))))</f>
        <v>1</v>
      </c>
      <c r="Q377" s="147">
        <f t="shared" ca="1" si="393"/>
        <v>0</v>
      </c>
      <c r="R377" s="147" t="str">
        <f t="shared" ca="1" si="269"/>
        <v>Regressed</v>
      </c>
      <c r="S377" s="147">
        <f t="shared" si="270"/>
        <v>0</v>
      </c>
      <c r="T377" s="147"/>
      <c r="U377" s="147"/>
      <c r="V377" s="147"/>
      <c r="W377" s="147"/>
      <c r="X377" s="147"/>
      <c r="Y377" s="147"/>
      <c r="Z377" s="147"/>
      <c r="AA377" s="147"/>
      <c r="AB377" s="147"/>
      <c r="AC377" s="147"/>
      <c r="AD377" s="147"/>
      <c r="AE377" s="147"/>
      <c r="AF377" s="147"/>
      <c r="AG377" s="147"/>
      <c r="AH377" s="147"/>
      <c r="AI377" s="147"/>
      <c r="AJ377" s="147"/>
      <c r="AK377" s="147"/>
      <c r="AL377" s="147"/>
      <c r="AM377" s="151"/>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c r="BI377" s="147"/>
      <c r="BJ377" s="147"/>
      <c r="BK377" s="147"/>
      <c r="BL377" s="147"/>
      <c r="BM377" s="147"/>
      <c r="BN377" s="147"/>
      <c r="BO377" s="147"/>
      <c r="BP377" s="147"/>
      <c r="BQ377" s="147"/>
      <c r="BR377" s="147"/>
      <c r="BS377" s="147"/>
      <c r="BT377" s="147"/>
      <c r="BU377" s="147"/>
      <c r="BV377" s="147"/>
      <c r="BW377" s="147"/>
      <c r="BX377" s="147"/>
      <c r="BY377" s="147"/>
      <c r="BZ377" s="147"/>
      <c r="CA377" s="147"/>
      <c r="CB377" s="147"/>
      <c r="CC377" s="147"/>
      <c r="CD377" s="147"/>
      <c r="CE377" s="147"/>
      <c r="CF377" s="147"/>
      <c r="CG377" s="147"/>
      <c r="CH377" s="147"/>
      <c r="CI377" s="147"/>
      <c r="CJ377" s="147"/>
      <c r="CK377" s="147"/>
    </row>
    <row r="378" spans="1:89">
      <c r="A378" s="159" t="s">
        <v>472</v>
      </c>
      <c r="B378" s="3" t="s">
        <v>473</v>
      </c>
      <c r="C378" s="160" t="s">
        <v>84</v>
      </c>
      <c r="D378" s="160" t="s">
        <v>877</v>
      </c>
      <c r="E378" s="3" t="s">
        <v>21</v>
      </c>
      <c r="F378" s="3" t="s">
        <v>926</v>
      </c>
      <c r="G378" s="3"/>
      <c r="H378" s="156" t="str">
        <f ca="1">IFERROR(
  _xludf.MINIFS(ATTENDANCE_LOG!$F:$F,
         ATTENDANCE_LOG!$A:$A, C378,
         ATTENDANCE_LOG!$B:$B, E378),
"")</f>
        <v/>
      </c>
      <c r="I378" s="156" t="str">
        <f t="shared" ca="1" si="266"/>
        <v/>
      </c>
      <c r="J378" s="3">
        <f>IFERROR(VLOOKUP(F378, LEVEL_HELPER!$A:$B, 2, 0), "")</f>
        <v>1</v>
      </c>
      <c r="K378" s="3" t="str">
        <f>IFERROR(VLOOKUP(G378, LEVEL_HELPER!$A:$B, 2, 0), "")</f>
        <v/>
      </c>
      <c r="L378" s="157" t="s">
        <v>918</v>
      </c>
      <c r="M378" s="157" t="s">
        <v>922</v>
      </c>
      <c r="N378" s="3">
        <f t="array" aca="1" ref="N378" ca="1">IFERROR(
  INDEX($J$2:$J$543,
    MATCH(A378&amp;TEXT(I378,"yyyy-mm-dd"),
          $A$2:$A$543&amp;TEXT($H$2:$H$543,"yyyy-mm-dd"),
          0)),
"")</f>
        <v>1</v>
      </c>
      <c r="O378" s="147" t="str">
        <f t="shared" ca="1" si="267"/>
        <v/>
      </c>
      <c r="P378" s="147">
        <f t="shared" ref="P378:Q378" ca="1" si="394">IF(N378="",0,IF(N378&lt;=2,1,IF(N378&lt;=4,2,IF(N378&lt;=5.5,3,4))))</f>
        <v>1</v>
      </c>
      <c r="Q378" s="147">
        <f t="shared" ca="1" si="394"/>
        <v>0</v>
      </c>
      <c r="R378" s="147" t="str">
        <f t="shared" ca="1" si="269"/>
        <v>Regressed</v>
      </c>
      <c r="S378" s="147">
        <f t="shared" si="270"/>
        <v>1</v>
      </c>
      <c r="T378" s="147"/>
      <c r="U378" s="147"/>
      <c r="V378" s="147"/>
      <c r="W378" s="147"/>
      <c r="X378" s="147"/>
      <c r="Y378" s="147"/>
      <c r="Z378" s="147"/>
      <c r="AA378" s="147"/>
      <c r="AB378" s="147"/>
      <c r="AC378" s="147"/>
      <c r="AD378" s="147"/>
      <c r="AE378" s="147"/>
      <c r="AF378" s="147"/>
      <c r="AG378" s="147"/>
      <c r="AH378" s="147"/>
      <c r="AI378" s="147"/>
      <c r="AJ378" s="147"/>
      <c r="AK378" s="147"/>
      <c r="AL378" s="147"/>
      <c r="AM378" s="151"/>
      <c r="AN378" s="147"/>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c r="BI378" s="147"/>
      <c r="BJ378" s="147"/>
      <c r="BK378" s="147"/>
      <c r="BL378" s="147"/>
      <c r="BM378" s="147"/>
      <c r="BN378" s="147"/>
      <c r="BO378" s="147"/>
      <c r="BP378" s="147"/>
      <c r="BQ378" s="147"/>
      <c r="BR378" s="147"/>
      <c r="BS378" s="147"/>
      <c r="BT378" s="147"/>
      <c r="BU378" s="147"/>
      <c r="BV378" s="147"/>
      <c r="BW378" s="147"/>
      <c r="BX378" s="147"/>
      <c r="BY378" s="147"/>
      <c r="BZ378" s="147"/>
      <c r="CA378" s="147"/>
      <c r="CB378" s="147"/>
      <c r="CC378" s="147"/>
      <c r="CD378" s="147"/>
      <c r="CE378" s="147"/>
      <c r="CF378" s="147"/>
      <c r="CG378" s="147"/>
      <c r="CH378" s="147"/>
      <c r="CI378" s="147"/>
      <c r="CJ378" s="147"/>
      <c r="CK378" s="147"/>
    </row>
    <row r="379" spans="1:89">
      <c r="A379" s="159" t="s">
        <v>486</v>
      </c>
      <c r="B379" s="3" t="s">
        <v>487</v>
      </c>
      <c r="C379" s="160" t="s">
        <v>84</v>
      </c>
      <c r="D379" s="160" t="s">
        <v>877</v>
      </c>
      <c r="E379" s="3" t="s">
        <v>21</v>
      </c>
      <c r="F379" s="3" t="s">
        <v>926</v>
      </c>
      <c r="G379" s="3" t="s">
        <v>917</v>
      </c>
      <c r="H379" s="156" t="str">
        <f ca="1">IFERROR(
  _xludf.MINIFS(ATTENDANCE_LOG!$F:$F,
         ATTENDANCE_LOG!$A:$A, C379,
         ATTENDANCE_LOG!$B:$B, E379),
"")</f>
        <v/>
      </c>
      <c r="I379" s="156" t="str">
        <f t="shared" ca="1" si="266"/>
        <v/>
      </c>
      <c r="J379" s="3">
        <f>IFERROR(VLOOKUP(F379, LEVEL_HELPER!$A:$B, 2, 0), "")</f>
        <v>1</v>
      </c>
      <c r="K379" s="3">
        <f>IFERROR(VLOOKUP(G379, LEVEL_HELPER!$A:$B, 2, 0), "")</f>
        <v>3</v>
      </c>
      <c r="L379" s="157" t="s">
        <v>930</v>
      </c>
      <c r="M379" s="157" t="s">
        <v>923</v>
      </c>
      <c r="N379" s="3" t="str">
        <f t="array" aca="1" ref="N379" ca="1">IFERROR(
  INDEX($J$2:$J$543,
    MATCH(A379&amp;TEXT(I379,"yyyy-mm-dd"),
          $A$2:$A$543&amp;TEXT($H$2:$H$543,"yyyy-mm-dd"),
          0)),
"")</f>
        <v/>
      </c>
      <c r="O379" s="147" t="str">
        <f t="shared" ca="1" si="267"/>
        <v/>
      </c>
      <c r="P379" s="147">
        <f t="shared" ref="P379:Q379" ca="1" si="395">IF(N379="",0,IF(N379&lt;=2,1,IF(N379&lt;=4,2,IF(N379&lt;=5.5,3,4))))</f>
        <v>0</v>
      </c>
      <c r="Q379" s="147">
        <f t="shared" ca="1" si="395"/>
        <v>0</v>
      </c>
      <c r="R379" s="147" t="str">
        <f t="shared" ca="1" si="269"/>
        <v>No Data</v>
      </c>
      <c r="S379" s="147">
        <f t="shared" si="270"/>
        <v>0</v>
      </c>
      <c r="T379" s="147"/>
      <c r="U379" s="147"/>
      <c r="V379" s="147"/>
      <c r="W379" s="147"/>
      <c r="X379" s="147"/>
      <c r="Y379" s="147"/>
      <c r="Z379" s="147"/>
      <c r="AA379" s="147"/>
      <c r="AB379" s="147"/>
      <c r="AC379" s="147"/>
      <c r="AD379" s="147"/>
      <c r="AE379" s="147"/>
      <c r="AF379" s="147"/>
      <c r="AG379" s="147"/>
      <c r="AH379" s="147"/>
      <c r="AI379" s="147"/>
      <c r="AJ379" s="147"/>
      <c r="AK379" s="147"/>
      <c r="AL379" s="147"/>
      <c r="AM379" s="151"/>
      <c r="AN379" s="147"/>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c r="BI379" s="147"/>
      <c r="BJ379" s="147"/>
      <c r="BK379" s="147"/>
      <c r="BL379" s="147"/>
      <c r="BM379" s="147"/>
      <c r="BN379" s="147"/>
      <c r="BO379" s="147"/>
      <c r="BP379" s="147"/>
      <c r="BQ379" s="147"/>
      <c r="BR379" s="147"/>
      <c r="BS379" s="147"/>
      <c r="BT379" s="147"/>
      <c r="BU379" s="147"/>
      <c r="BV379" s="147"/>
      <c r="BW379" s="147"/>
      <c r="BX379" s="147"/>
      <c r="BY379" s="147"/>
      <c r="BZ379" s="147"/>
      <c r="CA379" s="147"/>
      <c r="CB379" s="147"/>
      <c r="CC379" s="147"/>
      <c r="CD379" s="147"/>
      <c r="CE379" s="147"/>
      <c r="CF379" s="147"/>
      <c r="CG379" s="147"/>
      <c r="CH379" s="147"/>
      <c r="CI379" s="147"/>
      <c r="CJ379" s="147"/>
      <c r="CK379" s="147"/>
    </row>
    <row r="380" spans="1:89">
      <c r="A380" s="159" t="s">
        <v>508</v>
      </c>
      <c r="B380" s="3" t="s">
        <v>509</v>
      </c>
      <c r="C380" s="160" t="s">
        <v>84</v>
      </c>
      <c r="D380" s="160" t="s">
        <v>877</v>
      </c>
      <c r="E380" s="3" t="s">
        <v>21</v>
      </c>
      <c r="F380" s="3" t="s">
        <v>926</v>
      </c>
      <c r="G380" s="3" t="s">
        <v>917</v>
      </c>
      <c r="H380" s="156" t="str">
        <f ca="1">IFERROR(
  _xludf.MINIFS(ATTENDANCE_LOG!$F:$F,
         ATTENDANCE_LOG!$A:$A, C380,
         ATTENDANCE_LOG!$B:$B, E380),
"")</f>
        <v/>
      </c>
      <c r="I380" s="156" t="str">
        <f t="shared" ca="1" si="266"/>
        <v/>
      </c>
      <c r="J380" s="3">
        <f>IFERROR(VLOOKUP(F380, LEVEL_HELPER!$A:$B, 2, 0), "")</f>
        <v>1</v>
      </c>
      <c r="K380" s="3">
        <f>IFERROR(VLOOKUP(G380, LEVEL_HELPER!$A:$B, 2, 0), "")</f>
        <v>3</v>
      </c>
      <c r="L380" s="157" t="s">
        <v>930</v>
      </c>
      <c r="M380" s="157" t="s">
        <v>923</v>
      </c>
      <c r="N380" s="3" t="str">
        <f t="array" aca="1" ref="N380" ca="1">IFERROR(
  INDEX($J$2:$J$543,
    MATCH(A380&amp;TEXT(I380,"yyyy-mm-dd"),
          $A$2:$A$543&amp;TEXT($H$2:$H$543,"yyyy-mm-dd"),
          0)),
"")</f>
        <v/>
      </c>
      <c r="O380" s="147" t="str">
        <f t="shared" ca="1" si="267"/>
        <v/>
      </c>
      <c r="P380" s="147">
        <f t="shared" ref="P380:Q380" ca="1" si="396">IF(N380="",0,IF(N380&lt;=2,1,IF(N380&lt;=4,2,IF(N380&lt;=5.5,3,4))))</f>
        <v>0</v>
      </c>
      <c r="Q380" s="147">
        <f t="shared" ca="1" si="396"/>
        <v>0</v>
      </c>
      <c r="R380" s="147" t="str">
        <f t="shared" ca="1" si="269"/>
        <v>No Data</v>
      </c>
      <c r="S380" s="147">
        <f t="shared" si="270"/>
        <v>0</v>
      </c>
      <c r="T380" s="147"/>
      <c r="U380" s="147"/>
      <c r="V380" s="147"/>
      <c r="W380" s="147"/>
      <c r="X380" s="147"/>
      <c r="Y380" s="147"/>
      <c r="Z380" s="147"/>
      <c r="AA380" s="147"/>
      <c r="AB380" s="147"/>
      <c r="AC380" s="147"/>
      <c r="AD380" s="147"/>
      <c r="AE380" s="147"/>
      <c r="AF380" s="147"/>
      <c r="AG380" s="147"/>
      <c r="AH380" s="147"/>
      <c r="AI380" s="147"/>
      <c r="AJ380" s="147"/>
      <c r="AK380" s="147"/>
      <c r="AL380" s="147"/>
      <c r="AM380" s="151"/>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c r="BI380" s="147"/>
      <c r="BJ380" s="147"/>
      <c r="BK380" s="147"/>
      <c r="BL380" s="147"/>
      <c r="BM380" s="147"/>
      <c r="BN380" s="147"/>
      <c r="BO380" s="147"/>
      <c r="BP380" s="147"/>
      <c r="BQ380" s="147"/>
      <c r="BR380" s="147"/>
      <c r="BS380" s="147"/>
      <c r="BT380" s="147"/>
      <c r="BU380" s="147"/>
      <c r="BV380" s="147"/>
      <c r="BW380" s="147"/>
      <c r="BX380" s="147"/>
      <c r="BY380" s="147"/>
      <c r="BZ380" s="147"/>
      <c r="CA380" s="147"/>
      <c r="CB380" s="147"/>
      <c r="CC380" s="147"/>
      <c r="CD380" s="147"/>
      <c r="CE380" s="147"/>
      <c r="CF380" s="147"/>
      <c r="CG380" s="147"/>
      <c r="CH380" s="147"/>
      <c r="CI380" s="147"/>
      <c r="CJ380" s="147"/>
      <c r="CK380" s="147"/>
    </row>
    <row r="381" spans="1:89">
      <c r="A381" s="159" t="s">
        <v>597</v>
      </c>
      <c r="B381" s="3" t="s">
        <v>598</v>
      </c>
      <c r="C381" s="160" t="s">
        <v>84</v>
      </c>
      <c r="D381" s="160" t="s">
        <v>877</v>
      </c>
      <c r="E381" s="3" t="s">
        <v>21</v>
      </c>
      <c r="F381" s="3" t="s">
        <v>926</v>
      </c>
      <c r="G381" s="3" t="s">
        <v>917</v>
      </c>
      <c r="H381" s="156" t="str">
        <f ca="1">IFERROR(
  _xludf.MINIFS(ATTENDANCE_LOG!$F:$F,
         ATTENDANCE_LOG!$A:$A, C381,
         ATTENDANCE_LOG!$B:$B, E381),
"")</f>
        <v/>
      </c>
      <c r="I381" s="156" t="str">
        <f t="shared" ca="1" si="266"/>
        <v/>
      </c>
      <c r="J381" s="3">
        <f>IFERROR(VLOOKUP(F381, LEVEL_HELPER!$A:$B, 2, 0), "")</f>
        <v>1</v>
      </c>
      <c r="K381" s="3">
        <f>IFERROR(VLOOKUP(G381, LEVEL_HELPER!$A:$B, 2, 0), "")</f>
        <v>3</v>
      </c>
      <c r="L381" s="157" t="s">
        <v>930</v>
      </c>
      <c r="M381" s="157" t="s">
        <v>923</v>
      </c>
      <c r="N381" s="3" t="str">
        <f t="array" aca="1" ref="N381" ca="1">IFERROR(
  INDEX($J$2:$J$543,
    MATCH(A381&amp;TEXT(I381,"yyyy-mm-dd"),
          $A$2:$A$543&amp;TEXT($H$2:$H$543,"yyyy-mm-dd"),
          0)),
"")</f>
        <v/>
      </c>
      <c r="O381" s="147" t="str">
        <f t="shared" ca="1" si="267"/>
        <v/>
      </c>
      <c r="P381" s="147">
        <f t="shared" ref="P381:Q381" ca="1" si="397">IF(N381="",0,IF(N381&lt;=2,1,IF(N381&lt;=4,2,IF(N381&lt;=5.5,3,4))))</f>
        <v>0</v>
      </c>
      <c r="Q381" s="147">
        <f t="shared" ca="1" si="397"/>
        <v>0</v>
      </c>
      <c r="R381" s="147" t="str">
        <f t="shared" ca="1" si="269"/>
        <v>No Data</v>
      </c>
      <c r="S381" s="147">
        <f t="shared" si="270"/>
        <v>0</v>
      </c>
      <c r="T381" s="147"/>
      <c r="U381" s="147"/>
      <c r="V381" s="147"/>
      <c r="W381" s="147"/>
      <c r="X381" s="147"/>
      <c r="Y381" s="147"/>
      <c r="Z381" s="147"/>
      <c r="AA381" s="147"/>
      <c r="AB381" s="147"/>
      <c r="AC381" s="147"/>
      <c r="AD381" s="147"/>
      <c r="AE381" s="147"/>
      <c r="AF381" s="147"/>
      <c r="AG381" s="147"/>
      <c r="AH381" s="147"/>
      <c r="AI381" s="147"/>
      <c r="AJ381" s="147"/>
      <c r="AK381" s="147"/>
      <c r="AL381" s="147"/>
      <c r="AM381" s="151"/>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c r="BI381" s="147"/>
      <c r="BJ381" s="147"/>
      <c r="BK381" s="147"/>
      <c r="BL381" s="147"/>
      <c r="BM381" s="147"/>
      <c r="BN381" s="147"/>
      <c r="BO381" s="147"/>
      <c r="BP381" s="147"/>
      <c r="BQ381" s="147"/>
      <c r="BR381" s="147"/>
      <c r="BS381" s="147"/>
      <c r="BT381" s="147"/>
      <c r="BU381" s="147"/>
      <c r="BV381" s="147"/>
      <c r="BW381" s="147"/>
      <c r="BX381" s="147"/>
      <c r="BY381" s="147"/>
      <c r="BZ381" s="147"/>
      <c r="CA381" s="147"/>
      <c r="CB381" s="147"/>
      <c r="CC381" s="147"/>
      <c r="CD381" s="147"/>
      <c r="CE381" s="147"/>
      <c r="CF381" s="147"/>
      <c r="CG381" s="147"/>
      <c r="CH381" s="147"/>
      <c r="CI381" s="147"/>
      <c r="CJ381" s="147"/>
      <c r="CK381" s="147"/>
    </row>
    <row r="382" spans="1:89">
      <c r="A382" s="159" t="s">
        <v>623</v>
      </c>
      <c r="B382" s="3" t="s">
        <v>624</v>
      </c>
      <c r="C382" s="160" t="s">
        <v>84</v>
      </c>
      <c r="D382" s="160" t="s">
        <v>877</v>
      </c>
      <c r="E382" s="3" t="s">
        <v>21</v>
      </c>
      <c r="F382" s="3" t="s">
        <v>926</v>
      </c>
      <c r="G382" s="3" t="s">
        <v>917</v>
      </c>
      <c r="H382" s="156" t="str">
        <f ca="1">IFERROR(
  _xludf.MINIFS(ATTENDANCE_LOG!$F:$F,
         ATTENDANCE_LOG!$A:$A, C382,
         ATTENDANCE_LOG!$B:$B, E382),
"")</f>
        <v/>
      </c>
      <c r="I382" s="156" t="str">
        <f t="shared" ca="1" si="266"/>
        <v/>
      </c>
      <c r="J382" s="3">
        <f>IFERROR(VLOOKUP(F382, LEVEL_HELPER!$A:$B, 2, 0), "")</f>
        <v>1</v>
      </c>
      <c r="K382" s="3">
        <f>IFERROR(VLOOKUP(G382, LEVEL_HELPER!$A:$B, 2, 0), "")</f>
        <v>3</v>
      </c>
      <c r="L382" s="157" t="s">
        <v>930</v>
      </c>
      <c r="M382" s="157" t="s">
        <v>923</v>
      </c>
      <c r="N382" s="3" t="str">
        <f t="array" aca="1" ref="N382" ca="1">IFERROR(
  INDEX($J$2:$J$543,
    MATCH(A382&amp;TEXT(I382,"yyyy-mm-dd"),
          $A$2:$A$543&amp;TEXT($H$2:$H$543,"yyyy-mm-dd"),
          0)),
"")</f>
        <v/>
      </c>
      <c r="O382" s="147" t="str">
        <f t="shared" ca="1" si="267"/>
        <v/>
      </c>
      <c r="P382" s="147">
        <f t="shared" ref="P382:Q382" ca="1" si="398">IF(N382="",0,IF(N382&lt;=2,1,IF(N382&lt;=4,2,IF(N382&lt;=5.5,3,4))))</f>
        <v>0</v>
      </c>
      <c r="Q382" s="147">
        <f t="shared" ca="1" si="398"/>
        <v>0</v>
      </c>
      <c r="R382" s="147" t="str">
        <f t="shared" ca="1" si="269"/>
        <v>No Data</v>
      </c>
      <c r="S382" s="147">
        <f t="shared" si="270"/>
        <v>0</v>
      </c>
      <c r="T382" s="147"/>
      <c r="U382" s="147"/>
      <c r="V382" s="147"/>
      <c r="W382" s="147"/>
      <c r="X382" s="147"/>
      <c r="Y382" s="147"/>
      <c r="Z382" s="147"/>
      <c r="AA382" s="147"/>
      <c r="AB382" s="147"/>
      <c r="AC382" s="147"/>
      <c r="AD382" s="147"/>
      <c r="AE382" s="147"/>
      <c r="AF382" s="147"/>
      <c r="AG382" s="147"/>
      <c r="AH382" s="147"/>
      <c r="AI382" s="147"/>
      <c r="AJ382" s="147"/>
      <c r="AK382" s="147"/>
      <c r="AL382" s="147"/>
      <c r="AM382" s="151"/>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c r="BI382" s="147"/>
      <c r="BJ382" s="147"/>
      <c r="BK382" s="147"/>
      <c r="BL382" s="147"/>
      <c r="BM382" s="147"/>
      <c r="BN382" s="147"/>
      <c r="BO382" s="147"/>
      <c r="BP382" s="147"/>
      <c r="BQ382" s="147"/>
      <c r="BR382" s="147"/>
      <c r="BS382" s="147"/>
      <c r="BT382" s="147"/>
      <c r="BU382" s="147"/>
      <c r="BV382" s="147"/>
      <c r="BW382" s="147"/>
      <c r="BX382" s="147"/>
      <c r="BY382" s="147"/>
      <c r="BZ382" s="147"/>
      <c r="CA382" s="147"/>
      <c r="CB382" s="147"/>
      <c r="CC382" s="147"/>
      <c r="CD382" s="147"/>
      <c r="CE382" s="147"/>
      <c r="CF382" s="147"/>
      <c r="CG382" s="147"/>
      <c r="CH382" s="147"/>
      <c r="CI382" s="147"/>
      <c r="CJ382" s="147"/>
      <c r="CK382" s="147"/>
    </row>
    <row r="383" spans="1:89">
      <c r="A383" s="153" t="s">
        <v>649</v>
      </c>
      <c r="B383" s="154" t="s">
        <v>650</v>
      </c>
      <c r="C383" s="155" t="s">
        <v>84</v>
      </c>
      <c r="D383" s="155" t="s">
        <v>877</v>
      </c>
      <c r="E383" s="154" t="s">
        <v>22</v>
      </c>
      <c r="F383" s="3" t="s">
        <v>917</v>
      </c>
      <c r="G383" s="3" t="s">
        <v>940</v>
      </c>
      <c r="H383" s="156" t="str">
        <f ca="1">IFERROR(
  _xludf.MINIFS(ATTENDANCE_LOG!$F:$F,
         ATTENDANCE_LOG!$A:$A, C383,
         ATTENDANCE_LOG!$B:$B, E383),
"")</f>
        <v/>
      </c>
      <c r="I383" s="156" t="str">
        <f t="shared" ca="1" si="266"/>
        <v/>
      </c>
      <c r="J383" s="3">
        <f>IFERROR(VLOOKUP(F383, LEVEL_HELPER!$A:$B, 2, 0), "")</f>
        <v>3</v>
      </c>
      <c r="K383" s="3">
        <f>IFERROR(VLOOKUP(G383, LEVEL_HELPER!$A:$B, 2, 0), "")</f>
        <v>5</v>
      </c>
      <c r="L383" s="157" t="s">
        <v>930</v>
      </c>
      <c r="M383" s="157" t="s">
        <v>923</v>
      </c>
      <c r="N383" s="3" t="str">
        <f t="array" aca="1" ref="N383" ca="1">IFERROR(
  INDEX($J$2:$J$543,
    MATCH(A383&amp;TEXT(I383,"yyyy-mm-dd"),
          $A$2:$A$543&amp;TEXT($H$2:$H$543,"yyyy-mm-dd"),
          0)),
"")</f>
        <v/>
      </c>
      <c r="O383" s="147" t="str">
        <f t="shared" ca="1" si="267"/>
        <v/>
      </c>
      <c r="P383" s="147">
        <f t="shared" ref="P383:Q383" ca="1" si="399">IF(N383="",0,IF(N383&lt;=2,1,IF(N383&lt;=4,2,IF(N383&lt;=5.5,3,4))))</f>
        <v>0</v>
      </c>
      <c r="Q383" s="147">
        <f t="shared" ca="1" si="399"/>
        <v>0</v>
      </c>
      <c r="R383" s="147" t="str">
        <f t="shared" ca="1" si="269"/>
        <v>No Data</v>
      </c>
      <c r="S383" s="147">
        <f t="shared" si="270"/>
        <v>0</v>
      </c>
      <c r="T383" s="147"/>
      <c r="U383" s="147"/>
      <c r="V383" s="147"/>
      <c r="W383" s="147"/>
      <c r="X383" s="147"/>
      <c r="Y383" s="147"/>
      <c r="Z383" s="147"/>
      <c r="AA383" s="147"/>
      <c r="AB383" s="147"/>
      <c r="AC383" s="147"/>
      <c r="AD383" s="147"/>
      <c r="AE383" s="147"/>
      <c r="AF383" s="147"/>
      <c r="AG383" s="147"/>
      <c r="AH383" s="147"/>
      <c r="AI383" s="147"/>
      <c r="AJ383" s="147"/>
      <c r="AK383" s="147"/>
      <c r="AL383" s="147"/>
      <c r="AM383" s="151"/>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c r="BI383" s="147"/>
      <c r="BJ383" s="147"/>
      <c r="BK383" s="147"/>
      <c r="BL383" s="147"/>
      <c r="BM383" s="147"/>
      <c r="BN383" s="147"/>
      <c r="BO383" s="147"/>
      <c r="BP383" s="147"/>
      <c r="BQ383" s="147"/>
      <c r="BR383" s="147"/>
      <c r="BS383" s="147"/>
      <c r="BT383" s="147"/>
      <c r="BU383" s="147"/>
      <c r="BV383" s="147"/>
      <c r="BW383" s="147"/>
      <c r="BX383" s="147"/>
      <c r="BY383" s="147"/>
      <c r="BZ383" s="147"/>
      <c r="CA383" s="147"/>
      <c r="CB383" s="147"/>
      <c r="CC383" s="147"/>
      <c r="CD383" s="147"/>
      <c r="CE383" s="147"/>
      <c r="CF383" s="147"/>
      <c r="CG383" s="147"/>
      <c r="CH383" s="147"/>
      <c r="CI383" s="147"/>
      <c r="CJ383" s="147"/>
      <c r="CK383" s="147"/>
    </row>
    <row r="384" spans="1:89">
      <c r="A384" s="159" t="s">
        <v>253</v>
      </c>
      <c r="B384" s="3" t="s">
        <v>254</v>
      </c>
      <c r="C384" s="160" t="s">
        <v>84</v>
      </c>
      <c r="D384" s="160" t="s">
        <v>877</v>
      </c>
      <c r="E384" s="3" t="s">
        <v>22</v>
      </c>
      <c r="F384" s="3" t="s">
        <v>934</v>
      </c>
      <c r="G384" s="3" t="s">
        <v>937</v>
      </c>
      <c r="H384" s="156" t="str">
        <f ca="1">IFERROR(
  _xludf.MINIFS(ATTENDANCE_LOG!$F:$F,
         ATTENDANCE_LOG!$A:$A, C384,
         ATTENDANCE_LOG!$B:$B, E384),
"")</f>
        <v/>
      </c>
      <c r="I384" s="156" t="str">
        <f t="shared" ca="1" si="266"/>
        <v/>
      </c>
      <c r="J384" s="3">
        <f>IFERROR(VLOOKUP(F384, LEVEL_HELPER!$A:$B, 2, 0), "")</f>
        <v>3.5</v>
      </c>
      <c r="K384" s="3">
        <f>IFERROR(VLOOKUP(G384, LEVEL_HELPER!$A:$B, 2, 0), "")</f>
        <v>5.5</v>
      </c>
      <c r="L384" s="157" t="s">
        <v>930</v>
      </c>
      <c r="M384" s="157" t="s">
        <v>923</v>
      </c>
      <c r="N384" s="3" t="str">
        <f t="array" aca="1" ref="N384" ca="1">IFERROR(
  INDEX($J$2:$J$543,
    MATCH(A384&amp;TEXT(I384,"yyyy-mm-dd"),
          $A$2:$A$543&amp;TEXT($H$2:$H$543,"yyyy-mm-dd"),
          0)),
"")</f>
        <v/>
      </c>
      <c r="O384" s="147" t="str">
        <f t="shared" ca="1" si="267"/>
        <v/>
      </c>
      <c r="P384" s="147">
        <f t="shared" ref="P384:Q384" ca="1" si="400">IF(N384="",0,IF(N384&lt;=2,1,IF(N384&lt;=4,2,IF(N384&lt;=5.5,3,4))))</f>
        <v>0</v>
      </c>
      <c r="Q384" s="147">
        <f t="shared" ca="1" si="400"/>
        <v>0</v>
      </c>
      <c r="R384" s="147" t="str">
        <f t="shared" ca="1" si="269"/>
        <v>No Data</v>
      </c>
      <c r="S384" s="147">
        <f t="shared" si="270"/>
        <v>0</v>
      </c>
      <c r="T384" s="147"/>
      <c r="U384" s="147"/>
      <c r="V384" s="147"/>
      <c r="W384" s="147"/>
      <c r="X384" s="147"/>
      <c r="Y384" s="147"/>
      <c r="Z384" s="147"/>
      <c r="AA384" s="147"/>
      <c r="AB384" s="147"/>
      <c r="AC384" s="147"/>
      <c r="AD384" s="147"/>
      <c r="AE384" s="147"/>
      <c r="AF384" s="147"/>
      <c r="AG384" s="147"/>
      <c r="AH384" s="147"/>
      <c r="AI384" s="147"/>
      <c r="AJ384" s="147"/>
      <c r="AK384" s="147"/>
      <c r="AL384" s="147"/>
      <c r="AM384" s="151"/>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c r="BI384" s="147"/>
      <c r="BJ384" s="147"/>
      <c r="BK384" s="147"/>
      <c r="BL384" s="147"/>
      <c r="BM384" s="147"/>
      <c r="BN384" s="147"/>
      <c r="BO384" s="147"/>
      <c r="BP384" s="147"/>
      <c r="BQ384" s="147"/>
      <c r="BR384" s="147"/>
      <c r="BS384" s="147"/>
      <c r="BT384" s="147"/>
      <c r="BU384" s="147"/>
      <c r="BV384" s="147"/>
      <c r="BW384" s="147"/>
      <c r="BX384" s="147"/>
      <c r="BY384" s="147"/>
      <c r="BZ384" s="147"/>
      <c r="CA384" s="147"/>
      <c r="CB384" s="147"/>
      <c r="CC384" s="147"/>
      <c r="CD384" s="147"/>
      <c r="CE384" s="147"/>
      <c r="CF384" s="147"/>
      <c r="CG384" s="147"/>
      <c r="CH384" s="147"/>
      <c r="CI384" s="147"/>
      <c r="CJ384" s="147"/>
      <c r="CK384" s="147"/>
    </row>
    <row r="385" spans="1:89">
      <c r="A385" s="159" t="s">
        <v>447</v>
      </c>
      <c r="B385" s="3" t="s">
        <v>448</v>
      </c>
      <c r="C385" s="160" t="s">
        <v>84</v>
      </c>
      <c r="D385" s="160" t="s">
        <v>877</v>
      </c>
      <c r="E385" s="3" t="s">
        <v>22</v>
      </c>
      <c r="F385" s="3" t="s">
        <v>928</v>
      </c>
      <c r="G385" s="3" t="s">
        <v>940</v>
      </c>
      <c r="H385" s="156" t="str">
        <f ca="1">IFERROR(
  _xludf.MINIFS(ATTENDANCE_LOG!$F:$F,
         ATTENDANCE_LOG!$A:$A, C385,
         ATTENDANCE_LOG!$B:$B, E385),
"")</f>
        <v/>
      </c>
      <c r="I385" s="156" t="str">
        <f t="shared" ca="1" si="266"/>
        <v/>
      </c>
      <c r="J385" s="3">
        <f>IFERROR(VLOOKUP(F385, LEVEL_HELPER!$A:$B, 2, 0), "")</f>
        <v>1.5</v>
      </c>
      <c r="K385" s="3">
        <f>IFERROR(VLOOKUP(G385, LEVEL_HELPER!$A:$B, 2, 0), "")</f>
        <v>5</v>
      </c>
      <c r="L385" s="157" t="s">
        <v>930</v>
      </c>
      <c r="M385" s="157" t="s">
        <v>923</v>
      </c>
      <c r="N385" s="3" t="str">
        <f t="array" aca="1" ref="N385" ca="1">IFERROR(
  INDEX($J$2:$J$543,
    MATCH(A385&amp;TEXT(I385,"yyyy-mm-dd"),
          $A$2:$A$543&amp;TEXT($H$2:$H$543,"yyyy-mm-dd"),
          0)),
"")</f>
        <v/>
      </c>
      <c r="O385" s="147" t="str">
        <f t="shared" ca="1" si="267"/>
        <v/>
      </c>
      <c r="P385" s="147">
        <f t="shared" ref="P385:Q385" ca="1" si="401">IF(N385="",0,IF(N385&lt;=2,1,IF(N385&lt;=4,2,IF(N385&lt;=5.5,3,4))))</f>
        <v>0</v>
      </c>
      <c r="Q385" s="147">
        <f t="shared" ca="1" si="401"/>
        <v>0</v>
      </c>
      <c r="R385" s="147" t="str">
        <f t="shared" ca="1" si="269"/>
        <v>No Data</v>
      </c>
      <c r="S385" s="147">
        <f t="shared" si="270"/>
        <v>0</v>
      </c>
      <c r="T385" s="147"/>
      <c r="U385" s="147"/>
      <c r="V385" s="147"/>
      <c r="W385" s="147"/>
      <c r="X385" s="147"/>
      <c r="Y385" s="147"/>
      <c r="Z385" s="147"/>
      <c r="AA385" s="147"/>
      <c r="AB385" s="147"/>
      <c r="AC385" s="147"/>
      <c r="AD385" s="147"/>
      <c r="AE385" s="147"/>
      <c r="AF385" s="147"/>
      <c r="AG385" s="147"/>
      <c r="AH385" s="147"/>
      <c r="AI385" s="147"/>
      <c r="AJ385" s="147"/>
      <c r="AK385" s="147"/>
      <c r="AL385" s="147"/>
      <c r="AM385" s="151"/>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c r="BI385" s="147"/>
      <c r="BJ385" s="147"/>
      <c r="BK385" s="147"/>
      <c r="BL385" s="147"/>
      <c r="BM385" s="147"/>
      <c r="BN385" s="147"/>
      <c r="BO385" s="147"/>
      <c r="BP385" s="147"/>
      <c r="BQ385" s="147"/>
      <c r="BR385" s="147"/>
      <c r="BS385" s="147"/>
      <c r="BT385" s="147"/>
      <c r="BU385" s="147"/>
      <c r="BV385" s="147"/>
      <c r="BW385" s="147"/>
      <c r="BX385" s="147"/>
      <c r="BY385" s="147"/>
      <c r="BZ385" s="147"/>
      <c r="CA385" s="147"/>
      <c r="CB385" s="147"/>
      <c r="CC385" s="147"/>
      <c r="CD385" s="147"/>
      <c r="CE385" s="147"/>
      <c r="CF385" s="147"/>
      <c r="CG385" s="147"/>
      <c r="CH385" s="147"/>
      <c r="CI385" s="147"/>
      <c r="CJ385" s="147"/>
      <c r="CK385" s="147"/>
    </row>
    <row r="386" spans="1:89">
      <c r="A386" s="159" t="s">
        <v>486</v>
      </c>
      <c r="B386" s="3" t="s">
        <v>487</v>
      </c>
      <c r="C386" s="160" t="s">
        <v>84</v>
      </c>
      <c r="D386" s="160" t="s">
        <v>877</v>
      </c>
      <c r="E386" s="3" t="s">
        <v>22</v>
      </c>
      <c r="F386" s="3" t="s">
        <v>917</v>
      </c>
      <c r="G386" s="3" t="s">
        <v>940</v>
      </c>
      <c r="H386" s="156" t="str">
        <f ca="1">IFERROR(
  _xludf.MINIFS(ATTENDANCE_LOG!$F:$F,
         ATTENDANCE_LOG!$A:$A, C386,
         ATTENDANCE_LOG!$B:$B, E386),
"")</f>
        <v/>
      </c>
      <c r="I386" s="156" t="str">
        <f t="shared" ca="1" si="266"/>
        <v/>
      </c>
      <c r="J386" s="3">
        <f>IFERROR(VLOOKUP(F386, LEVEL_HELPER!$A:$B, 2, 0), "")</f>
        <v>3</v>
      </c>
      <c r="K386" s="3">
        <f>IFERROR(VLOOKUP(G386, LEVEL_HELPER!$A:$B, 2, 0), "")</f>
        <v>5</v>
      </c>
      <c r="L386" s="157" t="s">
        <v>930</v>
      </c>
      <c r="M386" s="157" t="s">
        <v>923</v>
      </c>
      <c r="N386" s="3" t="str">
        <f t="array" aca="1" ref="N386" ca="1">IFERROR(
  INDEX($J$2:$J$543,
    MATCH(A386&amp;TEXT(I386,"yyyy-mm-dd"),
          $A$2:$A$543&amp;TEXT($H$2:$H$543,"yyyy-mm-dd"),
          0)),
"")</f>
        <v/>
      </c>
      <c r="O386" s="147" t="str">
        <f t="shared" ca="1" si="267"/>
        <v/>
      </c>
      <c r="P386" s="147">
        <f t="shared" ref="P386:Q386" ca="1" si="402">IF(N386="",0,IF(N386&lt;=2,1,IF(N386&lt;=4,2,IF(N386&lt;=5.5,3,4))))</f>
        <v>0</v>
      </c>
      <c r="Q386" s="147">
        <f t="shared" ca="1" si="402"/>
        <v>0</v>
      </c>
      <c r="R386" s="147" t="str">
        <f t="shared" ca="1" si="269"/>
        <v>No Data</v>
      </c>
      <c r="S386" s="147">
        <f t="shared" si="270"/>
        <v>0</v>
      </c>
      <c r="T386" s="147"/>
      <c r="U386" s="147"/>
      <c r="V386" s="147"/>
      <c r="W386" s="147"/>
      <c r="X386" s="147"/>
      <c r="Y386" s="147"/>
      <c r="Z386" s="147"/>
      <c r="AA386" s="147"/>
      <c r="AB386" s="147"/>
      <c r="AC386" s="147"/>
      <c r="AD386" s="147"/>
      <c r="AE386" s="147"/>
      <c r="AF386" s="147"/>
      <c r="AG386" s="147"/>
      <c r="AH386" s="147"/>
      <c r="AI386" s="147"/>
      <c r="AJ386" s="147"/>
      <c r="AK386" s="147"/>
      <c r="AL386" s="147"/>
      <c r="AM386" s="151"/>
      <c r="AN386" s="147"/>
      <c r="AO386" s="147"/>
      <c r="AP386" s="147"/>
      <c r="AQ386" s="147"/>
      <c r="AR386" s="147"/>
      <c r="AS386" s="147"/>
      <c r="AT386" s="147"/>
      <c r="AU386" s="147"/>
      <c r="AV386" s="147"/>
      <c r="AW386" s="147"/>
      <c r="AX386" s="147"/>
      <c r="AY386" s="147"/>
      <c r="AZ386" s="147"/>
      <c r="BA386" s="147"/>
      <c r="BB386" s="147"/>
      <c r="BC386" s="147"/>
      <c r="BD386" s="147"/>
      <c r="BE386" s="147"/>
      <c r="BF386" s="147"/>
      <c r="BG386" s="147"/>
      <c r="BH386" s="147"/>
      <c r="BI386" s="147"/>
      <c r="BJ386" s="147"/>
      <c r="BK386" s="147"/>
      <c r="BL386" s="147"/>
      <c r="BM386" s="147"/>
      <c r="BN386" s="147"/>
      <c r="BO386" s="147"/>
      <c r="BP386" s="147"/>
      <c r="BQ386" s="147"/>
      <c r="BR386" s="147"/>
      <c r="BS386" s="147"/>
      <c r="BT386" s="147"/>
      <c r="BU386" s="147"/>
      <c r="BV386" s="147"/>
      <c r="BW386" s="147"/>
      <c r="BX386" s="147"/>
      <c r="BY386" s="147"/>
      <c r="BZ386" s="147"/>
      <c r="CA386" s="147"/>
      <c r="CB386" s="147"/>
      <c r="CC386" s="147"/>
      <c r="CD386" s="147"/>
      <c r="CE386" s="147"/>
      <c r="CF386" s="147"/>
      <c r="CG386" s="147"/>
      <c r="CH386" s="147"/>
      <c r="CI386" s="147"/>
      <c r="CJ386" s="147"/>
      <c r="CK386" s="147"/>
    </row>
    <row r="387" spans="1:89">
      <c r="A387" s="159" t="s">
        <v>508</v>
      </c>
      <c r="B387" s="3" t="s">
        <v>509</v>
      </c>
      <c r="C387" s="160" t="s">
        <v>84</v>
      </c>
      <c r="D387" s="160" t="s">
        <v>877</v>
      </c>
      <c r="E387" s="3" t="s">
        <v>22</v>
      </c>
      <c r="F387" s="3" t="s">
        <v>917</v>
      </c>
      <c r="G387" s="3" t="s">
        <v>937</v>
      </c>
      <c r="H387" s="156" t="str">
        <f ca="1">IFERROR(
  _xludf.MINIFS(ATTENDANCE_LOG!$F:$F,
         ATTENDANCE_LOG!$A:$A, C387,
         ATTENDANCE_LOG!$B:$B, E387),
"")</f>
        <v/>
      </c>
      <c r="I387" s="156" t="str">
        <f t="shared" ca="1" si="266"/>
        <v/>
      </c>
      <c r="J387" s="3">
        <f>IFERROR(VLOOKUP(F387, LEVEL_HELPER!$A:$B, 2, 0), "")</f>
        <v>3</v>
      </c>
      <c r="K387" s="3">
        <f>IFERROR(VLOOKUP(G387, LEVEL_HELPER!$A:$B, 2, 0), "")</f>
        <v>5.5</v>
      </c>
      <c r="L387" s="157" t="s">
        <v>930</v>
      </c>
      <c r="M387" s="157" t="s">
        <v>923</v>
      </c>
      <c r="N387" s="3" t="str">
        <f t="array" aca="1" ref="N387" ca="1">IFERROR(
  INDEX($J$2:$J$543,
    MATCH(A387&amp;TEXT(I387,"yyyy-mm-dd"),
          $A$2:$A$543&amp;TEXT($H$2:$H$543,"yyyy-mm-dd"),
          0)),
"")</f>
        <v/>
      </c>
      <c r="O387" s="147" t="str">
        <f t="shared" ca="1" si="267"/>
        <v/>
      </c>
      <c r="P387" s="147">
        <f t="shared" ref="P387:Q387" ca="1" si="403">IF(N387="",0,IF(N387&lt;=2,1,IF(N387&lt;=4,2,IF(N387&lt;=5.5,3,4))))</f>
        <v>0</v>
      </c>
      <c r="Q387" s="147">
        <f t="shared" ca="1" si="403"/>
        <v>0</v>
      </c>
      <c r="R387" s="147" t="str">
        <f t="shared" ca="1" si="269"/>
        <v>No Data</v>
      </c>
      <c r="S387" s="147">
        <f t="shared" si="270"/>
        <v>0</v>
      </c>
      <c r="T387" s="147"/>
      <c r="U387" s="147"/>
      <c r="V387" s="147"/>
      <c r="W387" s="147"/>
      <c r="X387" s="147"/>
      <c r="Y387" s="147"/>
      <c r="Z387" s="147"/>
      <c r="AA387" s="147"/>
      <c r="AB387" s="147"/>
      <c r="AC387" s="147"/>
      <c r="AD387" s="147"/>
      <c r="AE387" s="147"/>
      <c r="AF387" s="147"/>
      <c r="AG387" s="147"/>
      <c r="AH387" s="147"/>
      <c r="AI387" s="147"/>
      <c r="AJ387" s="147"/>
      <c r="AK387" s="147"/>
      <c r="AL387" s="147"/>
      <c r="AM387" s="151"/>
      <c r="AN387" s="147"/>
      <c r="AO387" s="147"/>
      <c r="AP387" s="147"/>
      <c r="AQ387" s="147"/>
      <c r="AR387" s="147"/>
      <c r="AS387" s="147"/>
      <c r="AT387" s="147"/>
      <c r="AU387" s="147"/>
      <c r="AV387" s="147"/>
      <c r="AW387" s="147"/>
      <c r="AX387" s="147"/>
      <c r="AY387" s="147"/>
      <c r="AZ387" s="147"/>
      <c r="BA387" s="147"/>
      <c r="BB387" s="147"/>
      <c r="BC387" s="147"/>
      <c r="BD387" s="147"/>
      <c r="BE387" s="147"/>
      <c r="BF387" s="147"/>
      <c r="BG387" s="147"/>
      <c r="BH387" s="147"/>
      <c r="BI387" s="147"/>
      <c r="BJ387" s="147"/>
      <c r="BK387" s="147"/>
      <c r="BL387" s="147"/>
      <c r="BM387" s="147"/>
      <c r="BN387" s="147"/>
      <c r="BO387" s="147"/>
      <c r="BP387" s="147"/>
      <c r="BQ387" s="147"/>
      <c r="BR387" s="147"/>
      <c r="BS387" s="147"/>
      <c r="BT387" s="147"/>
      <c r="BU387" s="147"/>
      <c r="BV387" s="147"/>
      <c r="BW387" s="147"/>
      <c r="BX387" s="147"/>
      <c r="BY387" s="147"/>
      <c r="BZ387" s="147"/>
      <c r="CA387" s="147"/>
      <c r="CB387" s="147"/>
      <c r="CC387" s="147"/>
      <c r="CD387" s="147"/>
      <c r="CE387" s="147"/>
      <c r="CF387" s="147"/>
      <c r="CG387" s="147"/>
      <c r="CH387" s="147"/>
      <c r="CI387" s="147"/>
      <c r="CJ387" s="147"/>
      <c r="CK387" s="147"/>
    </row>
    <row r="388" spans="1:89">
      <c r="A388" s="159" t="s">
        <v>597</v>
      </c>
      <c r="B388" s="3" t="s">
        <v>598</v>
      </c>
      <c r="C388" s="160" t="s">
        <v>84</v>
      </c>
      <c r="D388" s="160" t="s">
        <v>877</v>
      </c>
      <c r="E388" s="3" t="s">
        <v>22</v>
      </c>
      <c r="F388" s="3" t="s">
        <v>917</v>
      </c>
      <c r="G388" s="3" t="s">
        <v>940</v>
      </c>
      <c r="H388" s="156" t="str">
        <f ca="1">IFERROR(
  _xludf.MINIFS(ATTENDANCE_LOG!$F:$F,
         ATTENDANCE_LOG!$A:$A, C388,
         ATTENDANCE_LOG!$B:$B, E388),
"")</f>
        <v/>
      </c>
      <c r="I388" s="156" t="str">
        <f t="shared" ca="1" si="266"/>
        <v/>
      </c>
      <c r="J388" s="3">
        <f>IFERROR(VLOOKUP(F388, LEVEL_HELPER!$A:$B, 2, 0), "")</f>
        <v>3</v>
      </c>
      <c r="K388" s="3">
        <f>IFERROR(VLOOKUP(G388, LEVEL_HELPER!$A:$B, 2, 0), "")</f>
        <v>5</v>
      </c>
      <c r="L388" s="157" t="s">
        <v>930</v>
      </c>
      <c r="M388" s="157" t="s">
        <v>923</v>
      </c>
      <c r="N388" s="3" t="str">
        <f t="array" aca="1" ref="N388" ca="1">IFERROR(
  INDEX($J$2:$J$543,
    MATCH(A388&amp;TEXT(I388,"yyyy-mm-dd"),
          $A$2:$A$543&amp;TEXT($H$2:$H$543,"yyyy-mm-dd"),
          0)),
"")</f>
        <v/>
      </c>
      <c r="O388" s="147" t="str">
        <f t="shared" ca="1" si="267"/>
        <v/>
      </c>
      <c r="P388" s="147">
        <f t="shared" ref="P388:Q388" ca="1" si="404">IF(N388="",0,IF(N388&lt;=2,1,IF(N388&lt;=4,2,IF(N388&lt;=5.5,3,4))))</f>
        <v>0</v>
      </c>
      <c r="Q388" s="147">
        <f t="shared" ca="1" si="404"/>
        <v>0</v>
      </c>
      <c r="R388" s="147" t="str">
        <f t="shared" ca="1" si="269"/>
        <v>No Data</v>
      </c>
      <c r="S388" s="147">
        <f t="shared" si="270"/>
        <v>0</v>
      </c>
      <c r="T388" s="147"/>
      <c r="U388" s="147"/>
      <c r="V388" s="147"/>
      <c r="W388" s="147"/>
      <c r="X388" s="147"/>
      <c r="Y388" s="147"/>
      <c r="Z388" s="147"/>
      <c r="AA388" s="147"/>
      <c r="AB388" s="147"/>
      <c r="AC388" s="147"/>
      <c r="AD388" s="147"/>
      <c r="AE388" s="147"/>
      <c r="AF388" s="147"/>
      <c r="AG388" s="147"/>
      <c r="AH388" s="147"/>
      <c r="AI388" s="147"/>
      <c r="AJ388" s="147"/>
      <c r="AK388" s="147"/>
      <c r="AL388" s="147"/>
      <c r="AM388" s="151"/>
      <c r="AN388" s="147"/>
      <c r="AO388" s="147"/>
      <c r="AP388" s="147"/>
      <c r="AQ388" s="147"/>
      <c r="AR388" s="147"/>
      <c r="AS388" s="147"/>
      <c r="AT388" s="147"/>
      <c r="AU388" s="147"/>
      <c r="AV388" s="147"/>
      <c r="AW388" s="147"/>
      <c r="AX388" s="147"/>
      <c r="AY388" s="147"/>
      <c r="AZ388" s="147"/>
      <c r="BA388" s="147"/>
      <c r="BB388" s="147"/>
      <c r="BC388" s="147"/>
      <c r="BD388" s="147"/>
      <c r="BE388" s="147"/>
      <c r="BF388" s="147"/>
      <c r="BG388" s="147"/>
      <c r="BH388" s="147"/>
      <c r="BI388" s="147"/>
      <c r="BJ388" s="147"/>
      <c r="BK388" s="147"/>
      <c r="BL388" s="147"/>
      <c r="BM388" s="147"/>
      <c r="BN388" s="147"/>
      <c r="BO388" s="147"/>
      <c r="BP388" s="147"/>
      <c r="BQ388" s="147"/>
      <c r="BR388" s="147"/>
      <c r="BS388" s="147"/>
      <c r="BT388" s="147"/>
      <c r="BU388" s="147"/>
      <c r="BV388" s="147"/>
      <c r="BW388" s="147"/>
      <c r="BX388" s="147"/>
      <c r="BY388" s="147"/>
      <c r="BZ388" s="147"/>
      <c r="CA388" s="147"/>
      <c r="CB388" s="147"/>
      <c r="CC388" s="147"/>
      <c r="CD388" s="147"/>
      <c r="CE388" s="147"/>
      <c r="CF388" s="147"/>
      <c r="CG388" s="147"/>
      <c r="CH388" s="147"/>
      <c r="CI388" s="147"/>
      <c r="CJ388" s="147"/>
      <c r="CK388" s="147"/>
    </row>
    <row r="389" spans="1:89">
      <c r="A389" s="159" t="s">
        <v>623</v>
      </c>
      <c r="B389" s="3" t="s">
        <v>624</v>
      </c>
      <c r="C389" s="160" t="s">
        <v>84</v>
      </c>
      <c r="D389" s="160" t="s">
        <v>877</v>
      </c>
      <c r="E389" s="3" t="s">
        <v>22</v>
      </c>
      <c r="F389" s="3" t="s">
        <v>931</v>
      </c>
      <c r="G389" s="3"/>
      <c r="H389" s="156" t="str">
        <f ca="1">IFERROR(
  _xludf.MINIFS(ATTENDANCE_LOG!$F:$F,
         ATTENDANCE_LOG!$A:$A, C389,
         ATTENDANCE_LOG!$B:$B, E389),
"")</f>
        <v/>
      </c>
      <c r="I389" s="156" t="str">
        <f t="shared" ca="1" si="266"/>
        <v/>
      </c>
      <c r="J389" s="3">
        <f>IFERROR(VLOOKUP(F389, LEVEL_HELPER!$A:$B, 2, 0), "")</f>
        <v>4.5</v>
      </c>
      <c r="K389" s="3" t="str">
        <f>IFERROR(VLOOKUP(G389, LEVEL_HELPER!$A:$B, 2, 0), "")</f>
        <v/>
      </c>
      <c r="L389" s="157" t="s">
        <v>930</v>
      </c>
      <c r="M389" s="157" t="s">
        <v>923</v>
      </c>
      <c r="N389" s="3" t="str">
        <f t="array" aca="1" ref="N389" ca="1">IFERROR(
  INDEX($J$2:$J$543,
    MATCH(A389&amp;TEXT(I389,"yyyy-mm-dd"),
          $A$2:$A$543&amp;TEXT($H$2:$H$543,"yyyy-mm-dd"),
          0)),
"")</f>
        <v/>
      </c>
      <c r="O389" s="147" t="str">
        <f t="shared" ca="1" si="267"/>
        <v/>
      </c>
      <c r="P389" s="147">
        <f t="shared" ref="P389:Q389" ca="1" si="405">IF(N389="",0,IF(N389&lt;=2,1,IF(N389&lt;=4,2,IF(N389&lt;=5.5,3,4))))</f>
        <v>0</v>
      </c>
      <c r="Q389" s="147">
        <f t="shared" ca="1" si="405"/>
        <v>0</v>
      </c>
      <c r="R389" s="147" t="str">
        <f t="shared" ca="1" si="269"/>
        <v>No Data</v>
      </c>
      <c r="S389" s="147">
        <f t="shared" si="270"/>
        <v>0</v>
      </c>
      <c r="T389" s="147"/>
      <c r="U389" s="147"/>
      <c r="V389" s="147"/>
      <c r="W389" s="147"/>
      <c r="X389" s="147"/>
      <c r="Y389" s="147"/>
      <c r="Z389" s="147"/>
      <c r="AA389" s="147"/>
      <c r="AB389" s="147"/>
      <c r="AC389" s="147"/>
      <c r="AD389" s="147"/>
      <c r="AE389" s="147"/>
      <c r="AF389" s="147"/>
      <c r="AG389" s="147"/>
      <c r="AH389" s="147"/>
      <c r="AI389" s="147"/>
      <c r="AJ389" s="147"/>
      <c r="AK389" s="147"/>
      <c r="AL389" s="147"/>
      <c r="AM389" s="151"/>
      <c r="AN389" s="147"/>
      <c r="AO389" s="147"/>
      <c r="AP389" s="147"/>
      <c r="AQ389" s="147"/>
      <c r="AR389" s="147"/>
      <c r="AS389" s="147"/>
      <c r="AT389" s="147"/>
      <c r="AU389" s="147"/>
      <c r="AV389" s="147"/>
      <c r="AW389" s="147"/>
      <c r="AX389" s="147"/>
      <c r="AY389" s="147"/>
      <c r="AZ389" s="147"/>
      <c r="BA389" s="147"/>
      <c r="BB389" s="147"/>
      <c r="BC389" s="147"/>
      <c r="BD389" s="147"/>
      <c r="BE389" s="147"/>
      <c r="BF389" s="147"/>
      <c r="BG389" s="147"/>
      <c r="BH389" s="147"/>
      <c r="BI389" s="147"/>
      <c r="BJ389" s="147"/>
      <c r="BK389" s="147"/>
      <c r="BL389" s="147"/>
      <c r="BM389" s="147"/>
      <c r="BN389" s="147"/>
      <c r="BO389" s="147"/>
      <c r="BP389" s="147"/>
      <c r="BQ389" s="147"/>
      <c r="BR389" s="147"/>
      <c r="BS389" s="147"/>
      <c r="BT389" s="147"/>
      <c r="BU389" s="147"/>
      <c r="BV389" s="147"/>
      <c r="BW389" s="147"/>
      <c r="BX389" s="147"/>
      <c r="BY389" s="147"/>
      <c r="BZ389" s="147"/>
      <c r="CA389" s="147"/>
      <c r="CB389" s="147"/>
      <c r="CC389" s="147"/>
      <c r="CD389" s="147"/>
      <c r="CE389" s="147"/>
      <c r="CF389" s="147"/>
      <c r="CG389" s="147"/>
      <c r="CH389" s="147"/>
      <c r="CI389" s="147"/>
      <c r="CJ389" s="147"/>
      <c r="CK389" s="147"/>
    </row>
    <row r="390" spans="1:89">
      <c r="A390" s="153" t="s">
        <v>397</v>
      </c>
      <c r="B390" s="154" t="s">
        <v>398</v>
      </c>
      <c r="C390" s="155" t="s">
        <v>85</v>
      </c>
      <c r="D390" s="155" t="s">
        <v>878</v>
      </c>
      <c r="E390" s="154" t="s">
        <v>24</v>
      </c>
      <c r="F390" s="173"/>
      <c r="G390" s="173"/>
      <c r="H390" s="156" t="str">
        <f ca="1">IFERROR(
  _xludf.MINIFS(ATTENDANCE_LOG!$F:$F,
         ATTENDANCE_LOG!$A:$A, C390,
         ATTENDANCE_LOG!$B:$B, E390),
"")</f>
        <v/>
      </c>
      <c r="I390" s="156" t="str">
        <f t="shared" ca="1" si="266"/>
        <v/>
      </c>
      <c r="J390" s="173" t="str">
        <f>IFERROR(VLOOKUP(F390, LEVEL_HELPER!$A:$B, 2, 0), "")</f>
        <v/>
      </c>
      <c r="K390" s="173" t="str">
        <f>IFERROR(VLOOKUP(G390, LEVEL_HELPER!$A:$B, 2, 0), "")</f>
        <v/>
      </c>
      <c r="L390" s="174" t="s">
        <v>956</v>
      </c>
      <c r="M390" s="174" t="s">
        <v>923</v>
      </c>
      <c r="N390" s="3" t="str">
        <f t="array" aca="1" ref="N390" ca="1">IFERROR(
  INDEX($J$2:$J$543,
    MATCH(A390&amp;TEXT(I390,"yyyy-mm-dd"),
          $A$2:$A$543&amp;TEXT($H$2:$H$543,"yyyy-mm-dd"),
          0)),
"")</f>
        <v/>
      </c>
      <c r="O390" s="175" t="str">
        <f t="shared" ca="1" si="267"/>
        <v/>
      </c>
      <c r="P390" s="147">
        <f t="shared" ref="P390:Q390" ca="1" si="406">IF(N390="",0,IF(N390&lt;=2,1,IF(N390&lt;=4,2,IF(N390&lt;=5.5,3,4))))</f>
        <v>0</v>
      </c>
      <c r="Q390" s="147">
        <f t="shared" ca="1" si="406"/>
        <v>0</v>
      </c>
      <c r="R390" s="147" t="str">
        <f t="shared" ca="1" si="269"/>
        <v>No Data</v>
      </c>
      <c r="S390" s="147">
        <f t="shared" si="270"/>
        <v>1</v>
      </c>
      <c r="T390" s="147"/>
      <c r="U390" s="147"/>
      <c r="V390" s="147"/>
      <c r="W390" s="147"/>
      <c r="X390" s="147"/>
      <c r="Y390" s="147"/>
      <c r="Z390" s="147"/>
      <c r="AA390" s="147"/>
      <c r="AB390" s="147"/>
      <c r="AC390" s="147"/>
      <c r="AD390" s="147"/>
      <c r="AE390" s="147"/>
      <c r="AF390" s="147"/>
      <c r="AG390" s="147"/>
      <c r="AH390" s="147"/>
      <c r="AI390" s="147"/>
      <c r="AJ390" s="147"/>
      <c r="AK390" s="147"/>
      <c r="AL390" s="147"/>
      <c r="AM390" s="151"/>
      <c r="AN390" s="147"/>
      <c r="AO390" s="147"/>
      <c r="AP390" s="147"/>
      <c r="AQ390" s="147"/>
      <c r="AR390" s="147"/>
      <c r="AS390" s="147"/>
      <c r="AT390" s="147"/>
      <c r="AU390" s="147"/>
      <c r="AV390" s="147"/>
      <c r="AW390" s="147"/>
      <c r="AX390" s="147"/>
      <c r="AY390" s="147"/>
      <c r="AZ390" s="147"/>
      <c r="BA390" s="147"/>
      <c r="BB390" s="147"/>
      <c r="BC390" s="147"/>
      <c r="BD390" s="147"/>
      <c r="BE390" s="147"/>
      <c r="BF390" s="147"/>
      <c r="BG390" s="147"/>
      <c r="BH390" s="147"/>
      <c r="BI390" s="147"/>
      <c r="BJ390" s="147"/>
      <c r="BK390" s="147"/>
      <c r="BL390" s="147"/>
      <c r="BM390" s="147"/>
      <c r="BN390" s="147"/>
      <c r="BO390" s="147"/>
      <c r="BP390" s="147"/>
      <c r="BQ390" s="147"/>
      <c r="BR390" s="147"/>
      <c r="BS390" s="147"/>
      <c r="BT390" s="147"/>
      <c r="BU390" s="147"/>
      <c r="BV390" s="147"/>
      <c r="BW390" s="147"/>
      <c r="BX390" s="147"/>
      <c r="BY390" s="147"/>
      <c r="BZ390" s="147"/>
      <c r="CA390" s="147"/>
      <c r="CB390" s="147"/>
      <c r="CC390" s="147"/>
      <c r="CD390" s="147"/>
      <c r="CE390" s="147"/>
      <c r="CF390" s="147"/>
      <c r="CG390" s="147"/>
      <c r="CH390" s="147"/>
      <c r="CI390" s="147"/>
      <c r="CJ390" s="147"/>
      <c r="CK390" s="147"/>
    </row>
    <row r="391" spans="1:89">
      <c r="A391" s="159" t="s">
        <v>136</v>
      </c>
      <c r="B391" s="3" t="s">
        <v>137</v>
      </c>
      <c r="C391" s="160" t="s">
        <v>85</v>
      </c>
      <c r="D391" s="160" t="s">
        <v>878</v>
      </c>
      <c r="E391" s="3" t="s">
        <v>24</v>
      </c>
      <c r="F391" s="3"/>
      <c r="G391" s="3"/>
      <c r="H391" s="156" t="str">
        <f ca="1">IFERROR(
  _xludf.MINIFS(ATTENDANCE_LOG!$F:$F,
         ATTENDANCE_LOG!$A:$A, C391,
         ATTENDANCE_LOG!$B:$B, E391),
"")</f>
        <v/>
      </c>
      <c r="I391" s="156" t="str">
        <f t="shared" ca="1" si="266"/>
        <v/>
      </c>
      <c r="J391" s="3" t="str">
        <f>IFERROR(VLOOKUP(F391, LEVEL_HELPER!$A:$B, 2, 0), "")</f>
        <v/>
      </c>
      <c r="K391" s="3" t="str">
        <f>IFERROR(VLOOKUP(G391, LEVEL_HELPER!$A:$B, 2, 0), "")</f>
        <v/>
      </c>
      <c r="L391" s="157" t="s">
        <v>942</v>
      </c>
      <c r="M391" s="157" t="s">
        <v>923</v>
      </c>
      <c r="N391" s="3" t="str">
        <f t="array" aca="1" ref="N391" ca="1">IFERROR(
  INDEX($J$2:$J$543,
    MATCH(A391&amp;TEXT(I391,"yyyy-mm-dd"),
          $A$2:$A$543&amp;TEXT($H$2:$H$543,"yyyy-mm-dd"),
          0)),
"")</f>
        <v/>
      </c>
      <c r="O391" s="147" t="str">
        <f t="shared" ca="1" si="267"/>
        <v/>
      </c>
      <c r="P391" s="147">
        <f t="shared" ref="P391:Q391" ca="1" si="407">IF(N391="",0,IF(N391&lt;=2,1,IF(N391&lt;=4,2,IF(N391&lt;=5.5,3,4))))</f>
        <v>0</v>
      </c>
      <c r="Q391" s="147">
        <f t="shared" ca="1" si="407"/>
        <v>0</v>
      </c>
      <c r="R391" s="147" t="str">
        <f t="shared" ca="1" si="269"/>
        <v>No Data</v>
      </c>
      <c r="S391" s="147">
        <f t="shared" si="270"/>
        <v>1</v>
      </c>
      <c r="T391" s="147"/>
      <c r="U391" s="147"/>
      <c r="V391" s="147"/>
      <c r="W391" s="147"/>
      <c r="X391" s="147"/>
      <c r="Y391" s="147"/>
      <c r="Z391" s="147"/>
      <c r="AA391" s="147"/>
      <c r="AB391" s="147"/>
      <c r="AC391" s="147"/>
      <c r="AD391" s="147"/>
      <c r="AE391" s="147"/>
      <c r="AF391" s="147"/>
      <c r="AG391" s="147"/>
      <c r="AH391" s="147"/>
      <c r="AI391" s="147"/>
      <c r="AJ391" s="147"/>
      <c r="AK391" s="147"/>
      <c r="AL391" s="147"/>
      <c r="AM391" s="151"/>
      <c r="AN391" s="147"/>
      <c r="AO391" s="147"/>
      <c r="AP391" s="147"/>
      <c r="AQ391" s="147"/>
      <c r="AR391" s="147"/>
      <c r="AS391" s="147"/>
      <c r="AT391" s="147"/>
      <c r="AU391" s="147"/>
      <c r="AV391" s="147"/>
      <c r="AW391" s="147"/>
      <c r="AX391" s="147"/>
      <c r="AY391" s="147"/>
      <c r="AZ391" s="147"/>
      <c r="BA391" s="147"/>
      <c r="BB391" s="147"/>
      <c r="BC391" s="147"/>
      <c r="BD391" s="147"/>
      <c r="BE391" s="147"/>
      <c r="BF391" s="147"/>
      <c r="BG391" s="147"/>
      <c r="BH391" s="147"/>
      <c r="BI391" s="147"/>
      <c r="BJ391" s="147"/>
      <c r="BK391" s="147"/>
      <c r="BL391" s="147"/>
      <c r="BM391" s="147"/>
      <c r="BN391" s="147"/>
      <c r="BO391" s="147"/>
      <c r="BP391" s="147"/>
      <c r="BQ391" s="147"/>
      <c r="BR391" s="147"/>
      <c r="BS391" s="147"/>
      <c r="BT391" s="147"/>
      <c r="BU391" s="147"/>
      <c r="BV391" s="147"/>
      <c r="BW391" s="147"/>
      <c r="BX391" s="147"/>
      <c r="BY391" s="147"/>
      <c r="BZ391" s="147"/>
      <c r="CA391" s="147"/>
      <c r="CB391" s="147"/>
      <c r="CC391" s="147"/>
      <c r="CD391" s="147"/>
      <c r="CE391" s="147"/>
      <c r="CF391" s="147"/>
      <c r="CG391" s="147"/>
      <c r="CH391" s="147"/>
      <c r="CI391" s="147"/>
      <c r="CJ391" s="147"/>
      <c r="CK391" s="147"/>
    </row>
    <row r="392" spans="1:89">
      <c r="A392" s="159" t="s">
        <v>208</v>
      </c>
      <c r="B392" s="3" t="s">
        <v>209</v>
      </c>
      <c r="C392" s="160" t="s">
        <v>85</v>
      </c>
      <c r="D392" s="160" t="s">
        <v>878</v>
      </c>
      <c r="E392" s="3" t="s">
        <v>24</v>
      </c>
      <c r="F392" s="3"/>
      <c r="G392" s="3"/>
      <c r="H392" s="156" t="str">
        <f ca="1">IFERROR(
  _xludf.MINIFS(ATTENDANCE_LOG!$F:$F,
         ATTENDANCE_LOG!$A:$A, C392,
         ATTENDANCE_LOG!$B:$B, E392),
"")</f>
        <v/>
      </c>
      <c r="I392" s="156" t="str">
        <f t="shared" ca="1" si="266"/>
        <v/>
      </c>
      <c r="J392" s="3" t="str">
        <f>IFERROR(VLOOKUP(F392, LEVEL_HELPER!$A:$B, 2, 0), "")</f>
        <v/>
      </c>
      <c r="K392" s="3" t="str">
        <f>IFERROR(VLOOKUP(G392, LEVEL_HELPER!$A:$B, 2, 0), "")</f>
        <v/>
      </c>
      <c r="L392" s="157" t="s">
        <v>942</v>
      </c>
      <c r="M392" s="157" t="s">
        <v>923</v>
      </c>
      <c r="N392" s="3">
        <f t="array" aca="1" ref="N392" ca="1">IFERROR(
  INDEX($J$2:$J$543,
    MATCH(A392&amp;TEXT(I392,"yyyy-mm-dd"),
          $A$2:$A$543&amp;TEXT($H$2:$H$543,"yyyy-mm-dd"),
          0)),
"")</f>
        <v>1</v>
      </c>
      <c r="O392" s="147" t="str">
        <f t="shared" ca="1" si="267"/>
        <v/>
      </c>
      <c r="P392" s="147">
        <f t="shared" ref="P392:Q392" ca="1" si="408">IF(N392="",0,IF(N392&lt;=2,1,IF(N392&lt;=4,2,IF(N392&lt;=5.5,3,4))))</f>
        <v>1</v>
      </c>
      <c r="Q392" s="147">
        <f t="shared" ca="1" si="408"/>
        <v>0</v>
      </c>
      <c r="R392" s="147" t="str">
        <f t="shared" ca="1" si="269"/>
        <v>Regressed</v>
      </c>
      <c r="S392" s="147">
        <f t="shared" si="270"/>
        <v>0</v>
      </c>
      <c r="T392" s="147"/>
      <c r="U392" s="147"/>
      <c r="V392" s="147"/>
      <c r="W392" s="147"/>
      <c r="X392" s="147"/>
      <c r="Y392" s="147"/>
      <c r="Z392" s="147"/>
      <c r="AA392" s="147"/>
      <c r="AB392" s="147"/>
      <c r="AC392" s="147"/>
      <c r="AD392" s="147"/>
      <c r="AE392" s="147"/>
      <c r="AF392" s="147"/>
      <c r="AG392" s="147"/>
      <c r="AH392" s="147"/>
      <c r="AI392" s="147"/>
      <c r="AJ392" s="147"/>
      <c r="AK392" s="147"/>
      <c r="AL392" s="147"/>
      <c r="AM392" s="151"/>
      <c r="AN392" s="147"/>
      <c r="AO392" s="147"/>
      <c r="AP392" s="147"/>
      <c r="AQ392" s="147"/>
      <c r="AR392" s="147"/>
      <c r="AS392" s="147"/>
      <c r="AT392" s="147"/>
      <c r="AU392" s="147"/>
      <c r="AV392" s="147"/>
      <c r="AW392" s="147"/>
      <c r="AX392" s="147"/>
      <c r="AY392" s="147"/>
      <c r="AZ392" s="147"/>
      <c r="BA392" s="147"/>
      <c r="BB392" s="147"/>
      <c r="BC392" s="147"/>
      <c r="BD392" s="147"/>
      <c r="BE392" s="147"/>
      <c r="BF392" s="147"/>
      <c r="BG392" s="147"/>
      <c r="BH392" s="147"/>
      <c r="BI392" s="147"/>
      <c r="BJ392" s="147"/>
      <c r="BK392" s="147"/>
      <c r="BL392" s="147"/>
      <c r="BM392" s="147"/>
      <c r="BN392" s="147"/>
      <c r="BO392" s="147"/>
      <c r="BP392" s="147"/>
      <c r="BQ392" s="147"/>
      <c r="BR392" s="147"/>
      <c r="BS392" s="147"/>
      <c r="BT392" s="147"/>
      <c r="BU392" s="147"/>
      <c r="BV392" s="147"/>
      <c r="BW392" s="147"/>
      <c r="BX392" s="147"/>
      <c r="BY392" s="147"/>
      <c r="BZ392" s="147"/>
      <c r="CA392" s="147"/>
      <c r="CB392" s="147"/>
      <c r="CC392" s="147"/>
      <c r="CD392" s="147"/>
      <c r="CE392" s="147"/>
      <c r="CF392" s="147"/>
      <c r="CG392" s="147"/>
      <c r="CH392" s="147"/>
      <c r="CI392" s="147"/>
      <c r="CJ392" s="147"/>
      <c r="CK392" s="147"/>
    </row>
    <row r="393" spans="1:89">
      <c r="A393" s="159" t="s">
        <v>300</v>
      </c>
      <c r="B393" s="3" t="s">
        <v>301</v>
      </c>
      <c r="C393" s="160" t="s">
        <v>85</v>
      </c>
      <c r="D393" s="160" t="s">
        <v>878</v>
      </c>
      <c r="E393" s="3" t="s">
        <v>24</v>
      </c>
      <c r="F393" s="3"/>
      <c r="G393" s="3"/>
      <c r="H393" s="156" t="str">
        <f ca="1">IFERROR(
  _xludf.MINIFS(ATTENDANCE_LOG!$F:$F,
         ATTENDANCE_LOG!$A:$A, C393,
         ATTENDANCE_LOG!$B:$B, E393),
"")</f>
        <v/>
      </c>
      <c r="I393" s="156" t="str">
        <f t="shared" ca="1" si="266"/>
        <v/>
      </c>
      <c r="J393" s="3" t="str">
        <f>IFERROR(VLOOKUP(F393, LEVEL_HELPER!$A:$B, 2, 0), "")</f>
        <v/>
      </c>
      <c r="K393" s="3" t="str">
        <f>IFERROR(VLOOKUP(G393, LEVEL_HELPER!$A:$B, 2, 0), "")</f>
        <v/>
      </c>
      <c r="L393" s="157" t="s">
        <v>942</v>
      </c>
      <c r="M393" s="157" t="s">
        <v>923</v>
      </c>
      <c r="N393" s="3">
        <f t="array" aca="1" ref="N393" ca="1">IFERROR(
  INDEX($J$2:$J$543,
    MATCH(A393&amp;TEXT(I393,"yyyy-mm-dd"),
          $A$2:$A$543&amp;TEXT($H$2:$H$543,"yyyy-mm-dd"),
          0)),
"")</f>
        <v>1</v>
      </c>
      <c r="O393" s="147" t="str">
        <f t="shared" ca="1" si="267"/>
        <v/>
      </c>
      <c r="P393" s="147">
        <f t="shared" ref="P393:Q393" ca="1" si="409">IF(N393="",0,IF(N393&lt;=2,1,IF(N393&lt;=4,2,IF(N393&lt;=5.5,3,4))))</f>
        <v>1</v>
      </c>
      <c r="Q393" s="147">
        <f t="shared" ca="1" si="409"/>
        <v>0</v>
      </c>
      <c r="R393" s="147" t="str">
        <f t="shared" ca="1" si="269"/>
        <v>Regressed</v>
      </c>
      <c r="S393" s="147">
        <f t="shared" si="270"/>
        <v>0</v>
      </c>
      <c r="T393" s="147"/>
      <c r="U393" s="147"/>
      <c r="V393" s="147"/>
      <c r="W393" s="147"/>
      <c r="X393" s="147"/>
      <c r="Y393" s="147"/>
      <c r="Z393" s="147"/>
      <c r="AA393" s="147"/>
      <c r="AB393" s="147"/>
      <c r="AC393" s="147"/>
      <c r="AD393" s="147"/>
      <c r="AE393" s="147"/>
      <c r="AF393" s="147"/>
      <c r="AG393" s="147"/>
      <c r="AH393" s="147"/>
      <c r="AI393" s="147"/>
      <c r="AJ393" s="147"/>
      <c r="AK393" s="147"/>
      <c r="AL393" s="147"/>
      <c r="AM393" s="151"/>
      <c r="AN393" s="147"/>
      <c r="AO393" s="147"/>
      <c r="AP393" s="147"/>
      <c r="AQ393" s="147"/>
      <c r="AR393" s="147"/>
      <c r="AS393" s="147"/>
      <c r="AT393" s="147"/>
      <c r="AU393" s="147"/>
      <c r="AV393" s="147"/>
      <c r="AW393" s="147"/>
      <c r="AX393" s="147"/>
      <c r="AY393" s="147"/>
      <c r="AZ393" s="147"/>
      <c r="BA393" s="147"/>
      <c r="BB393" s="147"/>
      <c r="BC393" s="147"/>
      <c r="BD393" s="147"/>
      <c r="BE393" s="147"/>
      <c r="BF393" s="147"/>
      <c r="BG393" s="147"/>
      <c r="BH393" s="147"/>
      <c r="BI393" s="147"/>
      <c r="BJ393" s="147"/>
      <c r="BK393" s="147"/>
      <c r="BL393" s="147"/>
      <c r="BM393" s="147"/>
      <c r="BN393" s="147"/>
      <c r="BO393" s="147"/>
      <c r="BP393" s="147"/>
      <c r="BQ393" s="147"/>
      <c r="BR393" s="147"/>
      <c r="BS393" s="147"/>
      <c r="BT393" s="147"/>
      <c r="BU393" s="147"/>
      <c r="BV393" s="147"/>
      <c r="BW393" s="147"/>
      <c r="BX393" s="147"/>
      <c r="BY393" s="147"/>
      <c r="BZ393" s="147"/>
      <c r="CA393" s="147"/>
      <c r="CB393" s="147"/>
      <c r="CC393" s="147"/>
      <c r="CD393" s="147"/>
      <c r="CE393" s="147"/>
      <c r="CF393" s="147"/>
      <c r="CG393" s="147"/>
      <c r="CH393" s="147"/>
      <c r="CI393" s="147"/>
      <c r="CJ393" s="147"/>
      <c r="CK393" s="147"/>
    </row>
    <row r="394" spans="1:89">
      <c r="A394" s="159" t="s">
        <v>309</v>
      </c>
      <c r="B394" s="3" t="s">
        <v>310</v>
      </c>
      <c r="C394" s="160" t="s">
        <v>85</v>
      </c>
      <c r="D394" s="160" t="s">
        <v>878</v>
      </c>
      <c r="E394" s="3" t="s">
        <v>24</v>
      </c>
      <c r="F394" s="3"/>
      <c r="G394" s="3"/>
      <c r="H394" s="156" t="str">
        <f ca="1">IFERROR(
  _xludf.MINIFS(ATTENDANCE_LOG!$F:$F,
         ATTENDANCE_LOG!$A:$A, C394,
         ATTENDANCE_LOG!$B:$B, E394),
"")</f>
        <v/>
      </c>
      <c r="I394" s="156" t="str">
        <f t="shared" ca="1" si="266"/>
        <v/>
      </c>
      <c r="J394" s="3" t="str">
        <f>IFERROR(VLOOKUP(F394, LEVEL_HELPER!$A:$B, 2, 0), "")</f>
        <v/>
      </c>
      <c r="K394" s="3" t="str">
        <f>IFERROR(VLOOKUP(G394, LEVEL_HELPER!$A:$B, 2, 0), "")</f>
        <v/>
      </c>
      <c r="L394" s="157" t="s">
        <v>942</v>
      </c>
      <c r="M394" s="157" t="s">
        <v>923</v>
      </c>
      <c r="N394" s="3">
        <f t="array" aca="1" ref="N394" ca="1">IFERROR(
  INDEX($J$2:$J$543,
    MATCH(A394&amp;TEXT(I394,"yyyy-mm-dd"),
          $A$2:$A$543&amp;TEXT($H$2:$H$543,"yyyy-mm-dd"),
          0)),
"")</f>
        <v>1</v>
      </c>
      <c r="O394" s="147" t="str">
        <f t="shared" ca="1" si="267"/>
        <v/>
      </c>
      <c r="P394" s="147">
        <f t="shared" ref="P394:Q394" ca="1" si="410">IF(N394="",0,IF(N394&lt;=2,1,IF(N394&lt;=4,2,IF(N394&lt;=5.5,3,4))))</f>
        <v>1</v>
      </c>
      <c r="Q394" s="147">
        <f t="shared" ca="1" si="410"/>
        <v>0</v>
      </c>
      <c r="R394" s="147" t="str">
        <f t="shared" ca="1" si="269"/>
        <v>Regressed</v>
      </c>
      <c r="S394" s="147">
        <f t="shared" si="270"/>
        <v>0</v>
      </c>
      <c r="T394" s="147"/>
      <c r="U394" s="147"/>
      <c r="V394" s="147"/>
      <c r="W394" s="147"/>
      <c r="X394" s="147"/>
      <c r="Y394" s="147"/>
      <c r="Z394" s="147"/>
      <c r="AA394" s="147"/>
      <c r="AB394" s="147"/>
      <c r="AC394" s="147"/>
      <c r="AD394" s="147"/>
      <c r="AE394" s="147"/>
      <c r="AF394" s="147"/>
      <c r="AG394" s="147"/>
      <c r="AH394" s="147"/>
      <c r="AI394" s="147"/>
      <c r="AJ394" s="147"/>
      <c r="AK394" s="147"/>
      <c r="AL394" s="147"/>
      <c r="AM394" s="151"/>
      <c r="AN394" s="147"/>
      <c r="AO394" s="147"/>
      <c r="AP394" s="147"/>
      <c r="AQ394" s="147"/>
      <c r="AR394" s="147"/>
      <c r="AS394" s="147"/>
      <c r="AT394" s="147"/>
      <c r="AU394" s="147"/>
      <c r="AV394" s="147"/>
      <c r="AW394" s="147"/>
      <c r="AX394" s="147"/>
      <c r="AY394" s="147"/>
      <c r="AZ394" s="147"/>
      <c r="BA394" s="147"/>
      <c r="BB394" s="147"/>
      <c r="BC394" s="147"/>
      <c r="BD394" s="147"/>
      <c r="BE394" s="147"/>
      <c r="BF394" s="147"/>
      <c r="BG394" s="147"/>
      <c r="BH394" s="147"/>
      <c r="BI394" s="147"/>
      <c r="BJ394" s="147"/>
      <c r="BK394" s="147"/>
      <c r="BL394" s="147"/>
      <c r="BM394" s="147"/>
      <c r="BN394" s="147"/>
      <c r="BO394" s="147"/>
      <c r="BP394" s="147"/>
      <c r="BQ394" s="147"/>
      <c r="BR394" s="147"/>
      <c r="BS394" s="147"/>
      <c r="BT394" s="147"/>
      <c r="BU394" s="147"/>
      <c r="BV394" s="147"/>
      <c r="BW394" s="147"/>
      <c r="BX394" s="147"/>
      <c r="BY394" s="147"/>
      <c r="BZ394" s="147"/>
      <c r="CA394" s="147"/>
      <c r="CB394" s="147"/>
      <c r="CC394" s="147"/>
      <c r="CD394" s="147"/>
      <c r="CE394" s="147"/>
      <c r="CF394" s="147"/>
      <c r="CG394" s="147"/>
      <c r="CH394" s="147"/>
      <c r="CI394" s="147"/>
      <c r="CJ394" s="147"/>
      <c r="CK394" s="147"/>
    </row>
    <row r="395" spans="1:89">
      <c r="A395" s="159" t="s">
        <v>530</v>
      </c>
      <c r="B395" s="3" t="s">
        <v>531</v>
      </c>
      <c r="C395" s="160" t="s">
        <v>85</v>
      </c>
      <c r="D395" s="160" t="s">
        <v>878</v>
      </c>
      <c r="E395" s="3" t="s">
        <v>24</v>
      </c>
      <c r="F395" s="3"/>
      <c r="G395" s="3"/>
      <c r="H395" s="156" t="str">
        <f ca="1">IFERROR(
  _xludf.MINIFS(ATTENDANCE_LOG!$F:$F,
         ATTENDANCE_LOG!$A:$A, C395,
         ATTENDANCE_LOG!$B:$B, E395),
"")</f>
        <v/>
      </c>
      <c r="I395" s="156" t="str">
        <f t="shared" ca="1" si="266"/>
        <v/>
      </c>
      <c r="J395" s="3" t="str">
        <f>IFERROR(VLOOKUP(F395, LEVEL_HELPER!$A:$B, 2, 0), "")</f>
        <v/>
      </c>
      <c r="K395" s="3" t="str">
        <f>IFERROR(VLOOKUP(G395, LEVEL_HELPER!$A:$B, 2, 0), "")</f>
        <v/>
      </c>
      <c r="L395" s="157" t="s">
        <v>942</v>
      </c>
      <c r="M395" s="157" t="s">
        <v>923</v>
      </c>
      <c r="N395" s="3">
        <f t="array" aca="1" ref="N395" ca="1">IFERROR(
  INDEX($J$2:$J$543,
    MATCH(A395&amp;TEXT(I395,"yyyy-mm-dd"),
          $A$2:$A$543&amp;TEXT($H$2:$H$543,"yyyy-mm-dd"),
          0)),
"")</f>
        <v>1</v>
      </c>
      <c r="O395" s="147" t="str">
        <f t="shared" ca="1" si="267"/>
        <v/>
      </c>
      <c r="P395" s="147">
        <f t="shared" ref="P395:Q395" ca="1" si="411">IF(N395="",0,IF(N395&lt;=2,1,IF(N395&lt;=4,2,IF(N395&lt;=5.5,3,4))))</f>
        <v>1</v>
      </c>
      <c r="Q395" s="147">
        <f t="shared" ca="1" si="411"/>
        <v>0</v>
      </c>
      <c r="R395" s="147" t="str">
        <f t="shared" ca="1" si="269"/>
        <v>Regressed</v>
      </c>
      <c r="S395" s="147">
        <f t="shared" si="270"/>
        <v>0</v>
      </c>
      <c r="T395" s="147"/>
      <c r="U395" s="147"/>
      <c r="V395" s="147"/>
      <c r="W395" s="147"/>
      <c r="X395" s="147"/>
      <c r="Y395" s="147"/>
      <c r="Z395" s="147"/>
      <c r="AA395" s="147"/>
      <c r="AB395" s="147"/>
      <c r="AC395" s="147"/>
      <c r="AD395" s="147"/>
      <c r="AE395" s="147"/>
      <c r="AF395" s="147"/>
      <c r="AG395" s="147"/>
      <c r="AH395" s="147"/>
      <c r="AI395" s="147"/>
      <c r="AJ395" s="147"/>
      <c r="AK395" s="147"/>
      <c r="AL395" s="147"/>
      <c r="AM395" s="151"/>
      <c r="AN395" s="147"/>
      <c r="AO395" s="147"/>
      <c r="AP395" s="147"/>
      <c r="AQ395" s="147"/>
      <c r="AR395" s="147"/>
      <c r="AS395" s="147"/>
      <c r="AT395" s="147"/>
      <c r="AU395" s="147"/>
      <c r="AV395" s="147"/>
      <c r="AW395" s="147"/>
      <c r="AX395" s="147"/>
      <c r="AY395" s="147"/>
      <c r="AZ395" s="147"/>
      <c r="BA395" s="147"/>
      <c r="BB395" s="147"/>
      <c r="BC395" s="147"/>
      <c r="BD395" s="147"/>
      <c r="BE395" s="147"/>
      <c r="BF395" s="147"/>
      <c r="BG395" s="147"/>
      <c r="BH395" s="147"/>
      <c r="BI395" s="147"/>
      <c r="BJ395" s="147"/>
      <c r="BK395" s="147"/>
      <c r="BL395" s="147"/>
      <c r="BM395" s="147"/>
      <c r="BN395" s="147"/>
      <c r="BO395" s="147"/>
      <c r="BP395" s="147"/>
      <c r="BQ395" s="147"/>
      <c r="BR395" s="147"/>
      <c r="BS395" s="147"/>
      <c r="BT395" s="147"/>
      <c r="BU395" s="147"/>
      <c r="BV395" s="147"/>
      <c r="BW395" s="147"/>
      <c r="BX395" s="147"/>
      <c r="BY395" s="147"/>
      <c r="BZ395" s="147"/>
      <c r="CA395" s="147"/>
      <c r="CB395" s="147"/>
      <c r="CC395" s="147"/>
      <c r="CD395" s="147"/>
      <c r="CE395" s="147"/>
      <c r="CF395" s="147"/>
      <c r="CG395" s="147"/>
      <c r="CH395" s="147"/>
      <c r="CI395" s="147"/>
      <c r="CJ395" s="147"/>
      <c r="CK395" s="147"/>
    </row>
    <row r="396" spans="1:89">
      <c r="A396" s="159" t="s">
        <v>621</v>
      </c>
      <c r="B396" s="3" t="s">
        <v>622</v>
      </c>
      <c r="C396" s="160" t="s">
        <v>85</v>
      </c>
      <c r="D396" s="160" t="s">
        <v>878</v>
      </c>
      <c r="E396" s="3" t="s">
        <v>24</v>
      </c>
      <c r="F396" s="3"/>
      <c r="G396" s="3"/>
      <c r="H396" s="156" t="str">
        <f ca="1">IFERROR(
  _xludf.MINIFS(ATTENDANCE_LOG!$F:$F,
         ATTENDANCE_LOG!$A:$A, C396,
         ATTENDANCE_LOG!$B:$B, E396),
"")</f>
        <v/>
      </c>
      <c r="I396" s="156" t="str">
        <f t="shared" ca="1" si="266"/>
        <v/>
      </c>
      <c r="J396" s="3" t="str">
        <f>IFERROR(VLOOKUP(F396, LEVEL_HELPER!$A:$B, 2, 0), "")</f>
        <v/>
      </c>
      <c r="K396" s="3" t="str">
        <f>IFERROR(VLOOKUP(G396, LEVEL_HELPER!$A:$B, 2, 0), "")</f>
        <v/>
      </c>
      <c r="L396" s="157" t="s">
        <v>942</v>
      </c>
      <c r="M396" s="157" t="s">
        <v>923</v>
      </c>
      <c r="N396" s="3">
        <f t="array" aca="1" ref="N396" ca="1">IFERROR(
  INDEX($J$2:$J$543,
    MATCH(A396&amp;TEXT(I396,"yyyy-mm-dd"),
          $A$2:$A$543&amp;TEXT($H$2:$H$543,"yyyy-mm-dd"),
          0)),
"")</f>
        <v>1</v>
      </c>
      <c r="O396" s="147" t="str">
        <f t="shared" ca="1" si="267"/>
        <v/>
      </c>
      <c r="P396" s="147">
        <f t="shared" ref="P396:Q396" ca="1" si="412">IF(N396="",0,IF(N396&lt;=2,1,IF(N396&lt;=4,2,IF(N396&lt;=5.5,3,4))))</f>
        <v>1</v>
      </c>
      <c r="Q396" s="147">
        <f t="shared" ca="1" si="412"/>
        <v>0</v>
      </c>
      <c r="R396" s="147" t="str">
        <f t="shared" ca="1" si="269"/>
        <v>Regressed</v>
      </c>
      <c r="S396" s="147">
        <f t="shared" si="270"/>
        <v>0</v>
      </c>
      <c r="T396" s="147"/>
      <c r="U396" s="147"/>
      <c r="V396" s="147"/>
      <c r="W396" s="147"/>
      <c r="X396" s="147"/>
      <c r="Y396" s="147"/>
      <c r="Z396" s="147"/>
      <c r="AA396" s="147"/>
      <c r="AB396" s="147"/>
      <c r="AC396" s="147"/>
      <c r="AD396" s="147"/>
      <c r="AE396" s="147"/>
      <c r="AF396" s="147"/>
      <c r="AG396" s="147"/>
      <c r="AH396" s="147"/>
      <c r="AI396" s="147"/>
      <c r="AJ396" s="147"/>
      <c r="AK396" s="147"/>
      <c r="AL396" s="147"/>
      <c r="AM396" s="151"/>
      <c r="AN396" s="147"/>
      <c r="AO396" s="147"/>
      <c r="AP396" s="147"/>
      <c r="AQ396" s="147"/>
      <c r="AR396" s="147"/>
      <c r="AS396" s="147"/>
      <c r="AT396" s="147"/>
      <c r="AU396" s="147"/>
      <c r="AV396" s="147"/>
      <c r="AW396" s="147"/>
      <c r="AX396" s="147"/>
      <c r="AY396" s="147"/>
      <c r="AZ396" s="147"/>
      <c r="BA396" s="147"/>
      <c r="BB396" s="147"/>
      <c r="BC396" s="147"/>
      <c r="BD396" s="147"/>
      <c r="BE396" s="147"/>
      <c r="BF396" s="147"/>
      <c r="BG396" s="147"/>
      <c r="BH396" s="147"/>
      <c r="BI396" s="147"/>
      <c r="BJ396" s="147"/>
      <c r="BK396" s="147"/>
      <c r="BL396" s="147"/>
      <c r="BM396" s="147"/>
      <c r="BN396" s="147"/>
      <c r="BO396" s="147"/>
      <c r="BP396" s="147"/>
      <c r="BQ396" s="147"/>
      <c r="BR396" s="147"/>
      <c r="BS396" s="147"/>
      <c r="BT396" s="147"/>
      <c r="BU396" s="147"/>
      <c r="BV396" s="147"/>
      <c r="BW396" s="147"/>
      <c r="BX396" s="147"/>
      <c r="BY396" s="147"/>
      <c r="BZ396" s="147"/>
      <c r="CA396" s="147"/>
      <c r="CB396" s="147"/>
      <c r="CC396" s="147"/>
      <c r="CD396" s="147"/>
      <c r="CE396" s="147"/>
      <c r="CF396" s="147"/>
      <c r="CG396" s="147"/>
      <c r="CH396" s="147"/>
      <c r="CI396" s="147"/>
      <c r="CJ396" s="147"/>
      <c r="CK396" s="147"/>
    </row>
    <row r="397" spans="1:89">
      <c r="A397" s="153" t="s">
        <v>397</v>
      </c>
      <c r="B397" s="154" t="s">
        <v>398</v>
      </c>
      <c r="C397" s="155" t="s">
        <v>85</v>
      </c>
      <c r="D397" s="155" t="s">
        <v>878</v>
      </c>
      <c r="E397" s="154" t="s">
        <v>21</v>
      </c>
      <c r="F397" s="3" t="s">
        <v>926</v>
      </c>
      <c r="G397" s="3" t="s">
        <v>934</v>
      </c>
      <c r="H397" s="156" t="str">
        <f ca="1">IFERROR(
  _xludf.MINIFS(ATTENDANCE_LOG!$F:$F,
         ATTENDANCE_LOG!$A:$A, C397,
         ATTENDANCE_LOG!$B:$B, E397),
"")</f>
        <v/>
      </c>
      <c r="I397" s="156" t="str">
        <f t="shared" ca="1" si="266"/>
        <v/>
      </c>
      <c r="J397" s="3">
        <f>IFERROR(VLOOKUP(F397, LEVEL_HELPER!$A:$B, 2, 0), "")</f>
        <v>1</v>
      </c>
      <c r="K397" s="3">
        <f>IFERROR(VLOOKUP(G397, LEVEL_HELPER!$A:$B, 2, 0), "")</f>
        <v>3.5</v>
      </c>
      <c r="L397" s="157" t="s">
        <v>956</v>
      </c>
      <c r="M397" s="157" t="s">
        <v>923</v>
      </c>
      <c r="N397" s="3" t="str">
        <f t="array" aca="1" ref="N397" ca="1">IFERROR(
  INDEX($J$2:$J$543,
    MATCH(A397&amp;TEXT(I397,"yyyy-mm-dd"),
          $A$2:$A$543&amp;TEXT($H$2:$H$543,"yyyy-mm-dd"),
          0)),
"")</f>
        <v/>
      </c>
      <c r="O397" s="147" t="str">
        <f t="shared" ca="1" si="267"/>
        <v/>
      </c>
      <c r="P397" s="147">
        <f t="shared" ref="P397:Q397" ca="1" si="413">IF(N397="",0,IF(N397&lt;=2,1,IF(N397&lt;=4,2,IF(N397&lt;=5.5,3,4))))</f>
        <v>0</v>
      </c>
      <c r="Q397" s="147">
        <f t="shared" ca="1" si="413"/>
        <v>0</v>
      </c>
      <c r="R397" s="147" t="str">
        <f t="shared" ca="1" si="269"/>
        <v>No Data</v>
      </c>
      <c r="S397" s="147">
        <f t="shared" si="270"/>
        <v>0</v>
      </c>
      <c r="T397" s="147"/>
      <c r="U397" s="147"/>
      <c r="V397" s="147"/>
      <c r="W397" s="147"/>
      <c r="X397" s="147"/>
      <c r="Y397" s="147"/>
      <c r="Z397" s="147"/>
      <c r="AA397" s="147"/>
      <c r="AB397" s="147"/>
      <c r="AC397" s="147"/>
      <c r="AD397" s="147"/>
      <c r="AE397" s="147"/>
      <c r="AF397" s="147"/>
      <c r="AG397" s="147"/>
      <c r="AH397" s="147"/>
      <c r="AI397" s="147"/>
      <c r="AJ397" s="147"/>
      <c r="AK397" s="147"/>
      <c r="AL397" s="147"/>
      <c r="AM397" s="151"/>
      <c r="AN397" s="147"/>
      <c r="AO397" s="147"/>
      <c r="AP397" s="147"/>
      <c r="AQ397" s="147"/>
      <c r="AR397" s="147"/>
      <c r="AS397" s="147"/>
      <c r="AT397" s="147"/>
      <c r="AU397" s="147"/>
      <c r="AV397" s="147"/>
      <c r="AW397" s="147"/>
      <c r="AX397" s="147"/>
      <c r="AY397" s="147"/>
      <c r="AZ397" s="147"/>
      <c r="BA397" s="147"/>
      <c r="BB397" s="147"/>
      <c r="BC397" s="147"/>
      <c r="BD397" s="147"/>
      <c r="BE397" s="147"/>
      <c r="BF397" s="147"/>
      <c r="BG397" s="147"/>
      <c r="BH397" s="147"/>
      <c r="BI397" s="147"/>
      <c r="BJ397" s="147"/>
      <c r="BK397" s="147"/>
      <c r="BL397" s="147"/>
      <c r="BM397" s="147"/>
      <c r="BN397" s="147"/>
      <c r="BO397" s="147"/>
      <c r="BP397" s="147"/>
      <c r="BQ397" s="147"/>
      <c r="BR397" s="147"/>
      <c r="BS397" s="147"/>
      <c r="BT397" s="147"/>
      <c r="BU397" s="147"/>
      <c r="BV397" s="147"/>
      <c r="BW397" s="147"/>
      <c r="BX397" s="147"/>
      <c r="BY397" s="147"/>
      <c r="BZ397" s="147"/>
      <c r="CA397" s="147"/>
      <c r="CB397" s="147"/>
      <c r="CC397" s="147"/>
      <c r="CD397" s="147"/>
      <c r="CE397" s="147"/>
      <c r="CF397" s="147"/>
      <c r="CG397" s="147"/>
      <c r="CH397" s="147"/>
      <c r="CI397" s="147"/>
      <c r="CJ397" s="147"/>
      <c r="CK397" s="147"/>
    </row>
    <row r="398" spans="1:89">
      <c r="A398" s="159" t="s">
        <v>136</v>
      </c>
      <c r="B398" s="3" t="s">
        <v>137</v>
      </c>
      <c r="C398" s="160" t="s">
        <v>85</v>
      </c>
      <c r="D398" s="160" t="s">
        <v>878</v>
      </c>
      <c r="E398" s="3" t="s">
        <v>21</v>
      </c>
      <c r="F398" s="3" t="s">
        <v>957</v>
      </c>
      <c r="G398" s="3" t="s">
        <v>934</v>
      </c>
      <c r="H398" s="156" t="str">
        <f ca="1">IFERROR(
  _xludf.MINIFS(ATTENDANCE_LOG!$F:$F,
         ATTENDANCE_LOG!$A:$A, C398,
         ATTENDANCE_LOG!$B:$B, E398),
"")</f>
        <v/>
      </c>
      <c r="I398" s="156" t="str">
        <f t="shared" ca="1" si="266"/>
        <v/>
      </c>
      <c r="J398" s="3">
        <f>IFERROR(VLOOKUP(F398, LEVEL_HELPER!$A:$B, 2, 0), "")</f>
        <v>0</v>
      </c>
      <c r="K398" s="3">
        <f>IFERROR(VLOOKUP(G398, LEVEL_HELPER!$A:$B, 2, 0), "")</f>
        <v>3.5</v>
      </c>
      <c r="L398" s="157" t="s">
        <v>942</v>
      </c>
      <c r="M398" s="157" t="s">
        <v>923</v>
      </c>
      <c r="N398" s="3" t="str">
        <f t="array" aca="1" ref="N398" ca="1">IFERROR(
  INDEX($J$2:$J$543,
    MATCH(A398&amp;TEXT(I398,"yyyy-mm-dd"),
          $A$2:$A$543&amp;TEXT($H$2:$H$543,"yyyy-mm-dd"),
          0)),
"")</f>
        <v/>
      </c>
      <c r="O398" s="147" t="str">
        <f t="shared" ca="1" si="267"/>
        <v/>
      </c>
      <c r="P398" s="147">
        <f t="shared" ref="P398:Q398" ca="1" si="414">IF(N398="",0,IF(N398&lt;=2,1,IF(N398&lt;=4,2,IF(N398&lt;=5.5,3,4))))</f>
        <v>0</v>
      </c>
      <c r="Q398" s="147">
        <f t="shared" ca="1" si="414"/>
        <v>0</v>
      </c>
      <c r="R398" s="147" t="str">
        <f t="shared" ca="1" si="269"/>
        <v>No Data</v>
      </c>
      <c r="S398" s="147">
        <f t="shared" si="270"/>
        <v>0</v>
      </c>
      <c r="T398" s="147"/>
      <c r="U398" s="147"/>
      <c r="V398" s="147"/>
      <c r="W398" s="147"/>
      <c r="X398" s="147"/>
      <c r="Y398" s="147"/>
      <c r="Z398" s="147"/>
      <c r="AA398" s="147"/>
      <c r="AB398" s="147"/>
      <c r="AC398" s="147"/>
      <c r="AD398" s="147"/>
      <c r="AE398" s="147"/>
      <c r="AF398" s="147"/>
      <c r="AG398" s="147"/>
      <c r="AH398" s="147"/>
      <c r="AI398" s="147"/>
      <c r="AJ398" s="147"/>
      <c r="AK398" s="147"/>
      <c r="AL398" s="147"/>
      <c r="AM398" s="151"/>
      <c r="AN398" s="147"/>
      <c r="AO398" s="147"/>
      <c r="AP398" s="147"/>
      <c r="AQ398" s="147"/>
      <c r="AR398" s="147"/>
      <c r="AS398" s="147"/>
      <c r="AT398" s="147"/>
      <c r="AU398" s="147"/>
      <c r="AV398" s="147"/>
      <c r="AW398" s="147"/>
      <c r="AX398" s="147"/>
      <c r="AY398" s="147"/>
      <c r="AZ398" s="147"/>
      <c r="BA398" s="147"/>
      <c r="BB398" s="147"/>
      <c r="BC398" s="147"/>
      <c r="BD398" s="147"/>
      <c r="BE398" s="147"/>
      <c r="BF398" s="147"/>
      <c r="BG398" s="147"/>
      <c r="BH398" s="147"/>
      <c r="BI398" s="147"/>
      <c r="BJ398" s="147"/>
      <c r="BK398" s="147"/>
      <c r="BL398" s="147"/>
      <c r="BM398" s="147"/>
      <c r="BN398" s="147"/>
      <c r="BO398" s="147"/>
      <c r="BP398" s="147"/>
      <c r="BQ398" s="147"/>
      <c r="BR398" s="147"/>
      <c r="BS398" s="147"/>
      <c r="BT398" s="147"/>
      <c r="BU398" s="147"/>
      <c r="BV398" s="147"/>
      <c r="BW398" s="147"/>
      <c r="BX398" s="147"/>
      <c r="BY398" s="147"/>
      <c r="BZ398" s="147"/>
      <c r="CA398" s="147"/>
      <c r="CB398" s="147"/>
      <c r="CC398" s="147"/>
      <c r="CD398" s="147"/>
      <c r="CE398" s="147"/>
      <c r="CF398" s="147"/>
      <c r="CG398" s="147"/>
      <c r="CH398" s="147"/>
      <c r="CI398" s="147"/>
      <c r="CJ398" s="147"/>
      <c r="CK398" s="147"/>
    </row>
    <row r="399" spans="1:89">
      <c r="A399" s="159" t="s">
        <v>165</v>
      </c>
      <c r="B399" s="3" t="s">
        <v>166</v>
      </c>
      <c r="C399" s="160" t="s">
        <v>85</v>
      </c>
      <c r="D399" s="160" t="s">
        <v>878</v>
      </c>
      <c r="E399" s="3" t="s">
        <v>21</v>
      </c>
      <c r="F399" s="3" t="s">
        <v>926</v>
      </c>
      <c r="G399" s="3" t="s">
        <v>917</v>
      </c>
      <c r="H399" s="156" t="str">
        <f ca="1">IFERROR(
  _xludf.MINIFS(ATTENDANCE_LOG!$F:$F,
         ATTENDANCE_LOG!$A:$A, C399,
         ATTENDANCE_LOG!$B:$B, E399),
"")</f>
        <v/>
      </c>
      <c r="I399" s="156" t="str">
        <f t="shared" ca="1" si="266"/>
        <v/>
      </c>
      <c r="J399" s="3">
        <f>IFERROR(VLOOKUP(F399, LEVEL_HELPER!$A:$B, 2, 0), "")</f>
        <v>1</v>
      </c>
      <c r="K399" s="3">
        <f>IFERROR(VLOOKUP(G399, LEVEL_HELPER!$A:$B, 2, 0), "")</f>
        <v>3</v>
      </c>
      <c r="L399" s="157" t="s">
        <v>942</v>
      </c>
      <c r="M399" s="157" t="s">
        <v>923</v>
      </c>
      <c r="N399" s="3">
        <f t="array" aca="1" ref="N399" ca="1">IFERROR(
  INDEX($J$2:$J$543,
    MATCH(A399&amp;TEXT(I399,"yyyy-mm-dd"),
          $A$2:$A$543&amp;TEXT($H$2:$H$543,"yyyy-mm-dd"),
          0)),
"")</f>
        <v>1</v>
      </c>
      <c r="O399" s="147" t="str">
        <f t="shared" ca="1" si="267"/>
        <v/>
      </c>
      <c r="P399" s="147">
        <f t="shared" ref="P399:Q399" ca="1" si="415">IF(N399="",0,IF(N399&lt;=2,1,IF(N399&lt;=4,2,IF(N399&lt;=5.5,3,4))))</f>
        <v>1</v>
      </c>
      <c r="Q399" s="147">
        <f t="shared" ca="1" si="415"/>
        <v>0</v>
      </c>
      <c r="R399" s="147" t="str">
        <f t="shared" ca="1" si="269"/>
        <v>Regressed</v>
      </c>
      <c r="S399" s="147">
        <f t="shared" si="270"/>
        <v>1</v>
      </c>
      <c r="T399" s="147"/>
      <c r="U399" s="147"/>
      <c r="V399" s="147"/>
      <c r="W399" s="147"/>
      <c r="X399" s="147"/>
      <c r="Y399" s="147"/>
      <c r="Z399" s="147"/>
      <c r="AA399" s="147"/>
      <c r="AB399" s="147"/>
      <c r="AC399" s="147"/>
      <c r="AD399" s="147"/>
      <c r="AE399" s="147"/>
      <c r="AF399" s="147"/>
      <c r="AG399" s="147"/>
      <c r="AH399" s="147"/>
      <c r="AI399" s="147"/>
      <c r="AJ399" s="147"/>
      <c r="AK399" s="147"/>
      <c r="AL399" s="147"/>
      <c r="AM399" s="151"/>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c r="BI399" s="147"/>
      <c r="BJ399" s="147"/>
      <c r="BK399" s="147"/>
      <c r="BL399" s="147"/>
      <c r="BM399" s="147"/>
      <c r="BN399" s="147"/>
      <c r="BO399" s="147"/>
      <c r="BP399" s="147"/>
      <c r="BQ399" s="147"/>
      <c r="BR399" s="147"/>
      <c r="BS399" s="147"/>
      <c r="BT399" s="147"/>
      <c r="BU399" s="147"/>
      <c r="BV399" s="147"/>
      <c r="BW399" s="147"/>
      <c r="BX399" s="147"/>
      <c r="BY399" s="147"/>
      <c r="BZ399" s="147"/>
      <c r="CA399" s="147"/>
      <c r="CB399" s="147"/>
      <c r="CC399" s="147"/>
      <c r="CD399" s="147"/>
      <c r="CE399" s="147"/>
      <c r="CF399" s="147"/>
      <c r="CG399" s="147"/>
      <c r="CH399" s="147"/>
      <c r="CI399" s="147"/>
      <c r="CJ399" s="147"/>
      <c r="CK399" s="147"/>
    </row>
    <row r="400" spans="1:89">
      <c r="A400" s="159" t="s">
        <v>275</v>
      </c>
      <c r="B400" s="3" t="s">
        <v>276</v>
      </c>
      <c r="C400" s="160" t="s">
        <v>85</v>
      </c>
      <c r="D400" s="160" t="s">
        <v>878</v>
      </c>
      <c r="E400" s="3" t="s">
        <v>21</v>
      </c>
      <c r="F400" s="3" t="s">
        <v>926</v>
      </c>
      <c r="G400" s="3" t="s">
        <v>917</v>
      </c>
      <c r="H400" s="156" t="str">
        <f ca="1">IFERROR(
  _xludf.MINIFS(ATTENDANCE_LOG!$F:$F,
         ATTENDANCE_LOG!$A:$A, C400,
         ATTENDANCE_LOG!$B:$B, E400),
"")</f>
        <v/>
      </c>
      <c r="I400" s="156" t="str">
        <f t="shared" ca="1" si="266"/>
        <v/>
      </c>
      <c r="J400" s="3">
        <f>IFERROR(VLOOKUP(F400, LEVEL_HELPER!$A:$B, 2, 0), "")</f>
        <v>1</v>
      </c>
      <c r="K400" s="3">
        <f>IFERROR(VLOOKUP(G400, LEVEL_HELPER!$A:$B, 2, 0), "")</f>
        <v>3</v>
      </c>
      <c r="L400" s="157" t="s">
        <v>942</v>
      </c>
      <c r="M400" s="157" t="s">
        <v>923</v>
      </c>
      <c r="N400" s="3">
        <f t="array" aca="1" ref="N400" ca="1">IFERROR(
  INDEX($J$2:$J$543,
    MATCH(A400&amp;TEXT(I400,"yyyy-mm-dd"),
          $A$2:$A$543&amp;TEXT($H$2:$H$543,"yyyy-mm-dd"),
          0)),
"")</f>
        <v>1</v>
      </c>
      <c r="O400" s="147" t="str">
        <f t="shared" ca="1" si="267"/>
        <v/>
      </c>
      <c r="P400" s="147">
        <f t="shared" ref="P400:Q400" ca="1" si="416">IF(N400="",0,IF(N400&lt;=2,1,IF(N400&lt;=4,2,IF(N400&lt;=5.5,3,4))))</f>
        <v>1</v>
      </c>
      <c r="Q400" s="147">
        <f t="shared" ca="1" si="416"/>
        <v>0</v>
      </c>
      <c r="R400" s="147" t="str">
        <f t="shared" ca="1" si="269"/>
        <v>Regressed</v>
      </c>
      <c r="S400" s="147">
        <f t="shared" si="270"/>
        <v>1</v>
      </c>
      <c r="T400" s="147"/>
      <c r="U400" s="147"/>
      <c r="V400" s="147"/>
      <c r="W400" s="147"/>
      <c r="X400" s="147"/>
      <c r="Y400" s="147"/>
      <c r="Z400" s="147"/>
      <c r="AA400" s="147"/>
      <c r="AB400" s="147"/>
      <c r="AC400" s="147"/>
      <c r="AD400" s="147"/>
      <c r="AE400" s="147"/>
      <c r="AF400" s="147"/>
      <c r="AG400" s="147"/>
      <c r="AH400" s="147"/>
      <c r="AI400" s="147"/>
      <c r="AJ400" s="147"/>
      <c r="AK400" s="147"/>
      <c r="AL400" s="147"/>
      <c r="AM400" s="151"/>
      <c r="AN400" s="147"/>
      <c r="AO400" s="147"/>
      <c r="AP400" s="147"/>
      <c r="AQ400" s="147"/>
      <c r="AR400" s="147"/>
      <c r="AS400" s="147"/>
      <c r="AT400" s="147"/>
      <c r="AU400" s="147"/>
      <c r="AV400" s="147"/>
      <c r="AW400" s="147"/>
      <c r="AX400" s="147"/>
      <c r="AY400" s="147"/>
      <c r="AZ400" s="147"/>
      <c r="BA400" s="147"/>
      <c r="BB400" s="147"/>
      <c r="BC400" s="147"/>
      <c r="BD400" s="147"/>
      <c r="BE400" s="147"/>
      <c r="BF400" s="147"/>
      <c r="BG400" s="147"/>
      <c r="BH400" s="147"/>
      <c r="BI400" s="147"/>
      <c r="BJ400" s="147"/>
      <c r="BK400" s="147"/>
      <c r="BL400" s="147"/>
      <c r="BM400" s="147"/>
      <c r="BN400" s="147"/>
      <c r="BO400" s="147"/>
      <c r="BP400" s="147"/>
      <c r="BQ400" s="147"/>
      <c r="BR400" s="147"/>
      <c r="BS400" s="147"/>
      <c r="BT400" s="147"/>
      <c r="BU400" s="147"/>
      <c r="BV400" s="147"/>
      <c r="BW400" s="147"/>
      <c r="BX400" s="147"/>
      <c r="BY400" s="147"/>
      <c r="BZ400" s="147"/>
      <c r="CA400" s="147"/>
      <c r="CB400" s="147"/>
      <c r="CC400" s="147"/>
      <c r="CD400" s="147"/>
      <c r="CE400" s="147"/>
      <c r="CF400" s="147"/>
      <c r="CG400" s="147"/>
      <c r="CH400" s="147"/>
      <c r="CI400" s="147"/>
      <c r="CJ400" s="147"/>
      <c r="CK400" s="147"/>
    </row>
    <row r="401" spans="1:89">
      <c r="A401" s="159" t="s">
        <v>681</v>
      </c>
      <c r="B401" s="3" t="s">
        <v>682</v>
      </c>
      <c r="C401" s="160" t="s">
        <v>85</v>
      </c>
      <c r="D401" s="160" t="s">
        <v>878</v>
      </c>
      <c r="E401" s="3" t="s">
        <v>21</v>
      </c>
      <c r="F401" s="3" t="s">
        <v>926</v>
      </c>
      <c r="G401" s="3" t="s">
        <v>926</v>
      </c>
      <c r="H401" s="156" t="str">
        <f ca="1">IFERROR(
  _xludf.MINIFS(ATTENDANCE_LOG!$F:$F,
         ATTENDANCE_LOG!$A:$A, C401,
         ATTENDANCE_LOG!$B:$B, E401),
"")</f>
        <v/>
      </c>
      <c r="I401" s="156" t="str">
        <f t="shared" ca="1" si="266"/>
        <v/>
      </c>
      <c r="J401" s="3">
        <f>IFERROR(VLOOKUP(F401, LEVEL_HELPER!$A:$B, 2, 0), "")</f>
        <v>1</v>
      </c>
      <c r="K401" s="3">
        <f>IFERROR(VLOOKUP(G401, LEVEL_HELPER!$A:$B, 2, 0), "")</f>
        <v>1</v>
      </c>
      <c r="L401" s="157" t="s">
        <v>942</v>
      </c>
      <c r="M401" s="157" t="s">
        <v>923</v>
      </c>
      <c r="N401" s="3">
        <f t="array" aca="1" ref="N401" ca="1">IFERROR(
  INDEX($J$2:$J$543,
    MATCH(A401&amp;TEXT(I401,"yyyy-mm-dd"),
          $A$2:$A$543&amp;TEXT($H$2:$H$543,"yyyy-mm-dd"),
          0)),
"")</f>
        <v>1</v>
      </c>
      <c r="O401" s="147" t="str">
        <f t="shared" ca="1" si="267"/>
        <v/>
      </c>
      <c r="P401" s="147">
        <f t="shared" ref="P401:Q401" ca="1" si="417">IF(N401="",0,IF(N401&lt;=2,1,IF(N401&lt;=4,2,IF(N401&lt;=5.5,3,4))))</f>
        <v>1</v>
      </c>
      <c r="Q401" s="147">
        <f t="shared" ca="1" si="417"/>
        <v>0</v>
      </c>
      <c r="R401" s="147" t="str">
        <f t="shared" ca="1" si="269"/>
        <v>Regressed</v>
      </c>
      <c r="S401" s="147">
        <f t="shared" si="270"/>
        <v>1</v>
      </c>
      <c r="T401" s="147"/>
      <c r="U401" s="147"/>
      <c r="V401" s="147"/>
      <c r="W401" s="147"/>
      <c r="X401" s="147"/>
      <c r="Y401" s="147"/>
      <c r="Z401" s="147"/>
      <c r="AA401" s="147"/>
      <c r="AB401" s="147"/>
      <c r="AC401" s="147"/>
      <c r="AD401" s="147"/>
      <c r="AE401" s="147"/>
      <c r="AF401" s="147"/>
      <c r="AG401" s="147"/>
      <c r="AH401" s="147"/>
      <c r="AI401" s="147"/>
      <c r="AJ401" s="147"/>
      <c r="AK401" s="147"/>
      <c r="AL401" s="147"/>
      <c r="AM401" s="151"/>
      <c r="AN401" s="147"/>
      <c r="AO401" s="147"/>
      <c r="AP401" s="147"/>
      <c r="AQ401" s="147"/>
      <c r="AR401" s="147"/>
      <c r="AS401" s="147"/>
      <c r="AT401" s="147"/>
      <c r="AU401" s="147"/>
      <c r="AV401" s="147"/>
      <c r="AW401" s="147"/>
      <c r="AX401" s="147"/>
      <c r="AY401" s="147"/>
      <c r="AZ401" s="147"/>
      <c r="BA401" s="147"/>
      <c r="BB401" s="147"/>
      <c r="BC401" s="147"/>
      <c r="BD401" s="147"/>
      <c r="BE401" s="147"/>
      <c r="BF401" s="147"/>
      <c r="BG401" s="147"/>
      <c r="BH401" s="147"/>
      <c r="BI401" s="147"/>
      <c r="BJ401" s="147"/>
      <c r="BK401" s="147"/>
      <c r="BL401" s="147"/>
      <c r="BM401" s="147"/>
      <c r="BN401" s="147"/>
      <c r="BO401" s="147"/>
      <c r="BP401" s="147"/>
      <c r="BQ401" s="147"/>
      <c r="BR401" s="147"/>
      <c r="BS401" s="147"/>
      <c r="BT401" s="147"/>
      <c r="BU401" s="147"/>
      <c r="BV401" s="147"/>
      <c r="BW401" s="147"/>
      <c r="BX401" s="147"/>
      <c r="BY401" s="147"/>
      <c r="BZ401" s="147"/>
      <c r="CA401" s="147"/>
      <c r="CB401" s="147"/>
      <c r="CC401" s="147"/>
      <c r="CD401" s="147"/>
      <c r="CE401" s="147"/>
      <c r="CF401" s="147"/>
      <c r="CG401" s="147"/>
      <c r="CH401" s="147"/>
      <c r="CI401" s="147"/>
      <c r="CJ401" s="147"/>
      <c r="CK401" s="147"/>
    </row>
    <row r="402" spans="1:89">
      <c r="A402" s="159" t="s">
        <v>719</v>
      </c>
      <c r="B402" s="3" t="s">
        <v>720</v>
      </c>
      <c r="C402" s="160" t="s">
        <v>85</v>
      </c>
      <c r="D402" s="160" t="s">
        <v>878</v>
      </c>
      <c r="E402" s="3" t="s">
        <v>21</v>
      </c>
      <c r="F402" s="3" t="s">
        <v>957</v>
      </c>
      <c r="G402" s="3" t="s">
        <v>934</v>
      </c>
      <c r="H402" s="156" t="str">
        <f ca="1">IFERROR(
  _xludf.MINIFS(ATTENDANCE_LOG!$F:$F,
         ATTENDANCE_LOG!$A:$A, C402,
         ATTENDANCE_LOG!$B:$B, E402),
"")</f>
        <v/>
      </c>
      <c r="I402" s="156" t="str">
        <f t="shared" ca="1" si="266"/>
        <v/>
      </c>
      <c r="J402" s="3">
        <f>IFERROR(VLOOKUP(F402, LEVEL_HELPER!$A:$B, 2, 0), "")</f>
        <v>0</v>
      </c>
      <c r="K402" s="3">
        <f>IFERROR(VLOOKUP(G402, LEVEL_HELPER!$A:$B, 2, 0), "")</f>
        <v>3.5</v>
      </c>
      <c r="L402" s="157" t="s">
        <v>956</v>
      </c>
      <c r="M402" s="157" t="s">
        <v>923</v>
      </c>
      <c r="N402" s="3">
        <f t="array" aca="1" ref="N402" ca="1">IFERROR(
  INDEX($J$2:$J$543,
    MATCH(A402&amp;TEXT(I402,"yyyy-mm-dd"),
          $A$2:$A$543&amp;TEXT($H$2:$H$543,"yyyy-mm-dd"),
          0)),
"")</f>
        <v>0</v>
      </c>
      <c r="O402" s="147" t="str">
        <f t="shared" ca="1" si="267"/>
        <v/>
      </c>
      <c r="P402" s="147">
        <f t="shared" ref="P402:Q402" ca="1" si="418">IF(N402="",0,IF(N402&lt;=2,1,IF(N402&lt;=4,2,IF(N402&lt;=5.5,3,4))))</f>
        <v>1</v>
      </c>
      <c r="Q402" s="147">
        <f t="shared" ca="1" si="418"/>
        <v>0</v>
      </c>
      <c r="R402" s="147" t="str">
        <f t="shared" ca="1" si="269"/>
        <v>Regressed</v>
      </c>
      <c r="S402" s="147">
        <f t="shared" si="270"/>
        <v>1</v>
      </c>
      <c r="T402" s="147"/>
      <c r="U402" s="147"/>
      <c r="V402" s="147"/>
      <c r="W402" s="147"/>
      <c r="X402" s="147"/>
      <c r="Y402" s="147"/>
      <c r="Z402" s="147"/>
      <c r="AA402" s="147"/>
      <c r="AB402" s="147"/>
      <c r="AC402" s="147"/>
      <c r="AD402" s="147"/>
      <c r="AE402" s="147"/>
      <c r="AF402" s="147"/>
      <c r="AG402" s="147"/>
      <c r="AH402" s="147"/>
      <c r="AI402" s="147"/>
      <c r="AJ402" s="147"/>
      <c r="AK402" s="147"/>
      <c r="AL402" s="147"/>
      <c r="AM402" s="151"/>
      <c r="AN402" s="147"/>
      <c r="AO402" s="147"/>
      <c r="AP402" s="147"/>
      <c r="AQ402" s="147"/>
      <c r="AR402" s="147"/>
      <c r="AS402" s="147"/>
      <c r="AT402" s="147"/>
      <c r="AU402" s="147"/>
      <c r="AV402" s="147"/>
      <c r="AW402" s="147"/>
      <c r="AX402" s="147"/>
      <c r="AY402" s="147"/>
      <c r="AZ402" s="147"/>
      <c r="BA402" s="147"/>
      <c r="BB402" s="147"/>
      <c r="BC402" s="147"/>
      <c r="BD402" s="147"/>
      <c r="BE402" s="147"/>
      <c r="BF402" s="147"/>
      <c r="BG402" s="147"/>
      <c r="BH402" s="147"/>
      <c r="BI402" s="147"/>
      <c r="BJ402" s="147"/>
      <c r="BK402" s="147"/>
      <c r="BL402" s="147"/>
      <c r="BM402" s="147"/>
      <c r="BN402" s="147"/>
      <c r="BO402" s="147"/>
      <c r="BP402" s="147"/>
      <c r="BQ402" s="147"/>
      <c r="BR402" s="147"/>
      <c r="BS402" s="147"/>
      <c r="BT402" s="147"/>
      <c r="BU402" s="147"/>
      <c r="BV402" s="147"/>
      <c r="BW402" s="147"/>
      <c r="BX402" s="147"/>
      <c r="BY402" s="147"/>
      <c r="BZ402" s="147"/>
      <c r="CA402" s="147"/>
      <c r="CB402" s="147"/>
      <c r="CC402" s="147"/>
      <c r="CD402" s="147"/>
      <c r="CE402" s="147"/>
      <c r="CF402" s="147"/>
      <c r="CG402" s="147"/>
      <c r="CH402" s="147"/>
      <c r="CI402" s="147"/>
      <c r="CJ402" s="147"/>
      <c r="CK402" s="147"/>
    </row>
    <row r="403" spans="1:89">
      <c r="A403" s="153" t="s">
        <v>397</v>
      </c>
      <c r="B403" s="154" t="s">
        <v>398</v>
      </c>
      <c r="C403" s="155" t="s">
        <v>85</v>
      </c>
      <c r="D403" s="155" t="s">
        <v>878</v>
      </c>
      <c r="E403" s="154" t="s">
        <v>22</v>
      </c>
      <c r="F403" s="3" t="s">
        <v>934</v>
      </c>
      <c r="G403" s="3" t="s">
        <v>940</v>
      </c>
      <c r="H403" s="156" t="str">
        <f ca="1">IFERROR(
  _xludf.MINIFS(ATTENDANCE_LOG!$F:$F,
         ATTENDANCE_LOG!$A:$A, C403,
         ATTENDANCE_LOG!$B:$B, E403),
"")</f>
        <v/>
      </c>
      <c r="I403" s="156" t="str">
        <f t="shared" ca="1" si="266"/>
        <v/>
      </c>
      <c r="J403" s="3">
        <f>IFERROR(VLOOKUP(F403, LEVEL_HELPER!$A:$B, 2, 0), "")</f>
        <v>3.5</v>
      </c>
      <c r="K403" s="3">
        <f>IFERROR(VLOOKUP(G403, LEVEL_HELPER!$A:$B, 2, 0), "")</f>
        <v>5</v>
      </c>
      <c r="L403" s="157" t="s">
        <v>956</v>
      </c>
      <c r="M403" s="157" t="s">
        <v>923</v>
      </c>
      <c r="N403" s="3" t="str">
        <f t="array" aca="1" ref="N403" ca="1">IFERROR(
  INDEX($J$2:$J$543,
    MATCH(A403&amp;TEXT(I403,"yyyy-mm-dd"),
          $A$2:$A$543&amp;TEXT($H$2:$H$543,"yyyy-mm-dd"),
          0)),
"")</f>
        <v/>
      </c>
      <c r="O403" s="147" t="str">
        <f t="shared" ca="1" si="267"/>
        <v/>
      </c>
      <c r="P403" s="147">
        <f t="shared" ref="P403:Q403" ca="1" si="419">IF(N403="",0,IF(N403&lt;=2,1,IF(N403&lt;=4,2,IF(N403&lt;=5.5,3,4))))</f>
        <v>0</v>
      </c>
      <c r="Q403" s="147">
        <f t="shared" ca="1" si="419"/>
        <v>0</v>
      </c>
      <c r="R403" s="147" t="str">
        <f t="shared" ca="1" si="269"/>
        <v>No Data</v>
      </c>
      <c r="S403" s="147">
        <f t="shared" si="270"/>
        <v>0</v>
      </c>
      <c r="T403" s="147"/>
      <c r="U403" s="147"/>
      <c r="V403" s="147"/>
      <c r="W403" s="147"/>
      <c r="X403" s="147"/>
      <c r="Y403" s="147"/>
      <c r="Z403" s="147"/>
      <c r="AA403" s="147"/>
      <c r="AB403" s="147"/>
      <c r="AC403" s="147"/>
      <c r="AD403" s="147"/>
      <c r="AE403" s="147"/>
      <c r="AF403" s="147"/>
      <c r="AG403" s="147"/>
      <c r="AH403" s="147"/>
      <c r="AI403" s="147"/>
      <c r="AJ403" s="147"/>
      <c r="AK403" s="147"/>
      <c r="AL403" s="147"/>
      <c r="AM403" s="151"/>
      <c r="AN403" s="147"/>
      <c r="AO403" s="147"/>
      <c r="AP403" s="147"/>
      <c r="AQ403" s="147"/>
      <c r="AR403" s="147"/>
      <c r="AS403" s="147"/>
      <c r="AT403" s="147"/>
      <c r="AU403" s="147"/>
      <c r="AV403" s="147"/>
      <c r="AW403" s="147"/>
      <c r="AX403" s="147"/>
      <c r="AY403" s="147"/>
      <c r="AZ403" s="147"/>
      <c r="BA403" s="147"/>
      <c r="BB403" s="147"/>
      <c r="BC403" s="147"/>
      <c r="BD403" s="147"/>
      <c r="BE403" s="147"/>
      <c r="BF403" s="147"/>
      <c r="BG403" s="147"/>
      <c r="BH403" s="147"/>
      <c r="BI403" s="147"/>
      <c r="BJ403" s="147"/>
      <c r="BK403" s="147"/>
      <c r="BL403" s="147"/>
      <c r="BM403" s="147"/>
      <c r="BN403" s="147"/>
      <c r="BO403" s="147"/>
      <c r="BP403" s="147"/>
      <c r="BQ403" s="147"/>
      <c r="BR403" s="147"/>
      <c r="BS403" s="147"/>
      <c r="BT403" s="147"/>
      <c r="BU403" s="147"/>
      <c r="BV403" s="147"/>
      <c r="BW403" s="147"/>
      <c r="BX403" s="147"/>
      <c r="BY403" s="147"/>
      <c r="BZ403" s="147"/>
      <c r="CA403" s="147"/>
      <c r="CB403" s="147"/>
      <c r="CC403" s="147"/>
      <c r="CD403" s="147"/>
      <c r="CE403" s="147"/>
      <c r="CF403" s="147"/>
      <c r="CG403" s="147"/>
      <c r="CH403" s="147"/>
      <c r="CI403" s="147"/>
      <c r="CJ403" s="147"/>
      <c r="CK403" s="147"/>
    </row>
    <row r="404" spans="1:89">
      <c r="A404" s="159" t="s">
        <v>136</v>
      </c>
      <c r="B404" s="3" t="s">
        <v>137</v>
      </c>
      <c r="C404" s="160" t="s">
        <v>85</v>
      </c>
      <c r="D404" s="160" t="s">
        <v>878</v>
      </c>
      <c r="E404" s="3" t="s">
        <v>22</v>
      </c>
      <c r="F404" s="3" t="s">
        <v>934</v>
      </c>
      <c r="G404" s="3" t="s">
        <v>940</v>
      </c>
      <c r="H404" s="156" t="str">
        <f ca="1">IFERROR(
  _xludf.MINIFS(ATTENDANCE_LOG!$F:$F,
         ATTENDANCE_LOG!$A:$A, C404,
         ATTENDANCE_LOG!$B:$B, E404),
"")</f>
        <v/>
      </c>
      <c r="I404" s="156" t="str">
        <f t="shared" ca="1" si="266"/>
        <v/>
      </c>
      <c r="J404" s="3">
        <f>IFERROR(VLOOKUP(F404, LEVEL_HELPER!$A:$B, 2, 0), "")</f>
        <v>3.5</v>
      </c>
      <c r="K404" s="3">
        <f>IFERROR(VLOOKUP(G404, LEVEL_HELPER!$A:$B, 2, 0), "")</f>
        <v>5</v>
      </c>
      <c r="L404" s="157" t="s">
        <v>942</v>
      </c>
      <c r="M404" s="157" t="s">
        <v>923</v>
      </c>
      <c r="N404" s="3" t="str">
        <f t="array" aca="1" ref="N404" ca="1">IFERROR(
  INDEX($J$2:$J$543,
    MATCH(A404&amp;TEXT(I404,"yyyy-mm-dd"),
          $A$2:$A$543&amp;TEXT($H$2:$H$543,"yyyy-mm-dd"),
          0)),
"")</f>
        <v/>
      </c>
      <c r="O404" s="147" t="str">
        <f t="shared" ca="1" si="267"/>
        <v/>
      </c>
      <c r="P404" s="147">
        <f t="shared" ref="P404:Q404" ca="1" si="420">IF(N404="",0,IF(N404&lt;=2,1,IF(N404&lt;=4,2,IF(N404&lt;=5.5,3,4))))</f>
        <v>0</v>
      </c>
      <c r="Q404" s="147">
        <f t="shared" ca="1" si="420"/>
        <v>0</v>
      </c>
      <c r="R404" s="147" t="str">
        <f t="shared" ca="1" si="269"/>
        <v>No Data</v>
      </c>
      <c r="S404" s="147">
        <f t="shared" si="270"/>
        <v>0</v>
      </c>
      <c r="T404" s="147"/>
      <c r="U404" s="147"/>
      <c r="V404" s="147"/>
      <c r="W404" s="147"/>
      <c r="X404" s="147"/>
      <c r="Y404" s="147"/>
      <c r="Z404" s="147"/>
      <c r="AA404" s="147"/>
      <c r="AB404" s="147"/>
      <c r="AC404" s="147"/>
      <c r="AD404" s="147"/>
      <c r="AE404" s="147"/>
      <c r="AF404" s="147"/>
      <c r="AG404" s="147"/>
      <c r="AH404" s="147"/>
      <c r="AI404" s="147"/>
      <c r="AJ404" s="147"/>
      <c r="AK404" s="147"/>
      <c r="AL404" s="147"/>
      <c r="AM404" s="151"/>
      <c r="AN404" s="147"/>
      <c r="AO404" s="147"/>
      <c r="AP404" s="147"/>
      <c r="AQ404" s="147"/>
      <c r="AR404" s="147"/>
      <c r="AS404" s="147"/>
      <c r="AT404" s="147"/>
      <c r="AU404" s="147"/>
      <c r="AV404" s="147"/>
      <c r="AW404" s="147"/>
      <c r="AX404" s="147"/>
      <c r="AY404" s="147"/>
      <c r="AZ404" s="147"/>
      <c r="BA404" s="147"/>
      <c r="BB404" s="147"/>
      <c r="BC404" s="147"/>
      <c r="BD404" s="147"/>
      <c r="BE404" s="147"/>
      <c r="BF404" s="147"/>
      <c r="BG404" s="147"/>
      <c r="BH404" s="147"/>
      <c r="BI404" s="147"/>
      <c r="BJ404" s="147"/>
      <c r="BK404" s="147"/>
      <c r="BL404" s="147"/>
      <c r="BM404" s="147"/>
      <c r="BN404" s="147"/>
      <c r="BO404" s="147"/>
      <c r="BP404" s="147"/>
      <c r="BQ404" s="147"/>
      <c r="BR404" s="147"/>
      <c r="BS404" s="147"/>
      <c r="BT404" s="147"/>
      <c r="BU404" s="147"/>
      <c r="BV404" s="147"/>
      <c r="BW404" s="147"/>
      <c r="BX404" s="147"/>
      <c r="BY404" s="147"/>
      <c r="BZ404" s="147"/>
      <c r="CA404" s="147"/>
      <c r="CB404" s="147"/>
      <c r="CC404" s="147"/>
      <c r="CD404" s="147"/>
      <c r="CE404" s="147"/>
      <c r="CF404" s="147"/>
      <c r="CG404" s="147"/>
      <c r="CH404" s="147"/>
      <c r="CI404" s="147"/>
      <c r="CJ404" s="147"/>
      <c r="CK404" s="147"/>
    </row>
    <row r="405" spans="1:89">
      <c r="A405" s="159" t="s">
        <v>165</v>
      </c>
      <c r="B405" s="3" t="s">
        <v>166</v>
      </c>
      <c r="C405" s="160" t="s">
        <v>85</v>
      </c>
      <c r="D405" s="160" t="s">
        <v>878</v>
      </c>
      <c r="E405" s="3" t="s">
        <v>22</v>
      </c>
      <c r="F405" s="3" t="s">
        <v>917</v>
      </c>
      <c r="G405" s="3"/>
      <c r="H405" s="156" t="str">
        <f ca="1">IFERROR(
  _xludf.MINIFS(ATTENDANCE_LOG!$F:$F,
         ATTENDANCE_LOG!$A:$A, C405,
         ATTENDANCE_LOG!$B:$B, E405),
"")</f>
        <v/>
      </c>
      <c r="I405" s="156" t="str">
        <f t="shared" ca="1" si="266"/>
        <v/>
      </c>
      <c r="J405" s="3">
        <f>IFERROR(VLOOKUP(F405, LEVEL_HELPER!$A:$B, 2, 0), "")</f>
        <v>3</v>
      </c>
      <c r="K405" s="3" t="str">
        <f>IFERROR(VLOOKUP(G405, LEVEL_HELPER!$A:$B, 2, 0), "")</f>
        <v/>
      </c>
      <c r="L405" s="157" t="s">
        <v>942</v>
      </c>
      <c r="M405" s="157" t="s">
        <v>923</v>
      </c>
      <c r="N405" s="3">
        <f t="array" aca="1" ref="N405" ca="1">IFERROR(
  INDEX($J$2:$J$543,
    MATCH(A405&amp;TEXT(I405,"yyyy-mm-dd"),
          $A$2:$A$543&amp;TEXT($H$2:$H$543,"yyyy-mm-dd"),
          0)),
"")</f>
        <v>1</v>
      </c>
      <c r="O405" s="147" t="str">
        <f t="shared" ca="1" si="267"/>
        <v/>
      </c>
      <c r="P405" s="147">
        <f t="shared" ref="P405:Q405" ca="1" si="421">IF(N405="",0,IF(N405&lt;=2,1,IF(N405&lt;=4,2,IF(N405&lt;=5.5,3,4))))</f>
        <v>1</v>
      </c>
      <c r="Q405" s="147">
        <f t="shared" ca="1" si="421"/>
        <v>0</v>
      </c>
      <c r="R405" s="147" t="str">
        <f t="shared" ca="1" si="269"/>
        <v>Regressed</v>
      </c>
      <c r="S405" s="147">
        <f t="shared" si="270"/>
        <v>0</v>
      </c>
      <c r="T405" s="147"/>
      <c r="U405" s="147"/>
      <c r="V405" s="147"/>
      <c r="W405" s="147"/>
      <c r="X405" s="147"/>
      <c r="Y405" s="147"/>
      <c r="Z405" s="147"/>
      <c r="AA405" s="147"/>
      <c r="AB405" s="147"/>
      <c r="AC405" s="147"/>
      <c r="AD405" s="147"/>
      <c r="AE405" s="147"/>
      <c r="AF405" s="147"/>
      <c r="AG405" s="147"/>
      <c r="AH405" s="147"/>
      <c r="AI405" s="147"/>
      <c r="AJ405" s="147"/>
      <c r="AK405" s="147"/>
      <c r="AL405" s="147"/>
      <c r="AM405" s="151"/>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c r="BI405" s="147"/>
      <c r="BJ405" s="147"/>
      <c r="BK405" s="147"/>
      <c r="BL405" s="147"/>
      <c r="BM405" s="147"/>
      <c r="BN405" s="147"/>
      <c r="BO405" s="147"/>
      <c r="BP405" s="147"/>
      <c r="BQ405" s="147"/>
      <c r="BR405" s="147"/>
      <c r="BS405" s="147"/>
      <c r="BT405" s="147"/>
      <c r="BU405" s="147"/>
      <c r="BV405" s="147"/>
      <c r="BW405" s="147"/>
      <c r="BX405" s="147"/>
      <c r="BY405" s="147"/>
      <c r="BZ405" s="147"/>
      <c r="CA405" s="147"/>
      <c r="CB405" s="147"/>
      <c r="CC405" s="147"/>
      <c r="CD405" s="147"/>
      <c r="CE405" s="147"/>
      <c r="CF405" s="147"/>
      <c r="CG405" s="147"/>
      <c r="CH405" s="147"/>
      <c r="CI405" s="147"/>
      <c r="CJ405" s="147"/>
      <c r="CK405" s="147"/>
    </row>
    <row r="406" spans="1:89">
      <c r="A406" s="159" t="s">
        <v>275</v>
      </c>
      <c r="B406" s="3" t="s">
        <v>276</v>
      </c>
      <c r="C406" s="160" t="s">
        <v>85</v>
      </c>
      <c r="D406" s="160" t="s">
        <v>878</v>
      </c>
      <c r="E406" s="3" t="s">
        <v>22</v>
      </c>
      <c r="F406" s="3" t="s">
        <v>917</v>
      </c>
      <c r="G406" s="3"/>
      <c r="H406" s="156" t="str">
        <f ca="1">IFERROR(
  _xludf.MINIFS(ATTENDANCE_LOG!$F:$F,
         ATTENDANCE_LOG!$A:$A, C406,
         ATTENDANCE_LOG!$B:$B, E406),
"")</f>
        <v/>
      </c>
      <c r="I406" s="156" t="str">
        <f t="shared" ca="1" si="266"/>
        <v/>
      </c>
      <c r="J406" s="3">
        <f>IFERROR(VLOOKUP(F406, LEVEL_HELPER!$A:$B, 2, 0), "")</f>
        <v>3</v>
      </c>
      <c r="K406" s="3" t="str">
        <f>IFERROR(VLOOKUP(G406, LEVEL_HELPER!$A:$B, 2, 0), "")</f>
        <v/>
      </c>
      <c r="L406" s="157" t="s">
        <v>942</v>
      </c>
      <c r="M406" s="157" t="s">
        <v>923</v>
      </c>
      <c r="N406" s="3">
        <f t="array" aca="1" ref="N406" ca="1">IFERROR(
  INDEX($J$2:$J$543,
    MATCH(A406&amp;TEXT(I406,"yyyy-mm-dd"),
          $A$2:$A$543&amp;TEXT($H$2:$H$543,"yyyy-mm-dd"),
          0)),
"")</f>
        <v>1</v>
      </c>
      <c r="O406" s="147" t="str">
        <f t="shared" ca="1" si="267"/>
        <v/>
      </c>
      <c r="P406" s="147">
        <f t="shared" ref="P406:Q406" ca="1" si="422">IF(N406="",0,IF(N406&lt;=2,1,IF(N406&lt;=4,2,IF(N406&lt;=5.5,3,4))))</f>
        <v>1</v>
      </c>
      <c r="Q406" s="147">
        <f t="shared" ca="1" si="422"/>
        <v>0</v>
      </c>
      <c r="R406" s="147" t="str">
        <f t="shared" ca="1" si="269"/>
        <v>Regressed</v>
      </c>
      <c r="S406" s="147">
        <f t="shared" si="270"/>
        <v>0</v>
      </c>
      <c r="T406" s="147"/>
      <c r="U406" s="147"/>
      <c r="V406" s="147"/>
      <c r="W406" s="147"/>
      <c r="X406" s="147"/>
      <c r="Y406" s="147"/>
      <c r="Z406" s="147"/>
      <c r="AA406" s="147"/>
      <c r="AB406" s="147"/>
      <c r="AC406" s="147"/>
      <c r="AD406" s="147"/>
      <c r="AE406" s="147"/>
      <c r="AF406" s="147"/>
      <c r="AG406" s="147"/>
      <c r="AH406" s="147"/>
      <c r="AI406" s="147"/>
      <c r="AJ406" s="147"/>
      <c r="AK406" s="147"/>
      <c r="AL406" s="147"/>
      <c r="AM406" s="151"/>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c r="BI406" s="147"/>
      <c r="BJ406" s="147"/>
      <c r="BK406" s="147"/>
      <c r="BL406" s="147"/>
      <c r="BM406" s="147"/>
      <c r="BN406" s="147"/>
      <c r="BO406" s="147"/>
      <c r="BP406" s="147"/>
      <c r="BQ406" s="147"/>
      <c r="BR406" s="147"/>
      <c r="BS406" s="147"/>
      <c r="BT406" s="147"/>
      <c r="BU406" s="147"/>
      <c r="BV406" s="147"/>
      <c r="BW406" s="147"/>
      <c r="BX406" s="147"/>
      <c r="BY406" s="147"/>
      <c r="BZ406" s="147"/>
      <c r="CA406" s="147"/>
      <c r="CB406" s="147"/>
      <c r="CC406" s="147"/>
      <c r="CD406" s="147"/>
      <c r="CE406" s="147"/>
      <c r="CF406" s="147"/>
      <c r="CG406" s="147"/>
      <c r="CH406" s="147"/>
      <c r="CI406" s="147"/>
      <c r="CJ406" s="147"/>
      <c r="CK406" s="147"/>
    </row>
    <row r="407" spans="1:89">
      <c r="A407" s="159" t="s">
        <v>512</v>
      </c>
      <c r="B407" s="3" t="s">
        <v>513</v>
      </c>
      <c r="C407" s="160" t="s">
        <v>85</v>
      </c>
      <c r="D407" s="160" t="s">
        <v>878</v>
      </c>
      <c r="E407" s="3" t="s">
        <v>22</v>
      </c>
      <c r="F407" s="3" t="s">
        <v>917</v>
      </c>
      <c r="G407" s="3"/>
      <c r="H407" s="156" t="str">
        <f ca="1">IFERROR(
  _xludf.MINIFS(ATTENDANCE_LOG!$F:$F,
         ATTENDANCE_LOG!$A:$A, C407,
         ATTENDANCE_LOG!$B:$B, E407),
"")</f>
        <v/>
      </c>
      <c r="I407" s="156" t="str">
        <f t="shared" ca="1" si="266"/>
        <v/>
      </c>
      <c r="J407" s="3">
        <f>IFERROR(VLOOKUP(F407, LEVEL_HELPER!$A:$B, 2, 0), "")</f>
        <v>3</v>
      </c>
      <c r="K407" s="3" t="str">
        <f>IFERROR(VLOOKUP(G407, LEVEL_HELPER!$A:$B, 2, 0), "")</f>
        <v/>
      </c>
      <c r="L407" s="157" t="s">
        <v>942</v>
      </c>
      <c r="M407" s="157" t="s">
        <v>923</v>
      </c>
      <c r="N407" s="3">
        <f t="array" aca="1" ref="N407" ca="1">IFERROR(
  INDEX($J$2:$J$543,
    MATCH(A407&amp;TEXT(I407,"yyyy-mm-dd"),
          $A$2:$A$543&amp;TEXT($H$2:$H$543,"yyyy-mm-dd"),
          0)),
"")</f>
        <v>1</v>
      </c>
      <c r="O407" s="147" t="str">
        <f t="shared" ca="1" si="267"/>
        <v/>
      </c>
      <c r="P407" s="147">
        <f t="shared" ref="P407:Q407" ca="1" si="423">IF(N407="",0,IF(N407&lt;=2,1,IF(N407&lt;=4,2,IF(N407&lt;=5.5,3,4))))</f>
        <v>1</v>
      </c>
      <c r="Q407" s="147">
        <f t="shared" ca="1" si="423"/>
        <v>0</v>
      </c>
      <c r="R407" s="147" t="str">
        <f t="shared" ca="1" si="269"/>
        <v>Regressed</v>
      </c>
      <c r="S407" s="147">
        <f t="shared" si="270"/>
        <v>0</v>
      </c>
      <c r="T407" s="147"/>
      <c r="U407" s="147"/>
      <c r="V407" s="147"/>
      <c r="W407" s="147"/>
      <c r="X407" s="147"/>
      <c r="Y407" s="147"/>
      <c r="Z407" s="147"/>
      <c r="AA407" s="147"/>
      <c r="AB407" s="147"/>
      <c r="AC407" s="147"/>
      <c r="AD407" s="147"/>
      <c r="AE407" s="147"/>
      <c r="AF407" s="147"/>
      <c r="AG407" s="147"/>
      <c r="AH407" s="147"/>
      <c r="AI407" s="147"/>
      <c r="AJ407" s="147"/>
      <c r="AK407" s="147"/>
      <c r="AL407" s="147"/>
      <c r="AM407" s="151"/>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c r="BI407" s="147"/>
      <c r="BJ407" s="147"/>
      <c r="BK407" s="147"/>
      <c r="BL407" s="147"/>
      <c r="BM407" s="147"/>
      <c r="BN407" s="147"/>
      <c r="BO407" s="147"/>
      <c r="BP407" s="147"/>
      <c r="BQ407" s="147"/>
      <c r="BR407" s="147"/>
      <c r="BS407" s="147"/>
      <c r="BT407" s="147"/>
      <c r="BU407" s="147"/>
      <c r="BV407" s="147"/>
      <c r="BW407" s="147"/>
      <c r="BX407" s="147"/>
      <c r="BY407" s="147"/>
      <c r="BZ407" s="147"/>
      <c r="CA407" s="147"/>
      <c r="CB407" s="147"/>
      <c r="CC407" s="147"/>
      <c r="CD407" s="147"/>
      <c r="CE407" s="147"/>
      <c r="CF407" s="147"/>
      <c r="CG407" s="147"/>
      <c r="CH407" s="147"/>
      <c r="CI407" s="147"/>
      <c r="CJ407" s="147"/>
      <c r="CK407" s="147"/>
    </row>
    <row r="408" spans="1:89">
      <c r="A408" s="159" t="s">
        <v>524</v>
      </c>
      <c r="B408" s="3" t="s">
        <v>525</v>
      </c>
      <c r="C408" s="160" t="s">
        <v>85</v>
      </c>
      <c r="D408" s="160" t="s">
        <v>878</v>
      </c>
      <c r="E408" s="3" t="s">
        <v>22</v>
      </c>
      <c r="F408" s="3" t="s">
        <v>928</v>
      </c>
      <c r="G408" s="3" t="s">
        <v>934</v>
      </c>
      <c r="H408" s="156" t="str">
        <f ca="1">IFERROR(
  _xludf.MINIFS(ATTENDANCE_LOG!$F:$F,
         ATTENDANCE_LOG!$A:$A, C408,
         ATTENDANCE_LOG!$B:$B, E408),
"")</f>
        <v/>
      </c>
      <c r="I408" s="156" t="str">
        <f t="shared" ca="1" si="266"/>
        <v/>
      </c>
      <c r="J408" s="3">
        <f>IFERROR(VLOOKUP(F408, LEVEL_HELPER!$A:$B, 2, 0), "")</f>
        <v>1.5</v>
      </c>
      <c r="K408" s="3">
        <f>IFERROR(VLOOKUP(G408, LEVEL_HELPER!$A:$B, 2, 0), "")</f>
        <v>3.5</v>
      </c>
      <c r="L408" s="157" t="s">
        <v>942</v>
      </c>
      <c r="M408" s="157" t="s">
        <v>923</v>
      </c>
      <c r="N408" s="3">
        <f t="array" aca="1" ref="N408" ca="1">IFERROR(
  INDEX($J$2:$J$543,
    MATCH(A408&amp;TEXT(I408,"yyyy-mm-dd"),
          $A$2:$A$543&amp;TEXT($H$2:$H$543,"yyyy-mm-dd"),
          0)),
"")</f>
        <v>0.5</v>
      </c>
      <c r="O408" s="147" t="str">
        <f t="shared" ca="1" si="267"/>
        <v/>
      </c>
      <c r="P408" s="147">
        <f t="shared" ref="P408:Q408" ca="1" si="424">IF(N408="",0,IF(N408&lt;=2,1,IF(N408&lt;=4,2,IF(N408&lt;=5.5,3,4))))</f>
        <v>1</v>
      </c>
      <c r="Q408" s="147">
        <f t="shared" ca="1" si="424"/>
        <v>0</v>
      </c>
      <c r="R408" s="147" t="str">
        <f t="shared" ca="1" si="269"/>
        <v>Regressed</v>
      </c>
      <c r="S408" s="147">
        <f t="shared" si="270"/>
        <v>0</v>
      </c>
      <c r="T408" s="147"/>
      <c r="U408" s="147"/>
      <c r="V408" s="147"/>
      <c r="W408" s="147"/>
      <c r="X408" s="147"/>
      <c r="Y408" s="147"/>
      <c r="Z408" s="147"/>
      <c r="AA408" s="147"/>
      <c r="AB408" s="147"/>
      <c r="AC408" s="147"/>
      <c r="AD408" s="147"/>
      <c r="AE408" s="147"/>
      <c r="AF408" s="147"/>
      <c r="AG408" s="147"/>
      <c r="AH408" s="147"/>
      <c r="AI408" s="147"/>
      <c r="AJ408" s="147"/>
      <c r="AK408" s="147"/>
      <c r="AL408" s="147"/>
      <c r="AM408" s="151"/>
      <c r="AN408" s="147"/>
      <c r="AO408" s="147"/>
      <c r="AP408" s="147"/>
      <c r="AQ408" s="147"/>
      <c r="AR408" s="147"/>
      <c r="AS408" s="147"/>
      <c r="AT408" s="147"/>
      <c r="AU408" s="147"/>
      <c r="AV408" s="147"/>
      <c r="AW408" s="147"/>
      <c r="AX408" s="147"/>
      <c r="AY408" s="147"/>
      <c r="AZ408" s="147"/>
      <c r="BA408" s="147"/>
      <c r="BB408" s="147"/>
      <c r="BC408" s="147"/>
      <c r="BD408" s="147"/>
      <c r="BE408" s="147"/>
      <c r="BF408" s="147"/>
      <c r="BG408" s="147"/>
      <c r="BH408" s="147"/>
      <c r="BI408" s="147"/>
      <c r="BJ408" s="147"/>
      <c r="BK408" s="147"/>
      <c r="BL408" s="147"/>
      <c r="BM408" s="147"/>
      <c r="BN408" s="147"/>
      <c r="BO408" s="147"/>
      <c r="BP408" s="147"/>
      <c r="BQ408" s="147"/>
      <c r="BR408" s="147"/>
      <c r="BS408" s="147"/>
      <c r="BT408" s="147"/>
      <c r="BU408" s="147"/>
      <c r="BV408" s="147"/>
      <c r="BW408" s="147"/>
      <c r="BX408" s="147"/>
      <c r="BY408" s="147"/>
      <c r="BZ408" s="147"/>
      <c r="CA408" s="147"/>
      <c r="CB408" s="147"/>
      <c r="CC408" s="147"/>
      <c r="CD408" s="147"/>
      <c r="CE408" s="147"/>
      <c r="CF408" s="147"/>
      <c r="CG408" s="147"/>
      <c r="CH408" s="147"/>
      <c r="CI408" s="147"/>
      <c r="CJ408" s="147"/>
      <c r="CK408" s="147"/>
    </row>
    <row r="409" spans="1:89">
      <c r="A409" s="159" t="s">
        <v>530</v>
      </c>
      <c r="B409" s="3" t="s">
        <v>531</v>
      </c>
      <c r="C409" s="160" t="s">
        <v>85</v>
      </c>
      <c r="D409" s="160" t="s">
        <v>878</v>
      </c>
      <c r="E409" s="3" t="s">
        <v>22</v>
      </c>
      <c r="F409" s="3" t="s">
        <v>917</v>
      </c>
      <c r="G409" s="3" t="s">
        <v>940</v>
      </c>
      <c r="H409" s="156" t="str">
        <f ca="1">IFERROR(
  _xludf.MINIFS(ATTENDANCE_LOG!$F:$F,
         ATTENDANCE_LOG!$A:$A, C409,
         ATTENDANCE_LOG!$B:$B, E409),
"")</f>
        <v/>
      </c>
      <c r="I409" s="156" t="str">
        <f t="shared" ca="1" si="266"/>
        <v/>
      </c>
      <c r="J409" s="3">
        <f>IFERROR(VLOOKUP(F409, LEVEL_HELPER!$A:$B, 2, 0), "")</f>
        <v>3</v>
      </c>
      <c r="K409" s="3">
        <f>IFERROR(VLOOKUP(G409, LEVEL_HELPER!$A:$B, 2, 0), "")</f>
        <v>5</v>
      </c>
      <c r="L409" s="157" t="s">
        <v>942</v>
      </c>
      <c r="M409" s="157" t="s">
        <v>923</v>
      </c>
      <c r="N409" s="3">
        <f t="array" aca="1" ref="N409" ca="1">IFERROR(
  INDEX($J$2:$J$543,
    MATCH(A409&amp;TEXT(I409,"yyyy-mm-dd"),
          $A$2:$A$543&amp;TEXT($H$2:$H$543,"yyyy-mm-dd"),
          0)),
"")</f>
        <v>1</v>
      </c>
      <c r="O409" s="147" t="str">
        <f t="shared" ca="1" si="267"/>
        <v/>
      </c>
      <c r="P409" s="147">
        <f t="shared" ref="P409:Q409" ca="1" si="425">IF(N409="",0,IF(N409&lt;=2,1,IF(N409&lt;=4,2,IF(N409&lt;=5.5,3,4))))</f>
        <v>1</v>
      </c>
      <c r="Q409" s="147">
        <f t="shared" ca="1" si="425"/>
        <v>0</v>
      </c>
      <c r="R409" s="147" t="str">
        <f t="shared" ca="1" si="269"/>
        <v>Regressed</v>
      </c>
      <c r="S409" s="147">
        <f t="shared" si="270"/>
        <v>0</v>
      </c>
      <c r="T409" s="147"/>
      <c r="U409" s="147"/>
      <c r="V409" s="147"/>
      <c r="W409" s="147"/>
      <c r="X409" s="147"/>
      <c r="Y409" s="147"/>
      <c r="Z409" s="147"/>
      <c r="AA409" s="147"/>
      <c r="AB409" s="147"/>
      <c r="AC409" s="147"/>
      <c r="AD409" s="147"/>
      <c r="AE409" s="147"/>
      <c r="AF409" s="147"/>
      <c r="AG409" s="147"/>
      <c r="AH409" s="147"/>
      <c r="AI409" s="147"/>
      <c r="AJ409" s="147"/>
      <c r="AK409" s="147"/>
      <c r="AL409" s="147"/>
      <c r="AM409" s="151"/>
      <c r="AN409" s="147"/>
      <c r="AO409" s="147"/>
      <c r="AP409" s="147"/>
      <c r="AQ409" s="147"/>
      <c r="AR409" s="147"/>
      <c r="AS409" s="147"/>
      <c r="AT409" s="147"/>
      <c r="AU409" s="147"/>
      <c r="AV409" s="147"/>
      <c r="AW409" s="147"/>
      <c r="AX409" s="147"/>
      <c r="AY409" s="147"/>
      <c r="AZ409" s="147"/>
      <c r="BA409" s="147"/>
      <c r="BB409" s="147"/>
      <c r="BC409" s="147"/>
      <c r="BD409" s="147"/>
      <c r="BE409" s="147"/>
      <c r="BF409" s="147"/>
      <c r="BG409" s="147"/>
      <c r="BH409" s="147"/>
      <c r="BI409" s="147"/>
      <c r="BJ409" s="147"/>
      <c r="BK409" s="147"/>
      <c r="BL409" s="147"/>
      <c r="BM409" s="147"/>
      <c r="BN409" s="147"/>
      <c r="BO409" s="147"/>
      <c r="BP409" s="147"/>
      <c r="BQ409" s="147"/>
      <c r="BR409" s="147"/>
      <c r="BS409" s="147"/>
      <c r="BT409" s="147"/>
      <c r="BU409" s="147"/>
      <c r="BV409" s="147"/>
      <c r="BW409" s="147"/>
      <c r="BX409" s="147"/>
      <c r="BY409" s="147"/>
      <c r="BZ409" s="147"/>
      <c r="CA409" s="147"/>
      <c r="CB409" s="147"/>
      <c r="CC409" s="147"/>
      <c r="CD409" s="147"/>
      <c r="CE409" s="147"/>
      <c r="CF409" s="147"/>
      <c r="CG409" s="147"/>
      <c r="CH409" s="147"/>
      <c r="CI409" s="147"/>
      <c r="CJ409" s="147"/>
      <c r="CK409" s="147"/>
    </row>
    <row r="410" spans="1:89">
      <c r="A410" s="159" t="s">
        <v>621</v>
      </c>
      <c r="B410" s="3" t="s">
        <v>622</v>
      </c>
      <c r="C410" s="160" t="s">
        <v>85</v>
      </c>
      <c r="D410" s="160" t="s">
        <v>878</v>
      </c>
      <c r="E410" s="3" t="s">
        <v>22</v>
      </c>
      <c r="F410" s="3" t="s">
        <v>934</v>
      </c>
      <c r="G410" s="3" t="s">
        <v>940</v>
      </c>
      <c r="H410" s="156" t="str">
        <f ca="1">IFERROR(
  _xludf.MINIFS(ATTENDANCE_LOG!$F:$F,
         ATTENDANCE_LOG!$A:$A, C410,
         ATTENDANCE_LOG!$B:$B, E410),
"")</f>
        <v/>
      </c>
      <c r="I410" s="156" t="str">
        <f t="shared" ca="1" si="266"/>
        <v/>
      </c>
      <c r="J410" s="3">
        <f>IFERROR(VLOOKUP(F410, LEVEL_HELPER!$A:$B, 2, 0), "")</f>
        <v>3.5</v>
      </c>
      <c r="K410" s="3">
        <f>IFERROR(VLOOKUP(G410, LEVEL_HELPER!$A:$B, 2, 0), "")</f>
        <v>5</v>
      </c>
      <c r="L410" s="157" t="s">
        <v>942</v>
      </c>
      <c r="M410" s="157" t="s">
        <v>923</v>
      </c>
      <c r="N410" s="3">
        <f t="array" aca="1" ref="N410" ca="1">IFERROR(
  INDEX($J$2:$J$543,
    MATCH(A410&amp;TEXT(I410,"yyyy-mm-dd"),
          $A$2:$A$543&amp;TEXT($H$2:$H$543,"yyyy-mm-dd"),
          0)),
"")</f>
        <v>1</v>
      </c>
      <c r="O410" s="147" t="str">
        <f t="shared" ca="1" si="267"/>
        <v/>
      </c>
      <c r="P410" s="147">
        <f t="shared" ref="P410:Q410" ca="1" si="426">IF(N410="",0,IF(N410&lt;=2,1,IF(N410&lt;=4,2,IF(N410&lt;=5.5,3,4))))</f>
        <v>1</v>
      </c>
      <c r="Q410" s="147">
        <f t="shared" ca="1" si="426"/>
        <v>0</v>
      </c>
      <c r="R410" s="147" t="str">
        <f t="shared" ca="1" si="269"/>
        <v>Regressed</v>
      </c>
      <c r="S410" s="147">
        <f t="shared" si="270"/>
        <v>0</v>
      </c>
      <c r="T410" s="147"/>
      <c r="U410" s="147"/>
      <c r="V410" s="147"/>
      <c r="W410" s="147"/>
      <c r="X410" s="147"/>
      <c r="Y410" s="147"/>
      <c r="Z410" s="147"/>
      <c r="AA410" s="147"/>
      <c r="AB410" s="147"/>
      <c r="AC410" s="147"/>
      <c r="AD410" s="147"/>
      <c r="AE410" s="147"/>
      <c r="AF410" s="147"/>
      <c r="AG410" s="147"/>
      <c r="AH410" s="147"/>
      <c r="AI410" s="147"/>
      <c r="AJ410" s="147"/>
      <c r="AK410" s="147"/>
      <c r="AL410" s="147"/>
      <c r="AM410" s="151"/>
      <c r="AN410" s="147"/>
      <c r="AO410" s="147"/>
      <c r="AP410" s="147"/>
      <c r="AQ410" s="147"/>
      <c r="AR410" s="147"/>
      <c r="AS410" s="147"/>
      <c r="AT410" s="147"/>
      <c r="AU410" s="147"/>
      <c r="AV410" s="147"/>
      <c r="AW410" s="147"/>
      <c r="AX410" s="147"/>
      <c r="AY410" s="147"/>
      <c r="AZ410" s="147"/>
      <c r="BA410" s="147"/>
      <c r="BB410" s="147"/>
      <c r="BC410" s="147"/>
      <c r="BD410" s="147"/>
      <c r="BE410" s="147"/>
      <c r="BF410" s="147"/>
      <c r="BG410" s="147"/>
      <c r="BH410" s="147"/>
      <c r="BI410" s="147"/>
      <c r="BJ410" s="147"/>
      <c r="BK410" s="147"/>
      <c r="BL410" s="147"/>
      <c r="BM410" s="147"/>
      <c r="BN410" s="147"/>
      <c r="BO410" s="147"/>
      <c r="BP410" s="147"/>
      <c r="BQ410" s="147"/>
      <c r="BR410" s="147"/>
      <c r="BS410" s="147"/>
      <c r="BT410" s="147"/>
      <c r="BU410" s="147"/>
      <c r="BV410" s="147"/>
      <c r="BW410" s="147"/>
      <c r="BX410" s="147"/>
      <c r="BY410" s="147"/>
      <c r="BZ410" s="147"/>
      <c r="CA410" s="147"/>
      <c r="CB410" s="147"/>
      <c r="CC410" s="147"/>
      <c r="CD410" s="147"/>
      <c r="CE410" s="147"/>
      <c r="CF410" s="147"/>
      <c r="CG410" s="147"/>
      <c r="CH410" s="147"/>
      <c r="CI410" s="147"/>
      <c r="CJ410" s="147"/>
      <c r="CK410" s="147"/>
    </row>
    <row r="411" spans="1:89">
      <c r="A411" s="159" t="s">
        <v>719</v>
      </c>
      <c r="B411" s="3" t="s">
        <v>720</v>
      </c>
      <c r="C411" s="160" t="s">
        <v>85</v>
      </c>
      <c r="D411" s="160" t="s">
        <v>878</v>
      </c>
      <c r="E411" s="3" t="s">
        <v>22</v>
      </c>
      <c r="F411" s="3" t="s">
        <v>934</v>
      </c>
      <c r="G411" s="3" t="s">
        <v>940</v>
      </c>
      <c r="H411" s="156" t="str">
        <f ca="1">IFERROR(
  _xludf.MINIFS(ATTENDANCE_LOG!$F:$F,
         ATTENDANCE_LOG!$A:$A, C411,
         ATTENDANCE_LOG!$B:$B, E411),
"")</f>
        <v/>
      </c>
      <c r="I411" s="156" t="str">
        <f t="shared" ca="1" si="266"/>
        <v/>
      </c>
      <c r="J411" s="3">
        <f>IFERROR(VLOOKUP(F411, LEVEL_HELPER!$A:$B, 2, 0), "")</f>
        <v>3.5</v>
      </c>
      <c r="K411" s="3">
        <f>IFERROR(VLOOKUP(G411, LEVEL_HELPER!$A:$B, 2, 0), "")</f>
        <v>5</v>
      </c>
      <c r="L411" s="157" t="s">
        <v>956</v>
      </c>
      <c r="M411" s="157" t="s">
        <v>923</v>
      </c>
      <c r="N411" s="3">
        <f t="array" aca="1" ref="N411" ca="1">IFERROR(
  INDEX($J$2:$J$543,
    MATCH(A411&amp;TEXT(I411,"yyyy-mm-dd"),
          $A$2:$A$543&amp;TEXT($H$2:$H$543,"yyyy-mm-dd"),
          0)),
"")</f>
        <v>0</v>
      </c>
      <c r="O411" s="147" t="str">
        <f t="shared" ca="1" si="267"/>
        <v/>
      </c>
      <c r="P411" s="147">
        <f t="shared" ref="P411:Q411" ca="1" si="427">IF(N411="",0,IF(N411&lt;=2,1,IF(N411&lt;=4,2,IF(N411&lt;=5.5,3,4))))</f>
        <v>1</v>
      </c>
      <c r="Q411" s="147">
        <f t="shared" ca="1" si="427"/>
        <v>0</v>
      </c>
      <c r="R411" s="147" t="str">
        <f t="shared" ca="1" si="269"/>
        <v>Regressed</v>
      </c>
      <c r="S411" s="147">
        <f t="shared" si="270"/>
        <v>0</v>
      </c>
      <c r="T411" s="147"/>
      <c r="U411" s="147"/>
      <c r="V411" s="147"/>
      <c r="W411" s="147"/>
      <c r="X411" s="147"/>
      <c r="Y411" s="147"/>
      <c r="Z411" s="147"/>
      <c r="AA411" s="147"/>
      <c r="AB411" s="147"/>
      <c r="AC411" s="147"/>
      <c r="AD411" s="147"/>
      <c r="AE411" s="147"/>
      <c r="AF411" s="147"/>
      <c r="AG411" s="147"/>
      <c r="AH411" s="147"/>
      <c r="AI411" s="147"/>
      <c r="AJ411" s="147"/>
      <c r="AK411" s="147"/>
      <c r="AL411" s="147"/>
      <c r="AM411" s="151"/>
      <c r="AN411" s="147"/>
      <c r="AO411" s="147"/>
      <c r="AP411" s="147"/>
      <c r="AQ411" s="147"/>
      <c r="AR411" s="147"/>
      <c r="AS411" s="147"/>
      <c r="AT411" s="147"/>
      <c r="AU411" s="147"/>
      <c r="AV411" s="147"/>
      <c r="AW411" s="147"/>
      <c r="AX411" s="147"/>
      <c r="AY411" s="147"/>
      <c r="AZ411" s="147"/>
      <c r="BA411" s="147"/>
      <c r="BB411" s="147"/>
      <c r="BC411" s="147"/>
      <c r="BD411" s="147"/>
      <c r="BE411" s="147"/>
      <c r="BF411" s="147"/>
      <c r="BG411" s="147"/>
      <c r="BH411" s="147"/>
      <c r="BI411" s="147"/>
      <c r="BJ411" s="147"/>
      <c r="BK411" s="147"/>
      <c r="BL411" s="147"/>
      <c r="BM411" s="147"/>
      <c r="BN411" s="147"/>
      <c r="BO411" s="147"/>
      <c r="BP411" s="147"/>
      <c r="BQ411" s="147"/>
      <c r="BR411" s="147"/>
      <c r="BS411" s="147"/>
      <c r="BT411" s="147"/>
      <c r="BU411" s="147"/>
      <c r="BV411" s="147"/>
      <c r="BW411" s="147"/>
      <c r="BX411" s="147"/>
      <c r="BY411" s="147"/>
      <c r="BZ411" s="147"/>
      <c r="CA411" s="147"/>
      <c r="CB411" s="147"/>
      <c r="CC411" s="147"/>
      <c r="CD411" s="147"/>
      <c r="CE411" s="147"/>
      <c r="CF411" s="147"/>
      <c r="CG411" s="147"/>
      <c r="CH411" s="147"/>
      <c r="CI411" s="147"/>
      <c r="CJ411" s="147"/>
      <c r="CK411" s="147"/>
    </row>
    <row r="412" spans="1:89">
      <c r="A412" s="153" t="s">
        <v>407</v>
      </c>
      <c r="B412" s="154" t="s">
        <v>408</v>
      </c>
      <c r="C412" s="155" t="s">
        <v>86</v>
      </c>
      <c r="D412" s="155" t="s">
        <v>879</v>
      </c>
      <c r="E412" s="154" t="s">
        <v>25</v>
      </c>
      <c r="F412" s="154" t="s">
        <v>25</v>
      </c>
      <c r="G412" s="154" t="s">
        <v>926</v>
      </c>
      <c r="H412" s="156" t="str">
        <f ca="1">IFERROR(
  _xludf.MINIFS(ATTENDANCE_LOG!$F:$F,
         ATTENDANCE_LOG!$A:$A, C412,
         ATTENDANCE_LOG!$B:$B, E412),
"")</f>
        <v/>
      </c>
      <c r="I412" s="156" t="str">
        <f t="shared" ca="1" si="266"/>
        <v/>
      </c>
      <c r="J412" s="154">
        <f>IFERROR(VLOOKUP(F412, LEVEL_HELPER!$A:$B, 2, 0), "")</f>
        <v>0.5</v>
      </c>
      <c r="K412" s="154">
        <f>IFERROR(VLOOKUP(G412, LEVEL_HELPER!$A:$B, 2, 0), "")</f>
        <v>1</v>
      </c>
      <c r="L412" s="176" t="s">
        <v>942</v>
      </c>
      <c r="M412" s="176" t="s">
        <v>923</v>
      </c>
      <c r="N412" s="3">
        <f t="array" aca="1" ref="N412" ca="1">IFERROR(
  INDEX($J$2:$J$543,
    MATCH(A412&amp;TEXT(I412,"yyyy-mm-dd"),
          $A$2:$A$543&amp;TEXT($H$2:$H$543,"yyyy-mm-dd"),
          0)),
"")</f>
        <v>0.5</v>
      </c>
      <c r="O412" s="177" t="str">
        <f t="shared" ca="1" si="267"/>
        <v/>
      </c>
      <c r="P412" s="147">
        <f t="shared" ref="P412:Q412" ca="1" si="428">IF(N412="",0,IF(N412&lt;=2,1,IF(N412&lt;=4,2,IF(N412&lt;=5.5,3,4))))</f>
        <v>1</v>
      </c>
      <c r="Q412" s="147">
        <f t="shared" ca="1" si="428"/>
        <v>0</v>
      </c>
      <c r="R412" s="147" t="str">
        <f t="shared" ca="1" si="269"/>
        <v>Regressed</v>
      </c>
      <c r="S412" s="147">
        <f t="shared" si="270"/>
        <v>1</v>
      </c>
      <c r="T412" s="147"/>
      <c r="U412" s="147"/>
      <c r="V412" s="147"/>
      <c r="W412" s="147"/>
      <c r="X412" s="147"/>
      <c r="Y412" s="147"/>
      <c r="Z412" s="147"/>
      <c r="AA412" s="147"/>
      <c r="AB412" s="147"/>
      <c r="AC412" s="147"/>
      <c r="AD412" s="147"/>
      <c r="AE412" s="147"/>
      <c r="AF412" s="147"/>
      <c r="AG412" s="147"/>
      <c r="AH412" s="147"/>
      <c r="AI412" s="147"/>
      <c r="AJ412" s="147"/>
      <c r="AK412" s="147"/>
      <c r="AL412" s="147"/>
      <c r="AM412" s="151"/>
      <c r="AN412" s="147"/>
      <c r="AO412" s="147"/>
      <c r="AP412" s="147"/>
      <c r="AQ412" s="147"/>
      <c r="AR412" s="147"/>
      <c r="AS412" s="147"/>
      <c r="AT412" s="147"/>
      <c r="AU412" s="147"/>
      <c r="AV412" s="147"/>
      <c r="AW412" s="147"/>
      <c r="AX412" s="147"/>
      <c r="AY412" s="147"/>
      <c r="AZ412" s="147"/>
      <c r="BA412" s="147"/>
      <c r="BB412" s="147"/>
      <c r="BC412" s="147"/>
      <c r="BD412" s="147"/>
      <c r="BE412" s="147"/>
      <c r="BF412" s="147"/>
      <c r="BG412" s="147"/>
      <c r="BH412" s="147"/>
      <c r="BI412" s="147"/>
      <c r="BJ412" s="147"/>
      <c r="BK412" s="147"/>
      <c r="BL412" s="147"/>
      <c r="BM412" s="147"/>
      <c r="BN412" s="147"/>
      <c r="BO412" s="147"/>
      <c r="BP412" s="147"/>
      <c r="BQ412" s="147"/>
      <c r="BR412" s="147"/>
      <c r="BS412" s="147"/>
      <c r="BT412" s="147"/>
      <c r="BU412" s="147"/>
      <c r="BV412" s="147"/>
      <c r="BW412" s="147"/>
      <c r="BX412" s="147"/>
      <c r="BY412" s="147"/>
      <c r="BZ412" s="147"/>
      <c r="CA412" s="147"/>
      <c r="CB412" s="147"/>
      <c r="CC412" s="147"/>
      <c r="CD412" s="147"/>
      <c r="CE412" s="147"/>
      <c r="CF412" s="147"/>
      <c r="CG412" s="147"/>
      <c r="CH412" s="147"/>
      <c r="CI412" s="147"/>
      <c r="CJ412" s="147"/>
      <c r="CK412" s="147"/>
    </row>
    <row r="413" spans="1:89">
      <c r="A413" s="159" t="s">
        <v>153</v>
      </c>
      <c r="B413" s="3" t="s">
        <v>154</v>
      </c>
      <c r="C413" s="160" t="s">
        <v>86</v>
      </c>
      <c r="D413" s="160" t="s">
        <v>879</v>
      </c>
      <c r="E413" s="3" t="s">
        <v>25</v>
      </c>
      <c r="F413" s="3" t="s">
        <v>25</v>
      </c>
      <c r="G413" s="3" t="s">
        <v>25</v>
      </c>
      <c r="H413" s="156" t="str">
        <f ca="1">IFERROR(
  _xludf.MINIFS(ATTENDANCE_LOG!$F:$F,
         ATTENDANCE_LOG!$A:$A, C413,
         ATTENDANCE_LOG!$B:$B, E413),
"")</f>
        <v/>
      </c>
      <c r="I413" s="156" t="str">
        <f t="shared" ca="1" si="266"/>
        <v/>
      </c>
      <c r="J413" s="3">
        <f>IFERROR(VLOOKUP(F413, LEVEL_HELPER!$A:$B, 2, 0), "")</f>
        <v>0.5</v>
      </c>
      <c r="K413" s="3">
        <f>IFERROR(VLOOKUP(G413, LEVEL_HELPER!$A:$B, 2, 0), "")</f>
        <v>0.5</v>
      </c>
      <c r="L413" s="157" t="s">
        <v>942</v>
      </c>
      <c r="M413" s="157" t="s">
        <v>923</v>
      </c>
      <c r="N413" s="3">
        <f t="array" aca="1" ref="N413" ca="1">IFERROR(
  INDEX($J$2:$J$543,
    MATCH(A413&amp;TEXT(I413,"yyyy-mm-dd"),
          $A$2:$A$543&amp;TEXT($H$2:$H$543,"yyyy-mm-dd"),
          0)),
"")</f>
        <v>0.5</v>
      </c>
      <c r="O413" s="147" t="str">
        <f t="shared" ca="1" si="267"/>
        <v/>
      </c>
      <c r="P413" s="147">
        <f t="shared" ref="P413:Q413" ca="1" si="429">IF(N413="",0,IF(N413&lt;=2,1,IF(N413&lt;=4,2,IF(N413&lt;=5.5,3,4))))</f>
        <v>1</v>
      </c>
      <c r="Q413" s="147">
        <f t="shared" ca="1" si="429"/>
        <v>0</v>
      </c>
      <c r="R413" s="147" t="str">
        <f t="shared" ca="1" si="269"/>
        <v>Regressed</v>
      </c>
      <c r="S413" s="147">
        <f t="shared" si="270"/>
        <v>1</v>
      </c>
      <c r="T413" s="147"/>
      <c r="U413" s="147"/>
      <c r="V413" s="147"/>
      <c r="W413" s="147"/>
      <c r="X413" s="147"/>
      <c r="Y413" s="147"/>
      <c r="Z413" s="147"/>
      <c r="AA413" s="147"/>
      <c r="AB413" s="147"/>
      <c r="AC413" s="147"/>
      <c r="AD413" s="147"/>
      <c r="AE413" s="147"/>
      <c r="AF413" s="147"/>
      <c r="AG413" s="147"/>
      <c r="AH413" s="147"/>
      <c r="AI413" s="147"/>
      <c r="AJ413" s="147"/>
      <c r="AK413" s="147"/>
      <c r="AL413" s="147"/>
      <c r="AM413" s="151"/>
      <c r="AN413" s="147"/>
      <c r="AO413" s="147"/>
      <c r="AP413" s="147"/>
      <c r="AQ413" s="147"/>
      <c r="AR413" s="147"/>
      <c r="AS413" s="147"/>
      <c r="AT413" s="147"/>
      <c r="AU413" s="147"/>
      <c r="AV413" s="147"/>
      <c r="AW413" s="147"/>
      <c r="AX413" s="147"/>
      <c r="AY413" s="147"/>
      <c r="AZ413" s="147"/>
      <c r="BA413" s="147"/>
      <c r="BB413" s="147"/>
      <c r="BC413" s="147"/>
      <c r="BD413" s="147"/>
      <c r="BE413" s="147"/>
      <c r="BF413" s="147"/>
      <c r="BG413" s="147"/>
      <c r="BH413" s="147"/>
      <c r="BI413" s="147"/>
      <c r="BJ413" s="147"/>
      <c r="BK413" s="147"/>
      <c r="BL413" s="147"/>
      <c r="BM413" s="147"/>
      <c r="BN413" s="147"/>
      <c r="BO413" s="147"/>
      <c r="BP413" s="147"/>
      <c r="BQ413" s="147"/>
      <c r="BR413" s="147"/>
      <c r="BS413" s="147"/>
      <c r="BT413" s="147"/>
      <c r="BU413" s="147"/>
      <c r="BV413" s="147"/>
      <c r="BW413" s="147"/>
      <c r="BX413" s="147"/>
      <c r="BY413" s="147"/>
      <c r="BZ413" s="147"/>
      <c r="CA413" s="147"/>
      <c r="CB413" s="147"/>
      <c r="CC413" s="147"/>
      <c r="CD413" s="147"/>
      <c r="CE413" s="147"/>
      <c r="CF413" s="147"/>
      <c r="CG413" s="147"/>
      <c r="CH413" s="147"/>
      <c r="CI413" s="147"/>
      <c r="CJ413" s="147"/>
      <c r="CK413" s="147"/>
    </row>
    <row r="414" spans="1:89">
      <c r="A414" s="159" t="s">
        <v>277</v>
      </c>
      <c r="B414" s="3" t="s">
        <v>278</v>
      </c>
      <c r="C414" s="160" t="s">
        <v>86</v>
      </c>
      <c r="D414" s="160" t="s">
        <v>879</v>
      </c>
      <c r="E414" s="3" t="s">
        <v>25</v>
      </c>
      <c r="F414" s="3" t="s">
        <v>25</v>
      </c>
      <c r="G414" s="3" t="s">
        <v>25</v>
      </c>
      <c r="H414" s="156" t="str">
        <f ca="1">IFERROR(
  _xludf.MINIFS(ATTENDANCE_LOG!$F:$F,
         ATTENDANCE_LOG!$A:$A, C414,
         ATTENDANCE_LOG!$B:$B, E414),
"")</f>
        <v/>
      </c>
      <c r="I414" s="156" t="str">
        <f t="shared" ca="1" si="266"/>
        <v/>
      </c>
      <c r="J414" s="3">
        <f>IFERROR(VLOOKUP(F414, LEVEL_HELPER!$A:$B, 2, 0), "")</f>
        <v>0.5</v>
      </c>
      <c r="K414" s="3">
        <f>IFERROR(VLOOKUP(G414, LEVEL_HELPER!$A:$B, 2, 0), "")</f>
        <v>0.5</v>
      </c>
      <c r="L414" s="157" t="s">
        <v>942</v>
      </c>
      <c r="M414" s="157" t="s">
        <v>923</v>
      </c>
      <c r="N414" s="3">
        <f t="array" aca="1" ref="N414" ca="1">IFERROR(
  INDEX($J$2:$J$543,
    MATCH(A414&amp;TEXT(I414,"yyyy-mm-dd"),
          $A$2:$A$543&amp;TEXT($H$2:$H$543,"yyyy-mm-dd"),
          0)),
"")</f>
        <v>0.5</v>
      </c>
      <c r="O414" s="147" t="str">
        <f t="shared" ca="1" si="267"/>
        <v/>
      </c>
      <c r="P414" s="147">
        <f t="shared" ref="P414:Q414" ca="1" si="430">IF(N414="",0,IF(N414&lt;=2,1,IF(N414&lt;=4,2,IF(N414&lt;=5.5,3,4))))</f>
        <v>1</v>
      </c>
      <c r="Q414" s="147">
        <f t="shared" ca="1" si="430"/>
        <v>0</v>
      </c>
      <c r="R414" s="147" t="str">
        <f t="shared" ca="1" si="269"/>
        <v>Regressed</v>
      </c>
      <c r="S414" s="147">
        <f t="shared" si="270"/>
        <v>1</v>
      </c>
      <c r="T414" s="147"/>
      <c r="U414" s="147"/>
      <c r="V414" s="147"/>
      <c r="W414" s="147"/>
      <c r="X414" s="147"/>
      <c r="Y414" s="147"/>
      <c r="Z414" s="147"/>
      <c r="AA414" s="147"/>
      <c r="AB414" s="147"/>
      <c r="AC414" s="147"/>
      <c r="AD414" s="147"/>
      <c r="AE414" s="147"/>
      <c r="AF414" s="147"/>
      <c r="AG414" s="147"/>
      <c r="AH414" s="147"/>
      <c r="AI414" s="147"/>
      <c r="AJ414" s="147"/>
      <c r="AK414" s="147"/>
      <c r="AL414" s="147"/>
      <c r="AM414" s="151"/>
      <c r="AN414" s="147"/>
      <c r="AO414" s="147"/>
      <c r="AP414" s="147"/>
      <c r="AQ414" s="147"/>
      <c r="AR414" s="147"/>
      <c r="AS414" s="147"/>
      <c r="AT414" s="147"/>
      <c r="AU414" s="147"/>
      <c r="AV414" s="147"/>
      <c r="AW414" s="147"/>
      <c r="AX414" s="147"/>
      <c r="AY414" s="147"/>
      <c r="AZ414" s="147"/>
      <c r="BA414" s="147"/>
      <c r="BB414" s="147"/>
      <c r="BC414" s="147"/>
      <c r="BD414" s="147"/>
      <c r="BE414" s="147"/>
      <c r="BF414" s="147"/>
      <c r="BG414" s="147"/>
      <c r="BH414" s="147"/>
      <c r="BI414" s="147"/>
      <c r="BJ414" s="147"/>
      <c r="BK414" s="147"/>
      <c r="BL414" s="147"/>
      <c r="BM414" s="147"/>
      <c r="BN414" s="147"/>
      <c r="BO414" s="147"/>
      <c r="BP414" s="147"/>
      <c r="BQ414" s="147"/>
      <c r="BR414" s="147"/>
      <c r="BS414" s="147"/>
      <c r="BT414" s="147"/>
      <c r="BU414" s="147"/>
      <c r="BV414" s="147"/>
      <c r="BW414" s="147"/>
      <c r="BX414" s="147"/>
      <c r="BY414" s="147"/>
      <c r="BZ414" s="147"/>
      <c r="CA414" s="147"/>
      <c r="CB414" s="147"/>
      <c r="CC414" s="147"/>
      <c r="CD414" s="147"/>
      <c r="CE414" s="147"/>
      <c r="CF414" s="147"/>
      <c r="CG414" s="147"/>
      <c r="CH414" s="147"/>
      <c r="CI414" s="147"/>
      <c r="CJ414" s="147"/>
      <c r="CK414" s="147"/>
    </row>
    <row r="415" spans="1:89">
      <c r="A415" s="159" t="s">
        <v>355</v>
      </c>
      <c r="B415" s="3" t="s">
        <v>356</v>
      </c>
      <c r="C415" s="160" t="s">
        <v>86</v>
      </c>
      <c r="D415" s="160" t="s">
        <v>879</v>
      </c>
      <c r="E415" s="3" t="s">
        <v>25</v>
      </c>
      <c r="F415" s="3" t="s">
        <v>25</v>
      </c>
      <c r="G415" s="3" t="s">
        <v>25</v>
      </c>
      <c r="H415" s="156" t="str">
        <f ca="1">IFERROR(
  _xludf.MINIFS(ATTENDANCE_LOG!$F:$F,
         ATTENDANCE_LOG!$A:$A, C415,
         ATTENDANCE_LOG!$B:$B, E415),
"")</f>
        <v/>
      </c>
      <c r="I415" s="156" t="str">
        <f t="shared" ca="1" si="266"/>
        <v/>
      </c>
      <c r="J415" s="3">
        <f>IFERROR(VLOOKUP(F415, LEVEL_HELPER!$A:$B, 2, 0), "")</f>
        <v>0.5</v>
      </c>
      <c r="K415" s="3">
        <f>IFERROR(VLOOKUP(G415, LEVEL_HELPER!$A:$B, 2, 0), "")</f>
        <v>0.5</v>
      </c>
      <c r="L415" s="157" t="s">
        <v>942</v>
      </c>
      <c r="M415" s="157" t="s">
        <v>923</v>
      </c>
      <c r="N415" s="3">
        <f t="array" aca="1" ref="N415" ca="1">IFERROR(
  INDEX($J$2:$J$543,
    MATCH(A415&amp;TEXT(I415,"yyyy-mm-dd"),
          $A$2:$A$543&amp;TEXT($H$2:$H$543,"yyyy-mm-dd"),
          0)),
"")</f>
        <v>0.5</v>
      </c>
      <c r="O415" s="147" t="str">
        <f t="shared" ca="1" si="267"/>
        <v/>
      </c>
      <c r="P415" s="147">
        <f t="shared" ref="P415:Q415" ca="1" si="431">IF(N415="",0,IF(N415&lt;=2,1,IF(N415&lt;=4,2,IF(N415&lt;=5.5,3,4))))</f>
        <v>1</v>
      </c>
      <c r="Q415" s="147">
        <f t="shared" ca="1" si="431"/>
        <v>0</v>
      </c>
      <c r="R415" s="147" t="str">
        <f t="shared" ca="1" si="269"/>
        <v>Regressed</v>
      </c>
      <c r="S415" s="147">
        <f t="shared" si="270"/>
        <v>1</v>
      </c>
      <c r="T415" s="147"/>
      <c r="U415" s="147"/>
      <c r="V415" s="147"/>
      <c r="W415" s="147"/>
      <c r="X415" s="147"/>
      <c r="Y415" s="147"/>
      <c r="Z415" s="147"/>
      <c r="AA415" s="147"/>
      <c r="AB415" s="147"/>
      <c r="AC415" s="147"/>
      <c r="AD415" s="147"/>
      <c r="AE415" s="147"/>
      <c r="AF415" s="147"/>
      <c r="AG415" s="147"/>
      <c r="AH415" s="147"/>
      <c r="AI415" s="147"/>
      <c r="AJ415" s="147"/>
      <c r="AK415" s="147"/>
      <c r="AL415" s="147"/>
      <c r="AM415" s="151"/>
      <c r="AN415" s="147"/>
      <c r="AO415" s="147"/>
      <c r="AP415" s="147"/>
      <c r="AQ415" s="147"/>
      <c r="AR415" s="147"/>
      <c r="AS415" s="147"/>
      <c r="AT415" s="147"/>
      <c r="AU415" s="147"/>
      <c r="AV415" s="147"/>
      <c r="AW415" s="147"/>
      <c r="AX415" s="147"/>
      <c r="AY415" s="147"/>
      <c r="AZ415" s="147"/>
      <c r="BA415" s="147"/>
      <c r="BB415" s="147"/>
      <c r="BC415" s="147"/>
      <c r="BD415" s="147"/>
      <c r="BE415" s="147"/>
      <c r="BF415" s="147"/>
      <c r="BG415" s="147"/>
      <c r="BH415" s="147"/>
      <c r="BI415" s="147"/>
      <c r="BJ415" s="147"/>
      <c r="BK415" s="147"/>
      <c r="BL415" s="147"/>
      <c r="BM415" s="147"/>
      <c r="BN415" s="147"/>
      <c r="BO415" s="147"/>
      <c r="BP415" s="147"/>
      <c r="BQ415" s="147"/>
      <c r="BR415" s="147"/>
      <c r="BS415" s="147"/>
      <c r="BT415" s="147"/>
      <c r="BU415" s="147"/>
      <c r="BV415" s="147"/>
      <c r="BW415" s="147"/>
      <c r="BX415" s="147"/>
      <c r="BY415" s="147"/>
      <c r="BZ415" s="147"/>
      <c r="CA415" s="147"/>
      <c r="CB415" s="147"/>
      <c r="CC415" s="147"/>
      <c r="CD415" s="147"/>
      <c r="CE415" s="147"/>
      <c r="CF415" s="147"/>
      <c r="CG415" s="147"/>
      <c r="CH415" s="147"/>
      <c r="CI415" s="147"/>
      <c r="CJ415" s="147"/>
      <c r="CK415" s="147"/>
    </row>
    <row r="416" spans="1:89">
      <c r="A416" s="159" t="s">
        <v>429</v>
      </c>
      <c r="B416" s="3" t="s">
        <v>430</v>
      </c>
      <c r="C416" s="160" t="s">
        <v>86</v>
      </c>
      <c r="D416" s="160" t="s">
        <v>879</v>
      </c>
      <c r="E416" s="3" t="s">
        <v>25</v>
      </c>
      <c r="F416" s="3" t="s">
        <v>25</v>
      </c>
      <c r="G416" s="3" t="s">
        <v>25</v>
      </c>
      <c r="H416" s="156" t="str">
        <f ca="1">IFERROR(
  _xludf.MINIFS(ATTENDANCE_LOG!$F:$F,
         ATTENDANCE_LOG!$A:$A, C416,
         ATTENDANCE_LOG!$B:$B, E416),
"")</f>
        <v/>
      </c>
      <c r="I416" s="156" t="str">
        <f t="shared" ca="1" si="266"/>
        <v/>
      </c>
      <c r="J416" s="3">
        <f>IFERROR(VLOOKUP(F416, LEVEL_HELPER!$A:$B, 2, 0), "")</f>
        <v>0.5</v>
      </c>
      <c r="K416" s="3">
        <f>IFERROR(VLOOKUP(G416, LEVEL_HELPER!$A:$B, 2, 0), "")</f>
        <v>0.5</v>
      </c>
      <c r="L416" s="157" t="s">
        <v>943</v>
      </c>
      <c r="M416" s="157" t="s">
        <v>923</v>
      </c>
      <c r="N416" s="3">
        <f t="array" aca="1" ref="N416" ca="1">IFERROR(
  INDEX($J$2:$J$543,
    MATCH(A416&amp;TEXT(I416,"yyyy-mm-dd"),
          $A$2:$A$543&amp;TEXT($H$2:$H$543,"yyyy-mm-dd"),
          0)),
"")</f>
        <v>0.5</v>
      </c>
      <c r="O416" s="147" t="str">
        <f t="shared" ca="1" si="267"/>
        <v/>
      </c>
      <c r="P416" s="147">
        <f t="shared" ref="P416:Q416" ca="1" si="432">IF(N416="",0,IF(N416&lt;=2,1,IF(N416&lt;=4,2,IF(N416&lt;=5.5,3,4))))</f>
        <v>1</v>
      </c>
      <c r="Q416" s="147">
        <f t="shared" ca="1" si="432"/>
        <v>0</v>
      </c>
      <c r="R416" s="147" t="str">
        <f t="shared" ca="1" si="269"/>
        <v>Regressed</v>
      </c>
      <c r="S416" s="147">
        <f t="shared" si="270"/>
        <v>1</v>
      </c>
      <c r="T416" s="147"/>
      <c r="U416" s="147"/>
      <c r="V416" s="147"/>
      <c r="W416" s="147"/>
      <c r="X416" s="147"/>
      <c r="Y416" s="147"/>
      <c r="Z416" s="147"/>
      <c r="AA416" s="147"/>
      <c r="AB416" s="147"/>
      <c r="AC416" s="147"/>
      <c r="AD416" s="147"/>
      <c r="AE416" s="147"/>
      <c r="AF416" s="147"/>
      <c r="AG416" s="147"/>
      <c r="AH416" s="147"/>
      <c r="AI416" s="147"/>
      <c r="AJ416" s="147"/>
      <c r="AK416" s="147"/>
      <c r="AL416" s="147"/>
      <c r="AM416" s="151"/>
      <c r="AN416" s="147"/>
      <c r="AO416" s="147"/>
      <c r="AP416" s="147"/>
      <c r="AQ416" s="147"/>
      <c r="AR416" s="147"/>
      <c r="AS416" s="147"/>
      <c r="AT416" s="147"/>
      <c r="AU416" s="147"/>
      <c r="AV416" s="147"/>
      <c r="AW416" s="147"/>
      <c r="AX416" s="147"/>
      <c r="AY416" s="147"/>
      <c r="AZ416" s="147"/>
      <c r="BA416" s="147"/>
      <c r="BB416" s="147"/>
      <c r="BC416" s="147"/>
      <c r="BD416" s="147"/>
      <c r="BE416" s="147"/>
      <c r="BF416" s="147"/>
      <c r="BG416" s="147"/>
      <c r="BH416" s="147"/>
      <c r="BI416" s="147"/>
      <c r="BJ416" s="147"/>
      <c r="BK416" s="147"/>
      <c r="BL416" s="147"/>
      <c r="BM416" s="147"/>
      <c r="BN416" s="147"/>
      <c r="BO416" s="147"/>
      <c r="BP416" s="147"/>
      <c r="BQ416" s="147"/>
      <c r="BR416" s="147"/>
      <c r="BS416" s="147"/>
      <c r="BT416" s="147"/>
      <c r="BU416" s="147"/>
      <c r="BV416" s="147"/>
      <c r="BW416" s="147"/>
      <c r="BX416" s="147"/>
      <c r="BY416" s="147"/>
      <c r="BZ416" s="147"/>
      <c r="CA416" s="147"/>
      <c r="CB416" s="147"/>
      <c r="CC416" s="147"/>
      <c r="CD416" s="147"/>
      <c r="CE416" s="147"/>
      <c r="CF416" s="147"/>
      <c r="CG416" s="147"/>
      <c r="CH416" s="147"/>
      <c r="CI416" s="147"/>
      <c r="CJ416" s="147"/>
      <c r="CK416" s="147"/>
    </row>
    <row r="417" spans="1:89">
      <c r="A417" s="159" t="s">
        <v>538</v>
      </c>
      <c r="B417" s="3" t="s">
        <v>539</v>
      </c>
      <c r="C417" s="160" t="s">
        <v>86</v>
      </c>
      <c r="D417" s="160" t="s">
        <v>879</v>
      </c>
      <c r="E417" s="3" t="s">
        <v>25</v>
      </c>
      <c r="F417" s="3" t="s">
        <v>25</v>
      </c>
      <c r="G417" s="3" t="s">
        <v>25</v>
      </c>
      <c r="H417" s="156" t="str">
        <f ca="1">IFERROR(
  _xludf.MINIFS(ATTENDANCE_LOG!$F:$F,
         ATTENDANCE_LOG!$A:$A, C417,
         ATTENDANCE_LOG!$B:$B, E417),
"")</f>
        <v/>
      </c>
      <c r="I417" s="156" t="str">
        <f t="shared" ca="1" si="266"/>
        <v/>
      </c>
      <c r="J417" s="3">
        <f>IFERROR(VLOOKUP(F417, LEVEL_HELPER!$A:$B, 2, 0), "")</f>
        <v>0.5</v>
      </c>
      <c r="K417" s="3">
        <f>IFERROR(VLOOKUP(G417, LEVEL_HELPER!$A:$B, 2, 0), "")</f>
        <v>0.5</v>
      </c>
      <c r="L417" s="157" t="s">
        <v>942</v>
      </c>
      <c r="M417" s="157" t="s">
        <v>923</v>
      </c>
      <c r="N417" s="3">
        <f t="array" aca="1" ref="N417" ca="1">IFERROR(
  INDEX($J$2:$J$543,
    MATCH(A417&amp;TEXT(I417,"yyyy-mm-dd"),
          $A$2:$A$543&amp;TEXT($H$2:$H$543,"yyyy-mm-dd"),
          0)),
"")</f>
        <v>0.5</v>
      </c>
      <c r="O417" s="147" t="str">
        <f t="shared" ca="1" si="267"/>
        <v/>
      </c>
      <c r="P417" s="147">
        <f t="shared" ref="P417:Q417" ca="1" si="433">IF(N417="",0,IF(N417&lt;=2,1,IF(N417&lt;=4,2,IF(N417&lt;=5.5,3,4))))</f>
        <v>1</v>
      </c>
      <c r="Q417" s="147">
        <f t="shared" ca="1" si="433"/>
        <v>0</v>
      </c>
      <c r="R417" s="147" t="str">
        <f t="shared" ca="1" si="269"/>
        <v>Regressed</v>
      </c>
      <c r="S417" s="147">
        <f t="shared" si="270"/>
        <v>1</v>
      </c>
      <c r="T417" s="147"/>
      <c r="U417" s="147"/>
      <c r="V417" s="147"/>
      <c r="W417" s="147"/>
      <c r="X417" s="147"/>
      <c r="Y417" s="147"/>
      <c r="Z417" s="147"/>
      <c r="AA417" s="147"/>
      <c r="AB417" s="147"/>
      <c r="AC417" s="147"/>
      <c r="AD417" s="147"/>
      <c r="AE417" s="147"/>
      <c r="AF417" s="147"/>
      <c r="AG417" s="147"/>
      <c r="AH417" s="147"/>
      <c r="AI417" s="147"/>
      <c r="AJ417" s="147"/>
      <c r="AK417" s="147"/>
      <c r="AL417" s="147"/>
      <c r="AM417" s="151"/>
      <c r="AN417" s="147"/>
      <c r="AO417" s="147"/>
      <c r="AP417" s="147"/>
      <c r="AQ417" s="147"/>
      <c r="AR417" s="147"/>
      <c r="AS417" s="147"/>
      <c r="AT417" s="147"/>
      <c r="AU417" s="147"/>
      <c r="AV417" s="147"/>
      <c r="AW417" s="147"/>
      <c r="AX417" s="147"/>
      <c r="AY417" s="147"/>
      <c r="AZ417" s="147"/>
      <c r="BA417" s="147"/>
      <c r="BB417" s="147"/>
      <c r="BC417" s="147"/>
      <c r="BD417" s="147"/>
      <c r="BE417" s="147"/>
      <c r="BF417" s="147"/>
      <c r="BG417" s="147"/>
      <c r="BH417" s="147"/>
      <c r="BI417" s="147"/>
      <c r="BJ417" s="147"/>
      <c r="BK417" s="147"/>
      <c r="BL417" s="147"/>
      <c r="BM417" s="147"/>
      <c r="BN417" s="147"/>
      <c r="BO417" s="147"/>
      <c r="BP417" s="147"/>
      <c r="BQ417" s="147"/>
      <c r="BR417" s="147"/>
      <c r="BS417" s="147"/>
      <c r="BT417" s="147"/>
      <c r="BU417" s="147"/>
      <c r="BV417" s="147"/>
      <c r="BW417" s="147"/>
      <c r="BX417" s="147"/>
      <c r="BY417" s="147"/>
      <c r="BZ417" s="147"/>
      <c r="CA417" s="147"/>
      <c r="CB417" s="147"/>
      <c r="CC417" s="147"/>
      <c r="CD417" s="147"/>
      <c r="CE417" s="147"/>
      <c r="CF417" s="147"/>
      <c r="CG417" s="147"/>
      <c r="CH417" s="147"/>
      <c r="CI417" s="147"/>
      <c r="CJ417" s="147"/>
      <c r="CK417" s="147"/>
    </row>
    <row r="418" spans="1:89">
      <c r="A418" s="159" t="s">
        <v>629</v>
      </c>
      <c r="B418" s="3" t="s">
        <v>630</v>
      </c>
      <c r="C418" s="160" t="s">
        <v>86</v>
      </c>
      <c r="D418" s="160" t="s">
        <v>879</v>
      </c>
      <c r="E418" s="3" t="s">
        <v>25</v>
      </c>
      <c r="F418" s="3" t="s">
        <v>25</v>
      </c>
      <c r="G418" s="3" t="s">
        <v>25</v>
      </c>
      <c r="H418" s="156" t="str">
        <f ca="1">IFERROR(
  _xludf.MINIFS(ATTENDANCE_LOG!$F:$F,
         ATTENDANCE_LOG!$A:$A, C418,
         ATTENDANCE_LOG!$B:$B, E418),
"")</f>
        <v/>
      </c>
      <c r="I418" s="156" t="str">
        <f t="shared" ca="1" si="266"/>
        <v/>
      </c>
      <c r="J418" s="3">
        <f>IFERROR(VLOOKUP(F418, LEVEL_HELPER!$A:$B, 2, 0), "")</f>
        <v>0.5</v>
      </c>
      <c r="K418" s="3">
        <f>IFERROR(VLOOKUP(G418, LEVEL_HELPER!$A:$B, 2, 0), "")</f>
        <v>0.5</v>
      </c>
      <c r="L418" s="157" t="s">
        <v>942</v>
      </c>
      <c r="M418" s="157" t="s">
        <v>923</v>
      </c>
      <c r="N418" s="3">
        <f t="array" aca="1" ref="N418" ca="1">IFERROR(
  INDEX($J$2:$J$543,
    MATCH(A418&amp;TEXT(I418,"yyyy-mm-dd"),
          $A$2:$A$543&amp;TEXT($H$2:$H$543,"yyyy-mm-dd"),
          0)),
"")</f>
        <v>0.5</v>
      </c>
      <c r="O418" s="147" t="str">
        <f t="shared" ca="1" si="267"/>
        <v/>
      </c>
      <c r="P418" s="147">
        <f t="shared" ref="P418:Q418" ca="1" si="434">IF(N418="",0,IF(N418&lt;=2,1,IF(N418&lt;=4,2,IF(N418&lt;=5.5,3,4))))</f>
        <v>1</v>
      </c>
      <c r="Q418" s="147">
        <f t="shared" ca="1" si="434"/>
        <v>0</v>
      </c>
      <c r="R418" s="147" t="str">
        <f t="shared" ca="1" si="269"/>
        <v>Regressed</v>
      </c>
      <c r="S418" s="147">
        <f t="shared" si="270"/>
        <v>1</v>
      </c>
      <c r="T418" s="147"/>
      <c r="U418" s="147"/>
      <c r="V418" s="147"/>
      <c r="W418" s="147"/>
      <c r="X418" s="147"/>
      <c r="Y418" s="147"/>
      <c r="Z418" s="147"/>
      <c r="AA418" s="147"/>
      <c r="AB418" s="147"/>
      <c r="AC418" s="147"/>
      <c r="AD418" s="147"/>
      <c r="AE418" s="147"/>
      <c r="AF418" s="147"/>
      <c r="AG418" s="147"/>
      <c r="AH418" s="147"/>
      <c r="AI418" s="147"/>
      <c r="AJ418" s="147"/>
      <c r="AK418" s="147"/>
      <c r="AL418" s="147"/>
      <c r="AM418" s="151"/>
      <c r="AN418" s="147"/>
      <c r="AO418" s="147"/>
      <c r="AP418" s="147"/>
      <c r="AQ418" s="147"/>
      <c r="AR418" s="147"/>
      <c r="AS418" s="147"/>
      <c r="AT418" s="147"/>
      <c r="AU418" s="147"/>
      <c r="AV418" s="147"/>
      <c r="AW418" s="147"/>
      <c r="AX418" s="147"/>
      <c r="AY418" s="147"/>
      <c r="AZ418" s="147"/>
      <c r="BA418" s="147"/>
      <c r="BB418" s="147"/>
      <c r="BC418" s="147"/>
      <c r="BD418" s="147"/>
      <c r="BE418" s="147"/>
      <c r="BF418" s="147"/>
      <c r="BG418" s="147"/>
      <c r="BH418" s="147"/>
      <c r="BI418" s="147"/>
      <c r="BJ418" s="147"/>
      <c r="BK418" s="147"/>
      <c r="BL418" s="147"/>
      <c r="BM418" s="147"/>
      <c r="BN418" s="147"/>
      <c r="BO418" s="147"/>
      <c r="BP418" s="147"/>
      <c r="BQ418" s="147"/>
      <c r="BR418" s="147"/>
      <c r="BS418" s="147"/>
      <c r="BT418" s="147"/>
      <c r="BU418" s="147"/>
      <c r="BV418" s="147"/>
      <c r="BW418" s="147"/>
      <c r="BX418" s="147"/>
      <c r="BY418" s="147"/>
      <c r="BZ418" s="147"/>
      <c r="CA418" s="147"/>
      <c r="CB418" s="147"/>
      <c r="CC418" s="147"/>
      <c r="CD418" s="147"/>
      <c r="CE418" s="147"/>
      <c r="CF418" s="147"/>
      <c r="CG418" s="147"/>
      <c r="CH418" s="147"/>
      <c r="CI418" s="147"/>
      <c r="CJ418" s="147"/>
      <c r="CK418" s="147"/>
    </row>
    <row r="419" spans="1:89">
      <c r="A419" s="159" t="s">
        <v>679</v>
      </c>
      <c r="B419" s="3" t="s">
        <v>680</v>
      </c>
      <c r="C419" s="160" t="s">
        <v>86</v>
      </c>
      <c r="D419" s="160" t="s">
        <v>879</v>
      </c>
      <c r="E419" s="3" t="s">
        <v>25</v>
      </c>
      <c r="F419" s="3" t="s">
        <v>25</v>
      </c>
      <c r="G419" s="3" t="s">
        <v>25</v>
      </c>
      <c r="H419" s="156" t="str">
        <f ca="1">IFERROR(
  _xludf.MINIFS(ATTENDANCE_LOG!$F:$F,
         ATTENDANCE_LOG!$A:$A, C419,
         ATTENDANCE_LOG!$B:$B, E419),
"")</f>
        <v/>
      </c>
      <c r="I419" s="156" t="str">
        <f t="shared" ca="1" si="266"/>
        <v/>
      </c>
      <c r="J419" s="3">
        <f>IFERROR(VLOOKUP(F419, LEVEL_HELPER!$A:$B, 2, 0), "")</f>
        <v>0.5</v>
      </c>
      <c r="K419" s="3">
        <f>IFERROR(VLOOKUP(G419, LEVEL_HELPER!$A:$B, 2, 0), "")</f>
        <v>0.5</v>
      </c>
      <c r="L419" s="157" t="s">
        <v>942</v>
      </c>
      <c r="M419" s="157" t="s">
        <v>923</v>
      </c>
      <c r="N419" s="3">
        <f t="array" aca="1" ref="N419" ca="1">IFERROR(
  INDEX($J$2:$J$543,
    MATCH(A419&amp;TEXT(I419,"yyyy-mm-dd"),
          $A$2:$A$543&amp;TEXT($H$2:$H$543,"yyyy-mm-dd"),
          0)),
"")</f>
        <v>0.5</v>
      </c>
      <c r="O419" s="147" t="str">
        <f t="shared" ca="1" si="267"/>
        <v/>
      </c>
      <c r="P419" s="147">
        <f t="shared" ref="P419:Q419" ca="1" si="435">IF(N419="",0,IF(N419&lt;=2,1,IF(N419&lt;=4,2,IF(N419&lt;=5.5,3,4))))</f>
        <v>1</v>
      </c>
      <c r="Q419" s="147">
        <f t="shared" ca="1" si="435"/>
        <v>0</v>
      </c>
      <c r="R419" s="147" t="str">
        <f t="shared" ca="1" si="269"/>
        <v>Regressed</v>
      </c>
      <c r="S419" s="147">
        <f t="shared" si="270"/>
        <v>1</v>
      </c>
      <c r="T419" s="147"/>
      <c r="U419" s="147"/>
      <c r="V419" s="147"/>
      <c r="W419" s="147"/>
      <c r="X419" s="147"/>
      <c r="Y419" s="147"/>
      <c r="Z419" s="147"/>
      <c r="AA419" s="147"/>
      <c r="AB419" s="147"/>
      <c r="AC419" s="147"/>
      <c r="AD419" s="147"/>
      <c r="AE419" s="147"/>
      <c r="AF419" s="147"/>
      <c r="AG419" s="147"/>
      <c r="AH419" s="147"/>
      <c r="AI419" s="147"/>
      <c r="AJ419" s="147"/>
      <c r="AK419" s="147"/>
      <c r="AL419" s="147"/>
      <c r="AM419" s="151"/>
      <c r="AN419" s="147"/>
      <c r="AO419" s="147"/>
      <c r="AP419" s="147"/>
      <c r="AQ419" s="147"/>
      <c r="AR419" s="147"/>
      <c r="AS419" s="147"/>
      <c r="AT419" s="147"/>
      <c r="AU419" s="147"/>
      <c r="AV419" s="147"/>
      <c r="AW419" s="147"/>
      <c r="AX419" s="147"/>
      <c r="AY419" s="147"/>
      <c r="AZ419" s="147"/>
      <c r="BA419" s="147"/>
      <c r="BB419" s="147"/>
      <c r="BC419" s="147"/>
      <c r="BD419" s="147"/>
      <c r="BE419" s="147"/>
      <c r="BF419" s="147"/>
      <c r="BG419" s="147"/>
      <c r="BH419" s="147"/>
      <c r="BI419" s="147"/>
      <c r="BJ419" s="147"/>
      <c r="BK419" s="147"/>
      <c r="BL419" s="147"/>
      <c r="BM419" s="147"/>
      <c r="BN419" s="147"/>
      <c r="BO419" s="147"/>
      <c r="BP419" s="147"/>
      <c r="BQ419" s="147"/>
      <c r="BR419" s="147"/>
      <c r="BS419" s="147"/>
      <c r="BT419" s="147"/>
      <c r="BU419" s="147"/>
      <c r="BV419" s="147"/>
      <c r="BW419" s="147"/>
      <c r="BX419" s="147"/>
      <c r="BY419" s="147"/>
      <c r="BZ419" s="147"/>
      <c r="CA419" s="147"/>
      <c r="CB419" s="147"/>
      <c r="CC419" s="147"/>
      <c r="CD419" s="147"/>
      <c r="CE419" s="147"/>
      <c r="CF419" s="147"/>
      <c r="CG419" s="147"/>
      <c r="CH419" s="147"/>
      <c r="CI419" s="147"/>
      <c r="CJ419" s="147"/>
      <c r="CK419" s="147"/>
    </row>
    <row r="420" spans="1:89">
      <c r="A420" s="159" t="s">
        <v>691</v>
      </c>
      <c r="B420" s="3" t="s">
        <v>692</v>
      </c>
      <c r="C420" s="160" t="s">
        <v>86</v>
      </c>
      <c r="D420" s="160" t="s">
        <v>879</v>
      </c>
      <c r="E420" s="3" t="s">
        <v>25</v>
      </c>
      <c r="F420" s="3" t="s">
        <v>25</v>
      </c>
      <c r="G420" s="3" t="s">
        <v>25</v>
      </c>
      <c r="H420" s="156" t="str">
        <f ca="1">IFERROR(
  _xludf.MINIFS(ATTENDANCE_LOG!$F:$F,
         ATTENDANCE_LOG!$A:$A, C420,
         ATTENDANCE_LOG!$B:$B, E420),
"")</f>
        <v/>
      </c>
      <c r="I420" s="156" t="str">
        <f t="shared" ca="1" si="266"/>
        <v/>
      </c>
      <c r="J420" s="3">
        <f>IFERROR(VLOOKUP(F420, LEVEL_HELPER!$A:$B, 2, 0), "")</f>
        <v>0.5</v>
      </c>
      <c r="K420" s="3">
        <f>IFERROR(VLOOKUP(G420, LEVEL_HELPER!$A:$B, 2, 0), "")</f>
        <v>0.5</v>
      </c>
      <c r="L420" s="157" t="s">
        <v>942</v>
      </c>
      <c r="M420" s="157" t="s">
        <v>923</v>
      </c>
      <c r="N420" s="3">
        <f t="array" aca="1" ref="N420" ca="1">IFERROR(
  INDEX($J$2:$J$543,
    MATCH(A420&amp;TEXT(I420,"yyyy-mm-dd"),
          $A$2:$A$543&amp;TEXT($H$2:$H$543,"yyyy-mm-dd"),
          0)),
"")</f>
        <v>0.5</v>
      </c>
      <c r="O420" s="147" t="str">
        <f t="shared" ca="1" si="267"/>
        <v/>
      </c>
      <c r="P420" s="147">
        <f t="shared" ref="P420:Q420" ca="1" si="436">IF(N420="",0,IF(N420&lt;=2,1,IF(N420&lt;=4,2,IF(N420&lt;=5.5,3,4))))</f>
        <v>1</v>
      </c>
      <c r="Q420" s="147">
        <f t="shared" ca="1" si="436"/>
        <v>0</v>
      </c>
      <c r="R420" s="147" t="str">
        <f t="shared" ca="1" si="269"/>
        <v>Regressed</v>
      </c>
      <c r="S420" s="147">
        <f t="shared" si="270"/>
        <v>1</v>
      </c>
      <c r="T420" s="147"/>
      <c r="U420" s="147"/>
      <c r="V420" s="147"/>
      <c r="W420" s="147"/>
      <c r="X420" s="147"/>
      <c r="Y420" s="147"/>
      <c r="Z420" s="147"/>
      <c r="AA420" s="147"/>
      <c r="AB420" s="147"/>
      <c r="AC420" s="147"/>
      <c r="AD420" s="147"/>
      <c r="AE420" s="147"/>
      <c r="AF420" s="147"/>
      <c r="AG420" s="147"/>
      <c r="AH420" s="147"/>
      <c r="AI420" s="147"/>
      <c r="AJ420" s="147"/>
      <c r="AK420" s="147"/>
      <c r="AL420" s="147"/>
      <c r="AM420" s="151"/>
      <c r="AN420" s="147"/>
      <c r="AO420" s="147"/>
      <c r="AP420" s="147"/>
      <c r="AQ420" s="147"/>
      <c r="AR420" s="147"/>
      <c r="AS420" s="147"/>
      <c r="AT420" s="147"/>
      <c r="AU420" s="147"/>
      <c r="AV420" s="147"/>
      <c r="AW420" s="147"/>
      <c r="AX420" s="147"/>
      <c r="AY420" s="147"/>
      <c r="AZ420" s="147"/>
      <c r="BA420" s="147"/>
      <c r="BB420" s="147"/>
      <c r="BC420" s="147"/>
      <c r="BD420" s="147"/>
      <c r="BE420" s="147"/>
      <c r="BF420" s="147"/>
      <c r="BG420" s="147"/>
      <c r="BH420" s="147"/>
      <c r="BI420" s="147"/>
      <c r="BJ420" s="147"/>
      <c r="BK420" s="147"/>
      <c r="BL420" s="147"/>
      <c r="BM420" s="147"/>
      <c r="BN420" s="147"/>
      <c r="BO420" s="147"/>
      <c r="BP420" s="147"/>
      <c r="BQ420" s="147"/>
      <c r="BR420" s="147"/>
      <c r="BS420" s="147"/>
      <c r="BT420" s="147"/>
      <c r="BU420" s="147"/>
      <c r="BV420" s="147"/>
      <c r="BW420" s="147"/>
      <c r="BX420" s="147"/>
      <c r="BY420" s="147"/>
      <c r="BZ420" s="147"/>
      <c r="CA420" s="147"/>
      <c r="CB420" s="147"/>
      <c r="CC420" s="147"/>
      <c r="CD420" s="147"/>
      <c r="CE420" s="147"/>
      <c r="CF420" s="147"/>
      <c r="CG420" s="147"/>
      <c r="CH420" s="147"/>
      <c r="CI420" s="147"/>
      <c r="CJ420" s="147"/>
      <c r="CK420" s="147"/>
    </row>
    <row r="421" spans="1:89">
      <c r="A421" s="153" t="s">
        <v>407</v>
      </c>
      <c r="B421" s="154" t="s">
        <v>408</v>
      </c>
      <c r="C421" s="155" t="s">
        <v>86</v>
      </c>
      <c r="D421" s="155" t="s">
        <v>879</v>
      </c>
      <c r="E421" s="154" t="s">
        <v>21</v>
      </c>
      <c r="F421" s="3" t="s">
        <v>926</v>
      </c>
      <c r="G421" s="3" t="s">
        <v>917</v>
      </c>
      <c r="H421" s="156" t="str">
        <f ca="1">IFERROR(
  _xludf.MINIFS(ATTENDANCE_LOG!$F:$F,
         ATTENDANCE_LOG!$A:$A, C421,
         ATTENDANCE_LOG!$B:$B, E421),
"")</f>
        <v/>
      </c>
      <c r="I421" s="156" t="str">
        <f t="shared" ca="1" si="266"/>
        <v/>
      </c>
      <c r="J421" s="3">
        <f>IFERROR(VLOOKUP(F421, LEVEL_HELPER!$A:$B, 2, 0), "")</f>
        <v>1</v>
      </c>
      <c r="K421" s="3">
        <f>IFERROR(VLOOKUP(G421, LEVEL_HELPER!$A:$B, 2, 0), "")</f>
        <v>3</v>
      </c>
      <c r="L421" s="157" t="s">
        <v>942</v>
      </c>
      <c r="M421" s="157" t="s">
        <v>923</v>
      </c>
      <c r="N421" s="3">
        <f t="array" aca="1" ref="N421" ca="1">IFERROR(
  INDEX($J$2:$J$543,
    MATCH(A421&amp;TEXT(I421,"yyyy-mm-dd"),
          $A$2:$A$543&amp;TEXT($H$2:$H$543,"yyyy-mm-dd"),
          0)),
"")</f>
        <v>0.5</v>
      </c>
      <c r="O421" s="147" t="str">
        <f t="shared" ca="1" si="267"/>
        <v/>
      </c>
      <c r="P421" s="147">
        <f t="shared" ref="P421:Q421" ca="1" si="437">IF(N421="",0,IF(N421&lt;=2,1,IF(N421&lt;=4,2,IF(N421&lt;=5.5,3,4))))</f>
        <v>1</v>
      </c>
      <c r="Q421" s="147">
        <f t="shared" ca="1" si="437"/>
        <v>0</v>
      </c>
      <c r="R421" s="147" t="str">
        <f t="shared" ca="1" si="269"/>
        <v>Regressed</v>
      </c>
      <c r="S421" s="147">
        <f t="shared" si="270"/>
        <v>0</v>
      </c>
      <c r="T421" s="147"/>
      <c r="U421" s="147"/>
      <c r="V421" s="147"/>
      <c r="W421" s="147"/>
      <c r="X421" s="147"/>
      <c r="Y421" s="147"/>
      <c r="Z421" s="147"/>
      <c r="AA421" s="147"/>
      <c r="AB421" s="147"/>
      <c r="AC421" s="147"/>
      <c r="AD421" s="147"/>
      <c r="AE421" s="147"/>
      <c r="AF421" s="147"/>
      <c r="AG421" s="147"/>
      <c r="AH421" s="147"/>
      <c r="AI421" s="147"/>
      <c r="AJ421" s="147"/>
      <c r="AK421" s="147"/>
      <c r="AL421" s="147"/>
      <c r="AM421" s="151"/>
      <c r="AN421" s="147"/>
      <c r="AO421" s="147"/>
      <c r="AP421" s="147"/>
      <c r="AQ421" s="147"/>
      <c r="AR421" s="147"/>
      <c r="AS421" s="147"/>
      <c r="AT421" s="147"/>
      <c r="AU421" s="147"/>
      <c r="AV421" s="147"/>
      <c r="AW421" s="147"/>
      <c r="AX421" s="147"/>
      <c r="AY421" s="147"/>
      <c r="AZ421" s="147"/>
      <c r="BA421" s="147"/>
      <c r="BB421" s="147"/>
      <c r="BC421" s="147"/>
      <c r="BD421" s="147"/>
      <c r="BE421" s="147"/>
      <c r="BF421" s="147"/>
      <c r="BG421" s="147"/>
      <c r="BH421" s="147"/>
      <c r="BI421" s="147"/>
      <c r="BJ421" s="147"/>
      <c r="BK421" s="147"/>
      <c r="BL421" s="147"/>
      <c r="BM421" s="147"/>
      <c r="BN421" s="147"/>
      <c r="BO421" s="147"/>
      <c r="BP421" s="147"/>
      <c r="BQ421" s="147"/>
      <c r="BR421" s="147"/>
      <c r="BS421" s="147"/>
      <c r="BT421" s="147"/>
      <c r="BU421" s="147"/>
      <c r="BV421" s="147"/>
      <c r="BW421" s="147"/>
      <c r="BX421" s="147"/>
      <c r="BY421" s="147"/>
      <c r="BZ421" s="147"/>
      <c r="CA421" s="147"/>
      <c r="CB421" s="147"/>
      <c r="CC421" s="147"/>
      <c r="CD421" s="147"/>
      <c r="CE421" s="147"/>
      <c r="CF421" s="147"/>
      <c r="CG421" s="147"/>
      <c r="CH421" s="147"/>
      <c r="CI421" s="147"/>
      <c r="CJ421" s="147"/>
      <c r="CK421" s="147"/>
    </row>
    <row r="422" spans="1:89">
      <c r="A422" s="159" t="s">
        <v>277</v>
      </c>
      <c r="B422" s="3" t="s">
        <v>278</v>
      </c>
      <c r="C422" s="160" t="s">
        <v>86</v>
      </c>
      <c r="D422" s="160" t="s">
        <v>879</v>
      </c>
      <c r="E422" s="3" t="s">
        <v>21</v>
      </c>
      <c r="F422" s="3" t="s">
        <v>926</v>
      </c>
      <c r="G422" s="3" t="s">
        <v>928</v>
      </c>
      <c r="H422" s="156" t="str">
        <f ca="1">IFERROR(
  _xludf.MINIFS(ATTENDANCE_LOG!$F:$F,
         ATTENDANCE_LOG!$A:$A, C422,
         ATTENDANCE_LOG!$B:$B, E422),
"")</f>
        <v/>
      </c>
      <c r="I422" s="156" t="str">
        <f t="shared" ca="1" si="266"/>
        <v/>
      </c>
      <c r="J422" s="3">
        <f>IFERROR(VLOOKUP(F422, LEVEL_HELPER!$A:$B, 2, 0), "")</f>
        <v>1</v>
      </c>
      <c r="K422" s="3">
        <f>IFERROR(VLOOKUP(G422, LEVEL_HELPER!$A:$B, 2, 0), "")</f>
        <v>1.5</v>
      </c>
      <c r="L422" s="157" t="s">
        <v>942</v>
      </c>
      <c r="M422" s="157" t="s">
        <v>923</v>
      </c>
      <c r="N422" s="3">
        <f t="array" aca="1" ref="N422" ca="1">IFERROR(
  INDEX($J$2:$J$543,
    MATCH(A422&amp;TEXT(I422,"yyyy-mm-dd"),
          $A$2:$A$543&amp;TEXT($H$2:$H$543,"yyyy-mm-dd"),
          0)),
"")</f>
        <v>0.5</v>
      </c>
      <c r="O422" s="147" t="str">
        <f t="shared" ca="1" si="267"/>
        <v/>
      </c>
      <c r="P422" s="147">
        <f t="shared" ref="P422:Q422" ca="1" si="438">IF(N422="",0,IF(N422&lt;=2,1,IF(N422&lt;=4,2,IF(N422&lt;=5.5,3,4))))</f>
        <v>1</v>
      </c>
      <c r="Q422" s="147">
        <f t="shared" ca="1" si="438"/>
        <v>0</v>
      </c>
      <c r="R422" s="147" t="str">
        <f t="shared" ca="1" si="269"/>
        <v>Regressed</v>
      </c>
      <c r="S422" s="147">
        <f t="shared" si="270"/>
        <v>0</v>
      </c>
      <c r="T422" s="147"/>
      <c r="U422" s="147"/>
      <c r="V422" s="147"/>
      <c r="W422" s="147"/>
      <c r="X422" s="147"/>
      <c r="Y422" s="147"/>
      <c r="Z422" s="147"/>
      <c r="AA422" s="147"/>
      <c r="AB422" s="147"/>
      <c r="AC422" s="147"/>
      <c r="AD422" s="147"/>
      <c r="AE422" s="147"/>
      <c r="AF422" s="147"/>
      <c r="AG422" s="147"/>
      <c r="AH422" s="147"/>
      <c r="AI422" s="147"/>
      <c r="AJ422" s="147"/>
      <c r="AK422" s="147"/>
      <c r="AL422" s="147"/>
      <c r="AM422" s="151"/>
      <c r="AN422" s="147"/>
      <c r="AO422" s="147"/>
      <c r="AP422" s="147"/>
      <c r="AQ422" s="147"/>
      <c r="AR422" s="147"/>
      <c r="AS422" s="147"/>
      <c r="AT422" s="147"/>
      <c r="AU422" s="147"/>
      <c r="AV422" s="147"/>
      <c r="AW422" s="147"/>
      <c r="AX422" s="147"/>
      <c r="AY422" s="147"/>
      <c r="AZ422" s="147"/>
      <c r="BA422" s="147"/>
      <c r="BB422" s="147"/>
      <c r="BC422" s="147"/>
      <c r="BD422" s="147"/>
      <c r="BE422" s="147"/>
      <c r="BF422" s="147"/>
      <c r="BG422" s="147"/>
      <c r="BH422" s="147"/>
      <c r="BI422" s="147"/>
      <c r="BJ422" s="147"/>
      <c r="BK422" s="147"/>
      <c r="BL422" s="147"/>
      <c r="BM422" s="147"/>
      <c r="BN422" s="147"/>
      <c r="BO422" s="147"/>
      <c r="BP422" s="147"/>
      <c r="BQ422" s="147"/>
      <c r="BR422" s="147"/>
      <c r="BS422" s="147"/>
      <c r="BT422" s="147"/>
      <c r="BU422" s="147"/>
      <c r="BV422" s="147"/>
      <c r="BW422" s="147"/>
      <c r="BX422" s="147"/>
      <c r="BY422" s="147"/>
      <c r="BZ422" s="147"/>
      <c r="CA422" s="147"/>
      <c r="CB422" s="147"/>
      <c r="CC422" s="147"/>
      <c r="CD422" s="147"/>
      <c r="CE422" s="147"/>
      <c r="CF422" s="147"/>
      <c r="CG422" s="147"/>
      <c r="CH422" s="147"/>
      <c r="CI422" s="147"/>
      <c r="CJ422" s="147"/>
      <c r="CK422" s="147"/>
    </row>
    <row r="423" spans="1:89">
      <c r="A423" s="159" t="s">
        <v>355</v>
      </c>
      <c r="B423" s="3" t="s">
        <v>356</v>
      </c>
      <c r="C423" s="160" t="s">
        <v>86</v>
      </c>
      <c r="D423" s="160" t="s">
        <v>879</v>
      </c>
      <c r="E423" s="3" t="s">
        <v>21</v>
      </c>
      <c r="F423" s="3"/>
      <c r="G423" s="3"/>
      <c r="H423" s="156" t="str">
        <f ca="1">IFERROR(
  _xludf.MINIFS(ATTENDANCE_LOG!$F:$F,
         ATTENDANCE_LOG!$A:$A, C423,
         ATTENDANCE_LOG!$B:$B, E423),
"")</f>
        <v/>
      </c>
      <c r="I423" s="156" t="str">
        <f t="shared" ca="1" si="266"/>
        <v/>
      </c>
      <c r="J423" s="3" t="str">
        <f>IFERROR(VLOOKUP(F423, LEVEL_HELPER!$A:$B, 2, 0), "")</f>
        <v/>
      </c>
      <c r="K423" s="3" t="str">
        <f>IFERROR(VLOOKUP(G423, LEVEL_HELPER!$A:$B, 2, 0), "")</f>
        <v/>
      </c>
      <c r="L423" s="157" t="s">
        <v>942</v>
      </c>
      <c r="M423" s="157" t="s">
        <v>923</v>
      </c>
      <c r="N423" s="3">
        <f t="array" aca="1" ref="N423" ca="1">IFERROR(
  INDEX($J$2:$J$543,
    MATCH(A423&amp;TEXT(I423,"yyyy-mm-dd"),
          $A$2:$A$543&amp;TEXT($H$2:$H$543,"yyyy-mm-dd"),
          0)),
"")</f>
        <v>0.5</v>
      </c>
      <c r="O423" s="147" t="str">
        <f t="shared" ca="1" si="267"/>
        <v/>
      </c>
      <c r="P423" s="147">
        <f t="shared" ref="P423:Q423" ca="1" si="439">IF(N423="",0,IF(N423&lt;=2,1,IF(N423&lt;=4,2,IF(N423&lt;=5.5,3,4))))</f>
        <v>1</v>
      </c>
      <c r="Q423" s="147">
        <f t="shared" ca="1" si="439"/>
        <v>0</v>
      </c>
      <c r="R423" s="147" t="str">
        <f t="shared" ca="1" si="269"/>
        <v>Regressed</v>
      </c>
      <c r="S423" s="147">
        <f t="shared" si="270"/>
        <v>0</v>
      </c>
      <c r="T423" s="147"/>
      <c r="U423" s="147"/>
      <c r="V423" s="147"/>
      <c r="W423" s="147"/>
      <c r="X423" s="147"/>
      <c r="Y423" s="147"/>
      <c r="Z423" s="147"/>
      <c r="AA423" s="147"/>
      <c r="AB423" s="147"/>
      <c r="AC423" s="147"/>
      <c r="AD423" s="147"/>
      <c r="AE423" s="147"/>
      <c r="AF423" s="147"/>
      <c r="AG423" s="147"/>
      <c r="AH423" s="147"/>
      <c r="AI423" s="147"/>
      <c r="AJ423" s="147"/>
      <c r="AK423" s="147"/>
      <c r="AL423" s="147"/>
      <c r="AM423" s="151"/>
      <c r="AN423" s="147"/>
      <c r="AO423" s="147"/>
      <c r="AP423" s="147"/>
      <c r="AQ423" s="147"/>
      <c r="AR423" s="147"/>
      <c r="AS423" s="147"/>
      <c r="AT423" s="147"/>
      <c r="AU423" s="147"/>
      <c r="AV423" s="147"/>
      <c r="AW423" s="147"/>
      <c r="AX423" s="147"/>
      <c r="AY423" s="147"/>
      <c r="AZ423" s="147"/>
      <c r="BA423" s="147"/>
      <c r="BB423" s="147"/>
      <c r="BC423" s="147"/>
      <c r="BD423" s="147"/>
      <c r="BE423" s="147"/>
      <c r="BF423" s="147"/>
      <c r="BG423" s="147"/>
      <c r="BH423" s="147"/>
      <c r="BI423" s="147"/>
      <c r="BJ423" s="147"/>
      <c r="BK423" s="147"/>
      <c r="BL423" s="147"/>
      <c r="BM423" s="147"/>
      <c r="BN423" s="147"/>
      <c r="BO423" s="147"/>
      <c r="BP423" s="147"/>
      <c r="BQ423" s="147"/>
      <c r="BR423" s="147"/>
      <c r="BS423" s="147"/>
      <c r="BT423" s="147"/>
      <c r="BU423" s="147"/>
      <c r="BV423" s="147"/>
      <c r="BW423" s="147"/>
      <c r="BX423" s="147"/>
      <c r="BY423" s="147"/>
      <c r="BZ423" s="147"/>
      <c r="CA423" s="147"/>
      <c r="CB423" s="147"/>
      <c r="CC423" s="147"/>
      <c r="CD423" s="147"/>
      <c r="CE423" s="147"/>
      <c r="CF423" s="147"/>
      <c r="CG423" s="147"/>
      <c r="CH423" s="147"/>
      <c r="CI423" s="147"/>
      <c r="CJ423" s="147"/>
      <c r="CK423" s="147"/>
    </row>
    <row r="424" spans="1:89">
      <c r="A424" s="159" t="s">
        <v>429</v>
      </c>
      <c r="B424" s="3" t="s">
        <v>430</v>
      </c>
      <c r="C424" s="160" t="s">
        <v>86</v>
      </c>
      <c r="D424" s="160" t="s">
        <v>879</v>
      </c>
      <c r="E424" s="3" t="s">
        <v>21</v>
      </c>
      <c r="F424" s="3" t="s">
        <v>926</v>
      </c>
      <c r="G424" s="3" t="s">
        <v>917</v>
      </c>
      <c r="H424" s="156" t="str">
        <f ca="1">IFERROR(
  _xludf.MINIFS(ATTENDANCE_LOG!$F:$F,
         ATTENDANCE_LOG!$A:$A, C424,
         ATTENDANCE_LOG!$B:$B, E424),
"")</f>
        <v/>
      </c>
      <c r="I424" s="156" t="str">
        <f t="shared" ca="1" si="266"/>
        <v/>
      </c>
      <c r="J424" s="3">
        <f>IFERROR(VLOOKUP(F424, LEVEL_HELPER!$A:$B, 2, 0), "")</f>
        <v>1</v>
      </c>
      <c r="K424" s="3">
        <f>IFERROR(VLOOKUP(G424, LEVEL_HELPER!$A:$B, 2, 0), "")</f>
        <v>3</v>
      </c>
      <c r="L424" s="157" t="s">
        <v>943</v>
      </c>
      <c r="M424" s="157" t="s">
        <v>923</v>
      </c>
      <c r="N424" s="3">
        <f t="array" aca="1" ref="N424" ca="1">IFERROR(
  INDEX($J$2:$J$543,
    MATCH(A424&amp;TEXT(I424,"yyyy-mm-dd"),
          $A$2:$A$543&amp;TEXT($H$2:$H$543,"yyyy-mm-dd"),
          0)),
"")</f>
        <v>0.5</v>
      </c>
      <c r="O424" s="147" t="str">
        <f t="shared" ca="1" si="267"/>
        <v/>
      </c>
      <c r="P424" s="147">
        <f t="shared" ref="P424:Q424" ca="1" si="440">IF(N424="",0,IF(N424&lt;=2,1,IF(N424&lt;=4,2,IF(N424&lt;=5.5,3,4))))</f>
        <v>1</v>
      </c>
      <c r="Q424" s="147">
        <f t="shared" ca="1" si="440"/>
        <v>0</v>
      </c>
      <c r="R424" s="147" t="str">
        <f t="shared" ca="1" si="269"/>
        <v>Regressed</v>
      </c>
      <c r="S424" s="147">
        <f t="shared" si="270"/>
        <v>0</v>
      </c>
      <c r="T424" s="147"/>
      <c r="U424" s="147"/>
      <c r="V424" s="147"/>
      <c r="W424" s="147"/>
      <c r="X424" s="147"/>
      <c r="Y424" s="147"/>
      <c r="Z424" s="147"/>
      <c r="AA424" s="147"/>
      <c r="AB424" s="147"/>
      <c r="AC424" s="147"/>
      <c r="AD424" s="147"/>
      <c r="AE424" s="147"/>
      <c r="AF424" s="147"/>
      <c r="AG424" s="147"/>
      <c r="AH424" s="147"/>
      <c r="AI424" s="147"/>
      <c r="AJ424" s="147"/>
      <c r="AK424" s="147"/>
      <c r="AL424" s="147"/>
      <c r="AM424" s="151"/>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c r="BI424" s="147"/>
      <c r="BJ424" s="147"/>
      <c r="BK424" s="147"/>
      <c r="BL424" s="147"/>
      <c r="BM424" s="147"/>
      <c r="BN424" s="147"/>
      <c r="BO424" s="147"/>
      <c r="BP424" s="147"/>
      <c r="BQ424" s="147"/>
      <c r="BR424" s="147"/>
      <c r="BS424" s="147"/>
      <c r="BT424" s="147"/>
      <c r="BU424" s="147"/>
      <c r="BV424" s="147"/>
      <c r="BW424" s="147"/>
      <c r="BX424" s="147"/>
      <c r="BY424" s="147"/>
      <c r="BZ424" s="147"/>
      <c r="CA424" s="147"/>
      <c r="CB424" s="147"/>
      <c r="CC424" s="147"/>
      <c r="CD424" s="147"/>
      <c r="CE424" s="147"/>
      <c r="CF424" s="147"/>
      <c r="CG424" s="147"/>
      <c r="CH424" s="147"/>
      <c r="CI424" s="147"/>
      <c r="CJ424" s="147"/>
      <c r="CK424" s="147"/>
    </row>
    <row r="425" spans="1:89">
      <c r="A425" s="159" t="s">
        <v>538</v>
      </c>
      <c r="B425" s="3" t="s">
        <v>539</v>
      </c>
      <c r="C425" s="160" t="s">
        <v>86</v>
      </c>
      <c r="D425" s="160" t="s">
        <v>879</v>
      </c>
      <c r="E425" s="3" t="s">
        <v>21</v>
      </c>
      <c r="F425" s="3" t="s">
        <v>926</v>
      </c>
      <c r="G425" s="3" t="s">
        <v>917</v>
      </c>
      <c r="H425" s="156" t="str">
        <f ca="1">IFERROR(
  _xludf.MINIFS(ATTENDANCE_LOG!$F:$F,
         ATTENDANCE_LOG!$A:$A, C425,
         ATTENDANCE_LOG!$B:$B, E425),
"")</f>
        <v/>
      </c>
      <c r="I425" s="156" t="str">
        <f t="shared" ca="1" si="266"/>
        <v/>
      </c>
      <c r="J425" s="3">
        <f>IFERROR(VLOOKUP(F425, LEVEL_HELPER!$A:$B, 2, 0), "")</f>
        <v>1</v>
      </c>
      <c r="K425" s="3">
        <f>IFERROR(VLOOKUP(G425, LEVEL_HELPER!$A:$B, 2, 0), "")</f>
        <v>3</v>
      </c>
      <c r="L425" s="157" t="s">
        <v>942</v>
      </c>
      <c r="M425" s="157" t="s">
        <v>923</v>
      </c>
      <c r="N425" s="3">
        <f t="array" aca="1" ref="N425" ca="1">IFERROR(
  INDEX($J$2:$J$543,
    MATCH(A425&amp;TEXT(I425,"yyyy-mm-dd"),
          $A$2:$A$543&amp;TEXT($H$2:$H$543,"yyyy-mm-dd"),
          0)),
"")</f>
        <v>0.5</v>
      </c>
      <c r="O425" s="147" t="str">
        <f t="shared" ca="1" si="267"/>
        <v/>
      </c>
      <c r="P425" s="147">
        <f t="shared" ref="P425:Q425" ca="1" si="441">IF(N425="",0,IF(N425&lt;=2,1,IF(N425&lt;=4,2,IF(N425&lt;=5.5,3,4))))</f>
        <v>1</v>
      </c>
      <c r="Q425" s="147">
        <f t="shared" ca="1" si="441"/>
        <v>0</v>
      </c>
      <c r="R425" s="147" t="str">
        <f t="shared" ca="1" si="269"/>
        <v>Regressed</v>
      </c>
      <c r="S425" s="147">
        <f t="shared" si="270"/>
        <v>0</v>
      </c>
      <c r="T425" s="147"/>
      <c r="U425" s="147"/>
      <c r="V425" s="147"/>
      <c r="W425" s="147"/>
      <c r="X425" s="147"/>
      <c r="Y425" s="147"/>
      <c r="Z425" s="147"/>
      <c r="AA425" s="147"/>
      <c r="AB425" s="147"/>
      <c r="AC425" s="147"/>
      <c r="AD425" s="147"/>
      <c r="AE425" s="147"/>
      <c r="AF425" s="147"/>
      <c r="AG425" s="147"/>
      <c r="AH425" s="147"/>
      <c r="AI425" s="147"/>
      <c r="AJ425" s="147"/>
      <c r="AK425" s="147"/>
      <c r="AL425" s="147"/>
      <c r="AM425" s="151"/>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c r="BI425" s="147"/>
      <c r="BJ425" s="147"/>
      <c r="BK425" s="147"/>
      <c r="BL425" s="147"/>
      <c r="BM425" s="147"/>
      <c r="BN425" s="147"/>
      <c r="BO425" s="147"/>
      <c r="BP425" s="147"/>
      <c r="BQ425" s="147"/>
      <c r="BR425" s="147"/>
      <c r="BS425" s="147"/>
      <c r="BT425" s="147"/>
      <c r="BU425" s="147"/>
      <c r="BV425" s="147"/>
      <c r="BW425" s="147"/>
      <c r="BX425" s="147"/>
      <c r="BY425" s="147"/>
      <c r="BZ425" s="147"/>
      <c r="CA425" s="147"/>
      <c r="CB425" s="147"/>
      <c r="CC425" s="147"/>
      <c r="CD425" s="147"/>
      <c r="CE425" s="147"/>
      <c r="CF425" s="147"/>
      <c r="CG425" s="147"/>
      <c r="CH425" s="147"/>
      <c r="CI425" s="147"/>
      <c r="CJ425" s="147"/>
      <c r="CK425" s="147"/>
    </row>
    <row r="426" spans="1:89">
      <c r="A426" s="159" t="s">
        <v>629</v>
      </c>
      <c r="B426" s="3" t="s">
        <v>630</v>
      </c>
      <c r="C426" s="160" t="s">
        <v>86</v>
      </c>
      <c r="D426" s="160" t="s">
        <v>879</v>
      </c>
      <c r="E426" s="3" t="s">
        <v>21</v>
      </c>
      <c r="F426" s="3"/>
      <c r="G426" s="3"/>
      <c r="H426" s="156" t="str">
        <f ca="1">IFERROR(
  _xludf.MINIFS(ATTENDANCE_LOG!$F:$F,
         ATTENDANCE_LOG!$A:$A, C426,
         ATTENDANCE_LOG!$B:$B, E426),
"")</f>
        <v/>
      </c>
      <c r="I426" s="156" t="str">
        <f t="shared" ca="1" si="266"/>
        <v/>
      </c>
      <c r="J426" s="3" t="str">
        <f>IFERROR(VLOOKUP(F426, LEVEL_HELPER!$A:$B, 2, 0), "")</f>
        <v/>
      </c>
      <c r="K426" s="3" t="str">
        <f>IFERROR(VLOOKUP(G426, LEVEL_HELPER!$A:$B, 2, 0), "")</f>
        <v/>
      </c>
      <c r="L426" s="157" t="s">
        <v>942</v>
      </c>
      <c r="M426" s="157" t="s">
        <v>923</v>
      </c>
      <c r="N426" s="3">
        <f t="array" aca="1" ref="N426" ca="1">IFERROR(
  INDEX($J$2:$J$543,
    MATCH(A426&amp;TEXT(I426,"yyyy-mm-dd"),
          $A$2:$A$543&amp;TEXT($H$2:$H$543,"yyyy-mm-dd"),
          0)),
"")</f>
        <v>0.5</v>
      </c>
      <c r="O426" s="147" t="str">
        <f t="shared" ca="1" si="267"/>
        <v/>
      </c>
      <c r="P426" s="147">
        <f t="shared" ref="P426:Q426" ca="1" si="442">IF(N426="",0,IF(N426&lt;=2,1,IF(N426&lt;=4,2,IF(N426&lt;=5.5,3,4))))</f>
        <v>1</v>
      </c>
      <c r="Q426" s="147">
        <f t="shared" ca="1" si="442"/>
        <v>0</v>
      </c>
      <c r="R426" s="147" t="str">
        <f t="shared" ca="1" si="269"/>
        <v>Regressed</v>
      </c>
      <c r="S426" s="147">
        <f t="shared" si="270"/>
        <v>0</v>
      </c>
      <c r="T426" s="147"/>
      <c r="U426" s="147"/>
      <c r="V426" s="147"/>
      <c r="W426" s="147"/>
      <c r="X426" s="147"/>
      <c r="Y426" s="147"/>
      <c r="Z426" s="147"/>
      <c r="AA426" s="147"/>
      <c r="AB426" s="147"/>
      <c r="AC426" s="147"/>
      <c r="AD426" s="147"/>
      <c r="AE426" s="147"/>
      <c r="AF426" s="147"/>
      <c r="AG426" s="147"/>
      <c r="AH426" s="147"/>
      <c r="AI426" s="147"/>
      <c r="AJ426" s="147"/>
      <c r="AK426" s="147"/>
      <c r="AL426" s="147"/>
      <c r="AM426" s="151"/>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c r="BI426" s="147"/>
      <c r="BJ426" s="147"/>
      <c r="BK426" s="147"/>
      <c r="BL426" s="147"/>
      <c r="BM426" s="147"/>
      <c r="BN426" s="147"/>
      <c r="BO426" s="147"/>
      <c r="BP426" s="147"/>
      <c r="BQ426" s="147"/>
      <c r="BR426" s="147"/>
      <c r="BS426" s="147"/>
      <c r="BT426" s="147"/>
      <c r="BU426" s="147"/>
      <c r="BV426" s="147"/>
      <c r="BW426" s="147"/>
      <c r="BX426" s="147"/>
      <c r="BY426" s="147"/>
      <c r="BZ426" s="147"/>
      <c r="CA426" s="147"/>
      <c r="CB426" s="147"/>
      <c r="CC426" s="147"/>
      <c r="CD426" s="147"/>
      <c r="CE426" s="147"/>
      <c r="CF426" s="147"/>
      <c r="CG426" s="147"/>
      <c r="CH426" s="147"/>
      <c r="CI426" s="147"/>
      <c r="CJ426" s="147"/>
      <c r="CK426" s="147"/>
    </row>
    <row r="427" spans="1:89">
      <c r="A427" s="159" t="s">
        <v>679</v>
      </c>
      <c r="B427" s="3" t="s">
        <v>680</v>
      </c>
      <c r="C427" s="160" t="s">
        <v>86</v>
      </c>
      <c r="D427" s="160" t="s">
        <v>879</v>
      </c>
      <c r="E427" s="3" t="s">
        <v>21</v>
      </c>
      <c r="F427" s="3" t="s">
        <v>926</v>
      </c>
      <c r="G427" s="3" t="s">
        <v>934</v>
      </c>
      <c r="H427" s="156" t="str">
        <f ca="1">IFERROR(
  _xludf.MINIFS(ATTENDANCE_LOG!$F:$F,
         ATTENDANCE_LOG!$A:$A, C427,
         ATTENDANCE_LOG!$B:$B, E427),
"")</f>
        <v/>
      </c>
      <c r="I427" s="156" t="str">
        <f t="shared" ca="1" si="266"/>
        <v/>
      </c>
      <c r="J427" s="3">
        <f>IFERROR(VLOOKUP(F427, LEVEL_HELPER!$A:$B, 2, 0), "")</f>
        <v>1</v>
      </c>
      <c r="K427" s="3">
        <f>IFERROR(VLOOKUP(G427, LEVEL_HELPER!$A:$B, 2, 0), "")</f>
        <v>3.5</v>
      </c>
      <c r="L427" s="157" t="s">
        <v>942</v>
      </c>
      <c r="M427" s="157" t="s">
        <v>923</v>
      </c>
      <c r="N427" s="3">
        <f t="array" aca="1" ref="N427" ca="1">IFERROR(
  INDEX($J$2:$J$543,
    MATCH(A427&amp;TEXT(I427,"yyyy-mm-dd"),
          $A$2:$A$543&amp;TEXT($H$2:$H$543,"yyyy-mm-dd"),
          0)),
"")</f>
        <v>0.5</v>
      </c>
      <c r="O427" s="147" t="str">
        <f t="shared" ca="1" si="267"/>
        <v/>
      </c>
      <c r="P427" s="147">
        <f t="shared" ref="P427:Q427" ca="1" si="443">IF(N427="",0,IF(N427&lt;=2,1,IF(N427&lt;=4,2,IF(N427&lt;=5.5,3,4))))</f>
        <v>1</v>
      </c>
      <c r="Q427" s="147">
        <f t="shared" ca="1" si="443"/>
        <v>0</v>
      </c>
      <c r="R427" s="147" t="str">
        <f t="shared" ca="1" si="269"/>
        <v>Regressed</v>
      </c>
      <c r="S427" s="147">
        <f t="shared" si="270"/>
        <v>0</v>
      </c>
      <c r="T427" s="147"/>
      <c r="U427" s="147"/>
      <c r="V427" s="147"/>
      <c r="W427" s="147"/>
      <c r="X427" s="147"/>
      <c r="Y427" s="147"/>
      <c r="Z427" s="147"/>
      <c r="AA427" s="147"/>
      <c r="AB427" s="147"/>
      <c r="AC427" s="147"/>
      <c r="AD427" s="147"/>
      <c r="AE427" s="147"/>
      <c r="AF427" s="147"/>
      <c r="AG427" s="147"/>
      <c r="AH427" s="147"/>
      <c r="AI427" s="147"/>
      <c r="AJ427" s="147"/>
      <c r="AK427" s="147"/>
      <c r="AL427" s="147"/>
      <c r="AM427" s="151"/>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c r="BI427" s="147"/>
      <c r="BJ427" s="147"/>
      <c r="BK427" s="147"/>
      <c r="BL427" s="147"/>
      <c r="BM427" s="147"/>
      <c r="BN427" s="147"/>
      <c r="BO427" s="147"/>
      <c r="BP427" s="147"/>
      <c r="BQ427" s="147"/>
      <c r="BR427" s="147"/>
      <c r="BS427" s="147"/>
      <c r="BT427" s="147"/>
      <c r="BU427" s="147"/>
      <c r="BV427" s="147"/>
      <c r="BW427" s="147"/>
      <c r="BX427" s="147"/>
      <c r="BY427" s="147"/>
      <c r="BZ427" s="147"/>
      <c r="CA427" s="147"/>
      <c r="CB427" s="147"/>
      <c r="CC427" s="147"/>
      <c r="CD427" s="147"/>
      <c r="CE427" s="147"/>
      <c r="CF427" s="147"/>
      <c r="CG427" s="147"/>
      <c r="CH427" s="147"/>
      <c r="CI427" s="147"/>
      <c r="CJ427" s="147"/>
      <c r="CK427" s="147"/>
    </row>
    <row r="428" spans="1:89">
      <c r="A428" s="159" t="s">
        <v>691</v>
      </c>
      <c r="B428" s="3" t="s">
        <v>692</v>
      </c>
      <c r="C428" s="160" t="s">
        <v>86</v>
      </c>
      <c r="D428" s="160" t="s">
        <v>879</v>
      </c>
      <c r="E428" s="3" t="s">
        <v>21</v>
      </c>
      <c r="F428" s="3" t="s">
        <v>926</v>
      </c>
      <c r="G428" s="3" t="s">
        <v>934</v>
      </c>
      <c r="H428" s="156" t="str">
        <f ca="1">IFERROR(
  _xludf.MINIFS(ATTENDANCE_LOG!$F:$F,
         ATTENDANCE_LOG!$A:$A, C428,
         ATTENDANCE_LOG!$B:$B, E428),
"")</f>
        <v/>
      </c>
      <c r="I428" s="156" t="str">
        <f t="shared" ca="1" si="266"/>
        <v/>
      </c>
      <c r="J428" s="3">
        <f>IFERROR(VLOOKUP(F428, LEVEL_HELPER!$A:$B, 2, 0), "")</f>
        <v>1</v>
      </c>
      <c r="K428" s="3">
        <f>IFERROR(VLOOKUP(G428, LEVEL_HELPER!$A:$B, 2, 0), "")</f>
        <v>3.5</v>
      </c>
      <c r="L428" s="157" t="s">
        <v>942</v>
      </c>
      <c r="M428" s="157" t="s">
        <v>923</v>
      </c>
      <c r="N428" s="3">
        <f t="array" aca="1" ref="N428" ca="1">IFERROR(
  INDEX($J$2:$J$543,
    MATCH(A428&amp;TEXT(I428,"yyyy-mm-dd"),
          $A$2:$A$543&amp;TEXT($H$2:$H$543,"yyyy-mm-dd"),
          0)),
"")</f>
        <v>0.5</v>
      </c>
      <c r="O428" s="147" t="str">
        <f t="shared" ca="1" si="267"/>
        <v/>
      </c>
      <c r="P428" s="147">
        <f t="shared" ref="P428:Q428" ca="1" si="444">IF(N428="",0,IF(N428&lt;=2,1,IF(N428&lt;=4,2,IF(N428&lt;=5.5,3,4))))</f>
        <v>1</v>
      </c>
      <c r="Q428" s="147">
        <f t="shared" ca="1" si="444"/>
        <v>0</v>
      </c>
      <c r="R428" s="147" t="str">
        <f t="shared" ca="1" si="269"/>
        <v>Regressed</v>
      </c>
      <c r="S428" s="147">
        <f t="shared" si="270"/>
        <v>0</v>
      </c>
      <c r="T428" s="147"/>
      <c r="U428" s="147"/>
      <c r="V428" s="147"/>
      <c r="W428" s="147"/>
      <c r="X428" s="147"/>
      <c r="Y428" s="147"/>
      <c r="Z428" s="147"/>
      <c r="AA428" s="147"/>
      <c r="AB428" s="147"/>
      <c r="AC428" s="147"/>
      <c r="AD428" s="147"/>
      <c r="AE428" s="147"/>
      <c r="AF428" s="147"/>
      <c r="AG428" s="147"/>
      <c r="AH428" s="147"/>
      <c r="AI428" s="147"/>
      <c r="AJ428" s="147"/>
      <c r="AK428" s="147"/>
      <c r="AL428" s="147"/>
      <c r="AM428" s="151"/>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c r="BI428" s="147"/>
      <c r="BJ428" s="147"/>
      <c r="BK428" s="147"/>
      <c r="BL428" s="147"/>
      <c r="BM428" s="147"/>
      <c r="BN428" s="147"/>
      <c r="BO428" s="147"/>
      <c r="BP428" s="147"/>
      <c r="BQ428" s="147"/>
      <c r="BR428" s="147"/>
      <c r="BS428" s="147"/>
      <c r="BT428" s="147"/>
      <c r="BU428" s="147"/>
      <c r="BV428" s="147"/>
      <c r="BW428" s="147"/>
      <c r="BX428" s="147"/>
      <c r="BY428" s="147"/>
      <c r="BZ428" s="147"/>
      <c r="CA428" s="147"/>
      <c r="CB428" s="147"/>
      <c r="CC428" s="147"/>
      <c r="CD428" s="147"/>
      <c r="CE428" s="147"/>
      <c r="CF428" s="147"/>
      <c r="CG428" s="147"/>
      <c r="CH428" s="147"/>
      <c r="CI428" s="147"/>
      <c r="CJ428" s="147"/>
      <c r="CK428" s="147"/>
    </row>
    <row r="429" spans="1:89">
      <c r="A429" s="153" t="s">
        <v>407</v>
      </c>
      <c r="B429" s="154" t="s">
        <v>408</v>
      </c>
      <c r="C429" s="155" t="s">
        <v>86</v>
      </c>
      <c r="D429" s="155" t="s">
        <v>879</v>
      </c>
      <c r="E429" s="154" t="s">
        <v>22</v>
      </c>
      <c r="F429" s="3"/>
      <c r="G429" s="3"/>
      <c r="H429" s="156" t="str">
        <f ca="1">IFERROR(
  _xludf.MINIFS(ATTENDANCE_LOG!$F:$F,
         ATTENDANCE_LOG!$A:$A, C429,
         ATTENDANCE_LOG!$B:$B, E429),
"")</f>
        <v/>
      </c>
      <c r="I429" s="156" t="str">
        <f t="shared" ca="1" si="266"/>
        <v/>
      </c>
      <c r="J429" s="3" t="str">
        <f>IFERROR(VLOOKUP(F429, LEVEL_HELPER!$A:$B, 2, 0), "")</f>
        <v/>
      </c>
      <c r="K429" s="3" t="str">
        <f>IFERROR(VLOOKUP(G429, LEVEL_HELPER!$A:$B, 2, 0), "")</f>
        <v/>
      </c>
      <c r="L429" s="157" t="s">
        <v>942</v>
      </c>
      <c r="M429" s="157" t="s">
        <v>923</v>
      </c>
      <c r="N429" s="3">
        <f t="array" aca="1" ref="N429" ca="1">IFERROR(
  INDEX($J$2:$J$543,
    MATCH(A429&amp;TEXT(I429,"yyyy-mm-dd"),
          $A$2:$A$543&amp;TEXT($H$2:$H$543,"yyyy-mm-dd"),
          0)),
"")</f>
        <v>0.5</v>
      </c>
      <c r="O429" s="147" t="str">
        <f t="shared" ca="1" si="267"/>
        <v/>
      </c>
      <c r="P429" s="147">
        <f t="shared" ref="P429:Q429" ca="1" si="445">IF(N429="",0,IF(N429&lt;=2,1,IF(N429&lt;=4,2,IF(N429&lt;=5.5,3,4))))</f>
        <v>1</v>
      </c>
      <c r="Q429" s="147">
        <f t="shared" ca="1" si="445"/>
        <v>0</v>
      </c>
      <c r="R429" s="147" t="str">
        <f t="shared" ca="1" si="269"/>
        <v>Regressed</v>
      </c>
      <c r="S429" s="147">
        <f t="shared" si="270"/>
        <v>0</v>
      </c>
      <c r="T429" s="147"/>
      <c r="U429" s="147"/>
      <c r="V429" s="147"/>
      <c r="W429" s="147"/>
      <c r="X429" s="147"/>
      <c r="Y429" s="147"/>
      <c r="Z429" s="147"/>
      <c r="AA429" s="147"/>
      <c r="AB429" s="147"/>
      <c r="AC429" s="147"/>
      <c r="AD429" s="147"/>
      <c r="AE429" s="147"/>
      <c r="AF429" s="147"/>
      <c r="AG429" s="147"/>
      <c r="AH429" s="147"/>
      <c r="AI429" s="147"/>
      <c r="AJ429" s="147"/>
      <c r="AK429" s="147"/>
      <c r="AL429" s="147"/>
      <c r="AM429" s="151"/>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c r="BI429" s="147"/>
      <c r="BJ429" s="147"/>
      <c r="BK429" s="147"/>
      <c r="BL429" s="147"/>
      <c r="BM429" s="147"/>
      <c r="BN429" s="147"/>
      <c r="BO429" s="147"/>
      <c r="BP429" s="147"/>
      <c r="BQ429" s="147"/>
      <c r="BR429" s="147"/>
      <c r="BS429" s="147"/>
      <c r="BT429" s="147"/>
      <c r="BU429" s="147"/>
      <c r="BV429" s="147"/>
      <c r="BW429" s="147"/>
      <c r="BX429" s="147"/>
      <c r="BY429" s="147"/>
      <c r="BZ429" s="147"/>
      <c r="CA429" s="147"/>
      <c r="CB429" s="147"/>
      <c r="CC429" s="147"/>
      <c r="CD429" s="147"/>
      <c r="CE429" s="147"/>
      <c r="CF429" s="147"/>
      <c r="CG429" s="147"/>
      <c r="CH429" s="147"/>
      <c r="CI429" s="147"/>
      <c r="CJ429" s="147"/>
      <c r="CK429" s="147"/>
    </row>
    <row r="430" spans="1:89">
      <c r="A430" s="159" t="s">
        <v>429</v>
      </c>
      <c r="B430" s="3" t="s">
        <v>430</v>
      </c>
      <c r="C430" s="160" t="s">
        <v>86</v>
      </c>
      <c r="D430" s="160" t="s">
        <v>879</v>
      </c>
      <c r="E430" s="3" t="s">
        <v>22</v>
      </c>
      <c r="F430" s="3"/>
      <c r="G430" s="3"/>
      <c r="H430" s="156" t="str">
        <f ca="1">IFERROR(
  _xludf.MINIFS(ATTENDANCE_LOG!$F:$F,
         ATTENDANCE_LOG!$A:$A, C430,
         ATTENDANCE_LOG!$B:$B, E430),
"")</f>
        <v/>
      </c>
      <c r="I430" s="156" t="str">
        <f t="shared" ca="1" si="266"/>
        <v/>
      </c>
      <c r="J430" s="3" t="str">
        <f>IFERROR(VLOOKUP(F430, LEVEL_HELPER!$A:$B, 2, 0), "")</f>
        <v/>
      </c>
      <c r="K430" s="3" t="str">
        <f>IFERROR(VLOOKUP(G430, LEVEL_HELPER!$A:$B, 2, 0), "")</f>
        <v/>
      </c>
      <c r="L430" s="157" t="s">
        <v>943</v>
      </c>
      <c r="M430" s="157" t="s">
        <v>923</v>
      </c>
      <c r="N430" s="3">
        <f t="array" aca="1" ref="N430" ca="1">IFERROR(
  INDEX($J$2:$J$543,
    MATCH(A430&amp;TEXT(I430,"yyyy-mm-dd"),
          $A$2:$A$543&amp;TEXT($H$2:$H$543,"yyyy-mm-dd"),
          0)),
"")</f>
        <v>0.5</v>
      </c>
      <c r="O430" s="147" t="str">
        <f t="shared" ca="1" si="267"/>
        <v/>
      </c>
      <c r="P430" s="147">
        <f t="shared" ref="P430:Q430" ca="1" si="446">IF(N430="",0,IF(N430&lt;=2,1,IF(N430&lt;=4,2,IF(N430&lt;=5.5,3,4))))</f>
        <v>1</v>
      </c>
      <c r="Q430" s="147">
        <f t="shared" ca="1" si="446"/>
        <v>0</v>
      </c>
      <c r="R430" s="147" t="str">
        <f t="shared" ca="1" si="269"/>
        <v>Regressed</v>
      </c>
      <c r="S430" s="147">
        <f t="shared" si="270"/>
        <v>0</v>
      </c>
      <c r="T430" s="147"/>
      <c r="U430" s="147"/>
      <c r="V430" s="147"/>
      <c r="W430" s="147"/>
      <c r="X430" s="147"/>
      <c r="Y430" s="147"/>
      <c r="Z430" s="147"/>
      <c r="AA430" s="147"/>
      <c r="AB430" s="147"/>
      <c r="AC430" s="147"/>
      <c r="AD430" s="147"/>
      <c r="AE430" s="147"/>
      <c r="AF430" s="147"/>
      <c r="AG430" s="147"/>
      <c r="AH430" s="147"/>
      <c r="AI430" s="147"/>
      <c r="AJ430" s="147"/>
      <c r="AK430" s="147"/>
      <c r="AL430" s="147"/>
      <c r="AM430" s="151"/>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c r="BI430" s="147"/>
      <c r="BJ430" s="147"/>
      <c r="BK430" s="147"/>
      <c r="BL430" s="147"/>
      <c r="BM430" s="147"/>
      <c r="BN430" s="147"/>
      <c r="BO430" s="147"/>
      <c r="BP430" s="147"/>
      <c r="BQ430" s="147"/>
      <c r="BR430" s="147"/>
      <c r="BS430" s="147"/>
      <c r="BT430" s="147"/>
      <c r="BU430" s="147"/>
      <c r="BV430" s="147"/>
      <c r="BW430" s="147"/>
      <c r="BX430" s="147"/>
      <c r="BY430" s="147"/>
      <c r="BZ430" s="147"/>
      <c r="CA430" s="147"/>
      <c r="CB430" s="147"/>
      <c r="CC430" s="147"/>
      <c r="CD430" s="147"/>
      <c r="CE430" s="147"/>
      <c r="CF430" s="147"/>
      <c r="CG430" s="147"/>
      <c r="CH430" s="147"/>
      <c r="CI430" s="147"/>
      <c r="CJ430" s="147"/>
      <c r="CK430" s="147"/>
    </row>
    <row r="431" spans="1:89">
      <c r="A431" s="159" t="s">
        <v>538</v>
      </c>
      <c r="B431" s="3" t="s">
        <v>539</v>
      </c>
      <c r="C431" s="160" t="s">
        <v>86</v>
      </c>
      <c r="D431" s="160" t="s">
        <v>879</v>
      </c>
      <c r="E431" s="3" t="s">
        <v>22</v>
      </c>
      <c r="F431" s="3"/>
      <c r="G431" s="3"/>
      <c r="H431" s="156" t="str">
        <f ca="1">IFERROR(
  _xludf.MINIFS(ATTENDANCE_LOG!$F:$F,
         ATTENDANCE_LOG!$A:$A, C431,
         ATTENDANCE_LOG!$B:$B, E431),
"")</f>
        <v/>
      </c>
      <c r="I431" s="156" t="str">
        <f t="shared" ca="1" si="266"/>
        <v/>
      </c>
      <c r="J431" s="3" t="str">
        <f>IFERROR(VLOOKUP(F431, LEVEL_HELPER!$A:$B, 2, 0), "")</f>
        <v/>
      </c>
      <c r="K431" s="3" t="str">
        <f>IFERROR(VLOOKUP(G431, LEVEL_HELPER!$A:$B, 2, 0), "")</f>
        <v/>
      </c>
      <c r="L431" s="157" t="s">
        <v>942</v>
      </c>
      <c r="M431" s="157" t="s">
        <v>923</v>
      </c>
      <c r="N431" s="3">
        <f t="array" aca="1" ref="N431" ca="1">IFERROR(
  INDEX($J$2:$J$543,
    MATCH(A431&amp;TEXT(I431,"yyyy-mm-dd"),
          $A$2:$A$543&amp;TEXT($H$2:$H$543,"yyyy-mm-dd"),
          0)),
"")</f>
        <v>0.5</v>
      </c>
      <c r="O431" s="147" t="str">
        <f t="shared" ca="1" si="267"/>
        <v/>
      </c>
      <c r="P431" s="147">
        <f t="shared" ref="P431:Q431" ca="1" si="447">IF(N431="",0,IF(N431&lt;=2,1,IF(N431&lt;=4,2,IF(N431&lt;=5.5,3,4))))</f>
        <v>1</v>
      </c>
      <c r="Q431" s="147">
        <f t="shared" ca="1" si="447"/>
        <v>0</v>
      </c>
      <c r="R431" s="147" t="str">
        <f t="shared" ca="1" si="269"/>
        <v>Regressed</v>
      </c>
      <c r="S431" s="147">
        <f t="shared" si="270"/>
        <v>0</v>
      </c>
      <c r="T431" s="147"/>
      <c r="U431" s="147"/>
      <c r="V431" s="147"/>
      <c r="W431" s="147"/>
      <c r="X431" s="147"/>
      <c r="Y431" s="147"/>
      <c r="Z431" s="147"/>
      <c r="AA431" s="147"/>
      <c r="AB431" s="147"/>
      <c r="AC431" s="147"/>
      <c r="AD431" s="147"/>
      <c r="AE431" s="147"/>
      <c r="AF431" s="147"/>
      <c r="AG431" s="147"/>
      <c r="AH431" s="147"/>
      <c r="AI431" s="147"/>
      <c r="AJ431" s="147"/>
      <c r="AK431" s="147"/>
      <c r="AL431" s="147"/>
      <c r="AM431" s="151"/>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c r="BI431" s="147"/>
      <c r="BJ431" s="147"/>
      <c r="BK431" s="147"/>
      <c r="BL431" s="147"/>
      <c r="BM431" s="147"/>
      <c r="BN431" s="147"/>
      <c r="BO431" s="147"/>
      <c r="BP431" s="147"/>
      <c r="BQ431" s="147"/>
      <c r="BR431" s="147"/>
      <c r="BS431" s="147"/>
      <c r="BT431" s="147"/>
      <c r="BU431" s="147"/>
      <c r="BV431" s="147"/>
      <c r="BW431" s="147"/>
      <c r="BX431" s="147"/>
      <c r="BY431" s="147"/>
      <c r="BZ431" s="147"/>
      <c r="CA431" s="147"/>
      <c r="CB431" s="147"/>
      <c r="CC431" s="147"/>
      <c r="CD431" s="147"/>
      <c r="CE431" s="147"/>
      <c r="CF431" s="147"/>
      <c r="CG431" s="147"/>
      <c r="CH431" s="147"/>
      <c r="CI431" s="147"/>
      <c r="CJ431" s="147"/>
      <c r="CK431" s="147"/>
    </row>
    <row r="432" spans="1:89">
      <c r="A432" s="159" t="s">
        <v>691</v>
      </c>
      <c r="B432" s="3" t="s">
        <v>692</v>
      </c>
      <c r="C432" s="160" t="s">
        <v>86</v>
      </c>
      <c r="D432" s="160" t="s">
        <v>879</v>
      </c>
      <c r="E432" s="3" t="s">
        <v>22</v>
      </c>
      <c r="F432" s="3"/>
      <c r="G432" s="3"/>
      <c r="H432" s="156" t="str">
        <f ca="1">IFERROR(
  _xludf.MINIFS(ATTENDANCE_LOG!$F:$F,
         ATTENDANCE_LOG!$A:$A, C432,
         ATTENDANCE_LOG!$B:$B, E432),
"")</f>
        <v/>
      </c>
      <c r="I432" s="156" t="str">
        <f t="shared" ca="1" si="266"/>
        <v/>
      </c>
      <c r="J432" s="3" t="str">
        <f>IFERROR(VLOOKUP(F432, LEVEL_HELPER!$A:$B, 2, 0), "")</f>
        <v/>
      </c>
      <c r="K432" s="3" t="str">
        <f>IFERROR(VLOOKUP(G432, LEVEL_HELPER!$A:$B, 2, 0), "")</f>
        <v/>
      </c>
      <c r="L432" s="157" t="s">
        <v>942</v>
      </c>
      <c r="M432" s="157" t="s">
        <v>923</v>
      </c>
      <c r="N432" s="3">
        <f t="array" aca="1" ref="N432" ca="1">IFERROR(
  INDEX($J$2:$J$543,
    MATCH(A432&amp;TEXT(I432,"yyyy-mm-dd"),
          $A$2:$A$543&amp;TEXT($H$2:$H$543,"yyyy-mm-dd"),
          0)),
"")</f>
        <v>0.5</v>
      </c>
      <c r="O432" s="147" t="str">
        <f t="shared" ca="1" si="267"/>
        <v/>
      </c>
      <c r="P432" s="147">
        <f t="shared" ref="P432:Q432" ca="1" si="448">IF(N432="",0,IF(N432&lt;=2,1,IF(N432&lt;=4,2,IF(N432&lt;=5.5,3,4))))</f>
        <v>1</v>
      </c>
      <c r="Q432" s="147">
        <f t="shared" ca="1" si="448"/>
        <v>0</v>
      </c>
      <c r="R432" s="147" t="str">
        <f t="shared" ca="1" si="269"/>
        <v>Regressed</v>
      </c>
      <c r="S432" s="147">
        <f t="shared" si="270"/>
        <v>0</v>
      </c>
      <c r="T432" s="147"/>
      <c r="U432" s="147"/>
      <c r="V432" s="147"/>
      <c r="W432" s="147"/>
      <c r="X432" s="147"/>
      <c r="Y432" s="147"/>
      <c r="Z432" s="147"/>
      <c r="AA432" s="147"/>
      <c r="AB432" s="147"/>
      <c r="AC432" s="147"/>
      <c r="AD432" s="147"/>
      <c r="AE432" s="147"/>
      <c r="AF432" s="147"/>
      <c r="AG432" s="147"/>
      <c r="AH432" s="147"/>
      <c r="AI432" s="147"/>
      <c r="AJ432" s="147"/>
      <c r="AK432" s="147"/>
      <c r="AL432" s="147"/>
      <c r="AM432" s="151"/>
      <c r="AN432" s="147"/>
      <c r="AO432" s="147"/>
      <c r="AP432" s="147"/>
      <c r="AQ432" s="147"/>
      <c r="AR432" s="147"/>
      <c r="AS432" s="147"/>
      <c r="AT432" s="147"/>
      <c r="AU432" s="147"/>
      <c r="AV432" s="147"/>
      <c r="AW432" s="147"/>
      <c r="AX432" s="147"/>
      <c r="AY432" s="147"/>
      <c r="AZ432" s="147"/>
      <c r="BA432" s="147"/>
      <c r="BB432" s="147"/>
      <c r="BC432" s="147"/>
      <c r="BD432" s="147"/>
      <c r="BE432" s="147"/>
      <c r="BF432" s="147"/>
      <c r="BG432" s="147"/>
      <c r="BH432" s="147"/>
      <c r="BI432" s="147"/>
      <c r="BJ432" s="147"/>
      <c r="BK432" s="147"/>
      <c r="BL432" s="147"/>
      <c r="BM432" s="147"/>
      <c r="BN432" s="147"/>
      <c r="BO432" s="147"/>
      <c r="BP432" s="147"/>
      <c r="BQ432" s="147"/>
      <c r="BR432" s="147"/>
      <c r="BS432" s="147"/>
      <c r="BT432" s="147"/>
      <c r="BU432" s="147"/>
      <c r="BV432" s="147"/>
      <c r="BW432" s="147"/>
      <c r="BX432" s="147"/>
      <c r="BY432" s="147"/>
      <c r="BZ432" s="147"/>
      <c r="CA432" s="147"/>
      <c r="CB432" s="147"/>
      <c r="CC432" s="147"/>
      <c r="CD432" s="147"/>
      <c r="CE432" s="147"/>
      <c r="CF432" s="147"/>
      <c r="CG432" s="147"/>
      <c r="CH432" s="147"/>
      <c r="CI432" s="147"/>
      <c r="CJ432" s="147"/>
      <c r="CK432" s="147"/>
    </row>
    <row r="433" spans="1:89">
      <c r="A433" s="153" t="s">
        <v>383</v>
      </c>
      <c r="B433" s="154" t="s">
        <v>384</v>
      </c>
      <c r="C433" s="155" t="s">
        <v>87</v>
      </c>
      <c r="D433" s="155" t="s">
        <v>880</v>
      </c>
      <c r="E433" s="154" t="s">
        <v>21</v>
      </c>
      <c r="F433" s="154" t="s">
        <v>931</v>
      </c>
      <c r="G433" s="154" t="s">
        <v>937</v>
      </c>
      <c r="H433" s="156" t="str">
        <f ca="1">IFERROR(
  _xludf.MINIFS(ATTENDANCE_LOG!$F:$F,
         ATTENDANCE_LOG!$A:$A, C433,
         ATTENDANCE_LOG!$B:$B, E433),
"")</f>
        <v/>
      </c>
      <c r="I433" s="156" t="str">
        <f t="shared" ca="1" si="266"/>
        <v/>
      </c>
      <c r="J433" s="154">
        <f>IFERROR(VLOOKUP(F433, LEVEL_HELPER!$A:$B, 2, 0), "")</f>
        <v>4.5</v>
      </c>
      <c r="K433" s="154">
        <f>IFERROR(VLOOKUP(G433, LEVEL_HELPER!$A:$B, 2, 0), "")</f>
        <v>5.5</v>
      </c>
      <c r="L433" s="176" t="s">
        <v>941</v>
      </c>
      <c r="M433" s="176" t="s">
        <v>925</v>
      </c>
      <c r="N433" s="3" t="str">
        <f t="array" aca="1" ref="N433" ca="1">IFERROR(
  INDEX($J$2:$J$543,
    MATCH(A433&amp;TEXT(I433,"yyyy-mm-dd"),
          $A$2:$A$543&amp;TEXT($H$2:$H$543,"yyyy-mm-dd"),
          0)),
"")</f>
        <v/>
      </c>
      <c r="O433" s="177" t="str">
        <f t="shared" ca="1" si="267"/>
        <v/>
      </c>
      <c r="P433" s="147">
        <f t="shared" ref="P433:Q433" ca="1" si="449">IF(N433="",0,IF(N433&lt;=2,1,IF(N433&lt;=4,2,IF(N433&lt;=5.5,3,4))))</f>
        <v>0</v>
      </c>
      <c r="Q433" s="147">
        <f t="shared" ca="1" si="449"/>
        <v>0</v>
      </c>
      <c r="R433" s="147" t="str">
        <f t="shared" ca="1" si="269"/>
        <v>No Data</v>
      </c>
      <c r="S433" s="147">
        <f t="shared" si="270"/>
        <v>0</v>
      </c>
      <c r="T433" s="147"/>
      <c r="U433" s="147"/>
      <c r="V433" s="147"/>
      <c r="W433" s="147"/>
      <c r="X433" s="147"/>
      <c r="Y433" s="147"/>
      <c r="Z433" s="147"/>
      <c r="AA433" s="147"/>
      <c r="AB433" s="147"/>
      <c r="AC433" s="147"/>
      <c r="AD433" s="147"/>
      <c r="AE433" s="147"/>
      <c r="AF433" s="147"/>
      <c r="AG433" s="147"/>
      <c r="AH433" s="147"/>
      <c r="AI433" s="147"/>
      <c r="AJ433" s="147"/>
      <c r="AK433" s="147"/>
      <c r="AL433" s="147"/>
      <c r="AM433" s="151"/>
      <c r="AN433" s="147"/>
      <c r="AO433" s="147"/>
      <c r="AP433" s="147"/>
      <c r="AQ433" s="147"/>
      <c r="AR433" s="147"/>
      <c r="AS433" s="147"/>
      <c r="AT433" s="147"/>
      <c r="AU433" s="147"/>
      <c r="AV433" s="147"/>
      <c r="AW433" s="147"/>
      <c r="AX433" s="147"/>
      <c r="AY433" s="147"/>
      <c r="AZ433" s="147"/>
      <c r="BA433" s="147"/>
      <c r="BB433" s="147"/>
      <c r="BC433" s="147"/>
      <c r="BD433" s="147"/>
      <c r="BE433" s="147"/>
      <c r="BF433" s="147"/>
      <c r="BG433" s="147"/>
      <c r="BH433" s="147"/>
      <c r="BI433" s="147"/>
      <c r="BJ433" s="147"/>
      <c r="BK433" s="147"/>
      <c r="BL433" s="147"/>
      <c r="BM433" s="147"/>
      <c r="BN433" s="147"/>
      <c r="BO433" s="147"/>
      <c r="BP433" s="147"/>
      <c r="BQ433" s="147"/>
      <c r="BR433" s="147"/>
      <c r="BS433" s="147"/>
      <c r="BT433" s="147"/>
      <c r="BU433" s="147"/>
      <c r="BV433" s="147"/>
      <c r="BW433" s="147"/>
      <c r="BX433" s="147"/>
      <c r="BY433" s="147"/>
      <c r="BZ433" s="147"/>
      <c r="CA433" s="147"/>
      <c r="CB433" s="147"/>
      <c r="CC433" s="147"/>
      <c r="CD433" s="147"/>
      <c r="CE433" s="147"/>
      <c r="CF433" s="147"/>
      <c r="CG433" s="147"/>
      <c r="CH433" s="147"/>
      <c r="CI433" s="147"/>
      <c r="CJ433" s="147"/>
      <c r="CK433" s="147"/>
    </row>
    <row r="434" spans="1:89">
      <c r="A434" s="159" t="s">
        <v>389</v>
      </c>
      <c r="B434" s="3" t="s">
        <v>390</v>
      </c>
      <c r="C434" s="160" t="s">
        <v>87</v>
      </c>
      <c r="D434" s="160" t="s">
        <v>880</v>
      </c>
      <c r="E434" s="3" t="s">
        <v>21</v>
      </c>
      <c r="F434" s="3" t="s">
        <v>926</v>
      </c>
      <c r="G434" s="3" t="s">
        <v>917</v>
      </c>
      <c r="H434" s="156" t="str">
        <f ca="1">IFERROR(
  _xludf.MINIFS(ATTENDANCE_LOG!$F:$F,
         ATTENDANCE_LOG!$A:$A, C434,
         ATTENDANCE_LOG!$B:$B, E434),
"")</f>
        <v/>
      </c>
      <c r="I434" s="156" t="str">
        <f t="shared" ca="1" si="266"/>
        <v/>
      </c>
      <c r="J434" s="3">
        <f>IFERROR(VLOOKUP(F434, LEVEL_HELPER!$A:$B, 2, 0), "")</f>
        <v>1</v>
      </c>
      <c r="K434" s="3">
        <f>IFERROR(VLOOKUP(G434, LEVEL_HELPER!$A:$B, 2, 0), "")</f>
        <v>3</v>
      </c>
      <c r="L434" s="157" t="s">
        <v>946</v>
      </c>
      <c r="M434" s="157" t="s">
        <v>925</v>
      </c>
      <c r="N434" s="3">
        <f t="array" aca="1" ref="N434" ca="1">IFERROR(
  INDEX($J$2:$J$543,
    MATCH(A434&amp;TEXT(I434,"yyyy-mm-dd"),
          $A$2:$A$543&amp;TEXT($H$2:$H$543,"yyyy-mm-dd"),
          0)),
"")</f>
        <v>1</v>
      </c>
      <c r="O434" s="147" t="str">
        <f t="shared" ca="1" si="267"/>
        <v/>
      </c>
      <c r="P434" s="147">
        <f t="shared" ref="P434:Q434" ca="1" si="450">IF(N434="",0,IF(N434&lt;=2,1,IF(N434&lt;=4,2,IF(N434&lt;=5.5,3,4))))</f>
        <v>1</v>
      </c>
      <c r="Q434" s="147">
        <f t="shared" ca="1" si="450"/>
        <v>0</v>
      </c>
      <c r="R434" s="147" t="str">
        <f t="shared" ca="1" si="269"/>
        <v>Regressed</v>
      </c>
      <c r="S434" s="147">
        <f t="shared" si="270"/>
        <v>1</v>
      </c>
      <c r="T434" s="147"/>
      <c r="U434" s="147"/>
      <c r="V434" s="147"/>
      <c r="W434" s="147"/>
      <c r="X434" s="147"/>
      <c r="Y434" s="147"/>
      <c r="Z434" s="147"/>
      <c r="AA434" s="147"/>
      <c r="AB434" s="147"/>
      <c r="AC434" s="147"/>
      <c r="AD434" s="147"/>
      <c r="AE434" s="147"/>
      <c r="AF434" s="147"/>
      <c r="AG434" s="147"/>
      <c r="AH434" s="147"/>
      <c r="AI434" s="147"/>
      <c r="AJ434" s="147"/>
      <c r="AK434" s="147"/>
      <c r="AL434" s="147"/>
      <c r="AM434" s="151"/>
      <c r="AN434" s="147"/>
      <c r="AO434" s="147"/>
      <c r="AP434" s="147"/>
      <c r="AQ434" s="147"/>
      <c r="AR434" s="147"/>
      <c r="AS434" s="147"/>
      <c r="AT434" s="147"/>
      <c r="AU434" s="147"/>
      <c r="AV434" s="147"/>
      <c r="AW434" s="147"/>
      <c r="AX434" s="147"/>
      <c r="AY434" s="147"/>
      <c r="AZ434" s="147"/>
      <c r="BA434" s="147"/>
      <c r="BB434" s="147"/>
      <c r="BC434" s="147"/>
      <c r="BD434" s="147"/>
      <c r="BE434" s="147"/>
      <c r="BF434" s="147"/>
      <c r="BG434" s="147"/>
      <c r="BH434" s="147"/>
      <c r="BI434" s="147"/>
      <c r="BJ434" s="147"/>
      <c r="BK434" s="147"/>
      <c r="BL434" s="147"/>
      <c r="BM434" s="147"/>
      <c r="BN434" s="147"/>
      <c r="BO434" s="147"/>
      <c r="BP434" s="147"/>
      <c r="BQ434" s="147"/>
      <c r="BR434" s="147"/>
      <c r="BS434" s="147"/>
      <c r="BT434" s="147"/>
      <c r="BU434" s="147"/>
      <c r="BV434" s="147"/>
      <c r="BW434" s="147"/>
      <c r="BX434" s="147"/>
      <c r="BY434" s="147"/>
      <c r="BZ434" s="147"/>
      <c r="CA434" s="147"/>
      <c r="CB434" s="147"/>
      <c r="CC434" s="147"/>
      <c r="CD434" s="147"/>
      <c r="CE434" s="147"/>
      <c r="CF434" s="147"/>
      <c r="CG434" s="147"/>
      <c r="CH434" s="147"/>
      <c r="CI434" s="147"/>
      <c r="CJ434" s="147"/>
      <c r="CK434" s="147"/>
    </row>
    <row r="435" spans="1:89">
      <c r="A435" s="159" t="s">
        <v>637</v>
      </c>
      <c r="B435" s="3" t="s">
        <v>638</v>
      </c>
      <c r="C435" s="160" t="s">
        <v>87</v>
      </c>
      <c r="D435" s="160" t="s">
        <v>880</v>
      </c>
      <c r="E435" s="3" t="s">
        <v>21</v>
      </c>
      <c r="F435" s="3" t="s">
        <v>926</v>
      </c>
      <c r="G435" s="3" t="s">
        <v>917</v>
      </c>
      <c r="H435" s="156" t="str">
        <f ca="1">IFERROR(
  _xludf.MINIFS(ATTENDANCE_LOG!$F:$F,
         ATTENDANCE_LOG!$A:$A, C435,
         ATTENDANCE_LOG!$B:$B, E435),
"")</f>
        <v/>
      </c>
      <c r="I435" s="156" t="str">
        <f t="shared" ca="1" si="266"/>
        <v/>
      </c>
      <c r="J435" s="3">
        <f>IFERROR(VLOOKUP(F435, LEVEL_HELPER!$A:$B, 2, 0), "")</f>
        <v>1</v>
      </c>
      <c r="K435" s="3">
        <f>IFERROR(VLOOKUP(G435, LEVEL_HELPER!$A:$B, 2, 0), "")</f>
        <v>3</v>
      </c>
      <c r="L435" s="157" t="s">
        <v>942</v>
      </c>
      <c r="M435" s="157" t="s">
        <v>925</v>
      </c>
      <c r="N435" s="3">
        <f t="array" aca="1" ref="N435" ca="1">IFERROR(
  INDEX($J$2:$J$543,
    MATCH(A435&amp;TEXT(I435,"yyyy-mm-dd"),
          $A$2:$A$543&amp;TEXT($H$2:$H$543,"yyyy-mm-dd"),
          0)),
"")</f>
        <v>1</v>
      </c>
      <c r="O435" s="147" t="str">
        <f t="shared" ca="1" si="267"/>
        <v/>
      </c>
      <c r="P435" s="147">
        <f t="shared" ref="P435:Q435" ca="1" si="451">IF(N435="",0,IF(N435&lt;=2,1,IF(N435&lt;=4,2,IF(N435&lt;=5.5,3,4))))</f>
        <v>1</v>
      </c>
      <c r="Q435" s="147">
        <f t="shared" ca="1" si="451"/>
        <v>0</v>
      </c>
      <c r="R435" s="147" t="str">
        <f t="shared" ca="1" si="269"/>
        <v>Regressed</v>
      </c>
      <c r="S435" s="147">
        <f t="shared" si="270"/>
        <v>1</v>
      </c>
      <c r="T435" s="147"/>
      <c r="U435" s="147"/>
      <c r="V435" s="147"/>
      <c r="W435" s="147"/>
      <c r="X435" s="147"/>
      <c r="Y435" s="147"/>
      <c r="Z435" s="147"/>
      <c r="AA435" s="147"/>
      <c r="AB435" s="147"/>
      <c r="AC435" s="147"/>
      <c r="AD435" s="147"/>
      <c r="AE435" s="147"/>
      <c r="AF435" s="147"/>
      <c r="AG435" s="147"/>
      <c r="AH435" s="147"/>
      <c r="AI435" s="147"/>
      <c r="AJ435" s="147"/>
      <c r="AK435" s="147"/>
      <c r="AL435" s="147"/>
      <c r="AM435" s="151"/>
      <c r="AN435" s="147"/>
      <c r="AO435" s="147"/>
      <c r="AP435" s="147"/>
      <c r="AQ435" s="147"/>
      <c r="AR435" s="147"/>
      <c r="AS435" s="147"/>
      <c r="AT435" s="147"/>
      <c r="AU435" s="147"/>
      <c r="AV435" s="147"/>
      <c r="AW435" s="147"/>
      <c r="AX435" s="147"/>
      <c r="AY435" s="147"/>
      <c r="AZ435" s="147"/>
      <c r="BA435" s="147"/>
      <c r="BB435" s="147"/>
      <c r="BC435" s="147"/>
      <c r="BD435" s="147"/>
      <c r="BE435" s="147"/>
      <c r="BF435" s="147"/>
      <c r="BG435" s="147"/>
      <c r="BH435" s="147"/>
      <c r="BI435" s="147"/>
      <c r="BJ435" s="147"/>
      <c r="BK435" s="147"/>
      <c r="BL435" s="147"/>
      <c r="BM435" s="147"/>
      <c r="BN435" s="147"/>
      <c r="BO435" s="147"/>
      <c r="BP435" s="147"/>
      <c r="BQ435" s="147"/>
      <c r="BR435" s="147"/>
      <c r="BS435" s="147"/>
      <c r="BT435" s="147"/>
      <c r="BU435" s="147"/>
      <c r="BV435" s="147"/>
      <c r="BW435" s="147"/>
      <c r="BX435" s="147"/>
      <c r="BY435" s="147"/>
      <c r="BZ435" s="147"/>
      <c r="CA435" s="147"/>
      <c r="CB435" s="147"/>
      <c r="CC435" s="147"/>
      <c r="CD435" s="147"/>
      <c r="CE435" s="147"/>
      <c r="CF435" s="147"/>
      <c r="CG435" s="147"/>
      <c r="CH435" s="147"/>
      <c r="CI435" s="147"/>
      <c r="CJ435" s="147"/>
      <c r="CK435" s="147"/>
    </row>
    <row r="436" spans="1:89">
      <c r="A436" s="159" t="s">
        <v>663</v>
      </c>
      <c r="B436" s="3" t="s">
        <v>664</v>
      </c>
      <c r="C436" s="160" t="s">
        <v>87</v>
      </c>
      <c r="D436" s="160" t="s">
        <v>880</v>
      </c>
      <c r="E436" s="3" t="s">
        <v>21</v>
      </c>
      <c r="F436" s="3" t="s">
        <v>926</v>
      </c>
      <c r="G436" s="3" t="s">
        <v>926</v>
      </c>
      <c r="H436" s="156" t="str">
        <f ca="1">IFERROR(
  _xludf.MINIFS(ATTENDANCE_LOG!$F:$F,
         ATTENDANCE_LOG!$A:$A, C436,
         ATTENDANCE_LOG!$B:$B, E436),
"")</f>
        <v/>
      </c>
      <c r="I436" s="156" t="str">
        <f t="shared" ca="1" si="266"/>
        <v/>
      </c>
      <c r="J436" s="3">
        <f>IFERROR(VLOOKUP(F436, LEVEL_HELPER!$A:$B, 2, 0), "")</f>
        <v>1</v>
      </c>
      <c r="K436" s="3">
        <f>IFERROR(VLOOKUP(G436, LEVEL_HELPER!$A:$B, 2, 0), "")</f>
        <v>1</v>
      </c>
      <c r="L436" s="157" t="s">
        <v>942</v>
      </c>
      <c r="M436" s="157" t="s">
        <v>925</v>
      </c>
      <c r="N436" s="3">
        <f t="array" aca="1" ref="N436" ca="1">IFERROR(
  INDEX($J$2:$J$543,
    MATCH(A436&amp;TEXT(I436,"yyyy-mm-dd"),
          $A$2:$A$543&amp;TEXT($H$2:$H$543,"yyyy-mm-dd"),
          0)),
"")</f>
        <v>1</v>
      </c>
      <c r="O436" s="147" t="str">
        <f t="shared" ca="1" si="267"/>
        <v/>
      </c>
      <c r="P436" s="147">
        <f t="shared" ref="P436:Q436" ca="1" si="452">IF(N436="",0,IF(N436&lt;=2,1,IF(N436&lt;=4,2,IF(N436&lt;=5.5,3,4))))</f>
        <v>1</v>
      </c>
      <c r="Q436" s="147">
        <f t="shared" ca="1" si="452"/>
        <v>0</v>
      </c>
      <c r="R436" s="147" t="str">
        <f t="shared" ca="1" si="269"/>
        <v>Regressed</v>
      </c>
      <c r="S436" s="147">
        <f t="shared" si="270"/>
        <v>1</v>
      </c>
      <c r="T436" s="147"/>
      <c r="U436" s="147"/>
      <c r="V436" s="147"/>
      <c r="W436" s="147"/>
      <c r="X436" s="147"/>
      <c r="Y436" s="147"/>
      <c r="Z436" s="147"/>
      <c r="AA436" s="147"/>
      <c r="AB436" s="147"/>
      <c r="AC436" s="147"/>
      <c r="AD436" s="147"/>
      <c r="AE436" s="147"/>
      <c r="AF436" s="147"/>
      <c r="AG436" s="147"/>
      <c r="AH436" s="147"/>
      <c r="AI436" s="147"/>
      <c r="AJ436" s="147"/>
      <c r="AK436" s="147"/>
      <c r="AL436" s="147"/>
      <c r="AM436" s="151"/>
      <c r="AN436" s="147"/>
      <c r="AO436" s="147"/>
      <c r="AP436" s="147"/>
      <c r="AQ436" s="147"/>
      <c r="AR436" s="147"/>
      <c r="AS436" s="147"/>
      <c r="AT436" s="147"/>
      <c r="AU436" s="147"/>
      <c r="AV436" s="147"/>
      <c r="AW436" s="147"/>
      <c r="AX436" s="147"/>
      <c r="AY436" s="147"/>
      <c r="AZ436" s="147"/>
      <c r="BA436" s="147"/>
      <c r="BB436" s="147"/>
      <c r="BC436" s="147"/>
      <c r="BD436" s="147"/>
      <c r="BE436" s="147"/>
      <c r="BF436" s="147"/>
      <c r="BG436" s="147"/>
      <c r="BH436" s="147"/>
      <c r="BI436" s="147"/>
      <c r="BJ436" s="147"/>
      <c r="BK436" s="147"/>
      <c r="BL436" s="147"/>
      <c r="BM436" s="147"/>
      <c r="BN436" s="147"/>
      <c r="BO436" s="147"/>
      <c r="BP436" s="147"/>
      <c r="BQ436" s="147"/>
      <c r="BR436" s="147"/>
      <c r="BS436" s="147"/>
      <c r="BT436" s="147"/>
      <c r="BU436" s="147"/>
      <c r="BV436" s="147"/>
      <c r="BW436" s="147"/>
      <c r="BX436" s="147"/>
      <c r="BY436" s="147"/>
      <c r="BZ436" s="147"/>
      <c r="CA436" s="147"/>
      <c r="CB436" s="147"/>
      <c r="CC436" s="147"/>
      <c r="CD436" s="147"/>
      <c r="CE436" s="147"/>
      <c r="CF436" s="147"/>
      <c r="CG436" s="147"/>
      <c r="CH436" s="147"/>
      <c r="CI436" s="147"/>
      <c r="CJ436" s="147"/>
      <c r="CK436" s="147"/>
    </row>
    <row r="437" spans="1:89">
      <c r="A437" s="153" t="s">
        <v>383</v>
      </c>
      <c r="B437" s="154" t="s">
        <v>384</v>
      </c>
      <c r="C437" s="155" t="s">
        <v>87</v>
      </c>
      <c r="D437" s="155" t="s">
        <v>880</v>
      </c>
      <c r="E437" s="154" t="s">
        <v>22</v>
      </c>
      <c r="F437" s="154" t="s">
        <v>937</v>
      </c>
      <c r="G437" s="154"/>
      <c r="H437" s="156" t="str">
        <f ca="1">IFERROR(
  _xludf.MINIFS(ATTENDANCE_LOG!$F:$F,
         ATTENDANCE_LOG!$A:$A, C437,
         ATTENDANCE_LOG!$B:$B, E437),
"")</f>
        <v/>
      </c>
      <c r="I437" s="156" t="str">
        <f t="shared" ca="1" si="266"/>
        <v/>
      </c>
      <c r="J437" s="154">
        <f>IFERROR(VLOOKUP(F437, LEVEL_HELPER!$A:$B, 2, 0), "")</f>
        <v>5.5</v>
      </c>
      <c r="K437" s="154" t="str">
        <f>IFERROR(VLOOKUP(G437, LEVEL_HELPER!$A:$B, 2, 0), "")</f>
        <v/>
      </c>
      <c r="L437" s="176" t="s">
        <v>941</v>
      </c>
      <c r="M437" s="176" t="s">
        <v>925</v>
      </c>
      <c r="N437" s="3" t="str">
        <f t="array" aca="1" ref="N437" ca="1">IFERROR(
  INDEX($J$2:$J$543,
    MATCH(A437&amp;TEXT(I437,"yyyy-mm-dd"),
          $A$2:$A$543&amp;TEXT($H$2:$H$543,"yyyy-mm-dd"),
          0)),
"")</f>
        <v/>
      </c>
      <c r="O437" s="177" t="str">
        <f t="shared" ca="1" si="267"/>
        <v/>
      </c>
      <c r="P437" s="147">
        <f t="shared" ref="P437:Q437" ca="1" si="453">IF(N437="",0,IF(N437&lt;=2,1,IF(N437&lt;=4,2,IF(N437&lt;=5.5,3,4))))</f>
        <v>0</v>
      </c>
      <c r="Q437" s="147">
        <f t="shared" ca="1" si="453"/>
        <v>0</v>
      </c>
      <c r="R437" s="147" t="str">
        <f t="shared" ca="1" si="269"/>
        <v>No Data</v>
      </c>
      <c r="S437" s="147">
        <f t="shared" si="270"/>
        <v>0</v>
      </c>
      <c r="T437" s="147"/>
      <c r="U437" s="147"/>
      <c r="V437" s="147"/>
      <c r="W437" s="147"/>
      <c r="X437" s="147"/>
      <c r="Y437" s="147"/>
      <c r="Z437" s="147"/>
      <c r="AA437" s="147"/>
      <c r="AB437" s="147"/>
      <c r="AC437" s="147"/>
      <c r="AD437" s="147"/>
      <c r="AE437" s="147"/>
      <c r="AF437" s="147"/>
      <c r="AG437" s="147"/>
      <c r="AH437" s="147"/>
      <c r="AI437" s="147"/>
      <c r="AJ437" s="147"/>
      <c r="AK437" s="147"/>
      <c r="AL437" s="147"/>
      <c r="AM437" s="151"/>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c r="BI437" s="147"/>
      <c r="BJ437" s="147"/>
      <c r="BK437" s="147"/>
      <c r="BL437" s="147"/>
      <c r="BM437" s="147"/>
      <c r="BN437" s="147"/>
      <c r="BO437" s="147"/>
      <c r="BP437" s="147"/>
      <c r="BQ437" s="147"/>
      <c r="BR437" s="147"/>
      <c r="BS437" s="147"/>
      <c r="BT437" s="147"/>
      <c r="BU437" s="147"/>
      <c r="BV437" s="147"/>
      <c r="BW437" s="147"/>
      <c r="BX437" s="147"/>
      <c r="BY437" s="147"/>
      <c r="BZ437" s="147"/>
      <c r="CA437" s="147"/>
      <c r="CB437" s="147"/>
      <c r="CC437" s="147"/>
      <c r="CD437" s="147"/>
      <c r="CE437" s="147"/>
      <c r="CF437" s="147"/>
      <c r="CG437" s="147"/>
      <c r="CH437" s="147"/>
      <c r="CI437" s="147"/>
      <c r="CJ437" s="147"/>
      <c r="CK437" s="147"/>
    </row>
    <row r="438" spans="1:89">
      <c r="A438" s="159" t="s">
        <v>389</v>
      </c>
      <c r="B438" s="3" t="s">
        <v>390</v>
      </c>
      <c r="C438" s="160" t="s">
        <v>87</v>
      </c>
      <c r="D438" s="160" t="s">
        <v>880</v>
      </c>
      <c r="E438" s="3" t="s">
        <v>22</v>
      </c>
      <c r="F438" s="3" t="s">
        <v>917</v>
      </c>
      <c r="G438" s="3"/>
      <c r="H438" s="156" t="str">
        <f ca="1">IFERROR(
  _xludf.MINIFS(ATTENDANCE_LOG!$F:$F,
         ATTENDANCE_LOG!$A:$A, C438,
         ATTENDANCE_LOG!$B:$B, E438),
"")</f>
        <v/>
      </c>
      <c r="I438" s="156" t="str">
        <f t="shared" ca="1" si="266"/>
        <v/>
      </c>
      <c r="J438" s="3">
        <f>IFERROR(VLOOKUP(F438, LEVEL_HELPER!$A:$B, 2, 0), "")</f>
        <v>3</v>
      </c>
      <c r="K438" s="3" t="str">
        <f>IFERROR(VLOOKUP(G438, LEVEL_HELPER!$A:$B, 2, 0), "")</f>
        <v/>
      </c>
      <c r="L438" s="157" t="s">
        <v>946</v>
      </c>
      <c r="M438" s="157" t="s">
        <v>925</v>
      </c>
      <c r="N438" s="3">
        <f t="array" aca="1" ref="N438" ca="1">IFERROR(
  INDEX($J$2:$J$543,
    MATCH(A438&amp;TEXT(I438,"yyyy-mm-dd"),
          $A$2:$A$543&amp;TEXT($H$2:$H$543,"yyyy-mm-dd"),
          0)),
"")</f>
        <v>1</v>
      </c>
      <c r="O438" s="147" t="str">
        <f t="shared" ca="1" si="267"/>
        <v/>
      </c>
      <c r="P438" s="147">
        <f t="shared" ref="P438:Q438" ca="1" si="454">IF(N438="",0,IF(N438&lt;=2,1,IF(N438&lt;=4,2,IF(N438&lt;=5.5,3,4))))</f>
        <v>1</v>
      </c>
      <c r="Q438" s="147">
        <f t="shared" ca="1" si="454"/>
        <v>0</v>
      </c>
      <c r="R438" s="147" t="str">
        <f t="shared" ca="1" si="269"/>
        <v>Regressed</v>
      </c>
      <c r="S438" s="147">
        <f t="shared" si="270"/>
        <v>0</v>
      </c>
      <c r="T438" s="147"/>
      <c r="U438" s="147"/>
      <c r="V438" s="147"/>
      <c r="W438" s="147"/>
      <c r="X438" s="147"/>
      <c r="Y438" s="147"/>
      <c r="Z438" s="147"/>
      <c r="AA438" s="147"/>
      <c r="AB438" s="147"/>
      <c r="AC438" s="147"/>
      <c r="AD438" s="147"/>
      <c r="AE438" s="147"/>
      <c r="AF438" s="147"/>
      <c r="AG438" s="147"/>
      <c r="AH438" s="147"/>
      <c r="AI438" s="147"/>
      <c r="AJ438" s="147"/>
      <c r="AK438" s="147"/>
      <c r="AL438" s="147"/>
      <c r="AM438" s="151"/>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c r="BI438" s="147"/>
      <c r="BJ438" s="147"/>
      <c r="BK438" s="147"/>
      <c r="BL438" s="147"/>
      <c r="BM438" s="147"/>
      <c r="BN438" s="147"/>
      <c r="BO438" s="147"/>
      <c r="BP438" s="147"/>
      <c r="BQ438" s="147"/>
      <c r="BR438" s="147"/>
      <c r="BS438" s="147"/>
      <c r="BT438" s="147"/>
      <c r="BU438" s="147"/>
      <c r="BV438" s="147"/>
      <c r="BW438" s="147"/>
      <c r="BX438" s="147"/>
      <c r="BY438" s="147"/>
      <c r="BZ438" s="147"/>
      <c r="CA438" s="147"/>
      <c r="CB438" s="147"/>
      <c r="CC438" s="147"/>
      <c r="CD438" s="147"/>
      <c r="CE438" s="147"/>
      <c r="CF438" s="147"/>
      <c r="CG438" s="147"/>
      <c r="CH438" s="147"/>
      <c r="CI438" s="147"/>
      <c r="CJ438" s="147"/>
      <c r="CK438" s="147"/>
    </row>
    <row r="439" spans="1:89">
      <c r="A439" s="159" t="s">
        <v>637</v>
      </c>
      <c r="B439" s="3" t="s">
        <v>638</v>
      </c>
      <c r="C439" s="160" t="s">
        <v>87</v>
      </c>
      <c r="D439" s="160" t="s">
        <v>880</v>
      </c>
      <c r="E439" s="3" t="s">
        <v>22</v>
      </c>
      <c r="F439" s="3" t="s">
        <v>917</v>
      </c>
      <c r="G439" s="3"/>
      <c r="H439" s="156" t="str">
        <f ca="1">IFERROR(
  _xludf.MINIFS(ATTENDANCE_LOG!$F:$F,
         ATTENDANCE_LOG!$A:$A, C439,
         ATTENDANCE_LOG!$B:$B, E439),
"")</f>
        <v/>
      </c>
      <c r="I439" s="156" t="str">
        <f t="shared" ca="1" si="266"/>
        <v/>
      </c>
      <c r="J439" s="3">
        <f>IFERROR(VLOOKUP(F439, LEVEL_HELPER!$A:$B, 2, 0), "")</f>
        <v>3</v>
      </c>
      <c r="K439" s="3" t="str">
        <f>IFERROR(VLOOKUP(G439, LEVEL_HELPER!$A:$B, 2, 0), "")</f>
        <v/>
      </c>
      <c r="L439" s="157" t="s">
        <v>942</v>
      </c>
      <c r="M439" s="157" t="s">
        <v>925</v>
      </c>
      <c r="N439" s="3">
        <f t="array" aca="1" ref="N439" ca="1">IFERROR(
  INDEX($J$2:$J$543,
    MATCH(A439&amp;TEXT(I439,"yyyy-mm-dd"),
          $A$2:$A$543&amp;TEXT($H$2:$H$543,"yyyy-mm-dd"),
          0)),
"")</f>
        <v>1</v>
      </c>
      <c r="O439" s="147" t="str">
        <f t="shared" ca="1" si="267"/>
        <v/>
      </c>
      <c r="P439" s="147">
        <f t="shared" ref="P439:Q439" ca="1" si="455">IF(N439="",0,IF(N439&lt;=2,1,IF(N439&lt;=4,2,IF(N439&lt;=5.5,3,4))))</f>
        <v>1</v>
      </c>
      <c r="Q439" s="147">
        <f t="shared" ca="1" si="455"/>
        <v>0</v>
      </c>
      <c r="R439" s="147" t="str">
        <f t="shared" ca="1" si="269"/>
        <v>Regressed</v>
      </c>
      <c r="S439" s="147">
        <f t="shared" si="270"/>
        <v>0</v>
      </c>
      <c r="T439" s="147"/>
      <c r="U439" s="147"/>
      <c r="V439" s="147"/>
      <c r="W439" s="147"/>
      <c r="X439" s="147"/>
      <c r="Y439" s="147"/>
      <c r="Z439" s="147"/>
      <c r="AA439" s="147"/>
      <c r="AB439" s="147"/>
      <c r="AC439" s="147"/>
      <c r="AD439" s="147"/>
      <c r="AE439" s="147"/>
      <c r="AF439" s="147"/>
      <c r="AG439" s="147"/>
      <c r="AH439" s="147"/>
      <c r="AI439" s="147"/>
      <c r="AJ439" s="147"/>
      <c r="AK439" s="147"/>
      <c r="AL439" s="147"/>
      <c r="AM439" s="151"/>
      <c r="AN439" s="147"/>
      <c r="AO439" s="147"/>
      <c r="AP439" s="147"/>
      <c r="AQ439" s="147"/>
      <c r="AR439" s="147"/>
      <c r="AS439" s="147"/>
      <c r="AT439" s="147"/>
      <c r="AU439" s="147"/>
      <c r="AV439" s="147"/>
      <c r="AW439" s="147"/>
      <c r="AX439" s="147"/>
      <c r="AY439" s="147"/>
      <c r="AZ439" s="147"/>
      <c r="BA439" s="147"/>
      <c r="BB439" s="147"/>
      <c r="BC439" s="147"/>
      <c r="BD439" s="147"/>
      <c r="BE439" s="147"/>
      <c r="BF439" s="147"/>
      <c r="BG439" s="147"/>
      <c r="BH439" s="147"/>
      <c r="BI439" s="147"/>
      <c r="BJ439" s="147"/>
      <c r="BK439" s="147"/>
      <c r="BL439" s="147"/>
      <c r="BM439" s="147"/>
      <c r="BN439" s="147"/>
      <c r="BO439" s="147"/>
      <c r="BP439" s="147"/>
      <c r="BQ439" s="147"/>
      <c r="BR439" s="147"/>
      <c r="BS439" s="147"/>
      <c r="BT439" s="147"/>
      <c r="BU439" s="147"/>
      <c r="BV439" s="147"/>
      <c r="BW439" s="147"/>
      <c r="BX439" s="147"/>
      <c r="BY439" s="147"/>
      <c r="BZ439" s="147"/>
      <c r="CA439" s="147"/>
      <c r="CB439" s="147"/>
      <c r="CC439" s="147"/>
      <c r="CD439" s="147"/>
      <c r="CE439" s="147"/>
      <c r="CF439" s="147"/>
      <c r="CG439" s="147"/>
      <c r="CH439" s="147"/>
      <c r="CI439" s="147"/>
      <c r="CJ439" s="147"/>
      <c r="CK439" s="147"/>
    </row>
    <row r="440" spans="1:89">
      <c r="A440" s="159" t="s">
        <v>663</v>
      </c>
      <c r="B440" s="3" t="s">
        <v>664</v>
      </c>
      <c r="C440" s="160" t="s">
        <v>87</v>
      </c>
      <c r="D440" s="160" t="s">
        <v>880</v>
      </c>
      <c r="E440" s="3" t="s">
        <v>22</v>
      </c>
      <c r="F440" s="3" t="s">
        <v>926</v>
      </c>
      <c r="G440" s="3"/>
      <c r="H440" s="156" t="str">
        <f ca="1">IFERROR(
  _xludf.MINIFS(ATTENDANCE_LOG!$F:$F,
         ATTENDANCE_LOG!$A:$A, C440,
         ATTENDANCE_LOG!$B:$B, E440),
"")</f>
        <v/>
      </c>
      <c r="I440" s="156" t="str">
        <f t="shared" ca="1" si="266"/>
        <v/>
      </c>
      <c r="J440" s="3">
        <f>IFERROR(VLOOKUP(F440, LEVEL_HELPER!$A:$B, 2, 0), "")</f>
        <v>1</v>
      </c>
      <c r="K440" s="3" t="str">
        <f>IFERROR(VLOOKUP(G440, LEVEL_HELPER!$A:$B, 2, 0), "")</f>
        <v/>
      </c>
      <c r="L440" s="157" t="s">
        <v>942</v>
      </c>
      <c r="M440" s="157" t="s">
        <v>925</v>
      </c>
      <c r="N440" s="3">
        <f t="array" aca="1" ref="N440" ca="1">IFERROR(
  INDEX($J$2:$J$543,
    MATCH(A440&amp;TEXT(I440,"yyyy-mm-dd"),
          $A$2:$A$543&amp;TEXT($H$2:$H$543,"yyyy-mm-dd"),
          0)),
"")</f>
        <v>1</v>
      </c>
      <c r="O440" s="147" t="str">
        <f t="shared" ca="1" si="267"/>
        <v/>
      </c>
      <c r="P440" s="147">
        <f t="shared" ref="P440:Q440" ca="1" si="456">IF(N440="",0,IF(N440&lt;=2,1,IF(N440&lt;=4,2,IF(N440&lt;=5.5,3,4))))</f>
        <v>1</v>
      </c>
      <c r="Q440" s="147">
        <f t="shared" ca="1" si="456"/>
        <v>0</v>
      </c>
      <c r="R440" s="147" t="str">
        <f t="shared" ca="1" si="269"/>
        <v>Regressed</v>
      </c>
      <c r="S440" s="147">
        <f t="shared" si="270"/>
        <v>0</v>
      </c>
      <c r="T440" s="147"/>
      <c r="U440" s="147"/>
      <c r="V440" s="147"/>
      <c r="W440" s="147"/>
      <c r="X440" s="147"/>
      <c r="Y440" s="147"/>
      <c r="Z440" s="147"/>
      <c r="AA440" s="147"/>
      <c r="AB440" s="147"/>
      <c r="AC440" s="147"/>
      <c r="AD440" s="147"/>
      <c r="AE440" s="147"/>
      <c r="AF440" s="147"/>
      <c r="AG440" s="147"/>
      <c r="AH440" s="147"/>
      <c r="AI440" s="147"/>
      <c r="AJ440" s="147"/>
      <c r="AK440" s="147"/>
      <c r="AL440" s="147"/>
      <c r="AM440" s="151"/>
      <c r="AN440" s="147"/>
      <c r="AO440" s="147"/>
      <c r="AP440" s="147"/>
      <c r="AQ440" s="147"/>
      <c r="AR440" s="147"/>
      <c r="AS440" s="147"/>
      <c r="AT440" s="147"/>
      <c r="AU440" s="147"/>
      <c r="AV440" s="147"/>
      <c r="AW440" s="147"/>
      <c r="AX440" s="147"/>
      <c r="AY440" s="147"/>
      <c r="AZ440" s="147"/>
      <c r="BA440" s="147"/>
      <c r="BB440" s="147"/>
      <c r="BC440" s="147"/>
      <c r="BD440" s="147"/>
      <c r="BE440" s="147"/>
      <c r="BF440" s="147"/>
      <c r="BG440" s="147"/>
      <c r="BH440" s="147"/>
      <c r="BI440" s="147"/>
      <c r="BJ440" s="147"/>
      <c r="BK440" s="147"/>
      <c r="BL440" s="147"/>
      <c r="BM440" s="147"/>
      <c r="BN440" s="147"/>
      <c r="BO440" s="147"/>
      <c r="BP440" s="147"/>
      <c r="BQ440" s="147"/>
      <c r="BR440" s="147"/>
      <c r="BS440" s="147"/>
      <c r="BT440" s="147"/>
      <c r="BU440" s="147"/>
      <c r="BV440" s="147"/>
      <c r="BW440" s="147"/>
      <c r="BX440" s="147"/>
      <c r="BY440" s="147"/>
      <c r="BZ440" s="147"/>
      <c r="CA440" s="147"/>
      <c r="CB440" s="147"/>
      <c r="CC440" s="147"/>
      <c r="CD440" s="147"/>
      <c r="CE440" s="147"/>
      <c r="CF440" s="147"/>
      <c r="CG440" s="147"/>
      <c r="CH440" s="147"/>
      <c r="CI440" s="147"/>
      <c r="CJ440" s="147"/>
      <c r="CK440" s="147"/>
    </row>
    <row r="441" spans="1:89">
      <c r="A441" s="153" t="s">
        <v>440</v>
      </c>
      <c r="B441" s="154" t="s">
        <v>441</v>
      </c>
      <c r="C441" s="155" t="s">
        <v>88</v>
      </c>
      <c r="D441" s="155" t="s">
        <v>881</v>
      </c>
      <c r="E441" s="154" t="s">
        <v>21</v>
      </c>
      <c r="F441" s="154" t="s">
        <v>926</v>
      </c>
      <c r="G441" s="154" t="s">
        <v>928</v>
      </c>
      <c r="H441" s="156" t="str">
        <f ca="1">IFERROR(
  _xludf.MINIFS(ATTENDANCE_LOG!$F:$F,
         ATTENDANCE_LOG!$A:$A, C441,
         ATTENDANCE_LOG!$B:$B, E441),
"")</f>
        <v/>
      </c>
      <c r="I441" s="156" t="str">
        <f t="shared" ca="1" si="266"/>
        <v/>
      </c>
      <c r="J441" s="154">
        <f>IFERROR(VLOOKUP(F441, LEVEL_HELPER!$A:$B, 2, 0), "")</f>
        <v>1</v>
      </c>
      <c r="K441" s="154">
        <f>IFERROR(VLOOKUP(G441, LEVEL_HELPER!$A:$B, 2, 0), "")</f>
        <v>1.5</v>
      </c>
      <c r="L441" s="176" t="s">
        <v>942</v>
      </c>
      <c r="M441" s="176" t="s">
        <v>922</v>
      </c>
      <c r="N441" s="3">
        <f t="array" aca="1" ref="N441" ca="1">IFERROR(
  INDEX($J$2:$J$543,
    MATCH(A441&amp;TEXT(I441,"yyyy-mm-dd"),
          $A$2:$A$543&amp;TEXT($H$2:$H$543,"yyyy-mm-dd"),
          0)),
"")</f>
        <v>1</v>
      </c>
      <c r="O441" s="177" t="str">
        <f t="shared" ca="1" si="267"/>
        <v/>
      </c>
      <c r="P441" s="147">
        <f t="shared" ref="P441:Q441" ca="1" si="457">IF(N441="",0,IF(N441&lt;=2,1,IF(N441&lt;=4,2,IF(N441&lt;=5.5,3,4))))</f>
        <v>1</v>
      </c>
      <c r="Q441" s="147">
        <f t="shared" ca="1" si="457"/>
        <v>0</v>
      </c>
      <c r="R441" s="147" t="str">
        <f t="shared" ca="1" si="269"/>
        <v>Regressed</v>
      </c>
      <c r="S441" s="147">
        <f t="shared" si="270"/>
        <v>0</v>
      </c>
      <c r="T441" s="147"/>
      <c r="U441" s="147"/>
      <c r="V441" s="147"/>
      <c r="W441" s="147"/>
      <c r="X441" s="147"/>
      <c r="Y441" s="147"/>
      <c r="Z441" s="147"/>
      <c r="AA441" s="147"/>
      <c r="AB441" s="147"/>
      <c r="AC441" s="147"/>
      <c r="AD441" s="147"/>
      <c r="AE441" s="147"/>
      <c r="AF441" s="147"/>
      <c r="AG441" s="147"/>
      <c r="AH441" s="147"/>
      <c r="AI441" s="147"/>
      <c r="AJ441" s="147"/>
      <c r="AK441" s="147"/>
      <c r="AL441" s="147"/>
      <c r="AM441" s="151"/>
      <c r="AN441" s="147"/>
      <c r="AO441" s="147"/>
      <c r="AP441" s="147"/>
      <c r="AQ441" s="147"/>
      <c r="AR441" s="147"/>
      <c r="AS441" s="147"/>
      <c r="AT441" s="147"/>
      <c r="AU441" s="147"/>
      <c r="AV441" s="147"/>
      <c r="AW441" s="147"/>
      <c r="AX441" s="147"/>
      <c r="AY441" s="147"/>
      <c r="AZ441" s="147"/>
      <c r="BA441" s="147"/>
      <c r="BB441" s="147"/>
      <c r="BC441" s="147"/>
      <c r="BD441" s="147"/>
      <c r="BE441" s="147"/>
      <c r="BF441" s="147"/>
      <c r="BG441" s="147"/>
      <c r="BH441" s="147"/>
      <c r="BI441" s="147"/>
      <c r="BJ441" s="147"/>
      <c r="BK441" s="147"/>
      <c r="BL441" s="147"/>
      <c r="BM441" s="147"/>
      <c r="BN441" s="147"/>
      <c r="BO441" s="147"/>
      <c r="BP441" s="147"/>
      <c r="BQ441" s="147"/>
      <c r="BR441" s="147"/>
      <c r="BS441" s="147"/>
      <c r="BT441" s="147"/>
      <c r="BU441" s="147"/>
      <c r="BV441" s="147"/>
      <c r="BW441" s="147"/>
      <c r="BX441" s="147"/>
      <c r="BY441" s="147"/>
      <c r="BZ441" s="147"/>
      <c r="CA441" s="147"/>
      <c r="CB441" s="147"/>
      <c r="CC441" s="147"/>
      <c r="CD441" s="147"/>
      <c r="CE441" s="147"/>
      <c r="CF441" s="147"/>
      <c r="CG441" s="147"/>
      <c r="CH441" s="147"/>
      <c r="CI441" s="147"/>
      <c r="CJ441" s="147"/>
      <c r="CK441" s="147"/>
    </row>
    <row r="442" spans="1:89">
      <c r="A442" s="159" t="s">
        <v>325</v>
      </c>
      <c r="B442" s="3" t="s">
        <v>326</v>
      </c>
      <c r="C442" s="160" t="s">
        <v>88</v>
      </c>
      <c r="D442" s="160" t="s">
        <v>881</v>
      </c>
      <c r="E442" s="3" t="s">
        <v>21</v>
      </c>
      <c r="F442" s="3" t="s">
        <v>926</v>
      </c>
      <c r="G442" s="3" t="s">
        <v>934</v>
      </c>
      <c r="H442" s="156" t="str">
        <f ca="1">IFERROR(
  _xludf.MINIFS(ATTENDANCE_LOG!$F:$F,
         ATTENDANCE_LOG!$A:$A, C442,
         ATTENDANCE_LOG!$B:$B, E442),
"")</f>
        <v/>
      </c>
      <c r="I442" s="156" t="str">
        <f t="shared" ca="1" si="266"/>
        <v/>
      </c>
      <c r="J442" s="3">
        <f>IFERROR(VLOOKUP(F442, LEVEL_HELPER!$A:$B, 2, 0), "")</f>
        <v>1</v>
      </c>
      <c r="K442" s="3">
        <f>IFERROR(VLOOKUP(G442, LEVEL_HELPER!$A:$B, 2, 0), "")</f>
        <v>3.5</v>
      </c>
      <c r="L442" s="157" t="s">
        <v>944</v>
      </c>
      <c r="M442" s="157" t="s">
        <v>921</v>
      </c>
      <c r="N442" s="3">
        <f t="array" aca="1" ref="N442" ca="1">IFERROR(
  INDEX($J$2:$J$543,
    MATCH(A442&amp;TEXT(I442,"yyyy-mm-dd"),
          $A$2:$A$543&amp;TEXT($H$2:$H$543,"yyyy-mm-dd"),
          0)),
"")</f>
        <v>1</v>
      </c>
      <c r="O442" s="147" t="str">
        <f t="shared" ca="1" si="267"/>
        <v/>
      </c>
      <c r="P442" s="147">
        <f t="shared" ref="P442:Q442" ca="1" si="458">IF(N442="",0,IF(N442&lt;=2,1,IF(N442&lt;=4,2,IF(N442&lt;=5.5,3,4))))</f>
        <v>1</v>
      </c>
      <c r="Q442" s="147">
        <f t="shared" ca="1" si="458"/>
        <v>0</v>
      </c>
      <c r="R442" s="147" t="str">
        <f t="shared" ca="1" si="269"/>
        <v>Regressed</v>
      </c>
      <c r="S442" s="147">
        <f t="shared" si="270"/>
        <v>0</v>
      </c>
      <c r="T442" s="147"/>
      <c r="U442" s="147"/>
      <c r="V442" s="147"/>
      <c r="W442" s="147"/>
      <c r="X442" s="147"/>
      <c r="Y442" s="147"/>
      <c r="Z442" s="147"/>
      <c r="AA442" s="147"/>
      <c r="AB442" s="147"/>
      <c r="AC442" s="147"/>
      <c r="AD442" s="147"/>
      <c r="AE442" s="147"/>
      <c r="AF442" s="147"/>
      <c r="AG442" s="147"/>
      <c r="AH442" s="147"/>
      <c r="AI442" s="147"/>
      <c r="AJ442" s="147"/>
      <c r="AK442" s="147"/>
      <c r="AL442" s="147"/>
      <c r="AM442" s="151"/>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c r="BI442" s="147"/>
      <c r="BJ442" s="147"/>
      <c r="BK442" s="147"/>
      <c r="BL442" s="147"/>
      <c r="BM442" s="147"/>
      <c r="BN442" s="147"/>
      <c r="BO442" s="147"/>
      <c r="BP442" s="147"/>
      <c r="BQ442" s="147"/>
      <c r="BR442" s="147"/>
      <c r="BS442" s="147"/>
      <c r="BT442" s="147"/>
      <c r="BU442" s="147"/>
      <c r="BV442" s="147"/>
      <c r="BW442" s="147"/>
      <c r="BX442" s="147"/>
      <c r="BY442" s="147"/>
      <c r="BZ442" s="147"/>
      <c r="CA442" s="147"/>
      <c r="CB442" s="147"/>
      <c r="CC442" s="147"/>
      <c r="CD442" s="147"/>
      <c r="CE442" s="147"/>
      <c r="CF442" s="147"/>
      <c r="CG442" s="147"/>
      <c r="CH442" s="147"/>
      <c r="CI442" s="147"/>
      <c r="CJ442" s="147"/>
      <c r="CK442" s="147"/>
    </row>
    <row r="443" spans="1:89">
      <c r="A443" s="159" t="s">
        <v>419</v>
      </c>
      <c r="B443" s="3" t="s">
        <v>420</v>
      </c>
      <c r="C443" s="160" t="s">
        <v>88</v>
      </c>
      <c r="D443" s="160" t="s">
        <v>881</v>
      </c>
      <c r="E443" s="3" t="s">
        <v>21</v>
      </c>
      <c r="F443" s="3" t="s">
        <v>926</v>
      </c>
      <c r="G443" s="3"/>
      <c r="H443" s="156" t="str">
        <f ca="1">IFERROR(
  _xludf.MINIFS(ATTENDANCE_LOG!$F:$F,
         ATTENDANCE_LOG!$A:$A, C443,
         ATTENDANCE_LOG!$B:$B, E443),
"")</f>
        <v/>
      </c>
      <c r="I443" s="156" t="str">
        <f t="shared" ca="1" si="266"/>
        <v/>
      </c>
      <c r="J443" s="3">
        <f>IFERROR(VLOOKUP(F443, LEVEL_HELPER!$A:$B, 2, 0), "")</f>
        <v>1</v>
      </c>
      <c r="K443" s="3" t="str">
        <f>IFERROR(VLOOKUP(G443, LEVEL_HELPER!$A:$B, 2, 0), "")</f>
        <v/>
      </c>
      <c r="L443" s="157" t="s">
        <v>942</v>
      </c>
      <c r="M443" s="157" t="s">
        <v>922</v>
      </c>
      <c r="N443" s="3">
        <f t="array" aca="1" ref="N443" ca="1">IFERROR(
  INDEX($J$2:$J$543,
    MATCH(A443&amp;TEXT(I443,"yyyy-mm-dd"),
          $A$2:$A$543&amp;TEXT($H$2:$H$543,"yyyy-mm-dd"),
          0)),
"")</f>
        <v>1</v>
      </c>
      <c r="O443" s="147" t="str">
        <f t="shared" ca="1" si="267"/>
        <v/>
      </c>
      <c r="P443" s="147">
        <f t="shared" ref="P443:Q443" ca="1" si="459">IF(N443="",0,IF(N443&lt;=2,1,IF(N443&lt;=4,2,IF(N443&lt;=5.5,3,4))))</f>
        <v>1</v>
      </c>
      <c r="Q443" s="147">
        <f t="shared" ca="1" si="459"/>
        <v>0</v>
      </c>
      <c r="R443" s="147" t="str">
        <f t="shared" ca="1" si="269"/>
        <v>Regressed</v>
      </c>
      <c r="S443" s="147">
        <f t="shared" si="270"/>
        <v>0</v>
      </c>
      <c r="T443" s="147"/>
      <c r="U443" s="147"/>
      <c r="V443" s="147"/>
      <c r="W443" s="147"/>
      <c r="X443" s="147"/>
      <c r="Y443" s="147"/>
      <c r="Z443" s="147"/>
      <c r="AA443" s="147"/>
      <c r="AB443" s="147"/>
      <c r="AC443" s="147"/>
      <c r="AD443" s="147"/>
      <c r="AE443" s="147"/>
      <c r="AF443" s="147"/>
      <c r="AG443" s="147"/>
      <c r="AH443" s="147"/>
      <c r="AI443" s="147"/>
      <c r="AJ443" s="147"/>
      <c r="AK443" s="147"/>
      <c r="AL443" s="147"/>
      <c r="AM443" s="151"/>
      <c r="AN443" s="147"/>
      <c r="AO443" s="147"/>
      <c r="AP443" s="147"/>
      <c r="AQ443" s="147"/>
      <c r="AR443" s="147"/>
      <c r="AS443" s="147"/>
      <c r="AT443" s="147"/>
      <c r="AU443" s="147"/>
      <c r="AV443" s="147"/>
      <c r="AW443" s="147"/>
      <c r="AX443" s="147"/>
      <c r="AY443" s="147"/>
      <c r="AZ443" s="147"/>
      <c r="BA443" s="147"/>
      <c r="BB443" s="147"/>
      <c r="BC443" s="147"/>
      <c r="BD443" s="147"/>
      <c r="BE443" s="147"/>
      <c r="BF443" s="147"/>
      <c r="BG443" s="147"/>
      <c r="BH443" s="147"/>
      <c r="BI443" s="147"/>
      <c r="BJ443" s="147"/>
      <c r="BK443" s="147"/>
      <c r="BL443" s="147"/>
      <c r="BM443" s="147"/>
      <c r="BN443" s="147"/>
      <c r="BO443" s="147"/>
      <c r="BP443" s="147"/>
      <c r="BQ443" s="147"/>
      <c r="BR443" s="147"/>
      <c r="BS443" s="147"/>
      <c r="BT443" s="147"/>
      <c r="BU443" s="147"/>
      <c r="BV443" s="147"/>
      <c r="BW443" s="147"/>
      <c r="BX443" s="147"/>
      <c r="BY443" s="147"/>
      <c r="BZ443" s="147"/>
      <c r="CA443" s="147"/>
      <c r="CB443" s="147"/>
      <c r="CC443" s="147"/>
      <c r="CD443" s="147"/>
      <c r="CE443" s="147"/>
      <c r="CF443" s="147"/>
      <c r="CG443" s="147"/>
      <c r="CH443" s="147"/>
      <c r="CI443" s="147"/>
      <c r="CJ443" s="147"/>
      <c r="CK443" s="147"/>
    </row>
    <row r="444" spans="1:89">
      <c r="A444" s="159" t="s">
        <v>461</v>
      </c>
      <c r="B444" s="3" t="s">
        <v>462</v>
      </c>
      <c r="C444" s="160" t="s">
        <v>88</v>
      </c>
      <c r="D444" s="160" t="s">
        <v>881</v>
      </c>
      <c r="E444" s="3" t="s">
        <v>21</v>
      </c>
      <c r="F444" s="3" t="s">
        <v>926</v>
      </c>
      <c r="G444" s="3" t="s">
        <v>934</v>
      </c>
      <c r="H444" s="156" t="str">
        <f ca="1">IFERROR(
  _xludf.MINIFS(ATTENDANCE_LOG!$F:$F,
         ATTENDANCE_LOG!$A:$A, C444,
         ATTENDANCE_LOG!$B:$B, E444),
"")</f>
        <v/>
      </c>
      <c r="I444" s="156" t="str">
        <f t="shared" ca="1" si="266"/>
        <v/>
      </c>
      <c r="J444" s="3">
        <f>IFERROR(VLOOKUP(F444, LEVEL_HELPER!$A:$B, 2, 0), "")</f>
        <v>1</v>
      </c>
      <c r="K444" s="3">
        <f>IFERROR(VLOOKUP(G444, LEVEL_HELPER!$A:$B, 2, 0), "")</f>
        <v>3.5</v>
      </c>
      <c r="L444" s="157" t="s">
        <v>918</v>
      </c>
      <c r="M444" s="157" t="s">
        <v>922</v>
      </c>
      <c r="N444" s="3">
        <f t="array" aca="1" ref="N444" ca="1">IFERROR(
  INDEX($J$2:$J$543,
    MATCH(A444&amp;TEXT(I444,"yyyy-mm-dd"),
          $A$2:$A$543&amp;TEXT($H$2:$H$543,"yyyy-mm-dd"),
          0)),
"")</f>
        <v>1</v>
      </c>
      <c r="O444" s="147" t="str">
        <f t="shared" ca="1" si="267"/>
        <v/>
      </c>
      <c r="P444" s="147">
        <f t="shared" ref="P444:Q444" ca="1" si="460">IF(N444="",0,IF(N444&lt;=2,1,IF(N444&lt;=4,2,IF(N444&lt;=5.5,3,4))))</f>
        <v>1</v>
      </c>
      <c r="Q444" s="147">
        <f t="shared" ca="1" si="460"/>
        <v>0</v>
      </c>
      <c r="R444" s="147" t="str">
        <f t="shared" ca="1" si="269"/>
        <v>Regressed</v>
      </c>
      <c r="S444" s="147">
        <f t="shared" si="270"/>
        <v>0</v>
      </c>
      <c r="T444" s="147"/>
      <c r="U444" s="147"/>
      <c r="V444" s="147"/>
      <c r="W444" s="147"/>
      <c r="X444" s="147"/>
      <c r="Y444" s="147"/>
      <c r="Z444" s="147"/>
      <c r="AA444" s="147"/>
      <c r="AB444" s="147"/>
      <c r="AC444" s="147"/>
      <c r="AD444" s="147"/>
      <c r="AE444" s="147"/>
      <c r="AF444" s="147"/>
      <c r="AG444" s="147"/>
      <c r="AH444" s="147"/>
      <c r="AI444" s="147"/>
      <c r="AJ444" s="147"/>
      <c r="AK444" s="147"/>
      <c r="AL444" s="147"/>
      <c r="AM444" s="151"/>
      <c r="AN444" s="147"/>
      <c r="AO444" s="147"/>
      <c r="AP444" s="147"/>
      <c r="AQ444" s="147"/>
      <c r="AR444" s="147"/>
      <c r="AS444" s="147"/>
      <c r="AT444" s="147"/>
      <c r="AU444" s="147"/>
      <c r="AV444" s="147"/>
      <c r="AW444" s="147"/>
      <c r="AX444" s="147"/>
      <c r="AY444" s="147"/>
      <c r="AZ444" s="147"/>
      <c r="BA444" s="147"/>
      <c r="BB444" s="147"/>
      <c r="BC444" s="147"/>
      <c r="BD444" s="147"/>
      <c r="BE444" s="147"/>
      <c r="BF444" s="147"/>
      <c r="BG444" s="147"/>
      <c r="BH444" s="147"/>
      <c r="BI444" s="147"/>
      <c r="BJ444" s="147"/>
      <c r="BK444" s="147"/>
      <c r="BL444" s="147"/>
      <c r="BM444" s="147"/>
      <c r="BN444" s="147"/>
      <c r="BO444" s="147"/>
      <c r="BP444" s="147"/>
      <c r="BQ444" s="147"/>
      <c r="BR444" s="147"/>
      <c r="BS444" s="147"/>
      <c r="BT444" s="147"/>
      <c r="BU444" s="147"/>
      <c r="BV444" s="147"/>
      <c r="BW444" s="147"/>
      <c r="BX444" s="147"/>
      <c r="BY444" s="147"/>
      <c r="BZ444" s="147"/>
      <c r="CA444" s="147"/>
      <c r="CB444" s="147"/>
      <c r="CC444" s="147"/>
      <c r="CD444" s="147"/>
      <c r="CE444" s="147"/>
      <c r="CF444" s="147"/>
      <c r="CG444" s="147"/>
      <c r="CH444" s="147"/>
      <c r="CI444" s="147"/>
      <c r="CJ444" s="147"/>
      <c r="CK444" s="147"/>
    </row>
    <row r="445" spans="1:89">
      <c r="A445" s="159" t="s">
        <v>669</v>
      </c>
      <c r="B445" s="3" t="s">
        <v>670</v>
      </c>
      <c r="C445" s="160" t="s">
        <v>88</v>
      </c>
      <c r="D445" s="160" t="s">
        <v>881</v>
      </c>
      <c r="E445" s="3" t="s">
        <v>21</v>
      </c>
      <c r="F445" s="3" t="s">
        <v>916</v>
      </c>
      <c r="G445" s="3"/>
      <c r="H445" s="156" t="str">
        <f ca="1">IFERROR(
  _xludf.MINIFS(ATTENDANCE_LOG!$F:$F,
         ATTENDANCE_LOG!$A:$A, C445,
         ATTENDANCE_LOG!$B:$B, E445),
"")</f>
        <v/>
      </c>
      <c r="I445" s="156" t="str">
        <f t="shared" ca="1" si="266"/>
        <v/>
      </c>
      <c r="J445" s="3">
        <f>IFERROR(VLOOKUP(F445, LEVEL_HELPER!$A:$B, 2, 0), "")</f>
        <v>2.5</v>
      </c>
      <c r="K445" s="3" t="str">
        <f>IFERROR(VLOOKUP(G445, LEVEL_HELPER!$A:$B, 2, 0), "")</f>
        <v/>
      </c>
      <c r="L445" s="157" t="s">
        <v>954</v>
      </c>
      <c r="M445" s="157" t="s">
        <v>924</v>
      </c>
      <c r="N445" s="3">
        <f t="array" aca="1" ref="N445" ca="1">IFERROR(
  INDEX($J$2:$J$543,
    MATCH(A445&amp;TEXT(I445,"yyyy-mm-dd"),
          $A$2:$A$543&amp;TEXT($H$2:$H$543,"yyyy-mm-dd"),
          0)),
"")</f>
        <v>2.5</v>
      </c>
      <c r="O445" s="147" t="str">
        <f t="shared" ca="1" si="267"/>
        <v/>
      </c>
      <c r="P445" s="147">
        <f t="shared" ref="P445:Q445" ca="1" si="461">IF(N445="",0,IF(N445&lt;=2,1,IF(N445&lt;=4,2,IF(N445&lt;=5.5,3,4))))</f>
        <v>2</v>
      </c>
      <c r="Q445" s="147">
        <f t="shared" ca="1" si="461"/>
        <v>0</v>
      </c>
      <c r="R445" s="147" t="str">
        <f t="shared" ca="1" si="269"/>
        <v>Regressed</v>
      </c>
      <c r="S445" s="147">
        <f t="shared" si="270"/>
        <v>1</v>
      </c>
      <c r="T445" s="147"/>
      <c r="U445" s="147"/>
      <c r="V445" s="147"/>
      <c r="W445" s="147"/>
      <c r="X445" s="147"/>
      <c r="Y445" s="147"/>
      <c r="Z445" s="147"/>
      <c r="AA445" s="147"/>
      <c r="AB445" s="147"/>
      <c r="AC445" s="147"/>
      <c r="AD445" s="147"/>
      <c r="AE445" s="147"/>
      <c r="AF445" s="147"/>
      <c r="AG445" s="147"/>
      <c r="AH445" s="147"/>
      <c r="AI445" s="147"/>
      <c r="AJ445" s="147"/>
      <c r="AK445" s="147"/>
      <c r="AL445" s="147"/>
      <c r="AM445" s="151"/>
      <c r="AN445" s="147"/>
      <c r="AO445" s="147"/>
      <c r="AP445" s="147"/>
      <c r="AQ445" s="147"/>
      <c r="AR445" s="147"/>
      <c r="AS445" s="147"/>
      <c r="AT445" s="147"/>
      <c r="AU445" s="147"/>
      <c r="AV445" s="147"/>
      <c r="AW445" s="147"/>
      <c r="AX445" s="147"/>
      <c r="AY445" s="147"/>
      <c r="AZ445" s="147"/>
      <c r="BA445" s="147"/>
      <c r="BB445" s="147"/>
      <c r="BC445" s="147"/>
      <c r="BD445" s="147"/>
      <c r="BE445" s="147"/>
      <c r="BF445" s="147"/>
      <c r="BG445" s="147"/>
      <c r="BH445" s="147"/>
      <c r="BI445" s="147"/>
      <c r="BJ445" s="147"/>
      <c r="BK445" s="147"/>
      <c r="BL445" s="147"/>
      <c r="BM445" s="147"/>
      <c r="BN445" s="147"/>
      <c r="BO445" s="147"/>
      <c r="BP445" s="147"/>
      <c r="BQ445" s="147"/>
      <c r="BR445" s="147"/>
      <c r="BS445" s="147"/>
      <c r="BT445" s="147"/>
      <c r="BU445" s="147"/>
      <c r="BV445" s="147"/>
      <c r="BW445" s="147"/>
      <c r="BX445" s="147"/>
      <c r="BY445" s="147"/>
      <c r="BZ445" s="147"/>
      <c r="CA445" s="147"/>
      <c r="CB445" s="147"/>
      <c r="CC445" s="147"/>
      <c r="CD445" s="147"/>
      <c r="CE445" s="147"/>
      <c r="CF445" s="147"/>
      <c r="CG445" s="147"/>
      <c r="CH445" s="147"/>
      <c r="CI445" s="147"/>
      <c r="CJ445" s="147"/>
      <c r="CK445" s="147"/>
    </row>
    <row r="446" spans="1:89">
      <c r="A446" s="159" t="s">
        <v>681</v>
      </c>
      <c r="B446" s="3" t="s">
        <v>682</v>
      </c>
      <c r="C446" s="160" t="s">
        <v>88</v>
      </c>
      <c r="D446" s="160" t="s">
        <v>881</v>
      </c>
      <c r="E446" s="3" t="s">
        <v>21</v>
      </c>
      <c r="F446" s="3" t="s">
        <v>926</v>
      </c>
      <c r="G446" s="3" t="s">
        <v>917</v>
      </c>
      <c r="H446" s="156" t="str">
        <f ca="1">IFERROR(
  _xludf.MINIFS(ATTENDANCE_LOG!$F:$F,
         ATTENDANCE_LOG!$A:$A, C446,
         ATTENDANCE_LOG!$B:$B, E446),
"")</f>
        <v/>
      </c>
      <c r="I446" s="156" t="str">
        <f t="shared" ca="1" si="266"/>
        <v/>
      </c>
      <c r="J446" s="3">
        <f>IFERROR(VLOOKUP(F446, LEVEL_HELPER!$A:$B, 2, 0), "")</f>
        <v>1</v>
      </c>
      <c r="K446" s="3">
        <f>IFERROR(VLOOKUP(G446, LEVEL_HELPER!$A:$B, 2, 0), "")</f>
        <v>3</v>
      </c>
      <c r="L446" s="157" t="s">
        <v>942</v>
      </c>
      <c r="M446" s="157" t="s">
        <v>923</v>
      </c>
      <c r="N446" s="3">
        <f t="array" aca="1" ref="N446" ca="1">IFERROR(
  INDEX($J$2:$J$543,
    MATCH(A446&amp;TEXT(I446,"yyyy-mm-dd"),
          $A$2:$A$543&amp;TEXT($H$2:$H$543,"yyyy-mm-dd"),
          0)),
"")</f>
        <v>1</v>
      </c>
      <c r="O446" s="147" t="str">
        <f t="shared" ca="1" si="267"/>
        <v/>
      </c>
      <c r="P446" s="147">
        <f t="shared" ref="P446:Q446" ca="1" si="462">IF(N446="",0,IF(N446&lt;=2,1,IF(N446&lt;=4,2,IF(N446&lt;=5.5,3,4))))</f>
        <v>1</v>
      </c>
      <c r="Q446" s="147">
        <f t="shared" ca="1" si="462"/>
        <v>0</v>
      </c>
      <c r="R446" s="147" t="str">
        <f t="shared" ca="1" si="269"/>
        <v>Regressed</v>
      </c>
      <c r="S446" s="147">
        <f t="shared" si="270"/>
        <v>0</v>
      </c>
      <c r="T446" s="147"/>
      <c r="U446" s="147"/>
      <c r="V446" s="147"/>
      <c r="W446" s="147"/>
      <c r="X446" s="147"/>
      <c r="Y446" s="147"/>
      <c r="Z446" s="147"/>
      <c r="AA446" s="147"/>
      <c r="AB446" s="147"/>
      <c r="AC446" s="147"/>
      <c r="AD446" s="147"/>
      <c r="AE446" s="147"/>
      <c r="AF446" s="147"/>
      <c r="AG446" s="147"/>
      <c r="AH446" s="147"/>
      <c r="AI446" s="147"/>
      <c r="AJ446" s="147"/>
      <c r="AK446" s="147"/>
      <c r="AL446" s="147"/>
      <c r="AM446" s="151"/>
      <c r="AN446" s="147"/>
      <c r="AO446" s="147"/>
      <c r="AP446" s="147"/>
      <c r="AQ446" s="147"/>
      <c r="AR446" s="147"/>
      <c r="AS446" s="147"/>
      <c r="AT446" s="147"/>
      <c r="AU446" s="147"/>
      <c r="AV446" s="147"/>
      <c r="AW446" s="147"/>
      <c r="AX446" s="147"/>
      <c r="AY446" s="147"/>
      <c r="AZ446" s="147"/>
      <c r="BA446" s="147"/>
      <c r="BB446" s="147"/>
      <c r="BC446" s="147"/>
      <c r="BD446" s="147"/>
      <c r="BE446" s="147"/>
      <c r="BF446" s="147"/>
      <c r="BG446" s="147"/>
      <c r="BH446" s="147"/>
      <c r="BI446" s="147"/>
      <c r="BJ446" s="147"/>
      <c r="BK446" s="147"/>
      <c r="BL446" s="147"/>
      <c r="BM446" s="147"/>
      <c r="BN446" s="147"/>
      <c r="BO446" s="147"/>
      <c r="BP446" s="147"/>
      <c r="BQ446" s="147"/>
      <c r="BR446" s="147"/>
      <c r="BS446" s="147"/>
      <c r="BT446" s="147"/>
      <c r="BU446" s="147"/>
      <c r="BV446" s="147"/>
      <c r="BW446" s="147"/>
      <c r="BX446" s="147"/>
      <c r="BY446" s="147"/>
      <c r="BZ446" s="147"/>
      <c r="CA446" s="147"/>
      <c r="CB446" s="147"/>
      <c r="CC446" s="147"/>
      <c r="CD446" s="147"/>
      <c r="CE446" s="147"/>
      <c r="CF446" s="147"/>
      <c r="CG446" s="147"/>
      <c r="CH446" s="147"/>
      <c r="CI446" s="147"/>
      <c r="CJ446" s="147"/>
      <c r="CK446" s="147"/>
    </row>
    <row r="447" spans="1:89">
      <c r="A447" s="159" t="s">
        <v>685</v>
      </c>
      <c r="B447" s="3" t="s">
        <v>686</v>
      </c>
      <c r="C447" s="160" t="s">
        <v>88</v>
      </c>
      <c r="D447" s="160" t="s">
        <v>881</v>
      </c>
      <c r="E447" s="3" t="s">
        <v>21</v>
      </c>
      <c r="F447" s="3" t="s">
        <v>926</v>
      </c>
      <c r="G447" s="3" t="s">
        <v>928</v>
      </c>
      <c r="H447" s="156" t="str">
        <f ca="1">IFERROR(
  _xludf.MINIFS(ATTENDANCE_LOG!$F:$F,
         ATTENDANCE_LOG!$A:$A, C447,
         ATTENDANCE_LOG!$B:$B, E447),
"")</f>
        <v/>
      </c>
      <c r="I447" s="156" t="str">
        <f t="shared" ca="1" si="266"/>
        <v/>
      </c>
      <c r="J447" s="3">
        <f>IFERROR(VLOOKUP(F447, LEVEL_HELPER!$A:$B, 2, 0), "")</f>
        <v>1</v>
      </c>
      <c r="K447" s="3">
        <f>IFERROR(VLOOKUP(G447, LEVEL_HELPER!$A:$B, 2, 0), "")</f>
        <v>1.5</v>
      </c>
      <c r="L447" s="157" t="s">
        <v>942</v>
      </c>
      <c r="M447" s="157" t="s">
        <v>922</v>
      </c>
      <c r="N447" s="3">
        <f t="array" aca="1" ref="N447" ca="1">IFERROR(
  INDEX($J$2:$J$543,
    MATCH(A447&amp;TEXT(I447,"yyyy-mm-dd"),
          $A$2:$A$543&amp;TEXT($H$2:$H$543,"yyyy-mm-dd"),
          0)),
"")</f>
        <v>1</v>
      </c>
      <c r="O447" s="147" t="str">
        <f t="shared" ca="1" si="267"/>
        <v/>
      </c>
      <c r="P447" s="147">
        <f t="shared" ref="P447:Q447" ca="1" si="463">IF(N447="",0,IF(N447&lt;=2,1,IF(N447&lt;=4,2,IF(N447&lt;=5.5,3,4))))</f>
        <v>1</v>
      </c>
      <c r="Q447" s="147">
        <f t="shared" ca="1" si="463"/>
        <v>0</v>
      </c>
      <c r="R447" s="147" t="str">
        <f t="shared" ca="1" si="269"/>
        <v>Regressed</v>
      </c>
      <c r="S447" s="147">
        <f t="shared" si="270"/>
        <v>0</v>
      </c>
      <c r="T447" s="147"/>
      <c r="U447" s="147"/>
      <c r="V447" s="147"/>
      <c r="W447" s="147"/>
      <c r="X447" s="147"/>
      <c r="Y447" s="147"/>
      <c r="Z447" s="147"/>
      <c r="AA447" s="147"/>
      <c r="AB447" s="147"/>
      <c r="AC447" s="147"/>
      <c r="AD447" s="147"/>
      <c r="AE447" s="147"/>
      <c r="AF447" s="147"/>
      <c r="AG447" s="147"/>
      <c r="AH447" s="147"/>
      <c r="AI447" s="147"/>
      <c r="AJ447" s="147"/>
      <c r="AK447" s="147"/>
      <c r="AL447" s="147"/>
      <c r="AM447" s="151"/>
      <c r="AN447" s="147"/>
      <c r="AO447" s="147"/>
      <c r="AP447" s="147"/>
      <c r="AQ447" s="147"/>
      <c r="AR447" s="147"/>
      <c r="AS447" s="147"/>
      <c r="AT447" s="147"/>
      <c r="AU447" s="147"/>
      <c r="AV447" s="147"/>
      <c r="AW447" s="147"/>
      <c r="AX447" s="147"/>
      <c r="AY447" s="147"/>
      <c r="AZ447" s="147"/>
      <c r="BA447" s="147"/>
      <c r="BB447" s="147"/>
      <c r="BC447" s="147"/>
      <c r="BD447" s="147"/>
      <c r="BE447" s="147"/>
      <c r="BF447" s="147"/>
      <c r="BG447" s="147"/>
      <c r="BH447" s="147"/>
      <c r="BI447" s="147"/>
      <c r="BJ447" s="147"/>
      <c r="BK447" s="147"/>
      <c r="BL447" s="147"/>
      <c r="BM447" s="147"/>
      <c r="BN447" s="147"/>
      <c r="BO447" s="147"/>
      <c r="BP447" s="147"/>
      <c r="BQ447" s="147"/>
      <c r="BR447" s="147"/>
      <c r="BS447" s="147"/>
      <c r="BT447" s="147"/>
      <c r="BU447" s="147"/>
      <c r="BV447" s="147"/>
      <c r="BW447" s="147"/>
      <c r="BX447" s="147"/>
      <c r="BY447" s="147"/>
      <c r="BZ447" s="147"/>
      <c r="CA447" s="147"/>
      <c r="CB447" s="147"/>
      <c r="CC447" s="147"/>
      <c r="CD447" s="147"/>
      <c r="CE447" s="147"/>
      <c r="CF447" s="147"/>
      <c r="CG447" s="147"/>
      <c r="CH447" s="147"/>
      <c r="CI447" s="147"/>
      <c r="CJ447" s="147"/>
      <c r="CK447" s="147"/>
    </row>
    <row r="448" spans="1:89">
      <c r="A448" s="159" t="s">
        <v>709</v>
      </c>
      <c r="B448" s="3" t="s">
        <v>710</v>
      </c>
      <c r="C448" s="160" t="s">
        <v>88</v>
      </c>
      <c r="D448" s="160" t="s">
        <v>881</v>
      </c>
      <c r="E448" s="3" t="s">
        <v>21</v>
      </c>
      <c r="F448" s="3" t="s">
        <v>917</v>
      </c>
      <c r="G448" s="3" t="s">
        <v>934</v>
      </c>
      <c r="H448" s="156" t="str">
        <f ca="1">IFERROR(
  _xludf.MINIFS(ATTENDANCE_LOG!$F:$F,
         ATTENDANCE_LOG!$A:$A, C448,
         ATTENDANCE_LOG!$B:$B, E448),
"")</f>
        <v/>
      </c>
      <c r="I448" s="156" t="str">
        <f t="shared" ca="1" si="266"/>
        <v/>
      </c>
      <c r="J448" s="3">
        <f>IFERROR(VLOOKUP(F448, LEVEL_HELPER!$A:$B, 2, 0), "")</f>
        <v>3</v>
      </c>
      <c r="K448" s="3">
        <f>IFERROR(VLOOKUP(G448, LEVEL_HELPER!$A:$B, 2, 0), "")</f>
        <v>3.5</v>
      </c>
      <c r="L448" s="157" t="s">
        <v>942</v>
      </c>
      <c r="M448" s="157" t="s">
        <v>922</v>
      </c>
      <c r="N448" s="3">
        <f t="array" aca="1" ref="N448" ca="1">IFERROR(
  INDEX($J$2:$J$543,
    MATCH(A448&amp;TEXT(I448,"yyyy-mm-dd"),
          $A$2:$A$543&amp;TEXT($H$2:$H$543,"yyyy-mm-dd"),
          0)),
"")</f>
        <v>1</v>
      </c>
      <c r="O448" s="147" t="str">
        <f t="shared" ca="1" si="267"/>
        <v/>
      </c>
      <c r="P448" s="147">
        <f t="shared" ref="P448:Q448" ca="1" si="464">IF(N448="",0,IF(N448&lt;=2,1,IF(N448&lt;=4,2,IF(N448&lt;=5.5,3,4))))</f>
        <v>1</v>
      </c>
      <c r="Q448" s="147">
        <f t="shared" ca="1" si="464"/>
        <v>0</v>
      </c>
      <c r="R448" s="147" t="str">
        <f t="shared" ca="1" si="269"/>
        <v>Regressed</v>
      </c>
      <c r="S448" s="147">
        <f t="shared" si="270"/>
        <v>0</v>
      </c>
      <c r="T448" s="147"/>
      <c r="U448" s="147"/>
      <c r="V448" s="147"/>
      <c r="W448" s="147"/>
      <c r="X448" s="147"/>
      <c r="Y448" s="147"/>
      <c r="Z448" s="147"/>
      <c r="AA448" s="147"/>
      <c r="AB448" s="147"/>
      <c r="AC448" s="147"/>
      <c r="AD448" s="147"/>
      <c r="AE448" s="147"/>
      <c r="AF448" s="147"/>
      <c r="AG448" s="147"/>
      <c r="AH448" s="147"/>
      <c r="AI448" s="147"/>
      <c r="AJ448" s="147"/>
      <c r="AK448" s="147"/>
      <c r="AL448" s="147"/>
      <c r="AM448" s="151"/>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c r="BI448" s="147"/>
      <c r="BJ448" s="147"/>
      <c r="BK448" s="147"/>
      <c r="BL448" s="147"/>
      <c r="BM448" s="147"/>
      <c r="BN448" s="147"/>
      <c r="BO448" s="147"/>
      <c r="BP448" s="147"/>
      <c r="BQ448" s="147"/>
      <c r="BR448" s="147"/>
      <c r="BS448" s="147"/>
      <c r="BT448" s="147"/>
      <c r="BU448" s="147"/>
      <c r="BV448" s="147"/>
      <c r="BW448" s="147"/>
      <c r="BX448" s="147"/>
      <c r="BY448" s="147"/>
      <c r="BZ448" s="147"/>
      <c r="CA448" s="147"/>
      <c r="CB448" s="147"/>
      <c r="CC448" s="147"/>
      <c r="CD448" s="147"/>
      <c r="CE448" s="147"/>
      <c r="CF448" s="147"/>
      <c r="CG448" s="147"/>
      <c r="CH448" s="147"/>
      <c r="CI448" s="147"/>
      <c r="CJ448" s="147"/>
      <c r="CK448" s="147"/>
    </row>
    <row r="449" spans="1:89">
      <c r="A449" s="153" t="s">
        <v>574</v>
      </c>
      <c r="B449" s="154" t="s">
        <v>575</v>
      </c>
      <c r="C449" s="155" t="s">
        <v>89</v>
      </c>
      <c r="D449" s="155" t="s">
        <v>882</v>
      </c>
      <c r="E449" s="154" t="s">
        <v>26</v>
      </c>
      <c r="F449" s="154" t="s">
        <v>25</v>
      </c>
      <c r="G449" s="154"/>
      <c r="H449" s="156" t="str">
        <f ca="1">IFERROR(
  _xludf.MINIFS(ATTENDANCE_LOG!$F:$F,
         ATTENDANCE_LOG!$A:$A, C449,
         ATTENDANCE_LOG!$B:$B, E449),
"")</f>
        <v/>
      </c>
      <c r="I449" s="156" t="str">
        <f t="shared" ca="1" si="266"/>
        <v/>
      </c>
      <c r="J449" s="154">
        <f>IFERROR(VLOOKUP(F449, LEVEL_HELPER!$A:$B, 2, 0), "")</f>
        <v>0.5</v>
      </c>
      <c r="K449" s="154" t="str">
        <f>IFERROR(VLOOKUP(G449, LEVEL_HELPER!$A:$B, 2, 0), "")</f>
        <v/>
      </c>
      <c r="L449" s="176" t="s">
        <v>930</v>
      </c>
      <c r="M449" s="176" t="s">
        <v>925</v>
      </c>
      <c r="N449" s="3">
        <f t="array" aca="1" ref="N449" ca="1">IFERROR(
  INDEX($J$2:$J$543,
    MATCH(A449&amp;TEXT(I449,"yyyy-mm-dd"),
          $A$2:$A$543&amp;TEXT($H$2:$H$543,"yyyy-mm-dd"),
          0)),
"")</f>
        <v>0.5</v>
      </c>
      <c r="O449" s="177" t="str">
        <f t="shared" ca="1" si="267"/>
        <v/>
      </c>
      <c r="P449" s="147">
        <f t="shared" ref="P449:Q449" ca="1" si="465">IF(N449="",0,IF(N449&lt;=2,1,IF(N449&lt;=4,2,IF(N449&lt;=5.5,3,4))))</f>
        <v>1</v>
      </c>
      <c r="Q449" s="147">
        <f t="shared" ca="1" si="465"/>
        <v>0</v>
      </c>
      <c r="R449" s="147" t="str">
        <f t="shared" ca="1" si="269"/>
        <v>Regressed</v>
      </c>
      <c r="S449" s="147">
        <f t="shared" si="270"/>
        <v>1</v>
      </c>
      <c r="T449" s="147"/>
      <c r="U449" s="147"/>
      <c r="V449" s="147"/>
      <c r="W449" s="147"/>
      <c r="X449" s="147"/>
      <c r="Y449" s="147"/>
      <c r="Z449" s="147"/>
      <c r="AA449" s="147"/>
      <c r="AB449" s="147"/>
      <c r="AC449" s="147"/>
      <c r="AD449" s="147"/>
      <c r="AE449" s="147"/>
      <c r="AF449" s="147"/>
      <c r="AG449" s="147"/>
      <c r="AH449" s="147"/>
      <c r="AI449" s="147"/>
      <c r="AJ449" s="147"/>
      <c r="AK449" s="147"/>
      <c r="AL449" s="147"/>
      <c r="AM449" s="151"/>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c r="BI449" s="147"/>
      <c r="BJ449" s="147"/>
      <c r="BK449" s="147"/>
      <c r="BL449" s="147"/>
      <c r="BM449" s="147"/>
      <c r="BN449" s="147"/>
      <c r="BO449" s="147"/>
      <c r="BP449" s="147"/>
      <c r="BQ449" s="147"/>
      <c r="BR449" s="147"/>
      <c r="BS449" s="147"/>
      <c r="BT449" s="147"/>
      <c r="BU449" s="147"/>
      <c r="BV449" s="147"/>
      <c r="BW449" s="147"/>
      <c r="BX449" s="147"/>
      <c r="BY449" s="147"/>
      <c r="BZ449" s="147"/>
      <c r="CA449" s="147"/>
      <c r="CB449" s="147"/>
      <c r="CC449" s="147"/>
      <c r="CD449" s="147"/>
      <c r="CE449" s="147"/>
      <c r="CF449" s="147"/>
      <c r="CG449" s="147"/>
      <c r="CH449" s="147"/>
      <c r="CI449" s="147"/>
      <c r="CJ449" s="147"/>
      <c r="CK449" s="147"/>
    </row>
    <row r="450" spans="1:89">
      <c r="A450" s="159" t="s">
        <v>545</v>
      </c>
      <c r="B450" s="3" t="s">
        <v>546</v>
      </c>
      <c r="C450" s="160" t="s">
        <v>89</v>
      </c>
      <c r="D450" s="160" t="s">
        <v>882</v>
      </c>
      <c r="E450" s="3" t="s">
        <v>26</v>
      </c>
      <c r="F450" s="3" t="s">
        <v>25</v>
      </c>
      <c r="G450" s="3"/>
      <c r="H450" s="156" t="str">
        <f ca="1">IFERROR(
  _xludf.MINIFS(ATTENDANCE_LOG!$F:$F,
         ATTENDANCE_LOG!$A:$A, C450,
         ATTENDANCE_LOG!$B:$B, E450),
"")</f>
        <v/>
      </c>
      <c r="I450" s="156" t="str">
        <f t="shared" ca="1" si="266"/>
        <v/>
      </c>
      <c r="J450" s="3">
        <f>IFERROR(VLOOKUP(F450, LEVEL_HELPER!$A:$B, 2, 0), "")</f>
        <v>0.5</v>
      </c>
      <c r="K450" s="3" t="str">
        <f>IFERROR(VLOOKUP(G450, LEVEL_HELPER!$A:$B, 2, 0), "")</f>
        <v/>
      </c>
      <c r="L450" s="157" t="s">
        <v>930</v>
      </c>
      <c r="M450" s="157" t="s">
        <v>919</v>
      </c>
      <c r="N450" s="3">
        <f t="array" aca="1" ref="N450" ca="1">IFERROR(
  INDEX($J$2:$J$543,
    MATCH(A450&amp;TEXT(I450,"yyyy-mm-dd"),
          $A$2:$A$543&amp;TEXT($H$2:$H$543,"yyyy-mm-dd"),
          0)),
"")</f>
        <v>0.5</v>
      </c>
      <c r="O450" s="147" t="str">
        <f t="shared" ca="1" si="267"/>
        <v/>
      </c>
      <c r="P450" s="147">
        <f t="shared" ref="P450:Q450" ca="1" si="466">IF(N450="",0,IF(N450&lt;=2,1,IF(N450&lt;=4,2,IF(N450&lt;=5.5,3,4))))</f>
        <v>1</v>
      </c>
      <c r="Q450" s="147">
        <f t="shared" ca="1" si="466"/>
        <v>0</v>
      </c>
      <c r="R450" s="147" t="str">
        <f t="shared" ca="1" si="269"/>
        <v>Regressed</v>
      </c>
      <c r="S450" s="147">
        <f t="shared" si="270"/>
        <v>1</v>
      </c>
      <c r="T450" s="147"/>
      <c r="U450" s="147"/>
      <c r="V450" s="147"/>
      <c r="W450" s="147"/>
      <c r="X450" s="147"/>
      <c r="Y450" s="147"/>
      <c r="Z450" s="147"/>
      <c r="AA450" s="147"/>
      <c r="AB450" s="147"/>
      <c r="AC450" s="147"/>
      <c r="AD450" s="147"/>
      <c r="AE450" s="147"/>
      <c r="AF450" s="147"/>
      <c r="AG450" s="147"/>
      <c r="AH450" s="147"/>
      <c r="AI450" s="147"/>
      <c r="AJ450" s="147"/>
      <c r="AK450" s="147"/>
      <c r="AL450" s="147"/>
      <c r="AM450" s="151"/>
      <c r="AN450" s="147"/>
      <c r="AO450" s="147"/>
      <c r="AP450" s="147"/>
      <c r="AQ450" s="147"/>
      <c r="AR450" s="147"/>
      <c r="AS450" s="147"/>
      <c r="AT450" s="147"/>
      <c r="AU450" s="147"/>
      <c r="AV450" s="147"/>
      <c r="AW450" s="147"/>
      <c r="AX450" s="147"/>
      <c r="AY450" s="147"/>
      <c r="AZ450" s="147"/>
      <c r="BA450" s="147"/>
      <c r="BB450" s="147"/>
      <c r="BC450" s="147"/>
      <c r="BD450" s="147"/>
      <c r="BE450" s="147"/>
      <c r="BF450" s="147"/>
      <c r="BG450" s="147"/>
      <c r="BH450" s="147"/>
      <c r="BI450" s="147"/>
      <c r="BJ450" s="147"/>
      <c r="BK450" s="147"/>
      <c r="BL450" s="147"/>
      <c r="BM450" s="147"/>
      <c r="BN450" s="147"/>
      <c r="BO450" s="147"/>
      <c r="BP450" s="147"/>
      <c r="BQ450" s="147"/>
      <c r="BR450" s="147"/>
      <c r="BS450" s="147"/>
      <c r="BT450" s="147"/>
      <c r="BU450" s="147"/>
      <c r="BV450" s="147"/>
      <c r="BW450" s="147"/>
      <c r="BX450" s="147"/>
      <c r="BY450" s="147"/>
      <c r="BZ450" s="147"/>
      <c r="CA450" s="147"/>
      <c r="CB450" s="147"/>
      <c r="CC450" s="147"/>
      <c r="CD450" s="147"/>
      <c r="CE450" s="147"/>
      <c r="CF450" s="147"/>
      <c r="CG450" s="147"/>
      <c r="CH450" s="147"/>
      <c r="CI450" s="147"/>
      <c r="CJ450" s="147"/>
      <c r="CK450" s="147"/>
    </row>
    <row r="451" spans="1:89">
      <c r="A451" s="159" t="s">
        <v>558</v>
      </c>
      <c r="B451" s="3" t="s">
        <v>559</v>
      </c>
      <c r="C451" s="160" t="s">
        <v>89</v>
      </c>
      <c r="D451" s="160" t="s">
        <v>882</v>
      </c>
      <c r="E451" s="3" t="s">
        <v>26</v>
      </c>
      <c r="F451" s="3" t="s">
        <v>25</v>
      </c>
      <c r="G451" s="3"/>
      <c r="H451" s="156" t="str">
        <f ca="1">IFERROR(
  _xludf.MINIFS(ATTENDANCE_LOG!$F:$F,
         ATTENDANCE_LOG!$A:$A, C451,
         ATTENDANCE_LOG!$B:$B, E451),
"")</f>
        <v/>
      </c>
      <c r="I451" s="156" t="str">
        <f t="shared" ca="1" si="266"/>
        <v/>
      </c>
      <c r="J451" s="3">
        <f>IFERROR(VLOOKUP(F451, LEVEL_HELPER!$A:$B, 2, 0), "")</f>
        <v>0.5</v>
      </c>
      <c r="K451" s="3" t="str">
        <f>IFERROR(VLOOKUP(G451, LEVEL_HELPER!$A:$B, 2, 0), "")</f>
        <v/>
      </c>
      <c r="L451" s="157" t="s">
        <v>930</v>
      </c>
      <c r="M451" s="157" t="s">
        <v>919</v>
      </c>
      <c r="N451" s="3">
        <f t="array" aca="1" ref="N451" ca="1">IFERROR(
  INDEX($J$2:$J$543,
    MATCH(A451&amp;TEXT(I451,"yyyy-mm-dd"),
          $A$2:$A$543&amp;TEXT($H$2:$H$543,"yyyy-mm-dd"),
          0)),
"")</f>
        <v>0.5</v>
      </c>
      <c r="O451" s="147" t="str">
        <f t="shared" ca="1" si="267"/>
        <v/>
      </c>
      <c r="P451" s="147">
        <f t="shared" ref="P451:Q451" ca="1" si="467">IF(N451="",0,IF(N451&lt;=2,1,IF(N451&lt;=4,2,IF(N451&lt;=5.5,3,4))))</f>
        <v>1</v>
      </c>
      <c r="Q451" s="147">
        <f t="shared" ca="1" si="467"/>
        <v>0</v>
      </c>
      <c r="R451" s="147" t="str">
        <f t="shared" ca="1" si="269"/>
        <v>Regressed</v>
      </c>
      <c r="S451" s="147">
        <f t="shared" si="270"/>
        <v>1</v>
      </c>
      <c r="T451" s="147"/>
      <c r="U451" s="147"/>
      <c r="V451" s="147"/>
      <c r="W451" s="147"/>
      <c r="X451" s="147"/>
      <c r="Y451" s="147"/>
      <c r="Z451" s="147"/>
      <c r="AA451" s="147"/>
      <c r="AB451" s="147"/>
      <c r="AC451" s="147"/>
      <c r="AD451" s="147"/>
      <c r="AE451" s="147"/>
      <c r="AF451" s="147"/>
      <c r="AG451" s="147"/>
      <c r="AH451" s="147"/>
      <c r="AI451" s="147"/>
      <c r="AJ451" s="147"/>
      <c r="AK451" s="147"/>
      <c r="AL451" s="147"/>
      <c r="AM451" s="151"/>
      <c r="AN451" s="147"/>
      <c r="AO451" s="147"/>
      <c r="AP451" s="147"/>
      <c r="AQ451" s="147"/>
      <c r="AR451" s="147"/>
      <c r="AS451" s="147"/>
      <c r="AT451" s="147"/>
      <c r="AU451" s="147"/>
      <c r="AV451" s="147"/>
      <c r="AW451" s="147"/>
      <c r="AX451" s="147"/>
      <c r="AY451" s="147"/>
      <c r="AZ451" s="147"/>
      <c r="BA451" s="147"/>
      <c r="BB451" s="147"/>
      <c r="BC451" s="147"/>
      <c r="BD451" s="147"/>
      <c r="BE451" s="147"/>
      <c r="BF451" s="147"/>
      <c r="BG451" s="147"/>
      <c r="BH451" s="147"/>
      <c r="BI451" s="147"/>
      <c r="BJ451" s="147"/>
      <c r="BK451" s="147"/>
      <c r="BL451" s="147"/>
      <c r="BM451" s="147"/>
      <c r="BN451" s="147"/>
      <c r="BO451" s="147"/>
      <c r="BP451" s="147"/>
      <c r="BQ451" s="147"/>
      <c r="BR451" s="147"/>
      <c r="BS451" s="147"/>
      <c r="BT451" s="147"/>
      <c r="BU451" s="147"/>
      <c r="BV451" s="147"/>
      <c r="BW451" s="147"/>
      <c r="BX451" s="147"/>
      <c r="BY451" s="147"/>
      <c r="BZ451" s="147"/>
      <c r="CA451" s="147"/>
      <c r="CB451" s="147"/>
      <c r="CC451" s="147"/>
      <c r="CD451" s="147"/>
      <c r="CE451" s="147"/>
      <c r="CF451" s="147"/>
      <c r="CG451" s="147"/>
      <c r="CH451" s="147"/>
      <c r="CI451" s="147"/>
      <c r="CJ451" s="147"/>
      <c r="CK451" s="147"/>
    </row>
    <row r="452" spans="1:89">
      <c r="A452" s="153" t="s">
        <v>574</v>
      </c>
      <c r="B452" s="154" t="s">
        <v>575</v>
      </c>
      <c r="C452" s="155" t="s">
        <v>89</v>
      </c>
      <c r="D452" s="155" t="s">
        <v>882</v>
      </c>
      <c r="E452" s="154" t="s">
        <v>25</v>
      </c>
      <c r="F452" s="154" t="s">
        <v>25</v>
      </c>
      <c r="G452" s="154" t="s">
        <v>25</v>
      </c>
      <c r="H452" s="156" t="str">
        <f ca="1">IFERROR(
  _xludf.MINIFS(ATTENDANCE_LOG!$F:$F,
         ATTENDANCE_LOG!$A:$A, C452,
         ATTENDANCE_LOG!$B:$B, E452),
"")</f>
        <v/>
      </c>
      <c r="I452" s="156" t="str">
        <f t="shared" ca="1" si="266"/>
        <v/>
      </c>
      <c r="J452" s="154">
        <f>IFERROR(VLOOKUP(F452, LEVEL_HELPER!$A:$B, 2, 0), "")</f>
        <v>0.5</v>
      </c>
      <c r="K452" s="154">
        <f>IFERROR(VLOOKUP(G452, LEVEL_HELPER!$A:$B, 2, 0), "")</f>
        <v>0.5</v>
      </c>
      <c r="L452" s="176" t="s">
        <v>930</v>
      </c>
      <c r="M452" s="176" t="s">
        <v>925</v>
      </c>
      <c r="N452" s="3">
        <f t="array" aca="1" ref="N452" ca="1">IFERROR(
  INDEX($J$2:$J$543,
    MATCH(A452&amp;TEXT(I452,"yyyy-mm-dd"),
          $A$2:$A$543&amp;TEXT($H$2:$H$543,"yyyy-mm-dd"),
          0)),
"")</f>
        <v>0.5</v>
      </c>
      <c r="O452" s="177" t="str">
        <f t="shared" ca="1" si="267"/>
        <v/>
      </c>
      <c r="P452" s="147">
        <f t="shared" ref="P452:Q452" ca="1" si="468">IF(N452="",0,IF(N452&lt;=2,1,IF(N452&lt;=4,2,IF(N452&lt;=5.5,3,4))))</f>
        <v>1</v>
      </c>
      <c r="Q452" s="147">
        <f t="shared" ca="1" si="468"/>
        <v>0</v>
      </c>
      <c r="R452" s="147" t="str">
        <f t="shared" ca="1" si="269"/>
        <v>Regressed</v>
      </c>
      <c r="S452" s="147">
        <f t="shared" si="270"/>
        <v>0</v>
      </c>
      <c r="T452" s="147"/>
      <c r="U452" s="147"/>
      <c r="V452" s="147"/>
      <c r="W452" s="147"/>
      <c r="X452" s="147"/>
      <c r="Y452" s="147"/>
      <c r="Z452" s="147"/>
      <c r="AA452" s="147"/>
      <c r="AB452" s="147"/>
      <c r="AC452" s="147"/>
      <c r="AD452" s="147"/>
      <c r="AE452" s="147"/>
      <c r="AF452" s="147"/>
      <c r="AG452" s="147"/>
      <c r="AH452" s="147"/>
      <c r="AI452" s="147"/>
      <c r="AJ452" s="147"/>
      <c r="AK452" s="147"/>
      <c r="AL452" s="147"/>
      <c r="AM452" s="151"/>
      <c r="AN452" s="147"/>
      <c r="AO452" s="147"/>
      <c r="AP452" s="147"/>
      <c r="AQ452" s="147"/>
      <c r="AR452" s="147"/>
      <c r="AS452" s="147"/>
      <c r="AT452" s="147"/>
      <c r="AU452" s="147"/>
      <c r="AV452" s="147"/>
      <c r="AW452" s="147"/>
      <c r="AX452" s="147"/>
      <c r="AY452" s="147"/>
      <c r="AZ452" s="147"/>
      <c r="BA452" s="147"/>
      <c r="BB452" s="147"/>
      <c r="BC452" s="147"/>
      <c r="BD452" s="147"/>
      <c r="BE452" s="147"/>
      <c r="BF452" s="147"/>
      <c r="BG452" s="147"/>
      <c r="BH452" s="147"/>
      <c r="BI452" s="147"/>
      <c r="BJ452" s="147"/>
      <c r="BK452" s="147"/>
      <c r="BL452" s="147"/>
      <c r="BM452" s="147"/>
      <c r="BN452" s="147"/>
      <c r="BO452" s="147"/>
      <c r="BP452" s="147"/>
      <c r="BQ452" s="147"/>
      <c r="BR452" s="147"/>
      <c r="BS452" s="147"/>
      <c r="BT452" s="147"/>
      <c r="BU452" s="147"/>
      <c r="BV452" s="147"/>
      <c r="BW452" s="147"/>
      <c r="BX452" s="147"/>
      <c r="BY452" s="147"/>
      <c r="BZ452" s="147"/>
      <c r="CA452" s="147"/>
      <c r="CB452" s="147"/>
      <c r="CC452" s="147"/>
      <c r="CD452" s="147"/>
      <c r="CE452" s="147"/>
      <c r="CF452" s="147"/>
      <c r="CG452" s="147"/>
      <c r="CH452" s="147"/>
      <c r="CI452" s="147"/>
      <c r="CJ452" s="147"/>
      <c r="CK452" s="147"/>
    </row>
    <row r="453" spans="1:89">
      <c r="A453" s="159" t="s">
        <v>161</v>
      </c>
      <c r="B453" s="3" t="s">
        <v>162</v>
      </c>
      <c r="C453" s="160" t="s">
        <v>89</v>
      </c>
      <c r="D453" s="160" t="s">
        <v>882</v>
      </c>
      <c r="E453" s="3" t="s">
        <v>25</v>
      </c>
      <c r="F453" s="3" t="s">
        <v>25</v>
      </c>
      <c r="G453" s="3" t="s">
        <v>25</v>
      </c>
      <c r="H453" s="156" t="str">
        <f ca="1">IFERROR(
  _xludf.MINIFS(ATTENDANCE_LOG!$F:$F,
         ATTENDANCE_LOG!$A:$A, C453,
         ATTENDANCE_LOG!$B:$B, E453),
"")</f>
        <v/>
      </c>
      <c r="I453" s="156" t="str">
        <f t="shared" ca="1" si="266"/>
        <v/>
      </c>
      <c r="J453" s="3">
        <f>IFERROR(VLOOKUP(F453, LEVEL_HELPER!$A:$B, 2, 0), "")</f>
        <v>0.5</v>
      </c>
      <c r="K453" s="3">
        <f>IFERROR(VLOOKUP(G453, LEVEL_HELPER!$A:$B, 2, 0), "")</f>
        <v>0.5</v>
      </c>
      <c r="L453" s="157" t="s">
        <v>942</v>
      </c>
      <c r="M453" s="157" t="s">
        <v>923</v>
      </c>
      <c r="N453" s="3">
        <f t="array" aca="1" ref="N453" ca="1">IFERROR(
  INDEX($J$2:$J$543,
    MATCH(A453&amp;TEXT(I453,"yyyy-mm-dd"),
          $A$2:$A$543&amp;TEXT($H$2:$H$543,"yyyy-mm-dd"),
          0)),
"")</f>
        <v>0.5</v>
      </c>
      <c r="O453" s="147" t="str">
        <f t="shared" ca="1" si="267"/>
        <v/>
      </c>
      <c r="P453" s="147">
        <f t="shared" ref="P453:Q453" ca="1" si="469">IF(N453="",0,IF(N453&lt;=2,1,IF(N453&lt;=4,2,IF(N453&lt;=5.5,3,4))))</f>
        <v>1</v>
      </c>
      <c r="Q453" s="147">
        <f t="shared" ca="1" si="469"/>
        <v>0</v>
      </c>
      <c r="R453" s="147" t="str">
        <f t="shared" ca="1" si="269"/>
        <v>Regressed</v>
      </c>
      <c r="S453" s="147">
        <f t="shared" si="270"/>
        <v>1</v>
      </c>
      <c r="T453" s="147"/>
      <c r="U453" s="147"/>
      <c r="V453" s="147"/>
      <c r="W453" s="147"/>
      <c r="X453" s="147"/>
      <c r="Y453" s="147"/>
      <c r="Z453" s="147"/>
      <c r="AA453" s="147"/>
      <c r="AB453" s="147"/>
      <c r="AC453" s="147"/>
      <c r="AD453" s="147"/>
      <c r="AE453" s="147"/>
      <c r="AF453" s="147"/>
      <c r="AG453" s="147"/>
      <c r="AH453" s="147"/>
      <c r="AI453" s="147"/>
      <c r="AJ453" s="147"/>
      <c r="AK453" s="147"/>
      <c r="AL453" s="147"/>
      <c r="AM453" s="151"/>
      <c r="AN453" s="147"/>
      <c r="AO453" s="147"/>
      <c r="AP453" s="147"/>
      <c r="AQ453" s="147"/>
      <c r="AR453" s="147"/>
      <c r="AS453" s="147"/>
      <c r="AT453" s="147"/>
      <c r="AU453" s="147"/>
      <c r="AV453" s="147"/>
      <c r="AW453" s="147"/>
      <c r="AX453" s="147"/>
      <c r="AY453" s="147"/>
      <c r="AZ453" s="147"/>
      <c r="BA453" s="147"/>
      <c r="BB453" s="147"/>
      <c r="BC453" s="147"/>
      <c r="BD453" s="147"/>
      <c r="BE453" s="147"/>
      <c r="BF453" s="147"/>
      <c r="BG453" s="147"/>
      <c r="BH453" s="147"/>
      <c r="BI453" s="147"/>
      <c r="BJ453" s="147"/>
      <c r="BK453" s="147"/>
      <c r="BL453" s="147"/>
      <c r="BM453" s="147"/>
      <c r="BN453" s="147"/>
      <c r="BO453" s="147"/>
      <c r="BP453" s="147"/>
      <c r="BQ453" s="147"/>
      <c r="BR453" s="147"/>
      <c r="BS453" s="147"/>
      <c r="BT453" s="147"/>
      <c r="BU453" s="147"/>
      <c r="BV453" s="147"/>
      <c r="BW453" s="147"/>
      <c r="BX453" s="147"/>
      <c r="BY453" s="147"/>
      <c r="BZ453" s="147"/>
      <c r="CA453" s="147"/>
      <c r="CB453" s="147"/>
      <c r="CC453" s="147"/>
      <c r="CD453" s="147"/>
      <c r="CE453" s="147"/>
      <c r="CF453" s="147"/>
      <c r="CG453" s="147"/>
      <c r="CH453" s="147"/>
      <c r="CI453" s="147"/>
      <c r="CJ453" s="147"/>
      <c r="CK453" s="147"/>
    </row>
    <row r="454" spans="1:89">
      <c r="A454" s="159" t="s">
        <v>290</v>
      </c>
      <c r="B454" s="3" t="s">
        <v>291</v>
      </c>
      <c r="C454" s="160" t="s">
        <v>89</v>
      </c>
      <c r="D454" s="160" t="s">
        <v>882</v>
      </c>
      <c r="E454" s="3" t="s">
        <v>25</v>
      </c>
      <c r="F454" s="3" t="s">
        <v>25</v>
      </c>
      <c r="G454" s="3" t="s">
        <v>25</v>
      </c>
      <c r="H454" s="156" t="str">
        <f ca="1">IFERROR(
  _xludf.MINIFS(ATTENDANCE_LOG!$F:$F,
         ATTENDANCE_LOG!$A:$A, C454,
         ATTENDANCE_LOG!$B:$B, E454),
"")</f>
        <v/>
      </c>
      <c r="I454" s="156" t="str">
        <f t="shared" ca="1" si="266"/>
        <v/>
      </c>
      <c r="J454" s="3">
        <f>IFERROR(VLOOKUP(F454, LEVEL_HELPER!$A:$B, 2, 0), "")</f>
        <v>0.5</v>
      </c>
      <c r="K454" s="3">
        <f>IFERROR(VLOOKUP(G454, LEVEL_HELPER!$A:$B, 2, 0), "")</f>
        <v>0.5</v>
      </c>
      <c r="L454" s="157" t="s">
        <v>930</v>
      </c>
      <c r="M454" s="157" t="s">
        <v>919</v>
      </c>
      <c r="N454" s="3">
        <f t="array" aca="1" ref="N454" ca="1">IFERROR(
  INDEX($J$2:$J$543,
    MATCH(A454&amp;TEXT(I454,"yyyy-mm-dd"),
          $A$2:$A$543&amp;TEXT($H$2:$H$543,"yyyy-mm-dd"),
          0)),
"")</f>
        <v>0.5</v>
      </c>
      <c r="O454" s="147" t="str">
        <f t="shared" ca="1" si="267"/>
        <v/>
      </c>
      <c r="P454" s="147">
        <f t="shared" ref="P454:Q454" ca="1" si="470">IF(N454="",0,IF(N454&lt;=2,1,IF(N454&lt;=4,2,IF(N454&lt;=5.5,3,4))))</f>
        <v>1</v>
      </c>
      <c r="Q454" s="147">
        <f t="shared" ca="1" si="470"/>
        <v>0</v>
      </c>
      <c r="R454" s="147" t="str">
        <f t="shared" ca="1" si="269"/>
        <v>Regressed</v>
      </c>
      <c r="S454" s="147">
        <f t="shared" si="270"/>
        <v>1</v>
      </c>
      <c r="T454" s="147"/>
      <c r="U454" s="147"/>
      <c r="V454" s="147"/>
      <c r="W454" s="147"/>
      <c r="X454" s="147"/>
      <c r="Y454" s="147"/>
      <c r="Z454" s="147"/>
      <c r="AA454" s="147"/>
      <c r="AB454" s="147"/>
      <c r="AC454" s="147"/>
      <c r="AD454" s="147"/>
      <c r="AE454" s="147"/>
      <c r="AF454" s="147"/>
      <c r="AG454" s="147"/>
      <c r="AH454" s="147"/>
      <c r="AI454" s="147"/>
      <c r="AJ454" s="147"/>
      <c r="AK454" s="147"/>
      <c r="AL454" s="147"/>
      <c r="AM454" s="151"/>
      <c r="AN454" s="147"/>
      <c r="AO454" s="147"/>
      <c r="AP454" s="147"/>
      <c r="AQ454" s="147"/>
      <c r="AR454" s="147"/>
      <c r="AS454" s="147"/>
      <c r="AT454" s="147"/>
      <c r="AU454" s="147"/>
      <c r="AV454" s="147"/>
      <c r="AW454" s="147"/>
      <c r="AX454" s="147"/>
      <c r="AY454" s="147"/>
      <c r="AZ454" s="147"/>
      <c r="BA454" s="147"/>
      <c r="BB454" s="147"/>
      <c r="BC454" s="147"/>
      <c r="BD454" s="147"/>
      <c r="BE454" s="147"/>
      <c r="BF454" s="147"/>
      <c r="BG454" s="147"/>
      <c r="BH454" s="147"/>
      <c r="BI454" s="147"/>
      <c r="BJ454" s="147"/>
      <c r="BK454" s="147"/>
      <c r="BL454" s="147"/>
      <c r="BM454" s="147"/>
      <c r="BN454" s="147"/>
      <c r="BO454" s="147"/>
      <c r="BP454" s="147"/>
      <c r="BQ454" s="147"/>
      <c r="BR454" s="147"/>
      <c r="BS454" s="147"/>
      <c r="BT454" s="147"/>
      <c r="BU454" s="147"/>
      <c r="BV454" s="147"/>
      <c r="BW454" s="147"/>
      <c r="BX454" s="147"/>
      <c r="BY454" s="147"/>
      <c r="BZ454" s="147"/>
      <c r="CA454" s="147"/>
      <c r="CB454" s="147"/>
      <c r="CC454" s="147"/>
      <c r="CD454" s="147"/>
      <c r="CE454" s="147"/>
      <c r="CF454" s="147"/>
      <c r="CG454" s="147"/>
      <c r="CH454" s="147"/>
      <c r="CI454" s="147"/>
      <c r="CJ454" s="147"/>
      <c r="CK454" s="147"/>
    </row>
    <row r="455" spans="1:89">
      <c r="A455" s="159" t="s">
        <v>391</v>
      </c>
      <c r="B455" s="3" t="s">
        <v>392</v>
      </c>
      <c r="C455" s="160" t="s">
        <v>89</v>
      </c>
      <c r="D455" s="160" t="s">
        <v>882</v>
      </c>
      <c r="E455" s="3" t="s">
        <v>25</v>
      </c>
      <c r="F455" s="3" t="s">
        <v>25</v>
      </c>
      <c r="G455" s="3" t="s">
        <v>25</v>
      </c>
      <c r="H455" s="156" t="str">
        <f ca="1">IFERROR(
  _xludf.MINIFS(ATTENDANCE_LOG!$F:$F,
         ATTENDANCE_LOG!$A:$A, C455,
         ATTENDANCE_LOG!$B:$B, E455),
"")</f>
        <v/>
      </c>
      <c r="I455" s="156" t="str">
        <f t="shared" ca="1" si="266"/>
        <v/>
      </c>
      <c r="J455" s="3">
        <f>IFERROR(VLOOKUP(F455, LEVEL_HELPER!$A:$B, 2, 0), "")</f>
        <v>0.5</v>
      </c>
      <c r="K455" s="3">
        <f>IFERROR(VLOOKUP(G455, LEVEL_HELPER!$A:$B, 2, 0), "")</f>
        <v>0.5</v>
      </c>
      <c r="L455" s="157" t="s">
        <v>930</v>
      </c>
      <c r="M455" s="157" t="s">
        <v>921</v>
      </c>
      <c r="N455" s="3">
        <f t="array" aca="1" ref="N455" ca="1">IFERROR(
  INDEX($J$2:$J$543,
    MATCH(A455&amp;TEXT(I455,"yyyy-mm-dd"),
          $A$2:$A$543&amp;TEXT($H$2:$H$543,"yyyy-mm-dd"),
          0)),
"")</f>
        <v>0.5</v>
      </c>
      <c r="O455" s="147" t="str">
        <f t="shared" ca="1" si="267"/>
        <v/>
      </c>
      <c r="P455" s="147">
        <f t="shared" ref="P455:Q455" ca="1" si="471">IF(N455="",0,IF(N455&lt;=2,1,IF(N455&lt;=4,2,IF(N455&lt;=5.5,3,4))))</f>
        <v>1</v>
      </c>
      <c r="Q455" s="147">
        <f t="shared" ca="1" si="471"/>
        <v>0</v>
      </c>
      <c r="R455" s="147" t="str">
        <f t="shared" ca="1" si="269"/>
        <v>Regressed</v>
      </c>
      <c r="S455" s="147">
        <f t="shared" si="270"/>
        <v>1</v>
      </c>
      <c r="T455" s="147"/>
      <c r="U455" s="147"/>
      <c r="V455" s="147"/>
      <c r="W455" s="147"/>
      <c r="X455" s="147"/>
      <c r="Y455" s="147"/>
      <c r="Z455" s="147"/>
      <c r="AA455" s="147"/>
      <c r="AB455" s="147"/>
      <c r="AC455" s="147"/>
      <c r="AD455" s="147"/>
      <c r="AE455" s="147"/>
      <c r="AF455" s="147"/>
      <c r="AG455" s="147"/>
      <c r="AH455" s="147"/>
      <c r="AI455" s="147"/>
      <c r="AJ455" s="147"/>
      <c r="AK455" s="147"/>
      <c r="AL455" s="147"/>
      <c r="AM455" s="151"/>
      <c r="AN455" s="147"/>
      <c r="AO455" s="147"/>
      <c r="AP455" s="147"/>
      <c r="AQ455" s="147"/>
      <c r="AR455" s="147"/>
      <c r="AS455" s="147"/>
      <c r="AT455" s="147"/>
      <c r="AU455" s="147"/>
      <c r="AV455" s="147"/>
      <c r="AW455" s="147"/>
      <c r="AX455" s="147"/>
      <c r="AY455" s="147"/>
      <c r="AZ455" s="147"/>
      <c r="BA455" s="147"/>
      <c r="BB455" s="147"/>
      <c r="BC455" s="147"/>
      <c r="BD455" s="147"/>
      <c r="BE455" s="147"/>
      <c r="BF455" s="147"/>
      <c r="BG455" s="147"/>
      <c r="BH455" s="147"/>
      <c r="BI455" s="147"/>
      <c r="BJ455" s="147"/>
      <c r="BK455" s="147"/>
      <c r="BL455" s="147"/>
      <c r="BM455" s="147"/>
      <c r="BN455" s="147"/>
      <c r="BO455" s="147"/>
      <c r="BP455" s="147"/>
      <c r="BQ455" s="147"/>
      <c r="BR455" s="147"/>
      <c r="BS455" s="147"/>
      <c r="BT455" s="147"/>
      <c r="BU455" s="147"/>
      <c r="BV455" s="147"/>
      <c r="BW455" s="147"/>
      <c r="BX455" s="147"/>
      <c r="BY455" s="147"/>
      <c r="BZ455" s="147"/>
      <c r="CA455" s="147"/>
      <c r="CB455" s="147"/>
      <c r="CC455" s="147"/>
      <c r="CD455" s="147"/>
      <c r="CE455" s="147"/>
      <c r="CF455" s="147"/>
      <c r="CG455" s="147"/>
      <c r="CH455" s="147"/>
      <c r="CI455" s="147"/>
      <c r="CJ455" s="147"/>
      <c r="CK455" s="147"/>
    </row>
    <row r="456" spans="1:89">
      <c r="A456" s="159" t="s">
        <v>468</v>
      </c>
      <c r="B456" s="3" t="s">
        <v>469</v>
      </c>
      <c r="C456" s="160" t="s">
        <v>89</v>
      </c>
      <c r="D456" s="160" t="s">
        <v>882</v>
      </c>
      <c r="E456" s="3" t="s">
        <v>25</v>
      </c>
      <c r="F456" s="3" t="s">
        <v>25</v>
      </c>
      <c r="G456" s="3" t="s">
        <v>25</v>
      </c>
      <c r="H456" s="156" t="str">
        <f ca="1">IFERROR(
  _xludf.MINIFS(ATTENDANCE_LOG!$F:$F,
         ATTENDANCE_LOG!$A:$A, C456,
         ATTENDANCE_LOG!$B:$B, E456),
"")</f>
        <v/>
      </c>
      <c r="I456" s="156" t="str">
        <f t="shared" ca="1" si="266"/>
        <v/>
      </c>
      <c r="J456" s="3">
        <f>IFERROR(VLOOKUP(F456, LEVEL_HELPER!$A:$B, 2, 0), "")</f>
        <v>0.5</v>
      </c>
      <c r="K456" s="3">
        <f>IFERROR(VLOOKUP(G456, LEVEL_HELPER!$A:$B, 2, 0), "")</f>
        <v>0.5</v>
      </c>
      <c r="L456" s="157" t="s">
        <v>930</v>
      </c>
      <c r="M456" s="157" t="s">
        <v>919</v>
      </c>
      <c r="N456" s="3">
        <f t="array" aca="1" ref="N456" ca="1">IFERROR(
  INDEX($J$2:$J$543,
    MATCH(A456&amp;TEXT(I456,"yyyy-mm-dd"),
          $A$2:$A$543&amp;TEXT($H$2:$H$543,"yyyy-mm-dd"),
          0)),
"")</f>
        <v>0.5</v>
      </c>
      <c r="O456" s="147" t="str">
        <f t="shared" ca="1" si="267"/>
        <v/>
      </c>
      <c r="P456" s="147">
        <f t="shared" ref="P456:Q456" ca="1" si="472">IF(N456="",0,IF(N456&lt;=2,1,IF(N456&lt;=4,2,IF(N456&lt;=5.5,3,4))))</f>
        <v>1</v>
      </c>
      <c r="Q456" s="147">
        <f t="shared" ca="1" si="472"/>
        <v>0</v>
      </c>
      <c r="R456" s="147" t="str">
        <f t="shared" ca="1" si="269"/>
        <v>Regressed</v>
      </c>
      <c r="S456" s="147">
        <f t="shared" si="270"/>
        <v>1</v>
      </c>
      <c r="T456" s="147"/>
      <c r="U456" s="147"/>
      <c r="V456" s="147"/>
      <c r="W456" s="147"/>
      <c r="X456" s="147"/>
      <c r="Y456" s="147"/>
      <c r="Z456" s="147"/>
      <c r="AA456" s="147"/>
      <c r="AB456" s="147"/>
      <c r="AC456" s="147"/>
      <c r="AD456" s="147"/>
      <c r="AE456" s="147"/>
      <c r="AF456" s="147"/>
      <c r="AG456" s="147"/>
      <c r="AH456" s="147"/>
      <c r="AI456" s="147"/>
      <c r="AJ456" s="147"/>
      <c r="AK456" s="147"/>
      <c r="AL456" s="147"/>
      <c r="AM456" s="151"/>
      <c r="AN456" s="147"/>
      <c r="AO456" s="147"/>
      <c r="AP456" s="147"/>
      <c r="AQ456" s="147"/>
      <c r="AR456" s="147"/>
      <c r="AS456" s="147"/>
      <c r="AT456" s="147"/>
      <c r="AU456" s="147"/>
      <c r="AV456" s="147"/>
      <c r="AW456" s="147"/>
      <c r="AX456" s="147"/>
      <c r="AY456" s="147"/>
      <c r="AZ456" s="147"/>
      <c r="BA456" s="147"/>
      <c r="BB456" s="147"/>
      <c r="BC456" s="147"/>
      <c r="BD456" s="147"/>
      <c r="BE456" s="147"/>
      <c r="BF456" s="147"/>
      <c r="BG456" s="147"/>
      <c r="BH456" s="147"/>
      <c r="BI456" s="147"/>
      <c r="BJ456" s="147"/>
      <c r="BK456" s="147"/>
      <c r="BL456" s="147"/>
      <c r="BM456" s="147"/>
      <c r="BN456" s="147"/>
      <c r="BO456" s="147"/>
      <c r="BP456" s="147"/>
      <c r="BQ456" s="147"/>
      <c r="BR456" s="147"/>
      <c r="BS456" s="147"/>
      <c r="BT456" s="147"/>
      <c r="BU456" s="147"/>
      <c r="BV456" s="147"/>
      <c r="BW456" s="147"/>
      <c r="BX456" s="147"/>
      <c r="BY456" s="147"/>
      <c r="BZ456" s="147"/>
      <c r="CA456" s="147"/>
      <c r="CB456" s="147"/>
      <c r="CC456" s="147"/>
      <c r="CD456" s="147"/>
      <c r="CE456" s="147"/>
      <c r="CF456" s="147"/>
      <c r="CG456" s="147"/>
      <c r="CH456" s="147"/>
      <c r="CI456" s="147"/>
      <c r="CJ456" s="147"/>
      <c r="CK456" s="147"/>
    </row>
    <row r="457" spans="1:89">
      <c r="A457" s="159" t="s">
        <v>516</v>
      </c>
      <c r="B457" s="3" t="s">
        <v>517</v>
      </c>
      <c r="C457" s="160" t="s">
        <v>89</v>
      </c>
      <c r="D457" s="160" t="s">
        <v>882</v>
      </c>
      <c r="E457" s="3" t="s">
        <v>25</v>
      </c>
      <c r="F457" s="3" t="s">
        <v>25</v>
      </c>
      <c r="G457" s="3" t="s">
        <v>25</v>
      </c>
      <c r="H457" s="156" t="str">
        <f ca="1">IFERROR(
  _xludf.MINIFS(ATTENDANCE_LOG!$F:$F,
         ATTENDANCE_LOG!$A:$A, C457,
         ATTENDANCE_LOG!$B:$B, E457),
"")</f>
        <v/>
      </c>
      <c r="I457" s="156" t="str">
        <f t="shared" ca="1" si="266"/>
        <v/>
      </c>
      <c r="J457" s="3">
        <f>IFERROR(VLOOKUP(F457, LEVEL_HELPER!$A:$B, 2, 0), "")</f>
        <v>0.5</v>
      </c>
      <c r="K457" s="3">
        <f>IFERROR(VLOOKUP(G457, LEVEL_HELPER!$A:$B, 2, 0), "")</f>
        <v>0.5</v>
      </c>
      <c r="L457" s="157" t="s">
        <v>930</v>
      </c>
      <c r="M457" s="157" t="s">
        <v>919</v>
      </c>
      <c r="N457" s="3">
        <f t="array" aca="1" ref="N457" ca="1">IFERROR(
  INDEX($J$2:$J$543,
    MATCH(A457&amp;TEXT(I457,"yyyy-mm-dd"),
          $A$2:$A$543&amp;TEXT($H$2:$H$543,"yyyy-mm-dd"),
          0)),
"")</f>
        <v>0.5</v>
      </c>
      <c r="O457" s="147" t="str">
        <f t="shared" ca="1" si="267"/>
        <v/>
      </c>
      <c r="P457" s="147">
        <f t="shared" ref="P457:Q457" ca="1" si="473">IF(N457="",0,IF(N457&lt;=2,1,IF(N457&lt;=4,2,IF(N457&lt;=5.5,3,4))))</f>
        <v>1</v>
      </c>
      <c r="Q457" s="147">
        <f t="shared" ca="1" si="473"/>
        <v>0</v>
      </c>
      <c r="R457" s="147" t="str">
        <f t="shared" ca="1" si="269"/>
        <v>Regressed</v>
      </c>
      <c r="S457" s="147">
        <f t="shared" si="270"/>
        <v>1</v>
      </c>
      <c r="T457" s="147"/>
      <c r="U457" s="147"/>
      <c r="V457" s="147"/>
      <c r="W457" s="147"/>
      <c r="X457" s="147"/>
      <c r="Y457" s="147"/>
      <c r="Z457" s="147"/>
      <c r="AA457" s="147"/>
      <c r="AB457" s="147"/>
      <c r="AC457" s="147"/>
      <c r="AD457" s="147"/>
      <c r="AE457" s="147"/>
      <c r="AF457" s="147"/>
      <c r="AG457" s="147"/>
      <c r="AH457" s="147"/>
      <c r="AI457" s="147"/>
      <c r="AJ457" s="147"/>
      <c r="AK457" s="147"/>
      <c r="AL457" s="147"/>
      <c r="AM457" s="151"/>
      <c r="AN457" s="147"/>
      <c r="AO457" s="147"/>
      <c r="AP457" s="147"/>
      <c r="AQ457" s="147"/>
      <c r="AR457" s="147"/>
      <c r="AS457" s="147"/>
      <c r="AT457" s="147"/>
      <c r="AU457" s="147"/>
      <c r="AV457" s="147"/>
      <c r="AW457" s="147"/>
      <c r="AX457" s="147"/>
      <c r="AY457" s="147"/>
      <c r="AZ457" s="147"/>
      <c r="BA457" s="147"/>
      <c r="BB457" s="147"/>
      <c r="BC457" s="147"/>
      <c r="BD457" s="147"/>
      <c r="BE457" s="147"/>
      <c r="BF457" s="147"/>
      <c r="BG457" s="147"/>
      <c r="BH457" s="147"/>
      <c r="BI457" s="147"/>
      <c r="BJ457" s="147"/>
      <c r="BK457" s="147"/>
      <c r="BL457" s="147"/>
      <c r="BM457" s="147"/>
      <c r="BN457" s="147"/>
      <c r="BO457" s="147"/>
      <c r="BP457" s="147"/>
      <c r="BQ457" s="147"/>
      <c r="BR457" s="147"/>
      <c r="BS457" s="147"/>
      <c r="BT457" s="147"/>
      <c r="BU457" s="147"/>
      <c r="BV457" s="147"/>
      <c r="BW457" s="147"/>
      <c r="BX457" s="147"/>
      <c r="BY457" s="147"/>
      <c r="BZ457" s="147"/>
      <c r="CA457" s="147"/>
      <c r="CB457" s="147"/>
      <c r="CC457" s="147"/>
      <c r="CD457" s="147"/>
      <c r="CE457" s="147"/>
      <c r="CF457" s="147"/>
      <c r="CG457" s="147"/>
      <c r="CH457" s="147"/>
      <c r="CI457" s="147"/>
      <c r="CJ457" s="147"/>
      <c r="CK457" s="147"/>
    </row>
    <row r="458" spans="1:89">
      <c r="A458" s="159" t="s">
        <v>545</v>
      </c>
      <c r="B458" s="3" t="s">
        <v>546</v>
      </c>
      <c r="C458" s="160" t="s">
        <v>89</v>
      </c>
      <c r="D458" s="160" t="s">
        <v>882</v>
      </c>
      <c r="E458" s="3" t="s">
        <v>25</v>
      </c>
      <c r="F458" s="3" t="s">
        <v>25</v>
      </c>
      <c r="G458" s="3" t="s">
        <v>25</v>
      </c>
      <c r="H458" s="156" t="str">
        <f ca="1">IFERROR(
  _xludf.MINIFS(ATTENDANCE_LOG!$F:$F,
         ATTENDANCE_LOG!$A:$A, C458,
         ATTENDANCE_LOG!$B:$B, E458),
"")</f>
        <v/>
      </c>
      <c r="I458" s="156" t="str">
        <f t="shared" ca="1" si="266"/>
        <v/>
      </c>
      <c r="J458" s="3">
        <f>IFERROR(VLOOKUP(F458, LEVEL_HELPER!$A:$B, 2, 0), "")</f>
        <v>0.5</v>
      </c>
      <c r="K458" s="3">
        <f>IFERROR(VLOOKUP(G458, LEVEL_HELPER!$A:$B, 2, 0), "")</f>
        <v>0.5</v>
      </c>
      <c r="L458" s="157" t="s">
        <v>930</v>
      </c>
      <c r="M458" s="157" t="s">
        <v>919</v>
      </c>
      <c r="N458" s="3">
        <f t="array" aca="1" ref="N458" ca="1">IFERROR(
  INDEX($J$2:$J$543,
    MATCH(A458&amp;TEXT(I458,"yyyy-mm-dd"),
          $A$2:$A$543&amp;TEXT($H$2:$H$543,"yyyy-mm-dd"),
          0)),
"")</f>
        <v>0.5</v>
      </c>
      <c r="O458" s="147" t="str">
        <f t="shared" ca="1" si="267"/>
        <v/>
      </c>
      <c r="P458" s="147">
        <f t="shared" ref="P458:Q458" ca="1" si="474">IF(N458="",0,IF(N458&lt;=2,1,IF(N458&lt;=4,2,IF(N458&lt;=5.5,3,4))))</f>
        <v>1</v>
      </c>
      <c r="Q458" s="147">
        <f t="shared" ca="1" si="474"/>
        <v>0</v>
      </c>
      <c r="R458" s="147" t="str">
        <f t="shared" ca="1" si="269"/>
        <v>Regressed</v>
      </c>
      <c r="S458" s="147">
        <f t="shared" si="270"/>
        <v>0</v>
      </c>
      <c r="T458" s="147"/>
      <c r="U458" s="147"/>
      <c r="V458" s="147"/>
      <c r="W458" s="147"/>
      <c r="X458" s="147"/>
      <c r="Y458" s="147"/>
      <c r="Z458" s="147"/>
      <c r="AA458" s="147"/>
      <c r="AB458" s="147"/>
      <c r="AC458" s="147"/>
      <c r="AD458" s="147"/>
      <c r="AE458" s="147"/>
      <c r="AF458" s="147"/>
      <c r="AG458" s="147"/>
      <c r="AH458" s="147"/>
      <c r="AI458" s="147"/>
      <c r="AJ458" s="147"/>
      <c r="AK458" s="147"/>
      <c r="AL458" s="147"/>
      <c r="AM458" s="151"/>
      <c r="AN458" s="147"/>
      <c r="AO458" s="147"/>
      <c r="AP458" s="147"/>
      <c r="AQ458" s="147"/>
      <c r="AR458" s="147"/>
      <c r="AS458" s="147"/>
      <c r="AT458" s="147"/>
      <c r="AU458" s="147"/>
      <c r="AV458" s="147"/>
      <c r="AW458" s="147"/>
      <c r="AX458" s="147"/>
      <c r="AY458" s="147"/>
      <c r="AZ458" s="147"/>
      <c r="BA458" s="147"/>
      <c r="BB458" s="147"/>
      <c r="BC458" s="147"/>
      <c r="BD458" s="147"/>
      <c r="BE458" s="147"/>
      <c r="BF458" s="147"/>
      <c r="BG458" s="147"/>
      <c r="BH458" s="147"/>
      <c r="BI458" s="147"/>
      <c r="BJ458" s="147"/>
      <c r="BK458" s="147"/>
      <c r="BL458" s="147"/>
      <c r="BM458" s="147"/>
      <c r="BN458" s="147"/>
      <c r="BO458" s="147"/>
      <c r="BP458" s="147"/>
      <c r="BQ458" s="147"/>
      <c r="BR458" s="147"/>
      <c r="BS458" s="147"/>
      <c r="BT458" s="147"/>
      <c r="BU458" s="147"/>
      <c r="BV458" s="147"/>
      <c r="BW458" s="147"/>
      <c r="BX458" s="147"/>
      <c r="BY458" s="147"/>
      <c r="BZ458" s="147"/>
      <c r="CA458" s="147"/>
      <c r="CB458" s="147"/>
      <c r="CC458" s="147"/>
      <c r="CD458" s="147"/>
      <c r="CE458" s="147"/>
      <c r="CF458" s="147"/>
      <c r="CG458" s="147"/>
      <c r="CH458" s="147"/>
      <c r="CI458" s="147"/>
      <c r="CJ458" s="147"/>
      <c r="CK458" s="147"/>
    </row>
    <row r="459" spans="1:89">
      <c r="A459" s="159" t="s">
        <v>558</v>
      </c>
      <c r="B459" s="3" t="s">
        <v>559</v>
      </c>
      <c r="C459" s="160" t="s">
        <v>89</v>
      </c>
      <c r="D459" s="160" t="s">
        <v>882</v>
      </c>
      <c r="E459" s="3" t="s">
        <v>25</v>
      </c>
      <c r="F459" s="3" t="s">
        <v>25</v>
      </c>
      <c r="G459" s="3" t="s">
        <v>25</v>
      </c>
      <c r="H459" s="156" t="str">
        <f ca="1">IFERROR(
  _xludf.MINIFS(ATTENDANCE_LOG!$F:$F,
         ATTENDANCE_LOG!$A:$A, C459,
         ATTENDANCE_LOG!$B:$B, E459),
"")</f>
        <v/>
      </c>
      <c r="I459" s="156" t="str">
        <f t="shared" ca="1" si="266"/>
        <v/>
      </c>
      <c r="J459" s="3">
        <f>IFERROR(VLOOKUP(F459, LEVEL_HELPER!$A:$B, 2, 0), "")</f>
        <v>0.5</v>
      </c>
      <c r="K459" s="3">
        <f>IFERROR(VLOOKUP(G459, LEVEL_HELPER!$A:$B, 2, 0), "")</f>
        <v>0.5</v>
      </c>
      <c r="L459" s="157" t="s">
        <v>930</v>
      </c>
      <c r="M459" s="157" t="s">
        <v>919</v>
      </c>
      <c r="N459" s="3">
        <f t="array" aca="1" ref="N459" ca="1">IFERROR(
  INDEX($J$2:$J$543,
    MATCH(A459&amp;TEXT(I459,"yyyy-mm-dd"),
          $A$2:$A$543&amp;TEXT($H$2:$H$543,"yyyy-mm-dd"),
          0)),
"")</f>
        <v>0.5</v>
      </c>
      <c r="O459" s="147" t="str">
        <f t="shared" ca="1" si="267"/>
        <v/>
      </c>
      <c r="P459" s="147">
        <f t="shared" ref="P459:Q459" ca="1" si="475">IF(N459="",0,IF(N459&lt;=2,1,IF(N459&lt;=4,2,IF(N459&lt;=5.5,3,4))))</f>
        <v>1</v>
      </c>
      <c r="Q459" s="147">
        <f t="shared" ca="1" si="475"/>
        <v>0</v>
      </c>
      <c r="R459" s="147" t="str">
        <f t="shared" ca="1" si="269"/>
        <v>Regressed</v>
      </c>
      <c r="S459" s="147">
        <f t="shared" si="270"/>
        <v>0</v>
      </c>
      <c r="T459" s="147"/>
      <c r="U459" s="147"/>
      <c r="V459" s="147"/>
      <c r="W459" s="147"/>
      <c r="X459" s="147"/>
      <c r="Y459" s="147"/>
      <c r="Z459" s="147"/>
      <c r="AA459" s="147"/>
      <c r="AB459" s="147"/>
      <c r="AC459" s="147"/>
      <c r="AD459" s="147"/>
      <c r="AE459" s="147"/>
      <c r="AF459" s="147"/>
      <c r="AG459" s="147"/>
      <c r="AH459" s="147"/>
      <c r="AI459" s="147"/>
      <c r="AJ459" s="147"/>
      <c r="AK459" s="147"/>
      <c r="AL459" s="147"/>
      <c r="AM459" s="151"/>
      <c r="AN459" s="147"/>
      <c r="AO459" s="147"/>
      <c r="AP459" s="147"/>
      <c r="AQ459" s="147"/>
      <c r="AR459" s="147"/>
      <c r="AS459" s="147"/>
      <c r="AT459" s="147"/>
      <c r="AU459" s="147"/>
      <c r="AV459" s="147"/>
      <c r="AW459" s="147"/>
      <c r="AX459" s="147"/>
      <c r="AY459" s="147"/>
      <c r="AZ459" s="147"/>
      <c r="BA459" s="147"/>
      <c r="BB459" s="147"/>
      <c r="BC459" s="147"/>
      <c r="BD459" s="147"/>
      <c r="BE459" s="147"/>
      <c r="BF459" s="147"/>
      <c r="BG459" s="147"/>
      <c r="BH459" s="147"/>
      <c r="BI459" s="147"/>
      <c r="BJ459" s="147"/>
      <c r="BK459" s="147"/>
      <c r="BL459" s="147"/>
      <c r="BM459" s="147"/>
      <c r="BN459" s="147"/>
      <c r="BO459" s="147"/>
      <c r="BP459" s="147"/>
      <c r="BQ459" s="147"/>
      <c r="BR459" s="147"/>
      <c r="BS459" s="147"/>
      <c r="BT459" s="147"/>
      <c r="BU459" s="147"/>
      <c r="BV459" s="147"/>
      <c r="BW459" s="147"/>
      <c r="BX459" s="147"/>
      <c r="BY459" s="147"/>
      <c r="BZ459" s="147"/>
      <c r="CA459" s="147"/>
      <c r="CB459" s="147"/>
      <c r="CC459" s="147"/>
      <c r="CD459" s="147"/>
      <c r="CE459" s="147"/>
      <c r="CF459" s="147"/>
      <c r="CG459" s="147"/>
      <c r="CH459" s="147"/>
      <c r="CI459" s="147"/>
      <c r="CJ459" s="147"/>
      <c r="CK459" s="147"/>
    </row>
    <row r="460" spans="1:89">
      <c r="A460" s="153" t="s">
        <v>363</v>
      </c>
      <c r="B460" s="154" t="s">
        <v>364</v>
      </c>
      <c r="C460" s="155" t="s">
        <v>90</v>
      </c>
      <c r="D460" s="155" t="s">
        <v>883</v>
      </c>
      <c r="E460" s="154" t="s">
        <v>21</v>
      </c>
      <c r="F460" s="154" t="s">
        <v>926</v>
      </c>
      <c r="G460" s="154"/>
      <c r="H460" s="156" t="str">
        <f ca="1">IFERROR(
  _xludf.MINIFS(ATTENDANCE_LOG!$F:$F,
         ATTENDANCE_LOG!$A:$A, C460,
         ATTENDANCE_LOG!$B:$B, E460),
"")</f>
        <v/>
      </c>
      <c r="I460" s="156" t="str">
        <f t="shared" ca="1" si="266"/>
        <v/>
      </c>
      <c r="J460" s="154">
        <f>IFERROR(VLOOKUP(F460, LEVEL_HELPER!$A:$B, 2, 0), "")</f>
        <v>1</v>
      </c>
      <c r="K460" s="154" t="str">
        <f>IFERROR(VLOOKUP(G460, LEVEL_HELPER!$A:$B, 2, 0), "")</f>
        <v/>
      </c>
      <c r="L460" s="176" t="s">
        <v>930</v>
      </c>
      <c r="M460" s="176" t="s">
        <v>919</v>
      </c>
      <c r="N460" s="3">
        <f t="array" aca="1" ref="N460" ca="1">IFERROR(
  INDEX($J$2:$J$543,
    MATCH(A460&amp;TEXT(I460,"yyyy-mm-dd"),
          $A$2:$A$543&amp;TEXT($H$2:$H$543,"yyyy-mm-dd"),
          0)),
"")</f>
        <v>1</v>
      </c>
      <c r="O460" s="177" t="str">
        <f t="shared" ca="1" si="267"/>
        <v/>
      </c>
      <c r="P460" s="147">
        <f t="shared" ref="P460:Q460" ca="1" si="476">IF(N460="",0,IF(N460&lt;=2,1,IF(N460&lt;=4,2,IF(N460&lt;=5.5,3,4))))</f>
        <v>1</v>
      </c>
      <c r="Q460" s="147">
        <f t="shared" ca="1" si="476"/>
        <v>0</v>
      </c>
      <c r="R460" s="147" t="str">
        <f t="shared" ca="1" si="269"/>
        <v>Regressed</v>
      </c>
      <c r="S460" s="147">
        <f t="shared" si="270"/>
        <v>1</v>
      </c>
      <c r="T460" s="147"/>
      <c r="U460" s="147"/>
      <c r="V460" s="147"/>
      <c r="W460" s="147"/>
      <c r="X460" s="147"/>
      <c r="Y460" s="147"/>
      <c r="Z460" s="147"/>
      <c r="AA460" s="147"/>
      <c r="AB460" s="147"/>
      <c r="AC460" s="147"/>
      <c r="AD460" s="147"/>
      <c r="AE460" s="147"/>
      <c r="AF460" s="147"/>
      <c r="AG460" s="147"/>
      <c r="AH460" s="147"/>
      <c r="AI460" s="147"/>
      <c r="AJ460" s="147"/>
      <c r="AK460" s="147"/>
      <c r="AL460" s="147"/>
      <c r="AM460" s="151"/>
      <c r="AN460" s="147"/>
      <c r="AO460" s="147"/>
      <c r="AP460" s="147"/>
      <c r="AQ460" s="147"/>
      <c r="AR460" s="147"/>
      <c r="AS460" s="147"/>
      <c r="AT460" s="147"/>
      <c r="AU460" s="147"/>
      <c r="AV460" s="147"/>
      <c r="AW460" s="147"/>
      <c r="AX460" s="147"/>
      <c r="AY460" s="147"/>
      <c r="AZ460" s="147"/>
      <c r="BA460" s="147"/>
      <c r="BB460" s="147"/>
      <c r="BC460" s="147"/>
      <c r="BD460" s="147"/>
      <c r="BE460" s="147"/>
      <c r="BF460" s="147"/>
      <c r="BG460" s="147"/>
      <c r="BH460" s="147"/>
      <c r="BI460" s="147"/>
      <c r="BJ460" s="147"/>
      <c r="BK460" s="147"/>
      <c r="BL460" s="147"/>
      <c r="BM460" s="147"/>
      <c r="BN460" s="147"/>
      <c r="BO460" s="147"/>
      <c r="BP460" s="147"/>
      <c r="BQ460" s="147"/>
      <c r="BR460" s="147"/>
      <c r="BS460" s="147"/>
      <c r="BT460" s="147"/>
      <c r="BU460" s="147"/>
      <c r="BV460" s="147"/>
      <c r="BW460" s="147"/>
      <c r="BX460" s="147"/>
      <c r="BY460" s="147"/>
      <c r="BZ460" s="147"/>
      <c r="CA460" s="147"/>
      <c r="CB460" s="147"/>
      <c r="CC460" s="147"/>
      <c r="CD460" s="147"/>
      <c r="CE460" s="147"/>
      <c r="CF460" s="147"/>
      <c r="CG460" s="147"/>
      <c r="CH460" s="147"/>
      <c r="CI460" s="147"/>
      <c r="CJ460" s="147"/>
      <c r="CK460" s="147"/>
    </row>
    <row r="461" spans="1:89">
      <c r="A461" s="159" t="s">
        <v>251</v>
      </c>
      <c r="B461" s="3" t="s">
        <v>252</v>
      </c>
      <c r="C461" s="160" t="s">
        <v>90</v>
      </c>
      <c r="D461" s="160" t="s">
        <v>883</v>
      </c>
      <c r="E461" s="3" t="s">
        <v>21</v>
      </c>
      <c r="F461" s="3" t="s">
        <v>926</v>
      </c>
      <c r="G461" s="3"/>
      <c r="H461" s="156" t="str">
        <f ca="1">IFERROR(
  _xludf.MINIFS(ATTENDANCE_LOG!$F:$F,
         ATTENDANCE_LOG!$A:$A, C461,
         ATTENDANCE_LOG!$B:$B, E461),
"")</f>
        <v/>
      </c>
      <c r="I461" s="156" t="str">
        <f t="shared" ca="1" si="266"/>
        <v/>
      </c>
      <c r="J461" s="3">
        <f>IFERROR(VLOOKUP(F461, LEVEL_HELPER!$A:$B, 2, 0), "")</f>
        <v>1</v>
      </c>
      <c r="K461" s="3" t="str">
        <f>IFERROR(VLOOKUP(G461, LEVEL_HELPER!$A:$B, 2, 0), "")</f>
        <v/>
      </c>
      <c r="L461" s="157" t="s">
        <v>930</v>
      </c>
      <c r="M461" s="157" t="s">
        <v>919</v>
      </c>
      <c r="N461" s="3">
        <f t="array" aca="1" ref="N461" ca="1">IFERROR(
  INDEX($J$2:$J$543,
    MATCH(A461&amp;TEXT(I461,"yyyy-mm-dd"),
          $A$2:$A$543&amp;TEXT($H$2:$H$543,"yyyy-mm-dd"),
          0)),
"")</f>
        <v>1</v>
      </c>
      <c r="O461" s="147" t="str">
        <f t="shared" ca="1" si="267"/>
        <v/>
      </c>
      <c r="P461" s="147">
        <f t="shared" ref="P461:Q461" ca="1" si="477">IF(N461="",0,IF(N461&lt;=2,1,IF(N461&lt;=4,2,IF(N461&lt;=5.5,3,4))))</f>
        <v>1</v>
      </c>
      <c r="Q461" s="147">
        <f t="shared" ca="1" si="477"/>
        <v>0</v>
      </c>
      <c r="R461" s="147" t="str">
        <f t="shared" ca="1" si="269"/>
        <v>Regressed</v>
      </c>
      <c r="S461" s="147">
        <f t="shared" si="270"/>
        <v>1</v>
      </c>
      <c r="T461" s="147"/>
      <c r="U461" s="147"/>
      <c r="V461" s="147"/>
      <c r="W461" s="147"/>
      <c r="X461" s="147"/>
      <c r="Y461" s="147"/>
      <c r="Z461" s="147"/>
      <c r="AA461" s="147"/>
      <c r="AB461" s="147"/>
      <c r="AC461" s="147"/>
      <c r="AD461" s="147"/>
      <c r="AE461" s="147"/>
      <c r="AF461" s="147"/>
      <c r="AG461" s="147"/>
      <c r="AH461" s="147"/>
      <c r="AI461" s="147"/>
      <c r="AJ461" s="147"/>
      <c r="AK461" s="147"/>
      <c r="AL461" s="147"/>
      <c r="AM461" s="151"/>
      <c r="AN461" s="147"/>
      <c r="AO461" s="147"/>
      <c r="AP461" s="147"/>
      <c r="AQ461" s="147"/>
      <c r="AR461" s="147"/>
      <c r="AS461" s="147"/>
      <c r="AT461" s="147"/>
      <c r="AU461" s="147"/>
      <c r="AV461" s="147"/>
      <c r="AW461" s="147"/>
      <c r="AX461" s="147"/>
      <c r="AY461" s="147"/>
      <c r="AZ461" s="147"/>
      <c r="BA461" s="147"/>
      <c r="BB461" s="147"/>
      <c r="BC461" s="147"/>
      <c r="BD461" s="147"/>
      <c r="BE461" s="147"/>
      <c r="BF461" s="147"/>
      <c r="BG461" s="147"/>
      <c r="BH461" s="147"/>
      <c r="BI461" s="147"/>
      <c r="BJ461" s="147"/>
      <c r="BK461" s="147"/>
      <c r="BL461" s="147"/>
      <c r="BM461" s="147"/>
      <c r="BN461" s="147"/>
      <c r="BO461" s="147"/>
      <c r="BP461" s="147"/>
      <c r="BQ461" s="147"/>
      <c r="BR461" s="147"/>
      <c r="BS461" s="147"/>
      <c r="BT461" s="147"/>
      <c r="BU461" s="147"/>
      <c r="BV461" s="147"/>
      <c r="BW461" s="147"/>
      <c r="BX461" s="147"/>
      <c r="BY461" s="147"/>
      <c r="BZ461" s="147"/>
      <c r="CA461" s="147"/>
      <c r="CB461" s="147"/>
      <c r="CC461" s="147"/>
      <c r="CD461" s="147"/>
      <c r="CE461" s="147"/>
      <c r="CF461" s="147"/>
      <c r="CG461" s="147"/>
      <c r="CH461" s="147"/>
      <c r="CI461" s="147"/>
      <c r="CJ461" s="147"/>
      <c r="CK461" s="147"/>
    </row>
    <row r="462" spans="1:89">
      <c r="A462" s="159" t="s">
        <v>338</v>
      </c>
      <c r="B462" s="3" t="s">
        <v>339</v>
      </c>
      <c r="C462" s="160" t="s">
        <v>90</v>
      </c>
      <c r="D462" s="160" t="s">
        <v>883</v>
      </c>
      <c r="E462" s="3" t="s">
        <v>21</v>
      </c>
      <c r="F462" s="3" t="s">
        <v>926</v>
      </c>
      <c r="G462" s="3"/>
      <c r="H462" s="156" t="str">
        <f ca="1">IFERROR(
  _xludf.MINIFS(ATTENDANCE_LOG!$F:$F,
         ATTENDANCE_LOG!$A:$A, C462,
         ATTENDANCE_LOG!$B:$B, E462),
"")</f>
        <v/>
      </c>
      <c r="I462" s="156" t="str">
        <f t="shared" ca="1" si="266"/>
        <v/>
      </c>
      <c r="J462" s="3">
        <f>IFERROR(VLOOKUP(F462, LEVEL_HELPER!$A:$B, 2, 0), "")</f>
        <v>1</v>
      </c>
      <c r="K462" s="3" t="str">
        <f>IFERROR(VLOOKUP(G462, LEVEL_HELPER!$A:$B, 2, 0), "")</f>
        <v/>
      </c>
      <c r="L462" s="157" t="s">
        <v>930</v>
      </c>
      <c r="M462" s="157" t="s">
        <v>925</v>
      </c>
      <c r="N462" s="3">
        <f t="array" aca="1" ref="N462" ca="1">IFERROR(
  INDEX($J$2:$J$543,
    MATCH(A462&amp;TEXT(I462,"yyyy-mm-dd"),
          $A$2:$A$543&amp;TEXT($H$2:$H$543,"yyyy-mm-dd"),
          0)),
"")</f>
        <v>1</v>
      </c>
      <c r="O462" s="147" t="str">
        <f t="shared" ca="1" si="267"/>
        <v/>
      </c>
      <c r="P462" s="147">
        <f t="shared" ref="P462:Q462" ca="1" si="478">IF(N462="",0,IF(N462&lt;=2,1,IF(N462&lt;=4,2,IF(N462&lt;=5.5,3,4))))</f>
        <v>1</v>
      </c>
      <c r="Q462" s="147">
        <f t="shared" ca="1" si="478"/>
        <v>0</v>
      </c>
      <c r="R462" s="147" t="str">
        <f t="shared" ca="1" si="269"/>
        <v>Regressed</v>
      </c>
      <c r="S462" s="147">
        <f t="shared" si="270"/>
        <v>1</v>
      </c>
      <c r="T462" s="147"/>
      <c r="U462" s="147"/>
      <c r="V462" s="147"/>
      <c r="W462" s="147"/>
      <c r="X462" s="147"/>
      <c r="Y462" s="147"/>
      <c r="Z462" s="147"/>
      <c r="AA462" s="147"/>
      <c r="AB462" s="147"/>
      <c r="AC462" s="147"/>
      <c r="AD462" s="147"/>
      <c r="AE462" s="147"/>
      <c r="AF462" s="147"/>
      <c r="AG462" s="147"/>
      <c r="AH462" s="147"/>
      <c r="AI462" s="147"/>
      <c r="AJ462" s="147"/>
      <c r="AK462" s="147"/>
      <c r="AL462" s="147"/>
      <c r="AM462" s="151"/>
      <c r="AN462" s="147"/>
      <c r="AO462" s="147"/>
      <c r="AP462" s="147"/>
      <c r="AQ462" s="147"/>
      <c r="AR462" s="147"/>
      <c r="AS462" s="147"/>
      <c r="AT462" s="147"/>
      <c r="AU462" s="147"/>
      <c r="AV462" s="147"/>
      <c r="AW462" s="147"/>
      <c r="AX462" s="147"/>
      <c r="AY462" s="147"/>
      <c r="AZ462" s="147"/>
      <c r="BA462" s="147"/>
      <c r="BB462" s="147"/>
      <c r="BC462" s="147"/>
      <c r="BD462" s="147"/>
      <c r="BE462" s="147"/>
      <c r="BF462" s="147"/>
      <c r="BG462" s="147"/>
      <c r="BH462" s="147"/>
      <c r="BI462" s="147"/>
      <c r="BJ462" s="147"/>
      <c r="BK462" s="147"/>
      <c r="BL462" s="147"/>
      <c r="BM462" s="147"/>
      <c r="BN462" s="147"/>
      <c r="BO462" s="147"/>
      <c r="BP462" s="147"/>
      <c r="BQ462" s="147"/>
      <c r="BR462" s="147"/>
      <c r="BS462" s="147"/>
      <c r="BT462" s="147"/>
      <c r="BU462" s="147"/>
      <c r="BV462" s="147"/>
      <c r="BW462" s="147"/>
      <c r="BX462" s="147"/>
      <c r="BY462" s="147"/>
      <c r="BZ462" s="147"/>
      <c r="CA462" s="147"/>
      <c r="CB462" s="147"/>
      <c r="CC462" s="147"/>
      <c r="CD462" s="147"/>
      <c r="CE462" s="147"/>
      <c r="CF462" s="147"/>
      <c r="CG462" s="147"/>
      <c r="CH462" s="147"/>
      <c r="CI462" s="147"/>
      <c r="CJ462" s="147"/>
      <c r="CK462" s="147"/>
    </row>
    <row r="463" spans="1:89">
      <c r="A463" s="159" t="s">
        <v>379</v>
      </c>
      <c r="B463" s="3" t="s">
        <v>380</v>
      </c>
      <c r="C463" s="160" t="s">
        <v>90</v>
      </c>
      <c r="D463" s="160" t="s">
        <v>883</v>
      </c>
      <c r="E463" s="3" t="s">
        <v>21</v>
      </c>
      <c r="F463" s="3" t="s">
        <v>926</v>
      </c>
      <c r="G463" s="3"/>
      <c r="H463" s="156" t="str">
        <f ca="1">IFERROR(
  _xludf.MINIFS(ATTENDANCE_LOG!$F:$F,
         ATTENDANCE_LOG!$A:$A, C463,
         ATTENDANCE_LOG!$B:$B, E463),
"")</f>
        <v/>
      </c>
      <c r="I463" s="156" t="str">
        <f t="shared" ca="1" si="266"/>
        <v/>
      </c>
      <c r="J463" s="3">
        <f>IFERROR(VLOOKUP(F463, LEVEL_HELPER!$A:$B, 2, 0), "")</f>
        <v>1</v>
      </c>
      <c r="K463" s="3" t="str">
        <f>IFERROR(VLOOKUP(G463, LEVEL_HELPER!$A:$B, 2, 0), "")</f>
        <v/>
      </c>
      <c r="L463" s="157" t="s">
        <v>930</v>
      </c>
      <c r="M463" s="157" t="s">
        <v>925</v>
      </c>
      <c r="N463" s="3">
        <f t="array" aca="1" ref="N463" ca="1">IFERROR(
  INDEX($J$2:$J$543,
    MATCH(A463&amp;TEXT(I463,"yyyy-mm-dd"),
          $A$2:$A$543&amp;TEXT($H$2:$H$543,"yyyy-mm-dd"),
          0)),
"")</f>
        <v>1</v>
      </c>
      <c r="O463" s="147" t="str">
        <f t="shared" ca="1" si="267"/>
        <v/>
      </c>
      <c r="P463" s="147">
        <f t="shared" ref="P463:Q463" ca="1" si="479">IF(N463="",0,IF(N463&lt;=2,1,IF(N463&lt;=4,2,IF(N463&lt;=5.5,3,4))))</f>
        <v>1</v>
      </c>
      <c r="Q463" s="147">
        <f t="shared" ca="1" si="479"/>
        <v>0</v>
      </c>
      <c r="R463" s="147" t="str">
        <f t="shared" ca="1" si="269"/>
        <v>Regressed</v>
      </c>
      <c r="S463" s="147">
        <f t="shared" si="270"/>
        <v>1</v>
      </c>
      <c r="T463" s="147"/>
      <c r="U463" s="147"/>
      <c r="V463" s="147"/>
      <c r="W463" s="147"/>
      <c r="X463" s="147"/>
      <c r="Y463" s="147"/>
      <c r="Z463" s="147"/>
      <c r="AA463" s="147"/>
      <c r="AB463" s="147"/>
      <c r="AC463" s="147"/>
      <c r="AD463" s="147"/>
      <c r="AE463" s="147"/>
      <c r="AF463" s="147"/>
      <c r="AG463" s="147"/>
      <c r="AH463" s="147"/>
      <c r="AI463" s="147"/>
      <c r="AJ463" s="147"/>
      <c r="AK463" s="147"/>
      <c r="AL463" s="147"/>
      <c r="AM463" s="151"/>
      <c r="AN463" s="147"/>
      <c r="AO463" s="147"/>
      <c r="AP463" s="147"/>
      <c r="AQ463" s="147"/>
      <c r="AR463" s="147"/>
      <c r="AS463" s="147"/>
      <c r="AT463" s="147"/>
      <c r="AU463" s="147"/>
      <c r="AV463" s="147"/>
      <c r="AW463" s="147"/>
      <c r="AX463" s="147"/>
      <c r="AY463" s="147"/>
      <c r="AZ463" s="147"/>
      <c r="BA463" s="147"/>
      <c r="BB463" s="147"/>
      <c r="BC463" s="147"/>
      <c r="BD463" s="147"/>
      <c r="BE463" s="147"/>
      <c r="BF463" s="147"/>
      <c r="BG463" s="147"/>
      <c r="BH463" s="147"/>
      <c r="BI463" s="147"/>
      <c r="BJ463" s="147"/>
      <c r="BK463" s="147"/>
      <c r="BL463" s="147"/>
      <c r="BM463" s="147"/>
      <c r="BN463" s="147"/>
      <c r="BO463" s="147"/>
      <c r="BP463" s="147"/>
      <c r="BQ463" s="147"/>
      <c r="BR463" s="147"/>
      <c r="BS463" s="147"/>
      <c r="BT463" s="147"/>
      <c r="BU463" s="147"/>
      <c r="BV463" s="147"/>
      <c r="BW463" s="147"/>
      <c r="BX463" s="147"/>
      <c r="BY463" s="147"/>
      <c r="BZ463" s="147"/>
      <c r="CA463" s="147"/>
      <c r="CB463" s="147"/>
      <c r="CC463" s="147"/>
      <c r="CD463" s="147"/>
      <c r="CE463" s="147"/>
      <c r="CF463" s="147"/>
      <c r="CG463" s="147"/>
      <c r="CH463" s="147"/>
      <c r="CI463" s="147"/>
      <c r="CJ463" s="147"/>
      <c r="CK463" s="147"/>
    </row>
    <row r="464" spans="1:89">
      <c r="A464" s="159" t="s">
        <v>449</v>
      </c>
      <c r="B464" s="3" t="s">
        <v>450</v>
      </c>
      <c r="C464" s="160" t="s">
        <v>90</v>
      </c>
      <c r="D464" s="160" t="s">
        <v>883</v>
      </c>
      <c r="E464" s="3" t="s">
        <v>21</v>
      </c>
      <c r="F464" s="3" t="s">
        <v>926</v>
      </c>
      <c r="G464" s="3"/>
      <c r="H464" s="156" t="str">
        <f ca="1">IFERROR(
  _xludf.MINIFS(ATTENDANCE_LOG!$F:$F,
         ATTENDANCE_LOG!$A:$A, C464,
         ATTENDANCE_LOG!$B:$B, E464),
"")</f>
        <v/>
      </c>
      <c r="I464" s="156" t="str">
        <f t="shared" ca="1" si="266"/>
        <v/>
      </c>
      <c r="J464" s="3">
        <f>IFERROR(VLOOKUP(F464, LEVEL_HELPER!$A:$B, 2, 0), "")</f>
        <v>1</v>
      </c>
      <c r="K464" s="3" t="str">
        <f>IFERROR(VLOOKUP(G464, LEVEL_HELPER!$A:$B, 2, 0), "")</f>
        <v/>
      </c>
      <c r="L464" s="157" t="s">
        <v>930</v>
      </c>
      <c r="M464" s="157" t="s">
        <v>919</v>
      </c>
      <c r="N464" s="3">
        <f t="array" aca="1" ref="N464" ca="1">IFERROR(
  INDEX($J$2:$J$543,
    MATCH(A464&amp;TEXT(I464,"yyyy-mm-dd"),
          $A$2:$A$543&amp;TEXT($H$2:$H$543,"yyyy-mm-dd"),
          0)),
"")</f>
        <v>1</v>
      </c>
      <c r="O464" s="147" t="str">
        <f t="shared" ca="1" si="267"/>
        <v/>
      </c>
      <c r="P464" s="147">
        <f t="shared" ref="P464:Q464" ca="1" si="480">IF(N464="",0,IF(N464&lt;=2,1,IF(N464&lt;=4,2,IF(N464&lt;=5.5,3,4))))</f>
        <v>1</v>
      </c>
      <c r="Q464" s="147">
        <f t="shared" ca="1" si="480"/>
        <v>0</v>
      </c>
      <c r="R464" s="147" t="str">
        <f t="shared" ca="1" si="269"/>
        <v>Regressed</v>
      </c>
      <c r="S464" s="147">
        <f t="shared" si="270"/>
        <v>1</v>
      </c>
      <c r="T464" s="147"/>
      <c r="U464" s="147"/>
      <c r="V464" s="147"/>
      <c r="W464" s="147"/>
      <c r="X464" s="147"/>
      <c r="Y464" s="147"/>
      <c r="Z464" s="147"/>
      <c r="AA464" s="147"/>
      <c r="AB464" s="147"/>
      <c r="AC464" s="147"/>
      <c r="AD464" s="147"/>
      <c r="AE464" s="147"/>
      <c r="AF464" s="147"/>
      <c r="AG464" s="147"/>
      <c r="AH464" s="147"/>
      <c r="AI464" s="147"/>
      <c r="AJ464" s="147"/>
      <c r="AK464" s="147"/>
      <c r="AL464" s="147"/>
      <c r="AM464" s="151"/>
      <c r="AN464" s="147"/>
      <c r="AO464" s="147"/>
      <c r="AP464" s="147"/>
      <c r="AQ464" s="147"/>
      <c r="AR464" s="147"/>
      <c r="AS464" s="147"/>
      <c r="AT464" s="147"/>
      <c r="AU464" s="147"/>
      <c r="AV464" s="147"/>
      <c r="AW464" s="147"/>
      <c r="AX464" s="147"/>
      <c r="AY464" s="147"/>
      <c r="AZ464" s="147"/>
      <c r="BA464" s="147"/>
      <c r="BB464" s="147"/>
      <c r="BC464" s="147"/>
      <c r="BD464" s="147"/>
      <c r="BE464" s="147"/>
      <c r="BF464" s="147"/>
      <c r="BG464" s="147"/>
      <c r="BH464" s="147"/>
      <c r="BI464" s="147"/>
      <c r="BJ464" s="147"/>
      <c r="BK464" s="147"/>
      <c r="BL464" s="147"/>
      <c r="BM464" s="147"/>
      <c r="BN464" s="147"/>
      <c r="BO464" s="147"/>
      <c r="BP464" s="147"/>
      <c r="BQ464" s="147"/>
      <c r="BR464" s="147"/>
      <c r="BS464" s="147"/>
      <c r="BT464" s="147"/>
      <c r="BU464" s="147"/>
      <c r="BV464" s="147"/>
      <c r="BW464" s="147"/>
      <c r="BX464" s="147"/>
      <c r="BY464" s="147"/>
      <c r="BZ464" s="147"/>
      <c r="CA464" s="147"/>
      <c r="CB464" s="147"/>
      <c r="CC464" s="147"/>
      <c r="CD464" s="147"/>
      <c r="CE464" s="147"/>
      <c r="CF464" s="147"/>
      <c r="CG464" s="147"/>
      <c r="CH464" s="147"/>
      <c r="CI464" s="147"/>
      <c r="CJ464" s="147"/>
      <c r="CK464" s="147"/>
    </row>
    <row r="465" spans="1:89">
      <c r="A465" s="159" t="s">
        <v>455</v>
      </c>
      <c r="B465" s="3" t="s">
        <v>456</v>
      </c>
      <c r="C465" s="160" t="s">
        <v>90</v>
      </c>
      <c r="D465" s="160" t="s">
        <v>883</v>
      </c>
      <c r="E465" s="3" t="s">
        <v>21</v>
      </c>
      <c r="F465" s="3" t="s">
        <v>926</v>
      </c>
      <c r="G465" s="3"/>
      <c r="H465" s="156" t="str">
        <f ca="1">IFERROR(
  _xludf.MINIFS(ATTENDANCE_LOG!$F:$F,
         ATTENDANCE_LOG!$A:$A, C465,
         ATTENDANCE_LOG!$B:$B, E465),
"")</f>
        <v/>
      </c>
      <c r="I465" s="156" t="str">
        <f t="shared" ca="1" si="266"/>
        <v/>
      </c>
      <c r="J465" s="3">
        <f>IFERROR(VLOOKUP(F465, LEVEL_HELPER!$A:$B, 2, 0), "")</f>
        <v>1</v>
      </c>
      <c r="K465" s="3" t="str">
        <f>IFERROR(VLOOKUP(G465, LEVEL_HELPER!$A:$B, 2, 0), "")</f>
        <v/>
      </c>
      <c r="L465" s="157" t="s">
        <v>930</v>
      </c>
      <c r="M465" s="157" t="s">
        <v>919</v>
      </c>
      <c r="N465" s="3">
        <f t="array" aca="1" ref="N465" ca="1">IFERROR(
  INDEX($J$2:$J$543,
    MATCH(A465&amp;TEXT(I465,"yyyy-mm-dd"),
          $A$2:$A$543&amp;TEXT($H$2:$H$543,"yyyy-mm-dd"),
          0)),
"")</f>
        <v>1</v>
      </c>
      <c r="O465" s="147" t="str">
        <f t="shared" ca="1" si="267"/>
        <v/>
      </c>
      <c r="P465" s="147">
        <f t="shared" ref="P465:Q465" ca="1" si="481">IF(N465="",0,IF(N465&lt;=2,1,IF(N465&lt;=4,2,IF(N465&lt;=5.5,3,4))))</f>
        <v>1</v>
      </c>
      <c r="Q465" s="147">
        <f t="shared" ca="1" si="481"/>
        <v>0</v>
      </c>
      <c r="R465" s="147" t="str">
        <f t="shared" ca="1" si="269"/>
        <v>Regressed</v>
      </c>
      <c r="S465" s="147">
        <f t="shared" si="270"/>
        <v>1</v>
      </c>
      <c r="T465" s="147"/>
      <c r="U465" s="147"/>
      <c r="V465" s="147"/>
      <c r="W465" s="147"/>
      <c r="X465" s="147"/>
      <c r="Y465" s="147"/>
      <c r="Z465" s="147"/>
      <c r="AA465" s="147"/>
      <c r="AB465" s="147"/>
      <c r="AC465" s="147"/>
      <c r="AD465" s="147"/>
      <c r="AE465" s="147"/>
      <c r="AF465" s="147"/>
      <c r="AG465" s="147"/>
      <c r="AH465" s="147"/>
      <c r="AI465" s="147"/>
      <c r="AJ465" s="147"/>
      <c r="AK465" s="147"/>
      <c r="AL465" s="147"/>
      <c r="AM465" s="151"/>
      <c r="AN465" s="147"/>
      <c r="AO465" s="147"/>
      <c r="AP465" s="147"/>
      <c r="AQ465" s="147"/>
      <c r="AR465" s="147"/>
      <c r="AS465" s="147"/>
      <c r="AT465" s="147"/>
      <c r="AU465" s="147"/>
      <c r="AV465" s="147"/>
      <c r="AW465" s="147"/>
      <c r="AX465" s="147"/>
      <c r="AY465" s="147"/>
      <c r="AZ465" s="147"/>
      <c r="BA465" s="147"/>
      <c r="BB465" s="147"/>
      <c r="BC465" s="147"/>
      <c r="BD465" s="147"/>
      <c r="BE465" s="147"/>
      <c r="BF465" s="147"/>
      <c r="BG465" s="147"/>
      <c r="BH465" s="147"/>
      <c r="BI465" s="147"/>
      <c r="BJ465" s="147"/>
      <c r="BK465" s="147"/>
      <c r="BL465" s="147"/>
      <c r="BM465" s="147"/>
      <c r="BN465" s="147"/>
      <c r="BO465" s="147"/>
      <c r="BP465" s="147"/>
      <c r="BQ465" s="147"/>
      <c r="BR465" s="147"/>
      <c r="BS465" s="147"/>
      <c r="BT465" s="147"/>
      <c r="BU465" s="147"/>
      <c r="BV465" s="147"/>
      <c r="BW465" s="147"/>
      <c r="BX465" s="147"/>
      <c r="BY465" s="147"/>
      <c r="BZ465" s="147"/>
      <c r="CA465" s="147"/>
      <c r="CB465" s="147"/>
      <c r="CC465" s="147"/>
      <c r="CD465" s="147"/>
      <c r="CE465" s="147"/>
      <c r="CF465" s="147"/>
      <c r="CG465" s="147"/>
      <c r="CH465" s="147"/>
      <c r="CI465" s="147"/>
      <c r="CJ465" s="147"/>
      <c r="CK465" s="147"/>
    </row>
    <row r="466" spans="1:89">
      <c r="A466" s="159" t="s">
        <v>490</v>
      </c>
      <c r="B466" s="3" t="s">
        <v>491</v>
      </c>
      <c r="C466" s="160" t="s">
        <v>90</v>
      </c>
      <c r="D466" s="160" t="s">
        <v>883</v>
      </c>
      <c r="E466" s="3" t="s">
        <v>21</v>
      </c>
      <c r="F466" s="3" t="s">
        <v>926</v>
      </c>
      <c r="G466" s="3"/>
      <c r="H466" s="156" t="str">
        <f ca="1">IFERROR(
  _xludf.MINIFS(ATTENDANCE_LOG!$F:$F,
         ATTENDANCE_LOG!$A:$A, C466,
         ATTENDANCE_LOG!$B:$B, E466),
"")</f>
        <v/>
      </c>
      <c r="I466" s="156" t="str">
        <f t="shared" ca="1" si="266"/>
        <v/>
      </c>
      <c r="J466" s="3">
        <f>IFERROR(VLOOKUP(F466, LEVEL_HELPER!$A:$B, 2, 0), "")</f>
        <v>1</v>
      </c>
      <c r="K466" s="3" t="str">
        <f>IFERROR(VLOOKUP(G466, LEVEL_HELPER!$A:$B, 2, 0), "")</f>
        <v/>
      </c>
      <c r="L466" s="157" t="s">
        <v>930</v>
      </c>
      <c r="M466" s="157" t="s">
        <v>925</v>
      </c>
      <c r="N466" s="3">
        <f t="array" aca="1" ref="N466" ca="1">IFERROR(
  INDEX($J$2:$J$543,
    MATCH(A466&amp;TEXT(I466,"yyyy-mm-dd"),
          $A$2:$A$543&amp;TEXT($H$2:$H$543,"yyyy-mm-dd"),
          0)),
"")</f>
        <v>1</v>
      </c>
      <c r="O466" s="147" t="str">
        <f t="shared" ca="1" si="267"/>
        <v/>
      </c>
      <c r="P466" s="147">
        <f t="shared" ref="P466:Q466" ca="1" si="482">IF(N466="",0,IF(N466&lt;=2,1,IF(N466&lt;=4,2,IF(N466&lt;=5.5,3,4))))</f>
        <v>1</v>
      </c>
      <c r="Q466" s="147">
        <f t="shared" ca="1" si="482"/>
        <v>0</v>
      </c>
      <c r="R466" s="147" t="str">
        <f t="shared" ca="1" si="269"/>
        <v>Regressed</v>
      </c>
      <c r="S466" s="147">
        <f t="shared" si="270"/>
        <v>1</v>
      </c>
      <c r="T466" s="147"/>
      <c r="U466" s="147"/>
      <c r="V466" s="147"/>
      <c r="W466" s="147"/>
      <c r="X466" s="147"/>
      <c r="Y466" s="147"/>
      <c r="Z466" s="147"/>
      <c r="AA466" s="147"/>
      <c r="AB466" s="147"/>
      <c r="AC466" s="147"/>
      <c r="AD466" s="147"/>
      <c r="AE466" s="147"/>
      <c r="AF466" s="147"/>
      <c r="AG466" s="147"/>
      <c r="AH466" s="147"/>
      <c r="AI466" s="147"/>
      <c r="AJ466" s="147"/>
      <c r="AK466" s="147"/>
      <c r="AL466" s="147"/>
      <c r="AM466" s="151"/>
      <c r="AN466" s="147"/>
      <c r="AO466" s="147"/>
      <c r="AP466" s="147"/>
      <c r="AQ466" s="147"/>
      <c r="AR466" s="147"/>
      <c r="AS466" s="147"/>
      <c r="AT466" s="147"/>
      <c r="AU466" s="147"/>
      <c r="AV466" s="147"/>
      <c r="AW466" s="147"/>
      <c r="AX466" s="147"/>
      <c r="AY466" s="147"/>
      <c r="AZ466" s="147"/>
      <c r="BA466" s="147"/>
      <c r="BB466" s="147"/>
      <c r="BC466" s="147"/>
      <c r="BD466" s="147"/>
      <c r="BE466" s="147"/>
      <c r="BF466" s="147"/>
      <c r="BG466" s="147"/>
      <c r="BH466" s="147"/>
      <c r="BI466" s="147"/>
      <c r="BJ466" s="147"/>
      <c r="BK466" s="147"/>
      <c r="BL466" s="147"/>
      <c r="BM466" s="147"/>
      <c r="BN466" s="147"/>
      <c r="BO466" s="147"/>
      <c r="BP466" s="147"/>
      <c r="BQ466" s="147"/>
      <c r="BR466" s="147"/>
      <c r="BS466" s="147"/>
      <c r="BT466" s="147"/>
      <c r="BU466" s="147"/>
      <c r="BV466" s="147"/>
      <c r="BW466" s="147"/>
      <c r="BX466" s="147"/>
      <c r="BY466" s="147"/>
      <c r="BZ466" s="147"/>
      <c r="CA466" s="147"/>
      <c r="CB466" s="147"/>
      <c r="CC466" s="147"/>
      <c r="CD466" s="147"/>
      <c r="CE466" s="147"/>
      <c r="CF466" s="147"/>
      <c r="CG466" s="147"/>
      <c r="CH466" s="147"/>
      <c r="CI466" s="147"/>
      <c r="CJ466" s="147"/>
      <c r="CK466" s="147"/>
    </row>
    <row r="467" spans="1:89">
      <c r="A467" s="159" t="s">
        <v>500</v>
      </c>
      <c r="B467" s="3" t="s">
        <v>501</v>
      </c>
      <c r="C467" s="160" t="s">
        <v>90</v>
      </c>
      <c r="D467" s="160" t="s">
        <v>883</v>
      </c>
      <c r="E467" s="3" t="s">
        <v>21</v>
      </c>
      <c r="F467" s="3" t="s">
        <v>926</v>
      </c>
      <c r="G467" s="3"/>
      <c r="H467" s="156" t="str">
        <f ca="1">IFERROR(
  _xludf.MINIFS(ATTENDANCE_LOG!$F:$F,
         ATTENDANCE_LOG!$A:$A, C467,
         ATTENDANCE_LOG!$B:$B, E467),
"")</f>
        <v/>
      </c>
      <c r="I467" s="156" t="str">
        <f t="shared" ca="1" si="266"/>
        <v/>
      </c>
      <c r="J467" s="3">
        <f>IFERROR(VLOOKUP(F467, LEVEL_HELPER!$A:$B, 2, 0), "")</f>
        <v>1</v>
      </c>
      <c r="K467" s="3" t="str">
        <f>IFERROR(VLOOKUP(G467, LEVEL_HELPER!$A:$B, 2, 0), "")</f>
        <v/>
      </c>
      <c r="L467" s="157" t="s">
        <v>946</v>
      </c>
      <c r="M467" s="157" t="s">
        <v>919</v>
      </c>
      <c r="N467" s="3">
        <f t="array" aca="1" ref="N467" ca="1">IFERROR(
  INDEX($J$2:$J$543,
    MATCH(A467&amp;TEXT(I467,"yyyy-mm-dd"),
          $A$2:$A$543&amp;TEXT($H$2:$H$543,"yyyy-mm-dd"),
          0)),
"")</f>
        <v>1</v>
      </c>
      <c r="O467" s="147" t="str">
        <f t="shared" ca="1" si="267"/>
        <v/>
      </c>
      <c r="P467" s="147">
        <f t="shared" ref="P467:Q467" ca="1" si="483">IF(N467="",0,IF(N467&lt;=2,1,IF(N467&lt;=4,2,IF(N467&lt;=5.5,3,4))))</f>
        <v>1</v>
      </c>
      <c r="Q467" s="147">
        <f t="shared" ca="1" si="483"/>
        <v>0</v>
      </c>
      <c r="R467" s="147" t="str">
        <f t="shared" ca="1" si="269"/>
        <v>Regressed</v>
      </c>
      <c r="S467" s="147">
        <f t="shared" si="270"/>
        <v>1</v>
      </c>
      <c r="T467" s="147"/>
      <c r="U467" s="147"/>
      <c r="V467" s="147"/>
      <c r="W467" s="147"/>
      <c r="X467" s="147"/>
      <c r="Y467" s="147"/>
      <c r="Z467" s="147"/>
      <c r="AA467" s="147"/>
      <c r="AB467" s="147"/>
      <c r="AC467" s="147"/>
      <c r="AD467" s="147"/>
      <c r="AE467" s="147"/>
      <c r="AF467" s="147"/>
      <c r="AG467" s="147"/>
      <c r="AH467" s="147"/>
      <c r="AI467" s="147"/>
      <c r="AJ467" s="147"/>
      <c r="AK467" s="147"/>
      <c r="AL467" s="147"/>
      <c r="AM467" s="151"/>
      <c r="AN467" s="147"/>
      <c r="AO467" s="147"/>
      <c r="AP467" s="147"/>
      <c r="AQ467" s="147"/>
      <c r="AR467" s="147"/>
      <c r="AS467" s="147"/>
      <c r="AT467" s="147"/>
      <c r="AU467" s="147"/>
      <c r="AV467" s="147"/>
      <c r="AW467" s="147"/>
      <c r="AX467" s="147"/>
      <c r="AY467" s="147"/>
      <c r="AZ467" s="147"/>
      <c r="BA467" s="147"/>
      <c r="BB467" s="147"/>
      <c r="BC467" s="147"/>
      <c r="BD467" s="147"/>
      <c r="BE467" s="147"/>
      <c r="BF467" s="147"/>
      <c r="BG467" s="147"/>
      <c r="BH467" s="147"/>
      <c r="BI467" s="147"/>
      <c r="BJ467" s="147"/>
      <c r="BK467" s="147"/>
      <c r="BL467" s="147"/>
      <c r="BM467" s="147"/>
      <c r="BN467" s="147"/>
      <c r="BO467" s="147"/>
      <c r="BP467" s="147"/>
      <c r="BQ467" s="147"/>
      <c r="BR467" s="147"/>
      <c r="BS467" s="147"/>
      <c r="BT467" s="147"/>
      <c r="BU467" s="147"/>
      <c r="BV467" s="147"/>
      <c r="BW467" s="147"/>
      <c r="BX467" s="147"/>
      <c r="BY467" s="147"/>
      <c r="BZ467" s="147"/>
      <c r="CA467" s="147"/>
      <c r="CB467" s="147"/>
      <c r="CC467" s="147"/>
      <c r="CD467" s="147"/>
      <c r="CE467" s="147"/>
      <c r="CF467" s="147"/>
      <c r="CG467" s="147"/>
      <c r="CH467" s="147"/>
      <c r="CI467" s="147"/>
      <c r="CJ467" s="147"/>
      <c r="CK467" s="147"/>
    </row>
    <row r="468" spans="1:89">
      <c r="A468" s="159" t="s">
        <v>551</v>
      </c>
      <c r="B468" s="3" t="s">
        <v>552</v>
      </c>
      <c r="C468" s="160" t="s">
        <v>90</v>
      </c>
      <c r="D468" s="160" t="s">
        <v>883</v>
      </c>
      <c r="E468" s="3" t="s">
        <v>21</v>
      </c>
      <c r="F468" s="3" t="s">
        <v>926</v>
      </c>
      <c r="G468" s="3"/>
      <c r="H468" s="156" t="str">
        <f ca="1">IFERROR(
  _xludf.MINIFS(ATTENDANCE_LOG!$F:$F,
         ATTENDANCE_LOG!$A:$A, C468,
         ATTENDANCE_LOG!$B:$B, E468),
"")</f>
        <v/>
      </c>
      <c r="I468" s="156" t="str">
        <f t="shared" ca="1" si="266"/>
        <v/>
      </c>
      <c r="J468" s="3">
        <f>IFERROR(VLOOKUP(F468, LEVEL_HELPER!$A:$B, 2, 0), "")</f>
        <v>1</v>
      </c>
      <c r="K468" s="3" t="str">
        <f>IFERROR(VLOOKUP(G468, LEVEL_HELPER!$A:$B, 2, 0), "")</f>
        <v/>
      </c>
      <c r="L468" s="157" t="s">
        <v>930</v>
      </c>
      <c r="M468" s="157" t="s">
        <v>925</v>
      </c>
      <c r="N468" s="3">
        <f t="array" aca="1" ref="N468" ca="1">IFERROR(
  INDEX($J$2:$J$543,
    MATCH(A468&amp;TEXT(I468,"yyyy-mm-dd"),
          $A$2:$A$543&amp;TEXT($H$2:$H$543,"yyyy-mm-dd"),
          0)),
"")</f>
        <v>1</v>
      </c>
      <c r="O468" s="147" t="str">
        <f t="shared" ca="1" si="267"/>
        <v/>
      </c>
      <c r="P468" s="147">
        <f t="shared" ref="P468:Q468" ca="1" si="484">IF(N468="",0,IF(N468&lt;=2,1,IF(N468&lt;=4,2,IF(N468&lt;=5.5,3,4))))</f>
        <v>1</v>
      </c>
      <c r="Q468" s="147">
        <f t="shared" ca="1" si="484"/>
        <v>0</v>
      </c>
      <c r="R468" s="147" t="str">
        <f t="shared" ca="1" si="269"/>
        <v>Regressed</v>
      </c>
      <c r="S468" s="147">
        <f t="shared" si="270"/>
        <v>1</v>
      </c>
      <c r="T468" s="147"/>
      <c r="U468" s="147"/>
      <c r="V468" s="147"/>
      <c r="W468" s="147"/>
      <c r="X468" s="147"/>
      <c r="Y468" s="147"/>
      <c r="Z468" s="147"/>
      <c r="AA468" s="147"/>
      <c r="AB468" s="147"/>
      <c r="AC468" s="147"/>
      <c r="AD468" s="147"/>
      <c r="AE468" s="147"/>
      <c r="AF468" s="147"/>
      <c r="AG468" s="147"/>
      <c r="AH468" s="147"/>
      <c r="AI468" s="147"/>
      <c r="AJ468" s="147"/>
      <c r="AK468" s="147"/>
      <c r="AL468" s="147"/>
      <c r="AM468" s="151"/>
      <c r="AN468" s="147"/>
      <c r="AO468" s="147"/>
      <c r="AP468" s="147"/>
      <c r="AQ468" s="147"/>
      <c r="AR468" s="147"/>
      <c r="AS468" s="147"/>
      <c r="AT468" s="147"/>
      <c r="AU468" s="147"/>
      <c r="AV468" s="147"/>
      <c r="AW468" s="147"/>
      <c r="AX468" s="147"/>
      <c r="AY468" s="147"/>
      <c r="AZ468" s="147"/>
      <c r="BA468" s="147"/>
      <c r="BB468" s="147"/>
      <c r="BC468" s="147"/>
      <c r="BD468" s="147"/>
      <c r="BE468" s="147"/>
      <c r="BF468" s="147"/>
      <c r="BG468" s="147"/>
      <c r="BH468" s="147"/>
      <c r="BI468" s="147"/>
      <c r="BJ468" s="147"/>
      <c r="BK468" s="147"/>
      <c r="BL468" s="147"/>
      <c r="BM468" s="147"/>
      <c r="BN468" s="147"/>
      <c r="BO468" s="147"/>
      <c r="BP468" s="147"/>
      <c r="BQ468" s="147"/>
      <c r="BR468" s="147"/>
      <c r="BS468" s="147"/>
      <c r="BT468" s="147"/>
      <c r="BU468" s="147"/>
      <c r="BV468" s="147"/>
      <c r="BW468" s="147"/>
      <c r="BX468" s="147"/>
      <c r="BY468" s="147"/>
      <c r="BZ468" s="147"/>
      <c r="CA468" s="147"/>
      <c r="CB468" s="147"/>
      <c r="CC468" s="147"/>
      <c r="CD468" s="147"/>
      <c r="CE468" s="147"/>
      <c r="CF468" s="147"/>
      <c r="CG468" s="147"/>
      <c r="CH468" s="147"/>
      <c r="CI468" s="147"/>
      <c r="CJ468" s="147"/>
      <c r="CK468" s="147"/>
    </row>
    <row r="469" spans="1:89">
      <c r="A469" s="153" t="s">
        <v>609</v>
      </c>
      <c r="B469" s="154" t="s">
        <v>610</v>
      </c>
      <c r="C469" s="155" t="s">
        <v>91</v>
      </c>
      <c r="D469" s="155" t="s">
        <v>884</v>
      </c>
      <c r="E469" s="154" t="s">
        <v>21</v>
      </c>
      <c r="F469" s="154" t="s">
        <v>926</v>
      </c>
      <c r="G469" s="154" t="s">
        <v>934</v>
      </c>
      <c r="H469" s="156" t="str">
        <f ca="1">IFERROR(
  _xludf.MINIFS(ATTENDANCE_LOG!$F:$F,
         ATTENDANCE_LOG!$A:$A, C469,
         ATTENDANCE_LOG!$B:$B, E469),
"")</f>
        <v/>
      </c>
      <c r="I469" s="156" t="str">
        <f t="shared" ca="1" si="266"/>
        <v/>
      </c>
      <c r="J469" s="154">
        <f>IFERROR(VLOOKUP(F469, LEVEL_HELPER!$A:$B, 2, 0), "")</f>
        <v>1</v>
      </c>
      <c r="K469" s="154">
        <f>IFERROR(VLOOKUP(G469, LEVEL_HELPER!$A:$B, 2, 0), "")</f>
        <v>3.5</v>
      </c>
      <c r="L469" s="176" t="s">
        <v>930</v>
      </c>
      <c r="M469" s="176" t="s">
        <v>919</v>
      </c>
      <c r="N469" s="3">
        <f t="array" aca="1" ref="N469" ca="1">IFERROR(
  INDEX($J$2:$J$543,
    MATCH(A469&amp;TEXT(I469,"yyyy-mm-dd"),
          $A$2:$A$543&amp;TEXT($H$2:$H$543,"yyyy-mm-dd"),
          0)),
"")</f>
        <v>1</v>
      </c>
      <c r="O469" s="177" t="str">
        <f t="shared" ca="1" si="267"/>
        <v/>
      </c>
      <c r="P469" s="147">
        <f t="shared" ref="P469:Q469" ca="1" si="485">IF(N469="",0,IF(N469&lt;=2,1,IF(N469&lt;=4,2,IF(N469&lt;=5.5,3,4))))</f>
        <v>1</v>
      </c>
      <c r="Q469" s="147">
        <f t="shared" ca="1" si="485"/>
        <v>0</v>
      </c>
      <c r="R469" s="147" t="str">
        <f t="shared" ca="1" si="269"/>
        <v>Regressed</v>
      </c>
      <c r="S469" s="147">
        <f t="shared" si="270"/>
        <v>1</v>
      </c>
      <c r="T469" s="147"/>
      <c r="U469" s="147"/>
      <c r="V469" s="147"/>
      <c r="W469" s="147"/>
      <c r="X469" s="147"/>
      <c r="Y469" s="147"/>
      <c r="Z469" s="147"/>
      <c r="AA469" s="147"/>
      <c r="AB469" s="147"/>
      <c r="AC469" s="147"/>
      <c r="AD469" s="147"/>
      <c r="AE469" s="147"/>
      <c r="AF469" s="147"/>
      <c r="AG469" s="147"/>
      <c r="AH469" s="147"/>
      <c r="AI469" s="147"/>
      <c r="AJ469" s="147"/>
      <c r="AK469" s="147"/>
      <c r="AL469" s="147"/>
      <c r="AM469" s="151"/>
      <c r="AN469" s="147"/>
      <c r="AO469" s="147"/>
      <c r="AP469" s="147"/>
      <c r="AQ469" s="147"/>
      <c r="AR469" s="147"/>
      <c r="AS469" s="147"/>
      <c r="AT469" s="147"/>
      <c r="AU469" s="147"/>
      <c r="AV469" s="147"/>
      <c r="AW469" s="147"/>
      <c r="AX469" s="147"/>
      <c r="AY469" s="147"/>
      <c r="AZ469" s="147"/>
      <c r="BA469" s="147"/>
      <c r="BB469" s="147"/>
      <c r="BC469" s="147"/>
      <c r="BD469" s="147"/>
      <c r="BE469" s="147"/>
      <c r="BF469" s="147"/>
      <c r="BG469" s="147"/>
      <c r="BH469" s="147"/>
      <c r="BI469" s="147"/>
      <c r="BJ469" s="147"/>
      <c r="BK469" s="147"/>
      <c r="BL469" s="147"/>
      <c r="BM469" s="147"/>
      <c r="BN469" s="147"/>
      <c r="BO469" s="147"/>
      <c r="BP469" s="147"/>
      <c r="BQ469" s="147"/>
      <c r="BR469" s="147"/>
      <c r="BS469" s="147"/>
      <c r="BT469" s="147"/>
      <c r="BU469" s="147"/>
      <c r="BV469" s="147"/>
      <c r="BW469" s="147"/>
      <c r="BX469" s="147"/>
      <c r="BY469" s="147"/>
      <c r="BZ469" s="147"/>
      <c r="CA469" s="147"/>
      <c r="CB469" s="147"/>
      <c r="CC469" s="147"/>
      <c r="CD469" s="147"/>
      <c r="CE469" s="147"/>
      <c r="CF469" s="147"/>
      <c r="CG469" s="147"/>
      <c r="CH469" s="147"/>
      <c r="CI469" s="147"/>
      <c r="CJ469" s="147"/>
      <c r="CK469" s="147"/>
    </row>
    <row r="470" spans="1:89">
      <c r="A470" s="159" t="s">
        <v>206</v>
      </c>
      <c r="B470" s="3" t="s">
        <v>207</v>
      </c>
      <c r="C470" s="160" t="s">
        <v>91</v>
      </c>
      <c r="D470" s="160" t="s">
        <v>884</v>
      </c>
      <c r="E470" s="3" t="s">
        <v>21</v>
      </c>
      <c r="F470" s="3" t="s">
        <v>926</v>
      </c>
      <c r="G470" s="3" t="s">
        <v>917</v>
      </c>
      <c r="H470" s="156" t="str">
        <f ca="1">IFERROR(
  _xludf.MINIFS(ATTENDANCE_LOG!$F:$F,
         ATTENDANCE_LOG!$A:$A, C470,
         ATTENDANCE_LOG!$B:$B, E470),
"")</f>
        <v/>
      </c>
      <c r="I470" s="156" t="str">
        <f t="shared" ca="1" si="266"/>
        <v/>
      </c>
      <c r="J470" s="3">
        <f>IFERROR(VLOOKUP(F470, LEVEL_HELPER!$A:$B, 2, 0), "")</f>
        <v>1</v>
      </c>
      <c r="K470" s="3">
        <f>IFERROR(VLOOKUP(G470, LEVEL_HELPER!$A:$B, 2, 0), "")</f>
        <v>3</v>
      </c>
      <c r="L470" s="157" t="s">
        <v>930</v>
      </c>
      <c r="M470" s="157" t="s">
        <v>919</v>
      </c>
      <c r="N470" s="3">
        <f t="array" aca="1" ref="N470" ca="1">IFERROR(
  INDEX($J$2:$J$543,
    MATCH(A470&amp;TEXT(I470,"yyyy-mm-dd"),
          $A$2:$A$543&amp;TEXT($H$2:$H$543,"yyyy-mm-dd"),
          0)),
"")</f>
        <v>1</v>
      </c>
      <c r="O470" s="147" t="str">
        <f t="shared" ca="1" si="267"/>
        <v/>
      </c>
      <c r="P470" s="147">
        <f t="shared" ref="P470:Q470" ca="1" si="486">IF(N470="",0,IF(N470&lt;=2,1,IF(N470&lt;=4,2,IF(N470&lt;=5.5,3,4))))</f>
        <v>1</v>
      </c>
      <c r="Q470" s="147">
        <f t="shared" ca="1" si="486"/>
        <v>0</v>
      </c>
      <c r="R470" s="147" t="str">
        <f t="shared" ca="1" si="269"/>
        <v>Regressed</v>
      </c>
      <c r="S470" s="147">
        <f t="shared" si="270"/>
        <v>1</v>
      </c>
      <c r="T470" s="147"/>
      <c r="U470" s="147"/>
      <c r="V470" s="147"/>
      <c r="W470" s="147"/>
      <c r="X470" s="147"/>
      <c r="Y470" s="147"/>
      <c r="Z470" s="147"/>
      <c r="AA470" s="147"/>
      <c r="AB470" s="147"/>
      <c r="AC470" s="147"/>
      <c r="AD470" s="147"/>
      <c r="AE470" s="147"/>
      <c r="AF470" s="147"/>
      <c r="AG470" s="147"/>
      <c r="AH470" s="147"/>
      <c r="AI470" s="147"/>
      <c r="AJ470" s="147"/>
      <c r="AK470" s="147"/>
      <c r="AL470" s="147"/>
      <c r="AM470" s="151"/>
      <c r="AN470" s="147"/>
      <c r="AO470" s="147"/>
      <c r="AP470" s="147"/>
      <c r="AQ470" s="147"/>
      <c r="AR470" s="147"/>
      <c r="AS470" s="147"/>
      <c r="AT470" s="147"/>
      <c r="AU470" s="147"/>
      <c r="AV470" s="147"/>
      <c r="AW470" s="147"/>
      <c r="AX470" s="147"/>
      <c r="AY470" s="147"/>
      <c r="AZ470" s="147"/>
      <c r="BA470" s="147"/>
      <c r="BB470" s="147"/>
      <c r="BC470" s="147"/>
      <c r="BD470" s="147"/>
      <c r="BE470" s="147"/>
      <c r="BF470" s="147"/>
      <c r="BG470" s="147"/>
      <c r="BH470" s="147"/>
      <c r="BI470" s="147"/>
      <c r="BJ470" s="147"/>
      <c r="BK470" s="147"/>
      <c r="BL470" s="147"/>
      <c r="BM470" s="147"/>
      <c r="BN470" s="147"/>
      <c r="BO470" s="147"/>
      <c r="BP470" s="147"/>
      <c r="BQ470" s="147"/>
      <c r="BR470" s="147"/>
      <c r="BS470" s="147"/>
      <c r="BT470" s="147"/>
      <c r="BU470" s="147"/>
      <c r="BV470" s="147"/>
      <c r="BW470" s="147"/>
      <c r="BX470" s="147"/>
      <c r="BY470" s="147"/>
      <c r="BZ470" s="147"/>
      <c r="CA470" s="147"/>
      <c r="CB470" s="147"/>
      <c r="CC470" s="147"/>
      <c r="CD470" s="147"/>
      <c r="CE470" s="147"/>
      <c r="CF470" s="147"/>
      <c r="CG470" s="147"/>
      <c r="CH470" s="147"/>
      <c r="CI470" s="147"/>
      <c r="CJ470" s="147"/>
      <c r="CK470" s="147"/>
    </row>
    <row r="471" spans="1:89">
      <c r="A471" s="159" t="s">
        <v>372</v>
      </c>
      <c r="B471" s="3" t="s">
        <v>373</v>
      </c>
      <c r="C471" s="160" t="s">
        <v>91</v>
      </c>
      <c r="D471" s="160" t="s">
        <v>884</v>
      </c>
      <c r="E471" s="3" t="s">
        <v>21</v>
      </c>
      <c r="F471" s="3" t="s">
        <v>926</v>
      </c>
      <c r="G471" s="3" t="s">
        <v>917</v>
      </c>
      <c r="H471" s="156" t="str">
        <f ca="1">IFERROR(
  _xludf.MINIFS(ATTENDANCE_LOG!$F:$F,
         ATTENDANCE_LOG!$A:$A, C471,
         ATTENDANCE_LOG!$B:$B, E471),
"")</f>
        <v/>
      </c>
      <c r="I471" s="156" t="str">
        <f t="shared" ca="1" si="266"/>
        <v/>
      </c>
      <c r="J471" s="3">
        <f>IFERROR(VLOOKUP(F471, LEVEL_HELPER!$A:$B, 2, 0), "")</f>
        <v>1</v>
      </c>
      <c r="K471" s="3">
        <f>IFERROR(VLOOKUP(G471, LEVEL_HELPER!$A:$B, 2, 0), "")</f>
        <v>3</v>
      </c>
      <c r="L471" s="157" t="s">
        <v>930</v>
      </c>
      <c r="M471" s="157" t="s">
        <v>919</v>
      </c>
      <c r="N471" s="3">
        <f t="array" aca="1" ref="N471" ca="1">IFERROR(
  INDEX($J$2:$J$543,
    MATCH(A471&amp;TEXT(I471,"yyyy-mm-dd"),
          $A$2:$A$543&amp;TEXT($H$2:$H$543,"yyyy-mm-dd"),
          0)),
"")</f>
        <v>1</v>
      </c>
      <c r="O471" s="147" t="str">
        <f t="shared" ca="1" si="267"/>
        <v/>
      </c>
      <c r="P471" s="147">
        <f t="shared" ref="P471:Q471" ca="1" si="487">IF(N471="",0,IF(N471&lt;=2,1,IF(N471&lt;=4,2,IF(N471&lt;=5.5,3,4))))</f>
        <v>1</v>
      </c>
      <c r="Q471" s="147">
        <f t="shared" ca="1" si="487"/>
        <v>0</v>
      </c>
      <c r="R471" s="147" t="str">
        <f t="shared" ca="1" si="269"/>
        <v>Regressed</v>
      </c>
      <c r="S471" s="147">
        <f t="shared" si="270"/>
        <v>1</v>
      </c>
      <c r="T471" s="147"/>
      <c r="U471" s="147"/>
      <c r="V471" s="147"/>
      <c r="W471" s="147"/>
      <c r="X471" s="147"/>
      <c r="Y471" s="147"/>
      <c r="Z471" s="147"/>
      <c r="AA471" s="147"/>
      <c r="AB471" s="147"/>
      <c r="AC471" s="147"/>
      <c r="AD471" s="147"/>
      <c r="AE471" s="147"/>
      <c r="AF471" s="147"/>
      <c r="AG471" s="147"/>
      <c r="AH471" s="147"/>
      <c r="AI471" s="147"/>
      <c r="AJ471" s="147"/>
      <c r="AK471" s="147"/>
      <c r="AL471" s="147"/>
      <c r="AM471" s="151"/>
      <c r="AN471" s="147"/>
      <c r="AO471" s="147"/>
      <c r="AP471" s="147"/>
      <c r="AQ471" s="147"/>
      <c r="AR471" s="147"/>
      <c r="AS471" s="147"/>
      <c r="AT471" s="147"/>
      <c r="AU471" s="147"/>
      <c r="AV471" s="147"/>
      <c r="AW471" s="147"/>
      <c r="AX471" s="147"/>
      <c r="AY471" s="147"/>
      <c r="AZ471" s="147"/>
      <c r="BA471" s="147"/>
      <c r="BB471" s="147"/>
      <c r="BC471" s="147"/>
      <c r="BD471" s="147"/>
      <c r="BE471" s="147"/>
      <c r="BF471" s="147"/>
      <c r="BG471" s="147"/>
      <c r="BH471" s="147"/>
      <c r="BI471" s="147"/>
      <c r="BJ471" s="147"/>
      <c r="BK471" s="147"/>
      <c r="BL471" s="147"/>
      <c r="BM471" s="147"/>
      <c r="BN471" s="147"/>
      <c r="BO471" s="147"/>
      <c r="BP471" s="147"/>
      <c r="BQ471" s="147"/>
      <c r="BR471" s="147"/>
      <c r="BS471" s="147"/>
      <c r="BT471" s="147"/>
      <c r="BU471" s="147"/>
      <c r="BV471" s="147"/>
      <c r="BW471" s="147"/>
      <c r="BX471" s="147"/>
      <c r="BY471" s="147"/>
      <c r="BZ471" s="147"/>
      <c r="CA471" s="147"/>
      <c r="CB471" s="147"/>
      <c r="CC471" s="147"/>
      <c r="CD471" s="147"/>
      <c r="CE471" s="147"/>
      <c r="CF471" s="147"/>
      <c r="CG471" s="147"/>
      <c r="CH471" s="147"/>
      <c r="CI471" s="147"/>
      <c r="CJ471" s="147"/>
      <c r="CK471" s="147"/>
    </row>
    <row r="472" spans="1:89">
      <c r="A472" s="159" t="s">
        <v>419</v>
      </c>
      <c r="B472" s="3" t="s">
        <v>420</v>
      </c>
      <c r="C472" s="160" t="s">
        <v>91</v>
      </c>
      <c r="D472" s="160" t="s">
        <v>884</v>
      </c>
      <c r="E472" s="3" t="s">
        <v>21</v>
      </c>
      <c r="F472" s="3" t="s">
        <v>926</v>
      </c>
      <c r="G472" s="3" t="s">
        <v>917</v>
      </c>
      <c r="H472" s="156" t="str">
        <f ca="1">IFERROR(
  _xludf.MINIFS(ATTENDANCE_LOG!$F:$F,
         ATTENDANCE_LOG!$A:$A, C472,
         ATTENDANCE_LOG!$B:$B, E472),
"")</f>
        <v/>
      </c>
      <c r="I472" s="156" t="str">
        <f t="shared" ca="1" si="266"/>
        <v/>
      </c>
      <c r="J472" s="3">
        <f>IFERROR(VLOOKUP(F472, LEVEL_HELPER!$A:$B, 2, 0), "")</f>
        <v>1</v>
      </c>
      <c r="K472" s="3">
        <f>IFERROR(VLOOKUP(G472, LEVEL_HELPER!$A:$B, 2, 0), "")</f>
        <v>3</v>
      </c>
      <c r="L472" s="157" t="s">
        <v>942</v>
      </c>
      <c r="M472" s="157" t="s">
        <v>922</v>
      </c>
      <c r="N472" s="3">
        <f t="array" aca="1" ref="N472" ca="1">IFERROR(
  INDEX($J$2:$J$543,
    MATCH(A472&amp;TEXT(I472,"yyyy-mm-dd"),
          $A$2:$A$543&amp;TEXT($H$2:$H$543,"yyyy-mm-dd"),
          0)),
"")</f>
        <v>1</v>
      </c>
      <c r="O472" s="147" t="str">
        <f t="shared" ca="1" si="267"/>
        <v/>
      </c>
      <c r="P472" s="147">
        <f t="shared" ref="P472:Q472" ca="1" si="488">IF(N472="",0,IF(N472&lt;=2,1,IF(N472&lt;=4,2,IF(N472&lt;=5.5,3,4))))</f>
        <v>1</v>
      </c>
      <c r="Q472" s="147">
        <f t="shared" ca="1" si="488"/>
        <v>0</v>
      </c>
      <c r="R472" s="147" t="str">
        <f t="shared" ca="1" si="269"/>
        <v>Regressed</v>
      </c>
      <c r="S472" s="147">
        <f t="shared" si="270"/>
        <v>0</v>
      </c>
      <c r="T472" s="147"/>
      <c r="U472" s="147"/>
      <c r="V472" s="147"/>
      <c r="W472" s="147"/>
      <c r="X472" s="147"/>
      <c r="Y472" s="147"/>
      <c r="Z472" s="147"/>
      <c r="AA472" s="147"/>
      <c r="AB472" s="147"/>
      <c r="AC472" s="147"/>
      <c r="AD472" s="147"/>
      <c r="AE472" s="147"/>
      <c r="AF472" s="147"/>
      <c r="AG472" s="147"/>
      <c r="AH472" s="147"/>
      <c r="AI472" s="147"/>
      <c r="AJ472" s="147"/>
      <c r="AK472" s="147"/>
      <c r="AL472" s="147"/>
      <c r="AM472" s="151"/>
      <c r="AN472" s="147"/>
      <c r="AO472" s="147"/>
      <c r="AP472" s="147"/>
      <c r="AQ472" s="147"/>
      <c r="AR472" s="147"/>
      <c r="AS472" s="147"/>
      <c r="AT472" s="147"/>
      <c r="AU472" s="147"/>
      <c r="AV472" s="147"/>
      <c r="AW472" s="147"/>
      <c r="AX472" s="147"/>
      <c r="AY472" s="147"/>
      <c r="AZ472" s="147"/>
      <c r="BA472" s="147"/>
      <c r="BB472" s="147"/>
      <c r="BC472" s="147"/>
      <c r="BD472" s="147"/>
      <c r="BE472" s="147"/>
      <c r="BF472" s="147"/>
      <c r="BG472" s="147"/>
      <c r="BH472" s="147"/>
      <c r="BI472" s="147"/>
      <c r="BJ472" s="147"/>
      <c r="BK472" s="147"/>
      <c r="BL472" s="147"/>
      <c r="BM472" s="147"/>
      <c r="BN472" s="147"/>
      <c r="BO472" s="147"/>
      <c r="BP472" s="147"/>
      <c r="BQ472" s="147"/>
      <c r="BR472" s="147"/>
      <c r="BS472" s="147"/>
      <c r="BT472" s="147"/>
      <c r="BU472" s="147"/>
      <c r="BV472" s="147"/>
      <c r="BW472" s="147"/>
      <c r="BX472" s="147"/>
      <c r="BY472" s="147"/>
      <c r="BZ472" s="147"/>
      <c r="CA472" s="147"/>
      <c r="CB472" s="147"/>
      <c r="CC472" s="147"/>
      <c r="CD472" s="147"/>
      <c r="CE472" s="147"/>
      <c r="CF472" s="147"/>
      <c r="CG472" s="147"/>
      <c r="CH472" s="147"/>
      <c r="CI472" s="147"/>
      <c r="CJ472" s="147"/>
      <c r="CK472" s="147"/>
    </row>
    <row r="473" spans="1:89">
      <c r="A473" s="159" t="s">
        <v>459</v>
      </c>
      <c r="B473" s="3" t="s">
        <v>460</v>
      </c>
      <c r="C473" s="160" t="s">
        <v>91</v>
      </c>
      <c r="D473" s="160" t="s">
        <v>884</v>
      </c>
      <c r="E473" s="3" t="s">
        <v>21</v>
      </c>
      <c r="F473" s="3" t="s">
        <v>926</v>
      </c>
      <c r="G473" s="3" t="s">
        <v>934</v>
      </c>
      <c r="H473" s="156" t="str">
        <f ca="1">IFERROR(
  _xludf.MINIFS(ATTENDANCE_LOG!$F:$F,
         ATTENDANCE_LOG!$A:$A, C473,
         ATTENDANCE_LOG!$B:$B, E473),
"")</f>
        <v/>
      </c>
      <c r="I473" s="156" t="str">
        <f t="shared" ca="1" si="266"/>
        <v/>
      </c>
      <c r="J473" s="3">
        <f>IFERROR(VLOOKUP(F473, LEVEL_HELPER!$A:$B, 2, 0), "")</f>
        <v>1</v>
      </c>
      <c r="K473" s="3">
        <f>IFERROR(VLOOKUP(G473, LEVEL_HELPER!$A:$B, 2, 0), "")</f>
        <v>3.5</v>
      </c>
      <c r="L473" s="157" t="s">
        <v>930</v>
      </c>
      <c r="M473" s="157" t="s">
        <v>919</v>
      </c>
      <c r="N473" s="3">
        <f t="array" aca="1" ref="N473" ca="1">IFERROR(
  INDEX($J$2:$J$543,
    MATCH(A473&amp;TEXT(I473,"yyyy-mm-dd"),
          $A$2:$A$543&amp;TEXT($H$2:$H$543,"yyyy-mm-dd"),
          0)),
"")</f>
        <v>1</v>
      </c>
      <c r="O473" s="147" t="str">
        <f t="shared" ca="1" si="267"/>
        <v/>
      </c>
      <c r="P473" s="147">
        <f t="shared" ref="P473:Q473" ca="1" si="489">IF(N473="",0,IF(N473&lt;=2,1,IF(N473&lt;=4,2,IF(N473&lt;=5.5,3,4))))</f>
        <v>1</v>
      </c>
      <c r="Q473" s="147">
        <f t="shared" ca="1" si="489"/>
        <v>0</v>
      </c>
      <c r="R473" s="147" t="str">
        <f t="shared" ca="1" si="269"/>
        <v>Regressed</v>
      </c>
      <c r="S473" s="147">
        <f t="shared" si="270"/>
        <v>1</v>
      </c>
      <c r="T473" s="147"/>
      <c r="U473" s="147"/>
      <c r="V473" s="147"/>
      <c r="W473" s="147"/>
      <c r="X473" s="147"/>
      <c r="Y473" s="147"/>
      <c r="Z473" s="147"/>
      <c r="AA473" s="147"/>
      <c r="AB473" s="147"/>
      <c r="AC473" s="147"/>
      <c r="AD473" s="147"/>
      <c r="AE473" s="147"/>
      <c r="AF473" s="147"/>
      <c r="AG473" s="147"/>
      <c r="AH473" s="147"/>
      <c r="AI473" s="147"/>
      <c r="AJ473" s="147"/>
      <c r="AK473" s="147"/>
      <c r="AL473" s="147"/>
      <c r="AM473" s="151"/>
      <c r="AN473" s="147"/>
      <c r="AO473" s="147"/>
      <c r="AP473" s="147"/>
      <c r="AQ473" s="147"/>
      <c r="AR473" s="147"/>
      <c r="AS473" s="147"/>
      <c r="AT473" s="147"/>
      <c r="AU473" s="147"/>
      <c r="AV473" s="147"/>
      <c r="AW473" s="147"/>
      <c r="AX473" s="147"/>
      <c r="AY473" s="147"/>
      <c r="AZ473" s="147"/>
      <c r="BA473" s="147"/>
      <c r="BB473" s="147"/>
      <c r="BC473" s="147"/>
      <c r="BD473" s="147"/>
      <c r="BE473" s="147"/>
      <c r="BF473" s="147"/>
      <c r="BG473" s="147"/>
      <c r="BH473" s="147"/>
      <c r="BI473" s="147"/>
      <c r="BJ473" s="147"/>
      <c r="BK473" s="147"/>
      <c r="BL473" s="147"/>
      <c r="BM473" s="147"/>
      <c r="BN473" s="147"/>
      <c r="BO473" s="147"/>
      <c r="BP473" s="147"/>
      <c r="BQ473" s="147"/>
      <c r="BR473" s="147"/>
      <c r="BS473" s="147"/>
      <c r="BT473" s="147"/>
      <c r="BU473" s="147"/>
      <c r="BV473" s="147"/>
      <c r="BW473" s="147"/>
      <c r="BX473" s="147"/>
      <c r="BY473" s="147"/>
      <c r="BZ473" s="147"/>
      <c r="CA473" s="147"/>
      <c r="CB473" s="147"/>
      <c r="CC473" s="147"/>
      <c r="CD473" s="147"/>
      <c r="CE473" s="147"/>
      <c r="CF473" s="147"/>
      <c r="CG473" s="147"/>
      <c r="CH473" s="147"/>
      <c r="CI473" s="147"/>
      <c r="CJ473" s="147"/>
      <c r="CK473" s="147"/>
    </row>
    <row r="474" spans="1:89">
      <c r="A474" s="159" t="s">
        <v>536</v>
      </c>
      <c r="B474" s="3" t="s">
        <v>537</v>
      </c>
      <c r="C474" s="160" t="s">
        <v>91</v>
      </c>
      <c r="D474" s="160" t="s">
        <v>884</v>
      </c>
      <c r="E474" s="3" t="s">
        <v>21</v>
      </c>
      <c r="F474" s="3" t="s">
        <v>926</v>
      </c>
      <c r="G474" s="3" t="s">
        <v>934</v>
      </c>
      <c r="H474" s="156" t="str">
        <f ca="1">IFERROR(
  _xludf.MINIFS(ATTENDANCE_LOG!$F:$F,
         ATTENDANCE_LOG!$A:$A, C474,
         ATTENDANCE_LOG!$B:$B, E474),
"")</f>
        <v/>
      </c>
      <c r="I474" s="156" t="str">
        <f t="shared" ca="1" si="266"/>
        <v/>
      </c>
      <c r="J474" s="3">
        <f>IFERROR(VLOOKUP(F474, LEVEL_HELPER!$A:$B, 2, 0), "")</f>
        <v>1</v>
      </c>
      <c r="K474" s="3">
        <f>IFERROR(VLOOKUP(G474, LEVEL_HELPER!$A:$B, 2, 0), "")</f>
        <v>3.5</v>
      </c>
      <c r="L474" s="157" t="s">
        <v>930</v>
      </c>
      <c r="M474" s="157" t="s">
        <v>919</v>
      </c>
      <c r="N474" s="3">
        <f t="array" aca="1" ref="N474" ca="1">IFERROR(
  INDEX($J$2:$J$543,
    MATCH(A474&amp;TEXT(I474,"yyyy-mm-dd"),
          $A$2:$A$543&amp;TEXT($H$2:$H$543,"yyyy-mm-dd"),
          0)),
"")</f>
        <v>1</v>
      </c>
      <c r="O474" s="147" t="str">
        <f t="shared" ca="1" si="267"/>
        <v/>
      </c>
      <c r="P474" s="147">
        <f t="shared" ref="P474:Q474" ca="1" si="490">IF(N474="",0,IF(N474&lt;=2,1,IF(N474&lt;=4,2,IF(N474&lt;=5.5,3,4))))</f>
        <v>1</v>
      </c>
      <c r="Q474" s="147">
        <f t="shared" ca="1" si="490"/>
        <v>0</v>
      </c>
      <c r="R474" s="147" t="str">
        <f t="shared" ca="1" si="269"/>
        <v>Regressed</v>
      </c>
      <c r="S474" s="147">
        <f t="shared" si="270"/>
        <v>1</v>
      </c>
      <c r="T474" s="147"/>
      <c r="U474" s="147"/>
      <c r="V474" s="147"/>
      <c r="W474" s="147"/>
      <c r="X474" s="147"/>
      <c r="Y474" s="147"/>
      <c r="Z474" s="147"/>
      <c r="AA474" s="147"/>
      <c r="AB474" s="147"/>
      <c r="AC474" s="147"/>
      <c r="AD474" s="147"/>
      <c r="AE474" s="147"/>
      <c r="AF474" s="147"/>
      <c r="AG474" s="147"/>
      <c r="AH474" s="147"/>
      <c r="AI474" s="147"/>
      <c r="AJ474" s="147"/>
      <c r="AK474" s="147"/>
      <c r="AL474" s="147"/>
      <c r="AM474" s="151"/>
      <c r="AN474" s="147"/>
      <c r="AO474" s="147"/>
      <c r="AP474" s="147"/>
      <c r="AQ474" s="147"/>
      <c r="AR474" s="147"/>
      <c r="AS474" s="147"/>
      <c r="AT474" s="147"/>
      <c r="AU474" s="147"/>
      <c r="AV474" s="147"/>
      <c r="AW474" s="147"/>
      <c r="AX474" s="147"/>
      <c r="AY474" s="147"/>
      <c r="AZ474" s="147"/>
      <c r="BA474" s="147"/>
      <c r="BB474" s="147"/>
      <c r="BC474" s="147"/>
      <c r="BD474" s="147"/>
      <c r="BE474" s="147"/>
      <c r="BF474" s="147"/>
      <c r="BG474" s="147"/>
      <c r="BH474" s="147"/>
      <c r="BI474" s="147"/>
      <c r="BJ474" s="147"/>
      <c r="BK474" s="147"/>
      <c r="BL474" s="147"/>
      <c r="BM474" s="147"/>
      <c r="BN474" s="147"/>
      <c r="BO474" s="147"/>
      <c r="BP474" s="147"/>
      <c r="BQ474" s="147"/>
      <c r="BR474" s="147"/>
      <c r="BS474" s="147"/>
      <c r="BT474" s="147"/>
      <c r="BU474" s="147"/>
      <c r="BV474" s="147"/>
      <c r="BW474" s="147"/>
      <c r="BX474" s="147"/>
      <c r="BY474" s="147"/>
      <c r="BZ474" s="147"/>
      <c r="CA474" s="147"/>
      <c r="CB474" s="147"/>
      <c r="CC474" s="147"/>
      <c r="CD474" s="147"/>
      <c r="CE474" s="147"/>
      <c r="CF474" s="147"/>
      <c r="CG474" s="147"/>
      <c r="CH474" s="147"/>
      <c r="CI474" s="147"/>
      <c r="CJ474" s="147"/>
      <c r="CK474" s="147"/>
    </row>
    <row r="475" spans="1:89">
      <c r="A475" s="153" t="s">
        <v>609</v>
      </c>
      <c r="B475" s="154" t="s">
        <v>610</v>
      </c>
      <c r="C475" s="155" t="s">
        <v>91</v>
      </c>
      <c r="D475" s="155" t="s">
        <v>884</v>
      </c>
      <c r="E475" s="154" t="s">
        <v>22</v>
      </c>
      <c r="F475" s="154" t="s">
        <v>934</v>
      </c>
      <c r="G475" s="154"/>
      <c r="H475" s="156" t="str">
        <f ca="1">IFERROR(
  _xludf.MINIFS(ATTENDANCE_LOG!$F:$F,
         ATTENDANCE_LOG!$A:$A, C475,
         ATTENDANCE_LOG!$B:$B, E475),
"")</f>
        <v/>
      </c>
      <c r="I475" s="156" t="str">
        <f t="shared" ca="1" si="266"/>
        <v/>
      </c>
      <c r="J475" s="154">
        <f>IFERROR(VLOOKUP(F475, LEVEL_HELPER!$A:$B, 2, 0), "")</f>
        <v>3.5</v>
      </c>
      <c r="K475" s="154" t="str">
        <f>IFERROR(VLOOKUP(G475, LEVEL_HELPER!$A:$B, 2, 0), "")</f>
        <v/>
      </c>
      <c r="L475" s="176" t="s">
        <v>930</v>
      </c>
      <c r="M475" s="176" t="s">
        <v>919</v>
      </c>
      <c r="N475" s="3">
        <f t="array" aca="1" ref="N475" ca="1">IFERROR(
  INDEX($J$2:$J$543,
    MATCH(A475&amp;TEXT(I475,"yyyy-mm-dd"),
          $A$2:$A$543&amp;TEXT($H$2:$H$543,"yyyy-mm-dd"),
          0)),
"")</f>
        <v>1</v>
      </c>
      <c r="O475" s="177" t="str">
        <f t="shared" ca="1" si="267"/>
        <v/>
      </c>
      <c r="P475" s="147">
        <f t="shared" ref="P475:Q475" ca="1" si="491">IF(N475="",0,IF(N475&lt;=2,1,IF(N475&lt;=4,2,IF(N475&lt;=5.5,3,4))))</f>
        <v>1</v>
      </c>
      <c r="Q475" s="147">
        <f t="shared" ca="1" si="491"/>
        <v>0</v>
      </c>
      <c r="R475" s="147" t="str">
        <f t="shared" ca="1" si="269"/>
        <v>Regressed</v>
      </c>
      <c r="S475" s="147">
        <f t="shared" si="270"/>
        <v>0</v>
      </c>
      <c r="T475" s="147"/>
      <c r="U475" s="147"/>
      <c r="V475" s="147"/>
      <c r="W475" s="147"/>
      <c r="X475" s="147"/>
      <c r="Y475" s="147"/>
      <c r="Z475" s="147"/>
      <c r="AA475" s="147"/>
      <c r="AB475" s="147"/>
      <c r="AC475" s="147"/>
      <c r="AD475" s="147"/>
      <c r="AE475" s="147"/>
      <c r="AF475" s="147"/>
      <c r="AG475" s="147"/>
      <c r="AH475" s="147"/>
      <c r="AI475" s="147"/>
      <c r="AJ475" s="147"/>
      <c r="AK475" s="147"/>
      <c r="AL475" s="147"/>
      <c r="AM475" s="151"/>
      <c r="AN475" s="147"/>
      <c r="AO475" s="147"/>
      <c r="AP475" s="147"/>
      <c r="AQ475" s="147"/>
      <c r="AR475" s="147"/>
      <c r="AS475" s="147"/>
      <c r="AT475" s="147"/>
      <c r="AU475" s="147"/>
      <c r="AV475" s="147"/>
      <c r="AW475" s="147"/>
      <c r="AX475" s="147"/>
      <c r="AY475" s="147"/>
      <c r="AZ475" s="147"/>
      <c r="BA475" s="147"/>
      <c r="BB475" s="147"/>
      <c r="BC475" s="147"/>
      <c r="BD475" s="147"/>
      <c r="BE475" s="147"/>
      <c r="BF475" s="147"/>
      <c r="BG475" s="147"/>
      <c r="BH475" s="147"/>
      <c r="BI475" s="147"/>
      <c r="BJ475" s="147"/>
      <c r="BK475" s="147"/>
      <c r="BL475" s="147"/>
      <c r="BM475" s="147"/>
      <c r="BN475" s="147"/>
      <c r="BO475" s="147"/>
      <c r="BP475" s="147"/>
      <c r="BQ475" s="147"/>
      <c r="BR475" s="147"/>
      <c r="BS475" s="147"/>
      <c r="BT475" s="147"/>
      <c r="BU475" s="147"/>
      <c r="BV475" s="147"/>
      <c r="BW475" s="147"/>
      <c r="BX475" s="147"/>
      <c r="BY475" s="147"/>
      <c r="BZ475" s="147"/>
      <c r="CA475" s="147"/>
      <c r="CB475" s="147"/>
      <c r="CC475" s="147"/>
      <c r="CD475" s="147"/>
      <c r="CE475" s="147"/>
      <c r="CF475" s="147"/>
      <c r="CG475" s="147"/>
      <c r="CH475" s="147"/>
      <c r="CI475" s="147"/>
      <c r="CJ475" s="147"/>
      <c r="CK475" s="147"/>
    </row>
    <row r="476" spans="1:89">
      <c r="A476" s="159" t="s">
        <v>206</v>
      </c>
      <c r="B476" s="3" t="s">
        <v>207</v>
      </c>
      <c r="C476" s="160" t="s">
        <v>91</v>
      </c>
      <c r="D476" s="160" t="s">
        <v>884</v>
      </c>
      <c r="E476" s="3" t="s">
        <v>22</v>
      </c>
      <c r="F476" s="3" t="s">
        <v>917</v>
      </c>
      <c r="G476" s="3"/>
      <c r="H476" s="156" t="str">
        <f ca="1">IFERROR(
  _xludf.MINIFS(ATTENDANCE_LOG!$F:$F,
         ATTENDANCE_LOG!$A:$A, C476,
         ATTENDANCE_LOG!$B:$B, E476),
"")</f>
        <v/>
      </c>
      <c r="I476" s="156" t="str">
        <f t="shared" ca="1" si="266"/>
        <v/>
      </c>
      <c r="J476" s="3">
        <f>IFERROR(VLOOKUP(F476, LEVEL_HELPER!$A:$B, 2, 0), "")</f>
        <v>3</v>
      </c>
      <c r="K476" s="3" t="str">
        <f>IFERROR(VLOOKUP(G476, LEVEL_HELPER!$A:$B, 2, 0), "")</f>
        <v/>
      </c>
      <c r="L476" s="157" t="s">
        <v>930</v>
      </c>
      <c r="M476" s="157" t="s">
        <v>919</v>
      </c>
      <c r="N476" s="3">
        <f t="array" aca="1" ref="N476" ca="1">IFERROR(
  INDEX($J$2:$J$543,
    MATCH(A476&amp;TEXT(I476,"yyyy-mm-dd"),
          $A$2:$A$543&amp;TEXT($H$2:$H$543,"yyyy-mm-dd"),
          0)),
"")</f>
        <v>1</v>
      </c>
      <c r="O476" s="147" t="str">
        <f t="shared" ca="1" si="267"/>
        <v/>
      </c>
      <c r="P476" s="147">
        <f t="shared" ref="P476:Q476" ca="1" si="492">IF(N476="",0,IF(N476&lt;=2,1,IF(N476&lt;=4,2,IF(N476&lt;=5.5,3,4))))</f>
        <v>1</v>
      </c>
      <c r="Q476" s="147">
        <f t="shared" ca="1" si="492"/>
        <v>0</v>
      </c>
      <c r="R476" s="147" t="str">
        <f t="shared" ca="1" si="269"/>
        <v>Regressed</v>
      </c>
      <c r="S476" s="147">
        <f t="shared" si="270"/>
        <v>0</v>
      </c>
      <c r="T476" s="147"/>
      <c r="U476" s="147"/>
      <c r="V476" s="147"/>
      <c r="W476" s="147"/>
      <c r="X476" s="147"/>
      <c r="Y476" s="147"/>
      <c r="Z476" s="147"/>
      <c r="AA476" s="147"/>
      <c r="AB476" s="147"/>
      <c r="AC476" s="147"/>
      <c r="AD476" s="147"/>
      <c r="AE476" s="147"/>
      <c r="AF476" s="147"/>
      <c r="AG476" s="147"/>
      <c r="AH476" s="147"/>
      <c r="AI476" s="147"/>
      <c r="AJ476" s="147"/>
      <c r="AK476" s="147"/>
      <c r="AL476" s="147"/>
      <c r="AM476" s="151"/>
      <c r="AN476" s="147"/>
      <c r="AO476" s="147"/>
      <c r="AP476" s="147"/>
      <c r="AQ476" s="147"/>
      <c r="AR476" s="147"/>
      <c r="AS476" s="147"/>
      <c r="AT476" s="147"/>
      <c r="AU476" s="147"/>
      <c r="AV476" s="147"/>
      <c r="AW476" s="147"/>
      <c r="AX476" s="147"/>
      <c r="AY476" s="147"/>
      <c r="AZ476" s="147"/>
      <c r="BA476" s="147"/>
      <c r="BB476" s="147"/>
      <c r="BC476" s="147"/>
      <c r="BD476" s="147"/>
      <c r="BE476" s="147"/>
      <c r="BF476" s="147"/>
      <c r="BG476" s="147"/>
      <c r="BH476" s="147"/>
      <c r="BI476" s="147"/>
      <c r="BJ476" s="147"/>
      <c r="BK476" s="147"/>
      <c r="BL476" s="147"/>
      <c r="BM476" s="147"/>
      <c r="BN476" s="147"/>
      <c r="BO476" s="147"/>
      <c r="BP476" s="147"/>
      <c r="BQ476" s="147"/>
      <c r="BR476" s="147"/>
      <c r="BS476" s="147"/>
      <c r="BT476" s="147"/>
      <c r="BU476" s="147"/>
      <c r="BV476" s="147"/>
      <c r="BW476" s="147"/>
      <c r="BX476" s="147"/>
      <c r="BY476" s="147"/>
      <c r="BZ476" s="147"/>
      <c r="CA476" s="147"/>
      <c r="CB476" s="147"/>
      <c r="CC476" s="147"/>
      <c r="CD476" s="147"/>
      <c r="CE476" s="147"/>
      <c r="CF476" s="147"/>
      <c r="CG476" s="147"/>
      <c r="CH476" s="147"/>
      <c r="CI476" s="147"/>
      <c r="CJ476" s="147"/>
      <c r="CK476" s="147"/>
    </row>
    <row r="477" spans="1:89">
      <c r="A477" s="159" t="s">
        <v>372</v>
      </c>
      <c r="B477" s="3" t="s">
        <v>373</v>
      </c>
      <c r="C477" s="160" t="s">
        <v>91</v>
      </c>
      <c r="D477" s="160" t="s">
        <v>884</v>
      </c>
      <c r="E477" s="3" t="s">
        <v>22</v>
      </c>
      <c r="F477" s="3" t="s">
        <v>917</v>
      </c>
      <c r="G477" s="3"/>
      <c r="H477" s="156" t="str">
        <f ca="1">IFERROR(
  _xludf.MINIFS(ATTENDANCE_LOG!$F:$F,
         ATTENDANCE_LOG!$A:$A, C477,
         ATTENDANCE_LOG!$B:$B, E477),
"")</f>
        <v/>
      </c>
      <c r="I477" s="156" t="str">
        <f t="shared" ca="1" si="266"/>
        <v/>
      </c>
      <c r="J477" s="3">
        <f>IFERROR(VLOOKUP(F477, LEVEL_HELPER!$A:$B, 2, 0), "")</f>
        <v>3</v>
      </c>
      <c r="K477" s="3" t="str">
        <f>IFERROR(VLOOKUP(G477, LEVEL_HELPER!$A:$B, 2, 0), "")</f>
        <v/>
      </c>
      <c r="L477" s="157" t="s">
        <v>930</v>
      </c>
      <c r="M477" s="157" t="s">
        <v>919</v>
      </c>
      <c r="N477" s="3">
        <f t="array" aca="1" ref="N477" ca="1">IFERROR(
  INDEX($J$2:$J$543,
    MATCH(A477&amp;TEXT(I477,"yyyy-mm-dd"),
          $A$2:$A$543&amp;TEXT($H$2:$H$543,"yyyy-mm-dd"),
          0)),
"")</f>
        <v>1</v>
      </c>
      <c r="O477" s="147" t="str">
        <f t="shared" ca="1" si="267"/>
        <v/>
      </c>
      <c r="P477" s="147">
        <f t="shared" ref="P477:Q477" ca="1" si="493">IF(N477="",0,IF(N477&lt;=2,1,IF(N477&lt;=4,2,IF(N477&lt;=5.5,3,4))))</f>
        <v>1</v>
      </c>
      <c r="Q477" s="147">
        <f t="shared" ca="1" si="493"/>
        <v>0</v>
      </c>
      <c r="R477" s="147" t="str">
        <f t="shared" ca="1" si="269"/>
        <v>Regressed</v>
      </c>
      <c r="S477" s="147">
        <f t="shared" si="270"/>
        <v>0</v>
      </c>
      <c r="T477" s="147"/>
      <c r="U477" s="147"/>
      <c r="V477" s="147"/>
      <c r="W477" s="147"/>
      <c r="X477" s="147"/>
      <c r="Y477" s="147"/>
      <c r="Z477" s="147"/>
      <c r="AA477" s="147"/>
      <c r="AB477" s="147"/>
      <c r="AC477" s="147"/>
      <c r="AD477" s="147"/>
      <c r="AE477" s="147"/>
      <c r="AF477" s="147"/>
      <c r="AG477" s="147"/>
      <c r="AH477" s="147"/>
      <c r="AI477" s="147"/>
      <c r="AJ477" s="147"/>
      <c r="AK477" s="147"/>
      <c r="AL477" s="147"/>
      <c r="AM477" s="151"/>
      <c r="AN477" s="147"/>
      <c r="AO477" s="147"/>
      <c r="AP477" s="147"/>
      <c r="AQ477" s="147"/>
      <c r="AR477" s="147"/>
      <c r="AS477" s="147"/>
      <c r="AT477" s="147"/>
      <c r="AU477" s="147"/>
      <c r="AV477" s="147"/>
      <c r="AW477" s="147"/>
      <c r="AX477" s="147"/>
      <c r="AY477" s="147"/>
      <c r="AZ477" s="147"/>
      <c r="BA477" s="147"/>
      <c r="BB477" s="147"/>
      <c r="BC477" s="147"/>
      <c r="BD477" s="147"/>
      <c r="BE477" s="147"/>
      <c r="BF477" s="147"/>
      <c r="BG477" s="147"/>
      <c r="BH477" s="147"/>
      <c r="BI477" s="147"/>
      <c r="BJ477" s="147"/>
      <c r="BK477" s="147"/>
      <c r="BL477" s="147"/>
      <c r="BM477" s="147"/>
      <c r="BN477" s="147"/>
      <c r="BO477" s="147"/>
      <c r="BP477" s="147"/>
      <c r="BQ477" s="147"/>
      <c r="BR477" s="147"/>
      <c r="BS477" s="147"/>
      <c r="BT477" s="147"/>
      <c r="BU477" s="147"/>
      <c r="BV477" s="147"/>
      <c r="BW477" s="147"/>
      <c r="BX477" s="147"/>
      <c r="BY477" s="147"/>
      <c r="BZ477" s="147"/>
      <c r="CA477" s="147"/>
      <c r="CB477" s="147"/>
      <c r="CC477" s="147"/>
      <c r="CD477" s="147"/>
      <c r="CE477" s="147"/>
      <c r="CF477" s="147"/>
      <c r="CG477" s="147"/>
      <c r="CH477" s="147"/>
      <c r="CI477" s="147"/>
      <c r="CJ477" s="147"/>
      <c r="CK477" s="147"/>
    </row>
    <row r="478" spans="1:89">
      <c r="A478" s="159" t="s">
        <v>419</v>
      </c>
      <c r="B478" s="3" t="s">
        <v>420</v>
      </c>
      <c r="C478" s="160" t="s">
        <v>91</v>
      </c>
      <c r="D478" s="160" t="s">
        <v>884</v>
      </c>
      <c r="E478" s="3" t="s">
        <v>22</v>
      </c>
      <c r="F478" s="3" t="s">
        <v>917</v>
      </c>
      <c r="G478" s="3"/>
      <c r="H478" s="156" t="str">
        <f ca="1">IFERROR(
  _xludf.MINIFS(ATTENDANCE_LOG!$F:$F,
         ATTENDANCE_LOG!$A:$A, C478,
         ATTENDANCE_LOG!$B:$B, E478),
"")</f>
        <v/>
      </c>
      <c r="I478" s="156" t="str">
        <f t="shared" ca="1" si="266"/>
        <v/>
      </c>
      <c r="J478" s="3">
        <f>IFERROR(VLOOKUP(F478, LEVEL_HELPER!$A:$B, 2, 0), "")</f>
        <v>3</v>
      </c>
      <c r="K478" s="3" t="str">
        <f>IFERROR(VLOOKUP(G478, LEVEL_HELPER!$A:$B, 2, 0), "")</f>
        <v/>
      </c>
      <c r="L478" s="157" t="s">
        <v>942</v>
      </c>
      <c r="M478" s="157" t="s">
        <v>922</v>
      </c>
      <c r="N478" s="3">
        <f t="array" aca="1" ref="N478" ca="1">IFERROR(
  INDEX($J$2:$J$543,
    MATCH(A478&amp;TEXT(I478,"yyyy-mm-dd"),
          $A$2:$A$543&amp;TEXT($H$2:$H$543,"yyyy-mm-dd"),
          0)),
"")</f>
        <v>1</v>
      </c>
      <c r="O478" s="147" t="str">
        <f t="shared" ca="1" si="267"/>
        <v/>
      </c>
      <c r="P478" s="147">
        <f t="shared" ref="P478:Q478" ca="1" si="494">IF(N478="",0,IF(N478&lt;=2,1,IF(N478&lt;=4,2,IF(N478&lt;=5.5,3,4))))</f>
        <v>1</v>
      </c>
      <c r="Q478" s="147">
        <f t="shared" ca="1" si="494"/>
        <v>0</v>
      </c>
      <c r="R478" s="147" t="str">
        <f t="shared" ca="1" si="269"/>
        <v>Regressed</v>
      </c>
      <c r="S478" s="147">
        <f t="shared" si="270"/>
        <v>0</v>
      </c>
      <c r="T478" s="147"/>
      <c r="U478" s="147"/>
      <c r="V478" s="147"/>
      <c r="W478" s="147"/>
      <c r="X478" s="147"/>
      <c r="Y478" s="147"/>
      <c r="Z478" s="147"/>
      <c r="AA478" s="147"/>
      <c r="AB478" s="147"/>
      <c r="AC478" s="147"/>
      <c r="AD478" s="147"/>
      <c r="AE478" s="147"/>
      <c r="AF478" s="147"/>
      <c r="AG478" s="147"/>
      <c r="AH478" s="147"/>
      <c r="AI478" s="147"/>
      <c r="AJ478" s="147"/>
      <c r="AK478" s="147"/>
      <c r="AL478" s="147"/>
      <c r="AM478" s="151"/>
      <c r="AN478" s="147"/>
      <c r="AO478" s="147"/>
      <c r="AP478" s="147"/>
      <c r="AQ478" s="147"/>
      <c r="AR478" s="147"/>
      <c r="AS478" s="147"/>
      <c r="AT478" s="147"/>
      <c r="AU478" s="147"/>
      <c r="AV478" s="147"/>
      <c r="AW478" s="147"/>
      <c r="AX478" s="147"/>
      <c r="AY478" s="147"/>
      <c r="AZ478" s="147"/>
      <c r="BA478" s="147"/>
      <c r="BB478" s="147"/>
      <c r="BC478" s="147"/>
      <c r="BD478" s="147"/>
      <c r="BE478" s="147"/>
      <c r="BF478" s="147"/>
      <c r="BG478" s="147"/>
      <c r="BH478" s="147"/>
      <c r="BI478" s="147"/>
      <c r="BJ478" s="147"/>
      <c r="BK478" s="147"/>
      <c r="BL478" s="147"/>
      <c r="BM478" s="147"/>
      <c r="BN478" s="147"/>
      <c r="BO478" s="147"/>
      <c r="BP478" s="147"/>
      <c r="BQ478" s="147"/>
      <c r="BR478" s="147"/>
      <c r="BS478" s="147"/>
      <c r="BT478" s="147"/>
      <c r="BU478" s="147"/>
      <c r="BV478" s="147"/>
      <c r="BW478" s="147"/>
      <c r="BX478" s="147"/>
      <c r="BY478" s="147"/>
      <c r="BZ478" s="147"/>
      <c r="CA478" s="147"/>
      <c r="CB478" s="147"/>
      <c r="CC478" s="147"/>
      <c r="CD478" s="147"/>
      <c r="CE478" s="147"/>
      <c r="CF478" s="147"/>
      <c r="CG478" s="147"/>
      <c r="CH478" s="147"/>
      <c r="CI478" s="147"/>
      <c r="CJ478" s="147"/>
      <c r="CK478" s="147"/>
    </row>
    <row r="479" spans="1:89">
      <c r="A479" s="159" t="s">
        <v>459</v>
      </c>
      <c r="B479" s="3" t="s">
        <v>460</v>
      </c>
      <c r="C479" s="160" t="s">
        <v>91</v>
      </c>
      <c r="D479" s="160" t="s">
        <v>884</v>
      </c>
      <c r="E479" s="3" t="s">
        <v>22</v>
      </c>
      <c r="F479" s="3" t="s">
        <v>934</v>
      </c>
      <c r="G479" s="3"/>
      <c r="H479" s="156" t="str">
        <f ca="1">IFERROR(
  _xludf.MINIFS(ATTENDANCE_LOG!$F:$F,
         ATTENDANCE_LOG!$A:$A, C479,
         ATTENDANCE_LOG!$B:$B, E479),
"")</f>
        <v/>
      </c>
      <c r="I479" s="156" t="str">
        <f t="shared" ca="1" si="266"/>
        <v/>
      </c>
      <c r="J479" s="3">
        <f>IFERROR(VLOOKUP(F479, LEVEL_HELPER!$A:$B, 2, 0), "")</f>
        <v>3.5</v>
      </c>
      <c r="K479" s="3" t="str">
        <f>IFERROR(VLOOKUP(G479, LEVEL_HELPER!$A:$B, 2, 0), "")</f>
        <v/>
      </c>
      <c r="L479" s="157" t="s">
        <v>930</v>
      </c>
      <c r="M479" s="157" t="s">
        <v>919</v>
      </c>
      <c r="N479" s="3">
        <f t="array" aca="1" ref="N479" ca="1">IFERROR(
  INDEX($J$2:$J$543,
    MATCH(A479&amp;TEXT(I479,"yyyy-mm-dd"),
          $A$2:$A$543&amp;TEXT($H$2:$H$543,"yyyy-mm-dd"),
          0)),
"")</f>
        <v>1</v>
      </c>
      <c r="O479" s="147" t="str">
        <f t="shared" ca="1" si="267"/>
        <v/>
      </c>
      <c r="P479" s="147">
        <f t="shared" ref="P479:Q479" ca="1" si="495">IF(N479="",0,IF(N479&lt;=2,1,IF(N479&lt;=4,2,IF(N479&lt;=5.5,3,4))))</f>
        <v>1</v>
      </c>
      <c r="Q479" s="147">
        <f t="shared" ca="1" si="495"/>
        <v>0</v>
      </c>
      <c r="R479" s="147" t="str">
        <f t="shared" ca="1" si="269"/>
        <v>Regressed</v>
      </c>
      <c r="S479" s="147">
        <f t="shared" si="270"/>
        <v>0</v>
      </c>
      <c r="T479" s="147"/>
      <c r="U479" s="147"/>
      <c r="V479" s="147"/>
      <c r="W479" s="147"/>
      <c r="X479" s="147"/>
      <c r="Y479" s="147"/>
      <c r="Z479" s="147"/>
      <c r="AA479" s="147"/>
      <c r="AB479" s="147"/>
      <c r="AC479" s="147"/>
      <c r="AD479" s="147"/>
      <c r="AE479" s="147"/>
      <c r="AF479" s="147"/>
      <c r="AG479" s="147"/>
      <c r="AH479" s="147"/>
      <c r="AI479" s="147"/>
      <c r="AJ479" s="147"/>
      <c r="AK479" s="147"/>
      <c r="AL479" s="147"/>
      <c r="AM479" s="151"/>
      <c r="AN479" s="147"/>
      <c r="AO479" s="147"/>
      <c r="AP479" s="147"/>
      <c r="AQ479" s="147"/>
      <c r="AR479" s="147"/>
      <c r="AS479" s="147"/>
      <c r="AT479" s="147"/>
      <c r="AU479" s="147"/>
      <c r="AV479" s="147"/>
      <c r="AW479" s="147"/>
      <c r="AX479" s="147"/>
      <c r="AY479" s="147"/>
      <c r="AZ479" s="147"/>
      <c r="BA479" s="147"/>
      <c r="BB479" s="147"/>
      <c r="BC479" s="147"/>
      <c r="BD479" s="147"/>
      <c r="BE479" s="147"/>
      <c r="BF479" s="147"/>
      <c r="BG479" s="147"/>
      <c r="BH479" s="147"/>
      <c r="BI479" s="147"/>
      <c r="BJ479" s="147"/>
      <c r="BK479" s="147"/>
      <c r="BL479" s="147"/>
      <c r="BM479" s="147"/>
      <c r="BN479" s="147"/>
      <c r="BO479" s="147"/>
      <c r="BP479" s="147"/>
      <c r="BQ479" s="147"/>
      <c r="BR479" s="147"/>
      <c r="BS479" s="147"/>
      <c r="BT479" s="147"/>
      <c r="BU479" s="147"/>
      <c r="BV479" s="147"/>
      <c r="BW479" s="147"/>
      <c r="BX479" s="147"/>
      <c r="BY479" s="147"/>
      <c r="BZ479" s="147"/>
      <c r="CA479" s="147"/>
      <c r="CB479" s="147"/>
      <c r="CC479" s="147"/>
      <c r="CD479" s="147"/>
      <c r="CE479" s="147"/>
      <c r="CF479" s="147"/>
      <c r="CG479" s="147"/>
      <c r="CH479" s="147"/>
      <c r="CI479" s="147"/>
      <c r="CJ479" s="147"/>
      <c r="CK479" s="147"/>
    </row>
    <row r="480" spans="1:89">
      <c r="A480" s="159" t="s">
        <v>536</v>
      </c>
      <c r="B480" s="3" t="s">
        <v>537</v>
      </c>
      <c r="C480" s="160" t="s">
        <v>91</v>
      </c>
      <c r="D480" s="160" t="s">
        <v>884</v>
      </c>
      <c r="E480" s="3" t="s">
        <v>22</v>
      </c>
      <c r="F480" s="3" t="s">
        <v>934</v>
      </c>
      <c r="G480" s="3"/>
      <c r="H480" s="156" t="str">
        <f ca="1">IFERROR(
  _xludf.MINIFS(ATTENDANCE_LOG!$F:$F,
         ATTENDANCE_LOG!$A:$A, C480,
         ATTENDANCE_LOG!$B:$B, E480),
"")</f>
        <v/>
      </c>
      <c r="I480" s="156" t="str">
        <f t="shared" ca="1" si="266"/>
        <v/>
      </c>
      <c r="J480" s="3">
        <f>IFERROR(VLOOKUP(F480, LEVEL_HELPER!$A:$B, 2, 0), "")</f>
        <v>3.5</v>
      </c>
      <c r="K480" s="3" t="str">
        <f>IFERROR(VLOOKUP(G480, LEVEL_HELPER!$A:$B, 2, 0), "")</f>
        <v/>
      </c>
      <c r="L480" s="157" t="s">
        <v>930</v>
      </c>
      <c r="M480" s="157" t="s">
        <v>919</v>
      </c>
      <c r="N480" s="3">
        <f t="array" aca="1" ref="N480" ca="1">IFERROR(
  INDEX($J$2:$J$543,
    MATCH(A480&amp;TEXT(I480,"yyyy-mm-dd"),
          $A$2:$A$543&amp;TEXT($H$2:$H$543,"yyyy-mm-dd"),
          0)),
"")</f>
        <v>1</v>
      </c>
      <c r="O480" s="147" t="str">
        <f t="shared" ca="1" si="267"/>
        <v/>
      </c>
      <c r="P480" s="147">
        <f t="shared" ref="P480:Q480" ca="1" si="496">IF(N480="",0,IF(N480&lt;=2,1,IF(N480&lt;=4,2,IF(N480&lt;=5.5,3,4))))</f>
        <v>1</v>
      </c>
      <c r="Q480" s="147">
        <f t="shared" ca="1" si="496"/>
        <v>0</v>
      </c>
      <c r="R480" s="147" t="str">
        <f t="shared" ca="1" si="269"/>
        <v>Regressed</v>
      </c>
      <c r="S480" s="147">
        <f t="shared" si="270"/>
        <v>0</v>
      </c>
      <c r="T480" s="147"/>
      <c r="U480" s="147"/>
      <c r="V480" s="147"/>
      <c r="W480" s="147"/>
      <c r="X480" s="147"/>
      <c r="Y480" s="147"/>
      <c r="Z480" s="147"/>
      <c r="AA480" s="147"/>
      <c r="AB480" s="147"/>
      <c r="AC480" s="147"/>
      <c r="AD480" s="147"/>
      <c r="AE480" s="147"/>
      <c r="AF480" s="147"/>
      <c r="AG480" s="147"/>
      <c r="AH480" s="147"/>
      <c r="AI480" s="147"/>
      <c r="AJ480" s="147"/>
      <c r="AK480" s="147"/>
      <c r="AL480" s="147"/>
      <c r="AM480" s="151"/>
      <c r="AN480" s="147"/>
      <c r="AO480" s="147"/>
      <c r="AP480" s="147"/>
      <c r="AQ480" s="147"/>
      <c r="AR480" s="147"/>
      <c r="AS480" s="147"/>
      <c r="AT480" s="147"/>
      <c r="AU480" s="147"/>
      <c r="AV480" s="147"/>
      <c r="AW480" s="147"/>
      <c r="AX480" s="147"/>
      <c r="AY480" s="147"/>
      <c r="AZ480" s="147"/>
      <c r="BA480" s="147"/>
      <c r="BB480" s="147"/>
      <c r="BC480" s="147"/>
      <c r="BD480" s="147"/>
      <c r="BE480" s="147"/>
      <c r="BF480" s="147"/>
      <c r="BG480" s="147"/>
      <c r="BH480" s="147"/>
      <c r="BI480" s="147"/>
      <c r="BJ480" s="147"/>
      <c r="BK480" s="147"/>
      <c r="BL480" s="147"/>
      <c r="BM480" s="147"/>
      <c r="BN480" s="147"/>
      <c r="BO480" s="147"/>
      <c r="BP480" s="147"/>
      <c r="BQ480" s="147"/>
      <c r="BR480" s="147"/>
      <c r="BS480" s="147"/>
      <c r="BT480" s="147"/>
      <c r="BU480" s="147"/>
      <c r="BV480" s="147"/>
      <c r="BW480" s="147"/>
      <c r="BX480" s="147"/>
      <c r="BY480" s="147"/>
      <c r="BZ480" s="147"/>
      <c r="CA480" s="147"/>
      <c r="CB480" s="147"/>
      <c r="CC480" s="147"/>
      <c r="CD480" s="147"/>
      <c r="CE480" s="147"/>
      <c r="CF480" s="147"/>
      <c r="CG480" s="147"/>
      <c r="CH480" s="147"/>
      <c r="CI480" s="147"/>
      <c r="CJ480" s="147"/>
      <c r="CK480" s="147"/>
    </row>
    <row r="481" spans="1:89">
      <c r="A481" s="153" t="s">
        <v>405</v>
      </c>
      <c r="B481" s="154" t="s">
        <v>406</v>
      </c>
      <c r="C481" s="155" t="s">
        <v>92</v>
      </c>
      <c r="D481" s="155" t="s">
        <v>885</v>
      </c>
      <c r="E481" s="154" t="s">
        <v>25</v>
      </c>
      <c r="F481" s="154" t="s">
        <v>25</v>
      </c>
      <c r="G481" s="154" t="s">
        <v>25</v>
      </c>
      <c r="H481" s="156" t="str">
        <f ca="1">IFERROR(
  _xludf.MINIFS(ATTENDANCE_LOG!$F:$F,
         ATTENDANCE_LOG!$A:$A, C481,
         ATTENDANCE_LOG!$B:$B, E481),
"")</f>
        <v/>
      </c>
      <c r="I481" s="156" t="str">
        <f t="shared" ca="1" si="266"/>
        <v/>
      </c>
      <c r="J481" s="154">
        <f>IFERROR(VLOOKUP(F481, LEVEL_HELPER!$A:$B, 2, 0), "")</f>
        <v>0.5</v>
      </c>
      <c r="K481" s="154">
        <f>IFERROR(VLOOKUP(G481, LEVEL_HELPER!$A:$B, 2, 0), "")</f>
        <v>0.5</v>
      </c>
      <c r="L481" s="176" t="s">
        <v>930</v>
      </c>
      <c r="M481" s="176" t="s">
        <v>925</v>
      </c>
      <c r="N481" s="3">
        <f t="array" aca="1" ref="N481" ca="1">IFERROR(
  INDEX($J$2:$J$543,
    MATCH(A481&amp;TEXT(I481,"yyyy-mm-dd"),
          $A$2:$A$543&amp;TEXT($H$2:$H$543,"yyyy-mm-dd"),
          0)),
"")</f>
        <v>0.5</v>
      </c>
      <c r="O481" s="177" t="str">
        <f t="shared" ca="1" si="267"/>
        <v/>
      </c>
      <c r="P481" s="147">
        <f t="shared" ref="P481:Q481" ca="1" si="497">IF(N481="",0,IF(N481&lt;=2,1,IF(N481&lt;=4,2,IF(N481&lt;=5.5,3,4))))</f>
        <v>1</v>
      </c>
      <c r="Q481" s="147">
        <f t="shared" ca="1" si="497"/>
        <v>0</v>
      </c>
      <c r="R481" s="147" t="str">
        <f t="shared" ca="1" si="269"/>
        <v>Regressed</v>
      </c>
      <c r="S481" s="147">
        <f t="shared" si="270"/>
        <v>1</v>
      </c>
      <c r="T481" s="147"/>
      <c r="U481" s="147"/>
      <c r="V481" s="147"/>
      <c r="W481" s="147"/>
      <c r="X481" s="147"/>
      <c r="Y481" s="147"/>
      <c r="Z481" s="147"/>
      <c r="AA481" s="147"/>
      <c r="AB481" s="147"/>
      <c r="AC481" s="147"/>
      <c r="AD481" s="147"/>
      <c r="AE481" s="147"/>
      <c r="AF481" s="147"/>
      <c r="AG481" s="147"/>
      <c r="AH481" s="147"/>
      <c r="AI481" s="147"/>
      <c r="AJ481" s="147"/>
      <c r="AK481" s="147"/>
      <c r="AL481" s="147"/>
      <c r="AM481" s="151"/>
      <c r="AN481" s="147"/>
      <c r="AO481" s="147"/>
      <c r="AP481" s="147"/>
      <c r="AQ481" s="147"/>
      <c r="AR481" s="147"/>
      <c r="AS481" s="147"/>
      <c r="AT481" s="147"/>
      <c r="AU481" s="147"/>
      <c r="AV481" s="147"/>
      <c r="AW481" s="147"/>
      <c r="AX481" s="147"/>
      <c r="AY481" s="147"/>
      <c r="AZ481" s="147"/>
      <c r="BA481" s="147"/>
      <c r="BB481" s="147"/>
      <c r="BC481" s="147"/>
      <c r="BD481" s="147"/>
      <c r="BE481" s="147"/>
      <c r="BF481" s="147"/>
      <c r="BG481" s="147"/>
      <c r="BH481" s="147"/>
      <c r="BI481" s="147"/>
      <c r="BJ481" s="147"/>
      <c r="BK481" s="147"/>
      <c r="BL481" s="147"/>
      <c r="BM481" s="147"/>
      <c r="BN481" s="147"/>
      <c r="BO481" s="147"/>
      <c r="BP481" s="147"/>
      <c r="BQ481" s="147"/>
      <c r="BR481" s="147"/>
      <c r="BS481" s="147"/>
      <c r="BT481" s="147"/>
      <c r="BU481" s="147"/>
      <c r="BV481" s="147"/>
      <c r="BW481" s="147"/>
      <c r="BX481" s="147"/>
      <c r="BY481" s="147"/>
      <c r="BZ481" s="147"/>
      <c r="CA481" s="147"/>
      <c r="CB481" s="147"/>
      <c r="CC481" s="147"/>
      <c r="CD481" s="147"/>
      <c r="CE481" s="147"/>
      <c r="CF481" s="147"/>
      <c r="CG481" s="147"/>
      <c r="CH481" s="147"/>
      <c r="CI481" s="147"/>
      <c r="CJ481" s="147"/>
      <c r="CK481" s="147"/>
    </row>
    <row r="482" spans="1:89">
      <c r="A482" s="159" t="s">
        <v>153</v>
      </c>
      <c r="B482" s="3" t="s">
        <v>154</v>
      </c>
      <c r="C482" s="160" t="s">
        <v>92</v>
      </c>
      <c r="D482" s="160" t="s">
        <v>885</v>
      </c>
      <c r="E482" s="3" t="s">
        <v>25</v>
      </c>
      <c r="F482" s="3" t="s">
        <v>25</v>
      </c>
      <c r="G482" s="3" t="s">
        <v>25</v>
      </c>
      <c r="H482" s="156" t="str">
        <f ca="1">IFERROR(
  _xludf.MINIFS(ATTENDANCE_LOG!$F:$F,
         ATTENDANCE_LOG!$A:$A, C482,
         ATTENDANCE_LOG!$B:$B, E482),
"")</f>
        <v/>
      </c>
      <c r="I482" s="156" t="str">
        <f t="shared" ca="1" si="266"/>
        <v/>
      </c>
      <c r="J482" s="3">
        <f>IFERROR(VLOOKUP(F482, LEVEL_HELPER!$A:$B, 2, 0), "")</f>
        <v>0.5</v>
      </c>
      <c r="K482" s="3">
        <f>IFERROR(VLOOKUP(G482, LEVEL_HELPER!$A:$B, 2, 0), "")</f>
        <v>0.5</v>
      </c>
      <c r="L482" s="157" t="s">
        <v>942</v>
      </c>
      <c r="M482" s="157" t="s">
        <v>923</v>
      </c>
      <c r="N482" s="3">
        <f t="array" aca="1" ref="N482" ca="1">IFERROR(
  INDEX($J$2:$J$543,
    MATCH(A482&amp;TEXT(I482,"yyyy-mm-dd"),
          $A$2:$A$543&amp;TEXT($H$2:$H$543,"yyyy-mm-dd"),
          0)),
"")</f>
        <v>0.5</v>
      </c>
      <c r="O482" s="147" t="str">
        <f t="shared" ca="1" si="267"/>
        <v/>
      </c>
      <c r="P482" s="147">
        <f t="shared" ref="P482:Q482" ca="1" si="498">IF(N482="",0,IF(N482&lt;=2,1,IF(N482&lt;=4,2,IF(N482&lt;=5.5,3,4))))</f>
        <v>1</v>
      </c>
      <c r="Q482" s="147">
        <f t="shared" ca="1" si="498"/>
        <v>0</v>
      </c>
      <c r="R482" s="147" t="str">
        <f t="shared" ca="1" si="269"/>
        <v>Regressed</v>
      </c>
      <c r="S482" s="147">
        <f t="shared" si="270"/>
        <v>0</v>
      </c>
      <c r="T482" s="147"/>
      <c r="U482" s="147"/>
      <c r="V482" s="147"/>
      <c r="W482" s="147"/>
      <c r="X482" s="147"/>
      <c r="Y482" s="147"/>
      <c r="Z482" s="147"/>
      <c r="AA482" s="147"/>
      <c r="AB482" s="147"/>
      <c r="AC482" s="147"/>
      <c r="AD482" s="147"/>
      <c r="AE482" s="147"/>
      <c r="AF482" s="147"/>
      <c r="AG482" s="147"/>
      <c r="AH482" s="147"/>
      <c r="AI482" s="147"/>
      <c r="AJ482" s="147"/>
      <c r="AK482" s="147"/>
      <c r="AL482" s="147"/>
      <c r="AM482" s="151"/>
      <c r="AN482" s="147"/>
      <c r="AO482" s="147"/>
      <c r="AP482" s="147"/>
      <c r="AQ482" s="147"/>
      <c r="AR482" s="147"/>
      <c r="AS482" s="147"/>
      <c r="AT482" s="147"/>
      <c r="AU482" s="147"/>
      <c r="AV482" s="147"/>
      <c r="AW482" s="147"/>
      <c r="AX482" s="147"/>
      <c r="AY482" s="147"/>
      <c r="AZ482" s="147"/>
      <c r="BA482" s="147"/>
      <c r="BB482" s="147"/>
      <c r="BC482" s="147"/>
      <c r="BD482" s="147"/>
      <c r="BE482" s="147"/>
      <c r="BF482" s="147"/>
      <c r="BG482" s="147"/>
      <c r="BH482" s="147"/>
      <c r="BI482" s="147"/>
      <c r="BJ482" s="147"/>
      <c r="BK482" s="147"/>
      <c r="BL482" s="147"/>
      <c r="BM482" s="147"/>
      <c r="BN482" s="147"/>
      <c r="BO482" s="147"/>
      <c r="BP482" s="147"/>
      <c r="BQ482" s="147"/>
      <c r="BR482" s="147"/>
      <c r="BS482" s="147"/>
      <c r="BT482" s="147"/>
      <c r="BU482" s="147"/>
      <c r="BV482" s="147"/>
      <c r="BW482" s="147"/>
      <c r="BX482" s="147"/>
      <c r="BY482" s="147"/>
      <c r="BZ482" s="147"/>
      <c r="CA482" s="147"/>
      <c r="CB482" s="147"/>
      <c r="CC482" s="147"/>
      <c r="CD482" s="147"/>
      <c r="CE482" s="147"/>
      <c r="CF482" s="147"/>
      <c r="CG482" s="147"/>
      <c r="CH482" s="147"/>
      <c r="CI482" s="147"/>
      <c r="CJ482" s="147"/>
      <c r="CK482" s="147"/>
    </row>
    <row r="483" spans="1:89">
      <c r="A483" s="165" t="s">
        <v>269</v>
      </c>
      <c r="B483" s="166" t="s">
        <v>270</v>
      </c>
      <c r="C483" s="167" t="s">
        <v>92</v>
      </c>
      <c r="D483" s="167" t="s">
        <v>885</v>
      </c>
      <c r="E483" s="166" t="s">
        <v>25</v>
      </c>
      <c r="F483" s="166" t="s">
        <v>25</v>
      </c>
      <c r="G483" s="166" t="s">
        <v>926</v>
      </c>
      <c r="H483" s="156" t="str">
        <f ca="1">IFERROR(
  _xludf.MINIFS(ATTENDANCE_LOG!$F:$F,
         ATTENDANCE_LOG!$A:$A, C483,
         ATTENDANCE_LOG!$B:$B, E483),
"")</f>
        <v/>
      </c>
      <c r="I483" s="156" t="str">
        <f t="shared" ca="1" si="266"/>
        <v/>
      </c>
      <c r="J483" s="166">
        <f>IFERROR(VLOOKUP(F483, LEVEL_HELPER!$A:$B, 2, 0), "")</f>
        <v>0.5</v>
      </c>
      <c r="K483" s="166">
        <f>IFERROR(VLOOKUP(G483, LEVEL_HELPER!$A:$B, 2, 0), "")</f>
        <v>1</v>
      </c>
      <c r="L483" s="169" t="s">
        <v>942</v>
      </c>
      <c r="M483" s="169" t="s">
        <v>923</v>
      </c>
      <c r="N483" s="3">
        <f t="array" aca="1" ref="N483" ca="1">IFERROR(
  INDEX($J$2:$J$543,
    MATCH(A483&amp;TEXT(I483,"yyyy-mm-dd"),
          $A$2:$A$543&amp;TEXT($H$2:$H$543,"yyyy-mm-dd"),
          0)),
"")</f>
        <v>0.5</v>
      </c>
      <c r="O483" s="170" t="str">
        <f t="shared" ca="1" si="267"/>
        <v/>
      </c>
      <c r="P483" s="147">
        <f t="shared" ref="P483:Q483" ca="1" si="499">IF(N483="",0,IF(N483&lt;=2,1,IF(N483&lt;=4,2,IF(N483&lt;=5.5,3,4))))</f>
        <v>1</v>
      </c>
      <c r="Q483" s="147">
        <f t="shared" ca="1" si="499"/>
        <v>0</v>
      </c>
      <c r="R483" s="147" t="str">
        <f t="shared" ca="1" si="269"/>
        <v>Regressed</v>
      </c>
      <c r="S483" s="147">
        <f t="shared" si="270"/>
        <v>1</v>
      </c>
      <c r="T483" s="147"/>
      <c r="U483" s="147"/>
      <c r="V483" s="147"/>
      <c r="W483" s="147"/>
      <c r="X483" s="147"/>
      <c r="Y483" s="147"/>
      <c r="Z483" s="147"/>
      <c r="AA483" s="147"/>
      <c r="AB483" s="147"/>
      <c r="AC483" s="147"/>
      <c r="AD483" s="147"/>
      <c r="AE483" s="147"/>
      <c r="AF483" s="147"/>
      <c r="AG483" s="147"/>
      <c r="AH483" s="147"/>
      <c r="AI483" s="147"/>
      <c r="AJ483" s="147"/>
      <c r="AK483" s="147"/>
      <c r="AL483" s="147"/>
      <c r="AM483" s="151"/>
      <c r="AN483" s="147"/>
      <c r="AO483" s="147"/>
      <c r="AP483" s="147"/>
      <c r="AQ483" s="147"/>
      <c r="AR483" s="147"/>
      <c r="AS483" s="147"/>
      <c r="AT483" s="147"/>
      <c r="AU483" s="147"/>
      <c r="AV483" s="147"/>
      <c r="AW483" s="147"/>
      <c r="AX483" s="147"/>
      <c r="AY483" s="147"/>
      <c r="AZ483" s="147"/>
      <c r="BA483" s="147"/>
      <c r="BB483" s="147"/>
      <c r="BC483" s="147"/>
      <c r="BD483" s="147"/>
      <c r="BE483" s="147"/>
      <c r="BF483" s="147"/>
      <c r="BG483" s="147"/>
      <c r="BH483" s="147"/>
      <c r="BI483" s="147"/>
      <c r="BJ483" s="147"/>
      <c r="BK483" s="147"/>
      <c r="BL483" s="147"/>
      <c r="BM483" s="147"/>
      <c r="BN483" s="147"/>
      <c r="BO483" s="147"/>
      <c r="BP483" s="147"/>
      <c r="BQ483" s="147"/>
      <c r="BR483" s="147"/>
      <c r="BS483" s="147"/>
      <c r="BT483" s="147"/>
      <c r="BU483" s="147"/>
      <c r="BV483" s="147"/>
      <c r="BW483" s="147"/>
      <c r="BX483" s="147"/>
      <c r="BY483" s="147"/>
      <c r="BZ483" s="147"/>
      <c r="CA483" s="147"/>
      <c r="CB483" s="147"/>
      <c r="CC483" s="147"/>
      <c r="CD483" s="147"/>
      <c r="CE483" s="147"/>
      <c r="CF483" s="147"/>
      <c r="CG483" s="147"/>
      <c r="CH483" s="147"/>
      <c r="CI483" s="147"/>
      <c r="CJ483" s="147"/>
      <c r="CK483" s="147"/>
    </row>
    <row r="484" spans="1:89">
      <c r="A484" s="165" t="s">
        <v>273</v>
      </c>
      <c r="B484" s="166" t="s">
        <v>274</v>
      </c>
      <c r="C484" s="167" t="s">
        <v>92</v>
      </c>
      <c r="D484" s="167" t="s">
        <v>885</v>
      </c>
      <c r="E484" s="166" t="s">
        <v>25</v>
      </c>
      <c r="F484" s="166" t="s">
        <v>25</v>
      </c>
      <c r="G484" s="166" t="s">
        <v>926</v>
      </c>
      <c r="H484" s="156" t="str">
        <f ca="1">IFERROR(
  _xludf.MINIFS(ATTENDANCE_LOG!$F:$F,
         ATTENDANCE_LOG!$A:$A, C484,
         ATTENDANCE_LOG!$B:$B, E484),
"")</f>
        <v/>
      </c>
      <c r="I484" s="156" t="str">
        <f t="shared" ca="1" si="266"/>
        <v/>
      </c>
      <c r="J484" s="166">
        <f>IFERROR(VLOOKUP(F484, LEVEL_HELPER!$A:$B, 2, 0), "")</f>
        <v>0.5</v>
      </c>
      <c r="K484" s="166">
        <f>IFERROR(VLOOKUP(G484, LEVEL_HELPER!$A:$B, 2, 0), "")</f>
        <v>1</v>
      </c>
      <c r="L484" s="169" t="s">
        <v>930</v>
      </c>
      <c r="M484" s="169" t="s">
        <v>922</v>
      </c>
      <c r="N484" s="3" t="str">
        <f t="array" aca="1" ref="N484" ca="1">IFERROR(
  INDEX($J$2:$J$543,
    MATCH(A484&amp;TEXT(I484,"yyyy-mm-dd"),
          $A$2:$A$543&amp;TEXT($H$2:$H$543,"yyyy-mm-dd"),
          0)),
"")</f>
        <v/>
      </c>
      <c r="O484" s="170" t="str">
        <f t="shared" ca="1" si="267"/>
        <v/>
      </c>
      <c r="P484" s="147">
        <f t="shared" ref="P484:Q484" ca="1" si="500">IF(N484="",0,IF(N484&lt;=2,1,IF(N484&lt;=4,2,IF(N484&lt;=5.5,3,4))))</f>
        <v>0</v>
      </c>
      <c r="Q484" s="147">
        <f t="shared" ca="1" si="500"/>
        <v>0</v>
      </c>
      <c r="R484" s="147" t="str">
        <f t="shared" ca="1" si="269"/>
        <v>No Data</v>
      </c>
      <c r="S484" s="147">
        <f t="shared" si="270"/>
        <v>0</v>
      </c>
      <c r="T484" s="147"/>
      <c r="U484" s="147"/>
      <c r="V484" s="147"/>
      <c r="W484" s="147"/>
      <c r="X484" s="147"/>
      <c r="Y484" s="147"/>
      <c r="Z484" s="147"/>
      <c r="AA484" s="147"/>
      <c r="AB484" s="147"/>
      <c r="AC484" s="147"/>
      <c r="AD484" s="147"/>
      <c r="AE484" s="147"/>
      <c r="AF484" s="147"/>
      <c r="AG484" s="147"/>
      <c r="AH484" s="147"/>
      <c r="AI484" s="147"/>
      <c r="AJ484" s="147"/>
      <c r="AK484" s="147"/>
      <c r="AL484" s="147"/>
      <c r="AM484" s="151"/>
      <c r="AN484" s="147"/>
      <c r="AO484" s="147"/>
      <c r="AP484" s="147"/>
      <c r="AQ484" s="147"/>
      <c r="AR484" s="147"/>
      <c r="AS484" s="147"/>
      <c r="AT484" s="147"/>
      <c r="AU484" s="147"/>
      <c r="AV484" s="147"/>
      <c r="AW484" s="147"/>
      <c r="AX484" s="147"/>
      <c r="AY484" s="147"/>
      <c r="AZ484" s="147"/>
      <c r="BA484" s="147"/>
      <c r="BB484" s="147"/>
      <c r="BC484" s="147"/>
      <c r="BD484" s="147"/>
      <c r="BE484" s="147"/>
      <c r="BF484" s="147"/>
      <c r="BG484" s="147"/>
      <c r="BH484" s="147"/>
      <c r="BI484" s="147"/>
      <c r="BJ484" s="147"/>
      <c r="BK484" s="147"/>
      <c r="BL484" s="147"/>
      <c r="BM484" s="147"/>
      <c r="BN484" s="147"/>
      <c r="BO484" s="147"/>
      <c r="BP484" s="147"/>
      <c r="BQ484" s="147"/>
      <c r="BR484" s="147"/>
      <c r="BS484" s="147"/>
      <c r="BT484" s="147"/>
      <c r="BU484" s="147"/>
      <c r="BV484" s="147"/>
      <c r="BW484" s="147"/>
      <c r="BX484" s="147"/>
      <c r="BY484" s="147"/>
      <c r="BZ484" s="147"/>
      <c r="CA484" s="147"/>
      <c r="CB484" s="147"/>
      <c r="CC484" s="147"/>
      <c r="CD484" s="147"/>
      <c r="CE484" s="147"/>
      <c r="CF484" s="147"/>
      <c r="CG484" s="147"/>
      <c r="CH484" s="147"/>
      <c r="CI484" s="147"/>
      <c r="CJ484" s="147"/>
      <c r="CK484" s="147"/>
    </row>
    <row r="485" spans="1:89">
      <c r="A485" s="165" t="s">
        <v>302</v>
      </c>
      <c r="B485" s="166" t="s">
        <v>303</v>
      </c>
      <c r="C485" s="167" t="s">
        <v>92</v>
      </c>
      <c r="D485" s="167" t="s">
        <v>885</v>
      </c>
      <c r="E485" s="166" t="s">
        <v>25</v>
      </c>
      <c r="F485" s="166" t="s">
        <v>25</v>
      </c>
      <c r="G485" s="166" t="s">
        <v>25</v>
      </c>
      <c r="H485" s="156" t="str">
        <f ca="1">IFERROR(
  _xludf.MINIFS(ATTENDANCE_LOG!$F:$F,
         ATTENDANCE_LOG!$A:$A, C485,
         ATTENDANCE_LOG!$B:$B, E485),
"")</f>
        <v/>
      </c>
      <c r="I485" s="156" t="str">
        <f t="shared" ca="1" si="266"/>
        <v/>
      </c>
      <c r="J485" s="166">
        <f>IFERROR(VLOOKUP(F485, LEVEL_HELPER!$A:$B, 2, 0), "")</f>
        <v>0.5</v>
      </c>
      <c r="K485" s="166">
        <f>IFERROR(VLOOKUP(G485, LEVEL_HELPER!$A:$B, 2, 0), "")</f>
        <v>0.5</v>
      </c>
      <c r="L485" s="169" t="s">
        <v>946</v>
      </c>
      <c r="M485" s="169" t="s">
        <v>922</v>
      </c>
      <c r="N485" s="3" t="str">
        <f t="array" aca="1" ref="N485" ca="1">IFERROR(
  INDEX($J$2:$J$543,
    MATCH(A485&amp;TEXT(I485,"yyyy-mm-dd"),
          $A$2:$A$543&amp;TEXT($H$2:$H$543,"yyyy-mm-dd"),
          0)),
"")</f>
        <v/>
      </c>
      <c r="O485" s="170" t="str">
        <f t="shared" ca="1" si="267"/>
        <v/>
      </c>
      <c r="P485" s="147">
        <f t="shared" ref="P485:Q485" ca="1" si="501">IF(N485="",0,IF(N485&lt;=2,1,IF(N485&lt;=4,2,IF(N485&lt;=5.5,3,4))))</f>
        <v>0</v>
      </c>
      <c r="Q485" s="147">
        <f t="shared" ca="1" si="501"/>
        <v>0</v>
      </c>
      <c r="R485" s="147" t="str">
        <f t="shared" ca="1" si="269"/>
        <v>No Data</v>
      </c>
      <c r="S485" s="147">
        <f t="shared" si="270"/>
        <v>0</v>
      </c>
      <c r="T485" s="147"/>
      <c r="U485" s="147"/>
      <c r="V485" s="147"/>
      <c r="W485" s="147"/>
      <c r="X485" s="147"/>
      <c r="Y485" s="147"/>
      <c r="Z485" s="147"/>
      <c r="AA485" s="147"/>
      <c r="AB485" s="147"/>
      <c r="AC485" s="147"/>
      <c r="AD485" s="147"/>
      <c r="AE485" s="147"/>
      <c r="AF485" s="147"/>
      <c r="AG485" s="147"/>
      <c r="AH485" s="147"/>
      <c r="AI485" s="147"/>
      <c r="AJ485" s="147"/>
      <c r="AK485" s="147"/>
      <c r="AL485" s="147"/>
      <c r="AM485" s="151"/>
      <c r="AN485" s="147"/>
      <c r="AO485" s="147"/>
      <c r="AP485" s="147"/>
      <c r="AQ485" s="147"/>
      <c r="AR485" s="147"/>
      <c r="AS485" s="147"/>
      <c r="AT485" s="147"/>
      <c r="AU485" s="147"/>
      <c r="AV485" s="147"/>
      <c r="AW485" s="147"/>
      <c r="AX485" s="147"/>
      <c r="AY485" s="147"/>
      <c r="AZ485" s="147"/>
      <c r="BA485" s="147"/>
      <c r="BB485" s="147"/>
      <c r="BC485" s="147"/>
      <c r="BD485" s="147"/>
      <c r="BE485" s="147"/>
      <c r="BF485" s="147"/>
      <c r="BG485" s="147"/>
      <c r="BH485" s="147"/>
      <c r="BI485" s="147"/>
      <c r="BJ485" s="147"/>
      <c r="BK485" s="147"/>
      <c r="BL485" s="147"/>
      <c r="BM485" s="147"/>
      <c r="BN485" s="147"/>
      <c r="BO485" s="147"/>
      <c r="BP485" s="147"/>
      <c r="BQ485" s="147"/>
      <c r="BR485" s="147"/>
      <c r="BS485" s="147"/>
      <c r="BT485" s="147"/>
      <c r="BU485" s="147"/>
      <c r="BV485" s="147"/>
      <c r="BW485" s="147"/>
      <c r="BX485" s="147"/>
      <c r="BY485" s="147"/>
      <c r="BZ485" s="147"/>
      <c r="CA485" s="147"/>
      <c r="CB485" s="147"/>
      <c r="CC485" s="147"/>
      <c r="CD485" s="147"/>
      <c r="CE485" s="147"/>
      <c r="CF485" s="147"/>
      <c r="CG485" s="147"/>
      <c r="CH485" s="147"/>
      <c r="CI485" s="147"/>
      <c r="CJ485" s="147"/>
      <c r="CK485" s="147"/>
    </row>
    <row r="486" spans="1:89">
      <c r="A486" s="165" t="s">
        <v>361</v>
      </c>
      <c r="B486" s="166" t="s">
        <v>362</v>
      </c>
      <c r="C486" s="167" t="s">
        <v>92</v>
      </c>
      <c r="D486" s="167" t="s">
        <v>885</v>
      </c>
      <c r="E486" s="166" t="s">
        <v>25</v>
      </c>
      <c r="F486" s="166" t="s">
        <v>25</v>
      </c>
      <c r="G486" s="166" t="s">
        <v>25</v>
      </c>
      <c r="H486" s="156" t="str">
        <f ca="1">IFERROR(
  _xludf.MINIFS(ATTENDANCE_LOG!$F:$F,
         ATTENDANCE_LOG!$A:$A, C486,
         ATTENDANCE_LOG!$B:$B, E486),
"")</f>
        <v/>
      </c>
      <c r="I486" s="156" t="str">
        <f t="shared" ca="1" si="266"/>
        <v/>
      </c>
      <c r="J486" s="166">
        <f>IFERROR(VLOOKUP(F486, LEVEL_HELPER!$A:$B, 2, 0), "")</f>
        <v>0.5</v>
      </c>
      <c r="K486" s="166">
        <f>IFERROR(VLOOKUP(G486, LEVEL_HELPER!$A:$B, 2, 0), "")</f>
        <v>0.5</v>
      </c>
      <c r="L486" s="169" t="s">
        <v>930</v>
      </c>
      <c r="M486" s="169" t="s">
        <v>919</v>
      </c>
      <c r="N486" s="3">
        <f t="array" aca="1" ref="N486" ca="1">IFERROR(
  INDEX($J$2:$J$543,
    MATCH(A486&amp;TEXT(I486,"yyyy-mm-dd"),
          $A$2:$A$543&amp;TEXT($H$2:$H$543,"yyyy-mm-dd"),
          0)),
"")</f>
        <v>0.5</v>
      </c>
      <c r="O486" s="170" t="str">
        <f t="shared" ca="1" si="267"/>
        <v/>
      </c>
      <c r="P486" s="147">
        <f t="shared" ref="P486:Q486" ca="1" si="502">IF(N486="",0,IF(N486&lt;=2,1,IF(N486&lt;=4,2,IF(N486&lt;=5.5,3,4))))</f>
        <v>1</v>
      </c>
      <c r="Q486" s="147">
        <f t="shared" ca="1" si="502"/>
        <v>0</v>
      </c>
      <c r="R486" s="147" t="str">
        <f t="shared" ca="1" si="269"/>
        <v>Regressed</v>
      </c>
      <c r="S486" s="147">
        <f t="shared" si="270"/>
        <v>1</v>
      </c>
      <c r="T486" s="147"/>
      <c r="U486" s="147"/>
      <c r="V486" s="147"/>
      <c r="W486" s="147"/>
      <c r="X486" s="147"/>
      <c r="Y486" s="147"/>
      <c r="Z486" s="147"/>
      <c r="AA486" s="147"/>
      <c r="AB486" s="147"/>
      <c r="AC486" s="147"/>
      <c r="AD486" s="147"/>
      <c r="AE486" s="147"/>
      <c r="AF486" s="147"/>
      <c r="AG486" s="147"/>
      <c r="AH486" s="147"/>
      <c r="AI486" s="147"/>
      <c r="AJ486" s="147"/>
      <c r="AK486" s="147"/>
      <c r="AL486" s="147"/>
      <c r="AM486" s="151"/>
      <c r="AN486" s="147"/>
      <c r="AO486" s="147"/>
      <c r="AP486" s="147"/>
      <c r="AQ486" s="147"/>
      <c r="AR486" s="147"/>
      <c r="AS486" s="147"/>
      <c r="AT486" s="147"/>
      <c r="AU486" s="147"/>
      <c r="AV486" s="147"/>
      <c r="AW486" s="147"/>
      <c r="AX486" s="147"/>
      <c r="AY486" s="147"/>
      <c r="AZ486" s="147"/>
      <c r="BA486" s="147"/>
      <c r="BB486" s="147"/>
      <c r="BC486" s="147"/>
      <c r="BD486" s="147"/>
      <c r="BE486" s="147"/>
      <c r="BF486" s="147"/>
      <c r="BG486" s="147"/>
      <c r="BH486" s="147"/>
      <c r="BI486" s="147"/>
      <c r="BJ486" s="147"/>
      <c r="BK486" s="147"/>
      <c r="BL486" s="147"/>
      <c r="BM486" s="147"/>
      <c r="BN486" s="147"/>
      <c r="BO486" s="147"/>
      <c r="BP486" s="147"/>
      <c r="BQ486" s="147"/>
      <c r="BR486" s="147"/>
      <c r="BS486" s="147"/>
      <c r="BT486" s="147"/>
      <c r="BU486" s="147"/>
      <c r="BV486" s="147"/>
      <c r="BW486" s="147"/>
      <c r="BX486" s="147"/>
      <c r="BY486" s="147"/>
      <c r="BZ486" s="147"/>
      <c r="CA486" s="147"/>
      <c r="CB486" s="147"/>
      <c r="CC486" s="147"/>
      <c r="CD486" s="147"/>
      <c r="CE486" s="147"/>
      <c r="CF486" s="147"/>
      <c r="CG486" s="147"/>
      <c r="CH486" s="147"/>
      <c r="CI486" s="147"/>
      <c r="CJ486" s="147"/>
      <c r="CK486" s="147"/>
    </row>
    <row r="487" spans="1:89">
      <c r="A487" s="165" t="s">
        <v>385</v>
      </c>
      <c r="B487" s="166" t="s">
        <v>386</v>
      </c>
      <c r="C487" s="167" t="s">
        <v>92</v>
      </c>
      <c r="D487" s="167" t="s">
        <v>885</v>
      </c>
      <c r="E487" s="166" t="s">
        <v>25</v>
      </c>
      <c r="F487" s="166" t="s">
        <v>25</v>
      </c>
      <c r="G487" s="166" t="s">
        <v>25</v>
      </c>
      <c r="H487" s="156" t="str">
        <f ca="1">IFERROR(
  _xludf.MINIFS(ATTENDANCE_LOG!$F:$F,
         ATTENDANCE_LOG!$A:$A, C487,
         ATTENDANCE_LOG!$B:$B, E487),
"")</f>
        <v/>
      </c>
      <c r="I487" s="156" t="str">
        <f t="shared" ca="1" si="266"/>
        <v/>
      </c>
      <c r="J487" s="166">
        <f>IFERROR(VLOOKUP(F487, LEVEL_HELPER!$A:$B, 2, 0), "")</f>
        <v>0.5</v>
      </c>
      <c r="K487" s="166">
        <f>IFERROR(VLOOKUP(G487, LEVEL_HELPER!$A:$B, 2, 0), "")</f>
        <v>0.5</v>
      </c>
      <c r="L487" s="169" t="s">
        <v>930</v>
      </c>
      <c r="M487" s="169" t="s">
        <v>922</v>
      </c>
      <c r="N487" s="3">
        <f t="array" aca="1" ref="N487" ca="1">IFERROR(
  INDEX($J$2:$J$543,
    MATCH(A487&amp;TEXT(I487,"yyyy-mm-dd"),
          $A$2:$A$543&amp;TEXT($H$2:$H$543,"yyyy-mm-dd"),
          0)),
"")</f>
        <v>0.5</v>
      </c>
      <c r="O487" s="170" t="str">
        <f t="shared" ca="1" si="267"/>
        <v/>
      </c>
      <c r="P487" s="147">
        <f t="shared" ref="P487:Q487" ca="1" si="503">IF(N487="",0,IF(N487&lt;=2,1,IF(N487&lt;=4,2,IF(N487&lt;=5.5,3,4))))</f>
        <v>1</v>
      </c>
      <c r="Q487" s="147">
        <f t="shared" ca="1" si="503"/>
        <v>0</v>
      </c>
      <c r="R487" s="147" t="str">
        <f t="shared" ca="1" si="269"/>
        <v>Regressed</v>
      </c>
      <c r="S487" s="147">
        <f t="shared" si="270"/>
        <v>1</v>
      </c>
      <c r="T487" s="147"/>
      <c r="U487" s="147"/>
      <c r="V487" s="147"/>
      <c r="W487" s="147"/>
      <c r="X487" s="147"/>
      <c r="Y487" s="147"/>
      <c r="Z487" s="147"/>
      <c r="AA487" s="147"/>
      <c r="AB487" s="147"/>
      <c r="AC487" s="147"/>
      <c r="AD487" s="147"/>
      <c r="AE487" s="147"/>
      <c r="AF487" s="147"/>
      <c r="AG487" s="147"/>
      <c r="AH487" s="147"/>
      <c r="AI487" s="147"/>
      <c r="AJ487" s="147"/>
      <c r="AK487" s="147"/>
      <c r="AL487" s="147"/>
      <c r="AM487" s="151"/>
      <c r="AN487" s="147"/>
      <c r="AO487" s="147"/>
      <c r="AP487" s="147"/>
      <c r="AQ487" s="147"/>
      <c r="AR487" s="147"/>
      <c r="AS487" s="147"/>
      <c r="AT487" s="147"/>
      <c r="AU487" s="147"/>
      <c r="AV487" s="147"/>
      <c r="AW487" s="147"/>
      <c r="AX487" s="147"/>
      <c r="AY487" s="147"/>
      <c r="AZ487" s="147"/>
      <c r="BA487" s="147"/>
      <c r="BB487" s="147"/>
      <c r="BC487" s="147"/>
      <c r="BD487" s="147"/>
      <c r="BE487" s="147"/>
      <c r="BF487" s="147"/>
      <c r="BG487" s="147"/>
      <c r="BH487" s="147"/>
      <c r="BI487" s="147"/>
      <c r="BJ487" s="147"/>
      <c r="BK487" s="147"/>
      <c r="BL487" s="147"/>
      <c r="BM487" s="147"/>
      <c r="BN487" s="147"/>
      <c r="BO487" s="147"/>
      <c r="BP487" s="147"/>
      <c r="BQ487" s="147"/>
      <c r="BR487" s="147"/>
      <c r="BS487" s="147"/>
      <c r="BT487" s="147"/>
      <c r="BU487" s="147"/>
      <c r="BV487" s="147"/>
      <c r="BW487" s="147"/>
      <c r="BX487" s="147"/>
      <c r="BY487" s="147"/>
      <c r="BZ487" s="147"/>
      <c r="CA487" s="147"/>
      <c r="CB487" s="147"/>
      <c r="CC487" s="147"/>
      <c r="CD487" s="147"/>
      <c r="CE487" s="147"/>
      <c r="CF487" s="147"/>
      <c r="CG487" s="147"/>
      <c r="CH487" s="147"/>
      <c r="CI487" s="147"/>
      <c r="CJ487" s="147"/>
      <c r="CK487" s="147"/>
    </row>
    <row r="488" spans="1:89">
      <c r="A488" s="165" t="s">
        <v>470</v>
      </c>
      <c r="B488" s="166" t="s">
        <v>471</v>
      </c>
      <c r="C488" s="167" t="s">
        <v>92</v>
      </c>
      <c r="D488" s="167" t="s">
        <v>885</v>
      </c>
      <c r="E488" s="166" t="s">
        <v>25</v>
      </c>
      <c r="F488" s="166" t="s">
        <v>25</v>
      </c>
      <c r="G488" s="166" t="s">
        <v>926</v>
      </c>
      <c r="H488" s="156" t="str">
        <f ca="1">IFERROR(
  _xludf.MINIFS(ATTENDANCE_LOG!$F:$F,
         ATTENDANCE_LOG!$A:$A, C488,
         ATTENDANCE_LOG!$B:$B, E488),
"")</f>
        <v/>
      </c>
      <c r="I488" s="156" t="str">
        <f t="shared" ca="1" si="266"/>
        <v/>
      </c>
      <c r="J488" s="166">
        <f>IFERROR(VLOOKUP(F488, LEVEL_HELPER!$A:$B, 2, 0), "")</f>
        <v>0.5</v>
      </c>
      <c r="K488" s="166">
        <f>IFERROR(VLOOKUP(G488, LEVEL_HELPER!$A:$B, 2, 0), "")</f>
        <v>1</v>
      </c>
      <c r="L488" s="169" t="s">
        <v>930</v>
      </c>
      <c r="M488" s="169" t="s">
        <v>925</v>
      </c>
      <c r="N488" s="3">
        <f t="array" aca="1" ref="N488" ca="1">IFERROR(
  INDEX($J$2:$J$543,
    MATCH(A488&amp;TEXT(I488,"yyyy-mm-dd"),
          $A$2:$A$543&amp;TEXT($H$2:$H$543,"yyyy-mm-dd"),
          0)),
"")</f>
        <v>0.5</v>
      </c>
      <c r="O488" s="170" t="str">
        <f t="shared" ca="1" si="267"/>
        <v/>
      </c>
      <c r="P488" s="147">
        <f t="shared" ref="P488:Q488" ca="1" si="504">IF(N488="",0,IF(N488&lt;=2,1,IF(N488&lt;=4,2,IF(N488&lt;=5.5,3,4))))</f>
        <v>1</v>
      </c>
      <c r="Q488" s="147">
        <f t="shared" ca="1" si="504"/>
        <v>0</v>
      </c>
      <c r="R488" s="147" t="str">
        <f t="shared" ca="1" si="269"/>
        <v>Regressed</v>
      </c>
      <c r="S488" s="147">
        <f t="shared" si="270"/>
        <v>1</v>
      </c>
      <c r="T488" s="147"/>
      <c r="U488" s="147"/>
      <c r="V488" s="147"/>
      <c r="W488" s="147"/>
      <c r="X488" s="147"/>
      <c r="Y488" s="147"/>
      <c r="Z488" s="147"/>
      <c r="AA488" s="147"/>
      <c r="AB488" s="147"/>
      <c r="AC488" s="147"/>
      <c r="AD488" s="147"/>
      <c r="AE488" s="147"/>
      <c r="AF488" s="147"/>
      <c r="AG488" s="147"/>
      <c r="AH488" s="147"/>
      <c r="AI488" s="147"/>
      <c r="AJ488" s="147"/>
      <c r="AK488" s="147"/>
      <c r="AL488" s="147"/>
      <c r="AM488" s="151"/>
      <c r="AN488" s="147"/>
      <c r="AO488" s="147"/>
      <c r="AP488" s="147"/>
      <c r="AQ488" s="147"/>
      <c r="AR488" s="147"/>
      <c r="AS488" s="147"/>
      <c r="AT488" s="147"/>
      <c r="AU488" s="147"/>
      <c r="AV488" s="147"/>
      <c r="AW488" s="147"/>
      <c r="AX488" s="147"/>
      <c r="AY488" s="147"/>
      <c r="AZ488" s="147"/>
      <c r="BA488" s="147"/>
      <c r="BB488" s="147"/>
      <c r="BC488" s="147"/>
      <c r="BD488" s="147"/>
      <c r="BE488" s="147"/>
      <c r="BF488" s="147"/>
      <c r="BG488" s="147"/>
      <c r="BH488" s="147"/>
      <c r="BI488" s="147"/>
      <c r="BJ488" s="147"/>
      <c r="BK488" s="147"/>
      <c r="BL488" s="147"/>
      <c r="BM488" s="147"/>
      <c r="BN488" s="147"/>
      <c r="BO488" s="147"/>
      <c r="BP488" s="147"/>
      <c r="BQ488" s="147"/>
      <c r="BR488" s="147"/>
      <c r="BS488" s="147"/>
      <c r="BT488" s="147"/>
      <c r="BU488" s="147"/>
      <c r="BV488" s="147"/>
      <c r="BW488" s="147"/>
      <c r="BX488" s="147"/>
      <c r="BY488" s="147"/>
      <c r="BZ488" s="147"/>
      <c r="CA488" s="147"/>
      <c r="CB488" s="147"/>
      <c r="CC488" s="147"/>
      <c r="CD488" s="147"/>
      <c r="CE488" s="147"/>
      <c r="CF488" s="147"/>
      <c r="CG488" s="147"/>
      <c r="CH488" s="147"/>
      <c r="CI488" s="147"/>
      <c r="CJ488" s="147"/>
      <c r="CK488" s="147"/>
    </row>
    <row r="489" spans="1:89">
      <c r="A489" s="165" t="s">
        <v>532</v>
      </c>
      <c r="B489" s="166" t="s">
        <v>533</v>
      </c>
      <c r="C489" s="167" t="s">
        <v>92</v>
      </c>
      <c r="D489" s="167" t="s">
        <v>885</v>
      </c>
      <c r="E489" s="166" t="s">
        <v>25</v>
      </c>
      <c r="F489" s="166" t="s">
        <v>25</v>
      </c>
      <c r="G489" s="166" t="s">
        <v>25</v>
      </c>
      <c r="H489" s="156" t="str">
        <f ca="1">IFERROR(
  _xludf.MINIFS(ATTENDANCE_LOG!$F:$F,
         ATTENDANCE_LOG!$A:$A, C489,
         ATTENDANCE_LOG!$B:$B, E489),
"")</f>
        <v/>
      </c>
      <c r="I489" s="156" t="str">
        <f t="shared" ca="1" si="266"/>
        <v/>
      </c>
      <c r="J489" s="166">
        <f>IFERROR(VLOOKUP(F489, LEVEL_HELPER!$A:$B, 2, 0), "")</f>
        <v>0.5</v>
      </c>
      <c r="K489" s="166">
        <f>IFERROR(VLOOKUP(G489, LEVEL_HELPER!$A:$B, 2, 0), "")</f>
        <v>0.5</v>
      </c>
      <c r="L489" s="169" t="s">
        <v>930</v>
      </c>
      <c r="M489" s="169" t="s">
        <v>925</v>
      </c>
      <c r="N489" s="3">
        <f t="array" aca="1" ref="N489" ca="1">IFERROR(
  INDEX($J$2:$J$543,
    MATCH(A489&amp;TEXT(I489,"yyyy-mm-dd"),
          $A$2:$A$543&amp;TEXT($H$2:$H$543,"yyyy-mm-dd"),
          0)),
"")</f>
        <v>0.5</v>
      </c>
      <c r="O489" s="170" t="str">
        <f t="shared" ca="1" si="267"/>
        <v/>
      </c>
      <c r="P489" s="147">
        <f t="shared" ref="P489:Q489" ca="1" si="505">IF(N489="",0,IF(N489&lt;=2,1,IF(N489&lt;=4,2,IF(N489&lt;=5.5,3,4))))</f>
        <v>1</v>
      </c>
      <c r="Q489" s="147">
        <f t="shared" ca="1" si="505"/>
        <v>0</v>
      </c>
      <c r="R489" s="147" t="str">
        <f t="shared" ca="1" si="269"/>
        <v>Regressed</v>
      </c>
      <c r="S489" s="147">
        <f t="shared" si="270"/>
        <v>1</v>
      </c>
      <c r="T489" s="147"/>
      <c r="U489" s="147"/>
      <c r="V489" s="147"/>
      <c r="W489" s="147"/>
      <c r="X489" s="147"/>
      <c r="Y489" s="147"/>
      <c r="Z489" s="147"/>
      <c r="AA489" s="147"/>
      <c r="AB489" s="147"/>
      <c r="AC489" s="147"/>
      <c r="AD489" s="147"/>
      <c r="AE489" s="147"/>
      <c r="AF489" s="147"/>
      <c r="AG489" s="147"/>
      <c r="AH489" s="147"/>
      <c r="AI489" s="147"/>
      <c r="AJ489" s="147"/>
      <c r="AK489" s="147"/>
      <c r="AL489" s="147"/>
      <c r="AM489" s="151"/>
      <c r="AN489" s="147"/>
      <c r="AO489" s="147"/>
      <c r="AP489" s="147"/>
      <c r="AQ489" s="147"/>
      <c r="AR489" s="147"/>
      <c r="AS489" s="147"/>
      <c r="AT489" s="147"/>
      <c r="AU489" s="147"/>
      <c r="AV489" s="147"/>
      <c r="AW489" s="147"/>
      <c r="AX489" s="147"/>
      <c r="AY489" s="147"/>
      <c r="AZ489" s="147"/>
      <c r="BA489" s="147"/>
      <c r="BB489" s="147"/>
      <c r="BC489" s="147"/>
      <c r="BD489" s="147"/>
      <c r="BE489" s="147"/>
      <c r="BF489" s="147"/>
      <c r="BG489" s="147"/>
      <c r="BH489" s="147"/>
      <c r="BI489" s="147"/>
      <c r="BJ489" s="147"/>
      <c r="BK489" s="147"/>
      <c r="BL489" s="147"/>
      <c r="BM489" s="147"/>
      <c r="BN489" s="147"/>
      <c r="BO489" s="147"/>
      <c r="BP489" s="147"/>
      <c r="BQ489" s="147"/>
      <c r="BR489" s="147"/>
      <c r="BS489" s="147"/>
      <c r="BT489" s="147"/>
      <c r="BU489" s="147"/>
      <c r="BV489" s="147"/>
      <c r="BW489" s="147"/>
      <c r="BX489" s="147"/>
      <c r="BY489" s="147"/>
      <c r="BZ489" s="147"/>
      <c r="CA489" s="147"/>
      <c r="CB489" s="147"/>
      <c r="CC489" s="147"/>
      <c r="CD489" s="147"/>
      <c r="CE489" s="147"/>
      <c r="CF489" s="147"/>
      <c r="CG489" s="147"/>
      <c r="CH489" s="147"/>
      <c r="CI489" s="147"/>
      <c r="CJ489" s="147"/>
      <c r="CK489" s="147"/>
    </row>
    <row r="490" spans="1:89">
      <c r="A490" s="178" t="s">
        <v>502</v>
      </c>
      <c r="B490" s="179" t="s">
        <v>503</v>
      </c>
      <c r="C490" s="180" t="s">
        <v>93</v>
      </c>
      <c r="D490" s="180" t="s">
        <v>886</v>
      </c>
      <c r="E490" s="179" t="s">
        <v>21</v>
      </c>
      <c r="F490" s="179" t="s">
        <v>917</v>
      </c>
      <c r="G490" s="179"/>
      <c r="H490" s="156" t="str">
        <f ca="1">IFERROR(
  _xludf.MINIFS(ATTENDANCE_LOG!$F:$F,
         ATTENDANCE_LOG!$A:$A, C490,
         ATTENDANCE_LOG!$B:$B, E490),
"")</f>
        <v/>
      </c>
      <c r="I490" s="156" t="str">
        <f t="shared" ca="1" si="266"/>
        <v/>
      </c>
      <c r="J490" s="179">
        <f>IFERROR(VLOOKUP(F490, LEVEL_HELPER!$A:$B, 2, 0), "")</f>
        <v>3</v>
      </c>
      <c r="K490" s="166" t="str">
        <f>IFERROR(VLOOKUP(G490, LEVEL_HELPER!$A:$B, 2, 0), "")</f>
        <v/>
      </c>
      <c r="L490" s="181" t="s">
        <v>930</v>
      </c>
      <c r="M490" s="181" t="s">
        <v>922</v>
      </c>
      <c r="N490" s="3">
        <f t="array" aca="1" ref="N490" ca="1">IFERROR(
  INDEX($J$2:$J$543,
    MATCH(A490&amp;TEXT(I490,"yyyy-mm-dd"),
          $A$2:$A$543&amp;TEXT($H$2:$H$543,"yyyy-mm-dd"),
          0)),
"")</f>
        <v>3</v>
      </c>
      <c r="O490" s="182" t="str">
        <f t="shared" ca="1" si="267"/>
        <v/>
      </c>
      <c r="P490" s="147">
        <f t="shared" ref="P490:Q490" ca="1" si="506">IF(N490="",0,IF(N490&lt;=2,1,IF(N490&lt;=4,2,IF(N490&lt;=5.5,3,4))))</f>
        <v>2</v>
      </c>
      <c r="Q490" s="147">
        <f t="shared" ca="1" si="506"/>
        <v>0</v>
      </c>
      <c r="R490" s="147" t="str">
        <f t="shared" ca="1" si="269"/>
        <v>Regressed</v>
      </c>
      <c r="S490" s="147">
        <f t="shared" si="270"/>
        <v>1</v>
      </c>
      <c r="T490" s="147"/>
      <c r="U490" s="147"/>
      <c r="V490" s="147"/>
      <c r="W490" s="147"/>
      <c r="X490" s="147"/>
      <c r="Y490" s="147"/>
      <c r="Z490" s="147"/>
      <c r="AA490" s="147"/>
      <c r="AB490" s="147"/>
      <c r="AC490" s="147"/>
      <c r="AD490" s="147"/>
      <c r="AE490" s="147"/>
      <c r="AF490" s="147"/>
      <c r="AG490" s="147"/>
      <c r="AH490" s="147"/>
      <c r="AI490" s="147"/>
      <c r="AJ490" s="147"/>
      <c r="AK490" s="147"/>
      <c r="AL490" s="147"/>
      <c r="AM490" s="151"/>
      <c r="AN490" s="147"/>
      <c r="AO490" s="147"/>
      <c r="AP490" s="147"/>
      <c r="AQ490" s="147"/>
      <c r="AR490" s="147"/>
      <c r="AS490" s="147"/>
      <c r="AT490" s="147"/>
      <c r="AU490" s="147"/>
      <c r="AV490" s="147"/>
      <c r="AW490" s="147"/>
      <c r="AX490" s="147"/>
      <c r="AY490" s="147"/>
      <c r="AZ490" s="147"/>
      <c r="BA490" s="147"/>
      <c r="BB490" s="147"/>
      <c r="BC490" s="147"/>
      <c r="BD490" s="147"/>
      <c r="BE490" s="147"/>
      <c r="BF490" s="147"/>
      <c r="BG490" s="147"/>
      <c r="BH490" s="147"/>
      <c r="BI490" s="147"/>
      <c r="BJ490" s="147"/>
      <c r="BK490" s="147"/>
      <c r="BL490" s="147"/>
      <c r="BM490" s="147"/>
      <c r="BN490" s="147"/>
      <c r="BO490" s="147"/>
      <c r="BP490" s="147"/>
      <c r="BQ490" s="147"/>
      <c r="BR490" s="147"/>
      <c r="BS490" s="147"/>
      <c r="BT490" s="147"/>
      <c r="BU490" s="147"/>
      <c r="BV490" s="147"/>
      <c r="BW490" s="147"/>
      <c r="BX490" s="147"/>
      <c r="BY490" s="147"/>
      <c r="BZ490" s="147"/>
      <c r="CA490" s="147"/>
      <c r="CB490" s="147"/>
      <c r="CC490" s="147"/>
      <c r="CD490" s="147"/>
      <c r="CE490" s="147"/>
      <c r="CF490" s="147"/>
      <c r="CG490" s="147"/>
      <c r="CH490" s="147"/>
      <c r="CI490" s="147"/>
      <c r="CJ490" s="147"/>
      <c r="CK490" s="147"/>
    </row>
    <row r="491" spans="1:89">
      <c r="A491" s="165" t="s">
        <v>385</v>
      </c>
      <c r="B491" s="166" t="s">
        <v>386</v>
      </c>
      <c r="C491" s="167" t="s">
        <v>93</v>
      </c>
      <c r="D491" s="167" t="s">
        <v>886</v>
      </c>
      <c r="E491" s="166" t="s">
        <v>21</v>
      </c>
      <c r="F491" s="166" t="s">
        <v>926</v>
      </c>
      <c r="G491" s="166"/>
      <c r="H491" s="156" t="str">
        <f ca="1">IFERROR(
  _xludf.MINIFS(ATTENDANCE_LOG!$F:$F,
         ATTENDANCE_LOG!$A:$A, C491,
         ATTENDANCE_LOG!$B:$B, E491),
"")</f>
        <v/>
      </c>
      <c r="I491" s="156" t="str">
        <f t="shared" ca="1" si="266"/>
        <v/>
      </c>
      <c r="J491" s="166">
        <f>IFERROR(VLOOKUP(F491, LEVEL_HELPER!$A:$B, 2, 0), "")</f>
        <v>1</v>
      </c>
      <c r="K491" s="166" t="str">
        <f>IFERROR(VLOOKUP(G491, LEVEL_HELPER!$A:$B, 2, 0), "")</f>
        <v/>
      </c>
      <c r="L491" s="169" t="s">
        <v>930</v>
      </c>
      <c r="M491" s="169" t="s">
        <v>922</v>
      </c>
      <c r="N491" s="3">
        <f t="array" aca="1" ref="N491" ca="1">IFERROR(
  INDEX($J$2:$J$543,
    MATCH(A491&amp;TEXT(I491,"yyyy-mm-dd"),
          $A$2:$A$543&amp;TEXT($H$2:$H$543,"yyyy-mm-dd"),
          0)),
"")</f>
        <v>0.5</v>
      </c>
      <c r="O491" s="170" t="str">
        <f t="shared" ca="1" si="267"/>
        <v/>
      </c>
      <c r="P491" s="147">
        <f t="shared" ref="P491:Q491" ca="1" si="507">IF(N491="",0,IF(N491&lt;=2,1,IF(N491&lt;=4,2,IF(N491&lt;=5.5,3,4))))</f>
        <v>1</v>
      </c>
      <c r="Q491" s="147">
        <f t="shared" ca="1" si="507"/>
        <v>0</v>
      </c>
      <c r="R491" s="147" t="str">
        <f t="shared" ca="1" si="269"/>
        <v>Regressed</v>
      </c>
      <c r="S491" s="147">
        <f t="shared" si="270"/>
        <v>0</v>
      </c>
      <c r="T491" s="147"/>
      <c r="U491" s="147"/>
      <c r="V491" s="147"/>
      <c r="W491" s="147"/>
      <c r="X491" s="147"/>
      <c r="Y491" s="147"/>
      <c r="Z491" s="147"/>
      <c r="AA491" s="147"/>
      <c r="AB491" s="147"/>
      <c r="AC491" s="147"/>
      <c r="AD491" s="147"/>
      <c r="AE491" s="147"/>
      <c r="AF491" s="147"/>
      <c r="AG491" s="147"/>
      <c r="AH491" s="147"/>
      <c r="AI491" s="147"/>
      <c r="AJ491" s="147"/>
      <c r="AK491" s="147"/>
      <c r="AL491" s="147"/>
      <c r="AM491" s="151"/>
      <c r="AN491" s="147"/>
      <c r="AO491" s="147"/>
      <c r="AP491" s="147"/>
      <c r="AQ491" s="147"/>
      <c r="AR491" s="147"/>
      <c r="AS491" s="147"/>
      <c r="AT491" s="147"/>
      <c r="AU491" s="147"/>
      <c r="AV491" s="147"/>
      <c r="AW491" s="147"/>
      <c r="AX491" s="147"/>
      <c r="AY491" s="147"/>
      <c r="AZ491" s="147"/>
      <c r="BA491" s="147"/>
      <c r="BB491" s="147"/>
      <c r="BC491" s="147"/>
      <c r="BD491" s="147"/>
      <c r="BE491" s="147"/>
      <c r="BF491" s="147"/>
      <c r="BG491" s="147"/>
      <c r="BH491" s="147"/>
      <c r="BI491" s="147"/>
      <c r="BJ491" s="147"/>
      <c r="BK491" s="147"/>
      <c r="BL491" s="147"/>
      <c r="BM491" s="147"/>
      <c r="BN491" s="147"/>
      <c r="BO491" s="147"/>
      <c r="BP491" s="147"/>
      <c r="BQ491" s="147"/>
      <c r="BR491" s="147"/>
      <c r="BS491" s="147"/>
      <c r="BT491" s="147"/>
      <c r="BU491" s="147"/>
      <c r="BV491" s="147"/>
      <c r="BW491" s="147"/>
      <c r="BX491" s="147"/>
      <c r="BY491" s="147"/>
      <c r="BZ491" s="147"/>
      <c r="CA491" s="147"/>
      <c r="CB491" s="147"/>
      <c r="CC491" s="147"/>
      <c r="CD491" s="147"/>
      <c r="CE491" s="147"/>
      <c r="CF491" s="147"/>
      <c r="CG491" s="147"/>
      <c r="CH491" s="147"/>
      <c r="CI491" s="147"/>
      <c r="CJ491" s="147"/>
      <c r="CK491" s="147"/>
    </row>
    <row r="492" spans="1:89">
      <c r="A492" s="165" t="s">
        <v>427</v>
      </c>
      <c r="B492" s="166" t="s">
        <v>428</v>
      </c>
      <c r="C492" s="167" t="s">
        <v>93</v>
      </c>
      <c r="D492" s="167" t="s">
        <v>886</v>
      </c>
      <c r="E492" s="166" t="s">
        <v>21</v>
      </c>
      <c r="F492" s="166" t="s">
        <v>926</v>
      </c>
      <c r="G492" s="166"/>
      <c r="H492" s="156" t="str">
        <f ca="1">IFERROR(
  _xludf.MINIFS(ATTENDANCE_LOG!$F:$F,
         ATTENDANCE_LOG!$A:$A, C492,
         ATTENDANCE_LOG!$B:$B, E492),
"")</f>
        <v/>
      </c>
      <c r="I492" s="156" t="str">
        <f t="shared" ca="1" si="266"/>
        <v/>
      </c>
      <c r="J492" s="166">
        <f>IFERROR(VLOOKUP(F492, LEVEL_HELPER!$A:$B, 2, 0), "")</f>
        <v>1</v>
      </c>
      <c r="K492" s="166" t="str">
        <f>IFERROR(VLOOKUP(G492, LEVEL_HELPER!$A:$B, 2, 0), "")</f>
        <v/>
      </c>
      <c r="L492" s="169" t="s">
        <v>930</v>
      </c>
      <c r="M492" s="169" t="s">
        <v>922</v>
      </c>
      <c r="N492" s="3">
        <f t="array" aca="1" ref="N492" ca="1">IFERROR(
  INDEX($J$2:$J$543,
    MATCH(A492&amp;TEXT(I492,"yyyy-mm-dd"),
          $A$2:$A$543&amp;TEXT($H$2:$H$543,"yyyy-mm-dd"),
          0)),
"")</f>
        <v>1</v>
      </c>
      <c r="O492" s="170" t="str">
        <f t="shared" ca="1" si="267"/>
        <v/>
      </c>
      <c r="P492" s="147">
        <f t="shared" ref="P492:Q492" ca="1" si="508">IF(N492="",0,IF(N492&lt;=2,1,IF(N492&lt;=4,2,IF(N492&lt;=5.5,3,4))))</f>
        <v>1</v>
      </c>
      <c r="Q492" s="147">
        <f t="shared" ca="1" si="508"/>
        <v>0</v>
      </c>
      <c r="R492" s="147" t="str">
        <f t="shared" ca="1" si="269"/>
        <v>Regressed</v>
      </c>
      <c r="S492" s="147">
        <f t="shared" si="270"/>
        <v>1</v>
      </c>
      <c r="T492" s="147"/>
      <c r="U492" s="147"/>
      <c r="V492" s="147"/>
      <c r="W492" s="147"/>
      <c r="X492" s="147"/>
      <c r="Y492" s="147"/>
      <c r="Z492" s="147"/>
      <c r="AA492" s="147"/>
      <c r="AB492" s="147"/>
      <c r="AC492" s="147"/>
      <c r="AD492" s="147"/>
      <c r="AE492" s="147"/>
      <c r="AF492" s="147"/>
      <c r="AG492" s="147"/>
      <c r="AH492" s="147"/>
      <c r="AI492" s="147"/>
      <c r="AJ492" s="147"/>
      <c r="AK492" s="147"/>
      <c r="AL492" s="147"/>
      <c r="AM492" s="151"/>
      <c r="AN492" s="147"/>
      <c r="AO492" s="147"/>
      <c r="AP492" s="147"/>
      <c r="AQ492" s="147"/>
      <c r="AR492" s="147"/>
      <c r="AS492" s="147"/>
      <c r="AT492" s="147"/>
      <c r="AU492" s="147"/>
      <c r="AV492" s="147"/>
      <c r="AW492" s="147"/>
      <c r="AX492" s="147"/>
      <c r="AY492" s="147"/>
      <c r="AZ492" s="147"/>
      <c r="BA492" s="147"/>
      <c r="BB492" s="147"/>
      <c r="BC492" s="147"/>
      <c r="BD492" s="147"/>
      <c r="BE492" s="147"/>
      <c r="BF492" s="147"/>
      <c r="BG492" s="147"/>
      <c r="BH492" s="147"/>
      <c r="BI492" s="147"/>
      <c r="BJ492" s="147"/>
      <c r="BK492" s="147"/>
      <c r="BL492" s="147"/>
      <c r="BM492" s="147"/>
      <c r="BN492" s="147"/>
      <c r="BO492" s="147"/>
      <c r="BP492" s="147"/>
      <c r="BQ492" s="147"/>
      <c r="BR492" s="147"/>
      <c r="BS492" s="147"/>
      <c r="BT492" s="147"/>
      <c r="BU492" s="147"/>
      <c r="BV492" s="147"/>
      <c r="BW492" s="147"/>
      <c r="BX492" s="147"/>
      <c r="BY492" s="147"/>
      <c r="BZ492" s="147"/>
      <c r="CA492" s="147"/>
      <c r="CB492" s="147"/>
      <c r="CC492" s="147"/>
      <c r="CD492" s="147"/>
      <c r="CE492" s="147"/>
      <c r="CF492" s="147"/>
      <c r="CG492" s="147"/>
      <c r="CH492" s="147"/>
      <c r="CI492" s="147"/>
      <c r="CJ492" s="147"/>
      <c r="CK492" s="147"/>
    </row>
    <row r="493" spans="1:89">
      <c r="A493" s="165" t="s">
        <v>655</v>
      </c>
      <c r="B493" s="166" t="s">
        <v>656</v>
      </c>
      <c r="C493" s="167" t="s">
        <v>93</v>
      </c>
      <c r="D493" s="167" t="s">
        <v>886</v>
      </c>
      <c r="E493" s="166" t="s">
        <v>21</v>
      </c>
      <c r="F493" s="166" t="s">
        <v>926</v>
      </c>
      <c r="G493" s="166"/>
      <c r="H493" s="156" t="str">
        <f ca="1">IFERROR(
  _xludf.MINIFS(ATTENDANCE_LOG!$F:$F,
         ATTENDANCE_LOG!$A:$A, C493,
         ATTENDANCE_LOG!$B:$B, E493),
"")</f>
        <v/>
      </c>
      <c r="I493" s="156" t="str">
        <f t="shared" ca="1" si="266"/>
        <v/>
      </c>
      <c r="J493" s="166">
        <f>IFERROR(VLOOKUP(F493, LEVEL_HELPER!$A:$B, 2, 0), "")</f>
        <v>1</v>
      </c>
      <c r="K493" s="166" t="str">
        <f>IFERROR(VLOOKUP(G493, LEVEL_HELPER!$A:$B, 2, 0), "")</f>
        <v/>
      </c>
      <c r="L493" s="169" t="s">
        <v>930</v>
      </c>
      <c r="M493" s="169" t="s">
        <v>922</v>
      </c>
      <c r="N493" s="3">
        <f t="array" aca="1" ref="N493" ca="1">IFERROR(
  INDEX($J$2:$J$543,
    MATCH(A493&amp;TEXT(I493,"yyyy-mm-dd"),
          $A$2:$A$543&amp;TEXT($H$2:$H$543,"yyyy-mm-dd"),
          0)),
"")</f>
        <v>1</v>
      </c>
      <c r="O493" s="170" t="str">
        <f t="shared" ca="1" si="267"/>
        <v/>
      </c>
      <c r="P493" s="147">
        <f t="shared" ref="P493:Q493" ca="1" si="509">IF(N493="",0,IF(N493&lt;=2,1,IF(N493&lt;=4,2,IF(N493&lt;=5.5,3,4))))</f>
        <v>1</v>
      </c>
      <c r="Q493" s="147">
        <f t="shared" ca="1" si="509"/>
        <v>0</v>
      </c>
      <c r="R493" s="147" t="str">
        <f t="shared" ca="1" si="269"/>
        <v>Regressed</v>
      </c>
      <c r="S493" s="147">
        <f t="shared" si="270"/>
        <v>1</v>
      </c>
      <c r="T493" s="147"/>
      <c r="U493" s="147"/>
      <c r="V493" s="147"/>
      <c r="W493" s="147"/>
      <c r="X493" s="147"/>
      <c r="Y493" s="147"/>
      <c r="Z493" s="147"/>
      <c r="AA493" s="147"/>
      <c r="AB493" s="147"/>
      <c r="AC493" s="147"/>
      <c r="AD493" s="147"/>
      <c r="AE493" s="147"/>
      <c r="AF493" s="147"/>
      <c r="AG493" s="147"/>
      <c r="AH493" s="147"/>
      <c r="AI493" s="147"/>
      <c r="AJ493" s="147"/>
      <c r="AK493" s="147"/>
      <c r="AL493" s="147"/>
      <c r="AM493" s="151"/>
      <c r="AN493" s="147"/>
      <c r="AO493" s="147"/>
      <c r="AP493" s="147"/>
      <c r="AQ493" s="147"/>
      <c r="AR493" s="147"/>
      <c r="AS493" s="147"/>
      <c r="AT493" s="147"/>
      <c r="AU493" s="147"/>
      <c r="AV493" s="147"/>
      <c r="AW493" s="147"/>
      <c r="AX493" s="147"/>
      <c r="AY493" s="147"/>
      <c r="AZ493" s="147"/>
      <c r="BA493" s="147"/>
      <c r="BB493" s="147"/>
      <c r="BC493" s="147"/>
      <c r="BD493" s="147"/>
      <c r="BE493" s="147"/>
      <c r="BF493" s="147"/>
      <c r="BG493" s="147"/>
      <c r="BH493" s="147"/>
      <c r="BI493" s="147"/>
      <c r="BJ493" s="147"/>
      <c r="BK493" s="147"/>
      <c r="BL493" s="147"/>
      <c r="BM493" s="147"/>
      <c r="BN493" s="147"/>
      <c r="BO493" s="147"/>
      <c r="BP493" s="147"/>
      <c r="BQ493" s="147"/>
      <c r="BR493" s="147"/>
      <c r="BS493" s="147"/>
      <c r="BT493" s="147"/>
      <c r="BU493" s="147"/>
      <c r="BV493" s="147"/>
      <c r="BW493" s="147"/>
      <c r="BX493" s="147"/>
      <c r="BY493" s="147"/>
      <c r="BZ493" s="147"/>
      <c r="CA493" s="147"/>
      <c r="CB493" s="147"/>
      <c r="CC493" s="147"/>
      <c r="CD493" s="147"/>
      <c r="CE493" s="147"/>
      <c r="CF493" s="147"/>
      <c r="CG493" s="147"/>
      <c r="CH493" s="147"/>
      <c r="CI493" s="147"/>
      <c r="CJ493" s="147"/>
      <c r="CK493" s="147"/>
    </row>
    <row r="494" spans="1:89">
      <c r="A494" s="165" t="s">
        <v>705</v>
      </c>
      <c r="B494" s="166" t="s">
        <v>706</v>
      </c>
      <c r="C494" s="167" t="s">
        <v>93</v>
      </c>
      <c r="D494" s="167" t="s">
        <v>886</v>
      </c>
      <c r="E494" s="166" t="s">
        <v>21</v>
      </c>
      <c r="F494" s="166" t="s">
        <v>926</v>
      </c>
      <c r="G494" s="166"/>
      <c r="H494" s="156" t="str">
        <f ca="1">IFERROR(
  _xludf.MINIFS(ATTENDANCE_LOG!$F:$F,
         ATTENDANCE_LOG!$A:$A, C494,
         ATTENDANCE_LOG!$B:$B, E494),
"")</f>
        <v/>
      </c>
      <c r="I494" s="156" t="str">
        <f t="shared" ca="1" si="266"/>
        <v/>
      </c>
      <c r="J494" s="166">
        <f>IFERROR(VLOOKUP(F494, LEVEL_HELPER!$A:$B, 2, 0), "")</f>
        <v>1</v>
      </c>
      <c r="K494" s="166" t="str">
        <f>IFERROR(VLOOKUP(G494, LEVEL_HELPER!$A:$B, 2, 0), "")</f>
        <v/>
      </c>
      <c r="L494" s="169" t="s">
        <v>956</v>
      </c>
      <c r="M494" s="169" t="s">
        <v>922</v>
      </c>
      <c r="N494" s="3">
        <f t="array" aca="1" ref="N494" ca="1">IFERROR(
  INDEX($J$2:$J$543,
    MATCH(A494&amp;TEXT(I494,"yyyy-mm-dd"),
          $A$2:$A$543&amp;TEXT($H$2:$H$543,"yyyy-mm-dd"),
          0)),
"")</f>
        <v>1</v>
      </c>
      <c r="O494" s="170" t="str">
        <f t="shared" ca="1" si="267"/>
        <v/>
      </c>
      <c r="P494" s="147">
        <f t="shared" ref="P494:Q494" ca="1" si="510">IF(N494="",0,IF(N494&lt;=2,1,IF(N494&lt;=4,2,IF(N494&lt;=5.5,3,4))))</f>
        <v>1</v>
      </c>
      <c r="Q494" s="147">
        <f t="shared" ca="1" si="510"/>
        <v>0</v>
      </c>
      <c r="R494" s="147" t="str">
        <f t="shared" ca="1" si="269"/>
        <v>Regressed</v>
      </c>
      <c r="S494" s="147">
        <f t="shared" si="270"/>
        <v>1</v>
      </c>
      <c r="T494" s="147"/>
      <c r="U494" s="147"/>
      <c r="V494" s="147"/>
      <c r="W494" s="147"/>
      <c r="X494" s="147"/>
      <c r="Y494" s="147"/>
      <c r="Z494" s="147"/>
      <c r="AA494" s="147"/>
      <c r="AB494" s="147"/>
      <c r="AC494" s="147"/>
      <c r="AD494" s="147"/>
      <c r="AE494" s="147"/>
      <c r="AF494" s="147"/>
      <c r="AG494" s="147"/>
      <c r="AH494" s="147"/>
      <c r="AI494" s="147"/>
      <c r="AJ494" s="147"/>
      <c r="AK494" s="147"/>
      <c r="AL494" s="147"/>
      <c r="AM494" s="151"/>
      <c r="AN494" s="147"/>
      <c r="AO494" s="147"/>
      <c r="AP494" s="147"/>
      <c r="AQ494" s="147"/>
      <c r="AR494" s="147"/>
      <c r="AS494" s="147"/>
      <c r="AT494" s="147"/>
      <c r="AU494" s="147"/>
      <c r="AV494" s="147"/>
      <c r="AW494" s="147"/>
      <c r="AX494" s="147"/>
      <c r="AY494" s="147"/>
      <c r="AZ494" s="147"/>
      <c r="BA494" s="147"/>
      <c r="BB494" s="147"/>
      <c r="BC494" s="147"/>
      <c r="BD494" s="147"/>
      <c r="BE494" s="147"/>
      <c r="BF494" s="147"/>
      <c r="BG494" s="147"/>
      <c r="BH494" s="147"/>
      <c r="BI494" s="147"/>
      <c r="BJ494" s="147"/>
      <c r="BK494" s="147"/>
      <c r="BL494" s="147"/>
      <c r="BM494" s="147"/>
      <c r="BN494" s="147"/>
      <c r="BO494" s="147"/>
      <c r="BP494" s="147"/>
      <c r="BQ494" s="147"/>
      <c r="BR494" s="147"/>
      <c r="BS494" s="147"/>
      <c r="BT494" s="147"/>
      <c r="BU494" s="147"/>
      <c r="BV494" s="147"/>
      <c r="BW494" s="147"/>
      <c r="BX494" s="147"/>
      <c r="BY494" s="147"/>
      <c r="BZ494" s="147"/>
      <c r="CA494" s="147"/>
      <c r="CB494" s="147"/>
      <c r="CC494" s="147"/>
      <c r="CD494" s="147"/>
      <c r="CE494" s="147"/>
      <c r="CF494" s="147"/>
      <c r="CG494" s="147"/>
      <c r="CH494" s="147"/>
      <c r="CI494" s="147"/>
      <c r="CJ494" s="147"/>
      <c r="CK494" s="147"/>
    </row>
    <row r="495" spans="1:89">
      <c r="A495" s="178" t="s">
        <v>581</v>
      </c>
      <c r="B495" s="179" t="s">
        <v>582</v>
      </c>
      <c r="C495" s="180" t="s">
        <v>94</v>
      </c>
      <c r="D495" s="180" t="s">
        <v>887</v>
      </c>
      <c r="E495" s="179" t="s">
        <v>21</v>
      </c>
      <c r="F495" s="179" t="s">
        <v>926</v>
      </c>
      <c r="G495" s="179"/>
      <c r="H495" s="156" t="str">
        <f ca="1">IFERROR(
  _xludf.MINIFS(ATTENDANCE_LOG!$F:$F,
         ATTENDANCE_LOG!$A:$A, C495,
         ATTENDANCE_LOG!$B:$B, E495),
"")</f>
        <v/>
      </c>
      <c r="I495" s="156" t="str">
        <f t="shared" ca="1" si="266"/>
        <v/>
      </c>
      <c r="J495" s="179">
        <f>IFERROR(VLOOKUP(F495, LEVEL_HELPER!$A:$B, 2, 0), "")</f>
        <v>1</v>
      </c>
      <c r="K495" s="166" t="str">
        <f>IFERROR(VLOOKUP(G495, LEVEL_HELPER!$A:$B, 2, 0), "")</f>
        <v/>
      </c>
      <c r="L495" s="181" t="s">
        <v>942</v>
      </c>
      <c r="M495" s="181" t="s">
        <v>924</v>
      </c>
      <c r="N495" s="3">
        <f t="array" aca="1" ref="N495" ca="1">IFERROR(
  INDEX($J$2:$J$543,
    MATCH(A495&amp;TEXT(I495,"yyyy-mm-dd"),
          $A$2:$A$543&amp;TEXT($H$2:$H$543,"yyyy-mm-dd"),
          0)),
"")</f>
        <v>1</v>
      </c>
      <c r="O495" s="182" t="str">
        <f t="shared" ca="1" si="267"/>
        <v/>
      </c>
      <c r="P495" s="147">
        <f t="shared" ref="P495:Q495" ca="1" si="511">IF(N495="",0,IF(N495&lt;=2,1,IF(N495&lt;=4,2,IF(N495&lt;=5.5,3,4))))</f>
        <v>1</v>
      </c>
      <c r="Q495" s="147">
        <f t="shared" ca="1" si="511"/>
        <v>0</v>
      </c>
      <c r="R495" s="147" t="str">
        <f t="shared" ca="1" si="269"/>
        <v>Regressed</v>
      </c>
      <c r="S495" s="147">
        <f t="shared" si="270"/>
        <v>1</v>
      </c>
      <c r="T495" s="147"/>
      <c r="U495" s="147"/>
      <c r="V495" s="147"/>
      <c r="W495" s="147"/>
      <c r="X495" s="147"/>
      <c r="Y495" s="147"/>
      <c r="Z495" s="147"/>
      <c r="AA495" s="147"/>
      <c r="AB495" s="147"/>
      <c r="AC495" s="147"/>
      <c r="AD495" s="147"/>
      <c r="AE495" s="147"/>
      <c r="AF495" s="147"/>
      <c r="AG495" s="147"/>
      <c r="AH495" s="147"/>
      <c r="AI495" s="147"/>
      <c r="AJ495" s="147"/>
      <c r="AK495" s="147"/>
      <c r="AL495" s="147"/>
      <c r="AM495" s="151"/>
      <c r="AN495" s="147"/>
      <c r="AO495" s="147"/>
      <c r="AP495" s="147"/>
      <c r="AQ495" s="147"/>
      <c r="AR495" s="147"/>
      <c r="AS495" s="147"/>
      <c r="AT495" s="147"/>
      <c r="AU495" s="147"/>
      <c r="AV495" s="147"/>
      <c r="AW495" s="147"/>
      <c r="AX495" s="147"/>
      <c r="AY495" s="147"/>
      <c r="AZ495" s="147"/>
      <c r="BA495" s="147"/>
      <c r="BB495" s="147"/>
      <c r="BC495" s="147"/>
      <c r="BD495" s="147"/>
      <c r="BE495" s="147"/>
      <c r="BF495" s="147"/>
      <c r="BG495" s="147"/>
      <c r="BH495" s="147"/>
      <c r="BI495" s="147"/>
      <c r="BJ495" s="147"/>
      <c r="BK495" s="147"/>
      <c r="BL495" s="147"/>
      <c r="BM495" s="147"/>
      <c r="BN495" s="147"/>
      <c r="BO495" s="147"/>
      <c r="BP495" s="147"/>
      <c r="BQ495" s="147"/>
      <c r="BR495" s="147"/>
      <c r="BS495" s="147"/>
      <c r="BT495" s="147"/>
      <c r="BU495" s="147"/>
      <c r="BV495" s="147"/>
      <c r="BW495" s="147"/>
      <c r="BX495" s="147"/>
      <c r="BY495" s="147"/>
      <c r="BZ495" s="147"/>
      <c r="CA495" s="147"/>
      <c r="CB495" s="147"/>
      <c r="CC495" s="147"/>
      <c r="CD495" s="147"/>
      <c r="CE495" s="147"/>
      <c r="CF495" s="147"/>
      <c r="CG495" s="147"/>
      <c r="CH495" s="147"/>
      <c r="CI495" s="147"/>
      <c r="CJ495" s="147"/>
      <c r="CK495" s="147"/>
    </row>
    <row r="496" spans="1:89">
      <c r="A496" s="165" t="s">
        <v>149</v>
      </c>
      <c r="B496" s="166" t="s">
        <v>150</v>
      </c>
      <c r="C496" s="167" t="s">
        <v>94</v>
      </c>
      <c r="D496" s="167" t="s">
        <v>887</v>
      </c>
      <c r="E496" s="166" t="s">
        <v>21</v>
      </c>
      <c r="F496" s="166" t="s">
        <v>926</v>
      </c>
      <c r="G496" s="166"/>
      <c r="H496" s="156" t="str">
        <f ca="1">IFERROR(
  _xludf.MINIFS(ATTENDANCE_LOG!$F:$F,
         ATTENDANCE_LOG!$A:$A, C496,
         ATTENDANCE_LOG!$B:$B, E496),
"")</f>
        <v/>
      </c>
      <c r="I496" s="156" t="str">
        <f t="shared" ca="1" si="266"/>
        <v/>
      </c>
      <c r="J496" s="166">
        <f>IFERROR(VLOOKUP(F496, LEVEL_HELPER!$A:$B, 2, 0), "")</f>
        <v>1</v>
      </c>
      <c r="K496" s="166" t="str">
        <f>IFERROR(VLOOKUP(G496, LEVEL_HELPER!$A:$B, 2, 0), "")</f>
        <v/>
      </c>
      <c r="L496" s="169" t="s">
        <v>918</v>
      </c>
      <c r="M496" s="169" t="s">
        <v>924</v>
      </c>
      <c r="N496" s="3">
        <f t="array" aca="1" ref="N496" ca="1">IFERROR(
  INDEX($J$2:$J$543,
    MATCH(A496&amp;TEXT(I496,"yyyy-mm-dd"),
          $A$2:$A$543&amp;TEXT($H$2:$H$543,"yyyy-mm-dd"),
          0)),
"")</f>
        <v>1</v>
      </c>
      <c r="O496" s="170" t="str">
        <f t="shared" ca="1" si="267"/>
        <v/>
      </c>
      <c r="P496" s="147">
        <f t="shared" ref="P496:Q496" ca="1" si="512">IF(N496="",0,IF(N496&lt;=2,1,IF(N496&lt;=4,2,IF(N496&lt;=5.5,3,4))))</f>
        <v>1</v>
      </c>
      <c r="Q496" s="147">
        <f t="shared" ca="1" si="512"/>
        <v>0</v>
      </c>
      <c r="R496" s="147" t="str">
        <f t="shared" ca="1" si="269"/>
        <v>Regressed</v>
      </c>
      <c r="S496" s="147">
        <f t="shared" si="270"/>
        <v>0</v>
      </c>
      <c r="T496" s="147"/>
      <c r="U496" s="147"/>
      <c r="V496" s="147"/>
      <c r="W496" s="147"/>
      <c r="X496" s="147"/>
      <c r="Y496" s="147"/>
      <c r="Z496" s="147"/>
      <c r="AA496" s="147"/>
      <c r="AB496" s="147"/>
      <c r="AC496" s="147"/>
      <c r="AD496" s="147"/>
      <c r="AE496" s="147"/>
      <c r="AF496" s="147"/>
      <c r="AG496" s="147"/>
      <c r="AH496" s="147"/>
      <c r="AI496" s="147"/>
      <c r="AJ496" s="147"/>
      <c r="AK496" s="147"/>
      <c r="AL496" s="147"/>
      <c r="AM496" s="151"/>
      <c r="AN496" s="147"/>
      <c r="AO496" s="147"/>
      <c r="AP496" s="147"/>
      <c r="AQ496" s="147"/>
      <c r="AR496" s="147"/>
      <c r="AS496" s="147"/>
      <c r="AT496" s="147"/>
      <c r="AU496" s="147"/>
      <c r="AV496" s="147"/>
      <c r="AW496" s="147"/>
      <c r="AX496" s="147"/>
      <c r="AY496" s="147"/>
      <c r="AZ496" s="147"/>
      <c r="BA496" s="147"/>
      <c r="BB496" s="147"/>
      <c r="BC496" s="147"/>
      <c r="BD496" s="147"/>
      <c r="BE496" s="147"/>
      <c r="BF496" s="147"/>
      <c r="BG496" s="147"/>
      <c r="BH496" s="147"/>
      <c r="BI496" s="147"/>
      <c r="BJ496" s="147"/>
      <c r="BK496" s="147"/>
      <c r="BL496" s="147"/>
      <c r="BM496" s="147"/>
      <c r="BN496" s="147"/>
      <c r="BO496" s="147"/>
      <c r="BP496" s="147"/>
      <c r="BQ496" s="147"/>
      <c r="BR496" s="147"/>
      <c r="BS496" s="147"/>
      <c r="BT496" s="147"/>
      <c r="BU496" s="147"/>
      <c r="BV496" s="147"/>
      <c r="BW496" s="147"/>
      <c r="BX496" s="147"/>
      <c r="BY496" s="147"/>
      <c r="BZ496" s="147"/>
      <c r="CA496" s="147"/>
      <c r="CB496" s="147"/>
      <c r="CC496" s="147"/>
      <c r="CD496" s="147"/>
      <c r="CE496" s="147"/>
      <c r="CF496" s="147"/>
      <c r="CG496" s="147"/>
      <c r="CH496" s="147"/>
      <c r="CI496" s="147"/>
      <c r="CJ496" s="147"/>
      <c r="CK496" s="147"/>
    </row>
    <row r="497" spans="1:89">
      <c r="A497" s="165" t="s">
        <v>344</v>
      </c>
      <c r="B497" s="166" t="s">
        <v>345</v>
      </c>
      <c r="C497" s="167" t="s">
        <v>94</v>
      </c>
      <c r="D497" s="167" t="s">
        <v>887</v>
      </c>
      <c r="E497" s="166" t="s">
        <v>21</v>
      </c>
      <c r="F497" s="166" t="s">
        <v>926</v>
      </c>
      <c r="G497" s="166"/>
      <c r="H497" s="156" t="str">
        <f ca="1">IFERROR(
  _xludf.MINIFS(ATTENDANCE_LOG!$F:$F,
         ATTENDANCE_LOG!$A:$A, C497,
         ATTENDANCE_LOG!$B:$B, E497),
"")</f>
        <v/>
      </c>
      <c r="I497" s="156" t="str">
        <f t="shared" ca="1" si="266"/>
        <v/>
      </c>
      <c r="J497" s="166">
        <f>IFERROR(VLOOKUP(F497, LEVEL_HELPER!$A:$B, 2, 0), "")</f>
        <v>1</v>
      </c>
      <c r="K497" s="166" t="str">
        <f>IFERROR(VLOOKUP(G497, LEVEL_HELPER!$A:$B, 2, 0), "")</f>
        <v/>
      </c>
      <c r="L497" s="169" t="s">
        <v>942</v>
      </c>
      <c r="M497" s="169" t="s">
        <v>924</v>
      </c>
      <c r="N497" s="3">
        <f t="array" aca="1" ref="N497" ca="1">IFERROR(
  INDEX($J$2:$J$543,
    MATCH(A497&amp;TEXT(I497,"yyyy-mm-dd"),
          $A$2:$A$543&amp;TEXT($H$2:$H$543,"yyyy-mm-dd"),
          0)),
"")</f>
        <v>1</v>
      </c>
      <c r="O497" s="170" t="str">
        <f t="shared" ca="1" si="267"/>
        <v/>
      </c>
      <c r="P497" s="147">
        <f t="shared" ref="P497:Q497" ca="1" si="513">IF(N497="",0,IF(N497&lt;=2,1,IF(N497&lt;=4,2,IF(N497&lt;=5.5,3,4))))</f>
        <v>1</v>
      </c>
      <c r="Q497" s="147">
        <f t="shared" ca="1" si="513"/>
        <v>0</v>
      </c>
      <c r="R497" s="147" t="str">
        <f t="shared" ca="1" si="269"/>
        <v>Regressed</v>
      </c>
      <c r="S497" s="147">
        <f t="shared" si="270"/>
        <v>1</v>
      </c>
      <c r="T497" s="147"/>
      <c r="U497" s="147"/>
      <c r="V497" s="147"/>
      <c r="W497" s="147"/>
      <c r="X497" s="147"/>
      <c r="Y497" s="147"/>
      <c r="Z497" s="147"/>
      <c r="AA497" s="147"/>
      <c r="AB497" s="147"/>
      <c r="AC497" s="147"/>
      <c r="AD497" s="147"/>
      <c r="AE497" s="147"/>
      <c r="AF497" s="147"/>
      <c r="AG497" s="147"/>
      <c r="AH497" s="147"/>
      <c r="AI497" s="147"/>
      <c r="AJ497" s="147"/>
      <c r="AK497" s="147"/>
      <c r="AL497" s="147"/>
      <c r="AM497" s="151"/>
      <c r="AN497" s="147"/>
      <c r="AO497" s="147"/>
      <c r="AP497" s="147"/>
      <c r="AQ497" s="147"/>
      <c r="AR497" s="147"/>
      <c r="AS497" s="147"/>
      <c r="AT497" s="147"/>
      <c r="AU497" s="147"/>
      <c r="AV497" s="147"/>
      <c r="AW497" s="147"/>
      <c r="AX497" s="147"/>
      <c r="AY497" s="147"/>
      <c r="AZ497" s="147"/>
      <c r="BA497" s="147"/>
      <c r="BB497" s="147"/>
      <c r="BC497" s="147"/>
      <c r="BD497" s="147"/>
      <c r="BE497" s="147"/>
      <c r="BF497" s="147"/>
      <c r="BG497" s="147"/>
      <c r="BH497" s="147"/>
      <c r="BI497" s="147"/>
      <c r="BJ497" s="147"/>
      <c r="BK497" s="147"/>
      <c r="BL497" s="147"/>
      <c r="BM497" s="147"/>
      <c r="BN497" s="147"/>
      <c r="BO497" s="147"/>
      <c r="BP497" s="147"/>
      <c r="BQ497" s="147"/>
      <c r="BR497" s="147"/>
      <c r="BS497" s="147"/>
      <c r="BT497" s="147"/>
      <c r="BU497" s="147"/>
      <c r="BV497" s="147"/>
      <c r="BW497" s="147"/>
      <c r="BX497" s="147"/>
      <c r="BY497" s="147"/>
      <c r="BZ497" s="147"/>
      <c r="CA497" s="147"/>
      <c r="CB497" s="147"/>
      <c r="CC497" s="147"/>
      <c r="CD497" s="147"/>
      <c r="CE497" s="147"/>
      <c r="CF497" s="147"/>
      <c r="CG497" s="147"/>
      <c r="CH497" s="147"/>
      <c r="CI497" s="147"/>
      <c r="CJ497" s="147"/>
      <c r="CK497" s="147"/>
    </row>
    <row r="498" spans="1:89">
      <c r="A498" s="165" t="s">
        <v>368</v>
      </c>
      <c r="B498" s="166" t="s">
        <v>369</v>
      </c>
      <c r="C498" s="167" t="s">
        <v>94</v>
      </c>
      <c r="D498" s="167" t="s">
        <v>887</v>
      </c>
      <c r="E498" s="166" t="s">
        <v>21</v>
      </c>
      <c r="F498" s="166" t="s">
        <v>917</v>
      </c>
      <c r="G498" s="166"/>
      <c r="H498" s="156" t="str">
        <f ca="1">IFERROR(
  _xludf.MINIFS(ATTENDANCE_LOG!$F:$F,
         ATTENDANCE_LOG!$A:$A, C498,
         ATTENDANCE_LOG!$B:$B, E498),
"")</f>
        <v/>
      </c>
      <c r="I498" s="156" t="str">
        <f t="shared" ca="1" si="266"/>
        <v/>
      </c>
      <c r="J498" s="166">
        <f>IFERROR(VLOOKUP(F498, LEVEL_HELPER!$A:$B, 2, 0), "")</f>
        <v>3</v>
      </c>
      <c r="K498" s="166" t="str">
        <f>IFERROR(VLOOKUP(G498, LEVEL_HELPER!$A:$B, 2, 0), "")</f>
        <v/>
      </c>
      <c r="L498" s="169" t="s">
        <v>942</v>
      </c>
      <c r="M498" s="169" t="s">
        <v>924</v>
      </c>
      <c r="N498" s="3">
        <f t="array" aca="1" ref="N498" ca="1">IFERROR(
  INDEX($J$2:$J$543,
    MATCH(A498&amp;TEXT(I498,"yyyy-mm-dd"),
          $A$2:$A$543&amp;TEXT($H$2:$H$543,"yyyy-mm-dd"),
          0)),
"")</f>
        <v>3</v>
      </c>
      <c r="O498" s="170" t="str">
        <f t="shared" ca="1" si="267"/>
        <v/>
      </c>
      <c r="P498" s="147">
        <f t="shared" ref="P498:Q498" ca="1" si="514">IF(N498="",0,IF(N498&lt;=2,1,IF(N498&lt;=4,2,IF(N498&lt;=5.5,3,4))))</f>
        <v>2</v>
      </c>
      <c r="Q498" s="147">
        <f t="shared" ca="1" si="514"/>
        <v>0</v>
      </c>
      <c r="R498" s="147" t="str">
        <f t="shared" ca="1" si="269"/>
        <v>Regressed</v>
      </c>
      <c r="S498" s="147">
        <f t="shared" si="270"/>
        <v>1</v>
      </c>
      <c r="T498" s="147"/>
      <c r="U498" s="147"/>
      <c r="V498" s="147"/>
      <c r="W498" s="147"/>
      <c r="X498" s="147"/>
      <c r="Y498" s="147"/>
      <c r="Z498" s="147"/>
      <c r="AA498" s="147"/>
      <c r="AB498" s="147"/>
      <c r="AC498" s="147"/>
      <c r="AD498" s="147"/>
      <c r="AE498" s="147"/>
      <c r="AF498" s="147"/>
      <c r="AG498" s="147"/>
      <c r="AH498" s="147"/>
      <c r="AI498" s="147"/>
      <c r="AJ498" s="147"/>
      <c r="AK498" s="147"/>
      <c r="AL498" s="147"/>
      <c r="AM498" s="151"/>
      <c r="AN498" s="147"/>
      <c r="AO498" s="147"/>
      <c r="AP498" s="147"/>
      <c r="AQ498" s="147"/>
      <c r="AR498" s="147"/>
      <c r="AS498" s="147"/>
      <c r="AT498" s="147"/>
      <c r="AU498" s="147"/>
      <c r="AV498" s="147"/>
      <c r="AW498" s="147"/>
      <c r="AX498" s="147"/>
      <c r="AY498" s="147"/>
      <c r="AZ498" s="147"/>
      <c r="BA498" s="147"/>
      <c r="BB498" s="147"/>
      <c r="BC498" s="147"/>
      <c r="BD498" s="147"/>
      <c r="BE498" s="147"/>
      <c r="BF498" s="147"/>
      <c r="BG498" s="147"/>
      <c r="BH498" s="147"/>
      <c r="BI498" s="147"/>
      <c r="BJ498" s="147"/>
      <c r="BK498" s="147"/>
      <c r="BL498" s="147"/>
      <c r="BM498" s="147"/>
      <c r="BN498" s="147"/>
      <c r="BO498" s="147"/>
      <c r="BP498" s="147"/>
      <c r="BQ498" s="147"/>
      <c r="BR498" s="147"/>
      <c r="BS498" s="147"/>
      <c r="BT498" s="147"/>
      <c r="BU498" s="147"/>
      <c r="BV498" s="147"/>
      <c r="BW498" s="147"/>
      <c r="BX498" s="147"/>
      <c r="BY498" s="147"/>
      <c r="BZ498" s="147"/>
      <c r="CA498" s="147"/>
      <c r="CB498" s="147"/>
      <c r="CC498" s="147"/>
      <c r="CD498" s="147"/>
      <c r="CE498" s="147"/>
      <c r="CF498" s="147"/>
      <c r="CG498" s="147"/>
      <c r="CH498" s="147"/>
      <c r="CI498" s="147"/>
      <c r="CJ498" s="147"/>
      <c r="CK498" s="147"/>
    </row>
    <row r="499" spans="1:89">
      <c r="A499" s="165" t="s">
        <v>543</v>
      </c>
      <c r="B499" s="166" t="s">
        <v>544</v>
      </c>
      <c r="C499" s="167" t="s">
        <v>94</v>
      </c>
      <c r="D499" s="167" t="s">
        <v>887</v>
      </c>
      <c r="E499" s="166" t="s">
        <v>21</v>
      </c>
      <c r="F499" s="166" t="s">
        <v>917</v>
      </c>
      <c r="G499" s="166"/>
      <c r="H499" s="156" t="str">
        <f ca="1">IFERROR(
  _xludf.MINIFS(ATTENDANCE_LOG!$F:$F,
         ATTENDANCE_LOG!$A:$A, C499,
         ATTENDANCE_LOG!$B:$B, E499),
"")</f>
        <v/>
      </c>
      <c r="I499" s="156" t="str">
        <f t="shared" ca="1" si="266"/>
        <v/>
      </c>
      <c r="J499" s="166">
        <f>IFERROR(VLOOKUP(F499, LEVEL_HELPER!$A:$B, 2, 0), "")</f>
        <v>3</v>
      </c>
      <c r="K499" s="166" t="str">
        <f>IFERROR(VLOOKUP(G499, LEVEL_HELPER!$A:$B, 2, 0), "")</f>
        <v/>
      </c>
      <c r="L499" s="169" t="s">
        <v>942</v>
      </c>
      <c r="M499" s="183" t="s">
        <v>924</v>
      </c>
      <c r="N499" s="3">
        <f t="array" aca="1" ref="N499" ca="1">IFERROR(
  INDEX($J$2:$J$543,
    MATCH(A499&amp;TEXT(I499,"yyyy-mm-dd"),
          $A$2:$A$543&amp;TEXT($H$2:$H$543,"yyyy-mm-dd"),
          0)),
"")</f>
        <v>3</v>
      </c>
      <c r="O499" s="170" t="str">
        <f t="shared" ca="1" si="267"/>
        <v/>
      </c>
      <c r="P499" s="147">
        <f t="shared" ref="P499:Q499" ca="1" si="515">IF(N499="",0,IF(N499&lt;=2,1,IF(N499&lt;=4,2,IF(N499&lt;=5.5,3,4))))</f>
        <v>2</v>
      </c>
      <c r="Q499" s="147">
        <f t="shared" ca="1" si="515"/>
        <v>0</v>
      </c>
      <c r="R499" s="147" t="str">
        <f t="shared" ca="1" si="269"/>
        <v>Regressed</v>
      </c>
      <c r="S499" s="147">
        <f t="shared" si="270"/>
        <v>1</v>
      </c>
      <c r="T499" s="147"/>
      <c r="U499" s="147"/>
      <c r="V499" s="147"/>
      <c r="W499" s="147"/>
      <c r="X499" s="147"/>
      <c r="Y499" s="147"/>
      <c r="Z499" s="147"/>
      <c r="AA499" s="147"/>
      <c r="AB499" s="147"/>
      <c r="AC499" s="147"/>
      <c r="AD499" s="147"/>
      <c r="AE499" s="147"/>
      <c r="AF499" s="147"/>
      <c r="AG499" s="147"/>
      <c r="AH499" s="147"/>
      <c r="AI499" s="147"/>
      <c r="AJ499" s="147"/>
      <c r="AK499" s="147"/>
      <c r="AL499" s="147"/>
      <c r="AM499" s="151"/>
      <c r="AN499" s="147"/>
      <c r="AO499" s="147"/>
      <c r="AP499" s="147"/>
      <c r="AQ499" s="147"/>
      <c r="AR499" s="147"/>
      <c r="AS499" s="147"/>
      <c r="AT499" s="147"/>
      <c r="AU499" s="147"/>
      <c r="AV499" s="147"/>
      <c r="AW499" s="147"/>
      <c r="AX499" s="147"/>
      <c r="AY499" s="147"/>
      <c r="AZ499" s="147"/>
      <c r="BA499" s="147"/>
      <c r="BB499" s="147"/>
      <c r="BC499" s="147"/>
      <c r="BD499" s="147"/>
      <c r="BE499" s="147"/>
      <c r="BF499" s="147"/>
      <c r="BG499" s="147"/>
      <c r="BH499" s="147"/>
      <c r="BI499" s="147"/>
      <c r="BJ499" s="147"/>
      <c r="BK499" s="147"/>
      <c r="BL499" s="147"/>
      <c r="BM499" s="147"/>
      <c r="BN499" s="147"/>
      <c r="BO499" s="147"/>
      <c r="BP499" s="147"/>
      <c r="BQ499" s="147"/>
      <c r="BR499" s="147"/>
      <c r="BS499" s="147"/>
      <c r="BT499" s="147"/>
      <c r="BU499" s="147"/>
      <c r="BV499" s="147"/>
      <c r="BW499" s="147"/>
      <c r="BX499" s="147"/>
      <c r="BY499" s="147"/>
      <c r="BZ499" s="147"/>
      <c r="CA499" s="147"/>
      <c r="CB499" s="147"/>
      <c r="CC499" s="147"/>
      <c r="CD499" s="147"/>
      <c r="CE499" s="147"/>
      <c r="CF499" s="147"/>
      <c r="CG499" s="147"/>
      <c r="CH499" s="147"/>
      <c r="CI499" s="147"/>
      <c r="CJ499" s="147"/>
      <c r="CK499" s="147"/>
    </row>
    <row r="500" spans="1:89">
      <c r="A500" s="165" t="s">
        <v>579</v>
      </c>
      <c r="B500" s="166" t="s">
        <v>580</v>
      </c>
      <c r="C500" s="167" t="s">
        <v>94</v>
      </c>
      <c r="D500" s="167" t="s">
        <v>887</v>
      </c>
      <c r="E500" s="166" t="s">
        <v>21</v>
      </c>
      <c r="F500" s="166" t="s">
        <v>926</v>
      </c>
      <c r="G500" s="166"/>
      <c r="H500" s="156" t="str">
        <f ca="1">IFERROR(
  _xludf.MINIFS(ATTENDANCE_LOG!$F:$F,
         ATTENDANCE_LOG!$A:$A, C500,
         ATTENDANCE_LOG!$B:$B, E500),
"")</f>
        <v/>
      </c>
      <c r="I500" s="156" t="str">
        <f t="shared" ca="1" si="266"/>
        <v/>
      </c>
      <c r="J500" s="166">
        <f>IFERROR(VLOOKUP(F500, LEVEL_HELPER!$A:$B, 2, 0), "")</f>
        <v>1</v>
      </c>
      <c r="K500" s="166" t="str">
        <f>IFERROR(VLOOKUP(G500, LEVEL_HELPER!$A:$B, 2, 0), "")</f>
        <v/>
      </c>
      <c r="L500" s="169" t="s">
        <v>942</v>
      </c>
      <c r="M500" s="169" t="s">
        <v>924</v>
      </c>
      <c r="N500" s="3">
        <f t="array" aca="1" ref="N500" ca="1">IFERROR(
  INDEX($J$2:$J$543,
    MATCH(A500&amp;TEXT(I500,"yyyy-mm-dd"),
          $A$2:$A$543&amp;TEXT($H$2:$H$543,"yyyy-mm-dd"),
          0)),
"")</f>
        <v>1</v>
      </c>
      <c r="O500" s="170" t="str">
        <f t="shared" ca="1" si="267"/>
        <v/>
      </c>
      <c r="P500" s="147">
        <f t="shared" ref="P500:Q500" ca="1" si="516">IF(N500="",0,IF(N500&lt;=2,1,IF(N500&lt;=4,2,IF(N500&lt;=5.5,3,4))))</f>
        <v>1</v>
      </c>
      <c r="Q500" s="147">
        <f t="shared" ca="1" si="516"/>
        <v>0</v>
      </c>
      <c r="R500" s="147" t="str">
        <f t="shared" ca="1" si="269"/>
        <v>Regressed</v>
      </c>
      <c r="S500" s="147">
        <f t="shared" si="270"/>
        <v>1</v>
      </c>
      <c r="T500" s="147"/>
      <c r="U500" s="147"/>
      <c r="V500" s="147"/>
      <c r="W500" s="147"/>
      <c r="X500" s="147"/>
      <c r="Y500" s="147"/>
      <c r="Z500" s="147"/>
      <c r="AA500" s="147"/>
      <c r="AB500" s="147"/>
      <c r="AC500" s="147"/>
      <c r="AD500" s="147"/>
      <c r="AE500" s="147"/>
      <c r="AF500" s="147"/>
      <c r="AG500" s="147"/>
      <c r="AH500" s="147"/>
      <c r="AI500" s="147"/>
      <c r="AJ500" s="147"/>
      <c r="AK500" s="147"/>
      <c r="AL500" s="147"/>
      <c r="AM500" s="151"/>
      <c r="AN500" s="147"/>
      <c r="AO500" s="147"/>
      <c r="AP500" s="147"/>
      <c r="AQ500" s="147"/>
      <c r="AR500" s="147"/>
      <c r="AS500" s="147"/>
      <c r="AT500" s="147"/>
      <c r="AU500" s="147"/>
      <c r="AV500" s="147"/>
      <c r="AW500" s="147"/>
      <c r="AX500" s="147"/>
      <c r="AY500" s="147"/>
      <c r="AZ500" s="147"/>
      <c r="BA500" s="147"/>
      <c r="BB500" s="147"/>
      <c r="BC500" s="147"/>
      <c r="BD500" s="147"/>
      <c r="BE500" s="147"/>
      <c r="BF500" s="147"/>
      <c r="BG500" s="147"/>
      <c r="BH500" s="147"/>
      <c r="BI500" s="147"/>
      <c r="BJ500" s="147"/>
      <c r="BK500" s="147"/>
      <c r="BL500" s="147"/>
      <c r="BM500" s="147"/>
      <c r="BN500" s="147"/>
      <c r="BO500" s="147"/>
      <c r="BP500" s="147"/>
      <c r="BQ500" s="147"/>
      <c r="BR500" s="147"/>
      <c r="BS500" s="147"/>
      <c r="BT500" s="147"/>
      <c r="BU500" s="147"/>
      <c r="BV500" s="147"/>
      <c r="BW500" s="147"/>
      <c r="BX500" s="147"/>
      <c r="BY500" s="147"/>
      <c r="BZ500" s="147"/>
      <c r="CA500" s="147"/>
      <c r="CB500" s="147"/>
      <c r="CC500" s="147"/>
      <c r="CD500" s="147"/>
      <c r="CE500" s="147"/>
      <c r="CF500" s="147"/>
      <c r="CG500" s="147"/>
      <c r="CH500" s="147"/>
      <c r="CI500" s="147"/>
      <c r="CJ500" s="147"/>
      <c r="CK500" s="147"/>
    </row>
    <row r="501" spans="1:89">
      <c r="A501" s="165" t="s">
        <v>613</v>
      </c>
      <c r="B501" s="166" t="s">
        <v>614</v>
      </c>
      <c r="C501" s="167" t="s">
        <v>94</v>
      </c>
      <c r="D501" s="167" t="s">
        <v>887</v>
      </c>
      <c r="E501" s="166" t="s">
        <v>21</v>
      </c>
      <c r="F501" s="166" t="s">
        <v>926</v>
      </c>
      <c r="G501" s="166"/>
      <c r="H501" s="156" t="str">
        <f ca="1">IFERROR(
  _xludf.MINIFS(ATTENDANCE_LOG!$F:$F,
         ATTENDANCE_LOG!$A:$A, C501,
         ATTENDANCE_LOG!$B:$B, E501),
"")</f>
        <v/>
      </c>
      <c r="I501" s="156" t="str">
        <f t="shared" ca="1" si="266"/>
        <v/>
      </c>
      <c r="J501" s="166">
        <f>IFERROR(VLOOKUP(F501, LEVEL_HELPER!$A:$B, 2, 0), "")</f>
        <v>1</v>
      </c>
      <c r="K501" s="166" t="str">
        <f>IFERROR(VLOOKUP(G501, LEVEL_HELPER!$A:$B, 2, 0), "")</f>
        <v/>
      </c>
      <c r="L501" s="169" t="s">
        <v>942</v>
      </c>
      <c r="M501" s="169" t="s">
        <v>924</v>
      </c>
      <c r="N501" s="3">
        <f t="array" aca="1" ref="N501" ca="1">IFERROR(
  INDEX($J$2:$J$543,
    MATCH(A501&amp;TEXT(I501,"yyyy-mm-dd"),
          $A$2:$A$543&amp;TEXT($H$2:$H$543,"yyyy-mm-dd"),
          0)),
"")</f>
        <v>1</v>
      </c>
      <c r="O501" s="170" t="str">
        <f t="shared" ca="1" si="267"/>
        <v/>
      </c>
      <c r="P501" s="147">
        <f t="shared" ref="P501:Q501" ca="1" si="517">IF(N501="",0,IF(N501&lt;=2,1,IF(N501&lt;=4,2,IF(N501&lt;=5.5,3,4))))</f>
        <v>1</v>
      </c>
      <c r="Q501" s="147">
        <f t="shared" ca="1" si="517"/>
        <v>0</v>
      </c>
      <c r="R501" s="147" t="str">
        <f t="shared" ca="1" si="269"/>
        <v>Regressed</v>
      </c>
      <c r="S501" s="147">
        <f t="shared" si="270"/>
        <v>1</v>
      </c>
      <c r="T501" s="147"/>
      <c r="U501" s="147"/>
      <c r="V501" s="147"/>
      <c r="W501" s="147"/>
      <c r="X501" s="147"/>
      <c r="Y501" s="147"/>
      <c r="Z501" s="147"/>
      <c r="AA501" s="147"/>
      <c r="AB501" s="147"/>
      <c r="AC501" s="147"/>
      <c r="AD501" s="147"/>
      <c r="AE501" s="147"/>
      <c r="AF501" s="147"/>
      <c r="AG501" s="147"/>
      <c r="AH501" s="147"/>
      <c r="AI501" s="147"/>
      <c r="AJ501" s="147"/>
      <c r="AK501" s="147"/>
      <c r="AL501" s="147"/>
      <c r="AM501" s="151"/>
      <c r="AN501" s="147"/>
      <c r="AO501" s="147"/>
      <c r="AP501" s="147"/>
      <c r="AQ501" s="147"/>
      <c r="AR501" s="147"/>
      <c r="AS501" s="147"/>
      <c r="AT501" s="147"/>
      <c r="AU501" s="147"/>
      <c r="AV501" s="147"/>
      <c r="AW501" s="147"/>
      <c r="AX501" s="147"/>
      <c r="AY501" s="147"/>
      <c r="AZ501" s="147"/>
      <c r="BA501" s="147"/>
      <c r="BB501" s="147"/>
      <c r="BC501" s="147"/>
      <c r="BD501" s="147"/>
      <c r="BE501" s="147"/>
      <c r="BF501" s="147"/>
      <c r="BG501" s="147"/>
      <c r="BH501" s="147"/>
      <c r="BI501" s="147"/>
      <c r="BJ501" s="147"/>
      <c r="BK501" s="147"/>
      <c r="BL501" s="147"/>
      <c r="BM501" s="147"/>
      <c r="BN501" s="147"/>
      <c r="BO501" s="147"/>
      <c r="BP501" s="147"/>
      <c r="BQ501" s="147"/>
      <c r="BR501" s="147"/>
      <c r="BS501" s="147"/>
      <c r="BT501" s="147"/>
      <c r="BU501" s="147"/>
      <c r="BV501" s="147"/>
      <c r="BW501" s="147"/>
      <c r="BX501" s="147"/>
      <c r="BY501" s="147"/>
      <c r="BZ501" s="147"/>
      <c r="CA501" s="147"/>
      <c r="CB501" s="147"/>
      <c r="CC501" s="147"/>
      <c r="CD501" s="147"/>
      <c r="CE501" s="147"/>
      <c r="CF501" s="147"/>
      <c r="CG501" s="147"/>
      <c r="CH501" s="147"/>
      <c r="CI501" s="147"/>
      <c r="CJ501" s="147"/>
      <c r="CK501" s="147"/>
    </row>
    <row r="502" spans="1:89">
      <c r="A502" s="178" t="s">
        <v>953</v>
      </c>
      <c r="B502" s="179" t="s">
        <v>724</v>
      </c>
      <c r="C502" s="180" t="s">
        <v>783</v>
      </c>
      <c r="D502" s="180" t="s">
        <v>891</v>
      </c>
      <c r="E502" s="179" t="s">
        <v>21</v>
      </c>
      <c r="F502" s="179" t="s">
        <v>926</v>
      </c>
      <c r="G502" s="179"/>
      <c r="H502" s="156" t="str">
        <f ca="1">IFERROR(
  _xludf.MINIFS(ATTENDANCE_LOG!$F:$F,
         ATTENDANCE_LOG!$A:$A, C502,
         ATTENDANCE_LOG!$B:$B, E502),
"")</f>
        <v/>
      </c>
      <c r="I502" s="156" t="str">
        <f t="shared" ca="1" si="266"/>
        <v/>
      </c>
      <c r="J502" s="166">
        <f>IFERROR(VLOOKUP(F502, LEVEL_HELPER!$A:$B, 2, 0), "")</f>
        <v>1</v>
      </c>
      <c r="K502" s="166" t="str">
        <f>IFERROR(VLOOKUP(G502, LEVEL_HELPER!$A:$B, 2, 0), "")</f>
        <v/>
      </c>
      <c r="L502" s="181" t="s">
        <v>942</v>
      </c>
      <c r="M502" s="181" t="s">
        <v>924</v>
      </c>
      <c r="N502" s="3">
        <f t="array" aca="1" ref="N502" ca="1">IFERROR(
  INDEX($J$2:$J$543,
    MATCH(A502&amp;TEXT(I502,"yyyy-mm-dd"),
          $A$2:$A$543&amp;TEXT($H$2:$H$543,"yyyy-mm-dd"),
          0)),
"")</f>
        <v>1</v>
      </c>
      <c r="O502" s="170" t="str">
        <f t="shared" ca="1" si="267"/>
        <v/>
      </c>
      <c r="P502" s="147">
        <f t="shared" ref="P502:Q502" ca="1" si="518">IF(N502="",0,IF(N502&lt;=2,1,IF(N502&lt;=4,2,IF(N502&lt;=5.5,3,4))))</f>
        <v>1</v>
      </c>
      <c r="Q502" s="147">
        <f t="shared" ca="1" si="518"/>
        <v>0</v>
      </c>
      <c r="R502" s="147" t="str">
        <f t="shared" ca="1" si="269"/>
        <v>Regressed</v>
      </c>
      <c r="S502" s="147">
        <f t="shared" si="270"/>
        <v>1</v>
      </c>
      <c r="T502" s="147"/>
      <c r="U502" s="147"/>
      <c r="V502" s="147"/>
      <c r="W502" s="147"/>
      <c r="X502" s="147"/>
      <c r="Y502" s="147"/>
      <c r="Z502" s="147"/>
      <c r="AA502" s="147"/>
      <c r="AB502" s="147"/>
      <c r="AC502" s="147"/>
      <c r="AD502" s="147"/>
      <c r="AE502" s="147"/>
      <c r="AF502" s="147"/>
      <c r="AG502" s="147"/>
      <c r="AH502" s="147"/>
      <c r="AI502" s="147"/>
      <c r="AJ502" s="147"/>
      <c r="AK502" s="147"/>
      <c r="AL502" s="147"/>
      <c r="AM502" s="151"/>
      <c r="AN502" s="147"/>
      <c r="AO502" s="147"/>
      <c r="AP502" s="147"/>
      <c r="AQ502" s="147"/>
      <c r="AR502" s="147"/>
      <c r="AS502" s="147"/>
      <c r="AT502" s="147"/>
      <c r="AU502" s="147"/>
      <c r="AV502" s="147"/>
      <c r="AW502" s="147"/>
      <c r="AX502" s="147"/>
      <c r="AY502" s="147"/>
      <c r="AZ502" s="147"/>
      <c r="BA502" s="147"/>
      <c r="BB502" s="147"/>
      <c r="BC502" s="147"/>
      <c r="BD502" s="147"/>
      <c r="BE502" s="147"/>
      <c r="BF502" s="147"/>
      <c r="BG502" s="147"/>
      <c r="BH502" s="147"/>
      <c r="BI502" s="147"/>
      <c r="BJ502" s="147"/>
      <c r="BK502" s="147"/>
      <c r="BL502" s="147"/>
      <c r="BM502" s="147"/>
      <c r="BN502" s="147"/>
      <c r="BO502" s="147"/>
      <c r="BP502" s="147"/>
      <c r="BQ502" s="147"/>
      <c r="BR502" s="147"/>
      <c r="BS502" s="147"/>
      <c r="BT502" s="147"/>
      <c r="BU502" s="147"/>
      <c r="BV502" s="147"/>
      <c r="BW502" s="147"/>
      <c r="BX502" s="147"/>
      <c r="BY502" s="147"/>
      <c r="BZ502" s="147"/>
      <c r="CA502" s="147"/>
      <c r="CB502" s="147"/>
      <c r="CC502" s="147"/>
      <c r="CD502" s="147"/>
      <c r="CE502" s="147"/>
      <c r="CF502" s="147"/>
      <c r="CG502" s="147"/>
      <c r="CH502" s="147"/>
      <c r="CI502" s="147"/>
      <c r="CJ502" s="147"/>
      <c r="CK502" s="147"/>
    </row>
    <row r="503" spans="1:89">
      <c r="A503" s="165" t="s">
        <v>725</v>
      </c>
      <c r="B503" s="166" t="s">
        <v>726</v>
      </c>
      <c r="C503" s="167" t="s">
        <v>783</v>
      </c>
      <c r="D503" s="167" t="s">
        <v>891</v>
      </c>
      <c r="E503" s="166" t="s">
        <v>21</v>
      </c>
      <c r="F503" s="166" t="s">
        <v>926</v>
      </c>
      <c r="G503" s="166"/>
      <c r="H503" s="156" t="str">
        <f ca="1">IFERROR(
  _xludf.MINIFS(ATTENDANCE_LOG!$F:$F,
         ATTENDANCE_LOG!$A:$A, C503,
         ATTENDANCE_LOG!$B:$B, E503),
"")</f>
        <v/>
      </c>
      <c r="I503" s="156" t="str">
        <f t="shared" ca="1" si="266"/>
        <v/>
      </c>
      <c r="J503" s="166">
        <f>IFERROR(VLOOKUP(F503, LEVEL_HELPER!$A:$B, 2, 0), "")</f>
        <v>1</v>
      </c>
      <c r="K503" s="166" t="str">
        <f>IFERROR(VLOOKUP(G503, LEVEL_HELPER!$A:$B, 2, 0), "")</f>
        <v/>
      </c>
      <c r="L503" s="169" t="s">
        <v>942</v>
      </c>
      <c r="M503" s="169" t="s">
        <v>924</v>
      </c>
      <c r="N503" s="3">
        <f t="array" aca="1" ref="N503" ca="1">IFERROR(
  INDEX($J$2:$J$543,
    MATCH(A503&amp;TEXT(I503,"yyyy-mm-dd"),
          $A$2:$A$543&amp;TEXT($H$2:$H$543,"yyyy-mm-dd"),
          0)),
"")</f>
        <v>1</v>
      </c>
      <c r="O503" s="170" t="str">
        <f t="shared" ca="1" si="267"/>
        <v/>
      </c>
      <c r="P503" s="147">
        <f t="shared" ref="P503:Q503" ca="1" si="519">IF(N503="",0,IF(N503&lt;=2,1,IF(N503&lt;=4,2,IF(N503&lt;=5.5,3,4))))</f>
        <v>1</v>
      </c>
      <c r="Q503" s="147">
        <f t="shared" ca="1" si="519"/>
        <v>0</v>
      </c>
      <c r="R503" s="147" t="str">
        <f t="shared" ca="1" si="269"/>
        <v>Regressed</v>
      </c>
      <c r="S503" s="147">
        <f t="shared" si="270"/>
        <v>1</v>
      </c>
      <c r="T503" s="147"/>
      <c r="U503" s="147"/>
      <c r="V503" s="147"/>
      <c r="W503" s="147"/>
      <c r="X503" s="147"/>
      <c r="Y503" s="147"/>
      <c r="Z503" s="147"/>
      <c r="AA503" s="147"/>
      <c r="AB503" s="147"/>
      <c r="AC503" s="147"/>
      <c r="AD503" s="147"/>
      <c r="AE503" s="147"/>
      <c r="AF503" s="147"/>
      <c r="AG503" s="147"/>
      <c r="AH503" s="147"/>
      <c r="AI503" s="147"/>
      <c r="AJ503" s="147"/>
      <c r="AK503" s="147"/>
      <c r="AL503" s="147"/>
      <c r="AM503" s="151"/>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c r="BI503" s="147"/>
      <c r="BJ503" s="147"/>
      <c r="BK503" s="147"/>
      <c r="BL503" s="147"/>
      <c r="BM503" s="147"/>
      <c r="BN503" s="147"/>
      <c r="BO503" s="147"/>
      <c r="BP503" s="147"/>
      <c r="BQ503" s="147"/>
      <c r="BR503" s="147"/>
      <c r="BS503" s="147"/>
      <c r="BT503" s="147"/>
      <c r="BU503" s="147"/>
      <c r="BV503" s="147"/>
      <c r="BW503" s="147"/>
      <c r="BX503" s="147"/>
      <c r="BY503" s="147"/>
      <c r="BZ503" s="147"/>
      <c r="CA503" s="147"/>
      <c r="CB503" s="147"/>
      <c r="CC503" s="147"/>
      <c r="CD503" s="147"/>
      <c r="CE503" s="147"/>
      <c r="CF503" s="147"/>
      <c r="CG503" s="147"/>
      <c r="CH503" s="147"/>
      <c r="CI503" s="147"/>
      <c r="CJ503" s="147"/>
      <c r="CK503" s="147"/>
    </row>
    <row r="504" spans="1:89">
      <c r="A504" s="165" t="s">
        <v>727</v>
      </c>
      <c r="B504" s="166" t="s">
        <v>728</v>
      </c>
      <c r="C504" s="167" t="s">
        <v>783</v>
      </c>
      <c r="D504" s="167" t="s">
        <v>891</v>
      </c>
      <c r="E504" s="166" t="s">
        <v>21</v>
      </c>
      <c r="F504" s="166" t="s">
        <v>926</v>
      </c>
      <c r="G504" s="166"/>
      <c r="H504" s="156" t="str">
        <f ca="1">IFERROR(
  _xludf.MINIFS(ATTENDANCE_LOG!$F:$F,
         ATTENDANCE_LOG!$A:$A, C504,
         ATTENDANCE_LOG!$B:$B, E504),
"")</f>
        <v/>
      </c>
      <c r="I504" s="156" t="str">
        <f t="shared" ca="1" si="266"/>
        <v/>
      </c>
      <c r="J504" s="166">
        <f>IFERROR(VLOOKUP(F504, LEVEL_HELPER!$A:$B, 2, 0), "")</f>
        <v>1</v>
      </c>
      <c r="K504" s="166" t="str">
        <f>IFERROR(VLOOKUP(G504, LEVEL_HELPER!$A:$B, 2, 0), "")</f>
        <v/>
      </c>
      <c r="L504" s="169" t="s">
        <v>942</v>
      </c>
      <c r="M504" s="169" t="s">
        <v>924</v>
      </c>
      <c r="N504" s="3">
        <f t="array" aca="1" ref="N504" ca="1">IFERROR(
  INDEX($J$2:$J$543,
    MATCH(A504&amp;TEXT(I504,"yyyy-mm-dd"),
          $A$2:$A$543&amp;TEXT($H$2:$H$543,"yyyy-mm-dd"),
          0)),
"")</f>
        <v>1</v>
      </c>
      <c r="O504" s="170" t="str">
        <f t="shared" ca="1" si="267"/>
        <v/>
      </c>
      <c r="P504" s="147">
        <f t="shared" ref="P504:Q504" ca="1" si="520">IF(N504="",0,IF(N504&lt;=2,1,IF(N504&lt;=4,2,IF(N504&lt;=5.5,3,4))))</f>
        <v>1</v>
      </c>
      <c r="Q504" s="147">
        <f t="shared" ca="1" si="520"/>
        <v>0</v>
      </c>
      <c r="R504" s="147" t="str">
        <f t="shared" ca="1" si="269"/>
        <v>Regressed</v>
      </c>
      <c r="S504" s="147">
        <f t="shared" si="270"/>
        <v>1</v>
      </c>
      <c r="T504" s="147"/>
      <c r="U504" s="147"/>
      <c r="V504" s="147"/>
      <c r="W504" s="147"/>
      <c r="X504" s="147"/>
      <c r="Y504" s="147"/>
      <c r="Z504" s="147"/>
      <c r="AA504" s="147"/>
      <c r="AB504" s="147"/>
      <c r="AC504" s="147"/>
      <c r="AD504" s="147"/>
      <c r="AE504" s="147"/>
      <c r="AF504" s="147"/>
      <c r="AG504" s="147"/>
      <c r="AH504" s="147"/>
      <c r="AI504" s="147"/>
      <c r="AJ504" s="147"/>
      <c r="AK504" s="147"/>
      <c r="AL504" s="147"/>
      <c r="AM504" s="151"/>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c r="BI504" s="147"/>
      <c r="BJ504" s="147"/>
      <c r="BK504" s="147"/>
      <c r="BL504" s="147"/>
      <c r="BM504" s="147"/>
      <c r="BN504" s="147"/>
      <c r="BO504" s="147"/>
      <c r="BP504" s="147"/>
      <c r="BQ504" s="147"/>
      <c r="BR504" s="147"/>
      <c r="BS504" s="147"/>
      <c r="BT504" s="147"/>
      <c r="BU504" s="147"/>
      <c r="BV504" s="147"/>
      <c r="BW504" s="147"/>
      <c r="BX504" s="147"/>
      <c r="BY504" s="147"/>
      <c r="BZ504" s="147"/>
      <c r="CA504" s="147"/>
      <c r="CB504" s="147"/>
      <c r="CC504" s="147"/>
      <c r="CD504" s="147"/>
      <c r="CE504" s="147"/>
      <c r="CF504" s="147"/>
      <c r="CG504" s="147"/>
      <c r="CH504" s="147"/>
      <c r="CI504" s="147"/>
      <c r="CJ504" s="147"/>
      <c r="CK504" s="147"/>
    </row>
    <row r="505" spans="1:89">
      <c r="A505" s="165" t="s">
        <v>729</v>
      </c>
      <c r="B505" s="166" t="s">
        <v>730</v>
      </c>
      <c r="C505" s="167" t="s">
        <v>783</v>
      </c>
      <c r="D505" s="167" t="s">
        <v>891</v>
      </c>
      <c r="E505" s="166" t="s">
        <v>21</v>
      </c>
      <c r="F505" s="166" t="s">
        <v>926</v>
      </c>
      <c r="G505" s="166"/>
      <c r="H505" s="156" t="str">
        <f ca="1">IFERROR(
  _xludf.MINIFS(ATTENDANCE_LOG!$F:$F,
         ATTENDANCE_LOG!$A:$A, C505,
         ATTENDANCE_LOG!$B:$B, E505),
"")</f>
        <v/>
      </c>
      <c r="I505" s="156" t="str">
        <f t="shared" ca="1" si="266"/>
        <v/>
      </c>
      <c r="J505" s="166">
        <f>IFERROR(VLOOKUP(F505, LEVEL_HELPER!$A:$B, 2, 0), "")</f>
        <v>1</v>
      </c>
      <c r="K505" s="166" t="str">
        <f>IFERROR(VLOOKUP(G505, LEVEL_HELPER!$A:$B, 2, 0), "")</f>
        <v/>
      </c>
      <c r="L505" s="169" t="s">
        <v>942</v>
      </c>
      <c r="M505" s="169" t="s">
        <v>924</v>
      </c>
      <c r="N505" s="3">
        <f t="array" aca="1" ref="N505" ca="1">IFERROR(
  INDEX($J$2:$J$543,
    MATCH(A505&amp;TEXT(I505,"yyyy-mm-dd"),
          $A$2:$A$543&amp;TEXT($H$2:$H$543,"yyyy-mm-dd"),
          0)),
"")</f>
        <v>1</v>
      </c>
      <c r="O505" s="170" t="str">
        <f t="shared" ca="1" si="267"/>
        <v/>
      </c>
      <c r="P505" s="147">
        <f t="shared" ref="P505:Q505" ca="1" si="521">IF(N505="",0,IF(N505&lt;=2,1,IF(N505&lt;=4,2,IF(N505&lt;=5.5,3,4))))</f>
        <v>1</v>
      </c>
      <c r="Q505" s="147">
        <f t="shared" ca="1" si="521"/>
        <v>0</v>
      </c>
      <c r="R505" s="147" t="str">
        <f t="shared" ca="1" si="269"/>
        <v>Regressed</v>
      </c>
      <c r="S505" s="147">
        <f t="shared" si="270"/>
        <v>1</v>
      </c>
      <c r="T505" s="147"/>
      <c r="U505" s="147"/>
      <c r="V505" s="147"/>
      <c r="W505" s="147"/>
      <c r="X505" s="147"/>
      <c r="Y505" s="147"/>
      <c r="Z505" s="147"/>
      <c r="AA505" s="147"/>
      <c r="AB505" s="147"/>
      <c r="AC505" s="147"/>
      <c r="AD505" s="147"/>
      <c r="AE505" s="147"/>
      <c r="AF505" s="147"/>
      <c r="AG505" s="147"/>
      <c r="AH505" s="147"/>
      <c r="AI505" s="147"/>
      <c r="AJ505" s="147"/>
      <c r="AK505" s="147"/>
      <c r="AL505" s="147"/>
      <c r="AM505" s="151"/>
      <c r="AN505" s="147"/>
      <c r="AO505" s="147"/>
      <c r="AP505" s="147"/>
      <c r="AQ505" s="147"/>
      <c r="AR505" s="147"/>
      <c r="AS505" s="147"/>
      <c r="AT505" s="147"/>
      <c r="AU505" s="147"/>
      <c r="AV505" s="147"/>
      <c r="AW505" s="147"/>
      <c r="AX505" s="147"/>
      <c r="AY505" s="147"/>
      <c r="AZ505" s="147"/>
      <c r="BA505" s="147"/>
      <c r="BB505" s="147"/>
      <c r="BC505" s="147"/>
      <c r="BD505" s="147"/>
      <c r="BE505" s="147"/>
      <c r="BF505" s="147"/>
      <c r="BG505" s="147"/>
      <c r="BH505" s="147"/>
      <c r="BI505" s="147"/>
      <c r="BJ505" s="147"/>
      <c r="BK505" s="147"/>
      <c r="BL505" s="147"/>
      <c r="BM505" s="147"/>
      <c r="BN505" s="147"/>
      <c r="BO505" s="147"/>
      <c r="BP505" s="147"/>
      <c r="BQ505" s="147"/>
      <c r="BR505" s="147"/>
      <c r="BS505" s="147"/>
      <c r="BT505" s="147"/>
      <c r="BU505" s="147"/>
      <c r="BV505" s="147"/>
      <c r="BW505" s="147"/>
      <c r="BX505" s="147"/>
      <c r="BY505" s="147"/>
      <c r="BZ505" s="147"/>
      <c r="CA505" s="147"/>
      <c r="CB505" s="147"/>
      <c r="CC505" s="147"/>
      <c r="CD505" s="147"/>
      <c r="CE505" s="147"/>
      <c r="CF505" s="147"/>
      <c r="CG505" s="147"/>
      <c r="CH505" s="147"/>
      <c r="CI505" s="147"/>
      <c r="CJ505" s="147"/>
      <c r="CK505" s="147"/>
    </row>
    <row r="506" spans="1:89">
      <c r="A506" s="165" t="s">
        <v>731</v>
      </c>
      <c r="B506" s="166" t="s">
        <v>732</v>
      </c>
      <c r="C506" s="167" t="s">
        <v>783</v>
      </c>
      <c r="D506" s="167" t="s">
        <v>891</v>
      </c>
      <c r="E506" s="166" t="s">
        <v>21</v>
      </c>
      <c r="F506" s="166" t="s">
        <v>926</v>
      </c>
      <c r="G506" s="166"/>
      <c r="H506" s="156" t="str">
        <f ca="1">IFERROR(
  _xludf.MINIFS(ATTENDANCE_LOG!$F:$F,
         ATTENDANCE_LOG!$A:$A, C506,
         ATTENDANCE_LOG!$B:$B, E506),
"")</f>
        <v/>
      </c>
      <c r="I506" s="156" t="str">
        <f t="shared" ca="1" si="266"/>
        <v/>
      </c>
      <c r="J506" s="166">
        <f>IFERROR(VLOOKUP(F506, LEVEL_HELPER!$A:$B, 2, 0), "")</f>
        <v>1</v>
      </c>
      <c r="K506" s="166" t="str">
        <f>IFERROR(VLOOKUP(G506, LEVEL_HELPER!$A:$B, 2, 0), "")</f>
        <v/>
      </c>
      <c r="L506" s="169" t="s">
        <v>942</v>
      </c>
      <c r="M506" s="169" t="s">
        <v>924</v>
      </c>
      <c r="N506" s="3">
        <f t="array" aca="1" ref="N506" ca="1">IFERROR(
  INDEX($J$2:$J$543,
    MATCH(A506&amp;TEXT(I506,"yyyy-mm-dd"),
          $A$2:$A$543&amp;TEXT($H$2:$H$543,"yyyy-mm-dd"),
          0)),
"")</f>
        <v>1</v>
      </c>
      <c r="O506" s="170" t="str">
        <f t="shared" ca="1" si="267"/>
        <v/>
      </c>
      <c r="P506" s="147">
        <f t="shared" ref="P506:Q506" ca="1" si="522">IF(N506="",0,IF(N506&lt;=2,1,IF(N506&lt;=4,2,IF(N506&lt;=5.5,3,4))))</f>
        <v>1</v>
      </c>
      <c r="Q506" s="147">
        <f t="shared" ca="1" si="522"/>
        <v>0</v>
      </c>
      <c r="R506" s="147" t="str">
        <f t="shared" ca="1" si="269"/>
        <v>Regressed</v>
      </c>
      <c r="S506" s="147">
        <f t="shared" si="270"/>
        <v>1</v>
      </c>
      <c r="T506" s="147"/>
      <c r="U506" s="147"/>
      <c r="V506" s="147"/>
      <c r="W506" s="147"/>
      <c r="X506" s="147"/>
      <c r="Y506" s="147"/>
      <c r="Z506" s="147"/>
      <c r="AA506" s="147"/>
      <c r="AB506" s="147"/>
      <c r="AC506" s="147"/>
      <c r="AD506" s="147"/>
      <c r="AE506" s="147"/>
      <c r="AF506" s="147"/>
      <c r="AG506" s="147"/>
      <c r="AH506" s="147"/>
      <c r="AI506" s="147"/>
      <c r="AJ506" s="147"/>
      <c r="AK506" s="147"/>
      <c r="AL506" s="147"/>
      <c r="AM506" s="151"/>
      <c r="AN506" s="147"/>
      <c r="AO506" s="147"/>
      <c r="AP506" s="147"/>
      <c r="AQ506" s="147"/>
      <c r="AR506" s="147"/>
      <c r="AS506" s="147"/>
      <c r="AT506" s="147"/>
      <c r="AU506" s="147"/>
      <c r="AV506" s="147"/>
      <c r="AW506" s="147"/>
      <c r="AX506" s="147"/>
      <c r="AY506" s="147"/>
      <c r="AZ506" s="147"/>
      <c r="BA506" s="147"/>
      <c r="BB506" s="147"/>
      <c r="BC506" s="147"/>
      <c r="BD506" s="147"/>
      <c r="BE506" s="147"/>
      <c r="BF506" s="147"/>
      <c r="BG506" s="147"/>
      <c r="BH506" s="147"/>
      <c r="BI506" s="147"/>
      <c r="BJ506" s="147"/>
      <c r="BK506" s="147"/>
      <c r="BL506" s="147"/>
      <c r="BM506" s="147"/>
      <c r="BN506" s="147"/>
      <c r="BO506" s="147"/>
      <c r="BP506" s="147"/>
      <c r="BQ506" s="147"/>
      <c r="BR506" s="147"/>
      <c r="BS506" s="147"/>
      <c r="BT506" s="147"/>
      <c r="BU506" s="147"/>
      <c r="BV506" s="147"/>
      <c r="BW506" s="147"/>
      <c r="BX506" s="147"/>
      <c r="BY506" s="147"/>
      <c r="BZ506" s="147"/>
      <c r="CA506" s="147"/>
      <c r="CB506" s="147"/>
      <c r="CC506" s="147"/>
      <c r="CD506" s="147"/>
      <c r="CE506" s="147"/>
      <c r="CF506" s="147"/>
      <c r="CG506" s="147"/>
      <c r="CH506" s="147"/>
      <c r="CI506" s="147"/>
      <c r="CJ506" s="147"/>
      <c r="CK506" s="147"/>
    </row>
    <row r="507" spans="1:89">
      <c r="A507" s="165" t="s">
        <v>733</v>
      </c>
      <c r="B507" s="166" t="s">
        <v>734</v>
      </c>
      <c r="C507" s="167" t="s">
        <v>783</v>
      </c>
      <c r="D507" s="167" t="s">
        <v>891</v>
      </c>
      <c r="E507" s="166" t="s">
        <v>21</v>
      </c>
      <c r="F507" s="166" t="s">
        <v>926</v>
      </c>
      <c r="G507" s="166"/>
      <c r="H507" s="156" t="str">
        <f ca="1">IFERROR(
  _xludf.MINIFS(ATTENDANCE_LOG!$F:$F,
         ATTENDANCE_LOG!$A:$A, C507,
         ATTENDANCE_LOG!$B:$B, E507),
"")</f>
        <v/>
      </c>
      <c r="I507" s="156" t="str">
        <f t="shared" ca="1" si="266"/>
        <v/>
      </c>
      <c r="J507" s="166">
        <f>IFERROR(VLOOKUP(F507, LEVEL_HELPER!$A:$B, 2, 0), "")</f>
        <v>1</v>
      </c>
      <c r="K507" s="166" t="str">
        <f>IFERROR(VLOOKUP(G507, LEVEL_HELPER!$A:$B, 2, 0), "")</f>
        <v/>
      </c>
      <c r="L507" s="169" t="s">
        <v>942</v>
      </c>
      <c r="M507" s="169" t="s">
        <v>924</v>
      </c>
      <c r="N507" s="3">
        <f t="array" aca="1" ref="N507" ca="1">IFERROR(
  INDEX($J$2:$J$543,
    MATCH(A507&amp;TEXT(I507,"yyyy-mm-dd"),
          $A$2:$A$543&amp;TEXT($H$2:$H$543,"yyyy-mm-dd"),
          0)),
"")</f>
        <v>1</v>
      </c>
      <c r="O507" s="170" t="str">
        <f t="shared" ca="1" si="267"/>
        <v/>
      </c>
      <c r="P507" s="147">
        <f t="shared" ref="P507:Q507" ca="1" si="523">IF(N507="",0,IF(N507&lt;=2,1,IF(N507&lt;=4,2,IF(N507&lt;=5.5,3,4))))</f>
        <v>1</v>
      </c>
      <c r="Q507" s="147">
        <f t="shared" ca="1" si="523"/>
        <v>0</v>
      </c>
      <c r="R507" s="147" t="str">
        <f t="shared" ca="1" si="269"/>
        <v>Regressed</v>
      </c>
      <c r="S507" s="147">
        <f t="shared" si="270"/>
        <v>1</v>
      </c>
      <c r="T507" s="147"/>
      <c r="U507" s="147"/>
      <c r="V507" s="147"/>
      <c r="W507" s="147"/>
      <c r="X507" s="147"/>
      <c r="Y507" s="147"/>
      <c r="Z507" s="147"/>
      <c r="AA507" s="147"/>
      <c r="AB507" s="147"/>
      <c r="AC507" s="147"/>
      <c r="AD507" s="147"/>
      <c r="AE507" s="147"/>
      <c r="AF507" s="147"/>
      <c r="AG507" s="147"/>
      <c r="AH507" s="147"/>
      <c r="AI507" s="147"/>
      <c r="AJ507" s="147"/>
      <c r="AK507" s="147"/>
      <c r="AL507" s="147"/>
      <c r="AM507" s="151"/>
      <c r="AN507" s="147"/>
      <c r="AO507" s="147"/>
      <c r="AP507" s="147"/>
      <c r="AQ507" s="147"/>
      <c r="AR507" s="147"/>
      <c r="AS507" s="147"/>
      <c r="AT507" s="147"/>
      <c r="AU507" s="147"/>
      <c r="AV507" s="147"/>
      <c r="AW507" s="147"/>
      <c r="AX507" s="147"/>
      <c r="AY507" s="147"/>
      <c r="AZ507" s="147"/>
      <c r="BA507" s="147"/>
      <c r="BB507" s="147"/>
      <c r="BC507" s="147"/>
      <c r="BD507" s="147"/>
      <c r="BE507" s="147"/>
      <c r="BF507" s="147"/>
      <c r="BG507" s="147"/>
      <c r="BH507" s="147"/>
      <c r="BI507" s="147"/>
      <c r="BJ507" s="147"/>
      <c r="BK507" s="147"/>
      <c r="BL507" s="147"/>
      <c r="BM507" s="147"/>
      <c r="BN507" s="147"/>
      <c r="BO507" s="147"/>
      <c r="BP507" s="147"/>
      <c r="BQ507" s="147"/>
      <c r="BR507" s="147"/>
      <c r="BS507" s="147"/>
      <c r="BT507" s="147"/>
      <c r="BU507" s="147"/>
      <c r="BV507" s="147"/>
      <c r="BW507" s="147"/>
      <c r="BX507" s="147"/>
      <c r="BY507" s="147"/>
      <c r="BZ507" s="147"/>
      <c r="CA507" s="147"/>
      <c r="CB507" s="147"/>
      <c r="CC507" s="147"/>
      <c r="CD507" s="147"/>
      <c r="CE507" s="147"/>
      <c r="CF507" s="147"/>
      <c r="CG507" s="147"/>
      <c r="CH507" s="147"/>
      <c r="CI507" s="147"/>
      <c r="CJ507" s="147"/>
      <c r="CK507" s="147"/>
    </row>
    <row r="508" spans="1:89">
      <c r="A508" s="178" t="s">
        <v>735</v>
      </c>
      <c r="B508" s="179" t="s">
        <v>736</v>
      </c>
      <c r="C508" s="180" t="s">
        <v>794</v>
      </c>
      <c r="D508" s="180" t="s">
        <v>892</v>
      </c>
      <c r="E508" s="179" t="s">
        <v>21</v>
      </c>
      <c r="F508" s="179" t="s">
        <v>926</v>
      </c>
      <c r="G508" s="179"/>
      <c r="H508" s="156" t="str">
        <f ca="1">IFERROR(
  _xludf.MINIFS(ATTENDANCE_LOG!$F:$F,
         ATTENDANCE_LOG!$A:$A, C508,
         ATTENDANCE_LOG!$B:$B, E508),
"")</f>
        <v/>
      </c>
      <c r="I508" s="156" t="str">
        <f t="shared" ca="1" si="266"/>
        <v/>
      </c>
      <c r="J508" s="166">
        <f>IFERROR(VLOOKUP(F508, LEVEL_HELPER!$A:$B, 2, 0), "")</f>
        <v>1</v>
      </c>
      <c r="K508" s="166" t="str">
        <f>IFERROR(VLOOKUP(G508, LEVEL_HELPER!$A:$B, 2, 0), "")</f>
        <v/>
      </c>
      <c r="L508" s="181" t="s">
        <v>942</v>
      </c>
      <c r="M508" s="181" t="s">
        <v>924</v>
      </c>
      <c r="N508" s="3">
        <f t="array" aca="1" ref="N508" ca="1">IFERROR(
  INDEX($J$2:$J$543,
    MATCH(A508&amp;TEXT(I508,"yyyy-mm-dd"),
          $A$2:$A$543&amp;TEXT($H$2:$H$543,"yyyy-mm-dd"),
          0)),
"")</f>
        <v>1</v>
      </c>
      <c r="O508" s="170" t="str">
        <f t="shared" ca="1" si="267"/>
        <v/>
      </c>
      <c r="P508" s="147">
        <f t="shared" ref="P508:Q508" ca="1" si="524">IF(N508="",0,IF(N508&lt;=2,1,IF(N508&lt;=4,2,IF(N508&lt;=5.5,3,4))))</f>
        <v>1</v>
      </c>
      <c r="Q508" s="147">
        <f t="shared" ca="1" si="524"/>
        <v>0</v>
      </c>
      <c r="R508" s="147" t="str">
        <f t="shared" ca="1" si="269"/>
        <v>Regressed</v>
      </c>
      <c r="S508" s="147">
        <f t="shared" si="270"/>
        <v>1</v>
      </c>
      <c r="T508" s="147"/>
      <c r="U508" s="147"/>
      <c r="V508" s="147"/>
      <c r="W508" s="147"/>
      <c r="X508" s="147"/>
      <c r="Y508" s="147"/>
      <c r="Z508" s="147"/>
      <c r="AA508" s="147"/>
      <c r="AB508" s="147"/>
      <c r="AC508" s="147"/>
      <c r="AD508" s="147"/>
      <c r="AE508" s="147"/>
      <c r="AF508" s="147"/>
      <c r="AG508" s="147"/>
      <c r="AH508" s="147"/>
      <c r="AI508" s="147"/>
      <c r="AJ508" s="147"/>
      <c r="AK508" s="147"/>
      <c r="AL508" s="147"/>
      <c r="AM508" s="151"/>
      <c r="AN508" s="147"/>
      <c r="AO508" s="147"/>
      <c r="AP508" s="147"/>
      <c r="AQ508" s="147"/>
      <c r="AR508" s="147"/>
      <c r="AS508" s="147"/>
      <c r="AT508" s="147"/>
      <c r="AU508" s="147"/>
      <c r="AV508" s="147"/>
      <c r="AW508" s="147"/>
      <c r="AX508" s="147"/>
      <c r="AY508" s="147"/>
      <c r="AZ508" s="147"/>
      <c r="BA508" s="147"/>
      <c r="BB508" s="147"/>
      <c r="BC508" s="147"/>
      <c r="BD508" s="147"/>
      <c r="BE508" s="147"/>
      <c r="BF508" s="147"/>
      <c r="BG508" s="147"/>
      <c r="BH508" s="147"/>
      <c r="BI508" s="147"/>
      <c r="BJ508" s="147"/>
      <c r="BK508" s="147"/>
      <c r="BL508" s="147"/>
      <c r="BM508" s="147"/>
      <c r="BN508" s="147"/>
      <c r="BO508" s="147"/>
      <c r="BP508" s="147"/>
      <c r="BQ508" s="147"/>
      <c r="BR508" s="147"/>
      <c r="BS508" s="147"/>
      <c r="BT508" s="147"/>
      <c r="BU508" s="147"/>
      <c r="BV508" s="147"/>
      <c r="BW508" s="147"/>
      <c r="BX508" s="147"/>
      <c r="BY508" s="147"/>
      <c r="BZ508" s="147"/>
      <c r="CA508" s="147"/>
      <c r="CB508" s="147"/>
      <c r="CC508" s="147"/>
      <c r="CD508" s="147"/>
      <c r="CE508" s="147"/>
      <c r="CF508" s="147"/>
      <c r="CG508" s="147"/>
      <c r="CH508" s="147"/>
      <c r="CI508" s="147"/>
      <c r="CJ508" s="147"/>
      <c r="CK508" s="147"/>
    </row>
    <row r="509" spans="1:89">
      <c r="A509" s="165" t="s">
        <v>737</v>
      </c>
      <c r="B509" s="166" t="s">
        <v>738</v>
      </c>
      <c r="C509" s="167" t="s">
        <v>794</v>
      </c>
      <c r="D509" s="167" t="s">
        <v>892</v>
      </c>
      <c r="E509" s="166" t="s">
        <v>21</v>
      </c>
      <c r="F509" s="166" t="s">
        <v>926</v>
      </c>
      <c r="G509" s="166"/>
      <c r="H509" s="156" t="str">
        <f ca="1">IFERROR(
  _xludf.MINIFS(ATTENDANCE_LOG!$F:$F,
         ATTENDANCE_LOG!$A:$A, C509,
         ATTENDANCE_LOG!$B:$B, E509),
"")</f>
        <v/>
      </c>
      <c r="I509" s="156" t="str">
        <f t="shared" ca="1" si="266"/>
        <v/>
      </c>
      <c r="J509" s="166">
        <f>IFERROR(VLOOKUP(F509, LEVEL_HELPER!$A:$B, 2, 0), "")</f>
        <v>1</v>
      </c>
      <c r="K509" s="166" t="str">
        <f>IFERROR(VLOOKUP(G509, LEVEL_HELPER!$A:$B, 2, 0), "")</f>
        <v/>
      </c>
      <c r="L509" s="169" t="s">
        <v>942</v>
      </c>
      <c r="M509" s="169" t="s">
        <v>924</v>
      </c>
      <c r="N509" s="3">
        <f t="array" aca="1" ref="N509" ca="1">IFERROR(
  INDEX($J$2:$J$543,
    MATCH(A509&amp;TEXT(I509,"yyyy-mm-dd"),
          $A$2:$A$543&amp;TEXT($H$2:$H$543,"yyyy-mm-dd"),
          0)),
"")</f>
        <v>1</v>
      </c>
      <c r="O509" s="170" t="str">
        <f t="shared" ca="1" si="267"/>
        <v/>
      </c>
      <c r="P509" s="147">
        <f t="shared" ref="P509:Q509" ca="1" si="525">IF(N509="",0,IF(N509&lt;=2,1,IF(N509&lt;=4,2,IF(N509&lt;=5.5,3,4))))</f>
        <v>1</v>
      </c>
      <c r="Q509" s="147">
        <f t="shared" ca="1" si="525"/>
        <v>0</v>
      </c>
      <c r="R509" s="147" t="str">
        <f t="shared" ca="1" si="269"/>
        <v>Regressed</v>
      </c>
      <c r="S509" s="147">
        <f t="shared" si="270"/>
        <v>1</v>
      </c>
      <c r="T509" s="147"/>
      <c r="U509" s="147"/>
      <c r="V509" s="147"/>
      <c r="W509" s="147"/>
      <c r="X509" s="147"/>
      <c r="Y509" s="147"/>
      <c r="Z509" s="147"/>
      <c r="AA509" s="147"/>
      <c r="AB509" s="147"/>
      <c r="AC509" s="147"/>
      <c r="AD509" s="147"/>
      <c r="AE509" s="147"/>
      <c r="AF509" s="147"/>
      <c r="AG509" s="147"/>
      <c r="AH509" s="147"/>
      <c r="AI509" s="147"/>
      <c r="AJ509" s="147"/>
      <c r="AK509" s="147"/>
      <c r="AL509" s="147"/>
      <c r="AM509" s="151"/>
      <c r="AN509" s="147"/>
      <c r="AO509" s="147"/>
      <c r="AP509" s="147"/>
      <c r="AQ509" s="147"/>
      <c r="AR509" s="147"/>
      <c r="AS509" s="147"/>
      <c r="AT509" s="147"/>
      <c r="AU509" s="147"/>
      <c r="AV509" s="147"/>
      <c r="AW509" s="147"/>
      <c r="AX509" s="147"/>
      <c r="AY509" s="147"/>
      <c r="AZ509" s="147"/>
      <c r="BA509" s="147"/>
      <c r="BB509" s="147"/>
      <c r="BC509" s="147"/>
      <c r="BD509" s="147"/>
      <c r="BE509" s="147"/>
      <c r="BF509" s="147"/>
      <c r="BG509" s="147"/>
      <c r="BH509" s="147"/>
      <c r="BI509" s="147"/>
      <c r="BJ509" s="147"/>
      <c r="BK509" s="147"/>
      <c r="BL509" s="147"/>
      <c r="BM509" s="147"/>
      <c r="BN509" s="147"/>
      <c r="BO509" s="147"/>
      <c r="BP509" s="147"/>
      <c r="BQ509" s="147"/>
      <c r="BR509" s="147"/>
      <c r="BS509" s="147"/>
      <c r="BT509" s="147"/>
      <c r="BU509" s="147"/>
      <c r="BV509" s="147"/>
      <c r="BW509" s="147"/>
      <c r="BX509" s="147"/>
      <c r="BY509" s="147"/>
      <c r="BZ509" s="147"/>
      <c r="CA509" s="147"/>
      <c r="CB509" s="147"/>
      <c r="CC509" s="147"/>
      <c r="CD509" s="147"/>
      <c r="CE509" s="147"/>
      <c r="CF509" s="147"/>
      <c r="CG509" s="147"/>
      <c r="CH509" s="147"/>
      <c r="CI509" s="147"/>
      <c r="CJ509" s="147"/>
      <c r="CK509" s="147"/>
    </row>
    <row r="510" spans="1:89">
      <c r="A510" s="165" t="s">
        <v>739</v>
      </c>
      <c r="B510" s="166" t="s">
        <v>740</v>
      </c>
      <c r="C510" s="167" t="s">
        <v>794</v>
      </c>
      <c r="D510" s="167" t="s">
        <v>892</v>
      </c>
      <c r="E510" s="166" t="s">
        <v>21</v>
      </c>
      <c r="F510" s="166" t="s">
        <v>926</v>
      </c>
      <c r="G510" s="166"/>
      <c r="H510" s="156" t="str">
        <f ca="1">IFERROR(
  _xludf.MINIFS(ATTENDANCE_LOG!$F:$F,
         ATTENDANCE_LOG!$A:$A, C510,
         ATTENDANCE_LOG!$B:$B, E510),
"")</f>
        <v/>
      </c>
      <c r="I510" s="156" t="str">
        <f t="shared" ca="1" si="266"/>
        <v/>
      </c>
      <c r="J510" s="166">
        <f>IFERROR(VLOOKUP(F510, LEVEL_HELPER!$A:$B, 2, 0), "")</f>
        <v>1</v>
      </c>
      <c r="K510" s="166" t="str">
        <f>IFERROR(VLOOKUP(G510, LEVEL_HELPER!$A:$B, 2, 0), "")</f>
        <v/>
      </c>
      <c r="L510" s="169" t="s">
        <v>942</v>
      </c>
      <c r="M510" s="169" t="s">
        <v>924</v>
      </c>
      <c r="N510" s="3">
        <f t="array" aca="1" ref="N510" ca="1">IFERROR(
  INDEX($J$2:$J$543,
    MATCH(A510&amp;TEXT(I510,"yyyy-mm-dd"),
          $A$2:$A$543&amp;TEXT($H$2:$H$543,"yyyy-mm-dd"),
          0)),
"")</f>
        <v>1</v>
      </c>
      <c r="O510" s="170" t="str">
        <f t="shared" ca="1" si="267"/>
        <v/>
      </c>
      <c r="P510" s="147">
        <f t="shared" ref="P510:Q510" ca="1" si="526">IF(N510="",0,IF(N510&lt;=2,1,IF(N510&lt;=4,2,IF(N510&lt;=5.5,3,4))))</f>
        <v>1</v>
      </c>
      <c r="Q510" s="147">
        <f t="shared" ca="1" si="526"/>
        <v>0</v>
      </c>
      <c r="R510" s="147" t="str">
        <f t="shared" ca="1" si="269"/>
        <v>Regressed</v>
      </c>
      <c r="S510" s="147">
        <f t="shared" si="270"/>
        <v>1</v>
      </c>
      <c r="T510" s="147"/>
      <c r="U510" s="147"/>
      <c r="V510" s="147"/>
      <c r="W510" s="147"/>
      <c r="X510" s="147"/>
      <c r="Y510" s="147"/>
      <c r="Z510" s="147"/>
      <c r="AA510" s="147"/>
      <c r="AB510" s="147"/>
      <c r="AC510" s="147"/>
      <c r="AD510" s="147"/>
      <c r="AE510" s="147"/>
      <c r="AF510" s="147"/>
      <c r="AG510" s="147"/>
      <c r="AH510" s="147"/>
      <c r="AI510" s="147"/>
      <c r="AJ510" s="147"/>
      <c r="AK510" s="147"/>
      <c r="AL510" s="147"/>
      <c r="AM510" s="151"/>
      <c r="AN510" s="147"/>
      <c r="AO510" s="147"/>
      <c r="AP510" s="147"/>
      <c r="AQ510" s="147"/>
      <c r="AR510" s="147"/>
      <c r="AS510" s="147"/>
      <c r="AT510" s="147"/>
      <c r="AU510" s="147"/>
      <c r="AV510" s="147"/>
      <c r="AW510" s="147"/>
      <c r="AX510" s="147"/>
      <c r="AY510" s="147"/>
      <c r="AZ510" s="147"/>
      <c r="BA510" s="147"/>
      <c r="BB510" s="147"/>
      <c r="BC510" s="147"/>
      <c r="BD510" s="147"/>
      <c r="BE510" s="147"/>
      <c r="BF510" s="147"/>
      <c r="BG510" s="147"/>
      <c r="BH510" s="147"/>
      <c r="BI510" s="147"/>
      <c r="BJ510" s="147"/>
      <c r="BK510" s="147"/>
      <c r="BL510" s="147"/>
      <c r="BM510" s="147"/>
      <c r="BN510" s="147"/>
      <c r="BO510" s="147"/>
      <c r="BP510" s="147"/>
      <c r="BQ510" s="147"/>
      <c r="BR510" s="147"/>
      <c r="BS510" s="147"/>
      <c r="BT510" s="147"/>
      <c r="BU510" s="147"/>
      <c r="BV510" s="147"/>
      <c r="BW510" s="147"/>
      <c r="BX510" s="147"/>
      <c r="BY510" s="147"/>
      <c r="BZ510" s="147"/>
      <c r="CA510" s="147"/>
      <c r="CB510" s="147"/>
      <c r="CC510" s="147"/>
      <c r="CD510" s="147"/>
      <c r="CE510" s="147"/>
      <c r="CF510" s="147"/>
      <c r="CG510" s="147"/>
      <c r="CH510" s="147"/>
      <c r="CI510" s="147"/>
      <c r="CJ510" s="147"/>
      <c r="CK510" s="147"/>
    </row>
    <row r="511" spans="1:89">
      <c r="A511" s="165" t="s">
        <v>741</v>
      </c>
      <c r="B511" s="166" t="s">
        <v>742</v>
      </c>
      <c r="C511" s="167" t="s">
        <v>794</v>
      </c>
      <c r="D511" s="167" t="s">
        <v>892</v>
      </c>
      <c r="E511" s="166" t="s">
        <v>21</v>
      </c>
      <c r="F511" s="166" t="s">
        <v>926</v>
      </c>
      <c r="G511" s="166"/>
      <c r="H511" s="156" t="str">
        <f ca="1">IFERROR(
  _xludf.MINIFS(ATTENDANCE_LOG!$F:$F,
         ATTENDANCE_LOG!$A:$A, C511,
         ATTENDANCE_LOG!$B:$B, E511),
"")</f>
        <v/>
      </c>
      <c r="I511" s="156" t="str">
        <f t="shared" ca="1" si="266"/>
        <v/>
      </c>
      <c r="J511" s="166">
        <f>IFERROR(VLOOKUP(F511, LEVEL_HELPER!$A:$B, 2, 0), "")</f>
        <v>1</v>
      </c>
      <c r="K511" s="166" t="str">
        <f>IFERROR(VLOOKUP(G511, LEVEL_HELPER!$A:$B, 2, 0), "")</f>
        <v/>
      </c>
      <c r="L511" s="169" t="s">
        <v>942</v>
      </c>
      <c r="M511" s="169" t="s">
        <v>924</v>
      </c>
      <c r="N511" s="3">
        <f t="array" aca="1" ref="N511" ca="1">IFERROR(
  INDEX($J$2:$J$543,
    MATCH(A511&amp;TEXT(I511,"yyyy-mm-dd"),
          $A$2:$A$543&amp;TEXT($H$2:$H$543,"yyyy-mm-dd"),
          0)),
"")</f>
        <v>1</v>
      </c>
      <c r="O511" s="170" t="str">
        <f t="shared" ca="1" si="267"/>
        <v/>
      </c>
      <c r="P511" s="147">
        <f t="shared" ref="P511:Q511" ca="1" si="527">IF(N511="",0,IF(N511&lt;=2,1,IF(N511&lt;=4,2,IF(N511&lt;=5.5,3,4))))</f>
        <v>1</v>
      </c>
      <c r="Q511" s="147">
        <f t="shared" ca="1" si="527"/>
        <v>0</v>
      </c>
      <c r="R511" s="147" t="str">
        <f t="shared" ca="1" si="269"/>
        <v>Regressed</v>
      </c>
      <c r="S511" s="147">
        <f t="shared" si="270"/>
        <v>1</v>
      </c>
      <c r="T511" s="147"/>
      <c r="U511" s="147"/>
      <c r="V511" s="147"/>
      <c r="W511" s="147"/>
      <c r="X511" s="147"/>
      <c r="Y511" s="147"/>
      <c r="Z511" s="147"/>
      <c r="AA511" s="147"/>
      <c r="AB511" s="147"/>
      <c r="AC511" s="147"/>
      <c r="AD511" s="147"/>
      <c r="AE511" s="147"/>
      <c r="AF511" s="147"/>
      <c r="AG511" s="147"/>
      <c r="AH511" s="147"/>
      <c r="AI511" s="147"/>
      <c r="AJ511" s="147"/>
      <c r="AK511" s="147"/>
      <c r="AL511" s="147"/>
      <c r="AM511" s="151"/>
      <c r="AN511" s="147"/>
      <c r="AO511" s="147"/>
      <c r="AP511" s="147"/>
      <c r="AQ511" s="147"/>
      <c r="AR511" s="147"/>
      <c r="AS511" s="147"/>
      <c r="AT511" s="147"/>
      <c r="AU511" s="147"/>
      <c r="AV511" s="147"/>
      <c r="AW511" s="147"/>
      <c r="AX511" s="147"/>
      <c r="AY511" s="147"/>
      <c r="AZ511" s="147"/>
      <c r="BA511" s="147"/>
      <c r="BB511" s="147"/>
      <c r="BC511" s="147"/>
      <c r="BD511" s="147"/>
      <c r="BE511" s="147"/>
      <c r="BF511" s="147"/>
      <c r="BG511" s="147"/>
      <c r="BH511" s="147"/>
      <c r="BI511" s="147"/>
      <c r="BJ511" s="147"/>
      <c r="BK511" s="147"/>
      <c r="BL511" s="147"/>
      <c r="BM511" s="147"/>
      <c r="BN511" s="147"/>
      <c r="BO511" s="147"/>
      <c r="BP511" s="147"/>
      <c r="BQ511" s="147"/>
      <c r="BR511" s="147"/>
      <c r="BS511" s="147"/>
      <c r="BT511" s="147"/>
      <c r="BU511" s="147"/>
      <c r="BV511" s="147"/>
      <c r="BW511" s="147"/>
      <c r="BX511" s="147"/>
      <c r="BY511" s="147"/>
      <c r="BZ511" s="147"/>
      <c r="CA511" s="147"/>
      <c r="CB511" s="147"/>
      <c r="CC511" s="147"/>
      <c r="CD511" s="147"/>
      <c r="CE511" s="147"/>
      <c r="CF511" s="147"/>
      <c r="CG511" s="147"/>
      <c r="CH511" s="147"/>
      <c r="CI511" s="147"/>
      <c r="CJ511" s="147"/>
      <c r="CK511" s="147"/>
    </row>
    <row r="512" spans="1:89">
      <c r="A512" s="165" t="s">
        <v>743</v>
      </c>
      <c r="B512" s="166" t="s">
        <v>744</v>
      </c>
      <c r="C512" s="167" t="s">
        <v>794</v>
      </c>
      <c r="D512" s="167" t="s">
        <v>892</v>
      </c>
      <c r="E512" s="166" t="s">
        <v>21</v>
      </c>
      <c r="F512" s="166" t="s">
        <v>926</v>
      </c>
      <c r="G512" s="166"/>
      <c r="H512" s="156" t="str">
        <f ca="1">IFERROR(
  _xludf.MINIFS(ATTENDANCE_LOG!$F:$F,
         ATTENDANCE_LOG!$A:$A, C512,
         ATTENDANCE_LOG!$B:$B, E512),
"")</f>
        <v/>
      </c>
      <c r="I512" s="156" t="str">
        <f t="shared" ref="I512:I543" ca="1" si="528">IFERROR(
  _xludf.MINIFS($H:$H, $A:$A, A512, $H:$H, "&gt;"&amp;0),
"")</f>
        <v/>
      </c>
      <c r="J512" s="166">
        <f>IFERROR(VLOOKUP(F512, LEVEL_HELPER!$A:$B, 2, 0), "")</f>
        <v>1</v>
      </c>
      <c r="K512" s="166" t="str">
        <f>IFERROR(VLOOKUP(G512, LEVEL_HELPER!$A:$B, 2, 0), "")</f>
        <v/>
      </c>
      <c r="L512" s="169" t="s">
        <v>942</v>
      </c>
      <c r="M512" s="169" t="s">
        <v>924</v>
      </c>
      <c r="N512" s="3">
        <f t="array" aca="1" ref="N512" ca="1">IFERROR(
  INDEX($J$2:$J$543,
    MATCH(A512&amp;TEXT(I512,"yyyy-mm-dd"),
          $A$2:$A$543&amp;TEXT($H$2:$H$543,"yyyy-mm-dd"),
          0)),
"")</f>
        <v>1</v>
      </c>
      <c r="O512" s="170" t="str">
        <f t="shared" ref="O512:O543" ca="1" si="529">IFERROR(_xludf.MAXIFS($K:$K, $A:$A, A512), "")</f>
        <v/>
      </c>
      <c r="P512" s="147">
        <f t="shared" ref="P512:Q512" ca="1" si="530">IF(N512="",0,IF(N512&lt;=2,1,IF(N512&lt;=4,2,IF(N512&lt;=5.5,3,4))))</f>
        <v>1</v>
      </c>
      <c r="Q512" s="147">
        <f t="shared" ca="1" si="530"/>
        <v>0</v>
      </c>
      <c r="R512" s="147" t="str">
        <f t="shared" ref="R512:R543" ca="1" si="531">IF(P512=0,"No Data",IF(Q512&lt;P512,"Regressed",IF(Q512=P512,IF(O512&gt;N512,"Progress within level","No Progress"),IF(Q512-P512=1,"Lv"&amp;P512&amp;" → Lv"&amp;Q512,"Lv"&amp;P512&amp;" → Lv"&amp;Q512&amp;" (multi)"))))</f>
        <v>Regressed</v>
      </c>
      <c r="S512" s="147">
        <f t="shared" ref="S512:S543" si="532">IF(COUNTIF($A$2:A512,A512)=1,1,0)</f>
        <v>1</v>
      </c>
      <c r="T512" s="147"/>
      <c r="U512" s="147"/>
      <c r="V512" s="147"/>
      <c r="W512" s="147"/>
      <c r="X512" s="147"/>
      <c r="Y512" s="147"/>
      <c r="Z512" s="147"/>
      <c r="AA512" s="147"/>
      <c r="AB512" s="147"/>
      <c r="AC512" s="147"/>
      <c r="AD512" s="147"/>
      <c r="AE512" s="147"/>
      <c r="AF512" s="147"/>
      <c r="AG512" s="147"/>
      <c r="AH512" s="147"/>
      <c r="AI512" s="147"/>
      <c r="AJ512" s="147"/>
      <c r="AK512" s="147"/>
      <c r="AL512" s="147"/>
      <c r="AM512" s="151"/>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c r="BI512" s="147"/>
      <c r="BJ512" s="147"/>
      <c r="BK512" s="147"/>
      <c r="BL512" s="147"/>
      <c r="BM512" s="147"/>
      <c r="BN512" s="147"/>
      <c r="BO512" s="147"/>
      <c r="BP512" s="147"/>
      <c r="BQ512" s="147"/>
      <c r="BR512" s="147"/>
      <c r="BS512" s="147"/>
      <c r="BT512" s="147"/>
      <c r="BU512" s="147"/>
      <c r="BV512" s="147"/>
      <c r="BW512" s="147"/>
      <c r="BX512" s="147"/>
      <c r="BY512" s="147"/>
      <c r="BZ512" s="147"/>
      <c r="CA512" s="147"/>
      <c r="CB512" s="147"/>
      <c r="CC512" s="147"/>
      <c r="CD512" s="147"/>
      <c r="CE512" s="147"/>
      <c r="CF512" s="147"/>
      <c r="CG512" s="147"/>
      <c r="CH512" s="147"/>
      <c r="CI512" s="147"/>
      <c r="CJ512" s="147"/>
      <c r="CK512" s="147"/>
    </row>
    <row r="513" spans="1:89">
      <c r="A513" s="165" t="s">
        <v>490</v>
      </c>
      <c r="B513" s="166" t="s">
        <v>819</v>
      </c>
      <c r="C513" s="167" t="s">
        <v>794</v>
      </c>
      <c r="D513" s="167" t="s">
        <v>892</v>
      </c>
      <c r="E513" s="166" t="s">
        <v>21</v>
      </c>
      <c r="F513" s="166" t="s">
        <v>926</v>
      </c>
      <c r="G513" s="166"/>
      <c r="H513" s="156" t="str">
        <f ca="1">IFERROR(
  _xludf.MINIFS(ATTENDANCE_LOG!$F:$F,
         ATTENDANCE_LOG!$A:$A, C513,
         ATTENDANCE_LOG!$B:$B, E513),
"")</f>
        <v/>
      </c>
      <c r="I513" s="156" t="str">
        <f t="shared" ca="1" si="528"/>
        <v/>
      </c>
      <c r="J513" s="166">
        <f>IFERROR(VLOOKUP(F513, LEVEL_HELPER!$A:$B, 2, 0), "")</f>
        <v>1</v>
      </c>
      <c r="K513" s="166" t="str">
        <f>IFERROR(VLOOKUP(G513, LEVEL_HELPER!$A:$B, 2, 0), "")</f>
        <v/>
      </c>
      <c r="L513" s="169" t="s">
        <v>942</v>
      </c>
      <c r="M513" s="169" t="s">
        <v>924</v>
      </c>
      <c r="N513" s="3">
        <f t="array" aca="1" ref="N513" ca="1">IFERROR(
  INDEX($J$2:$J$543,
    MATCH(A513&amp;TEXT(I513,"yyyy-mm-dd"),
          $A$2:$A$543&amp;TEXT($H$2:$H$543,"yyyy-mm-dd"),
          0)),
"")</f>
        <v>1</v>
      </c>
      <c r="O513" s="170" t="str">
        <f t="shared" ca="1" si="529"/>
        <v/>
      </c>
      <c r="P513" s="147">
        <f t="shared" ref="P513:Q513" ca="1" si="533">IF(N513="",0,IF(N513&lt;=2,1,IF(N513&lt;=4,2,IF(N513&lt;=5.5,3,4))))</f>
        <v>1</v>
      </c>
      <c r="Q513" s="147">
        <f t="shared" ca="1" si="533"/>
        <v>0</v>
      </c>
      <c r="R513" s="147" t="str">
        <f t="shared" ca="1" si="531"/>
        <v>Regressed</v>
      </c>
      <c r="S513" s="147">
        <f t="shared" si="532"/>
        <v>0</v>
      </c>
      <c r="T513" s="147"/>
      <c r="U513" s="147"/>
      <c r="V513" s="147"/>
      <c r="W513" s="147"/>
      <c r="X513" s="147"/>
      <c r="Y513" s="147"/>
      <c r="Z513" s="147"/>
      <c r="AA513" s="147"/>
      <c r="AB513" s="147"/>
      <c r="AC513" s="147"/>
      <c r="AD513" s="147"/>
      <c r="AE513" s="147"/>
      <c r="AF513" s="147"/>
      <c r="AG513" s="147"/>
      <c r="AH513" s="147"/>
      <c r="AI513" s="147"/>
      <c r="AJ513" s="147"/>
      <c r="AK513" s="147"/>
      <c r="AL513" s="147"/>
      <c r="AM513" s="151"/>
      <c r="AN513" s="147"/>
      <c r="AO513" s="147"/>
      <c r="AP513" s="147"/>
      <c r="AQ513" s="147"/>
      <c r="AR513" s="147"/>
      <c r="AS513" s="147"/>
      <c r="AT513" s="147"/>
      <c r="AU513" s="147"/>
      <c r="AV513" s="147"/>
      <c r="AW513" s="147"/>
      <c r="AX513" s="147"/>
      <c r="AY513" s="147"/>
      <c r="AZ513" s="147"/>
      <c r="BA513" s="147"/>
      <c r="BB513" s="147"/>
      <c r="BC513" s="147"/>
      <c r="BD513" s="147"/>
      <c r="BE513" s="147"/>
      <c r="BF513" s="147"/>
      <c r="BG513" s="147"/>
      <c r="BH513" s="147"/>
      <c r="BI513" s="147"/>
      <c r="BJ513" s="147"/>
      <c r="BK513" s="147"/>
      <c r="BL513" s="147"/>
      <c r="BM513" s="147"/>
      <c r="BN513" s="147"/>
      <c r="BO513" s="147"/>
      <c r="BP513" s="147"/>
      <c r="BQ513" s="147"/>
      <c r="BR513" s="147"/>
      <c r="BS513" s="147"/>
      <c r="BT513" s="147"/>
      <c r="BU513" s="147"/>
      <c r="BV513" s="147"/>
      <c r="BW513" s="147"/>
      <c r="BX513" s="147"/>
      <c r="BY513" s="147"/>
      <c r="BZ513" s="147"/>
      <c r="CA513" s="147"/>
      <c r="CB513" s="147"/>
      <c r="CC513" s="147"/>
      <c r="CD513" s="147"/>
      <c r="CE513" s="147"/>
      <c r="CF513" s="147"/>
      <c r="CG513" s="147"/>
      <c r="CH513" s="147"/>
      <c r="CI513" s="147"/>
      <c r="CJ513" s="147"/>
      <c r="CK513" s="147"/>
    </row>
    <row r="514" spans="1:89">
      <c r="A514" s="178" t="s">
        <v>745</v>
      </c>
      <c r="B514" s="179" t="s">
        <v>746</v>
      </c>
      <c r="C514" s="180" t="s">
        <v>800</v>
      </c>
      <c r="D514" s="180" t="s">
        <v>890</v>
      </c>
      <c r="E514" s="179" t="s">
        <v>21</v>
      </c>
      <c r="F514" s="179" t="s">
        <v>934</v>
      </c>
      <c r="G514" s="179"/>
      <c r="H514" s="156" t="str">
        <f ca="1">IFERROR(
  _xludf.MINIFS(ATTENDANCE_LOG!$F:$F,
         ATTENDANCE_LOG!$A:$A, C514,
         ATTENDANCE_LOG!$B:$B, E514),
"")</f>
        <v/>
      </c>
      <c r="I514" s="156" t="str">
        <f t="shared" ca="1" si="528"/>
        <v/>
      </c>
      <c r="J514" s="166">
        <f>IFERROR(VLOOKUP(F514, LEVEL_HELPER!$A:$B, 2, 0), "")</f>
        <v>3.5</v>
      </c>
      <c r="K514" s="166" t="str">
        <f>IFERROR(VLOOKUP(G514, LEVEL_HELPER!$A:$B, 2, 0), "")</f>
        <v/>
      </c>
      <c r="L514" s="181" t="s">
        <v>958</v>
      </c>
      <c r="M514" s="181" t="s">
        <v>921</v>
      </c>
      <c r="N514" s="3">
        <f t="array" aca="1" ref="N514" ca="1">IFERROR(
  INDEX($J$2:$J$543,
    MATCH(A514&amp;TEXT(I514,"yyyy-mm-dd"),
          $A$2:$A$543&amp;TEXT($H$2:$H$543,"yyyy-mm-dd"),
          0)),
"")</f>
        <v>3.5</v>
      </c>
      <c r="O514" s="170" t="str">
        <f t="shared" ca="1" si="529"/>
        <v/>
      </c>
      <c r="P514" s="147">
        <f t="shared" ref="P514:Q514" ca="1" si="534">IF(N514="",0,IF(N514&lt;=2,1,IF(N514&lt;=4,2,IF(N514&lt;=5.5,3,4))))</f>
        <v>2</v>
      </c>
      <c r="Q514" s="147">
        <f t="shared" ca="1" si="534"/>
        <v>0</v>
      </c>
      <c r="R514" s="147" t="str">
        <f t="shared" ca="1" si="531"/>
        <v>Regressed</v>
      </c>
      <c r="S514" s="147">
        <f t="shared" si="532"/>
        <v>1</v>
      </c>
      <c r="T514" s="147"/>
      <c r="U514" s="147"/>
      <c r="V514" s="147"/>
      <c r="W514" s="147"/>
      <c r="X514" s="147"/>
      <c r="Y514" s="147"/>
      <c r="Z514" s="147"/>
      <c r="AA514" s="147"/>
      <c r="AB514" s="147"/>
      <c r="AC514" s="147"/>
      <c r="AD514" s="147"/>
      <c r="AE514" s="147"/>
      <c r="AF514" s="147"/>
      <c r="AG514" s="147"/>
      <c r="AH514" s="147"/>
      <c r="AI514" s="147"/>
      <c r="AJ514" s="147"/>
      <c r="AK514" s="147"/>
      <c r="AL514" s="147"/>
      <c r="AM514" s="151"/>
      <c r="AN514" s="147"/>
      <c r="AO514" s="147"/>
      <c r="AP514" s="147"/>
      <c r="AQ514" s="147"/>
      <c r="AR514" s="147"/>
      <c r="AS514" s="147"/>
      <c r="AT514" s="147"/>
      <c r="AU514" s="147"/>
      <c r="AV514" s="147"/>
      <c r="AW514" s="147"/>
      <c r="AX514" s="147"/>
      <c r="AY514" s="147"/>
      <c r="AZ514" s="147"/>
      <c r="BA514" s="147"/>
      <c r="BB514" s="147"/>
      <c r="BC514" s="147"/>
      <c r="BD514" s="147"/>
      <c r="BE514" s="147"/>
      <c r="BF514" s="147"/>
      <c r="BG514" s="147"/>
      <c r="BH514" s="147"/>
      <c r="BI514" s="147"/>
      <c r="BJ514" s="147"/>
      <c r="BK514" s="147"/>
      <c r="BL514" s="147"/>
      <c r="BM514" s="147"/>
      <c r="BN514" s="147"/>
      <c r="BO514" s="147"/>
      <c r="BP514" s="147"/>
      <c r="BQ514" s="147"/>
      <c r="BR514" s="147"/>
      <c r="BS514" s="147"/>
      <c r="BT514" s="147"/>
      <c r="BU514" s="147"/>
      <c r="BV514" s="147"/>
      <c r="BW514" s="147"/>
      <c r="BX514" s="147"/>
      <c r="BY514" s="147"/>
      <c r="BZ514" s="147"/>
      <c r="CA514" s="147"/>
      <c r="CB514" s="147"/>
      <c r="CC514" s="147"/>
      <c r="CD514" s="147"/>
      <c r="CE514" s="147"/>
      <c r="CF514" s="147"/>
      <c r="CG514" s="147"/>
      <c r="CH514" s="147"/>
      <c r="CI514" s="147"/>
      <c r="CJ514" s="147"/>
      <c r="CK514" s="147"/>
    </row>
    <row r="515" spans="1:89">
      <c r="A515" s="165" t="s">
        <v>747</v>
      </c>
      <c r="B515" s="166" t="s">
        <v>748</v>
      </c>
      <c r="C515" s="167" t="s">
        <v>800</v>
      </c>
      <c r="D515" s="167" t="s">
        <v>890</v>
      </c>
      <c r="E515" s="166" t="s">
        <v>21</v>
      </c>
      <c r="F515" s="166" t="s">
        <v>926</v>
      </c>
      <c r="G515" s="166"/>
      <c r="H515" s="156" t="str">
        <f ca="1">IFERROR(
  _xludf.MINIFS(ATTENDANCE_LOG!$F:$F,
         ATTENDANCE_LOG!$A:$A, C515,
         ATTENDANCE_LOG!$B:$B, E515),
"")</f>
        <v/>
      </c>
      <c r="I515" s="156" t="str">
        <f t="shared" ca="1" si="528"/>
        <v/>
      </c>
      <c r="J515" s="166">
        <f>IFERROR(VLOOKUP(F515, LEVEL_HELPER!$A:$B, 2, 0), "")</f>
        <v>1</v>
      </c>
      <c r="K515" s="166" t="str">
        <f>IFERROR(VLOOKUP(G515, LEVEL_HELPER!$A:$B, 2, 0), "")</f>
        <v/>
      </c>
      <c r="L515" s="169" t="s">
        <v>942</v>
      </c>
      <c r="M515" s="169" t="s">
        <v>922</v>
      </c>
      <c r="N515" s="3">
        <f t="array" aca="1" ref="N515" ca="1">IFERROR(
  INDEX($J$2:$J$543,
    MATCH(A515&amp;TEXT(I515,"yyyy-mm-dd"),
          $A$2:$A$543&amp;TEXT($H$2:$H$543,"yyyy-mm-dd"),
          0)),
"")</f>
        <v>1</v>
      </c>
      <c r="O515" s="170" t="str">
        <f t="shared" ca="1" si="529"/>
        <v/>
      </c>
      <c r="P515" s="147">
        <f t="shared" ref="P515:Q515" ca="1" si="535">IF(N515="",0,IF(N515&lt;=2,1,IF(N515&lt;=4,2,IF(N515&lt;=5.5,3,4))))</f>
        <v>1</v>
      </c>
      <c r="Q515" s="147">
        <f t="shared" ca="1" si="535"/>
        <v>0</v>
      </c>
      <c r="R515" s="147" t="str">
        <f t="shared" ca="1" si="531"/>
        <v>Regressed</v>
      </c>
      <c r="S515" s="147">
        <f t="shared" si="532"/>
        <v>1</v>
      </c>
      <c r="T515" s="147"/>
      <c r="U515" s="147"/>
      <c r="V515" s="147"/>
      <c r="W515" s="147"/>
      <c r="X515" s="147"/>
      <c r="Y515" s="147"/>
      <c r="Z515" s="147"/>
      <c r="AA515" s="147"/>
      <c r="AB515" s="147"/>
      <c r="AC515" s="147"/>
      <c r="AD515" s="147"/>
      <c r="AE515" s="147"/>
      <c r="AF515" s="147"/>
      <c r="AG515" s="147"/>
      <c r="AH515" s="147"/>
      <c r="AI515" s="147"/>
      <c r="AJ515" s="147"/>
      <c r="AK515" s="147"/>
      <c r="AL515" s="147"/>
      <c r="AM515" s="151"/>
      <c r="AN515" s="147"/>
      <c r="AO515" s="147"/>
      <c r="AP515" s="147"/>
      <c r="AQ515" s="147"/>
      <c r="AR515" s="147"/>
      <c r="AS515" s="147"/>
      <c r="AT515" s="147"/>
      <c r="AU515" s="147"/>
      <c r="AV515" s="147"/>
      <c r="AW515" s="147"/>
      <c r="AX515" s="147"/>
      <c r="AY515" s="147"/>
      <c r="AZ515" s="147"/>
      <c r="BA515" s="147"/>
      <c r="BB515" s="147"/>
      <c r="BC515" s="147"/>
      <c r="BD515" s="147"/>
      <c r="BE515" s="147"/>
      <c r="BF515" s="147"/>
      <c r="BG515" s="147"/>
      <c r="BH515" s="147"/>
      <c r="BI515" s="147"/>
      <c r="BJ515" s="147"/>
      <c r="BK515" s="147"/>
      <c r="BL515" s="147"/>
      <c r="BM515" s="147"/>
      <c r="BN515" s="147"/>
      <c r="BO515" s="147"/>
      <c r="BP515" s="147"/>
      <c r="BQ515" s="147"/>
      <c r="BR515" s="147"/>
      <c r="BS515" s="147"/>
      <c r="BT515" s="147"/>
      <c r="BU515" s="147"/>
      <c r="BV515" s="147"/>
      <c r="BW515" s="147"/>
      <c r="BX515" s="147"/>
      <c r="BY515" s="147"/>
      <c r="BZ515" s="147"/>
      <c r="CA515" s="147"/>
      <c r="CB515" s="147"/>
      <c r="CC515" s="147"/>
      <c r="CD515" s="147"/>
      <c r="CE515" s="147"/>
      <c r="CF515" s="147"/>
      <c r="CG515" s="147"/>
      <c r="CH515" s="147"/>
      <c r="CI515" s="147"/>
      <c r="CJ515" s="147"/>
      <c r="CK515" s="147"/>
    </row>
    <row r="516" spans="1:89">
      <c r="A516" s="165" t="s">
        <v>749</v>
      </c>
      <c r="B516" s="166" t="s">
        <v>750</v>
      </c>
      <c r="C516" s="167" t="s">
        <v>800</v>
      </c>
      <c r="D516" s="167" t="s">
        <v>890</v>
      </c>
      <c r="E516" s="166" t="s">
        <v>21</v>
      </c>
      <c r="F516" s="166" t="s">
        <v>934</v>
      </c>
      <c r="G516" s="166"/>
      <c r="H516" s="156" t="str">
        <f ca="1">IFERROR(
  _xludf.MINIFS(ATTENDANCE_LOG!$F:$F,
         ATTENDANCE_LOG!$A:$A, C516,
         ATTENDANCE_LOG!$B:$B, E516),
"")</f>
        <v/>
      </c>
      <c r="I516" s="156" t="str">
        <f t="shared" ca="1" si="528"/>
        <v/>
      </c>
      <c r="J516" s="166">
        <f>IFERROR(VLOOKUP(F516, LEVEL_HELPER!$A:$B, 2, 0), "")</f>
        <v>3.5</v>
      </c>
      <c r="K516" s="166" t="str">
        <f>IFERROR(VLOOKUP(G516, LEVEL_HELPER!$A:$B, 2, 0), "")</f>
        <v/>
      </c>
      <c r="L516" s="169" t="s">
        <v>946</v>
      </c>
      <c r="M516" s="169" t="s">
        <v>922</v>
      </c>
      <c r="N516" s="3">
        <f t="array" aca="1" ref="N516" ca="1">IFERROR(
  INDEX($J$2:$J$543,
    MATCH(A516&amp;TEXT(I516,"yyyy-mm-dd"),
          $A$2:$A$543&amp;TEXT($H$2:$H$543,"yyyy-mm-dd"),
          0)),
"")</f>
        <v>3.5</v>
      </c>
      <c r="O516" s="170" t="str">
        <f t="shared" ca="1" si="529"/>
        <v/>
      </c>
      <c r="P516" s="147">
        <f t="shared" ref="P516:Q516" ca="1" si="536">IF(N516="",0,IF(N516&lt;=2,1,IF(N516&lt;=4,2,IF(N516&lt;=5.5,3,4))))</f>
        <v>2</v>
      </c>
      <c r="Q516" s="147">
        <f t="shared" ca="1" si="536"/>
        <v>0</v>
      </c>
      <c r="R516" s="147" t="str">
        <f t="shared" ca="1" si="531"/>
        <v>Regressed</v>
      </c>
      <c r="S516" s="147">
        <f t="shared" si="532"/>
        <v>1</v>
      </c>
      <c r="T516" s="147"/>
      <c r="U516" s="147"/>
      <c r="V516" s="147"/>
      <c r="W516" s="147"/>
      <c r="X516" s="147"/>
      <c r="Y516" s="147"/>
      <c r="Z516" s="147"/>
      <c r="AA516" s="147"/>
      <c r="AB516" s="147"/>
      <c r="AC516" s="147"/>
      <c r="AD516" s="147"/>
      <c r="AE516" s="147"/>
      <c r="AF516" s="147"/>
      <c r="AG516" s="147"/>
      <c r="AH516" s="147"/>
      <c r="AI516" s="147"/>
      <c r="AJ516" s="147"/>
      <c r="AK516" s="147"/>
      <c r="AL516" s="147"/>
      <c r="AM516" s="151"/>
      <c r="AN516" s="147"/>
      <c r="AO516" s="147"/>
      <c r="AP516" s="147"/>
      <c r="AQ516" s="147"/>
      <c r="AR516" s="147"/>
      <c r="AS516" s="147"/>
      <c r="AT516" s="147"/>
      <c r="AU516" s="147"/>
      <c r="AV516" s="147"/>
      <c r="AW516" s="147"/>
      <c r="AX516" s="147"/>
      <c r="AY516" s="147"/>
      <c r="AZ516" s="147"/>
      <c r="BA516" s="147"/>
      <c r="BB516" s="147"/>
      <c r="BC516" s="147"/>
      <c r="BD516" s="147"/>
      <c r="BE516" s="147"/>
      <c r="BF516" s="147"/>
      <c r="BG516" s="147"/>
      <c r="BH516" s="147"/>
      <c r="BI516" s="147"/>
      <c r="BJ516" s="147"/>
      <c r="BK516" s="147"/>
      <c r="BL516" s="147"/>
      <c r="BM516" s="147"/>
      <c r="BN516" s="147"/>
      <c r="BO516" s="147"/>
      <c r="BP516" s="147"/>
      <c r="BQ516" s="147"/>
      <c r="BR516" s="147"/>
      <c r="BS516" s="147"/>
      <c r="BT516" s="147"/>
      <c r="BU516" s="147"/>
      <c r="BV516" s="147"/>
      <c r="BW516" s="147"/>
      <c r="BX516" s="147"/>
      <c r="BY516" s="147"/>
      <c r="BZ516" s="147"/>
      <c r="CA516" s="147"/>
      <c r="CB516" s="147"/>
      <c r="CC516" s="147"/>
      <c r="CD516" s="147"/>
      <c r="CE516" s="147"/>
      <c r="CF516" s="147"/>
      <c r="CG516" s="147"/>
      <c r="CH516" s="147"/>
      <c r="CI516" s="147"/>
      <c r="CJ516" s="147"/>
      <c r="CK516" s="147"/>
    </row>
    <row r="517" spans="1:89">
      <c r="A517" s="165" t="s">
        <v>751</v>
      </c>
      <c r="B517" s="166" t="s">
        <v>752</v>
      </c>
      <c r="C517" s="167" t="s">
        <v>800</v>
      </c>
      <c r="D517" s="167" t="s">
        <v>890</v>
      </c>
      <c r="E517" s="166" t="s">
        <v>21</v>
      </c>
      <c r="F517" s="166" t="s">
        <v>928</v>
      </c>
      <c r="G517" s="166"/>
      <c r="H517" s="156" t="str">
        <f ca="1">IFERROR(
  _xludf.MINIFS(ATTENDANCE_LOG!$F:$F,
         ATTENDANCE_LOG!$A:$A, C517,
         ATTENDANCE_LOG!$B:$B, E517),
"")</f>
        <v/>
      </c>
      <c r="I517" s="156" t="str">
        <f t="shared" ca="1" si="528"/>
        <v/>
      </c>
      <c r="J517" s="166">
        <f>IFERROR(VLOOKUP(F517, LEVEL_HELPER!$A:$B, 2, 0), "")</f>
        <v>1.5</v>
      </c>
      <c r="K517" s="166" t="str">
        <f>IFERROR(VLOOKUP(G517, LEVEL_HELPER!$A:$B, 2, 0), "")</f>
        <v/>
      </c>
      <c r="L517" s="169" t="s">
        <v>930</v>
      </c>
      <c r="M517" s="169" t="s">
        <v>919</v>
      </c>
      <c r="N517" s="3">
        <f t="array" aca="1" ref="N517" ca="1">IFERROR(
  INDEX($J$2:$J$543,
    MATCH(A517&amp;TEXT(I517,"yyyy-mm-dd"),
          $A$2:$A$543&amp;TEXT($H$2:$H$543,"yyyy-mm-dd"),
          0)),
"")</f>
        <v>1.5</v>
      </c>
      <c r="O517" s="170" t="str">
        <f t="shared" ca="1" si="529"/>
        <v/>
      </c>
      <c r="P517" s="147">
        <f t="shared" ref="P517:Q517" ca="1" si="537">IF(N517="",0,IF(N517&lt;=2,1,IF(N517&lt;=4,2,IF(N517&lt;=5.5,3,4))))</f>
        <v>1</v>
      </c>
      <c r="Q517" s="147">
        <f t="shared" ca="1" si="537"/>
        <v>0</v>
      </c>
      <c r="R517" s="147" t="str">
        <f t="shared" ca="1" si="531"/>
        <v>Regressed</v>
      </c>
      <c r="S517" s="147">
        <f t="shared" si="532"/>
        <v>1</v>
      </c>
      <c r="T517" s="147"/>
      <c r="U517" s="147"/>
      <c r="V517" s="147"/>
      <c r="W517" s="147"/>
      <c r="X517" s="147"/>
      <c r="Y517" s="147"/>
      <c r="Z517" s="147"/>
      <c r="AA517" s="147"/>
      <c r="AB517" s="147"/>
      <c r="AC517" s="147"/>
      <c r="AD517" s="147"/>
      <c r="AE517" s="147"/>
      <c r="AF517" s="147"/>
      <c r="AG517" s="147"/>
      <c r="AH517" s="147"/>
      <c r="AI517" s="147"/>
      <c r="AJ517" s="147"/>
      <c r="AK517" s="147"/>
      <c r="AL517" s="147"/>
      <c r="AM517" s="151"/>
      <c r="AN517" s="147"/>
      <c r="AO517" s="147"/>
      <c r="AP517" s="147"/>
      <c r="AQ517" s="147"/>
      <c r="AR517" s="147"/>
      <c r="AS517" s="147"/>
      <c r="AT517" s="147"/>
      <c r="AU517" s="147"/>
      <c r="AV517" s="147"/>
      <c r="AW517" s="147"/>
      <c r="AX517" s="147"/>
      <c r="AY517" s="147"/>
      <c r="AZ517" s="147"/>
      <c r="BA517" s="147"/>
      <c r="BB517" s="147"/>
      <c r="BC517" s="147"/>
      <c r="BD517" s="147"/>
      <c r="BE517" s="147"/>
      <c r="BF517" s="147"/>
      <c r="BG517" s="147"/>
      <c r="BH517" s="147"/>
      <c r="BI517" s="147"/>
      <c r="BJ517" s="147"/>
      <c r="BK517" s="147"/>
      <c r="BL517" s="147"/>
      <c r="BM517" s="147"/>
      <c r="BN517" s="147"/>
      <c r="BO517" s="147"/>
      <c r="BP517" s="147"/>
      <c r="BQ517" s="147"/>
      <c r="BR517" s="147"/>
      <c r="BS517" s="147"/>
      <c r="BT517" s="147"/>
      <c r="BU517" s="147"/>
      <c r="BV517" s="147"/>
      <c r="BW517" s="147"/>
      <c r="BX517" s="147"/>
      <c r="BY517" s="147"/>
      <c r="BZ517" s="147"/>
      <c r="CA517" s="147"/>
      <c r="CB517" s="147"/>
      <c r="CC517" s="147"/>
      <c r="CD517" s="147"/>
      <c r="CE517" s="147"/>
      <c r="CF517" s="147"/>
      <c r="CG517" s="147"/>
      <c r="CH517" s="147"/>
      <c r="CI517" s="147"/>
      <c r="CJ517" s="147"/>
      <c r="CK517" s="147"/>
    </row>
    <row r="518" spans="1:89">
      <c r="A518" s="165" t="s">
        <v>753</v>
      </c>
      <c r="B518" s="166" t="s">
        <v>754</v>
      </c>
      <c r="C518" s="167" t="s">
        <v>800</v>
      </c>
      <c r="D518" s="167" t="s">
        <v>890</v>
      </c>
      <c r="E518" s="166" t="s">
        <v>21</v>
      </c>
      <c r="F518" s="166" t="s">
        <v>926</v>
      </c>
      <c r="G518" s="166"/>
      <c r="H518" s="156" t="str">
        <f ca="1">IFERROR(
  _xludf.MINIFS(ATTENDANCE_LOG!$F:$F,
         ATTENDANCE_LOG!$A:$A, C518,
         ATTENDANCE_LOG!$B:$B, E518),
"")</f>
        <v/>
      </c>
      <c r="I518" s="156" t="str">
        <f t="shared" ca="1" si="528"/>
        <v/>
      </c>
      <c r="J518" s="166">
        <f>IFERROR(VLOOKUP(F518, LEVEL_HELPER!$A:$B, 2, 0), "")</f>
        <v>1</v>
      </c>
      <c r="K518" s="166" t="str">
        <f>IFERROR(VLOOKUP(G518, LEVEL_HELPER!$A:$B, 2, 0), "")</f>
        <v/>
      </c>
      <c r="L518" s="169" t="s">
        <v>950</v>
      </c>
      <c r="M518" s="169" t="s">
        <v>922</v>
      </c>
      <c r="N518" s="3">
        <f t="array" aca="1" ref="N518" ca="1">IFERROR(
  INDEX($J$2:$J$543,
    MATCH(A518&amp;TEXT(I518,"yyyy-mm-dd"),
          $A$2:$A$543&amp;TEXT($H$2:$H$543,"yyyy-mm-dd"),
          0)),
"")</f>
        <v>1</v>
      </c>
      <c r="O518" s="170" t="str">
        <f t="shared" ca="1" si="529"/>
        <v/>
      </c>
      <c r="P518" s="147">
        <f t="shared" ref="P518:Q518" ca="1" si="538">IF(N518="",0,IF(N518&lt;=2,1,IF(N518&lt;=4,2,IF(N518&lt;=5.5,3,4))))</f>
        <v>1</v>
      </c>
      <c r="Q518" s="147">
        <f t="shared" ca="1" si="538"/>
        <v>0</v>
      </c>
      <c r="R518" s="147" t="str">
        <f t="shared" ca="1" si="531"/>
        <v>Regressed</v>
      </c>
      <c r="S518" s="147">
        <f t="shared" si="532"/>
        <v>1</v>
      </c>
      <c r="T518" s="147"/>
      <c r="U518" s="147"/>
      <c r="V518" s="147"/>
      <c r="W518" s="147"/>
      <c r="X518" s="147"/>
      <c r="Y518" s="147"/>
      <c r="Z518" s="147"/>
      <c r="AA518" s="147"/>
      <c r="AB518" s="147"/>
      <c r="AC518" s="147"/>
      <c r="AD518" s="147"/>
      <c r="AE518" s="147"/>
      <c r="AF518" s="147"/>
      <c r="AG518" s="147"/>
      <c r="AH518" s="147"/>
      <c r="AI518" s="147"/>
      <c r="AJ518" s="147"/>
      <c r="AK518" s="147"/>
      <c r="AL518" s="147"/>
      <c r="AM518" s="151"/>
      <c r="AN518" s="147"/>
      <c r="AO518" s="147"/>
      <c r="AP518" s="147"/>
      <c r="AQ518" s="147"/>
      <c r="AR518" s="147"/>
      <c r="AS518" s="147"/>
      <c r="AT518" s="147"/>
      <c r="AU518" s="147"/>
      <c r="AV518" s="147"/>
      <c r="AW518" s="147"/>
      <c r="AX518" s="147"/>
      <c r="AY518" s="147"/>
      <c r="AZ518" s="147"/>
      <c r="BA518" s="147"/>
      <c r="BB518" s="147"/>
      <c r="BC518" s="147"/>
      <c r="BD518" s="147"/>
      <c r="BE518" s="147"/>
      <c r="BF518" s="147"/>
      <c r="BG518" s="147"/>
      <c r="BH518" s="147"/>
      <c r="BI518" s="147"/>
      <c r="BJ518" s="147"/>
      <c r="BK518" s="147"/>
      <c r="BL518" s="147"/>
      <c r="BM518" s="147"/>
      <c r="BN518" s="147"/>
      <c r="BO518" s="147"/>
      <c r="BP518" s="147"/>
      <c r="BQ518" s="147"/>
      <c r="BR518" s="147"/>
      <c r="BS518" s="147"/>
      <c r="BT518" s="147"/>
      <c r="BU518" s="147"/>
      <c r="BV518" s="147"/>
      <c r="BW518" s="147"/>
      <c r="BX518" s="147"/>
      <c r="BY518" s="147"/>
      <c r="BZ518" s="147"/>
      <c r="CA518" s="147"/>
      <c r="CB518" s="147"/>
      <c r="CC518" s="147"/>
      <c r="CD518" s="147"/>
      <c r="CE518" s="147"/>
      <c r="CF518" s="147"/>
      <c r="CG518" s="147"/>
      <c r="CH518" s="147"/>
      <c r="CI518" s="147"/>
      <c r="CJ518" s="147"/>
      <c r="CK518" s="147"/>
    </row>
    <row r="519" spans="1:89">
      <c r="A519" s="165" t="s">
        <v>755</v>
      </c>
      <c r="B519" s="166" t="s">
        <v>756</v>
      </c>
      <c r="C519" s="167" t="s">
        <v>800</v>
      </c>
      <c r="D519" s="167" t="s">
        <v>890</v>
      </c>
      <c r="E519" s="166" t="s">
        <v>21</v>
      </c>
      <c r="F519" s="166" t="s">
        <v>926</v>
      </c>
      <c r="G519" s="166"/>
      <c r="H519" s="156" t="str">
        <f ca="1">IFERROR(
  _xludf.MINIFS(ATTENDANCE_LOG!$F:$F,
         ATTENDANCE_LOG!$A:$A, C519,
         ATTENDANCE_LOG!$B:$B, E519),
"")</f>
        <v/>
      </c>
      <c r="I519" s="156" t="str">
        <f t="shared" ca="1" si="528"/>
        <v/>
      </c>
      <c r="J519" s="166">
        <f>IFERROR(VLOOKUP(F519, LEVEL_HELPER!$A:$B, 2, 0), "")</f>
        <v>1</v>
      </c>
      <c r="K519" s="166" t="str">
        <f>IFERROR(VLOOKUP(G519, LEVEL_HELPER!$A:$B, 2, 0), "")</f>
        <v/>
      </c>
      <c r="L519" s="169" t="s">
        <v>950</v>
      </c>
      <c r="M519" s="169" t="s">
        <v>922</v>
      </c>
      <c r="N519" s="3">
        <f t="array" aca="1" ref="N519" ca="1">IFERROR(
  INDEX($J$2:$J$543,
    MATCH(A519&amp;TEXT(I519,"yyyy-mm-dd"),
          $A$2:$A$543&amp;TEXT($H$2:$H$543,"yyyy-mm-dd"),
          0)),
"")</f>
        <v>1</v>
      </c>
      <c r="O519" s="170" t="str">
        <f t="shared" ca="1" si="529"/>
        <v/>
      </c>
      <c r="P519" s="147">
        <f t="shared" ref="P519:Q519" ca="1" si="539">IF(N519="",0,IF(N519&lt;=2,1,IF(N519&lt;=4,2,IF(N519&lt;=5.5,3,4))))</f>
        <v>1</v>
      </c>
      <c r="Q519" s="147">
        <f t="shared" ca="1" si="539"/>
        <v>0</v>
      </c>
      <c r="R519" s="147" t="str">
        <f t="shared" ca="1" si="531"/>
        <v>Regressed</v>
      </c>
      <c r="S519" s="147">
        <f t="shared" si="532"/>
        <v>1</v>
      </c>
      <c r="T519" s="147"/>
      <c r="U519" s="147"/>
      <c r="V519" s="147"/>
      <c r="W519" s="147"/>
      <c r="X519" s="147"/>
      <c r="Y519" s="147"/>
      <c r="Z519" s="147"/>
      <c r="AA519" s="147"/>
      <c r="AB519" s="147"/>
      <c r="AC519" s="147"/>
      <c r="AD519" s="147"/>
      <c r="AE519" s="147"/>
      <c r="AF519" s="147"/>
      <c r="AG519" s="147"/>
      <c r="AH519" s="147"/>
      <c r="AI519" s="147"/>
      <c r="AJ519" s="147"/>
      <c r="AK519" s="147"/>
      <c r="AL519" s="147"/>
      <c r="AM519" s="151"/>
      <c r="AN519" s="147"/>
      <c r="AO519" s="147"/>
      <c r="AP519" s="147"/>
      <c r="AQ519" s="147"/>
      <c r="AR519" s="147"/>
      <c r="AS519" s="147"/>
      <c r="AT519" s="147"/>
      <c r="AU519" s="147"/>
      <c r="AV519" s="147"/>
      <c r="AW519" s="147"/>
      <c r="AX519" s="147"/>
      <c r="AY519" s="147"/>
      <c r="AZ519" s="147"/>
      <c r="BA519" s="147"/>
      <c r="BB519" s="147"/>
      <c r="BC519" s="147"/>
      <c r="BD519" s="147"/>
      <c r="BE519" s="147"/>
      <c r="BF519" s="147"/>
      <c r="BG519" s="147"/>
      <c r="BH519" s="147"/>
      <c r="BI519" s="147"/>
      <c r="BJ519" s="147"/>
      <c r="BK519" s="147"/>
      <c r="BL519" s="147"/>
      <c r="BM519" s="147"/>
      <c r="BN519" s="147"/>
      <c r="BO519" s="147"/>
      <c r="BP519" s="147"/>
      <c r="BQ519" s="147"/>
      <c r="BR519" s="147"/>
      <c r="BS519" s="147"/>
      <c r="BT519" s="147"/>
      <c r="BU519" s="147"/>
      <c r="BV519" s="147"/>
      <c r="BW519" s="147"/>
      <c r="BX519" s="147"/>
      <c r="BY519" s="147"/>
      <c r="BZ519" s="147"/>
      <c r="CA519" s="147"/>
      <c r="CB519" s="147"/>
      <c r="CC519" s="147"/>
      <c r="CD519" s="147"/>
      <c r="CE519" s="147"/>
      <c r="CF519" s="147"/>
      <c r="CG519" s="147"/>
      <c r="CH519" s="147"/>
      <c r="CI519" s="147"/>
      <c r="CJ519" s="147"/>
      <c r="CK519" s="147"/>
    </row>
    <row r="520" spans="1:89">
      <c r="A520" s="165" t="s">
        <v>478</v>
      </c>
      <c r="B520" s="166" t="s">
        <v>816</v>
      </c>
      <c r="C520" s="167" t="s">
        <v>800</v>
      </c>
      <c r="D520" s="167" t="s">
        <v>890</v>
      </c>
      <c r="E520" s="166" t="s">
        <v>21</v>
      </c>
      <c r="F520" s="166" t="s">
        <v>926</v>
      </c>
      <c r="G520" s="166"/>
      <c r="H520" s="156" t="str">
        <f ca="1">IFERROR(
  _xludf.MINIFS(ATTENDANCE_LOG!$F:$F,
         ATTENDANCE_LOG!$A:$A, C520,
         ATTENDANCE_LOG!$B:$B, E520),
"")</f>
        <v/>
      </c>
      <c r="I520" s="156" t="str">
        <f t="shared" ca="1" si="528"/>
        <v/>
      </c>
      <c r="J520" s="166">
        <f>IFERROR(VLOOKUP(F520, LEVEL_HELPER!$A:$B, 2, 0), "")</f>
        <v>1</v>
      </c>
      <c r="K520" s="166" t="str">
        <f>IFERROR(VLOOKUP(G520, LEVEL_HELPER!$A:$B, 2, 0), "")</f>
        <v/>
      </c>
      <c r="L520" s="169" t="s">
        <v>944</v>
      </c>
      <c r="M520" s="169" t="s">
        <v>921</v>
      </c>
      <c r="N520" s="3">
        <f t="array" aca="1" ref="N520" ca="1">IFERROR(
  INDEX($J$2:$J$543,
    MATCH(A520&amp;TEXT(I520,"yyyy-mm-dd"),
          $A$2:$A$543&amp;TEXT($H$2:$H$543,"yyyy-mm-dd"),
          0)),
"")</f>
        <v>1</v>
      </c>
      <c r="O520" s="170" t="str">
        <f t="shared" ca="1" si="529"/>
        <v/>
      </c>
      <c r="P520" s="147">
        <f t="shared" ref="P520:Q520" ca="1" si="540">IF(N520="",0,IF(N520&lt;=2,1,IF(N520&lt;=4,2,IF(N520&lt;=5.5,3,4))))</f>
        <v>1</v>
      </c>
      <c r="Q520" s="147">
        <f t="shared" ca="1" si="540"/>
        <v>0</v>
      </c>
      <c r="R520" s="147" t="str">
        <f t="shared" ca="1" si="531"/>
        <v>Regressed</v>
      </c>
      <c r="S520" s="147">
        <f t="shared" si="532"/>
        <v>1</v>
      </c>
      <c r="T520" s="147"/>
      <c r="U520" s="147"/>
      <c r="V520" s="147"/>
      <c r="W520" s="147"/>
      <c r="X520" s="147"/>
      <c r="Y520" s="147"/>
      <c r="Z520" s="147"/>
      <c r="AA520" s="147"/>
      <c r="AB520" s="147"/>
      <c r="AC520" s="147"/>
      <c r="AD520" s="147"/>
      <c r="AE520" s="147"/>
      <c r="AF520" s="147"/>
      <c r="AG520" s="147"/>
      <c r="AH520" s="147"/>
      <c r="AI520" s="147"/>
      <c r="AJ520" s="147"/>
      <c r="AK520" s="147"/>
      <c r="AL520" s="147"/>
      <c r="AM520" s="151"/>
      <c r="AN520" s="147"/>
      <c r="AO520" s="147"/>
      <c r="AP520" s="147"/>
      <c r="AQ520" s="147"/>
      <c r="AR520" s="147"/>
      <c r="AS520" s="147"/>
      <c r="AT520" s="147"/>
      <c r="AU520" s="147"/>
      <c r="AV520" s="147"/>
      <c r="AW520" s="147"/>
      <c r="AX520" s="147"/>
      <c r="AY520" s="147"/>
      <c r="AZ520" s="147"/>
      <c r="BA520" s="147"/>
      <c r="BB520" s="147"/>
      <c r="BC520" s="147"/>
      <c r="BD520" s="147"/>
      <c r="BE520" s="147"/>
      <c r="BF520" s="147"/>
      <c r="BG520" s="147"/>
      <c r="BH520" s="147"/>
      <c r="BI520" s="147"/>
      <c r="BJ520" s="147"/>
      <c r="BK520" s="147"/>
      <c r="BL520" s="147"/>
      <c r="BM520" s="147"/>
      <c r="BN520" s="147"/>
      <c r="BO520" s="147"/>
      <c r="BP520" s="147"/>
      <c r="BQ520" s="147"/>
      <c r="BR520" s="147"/>
      <c r="BS520" s="147"/>
      <c r="BT520" s="147"/>
      <c r="BU520" s="147"/>
      <c r="BV520" s="147"/>
      <c r="BW520" s="147"/>
      <c r="BX520" s="147"/>
      <c r="BY520" s="147"/>
      <c r="BZ520" s="147"/>
      <c r="CA520" s="147"/>
      <c r="CB520" s="147"/>
      <c r="CC520" s="147"/>
      <c r="CD520" s="147"/>
      <c r="CE520" s="147"/>
      <c r="CF520" s="147"/>
      <c r="CG520" s="147"/>
      <c r="CH520" s="147"/>
      <c r="CI520" s="147"/>
      <c r="CJ520" s="147"/>
      <c r="CK520" s="147"/>
    </row>
    <row r="521" spans="1:89">
      <c r="A521" s="178" t="s">
        <v>151</v>
      </c>
      <c r="B521" s="179" t="s">
        <v>152</v>
      </c>
      <c r="C521" s="180" t="s">
        <v>95</v>
      </c>
      <c r="D521" s="180" t="s">
        <v>888</v>
      </c>
      <c r="E521" s="179" t="s">
        <v>25</v>
      </c>
      <c r="F521" s="179" t="s">
        <v>25</v>
      </c>
      <c r="G521" s="179"/>
      <c r="H521" s="156" t="str">
        <f ca="1">IFERROR(
  _xludf.MINIFS(ATTENDANCE_LOG!$F:$F,
         ATTENDANCE_LOG!$A:$A, C521,
         ATTENDANCE_LOG!$B:$B, E521),
"")</f>
        <v/>
      </c>
      <c r="I521" s="156" t="str">
        <f t="shared" ca="1" si="528"/>
        <v/>
      </c>
      <c r="J521" s="179">
        <f>IFERROR(VLOOKUP(F521, LEVEL_HELPER!$A:$B, 2, 0), "")</f>
        <v>0.5</v>
      </c>
      <c r="K521" s="166" t="str">
        <f>IFERROR(VLOOKUP(G521, LEVEL_HELPER!$A:$B, 2, 0), "")</f>
        <v/>
      </c>
      <c r="L521" s="181" t="s">
        <v>942</v>
      </c>
      <c r="M521" s="181" t="s">
        <v>923</v>
      </c>
      <c r="N521" s="3">
        <f t="array" aca="1" ref="N521" ca="1">IFERROR(
  INDEX($J$2:$J$543,
    MATCH(A521&amp;TEXT(I521,"yyyy-mm-dd"),
          $A$2:$A$543&amp;TEXT($H$2:$H$543,"yyyy-mm-dd"),
          0)),
"")</f>
        <v>0.5</v>
      </c>
      <c r="O521" s="182" t="str">
        <f t="shared" ca="1" si="529"/>
        <v/>
      </c>
      <c r="P521" s="147">
        <f t="shared" ref="P521:Q521" ca="1" si="541">IF(N521="",0,IF(N521&lt;=2,1,IF(N521&lt;=4,2,IF(N521&lt;=5.5,3,4))))</f>
        <v>1</v>
      </c>
      <c r="Q521" s="147">
        <f t="shared" ca="1" si="541"/>
        <v>0</v>
      </c>
      <c r="R521" s="147" t="str">
        <f t="shared" ca="1" si="531"/>
        <v>Regressed</v>
      </c>
      <c r="S521" s="147">
        <f t="shared" si="532"/>
        <v>1</v>
      </c>
      <c r="T521" s="147"/>
      <c r="U521" s="147"/>
      <c r="V521" s="147"/>
      <c r="W521" s="147"/>
      <c r="X521" s="147"/>
      <c r="Y521" s="147"/>
      <c r="Z521" s="147"/>
      <c r="AA521" s="147"/>
      <c r="AB521" s="147"/>
      <c r="AC521" s="147"/>
      <c r="AD521" s="147"/>
      <c r="AE521" s="147"/>
      <c r="AF521" s="147"/>
      <c r="AG521" s="147"/>
      <c r="AH521" s="147"/>
      <c r="AI521" s="147"/>
      <c r="AJ521" s="147"/>
      <c r="AK521" s="147"/>
      <c r="AL521" s="147"/>
      <c r="AM521" s="151"/>
      <c r="AN521" s="147"/>
      <c r="AO521" s="147"/>
      <c r="AP521" s="147"/>
      <c r="AQ521" s="147"/>
      <c r="AR521" s="147"/>
      <c r="AS521" s="147"/>
      <c r="AT521" s="147"/>
      <c r="AU521" s="147"/>
      <c r="AV521" s="147"/>
      <c r="AW521" s="147"/>
      <c r="AX521" s="147"/>
      <c r="AY521" s="147"/>
      <c r="AZ521" s="147"/>
      <c r="BA521" s="147"/>
      <c r="BB521" s="147"/>
      <c r="BC521" s="147"/>
      <c r="BD521" s="147"/>
      <c r="BE521" s="147"/>
      <c r="BF521" s="147"/>
      <c r="BG521" s="147"/>
      <c r="BH521" s="147"/>
      <c r="BI521" s="147"/>
      <c r="BJ521" s="147"/>
      <c r="BK521" s="147"/>
      <c r="BL521" s="147"/>
      <c r="BM521" s="147"/>
      <c r="BN521" s="147"/>
      <c r="BO521" s="147"/>
      <c r="BP521" s="147"/>
      <c r="BQ521" s="147"/>
      <c r="BR521" s="147"/>
      <c r="BS521" s="147"/>
      <c r="BT521" s="147"/>
      <c r="BU521" s="147"/>
      <c r="BV521" s="147"/>
      <c r="BW521" s="147"/>
      <c r="BX521" s="147"/>
      <c r="BY521" s="147"/>
      <c r="BZ521" s="147"/>
      <c r="CA521" s="147"/>
      <c r="CB521" s="147"/>
      <c r="CC521" s="147"/>
      <c r="CD521" s="147"/>
      <c r="CE521" s="147"/>
      <c r="CF521" s="147"/>
      <c r="CG521" s="147"/>
      <c r="CH521" s="147"/>
      <c r="CI521" s="147"/>
      <c r="CJ521" s="147"/>
      <c r="CK521" s="147"/>
    </row>
    <row r="522" spans="1:89">
      <c r="A522" s="165" t="s">
        <v>163</v>
      </c>
      <c r="B522" s="166" t="s">
        <v>164</v>
      </c>
      <c r="C522" s="167" t="s">
        <v>95</v>
      </c>
      <c r="D522" s="167" t="s">
        <v>888</v>
      </c>
      <c r="E522" s="166" t="s">
        <v>25</v>
      </c>
      <c r="F522" s="166" t="s">
        <v>25</v>
      </c>
      <c r="G522" s="166"/>
      <c r="H522" s="156" t="str">
        <f ca="1">IFERROR(
  _xludf.MINIFS(ATTENDANCE_LOG!$F:$F,
         ATTENDANCE_LOG!$A:$A, C522,
         ATTENDANCE_LOG!$B:$B, E522),
"")</f>
        <v/>
      </c>
      <c r="I522" s="156" t="str">
        <f t="shared" ca="1" si="528"/>
        <v/>
      </c>
      <c r="J522" s="166">
        <f>IFERROR(VLOOKUP(F522, LEVEL_HELPER!$A:$B, 2, 0), "")</f>
        <v>0.5</v>
      </c>
      <c r="K522" s="166" t="str">
        <f>IFERROR(VLOOKUP(G522, LEVEL_HELPER!$A:$B, 2, 0), "")</f>
        <v/>
      </c>
      <c r="L522" s="169" t="s">
        <v>950</v>
      </c>
      <c r="M522" s="169" t="s">
        <v>922</v>
      </c>
      <c r="N522" s="3">
        <f t="array" aca="1" ref="N522" ca="1">IFERROR(
  INDEX($J$2:$J$543,
    MATCH(A522&amp;TEXT(I522,"yyyy-mm-dd"),
          $A$2:$A$543&amp;TEXT($H$2:$H$543,"yyyy-mm-dd"),
          0)),
"")</f>
        <v>0.5</v>
      </c>
      <c r="O522" s="170" t="str">
        <f t="shared" ca="1" si="529"/>
        <v/>
      </c>
      <c r="P522" s="147">
        <f t="shared" ref="P522:Q522" ca="1" si="542">IF(N522="",0,IF(N522&lt;=2,1,IF(N522&lt;=4,2,IF(N522&lt;=5.5,3,4))))</f>
        <v>1</v>
      </c>
      <c r="Q522" s="147">
        <f t="shared" ca="1" si="542"/>
        <v>0</v>
      </c>
      <c r="R522" s="147" t="str">
        <f t="shared" ca="1" si="531"/>
        <v>Regressed</v>
      </c>
      <c r="S522" s="147">
        <f t="shared" si="532"/>
        <v>1</v>
      </c>
      <c r="T522" s="147"/>
      <c r="U522" s="147"/>
      <c r="V522" s="147"/>
      <c r="W522" s="147"/>
      <c r="X522" s="147"/>
      <c r="Y522" s="147"/>
      <c r="Z522" s="147"/>
      <c r="AA522" s="147"/>
      <c r="AB522" s="147"/>
      <c r="AC522" s="147"/>
      <c r="AD522" s="147"/>
      <c r="AE522" s="147"/>
      <c r="AF522" s="147"/>
      <c r="AG522" s="147"/>
      <c r="AH522" s="147"/>
      <c r="AI522" s="147"/>
      <c r="AJ522" s="147"/>
      <c r="AK522" s="147"/>
      <c r="AL522" s="147"/>
      <c r="AM522" s="151"/>
      <c r="AN522" s="147"/>
      <c r="AO522" s="147"/>
      <c r="AP522" s="147"/>
      <c r="AQ522" s="147"/>
      <c r="AR522" s="147"/>
      <c r="AS522" s="147"/>
      <c r="AT522" s="147"/>
      <c r="AU522" s="147"/>
      <c r="AV522" s="147"/>
      <c r="AW522" s="147"/>
      <c r="AX522" s="147"/>
      <c r="AY522" s="147"/>
      <c r="AZ522" s="147"/>
      <c r="BA522" s="147"/>
      <c r="BB522" s="147"/>
      <c r="BC522" s="147"/>
      <c r="BD522" s="147"/>
      <c r="BE522" s="147"/>
      <c r="BF522" s="147"/>
      <c r="BG522" s="147"/>
      <c r="BH522" s="147"/>
      <c r="BI522" s="147"/>
      <c r="BJ522" s="147"/>
      <c r="BK522" s="147"/>
      <c r="BL522" s="147"/>
      <c r="BM522" s="147"/>
      <c r="BN522" s="147"/>
      <c r="BO522" s="147"/>
      <c r="BP522" s="147"/>
      <c r="BQ522" s="147"/>
      <c r="BR522" s="147"/>
      <c r="BS522" s="147"/>
      <c r="BT522" s="147"/>
      <c r="BU522" s="147"/>
      <c r="BV522" s="147"/>
      <c r="BW522" s="147"/>
      <c r="BX522" s="147"/>
      <c r="BY522" s="147"/>
      <c r="BZ522" s="147"/>
      <c r="CA522" s="147"/>
      <c r="CB522" s="147"/>
      <c r="CC522" s="147"/>
      <c r="CD522" s="147"/>
      <c r="CE522" s="147"/>
      <c r="CF522" s="147"/>
      <c r="CG522" s="147"/>
      <c r="CH522" s="147"/>
      <c r="CI522" s="147"/>
      <c r="CJ522" s="147"/>
      <c r="CK522" s="147"/>
    </row>
    <row r="523" spans="1:89">
      <c r="A523" s="165" t="s">
        <v>180</v>
      </c>
      <c r="B523" s="166" t="s">
        <v>181</v>
      </c>
      <c r="C523" s="167" t="s">
        <v>95</v>
      </c>
      <c r="D523" s="167" t="s">
        <v>888</v>
      </c>
      <c r="E523" s="166" t="s">
        <v>25</v>
      </c>
      <c r="F523" s="166" t="s">
        <v>25</v>
      </c>
      <c r="G523" s="166"/>
      <c r="H523" s="156" t="str">
        <f ca="1">IFERROR(
  _xludf.MINIFS(ATTENDANCE_LOG!$F:$F,
         ATTENDANCE_LOG!$A:$A, C523,
         ATTENDANCE_LOG!$B:$B, E523),
"")</f>
        <v/>
      </c>
      <c r="I523" s="156" t="str">
        <f t="shared" ca="1" si="528"/>
        <v/>
      </c>
      <c r="J523" s="166">
        <f>IFERROR(VLOOKUP(F523, LEVEL_HELPER!$A:$B, 2, 0), "")</f>
        <v>0.5</v>
      </c>
      <c r="K523" s="166" t="str">
        <f>IFERROR(VLOOKUP(G523, LEVEL_HELPER!$A:$B, 2, 0), "")</f>
        <v/>
      </c>
      <c r="L523" s="169" t="s">
        <v>942</v>
      </c>
      <c r="M523" s="169" t="s">
        <v>921</v>
      </c>
      <c r="N523" s="3">
        <f t="array" aca="1" ref="N523" ca="1">IFERROR(
  INDEX($J$2:$J$543,
    MATCH(A523&amp;TEXT(I523,"yyyy-mm-dd"),
          $A$2:$A$543&amp;TEXT($H$2:$H$543,"yyyy-mm-dd"),
          0)),
"")</f>
        <v>0.5</v>
      </c>
      <c r="O523" s="170" t="str">
        <f t="shared" ca="1" si="529"/>
        <v/>
      </c>
      <c r="P523" s="147">
        <f t="shared" ref="P523:Q523" ca="1" si="543">IF(N523="",0,IF(N523&lt;=2,1,IF(N523&lt;=4,2,IF(N523&lt;=5.5,3,4))))</f>
        <v>1</v>
      </c>
      <c r="Q523" s="147">
        <f t="shared" ca="1" si="543"/>
        <v>0</v>
      </c>
      <c r="R523" s="147" t="str">
        <f t="shared" ca="1" si="531"/>
        <v>Regressed</v>
      </c>
      <c r="S523" s="147">
        <f t="shared" si="532"/>
        <v>1</v>
      </c>
      <c r="T523" s="147"/>
      <c r="U523" s="147"/>
      <c r="V523" s="147"/>
      <c r="W523" s="147"/>
      <c r="X523" s="147"/>
      <c r="Y523" s="147"/>
      <c r="Z523" s="147"/>
      <c r="AA523" s="147"/>
      <c r="AB523" s="147"/>
      <c r="AC523" s="147"/>
      <c r="AD523" s="147"/>
      <c r="AE523" s="147"/>
      <c r="AF523" s="147"/>
      <c r="AG523" s="147"/>
      <c r="AH523" s="147"/>
      <c r="AI523" s="147"/>
      <c r="AJ523" s="147"/>
      <c r="AK523" s="147"/>
      <c r="AL523" s="147"/>
      <c r="AM523" s="151"/>
      <c r="AN523" s="147"/>
      <c r="AO523" s="147"/>
      <c r="AP523" s="147"/>
      <c r="AQ523" s="147"/>
      <c r="AR523" s="147"/>
      <c r="AS523" s="147"/>
      <c r="AT523" s="147"/>
      <c r="AU523" s="147"/>
      <c r="AV523" s="147"/>
      <c r="AW523" s="147"/>
      <c r="AX523" s="147"/>
      <c r="AY523" s="147"/>
      <c r="AZ523" s="147"/>
      <c r="BA523" s="147"/>
      <c r="BB523" s="147"/>
      <c r="BC523" s="147"/>
      <c r="BD523" s="147"/>
      <c r="BE523" s="147"/>
      <c r="BF523" s="147"/>
      <c r="BG523" s="147"/>
      <c r="BH523" s="147"/>
      <c r="BI523" s="147"/>
      <c r="BJ523" s="147"/>
      <c r="BK523" s="147"/>
      <c r="BL523" s="147"/>
      <c r="BM523" s="147"/>
      <c r="BN523" s="147"/>
      <c r="BO523" s="147"/>
      <c r="BP523" s="147"/>
      <c r="BQ523" s="147"/>
      <c r="BR523" s="147"/>
      <c r="BS523" s="147"/>
      <c r="BT523" s="147"/>
      <c r="BU523" s="147"/>
      <c r="BV523" s="147"/>
      <c r="BW523" s="147"/>
      <c r="BX523" s="147"/>
      <c r="BY523" s="147"/>
      <c r="BZ523" s="147"/>
      <c r="CA523" s="147"/>
      <c r="CB523" s="147"/>
      <c r="CC523" s="147"/>
      <c r="CD523" s="147"/>
      <c r="CE523" s="147"/>
      <c r="CF523" s="147"/>
      <c r="CG523" s="147"/>
      <c r="CH523" s="147"/>
      <c r="CI523" s="147"/>
      <c r="CJ523" s="147"/>
      <c r="CK523" s="147"/>
    </row>
    <row r="524" spans="1:89">
      <c r="A524" s="165" t="s">
        <v>284</v>
      </c>
      <c r="B524" s="166" t="s">
        <v>285</v>
      </c>
      <c r="C524" s="167" t="s">
        <v>95</v>
      </c>
      <c r="D524" s="167" t="s">
        <v>888</v>
      </c>
      <c r="E524" s="166" t="s">
        <v>25</v>
      </c>
      <c r="F524" s="166" t="s">
        <v>25</v>
      </c>
      <c r="G524" s="166"/>
      <c r="H524" s="156" t="str">
        <f ca="1">IFERROR(
  _xludf.MINIFS(ATTENDANCE_LOG!$F:$F,
         ATTENDANCE_LOG!$A:$A, C524,
         ATTENDANCE_LOG!$B:$B, E524),
"")</f>
        <v/>
      </c>
      <c r="I524" s="156" t="str">
        <f t="shared" ca="1" si="528"/>
        <v/>
      </c>
      <c r="J524" s="166">
        <f>IFERROR(VLOOKUP(F524, LEVEL_HELPER!$A:$B, 2, 0), "")</f>
        <v>0.5</v>
      </c>
      <c r="K524" s="166" t="str">
        <f>IFERROR(VLOOKUP(G524, LEVEL_HELPER!$A:$B, 2, 0), "")</f>
        <v/>
      </c>
      <c r="L524" s="169" t="s">
        <v>942</v>
      </c>
      <c r="M524" s="169" t="s">
        <v>921</v>
      </c>
      <c r="N524" s="3">
        <f t="array" aca="1" ref="N524" ca="1">IFERROR(
  INDEX($J$2:$J$543,
    MATCH(A524&amp;TEXT(I524,"yyyy-mm-dd"),
          $A$2:$A$543&amp;TEXT($H$2:$H$543,"yyyy-mm-dd"),
          0)),
"")</f>
        <v>0.5</v>
      </c>
      <c r="O524" s="170" t="str">
        <f t="shared" ca="1" si="529"/>
        <v/>
      </c>
      <c r="P524" s="147">
        <f t="shared" ref="P524:Q524" ca="1" si="544">IF(N524="",0,IF(N524&lt;=2,1,IF(N524&lt;=4,2,IF(N524&lt;=5.5,3,4))))</f>
        <v>1</v>
      </c>
      <c r="Q524" s="147">
        <f t="shared" ca="1" si="544"/>
        <v>0</v>
      </c>
      <c r="R524" s="147" t="str">
        <f t="shared" ca="1" si="531"/>
        <v>Regressed</v>
      </c>
      <c r="S524" s="147">
        <f t="shared" si="532"/>
        <v>1</v>
      </c>
      <c r="T524" s="147"/>
      <c r="U524" s="147"/>
      <c r="V524" s="147"/>
      <c r="W524" s="147"/>
      <c r="X524" s="147"/>
      <c r="Y524" s="147"/>
      <c r="Z524" s="147"/>
      <c r="AA524" s="147"/>
      <c r="AB524" s="147"/>
      <c r="AC524" s="147"/>
      <c r="AD524" s="147"/>
      <c r="AE524" s="147"/>
      <c r="AF524" s="147"/>
      <c r="AG524" s="147"/>
      <c r="AH524" s="147"/>
      <c r="AI524" s="147"/>
      <c r="AJ524" s="147"/>
      <c r="AK524" s="147"/>
      <c r="AL524" s="147"/>
      <c r="AM524" s="151"/>
      <c r="AN524" s="147"/>
      <c r="AO524" s="147"/>
      <c r="AP524" s="147"/>
      <c r="AQ524" s="147"/>
      <c r="AR524" s="147"/>
      <c r="AS524" s="147"/>
      <c r="AT524" s="147"/>
      <c r="AU524" s="147"/>
      <c r="AV524" s="147"/>
      <c r="AW524" s="147"/>
      <c r="AX524" s="147"/>
      <c r="AY524" s="147"/>
      <c r="AZ524" s="147"/>
      <c r="BA524" s="147"/>
      <c r="BB524" s="147"/>
      <c r="BC524" s="147"/>
      <c r="BD524" s="147"/>
      <c r="BE524" s="147"/>
      <c r="BF524" s="147"/>
      <c r="BG524" s="147"/>
      <c r="BH524" s="147"/>
      <c r="BI524" s="147"/>
      <c r="BJ524" s="147"/>
      <c r="BK524" s="147"/>
      <c r="BL524" s="147"/>
      <c r="BM524" s="147"/>
      <c r="BN524" s="147"/>
      <c r="BO524" s="147"/>
      <c r="BP524" s="147"/>
      <c r="BQ524" s="147"/>
      <c r="BR524" s="147"/>
      <c r="BS524" s="147"/>
      <c r="BT524" s="147"/>
      <c r="BU524" s="147"/>
      <c r="BV524" s="147"/>
      <c r="BW524" s="147"/>
      <c r="BX524" s="147"/>
      <c r="BY524" s="147"/>
      <c r="BZ524" s="147"/>
      <c r="CA524" s="147"/>
      <c r="CB524" s="147"/>
      <c r="CC524" s="147"/>
      <c r="CD524" s="147"/>
      <c r="CE524" s="147"/>
      <c r="CF524" s="147"/>
      <c r="CG524" s="147"/>
      <c r="CH524" s="147"/>
      <c r="CI524" s="147"/>
      <c r="CJ524" s="147"/>
      <c r="CK524" s="147"/>
    </row>
    <row r="525" spans="1:89">
      <c r="A525" s="165" t="s">
        <v>359</v>
      </c>
      <c r="B525" s="166" t="s">
        <v>360</v>
      </c>
      <c r="C525" s="167" t="s">
        <v>95</v>
      </c>
      <c r="D525" s="167" t="s">
        <v>888</v>
      </c>
      <c r="E525" s="166" t="s">
        <v>25</v>
      </c>
      <c r="F525" s="166" t="s">
        <v>25</v>
      </c>
      <c r="G525" s="166"/>
      <c r="H525" s="156" t="str">
        <f ca="1">IFERROR(
  _xludf.MINIFS(ATTENDANCE_LOG!$F:$F,
         ATTENDANCE_LOG!$A:$A, C525,
         ATTENDANCE_LOG!$B:$B, E525),
"")</f>
        <v/>
      </c>
      <c r="I525" s="156" t="str">
        <f t="shared" ca="1" si="528"/>
        <v/>
      </c>
      <c r="J525" s="166">
        <f>IFERROR(VLOOKUP(F525, LEVEL_HELPER!$A:$B, 2, 0), "")</f>
        <v>0.5</v>
      </c>
      <c r="K525" s="166" t="str">
        <f>IFERROR(VLOOKUP(G525, LEVEL_HELPER!$A:$B, 2, 0), "")</f>
        <v/>
      </c>
      <c r="L525" s="169" t="s">
        <v>942</v>
      </c>
      <c r="M525" s="169" t="s">
        <v>921</v>
      </c>
      <c r="N525" s="3">
        <f t="array" aca="1" ref="N525" ca="1">IFERROR(
  INDEX($J$2:$J$543,
    MATCH(A525&amp;TEXT(I525,"yyyy-mm-dd"),
          $A$2:$A$543&amp;TEXT($H$2:$H$543,"yyyy-mm-dd"),
          0)),
"")</f>
        <v>0.5</v>
      </c>
      <c r="O525" s="170" t="str">
        <f t="shared" ca="1" si="529"/>
        <v/>
      </c>
      <c r="P525" s="147">
        <f t="shared" ref="P525:Q525" ca="1" si="545">IF(N525="",0,IF(N525&lt;=2,1,IF(N525&lt;=4,2,IF(N525&lt;=5.5,3,4))))</f>
        <v>1</v>
      </c>
      <c r="Q525" s="147">
        <f t="shared" ca="1" si="545"/>
        <v>0</v>
      </c>
      <c r="R525" s="147" t="str">
        <f t="shared" ca="1" si="531"/>
        <v>Regressed</v>
      </c>
      <c r="S525" s="147">
        <f t="shared" si="532"/>
        <v>1</v>
      </c>
      <c r="T525" s="147"/>
      <c r="U525" s="147"/>
      <c r="V525" s="147"/>
      <c r="W525" s="147"/>
      <c r="X525" s="147"/>
      <c r="Y525" s="147"/>
      <c r="Z525" s="147"/>
      <c r="AA525" s="147"/>
      <c r="AB525" s="147"/>
      <c r="AC525" s="147"/>
      <c r="AD525" s="147"/>
      <c r="AE525" s="147"/>
      <c r="AF525" s="147"/>
      <c r="AG525" s="147"/>
      <c r="AH525" s="147"/>
      <c r="AI525" s="147"/>
      <c r="AJ525" s="147"/>
      <c r="AK525" s="147"/>
      <c r="AL525" s="147"/>
      <c r="AM525" s="151"/>
      <c r="AN525" s="147"/>
      <c r="AO525" s="147"/>
      <c r="AP525" s="147"/>
      <c r="AQ525" s="147"/>
      <c r="AR525" s="147"/>
      <c r="AS525" s="147"/>
      <c r="AT525" s="147"/>
      <c r="AU525" s="147"/>
      <c r="AV525" s="147"/>
      <c r="AW525" s="147"/>
      <c r="AX525" s="147"/>
      <c r="AY525" s="147"/>
      <c r="AZ525" s="147"/>
      <c r="BA525" s="147"/>
      <c r="BB525" s="147"/>
      <c r="BC525" s="147"/>
      <c r="BD525" s="147"/>
      <c r="BE525" s="147"/>
      <c r="BF525" s="147"/>
      <c r="BG525" s="147"/>
      <c r="BH525" s="147"/>
      <c r="BI525" s="147"/>
      <c r="BJ525" s="147"/>
      <c r="BK525" s="147"/>
      <c r="BL525" s="147"/>
      <c r="BM525" s="147"/>
      <c r="BN525" s="147"/>
      <c r="BO525" s="147"/>
      <c r="BP525" s="147"/>
      <c r="BQ525" s="147"/>
      <c r="BR525" s="147"/>
      <c r="BS525" s="147"/>
      <c r="BT525" s="147"/>
      <c r="BU525" s="147"/>
      <c r="BV525" s="147"/>
      <c r="BW525" s="147"/>
      <c r="BX525" s="147"/>
      <c r="BY525" s="147"/>
      <c r="BZ525" s="147"/>
      <c r="CA525" s="147"/>
      <c r="CB525" s="147"/>
      <c r="CC525" s="147"/>
      <c r="CD525" s="147"/>
      <c r="CE525" s="147"/>
      <c r="CF525" s="147"/>
      <c r="CG525" s="147"/>
      <c r="CH525" s="147"/>
      <c r="CI525" s="147"/>
      <c r="CJ525" s="147"/>
      <c r="CK525" s="147"/>
    </row>
    <row r="526" spans="1:89">
      <c r="A526" s="165" t="s">
        <v>365</v>
      </c>
      <c r="B526" s="166" t="s">
        <v>366</v>
      </c>
      <c r="C526" s="167" t="s">
        <v>95</v>
      </c>
      <c r="D526" s="167" t="s">
        <v>888</v>
      </c>
      <c r="E526" s="166" t="s">
        <v>25</v>
      </c>
      <c r="F526" s="166" t="s">
        <v>25</v>
      </c>
      <c r="G526" s="166"/>
      <c r="H526" s="156" t="str">
        <f ca="1">IFERROR(
  _xludf.MINIFS(ATTENDANCE_LOG!$F:$F,
         ATTENDANCE_LOG!$A:$A, C526,
         ATTENDANCE_LOG!$B:$B, E526),
"")</f>
        <v/>
      </c>
      <c r="I526" s="156" t="str">
        <f t="shared" ca="1" si="528"/>
        <v/>
      </c>
      <c r="J526" s="166">
        <f>IFERROR(VLOOKUP(F526, LEVEL_HELPER!$A:$B, 2, 0), "")</f>
        <v>0.5</v>
      </c>
      <c r="K526" s="166" t="str">
        <f>IFERROR(VLOOKUP(G526, LEVEL_HELPER!$A:$B, 2, 0), "")</f>
        <v/>
      </c>
      <c r="L526" s="169" t="s">
        <v>942</v>
      </c>
      <c r="M526" s="169" t="s">
        <v>921</v>
      </c>
      <c r="N526" s="3">
        <f t="array" aca="1" ref="N526" ca="1">IFERROR(
  INDEX($J$2:$J$543,
    MATCH(A526&amp;TEXT(I526,"yyyy-mm-dd"),
          $A$2:$A$543&amp;TEXT($H$2:$H$543,"yyyy-mm-dd"),
          0)),
"")</f>
        <v>0.5</v>
      </c>
      <c r="O526" s="170" t="str">
        <f t="shared" ca="1" si="529"/>
        <v/>
      </c>
      <c r="P526" s="147">
        <f t="shared" ref="P526:Q526" ca="1" si="546">IF(N526="",0,IF(N526&lt;=2,1,IF(N526&lt;=4,2,IF(N526&lt;=5.5,3,4))))</f>
        <v>1</v>
      </c>
      <c r="Q526" s="147">
        <f t="shared" ca="1" si="546"/>
        <v>0</v>
      </c>
      <c r="R526" s="147" t="str">
        <f t="shared" ca="1" si="531"/>
        <v>Regressed</v>
      </c>
      <c r="S526" s="147">
        <f t="shared" si="532"/>
        <v>1</v>
      </c>
      <c r="T526" s="147"/>
      <c r="U526" s="147"/>
      <c r="V526" s="147"/>
      <c r="W526" s="147"/>
      <c r="X526" s="147"/>
      <c r="Y526" s="147"/>
      <c r="Z526" s="147"/>
      <c r="AA526" s="147"/>
      <c r="AB526" s="147"/>
      <c r="AC526" s="147"/>
      <c r="AD526" s="147"/>
      <c r="AE526" s="147"/>
      <c r="AF526" s="147"/>
      <c r="AG526" s="147"/>
      <c r="AH526" s="147"/>
      <c r="AI526" s="147"/>
      <c r="AJ526" s="147"/>
      <c r="AK526" s="147"/>
      <c r="AL526" s="147"/>
      <c r="AM526" s="151"/>
      <c r="AN526" s="147"/>
      <c r="AO526" s="147"/>
      <c r="AP526" s="147"/>
      <c r="AQ526" s="147"/>
      <c r="AR526" s="147"/>
      <c r="AS526" s="147"/>
      <c r="AT526" s="147"/>
      <c r="AU526" s="147"/>
      <c r="AV526" s="147"/>
      <c r="AW526" s="147"/>
      <c r="AX526" s="147"/>
      <c r="AY526" s="147"/>
      <c r="AZ526" s="147"/>
      <c r="BA526" s="147"/>
      <c r="BB526" s="147"/>
      <c r="BC526" s="147"/>
      <c r="BD526" s="147"/>
      <c r="BE526" s="147"/>
      <c r="BF526" s="147"/>
      <c r="BG526" s="147"/>
      <c r="BH526" s="147"/>
      <c r="BI526" s="147"/>
      <c r="BJ526" s="147"/>
      <c r="BK526" s="147"/>
      <c r="BL526" s="147"/>
      <c r="BM526" s="147"/>
      <c r="BN526" s="147"/>
      <c r="BO526" s="147"/>
      <c r="BP526" s="147"/>
      <c r="BQ526" s="147"/>
      <c r="BR526" s="147"/>
      <c r="BS526" s="147"/>
      <c r="BT526" s="147"/>
      <c r="BU526" s="147"/>
      <c r="BV526" s="147"/>
      <c r="BW526" s="147"/>
      <c r="BX526" s="147"/>
      <c r="BY526" s="147"/>
      <c r="BZ526" s="147"/>
      <c r="CA526" s="147"/>
      <c r="CB526" s="147"/>
      <c r="CC526" s="147"/>
      <c r="CD526" s="147"/>
      <c r="CE526" s="147"/>
      <c r="CF526" s="147"/>
      <c r="CG526" s="147"/>
      <c r="CH526" s="147"/>
      <c r="CI526" s="147"/>
      <c r="CJ526" s="147"/>
      <c r="CK526" s="147"/>
    </row>
    <row r="527" spans="1:89">
      <c r="A527" s="165" t="s">
        <v>393</v>
      </c>
      <c r="B527" s="166" t="s">
        <v>394</v>
      </c>
      <c r="C527" s="167" t="s">
        <v>95</v>
      </c>
      <c r="D527" s="167" t="s">
        <v>888</v>
      </c>
      <c r="E527" s="166" t="s">
        <v>25</v>
      </c>
      <c r="F527" s="166" t="s">
        <v>25</v>
      </c>
      <c r="G527" s="166"/>
      <c r="H527" s="156" t="str">
        <f ca="1">IFERROR(
  _xludf.MINIFS(ATTENDANCE_LOG!$F:$F,
         ATTENDANCE_LOG!$A:$A, C527,
         ATTENDANCE_LOG!$B:$B, E527),
"")</f>
        <v/>
      </c>
      <c r="I527" s="156" t="str">
        <f t="shared" ca="1" si="528"/>
        <v/>
      </c>
      <c r="J527" s="166">
        <f>IFERROR(VLOOKUP(F527, LEVEL_HELPER!$A:$B, 2, 0), "")</f>
        <v>0.5</v>
      </c>
      <c r="K527" s="166" t="str">
        <f>IFERROR(VLOOKUP(G527, LEVEL_HELPER!$A:$B, 2, 0), "")</f>
        <v/>
      </c>
      <c r="L527" s="169" t="s">
        <v>942</v>
      </c>
      <c r="M527" s="169" t="s">
        <v>921</v>
      </c>
      <c r="N527" s="3">
        <f t="array" aca="1" ref="N527" ca="1">IFERROR(
  INDEX($J$2:$J$543,
    MATCH(A527&amp;TEXT(I527,"yyyy-mm-dd"),
          $A$2:$A$543&amp;TEXT($H$2:$H$543,"yyyy-mm-dd"),
          0)),
"")</f>
        <v>0.5</v>
      </c>
      <c r="O527" s="170" t="str">
        <f t="shared" ca="1" si="529"/>
        <v/>
      </c>
      <c r="P527" s="147">
        <f t="shared" ref="P527:Q527" ca="1" si="547">IF(N527="",0,IF(N527&lt;=2,1,IF(N527&lt;=4,2,IF(N527&lt;=5.5,3,4))))</f>
        <v>1</v>
      </c>
      <c r="Q527" s="147">
        <f t="shared" ca="1" si="547"/>
        <v>0</v>
      </c>
      <c r="R527" s="147" t="str">
        <f t="shared" ca="1" si="531"/>
        <v>Regressed</v>
      </c>
      <c r="S527" s="147">
        <f t="shared" si="532"/>
        <v>1</v>
      </c>
      <c r="T527" s="147"/>
      <c r="U527" s="147"/>
      <c r="V527" s="147"/>
      <c r="W527" s="147"/>
      <c r="X527" s="147"/>
      <c r="Y527" s="147"/>
      <c r="Z527" s="147"/>
      <c r="AA527" s="147"/>
      <c r="AB527" s="147"/>
      <c r="AC527" s="147"/>
      <c r="AD527" s="147"/>
      <c r="AE527" s="147"/>
      <c r="AF527" s="147"/>
      <c r="AG527" s="147"/>
      <c r="AH527" s="147"/>
      <c r="AI527" s="147"/>
      <c r="AJ527" s="147"/>
      <c r="AK527" s="147"/>
      <c r="AL527" s="147"/>
      <c r="AM527" s="151"/>
      <c r="AN527" s="147"/>
      <c r="AO527" s="147"/>
      <c r="AP527" s="147"/>
      <c r="AQ527" s="147"/>
      <c r="AR527" s="147"/>
      <c r="AS527" s="147"/>
      <c r="AT527" s="147"/>
      <c r="AU527" s="147"/>
      <c r="AV527" s="147"/>
      <c r="AW527" s="147"/>
      <c r="AX527" s="147"/>
      <c r="AY527" s="147"/>
      <c r="AZ527" s="147"/>
      <c r="BA527" s="147"/>
      <c r="BB527" s="147"/>
      <c r="BC527" s="147"/>
      <c r="BD527" s="147"/>
      <c r="BE527" s="147"/>
      <c r="BF527" s="147"/>
      <c r="BG527" s="147"/>
      <c r="BH527" s="147"/>
      <c r="BI527" s="147"/>
      <c r="BJ527" s="147"/>
      <c r="BK527" s="147"/>
      <c r="BL527" s="147"/>
      <c r="BM527" s="147"/>
      <c r="BN527" s="147"/>
      <c r="BO527" s="147"/>
      <c r="BP527" s="147"/>
      <c r="BQ527" s="147"/>
      <c r="BR527" s="147"/>
      <c r="BS527" s="147"/>
      <c r="BT527" s="147"/>
      <c r="BU527" s="147"/>
      <c r="BV527" s="147"/>
      <c r="BW527" s="147"/>
      <c r="BX527" s="147"/>
      <c r="BY527" s="147"/>
      <c r="BZ527" s="147"/>
      <c r="CA527" s="147"/>
      <c r="CB527" s="147"/>
      <c r="CC527" s="147"/>
      <c r="CD527" s="147"/>
      <c r="CE527" s="147"/>
      <c r="CF527" s="147"/>
      <c r="CG527" s="147"/>
      <c r="CH527" s="147"/>
      <c r="CI527" s="147"/>
      <c r="CJ527" s="147"/>
      <c r="CK527" s="147"/>
    </row>
    <row r="528" spans="1:89">
      <c r="A528" s="165" t="s">
        <v>409</v>
      </c>
      <c r="B528" s="166" t="s">
        <v>410</v>
      </c>
      <c r="C528" s="167" t="s">
        <v>95</v>
      </c>
      <c r="D528" s="167" t="s">
        <v>888</v>
      </c>
      <c r="E528" s="166" t="s">
        <v>25</v>
      </c>
      <c r="F528" s="166" t="s">
        <v>25</v>
      </c>
      <c r="G528" s="166"/>
      <c r="H528" s="156" t="str">
        <f ca="1">IFERROR(
  _xludf.MINIFS(ATTENDANCE_LOG!$F:$F,
         ATTENDANCE_LOG!$A:$A, C528,
         ATTENDANCE_LOG!$B:$B, E528),
"")</f>
        <v/>
      </c>
      <c r="I528" s="156" t="str">
        <f t="shared" ca="1" si="528"/>
        <v/>
      </c>
      <c r="J528" s="166">
        <f>IFERROR(VLOOKUP(F528, LEVEL_HELPER!$A:$B, 2, 0), "")</f>
        <v>0.5</v>
      </c>
      <c r="K528" s="166" t="str">
        <f>IFERROR(VLOOKUP(G528, LEVEL_HELPER!$A:$B, 2, 0), "")</f>
        <v/>
      </c>
      <c r="L528" s="169" t="s">
        <v>918</v>
      </c>
      <c r="M528" s="169" t="s">
        <v>921</v>
      </c>
      <c r="N528" s="3">
        <f t="array" aca="1" ref="N528" ca="1">IFERROR(
  INDEX($J$2:$J$543,
    MATCH(A528&amp;TEXT(I528,"yyyy-mm-dd"),
          $A$2:$A$543&amp;TEXT($H$2:$H$543,"yyyy-mm-dd"),
          0)),
"")</f>
        <v>0.5</v>
      </c>
      <c r="O528" s="170" t="str">
        <f t="shared" ca="1" si="529"/>
        <v/>
      </c>
      <c r="P528" s="147">
        <f t="shared" ref="P528:Q528" ca="1" si="548">IF(N528="",0,IF(N528&lt;=2,1,IF(N528&lt;=4,2,IF(N528&lt;=5.5,3,4))))</f>
        <v>1</v>
      </c>
      <c r="Q528" s="147">
        <f t="shared" ca="1" si="548"/>
        <v>0</v>
      </c>
      <c r="R528" s="147" t="str">
        <f t="shared" ca="1" si="531"/>
        <v>Regressed</v>
      </c>
      <c r="S528" s="147">
        <f t="shared" si="532"/>
        <v>1</v>
      </c>
      <c r="T528" s="147"/>
      <c r="U528" s="147"/>
      <c r="V528" s="147"/>
      <c r="W528" s="147"/>
      <c r="X528" s="147"/>
      <c r="Y528" s="147"/>
      <c r="Z528" s="147"/>
      <c r="AA528" s="147"/>
      <c r="AB528" s="147"/>
      <c r="AC528" s="147"/>
      <c r="AD528" s="147"/>
      <c r="AE528" s="147"/>
      <c r="AF528" s="147"/>
      <c r="AG528" s="147"/>
      <c r="AH528" s="147"/>
      <c r="AI528" s="147"/>
      <c r="AJ528" s="147"/>
      <c r="AK528" s="147"/>
      <c r="AL528" s="147"/>
      <c r="AM528" s="151"/>
      <c r="AN528" s="147"/>
      <c r="AO528" s="147"/>
      <c r="AP528" s="147"/>
      <c r="AQ528" s="147"/>
      <c r="AR528" s="147"/>
      <c r="AS528" s="147"/>
      <c r="AT528" s="147"/>
      <c r="AU528" s="147"/>
      <c r="AV528" s="147"/>
      <c r="AW528" s="147"/>
      <c r="AX528" s="147"/>
      <c r="AY528" s="147"/>
      <c r="AZ528" s="147"/>
      <c r="BA528" s="147"/>
      <c r="BB528" s="147"/>
      <c r="BC528" s="147"/>
      <c r="BD528" s="147"/>
      <c r="BE528" s="147"/>
      <c r="BF528" s="147"/>
      <c r="BG528" s="147"/>
      <c r="BH528" s="147"/>
      <c r="BI528" s="147"/>
      <c r="BJ528" s="147"/>
      <c r="BK528" s="147"/>
      <c r="BL528" s="147"/>
      <c r="BM528" s="147"/>
      <c r="BN528" s="147"/>
      <c r="BO528" s="147"/>
      <c r="BP528" s="147"/>
      <c r="BQ528" s="147"/>
      <c r="BR528" s="147"/>
      <c r="BS528" s="147"/>
      <c r="BT528" s="147"/>
      <c r="BU528" s="147"/>
      <c r="BV528" s="147"/>
      <c r="BW528" s="147"/>
      <c r="BX528" s="147"/>
      <c r="BY528" s="147"/>
      <c r="BZ528" s="147"/>
      <c r="CA528" s="147"/>
      <c r="CB528" s="147"/>
      <c r="CC528" s="147"/>
      <c r="CD528" s="147"/>
      <c r="CE528" s="147"/>
      <c r="CF528" s="147"/>
      <c r="CG528" s="147"/>
      <c r="CH528" s="147"/>
      <c r="CI528" s="147"/>
      <c r="CJ528" s="147"/>
      <c r="CK528" s="147"/>
    </row>
    <row r="529" spans="1:89">
      <c r="A529" s="165" t="s">
        <v>478</v>
      </c>
      <c r="B529" s="166" t="s">
        <v>479</v>
      </c>
      <c r="C529" s="167" t="s">
        <v>95</v>
      </c>
      <c r="D529" s="167" t="s">
        <v>888</v>
      </c>
      <c r="E529" s="166" t="s">
        <v>25</v>
      </c>
      <c r="F529" s="166" t="s">
        <v>25</v>
      </c>
      <c r="G529" s="166"/>
      <c r="H529" s="156" t="str">
        <f ca="1">IFERROR(
  _xludf.MINIFS(ATTENDANCE_LOG!$F:$F,
         ATTENDANCE_LOG!$A:$A, C529,
         ATTENDANCE_LOG!$B:$B, E529),
"")</f>
        <v/>
      </c>
      <c r="I529" s="156" t="str">
        <f t="shared" ca="1" si="528"/>
        <v/>
      </c>
      <c r="J529" s="166">
        <f>IFERROR(VLOOKUP(F529, LEVEL_HELPER!$A:$B, 2, 0), "")</f>
        <v>0.5</v>
      </c>
      <c r="K529" s="166" t="str">
        <f>IFERROR(VLOOKUP(G529, LEVEL_HELPER!$A:$B, 2, 0), "")</f>
        <v/>
      </c>
      <c r="L529" s="169" t="s">
        <v>944</v>
      </c>
      <c r="M529" s="169" t="s">
        <v>921</v>
      </c>
      <c r="N529" s="3">
        <f t="array" aca="1" ref="N529" ca="1">IFERROR(
  INDEX($J$2:$J$543,
    MATCH(A529&amp;TEXT(I529,"yyyy-mm-dd"),
          $A$2:$A$543&amp;TEXT($H$2:$H$543,"yyyy-mm-dd"),
          0)),
"")</f>
        <v>1</v>
      </c>
      <c r="O529" s="170" t="str">
        <f t="shared" ca="1" si="529"/>
        <v/>
      </c>
      <c r="P529" s="147">
        <f t="shared" ref="P529:Q529" ca="1" si="549">IF(N529="",0,IF(N529&lt;=2,1,IF(N529&lt;=4,2,IF(N529&lt;=5.5,3,4))))</f>
        <v>1</v>
      </c>
      <c r="Q529" s="147">
        <f t="shared" ca="1" si="549"/>
        <v>0</v>
      </c>
      <c r="R529" s="147" t="str">
        <f t="shared" ca="1" si="531"/>
        <v>Regressed</v>
      </c>
      <c r="S529" s="147">
        <f t="shared" si="532"/>
        <v>0</v>
      </c>
      <c r="T529" s="147"/>
      <c r="U529" s="147"/>
      <c r="V529" s="147"/>
      <c r="W529" s="147"/>
      <c r="X529" s="147"/>
      <c r="Y529" s="147"/>
      <c r="Z529" s="147"/>
      <c r="AA529" s="147"/>
      <c r="AB529" s="147"/>
      <c r="AC529" s="147"/>
      <c r="AD529" s="147"/>
      <c r="AE529" s="147"/>
      <c r="AF529" s="147"/>
      <c r="AG529" s="147"/>
      <c r="AH529" s="147"/>
      <c r="AI529" s="147"/>
      <c r="AJ529" s="147"/>
      <c r="AK529" s="147"/>
      <c r="AL529" s="147"/>
      <c r="AM529" s="151"/>
      <c r="AN529" s="147"/>
      <c r="AO529" s="147"/>
      <c r="AP529" s="147"/>
      <c r="AQ529" s="147"/>
      <c r="AR529" s="147"/>
      <c r="AS529" s="147"/>
      <c r="AT529" s="147"/>
      <c r="AU529" s="147"/>
      <c r="AV529" s="147"/>
      <c r="AW529" s="147"/>
      <c r="AX529" s="147"/>
      <c r="AY529" s="147"/>
      <c r="AZ529" s="147"/>
      <c r="BA529" s="147"/>
      <c r="BB529" s="147"/>
      <c r="BC529" s="147"/>
      <c r="BD529" s="147"/>
      <c r="BE529" s="147"/>
      <c r="BF529" s="147"/>
      <c r="BG529" s="147"/>
      <c r="BH529" s="147"/>
      <c r="BI529" s="147"/>
      <c r="BJ529" s="147"/>
      <c r="BK529" s="147"/>
      <c r="BL529" s="147"/>
      <c r="BM529" s="147"/>
      <c r="BN529" s="147"/>
      <c r="BO529" s="147"/>
      <c r="BP529" s="147"/>
      <c r="BQ529" s="147"/>
      <c r="BR529" s="147"/>
      <c r="BS529" s="147"/>
      <c r="BT529" s="147"/>
      <c r="BU529" s="147"/>
      <c r="BV529" s="147"/>
      <c r="BW529" s="147"/>
      <c r="BX529" s="147"/>
      <c r="BY529" s="147"/>
      <c r="BZ529" s="147"/>
      <c r="CA529" s="147"/>
      <c r="CB529" s="147"/>
      <c r="CC529" s="147"/>
      <c r="CD529" s="147"/>
      <c r="CE529" s="147"/>
      <c r="CF529" s="147"/>
      <c r="CG529" s="147"/>
      <c r="CH529" s="147"/>
      <c r="CI529" s="147"/>
      <c r="CJ529" s="147"/>
      <c r="CK529" s="147"/>
    </row>
    <row r="530" spans="1:89">
      <c r="A530" s="165" t="s">
        <v>585</v>
      </c>
      <c r="B530" s="166" t="s">
        <v>586</v>
      </c>
      <c r="C530" s="167" t="s">
        <v>95</v>
      </c>
      <c r="D530" s="167" t="s">
        <v>888</v>
      </c>
      <c r="E530" s="166" t="s">
        <v>25</v>
      </c>
      <c r="F530" s="166" t="s">
        <v>25</v>
      </c>
      <c r="G530" s="166"/>
      <c r="H530" s="156" t="str">
        <f ca="1">IFERROR(
  _xludf.MINIFS(ATTENDANCE_LOG!$F:$F,
         ATTENDANCE_LOG!$A:$A, C530,
         ATTENDANCE_LOG!$B:$B, E530),
"")</f>
        <v/>
      </c>
      <c r="I530" s="156" t="str">
        <f t="shared" ca="1" si="528"/>
        <v/>
      </c>
      <c r="J530" s="166">
        <f>IFERROR(VLOOKUP(F530, LEVEL_HELPER!$A:$B, 2, 0), "")</f>
        <v>0.5</v>
      </c>
      <c r="K530" s="166" t="str">
        <f>IFERROR(VLOOKUP(G530, LEVEL_HELPER!$A:$B, 2, 0), "")</f>
        <v/>
      </c>
      <c r="L530" s="169" t="s">
        <v>942</v>
      </c>
      <c r="M530" s="169" t="s">
        <v>921</v>
      </c>
      <c r="N530" s="3">
        <f t="array" aca="1" ref="N530" ca="1">IFERROR(
  INDEX($J$2:$J$543,
    MATCH(A530&amp;TEXT(I530,"yyyy-mm-dd"),
          $A$2:$A$543&amp;TEXT($H$2:$H$543,"yyyy-mm-dd"),
          0)),
"")</f>
        <v>0.5</v>
      </c>
      <c r="O530" s="170" t="str">
        <f t="shared" ca="1" si="529"/>
        <v/>
      </c>
      <c r="P530" s="147">
        <f t="shared" ref="P530:Q530" ca="1" si="550">IF(N530="",0,IF(N530&lt;=2,1,IF(N530&lt;=4,2,IF(N530&lt;=5.5,3,4))))</f>
        <v>1</v>
      </c>
      <c r="Q530" s="147">
        <f t="shared" ca="1" si="550"/>
        <v>0</v>
      </c>
      <c r="R530" s="147" t="str">
        <f t="shared" ca="1" si="531"/>
        <v>Regressed</v>
      </c>
      <c r="S530" s="147">
        <f t="shared" si="532"/>
        <v>1</v>
      </c>
      <c r="T530" s="147"/>
      <c r="U530" s="147"/>
      <c r="V530" s="147"/>
      <c r="W530" s="147"/>
      <c r="X530" s="147"/>
      <c r="Y530" s="147"/>
      <c r="Z530" s="147"/>
      <c r="AA530" s="147"/>
      <c r="AB530" s="147"/>
      <c r="AC530" s="147"/>
      <c r="AD530" s="147"/>
      <c r="AE530" s="147"/>
      <c r="AF530" s="147"/>
      <c r="AG530" s="147"/>
      <c r="AH530" s="147"/>
      <c r="AI530" s="147"/>
      <c r="AJ530" s="147"/>
      <c r="AK530" s="147"/>
      <c r="AL530" s="147"/>
      <c r="AM530" s="151"/>
      <c r="AN530" s="147"/>
      <c r="AO530" s="147"/>
      <c r="AP530" s="147"/>
      <c r="AQ530" s="147"/>
      <c r="AR530" s="147"/>
      <c r="AS530" s="147"/>
      <c r="AT530" s="147"/>
      <c r="AU530" s="147"/>
      <c r="AV530" s="147"/>
      <c r="AW530" s="147"/>
      <c r="AX530" s="147"/>
      <c r="AY530" s="147"/>
      <c r="AZ530" s="147"/>
      <c r="BA530" s="147"/>
      <c r="BB530" s="147"/>
      <c r="BC530" s="147"/>
      <c r="BD530" s="147"/>
      <c r="BE530" s="147"/>
      <c r="BF530" s="147"/>
      <c r="BG530" s="147"/>
      <c r="BH530" s="147"/>
      <c r="BI530" s="147"/>
      <c r="BJ530" s="147"/>
      <c r="BK530" s="147"/>
      <c r="BL530" s="147"/>
      <c r="BM530" s="147"/>
      <c r="BN530" s="147"/>
      <c r="BO530" s="147"/>
      <c r="BP530" s="147"/>
      <c r="BQ530" s="147"/>
      <c r="BR530" s="147"/>
      <c r="BS530" s="147"/>
      <c r="BT530" s="147"/>
      <c r="BU530" s="147"/>
      <c r="BV530" s="147"/>
      <c r="BW530" s="147"/>
      <c r="BX530" s="147"/>
      <c r="BY530" s="147"/>
      <c r="BZ530" s="147"/>
      <c r="CA530" s="147"/>
      <c r="CB530" s="147"/>
      <c r="CC530" s="147"/>
      <c r="CD530" s="147"/>
      <c r="CE530" s="147"/>
      <c r="CF530" s="147"/>
      <c r="CG530" s="147"/>
      <c r="CH530" s="147"/>
      <c r="CI530" s="147"/>
      <c r="CJ530" s="147"/>
      <c r="CK530" s="147"/>
    </row>
    <row r="531" spans="1:89">
      <c r="A531" s="178" t="s">
        <v>370</v>
      </c>
      <c r="B531" s="179" t="s">
        <v>371</v>
      </c>
      <c r="C531" s="180" t="s">
        <v>96</v>
      </c>
      <c r="D531" s="180" t="s">
        <v>889</v>
      </c>
      <c r="E531" s="179" t="s">
        <v>21</v>
      </c>
      <c r="F531" s="179" t="s">
        <v>25</v>
      </c>
      <c r="G531" s="179"/>
      <c r="H531" s="156" t="str">
        <f ca="1">IFERROR(
  _xludf.MINIFS(ATTENDANCE_LOG!$F:$F,
         ATTENDANCE_LOG!$A:$A, C531,
         ATTENDANCE_LOG!$B:$B, E531),
"")</f>
        <v/>
      </c>
      <c r="I531" s="156" t="str">
        <f t="shared" ca="1" si="528"/>
        <v/>
      </c>
      <c r="J531" s="179">
        <f>IFERROR(VLOOKUP(F531, LEVEL_HELPER!$A:$B, 2, 0), "")</f>
        <v>0.5</v>
      </c>
      <c r="K531" s="166" t="str">
        <f>IFERROR(VLOOKUP(G531, LEVEL_HELPER!$A:$B, 2, 0), "")</f>
        <v/>
      </c>
      <c r="L531" s="181" t="s">
        <v>918</v>
      </c>
      <c r="M531" s="181" t="s">
        <v>924</v>
      </c>
      <c r="N531" s="3">
        <f t="array" aca="1" ref="N531" ca="1">IFERROR(
  INDEX($J$2:$J$543,
    MATCH(A531&amp;TEXT(I531,"yyyy-mm-dd"),
          $A$2:$A$543&amp;TEXT($H$2:$H$543,"yyyy-mm-dd"),
          0)),
"")</f>
        <v>1</v>
      </c>
      <c r="O531" s="182" t="str">
        <f t="shared" ca="1" si="529"/>
        <v/>
      </c>
      <c r="P531" s="147">
        <f t="shared" ref="P531:Q531" ca="1" si="551">IF(N531="",0,IF(N531&lt;=2,1,IF(N531&lt;=4,2,IF(N531&lt;=5.5,3,4))))</f>
        <v>1</v>
      </c>
      <c r="Q531" s="147">
        <f t="shared" ca="1" si="551"/>
        <v>0</v>
      </c>
      <c r="R531" s="147" t="str">
        <f t="shared" ca="1" si="531"/>
        <v>Regressed</v>
      </c>
      <c r="S531" s="147">
        <f t="shared" si="532"/>
        <v>0</v>
      </c>
      <c r="T531" s="147"/>
      <c r="U531" s="147"/>
      <c r="V531" s="147"/>
      <c r="W531" s="147"/>
      <c r="X531" s="147"/>
      <c r="Y531" s="147"/>
      <c r="Z531" s="147"/>
      <c r="AA531" s="147"/>
      <c r="AB531" s="147"/>
      <c r="AC531" s="147"/>
      <c r="AD531" s="147"/>
      <c r="AE531" s="147"/>
      <c r="AF531" s="147"/>
      <c r="AG531" s="147"/>
      <c r="AH531" s="147"/>
      <c r="AI531" s="147"/>
      <c r="AJ531" s="147"/>
      <c r="AK531" s="147"/>
      <c r="AL531" s="147"/>
      <c r="AM531" s="151"/>
      <c r="AN531" s="147"/>
      <c r="AO531" s="147"/>
      <c r="AP531" s="147"/>
      <c r="AQ531" s="147"/>
      <c r="AR531" s="147"/>
      <c r="AS531" s="147"/>
      <c r="AT531" s="147"/>
      <c r="AU531" s="147"/>
      <c r="AV531" s="147"/>
      <c r="AW531" s="147"/>
      <c r="AX531" s="147"/>
      <c r="AY531" s="147"/>
      <c r="AZ531" s="147"/>
      <c r="BA531" s="147"/>
      <c r="BB531" s="147"/>
      <c r="BC531" s="147"/>
      <c r="BD531" s="147"/>
      <c r="BE531" s="147"/>
      <c r="BF531" s="147"/>
      <c r="BG531" s="147"/>
      <c r="BH531" s="147"/>
      <c r="BI531" s="147"/>
      <c r="BJ531" s="147"/>
      <c r="BK531" s="147"/>
      <c r="BL531" s="147"/>
      <c r="BM531" s="147"/>
      <c r="BN531" s="147"/>
      <c r="BO531" s="147"/>
      <c r="BP531" s="147"/>
      <c r="BQ531" s="147"/>
      <c r="BR531" s="147"/>
      <c r="BS531" s="147"/>
      <c r="BT531" s="147"/>
      <c r="BU531" s="147"/>
      <c r="BV531" s="147"/>
      <c r="BW531" s="147"/>
      <c r="BX531" s="147"/>
      <c r="BY531" s="147"/>
      <c r="BZ531" s="147"/>
      <c r="CA531" s="147"/>
      <c r="CB531" s="147"/>
      <c r="CC531" s="147"/>
      <c r="CD531" s="147"/>
      <c r="CE531" s="147"/>
      <c r="CF531" s="147"/>
      <c r="CG531" s="147"/>
      <c r="CH531" s="147"/>
      <c r="CI531" s="147"/>
      <c r="CJ531" s="147"/>
      <c r="CK531" s="147"/>
    </row>
    <row r="532" spans="1:89">
      <c r="A532" s="165" t="s">
        <v>138</v>
      </c>
      <c r="B532" s="166" t="s">
        <v>139</v>
      </c>
      <c r="C532" s="167" t="s">
        <v>96</v>
      </c>
      <c r="D532" s="167" t="s">
        <v>889</v>
      </c>
      <c r="E532" s="166" t="s">
        <v>21</v>
      </c>
      <c r="F532" s="166" t="s">
        <v>928</v>
      </c>
      <c r="G532" s="166"/>
      <c r="H532" s="156" t="str">
        <f ca="1">IFERROR(
  _xludf.MINIFS(ATTENDANCE_LOG!$F:$F,
         ATTENDANCE_LOG!$A:$A, C532,
         ATTENDANCE_LOG!$B:$B, E532),
"")</f>
        <v/>
      </c>
      <c r="I532" s="156" t="str">
        <f t="shared" ca="1" si="528"/>
        <v/>
      </c>
      <c r="J532" s="166">
        <f>IFERROR(VLOOKUP(F532, LEVEL_HELPER!$A:$B, 2, 0), "")</f>
        <v>1.5</v>
      </c>
      <c r="K532" s="166" t="str">
        <f>IFERROR(VLOOKUP(G532, LEVEL_HELPER!$A:$B, 2, 0), "")</f>
        <v/>
      </c>
      <c r="L532" s="169" t="s">
        <v>918</v>
      </c>
      <c r="M532" s="169" t="s">
        <v>924</v>
      </c>
      <c r="N532" s="3">
        <f t="array" aca="1" ref="N532" ca="1">IFERROR(
  INDEX($J$2:$J$543,
    MATCH(A532&amp;TEXT(I532,"yyyy-mm-dd"),
          $A$2:$A$543&amp;TEXT($H$2:$H$543,"yyyy-mm-dd"),
          0)),
"")</f>
        <v>1.5</v>
      </c>
      <c r="O532" s="170" t="str">
        <f t="shared" ca="1" si="529"/>
        <v/>
      </c>
      <c r="P532" s="147">
        <f t="shared" ref="P532:Q532" ca="1" si="552">IF(N532="",0,IF(N532&lt;=2,1,IF(N532&lt;=4,2,IF(N532&lt;=5.5,3,4))))</f>
        <v>1</v>
      </c>
      <c r="Q532" s="147">
        <f t="shared" ca="1" si="552"/>
        <v>0</v>
      </c>
      <c r="R532" s="147" t="str">
        <f t="shared" ca="1" si="531"/>
        <v>Regressed</v>
      </c>
      <c r="S532" s="147">
        <f t="shared" si="532"/>
        <v>1</v>
      </c>
      <c r="T532" s="147"/>
      <c r="U532" s="147"/>
      <c r="V532" s="147"/>
      <c r="W532" s="147"/>
      <c r="X532" s="147"/>
      <c r="Y532" s="147"/>
      <c r="Z532" s="147"/>
      <c r="AA532" s="147"/>
      <c r="AB532" s="147"/>
      <c r="AC532" s="147"/>
      <c r="AD532" s="147"/>
      <c r="AE532" s="147"/>
      <c r="AF532" s="147"/>
      <c r="AG532" s="147"/>
      <c r="AH532" s="147"/>
      <c r="AI532" s="147"/>
      <c r="AJ532" s="147"/>
      <c r="AK532" s="147"/>
      <c r="AL532" s="147"/>
      <c r="AM532" s="151"/>
      <c r="AN532" s="147"/>
      <c r="AO532" s="147"/>
      <c r="AP532" s="147"/>
      <c r="AQ532" s="147"/>
      <c r="AR532" s="147"/>
      <c r="AS532" s="147"/>
      <c r="AT532" s="147"/>
      <c r="AU532" s="147"/>
      <c r="AV532" s="147"/>
      <c r="AW532" s="147"/>
      <c r="AX532" s="147"/>
      <c r="AY532" s="147"/>
      <c r="AZ532" s="147"/>
      <c r="BA532" s="147"/>
      <c r="BB532" s="147"/>
      <c r="BC532" s="147"/>
      <c r="BD532" s="147"/>
      <c r="BE532" s="147"/>
      <c r="BF532" s="147"/>
      <c r="BG532" s="147"/>
      <c r="BH532" s="147"/>
      <c r="BI532" s="147"/>
      <c r="BJ532" s="147"/>
      <c r="BK532" s="147"/>
      <c r="BL532" s="147"/>
      <c r="BM532" s="147"/>
      <c r="BN532" s="147"/>
      <c r="BO532" s="147"/>
      <c r="BP532" s="147"/>
      <c r="BQ532" s="147"/>
      <c r="BR532" s="147"/>
      <c r="BS532" s="147"/>
      <c r="BT532" s="147"/>
      <c r="BU532" s="147"/>
      <c r="BV532" s="147"/>
      <c r="BW532" s="147"/>
      <c r="BX532" s="147"/>
      <c r="BY532" s="147"/>
      <c r="BZ532" s="147"/>
      <c r="CA532" s="147"/>
      <c r="CB532" s="147"/>
      <c r="CC532" s="147"/>
      <c r="CD532" s="147"/>
      <c r="CE532" s="147"/>
      <c r="CF532" s="147"/>
      <c r="CG532" s="147"/>
      <c r="CH532" s="147"/>
      <c r="CI532" s="147"/>
      <c r="CJ532" s="147"/>
      <c r="CK532" s="147"/>
    </row>
    <row r="533" spans="1:89">
      <c r="A533" s="165" t="s">
        <v>267</v>
      </c>
      <c r="B533" s="166" t="s">
        <v>268</v>
      </c>
      <c r="C533" s="167" t="s">
        <v>96</v>
      </c>
      <c r="D533" s="167" t="s">
        <v>889</v>
      </c>
      <c r="E533" s="166" t="s">
        <v>21</v>
      </c>
      <c r="F533" s="166" t="s">
        <v>25</v>
      </c>
      <c r="G533" s="166"/>
      <c r="H533" s="156" t="str">
        <f ca="1">IFERROR(
  _xludf.MINIFS(ATTENDANCE_LOG!$F:$F,
         ATTENDANCE_LOG!$A:$A, C533,
         ATTENDANCE_LOG!$B:$B, E533),
"")</f>
        <v/>
      </c>
      <c r="I533" s="156" t="str">
        <f t="shared" ca="1" si="528"/>
        <v/>
      </c>
      <c r="J533" s="166">
        <f>IFERROR(VLOOKUP(F533, LEVEL_HELPER!$A:$B, 2, 0), "")</f>
        <v>0.5</v>
      </c>
      <c r="K533" s="166" t="str">
        <f>IFERROR(VLOOKUP(G533, LEVEL_HELPER!$A:$B, 2, 0), "")</f>
        <v/>
      </c>
      <c r="L533" s="169" t="s">
        <v>918</v>
      </c>
      <c r="M533" s="169" t="s">
        <v>924</v>
      </c>
      <c r="N533" s="3">
        <f t="array" aca="1" ref="N533" ca="1">IFERROR(
  INDEX($J$2:$J$543,
    MATCH(A533&amp;TEXT(I533,"yyyy-mm-dd"),
          $A$2:$A$543&amp;TEXT($H$2:$H$543,"yyyy-mm-dd"),
          0)),
"")</f>
        <v>1</v>
      </c>
      <c r="O533" s="170" t="str">
        <f t="shared" ca="1" si="529"/>
        <v/>
      </c>
      <c r="P533" s="147">
        <f t="shared" ref="P533:Q533" ca="1" si="553">IF(N533="",0,IF(N533&lt;=2,1,IF(N533&lt;=4,2,IF(N533&lt;=5.5,3,4))))</f>
        <v>1</v>
      </c>
      <c r="Q533" s="147">
        <f t="shared" ca="1" si="553"/>
        <v>0</v>
      </c>
      <c r="R533" s="147" t="str">
        <f t="shared" ca="1" si="531"/>
        <v>Regressed</v>
      </c>
      <c r="S533" s="147">
        <f t="shared" si="532"/>
        <v>0</v>
      </c>
      <c r="T533" s="147"/>
      <c r="U533" s="147"/>
      <c r="V533" s="147"/>
      <c r="W533" s="147"/>
      <c r="X533" s="147"/>
      <c r="Y533" s="147"/>
      <c r="Z533" s="147"/>
      <c r="AA533" s="147"/>
      <c r="AB533" s="147"/>
      <c r="AC533" s="147"/>
      <c r="AD533" s="147"/>
      <c r="AE533" s="147"/>
      <c r="AF533" s="147"/>
      <c r="AG533" s="147"/>
      <c r="AH533" s="147"/>
      <c r="AI533" s="147"/>
      <c r="AJ533" s="147"/>
      <c r="AK533" s="147"/>
      <c r="AL533" s="147"/>
      <c r="AM533" s="151"/>
      <c r="AN533" s="147"/>
      <c r="AO533" s="147"/>
      <c r="AP533" s="147"/>
      <c r="AQ533" s="147"/>
      <c r="AR533" s="147"/>
      <c r="AS533" s="147"/>
      <c r="AT533" s="147"/>
      <c r="AU533" s="147"/>
      <c r="AV533" s="147"/>
      <c r="AW533" s="147"/>
      <c r="AX533" s="147"/>
      <c r="AY533" s="147"/>
      <c r="AZ533" s="147"/>
      <c r="BA533" s="147"/>
      <c r="BB533" s="147"/>
      <c r="BC533" s="147"/>
      <c r="BD533" s="147"/>
      <c r="BE533" s="147"/>
      <c r="BF533" s="147"/>
      <c r="BG533" s="147"/>
      <c r="BH533" s="147"/>
      <c r="BI533" s="147"/>
      <c r="BJ533" s="147"/>
      <c r="BK533" s="147"/>
      <c r="BL533" s="147"/>
      <c r="BM533" s="147"/>
      <c r="BN533" s="147"/>
      <c r="BO533" s="147"/>
      <c r="BP533" s="147"/>
      <c r="BQ533" s="147"/>
      <c r="BR533" s="147"/>
      <c r="BS533" s="147"/>
      <c r="BT533" s="147"/>
      <c r="BU533" s="147"/>
      <c r="BV533" s="147"/>
      <c r="BW533" s="147"/>
      <c r="BX533" s="147"/>
      <c r="BY533" s="147"/>
      <c r="BZ533" s="147"/>
      <c r="CA533" s="147"/>
      <c r="CB533" s="147"/>
      <c r="CC533" s="147"/>
      <c r="CD533" s="147"/>
      <c r="CE533" s="147"/>
      <c r="CF533" s="147"/>
      <c r="CG533" s="147"/>
      <c r="CH533" s="147"/>
      <c r="CI533" s="147"/>
      <c r="CJ533" s="147"/>
      <c r="CK533" s="147"/>
    </row>
    <row r="534" spans="1:89">
      <c r="A534" s="165" t="s">
        <v>286</v>
      </c>
      <c r="B534" s="166" t="s">
        <v>287</v>
      </c>
      <c r="C534" s="167" t="s">
        <v>96</v>
      </c>
      <c r="D534" s="167" t="s">
        <v>889</v>
      </c>
      <c r="E534" s="166" t="s">
        <v>21</v>
      </c>
      <c r="F534" s="166" t="s">
        <v>25</v>
      </c>
      <c r="G534" s="166"/>
      <c r="H534" s="156" t="str">
        <f ca="1">IFERROR(
  _xludf.MINIFS(ATTENDANCE_LOG!$F:$F,
         ATTENDANCE_LOG!$A:$A, C534,
         ATTENDANCE_LOG!$B:$B, E534),
"")</f>
        <v/>
      </c>
      <c r="I534" s="156" t="str">
        <f t="shared" ca="1" si="528"/>
        <v/>
      </c>
      <c r="J534" s="166">
        <f>IFERROR(VLOOKUP(F534, LEVEL_HELPER!$A:$B, 2, 0), "")</f>
        <v>0.5</v>
      </c>
      <c r="K534" s="166" t="str">
        <f>IFERROR(VLOOKUP(G534, LEVEL_HELPER!$A:$B, 2, 0), "")</f>
        <v/>
      </c>
      <c r="L534" s="169" t="s">
        <v>918</v>
      </c>
      <c r="M534" s="169" t="s">
        <v>924</v>
      </c>
      <c r="N534" s="3">
        <f t="array" aca="1" ref="N534" ca="1">IFERROR(
  INDEX($J$2:$J$543,
    MATCH(A534&amp;TEXT(I534,"yyyy-mm-dd"),
          $A$2:$A$543&amp;TEXT($H$2:$H$543,"yyyy-mm-dd"),
          0)),
"")</f>
        <v>0.5</v>
      </c>
      <c r="O534" s="170" t="str">
        <f t="shared" ca="1" si="529"/>
        <v/>
      </c>
      <c r="P534" s="147">
        <f t="shared" ref="P534:Q534" ca="1" si="554">IF(N534="",0,IF(N534&lt;=2,1,IF(N534&lt;=4,2,IF(N534&lt;=5.5,3,4))))</f>
        <v>1</v>
      </c>
      <c r="Q534" s="147">
        <f t="shared" ca="1" si="554"/>
        <v>0</v>
      </c>
      <c r="R534" s="147" t="str">
        <f t="shared" ca="1" si="531"/>
        <v>Regressed</v>
      </c>
      <c r="S534" s="147">
        <f t="shared" si="532"/>
        <v>1</v>
      </c>
      <c r="T534" s="147"/>
      <c r="U534" s="147"/>
      <c r="V534" s="147"/>
      <c r="W534" s="147"/>
      <c r="X534" s="147"/>
      <c r="Y534" s="147"/>
      <c r="Z534" s="147"/>
      <c r="AA534" s="147"/>
      <c r="AB534" s="147"/>
      <c r="AC534" s="147"/>
      <c r="AD534" s="147"/>
      <c r="AE534" s="147"/>
      <c r="AF534" s="147"/>
      <c r="AG534" s="147"/>
      <c r="AH534" s="147"/>
      <c r="AI534" s="147"/>
      <c r="AJ534" s="147"/>
      <c r="AK534" s="147"/>
      <c r="AL534" s="147"/>
      <c r="AM534" s="151"/>
      <c r="AN534" s="147"/>
      <c r="AO534" s="147"/>
      <c r="AP534" s="147"/>
      <c r="AQ534" s="147"/>
      <c r="AR534" s="147"/>
      <c r="AS534" s="147"/>
      <c r="AT534" s="147"/>
      <c r="AU534" s="147"/>
      <c r="AV534" s="147"/>
      <c r="AW534" s="147"/>
      <c r="AX534" s="147"/>
      <c r="AY534" s="147"/>
      <c r="AZ534" s="147"/>
      <c r="BA534" s="147"/>
      <c r="BB534" s="147"/>
      <c r="BC534" s="147"/>
      <c r="BD534" s="147"/>
      <c r="BE534" s="147"/>
      <c r="BF534" s="147"/>
      <c r="BG534" s="147"/>
      <c r="BH534" s="147"/>
      <c r="BI534" s="147"/>
      <c r="BJ534" s="147"/>
      <c r="BK534" s="147"/>
      <c r="BL534" s="147"/>
      <c r="BM534" s="147"/>
      <c r="BN534" s="147"/>
      <c r="BO534" s="147"/>
      <c r="BP534" s="147"/>
      <c r="BQ534" s="147"/>
      <c r="BR534" s="147"/>
      <c r="BS534" s="147"/>
      <c r="BT534" s="147"/>
      <c r="BU534" s="147"/>
      <c r="BV534" s="147"/>
      <c r="BW534" s="147"/>
      <c r="BX534" s="147"/>
      <c r="BY534" s="147"/>
      <c r="BZ534" s="147"/>
      <c r="CA534" s="147"/>
      <c r="CB534" s="147"/>
      <c r="CC534" s="147"/>
      <c r="CD534" s="147"/>
      <c r="CE534" s="147"/>
      <c r="CF534" s="147"/>
      <c r="CG534" s="147"/>
      <c r="CH534" s="147"/>
      <c r="CI534" s="147"/>
      <c r="CJ534" s="147"/>
      <c r="CK534" s="147"/>
    </row>
    <row r="535" spans="1:89">
      <c r="A535" s="165" t="s">
        <v>413</v>
      </c>
      <c r="B535" s="166" t="s">
        <v>414</v>
      </c>
      <c r="C535" s="167" t="s">
        <v>96</v>
      </c>
      <c r="D535" s="167" t="s">
        <v>889</v>
      </c>
      <c r="E535" s="166" t="s">
        <v>21</v>
      </c>
      <c r="F535" s="166" t="s">
        <v>25</v>
      </c>
      <c r="G535" s="166"/>
      <c r="H535" s="156" t="str">
        <f ca="1">IFERROR(
  _xludf.MINIFS(ATTENDANCE_LOG!$F:$F,
         ATTENDANCE_LOG!$A:$A, C535,
         ATTENDANCE_LOG!$B:$B, E535),
"")</f>
        <v/>
      </c>
      <c r="I535" s="156" t="str">
        <f t="shared" ca="1" si="528"/>
        <v/>
      </c>
      <c r="J535" s="166">
        <f>IFERROR(VLOOKUP(F535, LEVEL_HELPER!$A:$B, 2, 0), "")</f>
        <v>0.5</v>
      </c>
      <c r="K535" s="166" t="str">
        <f>IFERROR(VLOOKUP(G535, LEVEL_HELPER!$A:$B, 2, 0), "")</f>
        <v/>
      </c>
      <c r="L535" s="169" t="s">
        <v>918</v>
      </c>
      <c r="M535" s="169" t="s">
        <v>924</v>
      </c>
      <c r="N535" s="3">
        <f t="array" aca="1" ref="N535" ca="1">IFERROR(
  INDEX($J$2:$J$543,
    MATCH(A535&amp;TEXT(I535,"yyyy-mm-dd"),
          $A$2:$A$543&amp;TEXT($H$2:$H$543,"yyyy-mm-dd"),
          0)),
"")</f>
        <v>1</v>
      </c>
      <c r="O535" s="170" t="str">
        <f t="shared" ca="1" si="529"/>
        <v/>
      </c>
      <c r="P535" s="147">
        <f t="shared" ref="P535:Q535" ca="1" si="555">IF(N535="",0,IF(N535&lt;=2,1,IF(N535&lt;=4,2,IF(N535&lt;=5.5,3,4))))</f>
        <v>1</v>
      </c>
      <c r="Q535" s="147">
        <f t="shared" ca="1" si="555"/>
        <v>0</v>
      </c>
      <c r="R535" s="147" t="str">
        <f t="shared" ca="1" si="531"/>
        <v>Regressed</v>
      </c>
      <c r="S535" s="147">
        <f t="shared" si="532"/>
        <v>0</v>
      </c>
      <c r="T535" s="147"/>
      <c r="U535" s="147"/>
      <c r="V535" s="147"/>
      <c r="W535" s="147"/>
      <c r="X535" s="147"/>
      <c r="Y535" s="147"/>
      <c r="Z535" s="147"/>
      <c r="AA535" s="147"/>
      <c r="AB535" s="147"/>
      <c r="AC535" s="147"/>
      <c r="AD535" s="147"/>
      <c r="AE535" s="147"/>
      <c r="AF535" s="147"/>
      <c r="AG535" s="147"/>
      <c r="AH535" s="147"/>
      <c r="AI535" s="147"/>
      <c r="AJ535" s="147"/>
      <c r="AK535" s="147"/>
      <c r="AL535" s="147"/>
      <c r="AM535" s="151"/>
      <c r="AN535" s="147"/>
      <c r="AO535" s="147"/>
      <c r="AP535" s="147"/>
      <c r="AQ535" s="147"/>
      <c r="AR535" s="147"/>
      <c r="AS535" s="147"/>
      <c r="AT535" s="147"/>
      <c r="AU535" s="147"/>
      <c r="AV535" s="147"/>
      <c r="AW535" s="147"/>
      <c r="AX535" s="147"/>
      <c r="AY535" s="147"/>
      <c r="AZ535" s="147"/>
      <c r="BA535" s="147"/>
      <c r="BB535" s="147"/>
      <c r="BC535" s="147"/>
      <c r="BD535" s="147"/>
      <c r="BE535" s="147"/>
      <c r="BF535" s="147"/>
      <c r="BG535" s="147"/>
      <c r="BH535" s="147"/>
      <c r="BI535" s="147"/>
      <c r="BJ535" s="147"/>
      <c r="BK535" s="147"/>
      <c r="BL535" s="147"/>
      <c r="BM535" s="147"/>
      <c r="BN535" s="147"/>
      <c r="BO535" s="147"/>
      <c r="BP535" s="147"/>
      <c r="BQ535" s="147"/>
      <c r="BR535" s="147"/>
      <c r="BS535" s="147"/>
      <c r="BT535" s="147"/>
      <c r="BU535" s="147"/>
      <c r="BV535" s="147"/>
      <c r="BW535" s="147"/>
      <c r="BX535" s="147"/>
      <c r="BY535" s="147"/>
      <c r="BZ535" s="147"/>
      <c r="CA535" s="147"/>
      <c r="CB535" s="147"/>
      <c r="CC535" s="147"/>
      <c r="CD535" s="147"/>
      <c r="CE535" s="147"/>
      <c r="CF535" s="147"/>
      <c r="CG535" s="147"/>
      <c r="CH535" s="147"/>
      <c r="CI535" s="147"/>
      <c r="CJ535" s="147"/>
      <c r="CK535" s="147"/>
    </row>
    <row r="536" spans="1:89">
      <c r="A536" s="165" t="s">
        <v>653</v>
      </c>
      <c r="B536" s="166" t="s">
        <v>654</v>
      </c>
      <c r="C536" s="167" t="s">
        <v>96</v>
      </c>
      <c r="D536" s="167" t="s">
        <v>889</v>
      </c>
      <c r="E536" s="166" t="s">
        <v>21</v>
      </c>
      <c r="F536" s="166" t="s">
        <v>25</v>
      </c>
      <c r="G536" s="166"/>
      <c r="H536" s="156" t="str">
        <f ca="1">IFERROR(
  _xludf.MINIFS(ATTENDANCE_LOG!$F:$F,
         ATTENDANCE_LOG!$A:$A, C536,
         ATTENDANCE_LOG!$B:$B, E536),
"")</f>
        <v/>
      </c>
      <c r="I536" s="156" t="str">
        <f t="shared" ca="1" si="528"/>
        <v/>
      </c>
      <c r="J536" s="166">
        <f>IFERROR(VLOOKUP(F536, LEVEL_HELPER!$A:$B, 2, 0), "")</f>
        <v>0.5</v>
      </c>
      <c r="K536" s="166" t="str">
        <f>IFERROR(VLOOKUP(G536, LEVEL_HELPER!$A:$B, 2, 0), "")</f>
        <v/>
      </c>
      <c r="L536" s="169" t="s">
        <v>918</v>
      </c>
      <c r="M536" s="169" t="s">
        <v>924</v>
      </c>
      <c r="N536" s="3">
        <f t="array" aca="1" ref="N536" ca="1">IFERROR(
  INDEX($J$2:$J$543,
    MATCH(A536&amp;TEXT(I536,"yyyy-mm-dd"),
          $A$2:$A$543&amp;TEXT($H$2:$H$543,"yyyy-mm-dd"),
          0)),
"")</f>
        <v>0.5</v>
      </c>
      <c r="O536" s="170" t="str">
        <f t="shared" ca="1" si="529"/>
        <v/>
      </c>
      <c r="P536" s="147">
        <f t="shared" ref="P536:Q536" ca="1" si="556">IF(N536="",0,IF(N536&lt;=2,1,IF(N536&lt;=4,2,IF(N536&lt;=5.5,3,4))))</f>
        <v>1</v>
      </c>
      <c r="Q536" s="147">
        <f t="shared" ca="1" si="556"/>
        <v>0</v>
      </c>
      <c r="R536" s="147" t="str">
        <f t="shared" ca="1" si="531"/>
        <v>Regressed</v>
      </c>
      <c r="S536" s="147">
        <f t="shared" si="532"/>
        <v>1</v>
      </c>
      <c r="T536" s="147"/>
      <c r="U536" s="147"/>
      <c r="V536" s="147"/>
      <c r="W536" s="147"/>
      <c r="X536" s="147"/>
      <c r="Y536" s="147"/>
      <c r="Z536" s="147"/>
      <c r="AA536" s="147"/>
      <c r="AB536" s="147"/>
      <c r="AC536" s="147"/>
      <c r="AD536" s="147"/>
      <c r="AE536" s="147"/>
      <c r="AF536" s="147"/>
      <c r="AG536" s="147"/>
      <c r="AH536" s="147"/>
      <c r="AI536" s="147"/>
      <c r="AJ536" s="147"/>
      <c r="AK536" s="147"/>
      <c r="AL536" s="147"/>
      <c r="AM536" s="151"/>
      <c r="AN536" s="147"/>
      <c r="AO536" s="147"/>
      <c r="AP536" s="147"/>
      <c r="AQ536" s="147"/>
      <c r="AR536" s="147"/>
      <c r="AS536" s="147"/>
      <c r="AT536" s="147"/>
      <c r="AU536" s="147"/>
      <c r="AV536" s="147"/>
      <c r="AW536" s="147"/>
      <c r="AX536" s="147"/>
      <c r="AY536" s="147"/>
      <c r="AZ536" s="147"/>
      <c r="BA536" s="147"/>
      <c r="BB536" s="147"/>
      <c r="BC536" s="147"/>
      <c r="BD536" s="147"/>
      <c r="BE536" s="147"/>
      <c r="BF536" s="147"/>
      <c r="BG536" s="147"/>
      <c r="BH536" s="147"/>
      <c r="BI536" s="147"/>
      <c r="BJ536" s="147"/>
      <c r="BK536" s="147"/>
      <c r="BL536" s="147"/>
      <c r="BM536" s="147"/>
      <c r="BN536" s="147"/>
      <c r="BO536" s="147"/>
      <c r="BP536" s="147"/>
      <c r="BQ536" s="147"/>
      <c r="BR536" s="147"/>
      <c r="BS536" s="147"/>
      <c r="BT536" s="147"/>
      <c r="BU536" s="147"/>
      <c r="BV536" s="147"/>
      <c r="BW536" s="147"/>
      <c r="BX536" s="147"/>
      <c r="BY536" s="147"/>
      <c r="BZ536" s="147"/>
      <c r="CA536" s="147"/>
      <c r="CB536" s="147"/>
      <c r="CC536" s="147"/>
      <c r="CD536" s="147"/>
      <c r="CE536" s="147"/>
      <c r="CF536" s="147"/>
      <c r="CG536" s="147"/>
      <c r="CH536" s="147"/>
      <c r="CI536" s="147"/>
      <c r="CJ536" s="147"/>
      <c r="CK536" s="147"/>
    </row>
    <row r="537" spans="1:89">
      <c r="A537" s="165" t="s">
        <v>673</v>
      </c>
      <c r="B537" s="166" t="s">
        <v>674</v>
      </c>
      <c r="C537" s="167" t="s">
        <v>96</v>
      </c>
      <c r="D537" s="167" t="s">
        <v>889</v>
      </c>
      <c r="E537" s="166" t="s">
        <v>21</v>
      </c>
      <c r="F537" s="166" t="s">
        <v>25</v>
      </c>
      <c r="G537" s="166"/>
      <c r="H537" s="156" t="str">
        <f ca="1">IFERROR(
  _xludf.MINIFS(ATTENDANCE_LOG!$F:$F,
         ATTENDANCE_LOG!$A:$A, C537,
         ATTENDANCE_LOG!$B:$B, E537),
"")</f>
        <v/>
      </c>
      <c r="I537" s="156" t="str">
        <f t="shared" ca="1" si="528"/>
        <v/>
      </c>
      <c r="J537" s="166">
        <f>IFERROR(VLOOKUP(F537, LEVEL_HELPER!$A:$B, 2, 0), "")</f>
        <v>0.5</v>
      </c>
      <c r="K537" s="166" t="str">
        <f>IFERROR(VLOOKUP(G537, LEVEL_HELPER!$A:$B, 2, 0), "")</f>
        <v/>
      </c>
      <c r="L537" s="169" t="s">
        <v>942</v>
      </c>
      <c r="M537" s="169" t="s">
        <v>924</v>
      </c>
      <c r="N537" s="3">
        <f t="array" aca="1" ref="N537" ca="1">IFERROR(
  INDEX($J$2:$J$543,
    MATCH(A537&amp;TEXT(I537,"yyyy-mm-dd"),
          $A$2:$A$543&amp;TEXT($H$2:$H$543,"yyyy-mm-dd"),
          0)),
"")</f>
        <v>0.5</v>
      </c>
      <c r="O537" s="170" t="str">
        <f t="shared" ca="1" si="529"/>
        <v/>
      </c>
      <c r="P537" s="147">
        <f t="shared" ref="P537:Q537" ca="1" si="557">IF(N537="",0,IF(N537&lt;=2,1,IF(N537&lt;=4,2,IF(N537&lt;=5.5,3,4))))</f>
        <v>1</v>
      </c>
      <c r="Q537" s="147">
        <f t="shared" ca="1" si="557"/>
        <v>0</v>
      </c>
      <c r="R537" s="147" t="str">
        <f t="shared" ca="1" si="531"/>
        <v>Regressed</v>
      </c>
      <c r="S537" s="147">
        <f t="shared" si="532"/>
        <v>1</v>
      </c>
      <c r="T537" s="147"/>
      <c r="U537" s="147"/>
      <c r="V537" s="147"/>
      <c r="W537" s="147"/>
      <c r="X537" s="147"/>
      <c r="Y537" s="147"/>
      <c r="Z537" s="147"/>
      <c r="AA537" s="147"/>
      <c r="AB537" s="147"/>
      <c r="AC537" s="147"/>
      <c r="AD537" s="147"/>
      <c r="AE537" s="147"/>
      <c r="AF537" s="147"/>
      <c r="AG537" s="147"/>
      <c r="AH537" s="147"/>
      <c r="AI537" s="147"/>
      <c r="AJ537" s="147"/>
      <c r="AK537" s="147"/>
      <c r="AL537" s="147"/>
      <c r="AM537" s="151"/>
      <c r="AN537" s="147"/>
      <c r="AO537" s="147"/>
      <c r="AP537" s="147"/>
      <c r="AQ537" s="147"/>
      <c r="AR537" s="147"/>
      <c r="AS537" s="147"/>
      <c r="AT537" s="147"/>
      <c r="AU537" s="147"/>
      <c r="AV537" s="147"/>
      <c r="AW537" s="147"/>
      <c r="AX537" s="147"/>
      <c r="AY537" s="147"/>
      <c r="AZ537" s="147"/>
      <c r="BA537" s="147"/>
      <c r="BB537" s="147"/>
      <c r="BC537" s="147"/>
      <c r="BD537" s="147"/>
      <c r="BE537" s="147"/>
      <c r="BF537" s="147"/>
      <c r="BG537" s="147"/>
      <c r="BH537" s="147"/>
      <c r="BI537" s="147"/>
      <c r="BJ537" s="147"/>
      <c r="BK537" s="147"/>
      <c r="BL537" s="147"/>
      <c r="BM537" s="147"/>
      <c r="BN537" s="147"/>
      <c r="BO537" s="147"/>
      <c r="BP537" s="147"/>
      <c r="BQ537" s="147"/>
      <c r="BR537" s="147"/>
      <c r="BS537" s="147"/>
      <c r="BT537" s="147"/>
      <c r="BU537" s="147"/>
      <c r="BV537" s="147"/>
      <c r="BW537" s="147"/>
      <c r="BX537" s="147"/>
      <c r="BY537" s="147"/>
      <c r="BZ537" s="147"/>
      <c r="CA537" s="147"/>
      <c r="CB537" s="147"/>
      <c r="CC537" s="147"/>
      <c r="CD537" s="147"/>
      <c r="CE537" s="147"/>
      <c r="CF537" s="147"/>
      <c r="CG537" s="147"/>
      <c r="CH537" s="147"/>
      <c r="CI537" s="147"/>
      <c r="CJ537" s="147"/>
      <c r="CK537" s="147"/>
    </row>
    <row r="538" spans="1:89">
      <c r="A538" s="178" t="s">
        <v>470</v>
      </c>
      <c r="B538" s="179" t="s">
        <v>471</v>
      </c>
      <c r="C538" s="180" t="s">
        <v>97</v>
      </c>
      <c r="D538" s="180" t="s">
        <v>890</v>
      </c>
      <c r="E538" s="179" t="s">
        <v>21</v>
      </c>
      <c r="F538" s="179" t="s">
        <v>926</v>
      </c>
      <c r="G538" s="179"/>
      <c r="H538" s="156" t="str">
        <f ca="1">IFERROR(
  _xludf.MINIFS(ATTENDANCE_LOG!$F:$F,
         ATTENDANCE_LOG!$A:$A, C538,
         ATTENDANCE_LOG!$B:$B, E538),
"")</f>
        <v/>
      </c>
      <c r="I538" s="156" t="str">
        <f t="shared" ca="1" si="528"/>
        <v/>
      </c>
      <c r="J538" s="179">
        <f>IFERROR(VLOOKUP(F538, LEVEL_HELPER!$A:$B, 2, 0), "")</f>
        <v>1</v>
      </c>
      <c r="K538" s="166" t="str">
        <f>IFERROR(VLOOKUP(G538, LEVEL_HELPER!$A:$B, 2, 0), "")</f>
        <v/>
      </c>
      <c r="L538" s="181" t="s">
        <v>930</v>
      </c>
      <c r="M538" s="181" t="s">
        <v>925</v>
      </c>
      <c r="N538" s="3">
        <f t="array" aca="1" ref="N538" ca="1">IFERROR(
  INDEX($J$2:$J$543,
    MATCH(A538&amp;TEXT(I538,"yyyy-mm-dd"),
          $A$2:$A$543&amp;TEXT($H$2:$H$543,"yyyy-mm-dd"),
          0)),
"")</f>
        <v>0.5</v>
      </c>
      <c r="O538" s="182" t="str">
        <f t="shared" ca="1" si="529"/>
        <v/>
      </c>
      <c r="P538" s="147">
        <f t="shared" ref="P538:Q538" ca="1" si="558">IF(N538="",0,IF(N538&lt;=2,1,IF(N538&lt;=4,2,IF(N538&lt;=5.5,3,4))))</f>
        <v>1</v>
      </c>
      <c r="Q538" s="147">
        <f t="shared" ca="1" si="558"/>
        <v>0</v>
      </c>
      <c r="R538" s="147" t="str">
        <f t="shared" ca="1" si="531"/>
        <v>Regressed</v>
      </c>
      <c r="S538" s="147">
        <f t="shared" si="532"/>
        <v>0</v>
      </c>
      <c r="T538" s="147"/>
      <c r="U538" s="147"/>
      <c r="V538" s="147"/>
      <c r="W538" s="147"/>
      <c r="X538" s="147"/>
      <c r="Y538" s="147"/>
      <c r="Z538" s="147"/>
      <c r="AA538" s="147"/>
      <c r="AB538" s="147"/>
      <c r="AC538" s="147"/>
      <c r="AD538" s="147"/>
      <c r="AE538" s="147"/>
      <c r="AF538" s="147"/>
      <c r="AG538" s="147"/>
      <c r="AH538" s="147"/>
      <c r="AI538" s="147"/>
      <c r="AJ538" s="147"/>
      <c r="AK538" s="147"/>
      <c r="AL538" s="147"/>
      <c r="AM538" s="151"/>
      <c r="AN538" s="147"/>
      <c r="AO538" s="147"/>
      <c r="AP538" s="147"/>
      <c r="AQ538" s="147"/>
      <c r="AR538" s="147"/>
      <c r="AS538" s="147"/>
      <c r="AT538" s="147"/>
      <c r="AU538" s="147"/>
      <c r="AV538" s="147"/>
      <c r="AW538" s="147"/>
      <c r="AX538" s="147"/>
      <c r="AY538" s="147"/>
      <c r="AZ538" s="147"/>
      <c r="BA538" s="147"/>
      <c r="BB538" s="147"/>
      <c r="BC538" s="147"/>
      <c r="BD538" s="147"/>
      <c r="BE538" s="147"/>
      <c r="BF538" s="147"/>
      <c r="BG538" s="147"/>
      <c r="BH538" s="147"/>
      <c r="BI538" s="147"/>
      <c r="BJ538" s="147"/>
      <c r="BK538" s="147"/>
      <c r="BL538" s="147"/>
      <c r="BM538" s="147"/>
      <c r="BN538" s="147"/>
      <c r="BO538" s="147"/>
      <c r="BP538" s="147"/>
      <c r="BQ538" s="147"/>
      <c r="BR538" s="147"/>
      <c r="BS538" s="147"/>
      <c r="BT538" s="147"/>
      <c r="BU538" s="147"/>
      <c r="BV538" s="147"/>
      <c r="BW538" s="147"/>
      <c r="BX538" s="147"/>
      <c r="BY538" s="147"/>
      <c r="BZ538" s="147"/>
      <c r="CA538" s="147"/>
      <c r="CB538" s="147"/>
      <c r="CC538" s="147"/>
      <c r="CD538" s="147"/>
      <c r="CE538" s="147"/>
      <c r="CF538" s="147"/>
      <c r="CG538" s="147"/>
      <c r="CH538" s="147"/>
      <c r="CI538" s="147"/>
      <c r="CJ538" s="147"/>
      <c r="CK538" s="147"/>
    </row>
    <row r="539" spans="1:89">
      <c r="A539" s="165" t="s">
        <v>161</v>
      </c>
      <c r="B539" s="166" t="s">
        <v>162</v>
      </c>
      <c r="C539" s="167" t="s">
        <v>97</v>
      </c>
      <c r="D539" s="167" t="s">
        <v>890</v>
      </c>
      <c r="E539" s="166" t="s">
        <v>21</v>
      </c>
      <c r="F539" s="166" t="s">
        <v>25</v>
      </c>
      <c r="G539" s="166"/>
      <c r="H539" s="156" t="str">
        <f ca="1">IFERROR(
  _xludf.MINIFS(ATTENDANCE_LOG!$F:$F,
         ATTENDANCE_LOG!$A:$A, C539,
         ATTENDANCE_LOG!$B:$B, E539),
"")</f>
        <v/>
      </c>
      <c r="I539" s="156" t="str">
        <f t="shared" ca="1" si="528"/>
        <v/>
      </c>
      <c r="J539" s="166">
        <f>IFERROR(VLOOKUP(F539, LEVEL_HELPER!$A:$B, 2, 0), "")</f>
        <v>0.5</v>
      </c>
      <c r="K539" s="166" t="str">
        <f>IFERROR(VLOOKUP(G539, LEVEL_HELPER!$A:$B, 2, 0), "")</f>
        <v/>
      </c>
      <c r="L539" s="169" t="s">
        <v>942</v>
      </c>
      <c r="M539" s="169" t="s">
        <v>923</v>
      </c>
      <c r="N539" s="3">
        <f t="array" aca="1" ref="N539" ca="1">IFERROR(
  INDEX($J$2:$J$543,
    MATCH(A539&amp;TEXT(I539,"yyyy-mm-dd"),
          $A$2:$A$543&amp;TEXT($H$2:$H$543,"yyyy-mm-dd"),
          0)),
"")</f>
        <v>0.5</v>
      </c>
      <c r="O539" s="170" t="str">
        <f t="shared" ca="1" si="529"/>
        <v/>
      </c>
      <c r="P539" s="147">
        <f t="shared" ref="P539:Q539" ca="1" si="559">IF(N539="",0,IF(N539&lt;=2,1,IF(N539&lt;=4,2,IF(N539&lt;=5.5,3,4))))</f>
        <v>1</v>
      </c>
      <c r="Q539" s="147">
        <f t="shared" ca="1" si="559"/>
        <v>0</v>
      </c>
      <c r="R539" s="147" t="str">
        <f t="shared" ca="1" si="531"/>
        <v>Regressed</v>
      </c>
      <c r="S539" s="147">
        <f t="shared" si="532"/>
        <v>0</v>
      </c>
      <c r="T539" s="147"/>
      <c r="U539" s="147"/>
      <c r="V539" s="147"/>
      <c r="W539" s="147"/>
      <c r="X539" s="147"/>
      <c r="Y539" s="147"/>
      <c r="Z539" s="147"/>
      <c r="AA539" s="147"/>
      <c r="AB539" s="147"/>
      <c r="AC539" s="147"/>
      <c r="AD539" s="147"/>
      <c r="AE539" s="147"/>
      <c r="AF539" s="147"/>
      <c r="AG539" s="147"/>
      <c r="AH539" s="147"/>
      <c r="AI539" s="147"/>
      <c r="AJ539" s="147"/>
      <c r="AK539" s="147"/>
      <c r="AL539" s="147"/>
      <c r="AM539" s="151"/>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c r="BI539" s="147"/>
      <c r="BJ539" s="147"/>
      <c r="BK539" s="147"/>
      <c r="BL539" s="147"/>
      <c r="BM539" s="147"/>
      <c r="BN539" s="147"/>
      <c r="BO539" s="147"/>
      <c r="BP539" s="147"/>
      <c r="BQ539" s="147"/>
      <c r="BR539" s="147"/>
      <c r="BS539" s="147"/>
      <c r="BT539" s="147"/>
      <c r="BU539" s="147"/>
      <c r="BV539" s="147"/>
      <c r="BW539" s="147"/>
      <c r="BX539" s="147"/>
      <c r="BY539" s="147"/>
      <c r="BZ539" s="147"/>
      <c r="CA539" s="147"/>
      <c r="CB539" s="147"/>
      <c r="CC539" s="147"/>
      <c r="CD539" s="147"/>
      <c r="CE539" s="147"/>
      <c r="CF539" s="147"/>
      <c r="CG539" s="147"/>
      <c r="CH539" s="147"/>
      <c r="CI539" s="147"/>
      <c r="CJ539" s="147"/>
      <c r="CK539" s="147"/>
    </row>
    <row r="540" spans="1:89">
      <c r="A540" s="165" t="s">
        <v>269</v>
      </c>
      <c r="B540" s="166" t="s">
        <v>270</v>
      </c>
      <c r="C540" s="167" t="s">
        <v>97</v>
      </c>
      <c r="D540" s="167" t="s">
        <v>890</v>
      </c>
      <c r="E540" s="166" t="s">
        <v>21</v>
      </c>
      <c r="F540" s="166" t="s">
        <v>25</v>
      </c>
      <c r="G540" s="166"/>
      <c r="H540" s="156" t="str">
        <f ca="1">IFERROR(
  _xludf.MINIFS(ATTENDANCE_LOG!$F:$F,
         ATTENDANCE_LOG!$A:$A, C540,
         ATTENDANCE_LOG!$B:$B, E540),
"")</f>
        <v/>
      </c>
      <c r="I540" s="156" t="str">
        <f t="shared" ca="1" si="528"/>
        <v/>
      </c>
      <c r="J540" s="166">
        <f>IFERROR(VLOOKUP(F540, LEVEL_HELPER!$A:$B, 2, 0), "")</f>
        <v>0.5</v>
      </c>
      <c r="K540" s="166" t="str">
        <f>IFERROR(VLOOKUP(G540, LEVEL_HELPER!$A:$B, 2, 0), "")</f>
        <v/>
      </c>
      <c r="L540" s="169" t="s">
        <v>942</v>
      </c>
      <c r="M540" s="169" t="s">
        <v>923</v>
      </c>
      <c r="N540" s="3">
        <f t="array" aca="1" ref="N540" ca="1">IFERROR(
  INDEX($J$2:$J$543,
    MATCH(A540&amp;TEXT(I540,"yyyy-mm-dd"),
          $A$2:$A$543&amp;TEXT($H$2:$H$543,"yyyy-mm-dd"),
          0)),
"")</f>
        <v>0.5</v>
      </c>
      <c r="O540" s="170" t="str">
        <f t="shared" ca="1" si="529"/>
        <v/>
      </c>
      <c r="P540" s="147">
        <f t="shared" ref="P540:Q540" ca="1" si="560">IF(N540="",0,IF(N540&lt;=2,1,IF(N540&lt;=4,2,IF(N540&lt;=5.5,3,4))))</f>
        <v>1</v>
      </c>
      <c r="Q540" s="147">
        <f t="shared" ca="1" si="560"/>
        <v>0</v>
      </c>
      <c r="R540" s="147" t="str">
        <f t="shared" ca="1" si="531"/>
        <v>Regressed</v>
      </c>
      <c r="S540" s="147">
        <f t="shared" si="532"/>
        <v>0</v>
      </c>
      <c r="T540" s="147"/>
      <c r="U540" s="147"/>
      <c r="V540" s="147"/>
      <c r="W540" s="147"/>
      <c r="X540" s="147"/>
      <c r="Y540" s="147"/>
      <c r="Z540" s="147"/>
      <c r="AA540" s="147"/>
      <c r="AB540" s="147"/>
      <c r="AC540" s="147"/>
      <c r="AD540" s="147"/>
      <c r="AE540" s="147"/>
      <c r="AF540" s="147"/>
      <c r="AG540" s="147"/>
      <c r="AH540" s="147"/>
      <c r="AI540" s="147"/>
      <c r="AJ540" s="147"/>
      <c r="AK540" s="147"/>
      <c r="AL540" s="147"/>
      <c r="AM540" s="151"/>
      <c r="AN540" s="147"/>
      <c r="AO540" s="147"/>
      <c r="AP540" s="147"/>
      <c r="AQ540" s="147"/>
      <c r="AR540" s="147"/>
      <c r="AS540" s="147"/>
      <c r="AT540" s="147"/>
      <c r="AU540" s="147"/>
      <c r="AV540" s="147"/>
      <c r="AW540" s="147"/>
      <c r="AX540" s="147"/>
      <c r="AY540" s="147"/>
      <c r="AZ540" s="147"/>
      <c r="BA540" s="147"/>
      <c r="BB540" s="147"/>
      <c r="BC540" s="147"/>
      <c r="BD540" s="147"/>
      <c r="BE540" s="147"/>
      <c r="BF540" s="147"/>
      <c r="BG540" s="147"/>
      <c r="BH540" s="147"/>
      <c r="BI540" s="147"/>
      <c r="BJ540" s="147"/>
      <c r="BK540" s="147"/>
      <c r="BL540" s="147"/>
      <c r="BM540" s="147"/>
      <c r="BN540" s="147"/>
      <c r="BO540" s="147"/>
      <c r="BP540" s="147"/>
      <c r="BQ540" s="147"/>
      <c r="BR540" s="147"/>
      <c r="BS540" s="147"/>
      <c r="BT540" s="147"/>
      <c r="BU540" s="147"/>
      <c r="BV540" s="147"/>
      <c r="BW540" s="147"/>
      <c r="BX540" s="147"/>
      <c r="BY540" s="147"/>
      <c r="BZ540" s="147"/>
      <c r="CA540" s="147"/>
      <c r="CB540" s="147"/>
      <c r="CC540" s="147"/>
      <c r="CD540" s="147"/>
      <c r="CE540" s="147"/>
      <c r="CF540" s="147"/>
      <c r="CG540" s="147"/>
      <c r="CH540" s="147"/>
      <c r="CI540" s="147"/>
      <c r="CJ540" s="147"/>
      <c r="CK540" s="147"/>
    </row>
    <row r="541" spans="1:89">
      <c r="A541" s="165" t="s">
        <v>290</v>
      </c>
      <c r="B541" s="166" t="s">
        <v>291</v>
      </c>
      <c r="C541" s="167" t="s">
        <v>97</v>
      </c>
      <c r="D541" s="167" t="s">
        <v>890</v>
      </c>
      <c r="E541" s="166" t="s">
        <v>21</v>
      </c>
      <c r="F541" s="166" t="s">
        <v>25</v>
      </c>
      <c r="G541" s="166"/>
      <c r="H541" s="156" t="str">
        <f ca="1">IFERROR(
  _xludf.MINIFS(ATTENDANCE_LOG!$F:$F,
         ATTENDANCE_LOG!$A:$A, C541,
         ATTENDANCE_LOG!$B:$B, E541),
"")</f>
        <v/>
      </c>
      <c r="I541" s="156" t="str">
        <f t="shared" ca="1" si="528"/>
        <v/>
      </c>
      <c r="J541" s="166">
        <f>IFERROR(VLOOKUP(F541, LEVEL_HELPER!$A:$B, 2, 0), "")</f>
        <v>0.5</v>
      </c>
      <c r="K541" s="166" t="str">
        <f>IFERROR(VLOOKUP(G541, LEVEL_HELPER!$A:$B, 2, 0), "")</f>
        <v/>
      </c>
      <c r="L541" s="169" t="s">
        <v>930</v>
      </c>
      <c r="M541" s="169" t="s">
        <v>919</v>
      </c>
      <c r="N541" s="3">
        <f t="array" aca="1" ref="N541" ca="1">IFERROR(
  INDEX($J$2:$J$543,
    MATCH(A541&amp;TEXT(I541,"yyyy-mm-dd"),
          $A$2:$A$543&amp;TEXT($H$2:$H$543,"yyyy-mm-dd"),
          0)),
"")</f>
        <v>0.5</v>
      </c>
      <c r="O541" s="170" t="str">
        <f t="shared" ca="1" si="529"/>
        <v/>
      </c>
      <c r="P541" s="147">
        <f t="shared" ref="P541:Q541" ca="1" si="561">IF(N541="",0,IF(N541&lt;=2,1,IF(N541&lt;=4,2,IF(N541&lt;=5.5,3,4))))</f>
        <v>1</v>
      </c>
      <c r="Q541" s="147">
        <f t="shared" ca="1" si="561"/>
        <v>0</v>
      </c>
      <c r="R541" s="147" t="str">
        <f t="shared" ca="1" si="531"/>
        <v>Regressed</v>
      </c>
      <c r="S541" s="147">
        <f t="shared" si="532"/>
        <v>0</v>
      </c>
      <c r="T541" s="147"/>
      <c r="U541" s="147"/>
      <c r="V541" s="147"/>
      <c r="W541" s="147"/>
      <c r="X541" s="147"/>
      <c r="Y541" s="147"/>
      <c r="Z541" s="147"/>
      <c r="AA541" s="147"/>
      <c r="AB541" s="147"/>
      <c r="AC541" s="147"/>
      <c r="AD541" s="147"/>
      <c r="AE541" s="147"/>
      <c r="AF541" s="147"/>
      <c r="AG541" s="147"/>
      <c r="AH541" s="147"/>
      <c r="AI541" s="147"/>
      <c r="AJ541" s="147"/>
      <c r="AK541" s="147"/>
      <c r="AL541" s="147"/>
      <c r="AM541" s="151"/>
      <c r="AN541" s="147"/>
      <c r="AO541" s="147"/>
      <c r="AP541" s="147"/>
      <c r="AQ541" s="147"/>
      <c r="AR541" s="147"/>
      <c r="AS541" s="147"/>
      <c r="AT541" s="147"/>
      <c r="AU541" s="147"/>
      <c r="AV541" s="147"/>
      <c r="AW541" s="147"/>
      <c r="AX541" s="147"/>
      <c r="AY541" s="147"/>
      <c r="AZ541" s="147"/>
      <c r="BA541" s="147"/>
      <c r="BB541" s="147"/>
      <c r="BC541" s="147"/>
      <c r="BD541" s="147"/>
      <c r="BE541" s="147"/>
      <c r="BF541" s="147"/>
      <c r="BG541" s="147"/>
      <c r="BH541" s="147"/>
      <c r="BI541" s="147"/>
      <c r="BJ541" s="147"/>
      <c r="BK541" s="147"/>
      <c r="BL541" s="147"/>
      <c r="BM541" s="147"/>
      <c r="BN541" s="147"/>
      <c r="BO541" s="147"/>
      <c r="BP541" s="147"/>
      <c r="BQ541" s="147"/>
      <c r="BR541" s="147"/>
      <c r="BS541" s="147"/>
      <c r="BT541" s="147"/>
      <c r="BU541" s="147"/>
      <c r="BV541" s="147"/>
      <c r="BW541" s="147"/>
      <c r="BX541" s="147"/>
      <c r="BY541" s="147"/>
      <c r="BZ541" s="147"/>
      <c r="CA541" s="147"/>
      <c r="CB541" s="147"/>
      <c r="CC541" s="147"/>
      <c r="CD541" s="147"/>
      <c r="CE541" s="147"/>
      <c r="CF541" s="147"/>
      <c r="CG541" s="147"/>
      <c r="CH541" s="147"/>
      <c r="CI541" s="147"/>
      <c r="CJ541" s="147"/>
      <c r="CK541" s="147"/>
    </row>
    <row r="542" spans="1:89">
      <c r="A542" s="159" t="s">
        <v>468</v>
      </c>
      <c r="B542" s="3" t="s">
        <v>469</v>
      </c>
      <c r="C542" s="160" t="s">
        <v>97</v>
      </c>
      <c r="D542" s="160" t="s">
        <v>890</v>
      </c>
      <c r="E542" s="3" t="s">
        <v>21</v>
      </c>
      <c r="F542" s="3" t="s">
        <v>25</v>
      </c>
      <c r="G542" s="3"/>
      <c r="H542" s="156" t="str">
        <f ca="1">IFERROR(
  _xludf.MINIFS(ATTENDANCE_LOG!$F:$F,
         ATTENDANCE_LOG!$A:$A, C542,
         ATTENDANCE_LOG!$B:$B, E542),
"")</f>
        <v/>
      </c>
      <c r="I542" s="156" t="str">
        <f t="shared" ca="1" si="528"/>
        <v/>
      </c>
      <c r="J542" s="3">
        <f>IFERROR(VLOOKUP(F542, LEVEL_HELPER!$A:$B, 2, 0), "")</f>
        <v>0.5</v>
      </c>
      <c r="K542" s="166" t="str">
        <f>IFERROR(VLOOKUP(G542, LEVEL_HELPER!$A:$B, 2, 0), "")</f>
        <v/>
      </c>
      <c r="L542" s="157" t="s">
        <v>930</v>
      </c>
      <c r="M542" s="157" t="s">
        <v>919</v>
      </c>
      <c r="N542" s="3">
        <f t="array" aca="1" ref="N542" ca="1">IFERROR(
  INDEX($J$2:$J$543,
    MATCH(A542&amp;TEXT(I542,"yyyy-mm-dd"),
          $A$2:$A$543&amp;TEXT($H$2:$H$543,"yyyy-mm-dd"),
          0)),
"")</f>
        <v>0.5</v>
      </c>
      <c r="O542" s="147" t="str">
        <f t="shared" ca="1" si="529"/>
        <v/>
      </c>
      <c r="P542" s="147">
        <f t="shared" ref="P542:Q542" ca="1" si="562">IF(N542="",0,IF(N542&lt;=2,1,IF(N542&lt;=4,2,IF(N542&lt;=5.5,3,4))))</f>
        <v>1</v>
      </c>
      <c r="Q542" s="147">
        <f t="shared" ca="1" si="562"/>
        <v>0</v>
      </c>
      <c r="R542" s="147" t="str">
        <f t="shared" ca="1" si="531"/>
        <v>Regressed</v>
      </c>
      <c r="S542" s="147">
        <f t="shared" si="532"/>
        <v>0</v>
      </c>
      <c r="T542" s="147"/>
      <c r="U542" s="147"/>
      <c r="V542" s="147"/>
      <c r="W542" s="147"/>
      <c r="X542" s="147"/>
      <c r="Y542" s="147"/>
      <c r="Z542" s="147"/>
      <c r="AA542" s="147"/>
      <c r="AB542" s="147"/>
      <c r="AC542" s="147"/>
      <c r="AD542" s="147"/>
      <c r="AE542" s="147"/>
      <c r="AF542" s="147"/>
      <c r="AG542" s="147"/>
      <c r="AH542" s="147"/>
      <c r="AI542" s="147"/>
      <c r="AJ542" s="147"/>
      <c r="AK542" s="147"/>
      <c r="AL542" s="147"/>
      <c r="AM542" s="151"/>
      <c r="AN542" s="147"/>
      <c r="AO542" s="147"/>
      <c r="AP542" s="147"/>
      <c r="AQ542" s="147"/>
      <c r="AR542" s="147"/>
      <c r="AS542" s="147"/>
      <c r="AT542" s="147"/>
      <c r="AU542" s="147"/>
      <c r="AV542" s="147"/>
      <c r="AW542" s="147"/>
      <c r="AX542" s="147"/>
      <c r="AY542" s="147"/>
      <c r="AZ542" s="147"/>
      <c r="BA542" s="147"/>
      <c r="BB542" s="147"/>
      <c r="BC542" s="147"/>
      <c r="BD542" s="147"/>
      <c r="BE542" s="147"/>
      <c r="BF542" s="147"/>
      <c r="BG542" s="147"/>
      <c r="BH542" s="147"/>
      <c r="BI542" s="147"/>
      <c r="BJ542" s="147"/>
      <c r="BK542" s="147"/>
      <c r="BL542" s="147"/>
      <c r="BM542" s="147"/>
      <c r="BN542" s="147"/>
      <c r="BO542" s="147"/>
      <c r="BP542" s="147"/>
      <c r="BQ542" s="147"/>
      <c r="BR542" s="147"/>
      <c r="BS542" s="147"/>
      <c r="BT542" s="147"/>
      <c r="BU542" s="147"/>
      <c r="BV542" s="147"/>
      <c r="BW542" s="147"/>
      <c r="BX542" s="147"/>
      <c r="BY542" s="147"/>
      <c r="BZ542" s="147"/>
      <c r="CA542" s="147"/>
      <c r="CB542" s="147"/>
      <c r="CC542" s="147"/>
      <c r="CD542" s="147"/>
      <c r="CE542" s="147"/>
      <c r="CF542" s="147"/>
      <c r="CG542" s="147"/>
      <c r="CH542" s="147"/>
      <c r="CI542" s="147"/>
      <c r="CJ542" s="147"/>
      <c r="CK542" s="147"/>
    </row>
    <row r="543" spans="1:89">
      <c r="A543" s="159" t="s">
        <v>516</v>
      </c>
      <c r="B543" s="3" t="s">
        <v>517</v>
      </c>
      <c r="C543" s="160" t="s">
        <v>97</v>
      </c>
      <c r="D543" s="160" t="s">
        <v>890</v>
      </c>
      <c r="E543" s="3" t="s">
        <v>21</v>
      </c>
      <c r="F543" s="3" t="s">
        <v>25</v>
      </c>
      <c r="G543" s="3"/>
      <c r="H543" s="156" t="str">
        <f ca="1">IFERROR(
  _xludf.MINIFS(ATTENDANCE_LOG!$F:$F,
         ATTENDANCE_LOG!$A:$A, C543,
         ATTENDANCE_LOG!$B:$B, E543),
"")</f>
        <v/>
      </c>
      <c r="I543" s="156" t="str">
        <f t="shared" ca="1" si="528"/>
        <v/>
      </c>
      <c r="J543" s="3">
        <f>IFERROR(VLOOKUP(F543, LEVEL_HELPER!$A:$B, 2, 0), "")</f>
        <v>0.5</v>
      </c>
      <c r="K543" s="166" t="str">
        <f>IFERROR(VLOOKUP(G543, LEVEL_HELPER!$A:$B, 2, 0), "")</f>
        <v/>
      </c>
      <c r="L543" s="157" t="s">
        <v>930</v>
      </c>
      <c r="M543" s="157" t="s">
        <v>919</v>
      </c>
      <c r="N543" s="3">
        <f t="array" aca="1" ref="N543" ca="1">IFERROR(
  INDEX($J$2:$J$543,
    MATCH(A543&amp;TEXT(I543,"yyyy-mm-dd"),
          $A$2:$A$543&amp;TEXT($H$2:$H$543,"yyyy-mm-dd"),
          0)),
"")</f>
        <v>0.5</v>
      </c>
      <c r="O543" s="147" t="str">
        <f t="shared" ca="1" si="529"/>
        <v/>
      </c>
      <c r="P543" s="147">
        <f t="shared" ref="P543:Q543" ca="1" si="563">IF(N543="",0,IF(N543&lt;=2,1,IF(N543&lt;=4,2,IF(N543&lt;=5.5,3,4))))</f>
        <v>1</v>
      </c>
      <c r="Q543" s="147">
        <f t="shared" ca="1" si="563"/>
        <v>0</v>
      </c>
      <c r="R543" s="147" t="str">
        <f t="shared" ca="1" si="531"/>
        <v>Regressed</v>
      </c>
      <c r="S543" s="147">
        <f t="shared" si="532"/>
        <v>0</v>
      </c>
      <c r="T543" s="147"/>
      <c r="U543" s="147"/>
      <c r="V543" s="147"/>
      <c r="W543" s="147"/>
      <c r="X543" s="147"/>
      <c r="Y543" s="147"/>
      <c r="Z543" s="147"/>
      <c r="AA543" s="147"/>
      <c r="AB543" s="147"/>
      <c r="AC543" s="147"/>
      <c r="AD543" s="147"/>
      <c r="AE543" s="147"/>
      <c r="AF543" s="147"/>
      <c r="AG543" s="147"/>
      <c r="AH543" s="147"/>
      <c r="AI543" s="147"/>
      <c r="AJ543" s="147"/>
      <c r="AK543" s="147"/>
      <c r="AL543" s="147"/>
      <c r="AM543" s="151"/>
      <c r="AN543" s="147"/>
      <c r="AO543" s="147"/>
      <c r="AP543" s="147"/>
      <c r="AQ543" s="147"/>
      <c r="AR543" s="147"/>
      <c r="AS543" s="147"/>
      <c r="AT543" s="147"/>
      <c r="AU543" s="147"/>
      <c r="AV543" s="147"/>
      <c r="AW543" s="147"/>
      <c r="AX543" s="147"/>
      <c r="AY543" s="147"/>
      <c r="AZ543" s="147"/>
      <c r="BA543" s="147"/>
      <c r="BB543" s="147"/>
      <c r="BC543" s="147"/>
      <c r="BD543" s="147"/>
      <c r="BE543" s="147"/>
      <c r="BF543" s="147"/>
      <c r="BG543" s="147"/>
      <c r="BH543" s="147"/>
      <c r="BI543" s="147"/>
      <c r="BJ543" s="147"/>
      <c r="BK543" s="147"/>
      <c r="BL543" s="147"/>
      <c r="BM543" s="147"/>
      <c r="BN543" s="147"/>
      <c r="BO543" s="147"/>
      <c r="BP543" s="147"/>
      <c r="BQ543" s="147"/>
      <c r="BR543" s="147"/>
      <c r="BS543" s="147"/>
      <c r="BT543" s="147"/>
      <c r="BU543" s="147"/>
      <c r="BV543" s="147"/>
      <c r="BW543" s="147"/>
      <c r="BX543" s="147"/>
      <c r="BY543" s="147"/>
      <c r="BZ543" s="147"/>
      <c r="CA543" s="147"/>
      <c r="CB543" s="147"/>
      <c r="CC543" s="147"/>
      <c r="CD543" s="147"/>
      <c r="CE543" s="147"/>
      <c r="CF543" s="147"/>
      <c r="CG543" s="147"/>
      <c r="CH543" s="147"/>
      <c r="CI543" s="147"/>
      <c r="CJ543" s="147"/>
      <c r="CK543" s="147"/>
    </row>
    <row r="544" spans="1:89">
      <c r="A544" s="159"/>
      <c r="F544" s="3"/>
      <c r="G544" s="3"/>
      <c r="L544" s="157"/>
      <c r="M544" s="157"/>
      <c r="O544" s="147"/>
      <c r="P544" s="147"/>
      <c r="Q544" s="147"/>
      <c r="R544" s="147"/>
      <c r="S544" s="147"/>
      <c r="T544" s="147"/>
      <c r="U544" s="147"/>
      <c r="V544" s="147"/>
      <c r="W544" s="147"/>
      <c r="X544" s="147"/>
      <c r="Y544" s="147"/>
      <c r="Z544" s="147"/>
      <c r="AA544" s="147"/>
      <c r="AB544" s="147"/>
      <c r="AC544" s="147"/>
      <c r="AD544" s="147"/>
      <c r="AE544" s="147"/>
      <c r="AF544" s="147"/>
      <c r="AG544" s="147"/>
      <c r="AH544" s="147"/>
      <c r="AI544" s="147"/>
      <c r="AJ544" s="147"/>
      <c r="AK544" s="147"/>
      <c r="AL544" s="147"/>
      <c r="AM544" s="151"/>
      <c r="AN544" s="147"/>
      <c r="AO544" s="147"/>
      <c r="AP544" s="147"/>
      <c r="AQ544" s="147"/>
      <c r="AR544" s="147"/>
      <c r="AS544" s="147"/>
      <c r="AT544" s="147"/>
      <c r="AU544" s="147"/>
      <c r="AV544" s="147"/>
      <c r="AW544" s="147"/>
      <c r="AX544" s="147"/>
      <c r="AY544" s="147"/>
      <c r="AZ544" s="147"/>
      <c r="BA544" s="147"/>
      <c r="BB544" s="147"/>
      <c r="BC544" s="147"/>
      <c r="BD544" s="147"/>
      <c r="BE544" s="147"/>
      <c r="BF544" s="147"/>
      <c r="BG544" s="147"/>
      <c r="BH544" s="147"/>
      <c r="BI544" s="147"/>
      <c r="BJ544" s="147"/>
      <c r="BK544" s="147"/>
      <c r="BL544" s="147"/>
      <c r="BM544" s="147"/>
      <c r="BN544" s="147"/>
      <c r="BO544" s="147"/>
      <c r="BP544" s="147"/>
      <c r="BQ544" s="147"/>
      <c r="BR544" s="147"/>
      <c r="BS544" s="147"/>
      <c r="BT544" s="147"/>
      <c r="BU544" s="147"/>
      <c r="BV544" s="147"/>
      <c r="BW544" s="147"/>
      <c r="BX544" s="147"/>
      <c r="BY544" s="147"/>
      <c r="BZ544" s="147"/>
      <c r="CA544" s="147"/>
      <c r="CB544" s="147"/>
      <c r="CC544" s="147"/>
      <c r="CD544" s="147"/>
      <c r="CE544" s="147"/>
      <c r="CF544" s="147"/>
      <c r="CG544" s="147"/>
      <c r="CH544" s="147"/>
      <c r="CI544" s="147"/>
      <c r="CJ544" s="147"/>
      <c r="CK544" s="147"/>
    </row>
    <row r="545" spans="1:89">
      <c r="A545" s="159"/>
      <c r="F545" s="3"/>
      <c r="G545" s="3"/>
      <c r="L545" s="157"/>
      <c r="M545" s="157"/>
      <c r="O545" s="147"/>
      <c r="P545" s="147"/>
      <c r="Q545" s="147"/>
      <c r="R545" s="147"/>
      <c r="S545" s="147"/>
      <c r="T545" s="147"/>
      <c r="U545" s="147"/>
      <c r="V545" s="147"/>
      <c r="W545" s="147"/>
      <c r="X545" s="147"/>
      <c r="Y545" s="147"/>
      <c r="Z545" s="147"/>
      <c r="AA545" s="147"/>
      <c r="AB545" s="147"/>
      <c r="AC545" s="147"/>
      <c r="AD545" s="147"/>
      <c r="AE545" s="147"/>
      <c r="AF545" s="147"/>
      <c r="AG545" s="147"/>
      <c r="AH545" s="147"/>
      <c r="AI545" s="147"/>
      <c r="AJ545" s="147"/>
      <c r="AK545" s="147"/>
      <c r="AL545" s="147"/>
      <c r="AM545" s="151"/>
      <c r="AN545" s="147"/>
      <c r="AO545" s="147"/>
      <c r="AP545" s="147"/>
      <c r="AQ545" s="147"/>
      <c r="AR545" s="147"/>
      <c r="AS545" s="147"/>
      <c r="AT545" s="147"/>
      <c r="AU545" s="147"/>
      <c r="AV545" s="147"/>
      <c r="AW545" s="147"/>
      <c r="AX545" s="147"/>
      <c r="AY545" s="147"/>
      <c r="AZ545" s="147"/>
      <c r="BA545" s="147"/>
      <c r="BB545" s="147"/>
      <c r="BC545" s="147"/>
      <c r="BD545" s="147"/>
      <c r="BE545" s="147"/>
      <c r="BF545" s="147"/>
      <c r="BG545" s="147"/>
      <c r="BH545" s="147"/>
      <c r="BI545" s="147"/>
      <c r="BJ545" s="147"/>
      <c r="BK545" s="147"/>
      <c r="BL545" s="147"/>
      <c r="BM545" s="147"/>
      <c r="BN545" s="147"/>
      <c r="BO545" s="147"/>
      <c r="BP545" s="147"/>
      <c r="BQ545" s="147"/>
      <c r="BR545" s="147"/>
      <c r="BS545" s="147"/>
      <c r="BT545" s="147"/>
      <c r="BU545" s="147"/>
      <c r="BV545" s="147"/>
      <c r="BW545" s="147"/>
      <c r="BX545" s="147"/>
      <c r="BY545" s="147"/>
      <c r="BZ545" s="147"/>
      <c r="CA545" s="147"/>
      <c r="CB545" s="147"/>
      <c r="CC545" s="147"/>
      <c r="CD545" s="147"/>
      <c r="CE545" s="147"/>
      <c r="CF545" s="147"/>
      <c r="CG545" s="147"/>
      <c r="CH545" s="147"/>
      <c r="CI545" s="147"/>
      <c r="CJ545" s="147"/>
      <c r="CK545" s="147"/>
    </row>
    <row r="546" spans="1:89">
      <c r="A546" s="159"/>
      <c r="F546" s="3"/>
      <c r="G546" s="3"/>
      <c r="L546" s="157"/>
      <c r="M546" s="157"/>
      <c r="O546" s="147"/>
      <c r="P546" s="147"/>
      <c r="Q546" s="147"/>
      <c r="R546" s="147"/>
      <c r="S546" s="147"/>
      <c r="T546" s="147"/>
      <c r="U546" s="147"/>
      <c r="V546" s="147"/>
      <c r="W546" s="147"/>
      <c r="X546" s="147"/>
      <c r="Y546" s="147"/>
      <c r="Z546" s="147"/>
      <c r="AA546" s="147"/>
      <c r="AB546" s="147"/>
      <c r="AC546" s="147"/>
      <c r="AD546" s="147"/>
      <c r="AE546" s="147"/>
      <c r="AF546" s="147"/>
      <c r="AG546" s="147"/>
      <c r="AH546" s="147"/>
      <c r="AI546" s="147"/>
      <c r="AJ546" s="147"/>
      <c r="AK546" s="147"/>
      <c r="AL546" s="147"/>
      <c r="AM546" s="151"/>
      <c r="AN546" s="147"/>
      <c r="AO546" s="147"/>
      <c r="AP546" s="147"/>
      <c r="AQ546" s="147"/>
      <c r="AR546" s="147"/>
      <c r="AS546" s="147"/>
      <c r="AT546" s="147"/>
      <c r="AU546" s="147"/>
      <c r="AV546" s="147"/>
      <c r="AW546" s="147"/>
      <c r="AX546" s="147"/>
      <c r="AY546" s="147"/>
      <c r="AZ546" s="147"/>
      <c r="BA546" s="147"/>
      <c r="BB546" s="147"/>
      <c r="BC546" s="147"/>
      <c r="BD546" s="147"/>
      <c r="BE546" s="147"/>
      <c r="BF546" s="147"/>
      <c r="BG546" s="147"/>
      <c r="BH546" s="147"/>
      <c r="BI546" s="147"/>
      <c r="BJ546" s="147"/>
      <c r="BK546" s="147"/>
      <c r="BL546" s="147"/>
      <c r="BM546" s="147"/>
      <c r="BN546" s="147"/>
      <c r="BO546" s="147"/>
      <c r="BP546" s="147"/>
      <c r="BQ546" s="147"/>
      <c r="BR546" s="147"/>
      <c r="BS546" s="147"/>
      <c r="BT546" s="147"/>
      <c r="BU546" s="147"/>
      <c r="BV546" s="147"/>
      <c r="BW546" s="147"/>
      <c r="BX546" s="147"/>
      <c r="BY546" s="147"/>
      <c r="BZ546" s="147"/>
      <c r="CA546" s="147"/>
      <c r="CB546" s="147"/>
      <c r="CC546" s="147"/>
      <c r="CD546" s="147"/>
      <c r="CE546" s="147"/>
      <c r="CF546" s="147"/>
      <c r="CG546" s="147"/>
      <c r="CH546" s="147"/>
      <c r="CI546" s="147"/>
      <c r="CJ546" s="147"/>
      <c r="CK546" s="147"/>
    </row>
    <row r="547" spans="1:89">
      <c r="A547" s="159"/>
      <c r="F547" s="3"/>
      <c r="G547" s="3"/>
      <c r="L547" s="157"/>
      <c r="M547" s="157"/>
      <c r="O547" s="147"/>
      <c r="P547" s="147"/>
      <c r="Q547" s="147"/>
      <c r="R547" s="147"/>
      <c r="S547" s="147"/>
      <c r="T547" s="147"/>
      <c r="U547" s="147"/>
      <c r="V547" s="147"/>
      <c r="W547" s="147"/>
      <c r="X547" s="147"/>
      <c r="Y547" s="147"/>
      <c r="Z547" s="147"/>
      <c r="AA547" s="147"/>
      <c r="AB547" s="147"/>
      <c r="AC547" s="147"/>
      <c r="AD547" s="147"/>
      <c r="AE547" s="147"/>
      <c r="AF547" s="147"/>
      <c r="AG547" s="147"/>
      <c r="AH547" s="147"/>
      <c r="AI547" s="147"/>
      <c r="AJ547" s="147"/>
      <c r="AK547" s="147"/>
      <c r="AL547" s="147"/>
      <c r="AM547" s="151"/>
      <c r="AN547" s="147"/>
      <c r="AO547" s="147"/>
      <c r="AP547" s="147"/>
      <c r="AQ547" s="147"/>
      <c r="AR547" s="147"/>
      <c r="AS547" s="147"/>
      <c r="AT547" s="147"/>
      <c r="AU547" s="147"/>
      <c r="AV547" s="147"/>
      <c r="AW547" s="147"/>
      <c r="AX547" s="147"/>
      <c r="AY547" s="147"/>
      <c r="AZ547" s="147"/>
      <c r="BA547" s="147"/>
      <c r="BB547" s="147"/>
      <c r="BC547" s="147"/>
      <c r="BD547" s="147"/>
      <c r="BE547" s="147"/>
      <c r="BF547" s="147"/>
      <c r="BG547" s="147"/>
      <c r="BH547" s="147"/>
      <c r="BI547" s="147"/>
      <c r="BJ547" s="147"/>
      <c r="BK547" s="147"/>
      <c r="BL547" s="147"/>
      <c r="BM547" s="147"/>
      <c r="BN547" s="147"/>
      <c r="BO547" s="147"/>
      <c r="BP547" s="147"/>
      <c r="BQ547" s="147"/>
      <c r="BR547" s="147"/>
      <c r="BS547" s="147"/>
      <c r="BT547" s="147"/>
      <c r="BU547" s="147"/>
      <c r="BV547" s="147"/>
      <c r="BW547" s="147"/>
      <c r="BX547" s="147"/>
      <c r="BY547" s="147"/>
      <c r="BZ547" s="147"/>
      <c r="CA547" s="147"/>
      <c r="CB547" s="147"/>
      <c r="CC547" s="147"/>
      <c r="CD547" s="147"/>
      <c r="CE547" s="147"/>
      <c r="CF547" s="147"/>
      <c r="CG547" s="147"/>
      <c r="CH547" s="147"/>
      <c r="CI547" s="147"/>
      <c r="CJ547" s="147"/>
      <c r="CK547" s="147"/>
    </row>
    <row r="548" spans="1:89">
      <c r="A548" s="159"/>
      <c r="F548" s="3"/>
      <c r="G548" s="3"/>
      <c r="L548" s="157"/>
      <c r="M548" s="157"/>
      <c r="O548" s="147"/>
      <c r="P548" s="147"/>
      <c r="Q548" s="147"/>
      <c r="R548" s="147"/>
      <c r="S548" s="147"/>
      <c r="T548" s="147"/>
      <c r="U548" s="147"/>
      <c r="V548" s="147"/>
      <c r="W548" s="147"/>
      <c r="X548" s="147"/>
      <c r="Y548" s="147"/>
      <c r="Z548" s="147"/>
      <c r="AA548" s="147"/>
      <c r="AB548" s="147"/>
      <c r="AC548" s="147"/>
      <c r="AD548" s="147"/>
      <c r="AE548" s="147"/>
      <c r="AF548" s="147"/>
      <c r="AG548" s="147"/>
      <c r="AH548" s="147"/>
      <c r="AI548" s="147"/>
      <c r="AJ548" s="147"/>
      <c r="AK548" s="147"/>
      <c r="AL548" s="147"/>
      <c r="AM548" s="151"/>
      <c r="AN548" s="147"/>
      <c r="AO548" s="147"/>
      <c r="AP548" s="147"/>
      <c r="AQ548" s="147"/>
      <c r="AR548" s="147"/>
      <c r="AS548" s="147"/>
      <c r="AT548" s="147"/>
      <c r="AU548" s="147"/>
      <c r="AV548" s="147"/>
      <c r="AW548" s="147"/>
      <c r="AX548" s="147"/>
      <c r="AY548" s="147"/>
      <c r="AZ548" s="147"/>
      <c r="BA548" s="147"/>
      <c r="BB548" s="147"/>
      <c r="BC548" s="147"/>
      <c r="BD548" s="147"/>
      <c r="BE548" s="147"/>
      <c r="BF548" s="147"/>
      <c r="BG548" s="147"/>
      <c r="BH548" s="147"/>
      <c r="BI548" s="147"/>
      <c r="BJ548" s="147"/>
      <c r="BK548" s="147"/>
      <c r="BL548" s="147"/>
      <c r="BM548" s="147"/>
      <c r="BN548" s="147"/>
      <c r="BO548" s="147"/>
      <c r="BP548" s="147"/>
      <c r="BQ548" s="147"/>
      <c r="BR548" s="147"/>
      <c r="BS548" s="147"/>
      <c r="BT548" s="147"/>
      <c r="BU548" s="147"/>
      <c r="BV548" s="147"/>
      <c r="BW548" s="147"/>
      <c r="BX548" s="147"/>
      <c r="BY548" s="147"/>
      <c r="BZ548" s="147"/>
      <c r="CA548" s="147"/>
      <c r="CB548" s="147"/>
      <c r="CC548" s="147"/>
      <c r="CD548" s="147"/>
      <c r="CE548" s="147"/>
      <c r="CF548" s="147"/>
      <c r="CG548" s="147"/>
      <c r="CH548" s="147"/>
      <c r="CI548" s="147"/>
      <c r="CJ548" s="147"/>
      <c r="CK548" s="147"/>
    </row>
    <row r="549" spans="1:89">
      <c r="A549" s="159"/>
      <c r="F549" s="3"/>
      <c r="G549" s="3"/>
      <c r="L549" s="157"/>
      <c r="M549" s="157"/>
      <c r="O549" s="147"/>
      <c r="P549" s="147"/>
      <c r="Q549" s="147"/>
      <c r="R549" s="147"/>
      <c r="S549" s="147"/>
      <c r="T549" s="147"/>
      <c r="U549" s="147"/>
      <c r="V549" s="147"/>
      <c r="W549" s="147"/>
      <c r="X549" s="147"/>
      <c r="Y549" s="147"/>
      <c r="Z549" s="147"/>
      <c r="AA549" s="147"/>
      <c r="AB549" s="147"/>
      <c r="AC549" s="147"/>
      <c r="AD549" s="147"/>
      <c r="AE549" s="147"/>
      <c r="AF549" s="147"/>
      <c r="AG549" s="147"/>
      <c r="AH549" s="147"/>
      <c r="AI549" s="147"/>
      <c r="AJ549" s="147"/>
      <c r="AK549" s="147"/>
      <c r="AL549" s="147"/>
      <c r="AM549" s="151"/>
      <c r="AN549" s="147"/>
      <c r="AO549" s="147"/>
      <c r="AP549" s="147"/>
      <c r="AQ549" s="147"/>
      <c r="AR549" s="147"/>
      <c r="AS549" s="147"/>
      <c r="AT549" s="147"/>
      <c r="AU549" s="147"/>
      <c r="AV549" s="147"/>
      <c r="AW549" s="147"/>
      <c r="AX549" s="147"/>
      <c r="AY549" s="147"/>
      <c r="AZ549" s="147"/>
      <c r="BA549" s="147"/>
      <c r="BB549" s="147"/>
      <c r="BC549" s="147"/>
      <c r="BD549" s="147"/>
      <c r="BE549" s="147"/>
      <c r="BF549" s="147"/>
      <c r="BG549" s="147"/>
      <c r="BH549" s="147"/>
      <c r="BI549" s="147"/>
      <c r="BJ549" s="147"/>
      <c r="BK549" s="147"/>
      <c r="BL549" s="147"/>
      <c r="BM549" s="147"/>
      <c r="BN549" s="147"/>
      <c r="BO549" s="147"/>
      <c r="BP549" s="147"/>
      <c r="BQ549" s="147"/>
      <c r="BR549" s="147"/>
      <c r="BS549" s="147"/>
      <c r="BT549" s="147"/>
      <c r="BU549" s="147"/>
      <c r="BV549" s="147"/>
      <c r="BW549" s="147"/>
      <c r="BX549" s="147"/>
      <c r="BY549" s="147"/>
      <c r="BZ549" s="147"/>
      <c r="CA549" s="147"/>
      <c r="CB549" s="147"/>
      <c r="CC549" s="147"/>
      <c r="CD549" s="147"/>
      <c r="CE549" s="147"/>
      <c r="CF549" s="147"/>
      <c r="CG549" s="147"/>
      <c r="CH549" s="147"/>
      <c r="CI549" s="147"/>
      <c r="CJ549" s="147"/>
      <c r="CK549" s="147"/>
    </row>
    <row r="550" spans="1:89">
      <c r="A550" s="159"/>
      <c r="F550" s="3"/>
      <c r="G550" s="3"/>
      <c r="L550" s="157"/>
      <c r="M550" s="157"/>
      <c r="O550" s="147"/>
      <c r="P550" s="147"/>
      <c r="Q550" s="147"/>
      <c r="R550" s="147"/>
      <c r="S550" s="147"/>
      <c r="T550" s="147"/>
      <c r="U550" s="147"/>
      <c r="V550" s="147"/>
      <c r="W550" s="147"/>
      <c r="X550" s="147"/>
      <c r="Y550" s="147"/>
      <c r="Z550" s="147"/>
      <c r="AA550" s="147"/>
      <c r="AB550" s="147"/>
      <c r="AC550" s="147"/>
      <c r="AD550" s="147"/>
      <c r="AE550" s="147"/>
      <c r="AF550" s="147"/>
      <c r="AG550" s="147"/>
      <c r="AH550" s="147"/>
      <c r="AI550" s="147"/>
      <c r="AJ550" s="147"/>
      <c r="AK550" s="147"/>
      <c r="AL550" s="147"/>
      <c r="AM550" s="151"/>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c r="BI550" s="147"/>
      <c r="BJ550" s="147"/>
      <c r="BK550" s="147"/>
      <c r="BL550" s="147"/>
      <c r="BM550" s="147"/>
      <c r="BN550" s="147"/>
      <c r="BO550" s="147"/>
      <c r="BP550" s="147"/>
      <c r="BQ550" s="147"/>
      <c r="BR550" s="147"/>
      <c r="BS550" s="147"/>
      <c r="BT550" s="147"/>
      <c r="BU550" s="147"/>
      <c r="BV550" s="147"/>
      <c r="BW550" s="147"/>
      <c r="BX550" s="147"/>
      <c r="BY550" s="147"/>
      <c r="BZ550" s="147"/>
      <c r="CA550" s="147"/>
      <c r="CB550" s="147"/>
      <c r="CC550" s="147"/>
      <c r="CD550" s="147"/>
      <c r="CE550" s="147"/>
      <c r="CF550" s="147"/>
      <c r="CG550" s="147"/>
      <c r="CH550" s="147"/>
      <c r="CI550" s="147"/>
      <c r="CJ550" s="147"/>
      <c r="CK550" s="147"/>
    </row>
    <row r="551" spans="1:89">
      <c r="A551" s="157"/>
      <c r="F551" s="3"/>
      <c r="G551" s="3"/>
      <c r="L551" s="157"/>
      <c r="M551" s="157"/>
      <c r="O551" s="147"/>
      <c r="P551" s="147"/>
      <c r="Q551" s="147"/>
      <c r="R551" s="147"/>
      <c r="S551" s="147"/>
      <c r="T551" s="147"/>
      <c r="U551" s="147"/>
      <c r="V551" s="147"/>
      <c r="W551" s="147"/>
      <c r="X551" s="147"/>
      <c r="Y551" s="147"/>
      <c r="Z551" s="147"/>
      <c r="AA551" s="147"/>
      <c r="AB551" s="147"/>
      <c r="AC551" s="147"/>
      <c r="AD551" s="147"/>
      <c r="AE551" s="147"/>
      <c r="AF551" s="147"/>
      <c r="AG551" s="147"/>
      <c r="AH551" s="147"/>
      <c r="AI551" s="147"/>
      <c r="AJ551" s="147"/>
      <c r="AK551" s="147"/>
      <c r="AL551" s="147"/>
      <c r="AM551" s="151"/>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c r="BI551" s="147"/>
      <c r="BJ551" s="147"/>
      <c r="BK551" s="147"/>
      <c r="BL551" s="147"/>
      <c r="BM551" s="147"/>
      <c r="BN551" s="147"/>
      <c r="BO551" s="147"/>
      <c r="BP551" s="147"/>
      <c r="BQ551" s="147"/>
      <c r="BR551" s="147"/>
      <c r="BS551" s="147"/>
      <c r="BT551" s="147"/>
      <c r="BU551" s="147"/>
      <c r="BV551" s="147"/>
      <c r="BW551" s="147"/>
      <c r="BX551" s="147"/>
      <c r="BY551" s="147"/>
      <c r="BZ551" s="147"/>
      <c r="CA551" s="147"/>
      <c r="CB551" s="147"/>
      <c r="CC551" s="147"/>
      <c r="CD551" s="147"/>
      <c r="CE551" s="147"/>
      <c r="CF551" s="147"/>
      <c r="CG551" s="147"/>
      <c r="CH551" s="147"/>
      <c r="CI551" s="147"/>
      <c r="CJ551" s="147"/>
      <c r="CK551" s="147"/>
    </row>
    <row r="552" spans="1:89">
      <c r="A552" s="157"/>
      <c r="F552" s="3"/>
      <c r="G552" s="3"/>
      <c r="L552" s="157"/>
      <c r="M552" s="157"/>
      <c r="O552" s="147"/>
      <c r="P552" s="147"/>
      <c r="Q552" s="147"/>
      <c r="R552" s="147"/>
      <c r="S552" s="147"/>
      <c r="T552" s="147"/>
      <c r="U552" s="147"/>
      <c r="V552" s="147"/>
      <c r="W552" s="147"/>
      <c r="X552" s="147"/>
      <c r="Y552" s="147"/>
      <c r="Z552" s="147"/>
      <c r="AA552" s="147"/>
      <c r="AB552" s="147"/>
      <c r="AC552" s="147"/>
      <c r="AD552" s="147"/>
      <c r="AE552" s="147"/>
      <c r="AF552" s="147"/>
      <c r="AG552" s="147"/>
      <c r="AH552" s="147"/>
      <c r="AI552" s="147"/>
      <c r="AJ552" s="147"/>
      <c r="AK552" s="147"/>
      <c r="AL552" s="147"/>
      <c r="AM552" s="151"/>
      <c r="AN552" s="147"/>
      <c r="AO552" s="147"/>
      <c r="AP552" s="147"/>
      <c r="AQ552" s="147"/>
      <c r="AR552" s="147"/>
      <c r="AS552" s="147"/>
      <c r="AT552" s="147"/>
      <c r="AU552" s="147"/>
      <c r="AV552" s="147"/>
      <c r="AW552" s="147"/>
      <c r="AX552" s="147"/>
      <c r="AY552" s="147"/>
      <c r="AZ552" s="147"/>
      <c r="BA552" s="147"/>
      <c r="BB552" s="147"/>
      <c r="BC552" s="147"/>
      <c r="BD552" s="147"/>
      <c r="BE552" s="147"/>
      <c r="BF552" s="147"/>
      <c r="BG552" s="147"/>
      <c r="BH552" s="147"/>
      <c r="BI552" s="147"/>
      <c r="BJ552" s="147"/>
      <c r="BK552" s="147"/>
      <c r="BL552" s="147"/>
      <c r="BM552" s="147"/>
      <c r="BN552" s="147"/>
      <c r="BO552" s="147"/>
      <c r="BP552" s="147"/>
      <c r="BQ552" s="147"/>
      <c r="BR552" s="147"/>
      <c r="BS552" s="147"/>
      <c r="BT552" s="147"/>
      <c r="BU552" s="147"/>
      <c r="BV552" s="147"/>
      <c r="BW552" s="147"/>
      <c r="BX552" s="147"/>
      <c r="BY552" s="147"/>
      <c r="BZ552" s="147"/>
      <c r="CA552" s="147"/>
      <c r="CB552" s="147"/>
      <c r="CC552" s="147"/>
      <c r="CD552" s="147"/>
      <c r="CE552" s="147"/>
      <c r="CF552" s="147"/>
      <c r="CG552" s="147"/>
      <c r="CH552" s="147"/>
      <c r="CI552" s="147"/>
      <c r="CJ552" s="147"/>
      <c r="CK552" s="147"/>
    </row>
    <row r="553" spans="1:89">
      <c r="A553" s="157"/>
      <c r="F553" s="3"/>
      <c r="G553" s="3"/>
      <c r="L553" s="157"/>
      <c r="M553" s="157"/>
      <c r="O553" s="147"/>
      <c r="P553" s="147"/>
      <c r="Q553" s="147"/>
      <c r="R553" s="147"/>
      <c r="S553" s="147"/>
      <c r="T553" s="147"/>
      <c r="U553" s="147"/>
      <c r="V553" s="147"/>
      <c r="W553" s="147"/>
      <c r="X553" s="147"/>
      <c r="Y553" s="147"/>
      <c r="Z553" s="147"/>
      <c r="AA553" s="147"/>
      <c r="AB553" s="147"/>
      <c r="AC553" s="147"/>
      <c r="AD553" s="147"/>
      <c r="AE553" s="147"/>
      <c r="AF553" s="147"/>
      <c r="AG553" s="147"/>
      <c r="AH553" s="147"/>
      <c r="AI553" s="147"/>
      <c r="AJ553" s="147"/>
      <c r="AK553" s="147"/>
      <c r="AL553" s="147"/>
      <c r="AM553" s="151"/>
      <c r="AN553" s="147"/>
      <c r="AO553" s="147"/>
      <c r="AP553" s="147"/>
      <c r="AQ553" s="147"/>
      <c r="AR553" s="147"/>
      <c r="AS553" s="147"/>
      <c r="AT553" s="147"/>
      <c r="AU553" s="147"/>
      <c r="AV553" s="147"/>
      <c r="AW553" s="147"/>
      <c r="AX553" s="147"/>
      <c r="AY553" s="147"/>
      <c r="AZ553" s="147"/>
      <c r="BA553" s="147"/>
      <c r="BB553" s="147"/>
      <c r="BC553" s="147"/>
      <c r="BD553" s="147"/>
      <c r="BE553" s="147"/>
      <c r="BF553" s="147"/>
      <c r="BG553" s="147"/>
      <c r="BH553" s="147"/>
      <c r="BI553" s="147"/>
      <c r="BJ553" s="147"/>
      <c r="BK553" s="147"/>
      <c r="BL553" s="147"/>
      <c r="BM553" s="147"/>
      <c r="BN553" s="147"/>
      <c r="BO553" s="147"/>
      <c r="BP553" s="147"/>
      <c r="BQ553" s="147"/>
      <c r="BR553" s="147"/>
      <c r="BS553" s="147"/>
      <c r="BT553" s="147"/>
      <c r="BU553" s="147"/>
      <c r="BV553" s="147"/>
      <c r="BW553" s="147"/>
      <c r="BX553" s="147"/>
      <c r="BY553" s="147"/>
      <c r="BZ553" s="147"/>
      <c r="CA553" s="147"/>
      <c r="CB553" s="147"/>
      <c r="CC553" s="147"/>
      <c r="CD553" s="147"/>
      <c r="CE553" s="147"/>
      <c r="CF553" s="147"/>
      <c r="CG553" s="147"/>
      <c r="CH553" s="147"/>
      <c r="CI553" s="147"/>
      <c r="CJ553" s="147"/>
      <c r="CK553" s="147"/>
    </row>
    <row r="554" spans="1:89">
      <c r="A554" s="157"/>
      <c r="F554" s="3"/>
      <c r="G554" s="3"/>
      <c r="L554" s="157"/>
      <c r="M554" s="157"/>
      <c r="O554" s="147"/>
      <c r="P554" s="147"/>
      <c r="Q554" s="147"/>
      <c r="R554" s="147"/>
      <c r="S554" s="147"/>
      <c r="T554" s="147"/>
      <c r="U554" s="147"/>
      <c r="V554" s="147"/>
      <c r="W554" s="147"/>
      <c r="X554" s="147"/>
      <c r="Y554" s="147"/>
      <c r="Z554" s="147"/>
      <c r="AA554" s="147"/>
      <c r="AB554" s="147"/>
      <c r="AC554" s="147"/>
      <c r="AD554" s="147"/>
      <c r="AE554" s="147"/>
      <c r="AF554" s="147"/>
      <c r="AG554" s="147"/>
      <c r="AH554" s="147"/>
      <c r="AI554" s="147"/>
      <c r="AJ554" s="147"/>
      <c r="AK554" s="147"/>
      <c r="AL554" s="147"/>
      <c r="AM554" s="151"/>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c r="BI554" s="147"/>
      <c r="BJ554" s="147"/>
      <c r="BK554" s="147"/>
      <c r="BL554" s="147"/>
      <c r="BM554" s="147"/>
      <c r="BN554" s="147"/>
      <c r="BO554" s="147"/>
      <c r="BP554" s="147"/>
      <c r="BQ554" s="147"/>
      <c r="BR554" s="147"/>
      <c r="BS554" s="147"/>
      <c r="BT554" s="147"/>
      <c r="BU554" s="147"/>
      <c r="BV554" s="147"/>
      <c r="BW554" s="147"/>
      <c r="BX554" s="147"/>
      <c r="BY554" s="147"/>
      <c r="BZ554" s="147"/>
      <c r="CA554" s="147"/>
      <c r="CB554" s="147"/>
      <c r="CC554" s="147"/>
      <c r="CD554" s="147"/>
      <c r="CE554" s="147"/>
      <c r="CF554" s="147"/>
      <c r="CG554" s="147"/>
      <c r="CH554" s="147"/>
      <c r="CI554" s="147"/>
      <c r="CJ554" s="147"/>
      <c r="CK554" s="147"/>
    </row>
    <row r="555" spans="1:89">
      <c r="A555" s="157"/>
      <c r="F555" s="3"/>
      <c r="G555" s="3"/>
      <c r="L555" s="157"/>
      <c r="M555" s="157"/>
      <c r="O555" s="147"/>
      <c r="P555" s="147"/>
      <c r="Q555" s="147"/>
      <c r="R555" s="147"/>
      <c r="S555" s="147"/>
      <c r="T555" s="147"/>
      <c r="U555" s="147"/>
      <c r="V555" s="147"/>
      <c r="W555" s="147"/>
      <c r="X555" s="147"/>
      <c r="Y555" s="147"/>
      <c r="Z555" s="147"/>
      <c r="AA555" s="147"/>
      <c r="AB555" s="147"/>
      <c r="AC555" s="147"/>
      <c r="AD555" s="147"/>
      <c r="AE555" s="147"/>
      <c r="AF555" s="147"/>
      <c r="AG555" s="147"/>
      <c r="AH555" s="147"/>
      <c r="AI555" s="147"/>
      <c r="AJ555" s="147"/>
      <c r="AK555" s="147"/>
      <c r="AL555" s="147"/>
      <c r="AM555" s="151"/>
      <c r="AN555" s="147"/>
      <c r="AO555" s="147"/>
      <c r="AP555" s="147"/>
      <c r="AQ555" s="147"/>
      <c r="AR555" s="147"/>
      <c r="AS555" s="147"/>
      <c r="AT555" s="147"/>
      <c r="AU555" s="147"/>
      <c r="AV555" s="147"/>
      <c r="AW555" s="147"/>
      <c r="AX555" s="147"/>
      <c r="AY555" s="147"/>
      <c r="AZ555" s="147"/>
      <c r="BA555" s="147"/>
      <c r="BB555" s="147"/>
      <c r="BC555" s="147"/>
      <c r="BD555" s="147"/>
      <c r="BE555" s="147"/>
      <c r="BF555" s="147"/>
      <c r="BG555" s="147"/>
      <c r="BH555" s="147"/>
      <c r="BI555" s="147"/>
      <c r="BJ555" s="147"/>
      <c r="BK555" s="147"/>
      <c r="BL555" s="147"/>
      <c r="BM555" s="147"/>
      <c r="BN555" s="147"/>
      <c r="BO555" s="147"/>
      <c r="BP555" s="147"/>
      <c r="BQ555" s="147"/>
      <c r="BR555" s="147"/>
      <c r="BS555" s="147"/>
      <c r="BT555" s="147"/>
      <c r="BU555" s="147"/>
      <c r="BV555" s="147"/>
      <c r="BW555" s="147"/>
      <c r="BX555" s="147"/>
      <c r="BY555" s="147"/>
      <c r="BZ555" s="147"/>
      <c r="CA555" s="147"/>
      <c r="CB555" s="147"/>
      <c r="CC555" s="147"/>
      <c r="CD555" s="147"/>
      <c r="CE555" s="147"/>
      <c r="CF555" s="147"/>
      <c r="CG555" s="147"/>
      <c r="CH555" s="147"/>
      <c r="CI555" s="147"/>
      <c r="CJ555" s="147"/>
      <c r="CK555" s="147"/>
    </row>
    <row r="556" spans="1:89">
      <c r="A556" s="157"/>
      <c r="F556" s="3"/>
      <c r="G556" s="3"/>
      <c r="L556" s="157"/>
      <c r="M556" s="157"/>
      <c r="O556" s="147"/>
      <c r="P556" s="147"/>
      <c r="Q556" s="147"/>
      <c r="R556" s="147"/>
      <c r="S556" s="147"/>
      <c r="T556" s="147"/>
      <c r="U556" s="147"/>
      <c r="V556" s="147"/>
      <c r="W556" s="147"/>
      <c r="X556" s="147"/>
      <c r="Y556" s="147"/>
      <c r="Z556" s="147"/>
      <c r="AA556" s="147"/>
      <c r="AB556" s="147"/>
      <c r="AC556" s="147"/>
      <c r="AD556" s="147"/>
      <c r="AE556" s="147"/>
      <c r="AF556" s="147"/>
      <c r="AG556" s="147"/>
      <c r="AH556" s="147"/>
      <c r="AI556" s="147"/>
      <c r="AJ556" s="147"/>
      <c r="AK556" s="147"/>
      <c r="AL556" s="147"/>
      <c r="AM556" s="151"/>
      <c r="AN556" s="147"/>
      <c r="AO556" s="147"/>
      <c r="AP556" s="147"/>
      <c r="AQ556" s="147"/>
      <c r="AR556" s="147"/>
      <c r="AS556" s="147"/>
      <c r="AT556" s="147"/>
      <c r="AU556" s="147"/>
      <c r="AV556" s="147"/>
      <c r="AW556" s="147"/>
      <c r="AX556" s="147"/>
      <c r="AY556" s="147"/>
      <c r="AZ556" s="147"/>
      <c r="BA556" s="147"/>
      <c r="BB556" s="147"/>
      <c r="BC556" s="147"/>
      <c r="BD556" s="147"/>
      <c r="BE556" s="147"/>
      <c r="BF556" s="147"/>
      <c r="BG556" s="147"/>
      <c r="BH556" s="147"/>
      <c r="BI556" s="147"/>
      <c r="BJ556" s="147"/>
      <c r="BK556" s="147"/>
      <c r="BL556" s="147"/>
      <c r="BM556" s="147"/>
      <c r="BN556" s="147"/>
      <c r="BO556" s="147"/>
      <c r="BP556" s="147"/>
      <c r="BQ556" s="147"/>
      <c r="BR556" s="147"/>
      <c r="BS556" s="147"/>
      <c r="BT556" s="147"/>
      <c r="BU556" s="147"/>
      <c r="BV556" s="147"/>
      <c r="BW556" s="147"/>
      <c r="BX556" s="147"/>
      <c r="BY556" s="147"/>
      <c r="BZ556" s="147"/>
      <c r="CA556" s="147"/>
      <c r="CB556" s="147"/>
      <c r="CC556" s="147"/>
      <c r="CD556" s="147"/>
      <c r="CE556" s="147"/>
      <c r="CF556" s="147"/>
      <c r="CG556" s="147"/>
      <c r="CH556" s="147"/>
      <c r="CI556" s="147"/>
      <c r="CJ556" s="147"/>
      <c r="CK556" s="147"/>
    </row>
    <row r="557" spans="1:89">
      <c r="A557" s="157"/>
      <c r="F557" s="3"/>
      <c r="G557" s="3"/>
      <c r="L557" s="157"/>
      <c r="M557" s="157"/>
      <c r="O557" s="147"/>
      <c r="P557" s="147"/>
      <c r="Q557" s="147"/>
      <c r="R557" s="147"/>
      <c r="S557" s="147"/>
      <c r="T557" s="147"/>
      <c r="U557" s="147"/>
      <c r="V557" s="147"/>
      <c r="W557" s="147"/>
      <c r="X557" s="147"/>
      <c r="Y557" s="147"/>
      <c r="Z557" s="147"/>
      <c r="AA557" s="147"/>
      <c r="AB557" s="147"/>
      <c r="AC557" s="147"/>
      <c r="AD557" s="147"/>
      <c r="AE557" s="147"/>
      <c r="AF557" s="147"/>
      <c r="AG557" s="147"/>
      <c r="AH557" s="147"/>
      <c r="AI557" s="147"/>
      <c r="AJ557" s="147"/>
      <c r="AK557" s="147"/>
      <c r="AL557" s="147"/>
      <c r="AM557" s="151"/>
      <c r="AN557" s="147"/>
      <c r="AO557" s="147"/>
      <c r="AP557" s="147"/>
      <c r="AQ557" s="147"/>
      <c r="AR557" s="147"/>
      <c r="AS557" s="147"/>
      <c r="AT557" s="147"/>
      <c r="AU557" s="147"/>
      <c r="AV557" s="147"/>
      <c r="AW557" s="147"/>
      <c r="AX557" s="147"/>
      <c r="AY557" s="147"/>
      <c r="AZ557" s="147"/>
      <c r="BA557" s="147"/>
      <c r="BB557" s="147"/>
      <c r="BC557" s="147"/>
      <c r="BD557" s="147"/>
      <c r="BE557" s="147"/>
      <c r="BF557" s="147"/>
      <c r="BG557" s="147"/>
      <c r="BH557" s="147"/>
      <c r="BI557" s="147"/>
      <c r="BJ557" s="147"/>
      <c r="BK557" s="147"/>
      <c r="BL557" s="147"/>
      <c r="BM557" s="147"/>
      <c r="BN557" s="147"/>
      <c r="BO557" s="147"/>
      <c r="BP557" s="147"/>
      <c r="BQ557" s="147"/>
      <c r="BR557" s="147"/>
      <c r="BS557" s="147"/>
      <c r="BT557" s="147"/>
      <c r="BU557" s="147"/>
      <c r="BV557" s="147"/>
      <c r="BW557" s="147"/>
      <c r="BX557" s="147"/>
      <c r="BY557" s="147"/>
      <c r="BZ557" s="147"/>
      <c r="CA557" s="147"/>
      <c r="CB557" s="147"/>
      <c r="CC557" s="147"/>
      <c r="CD557" s="147"/>
      <c r="CE557" s="147"/>
      <c r="CF557" s="147"/>
      <c r="CG557" s="147"/>
      <c r="CH557" s="147"/>
      <c r="CI557" s="147"/>
      <c r="CJ557" s="147"/>
      <c r="CK557" s="147"/>
    </row>
    <row r="558" spans="1:89">
      <c r="A558" s="157"/>
      <c r="F558" s="3"/>
      <c r="G558" s="3"/>
      <c r="L558" s="157"/>
      <c r="M558" s="157"/>
      <c r="O558" s="147"/>
      <c r="P558" s="147"/>
      <c r="Q558" s="147"/>
      <c r="R558" s="147"/>
      <c r="S558" s="147"/>
      <c r="T558" s="147"/>
      <c r="U558" s="147"/>
      <c r="V558" s="147"/>
      <c r="W558" s="147"/>
      <c r="X558" s="147"/>
      <c r="Y558" s="147"/>
      <c r="Z558" s="147"/>
      <c r="AA558" s="147"/>
      <c r="AB558" s="147"/>
      <c r="AC558" s="147"/>
      <c r="AD558" s="147"/>
      <c r="AE558" s="147"/>
      <c r="AF558" s="147"/>
      <c r="AG558" s="147"/>
      <c r="AH558" s="147"/>
      <c r="AI558" s="147"/>
      <c r="AJ558" s="147"/>
      <c r="AK558" s="147"/>
      <c r="AL558" s="147"/>
      <c r="AM558" s="151"/>
      <c r="AN558" s="147"/>
      <c r="AO558" s="147"/>
      <c r="AP558" s="147"/>
      <c r="AQ558" s="147"/>
      <c r="AR558" s="147"/>
      <c r="AS558" s="147"/>
      <c r="AT558" s="147"/>
      <c r="AU558" s="147"/>
      <c r="AV558" s="147"/>
      <c r="AW558" s="147"/>
      <c r="AX558" s="147"/>
      <c r="AY558" s="147"/>
      <c r="AZ558" s="147"/>
      <c r="BA558" s="147"/>
      <c r="BB558" s="147"/>
      <c r="BC558" s="147"/>
      <c r="BD558" s="147"/>
      <c r="BE558" s="147"/>
      <c r="BF558" s="147"/>
      <c r="BG558" s="147"/>
      <c r="BH558" s="147"/>
      <c r="BI558" s="147"/>
      <c r="BJ558" s="147"/>
      <c r="BK558" s="147"/>
      <c r="BL558" s="147"/>
      <c r="BM558" s="147"/>
      <c r="BN558" s="147"/>
      <c r="BO558" s="147"/>
      <c r="BP558" s="147"/>
      <c r="BQ558" s="147"/>
      <c r="BR558" s="147"/>
      <c r="BS558" s="147"/>
      <c r="BT558" s="147"/>
      <c r="BU558" s="147"/>
      <c r="BV558" s="147"/>
      <c r="BW558" s="147"/>
      <c r="BX558" s="147"/>
      <c r="BY558" s="147"/>
      <c r="BZ558" s="147"/>
      <c r="CA558" s="147"/>
      <c r="CB558" s="147"/>
      <c r="CC558" s="147"/>
      <c r="CD558" s="147"/>
      <c r="CE558" s="147"/>
      <c r="CF558" s="147"/>
      <c r="CG558" s="147"/>
      <c r="CH558" s="147"/>
      <c r="CI558" s="147"/>
      <c r="CJ558" s="147"/>
      <c r="CK558" s="147"/>
    </row>
    <row r="559" spans="1:89">
      <c r="A559" s="157"/>
      <c r="F559" s="3"/>
      <c r="G559" s="3"/>
      <c r="L559" s="157"/>
      <c r="M559" s="157"/>
      <c r="O559" s="147"/>
      <c r="P559" s="147"/>
      <c r="Q559" s="147"/>
      <c r="R559" s="147"/>
      <c r="S559" s="147"/>
      <c r="T559" s="147"/>
      <c r="U559" s="147"/>
      <c r="V559" s="147"/>
      <c r="W559" s="147"/>
      <c r="X559" s="147"/>
      <c r="Y559" s="147"/>
      <c r="Z559" s="147"/>
      <c r="AA559" s="147"/>
      <c r="AB559" s="147"/>
      <c r="AC559" s="147"/>
      <c r="AD559" s="147"/>
      <c r="AE559" s="147"/>
      <c r="AF559" s="147"/>
      <c r="AG559" s="147"/>
      <c r="AH559" s="147"/>
      <c r="AI559" s="147"/>
      <c r="AJ559" s="147"/>
      <c r="AK559" s="147"/>
      <c r="AL559" s="147"/>
      <c r="AM559" s="151"/>
      <c r="AN559" s="147"/>
      <c r="AO559" s="147"/>
      <c r="AP559" s="147"/>
      <c r="AQ559" s="147"/>
      <c r="AR559" s="147"/>
      <c r="AS559" s="147"/>
      <c r="AT559" s="147"/>
      <c r="AU559" s="147"/>
      <c r="AV559" s="147"/>
      <c r="AW559" s="147"/>
      <c r="AX559" s="147"/>
      <c r="AY559" s="147"/>
      <c r="AZ559" s="147"/>
      <c r="BA559" s="147"/>
      <c r="BB559" s="147"/>
      <c r="BC559" s="147"/>
      <c r="BD559" s="147"/>
      <c r="BE559" s="147"/>
      <c r="BF559" s="147"/>
      <c r="BG559" s="147"/>
      <c r="BH559" s="147"/>
      <c r="BI559" s="147"/>
      <c r="BJ559" s="147"/>
      <c r="BK559" s="147"/>
      <c r="BL559" s="147"/>
      <c r="BM559" s="147"/>
      <c r="BN559" s="147"/>
      <c r="BO559" s="147"/>
      <c r="BP559" s="147"/>
      <c r="BQ559" s="147"/>
      <c r="BR559" s="147"/>
      <c r="BS559" s="147"/>
      <c r="BT559" s="147"/>
      <c r="BU559" s="147"/>
      <c r="BV559" s="147"/>
      <c r="BW559" s="147"/>
      <c r="BX559" s="147"/>
      <c r="BY559" s="147"/>
      <c r="BZ559" s="147"/>
      <c r="CA559" s="147"/>
      <c r="CB559" s="147"/>
      <c r="CC559" s="147"/>
      <c r="CD559" s="147"/>
      <c r="CE559" s="147"/>
      <c r="CF559" s="147"/>
      <c r="CG559" s="147"/>
      <c r="CH559" s="147"/>
      <c r="CI559" s="147"/>
      <c r="CJ559" s="147"/>
      <c r="CK559" s="147"/>
    </row>
    <row r="560" spans="1:89">
      <c r="A560" s="157"/>
      <c r="F560" s="3"/>
      <c r="G560" s="3"/>
      <c r="L560" s="157"/>
      <c r="M560" s="157"/>
      <c r="O560" s="147"/>
      <c r="P560" s="147"/>
      <c r="Q560" s="147"/>
      <c r="R560" s="147"/>
      <c r="S560" s="147"/>
      <c r="T560" s="147"/>
      <c r="U560" s="147"/>
      <c r="V560" s="147"/>
      <c r="W560" s="147"/>
      <c r="X560" s="147"/>
      <c r="Y560" s="147"/>
      <c r="Z560" s="147"/>
      <c r="AA560" s="147"/>
      <c r="AB560" s="147"/>
      <c r="AC560" s="147"/>
      <c r="AD560" s="147"/>
      <c r="AE560" s="147"/>
      <c r="AF560" s="147"/>
      <c r="AG560" s="147"/>
      <c r="AH560" s="147"/>
      <c r="AI560" s="147"/>
      <c r="AJ560" s="147"/>
      <c r="AK560" s="147"/>
      <c r="AL560" s="147"/>
      <c r="AM560" s="151"/>
      <c r="AN560" s="147"/>
      <c r="AO560" s="147"/>
      <c r="AP560" s="147"/>
      <c r="AQ560" s="147"/>
      <c r="AR560" s="147"/>
      <c r="AS560" s="147"/>
      <c r="AT560" s="147"/>
      <c r="AU560" s="147"/>
      <c r="AV560" s="147"/>
      <c r="AW560" s="147"/>
      <c r="AX560" s="147"/>
      <c r="AY560" s="147"/>
      <c r="AZ560" s="147"/>
      <c r="BA560" s="147"/>
      <c r="BB560" s="147"/>
      <c r="BC560" s="147"/>
      <c r="BD560" s="147"/>
      <c r="BE560" s="147"/>
      <c r="BF560" s="147"/>
      <c r="BG560" s="147"/>
      <c r="BH560" s="147"/>
      <c r="BI560" s="147"/>
      <c r="BJ560" s="147"/>
      <c r="BK560" s="147"/>
      <c r="BL560" s="147"/>
      <c r="BM560" s="147"/>
      <c r="BN560" s="147"/>
      <c r="BO560" s="147"/>
      <c r="BP560" s="147"/>
      <c r="BQ560" s="147"/>
      <c r="BR560" s="147"/>
      <c r="BS560" s="147"/>
      <c r="BT560" s="147"/>
      <c r="BU560" s="147"/>
      <c r="BV560" s="147"/>
      <c r="BW560" s="147"/>
      <c r="BX560" s="147"/>
      <c r="BY560" s="147"/>
      <c r="BZ560" s="147"/>
      <c r="CA560" s="147"/>
      <c r="CB560" s="147"/>
      <c r="CC560" s="147"/>
      <c r="CD560" s="147"/>
      <c r="CE560" s="147"/>
      <c r="CF560" s="147"/>
      <c r="CG560" s="147"/>
      <c r="CH560" s="147"/>
      <c r="CI560" s="147"/>
      <c r="CJ560" s="147"/>
      <c r="CK560" s="147"/>
    </row>
    <row r="561" spans="1:89">
      <c r="A561" s="157"/>
      <c r="F561" s="3"/>
      <c r="G561" s="3"/>
      <c r="L561" s="157"/>
      <c r="M561" s="157"/>
      <c r="O561" s="147"/>
      <c r="P561" s="147"/>
      <c r="Q561" s="147"/>
      <c r="R561" s="147"/>
      <c r="S561" s="147"/>
      <c r="T561" s="147"/>
      <c r="U561" s="147"/>
      <c r="V561" s="147"/>
      <c r="W561" s="147"/>
      <c r="X561" s="147"/>
      <c r="Y561" s="147"/>
      <c r="Z561" s="147"/>
      <c r="AA561" s="147"/>
      <c r="AB561" s="147"/>
      <c r="AC561" s="147"/>
      <c r="AD561" s="147"/>
      <c r="AE561" s="147"/>
      <c r="AF561" s="147"/>
      <c r="AG561" s="147"/>
      <c r="AH561" s="147"/>
      <c r="AI561" s="147"/>
      <c r="AJ561" s="147"/>
      <c r="AK561" s="147"/>
      <c r="AL561" s="147"/>
      <c r="AM561" s="151"/>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c r="BI561" s="147"/>
      <c r="BJ561" s="147"/>
      <c r="BK561" s="147"/>
      <c r="BL561" s="147"/>
      <c r="BM561" s="147"/>
      <c r="BN561" s="147"/>
      <c r="BO561" s="147"/>
      <c r="BP561" s="147"/>
      <c r="BQ561" s="147"/>
      <c r="BR561" s="147"/>
      <c r="BS561" s="147"/>
      <c r="BT561" s="147"/>
      <c r="BU561" s="147"/>
      <c r="BV561" s="147"/>
      <c r="BW561" s="147"/>
      <c r="BX561" s="147"/>
      <c r="BY561" s="147"/>
      <c r="BZ561" s="147"/>
      <c r="CA561" s="147"/>
      <c r="CB561" s="147"/>
      <c r="CC561" s="147"/>
      <c r="CD561" s="147"/>
      <c r="CE561" s="147"/>
      <c r="CF561" s="147"/>
      <c r="CG561" s="147"/>
      <c r="CH561" s="147"/>
      <c r="CI561" s="147"/>
      <c r="CJ561" s="147"/>
      <c r="CK561" s="147"/>
    </row>
    <row r="562" spans="1:89">
      <c r="A562" s="157"/>
      <c r="F562" s="3"/>
      <c r="G562" s="3"/>
      <c r="L562" s="157"/>
      <c r="M562" s="157"/>
      <c r="O562" s="147"/>
      <c r="P562" s="147"/>
      <c r="Q562" s="147"/>
      <c r="R562" s="147"/>
      <c r="S562" s="147"/>
      <c r="T562" s="147"/>
      <c r="U562" s="147"/>
      <c r="V562" s="147"/>
      <c r="W562" s="147"/>
      <c r="X562" s="147"/>
      <c r="Y562" s="147"/>
      <c r="Z562" s="147"/>
      <c r="AA562" s="147"/>
      <c r="AB562" s="147"/>
      <c r="AC562" s="147"/>
      <c r="AD562" s="147"/>
      <c r="AE562" s="147"/>
      <c r="AF562" s="147"/>
      <c r="AG562" s="147"/>
      <c r="AH562" s="147"/>
      <c r="AI562" s="147"/>
      <c r="AJ562" s="147"/>
      <c r="AK562" s="147"/>
      <c r="AL562" s="147"/>
      <c r="AM562" s="151"/>
      <c r="AN562" s="147"/>
      <c r="AO562" s="147"/>
      <c r="AP562" s="147"/>
      <c r="AQ562" s="147"/>
      <c r="AR562" s="147"/>
      <c r="AS562" s="147"/>
      <c r="AT562" s="147"/>
      <c r="AU562" s="147"/>
      <c r="AV562" s="147"/>
      <c r="AW562" s="147"/>
      <c r="AX562" s="147"/>
      <c r="AY562" s="147"/>
      <c r="AZ562" s="147"/>
      <c r="BA562" s="147"/>
      <c r="BB562" s="147"/>
      <c r="BC562" s="147"/>
      <c r="BD562" s="147"/>
      <c r="BE562" s="147"/>
      <c r="BF562" s="147"/>
      <c r="BG562" s="147"/>
      <c r="BH562" s="147"/>
      <c r="BI562" s="147"/>
      <c r="BJ562" s="147"/>
      <c r="BK562" s="147"/>
      <c r="BL562" s="147"/>
      <c r="BM562" s="147"/>
      <c r="BN562" s="147"/>
      <c r="BO562" s="147"/>
      <c r="BP562" s="147"/>
      <c r="BQ562" s="147"/>
      <c r="BR562" s="147"/>
      <c r="BS562" s="147"/>
      <c r="BT562" s="147"/>
      <c r="BU562" s="147"/>
      <c r="BV562" s="147"/>
      <c r="BW562" s="147"/>
      <c r="BX562" s="147"/>
      <c r="BY562" s="147"/>
      <c r="BZ562" s="147"/>
      <c r="CA562" s="147"/>
      <c r="CB562" s="147"/>
      <c r="CC562" s="147"/>
      <c r="CD562" s="147"/>
      <c r="CE562" s="147"/>
      <c r="CF562" s="147"/>
      <c r="CG562" s="147"/>
      <c r="CH562" s="147"/>
      <c r="CI562" s="147"/>
      <c r="CJ562" s="147"/>
      <c r="CK562" s="147"/>
    </row>
    <row r="563" spans="1:89">
      <c r="A563" s="157"/>
      <c r="F563" s="3"/>
      <c r="G563" s="3"/>
      <c r="L563" s="157"/>
      <c r="M563" s="157"/>
      <c r="O563" s="147"/>
      <c r="P563" s="147"/>
      <c r="Q563" s="147"/>
      <c r="R563" s="147"/>
      <c r="S563" s="147"/>
      <c r="T563" s="147"/>
      <c r="U563" s="147"/>
      <c r="V563" s="147"/>
      <c r="W563" s="147"/>
      <c r="X563" s="147"/>
      <c r="Y563" s="147"/>
      <c r="Z563" s="147"/>
      <c r="AA563" s="147"/>
      <c r="AB563" s="147"/>
      <c r="AC563" s="147"/>
      <c r="AD563" s="147"/>
      <c r="AE563" s="147"/>
      <c r="AF563" s="147"/>
      <c r="AG563" s="147"/>
      <c r="AH563" s="147"/>
      <c r="AI563" s="147"/>
      <c r="AJ563" s="147"/>
      <c r="AK563" s="147"/>
      <c r="AL563" s="147"/>
      <c r="AM563" s="151"/>
      <c r="AN563" s="147"/>
      <c r="AO563" s="147"/>
      <c r="AP563" s="147"/>
      <c r="AQ563" s="147"/>
      <c r="AR563" s="147"/>
      <c r="AS563" s="147"/>
      <c r="AT563" s="147"/>
      <c r="AU563" s="147"/>
      <c r="AV563" s="147"/>
      <c r="AW563" s="147"/>
      <c r="AX563" s="147"/>
      <c r="AY563" s="147"/>
      <c r="AZ563" s="147"/>
      <c r="BA563" s="147"/>
      <c r="BB563" s="147"/>
      <c r="BC563" s="147"/>
      <c r="BD563" s="147"/>
      <c r="BE563" s="147"/>
      <c r="BF563" s="147"/>
      <c r="BG563" s="147"/>
      <c r="BH563" s="147"/>
      <c r="BI563" s="147"/>
      <c r="BJ563" s="147"/>
      <c r="BK563" s="147"/>
      <c r="BL563" s="147"/>
      <c r="BM563" s="147"/>
      <c r="BN563" s="147"/>
      <c r="BO563" s="147"/>
      <c r="BP563" s="147"/>
      <c r="BQ563" s="147"/>
      <c r="BR563" s="147"/>
      <c r="BS563" s="147"/>
      <c r="BT563" s="147"/>
      <c r="BU563" s="147"/>
      <c r="BV563" s="147"/>
      <c r="BW563" s="147"/>
      <c r="BX563" s="147"/>
      <c r="BY563" s="147"/>
      <c r="BZ563" s="147"/>
      <c r="CA563" s="147"/>
      <c r="CB563" s="147"/>
      <c r="CC563" s="147"/>
      <c r="CD563" s="147"/>
      <c r="CE563" s="147"/>
      <c r="CF563" s="147"/>
      <c r="CG563" s="147"/>
      <c r="CH563" s="147"/>
      <c r="CI563" s="147"/>
      <c r="CJ563" s="147"/>
      <c r="CK563" s="147"/>
    </row>
    <row r="564" spans="1:89">
      <c r="A564" s="157"/>
      <c r="F564" s="3"/>
      <c r="G564" s="3"/>
      <c r="L564" s="157"/>
      <c r="M564" s="157"/>
      <c r="O564" s="147"/>
      <c r="P564" s="147"/>
      <c r="Q564" s="147"/>
      <c r="R564" s="147"/>
      <c r="S564" s="147"/>
      <c r="T564" s="147"/>
      <c r="U564" s="147"/>
      <c r="V564" s="147"/>
      <c r="W564" s="147"/>
      <c r="X564" s="147"/>
      <c r="Y564" s="147"/>
      <c r="Z564" s="147"/>
      <c r="AA564" s="147"/>
      <c r="AB564" s="147"/>
      <c r="AC564" s="147"/>
      <c r="AD564" s="147"/>
      <c r="AE564" s="147"/>
      <c r="AF564" s="147"/>
      <c r="AG564" s="147"/>
      <c r="AH564" s="147"/>
      <c r="AI564" s="147"/>
      <c r="AJ564" s="147"/>
      <c r="AK564" s="147"/>
      <c r="AL564" s="147"/>
      <c r="AM564" s="151"/>
      <c r="AN564" s="147"/>
      <c r="AO564" s="147"/>
      <c r="AP564" s="147"/>
      <c r="AQ564" s="147"/>
      <c r="AR564" s="147"/>
      <c r="AS564" s="147"/>
      <c r="AT564" s="147"/>
      <c r="AU564" s="147"/>
      <c r="AV564" s="147"/>
      <c r="AW564" s="147"/>
      <c r="AX564" s="147"/>
      <c r="AY564" s="147"/>
      <c r="AZ564" s="147"/>
      <c r="BA564" s="147"/>
      <c r="BB564" s="147"/>
      <c r="BC564" s="147"/>
      <c r="BD564" s="147"/>
      <c r="BE564" s="147"/>
      <c r="BF564" s="147"/>
      <c r="BG564" s="147"/>
      <c r="BH564" s="147"/>
      <c r="BI564" s="147"/>
      <c r="BJ564" s="147"/>
      <c r="BK564" s="147"/>
      <c r="BL564" s="147"/>
      <c r="BM564" s="147"/>
      <c r="BN564" s="147"/>
      <c r="BO564" s="147"/>
      <c r="BP564" s="147"/>
      <c r="BQ564" s="147"/>
      <c r="BR564" s="147"/>
      <c r="BS564" s="147"/>
      <c r="BT564" s="147"/>
      <c r="BU564" s="147"/>
      <c r="BV564" s="147"/>
      <c r="BW564" s="147"/>
      <c r="BX564" s="147"/>
      <c r="BY564" s="147"/>
      <c r="BZ564" s="147"/>
      <c r="CA564" s="147"/>
      <c r="CB564" s="147"/>
      <c r="CC564" s="147"/>
      <c r="CD564" s="147"/>
      <c r="CE564" s="147"/>
      <c r="CF564" s="147"/>
      <c r="CG564" s="147"/>
      <c r="CH564" s="147"/>
      <c r="CI564" s="147"/>
      <c r="CJ564" s="147"/>
      <c r="CK564" s="147"/>
    </row>
    <row r="565" spans="1:89">
      <c r="A565" s="157"/>
      <c r="F565" s="3"/>
      <c r="G565" s="3"/>
      <c r="L565" s="157"/>
      <c r="M565" s="157"/>
      <c r="O565" s="147"/>
      <c r="P565" s="147"/>
      <c r="Q565" s="147"/>
      <c r="R565" s="147"/>
      <c r="S565" s="147"/>
      <c r="T565" s="147"/>
      <c r="U565" s="147"/>
      <c r="V565" s="147"/>
      <c r="W565" s="147"/>
      <c r="X565" s="147"/>
      <c r="Y565" s="147"/>
      <c r="Z565" s="147"/>
      <c r="AA565" s="147"/>
      <c r="AB565" s="147"/>
      <c r="AC565" s="147"/>
      <c r="AD565" s="147"/>
      <c r="AE565" s="147"/>
      <c r="AF565" s="147"/>
      <c r="AG565" s="147"/>
      <c r="AH565" s="147"/>
      <c r="AI565" s="147"/>
      <c r="AJ565" s="147"/>
      <c r="AK565" s="147"/>
      <c r="AL565" s="147"/>
      <c r="AM565" s="151"/>
      <c r="AN565" s="147"/>
      <c r="AO565" s="147"/>
      <c r="AP565" s="147"/>
      <c r="AQ565" s="147"/>
      <c r="AR565" s="147"/>
      <c r="AS565" s="147"/>
      <c r="AT565" s="147"/>
      <c r="AU565" s="147"/>
      <c r="AV565" s="147"/>
      <c r="AW565" s="147"/>
      <c r="AX565" s="147"/>
      <c r="AY565" s="147"/>
      <c r="AZ565" s="147"/>
      <c r="BA565" s="147"/>
      <c r="BB565" s="147"/>
      <c r="BC565" s="147"/>
      <c r="BD565" s="147"/>
      <c r="BE565" s="147"/>
      <c r="BF565" s="147"/>
      <c r="BG565" s="147"/>
      <c r="BH565" s="147"/>
      <c r="BI565" s="147"/>
      <c r="BJ565" s="147"/>
      <c r="BK565" s="147"/>
      <c r="BL565" s="147"/>
      <c r="BM565" s="147"/>
      <c r="BN565" s="147"/>
      <c r="BO565" s="147"/>
      <c r="BP565" s="147"/>
      <c r="BQ565" s="147"/>
      <c r="BR565" s="147"/>
      <c r="BS565" s="147"/>
      <c r="BT565" s="147"/>
      <c r="BU565" s="147"/>
      <c r="BV565" s="147"/>
      <c r="BW565" s="147"/>
      <c r="BX565" s="147"/>
      <c r="BY565" s="147"/>
      <c r="BZ565" s="147"/>
      <c r="CA565" s="147"/>
      <c r="CB565" s="147"/>
      <c r="CC565" s="147"/>
      <c r="CD565" s="147"/>
      <c r="CE565" s="147"/>
      <c r="CF565" s="147"/>
      <c r="CG565" s="147"/>
      <c r="CH565" s="147"/>
      <c r="CI565" s="147"/>
      <c r="CJ565" s="147"/>
      <c r="CK565" s="147"/>
    </row>
    <row r="566" spans="1:89">
      <c r="A566" s="157"/>
      <c r="F566" s="3"/>
      <c r="G566" s="3"/>
      <c r="L566" s="157"/>
      <c r="M566" s="157"/>
      <c r="O566" s="147"/>
      <c r="P566" s="147"/>
      <c r="Q566" s="147"/>
      <c r="R566" s="147"/>
      <c r="S566" s="147"/>
      <c r="T566" s="147"/>
      <c r="U566" s="147"/>
      <c r="V566" s="147"/>
      <c r="W566" s="147"/>
      <c r="X566" s="147"/>
      <c r="Y566" s="147"/>
      <c r="Z566" s="147"/>
      <c r="AA566" s="147"/>
      <c r="AB566" s="147"/>
      <c r="AC566" s="147"/>
      <c r="AD566" s="147"/>
      <c r="AE566" s="147"/>
      <c r="AF566" s="147"/>
      <c r="AG566" s="147"/>
      <c r="AH566" s="147"/>
      <c r="AI566" s="147"/>
      <c r="AJ566" s="147"/>
      <c r="AK566" s="147"/>
      <c r="AL566" s="147"/>
      <c r="AM566" s="151"/>
      <c r="AN566" s="147"/>
      <c r="AO566" s="147"/>
      <c r="AP566" s="147"/>
      <c r="AQ566" s="147"/>
      <c r="AR566" s="147"/>
      <c r="AS566" s="147"/>
      <c r="AT566" s="147"/>
      <c r="AU566" s="147"/>
      <c r="AV566" s="147"/>
      <c r="AW566" s="147"/>
      <c r="AX566" s="147"/>
      <c r="AY566" s="147"/>
      <c r="AZ566" s="147"/>
      <c r="BA566" s="147"/>
      <c r="BB566" s="147"/>
      <c r="BC566" s="147"/>
      <c r="BD566" s="147"/>
      <c r="BE566" s="147"/>
      <c r="BF566" s="147"/>
      <c r="BG566" s="147"/>
      <c r="BH566" s="147"/>
      <c r="BI566" s="147"/>
      <c r="BJ566" s="147"/>
      <c r="BK566" s="147"/>
      <c r="BL566" s="147"/>
      <c r="BM566" s="147"/>
      <c r="BN566" s="147"/>
      <c r="BO566" s="147"/>
      <c r="BP566" s="147"/>
      <c r="BQ566" s="147"/>
      <c r="BR566" s="147"/>
      <c r="BS566" s="147"/>
      <c r="BT566" s="147"/>
      <c r="BU566" s="147"/>
      <c r="BV566" s="147"/>
      <c r="BW566" s="147"/>
      <c r="BX566" s="147"/>
      <c r="BY566" s="147"/>
      <c r="BZ566" s="147"/>
      <c r="CA566" s="147"/>
      <c r="CB566" s="147"/>
      <c r="CC566" s="147"/>
      <c r="CD566" s="147"/>
      <c r="CE566" s="147"/>
      <c r="CF566" s="147"/>
      <c r="CG566" s="147"/>
      <c r="CH566" s="147"/>
      <c r="CI566" s="147"/>
      <c r="CJ566" s="147"/>
      <c r="CK566" s="147"/>
    </row>
    <row r="567" spans="1:89">
      <c r="A567" s="157"/>
      <c r="F567" s="3"/>
      <c r="G567" s="3"/>
      <c r="L567" s="157"/>
      <c r="M567" s="157"/>
      <c r="O567" s="147"/>
      <c r="P567" s="147"/>
      <c r="Q567" s="147"/>
      <c r="R567" s="147"/>
      <c r="S567" s="147"/>
      <c r="T567" s="147"/>
      <c r="U567" s="147"/>
      <c r="V567" s="147"/>
      <c r="W567" s="147"/>
      <c r="X567" s="147"/>
      <c r="Y567" s="147"/>
      <c r="Z567" s="147"/>
      <c r="AA567" s="147"/>
      <c r="AB567" s="147"/>
      <c r="AC567" s="147"/>
      <c r="AD567" s="147"/>
      <c r="AE567" s="147"/>
      <c r="AF567" s="147"/>
      <c r="AG567" s="147"/>
      <c r="AH567" s="147"/>
      <c r="AI567" s="147"/>
      <c r="AJ567" s="147"/>
      <c r="AK567" s="147"/>
      <c r="AL567" s="147"/>
      <c r="AM567" s="151"/>
      <c r="AN567" s="147"/>
      <c r="AO567" s="147"/>
      <c r="AP567" s="147"/>
      <c r="AQ567" s="147"/>
      <c r="AR567" s="147"/>
      <c r="AS567" s="147"/>
      <c r="AT567" s="147"/>
      <c r="AU567" s="147"/>
      <c r="AV567" s="147"/>
      <c r="AW567" s="147"/>
      <c r="AX567" s="147"/>
      <c r="AY567" s="147"/>
      <c r="AZ567" s="147"/>
      <c r="BA567" s="147"/>
      <c r="BB567" s="147"/>
      <c r="BC567" s="147"/>
      <c r="BD567" s="147"/>
      <c r="BE567" s="147"/>
      <c r="BF567" s="147"/>
      <c r="BG567" s="147"/>
      <c r="BH567" s="147"/>
      <c r="BI567" s="147"/>
      <c r="BJ567" s="147"/>
      <c r="BK567" s="147"/>
      <c r="BL567" s="147"/>
      <c r="BM567" s="147"/>
      <c r="BN567" s="147"/>
      <c r="BO567" s="147"/>
      <c r="BP567" s="147"/>
      <c r="BQ567" s="147"/>
      <c r="BR567" s="147"/>
      <c r="BS567" s="147"/>
      <c r="BT567" s="147"/>
      <c r="BU567" s="147"/>
      <c r="BV567" s="147"/>
      <c r="BW567" s="147"/>
      <c r="BX567" s="147"/>
      <c r="BY567" s="147"/>
      <c r="BZ567" s="147"/>
      <c r="CA567" s="147"/>
      <c r="CB567" s="147"/>
      <c r="CC567" s="147"/>
      <c r="CD567" s="147"/>
      <c r="CE567" s="147"/>
      <c r="CF567" s="147"/>
      <c r="CG567" s="147"/>
      <c r="CH567" s="147"/>
      <c r="CI567" s="147"/>
      <c r="CJ567" s="147"/>
      <c r="CK567" s="147"/>
    </row>
    <row r="568" spans="1:89">
      <c r="A568" s="157"/>
      <c r="F568" s="3"/>
      <c r="G568" s="3"/>
      <c r="L568" s="157"/>
      <c r="M568" s="157"/>
      <c r="O568" s="147"/>
      <c r="P568" s="147"/>
      <c r="Q568" s="147"/>
      <c r="R568" s="147"/>
      <c r="S568" s="147"/>
      <c r="T568" s="147"/>
      <c r="U568" s="147"/>
      <c r="V568" s="147"/>
      <c r="W568" s="147"/>
      <c r="X568" s="147"/>
      <c r="Y568" s="147"/>
      <c r="Z568" s="147"/>
      <c r="AA568" s="147"/>
      <c r="AB568" s="147"/>
      <c r="AC568" s="147"/>
      <c r="AD568" s="147"/>
      <c r="AE568" s="147"/>
      <c r="AF568" s="147"/>
      <c r="AG568" s="147"/>
      <c r="AH568" s="147"/>
      <c r="AI568" s="147"/>
      <c r="AJ568" s="147"/>
      <c r="AK568" s="147"/>
      <c r="AL568" s="147"/>
      <c r="AM568" s="151"/>
      <c r="AN568" s="147"/>
      <c r="AO568" s="147"/>
      <c r="AP568" s="147"/>
      <c r="AQ568" s="147"/>
      <c r="AR568" s="147"/>
      <c r="AS568" s="147"/>
      <c r="AT568" s="147"/>
      <c r="AU568" s="147"/>
      <c r="AV568" s="147"/>
      <c r="AW568" s="147"/>
      <c r="AX568" s="147"/>
      <c r="AY568" s="147"/>
      <c r="AZ568" s="147"/>
      <c r="BA568" s="147"/>
      <c r="BB568" s="147"/>
      <c r="BC568" s="147"/>
      <c r="BD568" s="147"/>
      <c r="BE568" s="147"/>
      <c r="BF568" s="147"/>
      <c r="BG568" s="147"/>
      <c r="BH568" s="147"/>
      <c r="BI568" s="147"/>
      <c r="BJ568" s="147"/>
      <c r="BK568" s="147"/>
      <c r="BL568" s="147"/>
      <c r="BM568" s="147"/>
      <c r="BN568" s="147"/>
      <c r="BO568" s="147"/>
      <c r="BP568" s="147"/>
      <c r="BQ568" s="147"/>
      <c r="BR568" s="147"/>
      <c r="BS568" s="147"/>
      <c r="BT568" s="147"/>
      <c r="BU568" s="147"/>
      <c r="BV568" s="147"/>
      <c r="BW568" s="147"/>
      <c r="BX568" s="147"/>
      <c r="BY568" s="147"/>
      <c r="BZ568" s="147"/>
      <c r="CA568" s="147"/>
      <c r="CB568" s="147"/>
      <c r="CC568" s="147"/>
      <c r="CD568" s="147"/>
      <c r="CE568" s="147"/>
      <c r="CF568" s="147"/>
      <c r="CG568" s="147"/>
      <c r="CH568" s="147"/>
      <c r="CI568" s="147"/>
      <c r="CJ568" s="147"/>
      <c r="CK568" s="147"/>
    </row>
    <row r="569" spans="1:89">
      <c r="A569" s="157"/>
      <c r="F569" s="3"/>
      <c r="G569" s="3"/>
      <c r="L569" s="157"/>
      <c r="M569" s="157"/>
      <c r="O569" s="147"/>
      <c r="P569" s="147"/>
      <c r="Q569" s="147"/>
      <c r="R569" s="147"/>
      <c r="S569" s="147"/>
      <c r="T569" s="147"/>
      <c r="U569" s="147"/>
      <c r="V569" s="147"/>
      <c r="W569" s="147"/>
      <c r="X569" s="147"/>
      <c r="Y569" s="147"/>
      <c r="Z569" s="147"/>
      <c r="AA569" s="147"/>
      <c r="AB569" s="147"/>
      <c r="AC569" s="147"/>
      <c r="AD569" s="147"/>
      <c r="AE569" s="147"/>
      <c r="AF569" s="147"/>
      <c r="AG569" s="147"/>
      <c r="AH569" s="147"/>
      <c r="AI569" s="147"/>
      <c r="AJ569" s="147"/>
      <c r="AK569" s="147"/>
      <c r="AL569" s="147"/>
      <c r="AM569" s="151"/>
      <c r="AN569" s="147"/>
      <c r="AO569" s="147"/>
      <c r="AP569" s="147"/>
      <c r="AQ569" s="147"/>
      <c r="AR569" s="147"/>
      <c r="AS569" s="147"/>
      <c r="AT569" s="147"/>
      <c r="AU569" s="147"/>
      <c r="AV569" s="147"/>
      <c r="AW569" s="147"/>
      <c r="AX569" s="147"/>
      <c r="AY569" s="147"/>
      <c r="AZ569" s="147"/>
      <c r="BA569" s="147"/>
      <c r="BB569" s="147"/>
      <c r="BC569" s="147"/>
      <c r="BD569" s="147"/>
      <c r="BE569" s="147"/>
      <c r="BF569" s="147"/>
      <c r="BG569" s="147"/>
      <c r="BH569" s="147"/>
      <c r="BI569" s="147"/>
      <c r="BJ569" s="147"/>
      <c r="BK569" s="147"/>
      <c r="BL569" s="147"/>
      <c r="BM569" s="147"/>
      <c r="BN569" s="147"/>
      <c r="BO569" s="147"/>
      <c r="BP569" s="147"/>
      <c r="BQ569" s="147"/>
      <c r="BR569" s="147"/>
      <c r="BS569" s="147"/>
      <c r="BT569" s="147"/>
      <c r="BU569" s="147"/>
      <c r="BV569" s="147"/>
      <c r="BW569" s="147"/>
      <c r="BX569" s="147"/>
      <c r="BY569" s="147"/>
      <c r="BZ569" s="147"/>
      <c r="CA569" s="147"/>
      <c r="CB569" s="147"/>
      <c r="CC569" s="147"/>
      <c r="CD569" s="147"/>
      <c r="CE569" s="147"/>
      <c r="CF569" s="147"/>
      <c r="CG569" s="147"/>
      <c r="CH569" s="147"/>
      <c r="CI569" s="147"/>
      <c r="CJ569" s="147"/>
      <c r="CK569" s="147"/>
    </row>
    <row r="570" spans="1:89">
      <c r="A570" s="157"/>
      <c r="F570" s="3"/>
      <c r="G570" s="3"/>
      <c r="L570" s="157"/>
      <c r="M570" s="157"/>
      <c r="O570" s="147"/>
      <c r="P570" s="147"/>
      <c r="Q570" s="147"/>
      <c r="R570" s="147"/>
      <c r="S570" s="147"/>
      <c r="T570" s="147"/>
      <c r="U570" s="147"/>
      <c r="V570" s="147"/>
      <c r="W570" s="147"/>
      <c r="X570" s="147"/>
      <c r="Y570" s="147"/>
      <c r="Z570" s="147"/>
      <c r="AA570" s="147"/>
      <c r="AB570" s="147"/>
      <c r="AC570" s="147"/>
      <c r="AD570" s="147"/>
      <c r="AE570" s="147"/>
      <c r="AF570" s="147"/>
      <c r="AG570" s="147"/>
      <c r="AH570" s="147"/>
      <c r="AI570" s="147"/>
      <c r="AJ570" s="147"/>
      <c r="AK570" s="147"/>
      <c r="AL570" s="147"/>
      <c r="AM570" s="151"/>
      <c r="AN570" s="147"/>
      <c r="AO570" s="147"/>
      <c r="AP570" s="147"/>
      <c r="AQ570" s="147"/>
      <c r="AR570" s="147"/>
      <c r="AS570" s="147"/>
      <c r="AT570" s="147"/>
      <c r="AU570" s="147"/>
      <c r="AV570" s="147"/>
      <c r="AW570" s="147"/>
      <c r="AX570" s="147"/>
      <c r="AY570" s="147"/>
      <c r="AZ570" s="147"/>
      <c r="BA570" s="147"/>
      <c r="BB570" s="147"/>
      <c r="BC570" s="147"/>
      <c r="BD570" s="147"/>
      <c r="BE570" s="147"/>
      <c r="BF570" s="147"/>
      <c r="BG570" s="147"/>
      <c r="BH570" s="147"/>
      <c r="BI570" s="147"/>
      <c r="BJ570" s="147"/>
      <c r="BK570" s="147"/>
      <c r="BL570" s="147"/>
      <c r="BM570" s="147"/>
      <c r="BN570" s="147"/>
      <c r="BO570" s="147"/>
      <c r="BP570" s="147"/>
      <c r="BQ570" s="147"/>
      <c r="BR570" s="147"/>
      <c r="BS570" s="147"/>
      <c r="BT570" s="147"/>
      <c r="BU570" s="147"/>
      <c r="BV570" s="147"/>
      <c r="BW570" s="147"/>
      <c r="BX570" s="147"/>
      <c r="BY570" s="147"/>
      <c r="BZ570" s="147"/>
      <c r="CA570" s="147"/>
      <c r="CB570" s="147"/>
      <c r="CC570" s="147"/>
      <c r="CD570" s="147"/>
      <c r="CE570" s="147"/>
      <c r="CF570" s="147"/>
      <c r="CG570" s="147"/>
      <c r="CH570" s="147"/>
      <c r="CI570" s="147"/>
      <c r="CJ570" s="147"/>
      <c r="CK570" s="147"/>
    </row>
    <row r="571" spans="1:89">
      <c r="A571" s="157"/>
      <c r="F571" s="3"/>
      <c r="G571" s="3"/>
      <c r="L571" s="157"/>
      <c r="M571" s="157"/>
      <c r="O571" s="147"/>
      <c r="P571" s="147"/>
      <c r="Q571" s="147"/>
      <c r="R571" s="147"/>
      <c r="S571" s="147"/>
      <c r="T571" s="147"/>
      <c r="U571" s="147"/>
      <c r="V571" s="147"/>
      <c r="W571" s="147"/>
      <c r="X571" s="147"/>
      <c r="Y571" s="147"/>
      <c r="Z571" s="147"/>
      <c r="AA571" s="147"/>
      <c r="AB571" s="147"/>
      <c r="AC571" s="147"/>
      <c r="AD571" s="147"/>
      <c r="AE571" s="147"/>
      <c r="AF571" s="147"/>
      <c r="AG571" s="147"/>
      <c r="AH571" s="147"/>
      <c r="AI571" s="147"/>
      <c r="AJ571" s="147"/>
      <c r="AK571" s="147"/>
      <c r="AL571" s="147"/>
      <c r="AM571" s="151"/>
      <c r="AN571" s="147"/>
      <c r="AO571" s="147"/>
      <c r="AP571" s="147"/>
      <c r="AQ571" s="147"/>
      <c r="AR571" s="147"/>
      <c r="AS571" s="147"/>
      <c r="AT571" s="147"/>
      <c r="AU571" s="147"/>
      <c r="AV571" s="147"/>
      <c r="AW571" s="147"/>
      <c r="AX571" s="147"/>
      <c r="AY571" s="147"/>
      <c r="AZ571" s="147"/>
      <c r="BA571" s="147"/>
      <c r="BB571" s="147"/>
      <c r="BC571" s="147"/>
      <c r="BD571" s="147"/>
      <c r="BE571" s="147"/>
      <c r="BF571" s="147"/>
      <c r="BG571" s="147"/>
      <c r="BH571" s="147"/>
      <c r="BI571" s="147"/>
      <c r="BJ571" s="147"/>
      <c r="BK571" s="147"/>
      <c r="BL571" s="147"/>
      <c r="BM571" s="147"/>
      <c r="BN571" s="147"/>
      <c r="BO571" s="147"/>
      <c r="BP571" s="147"/>
      <c r="BQ571" s="147"/>
      <c r="BR571" s="147"/>
      <c r="BS571" s="147"/>
      <c r="BT571" s="147"/>
      <c r="BU571" s="147"/>
      <c r="BV571" s="147"/>
      <c r="BW571" s="147"/>
      <c r="BX571" s="147"/>
      <c r="BY571" s="147"/>
      <c r="BZ571" s="147"/>
      <c r="CA571" s="147"/>
      <c r="CB571" s="147"/>
      <c r="CC571" s="147"/>
      <c r="CD571" s="147"/>
      <c r="CE571" s="147"/>
      <c r="CF571" s="147"/>
      <c r="CG571" s="147"/>
      <c r="CH571" s="147"/>
      <c r="CI571" s="147"/>
      <c r="CJ571" s="147"/>
      <c r="CK571" s="147"/>
    </row>
    <row r="572" spans="1:89">
      <c r="A572" s="157"/>
      <c r="F572" s="3"/>
      <c r="G572" s="3"/>
      <c r="L572" s="157"/>
      <c r="M572" s="157"/>
      <c r="O572" s="147"/>
      <c r="P572" s="147"/>
      <c r="Q572" s="147"/>
      <c r="R572" s="147"/>
      <c r="S572" s="147"/>
      <c r="T572" s="147"/>
      <c r="U572" s="147"/>
      <c r="V572" s="147"/>
      <c r="W572" s="147"/>
      <c r="X572" s="147"/>
      <c r="Y572" s="147"/>
      <c r="Z572" s="147"/>
      <c r="AA572" s="147"/>
      <c r="AB572" s="147"/>
      <c r="AC572" s="147"/>
      <c r="AD572" s="147"/>
      <c r="AE572" s="147"/>
      <c r="AF572" s="147"/>
      <c r="AG572" s="147"/>
      <c r="AH572" s="147"/>
      <c r="AI572" s="147"/>
      <c r="AJ572" s="147"/>
      <c r="AK572" s="147"/>
      <c r="AL572" s="147"/>
      <c r="AM572" s="151"/>
      <c r="AN572" s="147"/>
      <c r="AO572" s="147"/>
      <c r="AP572" s="147"/>
      <c r="AQ572" s="147"/>
      <c r="AR572" s="147"/>
      <c r="AS572" s="147"/>
      <c r="AT572" s="147"/>
      <c r="AU572" s="147"/>
      <c r="AV572" s="147"/>
      <c r="AW572" s="147"/>
      <c r="AX572" s="147"/>
      <c r="AY572" s="147"/>
      <c r="AZ572" s="147"/>
      <c r="BA572" s="147"/>
      <c r="BB572" s="147"/>
      <c r="BC572" s="147"/>
      <c r="BD572" s="147"/>
      <c r="BE572" s="147"/>
      <c r="BF572" s="147"/>
      <c r="BG572" s="147"/>
      <c r="BH572" s="147"/>
      <c r="BI572" s="147"/>
      <c r="BJ572" s="147"/>
      <c r="BK572" s="147"/>
      <c r="BL572" s="147"/>
      <c r="BM572" s="147"/>
      <c r="BN572" s="147"/>
      <c r="BO572" s="147"/>
      <c r="BP572" s="147"/>
      <c r="BQ572" s="147"/>
      <c r="BR572" s="147"/>
      <c r="BS572" s="147"/>
      <c r="BT572" s="147"/>
      <c r="BU572" s="147"/>
      <c r="BV572" s="147"/>
      <c r="BW572" s="147"/>
      <c r="BX572" s="147"/>
      <c r="BY572" s="147"/>
      <c r="BZ572" s="147"/>
      <c r="CA572" s="147"/>
      <c r="CB572" s="147"/>
      <c r="CC572" s="147"/>
      <c r="CD572" s="147"/>
      <c r="CE572" s="147"/>
      <c r="CF572" s="147"/>
      <c r="CG572" s="147"/>
      <c r="CH572" s="147"/>
      <c r="CI572" s="147"/>
      <c r="CJ572" s="147"/>
      <c r="CK572" s="147"/>
    </row>
    <row r="573" spans="1:89">
      <c r="A573" s="157"/>
      <c r="F573" s="3"/>
      <c r="G573" s="3"/>
      <c r="L573" s="157"/>
      <c r="M573" s="157"/>
      <c r="O573" s="147"/>
      <c r="P573" s="147"/>
      <c r="Q573" s="147"/>
      <c r="R573" s="147"/>
      <c r="S573" s="147"/>
      <c r="T573" s="147"/>
      <c r="U573" s="147"/>
      <c r="V573" s="147"/>
      <c r="W573" s="147"/>
      <c r="X573" s="147"/>
      <c r="Y573" s="147"/>
      <c r="Z573" s="147"/>
      <c r="AA573" s="147"/>
      <c r="AB573" s="147"/>
      <c r="AC573" s="147"/>
      <c r="AD573" s="147"/>
      <c r="AE573" s="147"/>
      <c r="AF573" s="147"/>
      <c r="AG573" s="147"/>
      <c r="AH573" s="147"/>
      <c r="AI573" s="147"/>
      <c r="AJ573" s="147"/>
      <c r="AK573" s="147"/>
      <c r="AL573" s="147"/>
      <c r="AM573" s="151"/>
      <c r="AN573" s="147"/>
      <c r="AO573" s="147"/>
      <c r="AP573" s="147"/>
      <c r="AQ573" s="147"/>
      <c r="AR573" s="147"/>
      <c r="AS573" s="147"/>
      <c r="AT573" s="147"/>
      <c r="AU573" s="147"/>
      <c r="AV573" s="147"/>
      <c r="AW573" s="147"/>
      <c r="AX573" s="147"/>
      <c r="AY573" s="147"/>
      <c r="AZ573" s="147"/>
      <c r="BA573" s="147"/>
      <c r="BB573" s="147"/>
      <c r="BC573" s="147"/>
      <c r="BD573" s="147"/>
      <c r="BE573" s="147"/>
      <c r="BF573" s="147"/>
      <c r="BG573" s="147"/>
      <c r="BH573" s="147"/>
      <c r="BI573" s="147"/>
      <c r="BJ573" s="147"/>
      <c r="BK573" s="147"/>
      <c r="BL573" s="147"/>
      <c r="BM573" s="147"/>
      <c r="BN573" s="147"/>
      <c r="BO573" s="147"/>
      <c r="BP573" s="147"/>
      <c r="BQ573" s="147"/>
      <c r="BR573" s="147"/>
      <c r="BS573" s="147"/>
      <c r="BT573" s="147"/>
      <c r="BU573" s="147"/>
      <c r="BV573" s="147"/>
      <c r="BW573" s="147"/>
      <c r="BX573" s="147"/>
      <c r="BY573" s="147"/>
      <c r="BZ573" s="147"/>
      <c r="CA573" s="147"/>
      <c r="CB573" s="147"/>
      <c r="CC573" s="147"/>
      <c r="CD573" s="147"/>
      <c r="CE573" s="147"/>
      <c r="CF573" s="147"/>
      <c r="CG573" s="147"/>
      <c r="CH573" s="147"/>
      <c r="CI573" s="147"/>
      <c r="CJ573" s="147"/>
      <c r="CK573" s="147"/>
    </row>
    <row r="574" spans="1:89">
      <c r="A574" s="157"/>
      <c r="F574" s="3"/>
      <c r="G574" s="3"/>
      <c r="L574" s="157"/>
      <c r="M574" s="157"/>
      <c r="O574" s="147"/>
      <c r="P574" s="147"/>
      <c r="Q574" s="147"/>
      <c r="R574" s="147"/>
      <c r="S574" s="147"/>
      <c r="T574" s="147"/>
      <c r="U574" s="147"/>
      <c r="V574" s="147"/>
      <c r="W574" s="147"/>
      <c r="X574" s="147"/>
      <c r="Y574" s="147"/>
      <c r="Z574" s="147"/>
      <c r="AA574" s="147"/>
      <c r="AB574" s="147"/>
      <c r="AC574" s="147"/>
      <c r="AD574" s="147"/>
      <c r="AE574" s="147"/>
      <c r="AF574" s="147"/>
      <c r="AG574" s="147"/>
      <c r="AH574" s="147"/>
      <c r="AI574" s="147"/>
      <c r="AJ574" s="147"/>
      <c r="AK574" s="147"/>
      <c r="AL574" s="147"/>
      <c r="AM574" s="151"/>
      <c r="AN574" s="147"/>
      <c r="AO574" s="147"/>
      <c r="AP574" s="147"/>
      <c r="AQ574" s="147"/>
      <c r="AR574" s="147"/>
      <c r="AS574" s="147"/>
      <c r="AT574" s="147"/>
      <c r="AU574" s="147"/>
      <c r="AV574" s="147"/>
      <c r="AW574" s="147"/>
      <c r="AX574" s="147"/>
      <c r="AY574" s="147"/>
      <c r="AZ574" s="147"/>
      <c r="BA574" s="147"/>
      <c r="BB574" s="147"/>
      <c r="BC574" s="147"/>
      <c r="BD574" s="147"/>
      <c r="BE574" s="147"/>
      <c r="BF574" s="147"/>
      <c r="BG574" s="147"/>
      <c r="BH574" s="147"/>
      <c r="BI574" s="147"/>
      <c r="BJ574" s="147"/>
      <c r="BK574" s="147"/>
      <c r="BL574" s="147"/>
      <c r="BM574" s="147"/>
      <c r="BN574" s="147"/>
      <c r="BO574" s="147"/>
      <c r="BP574" s="147"/>
      <c r="BQ574" s="147"/>
      <c r="BR574" s="147"/>
      <c r="BS574" s="147"/>
      <c r="BT574" s="147"/>
      <c r="BU574" s="147"/>
      <c r="BV574" s="147"/>
      <c r="BW574" s="147"/>
      <c r="BX574" s="147"/>
      <c r="BY574" s="147"/>
      <c r="BZ574" s="147"/>
      <c r="CA574" s="147"/>
      <c r="CB574" s="147"/>
      <c r="CC574" s="147"/>
      <c r="CD574" s="147"/>
      <c r="CE574" s="147"/>
      <c r="CF574" s="147"/>
      <c r="CG574" s="147"/>
      <c r="CH574" s="147"/>
      <c r="CI574" s="147"/>
      <c r="CJ574" s="147"/>
      <c r="CK574" s="147"/>
    </row>
    <row r="575" spans="1:89">
      <c r="A575" s="157"/>
      <c r="F575" s="3"/>
      <c r="G575" s="3"/>
      <c r="L575" s="157"/>
      <c r="M575" s="157"/>
      <c r="O575" s="147"/>
      <c r="P575" s="147"/>
      <c r="Q575" s="147"/>
      <c r="R575" s="147"/>
      <c r="S575" s="147"/>
      <c r="T575" s="147"/>
      <c r="U575" s="147"/>
      <c r="V575" s="147"/>
      <c r="W575" s="147"/>
      <c r="X575" s="147"/>
      <c r="Y575" s="147"/>
      <c r="Z575" s="147"/>
      <c r="AA575" s="147"/>
      <c r="AB575" s="147"/>
      <c r="AC575" s="147"/>
      <c r="AD575" s="147"/>
      <c r="AE575" s="147"/>
      <c r="AF575" s="147"/>
      <c r="AG575" s="147"/>
      <c r="AH575" s="147"/>
      <c r="AI575" s="147"/>
      <c r="AJ575" s="147"/>
      <c r="AK575" s="147"/>
      <c r="AL575" s="147"/>
      <c r="AM575" s="151"/>
      <c r="AN575" s="147"/>
      <c r="AO575" s="147"/>
      <c r="AP575" s="147"/>
      <c r="AQ575" s="147"/>
      <c r="AR575" s="147"/>
      <c r="AS575" s="147"/>
      <c r="AT575" s="147"/>
      <c r="AU575" s="147"/>
      <c r="AV575" s="147"/>
      <c r="AW575" s="147"/>
      <c r="AX575" s="147"/>
      <c r="AY575" s="147"/>
      <c r="AZ575" s="147"/>
      <c r="BA575" s="147"/>
      <c r="BB575" s="147"/>
      <c r="BC575" s="147"/>
      <c r="BD575" s="147"/>
      <c r="BE575" s="147"/>
      <c r="BF575" s="147"/>
      <c r="BG575" s="147"/>
      <c r="BH575" s="147"/>
      <c r="BI575" s="147"/>
      <c r="BJ575" s="147"/>
      <c r="BK575" s="147"/>
      <c r="BL575" s="147"/>
      <c r="BM575" s="147"/>
      <c r="BN575" s="147"/>
      <c r="BO575" s="147"/>
      <c r="BP575" s="147"/>
      <c r="BQ575" s="147"/>
      <c r="BR575" s="147"/>
      <c r="BS575" s="147"/>
      <c r="BT575" s="147"/>
      <c r="BU575" s="147"/>
      <c r="BV575" s="147"/>
      <c r="BW575" s="147"/>
      <c r="BX575" s="147"/>
      <c r="BY575" s="147"/>
      <c r="BZ575" s="147"/>
      <c r="CA575" s="147"/>
      <c r="CB575" s="147"/>
      <c r="CC575" s="147"/>
      <c r="CD575" s="147"/>
      <c r="CE575" s="147"/>
      <c r="CF575" s="147"/>
      <c r="CG575" s="147"/>
      <c r="CH575" s="147"/>
      <c r="CI575" s="147"/>
      <c r="CJ575" s="147"/>
      <c r="CK575" s="147"/>
    </row>
    <row r="576" spans="1:89">
      <c r="A576" s="157"/>
      <c r="F576" s="3"/>
      <c r="G576" s="3"/>
      <c r="L576" s="157"/>
      <c r="M576" s="157"/>
      <c r="O576" s="147"/>
      <c r="P576" s="147"/>
      <c r="Q576" s="147"/>
      <c r="R576" s="147"/>
      <c r="S576" s="147"/>
      <c r="T576" s="147"/>
      <c r="U576" s="147"/>
      <c r="V576" s="147"/>
      <c r="W576" s="147"/>
      <c r="X576" s="147"/>
      <c r="Y576" s="147"/>
      <c r="Z576" s="147"/>
      <c r="AA576" s="147"/>
      <c r="AB576" s="147"/>
      <c r="AC576" s="147"/>
      <c r="AD576" s="147"/>
      <c r="AE576" s="147"/>
      <c r="AF576" s="147"/>
      <c r="AG576" s="147"/>
      <c r="AH576" s="147"/>
      <c r="AI576" s="147"/>
      <c r="AJ576" s="147"/>
      <c r="AK576" s="147"/>
      <c r="AL576" s="147"/>
      <c r="AM576" s="151"/>
      <c r="AN576" s="147"/>
      <c r="AO576" s="147"/>
      <c r="AP576" s="147"/>
      <c r="AQ576" s="147"/>
      <c r="AR576" s="147"/>
      <c r="AS576" s="147"/>
      <c r="AT576" s="147"/>
      <c r="AU576" s="147"/>
      <c r="AV576" s="147"/>
      <c r="AW576" s="147"/>
      <c r="AX576" s="147"/>
      <c r="AY576" s="147"/>
      <c r="AZ576" s="147"/>
      <c r="BA576" s="147"/>
      <c r="BB576" s="147"/>
      <c r="BC576" s="147"/>
      <c r="BD576" s="147"/>
      <c r="BE576" s="147"/>
      <c r="BF576" s="147"/>
      <c r="BG576" s="147"/>
      <c r="BH576" s="147"/>
      <c r="BI576" s="147"/>
      <c r="BJ576" s="147"/>
      <c r="BK576" s="147"/>
      <c r="BL576" s="147"/>
      <c r="BM576" s="147"/>
      <c r="BN576" s="147"/>
      <c r="BO576" s="147"/>
      <c r="BP576" s="147"/>
      <c r="BQ576" s="147"/>
      <c r="BR576" s="147"/>
      <c r="BS576" s="147"/>
      <c r="BT576" s="147"/>
      <c r="BU576" s="147"/>
      <c r="BV576" s="147"/>
      <c r="BW576" s="147"/>
      <c r="BX576" s="147"/>
      <c r="BY576" s="147"/>
      <c r="BZ576" s="147"/>
      <c r="CA576" s="147"/>
      <c r="CB576" s="147"/>
      <c r="CC576" s="147"/>
      <c r="CD576" s="147"/>
      <c r="CE576" s="147"/>
      <c r="CF576" s="147"/>
      <c r="CG576" s="147"/>
      <c r="CH576" s="147"/>
      <c r="CI576" s="147"/>
      <c r="CJ576" s="147"/>
      <c r="CK576" s="147"/>
    </row>
    <row r="577" spans="1:89">
      <c r="A577" s="157"/>
      <c r="F577" s="3"/>
      <c r="G577" s="3"/>
      <c r="L577" s="157"/>
      <c r="M577" s="157"/>
      <c r="O577" s="147"/>
      <c r="P577" s="147"/>
      <c r="Q577" s="147"/>
      <c r="R577" s="147"/>
      <c r="S577" s="147"/>
      <c r="T577" s="147"/>
      <c r="U577" s="147"/>
      <c r="V577" s="147"/>
      <c r="W577" s="147"/>
      <c r="X577" s="147"/>
      <c r="Y577" s="147"/>
      <c r="Z577" s="147"/>
      <c r="AA577" s="147"/>
      <c r="AB577" s="147"/>
      <c r="AC577" s="147"/>
      <c r="AD577" s="147"/>
      <c r="AE577" s="147"/>
      <c r="AF577" s="147"/>
      <c r="AG577" s="147"/>
      <c r="AH577" s="147"/>
      <c r="AI577" s="147"/>
      <c r="AJ577" s="147"/>
      <c r="AK577" s="147"/>
      <c r="AL577" s="147"/>
      <c r="AM577" s="151"/>
      <c r="AN577" s="147"/>
      <c r="AO577" s="147"/>
      <c r="AP577" s="147"/>
      <c r="AQ577" s="147"/>
      <c r="AR577" s="147"/>
      <c r="AS577" s="147"/>
      <c r="AT577" s="147"/>
      <c r="AU577" s="147"/>
      <c r="AV577" s="147"/>
      <c r="AW577" s="147"/>
      <c r="AX577" s="147"/>
      <c r="AY577" s="147"/>
      <c r="AZ577" s="147"/>
      <c r="BA577" s="147"/>
      <c r="BB577" s="147"/>
      <c r="BC577" s="147"/>
      <c r="BD577" s="147"/>
      <c r="BE577" s="147"/>
      <c r="BF577" s="147"/>
      <c r="BG577" s="147"/>
      <c r="BH577" s="147"/>
      <c r="BI577" s="147"/>
      <c r="BJ577" s="147"/>
      <c r="BK577" s="147"/>
      <c r="BL577" s="147"/>
      <c r="BM577" s="147"/>
      <c r="BN577" s="147"/>
      <c r="BO577" s="147"/>
      <c r="BP577" s="147"/>
      <c r="BQ577" s="147"/>
      <c r="BR577" s="147"/>
      <c r="BS577" s="147"/>
      <c r="BT577" s="147"/>
      <c r="BU577" s="147"/>
      <c r="BV577" s="147"/>
      <c r="BW577" s="147"/>
      <c r="BX577" s="147"/>
      <c r="BY577" s="147"/>
      <c r="BZ577" s="147"/>
      <c r="CA577" s="147"/>
      <c r="CB577" s="147"/>
      <c r="CC577" s="147"/>
      <c r="CD577" s="147"/>
      <c r="CE577" s="147"/>
      <c r="CF577" s="147"/>
      <c r="CG577" s="147"/>
      <c r="CH577" s="147"/>
      <c r="CI577" s="147"/>
      <c r="CJ577" s="147"/>
      <c r="CK577" s="147"/>
    </row>
    <row r="578" spans="1:89">
      <c r="A578" s="157"/>
      <c r="F578" s="3"/>
      <c r="G578" s="3"/>
      <c r="L578" s="157"/>
      <c r="M578" s="157"/>
      <c r="O578" s="147"/>
      <c r="P578" s="147"/>
      <c r="Q578" s="147"/>
      <c r="R578" s="147"/>
      <c r="S578" s="147"/>
      <c r="T578" s="147"/>
      <c r="U578" s="147"/>
      <c r="V578" s="147"/>
      <c r="W578" s="147"/>
      <c r="X578" s="147"/>
      <c r="Y578" s="147"/>
      <c r="Z578" s="147"/>
      <c r="AA578" s="147"/>
      <c r="AB578" s="147"/>
      <c r="AC578" s="147"/>
      <c r="AD578" s="147"/>
      <c r="AE578" s="147"/>
      <c r="AF578" s="147"/>
      <c r="AG578" s="147"/>
      <c r="AH578" s="147"/>
      <c r="AI578" s="147"/>
      <c r="AJ578" s="147"/>
      <c r="AK578" s="147"/>
      <c r="AL578" s="147"/>
      <c r="AM578" s="151"/>
      <c r="AN578" s="147"/>
      <c r="AO578" s="147"/>
      <c r="AP578" s="147"/>
      <c r="AQ578" s="147"/>
      <c r="AR578" s="147"/>
      <c r="AS578" s="147"/>
      <c r="AT578" s="147"/>
      <c r="AU578" s="147"/>
      <c r="AV578" s="147"/>
      <c r="AW578" s="147"/>
      <c r="AX578" s="147"/>
      <c r="AY578" s="147"/>
      <c r="AZ578" s="147"/>
      <c r="BA578" s="147"/>
      <c r="BB578" s="147"/>
      <c r="BC578" s="147"/>
      <c r="BD578" s="147"/>
      <c r="BE578" s="147"/>
      <c r="BF578" s="147"/>
      <c r="BG578" s="147"/>
      <c r="BH578" s="147"/>
      <c r="BI578" s="147"/>
      <c r="BJ578" s="147"/>
      <c r="BK578" s="147"/>
      <c r="BL578" s="147"/>
      <c r="BM578" s="147"/>
      <c r="BN578" s="147"/>
      <c r="BO578" s="147"/>
      <c r="BP578" s="147"/>
      <c r="BQ578" s="147"/>
      <c r="BR578" s="147"/>
      <c r="BS578" s="147"/>
      <c r="BT578" s="147"/>
      <c r="BU578" s="147"/>
      <c r="BV578" s="147"/>
      <c r="BW578" s="147"/>
      <c r="BX578" s="147"/>
      <c r="BY578" s="147"/>
      <c r="BZ578" s="147"/>
      <c r="CA578" s="147"/>
      <c r="CB578" s="147"/>
      <c r="CC578" s="147"/>
      <c r="CD578" s="147"/>
      <c r="CE578" s="147"/>
      <c r="CF578" s="147"/>
      <c r="CG578" s="147"/>
      <c r="CH578" s="147"/>
      <c r="CI578" s="147"/>
      <c r="CJ578" s="147"/>
      <c r="CK578" s="147"/>
    </row>
    <row r="579" spans="1:89">
      <c r="A579" s="157"/>
      <c r="F579" s="3"/>
      <c r="G579" s="3"/>
      <c r="L579" s="157"/>
      <c r="M579" s="157"/>
      <c r="O579" s="147"/>
      <c r="P579" s="147"/>
      <c r="Q579" s="147"/>
      <c r="R579" s="147"/>
      <c r="S579" s="147"/>
      <c r="T579" s="147"/>
      <c r="U579" s="147"/>
      <c r="V579" s="147"/>
      <c r="W579" s="147"/>
      <c r="X579" s="147"/>
      <c r="Y579" s="147"/>
      <c r="Z579" s="147"/>
      <c r="AA579" s="147"/>
      <c r="AB579" s="147"/>
      <c r="AC579" s="147"/>
      <c r="AD579" s="147"/>
      <c r="AE579" s="147"/>
      <c r="AF579" s="147"/>
      <c r="AG579" s="147"/>
      <c r="AH579" s="147"/>
      <c r="AI579" s="147"/>
      <c r="AJ579" s="147"/>
      <c r="AK579" s="147"/>
      <c r="AL579" s="147"/>
      <c r="AM579" s="151"/>
      <c r="AN579" s="147"/>
      <c r="AO579" s="147"/>
      <c r="AP579" s="147"/>
      <c r="AQ579" s="147"/>
      <c r="AR579" s="147"/>
      <c r="AS579" s="147"/>
      <c r="AT579" s="147"/>
      <c r="AU579" s="147"/>
      <c r="AV579" s="147"/>
      <c r="AW579" s="147"/>
      <c r="AX579" s="147"/>
      <c r="AY579" s="147"/>
      <c r="AZ579" s="147"/>
      <c r="BA579" s="147"/>
      <c r="BB579" s="147"/>
      <c r="BC579" s="147"/>
      <c r="BD579" s="147"/>
      <c r="BE579" s="147"/>
      <c r="BF579" s="147"/>
      <c r="BG579" s="147"/>
      <c r="BH579" s="147"/>
      <c r="BI579" s="147"/>
      <c r="BJ579" s="147"/>
      <c r="BK579" s="147"/>
      <c r="BL579" s="147"/>
      <c r="BM579" s="147"/>
      <c r="BN579" s="147"/>
      <c r="BO579" s="147"/>
      <c r="BP579" s="147"/>
      <c r="BQ579" s="147"/>
      <c r="BR579" s="147"/>
      <c r="BS579" s="147"/>
      <c r="BT579" s="147"/>
      <c r="BU579" s="147"/>
      <c r="BV579" s="147"/>
      <c r="BW579" s="147"/>
      <c r="BX579" s="147"/>
      <c r="BY579" s="147"/>
      <c r="BZ579" s="147"/>
      <c r="CA579" s="147"/>
      <c r="CB579" s="147"/>
      <c r="CC579" s="147"/>
      <c r="CD579" s="147"/>
      <c r="CE579" s="147"/>
      <c r="CF579" s="147"/>
      <c r="CG579" s="147"/>
      <c r="CH579" s="147"/>
      <c r="CI579" s="147"/>
      <c r="CJ579" s="147"/>
      <c r="CK579" s="147"/>
    </row>
    <row r="580" spans="1:89">
      <c r="A580" s="157"/>
      <c r="F580" s="3"/>
      <c r="G580" s="3"/>
      <c r="L580" s="157"/>
      <c r="M580" s="157"/>
      <c r="O580" s="147"/>
      <c r="P580" s="147"/>
      <c r="Q580" s="147"/>
      <c r="R580" s="147"/>
      <c r="S580" s="147"/>
      <c r="T580" s="147"/>
      <c r="U580" s="147"/>
      <c r="V580" s="147"/>
      <c r="W580" s="147"/>
      <c r="X580" s="147"/>
      <c r="Y580" s="147"/>
      <c r="Z580" s="147"/>
      <c r="AA580" s="147"/>
      <c r="AB580" s="147"/>
      <c r="AC580" s="147"/>
      <c r="AD580" s="147"/>
      <c r="AE580" s="147"/>
      <c r="AF580" s="147"/>
      <c r="AG580" s="147"/>
      <c r="AH580" s="147"/>
      <c r="AI580" s="147"/>
      <c r="AJ580" s="147"/>
      <c r="AK580" s="147"/>
      <c r="AL580" s="147"/>
      <c r="AM580" s="151"/>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c r="BI580" s="147"/>
      <c r="BJ580" s="147"/>
      <c r="BK580" s="147"/>
      <c r="BL580" s="147"/>
      <c r="BM580" s="147"/>
      <c r="BN580" s="147"/>
      <c r="BO580" s="147"/>
      <c r="BP580" s="147"/>
      <c r="BQ580" s="147"/>
      <c r="BR580" s="147"/>
      <c r="BS580" s="147"/>
      <c r="BT580" s="147"/>
      <c r="BU580" s="147"/>
      <c r="BV580" s="147"/>
      <c r="BW580" s="147"/>
      <c r="BX580" s="147"/>
      <c r="BY580" s="147"/>
      <c r="BZ580" s="147"/>
      <c r="CA580" s="147"/>
      <c r="CB580" s="147"/>
      <c r="CC580" s="147"/>
      <c r="CD580" s="147"/>
      <c r="CE580" s="147"/>
      <c r="CF580" s="147"/>
      <c r="CG580" s="147"/>
      <c r="CH580" s="147"/>
      <c r="CI580" s="147"/>
      <c r="CJ580" s="147"/>
      <c r="CK580" s="147"/>
    </row>
    <row r="581" spans="1:89">
      <c r="A581" s="157"/>
      <c r="F581" s="3"/>
      <c r="G581" s="3"/>
      <c r="L581" s="157"/>
      <c r="M581" s="157"/>
      <c r="O581" s="147"/>
      <c r="P581" s="147"/>
      <c r="Q581" s="147"/>
      <c r="R581" s="147"/>
      <c r="S581" s="147"/>
      <c r="T581" s="147"/>
      <c r="U581" s="147"/>
      <c r="V581" s="147"/>
      <c r="W581" s="147"/>
      <c r="X581" s="147"/>
      <c r="Y581" s="147"/>
      <c r="Z581" s="147"/>
      <c r="AA581" s="147"/>
      <c r="AB581" s="147"/>
      <c r="AC581" s="147"/>
      <c r="AD581" s="147"/>
      <c r="AE581" s="147"/>
      <c r="AF581" s="147"/>
      <c r="AG581" s="147"/>
      <c r="AH581" s="147"/>
      <c r="AI581" s="147"/>
      <c r="AJ581" s="147"/>
      <c r="AK581" s="147"/>
      <c r="AL581" s="147"/>
      <c r="AM581" s="151"/>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c r="BI581" s="147"/>
      <c r="BJ581" s="147"/>
      <c r="BK581" s="147"/>
      <c r="BL581" s="147"/>
      <c r="BM581" s="147"/>
      <c r="BN581" s="147"/>
      <c r="BO581" s="147"/>
      <c r="BP581" s="147"/>
      <c r="BQ581" s="147"/>
      <c r="BR581" s="147"/>
      <c r="BS581" s="147"/>
      <c r="BT581" s="147"/>
      <c r="BU581" s="147"/>
      <c r="BV581" s="147"/>
      <c r="BW581" s="147"/>
      <c r="BX581" s="147"/>
      <c r="BY581" s="147"/>
      <c r="BZ581" s="147"/>
      <c r="CA581" s="147"/>
      <c r="CB581" s="147"/>
      <c r="CC581" s="147"/>
      <c r="CD581" s="147"/>
      <c r="CE581" s="147"/>
      <c r="CF581" s="147"/>
      <c r="CG581" s="147"/>
      <c r="CH581" s="147"/>
      <c r="CI581" s="147"/>
      <c r="CJ581" s="147"/>
      <c r="CK581" s="147"/>
    </row>
    <row r="582" spans="1:89">
      <c r="A582" s="157"/>
      <c r="F582" s="3"/>
      <c r="G582" s="3"/>
      <c r="L582" s="157"/>
      <c r="M582" s="157"/>
      <c r="O582" s="147"/>
      <c r="P582" s="147"/>
      <c r="Q582" s="147"/>
      <c r="R582" s="147"/>
      <c r="S582" s="147"/>
      <c r="T582" s="147"/>
      <c r="U582" s="147"/>
      <c r="V582" s="147"/>
      <c r="W582" s="147"/>
      <c r="X582" s="147"/>
      <c r="Y582" s="147"/>
      <c r="Z582" s="147"/>
      <c r="AA582" s="147"/>
      <c r="AB582" s="147"/>
      <c r="AC582" s="147"/>
      <c r="AD582" s="147"/>
      <c r="AE582" s="147"/>
      <c r="AF582" s="147"/>
      <c r="AG582" s="147"/>
      <c r="AH582" s="147"/>
      <c r="AI582" s="147"/>
      <c r="AJ582" s="147"/>
      <c r="AK582" s="147"/>
      <c r="AL582" s="147"/>
      <c r="AM582" s="151"/>
      <c r="AN582" s="147"/>
      <c r="AO582" s="147"/>
      <c r="AP582" s="147"/>
      <c r="AQ582" s="147"/>
      <c r="AR582" s="147"/>
      <c r="AS582" s="147"/>
      <c r="AT582" s="147"/>
      <c r="AU582" s="147"/>
      <c r="AV582" s="147"/>
      <c r="AW582" s="147"/>
      <c r="AX582" s="147"/>
      <c r="AY582" s="147"/>
      <c r="AZ582" s="147"/>
      <c r="BA582" s="147"/>
      <c r="BB582" s="147"/>
      <c r="BC582" s="147"/>
      <c r="BD582" s="147"/>
      <c r="BE582" s="147"/>
      <c r="BF582" s="147"/>
      <c r="BG582" s="147"/>
      <c r="BH582" s="147"/>
      <c r="BI582" s="147"/>
      <c r="BJ582" s="147"/>
      <c r="BK582" s="147"/>
      <c r="BL582" s="147"/>
      <c r="BM582" s="147"/>
      <c r="BN582" s="147"/>
      <c r="BO582" s="147"/>
      <c r="BP582" s="147"/>
      <c r="BQ582" s="147"/>
      <c r="BR582" s="147"/>
      <c r="BS582" s="147"/>
      <c r="BT582" s="147"/>
      <c r="BU582" s="147"/>
      <c r="BV582" s="147"/>
      <c r="BW582" s="147"/>
      <c r="BX582" s="147"/>
      <c r="BY582" s="147"/>
      <c r="BZ582" s="147"/>
      <c r="CA582" s="147"/>
      <c r="CB582" s="147"/>
      <c r="CC582" s="147"/>
      <c r="CD582" s="147"/>
      <c r="CE582" s="147"/>
      <c r="CF582" s="147"/>
      <c r="CG582" s="147"/>
      <c r="CH582" s="147"/>
      <c r="CI582" s="147"/>
      <c r="CJ582" s="147"/>
      <c r="CK582" s="147"/>
    </row>
    <row r="583" spans="1:89">
      <c r="A583" s="157"/>
      <c r="F583" s="3"/>
      <c r="G583" s="3"/>
      <c r="L583" s="157"/>
      <c r="M583" s="157"/>
      <c r="O583" s="147"/>
      <c r="P583" s="147"/>
      <c r="Q583" s="147"/>
      <c r="R583" s="147"/>
      <c r="S583" s="147"/>
      <c r="T583" s="147"/>
      <c r="U583" s="147"/>
      <c r="V583" s="147"/>
      <c r="W583" s="147"/>
      <c r="X583" s="147"/>
      <c r="Y583" s="147"/>
      <c r="Z583" s="147"/>
      <c r="AA583" s="147"/>
      <c r="AB583" s="147"/>
      <c r="AC583" s="147"/>
      <c r="AD583" s="147"/>
      <c r="AE583" s="147"/>
      <c r="AF583" s="147"/>
      <c r="AG583" s="147"/>
      <c r="AH583" s="147"/>
      <c r="AI583" s="147"/>
      <c r="AJ583" s="147"/>
      <c r="AK583" s="147"/>
      <c r="AL583" s="147"/>
      <c r="AM583" s="151"/>
      <c r="AN583" s="147"/>
      <c r="AO583" s="147"/>
      <c r="AP583" s="147"/>
      <c r="AQ583" s="147"/>
      <c r="AR583" s="147"/>
      <c r="AS583" s="147"/>
      <c r="AT583" s="147"/>
      <c r="AU583" s="147"/>
      <c r="AV583" s="147"/>
      <c r="AW583" s="147"/>
      <c r="AX583" s="147"/>
      <c r="AY583" s="147"/>
      <c r="AZ583" s="147"/>
      <c r="BA583" s="147"/>
      <c r="BB583" s="147"/>
      <c r="BC583" s="147"/>
      <c r="BD583" s="147"/>
      <c r="BE583" s="147"/>
      <c r="BF583" s="147"/>
      <c r="BG583" s="147"/>
      <c r="BH583" s="147"/>
      <c r="BI583" s="147"/>
      <c r="BJ583" s="147"/>
      <c r="BK583" s="147"/>
      <c r="BL583" s="147"/>
      <c r="BM583" s="147"/>
      <c r="BN583" s="147"/>
      <c r="BO583" s="147"/>
      <c r="BP583" s="147"/>
      <c r="BQ583" s="147"/>
      <c r="BR583" s="147"/>
      <c r="BS583" s="147"/>
      <c r="BT583" s="147"/>
      <c r="BU583" s="147"/>
      <c r="BV583" s="147"/>
      <c r="BW583" s="147"/>
      <c r="BX583" s="147"/>
      <c r="BY583" s="147"/>
      <c r="BZ583" s="147"/>
      <c r="CA583" s="147"/>
      <c r="CB583" s="147"/>
      <c r="CC583" s="147"/>
      <c r="CD583" s="147"/>
      <c r="CE583" s="147"/>
      <c r="CF583" s="147"/>
      <c r="CG583" s="147"/>
      <c r="CH583" s="147"/>
      <c r="CI583" s="147"/>
      <c r="CJ583" s="147"/>
      <c r="CK583" s="147"/>
    </row>
    <row r="584" spans="1:89">
      <c r="A584" s="157"/>
      <c r="F584" s="3"/>
      <c r="G584" s="3"/>
      <c r="L584" s="157"/>
      <c r="M584" s="157"/>
      <c r="O584" s="147"/>
      <c r="P584" s="147"/>
      <c r="Q584" s="147"/>
      <c r="R584" s="147"/>
      <c r="S584" s="147"/>
      <c r="T584" s="147"/>
      <c r="U584" s="147"/>
      <c r="V584" s="147"/>
      <c r="W584" s="147"/>
      <c r="X584" s="147"/>
      <c r="Y584" s="147"/>
      <c r="Z584" s="147"/>
      <c r="AA584" s="147"/>
      <c r="AB584" s="147"/>
      <c r="AC584" s="147"/>
      <c r="AD584" s="147"/>
      <c r="AE584" s="147"/>
      <c r="AF584" s="147"/>
      <c r="AG584" s="147"/>
      <c r="AH584" s="147"/>
      <c r="AI584" s="147"/>
      <c r="AJ584" s="147"/>
      <c r="AK584" s="147"/>
      <c r="AL584" s="147"/>
      <c r="AM584" s="151"/>
      <c r="AN584" s="147"/>
      <c r="AO584" s="147"/>
      <c r="AP584" s="147"/>
      <c r="AQ584" s="147"/>
      <c r="AR584" s="147"/>
      <c r="AS584" s="147"/>
      <c r="AT584" s="147"/>
      <c r="AU584" s="147"/>
      <c r="AV584" s="147"/>
      <c r="AW584" s="147"/>
      <c r="AX584" s="147"/>
      <c r="AY584" s="147"/>
      <c r="AZ584" s="147"/>
      <c r="BA584" s="147"/>
      <c r="BB584" s="147"/>
      <c r="BC584" s="147"/>
      <c r="BD584" s="147"/>
      <c r="BE584" s="147"/>
      <c r="BF584" s="147"/>
      <c r="BG584" s="147"/>
      <c r="BH584" s="147"/>
      <c r="BI584" s="147"/>
      <c r="BJ584" s="147"/>
      <c r="BK584" s="147"/>
      <c r="BL584" s="147"/>
      <c r="BM584" s="147"/>
      <c r="BN584" s="147"/>
      <c r="BO584" s="147"/>
      <c r="BP584" s="147"/>
      <c r="BQ584" s="147"/>
      <c r="BR584" s="147"/>
      <c r="BS584" s="147"/>
      <c r="BT584" s="147"/>
      <c r="BU584" s="147"/>
      <c r="BV584" s="147"/>
      <c r="BW584" s="147"/>
      <c r="BX584" s="147"/>
      <c r="BY584" s="147"/>
      <c r="BZ584" s="147"/>
      <c r="CA584" s="147"/>
      <c r="CB584" s="147"/>
      <c r="CC584" s="147"/>
      <c r="CD584" s="147"/>
      <c r="CE584" s="147"/>
      <c r="CF584" s="147"/>
      <c r="CG584" s="147"/>
      <c r="CH584" s="147"/>
      <c r="CI584" s="147"/>
      <c r="CJ584" s="147"/>
      <c r="CK584" s="147"/>
    </row>
    <row r="585" spans="1:89">
      <c r="A585" s="157"/>
      <c r="F585" s="3"/>
      <c r="G585" s="3"/>
      <c r="L585" s="157"/>
      <c r="M585" s="157"/>
      <c r="O585" s="147"/>
      <c r="P585" s="147"/>
      <c r="Q585" s="147"/>
      <c r="R585" s="147"/>
      <c r="S585" s="147"/>
      <c r="T585" s="147"/>
      <c r="U585" s="147"/>
      <c r="V585" s="147"/>
      <c r="W585" s="147"/>
      <c r="X585" s="147"/>
      <c r="Y585" s="147"/>
      <c r="Z585" s="147"/>
      <c r="AA585" s="147"/>
      <c r="AB585" s="147"/>
      <c r="AC585" s="147"/>
      <c r="AD585" s="147"/>
      <c r="AE585" s="147"/>
      <c r="AF585" s="147"/>
      <c r="AG585" s="147"/>
      <c r="AH585" s="147"/>
      <c r="AI585" s="147"/>
      <c r="AJ585" s="147"/>
      <c r="AK585" s="147"/>
      <c r="AL585" s="147"/>
      <c r="AM585" s="151"/>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c r="BI585" s="147"/>
      <c r="BJ585" s="147"/>
      <c r="BK585" s="147"/>
      <c r="BL585" s="147"/>
      <c r="BM585" s="147"/>
      <c r="BN585" s="147"/>
      <c r="BO585" s="147"/>
      <c r="BP585" s="147"/>
      <c r="BQ585" s="147"/>
      <c r="BR585" s="147"/>
      <c r="BS585" s="147"/>
      <c r="BT585" s="147"/>
      <c r="BU585" s="147"/>
      <c r="BV585" s="147"/>
      <c r="BW585" s="147"/>
      <c r="BX585" s="147"/>
      <c r="BY585" s="147"/>
      <c r="BZ585" s="147"/>
      <c r="CA585" s="147"/>
      <c r="CB585" s="147"/>
      <c r="CC585" s="147"/>
      <c r="CD585" s="147"/>
      <c r="CE585" s="147"/>
      <c r="CF585" s="147"/>
      <c r="CG585" s="147"/>
      <c r="CH585" s="147"/>
      <c r="CI585" s="147"/>
      <c r="CJ585" s="147"/>
      <c r="CK585" s="147"/>
    </row>
    <row r="586" spans="1:89">
      <c r="A586" s="157"/>
      <c r="F586" s="3"/>
      <c r="G586" s="3"/>
      <c r="L586" s="157"/>
      <c r="M586" s="157"/>
      <c r="O586" s="147"/>
      <c r="P586" s="147"/>
      <c r="Q586" s="147"/>
      <c r="R586" s="147"/>
      <c r="S586" s="147"/>
      <c r="T586" s="147"/>
      <c r="U586" s="147"/>
      <c r="V586" s="147"/>
      <c r="W586" s="147"/>
      <c r="X586" s="147"/>
      <c r="Y586" s="147"/>
      <c r="Z586" s="147"/>
      <c r="AA586" s="147"/>
      <c r="AB586" s="147"/>
      <c r="AC586" s="147"/>
      <c r="AD586" s="147"/>
      <c r="AE586" s="147"/>
      <c r="AF586" s="147"/>
      <c r="AG586" s="147"/>
      <c r="AH586" s="147"/>
      <c r="AI586" s="147"/>
      <c r="AJ586" s="147"/>
      <c r="AK586" s="147"/>
      <c r="AL586" s="147"/>
      <c r="AM586" s="151"/>
      <c r="AN586" s="147"/>
      <c r="AO586" s="147"/>
      <c r="AP586" s="147"/>
      <c r="AQ586" s="147"/>
      <c r="AR586" s="147"/>
      <c r="AS586" s="147"/>
      <c r="AT586" s="147"/>
      <c r="AU586" s="147"/>
      <c r="AV586" s="147"/>
      <c r="AW586" s="147"/>
      <c r="AX586" s="147"/>
      <c r="AY586" s="147"/>
      <c r="AZ586" s="147"/>
      <c r="BA586" s="147"/>
      <c r="BB586" s="147"/>
      <c r="BC586" s="147"/>
      <c r="BD586" s="147"/>
      <c r="BE586" s="147"/>
      <c r="BF586" s="147"/>
      <c r="BG586" s="147"/>
      <c r="BH586" s="147"/>
      <c r="BI586" s="147"/>
      <c r="BJ586" s="147"/>
      <c r="BK586" s="147"/>
      <c r="BL586" s="147"/>
      <c r="BM586" s="147"/>
      <c r="BN586" s="147"/>
      <c r="BO586" s="147"/>
      <c r="BP586" s="147"/>
      <c r="BQ586" s="147"/>
      <c r="BR586" s="147"/>
      <c r="BS586" s="147"/>
      <c r="BT586" s="147"/>
      <c r="BU586" s="147"/>
      <c r="BV586" s="147"/>
      <c r="BW586" s="147"/>
      <c r="BX586" s="147"/>
      <c r="BY586" s="147"/>
      <c r="BZ586" s="147"/>
      <c r="CA586" s="147"/>
      <c r="CB586" s="147"/>
      <c r="CC586" s="147"/>
      <c r="CD586" s="147"/>
      <c r="CE586" s="147"/>
      <c r="CF586" s="147"/>
      <c r="CG586" s="147"/>
      <c r="CH586" s="147"/>
      <c r="CI586" s="147"/>
      <c r="CJ586" s="147"/>
      <c r="CK586" s="147"/>
    </row>
    <row r="587" spans="1:89">
      <c r="A587" s="157"/>
      <c r="F587" s="3"/>
      <c r="G587" s="3"/>
      <c r="L587" s="157"/>
      <c r="M587" s="157"/>
      <c r="O587" s="147"/>
      <c r="P587" s="147"/>
      <c r="Q587" s="147"/>
      <c r="R587" s="147"/>
      <c r="S587" s="147"/>
      <c r="T587" s="147"/>
      <c r="U587" s="147"/>
      <c r="V587" s="147"/>
      <c r="W587" s="147"/>
      <c r="X587" s="147"/>
      <c r="Y587" s="147"/>
      <c r="Z587" s="147"/>
      <c r="AA587" s="147"/>
      <c r="AB587" s="147"/>
      <c r="AC587" s="147"/>
      <c r="AD587" s="147"/>
      <c r="AE587" s="147"/>
      <c r="AF587" s="147"/>
      <c r="AG587" s="147"/>
      <c r="AH587" s="147"/>
      <c r="AI587" s="147"/>
      <c r="AJ587" s="147"/>
      <c r="AK587" s="147"/>
      <c r="AL587" s="147"/>
      <c r="AM587" s="151"/>
      <c r="AN587" s="147"/>
      <c r="AO587" s="147"/>
      <c r="AP587" s="147"/>
      <c r="AQ587" s="147"/>
      <c r="AR587" s="147"/>
      <c r="AS587" s="147"/>
      <c r="AT587" s="147"/>
      <c r="AU587" s="147"/>
      <c r="AV587" s="147"/>
      <c r="AW587" s="147"/>
      <c r="AX587" s="147"/>
      <c r="AY587" s="147"/>
      <c r="AZ587" s="147"/>
      <c r="BA587" s="147"/>
      <c r="BB587" s="147"/>
      <c r="BC587" s="147"/>
      <c r="BD587" s="147"/>
      <c r="BE587" s="147"/>
      <c r="BF587" s="147"/>
      <c r="BG587" s="147"/>
      <c r="BH587" s="147"/>
      <c r="BI587" s="147"/>
      <c r="BJ587" s="147"/>
      <c r="BK587" s="147"/>
      <c r="BL587" s="147"/>
      <c r="BM587" s="147"/>
      <c r="BN587" s="147"/>
      <c r="BO587" s="147"/>
      <c r="BP587" s="147"/>
      <c r="BQ587" s="147"/>
      <c r="BR587" s="147"/>
      <c r="BS587" s="147"/>
      <c r="BT587" s="147"/>
      <c r="BU587" s="147"/>
      <c r="BV587" s="147"/>
      <c r="BW587" s="147"/>
      <c r="BX587" s="147"/>
      <c r="BY587" s="147"/>
      <c r="BZ587" s="147"/>
      <c r="CA587" s="147"/>
      <c r="CB587" s="147"/>
      <c r="CC587" s="147"/>
      <c r="CD587" s="147"/>
      <c r="CE587" s="147"/>
      <c r="CF587" s="147"/>
      <c r="CG587" s="147"/>
      <c r="CH587" s="147"/>
      <c r="CI587" s="147"/>
      <c r="CJ587" s="147"/>
      <c r="CK587" s="147"/>
    </row>
    <row r="588" spans="1:89">
      <c r="A588" s="157"/>
      <c r="F588" s="3"/>
      <c r="G588" s="3"/>
      <c r="L588" s="157"/>
      <c r="M588" s="157"/>
      <c r="O588" s="147"/>
      <c r="P588" s="147"/>
      <c r="Q588" s="147"/>
      <c r="R588" s="147"/>
      <c r="S588" s="147"/>
      <c r="T588" s="147"/>
      <c r="U588" s="147"/>
      <c r="V588" s="147"/>
      <c r="W588" s="147"/>
      <c r="X588" s="147"/>
      <c r="Y588" s="147"/>
      <c r="Z588" s="147"/>
      <c r="AA588" s="147"/>
      <c r="AB588" s="147"/>
      <c r="AC588" s="147"/>
      <c r="AD588" s="147"/>
      <c r="AE588" s="147"/>
      <c r="AF588" s="147"/>
      <c r="AG588" s="147"/>
      <c r="AH588" s="147"/>
      <c r="AI588" s="147"/>
      <c r="AJ588" s="147"/>
      <c r="AK588" s="147"/>
      <c r="AL588" s="147"/>
      <c r="AM588" s="151"/>
      <c r="AN588" s="147"/>
      <c r="AO588" s="147"/>
      <c r="AP588" s="147"/>
      <c r="AQ588" s="147"/>
      <c r="AR588" s="147"/>
      <c r="AS588" s="147"/>
      <c r="AT588" s="147"/>
      <c r="AU588" s="147"/>
      <c r="AV588" s="147"/>
      <c r="AW588" s="147"/>
      <c r="AX588" s="147"/>
      <c r="AY588" s="147"/>
      <c r="AZ588" s="147"/>
      <c r="BA588" s="147"/>
      <c r="BB588" s="147"/>
      <c r="BC588" s="147"/>
      <c r="BD588" s="147"/>
      <c r="BE588" s="147"/>
      <c r="BF588" s="147"/>
      <c r="BG588" s="147"/>
      <c r="BH588" s="147"/>
      <c r="BI588" s="147"/>
      <c r="BJ588" s="147"/>
      <c r="BK588" s="147"/>
      <c r="BL588" s="147"/>
      <c r="BM588" s="147"/>
      <c r="BN588" s="147"/>
      <c r="BO588" s="147"/>
      <c r="BP588" s="147"/>
      <c r="BQ588" s="147"/>
      <c r="BR588" s="147"/>
      <c r="BS588" s="147"/>
      <c r="BT588" s="147"/>
      <c r="BU588" s="147"/>
      <c r="BV588" s="147"/>
      <c r="BW588" s="147"/>
      <c r="BX588" s="147"/>
      <c r="BY588" s="147"/>
      <c r="BZ588" s="147"/>
      <c r="CA588" s="147"/>
      <c r="CB588" s="147"/>
      <c r="CC588" s="147"/>
      <c r="CD588" s="147"/>
      <c r="CE588" s="147"/>
      <c r="CF588" s="147"/>
      <c r="CG588" s="147"/>
      <c r="CH588" s="147"/>
      <c r="CI588" s="147"/>
      <c r="CJ588" s="147"/>
      <c r="CK588" s="147"/>
    </row>
    <row r="589" spans="1:89">
      <c r="A589" s="157"/>
      <c r="F589" s="3"/>
      <c r="G589" s="3"/>
      <c r="L589" s="157"/>
      <c r="M589" s="157"/>
      <c r="O589" s="147"/>
      <c r="P589" s="147"/>
      <c r="Q589" s="147"/>
      <c r="R589" s="147"/>
      <c r="S589" s="147"/>
      <c r="T589" s="147"/>
      <c r="U589" s="147"/>
      <c r="V589" s="147"/>
      <c r="W589" s="147"/>
      <c r="X589" s="147"/>
      <c r="Y589" s="147"/>
      <c r="Z589" s="147"/>
      <c r="AA589" s="147"/>
      <c r="AB589" s="147"/>
      <c r="AC589" s="147"/>
      <c r="AD589" s="147"/>
      <c r="AE589" s="147"/>
      <c r="AF589" s="147"/>
      <c r="AG589" s="147"/>
      <c r="AH589" s="147"/>
      <c r="AI589" s="147"/>
      <c r="AJ589" s="147"/>
      <c r="AK589" s="147"/>
      <c r="AL589" s="147"/>
      <c r="AM589" s="151"/>
      <c r="AN589" s="147"/>
      <c r="AO589" s="147"/>
      <c r="AP589" s="147"/>
      <c r="AQ589" s="147"/>
      <c r="AR589" s="147"/>
      <c r="AS589" s="147"/>
      <c r="AT589" s="147"/>
      <c r="AU589" s="147"/>
      <c r="AV589" s="147"/>
      <c r="AW589" s="147"/>
      <c r="AX589" s="147"/>
      <c r="AY589" s="147"/>
      <c r="AZ589" s="147"/>
      <c r="BA589" s="147"/>
      <c r="BB589" s="147"/>
      <c r="BC589" s="147"/>
      <c r="BD589" s="147"/>
      <c r="BE589" s="147"/>
      <c r="BF589" s="147"/>
      <c r="BG589" s="147"/>
      <c r="BH589" s="147"/>
      <c r="BI589" s="147"/>
      <c r="BJ589" s="147"/>
      <c r="BK589" s="147"/>
      <c r="BL589" s="147"/>
      <c r="BM589" s="147"/>
      <c r="BN589" s="147"/>
      <c r="BO589" s="147"/>
      <c r="BP589" s="147"/>
      <c r="BQ589" s="147"/>
      <c r="BR589" s="147"/>
      <c r="BS589" s="147"/>
      <c r="BT589" s="147"/>
      <c r="BU589" s="147"/>
      <c r="BV589" s="147"/>
      <c r="BW589" s="147"/>
      <c r="BX589" s="147"/>
      <c r="BY589" s="147"/>
      <c r="BZ589" s="147"/>
      <c r="CA589" s="147"/>
      <c r="CB589" s="147"/>
      <c r="CC589" s="147"/>
      <c r="CD589" s="147"/>
      <c r="CE589" s="147"/>
      <c r="CF589" s="147"/>
      <c r="CG589" s="147"/>
      <c r="CH589" s="147"/>
      <c r="CI589" s="147"/>
      <c r="CJ589" s="147"/>
      <c r="CK589" s="147"/>
    </row>
    <row r="590" spans="1:89">
      <c r="A590" s="157"/>
      <c r="F590" s="3"/>
      <c r="G590" s="3"/>
      <c r="L590" s="157"/>
      <c r="M590" s="157"/>
      <c r="O590" s="147"/>
      <c r="P590" s="147"/>
      <c r="Q590" s="147"/>
      <c r="R590" s="147"/>
      <c r="S590" s="147"/>
      <c r="T590" s="147"/>
      <c r="U590" s="147"/>
      <c r="V590" s="147"/>
      <c r="W590" s="147"/>
      <c r="X590" s="147"/>
      <c r="Y590" s="147"/>
      <c r="Z590" s="147"/>
      <c r="AA590" s="147"/>
      <c r="AB590" s="147"/>
      <c r="AC590" s="147"/>
      <c r="AD590" s="147"/>
      <c r="AE590" s="147"/>
      <c r="AF590" s="147"/>
      <c r="AG590" s="147"/>
      <c r="AH590" s="147"/>
      <c r="AI590" s="147"/>
      <c r="AJ590" s="147"/>
      <c r="AK590" s="147"/>
      <c r="AL590" s="147"/>
      <c r="AM590" s="151"/>
      <c r="AN590" s="147"/>
      <c r="AO590" s="147"/>
      <c r="AP590" s="147"/>
      <c r="AQ590" s="147"/>
      <c r="AR590" s="147"/>
      <c r="AS590" s="147"/>
      <c r="AT590" s="147"/>
      <c r="AU590" s="147"/>
      <c r="AV590" s="147"/>
      <c r="AW590" s="147"/>
      <c r="AX590" s="147"/>
      <c r="AY590" s="147"/>
      <c r="AZ590" s="147"/>
      <c r="BA590" s="147"/>
      <c r="BB590" s="147"/>
      <c r="BC590" s="147"/>
      <c r="BD590" s="147"/>
      <c r="BE590" s="147"/>
      <c r="BF590" s="147"/>
      <c r="BG590" s="147"/>
      <c r="BH590" s="147"/>
      <c r="BI590" s="147"/>
      <c r="BJ590" s="147"/>
      <c r="BK590" s="147"/>
      <c r="BL590" s="147"/>
      <c r="BM590" s="147"/>
      <c r="BN590" s="147"/>
      <c r="BO590" s="147"/>
      <c r="BP590" s="147"/>
      <c r="BQ590" s="147"/>
      <c r="BR590" s="147"/>
      <c r="BS590" s="147"/>
      <c r="BT590" s="147"/>
      <c r="BU590" s="147"/>
      <c r="BV590" s="147"/>
      <c r="BW590" s="147"/>
      <c r="BX590" s="147"/>
      <c r="BY590" s="147"/>
      <c r="BZ590" s="147"/>
      <c r="CA590" s="147"/>
      <c r="CB590" s="147"/>
      <c r="CC590" s="147"/>
      <c r="CD590" s="147"/>
      <c r="CE590" s="147"/>
      <c r="CF590" s="147"/>
      <c r="CG590" s="147"/>
      <c r="CH590" s="147"/>
      <c r="CI590" s="147"/>
      <c r="CJ590" s="147"/>
      <c r="CK590" s="147"/>
    </row>
    <row r="591" spans="1:89">
      <c r="A591" s="157"/>
      <c r="F591" s="3"/>
      <c r="G591" s="3"/>
      <c r="L591" s="157"/>
      <c r="M591" s="157"/>
      <c r="O591" s="147"/>
      <c r="P591" s="147"/>
      <c r="Q591" s="147"/>
      <c r="R591" s="147"/>
      <c r="S591" s="147"/>
      <c r="T591" s="147"/>
      <c r="U591" s="147"/>
      <c r="V591" s="147"/>
      <c r="W591" s="147"/>
      <c r="X591" s="147"/>
      <c r="Y591" s="147"/>
      <c r="Z591" s="147"/>
      <c r="AA591" s="147"/>
      <c r="AB591" s="147"/>
      <c r="AC591" s="147"/>
      <c r="AD591" s="147"/>
      <c r="AE591" s="147"/>
      <c r="AF591" s="147"/>
      <c r="AG591" s="147"/>
      <c r="AH591" s="147"/>
      <c r="AI591" s="147"/>
      <c r="AJ591" s="147"/>
      <c r="AK591" s="147"/>
      <c r="AL591" s="147"/>
      <c r="AM591" s="151"/>
      <c r="AN591" s="147"/>
      <c r="AO591" s="147"/>
      <c r="AP591" s="147"/>
      <c r="AQ591" s="147"/>
      <c r="AR591" s="147"/>
      <c r="AS591" s="147"/>
      <c r="AT591" s="147"/>
      <c r="AU591" s="147"/>
      <c r="AV591" s="147"/>
      <c r="AW591" s="147"/>
      <c r="AX591" s="147"/>
      <c r="AY591" s="147"/>
      <c r="AZ591" s="147"/>
      <c r="BA591" s="147"/>
      <c r="BB591" s="147"/>
      <c r="BC591" s="147"/>
      <c r="BD591" s="147"/>
      <c r="BE591" s="147"/>
      <c r="BF591" s="147"/>
      <c r="BG591" s="147"/>
      <c r="BH591" s="147"/>
      <c r="BI591" s="147"/>
      <c r="BJ591" s="147"/>
      <c r="BK591" s="147"/>
      <c r="BL591" s="147"/>
      <c r="BM591" s="147"/>
      <c r="BN591" s="147"/>
      <c r="BO591" s="147"/>
      <c r="BP591" s="147"/>
      <c r="BQ591" s="147"/>
      <c r="BR591" s="147"/>
      <c r="BS591" s="147"/>
      <c r="BT591" s="147"/>
      <c r="BU591" s="147"/>
      <c r="BV591" s="147"/>
      <c r="BW591" s="147"/>
      <c r="BX591" s="147"/>
      <c r="BY591" s="147"/>
      <c r="BZ591" s="147"/>
      <c r="CA591" s="147"/>
      <c r="CB591" s="147"/>
      <c r="CC591" s="147"/>
      <c r="CD591" s="147"/>
      <c r="CE591" s="147"/>
      <c r="CF591" s="147"/>
      <c r="CG591" s="147"/>
      <c r="CH591" s="147"/>
      <c r="CI591" s="147"/>
      <c r="CJ591" s="147"/>
      <c r="CK591" s="147"/>
    </row>
    <row r="592" spans="1:89">
      <c r="A592" s="157"/>
      <c r="F592" s="3"/>
      <c r="G592" s="3"/>
      <c r="L592" s="157"/>
      <c r="M592" s="157"/>
      <c r="O592" s="147"/>
      <c r="P592" s="147"/>
      <c r="Q592" s="147"/>
      <c r="R592" s="147"/>
      <c r="S592" s="147"/>
      <c r="T592" s="147"/>
      <c r="U592" s="147"/>
      <c r="V592" s="147"/>
      <c r="W592" s="147"/>
      <c r="X592" s="147"/>
      <c r="Y592" s="147"/>
      <c r="Z592" s="147"/>
      <c r="AA592" s="147"/>
      <c r="AB592" s="147"/>
      <c r="AC592" s="147"/>
      <c r="AD592" s="147"/>
      <c r="AE592" s="147"/>
      <c r="AF592" s="147"/>
      <c r="AG592" s="147"/>
      <c r="AH592" s="147"/>
      <c r="AI592" s="147"/>
      <c r="AJ592" s="147"/>
      <c r="AK592" s="147"/>
      <c r="AL592" s="147"/>
      <c r="AM592" s="151"/>
      <c r="AN592" s="147"/>
      <c r="AO592" s="147"/>
      <c r="AP592" s="147"/>
      <c r="AQ592" s="147"/>
      <c r="AR592" s="147"/>
      <c r="AS592" s="147"/>
      <c r="AT592" s="147"/>
      <c r="AU592" s="147"/>
      <c r="AV592" s="147"/>
      <c r="AW592" s="147"/>
      <c r="AX592" s="147"/>
      <c r="AY592" s="147"/>
      <c r="AZ592" s="147"/>
      <c r="BA592" s="147"/>
      <c r="BB592" s="147"/>
      <c r="BC592" s="147"/>
      <c r="BD592" s="147"/>
      <c r="BE592" s="147"/>
      <c r="BF592" s="147"/>
      <c r="BG592" s="147"/>
      <c r="BH592" s="147"/>
      <c r="BI592" s="147"/>
      <c r="BJ592" s="147"/>
      <c r="BK592" s="147"/>
      <c r="BL592" s="147"/>
      <c r="BM592" s="147"/>
      <c r="BN592" s="147"/>
      <c r="BO592" s="147"/>
      <c r="BP592" s="147"/>
      <c r="BQ592" s="147"/>
      <c r="BR592" s="147"/>
      <c r="BS592" s="147"/>
      <c r="BT592" s="147"/>
      <c r="BU592" s="147"/>
      <c r="BV592" s="147"/>
      <c r="BW592" s="147"/>
      <c r="BX592" s="147"/>
      <c r="BY592" s="147"/>
      <c r="BZ592" s="147"/>
      <c r="CA592" s="147"/>
      <c r="CB592" s="147"/>
      <c r="CC592" s="147"/>
      <c r="CD592" s="147"/>
      <c r="CE592" s="147"/>
      <c r="CF592" s="147"/>
      <c r="CG592" s="147"/>
      <c r="CH592" s="147"/>
      <c r="CI592" s="147"/>
      <c r="CJ592" s="147"/>
      <c r="CK592" s="147"/>
    </row>
    <row r="593" spans="1:89">
      <c r="A593" s="157"/>
      <c r="F593" s="3"/>
      <c r="G593" s="3"/>
      <c r="L593" s="157"/>
      <c r="M593" s="157"/>
      <c r="O593" s="147"/>
      <c r="P593" s="147"/>
      <c r="Q593" s="147"/>
      <c r="R593" s="147"/>
      <c r="S593" s="147"/>
      <c r="T593" s="147"/>
      <c r="U593" s="147"/>
      <c r="V593" s="147"/>
      <c r="W593" s="147"/>
      <c r="X593" s="147"/>
      <c r="Y593" s="147"/>
      <c r="Z593" s="147"/>
      <c r="AA593" s="147"/>
      <c r="AB593" s="147"/>
      <c r="AC593" s="147"/>
      <c r="AD593" s="147"/>
      <c r="AE593" s="147"/>
      <c r="AF593" s="147"/>
      <c r="AG593" s="147"/>
      <c r="AH593" s="147"/>
      <c r="AI593" s="147"/>
      <c r="AJ593" s="147"/>
      <c r="AK593" s="147"/>
      <c r="AL593" s="147"/>
      <c r="AM593" s="151"/>
      <c r="AN593" s="147"/>
      <c r="AO593" s="147"/>
      <c r="AP593" s="147"/>
      <c r="AQ593" s="147"/>
      <c r="AR593" s="147"/>
      <c r="AS593" s="147"/>
      <c r="AT593" s="147"/>
      <c r="AU593" s="147"/>
      <c r="AV593" s="147"/>
      <c r="AW593" s="147"/>
      <c r="AX593" s="147"/>
      <c r="AY593" s="147"/>
      <c r="AZ593" s="147"/>
      <c r="BA593" s="147"/>
      <c r="BB593" s="147"/>
      <c r="BC593" s="147"/>
      <c r="BD593" s="147"/>
      <c r="BE593" s="147"/>
      <c r="BF593" s="147"/>
      <c r="BG593" s="147"/>
      <c r="BH593" s="147"/>
      <c r="BI593" s="147"/>
      <c r="BJ593" s="147"/>
      <c r="BK593" s="147"/>
      <c r="BL593" s="147"/>
      <c r="BM593" s="147"/>
      <c r="BN593" s="147"/>
      <c r="BO593" s="147"/>
      <c r="BP593" s="147"/>
      <c r="BQ593" s="147"/>
      <c r="BR593" s="147"/>
      <c r="BS593" s="147"/>
      <c r="BT593" s="147"/>
      <c r="BU593" s="147"/>
      <c r="BV593" s="147"/>
      <c r="BW593" s="147"/>
      <c r="BX593" s="147"/>
      <c r="BY593" s="147"/>
      <c r="BZ593" s="147"/>
      <c r="CA593" s="147"/>
      <c r="CB593" s="147"/>
      <c r="CC593" s="147"/>
      <c r="CD593" s="147"/>
      <c r="CE593" s="147"/>
      <c r="CF593" s="147"/>
      <c r="CG593" s="147"/>
      <c r="CH593" s="147"/>
      <c r="CI593" s="147"/>
      <c r="CJ593" s="147"/>
      <c r="CK593" s="147"/>
    </row>
    <row r="594" spans="1:89">
      <c r="A594" s="157"/>
      <c r="F594" s="3"/>
      <c r="G594" s="3"/>
      <c r="L594" s="157"/>
      <c r="M594" s="157"/>
      <c r="O594" s="147"/>
      <c r="P594" s="147"/>
      <c r="Q594" s="147"/>
      <c r="R594" s="147"/>
      <c r="S594" s="147"/>
      <c r="T594" s="147"/>
      <c r="U594" s="147"/>
      <c r="V594" s="147"/>
      <c r="W594" s="147"/>
      <c r="X594" s="147"/>
      <c r="Y594" s="147"/>
      <c r="Z594" s="147"/>
      <c r="AA594" s="147"/>
      <c r="AB594" s="147"/>
      <c r="AC594" s="147"/>
      <c r="AD594" s="147"/>
      <c r="AE594" s="147"/>
      <c r="AF594" s="147"/>
      <c r="AG594" s="147"/>
      <c r="AH594" s="147"/>
      <c r="AI594" s="147"/>
      <c r="AJ594" s="147"/>
      <c r="AK594" s="147"/>
      <c r="AL594" s="147"/>
      <c r="AM594" s="151"/>
      <c r="AN594" s="147"/>
      <c r="AO594" s="147"/>
      <c r="AP594" s="147"/>
      <c r="AQ594" s="147"/>
      <c r="AR594" s="147"/>
      <c r="AS594" s="147"/>
      <c r="AT594" s="147"/>
      <c r="AU594" s="147"/>
      <c r="AV594" s="147"/>
      <c r="AW594" s="147"/>
      <c r="AX594" s="147"/>
      <c r="AY594" s="147"/>
      <c r="AZ594" s="147"/>
      <c r="BA594" s="147"/>
      <c r="BB594" s="147"/>
      <c r="BC594" s="147"/>
      <c r="BD594" s="147"/>
      <c r="BE594" s="147"/>
      <c r="BF594" s="147"/>
      <c r="BG594" s="147"/>
      <c r="BH594" s="147"/>
      <c r="BI594" s="147"/>
      <c r="BJ594" s="147"/>
      <c r="BK594" s="147"/>
      <c r="BL594" s="147"/>
      <c r="BM594" s="147"/>
      <c r="BN594" s="147"/>
      <c r="BO594" s="147"/>
      <c r="BP594" s="147"/>
      <c r="BQ594" s="147"/>
      <c r="BR594" s="147"/>
      <c r="BS594" s="147"/>
      <c r="BT594" s="147"/>
      <c r="BU594" s="147"/>
      <c r="BV594" s="147"/>
      <c r="BW594" s="147"/>
      <c r="BX594" s="147"/>
      <c r="BY594" s="147"/>
      <c r="BZ594" s="147"/>
      <c r="CA594" s="147"/>
      <c r="CB594" s="147"/>
      <c r="CC594" s="147"/>
      <c r="CD594" s="147"/>
      <c r="CE594" s="147"/>
      <c r="CF594" s="147"/>
      <c r="CG594" s="147"/>
      <c r="CH594" s="147"/>
      <c r="CI594" s="147"/>
      <c r="CJ594" s="147"/>
      <c r="CK594" s="147"/>
    </row>
    <row r="595" spans="1:89">
      <c r="A595" s="157"/>
      <c r="F595" s="3"/>
      <c r="G595" s="3"/>
      <c r="L595" s="157"/>
      <c r="M595" s="157"/>
      <c r="O595" s="147"/>
      <c r="P595" s="147"/>
      <c r="Q595" s="147"/>
      <c r="R595" s="147"/>
      <c r="S595" s="147"/>
      <c r="T595" s="147"/>
      <c r="U595" s="147"/>
      <c r="V595" s="147"/>
      <c r="W595" s="147"/>
      <c r="X595" s="147"/>
      <c r="Y595" s="147"/>
      <c r="Z595" s="147"/>
      <c r="AA595" s="147"/>
      <c r="AB595" s="147"/>
      <c r="AC595" s="147"/>
      <c r="AD595" s="147"/>
      <c r="AE595" s="147"/>
      <c r="AF595" s="147"/>
      <c r="AG595" s="147"/>
      <c r="AH595" s="147"/>
      <c r="AI595" s="147"/>
      <c r="AJ595" s="147"/>
      <c r="AK595" s="147"/>
      <c r="AL595" s="147"/>
      <c r="AM595" s="151"/>
      <c r="AN595" s="147"/>
      <c r="AO595" s="147"/>
      <c r="AP595" s="147"/>
      <c r="AQ595" s="147"/>
      <c r="AR595" s="147"/>
      <c r="AS595" s="147"/>
      <c r="AT595" s="147"/>
      <c r="AU595" s="147"/>
      <c r="AV595" s="147"/>
      <c r="AW595" s="147"/>
      <c r="AX595" s="147"/>
      <c r="AY595" s="147"/>
      <c r="AZ595" s="147"/>
      <c r="BA595" s="147"/>
      <c r="BB595" s="147"/>
      <c r="BC595" s="147"/>
      <c r="BD595" s="147"/>
      <c r="BE595" s="147"/>
      <c r="BF595" s="147"/>
      <c r="BG595" s="147"/>
      <c r="BH595" s="147"/>
      <c r="BI595" s="147"/>
      <c r="BJ595" s="147"/>
      <c r="BK595" s="147"/>
      <c r="BL595" s="147"/>
      <c r="BM595" s="147"/>
      <c r="BN595" s="147"/>
      <c r="BO595" s="147"/>
      <c r="BP595" s="147"/>
      <c r="BQ595" s="147"/>
      <c r="BR595" s="147"/>
      <c r="BS595" s="147"/>
      <c r="BT595" s="147"/>
      <c r="BU595" s="147"/>
      <c r="BV595" s="147"/>
      <c r="BW595" s="147"/>
      <c r="BX595" s="147"/>
      <c r="BY595" s="147"/>
      <c r="BZ595" s="147"/>
      <c r="CA595" s="147"/>
      <c r="CB595" s="147"/>
      <c r="CC595" s="147"/>
      <c r="CD595" s="147"/>
      <c r="CE595" s="147"/>
      <c r="CF595" s="147"/>
      <c r="CG595" s="147"/>
      <c r="CH595" s="147"/>
      <c r="CI595" s="147"/>
      <c r="CJ595" s="147"/>
      <c r="CK595" s="147"/>
    </row>
    <row r="596" spans="1:89">
      <c r="A596" s="157"/>
      <c r="F596" s="3"/>
      <c r="G596" s="3"/>
      <c r="L596" s="157"/>
      <c r="M596" s="157"/>
      <c r="O596" s="147"/>
      <c r="P596" s="147"/>
      <c r="Q596" s="147"/>
      <c r="R596" s="147"/>
      <c r="S596" s="147"/>
      <c r="T596" s="147"/>
      <c r="U596" s="147"/>
      <c r="V596" s="147"/>
      <c r="W596" s="147"/>
      <c r="X596" s="147"/>
      <c r="Y596" s="147"/>
      <c r="Z596" s="147"/>
      <c r="AA596" s="147"/>
      <c r="AB596" s="147"/>
      <c r="AC596" s="147"/>
      <c r="AD596" s="147"/>
      <c r="AE596" s="147"/>
      <c r="AF596" s="147"/>
      <c r="AG596" s="147"/>
      <c r="AH596" s="147"/>
      <c r="AI596" s="147"/>
      <c r="AJ596" s="147"/>
      <c r="AK596" s="147"/>
      <c r="AL596" s="147"/>
      <c r="AM596" s="151"/>
      <c r="AN596" s="147"/>
      <c r="AO596" s="147"/>
      <c r="AP596" s="147"/>
      <c r="AQ596" s="147"/>
      <c r="AR596" s="147"/>
      <c r="AS596" s="147"/>
      <c r="AT596" s="147"/>
      <c r="AU596" s="147"/>
      <c r="AV596" s="147"/>
      <c r="AW596" s="147"/>
      <c r="AX596" s="147"/>
      <c r="AY596" s="147"/>
      <c r="AZ596" s="147"/>
      <c r="BA596" s="147"/>
      <c r="BB596" s="147"/>
      <c r="BC596" s="147"/>
      <c r="BD596" s="147"/>
      <c r="BE596" s="147"/>
      <c r="BF596" s="147"/>
      <c r="BG596" s="147"/>
      <c r="BH596" s="147"/>
      <c r="BI596" s="147"/>
      <c r="BJ596" s="147"/>
      <c r="BK596" s="147"/>
      <c r="BL596" s="147"/>
      <c r="BM596" s="147"/>
      <c r="BN596" s="147"/>
      <c r="BO596" s="147"/>
      <c r="BP596" s="147"/>
      <c r="BQ596" s="147"/>
      <c r="BR596" s="147"/>
      <c r="BS596" s="147"/>
      <c r="BT596" s="147"/>
      <c r="BU596" s="147"/>
      <c r="BV596" s="147"/>
      <c r="BW596" s="147"/>
      <c r="BX596" s="147"/>
      <c r="BY596" s="147"/>
      <c r="BZ596" s="147"/>
      <c r="CA596" s="147"/>
      <c r="CB596" s="147"/>
      <c r="CC596" s="147"/>
      <c r="CD596" s="147"/>
      <c r="CE596" s="147"/>
      <c r="CF596" s="147"/>
      <c r="CG596" s="147"/>
      <c r="CH596" s="147"/>
      <c r="CI596" s="147"/>
      <c r="CJ596" s="147"/>
      <c r="CK596" s="147"/>
    </row>
    <row r="597" spans="1:89">
      <c r="A597" s="157"/>
      <c r="F597" s="3"/>
      <c r="G597" s="3"/>
      <c r="L597" s="157"/>
      <c r="M597" s="157"/>
      <c r="O597" s="147"/>
      <c r="P597" s="147"/>
      <c r="Q597" s="147"/>
      <c r="R597" s="147"/>
      <c r="S597" s="147"/>
      <c r="T597" s="147"/>
      <c r="U597" s="147"/>
      <c r="V597" s="147"/>
      <c r="W597" s="147"/>
      <c r="X597" s="147"/>
      <c r="Y597" s="147"/>
      <c r="Z597" s="147"/>
      <c r="AA597" s="147"/>
      <c r="AB597" s="147"/>
      <c r="AC597" s="147"/>
      <c r="AD597" s="147"/>
      <c r="AE597" s="147"/>
      <c r="AF597" s="147"/>
      <c r="AG597" s="147"/>
      <c r="AH597" s="147"/>
      <c r="AI597" s="147"/>
      <c r="AJ597" s="147"/>
      <c r="AK597" s="147"/>
      <c r="AL597" s="147"/>
      <c r="AM597" s="151"/>
      <c r="AN597" s="147"/>
      <c r="AO597" s="147"/>
      <c r="AP597" s="147"/>
      <c r="AQ597" s="147"/>
      <c r="AR597" s="147"/>
      <c r="AS597" s="147"/>
      <c r="AT597" s="147"/>
      <c r="AU597" s="147"/>
      <c r="AV597" s="147"/>
      <c r="AW597" s="147"/>
      <c r="AX597" s="147"/>
      <c r="AY597" s="147"/>
      <c r="AZ597" s="147"/>
      <c r="BA597" s="147"/>
      <c r="BB597" s="147"/>
      <c r="BC597" s="147"/>
      <c r="BD597" s="147"/>
      <c r="BE597" s="147"/>
      <c r="BF597" s="147"/>
      <c r="BG597" s="147"/>
      <c r="BH597" s="147"/>
      <c r="BI597" s="147"/>
      <c r="BJ597" s="147"/>
      <c r="BK597" s="147"/>
      <c r="BL597" s="147"/>
      <c r="BM597" s="147"/>
      <c r="BN597" s="147"/>
      <c r="BO597" s="147"/>
      <c r="BP597" s="147"/>
      <c r="BQ597" s="147"/>
      <c r="BR597" s="147"/>
      <c r="BS597" s="147"/>
      <c r="BT597" s="147"/>
      <c r="BU597" s="147"/>
      <c r="BV597" s="147"/>
      <c r="BW597" s="147"/>
      <c r="BX597" s="147"/>
      <c r="BY597" s="147"/>
      <c r="BZ597" s="147"/>
      <c r="CA597" s="147"/>
      <c r="CB597" s="147"/>
      <c r="CC597" s="147"/>
      <c r="CD597" s="147"/>
      <c r="CE597" s="147"/>
      <c r="CF597" s="147"/>
      <c r="CG597" s="147"/>
      <c r="CH597" s="147"/>
      <c r="CI597" s="147"/>
      <c r="CJ597" s="147"/>
      <c r="CK597" s="147"/>
    </row>
    <row r="598" spans="1:89">
      <c r="A598" s="157"/>
      <c r="F598" s="3"/>
      <c r="G598" s="3"/>
      <c r="L598" s="157"/>
      <c r="M598" s="157"/>
      <c r="O598" s="147"/>
      <c r="P598" s="147"/>
      <c r="Q598" s="147"/>
      <c r="R598" s="147"/>
      <c r="S598" s="147"/>
      <c r="T598" s="147"/>
      <c r="U598" s="147"/>
      <c r="V598" s="147"/>
      <c r="W598" s="147"/>
      <c r="X598" s="147"/>
      <c r="Y598" s="147"/>
      <c r="Z598" s="147"/>
      <c r="AA598" s="147"/>
      <c r="AB598" s="147"/>
      <c r="AC598" s="147"/>
      <c r="AD598" s="147"/>
      <c r="AE598" s="147"/>
      <c r="AF598" s="147"/>
      <c r="AG598" s="147"/>
      <c r="AH598" s="147"/>
      <c r="AI598" s="147"/>
      <c r="AJ598" s="147"/>
      <c r="AK598" s="147"/>
      <c r="AL598" s="147"/>
      <c r="AM598" s="151"/>
      <c r="AN598" s="147"/>
      <c r="AO598" s="147"/>
      <c r="AP598" s="147"/>
      <c r="AQ598" s="147"/>
      <c r="AR598" s="147"/>
      <c r="AS598" s="147"/>
      <c r="AT598" s="147"/>
      <c r="AU598" s="147"/>
      <c r="AV598" s="147"/>
      <c r="AW598" s="147"/>
      <c r="AX598" s="147"/>
      <c r="AY598" s="147"/>
      <c r="AZ598" s="147"/>
      <c r="BA598" s="147"/>
      <c r="BB598" s="147"/>
      <c r="BC598" s="147"/>
      <c r="BD598" s="147"/>
      <c r="BE598" s="147"/>
      <c r="BF598" s="147"/>
      <c r="BG598" s="147"/>
      <c r="BH598" s="147"/>
      <c r="BI598" s="147"/>
      <c r="BJ598" s="147"/>
      <c r="BK598" s="147"/>
      <c r="BL598" s="147"/>
      <c r="BM598" s="147"/>
      <c r="BN598" s="147"/>
      <c r="BO598" s="147"/>
      <c r="BP598" s="147"/>
      <c r="BQ598" s="147"/>
      <c r="BR598" s="147"/>
      <c r="BS598" s="147"/>
      <c r="BT598" s="147"/>
      <c r="BU598" s="147"/>
      <c r="BV598" s="147"/>
      <c r="BW598" s="147"/>
      <c r="BX598" s="147"/>
      <c r="BY598" s="147"/>
      <c r="BZ598" s="147"/>
      <c r="CA598" s="147"/>
      <c r="CB598" s="147"/>
      <c r="CC598" s="147"/>
      <c r="CD598" s="147"/>
      <c r="CE598" s="147"/>
      <c r="CF598" s="147"/>
      <c r="CG598" s="147"/>
      <c r="CH598" s="147"/>
      <c r="CI598" s="147"/>
      <c r="CJ598" s="147"/>
      <c r="CK598" s="147"/>
    </row>
    <row r="599" spans="1:89">
      <c r="A599" s="157"/>
      <c r="F599" s="3"/>
      <c r="G599" s="3"/>
      <c r="L599" s="157"/>
      <c r="M599" s="157"/>
      <c r="O599" s="147"/>
      <c r="P599" s="147"/>
      <c r="Q599" s="147"/>
      <c r="R599" s="147"/>
      <c r="S599" s="147"/>
      <c r="T599" s="147"/>
      <c r="U599" s="147"/>
      <c r="V599" s="147"/>
      <c r="W599" s="147"/>
      <c r="X599" s="147"/>
      <c r="Y599" s="147"/>
      <c r="Z599" s="147"/>
      <c r="AA599" s="147"/>
      <c r="AB599" s="147"/>
      <c r="AC599" s="147"/>
      <c r="AD599" s="147"/>
      <c r="AE599" s="147"/>
      <c r="AF599" s="147"/>
      <c r="AG599" s="147"/>
      <c r="AH599" s="147"/>
      <c r="AI599" s="147"/>
      <c r="AJ599" s="147"/>
      <c r="AK599" s="147"/>
      <c r="AL599" s="147"/>
      <c r="AM599" s="151"/>
      <c r="AN599" s="147"/>
      <c r="AO599" s="147"/>
      <c r="AP599" s="147"/>
      <c r="AQ599" s="147"/>
      <c r="AR599" s="147"/>
      <c r="AS599" s="147"/>
      <c r="AT599" s="147"/>
      <c r="AU599" s="147"/>
      <c r="AV599" s="147"/>
      <c r="AW599" s="147"/>
      <c r="AX599" s="147"/>
      <c r="AY599" s="147"/>
      <c r="AZ599" s="147"/>
      <c r="BA599" s="147"/>
      <c r="BB599" s="147"/>
      <c r="BC599" s="147"/>
      <c r="BD599" s="147"/>
      <c r="BE599" s="147"/>
      <c r="BF599" s="147"/>
      <c r="BG599" s="147"/>
      <c r="BH599" s="147"/>
      <c r="BI599" s="147"/>
      <c r="BJ599" s="147"/>
      <c r="BK599" s="147"/>
      <c r="BL599" s="147"/>
      <c r="BM599" s="147"/>
      <c r="BN599" s="147"/>
      <c r="BO599" s="147"/>
      <c r="BP599" s="147"/>
      <c r="BQ599" s="147"/>
      <c r="BR599" s="147"/>
      <c r="BS599" s="147"/>
      <c r="BT599" s="147"/>
      <c r="BU599" s="147"/>
      <c r="BV599" s="147"/>
      <c r="BW599" s="147"/>
      <c r="BX599" s="147"/>
      <c r="BY599" s="147"/>
      <c r="BZ599" s="147"/>
      <c r="CA599" s="147"/>
      <c r="CB599" s="147"/>
      <c r="CC599" s="147"/>
      <c r="CD599" s="147"/>
      <c r="CE599" s="147"/>
      <c r="CF599" s="147"/>
      <c r="CG599" s="147"/>
      <c r="CH599" s="147"/>
      <c r="CI599" s="147"/>
      <c r="CJ599" s="147"/>
      <c r="CK599" s="147"/>
    </row>
    <row r="600" spans="1:89">
      <c r="A600" s="157"/>
      <c r="F600" s="3"/>
      <c r="G600" s="3"/>
      <c r="L600" s="157"/>
      <c r="M600" s="157"/>
      <c r="O600" s="147"/>
      <c r="P600" s="147"/>
      <c r="Q600" s="147"/>
      <c r="R600" s="147"/>
      <c r="S600" s="147"/>
      <c r="T600" s="147"/>
      <c r="U600" s="147"/>
      <c r="V600" s="147"/>
      <c r="W600" s="147"/>
      <c r="X600" s="147"/>
      <c r="Y600" s="147"/>
      <c r="Z600" s="147"/>
      <c r="AA600" s="147"/>
      <c r="AB600" s="147"/>
      <c r="AC600" s="147"/>
      <c r="AD600" s="147"/>
      <c r="AE600" s="147"/>
      <c r="AF600" s="147"/>
      <c r="AG600" s="147"/>
      <c r="AH600" s="147"/>
      <c r="AI600" s="147"/>
      <c r="AJ600" s="147"/>
      <c r="AK600" s="147"/>
      <c r="AL600" s="147"/>
      <c r="AM600" s="151"/>
      <c r="AN600" s="147"/>
      <c r="AO600" s="147"/>
      <c r="AP600" s="147"/>
      <c r="AQ600" s="147"/>
      <c r="AR600" s="147"/>
      <c r="AS600" s="147"/>
      <c r="AT600" s="147"/>
      <c r="AU600" s="147"/>
      <c r="AV600" s="147"/>
      <c r="AW600" s="147"/>
      <c r="AX600" s="147"/>
      <c r="AY600" s="147"/>
      <c r="AZ600" s="147"/>
      <c r="BA600" s="147"/>
      <c r="BB600" s="147"/>
      <c r="BC600" s="147"/>
      <c r="BD600" s="147"/>
      <c r="BE600" s="147"/>
      <c r="BF600" s="147"/>
      <c r="BG600" s="147"/>
      <c r="BH600" s="147"/>
      <c r="BI600" s="147"/>
      <c r="BJ600" s="147"/>
      <c r="BK600" s="147"/>
      <c r="BL600" s="147"/>
      <c r="BM600" s="147"/>
      <c r="BN600" s="147"/>
      <c r="BO600" s="147"/>
      <c r="BP600" s="147"/>
      <c r="BQ600" s="147"/>
      <c r="BR600" s="147"/>
      <c r="BS600" s="147"/>
      <c r="BT600" s="147"/>
      <c r="BU600" s="147"/>
      <c r="BV600" s="147"/>
      <c r="BW600" s="147"/>
      <c r="BX600" s="147"/>
      <c r="BY600" s="147"/>
      <c r="BZ600" s="147"/>
      <c r="CA600" s="147"/>
      <c r="CB600" s="147"/>
      <c r="CC600" s="147"/>
      <c r="CD600" s="147"/>
      <c r="CE600" s="147"/>
      <c r="CF600" s="147"/>
      <c r="CG600" s="147"/>
      <c r="CH600" s="147"/>
      <c r="CI600" s="147"/>
      <c r="CJ600" s="147"/>
      <c r="CK600" s="147"/>
    </row>
    <row r="601" spans="1:89">
      <c r="A601" s="157"/>
      <c r="F601" s="3"/>
      <c r="G601" s="3"/>
      <c r="L601" s="157"/>
      <c r="M601" s="157"/>
      <c r="O601" s="147"/>
      <c r="P601" s="147"/>
      <c r="Q601" s="147"/>
      <c r="R601" s="147"/>
      <c r="S601" s="147"/>
      <c r="T601" s="147"/>
      <c r="U601" s="147"/>
      <c r="V601" s="147"/>
      <c r="W601" s="147"/>
      <c r="X601" s="147"/>
      <c r="Y601" s="147"/>
      <c r="Z601" s="147"/>
      <c r="AA601" s="147"/>
      <c r="AB601" s="147"/>
      <c r="AC601" s="147"/>
      <c r="AD601" s="147"/>
      <c r="AE601" s="147"/>
      <c r="AF601" s="147"/>
      <c r="AG601" s="147"/>
      <c r="AH601" s="147"/>
      <c r="AI601" s="147"/>
      <c r="AJ601" s="147"/>
      <c r="AK601" s="147"/>
      <c r="AL601" s="147"/>
      <c r="AM601" s="151"/>
      <c r="AN601" s="147"/>
      <c r="AO601" s="147"/>
      <c r="AP601" s="147"/>
      <c r="AQ601" s="147"/>
      <c r="AR601" s="147"/>
      <c r="AS601" s="147"/>
      <c r="AT601" s="147"/>
      <c r="AU601" s="147"/>
      <c r="AV601" s="147"/>
      <c r="AW601" s="147"/>
      <c r="AX601" s="147"/>
      <c r="AY601" s="147"/>
      <c r="AZ601" s="147"/>
      <c r="BA601" s="147"/>
      <c r="BB601" s="147"/>
      <c r="BC601" s="147"/>
      <c r="BD601" s="147"/>
      <c r="BE601" s="147"/>
      <c r="BF601" s="147"/>
      <c r="BG601" s="147"/>
      <c r="BH601" s="147"/>
      <c r="BI601" s="147"/>
      <c r="BJ601" s="147"/>
      <c r="BK601" s="147"/>
      <c r="BL601" s="147"/>
      <c r="BM601" s="147"/>
      <c r="BN601" s="147"/>
      <c r="BO601" s="147"/>
      <c r="BP601" s="147"/>
      <c r="BQ601" s="147"/>
      <c r="BR601" s="147"/>
      <c r="BS601" s="147"/>
      <c r="BT601" s="147"/>
      <c r="BU601" s="147"/>
      <c r="BV601" s="147"/>
      <c r="BW601" s="147"/>
      <c r="BX601" s="147"/>
      <c r="BY601" s="147"/>
      <c r="BZ601" s="147"/>
      <c r="CA601" s="147"/>
      <c r="CB601" s="147"/>
      <c r="CC601" s="147"/>
      <c r="CD601" s="147"/>
      <c r="CE601" s="147"/>
      <c r="CF601" s="147"/>
      <c r="CG601" s="147"/>
      <c r="CH601" s="147"/>
      <c r="CI601" s="147"/>
      <c r="CJ601" s="147"/>
      <c r="CK601" s="147"/>
    </row>
    <row r="602" spans="1:89">
      <c r="A602" s="157"/>
      <c r="F602" s="3"/>
      <c r="G602" s="3"/>
      <c r="L602" s="157"/>
      <c r="M602" s="157"/>
      <c r="O602" s="147"/>
      <c r="P602" s="147"/>
      <c r="Q602" s="147"/>
      <c r="R602" s="147"/>
      <c r="S602" s="147"/>
      <c r="T602" s="147"/>
      <c r="U602" s="147"/>
      <c r="V602" s="147"/>
      <c r="W602" s="147"/>
      <c r="X602" s="147"/>
      <c r="Y602" s="147"/>
      <c r="Z602" s="147"/>
      <c r="AA602" s="147"/>
      <c r="AB602" s="147"/>
      <c r="AC602" s="147"/>
      <c r="AD602" s="147"/>
      <c r="AE602" s="147"/>
      <c r="AF602" s="147"/>
      <c r="AG602" s="147"/>
      <c r="AH602" s="147"/>
      <c r="AI602" s="147"/>
      <c r="AJ602" s="147"/>
      <c r="AK602" s="147"/>
      <c r="AL602" s="147"/>
      <c r="AM602" s="151"/>
      <c r="AN602" s="147"/>
      <c r="AO602" s="147"/>
      <c r="AP602" s="147"/>
      <c r="AQ602" s="147"/>
      <c r="AR602" s="147"/>
      <c r="AS602" s="147"/>
      <c r="AT602" s="147"/>
      <c r="AU602" s="147"/>
      <c r="AV602" s="147"/>
      <c r="AW602" s="147"/>
      <c r="AX602" s="147"/>
      <c r="AY602" s="147"/>
      <c r="AZ602" s="147"/>
      <c r="BA602" s="147"/>
      <c r="BB602" s="147"/>
      <c r="BC602" s="147"/>
      <c r="BD602" s="147"/>
      <c r="BE602" s="147"/>
      <c r="BF602" s="147"/>
      <c r="BG602" s="147"/>
      <c r="BH602" s="147"/>
      <c r="BI602" s="147"/>
      <c r="BJ602" s="147"/>
      <c r="BK602" s="147"/>
      <c r="BL602" s="147"/>
      <c r="BM602" s="147"/>
      <c r="BN602" s="147"/>
      <c r="BO602" s="147"/>
      <c r="BP602" s="147"/>
      <c r="BQ602" s="147"/>
      <c r="BR602" s="147"/>
      <c r="BS602" s="147"/>
      <c r="BT602" s="147"/>
      <c r="BU602" s="147"/>
      <c r="BV602" s="147"/>
      <c r="BW602" s="147"/>
      <c r="BX602" s="147"/>
      <c r="BY602" s="147"/>
      <c r="BZ602" s="147"/>
      <c r="CA602" s="147"/>
      <c r="CB602" s="147"/>
      <c r="CC602" s="147"/>
      <c r="CD602" s="147"/>
      <c r="CE602" s="147"/>
      <c r="CF602" s="147"/>
      <c r="CG602" s="147"/>
      <c r="CH602" s="147"/>
      <c r="CI602" s="147"/>
      <c r="CJ602" s="147"/>
      <c r="CK602" s="147"/>
    </row>
    <row r="603" spans="1:89">
      <c r="A603" s="157"/>
      <c r="F603" s="3"/>
      <c r="G603" s="3"/>
      <c r="L603" s="157"/>
      <c r="M603" s="157"/>
      <c r="O603" s="147"/>
      <c r="P603" s="147"/>
      <c r="Q603" s="147"/>
      <c r="R603" s="147"/>
      <c r="S603" s="147"/>
      <c r="T603" s="147"/>
      <c r="U603" s="147"/>
      <c r="V603" s="147"/>
      <c r="W603" s="147"/>
      <c r="X603" s="147"/>
      <c r="Y603" s="147"/>
      <c r="Z603" s="147"/>
      <c r="AA603" s="147"/>
      <c r="AB603" s="147"/>
      <c r="AC603" s="147"/>
      <c r="AD603" s="147"/>
      <c r="AE603" s="147"/>
      <c r="AF603" s="147"/>
      <c r="AG603" s="147"/>
      <c r="AH603" s="147"/>
      <c r="AI603" s="147"/>
      <c r="AJ603" s="147"/>
      <c r="AK603" s="147"/>
      <c r="AL603" s="147"/>
      <c r="AM603" s="151"/>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c r="BI603" s="147"/>
      <c r="BJ603" s="147"/>
      <c r="BK603" s="147"/>
      <c r="BL603" s="147"/>
      <c r="BM603" s="147"/>
      <c r="BN603" s="147"/>
      <c r="BO603" s="147"/>
      <c r="BP603" s="147"/>
      <c r="BQ603" s="147"/>
      <c r="BR603" s="147"/>
      <c r="BS603" s="147"/>
      <c r="BT603" s="147"/>
      <c r="BU603" s="147"/>
      <c r="BV603" s="147"/>
      <c r="BW603" s="147"/>
      <c r="BX603" s="147"/>
      <c r="BY603" s="147"/>
      <c r="BZ603" s="147"/>
      <c r="CA603" s="147"/>
      <c r="CB603" s="147"/>
      <c r="CC603" s="147"/>
      <c r="CD603" s="147"/>
      <c r="CE603" s="147"/>
      <c r="CF603" s="147"/>
      <c r="CG603" s="147"/>
      <c r="CH603" s="147"/>
      <c r="CI603" s="147"/>
      <c r="CJ603" s="147"/>
      <c r="CK603" s="147"/>
    </row>
    <row r="604" spans="1:89">
      <c r="A604" s="157"/>
      <c r="F604" s="3"/>
      <c r="G604" s="3"/>
      <c r="L604" s="157"/>
      <c r="M604" s="157"/>
      <c r="O604" s="147"/>
      <c r="P604" s="147"/>
      <c r="Q604" s="147"/>
      <c r="R604" s="147"/>
      <c r="S604" s="147"/>
      <c r="T604" s="147"/>
      <c r="U604" s="147"/>
      <c r="V604" s="147"/>
      <c r="W604" s="147"/>
      <c r="X604" s="147"/>
      <c r="Y604" s="147"/>
      <c r="Z604" s="147"/>
      <c r="AA604" s="147"/>
      <c r="AB604" s="147"/>
      <c r="AC604" s="147"/>
      <c r="AD604" s="147"/>
      <c r="AE604" s="147"/>
      <c r="AF604" s="147"/>
      <c r="AG604" s="147"/>
      <c r="AH604" s="147"/>
      <c r="AI604" s="147"/>
      <c r="AJ604" s="147"/>
      <c r="AK604" s="147"/>
      <c r="AL604" s="147"/>
      <c r="AM604" s="151"/>
      <c r="AN604" s="147"/>
      <c r="AO604" s="147"/>
      <c r="AP604" s="147"/>
      <c r="AQ604" s="147"/>
      <c r="AR604" s="147"/>
      <c r="AS604" s="147"/>
      <c r="AT604" s="147"/>
      <c r="AU604" s="147"/>
      <c r="AV604" s="147"/>
      <c r="AW604" s="147"/>
      <c r="AX604" s="147"/>
      <c r="AY604" s="147"/>
      <c r="AZ604" s="147"/>
      <c r="BA604" s="147"/>
      <c r="BB604" s="147"/>
      <c r="BC604" s="147"/>
      <c r="BD604" s="147"/>
      <c r="BE604" s="147"/>
      <c r="BF604" s="147"/>
      <c r="BG604" s="147"/>
      <c r="BH604" s="147"/>
      <c r="BI604" s="147"/>
      <c r="BJ604" s="147"/>
      <c r="BK604" s="147"/>
      <c r="BL604" s="147"/>
      <c r="BM604" s="147"/>
      <c r="BN604" s="147"/>
      <c r="BO604" s="147"/>
      <c r="BP604" s="147"/>
      <c r="BQ604" s="147"/>
      <c r="BR604" s="147"/>
      <c r="BS604" s="147"/>
      <c r="BT604" s="147"/>
      <c r="BU604" s="147"/>
      <c r="BV604" s="147"/>
      <c r="BW604" s="147"/>
      <c r="BX604" s="147"/>
      <c r="BY604" s="147"/>
      <c r="BZ604" s="147"/>
      <c r="CA604" s="147"/>
      <c r="CB604" s="147"/>
      <c r="CC604" s="147"/>
      <c r="CD604" s="147"/>
      <c r="CE604" s="147"/>
      <c r="CF604" s="147"/>
      <c r="CG604" s="147"/>
      <c r="CH604" s="147"/>
      <c r="CI604" s="147"/>
      <c r="CJ604" s="147"/>
      <c r="CK604" s="147"/>
    </row>
    <row r="605" spans="1:89">
      <c r="A605" s="157"/>
      <c r="F605" s="3"/>
      <c r="G605" s="3"/>
      <c r="L605" s="157"/>
      <c r="M605" s="157"/>
      <c r="O605" s="147"/>
      <c r="P605" s="147"/>
      <c r="Q605" s="147"/>
      <c r="R605" s="147"/>
      <c r="S605" s="147"/>
      <c r="T605" s="147"/>
      <c r="U605" s="147"/>
      <c r="V605" s="147"/>
      <c r="W605" s="147"/>
      <c r="X605" s="147"/>
      <c r="Y605" s="147"/>
      <c r="Z605" s="147"/>
      <c r="AA605" s="147"/>
      <c r="AB605" s="147"/>
      <c r="AC605" s="147"/>
      <c r="AD605" s="147"/>
      <c r="AE605" s="147"/>
      <c r="AF605" s="147"/>
      <c r="AG605" s="147"/>
      <c r="AH605" s="147"/>
      <c r="AI605" s="147"/>
      <c r="AJ605" s="147"/>
      <c r="AK605" s="147"/>
      <c r="AL605" s="147"/>
      <c r="AM605" s="151"/>
      <c r="AN605" s="147"/>
      <c r="AO605" s="147"/>
      <c r="AP605" s="147"/>
      <c r="AQ605" s="147"/>
      <c r="AR605" s="147"/>
      <c r="AS605" s="147"/>
      <c r="AT605" s="147"/>
      <c r="AU605" s="147"/>
      <c r="AV605" s="147"/>
      <c r="AW605" s="147"/>
      <c r="AX605" s="147"/>
      <c r="AY605" s="147"/>
      <c r="AZ605" s="147"/>
      <c r="BA605" s="147"/>
      <c r="BB605" s="147"/>
      <c r="BC605" s="147"/>
      <c r="BD605" s="147"/>
      <c r="BE605" s="147"/>
      <c r="BF605" s="147"/>
      <c r="BG605" s="147"/>
      <c r="BH605" s="147"/>
      <c r="BI605" s="147"/>
      <c r="BJ605" s="147"/>
      <c r="BK605" s="147"/>
      <c r="BL605" s="147"/>
      <c r="BM605" s="147"/>
      <c r="BN605" s="147"/>
      <c r="BO605" s="147"/>
      <c r="BP605" s="147"/>
      <c r="BQ605" s="147"/>
      <c r="BR605" s="147"/>
      <c r="BS605" s="147"/>
      <c r="BT605" s="147"/>
      <c r="BU605" s="147"/>
      <c r="BV605" s="147"/>
      <c r="BW605" s="147"/>
      <c r="BX605" s="147"/>
      <c r="BY605" s="147"/>
      <c r="BZ605" s="147"/>
      <c r="CA605" s="147"/>
      <c r="CB605" s="147"/>
      <c r="CC605" s="147"/>
      <c r="CD605" s="147"/>
      <c r="CE605" s="147"/>
      <c r="CF605" s="147"/>
      <c r="CG605" s="147"/>
      <c r="CH605" s="147"/>
      <c r="CI605" s="147"/>
      <c r="CJ605" s="147"/>
      <c r="CK605" s="147"/>
    </row>
    <row r="606" spans="1:89">
      <c r="A606" s="157"/>
      <c r="F606" s="3"/>
      <c r="G606" s="3"/>
      <c r="L606" s="157"/>
      <c r="M606" s="157"/>
      <c r="O606" s="147"/>
      <c r="P606" s="147"/>
      <c r="Q606" s="147"/>
      <c r="R606" s="147"/>
      <c r="S606" s="147"/>
      <c r="T606" s="147"/>
      <c r="U606" s="147"/>
      <c r="V606" s="147"/>
      <c r="W606" s="147"/>
      <c r="X606" s="147"/>
      <c r="Y606" s="147"/>
      <c r="Z606" s="147"/>
      <c r="AA606" s="147"/>
      <c r="AB606" s="147"/>
      <c r="AC606" s="147"/>
      <c r="AD606" s="147"/>
      <c r="AE606" s="147"/>
      <c r="AF606" s="147"/>
      <c r="AG606" s="147"/>
      <c r="AH606" s="147"/>
      <c r="AI606" s="147"/>
      <c r="AJ606" s="147"/>
      <c r="AK606" s="147"/>
      <c r="AL606" s="147"/>
      <c r="AM606" s="151"/>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c r="BI606" s="147"/>
      <c r="BJ606" s="147"/>
      <c r="BK606" s="147"/>
      <c r="BL606" s="147"/>
      <c r="BM606" s="147"/>
      <c r="BN606" s="147"/>
      <c r="BO606" s="147"/>
      <c r="BP606" s="147"/>
      <c r="BQ606" s="147"/>
      <c r="BR606" s="147"/>
      <c r="BS606" s="147"/>
      <c r="BT606" s="147"/>
      <c r="BU606" s="147"/>
      <c r="BV606" s="147"/>
      <c r="BW606" s="147"/>
      <c r="BX606" s="147"/>
      <c r="BY606" s="147"/>
      <c r="BZ606" s="147"/>
      <c r="CA606" s="147"/>
      <c r="CB606" s="147"/>
      <c r="CC606" s="147"/>
      <c r="CD606" s="147"/>
      <c r="CE606" s="147"/>
      <c r="CF606" s="147"/>
      <c r="CG606" s="147"/>
      <c r="CH606" s="147"/>
      <c r="CI606" s="147"/>
      <c r="CJ606" s="147"/>
      <c r="CK606" s="147"/>
    </row>
    <row r="607" spans="1:89">
      <c r="A607" s="157"/>
      <c r="F607" s="3"/>
      <c r="G607" s="3"/>
      <c r="L607" s="157"/>
      <c r="M607" s="157"/>
      <c r="O607" s="147"/>
      <c r="P607" s="147"/>
      <c r="Q607" s="147"/>
      <c r="R607" s="147"/>
      <c r="S607" s="147"/>
      <c r="T607" s="147"/>
      <c r="U607" s="147"/>
      <c r="V607" s="147"/>
      <c r="W607" s="147"/>
      <c r="X607" s="147"/>
      <c r="Y607" s="147"/>
      <c r="Z607" s="147"/>
      <c r="AA607" s="147"/>
      <c r="AB607" s="147"/>
      <c r="AC607" s="147"/>
      <c r="AD607" s="147"/>
      <c r="AE607" s="147"/>
      <c r="AF607" s="147"/>
      <c r="AG607" s="147"/>
      <c r="AH607" s="147"/>
      <c r="AI607" s="147"/>
      <c r="AJ607" s="147"/>
      <c r="AK607" s="147"/>
      <c r="AL607" s="147"/>
      <c r="AM607" s="151"/>
      <c r="AN607" s="147"/>
      <c r="AO607" s="147"/>
      <c r="AP607" s="147"/>
      <c r="AQ607" s="147"/>
      <c r="AR607" s="147"/>
      <c r="AS607" s="147"/>
      <c r="AT607" s="147"/>
      <c r="AU607" s="147"/>
      <c r="AV607" s="147"/>
      <c r="AW607" s="147"/>
      <c r="AX607" s="147"/>
      <c r="AY607" s="147"/>
      <c r="AZ607" s="147"/>
      <c r="BA607" s="147"/>
      <c r="BB607" s="147"/>
      <c r="BC607" s="147"/>
      <c r="BD607" s="147"/>
      <c r="BE607" s="147"/>
      <c r="BF607" s="147"/>
      <c r="BG607" s="147"/>
      <c r="BH607" s="147"/>
      <c r="BI607" s="147"/>
      <c r="BJ607" s="147"/>
      <c r="BK607" s="147"/>
      <c r="BL607" s="147"/>
      <c r="BM607" s="147"/>
      <c r="BN607" s="147"/>
      <c r="BO607" s="147"/>
      <c r="BP607" s="147"/>
      <c r="BQ607" s="147"/>
      <c r="BR607" s="147"/>
      <c r="BS607" s="147"/>
      <c r="BT607" s="147"/>
      <c r="BU607" s="147"/>
      <c r="BV607" s="147"/>
      <c r="BW607" s="147"/>
      <c r="BX607" s="147"/>
      <c r="BY607" s="147"/>
      <c r="BZ607" s="147"/>
      <c r="CA607" s="147"/>
      <c r="CB607" s="147"/>
      <c r="CC607" s="147"/>
      <c r="CD607" s="147"/>
      <c r="CE607" s="147"/>
      <c r="CF607" s="147"/>
      <c r="CG607" s="147"/>
      <c r="CH607" s="147"/>
      <c r="CI607" s="147"/>
      <c r="CJ607" s="147"/>
      <c r="CK607" s="147"/>
    </row>
    <row r="608" spans="1:89">
      <c r="A608" s="157"/>
      <c r="F608" s="3"/>
      <c r="G608" s="3"/>
      <c r="L608" s="157"/>
      <c r="M608" s="157"/>
      <c r="O608" s="147"/>
      <c r="P608" s="147"/>
      <c r="Q608" s="147"/>
      <c r="R608" s="147"/>
      <c r="S608" s="147"/>
      <c r="T608" s="147"/>
      <c r="U608" s="147"/>
      <c r="V608" s="147"/>
      <c r="W608" s="147"/>
      <c r="X608" s="147"/>
      <c r="Y608" s="147"/>
      <c r="Z608" s="147"/>
      <c r="AA608" s="147"/>
      <c r="AB608" s="147"/>
      <c r="AC608" s="147"/>
      <c r="AD608" s="147"/>
      <c r="AE608" s="147"/>
      <c r="AF608" s="147"/>
      <c r="AG608" s="147"/>
      <c r="AH608" s="147"/>
      <c r="AI608" s="147"/>
      <c r="AJ608" s="147"/>
      <c r="AK608" s="147"/>
      <c r="AL608" s="147"/>
      <c r="AM608" s="151"/>
      <c r="AN608" s="147"/>
      <c r="AO608" s="147"/>
      <c r="AP608" s="147"/>
      <c r="AQ608" s="147"/>
      <c r="AR608" s="147"/>
      <c r="AS608" s="147"/>
      <c r="AT608" s="147"/>
      <c r="AU608" s="147"/>
      <c r="AV608" s="147"/>
      <c r="AW608" s="147"/>
      <c r="AX608" s="147"/>
      <c r="AY608" s="147"/>
      <c r="AZ608" s="147"/>
      <c r="BA608" s="147"/>
      <c r="BB608" s="147"/>
      <c r="BC608" s="147"/>
      <c r="BD608" s="147"/>
      <c r="BE608" s="147"/>
      <c r="BF608" s="147"/>
      <c r="BG608" s="147"/>
      <c r="BH608" s="147"/>
      <c r="BI608" s="147"/>
      <c r="BJ608" s="147"/>
      <c r="BK608" s="147"/>
      <c r="BL608" s="147"/>
      <c r="BM608" s="147"/>
      <c r="BN608" s="147"/>
      <c r="BO608" s="147"/>
      <c r="BP608" s="147"/>
      <c r="BQ608" s="147"/>
      <c r="BR608" s="147"/>
      <c r="BS608" s="147"/>
      <c r="BT608" s="147"/>
      <c r="BU608" s="147"/>
      <c r="BV608" s="147"/>
      <c r="BW608" s="147"/>
      <c r="BX608" s="147"/>
      <c r="BY608" s="147"/>
      <c r="BZ608" s="147"/>
      <c r="CA608" s="147"/>
      <c r="CB608" s="147"/>
      <c r="CC608" s="147"/>
      <c r="CD608" s="147"/>
      <c r="CE608" s="147"/>
      <c r="CF608" s="147"/>
      <c r="CG608" s="147"/>
      <c r="CH608" s="147"/>
      <c r="CI608" s="147"/>
      <c r="CJ608" s="147"/>
      <c r="CK608" s="147"/>
    </row>
    <row r="609" spans="1:89">
      <c r="A609" s="157"/>
      <c r="F609" s="3"/>
      <c r="G609" s="3"/>
      <c r="L609" s="157"/>
      <c r="M609" s="157"/>
      <c r="O609" s="147"/>
      <c r="P609" s="147"/>
      <c r="Q609" s="147"/>
      <c r="R609" s="147"/>
      <c r="S609" s="147"/>
      <c r="T609" s="147"/>
      <c r="U609" s="147"/>
      <c r="V609" s="147"/>
      <c r="W609" s="147"/>
      <c r="X609" s="147"/>
      <c r="Y609" s="147"/>
      <c r="Z609" s="147"/>
      <c r="AA609" s="147"/>
      <c r="AB609" s="147"/>
      <c r="AC609" s="147"/>
      <c r="AD609" s="147"/>
      <c r="AE609" s="147"/>
      <c r="AF609" s="147"/>
      <c r="AG609" s="147"/>
      <c r="AH609" s="147"/>
      <c r="AI609" s="147"/>
      <c r="AJ609" s="147"/>
      <c r="AK609" s="147"/>
      <c r="AL609" s="147"/>
      <c r="AM609" s="151"/>
      <c r="AN609" s="147"/>
      <c r="AO609" s="147"/>
      <c r="AP609" s="147"/>
      <c r="AQ609" s="147"/>
      <c r="AR609" s="147"/>
      <c r="AS609" s="147"/>
      <c r="AT609" s="147"/>
      <c r="AU609" s="147"/>
      <c r="AV609" s="147"/>
      <c r="AW609" s="147"/>
      <c r="AX609" s="147"/>
      <c r="AY609" s="147"/>
      <c r="AZ609" s="147"/>
      <c r="BA609" s="147"/>
      <c r="BB609" s="147"/>
      <c r="BC609" s="147"/>
      <c r="BD609" s="147"/>
      <c r="BE609" s="147"/>
      <c r="BF609" s="147"/>
      <c r="BG609" s="147"/>
      <c r="BH609" s="147"/>
      <c r="BI609" s="147"/>
      <c r="BJ609" s="147"/>
      <c r="BK609" s="147"/>
      <c r="BL609" s="147"/>
      <c r="BM609" s="147"/>
      <c r="BN609" s="147"/>
      <c r="BO609" s="147"/>
      <c r="BP609" s="147"/>
      <c r="BQ609" s="147"/>
      <c r="BR609" s="147"/>
      <c r="BS609" s="147"/>
      <c r="BT609" s="147"/>
      <c r="BU609" s="147"/>
      <c r="BV609" s="147"/>
      <c r="BW609" s="147"/>
      <c r="BX609" s="147"/>
      <c r="BY609" s="147"/>
      <c r="BZ609" s="147"/>
      <c r="CA609" s="147"/>
      <c r="CB609" s="147"/>
      <c r="CC609" s="147"/>
      <c r="CD609" s="147"/>
      <c r="CE609" s="147"/>
      <c r="CF609" s="147"/>
      <c r="CG609" s="147"/>
      <c r="CH609" s="147"/>
      <c r="CI609" s="147"/>
      <c r="CJ609" s="147"/>
      <c r="CK609" s="147"/>
    </row>
    <row r="610" spans="1:89">
      <c r="A610" s="157"/>
      <c r="F610" s="3"/>
      <c r="G610" s="3"/>
      <c r="L610" s="157"/>
      <c r="M610" s="157"/>
      <c r="O610" s="147"/>
      <c r="P610" s="147"/>
      <c r="Q610" s="147"/>
      <c r="R610" s="147"/>
      <c r="S610" s="147"/>
      <c r="T610" s="147"/>
      <c r="U610" s="147"/>
      <c r="V610" s="147"/>
      <c r="W610" s="147"/>
      <c r="X610" s="147"/>
      <c r="Y610" s="147"/>
      <c r="Z610" s="147"/>
      <c r="AA610" s="147"/>
      <c r="AB610" s="147"/>
      <c r="AC610" s="147"/>
      <c r="AD610" s="147"/>
      <c r="AE610" s="147"/>
      <c r="AF610" s="147"/>
      <c r="AG610" s="147"/>
      <c r="AH610" s="147"/>
      <c r="AI610" s="147"/>
      <c r="AJ610" s="147"/>
      <c r="AK610" s="147"/>
      <c r="AL610" s="147"/>
      <c r="AM610" s="151"/>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c r="BI610" s="147"/>
      <c r="BJ610" s="147"/>
      <c r="BK610" s="147"/>
      <c r="BL610" s="147"/>
      <c r="BM610" s="147"/>
      <c r="BN610" s="147"/>
      <c r="BO610" s="147"/>
      <c r="BP610" s="147"/>
      <c r="BQ610" s="147"/>
      <c r="BR610" s="147"/>
      <c r="BS610" s="147"/>
      <c r="BT610" s="147"/>
      <c r="BU610" s="147"/>
      <c r="BV610" s="147"/>
      <c r="BW610" s="147"/>
      <c r="BX610" s="147"/>
      <c r="BY610" s="147"/>
      <c r="BZ610" s="147"/>
      <c r="CA610" s="147"/>
      <c r="CB610" s="147"/>
      <c r="CC610" s="147"/>
      <c r="CD610" s="147"/>
      <c r="CE610" s="147"/>
      <c r="CF610" s="147"/>
      <c r="CG610" s="147"/>
      <c r="CH610" s="147"/>
      <c r="CI610" s="147"/>
      <c r="CJ610" s="147"/>
      <c r="CK610" s="147"/>
    </row>
    <row r="611" spans="1:89">
      <c r="A611" s="157"/>
      <c r="F611" s="3"/>
      <c r="G611" s="3"/>
      <c r="L611" s="157"/>
      <c r="M611" s="157"/>
      <c r="O611" s="147"/>
      <c r="P611" s="147"/>
      <c r="Q611" s="147"/>
      <c r="R611" s="147"/>
      <c r="S611" s="147"/>
      <c r="T611" s="147"/>
      <c r="U611" s="147"/>
      <c r="V611" s="147"/>
      <c r="W611" s="147"/>
      <c r="X611" s="147"/>
      <c r="Y611" s="147"/>
      <c r="Z611" s="147"/>
      <c r="AA611" s="147"/>
      <c r="AB611" s="147"/>
      <c r="AC611" s="147"/>
      <c r="AD611" s="147"/>
      <c r="AE611" s="147"/>
      <c r="AF611" s="147"/>
      <c r="AG611" s="147"/>
      <c r="AH611" s="147"/>
      <c r="AI611" s="147"/>
      <c r="AJ611" s="147"/>
      <c r="AK611" s="147"/>
      <c r="AL611" s="147"/>
      <c r="AM611" s="151"/>
      <c r="AN611" s="147"/>
      <c r="AO611" s="147"/>
      <c r="AP611" s="147"/>
      <c r="AQ611" s="147"/>
      <c r="AR611" s="147"/>
      <c r="AS611" s="147"/>
      <c r="AT611" s="147"/>
      <c r="AU611" s="147"/>
      <c r="AV611" s="147"/>
      <c r="AW611" s="147"/>
      <c r="AX611" s="147"/>
      <c r="AY611" s="147"/>
      <c r="AZ611" s="147"/>
      <c r="BA611" s="147"/>
      <c r="BB611" s="147"/>
      <c r="BC611" s="147"/>
      <c r="BD611" s="147"/>
      <c r="BE611" s="147"/>
      <c r="BF611" s="147"/>
      <c r="BG611" s="147"/>
      <c r="BH611" s="147"/>
      <c r="BI611" s="147"/>
      <c r="BJ611" s="147"/>
      <c r="BK611" s="147"/>
      <c r="BL611" s="147"/>
      <c r="BM611" s="147"/>
      <c r="BN611" s="147"/>
      <c r="BO611" s="147"/>
      <c r="BP611" s="147"/>
      <c r="BQ611" s="147"/>
      <c r="BR611" s="147"/>
      <c r="BS611" s="147"/>
      <c r="BT611" s="147"/>
      <c r="BU611" s="147"/>
      <c r="BV611" s="147"/>
      <c r="BW611" s="147"/>
      <c r="BX611" s="147"/>
      <c r="BY611" s="147"/>
      <c r="BZ611" s="147"/>
      <c r="CA611" s="147"/>
      <c r="CB611" s="147"/>
      <c r="CC611" s="147"/>
      <c r="CD611" s="147"/>
      <c r="CE611" s="147"/>
      <c r="CF611" s="147"/>
      <c r="CG611" s="147"/>
      <c r="CH611" s="147"/>
      <c r="CI611" s="147"/>
      <c r="CJ611" s="147"/>
      <c r="CK611" s="147"/>
    </row>
    <row r="612" spans="1:89">
      <c r="A612" s="157"/>
      <c r="F612" s="3"/>
      <c r="G612" s="3"/>
      <c r="L612" s="157"/>
      <c r="M612" s="157"/>
      <c r="O612" s="147"/>
      <c r="P612" s="147"/>
      <c r="Q612" s="147"/>
      <c r="R612" s="147"/>
      <c r="S612" s="147"/>
      <c r="T612" s="147"/>
      <c r="U612" s="147"/>
      <c r="V612" s="147"/>
      <c r="W612" s="147"/>
      <c r="X612" s="147"/>
      <c r="Y612" s="147"/>
      <c r="Z612" s="147"/>
      <c r="AA612" s="147"/>
      <c r="AB612" s="147"/>
      <c r="AC612" s="147"/>
      <c r="AD612" s="147"/>
      <c r="AE612" s="147"/>
      <c r="AF612" s="147"/>
      <c r="AG612" s="147"/>
      <c r="AH612" s="147"/>
      <c r="AI612" s="147"/>
      <c r="AJ612" s="147"/>
      <c r="AK612" s="147"/>
      <c r="AL612" s="147"/>
      <c r="AM612" s="151"/>
      <c r="AN612" s="147"/>
      <c r="AO612" s="147"/>
      <c r="AP612" s="147"/>
      <c r="AQ612" s="147"/>
      <c r="AR612" s="147"/>
      <c r="AS612" s="147"/>
      <c r="AT612" s="147"/>
      <c r="AU612" s="147"/>
      <c r="AV612" s="147"/>
      <c r="AW612" s="147"/>
      <c r="AX612" s="147"/>
      <c r="AY612" s="147"/>
      <c r="AZ612" s="147"/>
      <c r="BA612" s="147"/>
      <c r="BB612" s="147"/>
      <c r="BC612" s="147"/>
      <c r="BD612" s="147"/>
      <c r="BE612" s="147"/>
      <c r="BF612" s="147"/>
      <c r="BG612" s="147"/>
      <c r="BH612" s="147"/>
      <c r="BI612" s="147"/>
      <c r="BJ612" s="147"/>
      <c r="BK612" s="147"/>
      <c r="BL612" s="147"/>
      <c r="BM612" s="147"/>
      <c r="BN612" s="147"/>
      <c r="BO612" s="147"/>
      <c r="BP612" s="147"/>
      <c r="BQ612" s="147"/>
      <c r="BR612" s="147"/>
      <c r="BS612" s="147"/>
      <c r="BT612" s="147"/>
      <c r="BU612" s="147"/>
      <c r="BV612" s="147"/>
      <c r="BW612" s="147"/>
      <c r="BX612" s="147"/>
      <c r="BY612" s="147"/>
      <c r="BZ612" s="147"/>
      <c r="CA612" s="147"/>
      <c r="CB612" s="147"/>
      <c r="CC612" s="147"/>
      <c r="CD612" s="147"/>
      <c r="CE612" s="147"/>
      <c r="CF612" s="147"/>
      <c r="CG612" s="147"/>
      <c r="CH612" s="147"/>
      <c r="CI612" s="147"/>
      <c r="CJ612" s="147"/>
      <c r="CK612" s="147"/>
    </row>
    <row r="613" spans="1:89">
      <c r="A613" s="157"/>
      <c r="F613" s="3"/>
      <c r="G613" s="3"/>
      <c r="L613" s="157"/>
      <c r="M613" s="157"/>
      <c r="O613" s="147"/>
      <c r="P613" s="147"/>
      <c r="Q613" s="147"/>
      <c r="R613" s="147"/>
      <c r="S613" s="147"/>
      <c r="T613" s="147"/>
      <c r="U613" s="147"/>
      <c r="V613" s="147"/>
      <c r="W613" s="147"/>
      <c r="X613" s="147"/>
      <c r="Y613" s="147"/>
      <c r="Z613" s="147"/>
      <c r="AA613" s="147"/>
      <c r="AB613" s="147"/>
      <c r="AC613" s="147"/>
      <c r="AD613" s="147"/>
      <c r="AE613" s="147"/>
      <c r="AF613" s="147"/>
      <c r="AG613" s="147"/>
      <c r="AH613" s="147"/>
      <c r="AI613" s="147"/>
      <c r="AJ613" s="147"/>
      <c r="AK613" s="147"/>
      <c r="AL613" s="147"/>
      <c r="AM613" s="151"/>
      <c r="AN613" s="147"/>
      <c r="AO613" s="147"/>
      <c r="AP613" s="147"/>
      <c r="AQ613" s="147"/>
      <c r="AR613" s="147"/>
      <c r="AS613" s="147"/>
      <c r="AT613" s="147"/>
      <c r="AU613" s="147"/>
      <c r="AV613" s="147"/>
      <c r="AW613" s="147"/>
      <c r="AX613" s="147"/>
      <c r="AY613" s="147"/>
      <c r="AZ613" s="147"/>
      <c r="BA613" s="147"/>
      <c r="BB613" s="147"/>
      <c r="BC613" s="147"/>
      <c r="BD613" s="147"/>
      <c r="BE613" s="147"/>
      <c r="BF613" s="147"/>
      <c r="BG613" s="147"/>
      <c r="BH613" s="147"/>
      <c r="BI613" s="147"/>
      <c r="BJ613" s="147"/>
      <c r="BK613" s="147"/>
      <c r="BL613" s="147"/>
      <c r="BM613" s="147"/>
      <c r="BN613" s="147"/>
      <c r="BO613" s="147"/>
      <c r="BP613" s="147"/>
      <c r="BQ613" s="147"/>
      <c r="BR613" s="147"/>
      <c r="BS613" s="147"/>
      <c r="BT613" s="147"/>
      <c r="BU613" s="147"/>
      <c r="BV613" s="147"/>
      <c r="BW613" s="147"/>
      <c r="BX613" s="147"/>
      <c r="BY613" s="147"/>
      <c r="BZ613" s="147"/>
      <c r="CA613" s="147"/>
      <c r="CB613" s="147"/>
      <c r="CC613" s="147"/>
      <c r="CD613" s="147"/>
      <c r="CE613" s="147"/>
      <c r="CF613" s="147"/>
      <c r="CG613" s="147"/>
      <c r="CH613" s="147"/>
      <c r="CI613" s="147"/>
      <c r="CJ613" s="147"/>
      <c r="CK613" s="147"/>
    </row>
    <row r="614" spans="1:89">
      <c r="A614" s="157"/>
      <c r="F614" s="3"/>
      <c r="G614" s="3"/>
      <c r="L614" s="157"/>
      <c r="M614" s="157"/>
      <c r="O614" s="147"/>
      <c r="P614" s="147"/>
      <c r="Q614" s="147"/>
      <c r="R614" s="147"/>
      <c r="S614" s="147"/>
      <c r="T614" s="147"/>
      <c r="U614" s="147"/>
      <c r="V614" s="147"/>
      <c r="W614" s="147"/>
      <c r="X614" s="147"/>
      <c r="Y614" s="147"/>
      <c r="Z614" s="147"/>
      <c r="AA614" s="147"/>
      <c r="AB614" s="147"/>
      <c r="AC614" s="147"/>
      <c r="AD614" s="147"/>
      <c r="AE614" s="147"/>
      <c r="AF614" s="147"/>
      <c r="AG614" s="147"/>
      <c r="AH614" s="147"/>
      <c r="AI614" s="147"/>
      <c r="AJ614" s="147"/>
      <c r="AK614" s="147"/>
      <c r="AL614" s="147"/>
      <c r="AM614" s="151"/>
      <c r="AN614" s="147"/>
      <c r="AO614" s="147"/>
      <c r="AP614" s="147"/>
      <c r="AQ614" s="147"/>
      <c r="AR614" s="147"/>
      <c r="AS614" s="147"/>
      <c r="AT614" s="147"/>
      <c r="AU614" s="147"/>
      <c r="AV614" s="147"/>
      <c r="AW614" s="147"/>
      <c r="AX614" s="147"/>
      <c r="AY614" s="147"/>
      <c r="AZ614" s="147"/>
      <c r="BA614" s="147"/>
      <c r="BB614" s="147"/>
      <c r="BC614" s="147"/>
      <c r="BD614" s="147"/>
      <c r="BE614" s="147"/>
      <c r="BF614" s="147"/>
      <c r="BG614" s="147"/>
      <c r="BH614" s="147"/>
      <c r="BI614" s="147"/>
      <c r="BJ614" s="147"/>
      <c r="BK614" s="147"/>
      <c r="BL614" s="147"/>
      <c r="BM614" s="147"/>
      <c r="BN614" s="147"/>
      <c r="BO614" s="147"/>
      <c r="BP614" s="147"/>
      <c r="BQ614" s="147"/>
      <c r="BR614" s="147"/>
      <c r="BS614" s="147"/>
      <c r="BT614" s="147"/>
      <c r="BU614" s="147"/>
      <c r="BV614" s="147"/>
      <c r="BW614" s="147"/>
      <c r="BX614" s="147"/>
      <c r="BY614" s="147"/>
      <c r="BZ614" s="147"/>
      <c r="CA614" s="147"/>
      <c r="CB614" s="147"/>
      <c r="CC614" s="147"/>
      <c r="CD614" s="147"/>
      <c r="CE614" s="147"/>
      <c r="CF614" s="147"/>
      <c r="CG614" s="147"/>
      <c r="CH614" s="147"/>
      <c r="CI614" s="147"/>
      <c r="CJ614" s="147"/>
      <c r="CK614" s="147"/>
    </row>
    <row r="615" spans="1:89">
      <c r="A615" s="157"/>
      <c r="F615" s="3"/>
      <c r="G615" s="3"/>
      <c r="L615" s="157"/>
      <c r="M615" s="157"/>
      <c r="O615" s="147"/>
      <c r="P615" s="147"/>
      <c r="Q615" s="147"/>
      <c r="R615" s="147"/>
      <c r="S615" s="147"/>
      <c r="T615" s="147"/>
      <c r="U615" s="147"/>
      <c r="V615" s="147"/>
      <c r="W615" s="147"/>
      <c r="X615" s="147"/>
      <c r="Y615" s="147"/>
      <c r="Z615" s="147"/>
      <c r="AA615" s="147"/>
      <c r="AB615" s="147"/>
      <c r="AC615" s="147"/>
      <c r="AD615" s="147"/>
      <c r="AE615" s="147"/>
      <c r="AF615" s="147"/>
      <c r="AG615" s="147"/>
      <c r="AH615" s="147"/>
      <c r="AI615" s="147"/>
      <c r="AJ615" s="147"/>
      <c r="AK615" s="147"/>
      <c r="AL615" s="147"/>
      <c r="AM615" s="151"/>
      <c r="AN615" s="147"/>
      <c r="AO615" s="147"/>
      <c r="AP615" s="147"/>
      <c r="AQ615" s="147"/>
      <c r="AR615" s="147"/>
      <c r="AS615" s="147"/>
      <c r="AT615" s="147"/>
      <c r="AU615" s="147"/>
      <c r="AV615" s="147"/>
      <c r="AW615" s="147"/>
      <c r="AX615" s="147"/>
      <c r="AY615" s="147"/>
      <c r="AZ615" s="147"/>
      <c r="BA615" s="147"/>
      <c r="BB615" s="147"/>
      <c r="BC615" s="147"/>
      <c r="BD615" s="147"/>
      <c r="BE615" s="147"/>
      <c r="BF615" s="147"/>
      <c r="BG615" s="147"/>
      <c r="BH615" s="147"/>
      <c r="BI615" s="147"/>
      <c r="BJ615" s="147"/>
      <c r="BK615" s="147"/>
      <c r="BL615" s="147"/>
      <c r="BM615" s="147"/>
      <c r="BN615" s="147"/>
      <c r="BO615" s="147"/>
      <c r="BP615" s="147"/>
      <c r="BQ615" s="147"/>
      <c r="BR615" s="147"/>
      <c r="BS615" s="147"/>
      <c r="BT615" s="147"/>
      <c r="BU615" s="147"/>
      <c r="BV615" s="147"/>
      <c r="BW615" s="147"/>
      <c r="BX615" s="147"/>
      <c r="BY615" s="147"/>
      <c r="BZ615" s="147"/>
      <c r="CA615" s="147"/>
      <c r="CB615" s="147"/>
      <c r="CC615" s="147"/>
      <c r="CD615" s="147"/>
      <c r="CE615" s="147"/>
      <c r="CF615" s="147"/>
      <c r="CG615" s="147"/>
      <c r="CH615" s="147"/>
      <c r="CI615" s="147"/>
      <c r="CJ615" s="147"/>
      <c r="CK615" s="147"/>
    </row>
    <row r="616" spans="1:89">
      <c r="A616" s="157"/>
      <c r="F616" s="3"/>
      <c r="G616" s="3"/>
      <c r="L616" s="157"/>
      <c r="M616" s="157"/>
      <c r="O616" s="147"/>
      <c r="P616" s="147"/>
      <c r="Q616" s="147"/>
      <c r="R616" s="147"/>
      <c r="S616" s="147"/>
      <c r="T616" s="147"/>
      <c r="U616" s="147"/>
      <c r="V616" s="147"/>
      <c r="W616" s="147"/>
      <c r="X616" s="147"/>
      <c r="Y616" s="147"/>
      <c r="Z616" s="147"/>
      <c r="AA616" s="147"/>
      <c r="AB616" s="147"/>
      <c r="AC616" s="147"/>
      <c r="AD616" s="147"/>
      <c r="AE616" s="147"/>
      <c r="AF616" s="147"/>
      <c r="AG616" s="147"/>
      <c r="AH616" s="147"/>
      <c r="AI616" s="147"/>
      <c r="AJ616" s="147"/>
      <c r="AK616" s="147"/>
      <c r="AL616" s="147"/>
      <c r="AM616" s="151"/>
      <c r="AN616" s="147"/>
      <c r="AO616" s="147"/>
      <c r="AP616" s="147"/>
      <c r="AQ616" s="147"/>
      <c r="AR616" s="147"/>
      <c r="AS616" s="147"/>
      <c r="AT616" s="147"/>
      <c r="AU616" s="147"/>
      <c r="AV616" s="147"/>
      <c r="AW616" s="147"/>
      <c r="AX616" s="147"/>
      <c r="AY616" s="147"/>
      <c r="AZ616" s="147"/>
      <c r="BA616" s="147"/>
      <c r="BB616" s="147"/>
      <c r="BC616" s="147"/>
      <c r="BD616" s="147"/>
      <c r="BE616" s="147"/>
      <c r="BF616" s="147"/>
      <c r="BG616" s="147"/>
      <c r="BH616" s="147"/>
      <c r="BI616" s="147"/>
      <c r="BJ616" s="147"/>
      <c r="BK616" s="147"/>
      <c r="BL616" s="147"/>
      <c r="BM616" s="147"/>
      <c r="BN616" s="147"/>
      <c r="BO616" s="147"/>
      <c r="BP616" s="147"/>
      <c r="BQ616" s="147"/>
      <c r="BR616" s="147"/>
      <c r="BS616" s="147"/>
      <c r="BT616" s="147"/>
      <c r="BU616" s="147"/>
      <c r="BV616" s="147"/>
      <c r="BW616" s="147"/>
      <c r="BX616" s="147"/>
      <c r="BY616" s="147"/>
      <c r="BZ616" s="147"/>
      <c r="CA616" s="147"/>
      <c r="CB616" s="147"/>
      <c r="CC616" s="147"/>
      <c r="CD616" s="147"/>
      <c r="CE616" s="147"/>
      <c r="CF616" s="147"/>
      <c r="CG616" s="147"/>
      <c r="CH616" s="147"/>
      <c r="CI616" s="147"/>
      <c r="CJ616" s="147"/>
      <c r="CK616" s="147"/>
    </row>
    <row r="617" spans="1:89">
      <c r="A617" s="157"/>
      <c r="F617" s="3"/>
      <c r="G617" s="3"/>
      <c r="L617" s="157"/>
      <c r="M617" s="157"/>
      <c r="O617" s="147"/>
      <c r="P617" s="147"/>
      <c r="Q617" s="147"/>
      <c r="R617" s="147"/>
      <c r="S617" s="147"/>
      <c r="T617" s="147"/>
      <c r="U617" s="147"/>
      <c r="V617" s="147"/>
      <c r="W617" s="147"/>
      <c r="X617" s="147"/>
      <c r="Y617" s="147"/>
      <c r="Z617" s="147"/>
      <c r="AA617" s="147"/>
      <c r="AB617" s="147"/>
      <c r="AC617" s="147"/>
      <c r="AD617" s="147"/>
      <c r="AE617" s="147"/>
      <c r="AF617" s="147"/>
      <c r="AG617" s="147"/>
      <c r="AH617" s="147"/>
      <c r="AI617" s="147"/>
      <c r="AJ617" s="147"/>
      <c r="AK617" s="147"/>
      <c r="AL617" s="147"/>
      <c r="AM617" s="151"/>
      <c r="AN617" s="147"/>
      <c r="AO617" s="147"/>
      <c r="AP617" s="147"/>
      <c r="AQ617" s="147"/>
      <c r="AR617" s="147"/>
      <c r="AS617" s="147"/>
      <c r="AT617" s="147"/>
      <c r="AU617" s="147"/>
      <c r="AV617" s="147"/>
      <c r="AW617" s="147"/>
      <c r="AX617" s="147"/>
      <c r="AY617" s="147"/>
      <c r="AZ617" s="147"/>
      <c r="BA617" s="147"/>
      <c r="BB617" s="147"/>
      <c r="BC617" s="147"/>
      <c r="BD617" s="147"/>
      <c r="BE617" s="147"/>
      <c r="BF617" s="147"/>
      <c r="BG617" s="147"/>
      <c r="BH617" s="147"/>
      <c r="BI617" s="147"/>
      <c r="BJ617" s="147"/>
      <c r="BK617" s="147"/>
      <c r="BL617" s="147"/>
      <c r="BM617" s="147"/>
      <c r="BN617" s="147"/>
      <c r="BO617" s="147"/>
      <c r="BP617" s="147"/>
      <c r="BQ617" s="147"/>
      <c r="BR617" s="147"/>
      <c r="BS617" s="147"/>
      <c r="BT617" s="147"/>
      <c r="BU617" s="147"/>
      <c r="BV617" s="147"/>
      <c r="BW617" s="147"/>
      <c r="BX617" s="147"/>
      <c r="BY617" s="147"/>
      <c r="BZ617" s="147"/>
      <c r="CA617" s="147"/>
      <c r="CB617" s="147"/>
      <c r="CC617" s="147"/>
      <c r="CD617" s="147"/>
      <c r="CE617" s="147"/>
      <c r="CF617" s="147"/>
      <c r="CG617" s="147"/>
      <c r="CH617" s="147"/>
      <c r="CI617" s="147"/>
      <c r="CJ617" s="147"/>
      <c r="CK617" s="147"/>
    </row>
    <row r="618" spans="1:89">
      <c r="A618" s="157"/>
      <c r="F618" s="3"/>
      <c r="G618" s="3"/>
      <c r="L618" s="157"/>
      <c r="M618" s="157"/>
      <c r="O618" s="147"/>
      <c r="P618" s="147"/>
      <c r="Q618" s="147"/>
      <c r="R618" s="147"/>
      <c r="S618" s="147"/>
      <c r="T618" s="147"/>
      <c r="U618" s="147"/>
      <c r="V618" s="147"/>
      <c r="W618" s="147"/>
      <c r="X618" s="147"/>
      <c r="Y618" s="147"/>
      <c r="Z618" s="147"/>
      <c r="AA618" s="147"/>
      <c r="AB618" s="147"/>
      <c r="AC618" s="147"/>
      <c r="AD618" s="147"/>
      <c r="AE618" s="147"/>
      <c r="AF618" s="147"/>
      <c r="AG618" s="147"/>
      <c r="AH618" s="147"/>
      <c r="AI618" s="147"/>
      <c r="AJ618" s="147"/>
      <c r="AK618" s="147"/>
      <c r="AL618" s="147"/>
      <c r="AM618" s="151"/>
      <c r="AN618" s="147"/>
      <c r="AO618" s="147"/>
      <c r="AP618" s="147"/>
      <c r="AQ618" s="147"/>
      <c r="AR618" s="147"/>
      <c r="AS618" s="147"/>
      <c r="AT618" s="147"/>
      <c r="AU618" s="147"/>
      <c r="AV618" s="147"/>
      <c r="AW618" s="147"/>
      <c r="AX618" s="147"/>
      <c r="AY618" s="147"/>
      <c r="AZ618" s="147"/>
      <c r="BA618" s="147"/>
      <c r="BB618" s="147"/>
      <c r="BC618" s="147"/>
      <c r="BD618" s="147"/>
      <c r="BE618" s="147"/>
      <c r="BF618" s="147"/>
      <c r="BG618" s="147"/>
      <c r="BH618" s="147"/>
      <c r="BI618" s="147"/>
      <c r="BJ618" s="147"/>
      <c r="BK618" s="147"/>
      <c r="BL618" s="147"/>
      <c r="BM618" s="147"/>
      <c r="BN618" s="147"/>
      <c r="BO618" s="147"/>
      <c r="BP618" s="147"/>
      <c r="BQ618" s="147"/>
      <c r="BR618" s="147"/>
      <c r="BS618" s="147"/>
      <c r="BT618" s="147"/>
      <c r="BU618" s="147"/>
      <c r="BV618" s="147"/>
      <c r="BW618" s="147"/>
      <c r="BX618" s="147"/>
      <c r="BY618" s="147"/>
      <c r="BZ618" s="147"/>
      <c r="CA618" s="147"/>
      <c r="CB618" s="147"/>
      <c r="CC618" s="147"/>
      <c r="CD618" s="147"/>
      <c r="CE618" s="147"/>
      <c r="CF618" s="147"/>
      <c r="CG618" s="147"/>
      <c r="CH618" s="147"/>
      <c r="CI618" s="147"/>
      <c r="CJ618" s="147"/>
      <c r="CK618" s="147"/>
    </row>
    <row r="619" spans="1:89">
      <c r="A619" s="157"/>
      <c r="F619" s="3"/>
      <c r="G619" s="3"/>
      <c r="L619" s="157"/>
      <c r="M619" s="157"/>
      <c r="O619" s="147"/>
      <c r="P619" s="147"/>
      <c r="Q619" s="147"/>
      <c r="R619" s="147"/>
      <c r="S619" s="147"/>
      <c r="T619" s="147"/>
      <c r="U619" s="147"/>
      <c r="V619" s="147"/>
      <c r="W619" s="147"/>
      <c r="X619" s="147"/>
      <c r="Y619" s="147"/>
      <c r="Z619" s="147"/>
      <c r="AA619" s="147"/>
      <c r="AB619" s="147"/>
      <c r="AC619" s="147"/>
      <c r="AD619" s="147"/>
      <c r="AE619" s="147"/>
      <c r="AF619" s="147"/>
      <c r="AG619" s="147"/>
      <c r="AH619" s="147"/>
      <c r="AI619" s="147"/>
      <c r="AJ619" s="147"/>
      <c r="AK619" s="147"/>
      <c r="AL619" s="147"/>
      <c r="AM619" s="151"/>
      <c r="AN619" s="147"/>
      <c r="AO619" s="147"/>
      <c r="AP619" s="147"/>
      <c r="AQ619" s="147"/>
      <c r="AR619" s="147"/>
      <c r="AS619" s="147"/>
      <c r="AT619" s="147"/>
      <c r="AU619" s="147"/>
      <c r="AV619" s="147"/>
      <c r="AW619" s="147"/>
      <c r="AX619" s="147"/>
      <c r="AY619" s="147"/>
      <c r="AZ619" s="147"/>
      <c r="BA619" s="147"/>
      <c r="BB619" s="147"/>
      <c r="BC619" s="147"/>
      <c r="BD619" s="147"/>
      <c r="BE619" s="147"/>
      <c r="BF619" s="147"/>
      <c r="BG619" s="147"/>
      <c r="BH619" s="147"/>
      <c r="BI619" s="147"/>
      <c r="BJ619" s="147"/>
      <c r="BK619" s="147"/>
      <c r="BL619" s="147"/>
      <c r="BM619" s="147"/>
      <c r="BN619" s="147"/>
      <c r="BO619" s="147"/>
      <c r="BP619" s="147"/>
      <c r="BQ619" s="147"/>
      <c r="BR619" s="147"/>
      <c r="BS619" s="147"/>
      <c r="BT619" s="147"/>
      <c r="BU619" s="147"/>
      <c r="BV619" s="147"/>
      <c r="BW619" s="147"/>
      <c r="BX619" s="147"/>
      <c r="BY619" s="147"/>
      <c r="BZ619" s="147"/>
      <c r="CA619" s="147"/>
      <c r="CB619" s="147"/>
      <c r="CC619" s="147"/>
      <c r="CD619" s="147"/>
      <c r="CE619" s="147"/>
      <c r="CF619" s="147"/>
      <c r="CG619" s="147"/>
      <c r="CH619" s="147"/>
      <c r="CI619" s="147"/>
      <c r="CJ619" s="147"/>
      <c r="CK619" s="147"/>
    </row>
    <row r="620" spans="1:89">
      <c r="A620" s="157"/>
      <c r="F620" s="3"/>
      <c r="G620" s="3"/>
      <c r="L620" s="157"/>
      <c r="M620" s="157"/>
      <c r="O620" s="147"/>
      <c r="P620" s="147"/>
      <c r="Q620" s="147"/>
      <c r="R620" s="147"/>
      <c r="S620" s="147"/>
      <c r="T620" s="147"/>
      <c r="U620" s="147"/>
      <c r="V620" s="147"/>
      <c r="W620" s="147"/>
      <c r="X620" s="147"/>
      <c r="Y620" s="147"/>
      <c r="Z620" s="147"/>
      <c r="AA620" s="147"/>
      <c r="AB620" s="147"/>
      <c r="AC620" s="147"/>
      <c r="AD620" s="147"/>
      <c r="AE620" s="147"/>
      <c r="AF620" s="147"/>
      <c r="AG620" s="147"/>
      <c r="AH620" s="147"/>
      <c r="AI620" s="147"/>
      <c r="AJ620" s="147"/>
      <c r="AK620" s="147"/>
      <c r="AL620" s="147"/>
      <c r="AM620" s="151"/>
      <c r="AN620" s="147"/>
      <c r="AO620" s="147"/>
      <c r="AP620" s="147"/>
      <c r="AQ620" s="147"/>
      <c r="AR620" s="147"/>
      <c r="AS620" s="147"/>
      <c r="AT620" s="147"/>
      <c r="AU620" s="147"/>
      <c r="AV620" s="147"/>
      <c r="AW620" s="147"/>
      <c r="AX620" s="147"/>
      <c r="AY620" s="147"/>
      <c r="AZ620" s="147"/>
      <c r="BA620" s="147"/>
      <c r="BB620" s="147"/>
      <c r="BC620" s="147"/>
      <c r="BD620" s="147"/>
      <c r="BE620" s="147"/>
      <c r="BF620" s="147"/>
      <c r="BG620" s="147"/>
      <c r="BH620" s="147"/>
      <c r="BI620" s="147"/>
      <c r="BJ620" s="147"/>
      <c r="BK620" s="147"/>
      <c r="BL620" s="147"/>
      <c r="BM620" s="147"/>
      <c r="BN620" s="147"/>
      <c r="BO620" s="147"/>
      <c r="BP620" s="147"/>
      <c r="BQ620" s="147"/>
      <c r="BR620" s="147"/>
      <c r="BS620" s="147"/>
      <c r="BT620" s="147"/>
      <c r="BU620" s="147"/>
      <c r="BV620" s="147"/>
      <c r="BW620" s="147"/>
      <c r="BX620" s="147"/>
      <c r="BY620" s="147"/>
      <c r="BZ620" s="147"/>
      <c r="CA620" s="147"/>
      <c r="CB620" s="147"/>
      <c r="CC620" s="147"/>
      <c r="CD620" s="147"/>
      <c r="CE620" s="147"/>
      <c r="CF620" s="147"/>
      <c r="CG620" s="147"/>
      <c r="CH620" s="147"/>
      <c r="CI620" s="147"/>
      <c r="CJ620" s="147"/>
      <c r="CK620" s="147"/>
    </row>
    <row r="621" spans="1:89">
      <c r="A621" s="157"/>
      <c r="F621" s="3"/>
      <c r="G621" s="3"/>
      <c r="L621" s="157"/>
      <c r="M621" s="157"/>
      <c r="O621" s="147"/>
      <c r="P621" s="147"/>
      <c r="Q621" s="147"/>
      <c r="R621" s="147"/>
      <c r="S621" s="147"/>
      <c r="T621" s="147"/>
      <c r="U621" s="147"/>
      <c r="V621" s="147"/>
      <c r="W621" s="147"/>
      <c r="X621" s="147"/>
      <c r="Y621" s="147"/>
      <c r="Z621" s="147"/>
      <c r="AA621" s="147"/>
      <c r="AB621" s="147"/>
      <c r="AC621" s="147"/>
      <c r="AD621" s="147"/>
      <c r="AE621" s="147"/>
      <c r="AF621" s="147"/>
      <c r="AG621" s="147"/>
      <c r="AH621" s="147"/>
      <c r="AI621" s="147"/>
      <c r="AJ621" s="147"/>
      <c r="AK621" s="147"/>
      <c r="AL621" s="147"/>
      <c r="AM621" s="151"/>
      <c r="AN621" s="147"/>
      <c r="AO621" s="147"/>
      <c r="AP621" s="147"/>
      <c r="AQ621" s="147"/>
      <c r="AR621" s="147"/>
      <c r="AS621" s="147"/>
      <c r="AT621" s="147"/>
      <c r="AU621" s="147"/>
      <c r="AV621" s="147"/>
      <c r="AW621" s="147"/>
      <c r="AX621" s="147"/>
      <c r="AY621" s="147"/>
      <c r="AZ621" s="147"/>
      <c r="BA621" s="147"/>
      <c r="BB621" s="147"/>
      <c r="BC621" s="147"/>
      <c r="BD621" s="147"/>
      <c r="BE621" s="147"/>
      <c r="BF621" s="147"/>
      <c r="BG621" s="147"/>
      <c r="BH621" s="147"/>
      <c r="BI621" s="147"/>
      <c r="BJ621" s="147"/>
      <c r="BK621" s="147"/>
      <c r="BL621" s="147"/>
      <c r="BM621" s="147"/>
      <c r="BN621" s="147"/>
      <c r="BO621" s="147"/>
      <c r="BP621" s="147"/>
      <c r="BQ621" s="147"/>
      <c r="BR621" s="147"/>
      <c r="BS621" s="147"/>
      <c r="BT621" s="147"/>
      <c r="BU621" s="147"/>
      <c r="BV621" s="147"/>
      <c r="BW621" s="147"/>
      <c r="BX621" s="147"/>
      <c r="BY621" s="147"/>
      <c r="BZ621" s="147"/>
      <c r="CA621" s="147"/>
      <c r="CB621" s="147"/>
      <c r="CC621" s="147"/>
      <c r="CD621" s="147"/>
      <c r="CE621" s="147"/>
      <c r="CF621" s="147"/>
      <c r="CG621" s="147"/>
      <c r="CH621" s="147"/>
      <c r="CI621" s="147"/>
      <c r="CJ621" s="147"/>
      <c r="CK621" s="147"/>
    </row>
    <row r="622" spans="1:89">
      <c r="A622" s="157"/>
      <c r="F622" s="3"/>
      <c r="G622" s="3"/>
      <c r="L622" s="157"/>
      <c r="M622" s="157"/>
      <c r="O622" s="147"/>
      <c r="P622" s="147"/>
      <c r="Q622" s="147"/>
      <c r="R622" s="147"/>
      <c r="S622" s="147"/>
      <c r="T622" s="147"/>
      <c r="U622" s="147"/>
      <c r="V622" s="147"/>
      <c r="W622" s="147"/>
      <c r="X622" s="147"/>
      <c r="Y622" s="147"/>
      <c r="Z622" s="147"/>
      <c r="AA622" s="147"/>
      <c r="AB622" s="147"/>
      <c r="AC622" s="147"/>
      <c r="AD622" s="147"/>
      <c r="AE622" s="147"/>
      <c r="AF622" s="147"/>
      <c r="AG622" s="147"/>
      <c r="AH622" s="147"/>
      <c r="AI622" s="147"/>
      <c r="AJ622" s="147"/>
      <c r="AK622" s="147"/>
      <c r="AL622" s="147"/>
      <c r="AM622" s="151"/>
      <c r="AN622" s="147"/>
      <c r="AO622" s="147"/>
      <c r="AP622" s="147"/>
      <c r="AQ622" s="147"/>
      <c r="AR622" s="147"/>
      <c r="AS622" s="147"/>
      <c r="AT622" s="147"/>
      <c r="AU622" s="147"/>
      <c r="AV622" s="147"/>
      <c r="AW622" s="147"/>
      <c r="AX622" s="147"/>
      <c r="AY622" s="147"/>
      <c r="AZ622" s="147"/>
      <c r="BA622" s="147"/>
      <c r="BB622" s="147"/>
      <c r="BC622" s="147"/>
      <c r="BD622" s="147"/>
      <c r="BE622" s="147"/>
      <c r="BF622" s="147"/>
      <c r="BG622" s="147"/>
      <c r="BH622" s="147"/>
      <c r="BI622" s="147"/>
      <c r="BJ622" s="147"/>
      <c r="BK622" s="147"/>
      <c r="BL622" s="147"/>
      <c r="BM622" s="147"/>
      <c r="BN622" s="147"/>
      <c r="BO622" s="147"/>
      <c r="BP622" s="147"/>
      <c r="BQ622" s="147"/>
      <c r="BR622" s="147"/>
      <c r="BS622" s="147"/>
      <c r="BT622" s="147"/>
      <c r="BU622" s="147"/>
      <c r="BV622" s="147"/>
      <c r="BW622" s="147"/>
      <c r="BX622" s="147"/>
      <c r="BY622" s="147"/>
      <c r="BZ622" s="147"/>
      <c r="CA622" s="147"/>
      <c r="CB622" s="147"/>
      <c r="CC622" s="147"/>
      <c r="CD622" s="147"/>
      <c r="CE622" s="147"/>
      <c r="CF622" s="147"/>
      <c r="CG622" s="147"/>
      <c r="CH622" s="147"/>
      <c r="CI622" s="147"/>
      <c r="CJ622" s="147"/>
      <c r="CK622" s="147"/>
    </row>
    <row r="623" spans="1:89">
      <c r="A623" s="157"/>
      <c r="F623" s="3"/>
      <c r="G623" s="3"/>
      <c r="L623" s="157"/>
      <c r="M623" s="157"/>
      <c r="O623" s="147"/>
      <c r="P623" s="147"/>
      <c r="Q623" s="147"/>
      <c r="R623" s="147"/>
      <c r="S623" s="147"/>
      <c r="T623" s="147"/>
      <c r="U623" s="147"/>
      <c r="V623" s="147"/>
      <c r="W623" s="147"/>
      <c r="X623" s="147"/>
      <c r="Y623" s="147"/>
      <c r="Z623" s="147"/>
      <c r="AA623" s="147"/>
      <c r="AB623" s="147"/>
      <c r="AC623" s="147"/>
      <c r="AD623" s="147"/>
      <c r="AE623" s="147"/>
      <c r="AF623" s="147"/>
      <c r="AG623" s="147"/>
      <c r="AH623" s="147"/>
      <c r="AI623" s="147"/>
      <c r="AJ623" s="147"/>
      <c r="AK623" s="147"/>
      <c r="AL623" s="147"/>
      <c r="AM623" s="151"/>
      <c r="AN623" s="147"/>
      <c r="AO623" s="147"/>
      <c r="AP623" s="147"/>
      <c r="AQ623" s="147"/>
      <c r="AR623" s="147"/>
      <c r="AS623" s="147"/>
      <c r="AT623" s="147"/>
      <c r="AU623" s="147"/>
      <c r="AV623" s="147"/>
      <c r="AW623" s="147"/>
      <c r="AX623" s="147"/>
      <c r="AY623" s="147"/>
      <c r="AZ623" s="147"/>
      <c r="BA623" s="147"/>
      <c r="BB623" s="147"/>
      <c r="BC623" s="147"/>
      <c r="BD623" s="147"/>
      <c r="BE623" s="147"/>
      <c r="BF623" s="147"/>
      <c r="BG623" s="147"/>
      <c r="BH623" s="147"/>
      <c r="BI623" s="147"/>
      <c r="BJ623" s="147"/>
      <c r="BK623" s="147"/>
      <c r="BL623" s="147"/>
      <c r="BM623" s="147"/>
      <c r="BN623" s="147"/>
      <c r="BO623" s="147"/>
      <c r="BP623" s="147"/>
      <c r="BQ623" s="147"/>
      <c r="BR623" s="147"/>
      <c r="BS623" s="147"/>
      <c r="BT623" s="147"/>
      <c r="BU623" s="147"/>
      <c r="BV623" s="147"/>
      <c r="BW623" s="147"/>
      <c r="BX623" s="147"/>
      <c r="BY623" s="147"/>
      <c r="BZ623" s="147"/>
      <c r="CA623" s="147"/>
      <c r="CB623" s="147"/>
      <c r="CC623" s="147"/>
      <c r="CD623" s="147"/>
      <c r="CE623" s="147"/>
      <c r="CF623" s="147"/>
      <c r="CG623" s="147"/>
      <c r="CH623" s="147"/>
      <c r="CI623" s="147"/>
      <c r="CJ623" s="147"/>
      <c r="CK623" s="147"/>
    </row>
    <row r="624" spans="1:89">
      <c r="A624" s="157"/>
      <c r="F624" s="3"/>
      <c r="G624" s="3"/>
      <c r="L624" s="157"/>
      <c r="M624" s="157"/>
      <c r="O624" s="147"/>
      <c r="P624" s="147"/>
      <c r="Q624" s="147"/>
      <c r="R624" s="147"/>
      <c r="S624" s="147"/>
      <c r="T624" s="147"/>
      <c r="U624" s="147"/>
      <c r="V624" s="147"/>
      <c r="W624" s="147"/>
      <c r="X624" s="147"/>
      <c r="Y624" s="147"/>
      <c r="Z624" s="147"/>
      <c r="AA624" s="147"/>
      <c r="AB624" s="147"/>
      <c r="AC624" s="147"/>
      <c r="AD624" s="147"/>
      <c r="AE624" s="147"/>
      <c r="AF624" s="147"/>
      <c r="AG624" s="147"/>
      <c r="AH624" s="147"/>
      <c r="AI624" s="147"/>
      <c r="AJ624" s="147"/>
      <c r="AK624" s="147"/>
      <c r="AL624" s="147"/>
      <c r="AM624" s="151"/>
      <c r="AN624" s="147"/>
      <c r="AO624" s="147"/>
      <c r="AP624" s="147"/>
      <c r="AQ624" s="147"/>
      <c r="AR624" s="147"/>
      <c r="AS624" s="147"/>
      <c r="AT624" s="147"/>
      <c r="AU624" s="147"/>
      <c r="AV624" s="147"/>
      <c r="AW624" s="147"/>
      <c r="AX624" s="147"/>
      <c r="AY624" s="147"/>
      <c r="AZ624" s="147"/>
      <c r="BA624" s="147"/>
      <c r="BB624" s="147"/>
      <c r="BC624" s="147"/>
      <c r="BD624" s="147"/>
      <c r="BE624" s="147"/>
      <c r="BF624" s="147"/>
      <c r="BG624" s="147"/>
      <c r="BH624" s="147"/>
      <c r="BI624" s="147"/>
      <c r="BJ624" s="147"/>
      <c r="BK624" s="147"/>
      <c r="BL624" s="147"/>
      <c r="BM624" s="147"/>
      <c r="BN624" s="147"/>
      <c r="BO624" s="147"/>
      <c r="BP624" s="147"/>
      <c r="BQ624" s="147"/>
      <c r="BR624" s="147"/>
      <c r="BS624" s="147"/>
      <c r="BT624" s="147"/>
      <c r="BU624" s="147"/>
      <c r="BV624" s="147"/>
      <c r="BW624" s="147"/>
      <c r="BX624" s="147"/>
      <c r="BY624" s="147"/>
      <c r="BZ624" s="147"/>
      <c r="CA624" s="147"/>
      <c r="CB624" s="147"/>
      <c r="CC624" s="147"/>
      <c r="CD624" s="147"/>
      <c r="CE624" s="147"/>
      <c r="CF624" s="147"/>
      <c r="CG624" s="147"/>
      <c r="CH624" s="147"/>
      <c r="CI624" s="147"/>
      <c r="CJ624" s="147"/>
      <c r="CK624" s="147"/>
    </row>
    <row r="625" spans="1:89">
      <c r="A625" s="157"/>
      <c r="F625" s="3"/>
      <c r="G625" s="3"/>
      <c r="L625" s="157"/>
      <c r="M625" s="157"/>
      <c r="O625" s="147"/>
      <c r="P625" s="147"/>
      <c r="Q625" s="147"/>
      <c r="R625" s="147"/>
      <c r="S625" s="147"/>
      <c r="T625" s="147"/>
      <c r="U625" s="147"/>
      <c r="V625" s="147"/>
      <c r="W625" s="147"/>
      <c r="X625" s="147"/>
      <c r="Y625" s="147"/>
      <c r="Z625" s="147"/>
      <c r="AA625" s="147"/>
      <c r="AB625" s="147"/>
      <c r="AC625" s="147"/>
      <c r="AD625" s="147"/>
      <c r="AE625" s="147"/>
      <c r="AF625" s="147"/>
      <c r="AG625" s="147"/>
      <c r="AH625" s="147"/>
      <c r="AI625" s="147"/>
      <c r="AJ625" s="147"/>
      <c r="AK625" s="147"/>
      <c r="AL625" s="147"/>
      <c r="AM625" s="151"/>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c r="BI625" s="147"/>
      <c r="BJ625" s="147"/>
      <c r="BK625" s="147"/>
      <c r="BL625" s="147"/>
      <c r="BM625" s="147"/>
      <c r="BN625" s="147"/>
      <c r="BO625" s="147"/>
      <c r="BP625" s="147"/>
      <c r="BQ625" s="147"/>
      <c r="BR625" s="147"/>
      <c r="BS625" s="147"/>
      <c r="BT625" s="147"/>
      <c r="BU625" s="147"/>
      <c r="BV625" s="147"/>
      <c r="BW625" s="147"/>
      <c r="BX625" s="147"/>
      <c r="BY625" s="147"/>
      <c r="BZ625" s="147"/>
      <c r="CA625" s="147"/>
      <c r="CB625" s="147"/>
      <c r="CC625" s="147"/>
      <c r="CD625" s="147"/>
      <c r="CE625" s="147"/>
      <c r="CF625" s="147"/>
      <c r="CG625" s="147"/>
      <c r="CH625" s="147"/>
      <c r="CI625" s="147"/>
      <c r="CJ625" s="147"/>
      <c r="CK625" s="147"/>
    </row>
    <row r="626" spans="1:89">
      <c r="A626" s="157"/>
      <c r="F626" s="3"/>
      <c r="G626" s="3"/>
      <c r="L626" s="157"/>
      <c r="M626" s="157"/>
      <c r="O626" s="147"/>
      <c r="P626" s="147"/>
      <c r="Q626" s="147"/>
      <c r="R626" s="147"/>
      <c r="S626" s="147"/>
      <c r="T626" s="147"/>
      <c r="U626" s="147"/>
      <c r="V626" s="147"/>
      <c r="W626" s="147"/>
      <c r="X626" s="147"/>
      <c r="Y626" s="147"/>
      <c r="Z626" s="147"/>
      <c r="AA626" s="147"/>
      <c r="AB626" s="147"/>
      <c r="AC626" s="147"/>
      <c r="AD626" s="147"/>
      <c r="AE626" s="147"/>
      <c r="AF626" s="147"/>
      <c r="AG626" s="147"/>
      <c r="AH626" s="147"/>
      <c r="AI626" s="147"/>
      <c r="AJ626" s="147"/>
      <c r="AK626" s="147"/>
      <c r="AL626" s="147"/>
      <c r="AM626" s="151"/>
      <c r="AN626" s="147"/>
      <c r="AO626" s="147"/>
      <c r="AP626" s="147"/>
      <c r="AQ626" s="147"/>
      <c r="AR626" s="147"/>
      <c r="AS626" s="147"/>
      <c r="AT626" s="147"/>
      <c r="AU626" s="147"/>
      <c r="AV626" s="147"/>
      <c r="AW626" s="147"/>
      <c r="AX626" s="147"/>
      <c r="AY626" s="147"/>
      <c r="AZ626" s="147"/>
      <c r="BA626" s="147"/>
      <c r="BB626" s="147"/>
      <c r="BC626" s="147"/>
      <c r="BD626" s="147"/>
      <c r="BE626" s="147"/>
      <c r="BF626" s="147"/>
      <c r="BG626" s="147"/>
      <c r="BH626" s="147"/>
      <c r="BI626" s="147"/>
      <c r="BJ626" s="147"/>
      <c r="BK626" s="147"/>
      <c r="BL626" s="147"/>
      <c r="BM626" s="147"/>
      <c r="BN626" s="147"/>
      <c r="BO626" s="147"/>
      <c r="BP626" s="147"/>
      <c r="BQ626" s="147"/>
      <c r="BR626" s="147"/>
      <c r="BS626" s="147"/>
      <c r="BT626" s="147"/>
      <c r="BU626" s="147"/>
      <c r="BV626" s="147"/>
      <c r="BW626" s="147"/>
      <c r="BX626" s="147"/>
      <c r="BY626" s="147"/>
      <c r="BZ626" s="147"/>
      <c r="CA626" s="147"/>
      <c r="CB626" s="147"/>
      <c r="CC626" s="147"/>
      <c r="CD626" s="147"/>
      <c r="CE626" s="147"/>
      <c r="CF626" s="147"/>
      <c r="CG626" s="147"/>
      <c r="CH626" s="147"/>
      <c r="CI626" s="147"/>
      <c r="CJ626" s="147"/>
      <c r="CK626" s="147"/>
    </row>
    <row r="627" spans="1:89">
      <c r="A627" s="157"/>
      <c r="F627" s="3"/>
      <c r="G627" s="3"/>
      <c r="L627" s="157"/>
      <c r="M627" s="157"/>
      <c r="O627" s="147"/>
      <c r="P627" s="147"/>
      <c r="Q627" s="147"/>
      <c r="R627" s="147"/>
      <c r="S627" s="147"/>
      <c r="T627" s="147"/>
      <c r="U627" s="147"/>
      <c r="V627" s="147"/>
      <c r="W627" s="147"/>
      <c r="X627" s="147"/>
      <c r="Y627" s="147"/>
      <c r="Z627" s="147"/>
      <c r="AA627" s="147"/>
      <c r="AB627" s="147"/>
      <c r="AC627" s="147"/>
      <c r="AD627" s="147"/>
      <c r="AE627" s="147"/>
      <c r="AF627" s="147"/>
      <c r="AG627" s="147"/>
      <c r="AH627" s="147"/>
      <c r="AI627" s="147"/>
      <c r="AJ627" s="147"/>
      <c r="AK627" s="147"/>
      <c r="AL627" s="147"/>
      <c r="AM627" s="151"/>
      <c r="AN627" s="147"/>
      <c r="AO627" s="147"/>
      <c r="AP627" s="147"/>
      <c r="AQ627" s="147"/>
      <c r="AR627" s="147"/>
      <c r="AS627" s="147"/>
      <c r="AT627" s="147"/>
      <c r="AU627" s="147"/>
      <c r="AV627" s="147"/>
      <c r="AW627" s="147"/>
      <c r="AX627" s="147"/>
      <c r="AY627" s="147"/>
      <c r="AZ627" s="147"/>
      <c r="BA627" s="147"/>
      <c r="BB627" s="147"/>
      <c r="BC627" s="147"/>
      <c r="BD627" s="147"/>
      <c r="BE627" s="147"/>
      <c r="BF627" s="147"/>
      <c r="BG627" s="147"/>
      <c r="BH627" s="147"/>
      <c r="BI627" s="147"/>
      <c r="BJ627" s="147"/>
      <c r="BK627" s="147"/>
      <c r="BL627" s="147"/>
      <c r="BM627" s="147"/>
      <c r="BN627" s="147"/>
      <c r="BO627" s="147"/>
      <c r="BP627" s="147"/>
      <c r="BQ627" s="147"/>
      <c r="BR627" s="147"/>
      <c r="BS627" s="147"/>
      <c r="BT627" s="147"/>
      <c r="BU627" s="147"/>
      <c r="BV627" s="147"/>
      <c r="BW627" s="147"/>
      <c r="BX627" s="147"/>
      <c r="BY627" s="147"/>
      <c r="BZ627" s="147"/>
      <c r="CA627" s="147"/>
      <c r="CB627" s="147"/>
      <c r="CC627" s="147"/>
      <c r="CD627" s="147"/>
      <c r="CE627" s="147"/>
      <c r="CF627" s="147"/>
      <c r="CG627" s="147"/>
      <c r="CH627" s="147"/>
      <c r="CI627" s="147"/>
      <c r="CJ627" s="147"/>
      <c r="CK627" s="147"/>
    </row>
    <row r="628" spans="1:89">
      <c r="A628" s="157"/>
      <c r="F628" s="3"/>
      <c r="G628" s="3"/>
      <c r="L628" s="157"/>
      <c r="M628" s="157"/>
      <c r="O628" s="147"/>
      <c r="P628" s="147"/>
      <c r="Q628" s="147"/>
      <c r="R628" s="147"/>
      <c r="S628" s="147"/>
      <c r="T628" s="147"/>
      <c r="U628" s="147"/>
      <c r="V628" s="147"/>
      <c r="W628" s="147"/>
      <c r="X628" s="147"/>
      <c r="Y628" s="147"/>
      <c r="Z628" s="147"/>
      <c r="AA628" s="147"/>
      <c r="AB628" s="147"/>
      <c r="AC628" s="147"/>
      <c r="AD628" s="147"/>
      <c r="AE628" s="147"/>
      <c r="AF628" s="147"/>
      <c r="AG628" s="147"/>
      <c r="AH628" s="147"/>
      <c r="AI628" s="147"/>
      <c r="AJ628" s="147"/>
      <c r="AK628" s="147"/>
      <c r="AL628" s="147"/>
      <c r="AM628" s="151"/>
      <c r="AN628" s="147"/>
      <c r="AO628" s="147"/>
      <c r="AP628" s="147"/>
      <c r="AQ628" s="147"/>
      <c r="AR628" s="147"/>
      <c r="AS628" s="147"/>
      <c r="AT628" s="147"/>
      <c r="AU628" s="147"/>
      <c r="AV628" s="147"/>
      <c r="AW628" s="147"/>
      <c r="AX628" s="147"/>
      <c r="AY628" s="147"/>
      <c r="AZ628" s="147"/>
      <c r="BA628" s="147"/>
      <c r="BB628" s="147"/>
      <c r="BC628" s="147"/>
      <c r="BD628" s="147"/>
      <c r="BE628" s="147"/>
      <c r="BF628" s="147"/>
      <c r="BG628" s="147"/>
      <c r="BH628" s="147"/>
      <c r="BI628" s="147"/>
      <c r="BJ628" s="147"/>
      <c r="BK628" s="147"/>
      <c r="BL628" s="147"/>
      <c r="BM628" s="147"/>
      <c r="BN628" s="147"/>
      <c r="BO628" s="147"/>
      <c r="BP628" s="147"/>
      <c r="BQ628" s="147"/>
      <c r="BR628" s="147"/>
      <c r="BS628" s="147"/>
      <c r="BT628" s="147"/>
      <c r="BU628" s="147"/>
      <c r="BV628" s="147"/>
      <c r="BW628" s="147"/>
      <c r="BX628" s="147"/>
      <c r="BY628" s="147"/>
      <c r="BZ628" s="147"/>
      <c r="CA628" s="147"/>
      <c r="CB628" s="147"/>
      <c r="CC628" s="147"/>
      <c r="CD628" s="147"/>
      <c r="CE628" s="147"/>
      <c r="CF628" s="147"/>
      <c r="CG628" s="147"/>
      <c r="CH628" s="147"/>
      <c r="CI628" s="147"/>
      <c r="CJ628" s="147"/>
      <c r="CK628" s="147"/>
    </row>
    <row r="629" spans="1:89">
      <c r="A629" s="157"/>
      <c r="F629" s="3"/>
      <c r="G629" s="3"/>
      <c r="L629" s="157"/>
      <c r="M629" s="157"/>
      <c r="O629" s="147"/>
      <c r="P629" s="147"/>
      <c r="Q629" s="147"/>
      <c r="R629" s="147"/>
      <c r="S629" s="147"/>
      <c r="T629" s="147"/>
      <c r="U629" s="147"/>
      <c r="V629" s="147"/>
      <c r="W629" s="147"/>
      <c r="X629" s="147"/>
      <c r="Y629" s="147"/>
      <c r="Z629" s="147"/>
      <c r="AA629" s="147"/>
      <c r="AB629" s="147"/>
      <c r="AC629" s="147"/>
      <c r="AD629" s="147"/>
      <c r="AE629" s="147"/>
      <c r="AF629" s="147"/>
      <c r="AG629" s="147"/>
      <c r="AH629" s="147"/>
      <c r="AI629" s="147"/>
      <c r="AJ629" s="147"/>
      <c r="AK629" s="147"/>
      <c r="AL629" s="147"/>
      <c r="AM629" s="151"/>
      <c r="AN629" s="147"/>
      <c r="AO629" s="147"/>
      <c r="AP629" s="147"/>
      <c r="AQ629" s="147"/>
      <c r="AR629" s="147"/>
      <c r="AS629" s="147"/>
      <c r="AT629" s="147"/>
      <c r="AU629" s="147"/>
      <c r="AV629" s="147"/>
      <c r="AW629" s="147"/>
      <c r="AX629" s="147"/>
      <c r="AY629" s="147"/>
      <c r="AZ629" s="147"/>
      <c r="BA629" s="147"/>
      <c r="BB629" s="147"/>
      <c r="BC629" s="147"/>
      <c r="BD629" s="147"/>
      <c r="BE629" s="147"/>
      <c r="BF629" s="147"/>
      <c r="BG629" s="147"/>
      <c r="BH629" s="147"/>
      <c r="BI629" s="147"/>
      <c r="BJ629" s="147"/>
      <c r="BK629" s="147"/>
      <c r="BL629" s="147"/>
      <c r="BM629" s="147"/>
      <c r="BN629" s="147"/>
      <c r="BO629" s="147"/>
      <c r="BP629" s="147"/>
      <c r="BQ629" s="147"/>
      <c r="BR629" s="147"/>
      <c r="BS629" s="147"/>
      <c r="BT629" s="147"/>
      <c r="BU629" s="147"/>
      <c r="BV629" s="147"/>
      <c r="BW629" s="147"/>
      <c r="BX629" s="147"/>
      <c r="BY629" s="147"/>
      <c r="BZ629" s="147"/>
      <c r="CA629" s="147"/>
      <c r="CB629" s="147"/>
      <c r="CC629" s="147"/>
      <c r="CD629" s="147"/>
      <c r="CE629" s="147"/>
      <c r="CF629" s="147"/>
      <c r="CG629" s="147"/>
      <c r="CH629" s="147"/>
      <c r="CI629" s="147"/>
      <c r="CJ629" s="147"/>
      <c r="CK629" s="147"/>
    </row>
    <row r="630" spans="1:89">
      <c r="A630" s="157"/>
      <c r="F630" s="3"/>
      <c r="G630" s="3"/>
      <c r="L630" s="157"/>
      <c r="M630" s="157"/>
      <c r="O630" s="147"/>
      <c r="P630" s="147"/>
      <c r="Q630" s="147"/>
      <c r="R630" s="147"/>
      <c r="S630" s="147"/>
      <c r="T630" s="147"/>
      <c r="U630" s="147"/>
      <c r="V630" s="147"/>
      <c r="W630" s="147"/>
      <c r="X630" s="147"/>
      <c r="Y630" s="147"/>
      <c r="Z630" s="147"/>
      <c r="AA630" s="147"/>
      <c r="AB630" s="147"/>
      <c r="AC630" s="147"/>
      <c r="AD630" s="147"/>
      <c r="AE630" s="147"/>
      <c r="AF630" s="147"/>
      <c r="AG630" s="147"/>
      <c r="AH630" s="147"/>
      <c r="AI630" s="147"/>
      <c r="AJ630" s="147"/>
      <c r="AK630" s="147"/>
      <c r="AL630" s="147"/>
      <c r="AM630" s="151"/>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c r="BI630" s="147"/>
      <c r="BJ630" s="147"/>
      <c r="BK630" s="147"/>
      <c r="BL630" s="147"/>
      <c r="BM630" s="147"/>
      <c r="BN630" s="147"/>
      <c r="BO630" s="147"/>
      <c r="BP630" s="147"/>
      <c r="BQ630" s="147"/>
      <c r="BR630" s="147"/>
      <c r="BS630" s="147"/>
      <c r="BT630" s="147"/>
      <c r="BU630" s="147"/>
      <c r="BV630" s="147"/>
      <c r="BW630" s="147"/>
      <c r="BX630" s="147"/>
      <c r="BY630" s="147"/>
      <c r="BZ630" s="147"/>
      <c r="CA630" s="147"/>
      <c r="CB630" s="147"/>
      <c r="CC630" s="147"/>
      <c r="CD630" s="147"/>
      <c r="CE630" s="147"/>
      <c r="CF630" s="147"/>
      <c r="CG630" s="147"/>
      <c r="CH630" s="147"/>
      <c r="CI630" s="147"/>
      <c r="CJ630" s="147"/>
      <c r="CK630" s="147"/>
    </row>
    <row r="631" spans="1:89">
      <c r="A631" s="157"/>
      <c r="F631" s="3"/>
      <c r="G631" s="3"/>
      <c r="L631" s="157"/>
      <c r="M631" s="157"/>
      <c r="O631" s="147"/>
      <c r="P631" s="147"/>
      <c r="Q631" s="147"/>
      <c r="R631" s="147"/>
      <c r="S631" s="147"/>
      <c r="T631" s="147"/>
      <c r="U631" s="147"/>
      <c r="V631" s="147"/>
      <c r="W631" s="147"/>
      <c r="X631" s="147"/>
      <c r="Y631" s="147"/>
      <c r="Z631" s="147"/>
      <c r="AA631" s="147"/>
      <c r="AB631" s="147"/>
      <c r="AC631" s="147"/>
      <c r="AD631" s="147"/>
      <c r="AE631" s="147"/>
      <c r="AF631" s="147"/>
      <c r="AG631" s="147"/>
      <c r="AH631" s="147"/>
      <c r="AI631" s="147"/>
      <c r="AJ631" s="147"/>
      <c r="AK631" s="147"/>
      <c r="AL631" s="147"/>
      <c r="AM631" s="151"/>
      <c r="AN631" s="147"/>
      <c r="AO631" s="147"/>
      <c r="AP631" s="147"/>
      <c r="AQ631" s="147"/>
      <c r="AR631" s="147"/>
      <c r="AS631" s="147"/>
      <c r="AT631" s="147"/>
      <c r="AU631" s="147"/>
      <c r="AV631" s="147"/>
      <c r="AW631" s="147"/>
      <c r="AX631" s="147"/>
      <c r="AY631" s="147"/>
      <c r="AZ631" s="147"/>
      <c r="BA631" s="147"/>
      <c r="BB631" s="147"/>
      <c r="BC631" s="147"/>
      <c r="BD631" s="147"/>
      <c r="BE631" s="147"/>
      <c r="BF631" s="147"/>
      <c r="BG631" s="147"/>
      <c r="BH631" s="147"/>
      <c r="BI631" s="147"/>
      <c r="BJ631" s="147"/>
      <c r="BK631" s="147"/>
      <c r="BL631" s="147"/>
      <c r="BM631" s="147"/>
      <c r="BN631" s="147"/>
      <c r="BO631" s="147"/>
      <c r="BP631" s="147"/>
      <c r="BQ631" s="147"/>
      <c r="BR631" s="147"/>
      <c r="BS631" s="147"/>
      <c r="BT631" s="147"/>
      <c r="BU631" s="147"/>
      <c r="BV631" s="147"/>
      <c r="BW631" s="147"/>
      <c r="BX631" s="147"/>
      <c r="BY631" s="147"/>
      <c r="BZ631" s="147"/>
      <c r="CA631" s="147"/>
      <c r="CB631" s="147"/>
      <c r="CC631" s="147"/>
      <c r="CD631" s="147"/>
      <c r="CE631" s="147"/>
      <c r="CF631" s="147"/>
      <c r="CG631" s="147"/>
      <c r="CH631" s="147"/>
      <c r="CI631" s="147"/>
      <c r="CJ631" s="147"/>
      <c r="CK631" s="147"/>
    </row>
    <row r="632" spans="1:89">
      <c r="A632" s="157"/>
      <c r="F632" s="3"/>
      <c r="G632" s="3"/>
      <c r="L632" s="157"/>
      <c r="M632" s="157"/>
      <c r="O632" s="147"/>
      <c r="P632" s="147"/>
      <c r="Q632" s="147"/>
      <c r="R632" s="147"/>
      <c r="S632" s="147"/>
      <c r="T632" s="147"/>
      <c r="U632" s="147"/>
      <c r="V632" s="147"/>
      <c r="W632" s="147"/>
      <c r="X632" s="147"/>
      <c r="Y632" s="147"/>
      <c r="Z632" s="147"/>
      <c r="AA632" s="147"/>
      <c r="AB632" s="147"/>
      <c r="AC632" s="147"/>
      <c r="AD632" s="147"/>
      <c r="AE632" s="147"/>
      <c r="AF632" s="147"/>
      <c r="AG632" s="147"/>
      <c r="AH632" s="147"/>
      <c r="AI632" s="147"/>
      <c r="AJ632" s="147"/>
      <c r="AK632" s="147"/>
      <c r="AL632" s="147"/>
      <c r="AM632" s="151"/>
      <c r="AN632" s="147"/>
      <c r="AO632" s="147"/>
      <c r="AP632" s="147"/>
      <c r="AQ632" s="147"/>
      <c r="AR632" s="147"/>
      <c r="AS632" s="147"/>
      <c r="AT632" s="147"/>
      <c r="AU632" s="147"/>
      <c r="AV632" s="147"/>
      <c r="AW632" s="147"/>
      <c r="AX632" s="147"/>
      <c r="AY632" s="147"/>
      <c r="AZ632" s="147"/>
      <c r="BA632" s="147"/>
      <c r="BB632" s="147"/>
      <c r="BC632" s="147"/>
      <c r="BD632" s="147"/>
      <c r="BE632" s="147"/>
      <c r="BF632" s="147"/>
      <c r="BG632" s="147"/>
      <c r="BH632" s="147"/>
      <c r="BI632" s="147"/>
      <c r="BJ632" s="147"/>
      <c r="BK632" s="147"/>
      <c r="BL632" s="147"/>
      <c r="BM632" s="147"/>
      <c r="BN632" s="147"/>
      <c r="BO632" s="147"/>
      <c r="BP632" s="147"/>
      <c r="BQ632" s="147"/>
      <c r="BR632" s="147"/>
      <c r="BS632" s="147"/>
      <c r="BT632" s="147"/>
      <c r="BU632" s="147"/>
      <c r="BV632" s="147"/>
      <c r="BW632" s="147"/>
      <c r="BX632" s="147"/>
      <c r="BY632" s="147"/>
      <c r="BZ632" s="147"/>
      <c r="CA632" s="147"/>
      <c r="CB632" s="147"/>
      <c r="CC632" s="147"/>
      <c r="CD632" s="147"/>
      <c r="CE632" s="147"/>
      <c r="CF632" s="147"/>
      <c r="CG632" s="147"/>
      <c r="CH632" s="147"/>
      <c r="CI632" s="147"/>
      <c r="CJ632" s="147"/>
      <c r="CK632" s="147"/>
    </row>
    <row r="633" spans="1:89">
      <c r="A633" s="157"/>
      <c r="F633" s="3"/>
      <c r="G633" s="3"/>
      <c r="L633" s="157"/>
      <c r="M633" s="157"/>
      <c r="O633" s="147"/>
      <c r="P633" s="147"/>
      <c r="Q633" s="147"/>
      <c r="R633" s="147"/>
      <c r="S633" s="147"/>
      <c r="T633" s="147"/>
      <c r="U633" s="147"/>
      <c r="V633" s="147"/>
      <c r="W633" s="147"/>
      <c r="X633" s="147"/>
      <c r="Y633" s="147"/>
      <c r="Z633" s="147"/>
      <c r="AA633" s="147"/>
      <c r="AB633" s="147"/>
      <c r="AC633" s="147"/>
      <c r="AD633" s="147"/>
      <c r="AE633" s="147"/>
      <c r="AF633" s="147"/>
      <c r="AG633" s="147"/>
      <c r="AH633" s="147"/>
      <c r="AI633" s="147"/>
      <c r="AJ633" s="147"/>
      <c r="AK633" s="147"/>
      <c r="AL633" s="147"/>
      <c r="AM633" s="151"/>
      <c r="AN633" s="147"/>
      <c r="AO633" s="147"/>
      <c r="AP633" s="147"/>
      <c r="AQ633" s="147"/>
      <c r="AR633" s="147"/>
      <c r="AS633" s="147"/>
      <c r="AT633" s="147"/>
      <c r="AU633" s="147"/>
      <c r="AV633" s="147"/>
      <c r="AW633" s="147"/>
      <c r="AX633" s="147"/>
      <c r="AY633" s="147"/>
      <c r="AZ633" s="147"/>
      <c r="BA633" s="147"/>
      <c r="BB633" s="147"/>
      <c r="BC633" s="147"/>
      <c r="BD633" s="147"/>
      <c r="BE633" s="147"/>
      <c r="BF633" s="147"/>
      <c r="BG633" s="147"/>
      <c r="BH633" s="147"/>
      <c r="BI633" s="147"/>
      <c r="BJ633" s="147"/>
      <c r="BK633" s="147"/>
      <c r="BL633" s="147"/>
      <c r="BM633" s="147"/>
      <c r="BN633" s="147"/>
      <c r="BO633" s="147"/>
      <c r="BP633" s="147"/>
      <c r="BQ633" s="147"/>
      <c r="BR633" s="147"/>
      <c r="BS633" s="147"/>
      <c r="BT633" s="147"/>
      <c r="BU633" s="147"/>
      <c r="BV633" s="147"/>
      <c r="BW633" s="147"/>
      <c r="BX633" s="147"/>
      <c r="BY633" s="147"/>
      <c r="BZ633" s="147"/>
      <c r="CA633" s="147"/>
      <c r="CB633" s="147"/>
      <c r="CC633" s="147"/>
      <c r="CD633" s="147"/>
      <c r="CE633" s="147"/>
      <c r="CF633" s="147"/>
      <c r="CG633" s="147"/>
      <c r="CH633" s="147"/>
      <c r="CI633" s="147"/>
      <c r="CJ633" s="147"/>
      <c r="CK633" s="147"/>
    </row>
    <row r="634" spans="1:89">
      <c r="A634" s="157"/>
      <c r="F634" s="3"/>
      <c r="G634" s="3"/>
      <c r="L634" s="157"/>
      <c r="M634" s="157"/>
      <c r="O634" s="147"/>
      <c r="P634" s="147"/>
      <c r="Q634" s="147"/>
      <c r="R634" s="147"/>
      <c r="S634" s="147"/>
      <c r="T634" s="147"/>
      <c r="U634" s="147"/>
      <c r="V634" s="147"/>
      <c r="W634" s="147"/>
      <c r="X634" s="147"/>
      <c r="Y634" s="147"/>
      <c r="Z634" s="147"/>
      <c r="AA634" s="147"/>
      <c r="AB634" s="147"/>
      <c r="AC634" s="147"/>
      <c r="AD634" s="147"/>
      <c r="AE634" s="147"/>
      <c r="AF634" s="147"/>
      <c r="AG634" s="147"/>
      <c r="AH634" s="147"/>
      <c r="AI634" s="147"/>
      <c r="AJ634" s="147"/>
      <c r="AK634" s="147"/>
      <c r="AL634" s="147"/>
      <c r="AM634" s="151"/>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c r="BI634" s="147"/>
      <c r="BJ634" s="147"/>
      <c r="BK634" s="147"/>
      <c r="BL634" s="147"/>
      <c r="BM634" s="147"/>
      <c r="BN634" s="147"/>
      <c r="BO634" s="147"/>
      <c r="BP634" s="147"/>
      <c r="BQ634" s="147"/>
      <c r="BR634" s="147"/>
      <c r="BS634" s="147"/>
      <c r="BT634" s="147"/>
      <c r="BU634" s="147"/>
      <c r="BV634" s="147"/>
      <c r="BW634" s="147"/>
      <c r="BX634" s="147"/>
      <c r="BY634" s="147"/>
      <c r="BZ634" s="147"/>
      <c r="CA634" s="147"/>
      <c r="CB634" s="147"/>
      <c r="CC634" s="147"/>
      <c r="CD634" s="147"/>
      <c r="CE634" s="147"/>
      <c r="CF634" s="147"/>
      <c r="CG634" s="147"/>
      <c r="CH634" s="147"/>
      <c r="CI634" s="147"/>
      <c r="CJ634" s="147"/>
      <c r="CK634" s="147"/>
    </row>
    <row r="635" spans="1:89">
      <c r="A635" s="157"/>
      <c r="F635" s="3"/>
      <c r="G635" s="3"/>
      <c r="L635" s="157"/>
      <c r="M635" s="157"/>
      <c r="O635" s="147"/>
      <c r="P635" s="147"/>
      <c r="Q635" s="147"/>
      <c r="R635" s="147"/>
      <c r="S635" s="147"/>
      <c r="T635" s="147"/>
      <c r="U635" s="147"/>
      <c r="V635" s="147"/>
      <c r="W635" s="147"/>
      <c r="X635" s="147"/>
      <c r="Y635" s="147"/>
      <c r="Z635" s="147"/>
      <c r="AA635" s="147"/>
      <c r="AB635" s="147"/>
      <c r="AC635" s="147"/>
      <c r="AD635" s="147"/>
      <c r="AE635" s="147"/>
      <c r="AF635" s="147"/>
      <c r="AG635" s="147"/>
      <c r="AH635" s="147"/>
      <c r="AI635" s="147"/>
      <c r="AJ635" s="147"/>
      <c r="AK635" s="147"/>
      <c r="AL635" s="147"/>
      <c r="AM635" s="151"/>
      <c r="AN635" s="147"/>
      <c r="AO635" s="147"/>
      <c r="AP635" s="147"/>
      <c r="AQ635" s="147"/>
      <c r="AR635" s="147"/>
      <c r="AS635" s="147"/>
      <c r="AT635" s="147"/>
      <c r="AU635" s="147"/>
      <c r="AV635" s="147"/>
      <c r="AW635" s="147"/>
      <c r="AX635" s="147"/>
      <c r="AY635" s="147"/>
      <c r="AZ635" s="147"/>
      <c r="BA635" s="147"/>
      <c r="BB635" s="147"/>
      <c r="BC635" s="147"/>
      <c r="BD635" s="147"/>
      <c r="BE635" s="147"/>
      <c r="BF635" s="147"/>
      <c r="BG635" s="147"/>
      <c r="BH635" s="147"/>
      <c r="BI635" s="147"/>
      <c r="BJ635" s="147"/>
      <c r="BK635" s="147"/>
      <c r="BL635" s="147"/>
      <c r="BM635" s="147"/>
      <c r="BN635" s="147"/>
      <c r="BO635" s="147"/>
      <c r="BP635" s="147"/>
      <c r="BQ635" s="147"/>
      <c r="BR635" s="147"/>
      <c r="BS635" s="147"/>
      <c r="BT635" s="147"/>
      <c r="BU635" s="147"/>
      <c r="BV635" s="147"/>
      <c r="BW635" s="147"/>
      <c r="BX635" s="147"/>
      <c r="BY635" s="147"/>
      <c r="BZ635" s="147"/>
      <c r="CA635" s="147"/>
      <c r="CB635" s="147"/>
      <c r="CC635" s="147"/>
      <c r="CD635" s="147"/>
      <c r="CE635" s="147"/>
      <c r="CF635" s="147"/>
      <c r="CG635" s="147"/>
      <c r="CH635" s="147"/>
      <c r="CI635" s="147"/>
      <c r="CJ635" s="147"/>
      <c r="CK635" s="147"/>
    </row>
    <row r="636" spans="1:89">
      <c r="A636" s="157"/>
      <c r="F636" s="3"/>
      <c r="G636" s="3"/>
      <c r="L636" s="157"/>
      <c r="M636" s="157"/>
      <c r="O636" s="147"/>
      <c r="P636" s="147"/>
      <c r="Q636" s="147"/>
      <c r="R636" s="147"/>
      <c r="S636" s="147"/>
      <c r="T636" s="147"/>
      <c r="U636" s="147"/>
      <c r="V636" s="147"/>
      <c r="W636" s="147"/>
      <c r="X636" s="147"/>
      <c r="Y636" s="147"/>
      <c r="Z636" s="147"/>
      <c r="AA636" s="147"/>
      <c r="AB636" s="147"/>
      <c r="AC636" s="147"/>
      <c r="AD636" s="147"/>
      <c r="AE636" s="147"/>
      <c r="AF636" s="147"/>
      <c r="AG636" s="147"/>
      <c r="AH636" s="147"/>
      <c r="AI636" s="147"/>
      <c r="AJ636" s="147"/>
      <c r="AK636" s="147"/>
      <c r="AL636" s="147"/>
      <c r="AM636" s="151"/>
      <c r="AN636" s="147"/>
      <c r="AO636" s="147"/>
      <c r="AP636" s="147"/>
      <c r="AQ636" s="147"/>
      <c r="AR636" s="147"/>
      <c r="AS636" s="147"/>
      <c r="AT636" s="147"/>
      <c r="AU636" s="147"/>
      <c r="AV636" s="147"/>
      <c r="AW636" s="147"/>
      <c r="AX636" s="147"/>
      <c r="AY636" s="147"/>
      <c r="AZ636" s="147"/>
      <c r="BA636" s="147"/>
      <c r="BB636" s="147"/>
      <c r="BC636" s="147"/>
      <c r="BD636" s="147"/>
      <c r="BE636" s="147"/>
      <c r="BF636" s="147"/>
      <c r="BG636" s="147"/>
      <c r="BH636" s="147"/>
      <c r="BI636" s="147"/>
      <c r="BJ636" s="147"/>
      <c r="BK636" s="147"/>
      <c r="BL636" s="147"/>
      <c r="BM636" s="147"/>
      <c r="BN636" s="147"/>
      <c r="BO636" s="147"/>
      <c r="BP636" s="147"/>
      <c r="BQ636" s="147"/>
      <c r="BR636" s="147"/>
      <c r="BS636" s="147"/>
      <c r="BT636" s="147"/>
      <c r="BU636" s="147"/>
      <c r="BV636" s="147"/>
      <c r="BW636" s="147"/>
      <c r="BX636" s="147"/>
      <c r="BY636" s="147"/>
      <c r="BZ636" s="147"/>
      <c r="CA636" s="147"/>
      <c r="CB636" s="147"/>
      <c r="CC636" s="147"/>
      <c r="CD636" s="147"/>
      <c r="CE636" s="147"/>
      <c r="CF636" s="147"/>
      <c r="CG636" s="147"/>
      <c r="CH636" s="147"/>
      <c r="CI636" s="147"/>
      <c r="CJ636" s="147"/>
      <c r="CK636" s="147"/>
    </row>
    <row r="637" spans="1:89">
      <c r="A637" s="157"/>
      <c r="F637" s="3"/>
      <c r="G637" s="3"/>
      <c r="L637" s="157"/>
      <c r="M637" s="157"/>
      <c r="O637" s="147"/>
      <c r="P637" s="147"/>
      <c r="Q637" s="147"/>
      <c r="R637" s="147"/>
      <c r="S637" s="147"/>
      <c r="T637" s="147"/>
      <c r="U637" s="147"/>
      <c r="V637" s="147"/>
      <c r="W637" s="147"/>
      <c r="X637" s="147"/>
      <c r="Y637" s="147"/>
      <c r="Z637" s="147"/>
      <c r="AA637" s="147"/>
      <c r="AB637" s="147"/>
      <c r="AC637" s="147"/>
      <c r="AD637" s="147"/>
      <c r="AE637" s="147"/>
      <c r="AF637" s="147"/>
      <c r="AG637" s="147"/>
      <c r="AH637" s="147"/>
      <c r="AI637" s="147"/>
      <c r="AJ637" s="147"/>
      <c r="AK637" s="147"/>
      <c r="AL637" s="147"/>
      <c r="AM637" s="151"/>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c r="BI637" s="147"/>
      <c r="BJ637" s="147"/>
      <c r="BK637" s="147"/>
      <c r="BL637" s="147"/>
      <c r="BM637" s="147"/>
      <c r="BN637" s="147"/>
      <c r="BO637" s="147"/>
      <c r="BP637" s="147"/>
      <c r="BQ637" s="147"/>
      <c r="BR637" s="147"/>
      <c r="BS637" s="147"/>
      <c r="BT637" s="147"/>
      <c r="BU637" s="147"/>
      <c r="BV637" s="147"/>
      <c r="BW637" s="147"/>
      <c r="BX637" s="147"/>
      <c r="BY637" s="147"/>
      <c r="BZ637" s="147"/>
      <c r="CA637" s="147"/>
      <c r="CB637" s="147"/>
      <c r="CC637" s="147"/>
      <c r="CD637" s="147"/>
      <c r="CE637" s="147"/>
      <c r="CF637" s="147"/>
      <c r="CG637" s="147"/>
      <c r="CH637" s="147"/>
      <c r="CI637" s="147"/>
      <c r="CJ637" s="147"/>
      <c r="CK637" s="147"/>
    </row>
    <row r="638" spans="1:89">
      <c r="A638" s="157"/>
      <c r="F638" s="3"/>
      <c r="G638" s="3"/>
      <c r="L638" s="157"/>
      <c r="M638" s="157"/>
      <c r="O638" s="147"/>
      <c r="P638" s="147"/>
      <c r="Q638" s="147"/>
      <c r="R638" s="147"/>
      <c r="S638" s="147"/>
      <c r="T638" s="147"/>
      <c r="U638" s="147"/>
      <c r="V638" s="147"/>
      <c r="W638" s="147"/>
      <c r="X638" s="147"/>
      <c r="Y638" s="147"/>
      <c r="Z638" s="147"/>
      <c r="AA638" s="147"/>
      <c r="AB638" s="147"/>
      <c r="AC638" s="147"/>
      <c r="AD638" s="147"/>
      <c r="AE638" s="147"/>
      <c r="AF638" s="147"/>
      <c r="AG638" s="147"/>
      <c r="AH638" s="147"/>
      <c r="AI638" s="147"/>
      <c r="AJ638" s="147"/>
      <c r="AK638" s="147"/>
      <c r="AL638" s="147"/>
      <c r="AM638" s="151"/>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c r="BI638" s="147"/>
      <c r="BJ638" s="147"/>
      <c r="BK638" s="147"/>
      <c r="BL638" s="147"/>
      <c r="BM638" s="147"/>
      <c r="BN638" s="147"/>
      <c r="BO638" s="147"/>
      <c r="BP638" s="147"/>
      <c r="BQ638" s="147"/>
      <c r="BR638" s="147"/>
      <c r="BS638" s="147"/>
      <c r="BT638" s="147"/>
      <c r="BU638" s="147"/>
      <c r="BV638" s="147"/>
      <c r="BW638" s="147"/>
      <c r="BX638" s="147"/>
      <c r="BY638" s="147"/>
      <c r="BZ638" s="147"/>
      <c r="CA638" s="147"/>
      <c r="CB638" s="147"/>
      <c r="CC638" s="147"/>
      <c r="CD638" s="147"/>
      <c r="CE638" s="147"/>
      <c r="CF638" s="147"/>
      <c r="CG638" s="147"/>
      <c r="CH638" s="147"/>
      <c r="CI638" s="147"/>
      <c r="CJ638" s="147"/>
      <c r="CK638" s="147"/>
    </row>
    <row r="639" spans="1:89">
      <c r="A639" s="157"/>
      <c r="F639" s="3"/>
      <c r="G639" s="3"/>
      <c r="L639" s="157"/>
      <c r="M639" s="157"/>
      <c r="O639" s="147"/>
      <c r="P639" s="147"/>
      <c r="Q639" s="147"/>
      <c r="R639" s="147"/>
      <c r="S639" s="147"/>
      <c r="T639" s="147"/>
      <c r="U639" s="147"/>
      <c r="V639" s="147"/>
      <c r="W639" s="147"/>
      <c r="X639" s="147"/>
      <c r="Y639" s="147"/>
      <c r="Z639" s="147"/>
      <c r="AA639" s="147"/>
      <c r="AB639" s="147"/>
      <c r="AC639" s="147"/>
      <c r="AD639" s="147"/>
      <c r="AE639" s="147"/>
      <c r="AF639" s="147"/>
      <c r="AG639" s="147"/>
      <c r="AH639" s="147"/>
      <c r="AI639" s="147"/>
      <c r="AJ639" s="147"/>
      <c r="AK639" s="147"/>
      <c r="AL639" s="147"/>
      <c r="AM639" s="151"/>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c r="BI639" s="147"/>
      <c r="BJ639" s="147"/>
      <c r="BK639" s="147"/>
      <c r="BL639" s="147"/>
      <c r="BM639" s="147"/>
      <c r="BN639" s="147"/>
      <c r="BO639" s="147"/>
      <c r="BP639" s="147"/>
      <c r="BQ639" s="147"/>
      <c r="BR639" s="147"/>
      <c r="BS639" s="147"/>
      <c r="BT639" s="147"/>
      <c r="BU639" s="147"/>
      <c r="BV639" s="147"/>
      <c r="BW639" s="147"/>
      <c r="BX639" s="147"/>
      <c r="BY639" s="147"/>
      <c r="BZ639" s="147"/>
      <c r="CA639" s="147"/>
      <c r="CB639" s="147"/>
      <c r="CC639" s="147"/>
      <c r="CD639" s="147"/>
      <c r="CE639" s="147"/>
      <c r="CF639" s="147"/>
      <c r="CG639" s="147"/>
      <c r="CH639" s="147"/>
      <c r="CI639" s="147"/>
      <c r="CJ639" s="147"/>
      <c r="CK639" s="147"/>
    </row>
    <row r="640" spans="1:89">
      <c r="A640" s="157"/>
      <c r="F640" s="3"/>
      <c r="G640" s="3"/>
      <c r="L640" s="157"/>
      <c r="M640" s="157"/>
      <c r="O640" s="147"/>
      <c r="P640" s="147"/>
      <c r="Q640" s="147"/>
      <c r="R640" s="147"/>
      <c r="S640" s="147"/>
      <c r="T640" s="147"/>
      <c r="U640" s="147"/>
      <c r="V640" s="147"/>
      <c r="W640" s="147"/>
      <c r="X640" s="147"/>
      <c r="Y640" s="147"/>
      <c r="Z640" s="147"/>
      <c r="AA640" s="147"/>
      <c r="AB640" s="147"/>
      <c r="AC640" s="147"/>
      <c r="AD640" s="147"/>
      <c r="AE640" s="147"/>
      <c r="AF640" s="147"/>
      <c r="AG640" s="147"/>
      <c r="AH640" s="147"/>
      <c r="AI640" s="147"/>
      <c r="AJ640" s="147"/>
      <c r="AK640" s="147"/>
      <c r="AL640" s="147"/>
      <c r="AM640" s="151"/>
      <c r="AN640" s="147"/>
      <c r="AO640" s="147"/>
      <c r="AP640" s="147"/>
      <c r="AQ640" s="147"/>
      <c r="AR640" s="147"/>
      <c r="AS640" s="147"/>
      <c r="AT640" s="147"/>
      <c r="AU640" s="147"/>
      <c r="AV640" s="147"/>
      <c r="AW640" s="147"/>
      <c r="AX640" s="147"/>
      <c r="AY640" s="147"/>
      <c r="AZ640" s="147"/>
      <c r="BA640" s="147"/>
      <c r="BB640" s="147"/>
      <c r="BC640" s="147"/>
      <c r="BD640" s="147"/>
      <c r="BE640" s="147"/>
      <c r="BF640" s="147"/>
      <c r="BG640" s="147"/>
      <c r="BH640" s="147"/>
      <c r="BI640" s="147"/>
      <c r="BJ640" s="147"/>
      <c r="BK640" s="147"/>
      <c r="BL640" s="147"/>
      <c r="BM640" s="147"/>
      <c r="BN640" s="147"/>
      <c r="BO640" s="147"/>
      <c r="BP640" s="147"/>
      <c r="BQ640" s="147"/>
      <c r="BR640" s="147"/>
      <c r="BS640" s="147"/>
      <c r="BT640" s="147"/>
      <c r="BU640" s="147"/>
      <c r="BV640" s="147"/>
      <c r="BW640" s="147"/>
      <c r="BX640" s="147"/>
      <c r="BY640" s="147"/>
      <c r="BZ640" s="147"/>
      <c r="CA640" s="147"/>
      <c r="CB640" s="147"/>
      <c r="CC640" s="147"/>
      <c r="CD640" s="147"/>
      <c r="CE640" s="147"/>
      <c r="CF640" s="147"/>
      <c r="CG640" s="147"/>
      <c r="CH640" s="147"/>
      <c r="CI640" s="147"/>
      <c r="CJ640" s="147"/>
      <c r="CK640" s="147"/>
    </row>
    <row r="641" spans="1:89">
      <c r="A641" s="157"/>
      <c r="F641" s="3"/>
      <c r="G641" s="3"/>
      <c r="L641" s="157"/>
      <c r="M641" s="157"/>
      <c r="O641" s="147"/>
      <c r="P641" s="147"/>
      <c r="Q641" s="147"/>
      <c r="R641" s="147"/>
      <c r="S641" s="147"/>
      <c r="T641" s="147"/>
      <c r="U641" s="147"/>
      <c r="V641" s="147"/>
      <c r="W641" s="147"/>
      <c r="X641" s="147"/>
      <c r="Y641" s="147"/>
      <c r="Z641" s="147"/>
      <c r="AA641" s="147"/>
      <c r="AB641" s="147"/>
      <c r="AC641" s="147"/>
      <c r="AD641" s="147"/>
      <c r="AE641" s="147"/>
      <c r="AF641" s="147"/>
      <c r="AG641" s="147"/>
      <c r="AH641" s="147"/>
      <c r="AI641" s="147"/>
      <c r="AJ641" s="147"/>
      <c r="AK641" s="147"/>
      <c r="AL641" s="147"/>
      <c r="AM641" s="151"/>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c r="BI641" s="147"/>
      <c r="BJ641" s="147"/>
      <c r="BK641" s="147"/>
      <c r="BL641" s="147"/>
      <c r="BM641" s="147"/>
      <c r="BN641" s="147"/>
      <c r="BO641" s="147"/>
      <c r="BP641" s="147"/>
      <c r="BQ641" s="147"/>
      <c r="BR641" s="147"/>
      <c r="BS641" s="147"/>
      <c r="BT641" s="147"/>
      <c r="BU641" s="147"/>
      <c r="BV641" s="147"/>
      <c r="BW641" s="147"/>
      <c r="BX641" s="147"/>
      <c r="BY641" s="147"/>
      <c r="BZ641" s="147"/>
      <c r="CA641" s="147"/>
      <c r="CB641" s="147"/>
      <c r="CC641" s="147"/>
      <c r="CD641" s="147"/>
      <c r="CE641" s="147"/>
      <c r="CF641" s="147"/>
      <c r="CG641" s="147"/>
      <c r="CH641" s="147"/>
      <c r="CI641" s="147"/>
      <c r="CJ641" s="147"/>
      <c r="CK641" s="147"/>
    </row>
    <row r="642" spans="1:89">
      <c r="A642" s="157"/>
      <c r="F642" s="3"/>
      <c r="G642" s="3"/>
      <c r="L642" s="157"/>
      <c r="M642" s="157"/>
      <c r="O642" s="147"/>
      <c r="P642" s="147"/>
      <c r="Q642" s="147"/>
      <c r="R642" s="147"/>
      <c r="S642" s="147"/>
      <c r="T642" s="147"/>
      <c r="U642" s="147"/>
      <c r="V642" s="147"/>
      <c r="W642" s="147"/>
      <c r="X642" s="147"/>
      <c r="Y642" s="147"/>
      <c r="Z642" s="147"/>
      <c r="AA642" s="147"/>
      <c r="AB642" s="147"/>
      <c r="AC642" s="147"/>
      <c r="AD642" s="147"/>
      <c r="AE642" s="147"/>
      <c r="AF642" s="147"/>
      <c r="AG642" s="147"/>
      <c r="AH642" s="147"/>
      <c r="AI642" s="147"/>
      <c r="AJ642" s="147"/>
      <c r="AK642" s="147"/>
      <c r="AL642" s="147"/>
      <c r="AM642" s="151"/>
      <c r="AN642" s="147"/>
      <c r="AO642" s="147"/>
      <c r="AP642" s="147"/>
      <c r="AQ642" s="147"/>
      <c r="AR642" s="147"/>
      <c r="AS642" s="147"/>
      <c r="AT642" s="147"/>
      <c r="AU642" s="147"/>
      <c r="AV642" s="147"/>
      <c r="AW642" s="147"/>
      <c r="AX642" s="147"/>
      <c r="AY642" s="147"/>
      <c r="AZ642" s="147"/>
      <c r="BA642" s="147"/>
      <c r="BB642" s="147"/>
      <c r="BC642" s="147"/>
      <c r="BD642" s="147"/>
      <c r="BE642" s="147"/>
      <c r="BF642" s="147"/>
      <c r="BG642" s="147"/>
      <c r="BH642" s="147"/>
      <c r="BI642" s="147"/>
      <c r="BJ642" s="147"/>
      <c r="BK642" s="147"/>
      <c r="BL642" s="147"/>
      <c r="BM642" s="147"/>
      <c r="BN642" s="147"/>
      <c r="BO642" s="147"/>
      <c r="BP642" s="147"/>
      <c r="BQ642" s="147"/>
      <c r="BR642" s="147"/>
      <c r="BS642" s="147"/>
      <c r="BT642" s="147"/>
      <c r="BU642" s="147"/>
      <c r="BV642" s="147"/>
      <c r="BW642" s="147"/>
      <c r="BX642" s="147"/>
      <c r="BY642" s="147"/>
      <c r="BZ642" s="147"/>
      <c r="CA642" s="147"/>
      <c r="CB642" s="147"/>
      <c r="CC642" s="147"/>
      <c r="CD642" s="147"/>
      <c r="CE642" s="147"/>
      <c r="CF642" s="147"/>
      <c r="CG642" s="147"/>
      <c r="CH642" s="147"/>
      <c r="CI642" s="147"/>
      <c r="CJ642" s="147"/>
      <c r="CK642" s="147"/>
    </row>
    <row r="643" spans="1:89">
      <c r="A643" s="157"/>
      <c r="F643" s="3"/>
      <c r="G643" s="3"/>
      <c r="L643" s="157"/>
      <c r="M643" s="157"/>
      <c r="O643" s="147"/>
      <c r="P643" s="147"/>
      <c r="Q643" s="147"/>
      <c r="R643" s="147"/>
      <c r="S643" s="147"/>
      <c r="T643" s="147"/>
      <c r="U643" s="147"/>
      <c r="V643" s="147"/>
      <c r="W643" s="147"/>
      <c r="X643" s="147"/>
      <c r="Y643" s="147"/>
      <c r="Z643" s="147"/>
      <c r="AA643" s="147"/>
      <c r="AB643" s="147"/>
      <c r="AC643" s="147"/>
      <c r="AD643" s="147"/>
      <c r="AE643" s="147"/>
      <c r="AF643" s="147"/>
      <c r="AG643" s="147"/>
      <c r="AH643" s="147"/>
      <c r="AI643" s="147"/>
      <c r="AJ643" s="147"/>
      <c r="AK643" s="147"/>
      <c r="AL643" s="147"/>
      <c r="AM643" s="151"/>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c r="BI643" s="147"/>
      <c r="BJ643" s="147"/>
      <c r="BK643" s="147"/>
      <c r="BL643" s="147"/>
      <c r="BM643" s="147"/>
      <c r="BN643" s="147"/>
      <c r="BO643" s="147"/>
      <c r="BP643" s="147"/>
      <c r="BQ643" s="147"/>
      <c r="BR643" s="147"/>
      <c r="BS643" s="147"/>
      <c r="BT643" s="147"/>
      <c r="BU643" s="147"/>
      <c r="BV643" s="147"/>
      <c r="BW643" s="147"/>
      <c r="BX643" s="147"/>
      <c r="BY643" s="147"/>
      <c r="BZ643" s="147"/>
      <c r="CA643" s="147"/>
      <c r="CB643" s="147"/>
      <c r="CC643" s="147"/>
      <c r="CD643" s="147"/>
      <c r="CE643" s="147"/>
      <c r="CF643" s="147"/>
      <c r="CG643" s="147"/>
      <c r="CH643" s="147"/>
      <c r="CI643" s="147"/>
      <c r="CJ643" s="147"/>
      <c r="CK643" s="147"/>
    </row>
    <row r="644" spans="1:89">
      <c r="A644" s="157"/>
      <c r="F644" s="3"/>
      <c r="G644" s="3"/>
      <c r="L644" s="157"/>
      <c r="M644" s="157"/>
      <c r="O644" s="147"/>
      <c r="P644" s="147"/>
      <c r="Q644" s="147"/>
      <c r="R644" s="147"/>
      <c r="S644" s="147"/>
      <c r="T644" s="147"/>
      <c r="U644" s="147"/>
      <c r="V644" s="147"/>
      <c r="W644" s="147"/>
      <c r="X644" s="147"/>
      <c r="Y644" s="147"/>
      <c r="Z644" s="147"/>
      <c r="AA644" s="147"/>
      <c r="AB644" s="147"/>
      <c r="AC644" s="147"/>
      <c r="AD644" s="147"/>
      <c r="AE644" s="147"/>
      <c r="AF644" s="147"/>
      <c r="AG644" s="147"/>
      <c r="AH644" s="147"/>
      <c r="AI644" s="147"/>
      <c r="AJ644" s="147"/>
      <c r="AK644" s="147"/>
      <c r="AL644" s="147"/>
      <c r="AM644" s="151"/>
      <c r="AN644" s="147"/>
      <c r="AO644" s="147"/>
      <c r="AP644" s="147"/>
      <c r="AQ644" s="147"/>
      <c r="AR644" s="147"/>
      <c r="AS644" s="147"/>
      <c r="AT644" s="147"/>
      <c r="AU644" s="147"/>
      <c r="AV644" s="147"/>
      <c r="AW644" s="147"/>
      <c r="AX644" s="147"/>
      <c r="AY644" s="147"/>
      <c r="AZ644" s="147"/>
      <c r="BA644" s="147"/>
      <c r="BB644" s="147"/>
      <c r="BC644" s="147"/>
      <c r="BD644" s="147"/>
      <c r="BE644" s="147"/>
      <c r="BF644" s="147"/>
      <c r="BG644" s="147"/>
      <c r="BH644" s="147"/>
      <c r="BI644" s="147"/>
      <c r="BJ644" s="147"/>
      <c r="BK644" s="147"/>
      <c r="BL644" s="147"/>
      <c r="BM644" s="147"/>
      <c r="BN644" s="147"/>
      <c r="BO644" s="147"/>
      <c r="BP644" s="147"/>
      <c r="BQ644" s="147"/>
      <c r="BR644" s="147"/>
      <c r="BS644" s="147"/>
      <c r="BT644" s="147"/>
      <c r="BU644" s="147"/>
      <c r="BV644" s="147"/>
      <c r="BW644" s="147"/>
      <c r="BX644" s="147"/>
      <c r="BY644" s="147"/>
      <c r="BZ644" s="147"/>
      <c r="CA644" s="147"/>
      <c r="CB644" s="147"/>
      <c r="CC644" s="147"/>
      <c r="CD644" s="147"/>
      <c r="CE644" s="147"/>
      <c r="CF644" s="147"/>
      <c r="CG644" s="147"/>
      <c r="CH644" s="147"/>
      <c r="CI644" s="147"/>
      <c r="CJ644" s="147"/>
      <c r="CK644" s="147"/>
    </row>
    <row r="645" spans="1:89">
      <c r="A645" s="157"/>
      <c r="F645" s="3"/>
      <c r="G645" s="3"/>
      <c r="L645" s="157"/>
      <c r="M645" s="157"/>
      <c r="O645" s="147"/>
      <c r="P645" s="147"/>
      <c r="Q645" s="147"/>
      <c r="R645" s="147"/>
      <c r="S645" s="147"/>
      <c r="T645" s="147"/>
      <c r="U645" s="147"/>
      <c r="V645" s="147"/>
      <c r="W645" s="147"/>
      <c r="X645" s="147"/>
      <c r="Y645" s="147"/>
      <c r="Z645" s="147"/>
      <c r="AA645" s="147"/>
      <c r="AB645" s="147"/>
      <c r="AC645" s="147"/>
      <c r="AD645" s="147"/>
      <c r="AE645" s="147"/>
      <c r="AF645" s="147"/>
      <c r="AG645" s="147"/>
      <c r="AH645" s="147"/>
      <c r="AI645" s="147"/>
      <c r="AJ645" s="147"/>
      <c r="AK645" s="147"/>
      <c r="AL645" s="147"/>
      <c r="AM645" s="151"/>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c r="BI645" s="147"/>
      <c r="BJ645" s="147"/>
      <c r="BK645" s="147"/>
      <c r="BL645" s="147"/>
      <c r="BM645" s="147"/>
      <c r="BN645" s="147"/>
      <c r="BO645" s="147"/>
      <c r="BP645" s="147"/>
      <c r="BQ645" s="147"/>
      <c r="BR645" s="147"/>
      <c r="BS645" s="147"/>
      <c r="BT645" s="147"/>
      <c r="BU645" s="147"/>
      <c r="BV645" s="147"/>
      <c r="BW645" s="147"/>
      <c r="BX645" s="147"/>
      <c r="BY645" s="147"/>
      <c r="BZ645" s="147"/>
      <c r="CA645" s="147"/>
      <c r="CB645" s="147"/>
      <c r="CC645" s="147"/>
      <c r="CD645" s="147"/>
      <c r="CE645" s="147"/>
      <c r="CF645" s="147"/>
      <c r="CG645" s="147"/>
      <c r="CH645" s="147"/>
      <c r="CI645" s="147"/>
      <c r="CJ645" s="147"/>
      <c r="CK645" s="147"/>
    </row>
    <row r="646" spans="1:89">
      <c r="A646" s="157"/>
      <c r="F646" s="3"/>
      <c r="G646" s="3"/>
      <c r="L646" s="157"/>
      <c r="M646" s="157"/>
      <c r="O646" s="147"/>
      <c r="P646" s="147"/>
      <c r="Q646" s="147"/>
      <c r="R646" s="147"/>
      <c r="S646" s="147"/>
      <c r="T646" s="147"/>
      <c r="U646" s="147"/>
      <c r="V646" s="147"/>
      <c r="W646" s="147"/>
      <c r="X646" s="147"/>
      <c r="Y646" s="147"/>
      <c r="Z646" s="147"/>
      <c r="AA646" s="147"/>
      <c r="AB646" s="147"/>
      <c r="AC646" s="147"/>
      <c r="AD646" s="147"/>
      <c r="AE646" s="147"/>
      <c r="AF646" s="147"/>
      <c r="AG646" s="147"/>
      <c r="AH646" s="147"/>
      <c r="AI646" s="147"/>
      <c r="AJ646" s="147"/>
      <c r="AK646" s="147"/>
      <c r="AL646" s="147"/>
      <c r="AM646" s="151"/>
      <c r="AN646" s="147"/>
      <c r="AO646" s="147"/>
      <c r="AP646" s="147"/>
      <c r="AQ646" s="147"/>
      <c r="AR646" s="147"/>
      <c r="AS646" s="147"/>
      <c r="AT646" s="147"/>
      <c r="AU646" s="147"/>
      <c r="AV646" s="147"/>
      <c r="AW646" s="147"/>
      <c r="AX646" s="147"/>
      <c r="AY646" s="147"/>
      <c r="AZ646" s="147"/>
      <c r="BA646" s="147"/>
      <c r="BB646" s="147"/>
      <c r="BC646" s="147"/>
      <c r="BD646" s="147"/>
      <c r="BE646" s="147"/>
      <c r="BF646" s="147"/>
      <c r="BG646" s="147"/>
      <c r="BH646" s="147"/>
      <c r="BI646" s="147"/>
      <c r="BJ646" s="147"/>
      <c r="BK646" s="147"/>
      <c r="BL646" s="147"/>
      <c r="BM646" s="147"/>
      <c r="BN646" s="147"/>
      <c r="BO646" s="147"/>
      <c r="BP646" s="147"/>
      <c r="BQ646" s="147"/>
      <c r="BR646" s="147"/>
      <c r="BS646" s="147"/>
      <c r="BT646" s="147"/>
      <c r="BU646" s="147"/>
      <c r="BV646" s="147"/>
      <c r="BW646" s="147"/>
      <c r="BX646" s="147"/>
      <c r="BY646" s="147"/>
      <c r="BZ646" s="147"/>
      <c r="CA646" s="147"/>
      <c r="CB646" s="147"/>
      <c r="CC646" s="147"/>
      <c r="CD646" s="147"/>
      <c r="CE646" s="147"/>
      <c r="CF646" s="147"/>
      <c r="CG646" s="147"/>
      <c r="CH646" s="147"/>
      <c r="CI646" s="147"/>
      <c r="CJ646" s="147"/>
      <c r="CK646" s="147"/>
    </row>
    <row r="647" spans="1:89">
      <c r="A647" s="157"/>
      <c r="F647" s="3"/>
      <c r="G647" s="3"/>
      <c r="L647" s="157"/>
      <c r="M647" s="157"/>
      <c r="O647" s="147"/>
      <c r="P647" s="147"/>
      <c r="Q647" s="147"/>
      <c r="R647" s="147"/>
      <c r="S647" s="147"/>
      <c r="T647" s="147"/>
      <c r="U647" s="147"/>
      <c r="V647" s="147"/>
      <c r="W647" s="147"/>
      <c r="X647" s="147"/>
      <c r="Y647" s="147"/>
      <c r="Z647" s="147"/>
      <c r="AA647" s="147"/>
      <c r="AB647" s="147"/>
      <c r="AC647" s="147"/>
      <c r="AD647" s="147"/>
      <c r="AE647" s="147"/>
      <c r="AF647" s="147"/>
      <c r="AG647" s="147"/>
      <c r="AH647" s="147"/>
      <c r="AI647" s="147"/>
      <c r="AJ647" s="147"/>
      <c r="AK647" s="147"/>
      <c r="AL647" s="147"/>
      <c r="AM647" s="151"/>
      <c r="AN647" s="147"/>
      <c r="AO647" s="147"/>
      <c r="AP647" s="147"/>
      <c r="AQ647" s="147"/>
      <c r="AR647" s="147"/>
      <c r="AS647" s="147"/>
      <c r="AT647" s="147"/>
      <c r="AU647" s="147"/>
      <c r="AV647" s="147"/>
      <c r="AW647" s="147"/>
      <c r="AX647" s="147"/>
      <c r="AY647" s="147"/>
      <c r="AZ647" s="147"/>
      <c r="BA647" s="147"/>
      <c r="BB647" s="147"/>
      <c r="BC647" s="147"/>
      <c r="BD647" s="147"/>
      <c r="BE647" s="147"/>
      <c r="BF647" s="147"/>
      <c r="BG647" s="147"/>
      <c r="BH647" s="147"/>
      <c r="BI647" s="147"/>
      <c r="BJ647" s="147"/>
      <c r="BK647" s="147"/>
      <c r="BL647" s="147"/>
      <c r="BM647" s="147"/>
      <c r="BN647" s="147"/>
      <c r="BO647" s="147"/>
      <c r="BP647" s="147"/>
      <c r="BQ647" s="147"/>
      <c r="BR647" s="147"/>
      <c r="BS647" s="147"/>
      <c r="BT647" s="147"/>
      <c r="BU647" s="147"/>
      <c r="BV647" s="147"/>
      <c r="BW647" s="147"/>
      <c r="BX647" s="147"/>
      <c r="BY647" s="147"/>
      <c r="BZ647" s="147"/>
      <c r="CA647" s="147"/>
      <c r="CB647" s="147"/>
      <c r="CC647" s="147"/>
      <c r="CD647" s="147"/>
      <c r="CE647" s="147"/>
      <c r="CF647" s="147"/>
      <c r="CG647" s="147"/>
      <c r="CH647" s="147"/>
      <c r="CI647" s="147"/>
      <c r="CJ647" s="147"/>
      <c r="CK647" s="147"/>
    </row>
    <row r="648" spans="1:89">
      <c r="A648" s="157"/>
      <c r="F648" s="3"/>
      <c r="G648" s="3"/>
      <c r="L648" s="157"/>
      <c r="M648" s="157"/>
      <c r="O648" s="147"/>
      <c r="P648" s="147"/>
      <c r="Q648" s="147"/>
      <c r="R648" s="147"/>
      <c r="S648" s="147"/>
      <c r="T648" s="147"/>
      <c r="U648" s="147"/>
      <c r="V648" s="147"/>
      <c r="W648" s="147"/>
      <c r="X648" s="147"/>
      <c r="Y648" s="147"/>
      <c r="Z648" s="147"/>
      <c r="AA648" s="147"/>
      <c r="AB648" s="147"/>
      <c r="AC648" s="147"/>
      <c r="AD648" s="147"/>
      <c r="AE648" s="147"/>
      <c r="AF648" s="147"/>
      <c r="AG648" s="147"/>
      <c r="AH648" s="147"/>
      <c r="AI648" s="147"/>
      <c r="AJ648" s="147"/>
      <c r="AK648" s="147"/>
      <c r="AL648" s="147"/>
      <c r="AM648" s="151"/>
      <c r="AN648" s="147"/>
      <c r="AO648" s="147"/>
      <c r="AP648" s="147"/>
      <c r="AQ648" s="147"/>
      <c r="AR648" s="147"/>
      <c r="AS648" s="147"/>
      <c r="AT648" s="147"/>
      <c r="AU648" s="147"/>
      <c r="AV648" s="147"/>
      <c r="AW648" s="147"/>
      <c r="AX648" s="147"/>
      <c r="AY648" s="147"/>
      <c r="AZ648" s="147"/>
      <c r="BA648" s="147"/>
      <c r="BB648" s="147"/>
      <c r="BC648" s="147"/>
      <c r="BD648" s="147"/>
      <c r="BE648" s="147"/>
      <c r="BF648" s="147"/>
      <c r="BG648" s="147"/>
      <c r="BH648" s="147"/>
      <c r="BI648" s="147"/>
      <c r="BJ648" s="147"/>
      <c r="BK648" s="147"/>
      <c r="BL648" s="147"/>
      <c r="BM648" s="147"/>
      <c r="BN648" s="147"/>
      <c r="BO648" s="147"/>
      <c r="BP648" s="147"/>
      <c r="BQ648" s="147"/>
      <c r="BR648" s="147"/>
      <c r="BS648" s="147"/>
      <c r="BT648" s="147"/>
      <c r="BU648" s="147"/>
      <c r="BV648" s="147"/>
      <c r="BW648" s="147"/>
      <c r="BX648" s="147"/>
      <c r="BY648" s="147"/>
      <c r="BZ648" s="147"/>
      <c r="CA648" s="147"/>
      <c r="CB648" s="147"/>
      <c r="CC648" s="147"/>
      <c r="CD648" s="147"/>
      <c r="CE648" s="147"/>
      <c r="CF648" s="147"/>
      <c r="CG648" s="147"/>
      <c r="CH648" s="147"/>
      <c r="CI648" s="147"/>
      <c r="CJ648" s="147"/>
      <c r="CK648" s="147"/>
    </row>
    <row r="649" spans="1:89">
      <c r="A649" s="157"/>
      <c r="F649" s="3"/>
      <c r="G649" s="3"/>
      <c r="L649" s="157"/>
      <c r="M649" s="157"/>
      <c r="O649" s="147"/>
      <c r="P649" s="147"/>
      <c r="Q649" s="147"/>
      <c r="R649" s="147"/>
      <c r="S649" s="147"/>
      <c r="T649" s="147"/>
      <c r="U649" s="147"/>
      <c r="V649" s="147"/>
      <c r="W649" s="147"/>
      <c r="X649" s="147"/>
      <c r="Y649" s="147"/>
      <c r="Z649" s="147"/>
      <c r="AA649" s="147"/>
      <c r="AB649" s="147"/>
      <c r="AC649" s="147"/>
      <c r="AD649" s="147"/>
      <c r="AE649" s="147"/>
      <c r="AF649" s="147"/>
      <c r="AG649" s="147"/>
      <c r="AH649" s="147"/>
      <c r="AI649" s="147"/>
      <c r="AJ649" s="147"/>
      <c r="AK649" s="147"/>
      <c r="AL649" s="147"/>
      <c r="AM649" s="151"/>
      <c r="AN649" s="147"/>
      <c r="AO649" s="147"/>
      <c r="AP649" s="147"/>
      <c r="AQ649" s="147"/>
      <c r="AR649" s="147"/>
      <c r="AS649" s="147"/>
      <c r="AT649" s="147"/>
      <c r="AU649" s="147"/>
      <c r="AV649" s="147"/>
      <c r="AW649" s="147"/>
      <c r="AX649" s="147"/>
      <c r="AY649" s="147"/>
      <c r="AZ649" s="147"/>
      <c r="BA649" s="147"/>
      <c r="BB649" s="147"/>
      <c r="BC649" s="147"/>
      <c r="BD649" s="147"/>
      <c r="BE649" s="147"/>
      <c r="BF649" s="147"/>
      <c r="BG649" s="147"/>
      <c r="BH649" s="147"/>
      <c r="BI649" s="147"/>
      <c r="BJ649" s="147"/>
      <c r="BK649" s="147"/>
      <c r="BL649" s="147"/>
      <c r="BM649" s="147"/>
      <c r="BN649" s="147"/>
      <c r="BO649" s="147"/>
      <c r="BP649" s="147"/>
      <c r="BQ649" s="147"/>
      <c r="BR649" s="147"/>
      <c r="BS649" s="147"/>
      <c r="BT649" s="147"/>
      <c r="BU649" s="147"/>
      <c r="BV649" s="147"/>
      <c r="BW649" s="147"/>
      <c r="BX649" s="147"/>
      <c r="BY649" s="147"/>
      <c r="BZ649" s="147"/>
      <c r="CA649" s="147"/>
      <c r="CB649" s="147"/>
      <c r="CC649" s="147"/>
      <c r="CD649" s="147"/>
      <c r="CE649" s="147"/>
      <c r="CF649" s="147"/>
      <c r="CG649" s="147"/>
      <c r="CH649" s="147"/>
      <c r="CI649" s="147"/>
      <c r="CJ649" s="147"/>
      <c r="CK649" s="147"/>
    </row>
    <row r="650" spans="1:89">
      <c r="A650" s="157"/>
      <c r="F650" s="3"/>
      <c r="G650" s="3"/>
      <c r="L650" s="157"/>
      <c r="M650" s="157"/>
      <c r="O650" s="147"/>
      <c r="P650" s="147"/>
      <c r="Q650" s="147"/>
      <c r="R650" s="147"/>
      <c r="S650" s="147"/>
      <c r="T650" s="147"/>
      <c r="U650" s="147"/>
      <c r="V650" s="147"/>
      <c r="W650" s="147"/>
      <c r="X650" s="147"/>
      <c r="Y650" s="147"/>
      <c r="Z650" s="147"/>
      <c r="AA650" s="147"/>
      <c r="AB650" s="147"/>
      <c r="AC650" s="147"/>
      <c r="AD650" s="147"/>
      <c r="AE650" s="147"/>
      <c r="AF650" s="147"/>
      <c r="AG650" s="147"/>
      <c r="AH650" s="147"/>
      <c r="AI650" s="147"/>
      <c r="AJ650" s="147"/>
      <c r="AK650" s="147"/>
      <c r="AL650" s="147"/>
      <c r="AM650" s="151"/>
      <c r="AN650" s="147"/>
      <c r="AO650" s="147"/>
      <c r="AP650" s="147"/>
      <c r="AQ650" s="147"/>
      <c r="AR650" s="147"/>
      <c r="AS650" s="147"/>
      <c r="AT650" s="147"/>
      <c r="AU650" s="147"/>
      <c r="AV650" s="147"/>
      <c r="AW650" s="147"/>
      <c r="AX650" s="147"/>
      <c r="AY650" s="147"/>
      <c r="AZ650" s="147"/>
      <c r="BA650" s="147"/>
      <c r="BB650" s="147"/>
      <c r="BC650" s="147"/>
      <c r="BD650" s="147"/>
      <c r="BE650" s="147"/>
      <c r="BF650" s="147"/>
      <c r="BG650" s="147"/>
      <c r="BH650" s="147"/>
      <c r="BI650" s="147"/>
      <c r="BJ650" s="147"/>
      <c r="BK650" s="147"/>
      <c r="BL650" s="147"/>
      <c r="BM650" s="147"/>
      <c r="BN650" s="147"/>
      <c r="BO650" s="147"/>
      <c r="BP650" s="147"/>
      <c r="BQ650" s="147"/>
      <c r="BR650" s="147"/>
      <c r="BS650" s="147"/>
      <c r="BT650" s="147"/>
      <c r="BU650" s="147"/>
      <c r="BV650" s="147"/>
      <c r="BW650" s="147"/>
      <c r="BX650" s="147"/>
      <c r="BY650" s="147"/>
      <c r="BZ650" s="147"/>
      <c r="CA650" s="147"/>
      <c r="CB650" s="147"/>
      <c r="CC650" s="147"/>
      <c r="CD650" s="147"/>
      <c r="CE650" s="147"/>
      <c r="CF650" s="147"/>
      <c r="CG650" s="147"/>
      <c r="CH650" s="147"/>
      <c r="CI650" s="147"/>
      <c r="CJ650" s="147"/>
      <c r="CK650" s="147"/>
    </row>
    <row r="651" spans="1:89">
      <c r="A651" s="157"/>
      <c r="F651" s="3"/>
      <c r="G651" s="3"/>
      <c r="L651" s="157"/>
      <c r="M651" s="157"/>
      <c r="O651" s="147"/>
      <c r="P651" s="147"/>
      <c r="Q651" s="147"/>
      <c r="R651" s="147"/>
      <c r="S651" s="147"/>
      <c r="T651" s="147"/>
      <c r="U651" s="147"/>
      <c r="V651" s="147"/>
      <c r="W651" s="147"/>
      <c r="X651" s="147"/>
      <c r="Y651" s="147"/>
      <c r="Z651" s="147"/>
      <c r="AA651" s="147"/>
      <c r="AB651" s="147"/>
      <c r="AC651" s="147"/>
      <c r="AD651" s="147"/>
      <c r="AE651" s="147"/>
      <c r="AF651" s="147"/>
      <c r="AG651" s="147"/>
      <c r="AH651" s="147"/>
      <c r="AI651" s="147"/>
      <c r="AJ651" s="147"/>
      <c r="AK651" s="147"/>
      <c r="AL651" s="147"/>
      <c r="AM651" s="151"/>
      <c r="AN651" s="147"/>
      <c r="AO651" s="147"/>
      <c r="AP651" s="147"/>
      <c r="AQ651" s="147"/>
      <c r="AR651" s="147"/>
      <c r="AS651" s="147"/>
      <c r="AT651" s="147"/>
      <c r="AU651" s="147"/>
      <c r="AV651" s="147"/>
      <c r="AW651" s="147"/>
      <c r="AX651" s="147"/>
      <c r="AY651" s="147"/>
      <c r="AZ651" s="147"/>
      <c r="BA651" s="147"/>
      <c r="BB651" s="147"/>
      <c r="BC651" s="147"/>
      <c r="BD651" s="147"/>
      <c r="BE651" s="147"/>
      <c r="BF651" s="147"/>
      <c r="BG651" s="147"/>
      <c r="BH651" s="147"/>
      <c r="BI651" s="147"/>
      <c r="BJ651" s="147"/>
      <c r="BK651" s="147"/>
      <c r="BL651" s="147"/>
      <c r="BM651" s="147"/>
      <c r="BN651" s="147"/>
      <c r="BO651" s="147"/>
      <c r="BP651" s="147"/>
      <c r="BQ651" s="147"/>
      <c r="BR651" s="147"/>
      <c r="BS651" s="147"/>
      <c r="BT651" s="147"/>
      <c r="BU651" s="147"/>
      <c r="BV651" s="147"/>
      <c r="BW651" s="147"/>
      <c r="BX651" s="147"/>
      <c r="BY651" s="147"/>
      <c r="BZ651" s="147"/>
      <c r="CA651" s="147"/>
      <c r="CB651" s="147"/>
      <c r="CC651" s="147"/>
      <c r="CD651" s="147"/>
      <c r="CE651" s="147"/>
      <c r="CF651" s="147"/>
      <c r="CG651" s="147"/>
      <c r="CH651" s="147"/>
      <c r="CI651" s="147"/>
      <c r="CJ651" s="147"/>
      <c r="CK651" s="147"/>
    </row>
    <row r="652" spans="1:89">
      <c r="A652" s="157"/>
      <c r="F652" s="3"/>
      <c r="G652" s="3"/>
      <c r="L652" s="157"/>
      <c r="M652" s="157"/>
      <c r="O652" s="147"/>
      <c r="P652" s="147"/>
      <c r="Q652" s="147"/>
      <c r="R652" s="147"/>
      <c r="S652" s="147"/>
      <c r="T652" s="147"/>
      <c r="U652" s="147"/>
      <c r="V652" s="147"/>
      <c r="W652" s="147"/>
      <c r="X652" s="147"/>
      <c r="Y652" s="147"/>
      <c r="Z652" s="147"/>
      <c r="AA652" s="147"/>
      <c r="AB652" s="147"/>
      <c r="AC652" s="147"/>
      <c r="AD652" s="147"/>
      <c r="AE652" s="147"/>
      <c r="AF652" s="147"/>
      <c r="AG652" s="147"/>
      <c r="AH652" s="147"/>
      <c r="AI652" s="147"/>
      <c r="AJ652" s="147"/>
      <c r="AK652" s="147"/>
      <c r="AL652" s="147"/>
      <c r="AM652" s="151"/>
      <c r="AN652" s="147"/>
      <c r="AO652" s="147"/>
      <c r="AP652" s="147"/>
      <c r="AQ652" s="147"/>
      <c r="AR652" s="147"/>
      <c r="AS652" s="147"/>
      <c r="AT652" s="147"/>
      <c r="AU652" s="147"/>
      <c r="AV652" s="147"/>
      <c r="AW652" s="147"/>
      <c r="AX652" s="147"/>
      <c r="AY652" s="147"/>
      <c r="AZ652" s="147"/>
      <c r="BA652" s="147"/>
      <c r="BB652" s="147"/>
      <c r="BC652" s="147"/>
      <c r="BD652" s="147"/>
      <c r="BE652" s="147"/>
      <c r="BF652" s="147"/>
      <c r="BG652" s="147"/>
      <c r="BH652" s="147"/>
      <c r="BI652" s="147"/>
      <c r="BJ652" s="147"/>
      <c r="BK652" s="147"/>
      <c r="BL652" s="147"/>
      <c r="BM652" s="147"/>
      <c r="BN652" s="147"/>
      <c r="BO652" s="147"/>
      <c r="BP652" s="147"/>
      <c r="BQ652" s="147"/>
      <c r="BR652" s="147"/>
      <c r="BS652" s="147"/>
      <c r="BT652" s="147"/>
      <c r="BU652" s="147"/>
      <c r="BV652" s="147"/>
      <c r="BW652" s="147"/>
      <c r="BX652" s="147"/>
      <c r="BY652" s="147"/>
      <c r="BZ652" s="147"/>
      <c r="CA652" s="147"/>
      <c r="CB652" s="147"/>
      <c r="CC652" s="147"/>
      <c r="CD652" s="147"/>
      <c r="CE652" s="147"/>
      <c r="CF652" s="147"/>
      <c r="CG652" s="147"/>
      <c r="CH652" s="147"/>
      <c r="CI652" s="147"/>
      <c r="CJ652" s="147"/>
      <c r="CK652" s="147"/>
    </row>
    <row r="653" spans="1:89">
      <c r="A653" s="157"/>
      <c r="F653" s="3"/>
      <c r="G653" s="3"/>
      <c r="L653" s="157"/>
      <c r="M653" s="157"/>
      <c r="O653" s="147"/>
      <c r="P653" s="147"/>
      <c r="Q653" s="147"/>
      <c r="R653" s="147"/>
      <c r="S653" s="147"/>
      <c r="T653" s="147"/>
      <c r="U653" s="147"/>
      <c r="V653" s="147"/>
      <c r="W653" s="147"/>
      <c r="X653" s="147"/>
      <c r="Y653" s="147"/>
      <c r="Z653" s="147"/>
      <c r="AA653" s="147"/>
      <c r="AB653" s="147"/>
      <c r="AC653" s="147"/>
      <c r="AD653" s="147"/>
      <c r="AE653" s="147"/>
      <c r="AF653" s="147"/>
      <c r="AG653" s="147"/>
      <c r="AH653" s="147"/>
      <c r="AI653" s="147"/>
      <c r="AJ653" s="147"/>
      <c r="AK653" s="147"/>
      <c r="AL653" s="147"/>
      <c r="AM653" s="151"/>
      <c r="AN653" s="147"/>
      <c r="AO653" s="147"/>
      <c r="AP653" s="147"/>
      <c r="AQ653" s="147"/>
      <c r="AR653" s="147"/>
      <c r="AS653" s="147"/>
      <c r="AT653" s="147"/>
      <c r="AU653" s="147"/>
      <c r="AV653" s="147"/>
      <c r="AW653" s="147"/>
      <c r="AX653" s="147"/>
      <c r="AY653" s="147"/>
      <c r="AZ653" s="147"/>
      <c r="BA653" s="147"/>
      <c r="BB653" s="147"/>
      <c r="BC653" s="147"/>
      <c r="BD653" s="147"/>
      <c r="BE653" s="147"/>
      <c r="BF653" s="147"/>
      <c r="BG653" s="147"/>
      <c r="BH653" s="147"/>
      <c r="BI653" s="147"/>
      <c r="BJ653" s="147"/>
      <c r="BK653" s="147"/>
      <c r="BL653" s="147"/>
      <c r="BM653" s="147"/>
      <c r="BN653" s="147"/>
      <c r="BO653" s="147"/>
      <c r="BP653" s="147"/>
      <c r="BQ653" s="147"/>
      <c r="BR653" s="147"/>
      <c r="BS653" s="147"/>
      <c r="BT653" s="147"/>
      <c r="BU653" s="147"/>
      <c r="BV653" s="147"/>
      <c r="BW653" s="147"/>
      <c r="BX653" s="147"/>
      <c r="BY653" s="147"/>
      <c r="BZ653" s="147"/>
      <c r="CA653" s="147"/>
      <c r="CB653" s="147"/>
      <c r="CC653" s="147"/>
      <c r="CD653" s="147"/>
      <c r="CE653" s="147"/>
      <c r="CF653" s="147"/>
      <c r="CG653" s="147"/>
      <c r="CH653" s="147"/>
      <c r="CI653" s="147"/>
      <c r="CJ653" s="147"/>
      <c r="CK653" s="147"/>
    </row>
    <row r="654" spans="1:89">
      <c r="A654" s="157"/>
      <c r="F654" s="3"/>
      <c r="G654" s="3"/>
      <c r="L654" s="157"/>
      <c r="M654" s="157"/>
      <c r="O654" s="147"/>
      <c r="P654" s="147"/>
      <c r="Q654" s="147"/>
      <c r="R654" s="147"/>
      <c r="S654" s="147"/>
      <c r="T654" s="147"/>
      <c r="U654" s="147"/>
      <c r="V654" s="147"/>
      <c r="W654" s="147"/>
      <c r="X654" s="147"/>
      <c r="Y654" s="147"/>
      <c r="Z654" s="147"/>
      <c r="AA654" s="147"/>
      <c r="AB654" s="147"/>
      <c r="AC654" s="147"/>
      <c r="AD654" s="147"/>
      <c r="AE654" s="147"/>
      <c r="AF654" s="147"/>
      <c r="AG654" s="147"/>
      <c r="AH654" s="147"/>
      <c r="AI654" s="147"/>
      <c r="AJ654" s="147"/>
      <c r="AK654" s="147"/>
      <c r="AL654" s="147"/>
      <c r="AM654" s="151"/>
      <c r="AN654" s="147"/>
      <c r="AO654" s="147"/>
      <c r="AP654" s="147"/>
      <c r="AQ654" s="147"/>
      <c r="AR654" s="147"/>
      <c r="AS654" s="147"/>
      <c r="AT654" s="147"/>
      <c r="AU654" s="147"/>
      <c r="AV654" s="147"/>
      <c r="AW654" s="147"/>
      <c r="AX654" s="147"/>
      <c r="AY654" s="147"/>
      <c r="AZ654" s="147"/>
      <c r="BA654" s="147"/>
      <c r="BB654" s="147"/>
      <c r="BC654" s="147"/>
      <c r="BD654" s="147"/>
      <c r="BE654" s="147"/>
      <c r="BF654" s="147"/>
      <c r="BG654" s="147"/>
      <c r="BH654" s="147"/>
      <c r="BI654" s="147"/>
      <c r="BJ654" s="147"/>
      <c r="BK654" s="147"/>
      <c r="BL654" s="147"/>
      <c r="BM654" s="147"/>
      <c r="BN654" s="147"/>
      <c r="BO654" s="147"/>
      <c r="BP654" s="147"/>
      <c r="BQ654" s="147"/>
      <c r="BR654" s="147"/>
      <c r="BS654" s="147"/>
      <c r="BT654" s="147"/>
      <c r="BU654" s="147"/>
      <c r="BV654" s="147"/>
      <c r="BW654" s="147"/>
      <c r="BX654" s="147"/>
      <c r="BY654" s="147"/>
      <c r="BZ654" s="147"/>
      <c r="CA654" s="147"/>
      <c r="CB654" s="147"/>
      <c r="CC654" s="147"/>
      <c r="CD654" s="147"/>
      <c r="CE654" s="147"/>
      <c r="CF654" s="147"/>
      <c r="CG654" s="147"/>
      <c r="CH654" s="147"/>
      <c r="CI654" s="147"/>
      <c r="CJ654" s="147"/>
      <c r="CK654" s="147"/>
    </row>
    <row r="655" spans="1:89">
      <c r="A655" s="157"/>
      <c r="F655" s="3"/>
      <c r="G655" s="3"/>
      <c r="L655" s="157"/>
      <c r="M655" s="157"/>
      <c r="O655" s="147"/>
      <c r="P655" s="147"/>
      <c r="Q655" s="147"/>
      <c r="R655" s="147"/>
      <c r="S655" s="147"/>
      <c r="T655" s="147"/>
      <c r="U655" s="147"/>
      <c r="V655" s="147"/>
      <c r="W655" s="147"/>
      <c r="X655" s="147"/>
      <c r="Y655" s="147"/>
      <c r="Z655" s="147"/>
      <c r="AA655" s="147"/>
      <c r="AB655" s="147"/>
      <c r="AC655" s="147"/>
      <c r="AD655" s="147"/>
      <c r="AE655" s="147"/>
      <c r="AF655" s="147"/>
      <c r="AG655" s="147"/>
      <c r="AH655" s="147"/>
      <c r="AI655" s="147"/>
      <c r="AJ655" s="147"/>
      <c r="AK655" s="147"/>
      <c r="AL655" s="147"/>
      <c r="AM655" s="151"/>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c r="BI655" s="147"/>
      <c r="BJ655" s="147"/>
      <c r="BK655" s="147"/>
      <c r="BL655" s="147"/>
      <c r="BM655" s="147"/>
      <c r="BN655" s="147"/>
      <c r="BO655" s="147"/>
      <c r="BP655" s="147"/>
      <c r="BQ655" s="147"/>
      <c r="BR655" s="147"/>
      <c r="BS655" s="147"/>
      <c r="BT655" s="147"/>
      <c r="BU655" s="147"/>
      <c r="BV655" s="147"/>
      <c r="BW655" s="147"/>
      <c r="BX655" s="147"/>
      <c r="BY655" s="147"/>
      <c r="BZ655" s="147"/>
      <c r="CA655" s="147"/>
      <c r="CB655" s="147"/>
      <c r="CC655" s="147"/>
      <c r="CD655" s="147"/>
      <c r="CE655" s="147"/>
      <c r="CF655" s="147"/>
      <c r="CG655" s="147"/>
      <c r="CH655" s="147"/>
      <c r="CI655" s="147"/>
      <c r="CJ655" s="147"/>
      <c r="CK655" s="147"/>
    </row>
    <row r="656" spans="1:89">
      <c r="A656" s="157"/>
      <c r="F656" s="3"/>
      <c r="G656" s="3"/>
      <c r="L656" s="157"/>
      <c r="M656" s="157"/>
      <c r="O656" s="147"/>
      <c r="P656" s="147"/>
      <c r="Q656" s="147"/>
      <c r="R656" s="147"/>
      <c r="S656" s="147"/>
      <c r="T656" s="147"/>
      <c r="U656" s="147"/>
      <c r="V656" s="147"/>
      <c r="W656" s="147"/>
      <c r="X656" s="147"/>
      <c r="Y656" s="147"/>
      <c r="Z656" s="147"/>
      <c r="AA656" s="147"/>
      <c r="AB656" s="147"/>
      <c r="AC656" s="147"/>
      <c r="AD656" s="147"/>
      <c r="AE656" s="147"/>
      <c r="AF656" s="147"/>
      <c r="AG656" s="147"/>
      <c r="AH656" s="147"/>
      <c r="AI656" s="147"/>
      <c r="AJ656" s="147"/>
      <c r="AK656" s="147"/>
      <c r="AL656" s="147"/>
      <c r="AM656" s="151"/>
      <c r="AN656" s="147"/>
      <c r="AO656" s="147"/>
      <c r="AP656" s="147"/>
      <c r="AQ656" s="147"/>
      <c r="AR656" s="147"/>
      <c r="AS656" s="147"/>
      <c r="AT656" s="147"/>
      <c r="AU656" s="147"/>
      <c r="AV656" s="147"/>
      <c r="AW656" s="147"/>
      <c r="AX656" s="147"/>
      <c r="AY656" s="147"/>
      <c r="AZ656" s="147"/>
      <c r="BA656" s="147"/>
      <c r="BB656" s="147"/>
      <c r="BC656" s="147"/>
      <c r="BD656" s="147"/>
      <c r="BE656" s="147"/>
      <c r="BF656" s="147"/>
      <c r="BG656" s="147"/>
      <c r="BH656" s="147"/>
      <c r="BI656" s="147"/>
      <c r="BJ656" s="147"/>
      <c r="BK656" s="147"/>
      <c r="BL656" s="147"/>
      <c r="BM656" s="147"/>
      <c r="BN656" s="147"/>
      <c r="BO656" s="147"/>
      <c r="BP656" s="147"/>
      <c r="BQ656" s="147"/>
      <c r="BR656" s="147"/>
      <c r="BS656" s="147"/>
      <c r="BT656" s="147"/>
      <c r="BU656" s="147"/>
      <c r="BV656" s="147"/>
      <c r="BW656" s="147"/>
      <c r="BX656" s="147"/>
      <c r="BY656" s="147"/>
      <c r="BZ656" s="147"/>
      <c r="CA656" s="147"/>
      <c r="CB656" s="147"/>
      <c r="CC656" s="147"/>
      <c r="CD656" s="147"/>
      <c r="CE656" s="147"/>
      <c r="CF656" s="147"/>
      <c r="CG656" s="147"/>
      <c r="CH656" s="147"/>
      <c r="CI656" s="147"/>
      <c r="CJ656" s="147"/>
      <c r="CK656" s="147"/>
    </row>
    <row r="657" spans="1:89">
      <c r="A657" s="157"/>
      <c r="F657" s="3"/>
      <c r="G657" s="3"/>
      <c r="L657" s="157"/>
      <c r="M657" s="157"/>
      <c r="O657" s="147"/>
      <c r="P657" s="147"/>
      <c r="Q657" s="147"/>
      <c r="R657" s="147"/>
      <c r="S657" s="147"/>
      <c r="T657" s="147"/>
      <c r="U657" s="147"/>
      <c r="V657" s="147"/>
      <c r="W657" s="147"/>
      <c r="X657" s="147"/>
      <c r="Y657" s="147"/>
      <c r="Z657" s="147"/>
      <c r="AA657" s="147"/>
      <c r="AB657" s="147"/>
      <c r="AC657" s="147"/>
      <c r="AD657" s="147"/>
      <c r="AE657" s="147"/>
      <c r="AF657" s="147"/>
      <c r="AG657" s="147"/>
      <c r="AH657" s="147"/>
      <c r="AI657" s="147"/>
      <c r="AJ657" s="147"/>
      <c r="AK657" s="147"/>
      <c r="AL657" s="147"/>
      <c r="AM657" s="151"/>
      <c r="AN657" s="147"/>
      <c r="AO657" s="147"/>
      <c r="AP657" s="147"/>
      <c r="AQ657" s="147"/>
      <c r="AR657" s="147"/>
      <c r="AS657" s="147"/>
      <c r="AT657" s="147"/>
      <c r="AU657" s="147"/>
      <c r="AV657" s="147"/>
      <c r="AW657" s="147"/>
      <c r="AX657" s="147"/>
      <c r="AY657" s="147"/>
      <c r="AZ657" s="147"/>
      <c r="BA657" s="147"/>
      <c r="BB657" s="147"/>
      <c r="BC657" s="147"/>
      <c r="BD657" s="147"/>
      <c r="BE657" s="147"/>
      <c r="BF657" s="147"/>
      <c r="BG657" s="147"/>
      <c r="BH657" s="147"/>
      <c r="BI657" s="147"/>
      <c r="BJ657" s="147"/>
      <c r="BK657" s="147"/>
      <c r="BL657" s="147"/>
      <c r="BM657" s="147"/>
      <c r="BN657" s="147"/>
      <c r="BO657" s="147"/>
      <c r="BP657" s="147"/>
      <c r="BQ657" s="147"/>
      <c r="BR657" s="147"/>
      <c r="BS657" s="147"/>
      <c r="BT657" s="147"/>
      <c r="BU657" s="147"/>
      <c r="BV657" s="147"/>
      <c r="BW657" s="147"/>
      <c r="BX657" s="147"/>
      <c r="BY657" s="147"/>
      <c r="BZ657" s="147"/>
      <c r="CA657" s="147"/>
      <c r="CB657" s="147"/>
      <c r="CC657" s="147"/>
      <c r="CD657" s="147"/>
      <c r="CE657" s="147"/>
      <c r="CF657" s="147"/>
      <c r="CG657" s="147"/>
      <c r="CH657" s="147"/>
      <c r="CI657" s="147"/>
      <c r="CJ657" s="147"/>
      <c r="CK657" s="147"/>
    </row>
    <row r="658" spans="1:89">
      <c r="A658" s="157"/>
      <c r="F658" s="3"/>
      <c r="G658" s="3"/>
      <c r="L658" s="157"/>
      <c r="M658" s="157"/>
      <c r="O658" s="147"/>
      <c r="P658" s="147"/>
      <c r="Q658" s="147"/>
      <c r="R658" s="147"/>
      <c r="S658" s="147"/>
      <c r="T658" s="147"/>
      <c r="U658" s="147"/>
      <c r="V658" s="147"/>
      <c r="W658" s="147"/>
      <c r="X658" s="147"/>
      <c r="Y658" s="147"/>
      <c r="Z658" s="147"/>
      <c r="AA658" s="147"/>
      <c r="AB658" s="147"/>
      <c r="AC658" s="147"/>
      <c r="AD658" s="147"/>
      <c r="AE658" s="147"/>
      <c r="AF658" s="147"/>
      <c r="AG658" s="147"/>
      <c r="AH658" s="147"/>
      <c r="AI658" s="147"/>
      <c r="AJ658" s="147"/>
      <c r="AK658" s="147"/>
      <c r="AL658" s="147"/>
      <c r="AM658" s="151"/>
      <c r="AN658" s="147"/>
      <c r="AO658" s="147"/>
      <c r="AP658" s="147"/>
      <c r="AQ658" s="147"/>
      <c r="AR658" s="147"/>
      <c r="AS658" s="147"/>
      <c r="AT658" s="147"/>
      <c r="AU658" s="147"/>
      <c r="AV658" s="147"/>
      <c r="AW658" s="147"/>
      <c r="AX658" s="147"/>
      <c r="AY658" s="147"/>
      <c r="AZ658" s="147"/>
      <c r="BA658" s="147"/>
      <c r="BB658" s="147"/>
      <c r="BC658" s="147"/>
      <c r="BD658" s="147"/>
      <c r="BE658" s="147"/>
      <c r="BF658" s="147"/>
      <c r="BG658" s="147"/>
      <c r="BH658" s="147"/>
      <c r="BI658" s="147"/>
      <c r="BJ658" s="147"/>
      <c r="BK658" s="147"/>
      <c r="BL658" s="147"/>
      <c r="BM658" s="147"/>
      <c r="BN658" s="147"/>
      <c r="BO658" s="147"/>
      <c r="BP658" s="147"/>
      <c r="BQ658" s="147"/>
      <c r="BR658" s="147"/>
      <c r="BS658" s="147"/>
      <c r="BT658" s="147"/>
      <c r="BU658" s="147"/>
      <c r="BV658" s="147"/>
      <c r="BW658" s="147"/>
      <c r="BX658" s="147"/>
      <c r="BY658" s="147"/>
      <c r="BZ658" s="147"/>
      <c r="CA658" s="147"/>
      <c r="CB658" s="147"/>
      <c r="CC658" s="147"/>
      <c r="CD658" s="147"/>
      <c r="CE658" s="147"/>
      <c r="CF658" s="147"/>
      <c r="CG658" s="147"/>
      <c r="CH658" s="147"/>
      <c r="CI658" s="147"/>
      <c r="CJ658" s="147"/>
      <c r="CK658" s="147"/>
    </row>
    <row r="659" spans="1:89">
      <c r="A659" s="157"/>
      <c r="F659" s="3"/>
      <c r="G659" s="3"/>
      <c r="L659" s="157"/>
      <c r="M659" s="157"/>
      <c r="O659" s="147"/>
      <c r="P659" s="147"/>
      <c r="Q659" s="147"/>
      <c r="R659" s="147"/>
      <c r="S659" s="147"/>
      <c r="T659" s="147"/>
      <c r="U659" s="147"/>
      <c r="V659" s="147"/>
      <c r="W659" s="147"/>
      <c r="X659" s="147"/>
      <c r="Y659" s="147"/>
      <c r="Z659" s="147"/>
      <c r="AA659" s="147"/>
      <c r="AB659" s="147"/>
      <c r="AC659" s="147"/>
      <c r="AD659" s="147"/>
      <c r="AE659" s="147"/>
      <c r="AF659" s="147"/>
      <c r="AG659" s="147"/>
      <c r="AH659" s="147"/>
      <c r="AI659" s="147"/>
      <c r="AJ659" s="147"/>
      <c r="AK659" s="147"/>
      <c r="AL659" s="147"/>
      <c r="AM659" s="151"/>
      <c r="AN659" s="147"/>
      <c r="AO659" s="147"/>
      <c r="AP659" s="147"/>
      <c r="AQ659" s="147"/>
      <c r="AR659" s="147"/>
      <c r="AS659" s="147"/>
      <c r="AT659" s="147"/>
      <c r="AU659" s="147"/>
      <c r="AV659" s="147"/>
      <c r="AW659" s="147"/>
      <c r="AX659" s="147"/>
      <c r="AY659" s="147"/>
      <c r="AZ659" s="147"/>
      <c r="BA659" s="147"/>
      <c r="BB659" s="147"/>
      <c r="BC659" s="147"/>
      <c r="BD659" s="147"/>
      <c r="BE659" s="147"/>
      <c r="BF659" s="147"/>
      <c r="BG659" s="147"/>
      <c r="BH659" s="147"/>
      <c r="BI659" s="147"/>
      <c r="BJ659" s="147"/>
      <c r="BK659" s="147"/>
      <c r="BL659" s="147"/>
      <c r="BM659" s="147"/>
      <c r="BN659" s="147"/>
      <c r="BO659" s="147"/>
      <c r="BP659" s="147"/>
      <c r="BQ659" s="147"/>
      <c r="BR659" s="147"/>
      <c r="BS659" s="147"/>
      <c r="BT659" s="147"/>
      <c r="BU659" s="147"/>
      <c r="BV659" s="147"/>
      <c r="BW659" s="147"/>
      <c r="BX659" s="147"/>
      <c r="BY659" s="147"/>
      <c r="BZ659" s="147"/>
      <c r="CA659" s="147"/>
      <c r="CB659" s="147"/>
      <c r="CC659" s="147"/>
      <c r="CD659" s="147"/>
      <c r="CE659" s="147"/>
      <c r="CF659" s="147"/>
      <c r="CG659" s="147"/>
      <c r="CH659" s="147"/>
      <c r="CI659" s="147"/>
      <c r="CJ659" s="147"/>
      <c r="CK659" s="147"/>
    </row>
    <row r="660" spans="1:89">
      <c r="A660" s="157"/>
      <c r="F660" s="3"/>
      <c r="G660" s="3"/>
      <c r="L660" s="157"/>
      <c r="M660" s="157"/>
      <c r="O660" s="147"/>
      <c r="P660" s="147"/>
      <c r="Q660" s="147"/>
      <c r="R660" s="147"/>
      <c r="S660" s="147"/>
      <c r="T660" s="147"/>
      <c r="U660" s="147"/>
      <c r="V660" s="147"/>
      <c r="W660" s="147"/>
      <c r="X660" s="147"/>
      <c r="Y660" s="147"/>
      <c r="Z660" s="147"/>
      <c r="AA660" s="147"/>
      <c r="AB660" s="147"/>
      <c r="AC660" s="147"/>
      <c r="AD660" s="147"/>
      <c r="AE660" s="147"/>
      <c r="AF660" s="147"/>
      <c r="AG660" s="147"/>
      <c r="AH660" s="147"/>
      <c r="AI660" s="147"/>
      <c r="AJ660" s="147"/>
      <c r="AK660" s="147"/>
      <c r="AL660" s="147"/>
      <c r="AM660" s="151"/>
      <c r="AN660" s="147"/>
      <c r="AO660" s="147"/>
      <c r="AP660" s="147"/>
      <c r="AQ660" s="147"/>
      <c r="AR660" s="147"/>
      <c r="AS660" s="147"/>
      <c r="AT660" s="147"/>
      <c r="AU660" s="147"/>
      <c r="AV660" s="147"/>
      <c r="AW660" s="147"/>
      <c r="AX660" s="147"/>
      <c r="AY660" s="147"/>
      <c r="AZ660" s="147"/>
      <c r="BA660" s="147"/>
      <c r="BB660" s="147"/>
      <c r="BC660" s="147"/>
      <c r="BD660" s="147"/>
      <c r="BE660" s="147"/>
      <c r="BF660" s="147"/>
      <c r="BG660" s="147"/>
      <c r="BH660" s="147"/>
      <c r="BI660" s="147"/>
      <c r="BJ660" s="147"/>
      <c r="BK660" s="147"/>
      <c r="BL660" s="147"/>
      <c r="BM660" s="147"/>
      <c r="BN660" s="147"/>
      <c r="BO660" s="147"/>
      <c r="BP660" s="147"/>
      <c r="BQ660" s="147"/>
      <c r="BR660" s="147"/>
      <c r="BS660" s="147"/>
      <c r="BT660" s="147"/>
      <c r="BU660" s="147"/>
      <c r="BV660" s="147"/>
      <c r="BW660" s="147"/>
      <c r="BX660" s="147"/>
      <c r="BY660" s="147"/>
      <c r="BZ660" s="147"/>
      <c r="CA660" s="147"/>
      <c r="CB660" s="147"/>
      <c r="CC660" s="147"/>
      <c r="CD660" s="147"/>
      <c r="CE660" s="147"/>
      <c r="CF660" s="147"/>
      <c r="CG660" s="147"/>
      <c r="CH660" s="147"/>
      <c r="CI660" s="147"/>
      <c r="CJ660" s="147"/>
      <c r="CK660" s="147"/>
    </row>
    <row r="661" spans="1:89">
      <c r="A661" s="157"/>
      <c r="F661" s="3"/>
      <c r="G661" s="3"/>
      <c r="L661" s="157"/>
      <c r="M661" s="157"/>
      <c r="O661" s="147"/>
      <c r="P661" s="147"/>
      <c r="Q661" s="147"/>
      <c r="R661" s="147"/>
      <c r="S661" s="147"/>
      <c r="T661" s="147"/>
      <c r="U661" s="147"/>
      <c r="V661" s="147"/>
      <c r="W661" s="147"/>
      <c r="X661" s="147"/>
      <c r="Y661" s="147"/>
      <c r="Z661" s="147"/>
      <c r="AA661" s="147"/>
      <c r="AB661" s="147"/>
      <c r="AC661" s="147"/>
      <c r="AD661" s="147"/>
      <c r="AE661" s="147"/>
      <c r="AF661" s="147"/>
      <c r="AG661" s="147"/>
      <c r="AH661" s="147"/>
      <c r="AI661" s="147"/>
      <c r="AJ661" s="147"/>
      <c r="AK661" s="147"/>
      <c r="AL661" s="147"/>
      <c r="AM661" s="151"/>
      <c r="AN661" s="147"/>
      <c r="AO661" s="147"/>
      <c r="AP661" s="147"/>
      <c r="AQ661" s="147"/>
      <c r="AR661" s="147"/>
      <c r="AS661" s="147"/>
      <c r="AT661" s="147"/>
      <c r="AU661" s="147"/>
      <c r="AV661" s="147"/>
      <c r="AW661" s="147"/>
      <c r="AX661" s="147"/>
      <c r="AY661" s="147"/>
      <c r="AZ661" s="147"/>
      <c r="BA661" s="147"/>
      <c r="BB661" s="147"/>
      <c r="BC661" s="147"/>
      <c r="BD661" s="147"/>
      <c r="BE661" s="147"/>
      <c r="BF661" s="147"/>
      <c r="BG661" s="147"/>
      <c r="BH661" s="147"/>
      <c r="BI661" s="147"/>
      <c r="BJ661" s="147"/>
      <c r="BK661" s="147"/>
      <c r="BL661" s="147"/>
      <c r="BM661" s="147"/>
      <c r="BN661" s="147"/>
      <c r="BO661" s="147"/>
      <c r="BP661" s="147"/>
      <c r="BQ661" s="147"/>
      <c r="BR661" s="147"/>
      <c r="BS661" s="147"/>
      <c r="BT661" s="147"/>
      <c r="BU661" s="147"/>
      <c r="BV661" s="147"/>
      <c r="BW661" s="147"/>
      <c r="BX661" s="147"/>
      <c r="BY661" s="147"/>
      <c r="BZ661" s="147"/>
      <c r="CA661" s="147"/>
      <c r="CB661" s="147"/>
      <c r="CC661" s="147"/>
      <c r="CD661" s="147"/>
      <c r="CE661" s="147"/>
      <c r="CF661" s="147"/>
      <c r="CG661" s="147"/>
      <c r="CH661" s="147"/>
      <c r="CI661" s="147"/>
      <c r="CJ661" s="147"/>
      <c r="CK661" s="147"/>
    </row>
    <row r="662" spans="1:89">
      <c r="A662" s="157"/>
      <c r="F662" s="3"/>
      <c r="G662" s="3"/>
      <c r="L662" s="157"/>
      <c r="M662" s="157"/>
      <c r="O662" s="147"/>
      <c r="P662" s="147"/>
      <c r="Q662" s="147"/>
      <c r="R662" s="147"/>
      <c r="S662" s="147"/>
      <c r="T662" s="147"/>
      <c r="U662" s="147"/>
      <c r="V662" s="147"/>
      <c r="W662" s="147"/>
      <c r="X662" s="147"/>
      <c r="Y662" s="147"/>
      <c r="Z662" s="147"/>
      <c r="AA662" s="147"/>
      <c r="AB662" s="147"/>
      <c r="AC662" s="147"/>
      <c r="AD662" s="147"/>
      <c r="AE662" s="147"/>
      <c r="AF662" s="147"/>
      <c r="AG662" s="147"/>
      <c r="AH662" s="147"/>
      <c r="AI662" s="147"/>
      <c r="AJ662" s="147"/>
      <c r="AK662" s="147"/>
      <c r="AL662" s="147"/>
      <c r="AM662" s="151"/>
      <c r="AN662" s="147"/>
      <c r="AO662" s="147"/>
      <c r="AP662" s="147"/>
      <c r="AQ662" s="147"/>
      <c r="AR662" s="147"/>
      <c r="AS662" s="147"/>
      <c r="AT662" s="147"/>
      <c r="AU662" s="147"/>
      <c r="AV662" s="147"/>
      <c r="AW662" s="147"/>
      <c r="AX662" s="147"/>
      <c r="AY662" s="147"/>
      <c r="AZ662" s="147"/>
      <c r="BA662" s="147"/>
      <c r="BB662" s="147"/>
      <c r="BC662" s="147"/>
      <c r="BD662" s="147"/>
      <c r="BE662" s="147"/>
      <c r="BF662" s="147"/>
      <c r="BG662" s="147"/>
      <c r="BH662" s="147"/>
      <c r="BI662" s="147"/>
      <c r="BJ662" s="147"/>
      <c r="BK662" s="147"/>
      <c r="BL662" s="147"/>
      <c r="BM662" s="147"/>
      <c r="BN662" s="147"/>
      <c r="BO662" s="147"/>
      <c r="BP662" s="147"/>
      <c r="BQ662" s="147"/>
      <c r="BR662" s="147"/>
      <c r="BS662" s="147"/>
      <c r="BT662" s="147"/>
      <c r="BU662" s="147"/>
      <c r="BV662" s="147"/>
      <c r="BW662" s="147"/>
      <c r="BX662" s="147"/>
      <c r="BY662" s="147"/>
      <c r="BZ662" s="147"/>
      <c r="CA662" s="147"/>
      <c r="CB662" s="147"/>
      <c r="CC662" s="147"/>
      <c r="CD662" s="147"/>
      <c r="CE662" s="147"/>
      <c r="CF662" s="147"/>
      <c r="CG662" s="147"/>
      <c r="CH662" s="147"/>
      <c r="CI662" s="147"/>
      <c r="CJ662" s="147"/>
      <c r="CK662" s="147"/>
    </row>
    <row r="663" spans="1:89">
      <c r="A663" s="157"/>
      <c r="F663" s="3"/>
      <c r="G663" s="3"/>
      <c r="L663" s="157"/>
      <c r="M663" s="157"/>
      <c r="O663" s="147"/>
      <c r="P663" s="147"/>
      <c r="Q663" s="147"/>
      <c r="R663" s="147"/>
      <c r="S663" s="147"/>
      <c r="T663" s="147"/>
      <c r="U663" s="147"/>
      <c r="V663" s="147"/>
      <c r="W663" s="147"/>
      <c r="X663" s="147"/>
      <c r="Y663" s="147"/>
      <c r="Z663" s="147"/>
      <c r="AA663" s="147"/>
      <c r="AB663" s="147"/>
      <c r="AC663" s="147"/>
      <c r="AD663" s="147"/>
      <c r="AE663" s="147"/>
      <c r="AF663" s="147"/>
      <c r="AG663" s="147"/>
      <c r="AH663" s="147"/>
      <c r="AI663" s="147"/>
      <c r="AJ663" s="147"/>
      <c r="AK663" s="147"/>
      <c r="AL663" s="147"/>
      <c r="AM663" s="151"/>
      <c r="AN663" s="147"/>
      <c r="AO663" s="147"/>
      <c r="AP663" s="147"/>
      <c r="AQ663" s="147"/>
      <c r="AR663" s="147"/>
      <c r="AS663" s="147"/>
      <c r="AT663" s="147"/>
      <c r="AU663" s="147"/>
      <c r="AV663" s="147"/>
      <c r="AW663" s="147"/>
      <c r="AX663" s="147"/>
      <c r="AY663" s="147"/>
      <c r="AZ663" s="147"/>
      <c r="BA663" s="147"/>
      <c r="BB663" s="147"/>
      <c r="BC663" s="147"/>
      <c r="BD663" s="147"/>
      <c r="BE663" s="147"/>
      <c r="BF663" s="147"/>
      <c r="BG663" s="147"/>
      <c r="BH663" s="147"/>
      <c r="BI663" s="147"/>
      <c r="BJ663" s="147"/>
      <c r="BK663" s="147"/>
      <c r="BL663" s="147"/>
      <c r="BM663" s="147"/>
      <c r="BN663" s="147"/>
      <c r="BO663" s="147"/>
      <c r="BP663" s="147"/>
      <c r="BQ663" s="147"/>
      <c r="BR663" s="147"/>
      <c r="BS663" s="147"/>
      <c r="BT663" s="147"/>
      <c r="BU663" s="147"/>
      <c r="BV663" s="147"/>
      <c r="BW663" s="147"/>
      <c r="BX663" s="147"/>
      <c r="BY663" s="147"/>
      <c r="BZ663" s="147"/>
      <c r="CA663" s="147"/>
      <c r="CB663" s="147"/>
      <c r="CC663" s="147"/>
      <c r="CD663" s="147"/>
      <c r="CE663" s="147"/>
      <c r="CF663" s="147"/>
      <c r="CG663" s="147"/>
      <c r="CH663" s="147"/>
      <c r="CI663" s="147"/>
      <c r="CJ663" s="147"/>
      <c r="CK663" s="147"/>
    </row>
    <row r="664" spans="1:89">
      <c r="A664" s="157"/>
      <c r="F664" s="3"/>
      <c r="G664" s="3"/>
      <c r="L664" s="157"/>
      <c r="M664" s="157"/>
      <c r="O664" s="147"/>
      <c r="P664" s="147"/>
      <c r="Q664" s="147"/>
      <c r="R664" s="147"/>
      <c r="S664" s="147"/>
      <c r="T664" s="147"/>
      <c r="U664" s="147"/>
      <c r="V664" s="147"/>
      <c r="W664" s="147"/>
      <c r="X664" s="147"/>
      <c r="Y664" s="147"/>
      <c r="Z664" s="147"/>
      <c r="AA664" s="147"/>
      <c r="AB664" s="147"/>
      <c r="AC664" s="147"/>
      <c r="AD664" s="147"/>
      <c r="AE664" s="147"/>
      <c r="AF664" s="147"/>
      <c r="AG664" s="147"/>
      <c r="AH664" s="147"/>
      <c r="AI664" s="147"/>
      <c r="AJ664" s="147"/>
      <c r="AK664" s="147"/>
      <c r="AL664" s="147"/>
      <c r="AM664" s="151"/>
      <c r="AN664" s="147"/>
      <c r="AO664" s="147"/>
      <c r="AP664" s="147"/>
      <c r="AQ664" s="147"/>
      <c r="AR664" s="147"/>
      <c r="AS664" s="147"/>
      <c r="AT664" s="147"/>
      <c r="AU664" s="147"/>
      <c r="AV664" s="147"/>
      <c r="AW664" s="147"/>
      <c r="AX664" s="147"/>
      <c r="AY664" s="147"/>
      <c r="AZ664" s="147"/>
      <c r="BA664" s="147"/>
      <c r="BB664" s="147"/>
      <c r="BC664" s="147"/>
      <c r="BD664" s="147"/>
      <c r="BE664" s="147"/>
      <c r="BF664" s="147"/>
      <c r="BG664" s="147"/>
      <c r="BH664" s="147"/>
      <c r="BI664" s="147"/>
      <c r="BJ664" s="147"/>
      <c r="BK664" s="147"/>
      <c r="BL664" s="147"/>
      <c r="BM664" s="147"/>
      <c r="BN664" s="147"/>
      <c r="BO664" s="147"/>
      <c r="BP664" s="147"/>
      <c r="BQ664" s="147"/>
      <c r="BR664" s="147"/>
      <c r="BS664" s="147"/>
      <c r="BT664" s="147"/>
      <c r="BU664" s="147"/>
      <c r="BV664" s="147"/>
      <c r="BW664" s="147"/>
      <c r="BX664" s="147"/>
      <c r="BY664" s="147"/>
      <c r="BZ664" s="147"/>
      <c r="CA664" s="147"/>
      <c r="CB664" s="147"/>
      <c r="CC664" s="147"/>
      <c r="CD664" s="147"/>
      <c r="CE664" s="147"/>
      <c r="CF664" s="147"/>
      <c r="CG664" s="147"/>
      <c r="CH664" s="147"/>
      <c r="CI664" s="147"/>
      <c r="CJ664" s="147"/>
      <c r="CK664" s="147"/>
    </row>
    <row r="665" spans="1:89">
      <c r="A665" s="157"/>
      <c r="F665" s="3"/>
      <c r="G665" s="3"/>
      <c r="L665" s="157"/>
      <c r="M665" s="157"/>
      <c r="O665" s="147"/>
      <c r="P665" s="147"/>
      <c r="Q665" s="147"/>
      <c r="R665" s="147"/>
      <c r="S665" s="147"/>
      <c r="T665" s="147"/>
      <c r="U665" s="147"/>
      <c r="V665" s="147"/>
      <c r="W665" s="147"/>
      <c r="X665" s="147"/>
      <c r="Y665" s="147"/>
      <c r="Z665" s="147"/>
      <c r="AA665" s="147"/>
      <c r="AB665" s="147"/>
      <c r="AC665" s="147"/>
      <c r="AD665" s="147"/>
      <c r="AE665" s="147"/>
      <c r="AF665" s="147"/>
      <c r="AG665" s="147"/>
      <c r="AH665" s="147"/>
      <c r="AI665" s="147"/>
      <c r="AJ665" s="147"/>
      <c r="AK665" s="147"/>
      <c r="AL665" s="147"/>
      <c r="AM665" s="151"/>
      <c r="AN665" s="147"/>
      <c r="AO665" s="147"/>
      <c r="AP665" s="147"/>
      <c r="AQ665" s="147"/>
      <c r="AR665" s="147"/>
      <c r="AS665" s="147"/>
      <c r="AT665" s="147"/>
      <c r="AU665" s="147"/>
      <c r="AV665" s="147"/>
      <c r="AW665" s="147"/>
      <c r="AX665" s="147"/>
      <c r="AY665" s="147"/>
      <c r="AZ665" s="147"/>
      <c r="BA665" s="147"/>
      <c r="BB665" s="147"/>
      <c r="BC665" s="147"/>
      <c r="BD665" s="147"/>
      <c r="BE665" s="147"/>
      <c r="BF665" s="147"/>
      <c r="BG665" s="147"/>
      <c r="BH665" s="147"/>
      <c r="BI665" s="147"/>
      <c r="BJ665" s="147"/>
      <c r="BK665" s="147"/>
      <c r="BL665" s="147"/>
      <c r="BM665" s="147"/>
      <c r="BN665" s="147"/>
      <c r="BO665" s="147"/>
      <c r="BP665" s="147"/>
      <c r="BQ665" s="147"/>
      <c r="BR665" s="147"/>
      <c r="BS665" s="147"/>
      <c r="BT665" s="147"/>
      <c r="BU665" s="147"/>
      <c r="BV665" s="147"/>
      <c r="BW665" s="147"/>
      <c r="BX665" s="147"/>
      <c r="BY665" s="147"/>
      <c r="BZ665" s="147"/>
      <c r="CA665" s="147"/>
      <c r="CB665" s="147"/>
      <c r="CC665" s="147"/>
      <c r="CD665" s="147"/>
      <c r="CE665" s="147"/>
      <c r="CF665" s="147"/>
      <c r="CG665" s="147"/>
      <c r="CH665" s="147"/>
      <c r="CI665" s="147"/>
      <c r="CJ665" s="147"/>
      <c r="CK665" s="147"/>
    </row>
    <row r="666" spans="1:89">
      <c r="A666" s="157"/>
      <c r="F666" s="3"/>
      <c r="G666" s="3"/>
      <c r="L666" s="157"/>
      <c r="M666" s="157"/>
      <c r="O666" s="147"/>
      <c r="P666" s="147"/>
      <c r="Q666" s="147"/>
      <c r="R666" s="147"/>
      <c r="S666" s="147"/>
      <c r="T666" s="147"/>
      <c r="U666" s="147"/>
      <c r="V666" s="147"/>
      <c r="W666" s="147"/>
      <c r="X666" s="147"/>
      <c r="Y666" s="147"/>
      <c r="Z666" s="147"/>
      <c r="AA666" s="147"/>
      <c r="AB666" s="147"/>
      <c r="AC666" s="147"/>
      <c r="AD666" s="147"/>
      <c r="AE666" s="147"/>
      <c r="AF666" s="147"/>
      <c r="AG666" s="147"/>
      <c r="AH666" s="147"/>
      <c r="AI666" s="147"/>
      <c r="AJ666" s="147"/>
      <c r="AK666" s="147"/>
      <c r="AL666" s="147"/>
      <c r="AM666" s="151"/>
      <c r="AN666" s="147"/>
      <c r="AO666" s="147"/>
      <c r="AP666" s="147"/>
      <c r="AQ666" s="147"/>
      <c r="AR666" s="147"/>
      <c r="AS666" s="147"/>
      <c r="AT666" s="147"/>
      <c r="AU666" s="147"/>
      <c r="AV666" s="147"/>
      <c r="AW666" s="147"/>
      <c r="AX666" s="147"/>
      <c r="AY666" s="147"/>
      <c r="AZ666" s="147"/>
      <c r="BA666" s="147"/>
      <c r="BB666" s="147"/>
      <c r="BC666" s="147"/>
      <c r="BD666" s="147"/>
      <c r="BE666" s="147"/>
      <c r="BF666" s="147"/>
      <c r="BG666" s="147"/>
      <c r="BH666" s="147"/>
      <c r="BI666" s="147"/>
      <c r="BJ666" s="147"/>
      <c r="BK666" s="147"/>
      <c r="BL666" s="147"/>
      <c r="BM666" s="147"/>
      <c r="BN666" s="147"/>
      <c r="BO666" s="147"/>
      <c r="BP666" s="147"/>
      <c r="BQ666" s="147"/>
      <c r="BR666" s="147"/>
      <c r="BS666" s="147"/>
      <c r="BT666" s="147"/>
      <c r="BU666" s="147"/>
      <c r="BV666" s="147"/>
      <c r="BW666" s="147"/>
      <c r="BX666" s="147"/>
      <c r="BY666" s="147"/>
      <c r="BZ666" s="147"/>
      <c r="CA666" s="147"/>
      <c r="CB666" s="147"/>
      <c r="CC666" s="147"/>
      <c r="CD666" s="147"/>
      <c r="CE666" s="147"/>
      <c r="CF666" s="147"/>
      <c r="CG666" s="147"/>
      <c r="CH666" s="147"/>
      <c r="CI666" s="147"/>
      <c r="CJ666" s="147"/>
      <c r="CK666" s="147"/>
    </row>
    <row r="667" spans="1:89">
      <c r="A667" s="157"/>
      <c r="F667" s="3"/>
      <c r="G667" s="3"/>
      <c r="L667" s="157"/>
      <c r="M667" s="157"/>
      <c r="O667" s="147"/>
      <c r="P667" s="147"/>
      <c r="Q667" s="147"/>
      <c r="R667" s="147"/>
      <c r="S667" s="147"/>
      <c r="T667" s="147"/>
      <c r="U667" s="147"/>
      <c r="V667" s="147"/>
      <c r="W667" s="147"/>
      <c r="X667" s="147"/>
      <c r="Y667" s="147"/>
      <c r="Z667" s="147"/>
      <c r="AA667" s="147"/>
      <c r="AB667" s="147"/>
      <c r="AC667" s="147"/>
      <c r="AD667" s="147"/>
      <c r="AE667" s="147"/>
      <c r="AF667" s="147"/>
      <c r="AG667" s="147"/>
      <c r="AH667" s="147"/>
      <c r="AI667" s="147"/>
      <c r="AJ667" s="147"/>
      <c r="AK667" s="147"/>
      <c r="AL667" s="147"/>
      <c r="AM667" s="151"/>
      <c r="AN667" s="147"/>
      <c r="AO667" s="147"/>
      <c r="AP667" s="147"/>
      <c r="AQ667" s="147"/>
      <c r="AR667" s="147"/>
      <c r="AS667" s="147"/>
      <c r="AT667" s="147"/>
      <c r="AU667" s="147"/>
      <c r="AV667" s="147"/>
      <c r="AW667" s="147"/>
      <c r="AX667" s="147"/>
      <c r="AY667" s="147"/>
      <c r="AZ667" s="147"/>
      <c r="BA667" s="147"/>
      <c r="BB667" s="147"/>
      <c r="BC667" s="147"/>
      <c r="BD667" s="147"/>
      <c r="BE667" s="147"/>
      <c r="BF667" s="147"/>
      <c r="BG667" s="147"/>
      <c r="BH667" s="147"/>
      <c r="BI667" s="147"/>
      <c r="BJ667" s="147"/>
      <c r="BK667" s="147"/>
      <c r="BL667" s="147"/>
      <c r="BM667" s="147"/>
      <c r="BN667" s="147"/>
      <c r="BO667" s="147"/>
      <c r="BP667" s="147"/>
      <c r="BQ667" s="147"/>
      <c r="BR667" s="147"/>
      <c r="BS667" s="147"/>
      <c r="BT667" s="147"/>
      <c r="BU667" s="147"/>
      <c r="BV667" s="147"/>
      <c r="BW667" s="147"/>
      <c r="BX667" s="147"/>
      <c r="BY667" s="147"/>
      <c r="BZ667" s="147"/>
      <c r="CA667" s="147"/>
      <c r="CB667" s="147"/>
      <c r="CC667" s="147"/>
      <c r="CD667" s="147"/>
      <c r="CE667" s="147"/>
      <c r="CF667" s="147"/>
      <c r="CG667" s="147"/>
      <c r="CH667" s="147"/>
      <c r="CI667" s="147"/>
      <c r="CJ667" s="147"/>
      <c r="CK667" s="147"/>
    </row>
    <row r="668" spans="1:89">
      <c r="A668" s="157"/>
      <c r="F668" s="3"/>
      <c r="G668" s="3"/>
      <c r="L668" s="157"/>
      <c r="M668" s="157"/>
      <c r="O668" s="147"/>
      <c r="P668" s="147"/>
      <c r="Q668" s="147"/>
      <c r="R668" s="147"/>
      <c r="S668" s="147"/>
      <c r="T668" s="147"/>
      <c r="U668" s="147"/>
      <c r="V668" s="147"/>
      <c r="W668" s="147"/>
      <c r="X668" s="147"/>
      <c r="Y668" s="147"/>
      <c r="Z668" s="147"/>
      <c r="AA668" s="147"/>
      <c r="AB668" s="147"/>
      <c r="AC668" s="147"/>
      <c r="AD668" s="147"/>
      <c r="AE668" s="147"/>
      <c r="AF668" s="147"/>
      <c r="AG668" s="147"/>
      <c r="AH668" s="147"/>
      <c r="AI668" s="147"/>
      <c r="AJ668" s="147"/>
      <c r="AK668" s="147"/>
      <c r="AL668" s="147"/>
      <c r="AM668" s="151"/>
      <c r="AN668" s="147"/>
      <c r="AO668" s="147"/>
      <c r="AP668" s="147"/>
      <c r="AQ668" s="147"/>
      <c r="AR668" s="147"/>
      <c r="AS668" s="147"/>
      <c r="AT668" s="147"/>
      <c r="AU668" s="147"/>
      <c r="AV668" s="147"/>
      <c r="AW668" s="147"/>
      <c r="AX668" s="147"/>
      <c r="AY668" s="147"/>
      <c r="AZ668" s="147"/>
      <c r="BA668" s="147"/>
      <c r="BB668" s="147"/>
      <c r="BC668" s="147"/>
      <c r="BD668" s="147"/>
      <c r="BE668" s="147"/>
      <c r="BF668" s="147"/>
      <c r="BG668" s="147"/>
      <c r="BH668" s="147"/>
      <c r="BI668" s="147"/>
      <c r="BJ668" s="147"/>
      <c r="BK668" s="147"/>
      <c r="BL668" s="147"/>
      <c r="BM668" s="147"/>
      <c r="BN668" s="147"/>
      <c r="BO668" s="147"/>
      <c r="BP668" s="147"/>
      <c r="BQ668" s="147"/>
      <c r="BR668" s="147"/>
      <c r="BS668" s="147"/>
      <c r="BT668" s="147"/>
      <c r="BU668" s="147"/>
      <c r="BV668" s="147"/>
      <c r="BW668" s="147"/>
      <c r="BX668" s="147"/>
      <c r="BY668" s="147"/>
      <c r="BZ668" s="147"/>
      <c r="CA668" s="147"/>
      <c r="CB668" s="147"/>
      <c r="CC668" s="147"/>
      <c r="CD668" s="147"/>
      <c r="CE668" s="147"/>
      <c r="CF668" s="147"/>
      <c r="CG668" s="147"/>
      <c r="CH668" s="147"/>
      <c r="CI668" s="147"/>
      <c r="CJ668" s="147"/>
      <c r="CK668" s="147"/>
    </row>
    <row r="669" spans="1:89">
      <c r="A669" s="157"/>
      <c r="F669" s="3"/>
      <c r="G669" s="3"/>
      <c r="L669" s="157"/>
      <c r="M669" s="157"/>
      <c r="O669" s="147"/>
      <c r="P669" s="147"/>
      <c r="Q669" s="147"/>
      <c r="R669" s="147"/>
      <c r="S669" s="147"/>
      <c r="T669" s="147"/>
      <c r="U669" s="147"/>
      <c r="V669" s="147"/>
      <c r="W669" s="147"/>
      <c r="X669" s="147"/>
      <c r="Y669" s="147"/>
      <c r="Z669" s="147"/>
      <c r="AA669" s="147"/>
      <c r="AB669" s="147"/>
      <c r="AC669" s="147"/>
      <c r="AD669" s="147"/>
      <c r="AE669" s="147"/>
      <c r="AF669" s="147"/>
      <c r="AG669" s="147"/>
      <c r="AH669" s="147"/>
      <c r="AI669" s="147"/>
      <c r="AJ669" s="147"/>
      <c r="AK669" s="147"/>
      <c r="AL669" s="147"/>
      <c r="AM669" s="151"/>
      <c r="AN669" s="147"/>
      <c r="AO669" s="147"/>
      <c r="AP669" s="147"/>
      <c r="AQ669" s="147"/>
      <c r="AR669" s="147"/>
      <c r="AS669" s="147"/>
      <c r="AT669" s="147"/>
      <c r="AU669" s="147"/>
      <c r="AV669" s="147"/>
      <c r="AW669" s="147"/>
      <c r="AX669" s="147"/>
      <c r="AY669" s="147"/>
      <c r="AZ669" s="147"/>
      <c r="BA669" s="147"/>
      <c r="BB669" s="147"/>
      <c r="BC669" s="147"/>
      <c r="BD669" s="147"/>
      <c r="BE669" s="147"/>
      <c r="BF669" s="147"/>
      <c r="BG669" s="147"/>
      <c r="BH669" s="147"/>
      <c r="BI669" s="147"/>
      <c r="BJ669" s="147"/>
      <c r="BK669" s="147"/>
      <c r="BL669" s="147"/>
      <c r="BM669" s="147"/>
      <c r="BN669" s="147"/>
      <c r="BO669" s="147"/>
      <c r="BP669" s="147"/>
      <c r="BQ669" s="147"/>
      <c r="BR669" s="147"/>
      <c r="BS669" s="147"/>
      <c r="BT669" s="147"/>
      <c r="BU669" s="147"/>
      <c r="BV669" s="147"/>
      <c r="BW669" s="147"/>
      <c r="BX669" s="147"/>
      <c r="BY669" s="147"/>
      <c r="BZ669" s="147"/>
      <c r="CA669" s="147"/>
      <c r="CB669" s="147"/>
      <c r="CC669" s="147"/>
      <c r="CD669" s="147"/>
      <c r="CE669" s="147"/>
      <c r="CF669" s="147"/>
      <c r="CG669" s="147"/>
      <c r="CH669" s="147"/>
      <c r="CI669" s="147"/>
      <c r="CJ669" s="147"/>
      <c r="CK669" s="147"/>
    </row>
    <row r="670" spans="1:89">
      <c r="A670" s="157"/>
      <c r="F670" s="3"/>
      <c r="G670" s="3"/>
      <c r="L670" s="157"/>
      <c r="M670" s="157"/>
      <c r="O670" s="147"/>
      <c r="P670" s="147"/>
      <c r="Q670" s="147"/>
      <c r="R670" s="147"/>
      <c r="S670" s="147"/>
      <c r="T670" s="147"/>
      <c r="U670" s="147"/>
      <c r="V670" s="147"/>
      <c r="W670" s="147"/>
      <c r="X670" s="147"/>
      <c r="Y670" s="147"/>
      <c r="Z670" s="147"/>
      <c r="AA670" s="147"/>
      <c r="AB670" s="147"/>
      <c r="AC670" s="147"/>
      <c r="AD670" s="147"/>
      <c r="AE670" s="147"/>
      <c r="AF670" s="147"/>
      <c r="AG670" s="147"/>
      <c r="AH670" s="147"/>
      <c r="AI670" s="147"/>
      <c r="AJ670" s="147"/>
      <c r="AK670" s="147"/>
      <c r="AL670" s="147"/>
      <c r="AM670" s="151"/>
      <c r="AN670" s="147"/>
      <c r="AO670" s="147"/>
      <c r="AP670" s="147"/>
      <c r="AQ670" s="147"/>
      <c r="AR670" s="147"/>
      <c r="AS670" s="147"/>
      <c r="AT670" s="147"/>
      <c r="AU670" s="147"/>
      <c r="AV670" s="147"/>
      <c r="AW670" s="147"/>
      <c r="AX670" s="147"/>
      <c r="AY670" s="147"/>
      <c r="AZ670" s="147"/>
      <c r="BA670" s="147"/>
      <c r="BB670" s="147"/>
      <c r="BC670" s="147"/>
      <c r="BD670" s="147"/>
      <c r="BE670" s="147"/>
      <c r="BF670" s="147"/>
      <c r="BG670" s="147"/>
      <c r="BH670" s="147"/>
      <c r="BI670" s="147"/>
      <c r="BJ670" s="147"/>
      <c r="BK670" s="147"/>
      <c r="BL670" s="147"/>
      <c r="BM670" s="147"/>
      <c r="BN670" s="147"/>
      <c r="BO670" s="147"/>
      <c r="BP670" s="147"/>
      <c r="BQ670" s="147"/>
      <c r="BR670" s="147"/>
      <c r="BS670" s="147"/>
      <c r="BT670" s="147"/>
      <c r="BU670" s="147"/>
      <c r="BV670" s="147"/>
      <c r="BW670" s="147"/>
      <c r="BX670" s="147"/>
      <c r="BY670" s="147"/>
      <c r="BZ670" s="147"/>
      <c r="CA670" s="147"/>
      <c r="CB670" s="147"/>
      <c r="CC670" s="147"/>
      <c r="CD670" s="147"/>
      <c r="CE670" s="147"/>
      <c r="CF670" s="147"/>
      <c r="CG670" s="147"/>
      <c r="CH670" s="147"/>
      <c r="CI670" s="147"/>
      <c r="CJ670" s="147"/>
      <c r="CK670" s="147"/>
    </row>
    <row r="671" spans="1:89">
      <c r="A671" s="157"/>
      <c r="F671" s="3"/>
      <c r="G671" s="3"/>
      <c r="L671" s="157"/>
      <c r="M671" s="157"/>
      <c r="O671" s="147"/>
      <c r="P671" s="147"/>
      <c r="Q671" s="147"/>
      <c r="R671" s="147"/>
      <c r="S671" s="147"/>
      <c r="T671" s="147"/>
      <c r="U671" s="147"/>
      <c r="V671" s="147"/>
      <c r="W671" s="147"/>
      <c r="X671" s="147"/>
      <c r="Y671" s="147"/>
      <c r="Z671" s="147"/>
      <c r="AA671" s="147"/>
      <c r="AB671" s="147"/>
      <c r="AC671" s="147"/>
      <c r="AD671" s="147"/>
      <c r="AE671" s="147"/>
      <c r="AF671" s="147"/>
      <c r="AG671" s="147"/>
      <c r="AH671" s="147"/>
      <c r="AI671" s="147"/>
      <c r="AJ671" s="147"/>
      <c r="AK671" s="147"/>
      <c r="AL671" s="147"/>
      <c r="AM671" s="151"/>
      <c r="AN671" s="147"/>
      <c r="AO671" s="147"/>
      <c r="AP671" s="147"/>
      <c r="AQ671" s="147"/>
      <c r="AR671" s="147"/>
      <c r="AS671" s="147"/>
      <c r="AT671" s="147"/>
      <c r="AU671" s="147"/>
      <c r="AV671" s="147"/>
      <c r="AW671" s="147"/>
      <c r="AX671" s="147"/>
      <c r="AY671" s="147"/>
      <c r="AZ671" s="147"/>
      <c r="BA671" s="147"/>
      <c r="BB671" s="147"/>
      <c r="BC671" s="147"/>
      <c r="BD671" s="147"/>
      <c r="BE671" s="147"/>
      <c r="BF671" s="147"/>
      <c r="BG671" s="147"/>
      <c r="BH671" s="147"/>
      <c r="BI671" s="147"/>
      <c r="BJ671" s="147"/>
      <c r="BK671" s="147"/>
      <c r="BL671" s="147"/>
      <c r="BM671" s="147"/>
      <c r="BN671" s="147"/>
      <c r="BO671" s="147"/>
      <c r="BP671" s="147"/>
      <c r="BQ671" s="147"/>
      <c r="BR671" s="147"/>
      <c r="BS671" s="147"/>
      <c r="BT671" s="147"/>
      <c r="BU671" s="147"/>
      <c r="BV671" s="147"/>
      <c r="BW671" s="147"/>
      <c r="BX671" s="147"/>
      <c r="BY671" s="147"/>
      <c r="BZ671" s="147"/>
      <c r="CA671" s="147"/>
      <c r="CB671" s="147"/>
      <c r="CC671" s="147"/>
      <c r="CD671" s="147"/>
      <c r="CE671" s="147"/>
      <c r="CF671" s="147"/>
      <c r="CG671" s="147"/>
      <c r="CH671" s="147"/>
      <c r="CI671" s="147"/>
      <c r="CJ671" s="147"/>
      <c r="CK671" s="147"/>
    </row>
    <row r="672" spans="1:89">
      <c r="A672" s="157"/>
      <c r="F672" s="3"/>
      <c r="G672" s="3"/>
      <c r="L672" s="157"/>
      <c r="M672" s="157"/>
      <c r="O672" s="147"/>
      <c r="P672" s="147"/>
      <c r="Q672" s="147"/>
      <c r="R672" s="147"/>
      <c r="S672" s="147"/>
      <c r="T672" s="147"/>
      <c r="U672" s="147"/>
      <c r="V672" s="147"/>
      <c r="W672" s="147"/>
      <c r="X672" s="147"/>
      <c r="Y672" s="147"/>
      <c r="Z672" s="147"/>
      <c r="AA672" s="147"/>
      <c r="AB672" s="147"/>
      <c r="AC672" s="147"/>
      <c r="AD672" s="147"/>
      <c r="AE672" s="147"/>
      <c r="AF672" s="147"/>
      <c r="AG672" s="147"/>
      <c r="AH672" s="147"/>
      <c r="AI672" s="147"/>
      <c r="AJ672" s="147"/>
      <c r="AK672" s="147"/>
      <c r="AL672" s="147"/>
      <c r="AM672" s="151"/>
      <c r="AN672" s="147"/>
      <c r="AO672" s="147"/>
      <c r="AP672" s="147"/>
      <c r="AQ672" s="147"/>
      <c r="AR672" s="147"/>
      <c r="AS672" s="147"/>
      <c r="AT672" s="147"/>
      <c r="AU672" s="147"/>
      <c r="AV672" s="147"/>
      <c r="AW672" s="147"/>
      <c r="AX672" s="147"/>
      <c r="AY672" s="147"/>
      <c r="AZ672" s="147"/>
      <c r="BA672" s="147"/>
      <c r="BB672" s="147"/>
      <c r="BC672" s="147"/>
      <c r="BD672" s="147"/>
      <c r="BE672" s="147"/>
      <c r="BF672" s="147"/>
      <c r="BG672" s="147"/>
      <c r="BH672" s="147"/>
      <c r="BI672" s="147"/>
      <c r="BJ672" s="147"/>
      <c r="BK672" s="147"/>
      <c r="BL672" s="147"/>
      <c r="BM672" s="147"/>
      <c r="BN672" s="147"/>
      <c r="BO672" s="147"/>
      <c r="BP672" s="147"/>
      <c r="BQ672" s="147"/>
      <c r="BR672" s="147"/>
      <c r="BS672" s="147"/>
      <c r="BT672" s="147"/>
      <c r="BU672" s="147"/>
      <c r="BV672" s="147"/>
      <c r="BW672" s="147"/>
      <c r="BX672" s="147"/>
      <c r="BY672" s="147"/>
      <c r="BZ672" s="147"/>
      <c r="CA672" s="147"/>
      <c r="CB672" s="147"/>
      <c r="CC672" s="147"/>
      <c r="CD672" s="147"/>
      <c r="CE672" s="147"/>
      <c r="CF672" s="147"/>
      <c r="CG672" s="147"/>
      <c r="CH672" s="147"/>
      <c r="CI672" s="147"/>
      <c r="CJ672" s="147"/>
      <c r="CK672" s="147"/>
    </row>
    <row r="673" spans="1:89">
      <c r="A673" s="157"/>
      <c r="F673" s="3"/>
      <c r="G673" s="3"/>
      <c r="L673" s="157"/>
      <c r="M673" s="157"/>
      <c r="O673" s="147"/>
      <c r="P673" s="147"/>
      <c r="Q673" s="147"/>
      <c r="R673" s="147"/>
      <c r="S673" s="147"/>
      <c r="T673" s="147"/>
      <c r="U673" s="147"/>
      <c r="V673" s="147"/>
      <c r="W673" s="147"/>
      <c r="X673" s="147"/>
      <c r="Y673" s="147"/>
      <c r="Z673" s="147"/>
      <c r="AA673" s="147"/>
      <c r="AB673" s="147"/>
      <c r="AC673" s="147"/>
      <c r="AD673" s="147"/>
      <c r="AE673" s="147"/>
      <c r="AF673" s="147"/>
      <c r="AG673" s="147"/>
      <c r="AH673" s="147"/>
      <c r="AI673" s="147"/>
      <c r="AJ673" s="147"/>
      <c r="AK673" s="147"/>
      <c r="AL673" s="147"/>
      <c r="AM673" s="151"/>
      <c r="AN673" s="147"/>
      <c r="AO673" s="147"/>
      <c r="AP673" s="147"/>
      <c r="AQ673" s="147"/>
      <c r="AR673" s="147"/>
      <c r="AS673" s="147"/>
      <c r="AT673" s="147"/>
      <c r="AU673" s="147"/>
      <c r="AV673" s="147"/>
      <c r="AW673" s="147"/>
      <c r="AX673" s="147"/>
      <c r="AY673" s="147"/>
      <c r="AZ673" s="147"/>
      <c r="BA673" s="147"/>
      <c r="BB673" s="147"/>
      <c r="BC673" s="147"/>
      <c r="BD673" s="147"/>
      <c r="BE673" s="147"/>
      <c r="BF673" s="147"/>
      <c r="BG673" s="147"/>
      <c r="BH673" s="147"/>
      <c r="BI673" s="147"/>
      <c r="BJ673" s="147"/>
      <c r="BK673" s="147"/>
      <c r="BL673" s="147"/>
      <c r="BM673" s="147"/>
      <c r="BN673" s="147"/>
      <c r="BO673" s="147"/>
      <c r="BP673" s="147"/>
      <c r="BQ673" s="147"/>
      <c r="BR673" s="147"/>
      <c r="BS673" s="147"/>
      <c r="BT673" s="147"/>
      <c r="BU673" s="147"/>
      <c r="BV673" s="147"/>
      <c r="BW673" s="147"/>
      <c r="BX673" s="147"/>
      <c r="BY673" s="147"/>
      <c r="BZ673" s="147"/>
      <c r="CA673" s="147"/>
      <c r="CB673" s="147"/>
      <c r="CC673" s="147"/>
      <c r="CD673" s="147"/>
      <c r="CE673" s="147"/>
      <c r="CF673" s="147"/>
      <c r="CG673" s="147"/>
      <c r="CH673" s="147"/>
      <c r="CI673" s="147"/>
      <c r="CJ673" s="147"/>
      <c r="CK673" s="147"/>
    </row>
    <row r="674" spans="1:89">
      <c r="A674" s="157"/>
      <c r="F674" s="3"/>
      <c r="G674" s="3"/>
      <c r="L674" s="157"/>
      <c r="M674" s="157"/>
      <c r="O674" s="147"/>
      <c r="P674" s="147"/>
      <c r="Q674" s="147"/>
      <c r="R674" s="147"/>
      <c r="S674" s="147"/>
      <c r="T674" s="147"/>
      <c r="U674" s="147"/>
      <c r="V674" s="147"/>
      <c r="W674" s="147"/>
      <c r="X674" s="147"/>
      <c r="Y674" s="147"/>
      <c r="Z674" s="147"/>
      <c r="AA674" s="147"/>
      <c r="AB674" s="147"/>
      <c r="AC674" s="147"/>
      <c r="AD674" s="147"/>
      <c r="AE674" s="147"/>
      <c r="AF674" s="147"/>
      <c r="AG674" s="147"/>
      <c r="AH674" s="147"/>
      <c r="AI674" s="147"/>
      <c r="AJ674" s="147"/>
      <c r="AK674" s="147"/>
      <c r="AL674" s="147"/>
      <c r="AM674" s="151"/>
      <c r="AN674" s="147"/>
      <c r="AO674" s="147"/>
      <c r="AP674" s="147"/>
      <c r="AQ674" s="147"/>
      <c r="AR674" s="147"/>
      <c r="AS674" s="147"/>
      <c r="AT674" s="147"/>
      <c r="AU674" s="147"/>
      <c r="AV674" s="147"/>
      <c r="AW674" s="147"/>
      <c r="AX674" s="147"/>
      <c r="AY674" s="147"/>
      <c r="AZ674" s="147"/>
      <c r="BA674" s="147"/>
      <c r="BB674" s="147"/>
      <c r="BC674" s="147"/>
      <c r="BD674" s="147"/>
      <c r="BE674" s="147"/>
      <c r="BF674" s="147"/>
      <c r="BG674" s="147"/>
      <c r="BH674" s="147"/>
      <c r="BI674" s="147"/>
      <c r="BJ674" s="147"/>
      <c r="BK674" s="147"/>
      <c r="BL674" s="147"/>
      <c r="BM674" s="147"/>
      <c r="BN674" s="147"/>
      <c r="BO674" s="147"/>
      <c r="BP674" s="147"/>
      <c r="BQ674" s="147"/>
      <c r="BR674" s="147"/>
      <c r="BS674" s="147"/>
      <c r="BT674" s="147"/>
      <c r="BU674" s="147"/>
      <c r="BV674" s="147"/>
      <c r="BW674" s="147"/>
      <c r="BX674" s="147"/>
      <c r="BY674" s="147"/>
      <c r="BZ674" s="147"/>
      <c r="CA674" s="147"/>
      <c r="CB674" s="147"/>
      <c r="CC674" s="147"/>
      <c r="CD674" s="147"/>
      <c r="CE674" s="147"/>
      <c r="CF674" s="147"/>
      <c r="CG674" s="147"/>
      <c r="CH674" s="147"/>
      <c r="CI674" s="147"/>
      <c r="CJ674" s="147"/>
      <c r="CK674" s="147"/>
    </row>
    <row r="675" spans="1:89">
      <c r="A675" s="157"/>
      <c r="F675" s="3"/>
      <c r="G675" s="3"/>
      <c r="L675" s="157"/>
      <c r="M675" s="157"/>
      <c r="O675" s="147"/>
      <c r="P675" s="147"/>
      <c r="Q675" s="147"/>
      <c r="R675" s="147"/>
      <c r="S675" s="147"/>
      <c r="T675" s="147"/>
      <c r="U675" s="147"/>
      <c r="V675" s="147"/>
      <c r="W675" s="147"/>
      <c r="X675" s="147"/>
      <c r="Y675" s="147"/>
      <c r="Z675" s="147"/>
      <c r="AA675" s="147"/>
      <c r="AB675" s="147"/>
      <c r="AC675" s="147"/>
      <c r="AD675" s="147"/>
      <c r="AE675" s="147"/>
      <c r="AF675" s="147"/>
      <c r="AG675" s="147"/>
      <c r="AH675" s="147"/>
      <c r="AI675" s="147"/>
      <c r="AJ675" s="147"/>
      <c r="AK675" s="147"/>
      <c r="AL675" s="147"/>
      <c r="AM675" s="151"/>
      <c r="AN675" s="147"/>
      <c r="AO675" s="147"/>
      <c r="AP675" s="147"/>
      <c r="AQ675" s="147"/>
      <c r="AR675" s="147"/>
      <c r="AS675" s="147"/>
      <c r="AT675" s="147"/>
      <c r="AU675" s="147"/>
      <c r="AV675" s="147"/>
      <c r="AW675" s="147"/>
      <c r="AX675" s="147"/>
      <c r="AY675" s="147"/>
      <c r="AZ675" s="147"/>
      <c r="BA675" s="147"/>
      <c r="BB675" s="147"/>
      <c r="BC675" s="147"/>
      <c r="BD675" s="147"/>
      <c r="BE675" s="147"/>
      <c r="BF675" s="147"/>
      <c r="BG675" s="147"/>
      <c r="BH675" s="147"/>
      <c r="BI675" s="147"/>
      <c r="BJ675" s="147"/>
      <c r="BK675" s="147"/>
      <c r="BL675" s="147"/>
      <c r="BM675" s="147"/>
      <c r="BN675" s="147"/>
      <c r="BO675" s="147"/>
      <c r="BP675" s="147"/>
      <c r="BQ675" s="147"/>
      <c r="BR675" s="147"/>
      <c r="BS675" s="147"/>
      <c r="BT675" s="147"/>
      <c r="BU675" s="147"/>
      <c r="BV675" s="147"/>
      <c r="BW675" s="147"/>
      <c r="BX675" s="147"/>
      <c r="BY675" s="147"/>
      <c r="BZ675" s="147"/>
      <c r="CA675" s="147"/>
      <c r="CB675" s="147"/>
      <c r="CC675" s="147"/>
      <c r="CD675" s="147"/>
      <c r="CE675" s="147"/>
      <c r="CF675" s="147"/>
      <c r="CG675" s="147"/>
      <c r="CH675" s="147"/>
      <c r="CI675" s="147"/>
      <c r="CJ675" s="147"/>
      <c r="CK675" s="147"/>
    </row>
    <row r="676" spans="1:89">
      <c r="A676" s="157"/>
      <c r="F676" s="3"/>
      <c r="G676" s="3"/>
      <c r="L676" s="157"/>
      <c r="M676" s="157"/>
      <c r="O676" s="147"/>
      <c r="P676" s="147"/>
      <c r="Q676" s="147"/>
      <c r="R676" s="147"/>
      <c r="S676" s="147"/>
      <c r="T676" s="147"/>
      <c r="U676" s="147"/>
      <c r="V676" s="147"/>
      <c r="W676" s="147"/>
      <c r="X676" s="147"/>
      <c r="Y676" s="147"/>
      <c r="Z676" s="147"/>
      <c r="AA676" s="147"/>
      <c r="AB676" s="147"/>
      <c r="AC676" s="147"/>
      <c r="AD676" s="147"/>
      <c r="AE676" s="147"/>
      <c r="AF676" s="147"/>
      <c r="AG676" s="147"/>
      <c r="AH676" s="147"/>
      <c r="AI676" s="147"/>
      <c r="AJ676" s="147"/>
      <c r="AK676" s="147"/>
      <c r="AL676" s="147"/>
      <c r="AM676" s="151"/>
      <c r="AN676" s="147"/>
      <c r="AO676" s="147"/>
      <c r="AP676" s="147"/>
      <c r="AQ676" s="147"/>
      <c r="AR676" s="147"/>
      <c r="AS676" s="147"/>
      <c r="AT676" s="147"/>
      <c r="AU676" s="147"/>
      <c r="AV676" s="147"/>
      <c r="AW676" s="147"/>
      <c r="AX676" s="147"/>
      <c r="AY676" s="147"/>
      <c r="AZ676" s="147"/>
      <c r="BA676" s="147"/>
      <c r="BB676" s="147"/>
      <c r="BC676" s="147"/>
      <c r="BD676" s="147"/>
      <c r="BE676" s="147"/>
      <c r="BF676" s="147"/>
      <c r="BG676" s="147"/>
      <c r="BH676" s="147"/>
      <c r="BI676" s="147"/>
      <c r="BJ676" s="147"/>
      <c r="BK676" s="147"/>
      <c r="BL676" s="147"/>
      <c r="BM676" s="147"/>
      <c r="BN676" s="147"/>
      <c r="BO676" s="147"/>
      <c r="BP676" s="147"/>
      <c r="BQ676" s="147"/>
      <c r="BR676" s="147"/>
      <c r="BS676" s="147"/>
      <c r="BT676" s="147"/>
      <c r="BU676" s="147"/>
      <c r="BV676" s="147"/>
      <c r="BW676" s="147"/>
      <c r="BX676" s="147"/>
      <c r="BY676" s="147"/>
      <c r="BZ676" s="147"/>
      <c r="CA676" s="147"/>
      <c r="CB676" s="147"/>
      <c r="CC676" s="147"/>
      <c r="CD676" s="147"/>
      <c r="CE676" s="147"/>
      <c r="CF676" s="147"/>
      <c r="CG676" s="147"/>
      <c r="CH676" s="147"/>
      <c r="CI676" s="147"/>
      <c r="CJ676" s="147"/>
      <c r="CK676" s="147"/>
    </row>
    <row r="677" spans="1:89">
      <c r="A677" s="157"/>
      <c r="F677" s="3"/>
      <c r="G677" s="3"/>
      <c r="L677" s="157"/>
      <c r="M677" s="157"/>
      <c r="O677" s="147"/>
      <c r="P677" s="147"/>
      <c r="Q677" s="147"/>
      <c r="R677" s="147"/>
      <c r="S677" s="147"/>
      <c r="T677" s="147"/>
      <c r="U677" s="147"/>
      <c r="V677" s="147"/>
      <c r="W677" s="147"/>
      <c r="X677" s="147"/>
      <c r="Y677" s="147"/>
      <c r="Z677" s="147"/>
      <c r="AA677" s="147"/>
      <c r="AB677" s="147"/>
      <c r="AC677" s="147"/>
      <c r="AD677" s="147"/>
      <c r="AE677" s="147"/>
      <c r="AF677" s="147"/>
      <c r="AG677" s="147"/>
      <c r="AH677" s="147"/>
      <c r="AI677" s="147"/>
      <c r="AJ677" s="147"/>
      <c r="AK677" s="147"/>
      <c r="AL677" s="147"/>
      <c r="AM677" s="151"/>
      <c r="AN677" s="147"/>
      <c r="AO677" s="147"/>
      <c r="AP677" s="147"/>
      <c r="AQ677" s="147"/>
      <c r="AR677" s="147"/>
      <c r="AS677" s="147"/>
      <c r="AT677" s="147"/>
      <c r="AU677" s="147"/>
      <c r="AV677" s="147"/>
      <c r="AW677" s="147"/>
      <c r="AX677" s="147"/>
      <c r="AY677" s="147"/>
      <c r="AZ677" s="147"/>
      <c r="BA677" s="147"/>
      <c r="BB677" s="147"/>
      <c r="BC677" s="147"/>
      <c r="BD677" s="147"/>
      <c r="BE677" s="147"/>
      <c r="BF677" s="147"/>
      <c r="BG677" s="147"/>
      <c r="BH677" s="147"/>
      <c r="BI677" s="147"/>
      <c r="BJ677" s="147"/>
      <c r="BK677" s="147"/>
      <c r="BL677" s="147"/>
      <c r="BM677" s="147"/>
      <c r="BN677" s="147"/>
      <c r="BO677" s="147"/>
      <c r="BP677" s="147"/>
      <c r="BQ677" s="147"/>
      <c r="BR677" s="147"/>
      <c r="BS677" s="147"/>
      <c r="BT677" s="147"/>
      <c r="BU677" s="147"/>
      <c r="BV677" s="147"/>
      <c r="BW677" s="147"/>
      <c r="BX677" s="147"/>
      <c r="BY677" s="147"/>
      <c r="BZ677" s="147"/>
      <c r="CA677" s="147"/>
      <c r="CB677" s="147"/>
      <c r="CC677" s="147"/>
      <c r="CD677" s="147"/>
      <c r="CE677" s="147"/>
      <c r="CF677" s="147"/>
      <c r="CG677" s="147"/>
      <c r="CH677" s="147"/>
      <c r="CI677" s="147"/>
      <c r="CJ677" s="147"/>
      <c r="CK677" s="147"/>
    </row>
    <row r="678" spans="1:89">
      <c r="A678" s="157"/>
      <c r="F678" s="3"/>
      <c r="G678" s="3"/>
      <c r="L678" s="157"/>
      <c r="M678" s="157"/>
      <c r="O678" s="147"/>
      <c r="P678" s="147"/>
      <c r="Q678" s="147"/>
      <c r="R678" s="147"/>
      <c r="S678" s="147"/>
      <c r="T678" s="147"/>
      <c r="U678" s="147"/>
      <c r="V678" s="147"/>
      <c r="W678" s="147"/>
      <c r="X678" s="147"/>
      <c r="Y678" s="147"/>
      <c r="Z678" s="147"/>
      <c r="AA678" s="147"/>
      <c r="AB678" s="147"/>
      <c r="AC678" s="147"/>
      <c r="AD678" s="147"/>
      <c r="AE678" s="147"/>
      <c r="AF678" s="147"/>
      <c r="AG678" s="147"/>
      <c r="AH678" s="147"/>
      <c r="AI678" s="147"/>
      <c r="AJ678" s="147"/>
      <c r="AK678" s="147"/>
      <c r="AL678" s="147"/>
      <c r="AM678" s="151"/>
      <c r="AN678" s="147"/>
      <c r="AO678" s="147"/>
      <c r="AP678" s="147"/>
      <c r="AQ678" s="147"/>
      <c r="AR678" s="147"/>
      <c r="AS678" s="147"/>
      <c r="AT678" s="147"/>
      <c r="AU678" s="147"/>
      <c r="AV678" s="147"/>
      <c r="AW678" s="147"/>
      <c r="AX678" s="147"/>
      <c r="AY678" s="147"/>
      <c r="AZ678" s="147"/>
      <c r="BA678" s="147"/>
      <c r="BB678" s="147"/>
      <c r="BC678" s="147"/>
      <c r="BD678" s="147"/>
      <c r="BE678" s="147"/>
      <c r="BF678" s="147"/>
      <c r="BG678" s="147"/>
      <c r="BH678" s="147"/>
      <c r="BI678" s="147"/>
      <c r="BJ678" s="147"/>
      <c r="BK678" s="147"/>
      <c r="BL678" s="147"/>
      <c r="BM678" s="147"/>
      <c r="BN678" s="147"/>
      <c r="BO678" s="147"/>
      <c r="BP678" s="147"/>
      <c r="BQ678" s="147"/>
      <c r="BR678" s="147"/>
      <c r="BS678" s="147"/>
      <c r="BT678" s="147"/>
      <c r="BU678" s="147"/>
      <c r="BV678" s="147"/>
      <c r="BW678" s="147"/>
      <c r="BX678" s="147"/>
      <c r="BY678" s="147"/>
      <c r="BZ678" s="147"/>
      <c r="CA678" s="147"/>
      <c r="CB678" s="147"/>
      <c r="CC678" s="147"/>
      <c r="CD678" s="147"/>
      <c r="CE678" s="147"/>
      <c r="CF678" s="147"/>
      <c r="CG678" s="147"/>
      <c r="CH678" s="147"/>
      <c r="CI678" s="147"/>
      <c r="CJ678" s="147"/>
      <c r="CK678" s="147"/>
    </row>
    <row r="679" spans="1:89">
      <c r="A679" s="157"/>
      <c r="F679" s="3"/>
      <c r="G679" s="3"/>
      <c r="L679" s="157"/>
      <c r="M679" s="157"/>
      <c r="O679" s="147"/>
      <c r="P679" s="147"/>
      <c r="Q679" s="147"/>
      <c r="R679" s="147"/>
      <c r="S679" s="147"/>
      <c r="T679" s="147"/>
      <c r="U679" s="147"/>
      <c r="V679" s="147"/>
      <c r="W679" s="147"/>
      <c r="X679" s="147"/>
      <c r="Y679" s="147"/>
      <c r="Z679" s="147"/>
      <c r="AA679" s="147"/>
      <c r="AB679" s="147"/>
      <c r="AC679" s="147"/>
      <c r="AD679" s="147"/>
      <c r="AE679" s="147"/>
      <c r="AF679" s="147"/>
      <c r="AG679" s="147"/>
      <c r="AH679" s="147"/>
      <c r="AI679" s="147"/>
      <c r="AJ679" s="147"/>
      <c r="AK679" s="147"/>
      <c r="AL679" s="147"/>
      <c r="AM679" s="151"/>
      <c r="AN679" s="147"/>
      <c r="AO679" s="147"/>
      <c r="AP679" s="147"/>
      <c r="AQ679" s="147"/>
      <c r="AR679" s="147"/>
      <c r="AS679" s="147"/>
      <c r="AT679" s="147"/>
      <c r="AU679" s="147"/>
      <c r="AV679" s="147"/>
      <c r="AW679" s="147"/>
      <c r="AX679" s="147"/>
      <c r="AY679" s="147"/>
      <c r="AZ679" s="147"/>
      <c r="BA679" s="147"/>
      <c r="BB679" s="147"/>
      <c r="BC679" s="147"/>
      <c r="BD679" s="147"/>
      <c r="BE679" s="147"/>
      <c r="BF679" s="147"/>
      <c r="BG679" s="147"/>
      <c r="BH679" s="147"/>
      <c r="BI679" s="147"/>
      <c r="BJ679" s="147"/>
      <c r="BK679" s="147"/>
      <c r="BL679" s="147"/>
      <c r="BM679" s="147"/>
      <c r="BN679" s="147"/>
      <c r="BO679" s="147"/>
      <c r="BP679" s="147"/>
      <c r="BQ679" s="147"/>
      <c r="BR679" s="147"/>
      <c r="BS679" s="147"/>
      <c r="BT679" s="147"/>
      <c r="BU679" s="147"/>
      <c r="BV679" s="147"/>
      <c r="BW679" s="147"/>
      <c r="BX679" s="147"/>
      <c r="BY679" s="147"/>
      <c r="BZ679" s="147"/>
      <c r="CA679" s="147"/>
      <c r="CB679" s="147"/>
      <c r="CC679" s="147"/>
      <c r="CD679" s="147"/>
      <c r="CE679" s="147"/>
      <c r="CF679" s="147"/>
      <c r="CG679" s="147"/>
      <c r="CH679" s="147"/>
      <c r="CI679" s="147"/>
      <c r="CJ679" s="147"/>
      <c r="CK679" s="147"/>
    </row>
    <row r="680" spans="1:89">
      <c r="A680" s="157"/>
      <c r="F680" s="3"/>
      <c r="G680" s="3"/>
      <c r="L680" s="157"/>
      <c r="M680" s="157"/>
      <c r="O680" s="147"/>
      <c r="P680" s="147"/>
      <c r="Q680" s="147"/>
      <c r="R680" s="147"/>
      <c r="S680" s="147"/>
      <c r="T680" s="147"/>
      <c r="U680" s="147"/>
      <c r="V680" s="147"/>
      <c r="W680" s="147"/>
      <c r="X680" s="147"/>
      <c r="Y680" s="147"/>
      <c r="Z680" s="147"/>
      <c r="AA680" s="147"/>
      <c r="AB680" s="147"/>
      <c r="AC680" s="147"/>
      <c r="AD680" s="147"/>
      <c r="AE680" s="147"/>
      <c r="AF680" s="147"/>
      <c r="AG680" s="147"/>
      <c r="AH680" s="147"/>
      <c r="AI680" s="147"/>
      <c r="AJ680" s="147"/>
      <c r="AK680" s="147"/>
      <c r="AL680" s="147"/>
      <c r="AM680" s="151"/>
      <c r="AN680" s="147"/>
      <c r="AO680" s="147"/>
      <c r="AP680" s="147"/>
      <c r="AQ680" s="147"/>
      <c r="AR680" s="147"/>
      <c r="AS680" s="147"/>
      <c r="AT680" s="147"/>
      <c r="AU680" s="147"/>
      <c r="AV680" s="147"/>
      <c r="AW680" s="147"/>
      <c r="AX680" s="147"/>
      <c r="AY680" s="147"/>
      <c r="AZ680" s="147"/>
      <c r="BA680" s="147"/>
      <c r="BB680" s="147"/>
      <c r="BC680" s="147"/>
      <c r="BD680" s="147"/>
      <c r="BE680" s="147"/>
      <c r="BF680" s="147"/>
      <c r="BG680" s="147"/>
      <c r="BH680" s="147"/>
      <c r="BI680" s="147"/>
      <c r="BJ680" s="147"/>
      <c r="BK680" s="147"/>
      <c r="BL680" s="147"/>
      <c r="BM680" s="147"/>
      <c r="BN680" s="147"/>
      <c r="BO680" s="147"/>
      <c r="BP680" s="147"/>
      <c r="BQ680" s="147"/>
      <c r="BR680" s="147"/>
      <c r="BS680" s="147"/>
      <c r="BT680" s="147"/>
      <c r="BU680" s="147"/>
      <c r="BV680" s="147"/>
      <c r="BW680" s="147"/>
      <c r="BX680" s="147"/>
      <c r="BY680" s="147"/>
      <c r="BZ680" s="147"/>
      <c r="CA680" s="147"/>
      <c r="CB680" s="147"/>
      <c r="CC680" s="147"/>
      <c r="CD680" s="147"/>
      <c r="CE680" s="147"/>
      <c r="CF680" s="147"/>
      <c r="CG680" s="147"/>
      <c r="CH680" s="147"/>
      <c r="CI680" s="147"/>
      <c r="CJ680" s="147"/>
      <c r="CK680" s="147"/>
    </row>
    <row r="681" spans="1:89">
      <c r="A681" s="157"/>
      <c r="F681" s="3"/>
      <c r="G681" s="3"/>
      <c r="L681" s="157"/>
      <c r="M681" s="157"/>
      <c r="O681" s="147"/>
      <c r="P681" s="147"/>
      <c r="Q681" s="147"/>
      <c r="R681" s="147"/>
      <c r="S681" s="147"/>
      <c r="T681" s="147"/>
      <c r="U681" s="147"/>
      <c r="V681" s="147"/>
      <c r="W681" s="147"/>
      <c r="X681" s="147"/>
      <c r="Y681" s="147"/>
      <c r="Z681" s="147"/>
      <c r="AA681" s="147"/>
      <c r="AB681" s="147"/>
      <c r="AC681" s="147"/>
      <c r="AD681" s="147"/>
      <c r="AE681" s="147"/>
      <c r="AF681" s="147"/>
      <c r="AG681" s="147"/>
      <c r="AH681" s="147"/>
      <c r="AI681" s="147"/>
      <c r="AJ681" s="147"/>
      <c r="AK681" s="147"/>
      <c r="AL681" s="147"/>
      <c r="AM681" s="151"/>
      <c r="AN681" s="147"/>
      <c r="AO681" s="147"/>
      <c r="AP681" s="147"/>
      <c r="AQ681" s="147"/>
      <c r="AR681" s="147"/>
      <c r="AS681" s="147"/>
      <c r="AT681" s="147"/>
      <c r="AU681" s="147"/>
      <c r="AV681" s="147"/>
      <c r="AW681" s="147"/>
      <c r="AX681" s="147"/>
      <c r="AY681" s="147"/>
      <c r="AZ681" s="147"/>
      <c r="BA681" s="147"/>
      <c r="BB681" s="147"/>
      <c r="BC681" s="147"/>
      <c r="BD681" s="147"/>
      <c r="BE681" s="147"/>
      <c r="BF681" s="147"/>
      <c r="BG681" s="147"/>
      <c r="BH681" s="147"/>
      <c r="BI681" s="147"/>
      <c r="BJ681" s="147"/>
      <c r="BK681" s="147"/>
      <c r="BL681" s="147"/>
      <c r="BM681" s="147"/>
      <c r="BN681" s="147"/>
      <c r="BO681" s="147"/>
      <c r="BP681" s="147"/>
      <c r="BQ681" s="147"/>
      <c r="BR681" s="147"/>
      <c r="BS681" s="147"/>
      <c r="BT681" s="147"/>
      <c r="BU681" s="147"/>
      <c r="BV681" s="147"/>
      <c r="BW681" s="147"/>
      <c r="BX681" s="147"/>
      <c r="BY681" s="147"/>
      <c r="BZ681" s="147"/>
      <c r="CA681" s="147"/>
      <c r="CB681" s="147"/>
      <c r="CC681" s="147"/>
      <c r="CD681" s="147"/>
      <c r="CE681" s="147"/>
      <c r="CF681" s="147"/>
      <c r="CG681" s="147"/>
      <c r="CH681" s="147"/>
      <c r="CI681" s="147"/>
      <c r="CJ681" s="147"/>
      <c r="CK681" s="147"/>
    </row>
    <row r="682" spans="1:89">
      <c r="A682" s="157"/>
      <c r="F682" s="3"/>
      <c r="G682" s="3"/>
      <c r="L682" s="157"/>
      <c r="M682" s="157"/>
      <c r="O682" s="147"/>
      <c r="P682" s="147"/>
      <c r="Q682" s="147"/>
      <c r="R682" s="147"/>
      <c r="S682" s="147"/>
      <c r="T682" s="147"/>
      <c r="U682" s="147"/>
      <c r="V682" s="147"/>
      <c r="W682" s="147"/>
      <c r="X682" s="147"/>
      <c r="Y682" s="147"/>
      <c r="Z682" s="147"/>
      <c r="AA682" s="147"/>
      <c r="AB682" s="147"/>
      <c r="AC682" s="147"/>
      <c r="AD682" s="147"/>
      <c r="AE682" s="147"/>
      <c r="AF682" s="147"/>
      <c r="AG682" s="147"/>
      <c r="AH682" s="147"/>
      <c r="AI682" s="147"/>
      <c r="AJ682" s="147"/>
      <c r="AK682" s="147"/>
      <c r="AL682" s="147"/>
      <c r="AM682" s="151"/>
      <c r="AN682" s="147"/>
      <c r="AO682" s="147"/>
      <c r="AP682" s="147"/>
      <c r="AQ682" s="147"/>
      <c r="AR682" s="147"/>
      <c r="AS682" s="147"/>
      <c r="AT682" s="147"/>
      <c r="AU682" s="147"/>
      <c r="AV682" s="147"/>
      <c r="AW682" s="147"/>
      <c r="AX682" s="147"/>
      <c r="AY682" s="147"/>
      <c r="AZ682" s="147"/>
      <c r="BA682" s="147"/>
      <c r="BB682" s="147"/>
      <c r="BC682" s="147"/>
      <c r="BD682" s="147"/>
      <c r="BE682" s="147"/>
      <c r="BF682" s="147"/>
      <c r="BG682" s="147"/>
      <c r="BH682" s="147"/>
      <c r="BI682" s="147"/>
      <c r="BJ682" s="147"/>
      <c r="BK682" s="147"/>
      <c r="BL682" s="147"/>
      <c r="BM682" s="147"/>
      <c r="BN682" s="147"/>
      <c r="BO682" s="147"/>
      <c r="BP682" s="147"/>
      <c r="BQ682" s="147"/>
      <c r="BR682" s="147"/>
      <c r="BS682" s="147"/>
      <c r="BT682" s="147"/>
      <c r="BU682" s="147"/>
      <c r="BV682" s="147"/>
      <c r="BW682" s="147"/>
      <c r="BX682" s="147"/>
      <c r="BY682" s="147"/>
      <c r="BZ682" s="147"/>
      <c r="CA682" s="147"/>
      <c r="CB682" s="147"/>
      <c r="CC682" s="147"/>
      <c r="CD682" s="147"/>
      <c r="CE682" s="147"/>
      <c r="CF682" s="147"/>
      <c r="CG682" s="147"/>
      <c r="CH682" s="147"/>
      <c r="CI682" s="147"/>
      <c r="CJ682" s="147"/>
      <c r="CK682" s="147"/>
    </row>
    <row r="683" spans="1:89">
      <c r="A683" s="157"/>
      <c r="F683" s="3"/>
      <c r="G683" s="3"/>
      <c r="L683" s="157"/>
      <c r="M683" s="157"/>
      <c r="O683" s="147"/>
      <c r="P683" s="147"/>
      <c r="Q683" s="147"/>
      <c r="R683" s="147"/>
      <c r="S683" s="147"/>
      <c r="T683" s="147"/>
      <c r="U683" s="147"/>
      <c r="V683" s="147"/>
      <c r="W683" s="147"/>
      <c r="X683" s="147"/>
      <c r="Y683" s="147"/>
      <c r="Z683" s="147"/>
      <c r="AA683" s="147"/>
      <c r="AB683" s="147"/>
      <c r="AC683" s="147"/>
      <c r="AD683" s="147"/>
      <c r="AE683" s="147"/>
      <c r="AF683" s="147"/>
      <c r="AG683" s="147"/>
      <c r="AH683" s="147"/>
      <c r="AI683" s="147"/>
      <c r="AJ683" s="147"/>
      <c r="AK683" s="147"/>
      <c r="AL683" s="147"/>
      <c r="AM683" s="151"/>
      <c r="AN683" s="147"/>
      <c r="AO683" s="147"/>
      <c r="AP683" s="147"/>
      <c r="AQ683" s="147"/>
      <c r="AR683" s="147"/>
      <c r="AS683" s="147"/>
      <c r="AT683" s="147"/>
      <c r="AU683" s="147"/>
      <c r="AV683" s="147"/>
      <c r="AW683" s="147"/>
      <c r="AX683" s="147"/>
      <c r="AY683" s="147"/>
      <c r="AZ683" s="147"/>
      <c r="BA683" s="147"/>
      <c r="BB683" s="147"/>
      <c r="BC683" s="147"/>
      <c r="BD683" s="147"/>
      <c r="BE683" s="147"/>
      <c r="BF683" s="147"/>
      <c r="BG683" s="147"/>
      <c r="BH683" s="147"/>
      <c r="BI683" s="147"/>
      <c r="BJ683" s="147"/>
      <c r="BK683" s="147"/>
      <c r="BL683" s="147"/>
      <c r="BM683" s="147"/>
      <c r="BN683" s="147"/>
      <c r="BO683" s="147"/>
      <c r="BP683" s="147"/>
      <c r="BQ683" s="147"/>
      <c r="BR683" s="147"/>
      <c r="BS683" s="147"/>
      <c r="BT683" s="147"/>
      <c r="BU683" s="147"/>
      <c r="BV683" s="147"/>
      <c r="BW683" s="147"/>
      <c r="BX683" s="147"/>
      <c r="BY683" s="147"/>
      <c r="BZ683" s="147"/>
      <c r="CA683" s="147"/>
      <c r="CB683" s="147"/>
      <c r="CC683" s="147"/>
      <c r="CD683" s="147"/>
      <c r="CE683" s="147"/>
      <c r="CF683" s="147"/>
      <c r="CG683" s="147"/>
      <c r="CH683" s="147"/>
      <c r="CI683" s="147"/>
      <c r="CJ683" s="147"/>
      <c r="CK683" s="147"/>
    </row>
    <row r="684" spans="1:89">
      <c r="A684" s="157"/>
      <c r="F684" s="3"/>
      <c r="G684" s="3"/>
      <c r="L684" s="157"/>
      <c r="M684" s="157"/>
      <c r="O684" s="147"/>
      <c r="P684" s="147"/>
      <c r="Q684" s="147"/>
      <c r="R684" s="147"/>
      <c r="S684" s="147"/>
      <c r="T684" s="147"/>
      <c r="U684" s="147"/>
      <c r="V684" s="147"/>
      <c r="W684" s="147"/>
      <c r="X684" s="147"/>
      <c r="Y684" s="147"/>
      <c r="Z684" s="147"/>
      <c r="AA684" s="147"/>
      <c r="AB684" s="147"/>
      <c r="AC684" s="147"/>
      <c r="AD684" s="147"/>
      <c r="AE684" s="147"/>
      <c r="AF684" s="147"/>
      <c r="AG684" s="147"/>
      <c r="AH684" s="147"/>
      <c r="AI684" s="147"/>
      <c r="AJ684" s="147"/>
      <c r="AK684" s="147"/>
      <c r="AL684" s="147"/>
      <c r="AM684" s="151"/>
      <c r="AN684" s="147"/>
      <c r="AO684" s="147"/>
      <c r="AP684" s="147"/>
      <c r="AQ684" s="147"/>
      <c r="AR684" s="147"/>
      <c r="AS684" s="147"/>
      <c r="AT684" s="147"/>
      <c r="AU684" s="147"/>
      <c r="AV684" s="147"/>
      <c r="AW684" s="147"/>
      <c r="AX684" s="147"/>
      <c r="AY684" s="147"/>
      <c r="AZ684" s="147"/>
      <c r="BA684" s="147"/>
      <c r="BB684" s="147"/>
      <c r="BC684" s="147"/>
      <c r="BD684" s="147"/>
      <c r="BE684" s="147"/>
      <c r="BF684" s="147"/>
      <c r="BG684" s="147"/>
      <c r="BH684" s="147"/>
      <c r="BI684" s="147"/>
      <c r="BJ684" s="147"/>
      <c r="BK684" s="147"/>
      <c r="BL684" s="147"/>
      <c r="BM684" s="147"/>
      <c r="BN684" s="147"/>
      <c r="BO684" s="147"/>
      <c r="BP684" s="147"/>
      <c r="BQ684" s="147"/>
      <c r="BR684" s="147"/>
      <c r="BS684" s="147"/>
      <c r="BT684" s="147"/>
      <c r="BU684" s="147"/>
      <c r="BV684" s="147"/>
      <c r="BW684" s="147"/>
      <c r="BX684" s="147"/>
      <c r="BY684" s="147"/>
      <c r="BZ684" s="147"/>
      <c r="CA684" s="147"/>
      <c r="CB684" s="147"/>
      <c r="CC684" s="147"/>
      <c r="CD684" s="147"/>
      <c r="CE684" s="147"/>
      <c r="CF684" s="147"/>
      <c r="CG684" s="147"/>
      <c r="CH684" s="147"/>
      <c r="CI684" s="147"/>
      <c r="CJ684" s="147"/>
      <c r="CK684" s="147"/>
    </row>
    <row r="685" spans="1:89">
      <c r="A685" s="157"/>
      <c r="F685" s="3"/>
      <c r="G685" s="3"/>
      <c r="L685" s="157"/>
      <c r="M685" s="157"/>
      <c r="O685" s="147"/>
      <c r="P685" s="147"/>
      <c r="Q685" s="147"/>
      <c r="R685" s="147"/>
      <c r="S685" s="147"/>
      <c r="T685" s="147"/>
      <c r="U685" s="147"/>
      <c r="V685" s="147"/>
      <c r="W685" s="147"/>
      <c r="X685" s="147"/>
      <c r="Y685" s="147"/>
      <c r="Z685" s="147"/>
      <c r="AA685" s="147"/>
      <c r="AB685" s="147"/>
      <c r="AC685" s="147"/>
      <c r="AD685" s="147"/>
      <c r="AE685" s="147"/>
      <c r="AF685" s="147"/>
      <c r="AG685" s="147"/>
      <c r="AH685" s="147"/>
      <c r="AI685" s="147"/>
      <c r="AJ685" s="147"/>
      <c r="AK685" s="147"/>
      <c r="AL685" s="147"/>
      <c r="AM685" s="151"/>
      <c r="AN685" s="147"/>
      <c r="AO685" s="147"/>
      <c r="AP685" s="147"/>
      <c r="AQ685" s="147"/>
      <c r="AR685" s="147"/>
      <c r="AS685" s="147"/>
      <c r="AT685" s="147"/>
      <c r="AU685" s="147"/>
      <c r="AV685" s="147"/>
      <c r="AW685" s="147"/>
      <c r="AX685" s="147"/>
      <c r="AY685" s="147"/>
      <c r="AZ685" s="147"/>
      <c r="BA685" s="147"/>
      <c r="BB685" s="147"/>
      <c r="BC685" s="147"/>
      <c r="BD685" s="147"/>
      <c r="BE685" s="147"/>
      <c r="BF685" s="147"/>
      <c r="BG685" s="147"/>
      <c r="BH685" s="147"/>
      <c r="BI685" s="147"/>
      <c r="BJ685" s="147"/>
      <c r="BK685" s="147"/>
      <c r="BL685" s="147"/>
      <c r="BM685" s="147"/>
      <c r="BN685" s="147"/>
      <c r="BO685" s="147"/>
      <c r="BP685" s="147"/>
      <c r="BQ685" s="147"/>
      <c r="BR685" s="147"/>
      <c r="BS685" s="147"/>
      <c r="BT685" s="147"/>
      <c r="BU685" s="147"/>
      <c r="BV685" s="147"/>
      <c r="BW685" s="147"/>
      <c r="BX685" s="147"/>
      <c r="BY685" s="147"/>
      <c r="BZ685" s="147"/>
      <c r="CA685" s="147"/>
      <c r="CB685" s="147"/>
      <c r="CC685" s="147"/>
      <c r="CD685" s="147"/>
      <c r="CE685" s="147"/>
      <c r="CF685" s="147"/>
      <c r="CG685" s="147"/>
      <c r="CH685" s="147"/>
      <c r="CI685" s="147"/>
      <c r="CJ685" s="147"/>
      <c r="CK685" s="147"/>
    </row>
    <row r="686" spans="1:89">
      <c r="A686" s="157"/>
      <c r="F686" s="3"/>
      <c r="G686" s="3"/>
      <c r="L686" s="157"/>
      <c r="M686" s="157"/>
      <c r="O686" s="147"/>
      <c r="P686" s="147"/>
      <c r="Q686" s="147"/>
      <c r="R686" s="147"/>
      <c r="S686" s="147"/>
      <c r="T686" s="147"/>
      <c r="U686" s="147"/>
      <c r="V686" s="147"/>
      <c r="W686" s="147"/>
      <c r="X686" s="147"/>
      <c r="Y686" s="147"/>
      <c r="Z686" s="147"/>
      <c r="AA686" s="147"/>
      <c r="AB686" s="147"/>
      <c r="AC686" s="147"/>
      <c r="AD686" s="147"/>
      <c r="AE686" s="147"/>
      <c r="AF686" s="147"/>
      <c r="AG686" s="147"/>
      <c r="AH686" s="147"/>
      <c r="AI686" s="147"/>
      <c r="AJ686" s="147"/>
      <c r="AK686" s="147"/>
      <c r="AL686" s="147"/>
      <c r="AM686" s="151"/>
      <c r="AN686" s="147"/>
      <c r="AO686" s="147"/>
      <c r="AP686" s="147"/>
      <c r="AQ686" s="147"/>
      <c r="AR686" s="147"/>
      <c r="AS686" s="147"/>
      <c r="AT686" s="147"/>
      <c r="AU686" s="147"/>
      <c r="AV686" s="147"/>
      <c r="AW686" s="147"/>
      <c r="AX686" s="147"/>
      <c r="AY686" s="147"/>
      <c r="AZ686" s="147"/>
      <c r="BA686" s="147"/>
      <c r="BB686" s="147"/>
      <c r="BC686" s="147"/>
      <c r="BD686" s="147"/>
      <c r="BE686" s="147"/>
      <c r="BF686" s="147"/>
      <c r="BG686" s="147"/>
      <c r="BH686" s="147"/>
      <c r="BI686" s="147"/>
      <c r="BJ686" s="147"/>
      <c r="BK686" s="147"/>
      <c r="BL686" s="147"/>
      <c r="BM686" s="147"/>
      <c r="BN686" s="147"/>
      <c r="BO686" s="147"/>
      <c r="BP686" s="147"/>
      <c r="BQ686" s="147"/>
      <c r="BR686" s="147"/>
      <c r="BS686" s="147"/>
      <c r="BT686" s="147"/>
      <c r="BU686" s="147"/>
      <c r="BV686" s="147"/>
      <c r="BW686" s="147"/>
      <c r="BX686" s="147"/>
      <c r="BY686" s="147"/>
      <c r="BZ686" s="147"/>
      <c r="CA686" s="147"/>
      <c r="CB686" s="147"/>
      <c r="CC686" s="147"/>
      <c r="CD686" s="147"/>
      <c r="CE686" s="147"/>
      <c r="CF686" s="147"/>
      <c r="CG686" s="147"/>
      <c r="CH686" s="147"/>
      <c r="CI686" s="147"/>
      <c r="CJ686" s="147"/>
      <c r="CK686" s="147"/>
    </row>
    <row r="687" spans="1:89">
      <c r="A687" s="157"/>
      <c r="F687" s="3"/>
      <c r="G687" s="3"/>
      <c r="L687" s="157"/>
      <c r="M687" s="157"/>
      <c r="O687" s="147"/>
      <c r="P687" s="147"/>
      <c r="Q687" s="147"/>
      <c r="R687" s="147"/>
      <c r="S687" s="147"/>
      <c r="T687" s="147"/>
      <c r="U687" s="147"/>
      <c r="V687" s="147"/>
      <c r="W687" s="147"/>
      <c r="X687" s="147"/>
      <c r="Y687" s="147"/>
      <c r="Z687" s="147"/>
      <c r="AA687" s="147"/>
      <c r="AB687" s="147"/>
      <c r="AC687" s="147"/>
      <c r="AD687" s="147"/>
      <c r="AE687" s="147"/>
      <c r="AF687" s="147"/>
      <c r="AG687" s="147"/>
      <c r="AH687" s="147"/>
      <c r="AI687" s="147"/>
      <c r="AJ687" s="147"/>
      <c r="AK687" s="147"/>
      <c r="AL687" s="147"/>
      <c r="AM687" s="151"/>
      <c r="AN687" s="147"/>
      <c r="AO687" s="147"/>
      <c r="AP687" s="147"/>
      <c r="AQ687" s="147"/>
      <c r="AR687" s="147"/>
      <c r="AS687" s="147"/>
      <c r="AT687" s="147"/>
      <c r="AU687" s="147"/>
      <c r="AV687" s="147"/>
      <c r="AW687" s="147"/>
      <c r="AX687" s="147"/>
      <c r="AY687" s="147"/>
      <c r="AZ687" s="147"/>
      <c r="BA687" s="147"/>
      <c r="BB687" s="147"/>
      <c r="BC687" s="147"/>
      <c r="BD687" s="147"/>
      <c r="BE687" s="147"/>
      <c r="BF687" s="147"/>
      <c r="BG687" s="147"/>
      <c r="BH687" s="147"/>
      <c r="BI687" s="147"/>
      <c r="BJ687" s="147"/>
      <c r="BK687" s="147"/>
      <c r="BL687" s="147"/>
      <c r="BM687" s="147"/>
      <c r="BN687" s="147"/>
      <c r="BO687" s="147"/>
      <c r="BP687" s="147"/>
      <c r="BQ687" s="147"/>
      <c r="BR687" s="147"/>
      <c r="BS687" s="147"/>
      <c r="BT687" s="147"/>
      <c r="BU687" s="147"/>
      <c r="BV687" s="147"/>
      <c r="BW687" s="147"/>
      <c r="BX687" s="147"/>
      <c r="BY687" s="147"/>
      <c r="BZ687" s="147"/>
      <c r="CA687" s="147"/>
      <c r="CB687" s="147"/>
      <c r="CC687" s="147"/>
      <c r="CD687" s="147"/>
      <c r="CE687" s="147"/>
      <c r="CF687" s="147"/>
      <c r="CG687" s="147"/>
      <c r="CH687" s="147"/>
      <c r="CI687" s="147"/>
      <c r="CJ687" s="147"/>
      <c r="CK687" s="147"/>
    </row>
    <row r="688" spans="1:89">
      <c r="A688" s="157"/>
      <c r="F688" s="3"/>
      <c r="G688" s="3"/>
      <c r="L688" s="157"/>
      <c r="M688" s="157"/>
      <c r="O688" s="147"/>
      <c r="P688" s="147"/>
      <c r="Q688" s="147"/>
      <c r="R688" s="147"/>
      <c r="S688" s="147"/>
      <c r="T688" s="147"/>
      <c r="U688" s="147"/>
      <c r="V688" s="147"/>
      <c r="W688" s="147"/>
      <c r="X688" s="147"/>
      <c r="Y688" s="147"/>
      <c r="Z688" s="147"/>
      <c r="AA688" s="147"/>
      <c r="AB688" s="147"/>
      <c r="AC688" s="147"/>
      <c r="AD688" s="147"/>
      <c r="AE688" s="147"/>
      <c r="AF688" s="147"/>
      <c r="AG688" s="147"/>
      <c r="AH688" s="147"/>
      <c r="AI688" s="147"/>
      <c r="AJ688" s="147"/>
      <c r="AK688" s="147"/>
      <c r="AL688" s="147"/>
      <c r="AM688" s="151"/>
      <c r="AN688" s="147"/>
      <c r="AO688" s="147"/>
      <c r="AP688" s="147"/>
      <c r="AQ688" s="147"/>
      <c r="AR688" s="147"/>
      <c r="AS688" s="147"/>
      <c r="AT688" s="147"/>
      <c r="AU688" s="147"/>
      <c r="AV688" s="147"/>
      <c r="AW688" s="147"/>
      <c r="AX688" s="147"/>
      <c r="AY688" s="147"/>
      <c r="AZ688" s="147"/>
      <c r="BA688" s="147"/>
      <c r="BB688" s="147"/>
      <c r="BC688" s="147"/>
      <c r="BD688" s="147"/>
      <c r="BE688" s="147"/>
      <c r="BF688" s="147"/>
      <c r="BG688" s="147"/>
      <c r="BH688" s="147"/>
      <c r="BI688" s="147"/>
      <c r="BJ688" s="147"/>
      <c r="BK688" s="147"/>
      <c r="BL688" s="147"/>
      <c r="BM688" s="147"/>
      <c r="BN688" s="147"/>
      <c r="BO688" s="147"/>
      <c r="BP688" s="147"/>
      <c r="BQ688" s="147"/>
      <c r="BR688" s="147"/>
      <c r="BS688" s="147"/>
      <c r="BT688" s="147"/>
      <c r="BU688" s="147"/>
      <c r="BV688" s="147"/>
      <c r="BW688" s="147"/>
      <c r="BX688" s="147"/>
      <c r="BY688" s="147"/>
      <c r="BZ688" s="147"/>
      <c r="CA688" s="147"/>
      <c r="CB688" s="147"/>
      <c r="CC688" s="147"/>
      <c r="CD688" s="147"/>
      <c r="CE688" s="147"/>
      <c r="CF688" s="147"/>
      <c r="CG688" s="147"/>
      <c r="CH688" s="147"/>
      <c r="CI688" s="147"/>
      <c r="CJ688" s="147"/>
      <c r="CK688" s="147"/>
    </row>
    <row r="689" spans="1:89">
      <c r="A689" s="157"/>
      <c r="F689" s="3"/>
      <c r="G689" s="3"/>
      <c r="L689" s="157"/>
      <c r="M689" s="157"/>
      <c r="O689" s="147"/>
      <c r="P689" s="147"/>
      <c r="Q689" s="147"/>
      <c r="R689" s="147"/>
      <c r="S689" s="147"/>
      <c r="T689" s="147"/>
      <c r="U689" s="147"/>
      <c r="V689" s="147"/>
      <c r="W689" s="147"/>
      <c r="X689" s="147"/>
      <c r="Y689" s="147"/>
      <c r="Z689" s="147"/>
      <c r="AA689" s="147"/>
      <c r="AB689" s="147"/>
      <c r="AC689" s="147"/>
      <c r="AD689" s="147"/>
      <c r="AE689" s="147"/>
      <c r="AF689" s="147"/>
      <c r="AG689" s="147"/>
      <c r="AH689" s="147"/>
      <c r="AI689" s="147"/>
      <c r="AJ689" s="147"/>
      <c r="AK689" s="147"/>
      <c r="AL689" s="147"/>
      <c r="AM689" s="151"/>
      <c r="AN689" s="147"/>
      <c r="AO689" s="147"/>
      <c r="AP689" s="147"/>
      <c r="AQ689" s="147"/>
      <c r="AR689" s="147"/>
      <c r="AS689" s="147"/>
      <c r="AT689" s="147"/>
      <c r="AU689" s="147"/>
      <c r="AV689" s="147"/>
      <c r="AW689" s="147"/>
      <c r="AX689" s="147"/>
      <c r="AY689" s="147"/>
      <c r="AZ689" s="147"/>
      <c r="BA689" s="147"/>
      <c r="BB689" s="147"/>
      <c r="BC689" s="147"/>
      <c r="BD689" s="147"/>
      <c r="BE689" s="147"/>
      <c r="BF689" s="147"/>
      <c r="BG689" s="147"/>
      <c r="BH689" s="147"/>
      <c r="BI689" s="147"/>
      <c r="BJ689" s="147"/>
      <c r="BK689" s="147"/>
      <c r="BL689" s="147"/>
      <c r="BM689" s="147"/>
      <c r="BN689" s="147"/>
      <c r="BO689" s="147"/>
      <c r="BP689" s="147"/>
      <c r="BQ689" s="147"/>
      <c r="BR689" s="147"/>
      <c r="BS689" s="147"/>
      <c r="BT689" s="147"/>
      <c r="BU689" s="147"/>
      <c r="BV689" s="147"/>
      <c r="BW689" s="147"/>
      <c r="BX689" s="147"/>
      <c r="BY689" s="147"/>
      <c r="BZ689" s="147"/>
      <c r="CA689" s="147"/>
      <c r="CB689" s="147"/>
      <c r="CC689" s="147"/>
      <c r="CD689" s="147"/>
      <c r="CE689" s="147"/>
      <c r="CF689" s="147"/>
      <c r="CG689" s="147"/>
      <c r="CH689" s="147"/>
      <c r="CI689" s="147"/>
      <c r="CJ689" s="147"/>
      <c r="CK689" s="147"/>
    </row>
    <row r="690" spans="1:89">
      <c r="A690" s="157"/>
      <c r="F690" s="3"/>
      <c r="G690" s="3"/>
      <c r="L690" s="157"/>
      <c r="M690" s="157"/>
      <c r="O690" s="147"/>
      <c r="P690" s="147"/>
      <c r="Q690" s="147"/>
      <c r="R690" s="147"/>
      <c r="S690" s="147"/>
      <c r="T690" s="147"/>
      <c r="U690" s="147"/>
      <c r="V690" s="147"/>
      <c r="W690" s="147"/>
      <c r="X690" s="147"/>
      <c r="Y690" s="147"/>
      <c r="Z690" s="147"/>
      <c r="AA690" s="147"/>
      <c r="AB690" s="147"/>
      <c r="AC690" s="147"/>
      <c r="AD690" s="147"/>
      <c r="AE690" s="147"/>
      <c r="AF690" s="147"/>
      <c r="AG690" s="147"/>
      <c r="AH690" s="147"/>
      <c r="AI690" s="147"/>
      <c r="AJ690" s="147"/>
      <c r="AK690" s="147"/>
      <c r="AL690" s="147"/>
      <c r="AM690" s="151"/>
      <c r="AN690" s="147"/>
      <c r="AO690" s="147"/>
      <c r="AP690" s="147"/>
      <c r="AQ690" s="147"/>
      <c r="AR690" s="147"/>
      <c r="AS690" s="147"/>
      <c r="AT690" s="147"/>
      <c r="AU690" s="147"/>
      <c r="AV690" s="147"/>
      <c r="AW690" s="147"/>
      <c r="AX690" s="147"/>
      <c r="AY690" s="147"/>
      <c r="AZ690" s="147"/>
      <c r="BA690" s="147"/>
      <c r="BB690" s="147"/>
      <c r="BC690" s="147"/>
      <c r="BD690" s="147"/>
      <c r="BE690" s="147"/>
      <c r="BF690" s="147"/>
      <c r="BG690" s="147"/>
      <c r="BH690" s="147"/>
      <c r="BI690" s="147"/>
      <c r="BJ690" s="147"/>
      <c r="BK690" s="147"/>
      <c r="BL690" s="147"/>
      <c r="BM690" s="147"/>
      <c r="BN690" s="147"/>
      <c r="BO690" s="147"/>
      <c r="BP690" s="147"/>
      <c r="BQ690" s="147"/>
      <c r="BR690" s="147"/>
      <c r="BS690" s="147"/>
      <c r="BT690" s="147"/>
      <c r="BU690" s="147"/>
      <c r="BV690" s="147"/>
      <c r="BW690" s="147"/>
      <c r="BX690" s="147"/>
      <c r="BY690" s="147"/>
      <c r="BZ690" s="147"/>
      <c r="CA690" s="147"/>
      <c r="CB690" s="147"/>
      <c r="CC690" s="147"/>
      <c r="CD690" s="147"/>
      <c r="CE690" s="147"/>
      <c r="CF690" s="147"/>
      <c r="CG690" s="147"/>
      <c r="CH690" s="147"/>
      <c r="CI690" s="147"/>
      <c r="CJ690" s="147"/>
      <c r="CK690" s="147"/>
    </row>
    <row r="691" spans="1:89">
      <c r="A691" s="157"/>
      <c r="F691" s="3"/>
      <c r="G691" s="3"/>
      <c r="L691" s="157"/>
      <c r="M691" s="157"/>
      <c r="O691" s="147"/>
      <c r="P691" s="147"/>
      <c r="Q691" s="147"/>
      <c r="R691" s="147"/>
      <c r="S691" s="147"/>
      <c r="T691" s="147"/>
      <c r="U691" s="147"/>
      <c r="V691" s="147"/>
      <c r="W691" s="147"/>
      <c r="X691" s="147"/>
      <c r="Y691" s="147"/>
      <c r="Z691" s="147"/>
      <c r="AA691" s="147"/>
      <c r="AB691" s="147"/>
      <c r="AC691" s="147"/>
      <c r="AD691" s="147"/>
      <c r="AE691" s="147"/>
      <c r="AF691" s="147"/>
      <c r="AG691" s="147"/>
      <c r="AH691" s="147"/>
      <c r="AI691" s="147"/>
      <c r="AJ691" s="147"/>
      <c r="AK691" s="147"/>
      <c r="AL691" s="147"/>
      <c r="AM691" s="151"/>
      <c r="AN691" s="147"/>
      <c r="AO691" s="147"/>
      <c r="AP691" s="147"/>
      <c r="AQ691" s="147"/>
      <c r="AR691" s="147"/>
      <c r="AS691" s="147"/>
      <c r="AT691" s="147"/>
      <c r="AU691" s="147"/>
      <c r="AV691" s="147"/>
      <c r="AW691" s="147"/>
      <c r="AX691" s="147"/>
      <c r="AY691" s="147"/>
      <c r="AZ691" s="147"/>
      <c r="BA691" s="147"/>
      <c r="BB691" s="147"/>
      <c r="BC691" s="147"/>
      <c r="BD691" s="147"/>
      <c r="BE691" s="147"/>
      <c r="BF691" s="147"/>
      <c r="BG691" s="147"/>
      <c r="BH691" s="147"/>
      <c r="BI691" s="147"/>
      <c r="BJ691" s="147"/>
      <c r="BK691" s="147"/>
      <c r="BL691" s="147"/>
      <c r="BM691" s="147"/>
      <c r="BN691" s="147"/>
      <c r="BO691" s="147"/>
      <c r="BP691" s="147"/>
      <c r="BQ691" s="147"/>
      <c r="BR691" s="147"/>
      <c r="BS691" s="147"/>
      <c r="BT691" s="147"/>
      <c r="BU691" s="147"/>
      <c r="BV691" s="147"/>
      <c r="BW691" s="147"/>
      <c r="BX691" s="147"/>
      <c r="BY691" s="147"/>
      <c r="BZ691" s="147"/>
      <c r="CA691" s="147"/>
      <c r="CB691" s="147"/>
      <c r="CC691" s="147"/>
      <c r="CD691" s="147"/>
      <c r="CE691" s="147"/>
      <c r="CF691" s="147"/>
      <c r="CG691" s="147"/>
      <c r="CH691" s="147"/>
      <c r="CI691" s="147"/>
      <c r="CJ691" s="147"/>
      <c r="CK691" s="147"/>
    </row>
    <row r="692" spans="1:89">
      <c r="A692" s="157"/>
      <c r="F692" s="3"/>
      <c r="G692" s="3"/>
      <c r="L692" s="157"/>
      <c r="M692" s="157"/>
      <c r="O692" s="147"/>
      <c r="P692" s="147"/>
      <c r="Q692" s="147"/>
      <c r="R692" s="147"/>
      <c r="S692" s="147"/>
      <c r="T692" s="147"/>
      <c r="U692" s="147"/>
      <c r="V692" s="147"/>
      <c r="W692" s="147"/>
      <c r="X692" s="147"/>
      <c r="Y692" s="147"/>
      <c r="Z692" s="147"/>
      <c r="AA692" s="147"/>
      <c r="AB692" s="147"/>
      <c r="AC692" s="147"/>
      <c r="AD692" s="147"/>
      <c r="AE692" s="147"/>
      <c r="AF692" s="147"/>
      <c r="AG692" s="147"/>
      <c r="AH692" s="147"/>
      <c r="AI692" s="147"/>
      <c r="AJ692" s="147"/>
      <c r="AK692" s="147"/>
      <c r="AL692" s="147"/>
      <c r="AM692" s="151"/>
      <c r="AN692" s="147"/>
      <c r="AO692" s="147"/>
      <c r="AP692" s="147"/>
      <c r="AQ692" s="147"/>
      <c r="AR692" s="147"/>
      <c r="AS692" s="147"/>
      <c r="AT692" s="147"/>
      <c r="AU692" s="147"/>
      <c r="AV692" s="147"/>
      <c r="AW692" s="147"/>
      <c r="AX692" s="147"/>
      <c r="AY692" s="147"/>
      <c r="AZ692" s="147"/>
      <c r="BA692" s="147"/>
      <c r="BB692" s="147"/>
      <c r="BC692" s="147"/>
      <c r="BD692" s="147"/>
      <c r="BE692" s="147"/>
      <c r="BF692" s="147"/>
      <c r="BG692" s="147"/>
      <c r="BH692" s="147"/>
      <c r="BI692" s="147"/>
      <c r="BJ692" s="147"/>
      <c r="BK692" s="147"/>
      <c r="BL692" s="147"/>
      <c r="BM692" s="147"/>
      <c r="BN692" s="147"/>
      <c r="BO692" s="147"/>
      <c r="BP692" s="147"/>
      <c r="BQ692" s="147"/>
      <c r="BR692" s="147"/>
      <c r="BS692" s="147"/>
      <c r="BT692" s="147"/>
      <c r="BU692" s="147"/>
      <c r="BV692" s="147"/>
      <c r="BW692" s="147"/>
      <c r="BX692" s="147"/>
      <c r="BY692" s="147"/>
      <c r="BZ692" s="147"/>
      <c r="CA692" s="147"/>
      <c r="CB692" s="147"/>
      <c r="CC692" s="147"/>
      <c r="CD692" s="147"/>
      <c r="CE692" s="147"/>
      <c r="CF692" s="147"/>
      <c r="CG692" s="147"/>
      <c r="CH692" s="147"/>
      <c r="CI692" s="147"/>
      <c r="CJ692" s="147"/>
      <c r="CK692" s="147"/>
    </row>
    <row r="693" spans="1:89">
      <c r="A693" s="157"/>
      <c r="F693" s="3"/>
      <c r="G693" s="3"/>
      <c r="L693" s="157"/>
      <c r="M693" s="157"/>
      <c r="O693" s="147"/>
      <c r="P693" s="147"/>
      <c r="Q693" s="147"/>
      <c r="R693" s="147"/>
      <c r="S693" s="147"/>
      <c r="T693" s="147"/>
      <c r="U693" s="147"/>
      <c r="V693" s="147"/>
      <c r="W693" s="147"/>
      <c r="X693" s="147"/>
      <c r="Y693" s="147"/>
      <c r="Z693" s="147"/>
      <c r="AA693" s="147"/>
      <c r="AB693" s="147"/>
      <c r="AC693" s="147"/>
      <c r="AD693" s="147"/>
      <c r="AE693" s="147"/>
      <c r="AF693" s="147"/>
      <c r="AG693" s="147"/>
      <c r="AH693" s="147"/>
      <c r="AI693" s="147"/>
      <c r="AJ693" s="147"/>
      <c r="AK693" s="147"/>
      <c r="AL693" s="147"/>
      <c r="AM693" s="151"/>
      <c r="AN693" s="147"/>
      <c r="AO693" s="147"/>
      <c r="AP693" s="147"/>
      <c r="AQ693" s="147"/>
      <c r="AR693" s="147"/>
      <c r="AS693" s="147"/>
      <c r="AT693" s="147"/>
      <c r="AU693" s="147"/>
      <c r="AV693" s="147"/>
      <c r="AW693" s="147"/>
      <c r="AX693" s="147"/>
      <c r="AY693" s="147"/>
      <c r="AZ693" s="147"/>
      <c r="BA693" s="147"/>
      <c r="BB693" s="147"/>
      <c r="BC693" s="147"/>
      <c r="BD693" s="147"/>
      <c r="BE693" s="147"/>
      <c r="BF693" s="147"/>
      <c r="BG693" s="147"/>
      <c r="BH693" s="147"/>
      <c r="BI693" s="147"/>
      <c r="BJ693" s="147"/>
      <c r="BK693" s="147"/>
      <c r="BL693" s="147"/>
      <c r="BM693" s="147"/>
      <c r="BN693" s="147"/>
      <c r="BO693" s="147"/>
      <c r="BP693" s="147"/>
      <c r="BQ693" s="147"/>
      <c r="BR693" s="147"/>
      <c r="BS693" s="147"/>
      <c r="BT693" s="147"/>
      <c r="BU693" s="147"/>
      <c r="BV693" s="147"/>
      <c r="BW693" s="147"/>
      <c r="BX693" s="147"/>
      <c r="BY693" s="147"/>
      <c r="BZ693" s="147"/>
      <c r="CA693" s="147"/>
      <c r="CB693" s="147"/>
      <c r="CC693" s="147"/>
      <c r="CD693" s="147"/>
      <c r="CE693" s="147"/>
      <c r="CF693" s="147"/>
      <c r="CG693" s="147"/>
      <c r="CH693" s="147"/>
      <c r="CI693" s="147"/>
      <c r="CJ693" s="147"/>
      <c r="CK693" s="147"/>
    </row>
    <row r="694" spans="1:89">
      <c r="A694" s="157"/>
      <c r="F694" s="3"/>
      <c r="G694" s="3"/>
      <c r="L694" s="157"/>
      <c r="M694" s="157"/>
      <c r="O694" s="147"/>
      <c r="P694" s="147"/>
      <c r="Q694" s="147"/>
      <c r="R694" s="147"/>
      <c r="S694" s="147"/>
      <c r="T694" s="147"/>
      <c r="U694" s="147"/>
      <c r="V694" s="147"/>
      <c r="W694" s="147"/>
      <c r="X694" s="147"/>
      <c r="Y694" s="147"/>
      <c r="Z694" s="147"/>
      <c r="AA694" s="147"/>
      <c r="AB694" s="147"/>
      <c r="AC694" s="147"/>
      <c r="AD694" s="147"/>
      <c r="AE694" s="147"/>
      <c r="AF694" s="147"/>
      <c r="AG694" s="147"/>
      <c r="AH694" s="147"/>
      <c r="AI694" s="147"/>
      <c r="AJ694" s="147"/>
      <c r="AK694" s="147"/>
      <c r="AL694" s="147"/>
      <c r="AM694" s="151"/>
      <c r="AN694" s="147"/>
      <c r="AO694" s="147"/>
      <c r="AP694" s="147"/>
      <c r="AQ694" s="147"/>
      <c r="AR694" s="147"/>
      <c r="AS694" s="147"/>
      <c r="AT694" s="147"/>
      <c r="AU694" s="147"/>
      <c r="AV694" s="147"/>
      <c r="AW694" s="147"/>
      <c r="AX694" s="147"/>
      <c r="AY694" s="147"/>
      <c r="AZ694" s="147"/>
      <c r="BA694" s="147"/>
      <c r="BB694" s="147"/>
      <c r="BC694" s="147"/>
      <c r="BD694" s="147"/>
      <c r="BE694" s="147"/>
      <c r="BF694" s="147"/>
      <c r="BG694" s="147"/>
      <c r="BH694" s="147"/>
      <c r="BI694" s="147"/>
      <c r="BJ694" s="147"/>
      <c r="BK694" s="147"/>
      <c r="BL694" s="147"/>
      <c r="BM694" s="147"/>
      <c r="BN694" s="147"/>
      <c r="BO694" s="147"/>
      <c r="BP694" s="147"/>
      <c r="BQ694" s="147"/>
      <c r="BR694" s="147"/>
      <c r="BS694" s="147"/>
      <c r="BT694" s="147"/>
      <c r="BU694" s="147"/>
      <c r="BV694" s="147"/>
      <c r="BW694" s="147"/>
      <c r="BX694" s="147"/>
      <c r="BY694" s="147"/>
      <c r="BZ694" s="147"/>
      <c r="CA694" s="147"/>
      <c r="CB694" s="147"/>
      <c r="CC694" s="147"/>
      <c r="CD694" s="147"/>
      <c r="CE694" s="147"/>
      <c r="CF694" s="147"/>
      <c r="CG694" s="147"/>
      <c r="CH694" s="147"/>
      <c r="CI694" s="147"/>
      <c r="CJ694" s="147"/>
      <c r="CK694" s="147"/>
    </row>
    <row r="695" spans="1:89">
      <c r="A695" s="157"/>
      <c r="F695" s="3"/>
      <c r="G695" s="3"/>
      <c r="L695" s="157"/>
      <c r="M695" s="157"/>
      <c r="O695" s="147"/>
      <c r="P695" s="147"/>
      <c r="Q695" s="147"/>
      <c r="R695" s="147"/>
      <c r="S695" s="147"/>
      <c r="T695" s="147"/>
      <c r="U695" s="147"/>
      <c r="V695" s="147"/>
      <c r="W695" s="147"/>
      <c r="X695" s="147"/>
      <c r="Y695" s="147"/>
      <c r="Z695" s="147"/>
      <c r="AA695" s="147"/>
      <c r="AB695" s="147"/>
      <c r="AC695" s="147"/>
      <c r="AD695" s="147"/>
      <c r="AE695" s="147"/>
      <c r="AF695" s="147"/>
      <c r="AG695" s="147"/>
      <c r="AH695" s="147"/>
      <c r="AI695" s="147"/>
      <c r="AJ695" s="147"/>
      <c r="AK695" s="147"/>
      <c r="AL695" s="147"/>
      <c r="AM695" s="151"/>
      <c r="AN695" s="147"/>
      <c r="AO695" s="147"/>
      <c r="AP695" s="147"/>
      <c r="AQ695" s="147"/>
      <c r="AR695" s="147"/>
      <c r="AS695" s="147"/>
      <c r="AT695" s="147"/>
      <c r="AU695" s="147"/>
      <c r="AV695" s="147"/>
      <c r="AW695" s="147"/>
      <c r="AX695" s="147"/>
      <c r="AY695" s="147"/>
      <c r="AZ695" s="147"/>
      <c r="BA695" s="147"/>
      <c r="BB695" s="147"/>
      <c r="BC695" s="147"/>
      <c r="BD695" s="147"/>
      <c r="BE695" s="147"/>
      <c r="BF695" s="147"/>
      <c r="BG695" s="147"/>
      <c r="BH695" s="147"/>
      <c r="BI695" s="147"/>
      <c r="BJ695" s="147"/>
      <c r="BK695" s="147"/>
      <c r="BL695" s="147"/>
      <c r="BM695" s="147"/>
      <c r="BN695" s="147"/>
      <c r="BO695" s="147"/>
      <c r="BP695" s="147"/>
      <c r="BQ695" s="147"/>
      <c r="BR695" s="147"/>
      <c r="BS695" s="147"/>
      <c r="BT695" s="147"/>
      <c r="BU695" s="147"/>
      <c r="BV695" s="147"/>
      <c r="BW695" s="147"/>
      <c r="BX695" s="147"/>
      <c r="BY695" s="147"/>
      <c r="BZ695" s="147"/>
      <c r="CA695" s="147"/>
      <c r="CB695" s="147"/>
      <c r="CC695" s="147"/>
      <c r="CD695" s="147"/>
      <c r="CE695" s="147"/>
      <c r="CF695" s="147"/>
      <c r="CG695" s="147"/>
      <c r="CH695" s="147"/>
      <c r="CI695" s="147"/>
      <c r="CJ695" s="147"/>
      <c r="CK695" s="147"/>
    </row>
    <row r="696" spans="1:89">
      <c r="A696" s="157"/>
      <c r="F696" s="3"/>
      <c r="G696" s="3"/>
      <c r="L696" s="157"/>
      <c r="M696" s="157"/>
      <c r="O696" s="147"/>
      <c r="P696" s="147"/>
      <c r="Q696" s="147"/>
      <c r="R696" s="147"/>
      <c r="S696" s="147"/>
      <c r="T696" s="147"/>
      <c r="U696" s="147"/>
      <c r="V696" s="147"/>
      <c r="W696" s="147"/>
      <c r="X696" s="147"/>
      <c r="Y696" s="147"/>
      <c r="Z696" s="147"/>
      <c r="AA696" s="147"/>
      <c r="AB696" s="147"/>
      <c r="AC696" s="147"/>
      <c r="AD696" s="147"/>
      <c r="AE696" s="147"/>
      <c r="AF696" s="147"/>
      <c r="AG696" s="147"/>
      <c r="AH696" s="147"/>
      <c r="AI696" s="147"/>
      <c r="AJ696" s="147"/>
      <c r="AK696" s="147"/>
      <c r="AL696" s="147"/>
      <c r="AM696" s="151"/>
      <c r="AN696" s="147"/>
      <c r="AO696" s="147"/>
      <c r="AP696" s="147"/>
      <c r="AQ696" s="147"/>
      <c r="AR696" s="147"/>
      <c r="AS696" s="147"/>
      <c r="AT696" s="147"/>
      <c r="AU696" s="147"/>
      <c r="AV696" s="147"/>
      <c r="AW696" s="147"/>
      <c r="AX696" s="147"/>
      <c r="AY696" s="147"/>
      <c r="AZ696" s="147"/>
      <c r="BA696" s="147"/>
      <c r="BB696" s="147"/>
      <c r="BC696" s="147"/>
      <c r="BD696" s="147"/>
      <c r="BE696" s="147"/>
      <c r="BF696" s="147"/>
      <c r="BG696" s="147"/>
      <c r="BH696" s="147"/>
      <c r="BI696" s="147"/>
      <c r="BJ696" s="147"/>
      <c r="BK696" s="147"/>
      <c r="BL696" s="147"/>
      <c r="BM696" s="147"/>
      <c r="BN696" s="147"/>
      <c r="BO696" s="147"/>
      <c r="BP696" s="147"/>
      <c r="BQ696" s="147"/>
      <c r="BR696" s="147"/>
      <c r="BS696" s="147"/>
      <c r="BT696" s="147"/>
      <c r="BU696" s="147"/>
      <c r="BV696" s="147"/>
      <c r="BW696" s="147"/>
      <c r="BX696" s="147"/>
      <c r="BY696" s="147"/>
      <c r="BZ696" s="147"/>
      <c r="CA696" s="147"/>
      <c r="CB696" s="147"/>
      <c r="CC696" s="147"/>
      <c r="CD696" s="147"/>
      <c r="CE696" s="147"/>
      <c r="CF696" s="147"/>
      <c r="CG696" s="147"/>
      <c r="CH696" s="147"/>
      <c r="CI696" s="147"/>
      <c r="CJ696" s="147"/>
      <c r="CK696" s="147"/>
    </row>
    <row r="697" spans="1:89">
      <c r="A697" s="157"/>
      <c r="F697" s="3"/>
      <c r="G697" s="3"/>
      <c r="L697" s="157"/>
      <c r="M697" s="157"/>
      <c r="O697" s="147"/>
      <c r="P697" s="147"/>
      <c r="Q697" s="147"/>
      <c r="R697" s="147"/>
      <c r="S697" s="147"/>
      <c r="T697" s="147"/>
      <c r="U697" s="147"/>
      <c r="V697" s="147"/>
      <c r="W697" s="147"/>
      <c r="X697" s="147"/>
      <c r="Y697" s="147"/>
      <c r="Z697" s="147"/>
      <c r="AA697" s="147"/>
      <c r="AB697" s="147"/>
      <c r="AC697" s="147"/>
      <c r="AD697" s="147"/>
      <c r="AE697" s="147"/>
      <c r="AF697" s="147"/>
      <c r="AG697" s="147"/>
      <c r="AH697" s="147"/>
      <c r="AI697" s="147"/>
      <c r="AJ697" s="147"/>
      <c r="AK697" s="147"/>
      <c r="AL697" s="147"/>
      <c r="AM697" s="151"/>
      <c r="AN697" s="147"/>
      <c r="AO697" s="147"/>
      <c r="AP697" s="147"/>
      <c r="AQ697" s="147"/>
      <c r="AR697" s="147"/>
      <c r="AS697" s="147"/>
      <c r="AT697" s="147"/>
      <c r="AU697" s="147"/>
      <c r="AV697" s="147"/>
      <c r="AW697" s="147"/>
      <c r="AX697" s="147"/>
      <c r="AY697" s="147"/>
      <c r="AZ697" s="147"/>
      <c r="BA697" s="147"/>
      <c r="BB697" s="147"/>
      <c r="BC697" s="147"/>
      <c r="BD697" s="147"/>
      <c r="BE697" s="147"/>
      <c r="BF697" s="147"/>
      <c r="BG697" s="147"/>
      <c r="BH697" s="147"/>
      <c r="BI697" s="147"/>
      <c r="BJ697" s="147"/>
      <c r="BK697" s="147"/>
      <c r="BL697" s="147"/>
      <c r="BM697" s="147"/>
      <c r="BN697" s="147"/>
      <c r="BO697" s="147"/>
      <c r="BP697" s="147"/>
      <c r="BQ697" s="147"/>
      <c r="BR697" s="147"/>
      <c r="BS697" s="147"/>
      <c r="BT697" s="147"/>
      <c r="BU697" s="147"/>
      <c r="BV697" s="147"/>
      <c r="BW697" s="147"/>
      <c r="BX697" s="147"/>
      <c r="BY697" s="147"/>
      <c r="BZ697" s="147"/>
      <c r="CA697" s="147"/>
      <c r="CB697" s="147"/>
      <c r="CC697" s="147"/>
      <c r="CD697" s="147"/>
      <c r="CE697" s="147"/>
      <c r="CF697" s="147"/>
      <c r="CG697" s="147"/>
      <c r="CH697" s="147"/>
      <c r="CI697" s="147"/>
      <c r="CJ697" s="147"/>
      <c r="CK697" s="147"/>
    </row>
    <row r="698" spans="1:89">
      <c r="A698" s="157"/>
      <c r="F698" s="3"/>
      <c r="G698" s="3"/>
      <c r="L698" s="157"/>
      <c r="M698" s="157"/>
      <c r="O698" s="147"/>
      <c r="P698" s="147"/>
      <c r="Q698" s="147"/>
      <c r="R698" s="147"/>
      <c r="S698" s="147"/>
      <c r="T698" s="147"/>
      <c r="U698" s="147"/>
      <c r="V698" s="147"/>
      <c r="W698" s="147"/>
      <c r="X698" s="147"/>
      <c r="Y698" s="147"/>
      <c r="Z698" s="147"/>
      <c r="AA698" s="147"/>
      <c r="AB698" s="147"/>
      <c r="AC698" s="147"/>
      <c r="AD698" s="147"/>
      <c r="AE698" s="147"/>
      <c r="AF698" s="147"/>
      <c r="AG698" s="147"/>
      <c r="AH698" s="147"/>
      <c r="AI698" s="147"/>
      <c r="AJ698" s="147"/>
      <c r="AK698" s="147"/>
      <c r="AL698" s="147"/>
      <c r="AM698" s="151"/>
      <c r="AN698" s="147"/>
      <c r="AO698" s="147"/>
      <c r="AP698" s="147"/>
      <c r="AQ698" s="147"/>
      <c r="AR698" s="147"/>
      <c r="AS698" s="147"/>
      <c r="AT698" s="147"/>
      <c r="AU698" s="147"/>
      <c r="AV698" s="147"/>
      <c r="AW698" s="147"/>
      <c r="AX698" s="147"/>
      <c r="AY698" s="147"/>
      <c r="AZ698" s="147"/>
      <c r="BA698" s="147"/>
      <c r="BB698" s="147"/>
      <c r="BC698" s="147"/>
      <c r="BD698" s="147"/>
      <c r="BE698" s="147"/>
      <c r="BF698" s="147"/>
      <c r="BG698" s="147"/>
      <c r="BH698" s="147"/>
      <c r="BI698" s="147"/>
      <c r="BJ698" s="147"/>
      <c r="BK698" s="147"/>
      <c r="BL698" s="147"/>
      <c r="BM698" s="147"/>
      <c r="BN698" s="147"/>
      <c r="BO698" s="147"/>
      <c r="BP698" s="147"/>
      <c r="BQ698" s="147"/>
      <c r="BR698" s="147"/>
      <c r="BS698" s="147"/>
      <c r="BT698" s="147"/>
      <c r="BU698" s="147"/>
      <c r="BV698" s="147"/>
      <c r="BW698" s="147"/>
      <c r="BX698" s="147"/>
      <c r="BY698" s="147"/>
      <c r="BZ698" s="147"/>
      <c r="CA698" s="147"/>
      <c r="CB698" s="147"/>
      <c r="CC698" s="147"/>
      <c r="CD698" s="147"/>
      <c r="CE698" s="147"/>
      <c r="CF698" s="147"/>
      <c r="CG698" s="147"/>
      <c r="CH698" s="147"/>
      <c r="CI698" s="147"/>
      <c r="CJ698" s="147"/>
      <c r="CK698" s="147"/>
    </row>
    <row r="699" spans="1:89">
      <c r="A699" s="157"/>
      <c r="F699" s="3"/>
      <c r="G699" s="3"/>
      <c r="L699" s="157"/>
      <c r="M699" s="157"/>
      <c r="O699" s="147"/>
      <c r="P699" s="147"/>
      <c r="Q699" s="147"/>
      <c r="R699" s="147"/>
      <c r="S699" s="147"/>
      <c r="T699" s="147"/>
      <c r="U699" s="147"/>
      <c r="V699" s="147"/>
      <c r="W699" s="147"/>
      <c r="X699" s="147"/>
      <c r="Y699" s="147"/>
      <c r="Z699" s="147"/>
      <c r="AA699" s="147"/>
      <c r="AB699" s="147"/>
      <c r="AC699" s="147"/>
      <c r="AD699" s="147"/>
      <c r="AE699" s="147"/>
      <c r="AF699" s="147"/>
      <c r="AG699" s="147"/>
      <c r="AH699" s="147"/>
      <c r="AI699" s="147"/>
      <c r="AJ699" s="147"/>
      <c r="AK699" s="147"/>
      <c r="AL699" s="147"/>
      <c r="AM699" s="151"/>
      <c r="AN699" s="147"/>
      <c r="AO699" s="147"/>
      <c r="AP699" s="147"/>
      <c r="AQ699" s="147"/>
      <c r="AR699" s="147"/>
      <c r="AS699" s="147"/>
      <c r="AT699" s="147"/>
      <c r="AU699" s="147"/>
      <c r="AV699" s="147"/>
      <c r="AW699" s="147"/>
      <c r="AX699" s="147"/>
      <c r="AY699" s="147"/>
      <c r="AZ699" s="147"/>
      <c r="BA699" s="147"/>
      <c r="BB699" s="147"/>
      <c r="BC699" s="147"/>
      <c r="BD699" s="147"/>
      <c r="BE699" s="147"/>
      <c r="BF699" s="147"/>
      <c r="BG699" s="147"/>
      <c r="BH699" s="147"/>
      <c r="BI699" s="147"/>
      <c r="BJ699" s="147"/>
      <c r="BK699" s="147"/>
      <c r="BL699" s="147"/>
      <c r="BM699" s="147"/>
      <c r="BN699" s="147"/>
      <c r="BO699" s="147"/>
      <c r="BP699" s="147"/>
      <c r="BQ699" s="147"/>
      <c r="BR699" s="147"/>
      <c r="BS699" s="147"/>
      <c r="BT699" s="147"/>
      <c r="BU699" s="147"/>
      <c r="BV699" s="147"/>
      <c r="BW699" s="147"/>
      <c r="BX699" s="147"/>
      <c r="BY699" s="147"/>
      <c r="BZ699" s="147"/>
      <c r="CA699" s="147"/>
      <c r="CB699" s="147"/>
      <c r="CC699" s="147"/>
      <c r="CD699" s="147"/>
      <c r="CE699" s="147"/>
      <c r="CF699" s="147"/>
      <c r="CG699" s="147"/>
      <c r="CH699" s="147"/>
      <c r="CI699" s="147"/>
      <c r="CJ699" s="147"/>
      <c r="CK699" s="147"/>
    </row>
    <row r="700" spans="1:89">
      <c r="A700" s="157"/>
      <c r="F700" s="3"/>
      <c r="G700" s="3"/>
      <c r="L700" s="157"/>
      <c r="M700" s="157"/>
      <c r="O700" s="147"/>
      <c r="P700" s="147"/>
      <c r="Q700" s="147"/>
      <c r="R700" s="147"/>
      <c r="S700" s="147"/>
      <c r="T700" s="147"/>
      <c r="U700" s="147"/>
      <c r="V700" s="147"/>
      <c r="W700" s="147"/>
      <c r="X700" s="147"/>
      <c r="Y700" s="147"/>
      <c r="Z700" s="147"/>
      <c r="AA700" s="147"/>
      <c r="AB700" s="147"/>
      <c r="AC700" s="147"/>
      <c r="AD700" s="147"/>
      <c r="AE700" s="147"/>
      <c r="AF700" s="147"/>
      <c r="AG700" s="147"/>
      <c r="AH700" s="147"/>
      <c r="AI700" s="147"/>
      <c r="AJ700" s="147"/>
      <c r="AK700" s="147"/>
      <c r="AL700" s="147"/>
      <c r="AM700" s="151"/>
      <c r="AN700" s="147"/>
      <c r="AO700" s="147"/>
      <c r="AP700" s="147"/>
      <c r="AQ700" s="147"/>
      <c r="AR700" s="147"/>
      <c r="AS700" s="147"/>
      <c r="AT700" s="147"/>
      <c r="AU700" s="147"/>
      <c r="AV700" s="147"/>
      <c r="AW700" s="147"/>
      <c r="AX700" s="147"/>
      <c r="AY700" s="147"/>
      <c r="AZ700" s="147"/>
      <c r="BA700" s="147"/>
      <c r="BB700" s="147"/>
      <c r="BC700" s="147"/>
      <c r="BD700" s="147"/>
      <c r="BE700" s="147"/>
      <c r="BF700" s="147"/>
      <c r="BG700" s="147"/>
      <c r="BH700" s="147"/>
      <c r="BI700" s="147"/>
      <c r="BJ700" s="147"/>
      <c r="BK700" s="147"/>
      <c r="BL700" s="147"/>
      <c r="BM700" s="147"/>
      <c r="BN700" s="147"/>
      <c r="BO700" s="147"/>
      <c r="BP700" s="147"/>
      <c r="BQ700" s="147"/>
      <c r="BR700" s="147"/>
      <c r="BS700" s="147"/>
      <c r="BT700" s="147"/>
      <c r="BU700" s="147"/>
      <c r="BV700" s="147"/>
      <c r="BW700" s="147"/>
      <c r="BX700" s="147"/>
      <c r="BY700" s="147"/>
      <c r="BZ700" s="147"/>
      <c r="CA700" s="147"/>
      <c r="CB700" s="147"/>
      <c r="CC700" s="147"/>
      <c r="CD700" s="147"/>
      <c r="CE700" s="147"/>
      <c r="CF700" s="147"/>
      <c r="CG700" s="147"/>
      <c r="CH700" s="147"/>
      <c r="CI700" s="147"/>
      <c r="CJ700" s="147"/>
      <c r="CK700" s="147"/>
    </row>
    <row r="701" spans="1:89">
      <c r="A701" s="157"/>
      <c r="F701" s="3"/>
      <c r="G701" s="3"/>
      <c r="L701" s="157"/>
      <c r="M701" s="157"/>
      <c r="O701" s="147"/>
      <c r="P701" s="147"/>
      <c r="Q701" s="147"/>
      <c r="R701" s="147"/>
      <c r="S701" s="147"/>
      <c r="T701" s="147"/>
      <c r="U701" s="147"/>
      <c r="V701" s="147"/>
      <c r="W701" s="147"/>
      <c r="X701" s="147"/>
      <c r="Y701" s="147"/>
      <c r="Z701" s="147"/>
      <c r="AA701" s="147"/>
      <c r="AB701" s="147"/>
      <c r="AC701" s="147"/>
      <c r="AD701" s="147"/>
      <c r="AE701" s="147"/>
      <c r="AF701" s="147"/>
      <c r="AG701" s="147"/>
      <c r="AH701" s="147"/>
      <c r="AI701" s="147"/>
      <c r="AJ701" s="147"/>
      <c r="AK701" s="147"/>
      <c r="AL701" s="147"/>
      <c r="AM701" s="151"/>
      <c r="AN701" s="147"/>
      <c r="AO701" s="147"/>
      <c r="AP701" s="147"/>
      <c r="AQ701" s="147"/>
      <c r="AR701" s="147"/>
      <c r="AS701" s="147"/>
      <c r="AT701" s="147"/>
      <c r="AU701" s="147"/>
      <c r="AV701" s="147"/>
      <c r="AW701" s="147"/>
      <c r="AX701" s="147"/>
      <c r="AY701" s="147"/>
      <c r="AZ701" s="147"/>
      <c r="BA701" s="147"/>
      <c r="BB701" s="147"/>
      <c r="BC701" s="147"/>
      <c r="BD701" s="147"/>
      <c r="BE701" s="147"/>
      <c r="BF701" s="147"/>
      <c r="BG701" s="147"/>
      <c r="BH701" s="147"/>
      <c r="BI701" s="147"/>
      <c r="BJ701" s="147"/>
      <c r="BK701" s="147"/>
      <c r="BL701" s="147"/>
      <c r="BM701" s="147"/>
      <c r="BN701" s="147"/>
      <c r="BO701" s="147"/>
      <c r="BP701" s="147"/>
      <c r="BQ701" s="147"/>
      <c r="BR701" s="147"/>
      <c r="BS701" s="147"/>
      <c r="BT701" s="147"/>
      <c r="BU701" s="147"/>
      <c r="BV701" s="147"/>
      <c r="BW701" s="147"/>
      <c r="BX701" s="147"/>
      <c r="BY701" s="147"/>
      <c r="BZ701" s="147"/>
      <c r="CA701" s="147"/>
      <c r="CB701" s="147"/>
      <c r="CC701" s="147"/>
      <c r="CD701" s="147"/>
      <c r="CE701" s="147"/>
      <c r="CF701" s="147"/>
      <c r="CG701" s="147"/>
      <c r="CH701" s="147"/>
      <c r="CI701" s="147"/>
      <c r="CJ701" s="147"/>
      <c r="CK701" s="147"/>
    </row>
    <row r="702" spans="1:89">
      <c r="A702" s="157"/>
      <c r="F702" s="3"/>
      <c r="G702" s="3"/>
      <c r="L702" s="157"/>
      <c r="M702" s="157"/>
      <c r="O702" s="147"/>
      <c r="P702" s="147"/>
      <c r="Q702" s="147"/>
      <c r="R702" s="147"/>
      <c r="S702" s="147"/>
      <c r="T702" s="147"/>
      <c r="U702" s="147"/>
      <c r="V702" s="147"/>
      <c r="W702" s="147"/>
      <c r="X702" s="147"/>
      <c r="Y702" s="147"/>
      <c r="Z702" s="147"/>
      <c r="AA702" s="147"/>
      <c r="AB702" s="147"/>
      <c r="AC702" s="147"/>
      <c r="AD702" s="147"/>
      <c r="AE702" s="147"/>
      <c r="AF702" s="147"/>
      <c r="AG702" s="147"/>
      <c r="AH702" s="147"/>
      <c r="AI702" s="147"/>
      <c r="AJ702" s="147"/>
      <c r="AK702" s="147"/>
      <c r="AL702" s="147"/>
      <c r="AM702" s="151"/>
      <c r="AN702" s="147"/>
      <c r="AO702" s="147"/>
      <c r="AP702" s="147"/>
      <c r="AQ702" s="147"/>
      <c r="AR702" s="147"/>
      <c r="AS702" s="147"/>
      <c r="AT702" s="147"/>
      <c r="AU702" s="147"/>
      <c r="AV702" s="147"/>
      <c r="AW702" s="147"/>
      <c r="AX702" s="147"/>
      <c r="AY702" s="147"/>
      <c r="AZ702" s="147"/>
      <c r="BA702" s="147"/>
      <c r="BB702" s="147"/>
      <c r="BC702" s="147"/>
      <c r="BD702" s="147"/>
      <c r="BE702" s="147"/>
      <c r="BF702" s="147"/>
      <c r="BG702" s="147"/>
      <c r="BH702" s="147"/>
      <c r="BI702" s="147"/>
      <c r="BJ702" s="147"/>
      <c r="BK702" s="147"/>
      <c r="BL702" s="147"/>
      <c r="BM702" s="147"/>
      <c r="BN702" s="147"/>
      <c r="BO702" s="147"/>
      <c r="BP702" s="147"/>
      <c r="BQ702" s="147"/>
      <c r="BR702" s="147"/>
      <c r="BS702" s="147"/>
      <c r="BT702" s="147"/>
      <c r="BU702" s="147"/>
      <c r="BV702" s="147"/>
      <c r="BW702" s="147"/>
      <c r="BX702" s="147"/>
      <c r="BY702" s="147"/>
      <c r="BZ702" s="147"/>
      <c r="CA702" s="147"/>
      <c r="CB702" s="147"/>
      <c r="CC702" s="147"/>
      <c r="CD702" s="147"/>
      <c r="CE702" s="147"/>
      <c r="CF702" s="147"/>
      <c r="CG702" s="147"/>
      <c r="CH702" s="147"/>
      <c r="CI702" s="147"/>
      <c r="CJ702" s="147"/>
      <c r="CK702" s="147"/>
    </row>
    <row r="703" spans="1:89">
      <c r="A703" s="157"/>
      <c r="F703" s="3"/>
      <c r="G703" s="3"/>
      <c r="L703" s="157"/>
      <c r="M703" s="157"/>
      <c r="O703" s="147"/>
      <c r="P703" s="147"/>
      <c r="Q703" s="147"/>
      <c r="R703" s="147"/>
      <c r="S703" s="147"/>
      <c r="T703" s="147"/>
      <c r="U703" s="147"/>
      <c r="V703" s="147"/>
      <c r="W703" s="147"/>
      <c r="X703" s="147"/>
      <c r="Y703" s="147"/>
      <c r="Z703" s="147"/>
      <c r="AA703" s="147"/>
      <c r="AB703" s="147"/>
      <c r="AC703" s="147"/>
      <c r="AD703" s="147"/>
      <c r="AE703" s="147"/>
      <c r="AF703" s="147"/>
      <c r="AG703" s="147"/>
      <c r="AH703" s="147"/>
      <c r="AI703" s="147"/>
      <c r="AJ703" s="147"/>
      <c r="AK703" s="147"/>
      <c r="AL703" s="147"/>
      <c r="AM703" s="151"/>
      <c r="AN703" s="147"/>
      <c r="AO703" s="147"/>
      <c r="AP703" s="147"/>
      <c r="AQ703" s="147"/>
      <c r="AR703" s="147"/>
      <c r="AS703" s="147"/>
      <c r="AT703" s="147"/>
      <c r="AU703" s="147"/>
      <c r="AV703" s="147"/>
      <c r="AW703" s="147"/>
      <c r="AX703" s="147"/>
      <c r="AY703" s="147"/>
      <c r="AZ703" s="147"/>
      <c r="BA703" s="147"/>
      <c r="BB703" s="147"/>
      <c r="BC703" s="147"/>
      <c r="BD703" s="147"/>
      <c r="BE703" s="147"/>
      <c r="BF703" s="147"/>
      <c r="BG703" s="147"/>
      <c r="BH703" s="147"/>
      <c r="BI703" s="147"/>
      <c r="BJ703" s="147"/>
      <c r="BK703" s="147"/>
      <c r="BL703" s="147"/>
      <c r="BM703" s="147"/>
      <c r="BN703" s="147"/>
      <c r="BO703" s="147"/>
      <c r="BP703" s="147"/>
      <c r="BQ703" s="147"/>
      <c r="BR703" s="147"/>
      <c r="BS703" s="147"/>
      <c r="BT703" s="147"/>
      <c r="BU703" s="147"/>
      <c r="BV703" s="147"/>
      <c r="BW703" s="147"/>
      <c r="BX703" s="147"/>
      <c r="BY703" s="147"/>
      <c r="BZ703" s="147"/>
      <c r="CA703" s="147"/>
      <c r="CB703" s="147"/>
      <c r="CC703" s="147"/>
      <c r="CD703" s="147"/>
      <c r="CE703" s="147"/>
      <c r="CF703" s="147"/>
      <c r="CG703" s="147"/>
      <c r="CH703" s="147"/>
      <c r="CI703" s="147"/>
      <c r="CJ703" s="147"/>
      <c r="CK703" s="147"/>
    </row>
    <row r="704" spans="1:89">
      <c r="A704" s="157"/>
      <c r="F704" s="3"/>
      <c r="G704" s="3"/>
      <c r="L704" s="157"/>
      <c r="M704" s="157"/>
      <c r="O704" s="147"/>
      <c r="P704" s="147"/>
      <c r="Q704" s="147"/>
      <c r="R704" s="147"/>
      <c r="S704" s="147"/>
      <c r="T704" s="147"/>
      <c r="U704" s="147"/>
      <c r="V704" s="147"/>
      <c r="W704" s="147"/>
      <c r="X704" s="147"/>
      <c r="Y704" s="147"/>
      <c r="Z704" s="147"/>
      <c r="AA704" s="147"/>
      <c r="AB704" s="147"/>
      <c r="AC704" s="147"/>
      <c r="AD704" s="147"/>
      <c r="AE704" s="147"/>
      <c r="AF704" s="147"/>
      <c r="AG704" s="147"/>
      <c r="AH704" s="147"/>
      <c r="AI704" s="147"/>
      <c r="AJ704" s="147"/>
      <c r="AK704" s="147"/>
      <c r="AL704" s="147"/>
      <c r="AM704" s="151"/>
      <c r="AN704" s="147"/>
      <c r="AO704" s="147"/>
      <c r="AP704" s="147"/>
      <c r="AQ704" s="147"/>
      <c r="AR704" s="147"/>
      <c r="AS704" s="147"/>
      <c r="AT704" s="147"/>
      <c r="AU704" s="147"/>
      <c r="AV704" s="147"/>
      <c r="AW704" s="147"/>
      <c r="AX704" s="147"/>
      <c r="AY704" s="147"/>
      <c r="AZ704" s="147"/>
      <c r="BA704" s="147"/>
      <c r="BB704" s="147"/>
      <c r="BC704" s="147"/>
      <c r="BD704" s="147"/>
      <c r="BE704" s="147"/>
      <c r="BF704" s="147"/>
      <c r="BG704" s="147"/>
      <c r="BH704" s="147"/>
      <c r="BI704" s="147"/>
      <c r="BJ704" s="147"/>
      <c r="BK704" s="147"/>
      <c r="BL704" s="147"/>
      <c r="BM704" s="147"/>
      <c r="BN704" s="147"/>
      <c r="BO704" s="147"/>
      <c r="BP704" s="147"/>
      <c r="BQ704" s="147"/>
      <c r="BR704" s="147"/>
      <c r="BS704" s="147"/>
      <c r="BT704" s="147"/>
      <c r="BU704" s="147"/>
      <c r="BV704" s="147"/>
      <c r="BW704" s="147"/>
      <c r="BX704" s="147"/>
      <c r="BY704" s="147"/>
      <c r="BZ704" s="147"/>
      <c r="CA704" s="147"/>
      <c r="CB704" s="147"/>
      <c r="CC704" s="147"/>
      <c r="CD704" s="147"/>
      <c r="CE704" s="147"/>
      <c r="CF704" s="147"/>
      <c r="CG704" s="147"/>
      <c r="CH704" s="147"/>
      <c r="CI704" s="147"/>
      <c r="CJ704" s="147"/>
      <c r="CK704" s="147"/>
    </row>
    <row r="705" spans="1:89">
      <c r="A705" s="157"/>
      <c r="F705" s="3"/>
      <c r="G705" s="3"/>
      <c r="L705" s="157"/>
      <c r="M705" s="157"/>
      <c r="O705" s="147"/>
      <c r="P705" s="147"/>
      <c r="Q705" s="147"/>
      <c r="R705" s="147"/>
      <c r="S705" s="147"/>
      <c r="T705" s="147"/>
      <c r="U705" s="147"/>
      <c r="V705" s="147"/>
      <c r="W705" s="147"/>
      <c r="X705" s="147"/>
      <c r="Y705" s="147"/>
      <c r="Z705" s="147"/>
      <c r="AA705" s="147"/>
      <c r="AB705" s="147"/>
      <c r="AC705" s="147"/>
      <c r="AD705" s="147"/>
      <c r="AE705" s="147"/>
      <c r="AF705" s="147"/>
      <c r="AG705" s="147"/>
      <c r="AH705" s="147"/>
      <c r="AI705" s="147"/>
      <c r="AJ705" s="147"/>
      <c r="AK705" s="147"/>
      <c r="AL705" s="147"/>
      <c r="AM705" s="151"/>
      <c r="AN705" s="147"/>
      <c r="AO705" s="147"/>
      <c r="AP705" s="147"/>
      <c r="AQ705" s="147"/>
      <c r="AR705" s="147"/>
      <c r="AS705" s="147"/>
      <c r="AT705" s="147"/>
      <c r="AU705" s="147"/>
      <c r="AV705" s="147"/>
      <c r="AW705" s="147"/>
      <c r="AX705" s="147"/>
      <c r="AY705" s="147"/>
      <c r="AZ705" s="147"/>
      <c r="BA705" s="147"/>
      <c r="BB705" s="147"/>
      <c r="BC705" s="147"/>
      <c r="BD705" s="147"/>
      <c r="BE705" s="147"/>
      <c r="BF705" s="147"/>
      <c r="BG705" s="147"/>
      <c r="BH705" s="147"/>
      <c r="BI705" s="147"/>
      <c r="BJ705" s="147"/>
      <c r="BK705" s="147"/>
      <c r="BL705" s="147"/>
      <c r="BM705" s="147"/>
      <c r="BN705" s="147"/>
      <c r="BO705" s="147"/>
      <c r="BP705" s="147"/>
      <c r="BQ705" s="147"/>
      <c r="BR705" s="147"/>
      <c r="BS705" s="147"/>
      <c r="BT705" s="147"/>
      <c r="BU705" s="147"/>
      <c r="BV705" s="147"/>
      <c r="BW705" s="147"/>
      <c r="BX705" s="147"/>
      <c r="BY705" s="147"/>
      <c r="BZ705" s="147"/>
      <c r="CA705" s="147"/>
      <c r="CB705" s="147"/>
      <c r="CC705" s="147"/>
      <c r="CD705" s="147"/>
      <c r="CE705" s="147"/>
      <c r="CF705" s="147"/>
      <c r="CG705" s="147"/>
      <c r="CH705" s="147"/>
      <c r="CI705" s="147"/>
      <c r="CJ705" s="147"/>
      <c r="CK705" s="147"/>
    </row>
    <row r="706" spans="1:89">
      <c r="A706" s="157"/>
      <c r="F706" s="3"/>
      <c r="G706" s="3"/>
      <c r="L706" s="157"/>
      <c r="M706" s="157"/>
      <c r="O706" s="147"/>
      <c r="P706" s="147"/>
      <c r="Q706" s="147"/>
      <c r="R706" s="147"/>
      <c r="S706" s="147"/>
      <c r="T706" s="147"/>
      <c r="U706" s="147"/>
      <c r="V706" s="147"/>
      <c r="W706" s="147"/>
      <c r="X706" s="147"/>
      <c r="Y706" s="147"/>
      <c r="Z706" s="147"/>
      <c r="AA706" s="147"/>
      <c r="AB706" s="147"/>
      <c r="AC706" s="147"/>
      <c r="AD706" s="147"/>
      <c r="AE706" s="147"/>
      <c r="AF706" s="147"/>
      <c r="AG706" s="147"/>
      <c r="AH706" s="147"/>
      <c r="AI706" s="147"/>
      <c r="AJ706" s="147"/>
      <c r="AK706" s="147"/>
      <c r="AL706" s="147"/>
      <c r="AM706" s="151"/>
      <c r="AN706" s="147"/>
      <c r="AO706" s="147"/>
      <c r="AP706" s="147"/>
      <c r="AQ706" s="147"/>
      <c r="AR706" s="147"/>
      <c r="AS706" s="147"/>
      <c r="AT706" s="147"/>
      <c r="AU706" s="147"/>
      <c r="AV706" s="147"/>
      <c r="AW706" s="147"/>
      <c r="AX706" s="147"/>
      <c r="AY706" s="147"/>
      <c r="AZ706" s="147"/>
      <c r="BA706" s="147"/>
      <c r="BB706" s="147"/>
      <c r="BC706" s="147"/>
      <c r="BD706" s="147"/>
      <c r="BE706" s="147"/>
      <c r="BF706" s="147"/>
      <c r="BG706" s="147"/>
      <c r="BH706" s="147"/>
      <c r="BI706" s="147"/>
      <c r="BJ706" s="147"/>
      <c r="BK706" s="147"/>
      <c r="BL706" s="147"/>
      <c r="BM706" s="147"/>
      <c r="BN706" s="147"/>
      <c r="BO706" s="147"/>
      <c r="BP706" s="147"/>
      <c r="BQ706" s="147"/>
      <c r="BR706" s="147"/>
      <c r="BS706" s="147"/>
      <c r="BT706" s="147"/>
      <c r="BU706" s="147"/>
      <c r="BV706" s="147"/>
      <c r="BW706" s="147"/>
      <c r="BX706" s="147"/>
      <c r="BY706" s="147"/>
      <c r="BZ706" s="147"/>
      <c r="CA706" s="147"/>
      <c r="CB706" s="147"/>
      <c r="CC706" s="147"/>
      <c r="CD706" s="147"/>
      <c r="CE706" s="147"/>
      <c r="CF706" s="147"/>
      <c r="CG706" s="147"/>
      <c r="CH706" s="147"/>
      <c r="CI706" s="147"/>
      <c r="CJ706" s="147"/>
      <c r="CK706" s="147"/>
    </row>
    <row r="707" spans="1:89">
      <c r="A707" s="157"/>
      <c r="F707" s="3"/>
      <c r="G707" s="3"/>
      <c r="L707" s="157"/>
      <c r="M707" s="157"/>
      <c r="O707" s="147"/>
      <c r="P707" s="147"/>
      <c r="Q707" s="147"/>
      <c r="R707" s="147"/>
      <c r="S707" s="147"/>
      <c r="T707" s="147"/>
      <c r="U707" s="147"/>
      <c r="V707" s="147"/>
      <c r="W707" s="147"/>
      <c r="X707" s="147"/>
      <c r="Y707" s="147"/>
      <c r="Z707" s="147"/>
      <c r="AA707" s="147"/>
      <c r="AB707" s="147"/>
      <c r="AC707" s="147"/>
      <c r="AD707" s="147"/>
      <c r="AE707" s="147"/>
      <c r="AF707" s="147"/>
      <c r="AG707" s="147"/>
      <c r="AH707" s="147"/>
      <c r="AI707" s="147"/>
      <c r="AJ707" s="147"/>
      <c r="AK707" s="147"/>
      <c r="AL707" s="147"/>
      <c r="AM707" s="151"/>
      <c r="AN707" s="147"/>
      <c r="AO707" s="147"/>
      <c r="AP707" s="147"/>
      <c r="AQ707" s="147"/>
      <c r="AR707" s="147"/>
      <c r="AS707" s="147"/>
      <c r="AT707" s="147"/>
      <c r="AU707" s="147"/>
      <c r="AV707" s="147"/>
      <c r="AW707" s="147"/>
      <c r="AX707" s="147"/>
      <c r="AY707" s="147"/>
      <c r="AZ707" s="147"/>
      <c r="BA707" s="147"/>
      <c r="BB707" s="147"/>
      <c r="BC707" s="147"/>
      <c r="BD707" s="147"/>
      <c r="BE707" s="147"/>
      <c r="BF707" s="147"/>
      <c r="BG707" s="147"/>
      <c r="BH707" s="147"/>
      <c r="BI707" s="147"/>
      <c r="BJ707" s="147"/>
      <c r="BK707" s="147"/>
      <c r="BL707" s="147"/>
      <c r="BM707" s="147"/>
      <c r="BN707" s="147"/>
      <c r="BO707" s="147"/>
      <c r="BP707" s="147"/>
      <c r="BQ707" s="147"/>
      <c r="BR707" s="147"/>
      <c r="BS707" s="147"/>
      <c r="BT707" s="147"/>
      <c r="BU707" s="147"/>
      <c r="BV707" s="147"/>
      <c r="BW707" s="147"/>
      <c r="BX707" s="147"/>
      <c r="BY707" s="147"/>
      <c r="BZ707" s="147"/>
      <c r="CA707" s="147"/>
      <c r="CB707" s="147"/>
      <c r="CC707" s="147"/>
      <c r="CD707" s="147"/>
      <c r="CE707" s="147"/>
      <c r="CF707" s="147"/>
      <c r="CG707" s="147"/>
      <c r="CH707" s="147"/>
      <c r="CI707" s="147"/>
      <c r="CJ707" s="147"/>
      <c r="CK707" s="147"/>
    </row>
    <row r="708" spans="1:89">
      <c r="A708" s="157"/>
      <c r="F708" s="3"/>
      <c r="G708" s="3"/>
      <c r="L708" s="157"/>
      <c r="M708" s="157"/>
      <c r="O708" s="147"/>
      <c r="P708" s="147"/>
      <c r="Q708" s="147"/>
      <c r="R708" s="147"/>
      <c r="S708" s="147"/>
      <c r="T708" s="147"/>
      <c r="U708" s="147"/>
      <c r="V708" s="147"/>
      <c r="W708" s="147"/>
      <c r="X708" s="147"/>
      <c r="Y708" s="147"/>
      <c r="Z708" s="147"/>
      <c r="AA708" s="147"/>
      <c r="AB708" s="147"/>
      <c r="AC708" s="147"/>
      <c r="AD708" s="147"/>
      <c r="AE708" s="147"/>
      <c r="AF708" s="147"/>
      <c r="AG708" s="147"/>
      <c r="AH708" s="147"/>
      <c r="AI708" s="147"/>
      <c r="AJ708" s="147"/>
      <c r="AK708" s="147"/>
      <c r="AL708" s="147"/>
      <c r="AM708" s="151"/>
      <c r="AN708" s="147"/>
      <c r="AO708" s="147"/>
      <c r="AP708" s="147"/>
      <c r="AQ708" s="147"/>
      <c r="AR708" s="147"/>
      <c r="AS708" s="147"/>
      <c r="AT708" s="147"/>
      <c r="AU708" s="147"/>
      <c r="AV708" s="147"/>
      <c r="AW708" s="147"/>
      <c r="AX708" s="147"/>
      <c r="AY708" s="147"/>
      <c r="AZ708" s="147"/>
      <c r="BA708" s="147"/>
      <c r="BB708" s="147"/>
      <c r="BC708" s="147"/>
      <c r="BD708" s="147"/>
      <c r="BE708" s="147"/>
      <c r="BF708" s="147"/>
      <c r="BG708" s="147"/>
      <c r="BH708" s="147"/>
      <c r="BI708" s="147"/>
      <c r="BJ708" s="147"/>
      <c r="BK708" s="147"/>
      <c r="BL708" s="147"/>
      <c r="BM708" s="147"/>
      <c r="BN708" s="147"/>
      <c r="BO708" s="147"/>
      <c r="BP708" s="147"/>
      <c r="BQ708" s="147"/>
      <c r="BR708" s="147"/>
      <c r="BS708" s="147"/>
      <c r="BT708" s="147"/>
      <c r="BU708" s="147"/>
      <c r="BV708" s="147"/>
      <c r="BW708" s="147"/>
      <c r="BX708" s="147"/>
      <c r="BY708" s="147"/>
      <c r="BZ708" s="147"/>
      <c r="CA708" s="147"/>
      <c r="CB708" s="147"/>
      <c r="CC708" s="147"/>
      <c r="CD708" s="147"/>
      <c r="CE708" s="147"/>
      <c r="CF708" s="147"/>
      <c r="CG708" s="147"/>
      <c r="CH708" s="147"/>
      <c r="CI708" s="147"/>
      <c r="CJ708" s="147"/>
      <c r="CK708" s="147"/>
    </row>
    <row r="709" spans="1:89">
      <c r="A709" s="157"/>
      <c r="F709" s="3"/>
      <c r="G709" s="3"/>
      <c r="L709" s="157"/>
      <c r="M709" s="157"/>
      <c r="O709" s="147"/>
      <c r="P709" s="147"/>
      <c r="Q709" s="147"/>
      <c r="R709" s="147"/>
      <c r="S709" s="147"/>
      <c r="T709" s="147"/>
      <c r="U709" s="147"/>
      <c r="V709" s="147"/>
      <c r="W709" s="147"/>
      <c r="X709" s="147"/>
      <c r="Y709" s="147"/>
      <c r="Z709" s="147"/>
      <c r="AA709" s="147"/>
      <c r="AB709" s="147"/>
      <c r="AC709" s="147"/>
      <c r="AD709" s="147"/>
      <c r="AE709" s="147"/>
      <c r="AF709" s="147"/>
      <c r="AG709" s="147"/>
      <c r="AH709" s="147"/>
      <c r="AI709" s="147"/>
      <c r="AJ709" s="147"/>
      <c r="AK709" s="147"/>
      <c r="AL709" s="147"/>
      <c r="AM709" s="151"/>
      <c r="AN709" s="147"/>
      <c r="AO709" s="147"/>
      <c r="AP709" s="147"/>
      <c r="AQ709" s="147"/>
      <c r="AR709" s="147"/>
      <c r="AS709" s="147"/>
      <c r="AT709" s="147"/>
      <c r="AU709" s="147"/>
      <c r="AV709" s="147"/>
      <c r="AW709" s="147"/>
      <c r="AX709" s="147"/>
      <c r="AY709" s="147"/>
      <c r="AZ709" s="147"/>
      <c r="BA709" s="147"/>
      <c r="BB709" s="147"/>
      <c r="BC709" s="147"/>
      <c r="BD709" s="147"/>
      <c r="BE709" s="147"/>
      <c r="BF709" s="147"/>
      <c r="BG709" s="147"/>
      <c r="BH709" s="147"/>
      <c r="BI709" s="147"/>
      <c r="BJ709" s="147"/>
      <c r="BK709" s="147"/>
      <c r="BL709" s="147"/>
      <c r="BM709" s="147"/>
      <c r="BN709" s="147"/>
      <c r="BO709" s="147"/>
      <c r="BP709" s="147"/>
      <c r="BQ709" s="147"/>
      <c r="BR709" s="147"/>
      <c r="BS709" s="147"/>
      <c r="BT709" s="147"/>
      <c r="BU709" s="147"/>
      <c r="BV709" s="147"/>
      <c r="BW709" s="147"/>
      <c r="BX709" s="147"/>
      <c r="BY709" s="147"/>
      <c r="BZ709" s="147"/>
      <c r="CA709" s="147"/>
      <c r="CB709" s="147"/>
      <c r="CC709" s="147"/>
      <c r="CD709" s="147"/>
      <c r="CE709" s="147"/>
      <c r="CF709" s="147"/>
      <c r="CG709" s="147"/>
      <c r="CH709" s="147"/>
      <c r="CI709" s="147"/>
      <c r="CJ709" s="147"/>
      <c r="CK709" s="147"/>
    </row>
    <row r="710" spans="1:89">
      <c r="A710" s="157"/>
      <c r="F710" s="3"/>
      <c r="G710" s="3"/>
      <c r="L710" s="157"/>
      <c r="M710" s="157"/>
      <c r="O710" s="147"/>
      <c r="P710" s="147"/>
      <c r="Q710" s="147"/>
      <c r="R710" s="147"/>
      <c r="S710" s="147"/>
      <c r="T710" s="147"/>
      <c r="U710" s="147"/>
      <c r="V710" s="147"/>
      <c r="W710" s="147"/>
      <c r="X710" s="147"/>
      <c r="Y710" s="147"/>
      <c r="Z710" s="147"/>
      <c r="AA710" s="147"/>
      <c r="AB710" s="147"/>
      <c r="AC710" s="147"/>
      <c r="AD710" s="147"/>
      <c r="AE710" s="147"/>
      <c r="AF710" s="147"/>
      <c r="AG710" s="147"/>
      <c r="AH710" s="147"/>
      <c r="AI710" s="147"/>
      <c r="AJ710" s="147"/>
      <c r="AK710" s="147"/>
      <c r="AL710" s="147"/>
      <c r="AM710" s="151"/>
      <c r="AN710" s="147"/>
      <c r="AO710" s="147"/>
      <c r="AP710" s="147"/>
      <c r="AQ710" s="147"/>
      <c r="AR710" s="147"/>
      <c r="AS710" s="147"/>
      <c r="AT710" s="147"/>
      <c r="AU710" s="147"/>
      <c r="AV710" s="147"/>
      <c r="AW710" s="147"/>
      <c r="AX710" s="147"/>
      <c r="AY710" s="147"/>
      <c r="AZ710" s="147"/>
      <c r="BA710" s="147"/>
      <c r="BB710" s="147"/>
      <c r="BC710" s="147"/>
      <c r="BD710" s="147"/>
      <c r="BE710" s="147"/>
      <c r="BF710" s="147"/>
      <c r="BG710" s="147"/>
      <c r="BH710" s="147"/>
      <c r="BI710" s="147"/>
      <c r="BJ710" s="147"/>
      <c r="BK710" s="147"/>
      <c r="BL710" s="147"/>
      <c r="BM710" s="147"/>
      <c r="BN710" s="147"/>
      <c r="BO710" s="147"/>
      <c r="BP710" s="147"/>
      <c r="BQ710" s="147"/>
      <c r="BR710" s="147"/>
      <c r="BS710" s="147"/>
      <c r="BT710" s="147"/>
      <c r="BU710" s="147"/>
      <c r="BV710" s="147"/>
      <c r="BW710" s="147"/>
      <c r="BX710" s="147"/>
      <c r="BY710" s="147"/>
      <c r="BZ710" s="147"/>
      <c r="CA710" s="147"/>
      <c r="CB710" s="147"/>
      <c r="CC710" s="147"/>
      <c r="CD710" s="147"/>
      <c r="CE710" s="147"/>
      <c r="CF710" s="147"/>
      <c r="CG710" s="147"/>
      <c r="CH710" s="147"/>
      <c r="CI710" s="147"/>
      <c r="CJ710" s="147"/>
      <c r="CK710" s="147"/>
    </row>
    <row r="711" spans="1:89">
      <c r="A711" s="157"/>
      <c r="F711" s="3"/>
      <c r="G711" s="3"/>
      <c r="L711" s="157"/>
      <c r="M711" s="157"/>
      <c r="O711" s="147"/>
      <c r="P711" s="147"/>
      <c r="Q711" s="147"/>
      <c r="R711" s="147"/>
      <c r="S711" s="147"/>
      <c r="T711" s="147"/>
      <c r="U711" s="147"/>
      <c r="V711" s="147"/>
      <c r="W711" s="147"/>
      <c r="X711" s="147"/>
      <c r="Y711" s="147"/>
      <c r="Z711" s="147"/>
      <c r="AA711" s="147"/>
      <c r="AB711" s="147"/>
      <c r="AC711" s="147"/>
      <c r="AD711" s="147"/>
      <c r="AE711" s="147"/>
      <c r="AF711" s="147"/>
      <c r="AG711" s="147"/>
      <c r="AH711" s="147"/>
      <c r="AI711" s="147"/>
      <c r="AJ711" s="147"/>
      <c r="AK711" s="147"/>
      <c r="AL711" s="147"/>
      <c r="AM711" s="151"/>
      <c r="AN711" s="147"/>
      <c r="AO711" s="147"/>
      <c r="AP711" s="147"/>
      <c r="AQ711" s="147"/>
      <c r="AR711" s="147"/>
      <c r="AS711" s="147"/>
      <c r="AT711" s="147"/>
      <c r="AU711" s="147"/>
      <c r="AV711" s="147"/>
      <c r="AW711" s="147"/>
      <c r="AX711" s="147"/>
      <c r="AY711" s="147"/>
      <c r="AZ711" s="147"/>
      <c r="BA711" s="147"/>
      <c r="BB711" s="147"/>
      <c r="BC711" s="147"/>
      <c r="BD711" s="147"/>
      <c r="BE711" s="147"/>
      <c r="BF711" s="147"/>
      <c r="BG711" s="147"/>
      <c r="BH711" s="147"/>
      <c r="BI711" s="147"/>
      <c r="BJ711" s="147"/>
      <c r="BK711" s="147"/>
      <c r="BL711" s="147"/>
      <c r="BM711" s="147"/>
      <c r="BN711" s="147"/>
      <c r="BO711" s="147"/>
      <c r="BP711" s="147"/>
      <c r="BQ711" s="147"/>
      <c r="BR711" s="147"/>
      <c r="BS711" s="147"/>
      <c r="BT711" s="147"/>
      <c r="BU711" s="147"/>
      <c r="BV711" s="147"/>
      <c r="BW711" s="147"/>
      <c r="BX711" s="147"/>
      <c r="BY711" s="147"/>
      <c r="BZ711" s="147"/>
      <c r="CA711" s="147"/>
      <c r="CB711" s="147"/>
      <c r="CC711" s="147"/>
      <c r="CD711" s="147"/>
      <c r="CE711" s="147"/>
      <c r="CF711" s="147"/>
      <c r="CG711" s="147"/>
      <c r="CH711" s="147"/>
      <c r="CI711" s="147"/>
      <c r="CJ711" s="147"/>
      <c r="CK711" s="147"/>
    </row>
    <row r="712" spans="1:89">
      <c r="A712" s="157"/>
      <c r="F712" s="3"/>
      <c r="G712" s="3"/>
      <c r="L712" s="157"/>
      <c r="M712" s="157"/>
      <c r="O712" s="147"/>
      <c r="P712" s="147"/>
      <c r="Q712" s="147"/>
      <c r="R712" s="147"/>
      <c r="S712" s="147"/>
      <c r="T712" s="147"/>
      <c r="U712" s="147"/>
      <c r="V712" s="147"/>
      <c r="W712" s="147"/>
      <c r="X712" s="147"/>
      <c r="Y712" s="147"/>
      <c r="Z712" s="147"/>
      <c r="AA712" s="147"/>
      <c r="AB712" s="147"/>
      <c r="AC712" s="147"/>
      <c r="AD712" s="147"/>
      <c r="AE712" s="147"/>
      <c r="AF712" s="147"/>
      <c r="AG712" s="147"/>
      <c r="AH712" s="147"/>
      <c r="AI712" s="147"/>
      <c r="AJ712" s="147"/>
      <c r="AK712" s="147"/>
      <c r="AL712" s="147"/>
      <c r="AM712" s="151"/>
      <c r="AN712" s="147"/>
      <c r="AO712" s="147"/>
      <c r="AP712" s="147"/>
      <c r="AQ712" s="147"/>
      <c r="AR712" s="147"/>
      <c r="AS712" s="147"/>
      <c r="AT712" s="147"/>
      <c r="AU712" s="147"/>
      <c r="AV712" s="147"/>
      <c r="AW712" s="147"/>
      <c r="AX712" s="147"/>
      <c r="AY712" s="147"/>
      <c r="AZ712" s="147"/>
      <c r="BA712" s="147"/>
      <c r="BB712" s="147"/>
      <c r="BC712" s="147"/>
      <c r="BD712" s="147"/>
      <c r="BE712" s="147"/>
      <c r="BF712" s="147"/>
      <c r="BG712" s="147"/>
      <c r="BH712" s="147"/>
      <c r="BI712" s="147"/>
      <c r="BJ712" s="147"/>
      <c r="BK712" s="147"/>
      <c r="BL712" s="147"/>
      <c r="BM712" s="147"/>
      <c r="BN712" s="147"/>
      <c r="BO712" s="147"/>
      <c r="BP712" s="147"/>
      <c r="BQ712" s="147"/>
      <c r="BR712" s="147"/>
      <c r="BS712" s="147"/>
      <c r="BT712" s="147"/>
      <c r="BU712" s="147"/>
      <c r="BV712" s="147"/>
      <c r="BW712" s="147"/>
      <c r="BX712" s="147"/>
      <c r="BY712" s="147"/>
      <c r="BZ712" s="147"/>
      <c r="CA712" s="147"/>
      <c r="CB712" s="147"/>
      <c r="CC712" s="147"/>
      <c r="CD712" s="147"/>
      <c r="CE712" s="147"/>
      <c r="CF712" s="147"/>
      <c r="CG712" s="147"/>
      <c r="CH712" s="147"/>
      <c r="CI712" s="147"/>
      <c r="CJ712" s="147"/>
      <c r="CK712" s="147"/>
    </row>
    <row r="713" spans="1:89">
      <c r="A713" s="157"/>
      <c r="F713" s="3"/>
      <c r="G713" s="3"/>
      <c r="L713" s="157"/>
      <c r="M713" s="157"/>
      <c r="O713" s="147"/>
      <c r="P713" s="147"/>
      <c r="Q713" s="147"/>
      <c r="R713" s="147"/>
      <c r="S713" s="147"/>
      <c r="T713" s="147"/>
      <c r="U713" s="147"/>
      <c r="V713" s="147"/>
      <c r="W713" s="147"/>
      <c r="X713" s="147"/>
      <c r="Y713" s="147"/>
      <c r="Z713" s="147"/>
      <c r="AA713" s="147"/>
      <c r="AB713" s="147"/>
      <c r="AC713" s="147"/>
      <c r="AD713" s="147"/>
      <c r="AE713" s="147"/>
      <c r="AF713" s="147"/>
      <c r="AG713" s="147"/>
      <c r="AH713" s="147"/>
      <c r="AI713" s="147"/>
      <c r="AJ713" s="147"/>
      <c r="AK713" s="147"/>
      <c r="AL713" s="147"/>
      <c r="AM713" s="151"/>
      <c r="AN713" s="147"/>
      <c r="AO713" s="147"/>
      <c r="AP713" s="147"/>
      <c r="AQ713" s="147"/>
      <c r="AR713" s="147"/>
      <c r="AS713" s="147"/>
      <c r="AT713" s="147"/>
      <c r="AU713" s="147"/>
      <c r="AV713" s="147"/>
      <c r="AW713" s="147"/>
      <c r="AX713" s="147"/>
      <c r="AY713" s="147"/>
      <c r="AZ713" s="147"/>
      <c r="BA713" s="147"/>
      <c r="BB713" s="147"/>
      <c r="BC713" s="147"/>
      <c r="BD713" s="147"/>
      <c r="BE713" s="147"/>
      <c r="BF713" s="147"/>
      <c r="BG713" s="147"/>
      <c r="BH713" s="147"/>
      <c r="BI713" s="147"/>
      <c r="BJ713" s="147"/>
      <c r="BK713" s="147"/>
      <c r="BL713" s="147"/>
      <c r="BM713" s="147"/>
      <c r="BN713" s="147"/>
      <c r="BO713" s="147"/>
      <c r="BP713" s="147"/>
      <c r="BQ713" s="147"/>
      <c r="BR713" s="147"/>
      <c r="BS713" s="147"/>
      <c r="BT713" s="147"/>
      <c r="BU713" s="147"/>
      <c r="BV713" s="147"/>
      <c r="BW713" s="147"/>
      <c r="BX713" s="147"/>
      <c r="BY713" s="147"/>
      <c r="BZ713" s="147"/>
      <c r="CA713" s="147"/>
      <c r="CB713" s="147"/>
      <c r="CC713" s="147"/>
      <c r="CD713" s="147"/>
      <c r="CE713" s="147"/>
      <c r="CF713" s="147"/>
      <c r="CG713" s="147"/>
      <c r="CH713" s="147"/>
      <c r="CI713" s="147"/>
      <c r="CJ713" s="147"/>
      <c r="CK713" s="147"/>
    </row>
    <row r="714" spans="1:89">
      <c r="A714" s="157"/>
      <c r="F714" s="3"/>
      <c r="G714" s="3"/>
      <c r="L714" s="157"/>
      <c r="M714" s="157"/>
      <c r="O714" s="147"/>
      <c r="P714" s="147"/>
      <c r="Q714" s="147"/>
      <c r="R714" s="147"/>
      <c r="S714" s="147"/>
      <c r="T714" s="147"/>
      <c r="U714" s="147"/>
      <c r="V714" s="147"/>
      <c r="W714" s="147"/>
      <c r="X714" s="147"/>
      <c r="Y714" s="147"/>
      <c r="Z714" s="147"/>
      <c r="AA714" s="147"/>
      <c r="AB714" s="147"/>
      <c r="AC714" s="147"/>
      <c r="AD714" s="147"/>
      <c r="AE714" s="147"/>
      <c r="AF714" s="147"/>
      <c r="AG714" s="147"/>
      <c r="AH714" s="147"/>
      <c r="AI714" s="147"/>
      <c r="AJ714" s="147"/>
      <c r="AK714" s="147"/>
      <c r="AL714" s="147"/>
      <c r="AM714" s="151"/>
      <c r="AN714" s="147"/>
      <c r="AO714" s="147"/>
      <c r="AP714" s="147"/>
      <c r="AQ714" s="147"/>
      <c r="AR714" s="147"/>
      <c r="AS714" s="147"/>
      <c r="AT714" s="147"/>
      <c r="AU714" s="147"/>
      <c r="AV714" s="147"/>
      <c r="AW714" s="147"/>
      <c r="AX714" s="147"/>
      <c r="AY714" s="147"/>
      <c r="AZ714" s="147"/>
      <c r="BA714" s="147"/>
      <c r="BB714" s="147"/>
      <c r="BC714" s="147"/>
      <c r="BD714" s="147"/>
      <c r="BE714" s="147"/>
      <c r="BF714" s="147"/>
      <c r="BG714" s="147"/>
      <c r="BH714" s="147"/>
      <c r="BI714" s="147"/>
      <c r="BJ714" s="147"/>
      <c r="BK714" s="147"/>
      <c r="BL714" s="147"/>
      <c r="BM714" s="147"/>
      <c r="BN714" s="147"/>
      <c r="BO714" s="147"/>
      <c r="BP714" s="147"/>
      <c r="BQ714" s="147"/>
      <c r="BR714" s="147"/>
      <c r="BS714" s="147"/>
      <c r="BT714" s="147"/>
      <c r="BU714" s="147"/>
      <c r="BV714" s="147"/>
      <c r="BW714" s="147"/>
      <c r="BX714" s="147"/>
      <c r="BY714" s="147"/>
      <c r="BZ714" s="147"/>
      <c r="CA714" s="147"/>
      <c r="CB714" s="147"/>
      <c r="CC714" s="147"/>
      <c r="CD714" s="147"/>
      <c r="CE714" s="147"/>
      <c r="CF714" s="147"/>
      <c r="CG714" s="147"/>
      <c r="CH714" s="147"/>
      <c r="CI714" s="147"/>
      <c r="CJ714" s="147"/>
      <c r="CK714" s="147"/>
    </row>
    <row r="715" spans="1:89">
      <c r="A715" s="157"/>
      <c r="F715" s="3"/>
      <c r="G715" s="3"/>
      <c r="L715" s="157"/>
      <c r="M715" s="157"/>
      <c r="O715" s="147"/>
      <c r="P715" s="147"/>
      <c r="Q715" s="147"/>
      <c r="R715" s="147"/>
      <c r="S715" s="147"/>
      <c r="T715" s="147"/>
      <c r="U715" s="147"/>
      <c r="V715" s="147"/>
      <c r="W715" s="147"/>
      <c r="X715" s="147"/>
      <c r="Y715" s="147"/>
      <c r="Z715" s="147"/>
      <c r="AA715" s="147"/>
      <c r="AB715" s="147"/>
      <c r="AC715" s="147"/>
      <c r="AD715" s="147"/>
      <c r="AE715" s="147"/>
      <c r="AF715" s="147"/>
      <c r="AG715" s="147"/>
      <c r="AH715" s="147"/>
      <c r="AI715" s="147"/>
      <c r="AJ715" s="147"/>
      <c r="AK715" s="147"/>
      <c r="AL715" s="147"/>
      <c r="AM715" s="151"/>
      <c r="AN715" s="147"/>
      <c r="AO715" s="147"/>
      <c r="AP715" s="147"/>
      <c r="AQ715" s="147"/>
      <c r="AR715" s="147"/>
      <c r="AS715" s="147"/>
      <c r="AT715" s="147"/>
      <c r="AU715" s="147"/>
      <c r="AV715" s="147"/>
      <c r="AW715" s="147"/>
      <c r="AX715" s="147"/>
      <c r="AY715" s="147"/>
      <c r="AZ715" s="147"/>
      <c r="BA715" s="147"/>
      <c r="BB715" s="147"/>
      <c r="BC715" s="147"/>
      <c r="BD715" s="147"/>
      <c r="BE715" s="147"/>
      <c r="BF715" s="147"/>
      <c r="BG715" s="147"/>
      <c r="BH715" s="147"/>
      <c r="BI715" s="147"/>
      <c r="BJ715" s="147"/>
      <c r="BK715" s="147"/>
      <c r="BL715" s="147"/>
      <c r="BM715" s="147"/>
      <c r="BN715" s="147"/>
      <c r="BO715" s="147"/>
      <c r="BP715" s="147"/>
      <c r="BQ715" s="147"/>
      <c r="BR715" s="147"/>
      <c r="BS715" s="147"/>
      <c r="BT715" s="147"/>
      <c r="BU715" s="147"/>
      <c r="BV715" s="147"/>
      <c r="BW715" s="147"/>
      <c r="BX715" s="147"/>
      <c r="BY715" s="147"/>
      <c r="BZ715" s="147"/>
      <c r="CA715" s="147"/>
      <c r="CB715" s="147"/>
      <c r="CC715" s="147"/>
      <c r="CD715" s="147"/>
      <c r="CE715" s="147"/>
      <c r="CF715" s="147"/>
      <c r="CG715" s="147"/>
      <c r="CH715" s="147"/>
      <c r="CI715" s="147"/>
      <c r="CJ715" s="147"/>
      <c r="CK715" s="147"/>
    </row>
    <row r="716" spans="1:89">
      <c r="A716" s="157"/>
      <c r="F716" s="3"/>
      <c r="G716" s="3"/>
      <c r="L716" s="157"/>
      <c r="M716" s="157"/>
      <c r="O716" s="147"/>
      <c r="P716" s="147"/>
      <c r="Q716" s="147"/>
      <c r="R716" s="147"/>
      <c r="S716" s="147"/>
      <c r="T716" s="147"/>
      <c r="U716" s="147"/>
      <c r="V716" s="147"/>
      <c r="W716" s="147"/>
      <c r="X716" s="147"/>
      <c r="Y716" s="147"/>
      <c r="Z716" s="147"/>
      <c r="AA716" s="147"/>
      <c r="AB716" s="147"/>
      <c r="AC716" s="147"/>
      <c r="AD716" s="147"/>
      <c r="AE716" s="147"/>
      <c r="AF716" s="147"/>
      <c r="AG716" s="147"/>
      <c r="AH716" s="147"/>
      <c r="AI716" s="147"/>
      <c r="AJ716" s="147"/>
      <c r="AK716" s="147"/>
      <c r="AL716" s="147"/>
      <c r="AM716" s="151"/>
      <c r="AN716" s="147"/>
      <c r="AO716" s="147"/>
      <c r="AP716" s="147"/>
      <c r="AQ716" s="147"/>
      <c r="AR716" s="147"/>
      <c r="AS716" s="147"/>
      <c r="AT716" s="147"/>
      <c r="AU716" s="147"/>
      <c r="AV716" s="147"/>
      <c r="AW716" s="147"/>
      <c r="AX716" s="147"/>
      <c r="AY716" s="147"/>
      <c r="AZ716" s="147"/>
      <c r="BA716" s="147"/>
      <c r="BB716" s="147"/>
      <c r="BC716" s="147"/>
      <c r="BD716" s="147"/>
      <c r="BE716" s="147"/>
      <c r="BF716" s="147"/>
      <c r="BG716" s="147"/>
      <c r="BH716" s="147"/>
      <c r="BI716" s="147"/>
      <c r="BJ716" s="147"/>
      <c r="BK716" s="147"/>
      <c r="BL716" s="147"/>
      <c r="BM716" s="147"/>
      <c r="BN716" s="147"/>
      <c r="BO716" s="147"/>
      <c r="BP716" s="147"/>
      <c r="BQ716" s="147"/>
      <c r="BR716" s="147"/>
      <c r="BS716" s="147"/>
      <c r="BT716" s="147"/>
      <c r="BU716" s="147"/>
      <c r="BV716" s="147"/>
      <c r="BW716" s="147"/>
      <c r="BX716" s="147"/>
      <c r="BY716" s="147"/>
      <c r="BZ716" s="147"/>
      <c r="CA716" s="147"/>
      <c r="CB716" s="147"/>
      <c r="CC716" s="147"/>
      <c r="CD716" s="147"/>
      <c r="CE716" s="147"/>
      <c r="CF716" s="147"/>
      <c r="CG716" s="147"/>
      <c r="CH716" s="147"/>
      <c r="CI716" s="147"/>
      <c r="CJ716" s="147"/>
      <c r="CK716" s="147"/>
    </row>
    <row r="717" spans="1:89">
      <c r="A717" s="157"/>
      <c r="F717" s="3"/>
      <c r="G717" s="3"/>
      <c r="L717" s="157"/>
      <c r="M717" s="157"/>
      <c r="O717" s="147"/>
      <c r="P717" s="147"/>
      <c r="Q717" s="147"/>
      <c r="R717" s="147"/>
      <c r="S717" s="147"/>
      <c r="T717" s="147"/>
      <c r="U717" s="147"/>
      <c r="V717" s="147"/>
      <c r="W717" s="147"/>
      <c r="X717" s="147"/>
      <c r="Y717" s="147"/>
      <c r="Z717" s="147"/>
      <c r="AA717" s="147"/>
      <c r="AB717" s="147"/>
      <c r="AC717" s="147"/>
      <c r="AD717" s="147"/>
      <c r="AE717" s="147"/>
      <c r="AF717" s="147"/>
      <c r="AG717" s="147"/>
      <c r="AH717" s="147"/>
      <c r="AI717" s="147"/>
      <c r="AJ717" s="147"/>
      <c r="AK717" s="147"/>
      <c r="AL717" s="147"/>
      <c r="AM717" s="151"/>
      <c r="AN717" s="147"/>
      <c r="AO717" s="147"/>
      <c r="AP717" s="147"/>
      <c r="AQ717" s="147"/>
      <c r="AR717" s="147"/>
      <c r="AS717" s="147"/>
      <c r="AT717" s="147"/>
      <c r="AU717" s="147"/>
      <c r="AV717" s="147"/>
      <c r="AW717" s="147"/>
      <c r="AX717" s="147"/>
      <c r="AY717" s="147"/>
      <c r="AZ717" s="147"/>
      <c r="BA717" s="147"/>
      <c r="BB717" s="147"/>
      <c r="BC717" s="147"/>
      <c r="BD717" s="147"/>
      <c r="BE717" s="147"/>
      <c r="BF717" s="147"/>
      <c r="BG717" s="147"/>
      <c r="BH717" s="147"/>
      <c r="BI717" s="147"/>
      <c r="BJ717" s="147"/>
      <c r="BK717" s="147"/>
      <c r="BL717" s="147"/>
      <c r="BM717" s="147"/>
      <c r="BN717" s="147"/>
      <c r="BO717" s="147"/>
      <c r="BP717" s="147"/>
      <c r="BQ717" s="147"/>
      <c r="BR717" s="147"/>
      <c r="BS717" s="147"/>
      <c r="BT717" s="147"/>
      <c r="BU717" s="147"/>
      <c r="BV717" s="147"/>
      <c r="BW717" s="147"/>
      <c r="BX717" s="147"/>
      <c r="BY717" s="147"/>
      <c r="BZ717" s="147"/>
      <c r="CA717" s="147"/>
      <c r="CB717" s="147"/>
      <c r="CC717" s="147"/>
      <c r="CD717" s="147"/>
      <c r="CE717" s="147"/>
      <c r="CF717" s="147"/>
      <c r="CG717" s="147"/>
      <c r="CH717" s="147"/>
      <c r="CI717" s="147"/>
      <c r="CJ717" s="147"/>
      <c r="CK717" s="147"/>
    </row>
    <row r="718" spans="1:89">
      <c r="A718" s="157"/>
      <c r="F718" s="3"/>
      <c r="G718" s="3"/>
      <c r="L718" s="157"/>
      <c r="M718" s="157"/>
      <c r="O718" s="147"/>
      <c r="P718" s="147"/>
      <c r="Q718" s="147"/>
      <c r="R718" s="147"/>
      <c r="S718" s="147"/>
      <c r="T718" s="147"/>
      <c r="U718" s="147"/>
      <c r="V718" s="147"/>
      <c r="W718" s="147"/>
      <c r="X718" s="147"/>
      <c r="Y718" s="147"/>
      <c r="Z718" s="147"/>
      <c r="AA718" s="147"/>
      <c r="AB718" s="147"/>
      <c r="AC718" s="147"/>
      <c r="AD718" s="147"/>
      <c r="AE718" s="147"/>
      <c r="AF718" s="147"/>
      <c r="AG718" s="147"/>
      <c r="AH718" s="147"/>
      <c r="AI718" s="147"/>
      <c r="AJ718" s="147"/>
      <c r="AK718" s="147"/>
      <c r="AL718" s="147"/>
      <c r="AM718" s="151"/>
      <c r="AN718" s="147"/>
      <c r="AO718" s="147"/>
      <c r="AP718" s="147"/>
      <c r="AQ718" s="147"/>
      <c r="AR718" s="147"/>
      <c r="AS718" s="147"/>
      <c r="AT718" s="147"/>
      <c r="AU718" s="147"/>
      <c r="AV718" s="147"/>
      <c r="AW718" s="147"/>
      <c r="AX718" s="147"/>
      <c r="AY718" s="147"/>
      <c r="AZ718" s="147"/>
      <c r="BA718" s="147"/>
      <c r="BB718" s="147"/>
      <c r="BC718" s="147"/>
      <c r="BD718" s="147"/>
      <c r="BE718" s="147"/>
      <c r="BF718" s="147"/>
      <c r="BG718" s="147"/>
      <c r="BH718" s="147"/>
      <c r="BI718" s="147"/>
      <c r="BJ718" s="147"/>
      <c r="BK718" s="147"/>
      <c r="BL718" s="147"/>
      <c r="BM718" s="147"/>
      <c r="BN718" s="147"/>
      <c r="BO718" s="147"/>
      <c r="BP718" s="147"/>
      <c r="BQ718" s="147"/>
      <c r="BR718" s="147"/>
      <c r="BS718" s="147"/>
      <c r="BT718" s="147"/>
      <c r="BU718" s="147"/>
      <c r="BV718" s="147"/>
      <c r="BW718" s="147"/>
      <c r="BX718" s="147"/>
      <c r="BY718" s="147"/>
      <c r="BZ718" s="147"/>
      <c r="CA718" s="147"/>
      <c r="CB718" s="147"/>
      <c r="CC718" s="147"/>
      <c r="CD718" s="147"/>
      <c r="CE718" s="147"/>
      <c r="CF718" s="147"/>
      <c r="CG718" s="147"/>
      <c r="CH718" s="147"/>
      <c r="CI718" s="147"/>
      <c r="CJ718" s="147"/>
      <c r="CK718" s="147"/>
    </row>
    <row r="719" spans="1:89">
      <c r="A719" s="157"/>
      <c r="F719" s="3"/>
      <c r="G719" s="3"/>
      <c r="L719" s="157"/>
      <c r="M719" s="157"/>
      <c r="O719" s="147"/>
      <c r="P719" s="147"/>
      <c r="Q719" s="147"/>
      <c r="R719" s="147"/>
      <c r="S719" s="147"/>
      <c r="T719" s="147"/>
      <c r="U719" s="147"/>
      <c r="V719" s="147"/>
      <c r="W719" s="147"/>
      <c r="X719" s="147"/>
      <c r="Y719" s="147"/>
      <c r="Z719" s="147"/>
      <c r="AA719" s="147"/>
      <c r="AB719" s="147"/>
      <c r="AC719" s="147"/>
      <c r="AD719" s="147"/>
      <c r="AE719" s="147"/>
      <c r="AF719" s="147"/>
      <c r="AG719" s="147"/>
      <c r="AH719" s="147"/>
      <c r="AI719" s="147"/>
      <c r="AJ719" s="147"/>
      <c r="AK719" s="147"/>
      <c r="AL719" s="147"/>
      <c r="AM719" s="151"/>
      <c r="AN719" s="147"/>
      <c r="AO719" s="147"/>
      <c r="AP719" s="147"/>
      <c r="AQ719" s="147"/>
      <c r="AR719" s="147"/>
      <c r="AS719" s="147"/>
      <c r="AT719" s="147"/>
      <c r="AU719" s="147"/>
      <c r="AV719" s="147"/>
      <c r="AW719" s="147"/>
      <c r="AX719" s="147"/>
      <c r="AY719" s="147"/>
      <c r="AZ719" s="147"/>
      <c r="BA719" s="147"/>
      <c r="BB719" s="147"/>
      <c r="BC719" s="147"/>
      <c r="BD719" s="147"/>
      <c r="BE719" s="147"/>
      <c r="BF719" s="147"/>
      <c r="BG719" s="147"/>
      <c r="BH719" s="147"/>
      <c r="BI719" s="147"/>
      <c r="BJ719" s="147"/>
      <c r="BK719" s="147"/>
      <c r="BL719" s="147"/>
      <c r="BM719" s="147"/>
      <c r="BN719" s="147"/>
      <c r="BO719" s="147"/>
      <c r="BP719" s="147"/>
      <c r="BQ719" s="147"/>
      <c r="BR719" s="147"/>
      <c r="BS719" s="147"/>
      <c r="BT719" s="147"/>
      <c r="BU719" s="147"/>
      <c r="BV719" s="147"/>
      <c r="BW719" s="147"/>
      <c r="BX719" s="147"/>
      <c r="BY719" s="147"/>
      <c r="BZ719" s="147"/>
      <c r="CA719" s="147"/>
      <c r="CB719" s="147"/>
      <c r="CC719" s="147"/>
      <c r="CD719" s="147"/>
      <c r="CE719" s="147"/>
      <c r="CF719" s="147"/>
      <c r="CG719" s="147"/>
      <c r="CH719" s="147"/>
      <c r="CI719" s="147"/>
      <c r="CJ719" s="147"/>
      <c r="CK719" s="147"/>
    </row>
    <row r="720" spans="1:89">
      <c r="A720" s="157"/>
      <c r="F720" s="3"/>
      <c r="G720" s="3"/>
      <c r="L720" s="157"/>
      <c r="M720" s="157"/>
      <c r="O720" s="147"/>
      <c r="P720" s="147"/>
      <c r="Q720" s="147"/>
      <c r="R720" s="147"/>
      <c r="S720" s="147"/>
      <c r="T720" s="147"/>
      <c r="U720" s="147"/>
      <c r="V720" s="147"/>
      <c r="W720" s="147"/>
      <c r="X720" s="147"/>
      <c r="Y720" s="147"/>
      <c r="Z720" s="147"/>
      <c r="AA720" s="147"/>
      <c r="AB720" s="147"/>
      <c r="AC720" s="147"/>
      <c r="AD720" s="147"/>
      <c r="AE720" s="147"/>
      <c r="AF720" s="147"/>
      <c r="AG720" s="147"/>
      <c r="AH720" s="147"/>
      <c r="AI720" s="147"/>
      <c r="AJ720" s="147"/>
      <c r="AK720" s="147"/>
      <c r="AL720" s="147"/>
      <c r="AM720" s="151"/>
      <c r="AN720" s="147"/>
      <c r="AO720" s="147"/>
      <c r="AP720" s="147"/>
      <c r="AQ720" s="147"/>
      <c r="AR720" s="147"/>
      <c r="AS720" s="147"/>
      <c r="AT720" s="147"/>
      <c r="AU720" s="147"/>
      <c r="AV720" s="147"/>
      <c r="AW720" s="147"/>
      <c r="AX720" s="147"/>
      <c r="AY720" s="147"/>
      <c r="AZ720" s="147"/>
      <c r="BA720" s="147"/>
      <c r="BB720" s="147"/>
      <c r="BC720" s="147"/>
      <c r="BD720" s="147"/>
      <c r="BE720" s="147"/>
      <c r="BF720" s="147"/>
      <c r="BG720" s="147"/>
      <c r="BH720" s="147"/>
      <c r="BI720" s="147"/>
      <c r="BJ720" s="147"/>
      <c r="BK720" s="147"/>
      <c r="BL720" s="147"/>
      <c r="BM720" s="147"/>
      <c r="BN720" s="147"/>
      <c r="BO720" s="147"/>
      <c r="BP720" s="147"/>
      <c r="BQ720" s="147"/>
      <c r="BR720" s="147"/>
      <c r="BS720" s="147"/>
      <c r="BT720" s="147"/>
      <c r="BU720" s="147"/>
      <c r="BV720" s="147"/>
      <c r="BW720" s="147"/>
      <c r="BX720" s="147"/>
      <c r="BY720" s="147"/>
      <c r="BZ720" s="147"/>
      <c r="CA720" s="147"/>
      <c r="CB720" s="147"/>
      <c r="CC720" s="147"/>
      <c r="CD720" s="147"/>
      <c r="CE720" s="147"/>
      <c r="CF720" s="147"/>
      <c r="CG720" s="147"/>
      <c r="CH720" s="147"/>
      <c r="CI720" s="147"/>
      <c r="CJ720" s="147"/>
      <c r="CK720" s="147"/>
    </row>
    <row r="721" spans="1:89">
      <c r="A721" s="157"/>
      <c r="F721" s="3"/>
      <c r="G721" s="3"/>
      <c r="L721" s="157"/>
      <c r="M721" s="157"/>
      <c r="O721" s="147"/>
      <c r="P721" s="147"/>
      <c r="Q721" s="147"/>
      <c r="R721" s="147"/>
      <c r="S721" s="147"/>
      <c r="T721" s="147"/>
      <c r="U721" s="147"/>
      <c r="V721" s="147"/>
      <c r="W721" s="147"/>
      <c r="X721" s="147"/>
      <c r="Y721" s="147"/>
      <c r="Z721" s="147"/>
      <c r="AA721" s="147"/>
      <c r="AB721" s="147"/>
      <c r="AC721" s="147"/>
      <c r="AD721" s="147"/>
      <c r="AE721" s="147"/>
      <c r="AF721" s="147"/>
      <c r="AG721" s="147"/>
      <c r="AH721" s="147"/>
      <c r="AI721" s="147"/>
      <c r="AJ721" s="147"/>
      <c r="AK721" s="147"/>
      <c r="AL721" s="147"/>
      <c r="AM721" s="151"/>
      <c r="AN721" s="147"/>
      <c r="AO721" s="147"/>
      <c r="AP721" s="147"/>
      <c r="AQ721" s="147"/>
      <c r="AR721" s="147"/>
      <c r="AS721" s="147"/>
      <c r="AT721" s="147"/>
      <c r="AU721" s="147"/>
      <c r="AV721" s="147"/>
      <c r="AW721" s="147"/>
      <c r="AX721" s="147"/>
      <c r="AY721" s="147"/>
      <c r="AZ721" s="147"/>
      <c r="BA721" s="147"/>
      <c r="BB721" s="147"/>
      <c r="BC721" s="147"/>
      <c r="BD721" s="147"/>
      <c r="BE721" s="147"/>
      <c r="BF721" s="147"/>
      <c r="BG721" s="147"/>
      <c r="BH721" s="147"/>
      <c r="BI721" s="147"/>
      <c r="BJ721" s="147"/>
      <c r="BK721" s="147"/>
      <c r="BL721" s="147"/>
      <c r="BM721" s="147"/>
      <c r="BN721" s="147"/>
      <c r="BO721" s="147"/>
      <c r="BP721" s="147"/>
      <c r="BQ721" s="147"/>
      <c r="BR721" s="147"/>
      <c r="BS721" s="147"/>
      <c r="BT721" s="147"/>
      <c r="BU721" s="147"/>
      <c r="BV721" s="147"/>
      <c r="BW721" s="147"/>
      <c r="BX721" s="147"/>
      <c r="BY721" s="147"/>
      <c r="BZ721" s="147"/>
      <c r="CA721" s="147"/>
      <c r="CB721" s="147"/>
      <c r="CC721" s="147"/>
      <c r="CD721" s="147"/>
      <c r="CE721" s="147"/>
      <c r="CF721" s="147"/>
      <c r="CG721" s="147"/>
      <c r="CH721" s="147"/>
      <c r="CI721" s="147"/>
      <c r="CJ721" s="147"/>
      <c r="CK721" s="147"/>
    </row>
    <row r="722" spans="1:89">
      <c r="A722" s="157"/>
      <c r="F722" s="3"/>
      <c r="G722" s="3"/>
      <c r="L722" s="157"/>
      <c r="M722" s="157"/>
      <c r="O722" s="147"/>
      <c r="P722" s="147"/>
      <c r="Q722" s="147"/>
      <c r="R722" s="147"/>
      <c r="S722" s="147"/>
      <c r="T722" s="147"/>
      <c r="U722" s="147"/>
      <c r="V722" s="147"/>
      <c r="W722" s="147"/>
      <c r="X722" s="147"/>
      <c r="Y722" s="147"/>
      <c r="Z722" s="147"/>
      <c r="AA722" s="147"/>
      <c r="AB722" s="147"/>
      <c r="AC722" s="147"/>
      <c r="AD722" s="147"/>
      <c r="AE722" s="147"/>
      <c r="AF722" s="147"/>
      <c r="AG722" s="147"/>
      <c r="AH722" s="147"/>
      <c r="AI722" s="147"/>
      <c r="AJ722" s="147"/>
      <c r="AK722" s="147"/>
      <c r="AL722" s="147"/>
      <c r="AM722" s="151"/>
      <c r="AN722" s="147"/>
      <c r="AO722" s="147"/>
      <c r="AP722" s="147"/>
      <c r="AQ722" s="147"/>
      <c r="AR722" s="147"/>
      <c r="AS722" s="147"/>
      <c r="AT722" s="147"/>
      <c r="AU722" s="147"/>
      <c r="AV722" s="147"/>
      <c r="AW722" s="147"/>
      <c r="AX722" s="147"/>
      <c r="AY722" s="147"/>
      <c r="AZ722" s="147"/>
      <c r="BA722" s="147"/>
      <c r="BB722" s="147"/>
      <c r="BC722" s="147"/>
      <c r="BD722" s="147"/>
      <c r="BE722" s="147"/>
      <c r="BF722" s="147"/>
      <c r="BG722" s="147"/>
      <c r="BH722" s="147"/>
      <c r="BI722" s="147"/>
      <c r="BJ722" s="147"/>
      <c r="BK722" s="147"/>
      <c r="BL722" s="147"/>
      <c r="BM722" s="147"/>
      <c r="BN722" s="147"/>
      <c r="BO722" s="147"/>
      <c r="BP722" s="147"/>
      <c r="BQ722" s="147"/>
      <c r="BR722" s="147"/>
      <c r="BS722" s="147"/>
      <c r="BT722" s="147"/>
      <c r="BU722" s="147"/>
      <c r="BV722" s="147"/>
      <c r="BW722" s="147"/>
      <c r="BX722" s="147"/>
      <c r="BY722" s="147"/>
      <c r="BZ722" s="147"/>
      <c r="CA722" s="147"/>
      <c r="CB722" s="147"/>
      <c r="CC722" s="147"/>
      <c r="CD722" s="147"/>
      <c r="CE722" s="147"/>
      <c r="CF722" s="147"/>
      <c r="CG722" s="147"/>
      <c r="CH722" s="147"/>
      <c r="CI722" s="147"/>
      <c r="CJ722" s="147"/>
      <c r="CK722" s="147"/>
    </row>
    <row r="723" spans="1:89">
      <c r="A723" s="157"/>
      <c r="F723" s="3"/>
      <c r="G723" s="3"/>
      <c r="L723" s="157"/>
      <c r="M723" s="157"/>
      <c r="O723" s="147"/>
      <c r="P723" s="147"/>
      <c r="Q723" s="147"/>
      <c r="R723" s="147"/>
      <c r="S723" s="147"/>
      <c r="T723" s="147"/>
      <c r="U723" s="147"/>
      <c r="V723" s="147"/>
      <c r="W723" s="147"/>
      <c r="X723" s="147"/>
      <c r="Y723" s="147"/>
      <c r="Z723" s="147"/>
      <c r="AA723" s="147"/>
      <c r="AB723" s="147"/>
      <c r="AC723" s="147"/>
      <c r="AD723" s="147"/>
      <c r="AE723" s="147"/>
      <c r="AF723" s="147"/>
      <c r="AG723" s="147"/>
      <c r="AH723" s="147"/>
      <c r="AI723" s="147"/>
      <c r="AJ723" s="147"/>
      <c r="AK723" s="147"/>
      <c r="AL723" s="147"/>
      <c r="AM723" s="151"/>
      <c r="AN723" s="147"/>
      <c r="AO723" s="147"/>
      <c r="AP723" s="147"/>
      <c r="AQ723" s="147"/>
      <c r="AR723" s="147"/>
      <c r="AS723" s="147"/>
      <c r="AT723" s="147"/>
      <c r="AU723" s="147"/>
      <c r="AV723" s="147"/>
      <c r="AW723" s="147"/>
      <c r="AX723" s="147"/>
      <c r="AY723" s="147"/>
      <c r="AZ723" s="147"/>
      <c r="BA723" s="147"/>
      <c r="BB723" s="147"/>
      <c r="BC723" s="147"/>
      <c r="BD723" s="147"/>
      <c r="BE723" s="147"/>
      <c r="BF723" s="147"/>
      <c r="BG723" s="147"/>
      <c r="BH723" s="147"/>
      <c r="BI723" s="147"/>
      <c r="BJ723" s="147"/>
      <c r="BK723" s="147"/>
      <c r="BL723" s="147"/>
      <c r="BM723" s="147"/>
      <c r="BN723" s="147"/>
      <c r="BO723" s="147"/>
      <c r="BP723" s="147"/>
      <c r="BQ723" s="147"/>
      <c r="BR723" s="147"/>
      <c r="BS723" s="147"/>
      <c r="BT723" s="147"/>
      <c r="BU723" s="147"/>
      <c r="BV723" s="147"/>
      <c r="BW723" s="147"/>
      <c r="BX723" s="147"/>
      <c r="BY723" s="147"/>
      <c r="BZ723" s="147"/>
      <c r="CA723" s="147"/>
      <c r="CB723" s="147"/>
      <c r="CC723" s="147"/>
      <c r="CD723" s="147"/>
      <c r="CE723" s="147"/>
      <c r="CF723" s="147"/>
      <c r="CG723" s="147"/>
      <c r="CH723" s="147"/>
      <c r="CI723" s="147"/>
      <c r="CJ723" s="147"/>
      <c r="CK723" s="147"/>
    </row>
    <row r="724" spans="1:89">
      <c r="A724" s="157"/>
      <c r="F724" s="3"/>
      <c r="G724" s="3"/>
      <c r="L724" s="157"/>
      <c r="M724" s="157"/>
      <c r="O724" s="147"/>
      <c r="P724" s="147"/>
      <c r="Q724" s="147"/>
      <c r="R724" s="147"/>
      <c r="S724" s="147"/>
      <c r="T724" s="147"/>
      <c r="U724" s="147"/>
      <c r="V724" s="147"/>
      <c r="W724" s="147"/>
      <c r="X724" s="147"/>
      <c r="Y724" s="147"/>
      <c r="Z724" s="147"/>
      <c r="AA724" s="147"/>
      <c r="AB724" s="147"/>
      <c r="AC724" s="147"/>
      <c r="AD724" s="147"/>
      <c r="AE724" s="147"/>
      <c r="AF724" s="147"/>
      <c r="AG724" s="147"/>
      <c r="AH724" s="147"/>
      <c r="AI724" s="147"/>
      <c r="AJ724" s="147"/>
      <c r="AK724" s="147"/>
      <c r="AL724" s="147"/>
      <c r="AM724" s="151"/>
      <c r="AN724" s="147"/>
      <c r="AO724" s="147"/>
      <c r="AP724" s="147"/>
      <c r="AQ724" s="147"/>
      <c r="AR724" s="147"/>
      <c r="AS724" s="147"/>
      <c r="AT724" s="147"/>
      <c r="AU724" s="147"/>
      <c r="AV724" s="147"/>
      <c r="AW724" s="147"/>
      <c r="AX724" s="147"/>
      <c r="AY724" s="147"/>
      <c r="AZ724" s="147"/>
      <c r="BA724" s="147"/>
      <c r="BB724" s="147"/>
      <c r="BC724" s="147"/>
      <c r="BD724" s="147"/>
      <c r="BE724" s="147"/>
      <c r="BF724" s="147"/>
      <c r="BG724" s="147"/>
      <c r="BH724" s="147"/>
      <c r="BI724" s="147"/>
      <c r="BJ724" s="147"/>
      <c r="BK724" s="147"/>
      <c r="BL724" s="147"/>
      <c r="BM724" s="147"/>
      <c r="BN724" s="147"/>
      <c r="BO724" s="147"/>
      <c r="BP724" s="147"/>
      <c r="BQ724" s="147"/>
      <c r="BR724" s="147"/>
      <c r="BS724" s="147"/>
      <c r="BT724" s="147"/>
      <c r="BU724" s="147"/>
      <c r="BV724" s="147"/>
      <c r="BW724" s="147"/>
      <c r="BX724" s="147"/>
      <c r="BY724" s="147"/>
      <c r="BZ724" s="147"/>
      <c r="CA724" s="147"/>
      <c r="CB724" s="147"/>
      <c r="CC724" s="147"/>
      <c r="CD724" s="147"/>
      <c r="CE724" s="147"/>
      <c r="CF724" s="147"/>
      <c r="CG724" s="147"/>
      <c r="CH724" s="147"/>
      <c r="CI724" s="147"/>
      <c r="CJ724" s="147"/>
      <c r="CK724" s="147"/>
    </row>
    <row r="725" spans="1:89">
      <c r="A725" s="157"/>
      <c r="F725" s="3"/>
      <c r="G725" s="3"/>
      <c r="L725" s="157"/>
      <c r="M725" s="157"/>
      <c r="O725" s="147"/>
      <c r="P725" s="147"/>
      <c r="Q725" s="147"/>
      <c r="R725" s="147"/>
      <c r="S725" s="147"/>
      <c r="T725" s="147"/>
      <c r="U725" s="147"/>
      <c r="V725" s="147"/>
      <c r="W725" s="147"/>
      <c r="X725" s="147"/>
      <c r="Y725" s="147"/>
      <c r="Z725" s="147"/>
      <c r="AA725" s="147"/>
      <c r="AB725" s="147"/>
      <c r="AC725" s="147"/>
      <c r="AD725" s="147"/>
      <c r="AE725" s="147"/>
      <c r="AF725" s="147"/>
      <c r="AG725" s="147"/>
      <c r="AH725" s="147"/>
      <c r="AI725" s="147"/>
      <c r="AJ725" s="147"/>
      <c r="AK725" s="147"/>
      <c r="AL725" s="147"/>
      <c r="AM725" s="151"/>
      <c r="AN725" s="147"/>
      <c r="AO725" s="147"/>
      <c r="AP725" s="147"/>
      <c r="AQ725" s="147"/>
      <c r="AR725" s="147"/>
      <c r="AS725" s="147"/>
      <c r="AT725" s="147"/>
      <c r="AU725" s="147"/>
      <c r="AV725" s="147"/>
      <c r="AW725" s="147"/>
      <c r="AX725" s="147"/>
      <c r="AY725" s="147"/>
      <c r="AZ725" s="147"/>
      <c r="BA725" s="147"/>
      <c r="BB725" s="147"/>
      <c r="BC725" s="147"/>
      <c r="BD725" s="147"/>
      <c r="BE725" s="147"/>
      <c r="BF725" s="147"/>
      <c r="BG725" s="147"/>
      <c r="BH725" s="147"/>
      <c r="BI725" s="147"/>
      <c r="BJ725" s="147"/>
      <c r="BK725" s="147"/>
      <c r="BL725" s="147"/>
      <c r="BM725" s="147"/>
      <c r="BN725" s="147"/>
      <c r="BO725" s="147"/>
      <c r="BP725" s="147"/>
      <c r="BQ725" s="147"/>
      <c r="BR725" s="147"/>
      <c r="BS725" s="147"/>
      <c r="BT725" s="147"/>
      <c r="BU725" s="147"/>
      <c r="BV725" s="147"/>
      <c r="BW725" s="147"/>
      <c r="BX725" s="147"/>
      <c r="BY725" s="147"/>
      <c r="BZ725" s="147"/>
      <c r="CA725" s="147"/>
      <c r="CB725" s="147"/>
      <c r="CC725" s="147"/>
      <c r="CD725" s="147"/>
      <c r="CE725" s="147"/>
      <c r="CF725" s="147"/>
      <c r="CG725" s="147"/>
      <c r="CH725" s="147"/>
      <c r="CI725" s="147"/>
      <c r="CJ725" s="147"/>
      <c r="CK725" s="147"/>
    </row>
    <row r="726" spans="1:89">
      <c r="A726" s="157"/>
      <c r="F726" s="3"/>
      <c r="G726" s="3"/>
      <c r="L726" s="157"/>
      <c r="M726" s="157"/>
      <c r="O726" s="147"/>
      <c r="P726" s="147"/>
      <c r="Q726" s="147"/>
      <c r="R726" s="147"/>
      <c r="S726" s="147"/>
      <c r="T726" s="147"/>
      <c r="U726" s="147"/>
      <c r="V726" s="147"/>
      <c r="W726" s="147"/>
      <c r="X726" s="147"/>
      <c r="Y726" s="147"/>
      <c r="Z726" s="147"/>
      <c r="AA726" s="147"/>
      <c r="AB726" s="147"/>
      <c r="AC726" s="147"/>
      <c r="AD726" s="147"/>
      <c r="AE726" s="147"/>
      <c r="AF726" s="147"/>
      <c r="AG726" s="147"/>
      <c r="AH726" s="147"/>
      <c r="AI726" s="147"/>
      <c r="AJ726" s="147"/>
      <c r="AK726" s="147"/>
      <c r="AL726" s="147"/>
      <c r="AM726" s="151"/>
      <c r="AN726" s="147"/>
      <c r="AO726" s="147"/>
      <c r="AP726" s="147"/>
      <c r="AQ726" s="147"/>
      <c r="AR726" s="147"/>
      <c r="AS726" s="147"/>
      <c r="AT726" s="147"/>
      <c r="AU726" s="147"/>
      <c r="AV726" s="147"/>
      <c r="AW726" s="147"/>
      <c r="AX726" s="147"/>
      <c r="AY726" s="147"/>
      <c r="AZ726" s="147"/>
      <c r="BA726" s="147"/>
      <c r="BB726" s="147"/>
      <c r="BC726" s="147"/>
      <c r="BD726" s="147"/>
      <c r="BE726" s="147"/>
      <c r="BF726" s="147"/>
      <c r="BG726" s="147"/>
      <c r="BH726" s="147"/>
      <c r="BI726" s="147"/>
      <c r="BJ726" s="147"/>
      <c r="BK726" s="147"/>
      <c r="BL726" s="147"/>
      <c r="BM726" s="147"/>
      <c r="BN726" s="147"/>
      <c r="BO726" s="147"/>
      <c r="BP726" s="147"/>
      <c r="BQ726" s="147"/>
      <c r="BR726" s="147"/>
      <c r="BS726" s="147"/>
      <c r="BT726" s="147"/>
      <c r="BU726" s="147"/>
      <c r="BV726" s="147"/>
      <c r="BW726" s="147"/>
      <c r="BX726" s="147"/>
      <c r="BY726" s="147"/>
      <c r="BZ726" s="147"/>
      <c r="CA726" s="147"/>
      <c r="CB726" s="147"/>
      <c r="CC726" s="147"/>
      <c r="CD726" s="147"/>
      <c r="CE726" s="147"/>
      <c r="CF726" s="147"/>
      <c r="CG726" s="147"/>
      <c r="CH726" s="147"/>
      <c r="CI726" s="147"/>
      <c r="CJ726" s="147"/>
      <c r="CK726" s="147"/>
    </row>
    <row r="727" spans="1:89">
      <c r="A727" s="157"/>
      <c r="F727" s="3"/>
      <c r="G727" s="3"/>
      <c r="L727" s="157"/>
      <c r="M727" s="157"/>
      <c r="O727" s="147"/>
      <c r="P727" s="147"/>
      <c r="Q727" s="147"/>
      <c r="R727" s="147"/>
      <c r="S727" s="147"/>
      <c r="T727" s="147"/>
      <c r="U727" s="147"/>
      <c r="V727" s="147"/>
      <c r="W727" s="147"/>
      <c r="X727" s="147"/>
      <c r="Y727" s="147"/>
      <c r="Z727" s="147"/>
      <c r="AA727" s="147"/>
      <c r="AB727" s="147"/>
      <c r="AC727" s="147"/>
      <c r="AD727" s="147"/>
      <c r="AE727" s="147"/>
      <c r="AF727" s="147"/>
      <c r="AG727" s="147"/>
      <c r="AH727" s="147"/>
      <c r="AI727" s="147"/>
      <c r="AJ727" s="147"/>
      <c r="AK727" s="147"/>
      <c r="AL727" s="147"/>
      <c r="AM727" s="151"/>
      <c r="AN727" s="147"/>
      <c r="AO727" s="147"/>
      <c r="AP727" s="147"/>
      <c r="AQ727" s="147"/>
      <c r="AR727" s="147"/>
      <c r="AS727" s="147"/>
      <c r="AT727" s="147"/>
      <c r="AU727" s="147"/>
      <c r="AV727" s="147"/>
      <c r="AW727" s="147"/>
      <c r="AX727" s="147"/>
      <c r="AY727" s="147"/>
      <c r="AZ727" s="147"/>
      <c r="BA727" s="147"/>
      <c r="BB727" s="147"/>
      <c r="BC727" s="147"/>
      <c r="BD727" s="147"/>
      <c r="BE727" s="147"/>
      <c r="BF727" s="147"/>
      <c r="BG727" s="147"/>
      <c r="BH727" s="147"/>
      <c r="BI727" s="147"/>
      <c r="BJ727" s="147"/>
      <c r="BK727" s="147"/>
      <c r="BL727" s="147"/>
      <c r="BM727" s="147"/>
      <c r="BN727" s="147"/>
      <c r="BO727" s="147"/>
      <c r="BP727" s="147"/>
      <c r="BQ727" s="147"/>
      <c r="BR727" s="147"/>
      <c r="BS727" s="147"/>
      <c r="BT727" s="147"/>
      <c r="BU727" s="147"/>
      <c r="BV727" s="147"/>
      <c r="BW727" s="147"/>
      <c r="BX727" s="147"/>
      <c r="BY727" s="147"/>
      <c r="BZ727" s="147"/>
      <c r="CA727" s="147"/>
      <c r="CB727" s="147"/>
      <c r="CC727" s="147"/>
      <c r="CD727" s="147"/>
      <c r="CE727" s="147"/>
      <c r="CF727" s="147"/>
      <c r="CG727" s="147"/>
      <c r="CH727" s="147"/>
      <c r="CI727" s="147"/>
      <c r="CJ727" s="147"/>
      <c r="CK727" s="147"/>
    </row>
    <row r="728" spans="1:89">
      <c r="A728" s="157"/>
      <c r="F728" s="3"/>
      <c r="G728" s="3"/>
      <c r="L728" s="157"/>
      <c r="M728" s="157"/>
      <c r="O728" s="147"/>
      <c r="P728" s="147"/>
      <c r="Q728" s="147"/>
      <c r="R728" s="147"/>
      <c r="S728" s="147"/>
      <c r="T728" s="147"/>
      <c r="U728" s="147"/>
      <c r="V728" s="147"/>
      <c r="W728" s="147"/>
      <c r="X728" s="147"/>
      <c r="Y728" s="147"/>
      <c r="Z728" s="147"/>
      <c r="AA728" s="147"/>
      <c r="AB728" s="147"/>
      <c r="AC728" s="147"/>
      <c r="AD728" s="147"/>
      <c r="AE728" s="147"/>
      <c r="AF728" s="147"/>
      <c r="AG728" s="147"/>
      <c r="AH728" s="147"/>
      <c r="AI728" s="147"/>
      <c r="AJ728" s="147"/>
      <c r="AK728" s="147"/>
      <c r="AL728" s="147"/>
      <c r="AM728" s="151"/>
      <c r="AN728" s="147"/>
      <c r="AO728" s="147"/>
      <c r="AP728" s="147"/>
      <c r="AQ728" s="147"/>
      <c r="AR728" s="147"/>
      <c r="AS728" s="147"/>
      <c r="AT728" s="147"/>
      <c r="AU728" s="147"/>
      <c r="AV728" s="147"/>
      <c r="AW728" s="147"/>
      <c r="AX728" s="147"/>
      <c r="AY728" s="147"/>
      <c r="AZ728" s="147"/>
      <c r="BA728" s="147"/>
      <c r="BB728" s="147"/>
      <c r="BC728" s="147"/>
      <c r="BD728" s="147"/>
      <c r="BE728" s="147"/>
      <c r="BF728" s="147"/>
      <c r="BG728" s="147"/>
      <c r="BH728" s="147"/>
      <c r="BI728" s="147"/>
      <c r="BJ728" s="147"/>
      <c r="BK728" s="147"/>
      <c r="BL728" s="147"/>
      <c r="BM728" s="147"/>
      <c r="BN728" s="147"/>
      <c r="BO728" s="147"/>
      <c r="BP728" s="147"/>
      <c r="BQ728" s="147"/>
      <c r="BR728" s="147"/>
      <c r="BS728" s="147"/>
      <c r="BT728" s="147"/>
      <c r="BU728" s="147"/>
      <c r="BV728" s="147"/>
      <c r="BW728" s="147"/>
      <c r="BX728" s="147"/>
      <c r="BY728" s="147"/>
      <c r="BZ728" s="147"/>
      <c r="CA728" s="147"/>
      <c r="CB728" s="147"/>
      <c r="CC728" s="147"/>
      <c r="CD728" s="147"/>
      <c r="CE728" s="147"/>
      <c r="CF728" s="147"/>
      <c r="CG728" s="147"/>
      <c r="CH728" s="147"/>
      <c r="CI728" s="147"/>
      <c r="CJ728" s="147"/>
      <c r="CK728" s="147"/>
    </row>
    <row r="729" spans="1:89">
      <c r="A729" s="157"/>
      <c r="F729" s="3"/>
      <c r="G729" s="3"/>
      <c r="L729" s="157"/>
      <c r="M729" s="157"/>
      <c r="O729" s="147"/>
      <c r="P729" s="147"/>
      <c r="Q729" s="147"/>
      <c r="R729" s="147"/>
      <c r="S729" s="147"/>
      <c r="T729" s="147"/>
      <c r="U729" s="147"/>
      <c r="V729" s="147"/>
      <c r="W729" s="147"/>
      <c r="X729" s="147"/>
      <c r="Y729" s="147"/>
      <c r="Z729" s="147"/>
      <c r="AA729" s="147"/>
      <c r="AB729" s="147"/>
      <c r="AC729" s="147"/>
      <c r="AD729" s="147"/>
      <c r="AE729" s="147"/>
      <c r="AF729" s="147"/>
      <c r="AG729" s="147"/>
      <c r="AH729" s="147"/>
      <c r="AI729" s="147"/>
      <c r="AJ729" s="147"/>
      <c r="AK729" s="147"/>
      <c r="AL729" s="147"/>
      <c r="AM729" s="151"/>
      <c r="AN729" s="147"/>
      <c r="AO729" s="147"/>
      <c r="AP729" s="147"/>
      <c r="AQ729" s="147"/>
      <c r="AR729" s="147"/>
      <c r="AS729" s="147"/>
      <c r="AT729" s="147"/>
      <c r="AU729" s="147"/>
      <c r="AV729" s="147"/>
      <c r="AW729" s="147"/>
      <c r="AX729" s="147"/>
      <c r="AY729" s="147"/>
      <c r="AZ729" s="147"/>
      <c r="BA729" s="147"/>
      <c r="BB729" s="147"/>
      <c r="BC729" s="147"/>
      <c r="BD729" s="147"/>
      <c r="BE729" s="147"/>
      <c r="BF729" s="147"/>
      <c r="BG729" s="147"/>
      <c r="BH729" s="147"/>
      <c r="BI729" s="147"/>
      <c r="BJ729" s="147"/>
      <c r="BK729" s="147"/>
      <c r="BL729" s="147"/>
      <c r="BM729" s="147"/>
      <c r="BN729" s="147"/>
      <c r="BO729" s="147"/>
      <c r="BP729" s="147"/>
      <c r="BQ729" s="147"/>
      <c r="BR729" s="147"/>
      <c r="BS729" s="147"/>
      <c r="BT729" s="147"/>
      <c r="BU729" s="147"/>
      <c r="BV729" s="147"/>
      <c r="BW729" s="147"/>
      <c r="BX729" s="147"/>
      <c r="BY729" s="147"/>
      <c r="BZ729" s="147"/>
      <c r="CA729" s="147"/>
      <c r="CB729" s="147"/>
      <c r="CC729" s="147"/>
      <c r="CD729" s="147"/>
      <c r="CE729" s="147"/>
      <c r="CF729" s="147"/>
      <c r="CG729" s="147"/>
      <c r="CH729" s="147"/>
      <c r="CI729" s="147"/>
      <c r="CJ729" s="147"/>
      <c r="CK729" s="147"/>
    </row>
    <row r="730" spans="1:89">
      <c r="A730" s="157"/>
      <c r="F730" s="3"/>
      <c r="G730" s="3"/>
      <c r="L730" s="157"/>
      <c r="M730" s="157"/>
      <c r="O730" s="147"/>
      <c r="P730" s="147"/>
      <c r="Q730" s="147"/>
      <c r="R730" s="147"/>
      <c r="S730" s="147"/>
      <c r="T730" s="147"/>
      <c r="U730" s="147"/>
      <c r="V730" s="147"/>
      <c r="W730" s="147"/>
      <c r="X730" s="147"/>
      <c r="Y730" s="147"/>
      <c r="Z730" s="147"/>
      <c r="AA730" s="147"/>
      <c r="AB730" s="147"/>
      <c r="AC730" s="147"/>
      <c r="AD730" s="147"/>
      <c r="AE730" s="147"/>
      <c r="AF730" s="147"/>
      <c r="AG730" s="147"/>
      <c r="AH730" s="147"/>
      <c r="AI730" s="147"/>
      <c r="AJ730" s="147"/>
      <c r="AK730" s="147"/>
      <c r="AL730" s="147"/>
      <c r="AM730" s="151"/>
      <c r="AN730" s="147"/>
      <c r="AO730" s="147"/>
      <c r="AP730" s="147"/>
      <c r="AQ730" s="147"/>
      <c r="AR730" s="147"/>
      <c r="AS730" s="147"/>
      <c r="AT730" s="147"/>
      <c r="AU730" s="147"/>
      <c r="AV730" s="147"/>
      <c r="AW730" s="147"/>
      <c r="AX730" s="147"/>
      <c r="AY730" s="147"/>
      <c r="AZ730" s="147"/>
      <c r="BA730" s="147"/>
      <c r="BB730" s="147"/>
      <c r="BC730" s="147"/>
      <c r="BD730" s="147"/>
      <c r="BE730" s="147"/>
      <c r="BF730" s="147"/>
      <c r="BG730" s="147"/>
      <c r="BH730" s="147"/>
      <c r="BI730" s="147"/>
      <c r="BJ730" s="147"/>
      <c r="BK730" s="147"/>
      <c r="BL730" s="147"/>
      <c r="BM730" s="147"/>
      <c r="BN730" s="147"/>
      <c r="BO730" s="147"/>
      <c r="BP730" s="147"/>
      <c r="BQ730" s="147"/>
      <c r="BR730" s="147"/>
      <c r="BS730" s="147"/>
      <c r="BT730" s="147"/>
      <c r="BU730" s="147"/>
      <c r="BV730" s="147"/>
      <c r="BW730" s="147"/>
      <c r="BX730" s="147"/>
      <c r="BY730" s="147"/>
      <c r="BZ730" s="147"/>
      <c r="CA730" s="147"/>
      <c r="CB730" s="147"/>
      <c r="CC730" s="147"/>
      <c r="CD730" s="147"/>
      <c r="CE730" s="147"/>
      <c r="CF730" s="147"/>
      <c r="CG730" s="147"/>
      <c r="CH730" s="147"/>
      <c r="CI730" s="147"/>
      <c r="CJ730" s="147"/>
      <c r="CK730" s="147"/>
    </row>
    <row r="731" spans="1:89">
      <c r="A731" s="157"/>
      <c r="F731" s="3"/>
      <c r="G731" s="3"/>
      <c r="L731" s="157"/>
      <c r="M731" s="157"/>
      <c r="O731" s="147"/>
      <c r="P731" s="147"/>
      <c r="Q731" s="147"/>
      <c r="R731" s="147"/>
      <c r="S731" s="147"/>
      <c r="T731" s="147"/>
      <c r="U731" s="147"/>
      <c r="V731" s="147"/>
      <c r="W731" s="147"/>
      <c r="X731" s="147"/>
      <c r="Y731" s="147"/>
      <c r="Z731" s="147"/>
      <c r="AA731" s="147"/>
      <c r="AB731" s="147"/>
      <c r="AC731" s="147"/>
      <c r="AD731" s="147"/>
      <c r="AE731" s="147"/>
      <c r="AF731" s="147"/>
      <c r="AG731" s="147"/>
      <c r="AH731" s="147"/>
      <c r="AI731" s="147"/>
      <c r="AJ731" s="147"/>
      <c r="AK731" s="147"/>
      <c r="AL731" s="147"/>
      <c r="AM731" s="151"/>
      <c r="AN731" s="147"/>
      <c r="AO731" s="147"/>
      <c r="AP731" s="147"/>
      <c r="AQ731" s="147"/>
      <c r="AR731" s="147"/>
      <c r="AS731" s="147"/>
      <c r="AT731" s="147"/>
      <c r="AU731" s="147"/>
      <c r="AV731" s="147"/>
      <c r="AW731" s="147"/>
      <c r="AX731" s="147"/>
      <c r="AY731" s="147"/>
      <c r="AZ731" s="147"/>
      <c r="BA731" s="147"/>
      <c r="BB731" s="147"/>
      <c r="BC731" s="147"/>
      <c r="BD731" s="147"/>
      <c r="BE731" s="147"/>
      <c r="BF731" s="147"/>
      <c r="BG731" s="147"/>
      <c r="BH731" s="147"/>
      <c r="BI731" s="147"/>
      <c r="BJ731" s="147"/>
      <c r="BK731" s="147"/>
      <c r="BL731" s="147"/>
      <c r="BM731" s="147"/>
      <c r="BN731" s="147"/>
      <c r="BO731" s="147"/>
      <c r="BP731" s="147"/>
      <c r="BQ731" s="147"/>
      <c r="BR731" s="147"/>
      <c r="BS731" s="147"/>
      <c r="BT731" s="147"/>
      <c r="BU731" s="147"/>
      <c r="BV731" s="147"/>
      <c r="BW731" s="147"/>
      <c r="BX731" s="147"/>
      <c r="BY731" s="147"/>
      <c r="BZ731" s="147"/>
      <c r="CA731" s="147"/>
      <c r="CB731" s="147"/>
      <c r="CC731" s="147"/>
      <c r="CD731" s="147"/>
      <c r="CE731" s="147"/>
      <c r="CF731" s="147"/>
      <c r="CG731" s="147"/>
      <c r="CH731" s="147"/>
      <c r="CI731" s="147"/>
      <c r="CJ731" s="147"/>
      <c r="CK731" s="147"/>
    </row>
    <row r="732" spans="1:89">
      <c r="A732" s="157"/>
      <c r="F732" s="3"/>
      <c r="G732" s="3"/>
      <c r="L732" s="157"/>
      <c r="M732" s="157"/>
      <c r="O732" s="147"/>
      <c r="P732" s="147"/>
      <c r="Q732" s="147"/>
      <c r="R732" s="147"/>
      <c r="S732" s="147"/>
      <c r="T732" s="147"/>
      <c r="U732" s="147"/>
      <c r="V732" s="147"/>
      <c r="W732" s="147"/>
      <c r="X732" s="147"/>
      <c r="Y732" s="147"/>
      <c r="Z732" s="147"/>
      <c r="AA732" s="147"/>
      <c r="AB732" s="147"/>
      <c r="AC732" s="147"/>
      <c r="AD732" s="147"/>
      <c r="AE732" s="147"/>
      <c r="AF732" s="147"/>
      <c r="AG732" s="147"/>
      <c r="AH732" s="147"/>
      <c r="AI732" s="147"/>
      <c r="AJ732" s="147"/>
      <c r="AK732" s="147"/>
      <c r="AL732" s="147"/>
      <c r="AM732" s="151"/>
      <c r="AN732" s="147"/>
      <c r="AO732" s="147"/>
      <c r="AP732" s="147"/>
      <c r="AQ732" s="147"/>
      <c r="AR732" s="147"/>
      <c r="AS732" s="147"/>
      <c r="AT732" s="147"/>
      <c r="AU732" s="147"/>
      <c r="AV732" s="147"/>
      <c r="AW732" s="147"/>
      <c r="AX732" s="147"/>
      <c r="AY732" s="147"/>
      <c r="AZ732" s="147"/>
      <c r="BA732" s="147"/>
      <c r="BB732" s="147"/>
      <c r="BC732" s="147"/>
      <c r="BD732" s="147"/>
      <c r="BE732" s="147"/>
      <c r="BF732" s="147"/>
      <c r="BG732" s="147"/>
      <c r="BH732" s="147"/>
      <c r="BI732" s="147"/>
      <c r="BJ732" s="147"/>
      <c r="BK732" s="147"/>
      <c r="BL732" s="147"/>
      <c r="BM732" s="147"/>
      <c r="BN732" s="147"/>
      <c r="BO732" s="147"/>
      <c r="BP732" s="147"/>
      <c r="BQ732" s="147"/>
      <c r="BR732" s="147"/>
      <c r="BS732" s="147"/>
      <c r="BT732" s="147"/>
      <c r="BU732" s="147"/>
      <c r="BV732" s="147"/>
      <c r="BW732" s="147"/>
      <c r="BX732" s="147"/>
      <c r="BY732" s="147"/>
      <c r="BZ732" s="147"/>
      <c r="CA732" s="147"/>
      <c r="CB732" s="147"/>
      <c r="CC732" s="147"/>
      <c r="CD732" s="147"/>
      <c r="CE732" s="147"/>
      <c r="CF732" s="147"/>
      <c r="CG732" s="147"/>
      <c r="CH732" s="147"/>
      <c r="CI732" s="147"/>
      <c r="CJ732" s="147"/>
      <c r="CK732" s="147"/>
    </row>
    <row r="733" spans="1:89">
      <c r="A733" s="157"/>
      <c r="F733" s="3"/>
      <c r="G733" s="3"/>
      <c r="L733" s="157"/>
      <c r="M733" s="157"/>
      <c r="O733" s="147"/>
      <c r="P733" s="147"/>
      <c r="Q733" s="147"/>
      <c r="R733" s="147"/>
      <c r="S733" s="147"/>
      <c r="T733" s="147"/>
      <c r="U733" s="147"/>
      <c r="V733" s="147"/>
      <c r="W733" s="147"/>
      <c r="X733" s="147"/>
      <c r="Y733" s="147"/>
      <c r="Z733" s="147"/>
      <c r="AA733" s="147"/>
      <c r="AB733" s="147"/>
      <c r="AC733" s="147"/>
      <c r="AD733" s="147"/>
      <c r="AE733" s="147"/>
      <c r="AF733" s="147"/>
      <c r="AG733" s="147"/>
      <c r="AH733" s="147"/>
      <c r="AI733" s="147"/>
      <c r="AJ733" s="147"/>
      <c r="AK733" s="147"/>
      <c r="AL733" s="147"/>
      <c r="AM733" s="151"/>
      <c r="AN733" s="147"/>
      <c r="AO733" s="147"/>
      <c r="AP733" s="147"/>
      <c r="AQ733" s="147"/>
      <c r="AR733" s="147"/>
      <c r="AS733" s="147"/>
      <c r="AT733" s="147"/>
      <c r="AU733" s="147"/>
      <c r="AV733" s="147"/>
      <c r="AW733" s="147"/>
      <c r="AX733" s="147"/>
      <c r="AY733" s="147"/>
      <c r="AZ733" s="147"/>
      <c r="BA733" s="147"/>
      <c r="BB733" s="147"/>
      <c r="BC733" s="147"/>
      <c r="BD733" s="147"/>
      <c r="BE733" s="147"/>
      <c r="BF733" s="147"/>
      <c r="BG733" s="147"/>
      <c r="BH733" s="147"/>
      <c r="BI733" s="147"/>
      <c r="BJ733" s="147"/>
      <c r="BK733" s="147"/>
      <c r="BL733" s="147"/>
      <c r="BM733" s="147"/>
      <c r="BN733" s="147"/>
      <c r="BO733" s="147"/>
      <c r="BP733" s="147"/>
      <c r="BQ733" s="147"/>
      <c r="BR733" s="147"/>
      <c r="BS733" s="147"/>
      <c r="BT733" s="147"/>
      <c r="BU733" s="147"/>
      <c r="BV733" s="147"/>
      <c r="BW733" s="147"/>
      <c r="BX733" s="147"/>
      <c r="BY733" s="147"/>
      <c r="BZ733" s="147"/>
      <c r="CA733" s="147"/>
      <c r="CB733" s="147"/>
      <c r="CC733" s="147"/>
      <c r="CD733" s="147"/>
      <c r="CE733" s="147"/>
      <c r="CF733" s="147"/>
      <c r="CG733" s="147"/>
      <c r="CH733" s="147"/>
      <c r="CI733" s="147"/>
      <c r="CJ733" s="147"/>
      <c r="CK733" s="147"/>
    </row>
    <row r="734" spans="1:89">
      <c r="A734" s="157"/>
      <c r="F734" s="3"/>
      <c r="G734" s="3"/>
      <c r="L734" s="157"/>
      <c r="M734" s="157"/>
      <c r="O734" s="147"/>
      <c r="P734" s="147"/>
      <c r="Q734" s="147"/>
      <c r="R734" s="147"/>
      <c r="S734" s="147"/>
      <c r="T734" s="147"/>
      <c r="U734" s="147"/>
      <c r="V734" s="147"/>
      <c r="W734" s="147"/>
      <c r="X734" s="147"/>
      <c r="Y734" s="147"/>
      <c r="Z734" s="147"/>
      <c r="AA734" s="147"/>
      <c r="AB734" s="147"/>
      <c r="AC734" s="147"/>
      <c r="AD734" s="147"/>
      <c r="AE734" s="147"/>
      <c r="AF734" s="147"/>
      <c r="AG734" s="147"/>
      <c r="AH734" s="147"/>
      <c r="AI734" s="147"/>
      <c r="AJ734" s="147"/>
      <c r="AK734" s="147"/>
      <c r="AL734" s="147"/>
      <c r="AM734" s="151"/>
      <c r="AN734" s="147"/>
      <c r="AO734" s="147"/>
      <c r="AP734" s="147"/>
      <c r="AQ734" s="147"/>
      <c r="AR734" s="147"/>
      <c r="AS734" s="147"/>
      <c r="AT734" s="147"/>
      <c r="AU734" s="147"/>
      <c r="AV734" s="147"/>
      <c r="AW734" s="147"/>
      <c r="AX734" s="147"/>
      <c r="AY734" s="147"/>
      <c r="AZ734" s="147"/>
      <c r="BA734" s="147"/>
      <c r="BB734" s="147"/>
      <c r="BC734" s="147"/>
      <c r="BD734" s="147"/>
      <c r="BE734" s="147"/>
      <c r="BF734" s="147"/>
      <c r="BG734" s="147"/>
      <c r="BH734" s="147"/>
      <c r="BI734" s="147"/>
      <c r="BJ734" s="147"/>
      <c r="BK734" s="147"/>
      <c r="BL734" s="147"/>
      <c r="BM734" s="147"/>
      <c r="BN734" s="147"/>
      <c r="BO734" s="147"/>
      <c r="BP734" s="147"/>
      <c r="BQ734" s="147"/>
      <c r="BR734" s="147"/>
      <c r="BS734" s="147"/>
      <c r="BT734" s="147"/>
      <c r="BU734" s="147"/>
      <c r="BV734" s="147"/>
      <c r="BW734" s="147"/>
      <c r="BX734" s="147"/>
      <c r="BY734" s="147"/>
      <c r="BZ734" s="147"/>
      <c r="CA734" s="147"/>
      <c r="CB734" s="147"/>
      <c r="CC734" s="147"/>
      <c r="CD734" s="147"/>
      <c r="CE734" s="147"/>
      <c r="CF734" s="147"/>
      <c r="CG734" s="147"/>
      <c r="CH734" s="147"/>
      <c r="CI734" s="147"/>
      <c r="CJ734" s="147"/>
      <c r="CK734" s="147"/>
    </row>
    <row r="735" spans="1:89">
      <c r="A735" s="157"/>
      <c r="F735" s="3"/>
      <c r="G735" s="3"/>
      <c r="L735" s="157"/>
      <c r="M735" s="157"/>
      <c r="O735" s="147"/>
      <c r="P735" s="147"/>
      <c r="Q735" s="147"/>
      <c r="R735" s="147"/>
      <c r="S735" s="147"/>
      <c r="T735" s="147"/>
      <c r="U735" s="147"/>
      <c r="V735" s="147"/>
      <c r="W735" s="147"/>
      <c r="X735" s="147"/>
      <c r="Y735" s="147"/>
      <c r="Z735" s="147"/>
      <c r="AA735" s="147"/>
      <c r="AB735" s="147"/>
      <c r="AC735" s="147"/>
      <c r="AD735" s="147"/>
      <c r="AE735" s="147"/>
      <c r="AF735" s="147"/>
      <c r="AG735" s="147"/>
      <c r="AH735" s="147"/>
      <c r="AI735" s="147"/>
      <c r="AJ735" s="147"/>
      <c r="AK735" s="147"/>
      <c r="AL735" s="147"/>
      <c r="AM735" s="151"/>
      <c r="AN735" s="147"/>
      <c r="AO735" s="147"/>
      <c r="AP735" s="147"/>
      <c r="AQ735" s="147"/>
      <c r="AR735" s="147"/>
      <c r="AS735" s="147"/>
      <c r="AT735" s="147"/>
      <c r="AU735" s="147"/>
      <c r="AV735" s="147"/>
      <c r="AW735" s="147"/>
      <c r="AX735" s="147"/>
      <c r="AY735" s="147"/>
      <c r="AZ735" s="147"/>
      <c r="BA735" s="147"/>
      <c r="BB735" s="147"/>
      <c r="BC735" s="147"/>
      <c r="BD735" s="147"/>
      <c r="BE735" s="147"/>
      <c r="BF735" s="147"/>
      <c r="BG735" s="147"/>
      <c r="BH735" s="147"/>
      <c r="BI735" s="147"/>
      <c r="BJ735" s="147"/>
      <c r="BK735" s="147"/>
      <c r="BL735" s="147"/>
      <c r="BM735" s="147"/>
      <c r="BN735" s="147"/>
      <c r="BO735" s="147"/>
      <c r="BP735" s="147"/>
      <c r="BQ735" s="147"/>
      <c r="BR735" s="147"/>
      <c r="BS735" s="147"/>
      <c r="BT735" s="147"/>
      <c r="BU735" s="147"/>
      <c r="BV735" s="147"/>
      <c r="BW735" s="147"/>
      <c r="BX735" s="147"/>
      <c r="BY735" s="147"/>
      <c r="BZ735" s="147"/>
      <c r="CA735" s="147"/>
      <c r="CB735" s="147"/>
      <c r="CC735" s="147"/>
      <c r="CD735" s="147"/>
      <c r="CE735" s="147"/>
      <c r="CF735" s="147"/>
      <c r="CG735" s="147"/>
      <c r="CH735" s="147"/>
      <c r="CI735" s="147"/>
      <c r="CJ735" s="147"/>
      <c r="CK735" s="147"/>
    </row>
    <row r="736" spans="1:89">
      <c r="A736" s="157"/>
      <c r="F736" s="3"/>
      <c r="G736" s="3"/>
      <c r="L736" s="157"/>
      <c r="M736" s="157"/>
      <c r="O736" s="147"/>
      <c r="P736" s="147"/>
      <c r="Q736" s="147"/>
      <c r="R736" s="147"/>
      <c r="S736" s="147"/>
      <c r="T736" s="147"/>
      <c r="U736" s="147"/>
      <c r="V736" s="147"/>
      <c r="W736" s="147"/>
      <c r="X736" s="147"/>
      <c r="Y736" s="147"/>
      <c r="Z736" s="147"/>
      <c r="AA736" s="147"/>
      <c r="AB736" s="147"/>
      <c r="AC736" s="147"/>
      <c r="AD736" s="147"/>
      <c r="AE736" s="147"/>
      <c r="AF736" s="147"/>
      <c r="AG736" s="147"/>
      <c r="AH736" s="147"/>
      <c r="AI736" s="147"/>
      <c r="AJ736" s="147"/>
      <c r="AK736" s="147"/>
      <c r="AL736" s="147"/>
      <c r="AM736" s="151"/>
      <c r="AN736" s="147"/>
      <c r="AO736" s="147"/>
      <c r="AP736" s="147"/>
      <c r="AQ736" s="147"/>
      <c r="AR736" s="147"/>
      <c r="AS736" s="147"/>
      <c r="AT736" s="147"/>
      <c r="AU736" s="147"/>
      <c r="AV736" s="147"/>
      <c r="AW736" s="147"/>
      <c r="AX736" s="147"/>
      <c r="AY736" s="147"/>
      <c r="AZ736" s="147"/>
      <c r="BA736" s="147"/>
      <c r="BB736" s="147"/>
      <c r="BC736" s="147"/>
      <c r="BD736" s="147"/>
      <c r="BE736" s="147"/>
      <c r="BF736" s="147"/>
      <c r="BG736" s="147"/>
      <c r="BH736" s="147"/>
      <c r="BI736" s="147"/>
      <c r="BJ736" s="147"/>
      <c r="BK736" s="147"/>
      <c r="BL736" s="147"/>
      <c r="BM736" s="147"/>
      <c r="BN736" s="147"/>
      <c r="BO736" s="147"/>
      <c r="BP736" s="147"/>
      <c r="BQ736" s="147"/>
      <c r="BR736" s="147"/>
      <c r="BS736" s="147"/>
      <c r="BT736" s="147"/>
      <c r="BU736" s="147"/>
      <c r="BV736" s="147"/>
      <c r="BW736" s="147"/>
      <c r="BX736" s="147"/>
      <c r="BY736" s="147"/>
      <c r="BZ736" s="147"/>
      <c r="CA736" s="147"/>
      <c r="CB736" s="147"/>
      <c r="CC736" s="147"/>
      <c r="CD736" s="147"/>
      <c r="CE736" s="147"/>
      <c r="CF736" s="147"/>
      <c r="CG736" s="147"/>
      <c r="CH736" s="147"/>
      <c r="CI736" s="147"/>
      <c r="CJ736" s="147"/>
      <c r="CK736" s="147"/>
    </row>
    <row r="737" spans="1:89">
      <c r="A737" s="157"/>
      <c r="F737" s="3"/>
      <c r="G737" s="3"/>
      <c r="L737" s="157"/>
      <c r="M737" s="157"/>
      <c r="O737" s="147"/>
      <c r="P737" s="147"/>
      <c r="Q737" s="147"/>
      <c r="R737" s="147"/>
      <c r="S737" s="147"/>
      <c r="T737" s="147"/>
      <c r="U737" s="147"/>
      <c r="V737" s="147"/>
      <c r="W737" s="147"/>
      <c r="X737" s="147"/>
      <c r="Y737" s="147"/>
      <c r="Z737" s="147"/>
      <c r="AA737" s="147"/>
      <c r="AB737" s="147"/>
      <c r="AC737" s="147"/>
      <c r="AD737" s="147"/>
      <c r="AE737" s="147"/>
      <c r="AF737" s="147"/>
      <c r="AG737" s="147"/>
      <c r="AH737" s="147"/>
      <c r="AI737" s="147"/>
      <c r="AJ737" s="147"/>
      <c r="AK737" s="147"/>
      <c r="AL737" s="147"/>
      <c r="AM737" s="151"/>
      <c r="AN737" s="147"/>
      <c r="AO737" s="147"/>
      <c r="AP737" s="147"/>
      <c r="AQ737" s="147"/>
      <c r="AR737" s="147"/>
      <c r="AS737" s="147"/>
      <c r="AT737" s="147"/>
      <c r="AU737" s="147"/>
      <c r="AV737" s="147"/>
      <c r="AW737" s="147"/>
      <c r="AX737" s="147"/>
      <c r="AY737" s="147"/>
      <c r="AZ737" s="147"/>
      <c r="BA737" s="147"/>
      <c r="BB737" s="147"/>
      <c r="BC737" s="147"/>
      <c r="BD737" s="147"/>
      <c r="BE737" s="147"/>
      <c r="BF737" s="147"/>
      <c r="BG737" s="147"/>
      <c r="BH737" s="147"/>
      <c r="BI737" s="147"/>
      <c r="BJ737" s="147"/>
      <c r="BK737" s="147"/>
      <c r="BL737" s="147"/>
      <c r="BM737" s="147"/>
      <c r="BN737" s="147"/>
      <c r="BO737" s="147"/>
      <c r="BP737" s="147"/>
      <c r="BQ737" s="147"/>
      <c r="BR737" s="147"/>
      <c r="BS737" s="147"/>
      <c r="BT737" s="147"/>
      <c r="BU737" s="147"/>
      <c r="BV737" s="147"/>
      <c r="BW737" s="147"/>
      <c r="BX737" s="147"/>
      <c r="BY737" s="147"/>
      <c r="BZ737" s="147"/>
      <c r="CA737" s="147"/>
      <c r="CB737" s="147"/>
      <c r="CC737" s="147"/>
      <c r="CD737" s="147"/>
      <c r="CE737" s="147"/>
      <c r="CF737" s="147"/>
      <c r="CG737" s="147"/>
      <c r="CH737" s="147"/>
      <c r="CI737" s="147"/>
      <c r="CJ737" s="147"/>
      <c r="CK737" s="147"/>
    </row>
    <row r="738" spans="1:89">
      <c r="A738" s="157"/>
      <c r="F738" s="3"/>
      <c r="G738" s="3"/>
      <c r="L738" s="157"/>
      <c r="M738" s="157"/>
      <c r="O738" s="147"/>
      <c r="P738" s="147"/>
      <c r="Q738" s="147"/>
      <c r="R738" s="147"/>
      <c r="S738" s="147"/>
      <c r="T738" s="147"/>
      <c r="U738" s="147"/>
      <c r="V738" s="147"/>
      <c r="W738" s="147"/>
      <c r="X738" s="147"/>
      <c r="Y738" s="147"/>
      <c r="Z738" s="147"/>
      <c r="AA738" s="147"/>
      <c r="AB738" s="147"/>
      <c r="AC738" s="147"/>
      <c r="AD738" s="147"/>
      <c r="AE738" s="147"/>
      <c r="AF738" s="147"/>
      <c r="AG738" s="147"/>
      <c r="AH738" s="147"/>
      <c r="AI738" s="147"/>
      <c r="AJ738" s="147"/>
      <c r="AK738" s="147"/>
      <c r="AL738" s="147"/>
      <c r="AM738" s="151"/>
      <c r="AN738" s="147"/>
      <c r="AO738" s="147"/>
      <c r="AP738" s="147"/>
      <c r="AQ738" s="147"/>
      <c r="AR738" s="147"/>
      <c r="AS738" s="147"/>
      <c r="AT738" s="147"/>
      <c r="AU738" s="147"/>
      <c r="AV738" s="147"/>
      <c r="AW738" s="147"/>
      <c r="AX738" s="147"/>
      <c r="AY738" s="147"/>
      <c r="AZ738" s="147"/>
      <c r="BA738" s="147"/>
      <c r="BB738" s="147"/>
      <c r="BC738" s="147"/>
      <c r="BD738" s="147"/>
      <c r="BE738" s="147"/>
      <c r="BF738" s="147"/>
      <c r="BG738" s="147"/>
      <c r="BH738" s="147"/>
      <c r="BI738" s="147"/>
      <c r="BJ738" s="147"/>
      <c r="BK738" s="147"/>
      <c r="BL738" s="147"/>
      <c r="BM738" s="147"/>
      <c r="BN738" s="147"/>
      <c r="BO738" s="147"/>
      <c r="BP738" s="147"/>
      <c r="BQ738" s="147"/>
      <c r="BR738" s="147"/>
      <c r="BS738" s="147"/>
      <c r="BT738" s="147"/>
      <c r="BU738" s="147"/>
      <c r="BV738" s="147"/>
      <c r="BW738" s="147"/>
      <c r="BX738" s="147"/>
      <c r="BY738" s="147"/>
      <c r="BZ738" s="147"/>
      <c r="CA738" s="147"/>
      <c r="CB738" s="147"/>
      <c r="CC738" s="147"/>
      <c r="CD738" s="147"/>
      <c r="CE738" s="147"/>
      <c r="CF738" s="147"/>
      <c r="CG738" s="147"/>
      <c r="CH738" s="147"/>
      <c r="CI738" s="147"/>
      <c r="CJ738" s="147"/>
      <c r="CK738" s="147"/>
    </row>
    <row r="739" spans="1:89">
      <c r="A739" s="157"/>
      <c r="F739" s="3"/>
      <c r="G739" s="3"/>
      <c r="L739" s="157"/>
      <c r="M739" s="157"/>
      <c r="O739" s="147"/>
      <c r="P739" s="147"/>
      <c r="Q739" s="147"/>
      <c r="R739" s="147"/>
      <c r="S739" s="147"/>
      <c r="T739" s="147"/>
      <c r="U739" s="147"/>
      <c r="V739" s="147"/>
      <c r="W739" s="147"/>
      <c r="X739" s="147"/>
      <c r="Y739" s="147"/>
      <c r="Z739" s="147"/>
      <c r="AA739" s="147"/>
      <c r="AB739" s="147"/>
      <c r="AC739" s="147"/>
      <c r="AD739" s="147"/>
      <c r="AE739" s="147"/>
      <c r="AF739" s="147"/>
      <c r="AG739" s="147"/>
      <c r="AH739" s="147"/>
      <c r="AI739" s="147"/>
      <c r="AJ739" s="147"/>
      <c r="AK739" s="147"/>
      <c r="AL739" s="147"/>
      <c r="AM739" s="151"/>
      <c r="AN739" s="147"/>
      <c r="AO739" s="147"/>
      <c r="AP739" s="147"/>
      <c r="AQ739" s="147"/>
      <c r="AR739" s="147"/>
      <c r="AS739" s="147"/>
      <c r="AT739" s="147"/>
      <c r="AU739" s="147"/>
      <c r="AV739" s="147"/>
      <c r="AW739" s="147"/>
      <c r="AX739" s="147"/>
      <c r="AY739" s="147"/>
      <c r="AZ739" s="147"/>
      <c r="BA739" s="147"/>
      <c r="BB739" s="147"/>
      <c r="BC739" s="147"/>
      <c r="BD739" s="147"/>
      <c r="BE739" s="147"/>
      <c r="BF739" s="147"/>
      <c r="BG739" s="147"/>
      <c r="BH739" s="147"/>
      <c r="BI739" s="147"/>
      <c r="BJ739" s="147"/>
      <c r="BK739" s="147"/>
      <c r="BL739" s="147"/>
      <c r="BM739" s="147"/>
      <c r="BN739" s="147"/>
      <c r="BO739" s="147"/>
      <c r="BP739" s="147"/>
      <c r="BQ739" s="147"/>
      <c r="BR739" s="147"/>
      <c r="BS739" s="147"/>
      <c r="BT739" s="147"/>
      <c r="BU739" s="147"/>
      <c r="BV739" s="147"/>
      <c r="BW739" s="147"/>
      <c r="BX739" s="147"/>
      <c r="BY739" s="147"/>
      <c r="BZ739" s="147"/>
      <c r="CA739" s="147"/>
      <c r="CB739" s="147"/>
      <c r="CC739" s="147"/>
      <c r="CD739" s="147"/>
      <c r="CE739" s="147"/>
      <c r="CF739" s="147"/>
      <c r="CG739" s="147"/>
      <c r="CH739" s="147"/>
      <c r="CI739" s="147"/>
      <c r="CJ739" s="147"/>
      <c r="CK739" s="147"/>
    </row>
    <row r="740" spans="1:89">
      <c r="A740" s="157"/>
      <c r="F740" s="3"/>
      <c r="G740" s="3"/>
      <c r="L740" s="157"/>
      <c r="M740" s="157"/>
      <c r="O740" s="147"/>
      <c r="P740" s="147"/>
      <c r="Q740" s="147"/>
      <c r="R740" s="147"/>
      <c r="S740" s="147"/>
      <c r="T740" s="147"/>
      <c r="U740" s="147"/>
      <c r="V740" s="147"/>
      <c r="W740" s="147"/>
      <c r="X740" s="147"/>
      <c r="Y740" s="147"/>
      <c r="Z740" s="147"/>
      <c r="AA740" s="147"/>
      <c r="AB740" s="147"/>
      <c r="AC740" s="147"/>
      <c r="AD740" s="147"/>
      <c r="AE740" s="147"/>
      <c r="AF740" s="147"/>
      <c r="AG740" s="147"/>
      <c r="AH740" s="147"/>
      <c r="AI740" s="147"/>
      <c r="AJ740" s="147"/>
      <c r="AK740" s="147"/>
      <c r="AL740" s="147"/>
      <c r="AM740" s="151"/>
      <c r="AN740" s="147"/>
      <c r="AO740" s="147"/>
      <c r="AP740" s="147"/>
      <c r="AQ740" s="147"/>
      <c r="AR740" s="147"/>
      <c r="AS740" s="147"/>
      <c r="AT740" s="147"/>
      <c r="AU740" s="147"/>
      <c r="AV740" s="147"/>
      <c r="AW740" s="147"/>
      <c r="AX740" s="147"/>
      <c r="AY740" s="147"/>
      <c r="AZ740" s="147"/>
      <c r="BA740" s="147"/>
      <c r="BB740" s="147"/>
      <c r="BC740" s="147"/>
      <c r="BD740" s="147"/>
      <c r="BE740" s="147"/>
      <c r="BF740" s="147"/>
      <c r="BG740" s="147"/>
      <c r="BH740" s="147"/>
      <c r="BI740" s="147"/>
      <c r="BJ740" s="147"/>
      <c r="BK740" s="147"/>
      <c r="BL740" s="147"/>
      <c r="BM740" s="147"/>
      <c r="BN740" s="147"/>
      <c r="BO740" s="147"/>
      <c r="BP740" s="147"/>
      <c r="BQ740" s="147"/>
      <c r="BR740" s="147"/>
      <c r="BS740" s="147"/>
      <c r="BT740" s="147"/>
      <c r="BU740" s="147"/>
      <c r="BV740" s="147"/>
      <c r="BW740" s="147"/>
      <c r="BX740" s="147"/>
      <c r="BY740" s="147"/>
      <c r="BZ740" s="147"/>
      <c r="CA740" s="147"/>
      <c r="CB740" s="147"/>
      <c r="CC740" s="147"/>
      <c r="CD740" s="147"/>
      <c r="CE740" s="147"/>
      <c r="CF740" s="147"/>
      <c r="CG740" s="147"/>
      <c r="CH740" s="147"/>
      <c r="CI740" s="147"/>
      <c r="CJ740" s="147"/>
      <c r="CK740" s="147"/>
    </row>
    <row r="741" spans="1:89">
      <c r="A741" s="157"/>
      <c r="F741" s="3"/>
      <c r="G741" s="3"/>
      <c r="L741" s="157"/>
      <c r="M741" s="157"/>
      <c r="O741" s="147"/>
      <c r="P741" s="147"/>
      <c r="Q741" s="147"/>
      <c r="R741" s="147"/>
      <c r="S741" s="147"/>
      <c r="T741" s="147"/>
      <c r="U741" s="147"/>
      <c r="V741" s="147"/>
      <c r="W741" s="147"/>
      <c r="X741" s="147"/>
      <c r="Y741" s="147"/>
      <c r="Z741" s="147"/>
      <c r="AA741" s="147"/>
      <c r="AB741" s="147"/>
      <c r="AC741" s="147"/>
      <c r="AD741" s="147"/>
      <c r="AE741" s="147"/>
      <c r="AF741" s="147"/>
      <c r="AG741" s="147"/>
      <c r="AH741" s="147"/>
      <c r="AI741" s="147"/>
      <c r="AJ741" s="147"/>
      <c r="AK741" s="147"/>
      <c r="AL741" s="147"/>
      <c r="AM741" s="151"/>
      <c r="AN741" s="147"/>
      <c r="AO741" s="147"/>
      <c r="AP741" s="147"/>
      <c r="AQ741" s="147"/>
      <c r="AR741" s="147"/>
      <c r="AS741" s="147"/>
      <c r="AT741" s="147"/>
      <c r="AU741" s="147"/>
      <c r="AV741" s="147"/>
      <c r="AW741" s="147"/>
      <c r="AX741" s="147"/>
      <c r="AY741" s="147"/>
      <c r="AZ741" s="147"/>
      <c r="BA741" s="147"/>
      <c r="BB741" s="147"/>
      <c r="BC741" s="147"/>
      <c r="BD741" s="147"/>
      <c r="BE741" s="147"/>
      <c r="BF741" s="147"/>
      <c r="BG741" s="147"/>
      <c r="BH741" s="147"/>
      <c r="BI741" s="147"/>
      <c r="BJ741" s="147"/>
      <c r="BK741" s="147"/>
      <c r="BL741" s="147"/>
      <c r="BM741" s="147"/>
      <c r="BN741" s="147"/>
      <c r="BO741" s="147"/>
      <c r="BP741" s="147"/>
      <c r="BQ741" s="147"/>
      <c r="BR741" s="147"/>
      <c r="BS741" s="147"/>
      <c r="BT741" s="147"/>
      <c r="BU741" s="147"/>
      <c r="BV741" s="147"/>
      <c r="BW741" s="147"/>
      <c r="BX741" s="147"/>
      <c r="BY741" s="147"/>
      <c r="BZ741" s="147"/>
      <c r="CA741" s="147"/>
      <c r="CB741" s="147"/>
      <c r="CC741" s="147"/>
      <c r="CD741" s="147"/>
      <c r="CE741" s="147"/>
      <c r="CF741" s="147"/>
      <c r="CG741" s="147"/>
      <c r="CH741" s="147"/>
      <c r="CI741" s="147"/>
      <c r="CJ741" s="147"/>
      <c r="CK741" s="147"/>
    </row>
    <row r="742" spans="1:89">
      <c r="A742" s="157"/>
      <c r="F742" s="3"/>
      <c r="G742" s="3"/>
      <c r="L742" s="157"/>
      <c r="M742" s="157"/>
      <c r="O742" s="147"/>
      <c r="P742" s="147"/>
      <c r="Q742" s="147"/>
      <c r="R742" s="147"/>
      <c r="S742" s="147"/>
      <c r="T742" s="147"/>
      <c r="U742" s="147"/>
      <c r="V742" s="147"/>
      <c r="W742" s="147"/>
      <c r="X742" s="147"/>
      <c r="Y742" s="147"/>
      <c r="Z742" s="147"/>
      <c r="AA742" s="147"/>
      <c r="AB742" s="147"/>
      <c r="AC742" s="147"/>
      <c r="AD742" s="147"/>
      <c r="AE742" s="147"/>
      <c r="AF742" s="147"/>
      <c r="AG742" s="147"/>
      <c r="AH742" s="147"/>
      <c r="AI742" s="147"/>
      <c r="AJ742" s="147"/>
      <c r="AK742" s="147"/>
      <c r="AL742" s="147"/>
      <c r="AM742" s="151"/>
      <c r="AN742" s="147"/>
      <c r="AO742" s="147"/>
      <c r="AP742" s="147"/>
      <c r="AQ742" s="147"/>
      <c r="AR742" s="147"/>
      <c r="AS742" s="147"/>
      <c r="AT742" s="147"/>
      <c r="AU742" s="147"/>
      <c r="AV742" s="147"/>
      <c r="AW742" s="147"/>
      <c r="AX742" s="147"/>
      <c r="AY742" s="147"/>
      <c r="AZ742" s="147"/>
      <c r="BA742" s="147"/>
      <c r="BB742" s="147"/>
      <c r="BC742" s="147"/>
      <c r="BD742" s="147"/>
      <c r="BE742" s="147"/>
      <c r="BF742" s="147"/>
      <c r="BG742" s="147"/>
      <c r="BH742" s="147"/>
      <c r="BI742" s="147"/>
      <c r="BJ742" s="147"/>
      <c r="BK742" s="147"/>
      <c r="BL742" s="147"/>
      <c r="BM742" s="147"/>
      <c r="BN742" s="147"/>
      <c r="BO742" s="147"/>
      <c r="BP742" s="147"/>
      <c r="BQ742" s="147"/>
      <c r="BR742" s="147"/>
      <c r="BS742" s="147"/>
      <c r="BT742" s="147"/>
      <c r="BU742" s="147"/>
      <c r="BV742" s="147"/>
      <c r="BW742" s="147"/>
      <c r="BX742" s="147"/>
      <c r="BY742" s="147"/>
      <c r="BZ742" s="147"/>
      <c r="CA742" s="147"/>
      <c r="CB742" s="147"/>
      <c r="CC742" s="147"/>
      <c r="CD742" s="147"/>
      <c r="CE742" s="147"/>
      <c r="CF742" s="147"/>
      <c r="CG742" s="147"/>
      <c r="CH742" s="147"/>
      <c r="CI742" s="147"/>
      <c r="CJ742" s="147"/>
      <c r="CK742" s="147"/>
    </row>
    <row r="743" spans="1:89">
      <c r="A743" s="157"/>
      <c r="F743" s="3"/>
      <c r="G743" s="3"/>
      <c r="L743" s="157"/>
      <c r="M743" s="157"/>
      <c r="O743" s="147"/>
      <c r="P743" s="147"/>
      <c r="Q743" s="147"/>
      <c r="R743" s="147"/>
      <c r="S743" s="147"/>
      <c r="T743" s="147"/>
      <c r="U743" s="147"/>
      <c r="V743" s="147"/>
      <c r="W743" s="147"/>
      <c r="X743" s="147"/>
      <c r="Y743" s="147"/>
      <c r="Z743" s="147"/>
      <c r="AA743" s="147"/>
      <c r="AB743" s="147"/>
      <c r="AC743" s="147"/>
      <c r="AD743" s="147"/>
      <c r="AE743" s="147"/>
      <c r="AF743" s="147"/>
      <c r="AG743" s="147"/>
      <c r="AH743" s="147"/>
      <c r="AI743" s="147"/>
      <c r="AJ743" s="147"/>
      <c r="AK743" s="147"/>
      <c r="AL743" s="147"/>
      <c r="AM743" s="151"/>
      <c r="AN743" s="147"/>
      <c r="AO743" s="147"/>
      <c r="AP743" s="147"/>
      <c r="AQ743" s="147"/>
      <c r="AR743" s="147"/>
      <c r="AS743" s="147"/>
      <c r="AT743" s="147"/>
      <c r="AU743" s="147"/>
      <c r="AV743" s="147"/>
      <c r="AW743" s="147"/>
      <c r="AX743" s="147"/>
      <c r="AY743" s="147"/>
      <c r="AZ743" s="147"/>
      <c r="BA743" s="147"/>
      <c r="BB743" s="147"/>
      <c r="BC743" s="147"/>
      <c r="BD743" s="147"/>
      <c r="BE743" s="147"/>
      <c r="BF743" s="147"/>
      <c r="BG743" s="147"/>
      <c r="BH743" s="147"/>
      <c r="BI743" s="147"/>
      <c r="BJ743" s="147"/>
      <c r="BK743" s="147"/>
      <c r="BL743" s="147"/>
      <c r="BM743" s="147"/>
      <c r="BN743" s="147"/>
      <c r="BO743" s="147"/>
      <c r="BP743" s="147"/>
      <c r="BQ743" s="147"/>
      <c r="BR743" s="147"/>
      <c r="BS743" s="147"/>
      <c r="BT743" s="147"/>
      <c r="BU743" s="147"/>
      <c r="BV743" s="147"/>
      <c r="BW743" s="147"/>
      <c r="BX743" s="147"/>
      <c r="BY743" s="147"/>
      <c r="BZ743" s="147"/>
      <c r="CA743" s="147"/>
      <c r="CB743" s="147"/>
      <c r="CC743" s="147"/>
      <c r="CD743" s="147"/>
      <c r="CE743" s="147"/>
      <c r="CF743" s="147"/>
      <c r="CG743" s="147"/>
      <c r="CH743" s="147"/>
      <c r="CI743" s="147"/>
      <c r="CJ743" s="147"/>
      <c r="CK743" s="147"/>
    </row>
    <row r="744" spans="1:89">
      <c r="A744" s="157"/>
      <c r="F744" s="3"/>
      <c r="G744" s="3"/>
      <c r="L744" s="157"/>
      <c r="M744" s="157"/>
      <c r="O744" s="147"/>
      <c r="P744" s="147"/>
      <c r="Q744" s="147"/>
      <c r="R744" s="147"/>
      <c r="S744" s="147"/>
      <c r="T744" s="147"/>
      <c r="U744" s="147"/>
      <c r="V744" s="147"/>
      <c r="W744" s="147"/>
      <c r="X744" s="147"/>
      <c r="Y744" s="147"/>
      <c r="Z744" s="147"/>
      <c r="AA744" s="147"/>
      <c r="AB744" s="147"/>
      <c r="AC744" s="147"/>
      <c r="AD744" s="147"/>
      <c r="AE744" s="147"/>
      <c r="AF744" s="147"/>
      <c r="AG744" s="147"/>
      <c r="AH744" s="147"/>
      <c r="AI744" s="147"/>
      <c r="AJ744" s="147"/>
      <c r="AK744" s="147"/>
      <c r="AL744" s="147"/>
      <c r="AM744" s="151"/>
      <c r="AN744" s="147"/>
      <c r="AO744" s="147"/>
      <c r="AP744" s="147"/>
      <c r="AQ744" s="147"/>
      <c r="AR744" s="147"/>
      <c r="AS744" s="147"/>
      <c r="AT744" s="147"/>
      <c r="AU744" s="147"/>
      <c r="AV744" s="147"/>
      <c r="AW744" s="147"/>
      <c r="AX744" s="147"/>
      <c r="AY744" s="147"/>
      <c r="AZ744" s="147"/>
      <c r="BA744" s="147"/>
      <c r="BB744" s="147"/>
      <c r="BC744" s="147"/>
      <c r="BD744" s="147"/>
      <c r="BE744" s="147"/>
      <c r="BF744" s="147"/>
      <c r="BG744" s="147"/>
      <c r="BH744" s="147"/>
      <c r="BI744" s="147"/>
      <c r="BJ744" s="147"/>
      <c r="BK744" s="147"/>
      <c r="BL744" s="147"/>
      <c r="BM744" s="147"/>
      <c r="BN744" s="147"/>
      <c r="BO744" s="147"/>
      <c r="BP744" s="147"/>
      <c r="BQ744" s="147"/>
      <c r="BR744" s="147"/>
      <c r="BS744" s="147"/>
      <c r="BT744" s="147"/>
      <c r="BU744" s="147"/>
      <c r="BV744" s="147"/>
      <c r="BW744" s="147"/>
      <c r="BX744" s="147"/>
      <c r="BY744" s="147"/>
      <c r="BZ744" s="147"/>
      <c r="CA744" s="147"/>
      <c r="CB744" s="147"/>
      <c r="CC744" s="147"/>
      <c r="CD744" s="147"/>
      <c r="CE744" s="147"/>
      <c r="CF744" s="147"/>
      <c r="CG744" s="147"/>
      <c r="CH744" s="147"/>
      <c r="CI744" s="147"/>
      <c r="CJ744" s="147"/>
      <c r="CK744" s="147"/>
    </row>
    <row r="745" spans="1:89">
      <c r="A745" s="157"/>
      <c r="F745" s="3"/>
      <c r="G745" s="3"/>
      <c r="L745" s="157"/>
      <c r="M745" s="157"/>
      <c r="O745" s="147"/>
      <c r="P745" s="147"/>
      <c r="Q745" s="147"/>
      <c r="R745" s="147"/>
      <c r="S745" s="147"/>
      <c r="T745" s="147"/>
      <c r="U745" s="147"/>
      <c r="V745" s="147"/>
      <c r="W745" s="147"/>
      <c r="X745" s="147"/>
      <c r="Y745" s="147"/>
      <c r="Z745" s="147"/>
      <c r="AA745" s="147"/>
      <c r="AB745" s="147"/>
      <c r="AC745" s="147"/>
      <c r="AD745" s="147"/>
      <c r="AE745" s="147"/>
      <c r="AF745" s="147"/>
      <c r="AG745" s="147"/>
      <c r="AH745" s="147"/>
      <c r="AI745" s="147"/>
      <c r="AJ745" s="147"/>
      <c r="AK745" s="147"/>
      <c r="AL745" s="147"/>
      <c r="AM745" s="151"/>
      <c r="AN745" s="147"/>
      <c r="AO745" s="147"/>
      <c r="AP745" s="147"/>
      <c r="AQ745" s="147"/>
      <c r="AR745" s="147"/>
      <c r="AS745" s="147"/>
      <c r="AT745" s="147"/>
      <c r="AU745" s="147"/>
      <c r="AV745" s="147"/>
      <c r="AW745" s="147"/>
      <c r="AX745" s="147"/>
      <c r="AY745" s="147"/>
      <c r="AZ745" s="147"/>
      <c r="BA745" s="147"/>
      <c r="BB745" s="147"/>
      <c r="BC745" s="147"/>
      <c r="BD745" s="147"/>
      <c r="BE745" s="147"/>
      <c r="BF745" s="147"/>
      <c r="BG745" s="147"/>
      <c r="BH745" s="147"/>
      <c r="BI745" s="147"/>
      <c r="BJ745" s="147"/>
      <c r="BK745" s="147"/>
      <c r="BL745" s="147"/>
      <c r="BM745" s="147"/>
      <c r="BN745" s="147"/>
      <c r="BO745" s="147"/>
      <c r="BP745" s="147"/>
      <c r="BQ745" s="147"/>
      <c r="BR745" s="147"/>
      <c r="BS745" s="147"/>
      <c r="BT745" s="147"/>
      <c r="BU745" s="147"/>
      <c r="BV745" s="147"/>
      <c r="BW745" s="147"/>
      <c r="BX745" s="147"/>
      <c r="BY745" s="147"/>
      <c r="BZ745" s="147"/>
      <c r="CA745" s="147"/>
      <c r="CB745" s="147"/>
      <c r="CC745" s="147"/>
      <c r="CD745" s="147"/>
      <c r="CE745" s="147"/>
      <c r="CF745" s="147"/>
      <c r="CG745" s="147"/>
      <c r="CH745" s="147"/>
      <c r="CI745" s="147"/>
      <c r="CJ745" s="147"/>
      <c r="CK745" s="147"/>
    </row>
    <row r="746" spans="1:89">
      <c r="A746" s="157"/>
      <c r="F746" s="3"/>
      <c r="G746" s="3"/>
      <c r="L746" s="157"/>
      <c r="M746" s="157"/>
      <c r="O746" s="147"/>
      <c r="P746" s="147"/>
      <c r="Q746" s="147"/>
      <c r="R746" s="147"/>
      <c r="S746" s="147"/>
      <c r="T746" s="147"/>
      <c r="U746" s="147"/>
      <c r="V746" s="147"/>
      <c r="W746" s="147"/>
      <c r="X746" s="147"/>
      <c r="Y746" s="147"/>
      <c r="Z746" s="147"/>
      <c r="AA746" s="147"/>
      <c r="AB746" s="147"/>
      <c r="AC746" s="147"/>
      <c r="AD746" s="147"/>
      <c r="AE746" s="147"/>
      <c r="AF746" s="147"/>
      <c r="AG746" s="147"/>
      <c r="AH746" s="147"/>
      <c r="AI746" s="147"/>
      <c r="AJ746" s="147"/>
      <c r="AK746" s="147"/>
      <c r="AL746" s="147"/>
      <c r="AM746" s="151"/>
      <c r="AN746" s="147"/>
      <c r="AO746" s="147"/>
      <c r="AP746" s="147"/>
      <c r="AQ746" s="147"/>
      <c r="AR746" s="147"/>
      <c r="AS746" s="147"/>
      <c r="AT746" s="147"/>
      <c r="AU746" s="147"/>
      <c r="AV746" s="147"/>
      <c r="AW746" s="147"/>
      <c r="AX746" s="147"/>
      <c r="AY746" s="147"/>
      <c r="AZ746" s="147"/>
      <c r="BA746" s="147"/>
      <c r="BB746" s="147"/>
      <c r="BC746" s="147"/>
      <c r="BD746" s="147"/>
      <c r="BE746" s="147"/>
      <c r="BF746" s="147"/>
      <c r="BG746" s="147"/>
      <c r="BH746" s="147"/>
      <c r="BI746" s="147"/>
      <c r="BJ746" s="147"/>
      <c r="BK746" s="147"/>
      <c r="BL746" s="147"/>
      <c r="BM746" s="147"/>
      <c r="BN746" s="147"/>
      <c r="BO746" s="147"/>
      <c r="BP746" s="147"/>
      <c r="BQ746" s="147"/>
      <c r="BR746" s="147"/>
      <c r="BS746" s="147"/>
      <c r="BT746" s="147"/>
      <c r="BU746" s="147"/>
      <c r="BV746" s="147"/>
      <c r="BW746" s="147"/>
      <c r="BX746" s="147"/>
      <c r="BY746" s="147"/>
      <c r="BZ746" s="147"/>
      <c r="CA746" s="147"/>
      <c r="CB746" s="147"/>
      <c r="CC746" s="147"/>
      <c r="CD746" s="147"/>
      <c r="CE746" s="147"/>
      <c r="CF746" s="147"/>
      <c r="CG746" s="147"/>
      <c r="CH746" s="147"/>
      <c r="CI746" s="147"/>
      <c r="CJ746" s="147"/>
      <c r="CK746" s="147"/>
    </row>
    <row r="747" spans="1:89">
      <c r="A747" s="157"/>
      <c r="F747" s="3"/>
      <c r="G747" s="3"/>
      <c r="L747" s="157"/>
      <c r="M747" s="157"/>
      <c r="O747" s="147"/>
      <c r="P747" s="147"/>
      <c r="Q747" s="147"/>
      <c r="R747" s="147"/>
      <c r="S747" s="147"/>
      <c r="T747" s="147"/>
      <c r="U747" s="147"/>
      <c r="V747" s="147"/>
      <c r="W747" s="147"/>
      <c r="X747" s="147"/>
      <c r="Y747" s="147"/>
      <c r="Z747" s="147"/>
      <c r="AA747" s="147"/>
      <c r="AB747" s="147"/>
      <c r="AC747" s="147"/>
      <c r="AD747" s="147"/>
      <c r="AE747" s="147"/>
      <c r="AF747" s="147"/>
      <c r="AG747" s="147"/>
      <c r="AH747" s="147"/>
      <c r="AI747" s="147"/>
      <c r="AJ747" s="147"/>
      <c r="AK747" s="147"/>
      <c r="AL747" s="147"/>
      <c r="AM747" s="151"/>
      <c r="AN747" s="147"/>
      <c r="AO747" s="147"/>
      <c r="AP747" s="147"/>
      <c r="AQ747" s="147"/>
      <c r="AR747" s="147"/>
      <c r="AS747" s="147"/>
      <c r="AT747" s="147"/>
      <c r="AU747" s="147"/>
      <c r="AV747" s="147"/>
      <c r="AW747" s="147"/>
      <c r="AX747" s="147"/>
      <c r="AY747" s="147"/>
      <c r="AZ747" s="147"/>
      <c r="BA747" s="147"/>
      <c r="BB747" s="147"/>
      <c r="BC747" s="147"/>
      <c r="BD747" s="147"/>
      <c r="BE747" s="147"/>
      <c r="BF747" s="147"/>
      <c r="BG747" s="147"/>
      <c r="BH747" s="147"/>
      <c r="BI747" s="147"/>
      <c r="BJ747" s="147"/>
      <c r="BK747" s="147"/>
      <c r="BL747" s="147"/>
      <c r="BM747" s="147"/>
      <c r="BN747" s="147"/>
      <c r="BO747" s="147"/>
      <c r="BP747" s="147"/>
      <c r="BQ747" s="147"/>
      <c r="BR747" s="147"/>
      <c r="BS747" s="147"/>
      <c r="BT747" s="147"/>
      <c r="BU747" s="147"/>
      <c r="BV747" s="147"/>
      <c r="BW747" s="147"/>
      <c r="BX747" s="147"/>
      <c r="BY747" s="147"/>
      <c r="BZ747" s="147"/>
      <c r="CA747" s="147"/>
      <c r="CB747" s="147"/>
      <c r="CC747" s="147"/>
      <c r="CD747" s="147"/>
      <c r="CE747" s="147"/>
      <c r="CF747" s="147"/>
      <c r="CG747" s="147"/>
      <c r="CH747" s="147"/>
      <c r="CI747" s="147"/>
      <c r="CJ747" s="147"/>
      <c r="CK747" s="147"/>
    </row>
    <row r="748" spans="1:89">
      <c r="A748" s="157"/>
      <c r="F748" s="3"/>
      <c r="G748" s="3"/>
      <c r="L748" s="157"/>
      <c r="M748" s="157"/>
      <c r="O748" s="147"/>
      <c r="P748" s="147"/>
      <c r="Q748" s="147"/>
      <c r="R748" s="147"/>
      <c r="S748" s="147"/>
      <c r="T748" s="147"/>
      <c r="U748" s="147"/>
      <c r="V748" s="147"/>
      <c r="W748" s="147"/>
      <c r="X748" s="147"/>
      <c r="Y748" s="147"/>
      <c r="Z748" s="147"/>
      <c r="AA748" s="147"/>
      <c r="AB748" s="147"/>
      <c r="AC748" s="147"/>
      <c r="AD748" s="147"/>
      <c r="AE748" s="147"/>
      <c r="AF748" s="147"/>
      <c r="AG748" s="147"/>
      <c r="AH748" s="147"/>
      <c r="AI748" s="147"/>
      <c r="AJ748" s="147"/>
      <c r="AK748" s="147"/>
      <c r="AL748" s="147"/>
      <c r="AM748" s="151"/>
      <c r="AN748" s="147"/>
      <c r="AO748" s="147"/>
      <c r="AP748" s="147"/>
      <c r="AQ748" s="147"/>
      <c r="AR748" s="147"/>
      <c r="AS748" s="147"/>
      <c r="AT748" s="147"/>
      <c r="AU748" s="147"/>
      <c r="AV748" s="147"/>
      <c r="AW748" s="147"/>
      <c r="AX748" s="147"/>
      <c r="AY748" s="147"/>
      <c r="AZ748" s="147"/>
      <c r="BA748" s="147"/>
      <c r="BB748" s="147"/>
      <c r="BC748" s="147"/>
      <c r="BD748" s="147"/>
      <c r="BE748" s="147"/>
      <c r="BF748" s="147"/>
      <c r="BG748" s="147"/>
      <c r="BH748" s="147"/>
      <c r="BI748" s="147"/>
      <c r="BJ748" s="147"/>
      <c r="BK748" s="147"/>
      <c r="BL748" s="147"/>
      <c r="BM748" s="147"/>
      <c r="BN748" s="147"/>
      <c r="BO748" s="147"/>
      <c r="BP748" s="147"/>
      <c r="BQ748" s="147"/>
      <c r="BR748" s="147"/>
      <c r="BS748" s="147"/>
      <c r="BT748" s="147"/>
      <c r="BU748" s="147"/>
      <c r="BV748" s="147"/>
      <c r="BW748" s="147"/>
      <c r="BX748" s="147"/>
      <c r="BY748" s="147"/>
      <c r="BZ748" s="147"/>
      <c r="CA748" s="147"/>
      <c r="CB748" s="147"/>
      <c r="CC748" s="147"/>
      <c r="CD748" s="147"/>
      <c r="CE748" s="147"/>
      <c r="CF748" s="147"/>
      <c r="CG748" s="147"/>
      <c r="CH748" s="147"/>
      <c r="CI748" s="147"/>
      <c r="CJ748" s="147"/>
      <c r="CK748" s="147"/>
    </row>
    <row r="749" spans="1:89">
      <c r="A749" s="157"/>
      <c r="F749" s="3"/>
      <c r="G749" s="3"/>
      <c r="L749" s="157"/>
      <c r="M749" s="157"/>
      <c r="O749" s="147"/>
      <c r="P749" s="147"/>
      <c r="Q749" s="147"/>
      <c r="R749" s="147"/>
      <c r="S749" s="147"/>
      <c r="T749" s="147"/>
      <c r="U749" s="147"/>
      <c r="V749" s="147"/>
      <c r="W749" s="147"/>
      <c r="X749" s="147"/>
      <c r="Y749" s="147"/>
      <c r="Z749" s="147"/>
      <c r="AA749" s="147"/>
      <c r="AB749" s="147"/>
      <c r="AC749" s="147"/>
      <c r="AD749" s="147"/>
      <c r="AE749" s="147"/>
      <c r="AF749" s="147"/>
      <c r="AG749" s="147"/>
      <c r="AH749" s="147"/>
      <c r="AI749" s="147"/>
      <c r="AJ749" s="147"/>
      <c r="AK749" s="147"/>
      <c r="AL749" s="147"/>
      <c r="AM749" s="151"/>
      <c r="AN749" s="147"/>
      <c r="AO749" s="147"/>
      <c r="AP749" s="147"/>
      <c r="AQ749" s="147"/>
      <c r="AR749" s="147"/>
      <c r="AS749" s="147"/>
      <c r="AT749" s="147"/>
      <c r="AU749" s="147"/>
      <c r="AV749" s="147"/>
      <c r="AW749" s="147"/>
      <c r="AX749" s="147"/>
      <c r="AY749" s="147"/>
      <c r="AZ749" s="147"/>
      <c r="BA749" s="147"/>
      <c r="BB749" s="147"/>
      <c r="BC749" s="147"/>
      <c r="BD749" s="147"/>
      <c r="BE749" s="147"/>
      <c r="BF749" s="147"/>
      <c r="BG749" s="147"/>
      <c r="BH749" s="147"/>
      <c r="BI749" s="147"/>
      <c r="BJ749" s="147"/>
      <c r="BK749" s="147"/>
      <c r="BL749" s="147"/>
      <c r="BM749" s="147"/>
      <c r="BN749" s="147"/>
      <c r="BO749" s="147"/>
      <c r="BP749" s="147"/>
      <c r="BQ749" s="147"/>
      <c r="BR749" s="147"/>
      <c r="BS749" s="147"/>
      <c r="BT749" s="147"/>
      <c r="BU749" s="147"/>
      <c r="BV749" s="147"/>
      <c r="BW749" s="147"/>
      <c r="BX749" s="147"/>
      <c r="BY749" s="147"/>
      <c r="BZ749" s="147"/>
      <c r="CA749" s="147"/>
      <c r="CB749" s="147"/>
      <c r="CC749" s="147"/>
      <c r="CD749" s="147"/>
      <c r="CE749" s="147"/>
      <c r="CF749" s="147"/>
      <c r="CG749" s="147"/>
      <c r="CH749" s="147"/>
      <c r="CI749" s="147"/>
      <c r="CJ749" s="147"/>
      <c r="CK749" s="147"/>
    </row>
    <row r="750" spans="1:89">
      <c r="A750" s="157"/>
      <c r="F750" s="3"/>
      <c r="G750" s="3"/>
      <c r="L750" s="157"/>
      <c r="M750" s="157"/>
      <c r="O750" s="147"/>
      <c r="P750" s="147"/>
      <c r="Q750" s="147"/>
      <c r="R750" s="147"/>
      <c r="S750" s="147"/>
      <c r="T750" s="147"/>
      <c r="U750" s="147"/>
      <c r="V750" s="147"/>
      <c r="W750" s="147"/>
      <c r="X750" s="147"/>
      <c r="Y750" s="147"/>
      <c r="Z750" s="147"/>
      <c r="AA750" s="147"/>
      <c r="AB750" s="147"/>
      <c r="AC750" s="147"/>
      <c r="AD750" s="147"/>
      <c r="AE750" s="147"/>
      <c r="AF750" s="147"/>
      <c r="AG750" s="147"/>
      <c r="AH750" s="147"/>
      <c r="AI750" s="147"/>
      <c r="AJ750" s="147"/>
      <c r="AK750" s="147"/>
      <c r="AL750" s="147"/>
      <c r="AM750" s="151"/>
      <c r="AN750" s="147"/>
      <c r="AO750" s="147"/>
      <c r="AP750" s="147"/>
      <c r="AQ750" s="147"/>
      <c r="AR750" s="147"/>
      <c r="AS750" s="147"/>
      <c r="AT750" s="147"/>
      <c r="AU750" s="147"/>
      <c r="AV750" s="147"/>
      <c r="AW750" s="147"/>
      <c r="AX750" s="147"/>
      <c r="AY750" s="147"/>
      <c r="AZ750" s="147"/>
      <c r="BA750" s="147"/>
      <c r="BB750" s="147"/>
      <c r="BC750" s="147"/>
      <c r="BD750" s="147"/>
      <c r="BE750" s="147"/>
      <c r="BF750" s="147"/>
      <c r="BG750" s="147"/>
      <c r="BH750" s="147"/>
      <c r="BI750" s="147"/>
      <c r="BJ750" s="147"/>
      <c r="BK750" s="147"/>
      <c r="BL750" s="147"/>
      <c r="BM750" s="147"/>
      <c r="BN750" s="147"/>
      <c r="BO750" s="147"/>
      <c r="BP750" s="147"/>
      <c r="BQ750" s="147"/>
      <c r="BR750" s="147"/>
      <c r="BS750" s="147"/>
      <c r="BT750" s="147"/>
      <c r="BU750" s="147"/>
      <c r="BV750" s="147"/>
      <c r="BW750" s="147"/>
      <c r="BX750" s="147"/>
      <c r="BY750" s="147"/>
      <c r="BZ750" s="147"/>
      <c r="CA750" s="147"/>
      <c r="CB750" s="147"/>
      <c r="CC750" s="147"/>
      <c r="CD750" s="147"/>
      <c r="CE750" s="147"/>
      <c r="CF750" s="147"/>
      <c r="CG750" s="147"/>
      <c r="CH750" s="147"/>
      <c r="CI750" s="147"/>
      <c r="CJ750" s="147"/>
      <c r="CK750" s="147"/>
    </row>
    <row r="751" spans="1:89">
      <c r="A751" s="157"/>
      <c r="F751" s="3"/>
      <c r="G751" s="3"/>
      <c r="L751" s="157"/>
      <c r="M751" s="157"/>
      <c r="O751" s="147"/>
      <c r="P751" s="147"/>
      <c r="Q751" s="147"/>
      <c r="R751" s="147"/>
      <c r="S751" s="147"/>
      <c r="T751" s="147"/>
      <c r="U751" s="147"/>
      <c r="V751" s="147"/>
      <c r="W751" s="147"/>
      <c r="X751" s="147"/>
      <c r="Y751" s="147"/>
      <c r="Z751" s="147"/>
      <c r="AA751" s="147"/>
      <c r="AB751" s="147"/>
      <c r="AC751" s="147"/>
      <c r="AD751" s="147"/>
      <c r="AE751" s="147"/>
      <c r="AF751" s="147"/>
      <c r="AG751" s="147"/>
      <c r="AH751" s="147"/>
      <c r="AI751" s="147"/>
      <c r="AJ751" s="147"/>
      <c r="AK751" s="147"/>
      <c r="AL751" s="147"/>
      <c r="AM751" s="151"/>
      <c r="AN751" s="147"/>
      <c r="AO751" s="147"/>
      <c r="AP751" s="147"/>
      <c r="AQ751" s="147"/>
      <c r="AR751" s="147"/>
      <c r="AS751" s="147"/>
      <c r="AT751" s="147"/>
      <c r="AU751" s="147"/>
      <c r="AV751" s="147"/>
      <c r="AW751" s="147"/>
      <c r="AX751" s="147"/>
      <c r="AY751" s="147"/>
      <c r="AZ751" s="147"/>
      <c r="BA751" s="147"/>
      <c r="BB751" s="147"/>
      <c r="BC751" s="147"/>
      <c r="BD751" s="147"/>
      <c r="BE751" s="147"/>
      <c r="BF751" s="147"/>
      <c r="BG751" s="147"/>
      <c r="BH751" s="147"/>
      <c r="BI751" s="147"/>
      <c r="BJ751" s="147"/>
      <c r="BK751" s="147"/>
      <c r="BL751" s="147"/>
      <c r="BM751" s="147"/>
      <c r="BN751" s="147"/>
      <c r="BO751" s="147"/>
      <c r="BP751" s="147"/>
      <c r="BQ751" s="147"/>
      <c r="BR751" s="147"/>
      <c r="BS751" s="147"/>
      <c r="BT751" s="147"/>
      <c r="BU751" s="147"/>
      <c r="BV751" s="147"/>
      <c r="BW751" s="147"/>
      <c r="BX751" s="147"/>
      <c r="BY751" s="147"/>
      <c r="BZ751" s="147"/>
      <c r="CA751" s="147"/>
      <c r="CB751" s="147"/>
      <c r="CC751" s="147"/>
      <c r="CD751" s="147"/>
      <c r="CE751" s="147"/>
      <c r="CF751" s="147"/>
      <c r="CG751" s="147"/>
      <c r="CH751" s="147"/>
      <c r="CI751" s="147"/>
      <c r="CJ751" s="147"/>
      <c r="CK751" s="147"/>
    </row>
    <row r="752" spans="1:89">
      <c r="A752" s="157"/>
      <c r="F752" s="3"/>
      <c r="G752" s="3"/>
      <c r="L752" s="157"/>
      <c r="M752" s="157"/>
      <c r="O752" s="147"/>
      <c r="P752" s="147"/>
      <c r="Q752" s="147"/>
      <c r="R752" s="147"/>
      <c r="S752" s="147"/>
      <c r="T752" s="147"/>
      <c r="U752" s="147"/>
      <c r="V752" s="147"/>
      <c r="W752" s="147"/>
      <c r="X752" s="147"/>
      <c r="Y752" s="147"/>
      <c r="Z752" s="147"/>
      <c r="AA752" s="147"/>
      <c r="AB752" s="147"/>
      <c r="AC752" s="147"/>
      <c r="AD752" s="147"/>
      <c r="AE752" s="147"/>
      <c r="AF752" s="147"/>
      <c r="AG752" s="147"/>
      <c r="AH752" s="147"/>
      <c r="AI752" s="147"/>
      <c r="AJ752" s="147"/>
      <c r="AK752" s="147"/>
      <c r="AL752" s="147"/>
      <c r="AM752" s="151"/>
      <c r="AN752" s="147"/>
      <c r="AO752" s="147"/>
      <c r="AP752" s="147"/>
      <c r="AQ752" s="147"/>
      <c r="AR752" s="147"/>
      <c r="AS752" s="147"/>
      <c r="AT752" s="147"/>
      <c r="AU752" s="147"/>
      <c r="AV752" s="147"/>
      <c r="AW752" s="147"/>
      <c r="AX752" s="147"/>
      <c r="AY752" s="147"/>
      <c r="AZ752" s="147"/>
      <c r="BA752" s="147"/>
      <c r="BB752" s="147"/>
      <c r="BC752" s="147"/>
      <c r="BD752" s="147"/>
      <c r="BE752" s="147"/>
      <c r="BF752" s="147"/>
      <c r="BG752" s="147"/>
      <c r="BH752" s="147"/>
      <c r="BI752" s="147"/>
      <c r="BJ752" s="147"/>
      <c r="BK752" s="147"/>
      <c r="BL752" s="147"/>
      <c r="BM752" s="147"/>
      <c r="BN752" s="147"/>
      <c r="BO752" s="147"/>
      <c r="BP752" s="147"/>
      <c r="BQ752" s="147"/>
      <c r="BR752" s="147"/>
      <c r="BS752" s="147"/>
      <c r="BT752" s="147"/>
      <c r="BU752" s="147"/>
      <c r="BV752" s="147"/>
      <c r="BW752" s="147"/>
      <c r="BX752" s="147"/>
      <c r="BY752" s="147"/>
      <c r="BZ752" s="147"/>
      <c r="CA752" s="147"/>
      <c r="CB752" s="147"/>
      <c r="CC752" s="147"/>
      <c r="CD752" s="147"/>
      <c r="CE752" s="147"/>
      <c r="CF752" s="147"/>
      <c r="CG752" s="147"/>
      <c r="CH752" s="147"/>
      <c r="CI752" s="147"/>
      <c r="CJ752" s="147"/>
      <c r="CK752" s="147"/>
    </row>
    <row r="753" spans="1:89">
      <c r="A753" s="157"/>
      <c r="F753" s="3"/>
      <c r="G753" s="3"/>
      <c r="L753" s="157"/>
      <c r="M753" s="157"/>
      <c r="O753" s="147"/>
      <c r="P753" s="147"/>
      <c r="Q753" s="147"/>
      <c r="R753" s="147"/>
      <c r="S753" s="147"/>
      <c r="T753" s="147"/>
      <c r="U753" s="147"/>
      <c r="V753" s="147"/>
      <c r="W753" s="147"/>
      <c r="X753" s="147"/>
      <c r="Y753" s="147"/>
      <c r="Z753" s="147"/>
      <c r="AA753" s="147"/>
      <c r="AB753" s="147"/>
      <c r="AC753" s="147"/>
      <c r="AD753" s="147"/>
      <c r="AE753" s="147"/>
      <c r="AF753" s="147"/>
      <c r="AG753" s="147"/>
      <c r="AH753" s="147"/>
      <c r="AI753" s="147"/>
      <c r="AJ753" s="147"/>
      <c r="AK753" s="147"/>
      <c r="AL753" s="147"/>
      <c r="AM753" s="151"/>
      <c r="AN753" s="147"/>
      <c r="AO753" s="147"/>
      <c r="AP753" s="147"/>
      <c r="AQ753" s="147"/>
      <c r="AR753" s="147"/>
      <c r="AS753" s="147"/>
      <c r="AT753" s="147"/>
      <c r="AU753" s="147"/>
      <c r="AV753" s="147"/>
      <c r="AW753" s="147"/>
      <c r="AX753" s="147"/>
      <c r="AY753" s="147"/>
      <c r="AZ753" s="147"/>
      <c r="BA753" s="147"/>
      <c r="BB753" s="147"/>
      <c r="BC753" s="147"/>
      <c r="BD753" s="147"/>
      <c r="BE753" s="147"/>
      <c r="BF753" s="147"/>
      <c r="BG753" s="147"/>
      <c r="BH753" s="147"/>
      <c r="BI753" s="147"/>
      <c r="BJ753" s="147"/>
      <c r="BK753" s="147"/>
      <c r="BL753" s="147"/>
      <c r="BM753" s="147"/>
      <c r="BN753" s="147"/>
      <c r="BO753" s="147"/>
      <c r="BP753" s="147"/>
      <c r="BQ753" s="147"/>
      <c r="BR753" s="147"/>
      <c r="BS753" s="147"/>
      <c r="BT753" s="147"/>
      <c r="BU753" s="147"/>
      <c r="BV753" s="147"/>
      <c r="BW753" s="147"/>
      <c r="BX753" s="147"/>
      <c r="BY753" s="147"/>
      <c r="BZ753" s="147"/>
      <c r="CA753" s="147"/>
      <c r="CB753" s="147"/>
      <c r="CC753" s="147"/>
      <c r="CD753" s="147"/>
      <c r="CE753" s="147"/>
      <c r="CF753" s="147"/>
      <c r="CG753" s="147"/>
      <c r="CH753" s="147"/>
      <c r="CI753" s="147"/>
      <c r="CJ753" s="147"/>
      <c r="CK753" s="147"/>
    </row>
    <row r="754" spans="1:89">
      <c r="A754" s="157"/>
      <c r="F754" s="3"/>
      <c r="G754" s="3"/>
      <c r="L754" s="157"/>
      <c r="M754" s="157"/>
      <c r="O754" s="147"/>
      <c r="P754" s="147"/>
      <c r="Q754" s="147"/>
      <c r="R754" s="147"/>
      <c r="S754" s="147"/>
      <c r="T754" s="147"/>
      <c r="U754" s="147"/>
      <c r="V754" s="147"/>
      <c r="W754" s="147"/>
      <c r="X754" s="147"/>
      <c r="Y754" s="147"/>
      <c r="Z754" s="147"/>
      <c r="AA754" s="147"/>
      <c r="AB754" s="147"/>
      <c r="AC754" s="147"/>
      <c r="AD754" s="147"/>
      <c r="AE754" s="147"/>
      <c r="AF754" s="147"/>
      <c r="AG754" s="147"/>
      <c r="AH754" s="147"/>
      <c r="AI754" s="147"/>
      <c r="AJ754" s="147"/>
      <c r="AK754" s="147"/>
      <c r="AL754" s="147"/>
      <c r="AM754" s="151"/>
      <c r="AN754" s="147"/>
      <c r="AO754" s="147"/>
      <c r="AP754" s="147"/>
      <c r="AQ754" s="147"/>
      <c r="AR754" s="147"/>
      <c r="AS754" s="147"/>
      <c r="AT754" s="147"/>
      <c r="AU754" s="147"/>
      <c r="AV754" s="147"/>
      <c r="AW754" s="147"/>
      <c r="AX754" s="147"/>
      <c r="AY754" s="147"/>
      <c r="AZ754" s="147"/>
      <c r="BA754" s="147"/>
      <c r="BB754" s="147"/>
      <c r="BC754" s="147"/>
      <c r="BD754" s="147"/>
      <c r="BE754" s="147"/>
      <c r="BF754" s="147"/>
      <c r="BG754" s="147"/>
      <c r="BH754" s="147"/>
      <c r="BI754" s="147"/>
      <c r="BJ754" s="147"/>
      <c r="BK754" s="147"/>
      <c r="BL754" s="147"/>
      <c r="BM754" s="147"/>
      <c r="BN754" s="147"/>
      <c r="BO754" s="147"/>
      <c r="BP754" s="147"/>
      <c r="BQ754" s="147"/>
      <c r="BR754" s="147"/>
      <c r="BS754" s="147"/>
      <c r="BT754" s="147"/>
      <c r="BU754" s="147"/>
      <c r="BV754" s="147"/>
      <c r="BW754" s="147"/>
      <c r="BX754" s="147"/>
      <c r="BY754" s="147"/>
      <c r="BZ754" s="147"/>
      <c r="CA754" s="147"/>
      <c r="CB754" s="147"/>
      <c r="CC754" s="147"/>
      <c r="CD754" s="147"/>
      <c r="CE754" s="147"/>
      <c r="CF754" s="147"/>
      <c r="CG754" s="147"/>
      <c r="CH754" s="147"/>
      <c r="CI754" s="147"/>
      <c r="CJ754" s="147"/>
      <c r="CK754" s="147"/>
    </row>
    <row r="755" spans="1:89">
      <c r="A755" s="157"/>
      <c r="F755" s="3"/>
      <c r="G755" s="3"/>
      <c r="L755" s="157"/>
      <c r="M755" s="157"/>
      <c r="O755" s="147"/>
      <c r="P755" s="147"/>
      <c r="Q755" s="147"/>
      <c r="R755" s="147"/>
      <c r="S755" s="147"/>
      <c r="T755" s="147"/>
      <c r="U755" s="147"/>
      <c r="V755" s="147"/>
      <c r="W755" s="147"/>
      <c r="X755" s="147"/>
      <c r="Y755" s="147"/>
      <c r="Z755" s="147"/>
      <c r="AA755" s="147"/>
      <c r="AB755" s="147"/>
      <c r="AC755" s="147"/>
      <c r="AD755" s="147"/>
      <c r="AE755" s="147"/>
      <c r="AF755" s="147"/>
      <c r="AG755" s="147"/>
      <c r="AH755" s="147"/>
      <c r="AI755" s="147"/>
      <c r="AJ755" s="147"/>
      <c r="AK755" s="147"/>
      <c r="AL755" s="147"/>
      <c r="AM755" s="151"/>
      <c r="AN755" s="147"/>
      <c r="AO755" s="147"/>
      <c r="AP755" s="147"/>
      <c r="AQ755" s="147"/>
      <c r="AR755" s="147"/>
      <c r="AS755" s="147"/>
      <c r="AT755" s="147"/>
      <c r="AU755" s="147"/>
      <c r="AV755" s="147"/>
      <c r="AW755" s="147"/>
      <c r="AX755" s="147"/>
      <c r="AY755" s="147"/>
      <c r="AZ755" s="147"/>
      <c r="BA755" s="147"/>
      <c r="BB755" s="147"/>
      <c r="BC755" s="147"/>
      <c r="BD755" s="147"/>
      <c r="BE755" s="147"/>
      <c r="BF755" s="147"/>
      <c r="BG755" s="147"/>
      <c r="BH755" s="147"/>
      <c r="BI755" s="147"/>
      <c r="BJ755" s="147"/>
      <c r="BK755" s="147"/>
      <c r="BL755" s="147"/>
      <c r="BM755" s="147"/>
      <c r="BN755" s="147"/>
      <c r="BO755" s="147"/>
      <c r="BP755" s="147"/>
      <c r="BQ755" s="147"/>
      <c r="BR755" s="147"/>
      <c r="BS755" s="147"/>
      <c r="BT755" s="147"/>
      <c r="BU755" s="147"/>
      <c r="BV755" s="147"/>
      <c r="BW755" s="147"/>
      <c r="BX755" s="147"/>
      <c r="BY755" s="147"/>
      <c r="BZ755" s="147"/>
      <c r="CA755" s="147"/>
      <c r="CB755" s="147"/>
      <c r="CC755" s="147"/>
      <c r="CD755" s="147"/>
      <c r="CE755" s="147"/>
      <c r="CF755" s="147"/>
      <c r="CG755" s="147"/>
      <c r="CH755" s="147"/>
      <c r="CI755" s="147"/>
      <c r="CJ755" s="147"/>
      <c r="CK755" s="147"/>
    </row>
    <row r="756" spans="1:89">
      <c r="A756" s="157"/>
      <c r="F756" s="3"/>
      <c r="G756" s="3"/>
      <c r="L756" s="157"/>
      <c r="M756" s="157"/>
      <c r="O756" s="147"/>
      <c r="P756" s="147"/>
      <c r="Q756" s="147"/>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51"/>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c r="BI756" s="147"/>
      <c r="BJ756" s="147"/>
      <c r="BK756" s="147"/>
      <c r="BL756" s="147"/>
      <c r="BM756" s="147"/>
      <c r="BN756" s="147"/>
      <c r="BO756" s="147"/>
      <c r="BP756" s="147"/>
      <c r="BQ756" s="147"/>
      <c r="BR756" s="147"/>
      <c r="BS756" s="147"/>
      <c r="BT756" s="147"/>
      <c r="BU756" s="147"/>
      <c r="BV756" s="147"/>
      <c r="BW756" s="147"/>
      <c r="BX756" s="147"/>
      <c r="BY756" s="147"/>
      <c r="BZ756" s="147"/>
      <c r="CA756" s="147"/>
      <c r="CB756" s="147"/>
      <c r="CC756" s="147"/>
      <c r="CD756" s="147"/>
      <c r="CE756" s="147"/>
      <c r="CF756" s="147"/>
      <c r="CG756" s="147"/>
      <c r="CH756" s="147"/>
      <c r="CI756" s="147"/>
      <c r="CJ756" s="147"/>
      <c r="CK756" s="147"/>
    </row>
    <row r="757" spans="1:89">
      <c r="A757" s="157"/>
      <c r="F757" s="3"/>
      <c r="G757" s="3"/>
      <c r="L757" s="157"/>
      <c r="M757" s="157"/>
      <c r="O757" s="147"/>
      <c r="P757" s="147"/>
      <c r="Q757" s="147"/>
      <c r="R757" s="147"/>
      <c r="S757" s="147"/>
      <c r="T757" s="147"/>
      <c r="U757" s="147"/>
      <c r="V757" s="147"/>
      <c r="W757" s="147"/>
      <c r="X757" s="147"/>
      <c r="Y757" s="147"/>
      <c r="Z757" s="147"/>
      <c r="AA757" s="147"/>
      <c r="AB757" s="147"/>
      <c r="AC757" s="147"/>
      <c r="AD757" s="147"/>
      <c r="AE757" s="147"/>
      <c r="AF757" s="147"/>
      <c r="AG757" s="147"/>
      <c r="AH757" s="147"/>
      <c r="AI757" s="147"/>
      <c r="AJ757" s="147"/>
      <c r="AK757" s="147"/>
      <c r="AL757" s="147"/>
      <c r="AM757" s="151"/>
      <c r="AN757" s="147"/>
      <c r="AO757" s="147"/>
      <c r="AP757" s="147"/>
      <c r="AQ757" s="147"/>
      <c r="AR757" s="147"/>
      <c r="AS757" s="147"/>
      <c r="AT757" s="147"/>
      <c r="AU757" s="147"/>
      <c r="AV757" s="147"/>
      <c r="AW757" s="147"/>
      <c r="AX757" s="147"/>
      <c r="AY757" s="147"/>
      <c r="AZ757" s="147"/>
      <c r="BA757" s="147"/>
      <c r="BB757" s="147"/>
      <c r="BC757" s="147"/>
      <c r="BD757" s="147"/>
      <c r="BE757" s="147"/>
      <c r="BF757" s="147"/>
      <c r="BG757" s="147"/>
      <c r="BH757" s="147"/>
      <c r="BI757" s="147"/>
      <c r="BJ757" s="147"/>
      <c r="BK757" s="147"/>
      <c r="BL757" s="147"/>
      <c r="BM757" s="147"/>
      <c r="BN757" s="147"/>
      <c r="BO757" s="147"/>
      <c r="BP757" s="147"/>
      <c r="BQ757" s="147"/>
      <c r="BR757" s="147"/>
      <c r="BS757" s="147"/>
      <c r="BT757" s="147"/>
      <c r="BU757" s="147"/>
      <c r="BV757" s="147"/>
      <c r="BW757" s="147"/>
      <c r="BX757" s="147"/>
      <c r="BY757" s="147"/>
      <c r="BZ757" s="147"/>
      <c r="CA757" s="147"/>
      <c r="CB757" s="147"/>
      <c r="CC757" s="147"/>
      <c r="CD757" s="147"/>
      <c r="CE757" s="147"/>
      <c r="CF757" s="147"/>
      <c r="CG757" s="147"/>
      <c r="CH757" s="147"/>
      <c r="CI757" s="147"/>
      <c r="CJ757" s="147"/>
      <c r="CK757" s="147"/>
    </row>
    <row r="758" spans="1:89">
      <c r="A758" s="157"/>
      <c r="F758" s="3"/>
      <c r="G758" s="3"/>
      <c r="L758" s="157"/>
      <c r="M758" s="157"/>
      <c r="O758" s="147"/>
      <c r="P758" s="147"/>
      <c r="Q758" s="147"/>
      <c r="R758" s="147"/>
      <c r="S758" s="147"/>
      <c r="T758" s="147"/>
      <c r="U758" s="147"/>
      <c r="V758" s="147"/>
      <c r="W758" s="147"/>
      <c r="X758" s="147"/>
      <c r="Y758" s="147"/>
      <c r="Z758" s="147"/>
      <c r="AA758" s="147"/>
      <c r="AB758" s="147"/>
      <c r="AC758" s="147"/>
      <c r="AD758" s="147"/>
      <c r="AE758" s="147"/>
      <c r="AF758" s="147"/>
      <c r="AG758" s="147"/>
      <c r="AH758" s="147"/>
      <c r="AI758" s="147"/>
      <c r="AJ758" s="147"/>
      <c r="AK758" s="147"/>
      <c r="AL758" s="147"/>
      <c r="AM758" s="151"/>
      <c r="AN758" s="147"/>
      <c r="AO758" s="147"/>
      <c r="AP758" s="147"/>
      <c r="AQ758" s="147"/>
      <c r="AR758" s="147"/>
      <c r="AS758" s="147"/>
      <c r="AT758" s="147"/>
      <c r="AU758" s="147"/>
      <c r="AV758" s="147"/>
      <c r="AW758" s="147"/>
      <c r="AX758" s="147"/>
      <c r="AY758" s="147"/>
      <c r="AZ758" s="147"/>
      <c r="BA758" s="147"/>
      <c r="BB758" s="147"/>
      <c r="BC758" s="147"/>
      <c r="BD758" s="147"/>
      <c r="BE758" s="147"/>
      <c r="BF758" s="147"/>
      <c r="BG758" s="147"/>
      <c r="BH758" s="147"/>
      <c r="BI758" s="147"/>
      <c r="BJ758" s="147"/>
      <c r="BK758" s="147"/>
      <c r="BL758" s="147"/>
      <c r="BM758" s="147"/>
      <c r="BN758" s="147"/>
      <c r="BO758" s="147"/>
      <c r="BP758" s="147"/>
      <c r="BQ758" s="147"/>
      <c r="BR758" s="147"/>
      <c r="BS758" s="147"/>
      <c r="BT758" s="147"/>
      <c r="BU758" s="147"/>
      <c r="BV758" s="147"/>
      <c r="BW758" s="147"/>
      <c r="BX758" s="147"/>
      <c r="BY758" s="147"/>
      <c r="BZ758" s="147"/>
      <c r="CA758" s="147"/>
      <c r="CB758" s="147"/>
      <c r="CC758" s="147"/>
      <c r="CD758" s="147"/>
      <c r="CE758" s="147"/>
      <c r="CF758" s="147"/>
      <c r="CG758" s="147"/>
      <c r="CH758" s="147"/>
      <c r="CI758" s="147"/>
      <c r="CJ758" s="147"/>
      <c r="CK758" s="147"/>
    </row>
    <row r="759" spans="1:89">
      <c r="A759" s="157"/>
      <c r="F759" s="3"/>
      <c r="G759" s="3"/>
      <c r="L759" s="157"/>
      <c r="M759" s="157"/>
      <c r="O759" s="147"/>
      <c r="P759" s="147"/>
      <c r="Q759" s="147"/>
      <c r="R759" s="147"/>
      <c r="S759" s="147"/>
      <c r="T759" s="147"/>
      <c r="U759" s="147"/>
      <c r="V759" s="147"/>
      <c r="W759" s="147"/>
      <c r="X759" s="147"/>
      <c r="Y759" s="147"/>
      <c r="Z759" s="147"/>
      <c r="AA759" s="147"/>
      <c r="AB759" s="147"/>
      <c r="AC759" s="147"/>
      <c r="AD759" s="147"/>
      <c r="AE759" s="147"/>
      <c r="AF759" s="147"/>
      <c r="AG759" s="147"/>
      <c r="AH759" s="147"/>
      <c r="AI759" s="147"/>
      <c r="AJ759" s="147"/>
      <c r="AK759" s="147"/>
      <c r="AL759" s="147"/>
      <c r="AM759" s="151"/>
      <c r="AN759" s="147"/>
      <c r="AO759" s="147"/>
      <c r="AP759" s="147"/>
      <c r="AQ759" s="147"/>
      <c r="AR759" s="147"/>
      <c r="AS759" s="147"/>
      <c r="AT759" s="147"/>
      <c r="AU759" s="147"/>
      <c r="AV759" s="147"/>
      <c r="AW759" s="147"/>
      <c r="AX759" s="147"/>
      <c r="AY759" s="147"/>
      <c r="AZ759" s="147"/>
      <c r="BA759" s="147"/>
      <c r="BB759" s="147"/>
      <c r="BC759" s="147"/>
      <c r="BD759" s="147"/>
      <c r="BE759" s="147"/>
      <c r="BF759" s="147"/>
      <c r="BG759" s="147"/>
      <c r="BH759" s="147"/>
      <c r="BI759" s="147"/>
      <c r="BJ759" s="147"/>
      <c r="BK759" s="147"/>
      <c r="BL759" s="147"/>
      <c r="BM759" s="147"/>
      <c r="BN759" s="147"/>
      <c r="BO759" s="147"/>
      <c r="BP759" s="147"/>
      <c r="BQ759" s="147"/>
      <c r="BR759" s="147"/>
      <c r="BS759" s="147"/>
      <c r="BT759" s="147"/>
      <c r="BU759" s="147"/>
      <c r="BV759" s="147"/>
      <c r="BW759" s="147"/>
      <c r="BX759" s="147"/>
      <c r="BY759" s="147"/>
      <c r="BZ759" s="147"/>
      <c r="CA759" s="147"/>
      <c r="CB759" s="147"/>
      <c r="CC759" s="147"/>
      <c r="CD759" s="147"/>
      <c r="CE759" s="147"/>
      <c r="CF759" s="147"/>
      <c r="CG759" s="147"/>
      <c r="CH759" s="147"/>
      <c r="CI759" s="147"/>
      <c r="CJ759" s="147"/>
      <c r="CK759" s="147"/>
    </row>
    <row r="760" spans="1:89">
      <c r="A760" s="157"/>
      <c r="F760" s="3"/>
      <c r="G760" s="3"/>
      <c r="L760" s="157"/>
      <c r="M760" s="157"/>
      <c r="O760" s="147"/>
      <c r="P760" s="147"/>
      <c r="Q760" s="147"/>
      <c r="R760" s="147"/>
      <c r="S760" s="147"/>
      <c r="T760" s="147"/>
      <c r="U760" s="147"/>
      <c r="V760" s="147"/>
      <c r="W760" s="147"/>
      <c r="X760" s="147"/>
      <c r="Y760" s="147"/>
      <c r="Z760" s="147"/>
      <c r="AA760" s="147"/>
      <c r="AB760" s="147"/>
      <c r="AC760" s="147"/>
      <c r="AD760" s="147"/>
      <c r="AE760" s="147"/>
      <c r="AF760" s="147"/>
      <c r="AG760" s="147"/>
      <c r="AH760" s="147"/>
      <c r="AI760" s="147"/>
      <c r="AJ760" s="147"/>
      <c r="AK760" s="147"/>
      <c r="AL760" s="147"/>
      <c r="AM760" s="151"/>
      <c r="AN760" s="147"/>
      <c r="AO760" s="147"/>
      <c r="AP760" s="147"/>
      <c r="AQ760" s="147"/>
      <c r="AR760" s="147"/>
      <c r="AS760" s="147"/>
      <c r="AT760" s="147"/>
      <c r="AU760" s="147"/>
      <c r="AV760" s="147"/>
      <c r="AW760" s="147"/>
      <c r="AX760" s="147"/>
      <c r="AY760" s="147"/>
      <c r="AZ760" s="147"/>
      <c r="BA760" s="147"/>
      <c r="BB760" s="147"/>
      <c r="BC760" s="147"/>
      <c r="BD760" s="147"/>
      <c r="BE760" s="147"/>
      <c r="BF760" s="147"/>
      <c r="BG760" s="147"/>
      <c r="BH760" s="147"/>
      <c r="BI760" s="147"/>
      <c r="BJ760" s="147"/>
      <c r="BK760" s="147"/>
      <c r="BL760" s="147"/>
      <c r="BM760" s="147"/>
      <c r="BN760" s="147"/>
      <c r="BO760" s="147"/>
      <c r="BP760" s="147"/>
      <c r="BQ760" s="147"/>
      <c r="BR760" s="147"/>
      <c r="BS760" s="147"/>
      <c r="BT760" s="147"/>
      <c r="BU760" s="147"/>
      <c r="BV760" s="147"/>
      <c r="BW760" s="147"/>
      <c r="BX760" s="147"/>
      <c r="BY760" s="147"/>
      <c r="BZ760" s="147"/>
      <c r="CA760" s="147"/>
      <c r="CB760" s="147"/>
      <c r="CC760" s="147"/>
      <c r="CD760" s="147"/>
      <c r="CE760" s="147"/>
      <c r="CF760" s="147"/>
      <c r="CG760" s="147"/>
      <c r="CH760" s="147"/>
      <c r="CI760" s="147"/>
      <c r="CJ760" s="147"/>
      <c r="CK760" s="147"/>
    </row>
    <row r="761" spans="1:89">
      <c r="A761" s="157"/>
      <c r="F761" s="3"/>
      <c r="G761" s="3"/>
      <c r="L761" s="157"/>
      <c r="M761" s="157"/>
      <c r="O761" s="147"/>
      <c r="P761" s="147"/>
      <c r="Q761" s="147"/>
      <c r="R761" s="147"/>
      <c r="S761" s="147"/>
      <c r="T761" s="147"/>
      <c r="U761" s="147"/>
      <c r="V761" s="147"/>
      <c r="W761" s="147"/>
      <c r="X761" s="147"/>
      <c r="Y761" s="147"/>
      <c r="Z761" s="147"/>
      <c r="AA761" s="147"/>
      <c r="AB761" s="147"/>
      <c r="AC761" s="147"/>
      <c r="AD761" s="147"/>
      <c r="AE761" s="147"/>
      <c r="AF761" s="147"/>
      <c r="AG761" s="147"/>
      <c r="AH761" s="147"/>
      <c r="AI761" s="147"/>
      <c r="AJ761" s="147"/>
      <c r="AK761" s="147"/>
      <c r="AL761" s="147"/>
      <c r="AM761" s="151"/>
      <c r="AN761" s="147"/>
      <c r="AO761" s="147"/>
      <c r="AP761" s="147"/>
      <c r="AQ761" s="147"/>
      <c r="AR761" s="147"/>
      <c r="AS761" s="147"/>
      <c r="AT761" s="147"/>
      <c r="AU761" s="147"/>
      <c r="AV761" s="147"/>
      <c r="AW761" s="147"/>
      <c r="AX761" s="147"/>
      <c r="AY761" s="147"/>
      <c r="AZ761" s="147"/>
      <c r="BA761" s="147"/>
      <c r="BB761" s="147"/>
      <c r="BC761" s="147"/>
      <c r="BD761" s="147"/>
      <c r="BE761" s="147"/>
      <c r="BF761" s="147"/>
      <c r="BG761" s="147"/>
      <c r="BH761" s="147"/>
      <c r="BI761" s="147"/>
      <c r="BJ761" s="147"/>
      <c r="BK761" s="147"/>
      <c r="BL761" s="147"/>
      <c r="BM761" s="147"/>
      <c r="BN761" s="147"/>
      <c r="BO761" s="147"/>
      <c r="BP761" s="147"/>
      <c r="BQ761" s="147"/>
      <c r="BR761" s="147"/>
      <c r="BS761" s="147"/>
      <c r="BT761" s="147"/>
      <c r="BU761" s="147"/>
      <c r="BV761" s="147"/>
      <c r="BW761" s="147"/>
      <c r="BX761" s="147"/>
      <c r="BY761" s="147"/>
      <c r="BZ761" s="147"/>
      <c r="CA761" s="147"/>
      <c r="CB761" s="147"/>
      <c r="CC761" s="147"/>
      <c r="CD761" s="147"/>
      <c r="CE761" s="147"/>
      <c r="CF761" s="147"/>
      <c r="CG761" s="147"/>
      <c r="CH761" s="147"/>
      <c r="CI761" s="147"/>
      <c r="CJ761" s="147"/>
      <c r="CK761" s="147"/>
    </row>
    <row r="762" spans="1:89">
      <c r="A762" s="157"/>
      <c r="F762" s="3"/>
      <c r="G762" s="3"/>
      <c r="L762" s="157"/>
      <c r="M762" s="157"/>
      <c r="O762" s="147"/>
      <c r="P762" s="147"/>
      <c r="Q762" s="147"/>
      <c r="R762" s="147"/>
      <c r="S762" s="147"/>
      <c r="T762" s="147"/>
      <c r="U762" s="147"/>
      <c r="V762" s="147"/>
      <c r="W762" s="147"/>
      <c r="X762" s="147"/>
      <c r="Y762" s="147"/>
      <c r="Z762" s="147"/>
      <c r="AA762" s="147"/>
      <c r="AB762" s="147"/>
      <c r="AC762" s="147"/>
      <c r="AD762" s="147"/>
      <c r="AE762" s="147"/>
      <c r="AF762" s="147"/>
      <c r="AG762" s="147"/>
      <c r="AH762" s="147"/>
      <c r="AI762" s="147"/>
      <c r="AJ762" s="147"/>
      <c r="AK762" s="147"/>
      <c r="AL762" s="147"/>
      <c r="AM762" s="151"/>
      <c r="AN762" s="147"/>
      <c r="AO762" s="147"/>
      <c r="AP762" s="147"/>
      <c r="AQ762" s="147"/>
      <c r="AR762" s="147"/>
      <c r="AS762" s="147"/>
      <c r="AT762" s="147"/>
      <c r="AU762" s="147"/>
      <c r="AV762" s="147"/>
      <c r="AW762" s="147"/>
      <c r="AX762" s="147"/>
      <c r="AY762" s="147"/>
      <c r="AZ762" s="147"/>
      <c r="BA762" s="147"/>
      <c r="BB762" s="147"/>
      <c r="BC762" s="147"/>
      <c r="BD762" s="147"/>
      <c r="BE762" s="147"/>
      <c r="BF762" s="147"/>
      <c r="BG762" s="147"/>
      <c r="BH762" s="147"/>
      <c r="BI762" s="147"/>
      <c r="BJ762" s="147"/>
      <c r="BK762" s="147"/>
      <c r="BL762" s="147"/>
      <c r="BM762" s="147"/>
      <c r="BN762" s="147"/>
      <c r="BO762" s="147"/>
      <c r="BP762" s="147"/>
      <c r="BQ762" s="147"/>
      <c r="BR762" s="147"/>
      <c r="BS762" s="147"/>
      <c r="BT762" s="147"/>
      <c r="BU762" s="147"/>
      <c r="BV762" s="147"/>
      <c r="BW762" s="147"/>
      <c r="BX762" s="147"/>
      <c r="BY762" s="147"/>
      <c r="BZ762" s="147"/>
      <c r="CA762" s="147"/>
      <c r="CB762" s="147"/>
      <c r="CC762" s="147"/>
      <c r="CD762" s="147"/>
      <c r="CE762" s="147"/>
      <c r="CF762" s="147"/>
      <c r="CG762" s="147"/>
      <c r="CH762" s="147"/>
      <c r="CI762" s="147"/>
      <c r="CJ762" s="147"/>
      <c r="CK762" s="147"/>
    </row>
    <row r="763" spans="1:89">
      <c r="A763" s="157"/>
      <c r="F763" s="3"/>
      <c r="G763" s="3"/>
      <c r="L763" s="157"/>
      <c r="M763" s="157"/>
      <c r="O763" s="147"/>
      <c r="P763" s="147"/>
      <c r="Q763" s="147"/>
      <c r="R763" s="147"/>
      <c r="S763" s="147"/>
      <c r="T763" s="147"/>
      <c r="U763" s="147"/>
      <c r="V763" s="147"/>
      <c r="W763" s="147"/>
      <c r="X763" s="147"/>
      <c r="Y763" s="147"/>
      <c r="Z763" s="147"/>
      <c r="AA763" s="147"/>
      <c r="AB763" s="147"/>
      <c r="AC763" s="147"/>
      <c r="AD763" s="147"/>
      <c r="AE763" s="147"/>
      <c r="AF763" s="147"/>
      <c r="AG763" s="147"/>
      <c r="AH763" s="147"/>
      <c r="AI763" s="147"/>
      <c r="AJ763" s="147"/>
      <c r="AK763" s="147"/>
      <c r="AL763" s="147"/>
      <c r="AM763" s="151"/>
      <c r="AN763" s="147"/>
      <c r="AO763" s="147"/>
      <c r="AP763" s="147"/>
      <c r="AQ763" s="147"/>
      <c r="AR763" s="147"/>
      <c r="AS763" s="147"/>
      <c r="AT763" s="147"/>
      <c r="AU763" s="147"/>
      <c r="AV763" s="147"/>
      <c r="AW763" s="147"/>
      <c r="AX763" s="147"/>
      <c r="AY763" s="147"/>
      <c r="AZ763" s="147"/>
      <c r="BA763" s="147"/>
      <c r="BB763" s="147"/>
      <c r="BC763" s="147"/>
      <c r="BD763" s="147"/>
      <c r="BE763" s="147"/>
      <c r="BF763" s="147"/>
      <c r="BG763" s="147"/>
      <c r="BH763" s="147"/>
      <c r="BI763" s="147"/>
      <c r="BJ763" s="147"/>
      <c r="BK763" s="147"/>
      <c r="BL763" s="147"/>
      <c r="BM763" s="147"/>
      <c r="BN763" s="147"/>
      <c r="BO763" s="147"/>
      <c r="BP763" s="147"/>
      <c r="BQ763" s="147"/>
      <c r="BR763" s="147"/>
      <c r="BS763" s="147"/>
      <c r="BT763" s="147"/>
      <c r="BU763" s="147"/>
      <c r="BV763" s="147"/>
      <c r="BW763" s="147"/>
      <c r="BX763" s="147"/>
      <c r="BY763" s="147"/>
      <c r="BZ763" s="147"/>
      <c r="CA763" s="147"/>
      <c r="CB763" s="147"/>
      <c r="CC763" s="147"/>
      <c r="CD763" s="147"/>
      <c r="CE763" s="147"/>
      <c r="CF763" s="147"/>
      <c r="CG763" s="147"/>
      <c r="CH763" s="147"/>
      <c r="CI763" s="147"/>
      <c r="CJ763" s="147"/>
      <c r="CK763" s="147"/>
    </row>
    <row r="764" spans="1:89">
      <c r="A764" s="157"/>
      <c r="F764" s="3"/>
      <c r="G764" s="3"/>
      <c r="L764" s="157"/>
      <c r="M764" s="157"/>
      <c r="O764" s="147"/>
      <c r="P764" s="147"/>
      <c r="Q764" s="147"/>
      <c r="R764" s="147"/>
      <c r="S764" s="147"/>
      <c r="T764" s="147"/>
      <c r="U764" s="147"/>
      <c r="V764" s="147"/>
      <c r="W764" s="147"/>
      <c r="X764" s="147"/>
      <c r="Y764" s="147"/>
      <c r="Z764" s="147"/>
      <c r="AA764" s="147"/>
      <c r="AB764" s="147"/>
      <c r="AC764" s="147"/>
      <c r="AD764" s="147"/>
      <c r="AE764" s="147"/>
      <c r="AF764" s="147"/>
      <c r="AG764" s="147"/>
      <c r="AH764" s="147"/>
      <c r="AI764" s="147"/>
      <c r="AJ764" s="147"/>
      <c r="AK764" s="147"/>
      <c r="AL764" s="147"/>
      <c r="AM764" s="151"/>
      <c r="AN764" s="147"/>
      <c r="AO764" s="147"/>
      <c r="AP764" s="147"/>
      <c r="AQ764" s="147"/>
      <c r="AR764" s="147"/>
      <c r="AS764" s="147"/>
      <c r="AT764" s="147"/>
      <c r="AU764" s="147"/>
      <c r="AV764" s="147"/>
      <c r="AW764" s="147"/>
      <c r="AX764" s="147"/>
      <c r="AY764" s="147"/>
      <c r="AZ764" s="147"/>
      <c r="BA764" s="147"/>
      <c r="BB764" s="147"/>
      <c r="BC764" s="147"/>
      <c r="BD764" s="147"/>
      <c r="BE764" s="147"/>
      <c r="BF764" s="147"/>
      <c r="BG764" s="147"/>
      <c r="BH764" s="147"/>
      <c r="BI764" s="147"/>
      <c r="BJ764" s="147"/>
      <c r="BK764" s="147"/>
      <c r="BL764" s="147"/>
      <c r="BM764" s="147"/>
      <c r="BN764" s="147"/>
      <c r="BO764" s="147"/>
      <c r="BP764" s="147"/>
      <c r="BQ764" s="147"/>
      <c r="BR764" s="147"/>
      <c r="BS764" s="147"/>
      <c r="BT764" s="147"/>
      <c r="BU764" s="147"/>
      <c r="BV764" s="147"/>
      <c r="BW764" s="147"/>
      <c r="BX764" s="147"/>
      <c r="BY764" s="147"/>
      <c r="BZ764" s="147"/>
      <c r="CA764" s="147"/>
      <c r="CB764" s="147"/>
      <c r="CC764" s="147"/>
      <c r="CD764" s="147"/>
      <c r="CE764" s="147"/>
      <c r="CF764" s="147"/>
      <c r="CG764" s="147"/>
      <c r="CH764" s="147"/>
      <c r="CI764" s="147"/>
      <c r="CJ764" s="147"/>
      <c r="CK764" s="147"/>
    </row>
    <row r="765" spans="1:89">
      <c r="A765" s="157"/>
      <c r="F765" s="3"/>
      <c r="G765" s="3"/>
      <c r="L765" s="157"/>
      <c r="M765" s="157"/>
      <c r="O765" s="147"/>
      <c r="P765" s="147"/>
      <c r="Q765" s="147"/>
      <c r="R765" s="147"/>
      <c r="S765" s="147"/>
      <c r="T765" s="147"/>
      <c r="U765" s="147"/>
      <c r="V765" s="147"/>
      <c r="W765" s="147"/>
      <c r="X765" s="147"/>
      <c r="Y765" s="147"/>
      <c r="Z765" s="147"/>
      <c r="AA765" s="147"/>
      <c r="AB765" s="147"/>
      <c r="AC765" s="147"/>
      <c r="AD765" s="147"/>
      <c r="AE765" s="147"/>
      <c r="AF765" s="147"/>
      <c r="AG765" s="147"/>
      <c r="AH765" s="147"/>
      <c r="AI765" s="147"/>
      <c r="AJ765" s="147"/>
      <c r="AK765" s="147"/>
      <c r="AL765" s="147"/>
      <c r="AM765" s="151"/>
      <c r="AN765" s="147"/>
      <c r="AO765" s="147"/>
      <c r="AP765" s="147"/>
      <c r="AQ765" s="147"/>
      <c r="AR765" s="147"/>
      <c r="AS765" s="147"/>
      <c r="AT765" s="147"/>
      <c r="AU765" s="147"/>
      <c r="AV765" s="147"/>
      <c r="AW765" s="147"/>
      <c r="AX765" s="147"/>
      <c r="AY765" s="147"/>
      <c r="AZ765" s="147"/>
      <c r="BA765" s="147"/>
      <c r="BB765" s="147"/>
      <c r="BC765" s="147"/>
      <c r="BD765" s="147"/>
      <c r="BE765" s="147"/>
      <c r="BF765" s="147"/>
      <c r="BG765" s="147"/>
      <c r="BH765" s="147"/>
      <c r="BI765" s="147"/>
      <c r="BJ765" s="147"/>
      <c r="BK765" s="147"/>
      <c r="BL765" s="147"/>
      <c r="BM765" s="147"/>
      <c r="BN765" s="147"/>
      <c r="BO765" s="147"/>
      <c r="BP765" s="147"/>
      <c r="BQ765" s="147"/>
      <c r="BR765" s="147"/>
      <c r="BS765" s="147"/>
      <c r="BT765" s="147"/>
      <c r="BU765" s="147"/>
      <c r="BV765" s="147"/>
      <c r="BW765" s="147"/>
      <c r="BX765" s="147"/>
      <c r="BY765" s="147"/>
      <c r="BZ765" s="147"/>
      <c r="CA765" s="147"/>
      <c r="CB765" s="147"/>
      <c r="CC765" s="147"/>
      <c r="CD765" s="147"/>
      <c r="CE765" s="147"/>
      <c r="CF765" s="147"/>
      <c r="CG765" s="147"/>
      <c r="CH765" s="147"/>
      <c r="CI765" s="147"/>
      <c r="CJ765" s="147"/>
      <c r="CK765" s="147"/>
    </row>
    <row r="766" spans="1:89">
      <c r="A766" s="157"/>
      <c r="F766" s="3"/>
      <c r="G766" s="3"/>
      <c r="L766" s="157"/>
      <c r="M766" s="157"/>
      <c r="O766" s="147"/>
      <c r="P766" s="147"/>
      <c r="Q766" s="147"/>
      <c r="R766" s="147"/>
      <c r="S766" s="147"/>
      <c r="T766" s="147"/>
      <c r="U766" s="147"/>
      <c r="V766" s="147"/>
      <c r="W766" s="147"/>
      <c r="X766" s="147"/>
      <c r="Y766" s="147"/>
      <c r="Z766" s="147"/>
      <c r="AA766" s="147"/>
      <c r="AB766" s="147"/>
      <c r="AC766" s="147"/>
      <c r="AD766" s="147"/>
      <c r="AE766" s="147"/>
      <c r="AF766" s="147"/>
      <c r="AG766" s="147"/>
      <c r="AH766" s="147"/>
      <c r="AI766" s="147"/>
      <c r="AJ766" s="147"/>
      <c r="AK766" s="147"/>
      <c r="AL766" s="147"/>
      <c r="AM766" s="151"/>
      <c r="AN766" s="147"/>
      <c r="AO766" s="147"/>
      <c r="AP766" s="147"/>
      <c r="AQ766" s="147"/>
      <c r="AR766" s="147"/>
      <c r="AS766" s="147"/>
      <c r="AT766" s="147"/>
      <c r="AU766" s="147"/>
      <c r="AV766" s="147"/>
      <c r="AW766" s="147"/>
      <c r="AX766" s="147"/>
      <c r="AY766" s="147"/>
      <c r="AZ766" s="147"/>
      <c r="BA766" s="147"/>
      <c r="BB766" s="147"/>
      <c r="BC766" s="147"/>
      <c r="BD766" s="147"/>
      <c r="BE766" s="147"/>
      <c r="BF766" s="147"/>
      <c r="BG766" s="147"/>
      <c r="BH766" s="147"/>
      <c r="BI766" s="147"/>
      <c r="BJ766" s="147"/>
      <c r="BK766" s="147"/>
      <c r="BL766" s="147"/>
      <c r="BM766" s="147"/>
      <c r="BN766" s="147"/>
      <c r="BO766" s="147"/>
      <c r="BP766" s="147"/>
      <c r="BQ766" s="147"/>
      <c r="BR766" s="147"/>
      <c r="BS766" s="147"/>
      <c r="BT766" s="147"/>
      <c r="BU766" s="147"/>
      <c r="BV766" s="147"/>
      <c r="BW766" s="147"/>
      <c r="BX766" s="147"/>
      <c r="BY766" s="147"/>
      <c r="BZ766" s="147"/>
      <c r="CA766" s="147"/>
      <c r="CB766" s="147"/>
      <c r="CC766" s="147"/>
      <c r="CD766" s="147"/>
      <c r="CE766" s="147"/>
      <c r="CF766" s="147"/>
      <c r="CG766" s="147"/>
      <c r="CH766" s="147"/>
      <c r="CI766" s="147"/>
      <c r="CJ766" s="147"/>
      <c r="CK766" s="147"/>
    </row>
    <row r="767" spans="1:89">
      <c r="A767" s="157"/>
      <c r="F767" s="3"/>
      <c r="G767" s="3"/>
      <c r="L767" s="157"/>
      <c r="M767" s="157"/>
      <c r="O767" s="147"/>
      <c r="P767" s="147"/>
      <c r="Q767" s="147"/>
      <c r="R767" s="147"/>
      <c r="S767" s="147"/>
      <c r="T767" s="147"/>
      <c r="U767" s="147"/>
      <c r="V767" s="147"/>
      <c r="W767" s="147"/>
      <c r="X767" s="147"/>
      <c r="Y767" s="147"/>
      <c r="Z767" s="147"/>
      <c r="AA767" s="147"/>
      <c r="AB767" s="147"/>
      <c r="AC767" s="147"/>
      <c r="AD767" s="147"/>
      <c r="AE767" s="147"/>
      <c r="AF767" s="147"/>
      <c r="AG767" s="147"/>
      <c r="AH767" s="147"/>
      <c r="AI767" s="147"/>
      <c r="AJ767" s="147"/>
      <c r="AK767" s="147"/>
      <c r="AL767" s="147"/>
      <c r="AM767" s="151"/>
      <c r="AN767" s="147"/>
      <c r="AO767" s="147"/>
      <c r="AP767" s="147"/>
      <c r="AQ767" s="147"/>
      <c r="AR767" s="147"/>
      <c r="AS767" s="147"/>
      <c r="AT767" s="147"/>
      <c r="AU767" s="147"/>
      <c r="AV767" s="147"/>
      <c r="AW767" s="147"/>
      <c r="AX767" s="147"/>
      <c r="AY767" s="147"/>
      <c r="AZ767" s="147"/>
      <c r="BA767" s="147"/>
      <c r="BB767" s="147"/>
      <c r="BC767" s="147"/>
      <c r="BD767" s="147"/>
      <c r="BE767" s="147"/>
      <c r="BF767" s="147"/>
      <c r="BG767" s="147"/>
      <c r="BH767" s="147"/>
      <c r="BI767" s="147"/>
      <c r="BJ767" s="147"/>
      <c r="BK767" s="147"/>
      <c r="BL767" s="147"/>
      <c r="BM767" s="147"/>
      <c r="BN767" s="147"/>
      <c r="BO767" s="147"/>
      <c r="BP767" s="147"/>
      <c r="BQ767" s="147"/>
      <c r="BR767" s="147"/>
      <c r="BS767" s="147"/>
      <c r="BT767" s="147"/>
      <c r="BU767" s="147"/>
      <c r="BV767" s="147"/>
      <c r="BW767" s="147"/>
      <c r="BX767" s="147"/>
      <c r="BY767" s="147"/>
      <c r="BZ767" s="147"/>
      <c r="CA767" s="147"/>
      <c r="CB767" s="147"/>
      <c r="CC767" s="147"/>
      <c r="CD767" s="147"/>
      <c r="CE767" s="147"/>
      <c r="CF767" s="147"/>
      <c r="CG767" s="147"/>
      <c r="CH767" s="147"/>
      <c r="CI767" s="147"/>
      <c r="CJ767" s="147"/>
      <c r="CK767" s="147"/>
    </row>
    <row r="768" spans="1:89">
      <c r="A768" s="157"/>
      <c r="F768" s="3"/>
      <c r="G768" s="3"/>
      <c r="L768" s="157"/>
      <c r="M768" s="157"/>
      <c r="O768" s="147"/>
      <c r="P768" s="147"/>
      <c r="Q768" s="147"/>
      <c r="R768" s="147"/>
      <c r="S768" s="147"/>
      <c r="T768" s="147"/>
      <c r="U768" s="147"/>
      <c r="V768" s="147"/>
      <c r="W768" s="147"/>
      <c r="X768" s="147"/>
      <c r="Y768" s="147"/>
      <c r="Z768" s="147"/>
      <c r="AA768" s="147"/>
      <c r="AB768" s="147"/>
      <c r="AC768" s="147"/>
      <c r="AD768" s="147"/>
      <c r="AE768" s="147"/>
      <c r="AF768" s="147"/>
      <c r="AG768" s="147"/>
      <c r="AH768" s="147"/>
      <c r="AI768" s="147"/>
      <c r="AJ768" s="147"/>
      <c r="AK768" s="147"/>
      <c r="AL768" s="147"/>
      <c r="AM768" s="151"/>
      <c r="AN768" s="147"/>
      <c r="AO768" s="147"/>
      <c r="AP768" s="147"/>
      <c r="AQ768" s="147"/>
      <c r="AR768" s="147"/>
      <c r="AS768" s="147"/>
      <c r="AT768" s="147"/>
      <c r="AU768" s="147"/>
      <c r="AV768" s="147"/>
      <c r="AW768" s="147"/>
      <c r="AX768" s="147"/>
      <c r="AY768" s="147"/>
      <c r="AZ768" s="147"/>
      <c r="BA768" s="147"/>
      <c r="BB768" s="147"/>
      <c r="BC768" s="147"/>
      <c r="BD768" s="147"/>
      <c r="BE768" s="147"/>
      <c r="BF768" s="147"/>
      <c r="BG768" s="147"/>
      <c r="BH768" s="147"/>
      <c r="BI768" s="147"/>
      <c r="BJ768" s="147"/>
      <c r="BK768" s="147"/>
      <c r="BL768" s="147"/>
      <c r="BM768" s="147"/>
      <c r="BN768" s="147"/>
      <c r="BO768" s="147"/>
      <c r="BP768" s="147"/>
      <c r="BQ768" s="147"/>
      <c r="BR768" s="147"/>
      <c r="BS768" s="147"/>
      <c r="BT768" s="147"/>
      <c r="BU768" s="147"/>
      <c r="BV768" s="147"/>
      <c r="BW768" s="147"/>
      <c r="BX768" s="147"/>
      <c r="BY768" s="147"/>
      <c r="BZ768" s="147"/>
      <c r="CA768" s="147"/>
      <c r="CB768" s="147"/>
      <c r="CC768" s="147"/>
      <c r="CD768" s="147"/>
      <c r="CE768" s="147"/>
      <c r="CF768" s="147"/>
      <c r="CG768" s="147"/>
      <c r="CH768" s="147"/>
      <c r="CI768" s="147"/>
      <c r="CJ768" s="147"/>
      <c r="CK768" s="147"/>
    </row>
    <row r="769" spans="1:89">
      <c r="A769" s="157"/>
      <c r="F769" s="3"/>
      <c r="G769" s="3"/>
      <c r="L769" s="157"/>
      <c r="M769" s="157"/>
      <c r="O769" s="147"/>
      <c r="P769" s="147"/>
      <c r="Q769" s="147"/>
      <c r="R769" s="147"/>
      <c r="S769" s="147"/>
      <c r="T769" s="147"/>
      <c r="U769" s="147"/>
      <c r="V769" s="147"/>
      <c r="W769" s="147"/>
      <c r="X769" s="147"/>
      <c r="Y769" s="147"/>
      <c r="Z769" s="147"/>
      <c r="AA769" s="147"/>
      <c r="AB769" s="147"/>
      <c r="AC769" s="147"/>
      <c r="AD769" s="147"/>
      <c r="AE769" s="147"/>
      <c r="AF769" s="147"/>
      <c r="AG769" s="147"/>
      <c r="AH769" s="147"/>
      <c r="AI769" s="147"/>
      <c r="AJ769" s="147"/>
      <c r="AK769" s="147"/>
      <c r="AL769" s="147"/>
      <c r="AM769" s="151"/>
      <c r="AN769" s="147"/>
      <c r="AO769" s="147"/>
      <c r="AP769" s="147"/>
      <c r="AQ769" s="147"/>
      <c r="AR769" s="147"/>
      <c r="AS769" s="147"/>
      <c r="AT769" s="147"/>
      <c r="AU769" s="147"/>
      <c r="AV769" s="147"/>
      <c r="AW769" s="147"/>
      <c r="AX769" s="147"/>
      <c r="AY769" s="147"/>
      <c r="AZ769" s="147"/>
      <c r="BA769" s="147"/>
      <c r="BB769" s="147"/>
      <c r="BC769" s="147"/>
      <c r="BD769" s="147"/>
      <c r="BE769" s="147"/>
      <c r="BF769" s="147"/>
      <c r="BG769" s="147"/>
      <c r="BH769" s="147"/>
      <c r="BI769" s="147"/>
      <c r="BJ769" s="147"/>
      <c r="BK769" s="147"/>
      <c r="BL769" s="147"/>
      <c r="BM769" s="147"/>
      <c r="BN769" s="147"/>
      <c r="BO769" s="147"/>
      <c r="BP769" s="147"/>
      <c r="BQ769" s="147"/>
      <c r="BR769" s="147"/>
      <c r="BS769" s="147"/>
      <c r="BT769" s="147"/>
      <c r="BU769" s="147"/>
      <c r="BV769" s="147"/>
      <c r="BW769" s="147"/>
      <c r="BX769" s="147"/>
      <c r="BY769" s="147"/>
      <c r="BZ769" s="147"/>
      <c r="CA769" s="147"/>
      <c r="CB769" s="147"/>
      <c r="CC769" s="147"/>
      <c r="CD769" s="147"/>
      <c r="CE769" s="147"/>
      <c r="CF769" s="147"/>
      <c r="CG769" s="147"/>
      <c r="CH769" s="147"/>
      <c r="CI769" s="147"/>
      <c r="CJ769" s="147"/>
      <c r="CK769" s="147"/>
    </row>
    <row r="770" spans="1:89">
      <c r="A770" s="157"/>
      <c r="F770" s="3"/>
      <c r="G770" s="3"/>
      <c r="L770" s="157"/>
      <c r="M770" s="157"/>
      <c r="O770" s="147"/>
      <c r="P770" s="147"/>
      <c r="Q770" s="147"/>
      <c r="R770" s="147"/>
      <c r="S770" s="147"/>
      <c r="T770" s="147"/>
      <c r="U770" s="147"/>
      <c r="V770" s="147"/>
      <c r="W770" s="147"/>
      <c r="X770" s="147"/>
      <c r="Y770" s="147"/>
      <c r="Z770" s="147"/>
      <c r="AA770" s="147"/>
      <c r="AB770" s="147"/>
      <c r="AC770" s="147"/>
      <c r="AD770" s="147"/>
      <c r="AE770" s="147"/>
      <c r="AF770" s="147"/>
      <c r="AG770" s="147"/>
      <c r="AH770" s="147"/>
      <c r="AI770" s="147"/>
      <c r="AJ770" s="147"/>
      <c r="AK770" s="147"/>
      <c r="AL770" s="147"/>
      <c r="AM770" s="151"/>
      <c r="AN770" s="147"/>
      <c r="AO770" s="147"/>
      <c r="AP770" s="147"/>
      <c r="AQ770" s="147"/>
      <c r="AR770" s="147"/>
      <c r="AS770" s="147"/>
      <c r="AT770" s="147"/>
      <c r="AU770" s="147"/>
      <c r="AV770" s="147"/>
      <c r="AW770" s="147"/>
      <c r="AX770" s="147"/>
      <c r="AY770" s="147"/>
      <c r="AZ770" s="147"/>
      <c r="BA770" s="147"/>
      <c r="BB770" s="147"/>
      <c r="BC770" s="147"/>
      <c r="BD770" s="147"/>
      <c r="BE770" s="147"/>
      <c r="BF770" s="147"/>
      <c r="BG770" s="147"/>
      <c r="BH770" s="147"/>
      <c r="BI770" s="147"/>
      <c r="BJ770" s="147"/>
      <c r="BK770" s="147"/>
      <c r="BL770" s="147"/>
      <c r="BM770" s="147"/>
      <c r="BN770" s="147"/>
      <c r="BO770" s="147"/>
      <c r="BP770" s="147"/>
      <c r="BQ770" s="147"/>
      <c r="BR770" s="147"/>
      <c r="BS770" s="147"/>
      <c r="BT770" s="147"/>
      <c r="BU770" s="147"/>
      <c r="BV770" s="147"/>
      <c r="BW770" s="147"/>
      <c r="BX770" s="147"/>
      <c r="BY770" s="147"/>
      <c r="BZ770" s="147"/>
      <c r="CA770" s="147"/>
      <c r="CB770" s="147"/>
      <c r="CC770" s="147"/>
      <c r="CD770" s="147"/>
      <c r="CE770" s="147"/>
      <c r="CF770" s="147"/>
      <c r="CG770" s="147"/>
      <c r="CH770" s="147"/>
      <c r="CI770" s="147"/>
      <c r="CJ770" s="147"/>
      <c r="CK770" s="147"/>
    </row>
    <row r="771" spans="1:89">
      <c r="A771" s="157"/>
      <c r="F771" s="3"/>
      <c r="G771" s="3"/>
      <c r="L771" s="157"/>
      <c r="M771" s="157"/>
      <c r="O771" s="147"/>
      <c r="P771" s="147"/>
      <c r="Q771" s="147"/>
      <c r="R771" s="147"/>
      <c r="S771" s="147"/>
      <c r="T771" s="147"/>
      <c r="U771" s="147"/>
      <c r="V771" s="147"/>
      <c r="W771" s="147"/>
      <c r="X771" s="147"/>
      <c r="Y771" s="147"/>
      <c r="Z771" s="147"/>
      <c r="AA771" s="147"/>
      <c r="AB771" s="147"/>
      <c r="AC771" s="147"/>
      <c r="AD771" s="147"/>
      <c r="AE771" s="147"/>
      <c r="AF771" s="147"/>
      <c r="AG771" s="147"/>
      <c r="AH771" s="147"/>
      <c r="AI771" s="147"/>
      <c r="AJ771" s="147"/>
      <c r="AK771" s="147"/>
      <c r="AL771" s="147"/>
      <c r="AM771" s="151"/>
      <c r="AN771" s="147"/>
      <c r="AO771" s="147"/>
      <c r="AP771" s="147"/>
      <c r="AQ771" s="147"/>
      <c r="AR771" s="147"/>
      <c r="AS771" s="147"/>
      <c r="AT771" s="147"/>
      <c r="AU771" s="147"/>
      <c r="AV771" s="147"/>
      <c r="AW771" s="147"/>
      <c r="AX771" s="147"/>
      <c r="AY771" s="147"/>
      <c r="AZ771" s="147"/>
      <c r="BA771" s="147"/>
      <c r="BB771" s="147"/>
      <c r="BC771" s="147"/>
      <c r="BD771" s="147"/>
      <c r="BE771" s="147"/>
      <c r="BF771" s="147"/>
      <c r="BG771" s="147"/>
      <c r="BH771" s="147"/>
      <c r="BI771" s="147"/>
      <c r="BJ771" s="147"/>
      <c r="BK771" s="147"/>
      <c r="BL771" s="147"/>
      <c r="BM771" s="147"/>
      <c r="BN771" s="147"/>
      <c r="BO771" s="147"/>
      <c r="BP771" s="147"/>
      <c r="BQ771" s="147"/>
      <c r="BR771" s="147"/>
      <c r="BS771" s="147"/>
      <c r="BT771" s="147"/>
      <c r="BU771" s="147"/>
      <c r="BV771" s="147"/>
      <c r="BW771" s="147"/>
      <c r="BX771" s="147"/>
      <c r="BY771" s="147"/>
      <c r="BZ771" s="147"/>
      <c r="CA771" s="147"/>
      <c r="CB771" s="147"/>
      <c r="CC771" s="147"/>
      <c r="CD771" s="147"/>
      <c r="CE771" s="147"/>
      <c r="CF771" s="147"/>
      <c r="CG771" s="147"/>
      <c r="CH771" s="147"/>
      <c r="CI771" s="147"/>
      <c r="CJ771" s="147"/>
      <c r="CK771" s="147"/>
    </row>
    <row r="772" spans="1:89">
      <c r="A772" s="157"/>
      <c r="F772" s="3"/>
      <c r="G772" s="3"/>
      <c r="L772" s="157"/>
      <c r="M772" s="157"/>
      <c r="O772" s="147"/>
      <c r="P772" s="147"/>
      <c r="Q772" s="147"/>
      <c r="R772" s="147"/>
      <c r="S772" s="147"/>
      <c r="T772" s="147"/>
      <c r="U772" s="147"/>
      <c r="V772" s="147"/>
      <c r="W772" s="147"/>
      <c r="X772" s="147"/>
      <c r="Y772" s="147"/>
      <c r="Z772" s="147"/>
      <c r="AA772" s="147"/>
      <c r="AB772" s="147"/>
      <c r="AC772" s="147"/>
      <c r="AD772" s="147"/>
      <c r="AE772" s="147"/>
      <c r="AF772" s="147"/>
      <c r="AG772" s="147"/>
      <c r="AH772" s="147"/>
      <c r="AI772" s="147"/>
      <c r="AJ772" s="147"/>
      <c r="AK772" s="147"/>
      <c r="AL772" s="147"/>
      <c r="AM772" s="151"/>
      <c r="AN772" s="147"/>
      <c r="AO772" s="147"/>
      <c r="AP772" s="147"/>
      <c r="AQ772" s="147"/>
      <c r="AR772" s="147"/>
      <c r="AS772" s="147"/>
      <c r="AT772" s="147"/>
      <c r="AU772" s="147"/>
      <c r="AV772" s="147"/>
      <c r="AW772" s="147"/>
      <c r="AX772" s="147"/>
      <c r="AY772" s="147"/>
      <c r="AZ772" s="147"/>
      <c r="BA772" s="147"/>
      <c r="BB772" s="147"/>
      <c r="BC772" s="147"/>
      <c r="BD772" s="147"/>
      <c r="BE772" s="147"/>
      <c r="BF772" s="147"/>
      <c r="BG772" s="147"/>
      <c r="BH772" s="147"/>
      <c r="BI772" s="147"/>
      <c r="BJ772" s="147"/>
      <c r="BK772" s="147"/>
      <c r="BL772" s="147"/>
      <c r="BM772" s="147"/>
      <c r="BN772" s="147"/>
      <c r="BO772" s="147"/>
      <c r="BP772" s="147"/>
      <c r="BQ772" s="147"/>
      <c r="BR772" s="147"/>
      <c r="BS772" s="147"/>
      <c r="BT772" s="147"/>
      <c r="BU772" s="147"/>
      <c r="BV772" s="147"/>
      <c r="BW772" s="147"/>
      <c r="BX772" s="147"/>
      <c r="BY772" s="147"/>
      <c r="BZ772" s="147"/>
      <c r="CA772" s="147"/>
      <c r="CB772" s="147"/>
      <c r="CC772" s="147"/>
      <c r="CD772" s="147"/>
      <c r="CE772" s="147"/>
      <c r="CF772" s="147"/>
      <c r="CG772" s="147"/>
      <c r="CH772" s="147"/>
      <c r="CI772" s="147"/>
      <c r="CJ772" s="147"/>
      <c r="CK772" s="147"/>
    </row>
    <row r="773" spans="1:89">
      <c r="A773" s="157"/>
      <c r="F773" s="3"/>
      <c r="G773" s="3"/>
      <c r="L773" s="157"/>
      <c r="M773" s="157"/>
      <c r="O773" s="147"/>
      <c r="P773" s="147"/>
      <c r="Q773" s="147"/>
      <c r="R773" s="147"/>
      <c r="S773" s="147"/>
      <c r="T773" s="147"/>
      <c r="U773" s="147"/>
      <c r="V773" s="147"/>
      <c r="W773" s="147"/>
      <c r="X773" s="147"/>
      <c r="Y773" s="147"/>
      <c r="Z773" s="147"/>
      <c r="AA773" s="147"/>
      <c r="AB773" s="147"/>
      <c r="AC773" s="147"/>
      <c r="AD773" s="147"/>
      <c r="AE773" s="147"/>
      <c r="AF773" s="147"/>
      <c r="AG773" s="147"/>
      <c r="AH773" s="147"/>
      <c r="AI773" s="147"/>
      <c r="AJ773" s="147"/>
      <c r="AK773" s="147"/>
      <c r="AL773" s="147"/>
      <c r="AM773" s="151"/>
      <c r="AN773" s="147"/>
      <c r="AO773" s="147"/>
      <c r="AP773" s="147"/>
      <c r="AQ773" s="147"/>
      <c r="AR773" s="147"/>
      <c r="AS773" s="147"/>
      <c r="AT773" s="147"/>
      <c r="AU773" s="147"/>
      <c r="AV773" s="147"/>
      <c r="AW773" s="147"/>
      <c r="AX773" s="147"/>
      <c r="AY773" s="147"/>
      <c r="AZ773" s="147"/>
      <c r="BA773" s="147"/>
      <c r="BB773" s="147"/>
      <c r="BC773" s="147"/>
      <c r="BD773" s="147"/>
      <c r="BE773" s="147"/>
      <c r="BF773" s="147"/>
      <c r="BG773" s="147"/>
      <c r="BH773" s="147"/>
      <c r="BI773" s="147"/>
      <c r="BJ773" s="147"/>
      <c r="BK773" s="147"/>
      <c r="BL773" s="147"/>
      <c r="BM773" s="147"/>
      <c r="BN773" s="147"/>
      <c r="BO773" s="147"/>
      <c r="BP773" s="147"/>
      <c r="BQ773" s="147"/>
      <c r="BR773" s="147"/>
      <c r="BS773" s="147"/>
      <c r="BT773" s="147"/>
      <c r="BU773" s="147"/>
      <c r="BV773" s="147"/>
      <c r="BW773" s="147"/>
      <c r="BX773" s="147"/>
      <c r="BY773" s="147"/>
      <c r="BZ773" s="147"/>
      <c r="CA773" s="147"/>
      <c r="CB773" s="147"/>
      <c r="CC773" s="147"/>
      <c r="CD773" s="147"/>
      <c r="CE773" s="147"/>
      <c r="CF773" s="147"/>
      <c r="CG773" s="147"/>
      <c r="CH773" s="147"/>
      <c r="CI773" s="147"/>
      <c r="CJ773" s="147"/>
      <c r="CK773" s="147"/>
    </row>
    <row r="774" spans="1:89">
      <c r="A774" s="157"/>
      <c r="F774" s="3"/>
      <c r="G774" s="3"/>
      <c r="L774" s="157"/>
      <c r="M774" s="157"/>
      <c r="O774" s="147"/>
      <c r="P774" s="147"/>
      <c r="Q774" s="147"/>
      <c r="R774" s="147"/>
      <c r="S774" s="147"/>
      <c r="T774" s="147"/>
      <c r="U774" s="147"/>
      <c r="V774" s="147"/>
      <c r="W774" s="147"/>
      <c r="X774" s="147"/>
      <c r="Y774" s="147"/>
      <c r="Z774" s="147"/>
      <c r="AA774" s="147"/>
      <c r="AB774" s="147"/>
      <c r="AC774" s="147"/>
      <c r="AD774" s="147"/>
      <c r="AE774" s="147"/>
      <c r="AF774" s="147"/>
      <c r="AG774" s="147"/>
      <c r="AH774" s="147"/>
      <c r="AI774" s="147"/>
      <c r="AJ774" s="147"/>
      <c r="AK774" s="147"/>
      <c r="AL774" s="147"/>
      <c r="AM774" s="151"/>
      <c r="AN774" s="147"/>
      <c r="AO774" s="147"/>
      <c r="AP774" s="147"/>
      <c r="AQ774" s="147"/>
      <c r="AR774" s="147"/>
      <c r="AS774" s="147"/>
      <c r="AT774" s="147"/>
      <c r="AU774" s="147"/>
      <c r="AV774" s="147"/>
      <c r="AW774" s="147"/>
      <c r="AX774" s="147"/>
      <c r="AY774" s="147"/>
      <c r="AZ774" s="147"/>
      <c r="BA774" s="147"/>
      <c r="BB774" s="147"/>
      <c r="BC774" s="147"/>
      <c r="BD774" s="147"/>
      <c r="BE774" s="147"/>
      <c r="BF774" s="147"/>
      <c r="BG774" s="147"/>
      <c r="BH774" s="147"/>
      <c r="BI774" s="147"/>
      <c r="BJ774" s="147"/>
      <c r="BK774" s="147"/>
      <c r="BL774" s="147"/>
      <c r="BM774" s="147"/>
      <c r="BN774" s="147"/>
      <c r="BO774" s="147"/>
      <c r="BP774" s="147"/>
      <c r="BQ774" s="147"/>
      <c r="BR774" s="147"/>
      <c r="BS774" s="147"/>
      <c r="BT774" s="147"/>
      <c r="BU774" s="147"/>
      <c r="BV774" s="147"/>
      <c r="BW774" s="147"/>
      <c r="BX774" s="147"/>
      <c r="BY774" s="147"/>
      <c r="BZ774" s="147"/>
      <c r="CA774" s="147"/>
      <c r="CB774" s="147"/>
      <c r="CC774" s="147"/>
      <c r="CD774" s="147"/>
      <c r="CE774" s="147"/>
      <c r="CF774" s="147"/>
      <c r="CG774" s="147"/>
      <c r="CH774" s="147"/>
      <c r="CI774" s="147"/>
      <c r="CJ774" s="147"/>
      <c r="CK774" s="147"/>
    </row>
    <row r="775" spans="1:89">
      <c r="A775" s="157"/>
      <c r="F775" s="3"/>
      <c r="G775" s="3"/>
      <c r="L775" s="157"/>
      <c r="M775" s="157"/>
      <c r="O775" s="147"/>
      <c r="P775" s="147"/>
      <c r="Q775" s="147"/>
      <c r="R775" s="147"/>
      <c r="S775" s="147"/>
      <c r="T775" s="147"/>
      <c r="U775" s="147"/>
      <c r="V775" s="147"/>
      <c r="W775" s="147"/>
      <c r="X775" s="147"/>
      <c r="Y775" s="147"/>
      <c r="Z775" s="147"/>
      <c r="AA775" s="147"/>
      <c r="AB775" s="147"/>
      <c r="AC775" s="147"/>
      <c r="AD775" s="147"/>
      <c r="AE775" s="147"/>
      <c r="AF775" s="147"/>
      <c r="AG775" s="147"/>
      <c r="AH775" s="147"/>
      <c r="AI775" s="147"/>
      <c r="AJ775" s="147"/>
      <c r="AK775" s="147"/>
      <c r="AL775" s="147"/>
      <c r="AM775" s="151"/>
      <c r="AN775" s="147"/>
      <c r="AO775" s="147"/>
      <c r="AP775" s="147"/>
      <c r="AQ775" s="147"/>
      <c r="AR775" s="147"/>
      <c r="AS775" s="147"/>
      <c r="AT775" s="147"/>
      <c r="AU775" s="147"/>
      <c r="AV775" s="147"/>
      <c r="AW775" s="147"/>
      <c r="AX775" s="147"/>
      <c r="AY775" s="147"/>
      <c r="AZ775" s="147"/>
      <c r="BA775" s="147"/>
      <c r="BB775" s="147"/>
      <c r="BC775" s="147"/>
      <c r="BD775" s="147"/>
      <c r="BE775" s="147"/>
      <c r="BF775" s="147"/>
      <c r="BG775" s="147"/>
      <c r="BH775" s="147"/>
      <c r="BI775" s="147"/>
      <c r="BJ775" s="147"/>
      <c r="BK775" s="147"/>
      <c r="BL775" s="147"/>
      <c r="BM775" s="147"/>
      <c r="BN775" s="147"/>
      <c r="BO775" s="147"/>
      <c r="BP775" s="147"/>
      <c r="BQ775" s="147"/>
      <c r="BR775" s="147"/>
      <c r="BS775" s="147"/>
      <c r="BT775" s="147"/>
      <c r="BU775" s="147"/>
      <c r="BV775" s="147"/>
      <c r="BW775" s="147"/>
      <c r="BX775" s="147"/>
      <c r="BY775" s="147"/>
      <c r="BZ775" s="147"/>
      <c r="CA775" s="147"/>
      <c r="CB775" s="147"/>
      <c r="CC775" s="147"/>
      <c r="CD775" s="147"/>
      <c r="CE775" s="147"/>
      <c r="CF775" s="147"/>
      <c r="CG775" s="147"/>
      <c r="CH775" s="147"/>
      <c r="CI775" s="147"/>
      <c r="CJ775" s="147"/>
      <c r="CK775" s="147"/>
    </row>
    <row r="776" spans="1:89">
      <c r="A776" s="157"/>
      <c r="F776" s="3"/>
      <c r="G776" s="3"/>
      <c r="L776" s="157"/>
      <c r="M776" s="157"/>
      <c r="O776" s="147"/>
      <c r="P776" s="147"/>
      <c r="Q776" s="147"/>
      <c r="R776" s="147"/>
      <c r="S776" s="147"/>
      <c r="T776" s="147"/>
      <c r="U776" s="147"/>
      <c r="V776" s="147"/>
      <c r="W776" s="147"/>
      <c r="X776" s="147"/>
      <c r="Y776" s="147"/>
      <c r="Z776" s="147"/>
      <c r="AA776" s="147"/>
      <c r="AB776" s="147"/>
      <c r="AC776" s="147"/>
      <c r="AD776" s="147"/>
      <c r="AE776" s="147"/>
      <c r="AF776" s="147"/>
      <c r="AG776" s="147"/>
      <c r="AH776" s="147"/>
      <c r="AI776" s="147"/>
      <c r="AJ776" s="147"/>
      <c r="AK776" s="147"/>
      <c r="AL776" s="147"/>
      <c r="AM776" s="151"/>
      <c r="AN776" s="147"/>
      <c r="AO776" s="147"/>
      <c r="AP776" s="147"/>
      <c r="AQ776" s="147"/>
      <c r="AR776" s="147"/>
      <c r="AS776" s="147"/>
      <c r="AT776" s="147"/>
      <c r="AU776" s="147"/>
      <c r="AV776" s="147"/>
      <c r="AW776" s="147"/>
      <c r="AX776" s="147"/>
      <c r="AY776" s="147"/>
      <c r="AZ776" s="147"/>
      <c r="BA776" s="147"/>
      <c r="BB776" s="147"/>
      <c r="BC776" s="147"/>
      <c r="BD776" s="147"/>
      <c r="BE776" s="147"/>
      <c r="BF776" s="147"/>
      <c r="BG776" s="147"/>
      <c r="BH776" s="147"/>
      <c r="BI776" s="147"/>
      <c r="BJ776" s="147"/>
      <c r="BK776" s="147"/>
      <c r="BL776" s="147"/>
      <c r="BM776" s="147"/>
      <c r="BN776" s="147"/>
      <c r="BO776" s="147"/>
      <c r="BP776" s="147"/>
      <c r="BQ776" s="147"/>
      <c r="BR776" s="147"/>
      <c r="BS776" s="147"/>
      <c r="BT776" s="147"/>
      <c r="BU776" s="147"/>
      <c r="BV776" s="147"/>
      <c r="BW776" s="147"/>
      <c r="BX776" s="147"/>
      <c r="BY776" s="147"/>
      <c r="BZ776" s="147"/>
      <c r="CA776" s="147"/>
      <c r="CB776" s="147"/>
      <c r="CC776" s="147"/>
      <c r="CD776" s="147"/>
      <c r="CE776" s="147"/>
      <c r="CF776" s="147"/>
      <c r="CG776" s="147"/>
      <c r="CH776" s="147"/>
      <c r="CI776" s="147"/>
      <c r="CJ776" s="147"/>
      <c r="CK776" s="147"/>
    </row>
    <row r="777" spans="1:89">
      <c r="A777" s="157"/>
      <c r="F777" s="3"/>
      <c r="G777" s="3"/>
      <c r="L777" s="157"/>
      <c r="M777" s="157"/>
      <c r="O777" s="147"/>
      <c r="P777" s="147"/>
      <c r="Q777" s="147"/>
      <c r="R777" s="147"/>
      <c r="S777" s="147"/>
      <c r="T777" s="147"/>
      <c r="U777" s="147"/>
      <c r="V777" s="147"/>
      <c r="W777" s="147"/>
      <c r="X777" s="147"/>
      <c r="Y777" s="147"/>
      <c r="Z777" s="147"/>
      <c r="AA777" s="147"/>
      <c r="AB777" s="147"/>
      <c r="AC777" s="147"/>
      <c r="AD777" s="147"/>
      <c r="AE777" s="147"/>
      <c r="AF777" s="147"/>
      <c r="AG777" s="147"/>
      <c r="AH777" s="147"/>
      <c r="AI777" s="147"/>
      <c r="AJ777" s="147"/>
      <c r="AK777" s="147"/>
      <c r="AL777" s="147"/>
      <c r="AM777" s="151"/>
      <c r="AN777" s="147"/>
      <c r="AO777" s="147"/>
      <c r="AP777" s="147"/>
      <c r="AQ777" s="147"/>
      <c r="AR777" s="147"/>
      <c r="AS777" s="147"/>
      <c r="AT777" s="147"/>
      <c r="AU777" s="147"/>
      <c r="AV777" s="147"/>
      <c r="AW777" s="147"/>
      <c r="AX777" s="147"/>
      <c r="AY777" s="147"/>
      <c r="AZ777" s="147"/>
      <c r="BA777" s="147"/>
      <c r="BB777" s="147"/>
      <c r="BC777" s="147"/>
      <c r="BD777" s="147"/>
      <c r="BE777" s="147"/>
      <c r="BF777" s="147"/>
      <c r="BG777" s="147"/>
      <c r="BH777" s="147"/>
      <c r="BI777" s="147"/>
      <c r="BJ777" s="147"/>
      <c r="BK777" s="147"/>
      <c r="BL777" s="147"/>
      <c r="BM777" s="147"/>
      <c r="BN777" s="147"/>
      <c r="BO777" s="147"/>
      <c r="BP777" s="147"/>
      <c r="BQ777" s="147"/>
      <c r="BR777" s="147"/>
      <c r="BS777" s="147"/>
      <c r="BT777" s="147"/>
      <c r="BU777" s="147"/>
      <c r="BV777" s="147"/>
      <c r="BW777" s="147"/>
      <c r="BX777" s="147"/>
      <c r="BY777" s="147"/>
      <c r="BZ777" s="147"/>
      <c r="CA777" s="147"/>
      <c r="CB777" s="147"/>
      <c r="CC777" s="147"/>
      <c r="CD777" s="147"/>
      <c r="CE777" s="147"/>
      <c r="CF777" s="147"/>
      <c r="CG777" s="147"/>
      <c r="CH777" s="147"/>
      <c r="CI777" s="147"/>
      <c r="CJ777" s="147"/>
      <c r="CK777" s="147"/>
    </row>
    <row r="778" spans="1:89">
      <c r="A778" s="157"/>
      <c r="F778" s="3"/>
      <c r="G778" s="3"/>
      <c r="L778" s="157"/>
      <c r="M778" s="157"/>
      <c r="O778" s="147"/>
      <c r="P778" s="147"/>
      <c r="Q778" s="147"/>
      <c r="R778" s="147"/>
      <c r="S778" s="147"/>
      <c r="T778" s="147"/>
      <c r="U778" s="147"/>
      <c r="V778" s="147"/>
      <c r="W778" s="147"/>
      <c r="X778" s="147"/>
      <c r="Y778" s="147"/>
      <c r="Z778" s="147"/>
      <c r="AA778" s="147"/>
      <c r="AB778" s="147"/>
      <c r="AC778" s="147"/>
      <c r="AD778" s="147"/>
      <c r="AE778" s="147"/>
      <c r="AF778" s="147"/>
      <c r="AG778" s="147"/>
      <c r="AH778" s="147"/>
      <c r="AI778" s="147"/>
      <c r="AJ778" s="147"/>
      <c r="AK778" s="147"/>
      <c r="AL778" s="147"/>
      <c r="AM778" s="151"/>
      <c r="AN778" s="147"/>
      <c r="AO778" s="147"/>
      <c r="AP778" s="147"/>
      <c r="AQ778" s="147"/>
      <c r="AR778" s="147"/>
      <c r="AS778" s="147"/>
      <c r="AT778" s="147"/>
      <c r="AU778" s="147"/>
      <c r="AV778" s="147"/>
      <c r="AW778" s="147"/>
      <c r="AX778" s="147"/>
      <c r="AY778" s="147"/>
      <c r="AZ778" s="147"/>
      <c r="BA778" s="147"/>
      <c r="BB778" s="147"/>
      <c r="BC778" s="147"/>
      <c r="BD778" s="147"/>
      <c r="BE778" s="147"/>
      <c r="BF778" s="147"/>
      <c r="BG778" s="147"/>
      <c r="BH778" s="147"/>
      <c r="BI778" s="147"/>
      <c r="BJ778" s="147"/>
      <c r="BK778" s="147"/>
      <c r="BL778" s="147"/>
      <c r="BM778" s="147"/>
      <c r="BN778" s="147"/>
      <c r="BO778" s="147"/>
      <c r="BP778" s="147"/>
      <c r="BQ778" s="147"/>
      <c r="BR778" s="147"/>
      <c r="BS778" s="147"/>
      <c r="BT778" s="147"/>
      <c r="BU778" s="147"/>
      <c r="BV778" s="147"/>
      <c r="BW778" s="147"/>
      <c r="BX778" s="147"/>
      <c r="BY778" s="147"/>
      <c r="BZ778" s="147"/>
      <c r="CA778" s="147"/>
      <c r="CB778" s="147"/>
      <c r="CC778" s="147"/>
      <c r="CD778" s="147"/>
      <c r="CE778" s="147"/>
      <c r="CF778" s="147"/>
      <c r="CG778" s="147"/>
      <c r="CH778" s="147"/>
      <c r="CI778" s="147"/>
      <c r="CJ778" s="147"/>
      <c r="CK778" s="147"/>
    </row>
    <row r="779" spans="1:89">
      <c r="A779" s="157"/>
      <c r="F779" s="3"/>
      <c r="G779" s="3"/>
      <c r="L779" s="157"/>
      <c r="M779" s="157"/>
      <c r="O779" s="147"/>
      <c r="P779" s="147"/>
      <c r="Q779" s="147"/>
      <c r="R779" s="147"/>
      <c r="S779" s="147"/>
      <c r="T779" s="147"/>
      <c r="U779" s="147"/>
      <c r="V779" s="147"/>
      <c r="W779" s="147"/>
      <c r="X779" s="147"/>
      <c r="Y779" s="147"/>
      <c r="Z779" s="147"/>
      <c r="AA779" s="147"/>
      <c r="AB779" s="147"/>
      <c r="AC779" s="147"/>
      <c r="AD779" s="147"/>
      <c r="AE779" s="147"/>
      <c r="AF779" s="147"/>
      <c r="AG779" s="147"/>
      <c r="AH779" s="147"/>
      <c r="AI779" s="147"/>
      <c r="AJ779" s="147"/>
      <c r="AK779" s="147"/>
      <c r="AL779" s="147"/>
      <c r="AM779" s="151"/>
      <c r="AN779" s="147"/>
      <c r="AO779" s="147"/>
      <c r="AP779" s="147"/>
      <c r="AQ779" s="147"/>
      <c r="AR779" s="147"/>
      <c r="AS779" s="147"/>
      <c r="AT779" s="147"/>
      <c r="AU779" s="147"/>
      <c r="AV779" s="147"/>
      <c r="AW779" s="147"/>
      <c r="AX779" s="147"/>
      <c r="AY779" s="147"/>
      <c r="AZ779" s="147"/>
      <c r="BA779" s="147"/>
      <c r="BB779" s="147"/>
      <c r="BC779" s="147"/>
      <c r="BD779" s="147"/>
      <c r="BE779" s="147"/>
      <c r="BF779" s="147"/>
      <c r="BG779" s="147"/>
      <c r="BH779" s="147"/>
      <c r="BI779" s="147"/>
      <c r="BJ779" s="147"/>
      <c r="BK779" s="147"/>
      <c r="BL779" s="147"/>
      <c r="BM779" s="147"/>
      <c r="BN779" s="147"/>
      <c r="BO779" s="147"/>
      <c r="BP779" s="147"/>
      <c r="BQ779" s="147"/>
      <c r="BR779" s="147"/>
      <c r="BS779" s="147"/>
      <c r="BT779" s="147"/>
      <c r="BU779" s="147"/>
      <c r="BV779" s="147"/>
      <c r="BW779" s="147"/>
      <c r="BX779" s="147"/>
      <c r="BY779" s="147"/>
      <c r="BZ779" s="147"/>
      <c r="CA779" s="147"/>
      <c r="CB779" s="147"/>
      <c r="CC779" s="147"/>
      <c r="CD779" s="147"/>
      <c r="CE779" s="147"/>
      <c r="CF779" s="147"/>
      <c r="CG779" s="147"/>
      <c r="CH779" s="147"/>
      <c r="CI779" s="147"/>
      <c r="CJ779" s="147"/>
      <c r="CK779" s="147"/>
    </row>
    <row r="780" spans="1:89">
      <c r="A780" s="157"/>
      <c r="F780" s="3"/>
      <c r="G780" s="3"/>
      <c r="L780" s="157"/>
      <c r="M780" s="157"/>
      <c r="O780" s="147"/>
      <c r="P780" s="147"/>
      <c r="Q780" s="147"/>
      <c r="R780" s="147"/>
      <c r="S780" s="147"/>
      <c r="T780" s="147"/>
      <c r="U780" s="147"/>
      <c r="V780" s="147"/>
      <c r="W780" s="147"/>
      <c r="X780" s="147"/>
      <c r="Y780" s="147"/>
      <c r="Z780" s="147"/>
      <c r="AA780" s="147"/>
      <c r="AB780" s="147"/>
      <c r="AC780" s="147"/>
      <c r="AD780" s="147"/>
      <c r="AE780" s="147"/>
      <c r="AF780" s="147"/>
      <c r="AG780" s="147"/>
      <c r="AH780" s="147"/>
      <c r="AI780" s="147"/>
      <c r="AJ780" s="147"/>
      <c r="AK780" s="147"/>
      <c r="AL780" s="147"/>
      <c r="AM780" s="151"/>
      <c r="AN780" s="147"/>
      <c r="AO780" s="147"/>
      <c r="AP780" s="147"/>
      <c r="AQ780" s="147"/>
      <c r="AR780" s="147"/>
      <c r="AS780" s="147"/>
      <c r="AT780" s="147"/>
      <c r="AU780" s="147"/>
      <c r="AV780" s="147"/>
      <c r="AW780" s="147"/>
      <c r="AX780" s="147"/>
      <c r="AY780" s="147"/>
      <c r="AZ780" s="147"/>
      <c r="BA780" s="147"/>
      <c r="BB780" s="147"/>
      <c r="BC780" s="147"/>
      <c r="BD780" s="147"/>
      <c r="BE780" s="147"/>
      <c r="BF780" s="147"/>
      <c r="BG780" s="147"/>
      <c r="BH780" s="147"/>
      <c r="BI780" s="147"/>
      <c r="BJ780" s="147"/>
      <c r="BK780" s="147"/>
      <c r="BL780" s="147"/>
      <c r="BM780" s="147"/>
      <c r="BN780" s="147"/>
      <c r="BO780" s="147"/>
      <c r="BP780" s="147"/>
      <c r="BQ780" s="147"/>
      <c r="BR780" s="147"/>
      <c r="BS780" s="147"/>
      <c r="BT780" s="147"/>
      <c r="BU780" s="147"/>
      <c r="BV780" s="147"/>
      <c r="BW780" s="147"/>
      <c r="BX780" s="147"/>
      <c r="BY780" s="147"/>
      <c r="BZ780" s="147"/>
      <c r="CA780" s="147"/>
      <c r="CB780" s="147"/>
      <c r="CC780" s="147"/>
      <c r="CD780" s="147"/>
      <c r="CE780" s="147"/>
      <c r="CF780" s="147"/>
      <c r="CG780" s="147"/>
      <c r="CH780" s="147"/>
      <c r="CI780" s="147"/>
      <c r="CJ780" s="147"/>
      <c r="CK780" s="147"/>
    </row>
    <row r="781" spans="1:89">
      <c r="A781" s="157"/>
      <c r="F781" s="3"/>
      <c r="G781" s="3"/>
      <c r="L781" s="157"/>
      <c r="M781" s="157"/>
      <c r="O781" s="147"/>
      <c r="P781" s="147"/>
      <c r="Q781" s="147"/>
      <c r="R781" s="147"/>
      <c r="S781" s="147"/>
      <c r="T781" s="147"/>
      <c r="U781" s="147"/>
      <c r="V781" s="147"/>
      <c r="W781" s="147"/>
      <c r="X781" s="147"/>
      <c r="Y781" s="147"/>
      <c r="Z781" s="147"/>
      <c r="AA781" s="147"/>
      <c r="AB781" s="147"/>
      <c r="AC781" s="147"/>
      <c r="AD781" s="147"/>
      <c r="AE781" s="147"/>
      <c r="AF781" s="147"/>
      <c r="AG781" s="147"/>
      <c r="AH781" s="147"/>
      <c r="AI781" s="147"/>
      <c r="AJ781" s="147"/>
      <c r="AK781" s="147"/>
      <c r="AL781" s="147"/>
      <c r="AM781" s="151"/>
      <c r="AN781" s="147"/>
      <c r="AO781" s="147"/>
      <c r="AP781" s="147"/>
      <c r="AQ781" s="147"/>
      <c r="AR781" s="147"/>
      <c r="AS781" s="147"/>
      <c r="AT781" s="147"/>
      <c r="AU781" s="147"/>
      <c r="AV781" s="147"/>
      <c r="AW781" s="147"/>
      <c r="AX781" s="147"/>
      <c r="AY781" s="147"/>
      <c r="AZ781" s="147"/>
      <c r="BA781" s="147"/>
      <c r="BB781" s="147"/>
      <c r="BC781" s="147"/>
      <c r="BD781" s="147"/>
      <c r="BE781" s="147"/>
      <c r="BF781" s="147"/>
      <c r="BG781" s="147"/>
      <c r="BH781" s="147"/>
      <c r="BI781" s="147"/>
      <c r="BJ781" s="147"/>
      <c r="BK781" s="147"/>
      <c r="BL781" s="147"/>
      <c r="BM781" s="147"/>
      <c r="BN781" s="147"/>
      <c r="BO781" s="147"/>
      <c r="BP781" s="147"/>
      <c r="BQ781" s="147"/>
      <c r="BR781" s="147"/>
      <c r="BS781" s="147"/>
      <c r="BT781" s="147"/>
      <c r="BU781" s="147"/>
      <c r="BV781" s="147"/>
      <c r="BW781" s="147"/>
      <c r="BX781" s="147"/>
      <c r="BY781" s="147"/>
      <c r="BZ781" s="147"/>
      <c r="CA781" s="147"/>
      <c r="CB781" s="147"/>
      <c r="CC781" s="147"/>
      <c r="CD781" s="147"/>
      <c r="CE781" s="147"/>
      <c r="CF781" s="147"/>
      <c r="CG781" s="147"/>
      <c r="CH781" s="147"/>
      <c r="CI781" s="147"/>
      <c r="CJ781" s="147"/>
      <c r="CK781" s="147"/>
    </row>
    <row r="782" spans="1:89">
      <c r="A782" s="157"/>
      <c r="F782" s="3"/>
      <c r="G782" s="3"/>
      <c r="L782" s="157"/>
      <c r="M782" s="157"/>
      <c r="O782" s="147"/>
      <c r="P782" s="147"/>
      <c r="Q782" s="147"/>
      <c r="R782" s="147"/>
      <c r="S782" s="147"/>
      <c r="T782" s="147"/>
      <c r="U782" s="147"/>
      <c r="V782" s="147"/>
      <c r="W782" s="147"/>
      <c r="X782" s="147"/>
      <c r="Y782" s="147"/>
      <c r="Z782" s="147"/>
      <c r="AA782" s="147"/>
      <c r="AB782" s="147"/>
      <c r="AC782" s="147"/>
      <c r="AD782" s="147"/>
      <c r="AE782" s="147"/>
      <c r="AF782" s="147"/>
      <c r="AG782" s="147"/>
      <c r="AH782" s="147"/>
      <c r="AI782" s="147"/>
      <c r="AJ782" s="147"/>
      <c r="AK782" s="147"/>
      <c r="AL782" s="147"/>
      <c r="AM782" s="151"/>
      <c r="AN782" s="147"/>
      <c r="AO782" s="147"/>
      <c r="AP782" s="147"/>
      <c r="AQ782" s="147"/>
      <c r="AR782" s="147"/>
      <c r="AS782" s="147"/>
      <c r="AT782" s="147"/>
      <c r="AU782" s="147"/>
      <c r="AV782" s="147"/>
      <c r="AW782" s="147"/>
      <c r="AX782" s="147"/>
      <c r="AY782" s="147"/>
      <c r="AZ782" s="147"/>
      <c r="BA782" s="147"/>
      <c r="BB782" s="147"/>
      <c r="BC782" s="147"/>
      <c r="BD782" s="147"/>
      <c r="BE782" s="147"/>
      <c r="BF782" s="147"/>
      <c r="BG782" s="147"/>
      <c r="BH782" s="147"/>
      <c r="BI782" s="147"/>
      <c r="BJ782" s="147"/>
      <c r="BK782" s="147"/>
      <c r="BL782" s="147"/>
      <c r="BM782" s="147"/>
      <c r="BN782" s="147"/>
      <c r="BO782" s="147"/>
      <c r="BP782" s="147"/>
      <c r="BQ782" s="147"/>
      <c r="BR782" s="147"/>
      <c r="BS782" s="147"/>
      <c r="BT782" s="147"/>
      <c r="BU782" s="147"/>
      <c r="BV782" s="147"/>
      <c r="BW782" s="147"/>
      <c r="BX782" s="147"/>
      <c r="BY782" s="147"/>
      <c r="BZ782" s="147"/>
      <c r="CA782" s="147"/>
      <c r="CB782" s="147"/>
      <c r="CC782" s="147"/>
      <c r="CD782" s="147"/>
      <c r="CE782" s="147"/>
      <c r="CF782" s="147"/>
      <c r="CG782" s="147"/>
      <c r="CH782" s="147"/>
      <c r="CI782" s="147"/>
      <c r="CJ782" s="147"/>
      <c r="CK782" s="147"/>
    </row>
    <row r="783" spans="1:89">
      <c r="A783" s="157"/>
      <c r="F783" s="3"/>
      <c r="G783" s="3"/>
      <c r="L783" s="157"/>
      <c r="M783" s="157"/>
      <c r="O783" s="147"/>
      <c r="P783" s="147"/>
      <c r="Q783" s="147"/>
      <c r="R783" s="147"/>
      <c r="S783" s="147"/>
      <c r="T783" s="147"/>
      <c r="U783" s="147"/>
      <c r="V783" s="147"/>
      <c r="W783" s="147"/>
      <c r="X783" s="147"/>
      <c r="Y783" s="147"/>
      <c r="Z783" s="147"/>
      <c r="AA783" s="147"/>
      <c r="AB783" s="147"/>
      <c r="AC783" s="147"/>
      <c r="AD783" s="147"/>
      <c r="AE783" s="147"/>
      <c r="AF783" s="147"/>
      <c r="AG783" s="147"/>
      <c r="AH783" s="147"/>
      <c r="AI783" s="147"/>
      <c r="AJ783" s="147"/>
      <c r="AK783" s="147"/>
      <c r="AL783" s="147"/>
      <c r="AM783" s="151"/>
      <c r="AN783" s="147"/>
      <c r="AO783" s="147"/>
      <c r="AP783" s="147"/>
      <c r="AQ783" s="147"/>
      <c r="AR783" s="147"/>
      <c r="AS783" s="147"/>
      <c r="AT783" s="147"/>
      <c r="AU783" s="147"/>
      <c r="AV783" s="147"/>
      <c r="AW783" s="147"/>
      <c r="AX783" s="147"/>
      <c r="AY783" s="147"/>
      <c r="AZ783" s="147"/>
      <c r="BA783" s="147"/>
      <c r="BB783" s="147"/>
      <c r="BC783" s="147"/>
      <c r="BD783" s="147"/>
      <c r="BE783" s="147"/>
      <c r="BF783" s="147"/>
      <c r="BG783" s="147"/>
      <c r="BH783" s="147"/>
      <c r="BI783" s="147"/>
      <c r="BJ783" s="147"/>
      <c r="BK783" s="147"/>
      <c r="BL783" s="147"/>
      <c r="BM783" s="147"/>
      <c r="BN783" s="147"/>
      <c r="BO783" s="147"/>
      <c r="BP783" s="147"/>
      <c r="BQ783" s="147"/>
      <c r="BR783" s="147"/>
      <c r="BS783" s="147"/>
      <c r="BT783" s="147"/>
      <c r="BU783" s="147"/>
      <c r="BV783" s="147"/>
      <c r="BW783" s="147"/>
      <c r="BX783" s="147"/>
      <c r="BY783" s="147"/>
      <c r="BZ783" s="147"/>
      <c r="CA783" s="147"/>
      <c r="CB783" s="147"/>
      <c r="CC783" s="147"/>
      <c r="CD783" s="147"/>
      <c r="CE783" s="147"/>
      <c r="CF783" s="147"/>
      <c r="CG783" s="147"/>
      <c r="CH783" s="147"/>
      <c r="CI783" s="147"/>
      <c r="CJ783" s="147"/>
      <c r="CK783" s="147"/>
    </row>
    <row r="784" spans="1:89">
      <c r="A784" s="157"/>
      <c r="F784" s="3"/>
      <c r="G784" s="3"/>
      <c r="L784" s="157"/>
      <c r="M784" s="157"/>
      <c r="O784" s="147"/>
      <c r="P784" s="147"/>
      <c r="Q784" s="147"/>
      <c r="R784" s="147"/>
      <c r="S784" s="147"/>
      <c r="T784" s="147"/>
      <c r="U784" s="147"/>
      <c r="V784" s="147"/>
      <c r="W784" s="147"/>
      <c r="X784" s="147"/>
      <c r="Y784" s="147"/>
      <c r="Z784" s="147"/>
      <c r="AA784" s="147"/>
      <c r="AB784" s="147"/>
      <c r="AC784" s="147"/>
      <c r="AD784" s="147"/>
      <c r="AE784" s="147"/>
      <c r="AF784" s="147"/>
      <c r="AG784" s="147"/>
      <c r="AH784" s="147"/>
      <c r="AI784" s="147"/>
      <c r="AJ784" s="147"/>
      <c r="AK784" s="147"/>
      <c r="AL784" s="147"/>
      <c r="AM784" s="151"/>
      <c r="AN784" s="147"/>
      <c r="AO784" s="147"/>
      <c r="AP784" s="147"/>
      <c r="AQ784" s="147"/>
      <c r="AR784" s="147"/>
      <c r="AS784" s="147"/>
      <c r="AT784" s="147"/>
      <c r="AU784" s="147"/>
      <c r="AV784" s="147"/>
      <c r="AW784" s="147"/>
      <c r="AX784" s="147"/>
      <c r="AY784" s="147"/>
      <c r="AZ784" s="147"/>
      <c r="BA784" s="147"/>
      <c r="BB784" s="147"/>
      <c r="BC784" s="147"/>
      <c r="BD784" s="147"/>
      <c r="BE784" s="147"/>
      <c r="BF784" s="147"/>
      <c r="BG784" s="147"/>
      <c r="BH784" s="147"/>
      <c r="BI784" s="147"/>
      <c r="BJ784" s="147"/>
      <c r="BK784" s="147"/>
      <c r="BL784" s="147"/>
      <c r="BM784" s="147"/>
      <c r="BN784" s="147"/>
      <c r="BO784" s="147"/>
      <c r="BP784" s="147"/>
      <c r="BQ784" s="147"/>
      <c r="BR784" s="147"/>
      <c r="BS784" s="147"/>
      <c r="BT784" s="147"/>
      <c r="BU784" s="147"/>
      <c r="BV784" s="147"/>
      <c r="BW784" s="147"/>
      <c r="BX784" s="147"/>
      <c r="BY784" s="147"/>
      <c r="BZ784" s="147"/>
      <c r="CA784" s="147"/>
      <c r="CB784" s="147"/>
      <c r="CC784" s="147"/>
      <c r="CD784" s="147"/>
      <c r="CE784" s="147"/>
      <c r="CF784" s="147"/>
      <c r="CG784" s="147"/>
      <c r="CH784" s="147"/>
      <c r="CI784" s="147"/>
      <c r="CJ784" s="147"/>
      <c r="CK784" s="147"/>
    </row>
    <row r="785" spans="1:89">
      <c r="A785" s="157"/>
      <c r="F785" s="3"/>
      <c r="G785" s="3"/>
      <c r="L785" s="157"/>
      <c r="M785" s="157"/>
      <c r="O785" s="147"/>
      <c r="P785" s="147"/>
      <c r="Q785" s="147"/>
      <c r="R785" s="147"/>
      <c r="S785" s="147"/>
      <c r="T785" s="147"/>
      <c r="U785" s="147"/>
      <c r="V785" s="147"/>
      <c r="W785" s="147"/>
      <c r="X785" s="147"/>
      <c r="Y785" s="147"/>
      <c r="Z785" s="147"/>
      <c r="AA785" s="147"/>
      <c r="AB785" s="147"/>
      <c r="AC785" s="147"/>
      <c r="AD785" s="147"/>
      <c r="AE785" s="147"/>
      <c r="AF785" s="147"/>
      <c r="AG785" s="147"/>
      <c r="AH785" s="147"/>
      <c r="AI785" s="147"/>
      <c r="AJ785" s="147"/>
      <c r="AK785" s="147"/>
      <c r="AL785" s="147"/>
      <c r="AM785" s="151"/>
      <c r="AN785" s="147"/>
      <c r="AO785" s="147"/>
      <c r="AP785" s="147"/>
      <c r="AQ785" s="147"/>
      <c r="AR785" s="147"/>
      <c r="AS785" s="147"/>
      <c r="AT785" s="147"/>
      <c r="AU785" s="147"/>
      <c r="AV785" s="147"/>
      <c r="AW785" s="147"/>
      <c r="AX785" s="147"/>
      <c r="AY785" s="147"/>
      <c r="AZ785" s="147"/>
      <c r="BA785" s="147"/>
      <c r="BB785" s="147"/>
      <c r="BC785" s="147"/>
      <c r="BD785" s="147"/>
      <c r="BE785" s="147"/>
      <c r="BF785" s="147"/>
      <c r="BG785" s="147"/>
      <c r="BH785" s="147"/>
      <c r="BI785" s="147"/>
      <c r="BJ785" s="147"/>
      <c r="BK785" s="147"/>
      <c r="BL785" s="147"/>
      <c r="BM785" s="147"/>
      <c r="BN785" s="147"/>
      <c r="BO785" s="147"/>
      <c r="BP785" s="147"/>
      <c r="BQ785" s="147"/>
      <c r="BR785" s="147"/>
      <c r="BS785" s="147"/>
      <c r="BT785" s="147"/>
      <c r="BU785" s="147"/>
      <c r="BV785" s="147"/>
      <c r="BW785" s="147"/>
      <c r="BX785" s="147"/>
      <c r="BY785" s="147"/>
      <c r="BZ785" s="147"/>
      <c r="CA785" s="147"/>
      <c r="CB785" s="147"/>
      <c r="CC785" s="147"/>
      <c r="CD785" s="147"/>
      <c r="CE785" s="147"/>
      <c r="CF785" s="147"/>
      <c r="CG785" s="147"/>
      <c r="CH785" s="147"/>
      <c r="CI785" s="147"/>
      <c r="CJ785" s="147"/>
      <c r="CK785" s="147"/>
    </row>
    <row r="786" spans="1:89">
      <c r="A786" s="157"/>
      <c r="F786" s="3"/>
      <c r="G786" s="3"/>
      <c r="L786" s="157"/>
      <c r="M786" s="157"/>
      <c r="O786" s="147"/>
      <c r="P786" s="147"/>
      <c r="Q786" s="147"/>
      <c r="R786" s="147"/>
      <c r="S786" s="147"/>
      <c r="T786" s="147"/>
      <c r="U786" s="147"/>
      <c r="V786" s="147"/>
      <c r="W786" s="147"/>
      <c r="X786" s="147"/>
      <c r="Y786" s="147"/>
      <c r="Z786" s="147"/>
      <c r="AA786" s="147"/>
      <c r="AB786" s="147"/>
      <c r="AC786" s="147"/>
      <c r="AD786" s="147"/>
      <c r="AE786" s="147"/>
      <c r="AF786" s="147"/>
      <c r="AG786" s="147"/>
      <c r="AH786" s="147"/>
      <c r="AI786" s="147"/>
      <c r="AJ786" s="147"/>
      <c r="AK786" s="147"/>
      <c r="AL786" s="147"/>
      <c r="AM786" s="151"/>
      <c r="AN786" s="147"/>
      <c r="AO786" s="147"/>
      <c r="AP786" s="147"/>
      <c r="AQ786" s="147"/>
      <c r="AR786" s="147"/>
      <c r="AS786" s="147"/>
      <c r="AT786" s="147"/>
      <c r="AU786" s="147"/>
      <c r="AV786" s="147"/>
      <c r="AW786" s="147"/>
      <c r="AX786" s="147"/>
      <c r="AY786" s="147"/>
      <c r="AZ786" s="147"/>
      <c r="BA786" s="147"/>
      <c r="BB786" s="147"/>
      <c r="BC786" s="147"/>
      <c r="BD786" s="147"/>
      <c r="BE786" s="147"/>
      <c r="BF786" s="147"/>
      <c r="BG786" s="147"/>
      <c r="BH786" s="147"/>
      <c r="BI786" s="147"/>
      <c r="BJ786" s="147"/>
      <c r="BK786" s="147"/>
      <c r="BL786" s="147"/>
      <c r="BM786" s="147"/>
      <c r="BN786" s="147"/>
      <c r="BO786" s="147"/>
      <c r="BP786" s="147"/>
      <c r="BQ786" s="147"/>
      <c r="BR786" s="147"/>
      <c r="BS786" s="147"/>
      <c r="BT786" s="147"/>
      <c r="BU786" s="147"/>
      <c r="BV786" s="147"/>
      <c r="BW786" s="147"/>
      <c r="BX786" s="147"/>
      <c r="BY786" s="147"/>
      <c r="BZ786" s="147"/>
      <c r="CA786" s="147"/>
      <c r="CB786" s="147"/>
      <c r="CC786" s="147"/>
      <c r="CD786" s="147"/>
      <c r="CE786" s="147"/>
      <c r="CF786" s="147"/>
      <c r="CG786" s="147"/>
      <c r="CH786" s="147"/>
      <c r="CI786" s="147"/>
      <c r="CJ786" s="147"/>
      <c r="CK786" s="147"/>
    </row>
    <row r="787" spans="1:89">
      <c r="A787" s="157"/>
      <c r="F787" s="3"/>
      <c r="G787" s="3"/>
      <c r="L787" s="157"/>
      <c r="M787" s="157"/>
      <c r="O787" s="147"/>
      <c r="P787" s="147"/>
      <c r="Q787" s="147"/>
      <c r="R787" s="147"/>
      <c r="S787" s="147"/>
      <c r="T787" s="147"/>
      <c r="U787" s="147"/>
      <c r="V787" s="147"/>
      <c r="W787" s="147"/>
      <c r="X787" s="147"/>
      <c r="Y787" s="147"/>
      <c r="Z787" s="147"/>
      <c r="AA787" s="147"/>
      <c r="AB787" s="147"/>
      <c r="AC787" s="147"/>
      <c r="AD787" s="147"/>
      <c r="AE787" s="147"/>
      <c r="AF787" s="147"/>
      <c r="AG787" s="147"/>
      <c r="AH787" s="147"/>
      <c r="AI787" s="147"/>
      <c r="AJ787" s="147"/>
      <c r="AK787" s="147"/>
      <c r="AL787" s="147"/>
      <c r="AM787" s="151"/>
      <c r="AN787" s="147"/>
      <c r="AO787" s="147"/>
      <c r="AP787" s="147"/>
      <c r="AQ787" s="147"/>
      <c r="AR787" s="147"/>
      <c r="AS787" s="147"/>
      <c r="AT787" s="147"/>
      <c r="AU787" s="147"/>
      <c r="AV787" s="147"/>
      <c r="AW787" s="147"/>
      <c r="AX787" s="147"/>
      <c r="AY787" s="147"/>
      <c r="AZ787" s="147"/>
      <c r="BA787" s="147"/>
      <c r="BB787" s="147"/>
      <c r="BC787" s="147"/>
      <c r="BD787" s="147"/>
      <c r="BE787" s="147"/>
      <c r="BF787" s="147"/>
      <c r="BG787" s="147"/>
      <c r="BH787" s="147"/>
      <c r="BI787" s="147"/>
      <c r="BJ787" s="147"/>
      <c r="BK787" s="147"/>
      <c r="BL787" s="147"/>
      <c r="BM787" s="147"/>
      <c r="BN787" s="147"/>
      <c r="BO787" s="147"/>
      <c r="BP787" s="147"/>
      <c r="BQ787" s="147"/>
      <c r="BR787" s="147"/>
      <c r="BS787" s="147"/>
      <c r="BT787" s="147"/>
      <c r="BU787" s="147"/>
      <c r="BV787" s="147"/>
      <c r="BW787" s="147"/>
      <c r="BX787" s="147"/>
      <c r="BY787" s="147"/>
      <c r="BZ787" s="147"/>
      <c r="CA787" s="147"/>
      <c r="CB787" s="147"/>
      <c r="CC787" s="147"/>
      <c r="CD787" s="147"/>
      <c r="CE787" s="147"/>
      <c r="CF787" s="147"/>
      <c r="CG787" s="147"/>
      <c r="CH787" s="147"/>
      <c r="CI787" s="147"/>
      <c r="CJ787" s="147"/>
      <c r="CK787" s="147"/>
    </row>
    <row r="788" spans="1:89">
      <c r="A788" s="157"/>
      <c r="F788" s="3"/>
      <c r="G788" s="3"/>
      <c r="L788" s="157"/>
      <c r="M788" s="157"/>
      <c r="O788" s="147"/>
      <c r="P788" s="147"/>
      <c r="Q788" s="147"/>
      <c r="R788" s="147"/>
      <c r="S788" s="147"/>
      <c r="T788" s="147"/>
      <c r="U788" s="147"/>
      <c r="V788" s="147"/>
      <c r="W788" s="147"/>
      <c r="X788" s="147"/>
      <c r="Y788" s="147"/>
      <c r="Z788" s="147"/>
      <c r="AA788" s="147"/>
      <c r="AB788" s="147"/>
      <c r="AC788" s="147"/>
      <c r="AD788" s="147"/>
      <c r="AE788" s="147"/>
      <c r="AF788" s="147"/>
      <c r="AG788" s="147"/>
      <c r="AH788" s="147"/>
      <c r="AI788" s="147"/>
      <c r="AJ788" s="147"/>
      <c r="AK788" s="147"/>
      <c r="AL788" s="147"/>
      <c r="AM788" s="151"/>
      <c r="AN788" s="147"/>
      <c r="AO788" s="147"/>
      <c r="AP788" s="147"/>
      <c r="AQ788" s="147"/>
      <c r="AR788" s="147"/>
      <c r="AS788" s="147"/>
      <c r="AT788" s="147"/>
      <c r="AU788" s="147"/>
      <c r="AV788" s="147"/>
      <c r="AW788" s="147"/>
      <c r="AX788" s="147"/>
      <c r="AY788" s="147"/>
      <c r="AZ788" s="147"/>
      <c r="BA788" s="147"/>
      <c r="BB788" s="147"/>
      <c r="BC788" s="147"/>
      <c r="BD788" s="147"/>
      <c r="BE788" s="147"/>
      <c r="BF788" s="147"/>
      <c r="BG788" s="147"/>
      <c r="BH788" s="147"/>
      <c r="BI788" s="147"/>
      <c r="BJ788" s="147"/>
      <c r="BK788" s="147"/>
      <c r="BL788" s="147"/>
      <c r="BM788" s="147"/>
      <c r="BN788" s="147"/>
      <c r="BO788" s="147"/>
      <c r="BP788" s="147"/>
      <c r="BQ788" s="147"/>
      <c r="BR788" s="147"/>
      <c r="BS788" s="147"/>
      <c r="BT788" s="147"/>
      <c r="BU788" s="147"/>
      <c r="BV788" s="147"/>
      <c r="BW788" s="147"/>
      <c r="BX788" s="147"/>
      <c r="BY788" s="147"/>
      <c r="BZ788" s="147"/>
      <c r="CA788" s="147"/>
      <c r="CB788" s="147"/>
      <c r="CC788" s="147"/>
      <c r="CD788" s="147"/>
      <c r="CE788" s="147"/>
      <c r="CF788" s="147"/>
      <c r="CG788" s="147"/>
      <c r="CH788" s="147"/>
      <c r="CI788" s="147"/>
      <c r="CJ788" s="147"/>
      <c r="CK788" s="147"/>
    </row>
    <row r="789" spans="1:89">
      <c r="A789" s="157"/>
      <c r="F789" s="3"/>
      <c r="G789" s="3"/>
      <c r="L789" s="157"/>
      <c r="M789" s="157"/>
      <c r="O789" s="147"/>
      <c r="P789" s="147"/>
      <c r="Q789" s="147"/>
      <c r="R789" s="147"/>
      <c r="S789" s="147"/>
      <c r="T789" s="147"/>
      <c r="U789" s="147"/>
      <c r="V789" s="147"/>
      <c r="W789" s="147"/>
      <c r="X789" s="147"/>
      <c r="Y789" s="147"/>
      <c r="Z789" s="147"/>
      <c r="AA789" s="147"/>
      <c r="AB789" s="147"/>
      <c r="AC789" s="147"/>
      <c r="AD789" s="147"/>
      <c r="AE789" s="147"/>
      <c r="AF789" s="147"/>
      <c r="AG789" s="147"/>
      <c r="AH789" s="147"/>
      <c r="AI789" s="147"/>
      <c r="AJ789" s="147"/>
      <c r="AK789" s="147"/>
      <c r="AL789" s="147"/>
      <c r="AM789" s="151"/>
      <c r="AN789" s="147"/>
      <c r="AO789" s="147"/>
      <c r="AP789" s="147"/>
      <c r="AQ789" s="147"/>
      <c r="AR789" s="147"/>
      <c r="AS789" s="147"/>
      <c r="AT789" s="147"/>
      <c r="AU789" s="147"/>
      <c r="AV789" s="147"/>
      <c r="AW789" s="147"/>
      <c r="AX789" s="147"/>
      <c r="AY789" s="147"/>
      <c r="AZ789" s="147"/>
      <c r="BA789" s="147"/>
      <c r="BB789" s="147"/>
      <c r="BC789" s="147"/>
      <c r="BD789" s="147"/>
      <c r="BE789" s="147"/>
      <c r="BF789" s="147"/>
      <c r="BG789" s="147"/>
      <c r="BH789" s="147"/>
      <c r="BI789" s="147"/>
      <c r="BJ789" s="147"/>
      <c r="BK789" s="147"/>
      <c r="BL789" s="147"/>
      <c r="BM789" s="147"/>
      <c r="BN789" s="147"/>
      <c r="BO789" s="147"/>
      <c r="BP789" s="147"/>
      <c r="BQ789" s="147"/>
      <c r="BR789" s="147"/>
      <c r="BS789" s="147"/>
      <c r="BT789" s="147"/>
      <c r="BU789" s="147"/>
      <c r="BV789" s="147"/>
      <c r="BW789" s="147"/>
      <c r="BX789" s="147"/>
      <c r="BY789" s="147"/>
      <c r="BZ789" s="147"/>
      <c r="CA789" s="147"/>
      <c r="CB789" s="147"/>
      <c r="CC789" s="147"/>
      <c r="CD789" s="147"/>
      <c r="CE789" s="147"/>
      <c r="CF789" s="147"/>
      <c r="CG789" s="147"/>
      <c r="CH789" s="147"/>
      <c r="CI789" s="147"/>
      <c r="CJ789" s="147"/>
      <c r="CK789" s="147"/>
    </row>
    <row r="790" spans="1:89">
      <c r="A790" s="157"/>
      <c r="F790" s="3"/>
      <c r="G790" s="3"/>
      <c r="L790" s="157"/>
      <c r="M790" s="157"/>
      <c r="O790" s="147"/>
      <c r="P790" s="147"/>
      <c r="Q790" s="147"/>
      <c r="R790" s="147"/>
      <c r="S790" s="147"/>
      <c r="T790" s="147"/>
      <c r="U790" s="147"/>
      <c r="V790" s="147"/>
      <c r="W790" s="147"/>
      <c r="X790" s="147"/>
      <c r="Y790" s="147"/>
      <c r="Z790" s="147"/>
      <c r="AA790" s="147"/>
      <c r="AB790" s="147"/>
      <c r="AC790" s="147"/>
      <c r="AD790" s="147"/>
      <c r="AE790" s="147"/>
      <c r="AF790" s="147"/>
      <c r="AG790" s="147"/>
      <c r="AH790" s="147"/>
      <c r="AI790" s="147"/>
      <c r="AJ790" s="147"/>
      <c r="AK790" s="147"/>
      <c r="AL790" s="147"/>
      <c r="AM790" s="151"/>
      <c r="AN790" s="147"/>
      <c r="AO790" s="147"/>
      <c r="AP790" s="147"/>
      <c r="AQ790" s="147"/>
      <c r="AR790" s="147"/>
      <c r="AS790" s="147"/>
      <c r="AT790" s="147"/>
      <c r="AU790" s="147"/>
      <c r="AV790" s="147"/>
      <c r="AW790" s="147"/>
      <c r="AX790" s="147"/>
      <c r="AY790" s="147"/>
      <c r="AZ790" s="147"/>
      <c r="BA790" s="147"/>
      <c r="BB790" s="147"/>
      <c r="BC790" s="147"/>
      <c r="BD790" s="147"/>
      <c r="BE790" s="147"/>
      <c r="BF790" s="147"/>
      <c r="BG790" s="147"/>
      <c r="BH790" s="147"/>
      <c r="BI790" s="147"/>
      <c r="BJ790" s="147"/>
      <c r="BK790" s="147"/>
      <c r="BL790" s="147"/>
      <c r="BM790" s="147"/>
      <c r="BN790" s="147"/>
      <c r="BO790" s="147"/>
      <c r="BP790" s="147"/>
      <c r="BQ790" s="147"/>
      <c r="BR790" s="147"/>
      <c r="BS790" s="147"/>
      <c r="BT790" s="147"/>
      <c r="BU790" s="147"/>
      <c r="BV790" s="147"/>
      <c r="BW790" s="147"/>
      <c r="BX790" s="147"/>
      <c r="BY790" s="147"/>
      <c r="BZ790" s="147"/>
      <c r="CA790" s="147"/>
      <c r="CB790" s="147"/>
      <c r="CC790" s="147"/>
      <c r="CD790" s="147"/>
      <c r="CE790" s="147"/>
      <c r="CF790" s="147"/>
      <c r="CG790" s="147"/>
      <c r="CH790" s="147"/>
      <c r="CI790" s="147"/>
      <c r="CJ790" s="147"/>
      <c r="CK790" s="147"/>
    </row>
    <row r="791" spans="1:89">
      <c r="A791" s="157"/>
      <c r="F791" s="3"/>
      <c r="G791" s="3"/>
      <c r="L791" s="157"/>
      <c r="M791" s="157"/>
      <c r="O791" s="147"/>
      <c r="P791" s="147"/>
      <c r="Q791" s="147"/>
      <c r="R791" s="147"/>
      <c r="S791" s="147"/>
      <c r="T791" s="147"/>
      <c r="U791" s="147"/>
      <c r="V791" s="147"/>
      <c r="W791" s="147"/>
      <c r="X791" s="147"/>
      <c r="Y791" s="147"/>
      <c r="Z791" s="147"/>
      <c r="AA791" s="147"/>
      <c r="AB791" s="147"/>
      <c r="AC791" s="147"/>
      <c r="AD791" s="147"/>
      <c r="AE791" s="147"/>
      <c r="AF791" s="147"/>
      <c r="AG791" s="147"/>
      <c r="AH791" s="147"/>
      <c r="AI791" s="147"/>
      <c r="AJ791" s="147"/>
      <c r="AK791" s="147"/>
      <c r="AL791" s="147"/>
      <c r="AM791" s="151"/>
      <c r="AN791" s="147"/>
      <c r="AO791" s="147"/>
      <c r="AP791" s="147"/>
      <c r="AQ791" s="147"/>
      <c r="AR791" s="147"/>
      <c r="AS791" s="147"/>
      <c r="AT791" s="147"/>
      <c r="AU791" s="147"/>
      <c r="AV791" s="147"/>
      <c r="AW791" s="147"/>
      <c r="AX791" s="147"/>
      <c r="AY791" s="147"/>
      <c r="AZ791" s="147"/>
      <c r="BA791" s="147"/>
      <c r="BB791" s="147"/>
      <c r="BC791" s="147"/>
      <c r="BD791" s="147"/>
      <c r="BE791" s="147"/>
      <c r="BF791" s="147"/>
      <c r="BG791" s="147"/>
      <c r="BH791" s="147"/>
      <c r="BI791" s="147"/>
      <c r="BJ791" s="147"/>
      <c r="BK791" s="147"/>
      <c r="BL791" s="147"/>
      <c r="BM791" s="147"/>
      <c r="BN791" s="147"/>
      <c r="BO791" s="147"/>
      <c r="BP791" s="147"/>
      <c r="BQ791" s="147"/>
      <c r="BR791" s="147"/>
      <c r="BS791" s="147"/>
      <c r="BT791" s="147"/>
      <c r="BU791" s="147"/>
      <c r="BV791" s="147"/>
      <c r="BW791" s="147"/>
      <c r="BX791" s="147"/>
      <c r="BY791" s="147"/>
      <c r="BZ791" s="147"/>
      <c r="CA791" s="147"/>
      <c r="CB791" s="147"/>
      <c r="CC791" s="147"/>
      <c r="CD791" s="147"/>
      <c r="CE791" s="147"/>
      <c r="CF791" s="147"/>
      <c r="CG791" s="147"/>
      <c r="CH791" s="147"/>
      <c r="CI791" s="147"/>
      <c r="CJ791" s="147"/>
      <c r="CK791" s="147"/>
    </row>
    <row r="792" spans="1:89">
      <c r="A792" s="157"/>
      <c r="F792" s="3"/>
      <c r="G792" s="3"/>
      <c r="L792" s="157"/>
      <c r="M792" s="157"/>
      <c r="O792" s="147"/>
      <c r="P792" s="147"/>
      <c r="Q792" s="147"/>
      <c r="R792" s="147"/>
      <c r="S792" s="147"/>
      <c r="T792" s="147"/>
      <c r="U792" s="147"/>
      <c r="V792" s="147"/>
      <c r="W792" s="147"/>
      <c r="X792" s="147"/>
      <c r="Y792" s="147"/>
      <c r="Z792" s="147"/>
      <c r="AA792" s="147"/>
      <c r="AB792" s="147"/>
      <c r="AC792" s="147"/>
      <c r="AD792" s="147"/>
      <c r="AE792" s="147"/>
      <c r="AF792" s="147"/>
      <c r="AG792" s="147"/>
      <c r="AH792" s="147"/>
      <c r="AI792" s="147"/>
      <c r="AJ792" s="147"/>
      <c r="AK792" s="147"/>
      <c r="AL792" s="147"/>
      <c r="AM792" s="151"/>
      <c r="AN792" s="147"/>
      <c r="AO792" s="147"/>
      <c r="AP792" s="147"/>
      <c r="AQ792" s="147"/>
      <c r="AR792" s="147"/>
      <c r="AS792" s="147"/>
      <c r="AT792" s="147"/>
      <c r="AU792" s="147"/>
      <c r="AV792" s="147"/>
      <c r="AW792" s="147"/>
      <c r="AX792" s="147"/>
      <c r="AY792" s="147"/>
      <c r="AZ792" s="147"/>
      <c r="BA792" s="147"/>
      <c r="BB792" s="147"/>
      <c r="BC792" s="147"/>
      <c r="BD792" s="147"/>
      <c r="BE792" s="147"/>
      <c r="BF792" s="147"/>
      <c r="BG792" s="147"/>
      <c r="BH792" s="147"/>
      <c r="BI792" s="147"/>
      <c r="BJ792" s="147"/>
      <c r="BK792" s="147"/>
      <c r="BL792" s="147"/>
      <c r="BM792" s="147"/>
      <c r="BN792" s="147"/>
      <c r="BO792" s="147"/>
      <c r="BP792" s="147"/>
      <c r="BQ792" s="147"/>
      <c r="BR792" s="147"/>
      <c r="BS792" s="147"/>
      <c r="BT792" s="147"/>
      <c r="BU792" s="147"/>
      <c r="BV792" s="147"/>
      <c r="BW792" s="147"/>
      <c r="BX792" s="147"/>
      <c r="BY792" s="147"/>
      <c r="BZ792" s="147"/>
      <c r="CA792" s="147"/>
      <c r="CB792" s="147"/>
      <c r="CC792" s="147"/>
      <c r="CD792" s="147"/>
      <c r="CE792" s="147"/>
      <c r="CF792" s="147"/>
      <c r="CG792" s="147"/>
      <c r="CH792" s="147"/>
      <c r="CI792" s="147"/>
      <c r="CJ792" s="147"/>
      <c r="CK792" s="147"/>
    </row>
    <row r="793" spans="1:89">
      <c r="A793" s="157"/>
      <c r="F793" s="3"/>
      <c r="G793" s="3"/>
      <c r="L793" s="157"/>
      <c r="M793" s="157"/>
      <c r="O793" s="147"/>
      <c r="P793" s="147"/>
      <c r="Q793" s="147"/>
      <c r="R793" s="147"/>
      <c r="S793" s="147"/>
      <c r="T793" s="147"/>
      <c r="U793" s="147"/>
      <c r="V793" s="147"/>
      <c r="W793" s="147"/>
      <c r="X793" s="147"/>
      <c r="Y793" s="147"/>
      <c r="Z793" s="147"/>
      <c r="AA793" s="147"/>
      <c r="AB793" s="147"/>
      <c r="AC793" s="147"/>
      <c r="AD793" s="147"/>
      <c r="AE793" s="147"/>
      <c r="AF793" s="147"/>
      <c r="AG793" s="147"/>
      <c r="AH793" s="147"/>
      <c r="AI793" s="147"/>
      <c r="AJ793" s="147"/>
      <c r="AK793" s="147"/>
      <c r="AL793" s="147"/>
      <c r="AM793" s="151"/>
      <c r="AN793" s="147"/>
      <c r="AO793" s="147"/>
      <c r="AP793" s="147"/>
      <c r="AQ793" s="147"/>
      <c r="AR793" s="147"/>
      <c r="AS793" s="147"/>
      <c r="AT793" s="147"/>
      <c r="AU793" s="147"/>
      <c r="AV793" s="147"/>
      <c r="AW793" s="147"/>
      <c r="AX793" s="147"/>
      <c r="AY793" s="147"/>
      <c r="AZ793" s="147"/>
      <c r="BA793" s="147"/>
      <c r="BB793" s="147"/>
      <c r="BC793" s="147"/>
      <c r="BD793" s="147"/>
      <c r="BE793" s="147"/>
      <c r="BF793" s="147"/>
      <c r="BG793" s="147"/>
      <c r="BH793" s="147"/>
      <c r="BI793" s="147"/>
      <c r="BJ793" s="147"/>
      <c r="BK793" s="147"/>
      <c r="BL793" s="147"/>
      <c r="BM793" s="147"/>
      <c r="BN793" s="147"/>
      <c r="BO793" s="147"/>
      <c r="BP793" s="147"/>
      <c r="BQ793" s="147"/>
      <c r="BR793" s="147"/>
      <c r="BS793" s="147"/>
      <c r="BT793" s="147"/>
      <c r="BU793" s="147"/>
      <c r="BV793" s="147"/>
      <c r="BW793" s="147"/>
      <c r="BX793" s="147"/>
      <c r="BY793" s="147"/>
      <c r="BZ793" s="147"/>
      <c r="CA793" s="147"/>
      <c r="CB793" s="147"/>
      <c r="CC793" s="147"/>
      <c r="CD793" s="147"/>
      <c r="CE793" s="147"/>
      <c r="CF793" s="147"/>
      <c r="CG793" s="147"/>
      <c r="CH793" s="147"/>
      <c r="CI793" s="147"/>
      <c r="CJ793" s="147"/>
      <c r="CK793" s="147"/>
    </row>
    <row r="794" spans="1:89">
      <c r="A794" s="157"/>
      <c r="F794" s="3"/>
      <c r="G794" s="3"/>
      <c r="L794" s="157"/>
      <c r="M794" s="157"/>
      <c r="O794" s="147"/>
      <c r="P794" s="147"/>
      <c r="Q794" s="147"/>
      <c r="R794" s="147"/>
      <c r="S794" s="147"/>
      <c r="T794" s="147"/>
      <c r="U794" s="147"/>
      <c r="V794" s="147"/>
      <c r="W794" s="147"/>
      <c r="X794" s="147"/>
      <c r="Y794" s="147"/>
      <c r="Z794" s="147"/>
      <c r="AA794" s="147"/>
      <c r="AB794" s="147"/>
      <c r="AC794" s="147"/>
      <c r="AD794" s="147"/>
      <c r="AE794" s="147"/>
      <c r="AF794" s="147"/>
      <c r="AG794" s="147"/>
      <c r="AH794" s="147"/>
      <c r="AI794" s="147"/>
      <c r="AJ794" s="147"/>
      <c r="AK794" s="147"/>
      <c r="AL794" s="147"/>
      <c r="AM794" s="151"/>
      <c r="AN794" s="147"/>
      <c r="AO794" s="147"/>
      <c r="AP794" s="147"/>
      <c r="AQ794" s="147"/>
      <c r="AR794" s="147"/>
      <c r="AS794" s="147"/>
      <c r="AT794" s="147"/>
      <c r="AU794" s="147"/>
      <c r="AV794" s="147"/>
      <c r="AW794" s="147"/>
      <c r="AX794" s="147"/>
      <c r="AY794" s="147"/>
      <c r="AZ794" s="147"/>
      <c r="BA794" s="147"/>
      <c r="BB794" s="147"/>
      <c r="BC794" s="147"/>
      <c r="BD794" s="147"/>
      <c r="BE794" s="147"/>
      <c r="BF794" s="147"/>
      <c r="BG794" s="147"/>
      <c r="BH794" s="147"/>
      <c r="BI794" s="147"/>
      <c r="BJ794" s="147"/>
      <c r="BK794" s="147"/>
      <c r="BL794" s="147"/>
      <c r="BM794" s="147"/>
      <c r="BN794" s="147"/>
      <c r="BO794" s="147"/>
      <c r="BP794" s="147"/>
      <c r="BQ794" s="147"/>
      <c r="BR794" s="147"/>
      <c r="BS794" s="147"/>
      <c r="BT794" s="147"/>
      <c r="BU794" s="147"/>
      <c r="BV794" s="147"/>
      <c r="BW794" s="147"/>
      <c r="BX794" s="147"/>
      <c r="BY794" s="147"/>
      <c r="BZ794" s="147"/>
      <c r="CA794" s="147"/>
      <c r="CB794" s="147"/>
      <c r="CC794" s="147"/>
      <c r="CD794" s="147"/>
      <c r="CE794" s="147"/>
      <c r="CF794" s="147"/>
      <c r="CG794" s="147"/>
      <c r="CH794" s="147"/>
      <c r="CI794" s="147"/>
      <c r="CJ794" s="147"/>
      <c r="CK794" s="147"/>
    </row>
    <row r="795" spans="1:89">
      <c r="A795" s="157"/>
      <c r="F795" s="3"/>
      <c r="G795" s="3"/>
      <c r="L795" s="157"/>
      <c r="M795" s="157"/>
      <c r="O795" s="147"/>
      <c r="P795" s="147"/>
      <c r="Q795" s="147"/>
      <c r="R795" s="147"/>
      <c r="S795" s="147"/>
      <c r="T795" s="147"/>
      <c r="U795" s="147"/>
      <c r="V795" s="147"/>
      <c r="W795" s="147"/>
      <c r="X795" s="147"/>
      <c r="Y795" s="147"/>
      <c r="Z795" s="147"/>
      <c r="AA795" s="147"/>
      <c r="AB795" s="147"/>
      <c r="AC795" s="147"/>
      <c r="AD795" s="147"/>
      <c r="AE795" s="147"/>
      <c r="AF795" s="147"/>
      <c r="AG795" s="147"/>
      <c r="AH795" s="147"/>
      <c r="AI795" s="147"/>
      <c r="AJ795" s="147"/>
      <c r="AK795" s="147"/>
      <c r="AL795" s="147"/>
      <c r="AM795" s="151"/>
      <c r="AN795" s="147"/>
      <c r="AO795" s="147"/>
      <c r="AP795" s="147"/>
      <c r="AQ795" s="147"/>
      <c r="AR795" s="147"/>
      <c r="AS795" s="147"/>
      <c r="AT795" s="147"/>
      <c r="AU795" s="147"/>
      <c r="AV795" s="147"/>
      <c r="AW795" s="147"/>
      <c r="AX795" s="147"/>
      <c r="AY795" s="147"/>
      <c r="AZ795" s="147"/>
      <c r="BA795" s="147"/>
      <c r="BB795" s="147"/>
      <c r="BC795" s="147"/>
      <c r="BD795" s="147"/>
      <c r="BE795" s="147"/>
      <c r="BF795" s="147"/>
      <c r="BG795" s="147"/>
      <c r="BH795" s="147"/>
      <c r="BI795" s="147"/>
      <c r="BJ795" s="147"/>
      <c r="BK795" s="147"/>
      <c r="BL795" s="147"/>
      <c r="BM795" s="147"/>
      <c r="BN795" s="147"/>
      <c r="BO795" s="147"/>
      <c r="BP795" s="147"/>
      <c r="BQ795" s="147"/>
      <c r="BR795" s="147"/>
      <c r="BS795" s="147"/>
      <c r="BT795" s="147"/>
      <c r="BU795" s="147"/>
      <c r="BV795" s="147"/>
      <c r="BW795" s="147"/>
      <c r="BX795" s="147"/>
      <c r="BY795" s="147"/>
      <c r="BZ795" s="147"/>
      <c r="CA795" s="147"/>
      <c r="CB795" s="147"/>
      <c r="CC795" s="147"/>
      <c r="CD795" s="147"/>
      <c r="CE795" s="147"/>
      <c r="CF795" s="147"/>
      <c r="CG795" s="147"/>
      <c r="CH795" s="147"/>
      <c r="CI795" s="147"/>
      <c r="CJ795" s="147"/>
      <c r="CK795" s="147"/>
    </row>
    <row r="796" spans="1:89">
      <c r="A796" s="157"/>
      <c r="F796" s="3"/>
      <c r="G796" s="3"/>
      <c r="L796" s="157"/>
      <c r="M796" s="157"/>
      <c r="O796" s="147"/>
      <c r="P796" s="147"/>
      <c r="Q796" s="147"/>
      <c r="R796" s="147"/>
      <c r="S796" s="147"/>
      <c r="T796" s="147"/>
      <c r="U796" s="147"/>
      <c r="V796" s="147"/>
      <c r="W796" s="147"/>
      <c r="X796" s="147"/>
      <c r="Y796" s="147"/>
      <c r="Z796" s="147"/>
      <c r="AA796" s="147"/>
      <c r="AB796" s="147"/>
      <c r="AC796" s="147"/>
      <c r="AD796" s="147"/>
      <c r="AE796" s="147"/>
      <c r="AF796" s="147"/>
      <c r="AG796" s="147"/>
      <c r="AH796" s="147"/>
      <c r="AI796" s="147"/>
      <c r="AJ796" s="147"/>
      <c r="AK796" s="147"/>
      <c r="AL796" s="147"/>
      <c r="AM796" s="151"/>
      <c r="AN796" s="147"/>
      <c r="AO796" s="147"/>
      <c r="AP796" s="147"/>
      <c r="AQ796" s="147"/>
      <c r="AR796" s="147"/>
      <c r="AS796" s="147"/>
      <c r="AT796" s="147"/>
      <c r="AU796" s="147"/>
      <c r="AV796" s="147"/>
      <c r="AW796" s="147"/>
      <c r="AX796" s="147"/>
      <c r="AY796" s="147"/>
      <c r="AZ796" s="147"/>
      <c r="BA796" s="147"/>
      <c r="BB796" s="147"/>
      <c r="BC796" s="147"/>
      <c r="BD796" s="147"/>
      <c r="BE796" s="147"/>
      <c r="BF796" s="147"/>
      <c r="BG796" s="147"/>
      <c r="BH796" s="147"/>
      <c r="BI796" s="147"/>
      <c r="BJ796" s="147"/>
      <c r="BK796" s="147"/>
      <c r="BL796" s="147"/>
      <c r="BM796" s="147"/>
      <c r="BN796" s="147"/>
      <c r="BO796" s="147"/>
      <c r="BP796" s="147"/>
      <c r="BQ796" s="147"/>
      <c r="BR796" s="147"/>
      <c r="BS796" s="147"/>
      <c r="BT796" s="147"/>
      <c r="BU796" s="147"/>
      <c r="BV796" s="147"/>
      <c r="BW796" s="147"/>
      <c r="BX796" s="147"/>
      <c r="BY796" s="147"/>
      <c r="BZ796" s="147"/>
      <c r="CA796" s="147"/>
      <c r="CB796" s="147"/>
      <c r="CC796" s="147"/>
      <c r="CD796" s="147"/>
      <c r="CE796" s="147"/>
      <c r="CF796" s="147"/>
      <c r="CG796" s="147"/>
      <c r="CH796" s="147"/>
      <c r="CI796" s="147"/>
      <c r="CJ796" s="147"/>
      <c r="CK796" s="147"/>
    </row>
    <row r="797" spans="1:89">
      <c r="A797" s="157"/>
      <c r="F797" s="3"/>
      <c r="G797" s="3"/>
      <c r="L797" s="157"/>
      <c r="M797" s="157"/>
      <c r="O797" s="147"/>
      <c r="P797" s="147"/>
      <c r="Q797" s="147"/>
      <c r="R797" s="147"/>
      <c r="S797" s="147"/>
      <c r="T797" s="147"/>
      <c r="U797" s="147"/>
      <c r="V797" s="147"/>
      <c r="W797" s="147"/>
      <c r="X797" s="147"/>
      <c r="Y797" s="147"/>
      <c r="Z797" s="147"/>
      <c r="AA797" s="147"/>
      <c r="AB797" s="147"/>
      <c r="AC797" s="147"/>
      <c r="AD797" s="147"/>
      <c r="AE797" s="147"/>
      <c r="AF797" s="147"/>
      <c r="AG797" s="147"/>
      <c r="AH797" s="147"/>
      <c r="AI797" s="147"/>
      <c r="AJ797" s="147"/>
      <c r="AK797" s="147"/>
      <c r="AL797" s="147"/>
      <c r="AM797" s="151"/>
      <c r="AN797" s="147"/>
      <c r="AO797" s="147"/>
      <c r="AP797" s="147"/>
      <c r="AQ797" s="147"/>
      <c r="AR797" s="147"/>
      <c r="AS797" s="147"/>
      <c r="AT797" s="147"/>
      <c r="AU797" s="147"/>
      <c r="AV797" s="147"/>
      <c r="AW797" s="147"/>
      <c r="AX797" s="147"/>
      <c r="AY797" s="147"/>
      <c r="AZ797" s="147"/>
      <c r="BA797" s="147"/>
      <c r="BB797" s="147"/>
      <c r="BC797" s="147"/>
      <c r="BD797" s="147"/>
      <c r="BE797" s="147"/>
      <c r="BF797" s="147"/>
      <c r="BG797" s="147"/>
      <c r="BH797" s="147"/>
      <c r="BI797" s="147"/>
      <c r="BJ797" s="147"/>
      <c r="BK797" s="147"/>
      <c r="BL797" s="147"/>
      <c r="BM797" s="147"/>
      <c r="BN797" s="147"/>
      <c r="BO797" s="147"/>
      <c r="BP797" s="147"/>
      <c r="BQ797" s="147"/>
      <c r="BR797" s="147"/>
      <c r="BS797" s="147"/>
      <c r="BT797" s="147"/>
      <c r="BU797" s="147"/>
      <c r="BV797" s="147"/>
      <c r="BW797" s="147"/>
      <c r="BX797" s="147"/>
      <c r="BY797" s="147"/>
      <c r="BZ797" s="147"/>
      <c r="CA797" s="147"/>
      <c r="CB797" s="147"/>
      <c r="CC797" s="147"/>
      <c r="CD797" s="147"/>
      <c r="CE797" s="147"/>
      <c r="CF797" s="147"/>
      <c r="CG797" s="147"/>
      <c r="CH797" s="147"/>
      <c r="CI797" s="147"/>
      <c r="CJ797" s="147"/>
      <c r="CK797" s="147"/>
    </row>
    <row r="798" spans="1:89">
      <c r="A798" s="157"/>
      <c r="F798" s="3"/>
      <c r="G798" s="3"/>
      <c r="L798" s="157"/>
      <c r="M798" s="157"/>
      <c r="O798" s="147"/>
      <c r="P798" s="147"/>
      <c r="Q798" s="147"/>
      <c r="R798" s="147"/>
      <c r="S798" s="147"/>
      <c r="T798" s="147"/>
      <c r="U798" s="147"/>
      <c r="V798" s="147"/>
      <c r="W798" s="147"/>
      <c r="X798" s="147"/>
      <c r="Y798" s="147"/>
      <c r="Z798" s="147"/>
      <c r="AA798" s="147"/>
      <c r="AB798" s="147"/>
      <c r="AC798" s="147"/>
      <c r="AD798" s="147"/>
      <c r="AE798" s="147"/>
      <c r="AF798" s="147"/>
      <c r="AG798" s="147"/>
      <c r="AH798" s="147"/>
      <c r="AI798" s="147"/>
      <c r="AJ798" s="147"/>
      <c r="AK798" s="147"/>
      <c r="AL798" s="147"/>
      <c r="AM798" s="151"/>
      <c r="AN798" s="147"/>
      <c r="AO798" s="147"/>
      <c r="AP798" s="147"/>
      <c r="AQ798" s="147"/>
      <c r="AR798" s="147"/>
      <c r="AS798" s="147"/>
      <c r="AT798" s="147"/>
      <c r="AU798" s="147"/>
      <c r="AV798" s="147"/>
      <c r="AW798" s="147"/>
      <c r="AX798" s="147"/>
      <c r="AY798" s="147"/>
      <c r="AZ798" s="147"/>
      <c r="BA798" s="147"/>
      <c r="BB798" s="147"/>
      <c r="BC798" s="147"/>
      <c r="BD798" s="147"/>
      <c r="BE798" s="147"/>
      <c r="BF798" s="147"/>
      <c r="BG798" s="147"/>
      <c r="BH798" s="147"/>
      <c r="BI798" s="147"/>
      <c r="BJ798" s="147"/>
      <c r="BK798" s="147"/>
      <c r="BL798" s="147"/>
      <c r="BM798" s="147"/>
      <c r="BN798" s="147"/>
      <c r="BO798" s="147"/>
      <c r="BP798" s="147"/>
      <c r="BQ798" s="147"/>
      <c r="BR798" s="147"/>
      <c r="BS798" s="147"/>
      <c r="BT798" s="147"/>
      <c r="BU798" s="147"/>
      <c r="BV798" s="147"/>
      <c r="BW798" s="147"/>
      <c r="BX798" s="147"/>
      <c r="BY798" s="147"/>
      <c r="BZ798" s="147"/>
      <c r="CA798" s="147"/>
      <c r="CB798" s="147"/>
      <c r="CC798" s="147"/>
      <c r="CD798" s="147"/>
      <c r="CE798" s="147"/>
      <c r="CF798" s="147"/>
      <c r="CG798" s="147"/>
      <c r="CH798" s="147"/>
      <c r="CI798" s="147"/>
      <c r="CJ798" s="147"/>
      <c r="CK798" s="147"/>
    </row>
    <row r="799" spans="1:89">
      <c r="A799" s="157"/>
      <c r="F799" s="3"/>
      <c r="G799" s="3"/>
      <c r="L799" s="157"/>
      <c r="M799" s="157"/>
      <c r="O799" s="147"/>
      <c r="P799" s="147"/>
      <c r="Q799" s="147"/>
      <c r="R799" s="147"/>
      <c r="S799" s="147"/>
      <c r="T799" s="147"/>
      <c r="U799" s="147"/>
      <c r="V799" s="147"/>
      <c r="W799" s="147"/>
      <c r="X799" s="147"/>
      <c r="Y799" s="147"/>
      <c r="Z799" s="147"/>
      <c r="AA799" s="147"/>
      <c r="AB799" s="147"/>
      <c r="AC799" s="147"/>
      <c r="AD799" s="147"/>
      <c r="AE799" s="147"/>
      <c r="AF799" s="147"/>
      <c r="AG799" s="147"/>
      <c r="AH799" s="147"/>
      <c r="AI799" s="147"/>
      <c r="AJ799" s="147"/>
      <c r="AK799" s="147"/>
      <c r="AL799" s="147"/>
      <c r="AM799" s="151"/>
      <c r="AN799" s="147"/>
      <c r="AO799" s="147"/>
      <c r="AP799" s="147"/>
      <c r="AQ799" s="147"/>
      <c r="AR799" s="147"/>
      <c r="AS799" s="147"/>
      <c r="AT799" s="147"/>
      <c r="AU799" s="147"/>
      <c r="AV799" s="147"/>
      <c r="AW799" s="147"/>
      <c r="AX799" s="147"/>
      <c r="AY799" s="147"/>
      <c r="AZ799" s="147"/>
      <c r="BA799" s="147"/>
      <c r="BB799" s="147"/>
      <c r="BC799" s="147"/>
      <c r="BD799" s="147"/>
      <c r="BE799" s="147"/>
      <c r="BF799" s="147"/>
      <c r="BG799" s="147"/>
      <c r="BH799" s="147"/>
      <c r="BI799" s="147"/>
      <c r="BJ799" s="147"/>
      <c r="BK799" s="147"/>
      <c r="BL799" s="147"/>
      <c r="BM799" s="147"/>
      <c r="BN799" s="147"/>
      <c r="BO799" s="147"/>
      <c r="BP799" s="147"/>
      <c r="BQ799" s="147"/>
      <c r="BR799" s="147"/>
      <c r="BS799" s="147"/>
      <c r="BT799" s="147"/>
      <c r="BU799" s="147"/>
      <c r="BV799" s="147"/>
      <c r="BW799" s="147"/>
      <c r="BX799" s="147"/>
      <c r="BY799" s="147"/>
      <c r="BZ799" s="147"/>
      <c r="CA799" s="147"/>
      <c r="CB799" s="147"/>
      <c r="CC799" s="147"/>
      <c r="CD799" s="147"/>
      <c r="CE799" s="147"/>
      <c r="CF799" s="147"/>
      <c r="CG799" s="147"/>
      <c r="CH799" s="147"/>
      <c r="CI799" s="147"/>
      <c r="CJ799" s="147"/>
      <c r="CK799" s="147"/>
    </row>
    <row r="800" spans="1:89">
      <c r="A800" s="157"/>
      <c r="F800" s="3"/>
      <c r="G800" s="3"/>
      <c r="L800" s="157"/>
      <c r="M800" s="157"/>
      <c r="O800" s="147"/>
      <c r="P800" s="147"/>
      <c r="Q800" s="147"/>
      <c r="R800" s="147"/>
      <c r="S800" s="147"/>
      <c r="T800" s="147"/>
      <c r="U800" s="147"/>
      <c r="V800" s="147"/>
      <c r="W800" s="147"/>
      <c r="X800" s="147"/>
      <c r="Y800" s="147"/>
      <c r="Z800" s="147"/>
      <c r="AA800" s="147"/>
      <c r="AB800" s="147"/>
      <c r="AC800" s="147"/>
      <c r="AD800" s="147"/>
      <c r="AE800" s="147"/>
      <c r="AF800" s="147"/>
      <c r="AG800" s="147"/>
      <c r="AH800" s="147"/>
      <c r="AI800" s="147"/>
      <c r="AJ800" s="147"/>
      <c r="AK800" s="147"/>
      <c r="AL800" s="147"/>
      <c r="AM800" s="151"/>
      <c r="AN800" s="147"/>
      <c r="AO800" s="147"/>
      <c r="AP800" s="147"/>
      <c r="AQ800" s="147"/>
      <c r="AR800" s="147"/>
      <c r="AS800" s="147"/>
      <c r="AT800" s="147"/>
      <c r="AU800" s="147"/>
      <c r="AV800" s="147"/>
      <c r="AW800" s="147"/>
      <c r="AX800" s="147"/>
      <c r="AY800" s="147"/>
      <c r="AZ800" s="147"/>
      <c r="BA800" s="147"/>
      <c r="BB800" s="147"/>
      <c r="BC800" s="147"/>
      <c r="BD800" s="147"/>
      <c r="BE800" s="147"/>
      <c r="BF800" s="147"/>
      <c r="BG800" s="147"/>
      <c r="BH800" s="147"/>
      <c r="BI800" s="147"/>
      <c r="BJ800" s="147"/>
      <c r="BK800" s="147"/>
      <c r="BL800" s="147"/>
      <c r="BM800" s="147"/>
      <c r="BN800" s="147"/>
      <c r="BO800" s="147"/>
      <c r="BP800" s="147"/>
      <c r="BQ800" s="147"/>
      <c r="BR800" s="147"/>
      <c r="BS800" s="147"/>
      <c r="BT800" s="147"/>
      <c r="BU800" s="147"/>
      <c r="BV800" s="147"/>
      <c r="BW800" s="147"/>
      <c r="BX800" s="147"/>
      <c r="BY800" s="147"/>
      <c r="BZ800" s="147"/>
      <c r="CA800" s="147"/>
      <c r="CB800" s="147"/>
      <c r="CC800" s="147"/>
      <c r="CD800" s="147"/>
      <c r="CE800" s="147"/>
      <c r="CF800" s="147"/>
      <c r="CG800" s="147"/>
      <c r="CH800" s="147"/>
      <c r="CI800" s="147"/>
      <c r="CJ800" s="147"/>
      <c r="CK800" s="147"/>
    </row>
    <row r="801" spans="1:89">
      <c r="A801" s="157"/>
      <c r="F801" s="3"/>
      <c r="G801" s="3"/>
      <c r="L801" s="157"/>
      <c r="M801" s="157"/>
      <c r="O801" s="147"/>
      <c r="P801" s="147"/>
      <c r="Q801" s="147"/>
      <c r="R801" s="147"/>
      <c r="S801" s="147"/>
      <c r="T801" s="147"/>
      <c r="U801" s="147"/>
      <c r="V801" s="147"/>
      <c r="W801" s="147"/>
      <c r="X801" s="147"/>
      <c r="Y801" s="147"/>
      <c r="Z801" s="147"/>
      <c r="AA801" s="147"/>
      <c r="AB801" s="147"/>
      <c r="AC801" s="147"/>
      <c r="AD801" s="147"/>
      <c r="AE801" s="147"/>
      <c r="AF801" s="147"/>
      <c r="AG801" s="147"/>
      <c r="AH801" s="147"/>
      <c r="AI801" s="147"/>
      <c r="AJ801" s="147"/>
      <c r="AK801" s="147"/>
      <c r="AL801" s="147"/>
      <c r="AM801" s="151"/>
      <c r="AN801" s="147"/>
      <c r="AO801" s="147"/>
      <c r="AP801" s="147"/>
      <c r="AQ801" s="147"/>
      <c r="AR801" s="147"/>
      <c r="AS801" s="147"/>
      <c r="AT801" s="147"/>
      <c r="AU801" s="147"/>
      <c r="AV801" s="147"/>
      <c r="AW801" s="147"/>
      <c r="AX801" s="147"/>
      <c r="AY801" s="147"/>
      <c r="AZ801" s="147"/>
      <c r="BA801" s="147"/>
      <c r="BB801" s="147"/>
      <c r="BC801" s="147"/>
      <c r="BD801" s="147"/>
      <c r="BE801" s="147"/>
      <c r="BF801" s="147"/>
      <c r="BG801" s="147"/>
      <c r="BH801" s="147"/>
      <c r="BI801" s="147"/>
      <c r="BJ801" s="147"/>
      <c r="BK801" s="147"/>
      <c r="BL801" s="147"/>
      <c r="BM801" s="147"/>
      <c r="BN801" s="147"/>
      <c r="BO801" s="147"/>
      <c r="BP801" s="147"/>
      <c r="BQ801" s="147"/>
      <c r="BR801" s="147"/>
      <c r="BS801" s="147"/>
      <c r="BT801" s="147"/>
      <c r="BU801" s="147"/>
      <c r="BV801" s="147"/>
      <c r="BW801" s="147"/>
      <c r="BX801" s="147"/>
      <c r="BY801" s="147"/>
      <c r="BZ801" s="147"/>
      <c r="CA801" s="147"/>
      <c r="CB801" s="147"/>
      <c r="CC801" s="147"/>
      <c r="CD801" s="147"/>
      <c r="CE801" s="147"/>
      <c r="CF801" s="147"/>
      <c r="CG801" s="147"/>
      <c r="CH801" s="147"/>
      <c r="CI801" s="147"/>
      <c r="CJ801" s="147"/>
      <c r="CK801" s="147"/>
    </row>
    <row r="802" spans="1:89">
      <c r="A802" s="157"/>
      <c r="F802" s="3"/>
      <c r="G802" s="3"/>
      <c r="L802" s="157"/>
      <c r="M802" s="157"/>
      <c r="O802" s="147"/>
      <c r="P802" s="147"/>
      <c r="Q802" s="147"/>
      <c r="R802" s="147"/>
      <c r="S802" s="147"/>
      <c r="T802" s="147"/>
      <c r="U802" s="147"/>
      <c r="V802" s="147"/>
      <c r="W802" s="147"/>
      <c r="X802" s="147"/>
      <c r="Y802" s="147"/>
      <c r="Z802" s="147"/>
      <c r="AA802" s="147"/>
      <c r="AB802" s="147"/>
      <c r="AC802" s="147"/>
      <c r="AD802" s="147"/>
      <c r="AE802" s="147"/>
      <c r="AF802" s="147"/>
      <c r="AG802" s="147"/>
      <c r="AH802" s="147"/>
      <c r="AI802" s="147"/>
      <c r="AJ802" s="147"/>
      <c r="AK802" s="147"/>
      <c r="AL802" s="147"/>
      <c r="AM802" s="151"/>
      <c r="AN802" s="147"/>
      <c r="AO802" s="147"/>
      <c r="AP802" s="147"/>
      <c r="AQ802" s="147"/>
      <c r="AR802" s="147"/>
      <c r="AS802" s="147"/>
      <c r="AT802" s="147"/>
      <c r="AU802" s="147"/>
      <c r="AV802" s="147"/>
      <c r="AW802" s="147"/>
      <c r="AX802" s="147"/>
      <c r="AY802" s="147"/>
      <c r="AZ802" s="147"/>
      <c r="BA802" s="147"/>
      <c r="BB802" s="147"/>
      <c r="BC802" s="147"/>
      <c r="BD802" s="147"/>
      <c r="BE802" s="147"/>
      <c r="BF802" s="147"/>
      <c r="BG802" s="147"/>
      <c r="BH802" s="147"/>
      <c r="BI802" s="147"/>
      <c r="BJ802" s="147"/>
      <c r="BK802" s="147"/>
      <c r="BL802" s="147"/>
      <c r="BM802" s="147"/>
      <c r="BN802" s="147"/>
      <c r="BO802" s="147"/>
      <c r="BP802" s="147"/>
      <c r="BQ802" s="147"/>
      <c r="BR802" s="147"/>
      <c r="BS802" s="147"/>
      <c r="BT802" s="147"/>
      <c r="BU802" s="147"/>
      <c r="BV802" s="147"/>
      <c r="BW802" s="147"/>
      <c r="BX802" s="147"/>
      <c r="BY802" s="147"/>
      <c r="BZ802" s="147"/>
      <c r="CA802" s="147"/>
      <c r="CB802" s="147"/>
      <c r="CC802" s="147"/>
      <c r="CD802" s="147"/>
      <c r="CE802" s="147"/>
      <c r="CF802" s="147"/>
      <c r="CG802" s="147"/>
      <c r="CH802" s="147"/>
      <c r="CI802" s="147"/>
      <c r="CJ802" s="147"/>
      <c r="CK802" s="147"/>
    </row>
    <row r="803" spans="1:89">
      <c r="A803" s="157"/>
      <c r="F803" s="3"/>
      <c r="G803" s="3"/>
      <c r="L803" s="157"/>
      <c r="M803" s="157"/>
      <c r="O803" s="147"/>
      <c r="P803" s="147"/>
      <c r="Q803" s="147"/>
      <c r="R803" s="147"/>
      <c r="S803" s="147"/>
      <c r="T803" s="147"/>
      <c r="U803" s="147"/>
      <c r="V803" s="147"/>
      <c r="W803" s="147"/>
      <c r="X803" s="147"/>
      <c r="Y803" s="147"/>
      <c r="Z803" s="147"/>
      <c r="AA803" s="147"/>
      <c r="AB803" s="147"/>
      <c r="AC803" s="147"/>
      <c r="AD803" s="147"/>
      <c r="AE803" s="147"/>
      <c r="AF803" s="147"/>
      <c r="AG803" s="147"/>
      <c r="AH803" s="147"/>
      <c r="AI803" s="147"/>
      <c r="AJ803" s="147"/>
      <c r="AK803" s="147"/>
      <c r="AL803" s="147"/>
      <c r="AM803" s="151"/>
      <c r="AN803" s="147"/>
      <c r="AO803" s="147"/>
      <c r="AP803" s="147"/>
      <c r="AQ803" s="147"/>
      <c r="AR803" s="147"/>
      <c r="AS803" s="147"/>
      <c r="AT803" s="147"/>
      <c r="AU803" s="147"/>
      <c r="AV803" s="147"/>
      <c r="AW803" s="147"/>
      <c r="AX803" s="147"/>
      <c r="AY803" s="147"/>
      <c r="AZ803" s="147"/>
      <c r="BA803" s="147"/>
      <c r="BB803" s="147"/>
      <c r="BC803" s="147"/>
      <c r="BD803" s="147"/>
      <c r="BE803" s="147"/>
      <c r="BF803" s="147"/>
      <c r="BG803" s="147"/>
      <c r="BH803" s="147"/>
      <c r="BI803" s="147"/>
      <c r="BJ803" s="147"/>
      <c r="BK803" s="147"/>
      <c r="BL803" s="147"/>
      <c r="BM803" s="147"/>
      <c r="BN803" s="147"/>
      <c r="BO803" s="147"/>
      <c r="BP803" s="147"/>
      <c r="BQ803" s="147"/>
      <c r="BR803" s="147"/>
      <c r="BS803" s="147"/>
      <c r="BT803" s="147"/>
      <c r="BU803" s="147"/>
      <c r="BV803" s="147"/>
      <c r="BW803" s="147"/>
      <c r="BX803" s="147"/>
      <c r="BY803" s="147"/>
      <c r="BZ803" s="147"/>
      <c r="CA803" s="147"/>
      <c r="CB803" s="147"/>
      <c r="CC803" s="147"/>
      <c r="CD803" s="147"/>
      <c r="CE803" s="147"/>
      <c r="CF803" s="147"/>
      <c r="CG803" s="147"/>
      <c r="CH803" s="147"/>
      <c r="CI803" s="147"/>
      <c r="CJ803" s="147"/>
      <c r="CK803" s="147"/>
    </row>
    <row r="804" spans="1:89">
      <c r="A804" s="157"/>
      <c r="F804" s="3"/>
      <c r="G804" s="3"/>
      <c r="L804" s="157"/>
      <c r="M804" s="157"/>
      <c r="O804" s="147"/>
      <c r="P804" s="147"/>
      <c r="Q804" s="147"/>
      <c r="R804" s="147"/>
      <c r="S804" s="147"/>
      <c r="T804" s="147"/>
      <c r="U804" s="147"/>
      <c r="V804" s="147"/>
      <c r="W804" s="147"/>
      <c r="X804" s="147"/>
      <c r="Y804" s="147"/>
      <c r="Z804" s="147"/>
      <c r="AA804" s="147"/>
      <c r="AB804" s="147"/>
      <c r="AC804" s="147"/>
      <c r="AD804" s="147"/>
      <c r="AE804" s="147"/>
      <c r="AF804" s="147"/>
      <c r="AG804" s="147"/>
      <c r="AH804" s="147"/>
      <c r="AI804" s="147"/>
      <c r="AJ804" s="147"/>
      <c r="AK804" s="147"/>
      <c r="AL804" s="147"/>
      <c r="AM804" s="151"/>
      <c r="AN804" s="147"/>
      <c r="AO804" s="147"/>
      <c r="AP804" s="147"/>
      <c r="AQ804" s="147"/>
      <c r="AR804" s="147"/>
      <c r="AS804" s="147"/>
      <c r="AT804" s="147"/>
      <c r="AU804" s="147"/>
      <c r="AV804" s="147"/>
      <c r="AW804" s="147"/>
      <c r="AX804" s="147"/>
      <c r="AY804" s="147"/>
      <c r="AZ804" s="147"/>
      <c r="BA804" s="147"/>
      <c r="BB804" s="147"/>
      <c r="BC804" s="147"/>
      <c r="BD804" s="147"/>
      <c r="BE804" s="147"/>
      <c r="BF804" s="147"/>
      <c r="BG804" s="147"/>
      <c r="BH804" s="147"/>
      <c r="BI804" s="147"/>
      <c r="BJ804" s="147"/>
      <c r="BK804" s="147"/>
      <c r="BL804" s="147"/>
      <c r="BM804" s="147"/>
      <c r="BN804" s="147"/>
      <c r="BO804" s="147"/>
      <c r="BP804" s="147"/>
      <c r="BQ804" s="147"/>
      <c r="BR804" s="147"/>
      <c r="BS804" s="147"/>
      <c r="BT804" s="147"/>
      <c r="BU804" s="147"/>
      <c r="BV804" s="147"/>
      <c r="BW804" s="147"/>
      <c r="BX804" s="147"/>
      <c r="BY804" s="147"/>
      <c r="BZ804" s="147"/>
      <c r="CA804" s="147"/>
      <c r="CB804" s="147"/>
      <c r="CC804" s="147"/>
      <c r="CD804" s="147"/>
      <c r="CE804" s="147"/>
      <c r="CF804" s="147"/>
      <c r="CG804" s="147"/>
      <c r="CH804" s="147"/>
      <c r="CI804" s="147"/>
      <c r="CJ804" s="147"/>
      <c r="CK804" s="147"/>
    </row>
    <row r="805" spans="1:89">
      <c r="A805" s="157"/>
      <c r="F805" s="3"/>
      <c r="G805" s="3"/>
      <c r="L805" s="157"/>
      <c r="M805" s="157"/>
      <c r="O805" s="147"/>
      <c r="P805" s="147"/>
      <c r="Q805" s="147"/>
      <c r="R805" s="147"/>
      <c r="S805" s="147"/>
      <c r="T805" s="147"/>
      <c r="U805" s="147"/>
      <c r="V805" s="147"/>
      <c r="W805" s="147"/>
      <c r="X805" s="147"/>
      <c r="Y805" s="147"/>
      <c r="Z805" s="147"/>
      <c r="AA805" s="147"/>
      <c r="AB805" s="147"/>
      <c r="AC805" s="147"/>
      <c r="AD805" s="147"/>
      <c r="AE805" s="147"/>
      <c r="AF805" s="147"/>
      <c r="AG805" s="147"/>
      <c r="AH805" s="147"/>
      <c r="AI805" s="147"/>
      <c r="AJ805" s="147"/>
      <c r="AK805" s="147"/>
      <c r="AL805" s="147"/>
      <c r="AM805" s="151"/>
      <c r="AN805" s="147"/>
      <c r="AO805" s="147"/>
      <c r="AP805" s="147"/>
      <c r="AQ805" s="147"/>
      <c r="AR805" s="147"/>
      <c r="AS805" s="147"/>
      <c r="AT805" s="147"/>
      <c r="AU805" s="147"/>
      <c r="AV805" s="147"/>
      <c r="AW805" s="147"/>
      <c r="AX805" s="147"/>
      <c r="AY805" s="147"/>
      <c r="AZ805" s="147"/>
      <c r="BA805" s="147"/>
      <c r="BB805" s="147"/>
      <c r="BC805" s="147"/>
      <c r="BD805" s="147"/>
      <c r="BE805" s="147"/>
      <c r="BF805" s="147"/>
      <c r="BG805" s="147"/>
      <c r="BH805" s="147"/>
      <c r="BI805" s="147"/>
      <c r="BJ805" s="147"/>
      <c r="BK805" s="147"/>
      <c r="BL805" s="147"/>
      <c r="BM805" s="147"/>
      <c r="BN805" s="147"/>
      <c r="BO805" s="147"/>
      <c r="BP805" s="147"/>
      <c r="BQ805" s="147"/>
      <c r="BR805" s="147"/>
      <c r="BS805" s="147"/>
      <c r="BT805" s="147"/>
      <c r="BU805" s="147"/>
      <c r="BV805" s="147"/>
      <c r="BW805" s="147"/>
      <c r="BX805" s="147"/>
      <c r="BY805" s="147"/>
      <c r="BZ805" s="147"/>
      <c r="CA805" s="147"/>
      <c r="CB805" s="147"/>
      <c r="CC805" s="147"/>
      <c r="CD805" s="147"/>
      <c r="CE805" s="147"/>
      <c r="CF805" s="147"/>
      <c r="CG805" s="147"/>
      <c r="CH805" s="147"/>
      <c r="CI805" s="147"/>
      <c r="CJ805" s="147"/>
      <c r="CK805" s="147"/>
    </row>
    <row r="806" spans="1:89">
      <c r="A806" s="157"/>
      <c r="F806" s="3"/>
      <c r="G806" s="3"/>
      <c r="L806" s="157"/>
      <c r="M806" s="157"/>
      <c r="O806" s="147"/>
      <c r="P806" s="147"/>
      <c r="Q806" s="147"/>
      <c r="R806" s="147"/>
      <c r="S806" s="147"/>
      <c r="T806" s="147"/>
      <c r="U806" s="147"/>
      <c r="V806" s="147"/>
      <c r="W806" s="147"/>
      <c r="X806" s="147"/>
      <c r="Y806" s="147"/>
      <c r="Z806" s="147"/>
      <c r="AA806" s="147"/>
      <c r="AB806" s="147"/>
      <c r="AC806" s="147"/>
      <c r="AD806" s="147"/>
      <c r="AE806" s="147"/>
      <c r="AF806" s="147"/>
      <c r="AG806" s="147"/>
      <c r="AH806" s="147"/>
      <c r="AI806" s="147"/>
      <c r="AJ806" s="147"/>
      <c r="AK806" s="147"/>
      <c r="AL806" s="147"/>
      <c r="AM806" s="151"/>
      <c r="AN806" s="147"/>
      <c r="AO806" s="147"/>
      <c r="AP806" s="147"/>
      <c r="AQ806" s="147"/>
      <c r="AR806" s="147"/>
      <c r="AS806" s="147"/>
      <c r="AT806" s="147"/>
      <c r="AU806" s="147"/>
      <c r="AV806" s="147"/>
      <c r="AW806" s="147"/>
      <c r="AX806" s="147"/>
      <c r="AY806" s="147"/>
      <c r="AZ806" s="147"/>
      <c r="BA806" s="147"/>
      <c r="BB806" s="147"/>
      <c r="BC806" s="147"/>
      <c r="BD806" s="147"/>
      <c r="BE806" s="147"/>
      <c r="BF806" s="147"/>
      <c r="BG806" s="147"/>
      <c r="BH806" s="147"/>
      <c r="BI806" s="147"/>
      <c r="BJ806" s="147"/>
      <c r="BK806" s="147"/>
      <c r="BL806" s="147"/>
      <c r="BM806" s="147"/>
      <c r="BN806" s="147"/>
      <c r="BO806" s="147"/>
      <c r="BP806" s="147"/>
      <c r="BQ806" s="147"/>
      <c r="BR806" s="147"/>
      <c r="BS806" s="147"/>
      <c r="BT806" s="147"/>
      <c r="BU806" s="147"/>
      <c r="BV806" s="147"/>
      <c r="BW806" s="147"/>
      <c r="BX806" s="147"/>
      <c r="BY806" s="147"/>
      <c r="BZ806" s="147"/>
      <c r="CA806" s="147"/>
      <c r="CB806" s="147"/>
      <c r="CC806" s="147"/>
      <c r="CD806" s="147"/>
      <c r="CE806" s="147"/>
      <c r="CF806" s="147"/>
      <c r="CG806" s="147"/>
      <c r="CH806" s="147"/>
      <c r="CI806" s="147"/>
      <c r="CJ806" s="147"/>
      <c r="CK806" s="147"/>
    </row>
    <row r="807" spans="1:89">
      <c r="A807" s="157"/>
      <c r="F807" s="3"/>
      <c r="G807" s="3"/>
      <c r="L807" s="157"/>
      <c r="M807" s="157"/>
      <c r="O807" s="147"/>
      <c r="P807" s="147"/>
      <c r="Q807" s="147"/>
      <c r="R807" s="147"/>
      <c r="S807" s="147"/>
      <c r="T807" s="147"/>
      <c r="U807" s="147"/>
      <c r="V807" s="147"/>
      <c r="W807" s="147"/>
      <c r="X807" s="147"/>
      <c r="Y807" s="147"/>
      <c r="Z807" s="147"/>
      <c r="AA807" s="147"/>
      <c r="AB807" s="147"/>
      <c r="AC807" s="147"/>
      <c r="AD807" s="147"/>
      <c r="AE807" s="147"/>
      <c r="AF807" s="147"/>
      <c r="AG807" s="147"/>
      <c r="AH807" s="147"/>
      <c r="AI807" s="147"/>
      <c r="AJ807" s="147"/>
      <c r="AK807" s="147"/>
      <c r="AL807" s="147"/>
      <c r="AM807" s="151"/>
      <c r="AN807" s="147"/>
      <c r="AO807" s="147"/>
      <c r="AP807" s="147"/>
      <c r="AQ807" s="147"/>
      <c r="AR807" s="147"/>
      <c r="AS807" s="147"/>
      <c r="AT807" s="147"/>
      <c r="AU807" s="147"/>
      <c r="AV807" s="147"/>
      <c r="AW807" s="147"/>
      <c r="AX807" s="147"/>
      <c r="AY807" s="147"/>
      <c r="AZ807" s="147"/>
      <c r="BA807" s="147"/>
      <c r="BB807" s="147"/>
      <c r="BC807" s="147"/>
      <c r="BD807" s="147"/>
      <c r="BE807" s="147"/>
      <c r="BF807" s="147"/>
      <c r="BG807" s="147"/>
      <c r="BH807" s="147"/>
      <c r="BI807" s="147"/>
      <c r="BJ807" s="147"/>
      <c r="BK807" s="147"/>
      <c r="BL807" s="147"/>
      <c r="BM807" s="147"/>
      <c r="BN807" s="147"/>
      <c r="BO807" s="147"/>
      <c r="BP807" s="147"/>
      <c r="BQ807" s="147"/>
      <c r="BR807" s="147"/>
      <c r="BS807" s="147"/>
      <c r="BT807" s="147"/>
      <c r="BU807" s="147"/>
      <c r="BV807" s="147"/>
      <c r="BW807" s="147"/>
      <c r="BX807" s="147"/>
      <c r="BY807" s="147"/>
      <c r="BZ807" s="147"/>
      <c r="CA807" s="147"/>
      <c r="CB807" s="147"/>
      <c r="CC807" s="147"/>
      <c r="CD807" s="147"/>
      <c r="CE807" s="147"/>
      <c r="CF807" s="147"/>
      <c r="CG807" s="147"/>
      <c r="CH807" s="147"/>
      <c r="CI807" s="147"/>
      <c r="CJ807" s="147"/>
      <c r="CK807" s="147"/>
    </row>
    <row r="808" spans="1:89">
      <c r="A808" s="157"/>
      <c r="F808" s="3"/>
      <c r="G808" s="3"/>
      <c r="L808" s="157"/>
      <c r="M808" s="157"/>
      <c r="O808" s="147"/>
      <c r="P808" s="147"/>
      <c r="Q808" s="147"/>
      <c r="R808" s="147"/>
      <c r="S808" s="147"/>
      <c r="T808" s="147"/>
      <c r="U808" s="147"/>
      <c r="V808" s="147"/>
      <c r="W808" s="147"/>
      <c r="X808" s="147"/>
      <c r="Y808" s="147"/>
      <c r="Z808" s="147"/>
      <c r="AA808" s="147"/>
      <c r="AB808" s="147"/>
      <c r="AC808" s="147"/>
      <c r="AD808" s="147"/>
      <c r="AE808" s="147"/>
      <c r="AF808" s="147"/>
      <c r="AG808" s="147"/>
      <c r="AH808" s="147"/>
      <c r="AI808" s="147"/>
      <c r="AJ808" s="147"/>
      <c r="AK808" s="147"/>
      <c r="AL808" s="147"/>
      <c r="AM808" s="151"/>
      <c r="AN808" s="147"/>
      <c r="AO808" s="147"/>
      <c r="AP808" s="147"/>
      <c r="AQ808" s="147"/>
      <c r="AR808" s="147"/>
      <c r="AS808" s="147"/>
      <c r="AT808" s="147"/>
      <c r="AU808" s="147"/>
      <c r="AV808" s="147"/>
      <c r="AW808" s="147"/>
      <c r="AX808" s="147"/>
      <c r="AY808" s="147"/>
      <c r="AZ808" s="147"/>
      <c r="BA808" s="147"/>
      <c r="BB808" s="147"/>
      <c r="BC808" s="147"/>
      <c r="BD808" s="147"/>
      <c r="BE808" s="147"/>
      <c r="BF808" s="147"/>
      <c r="BG808" s="147"/>
      <c r="BH808" s="147"/>
      <c r="BI808" s="147"/>
      <c r="BJ808" s="147"/>
      <c r="BK808" s="147"/>
      <c r="BL808" s="147"/>
      <c r="BM808" s="147"/>
      <c r="BN808" s="147"/>
      <c r="BO808" s="147"/>
      <c r="BP808" s="147"/>
      <c r="BQ808" s="147"/>
      <c r="BR808" s="147"/>
      <c r="BS808" s="147"/>
      <c r="BT808" s="147"/>
      <c r="BU808" s="147"/>
      <c r="BV808" s="147"/>
      <c r="BW808" s="147"/>
      <c r="BX808" s="147"/>
      <c r="BY808" s="147"/>
      <c r="BZ808" s="147"/>
      <c r="CA808" s="147"/>
      <c r="CB808" s="147"/>
      <c r="CC808" s="147"/>
      <c r="CD808" s="147"/>
      <c r="CE808" s="147"/>
      <c r="CF808" s="147"/>
      <c r="CG808" s="147"/>
      <c r="CH808" s="147"/>
      <c r="CI808" s="147"/>
      <c r="CJ808" s="147"/>
      <c r="CK808" s="147"/>
    </row>
    <row r="809" spans="1:89">
      <c r="A809" s="157"/>
      <c r="F809" s="3"/>
      <c r="G809" s="3"/>
      <c r="L809" s="157"/>
      <c r="M809" s="157"/>
      <c r="O809" s="147"/>
      <c r="P809" s="147"/>
      <c r="Q809" s="147"/>
      <c r="R809" s="147"/>
      <c r="S809" s="147"/>
      <c r="T809" s="147"/>
      <c r="U809" s="147"/>
      <c r="V809" s="147"/>
      <c r="W809" s="147"/>
      <c r="X809" s="147"/>
      <c r="Y809" s="147"/>
      <c r="Z809" s="147"/>
      <c r="AA809" s="147"/>
      <c r="AB809" s="147"/>
      <c r="AC809" s="147"/>
      <c r="AD809" s="147"/>
      <c r="AE809" s="147"/>
      <c r="AF809" s="147"/>
      <c r="AG809" s="147"/>
      <c r="AH809" s="147"/>
      <c r="AI809" s="147"/>
      <c r="AJ809" s="147"/>
      <c r="AK809" s="147"/>
      <c r="AL809" s="147"/>
      <c r="AM809" s="151"/>
      <c r="AN809" s="147"/>
      <c r="AO809" s="147"/>
      <c r="AP809" s="147"/>
      <c r="AQ809" s="147"/>
      <c r="AR809" s="147"/>
      <c r="AS809" s="147"/>
      <c r="AT809" s="147"/>
      <c r="AU809" s="147"/>
      <c r="AV809" s="147"/>
      <c r="AW809" s="147"/>
      <c r="AX809" s="147"/>
      <c r="AY809" s="147"/>
      <c r="AZ809" s="147"/>
      <c r="BA809" s="147"/>
      <c r="BB809" s="147"/>
      <c r="BC809" s="147"/>
      <c r="BD809" s="147"/>
      <c r="BE809" s="147"/>
      <c r="BF809" s="147"/>
      <c r="BG809" s="147"/>
      <c r="BH809" s="147"/>
      <c r="BI809" s="147"/>
      <c r="BJ809" s="147"/>
      <c r="BK809" s="147"/>
      <c r="BL809" s="147"/>
      <c r="BM809" s="147"/>
      <c r="BN809" s="147"/>
      <c r="BO809" s="147"/>
      <c r="BP809" s="147"/>
      <c r="BQ809" s="147"/>
      <c r="BR809" s="147"/>
      <c r="BS809" s="147"/>
      <c r="BT809" s="147"/>
      <c r="BU809" s="147"/>
      <c r="BV809" s="147"/>
      <c r="BW809" s="147"/>
      <c r="BX809" s="147"/>
      <c r="BY809" s="147"/>
      <c r="BZ809" s="147"/>
      <c r="CA809" s="147"/>
      <c r="CB809" s="147"/>
      <c r="CC809" s="147"/>
      <c r="CD809" s="147"/>
      <c r="CE809" s="147"/>
      <c r="CF809" s="147"/>
      <c r="CG809" s="147"/>
      <c r="CH809" s="147"/>
      <c r="CI809" s="147"/>
      <c r="CJ809" s="147"/>
      <c r="CK809" s="147"/>
    </row>
    <row r="810" spans="1:89">
      <c r="A810" s="157"/>
      <c r="F810" s="3"/>
      <c r="G810" s="3"/>
      <c r="L810" s="157"/>
      <c r="M810" s="157"/>
      <c r="O810" s="147"/>
      <c r="P810" s="147"/>
      <c r="Q810" s="147"/>
      <c r="R810" s="147"/>
      <c r="S810" s="147"/>
      <c r="T810" s="147"/>
      <c r="U810" s="147"/>
      <c r="V810" s="147"/>
      <c r="W810" s="147"/>
      <c r="X810" s="147"/>
      <c r="Y810" s="147"/>
      <c r="Z810" s="147"/>
      <c r="AA810" s="147"/>
      <c r="AB810" s="147"/>
      <c r="AC810" s="147"/>
      <c r="AD810" s="147"/>
      <c r="AE810" s="147"/>
      <c r="AF810" s="147"/>
      <c r="AG810" s="147"/>
      <c r="AH810" s="147"/>
      <c r="AI810" s="147"/>
      <c r="AJ810" s="147"/>
      <c r="AK810" s="147"/>
      <c r="AL810" s="147"/>
      <c r="AM810" s="151"/>
      <c r="AN810" s="147"/>
      <c r="AO810" s="147"/>
      <c r="AP810" s="147"/>
      <c r="AQ810" s="147"/>
      <c r="AR810" s="147"/>
      <c r="AS810" s="147"/>
      <c r="AT810" s="147"/>
      <c r="AU810" s="147"/>
      <c r="AV810" s="147"/>
      <c r="AW810" s="147"/>
      <c r="AX810" s="147"/>
      <c r="AY810" s="147"/>
      <c r="AZ810" s="147"/>
      <c r="BA810" s="147"/>
      <c r="BB810" s="147"/>
      <c r="BC810" s="147"/>
      <c r="BD810" s="147"/>
      <c r="BE810" s="147"/>
      <c r="BF810" s="147"/>
      <c r="BG810" s="147"/>
      <c r="BH810" s="147"/>
      <c r="BI810" s="147"/>
      <c r="BJ810" s="147"/>
      <c r="BK810" s="147"/>
      <c r="BL810" s="147"/>
      <c r="BM810" s="147"/>
      <c r="BN810" s="147"/>
      <c r="BO810" s="147"/>
      <c r="BP810" s="147"/>
      <c r="BQ810" s="147"/>
      <c r="BR810" s="147"/>
      <c r="BS810" s="147"/>
      <c r="BT810" s="147"/>
      <c r="BU810" s="147"/>
      <c r="BV810" s="147"/>
      <c r="BW810" s="147"/>
      <c r="BX810" s="147"/>
      <c r="BY810" s="147"/>
      <c r="BZ810" s="147"/>
      <c r="CA810" s="147"/>
      <c r="CB810" s="147"/>
      <c r="CC810" s="147"/>
      <c r="CD810" s="147"/>
      <c r="CE810" s="147"/>
      <c r="CF810" s="147"/>
      <c r="CG810" s="147"/>
      <c r="CH810" s="147"/>
      <c r="CI810" s="147"/>
      <c r="CJ810" s="147"/>
      <c r="CK810" s="147"/>
    </row>
    <row r="811" spans="1:89">
      <c r="A811" s="157"/>
      <c r="F811" s="3"/>
      <c r="G811" s="3"/>
      <c r="L811" s="157"/>
      <c r="M811" s="157"/>
      <c r="O811" s="147"/>
      <c r="P811" s="147"/>
      <c r="Q811" s="147"/>
      <c r="R811" s="147"/>
      <c r="S811" s="147"/>
      <c r="T811" s="147"/>
      <c r="U811" s="147"/>
      <c r="V811" s="147"/>
      <c r="W811" s="147"/>
      <c r="X811" s="147"/>
      <c r="Y811" s="147"/>
      <c r="Z811" s="147"/>
      <c r="AA811" s="147"/>
      <c r="AB811" s="147"/>
      <c r="AC811" s="147"/>
      <c r="AD811" s="147"/>
      <c r="AE811" s="147"/>
      <c r="AF811" s="147"/>
      <c r="AG811" s="147"/>
      <c r="AH811" s="147"/>
      <c r="AI811" s="147"/>
      <c r="AJ811" s="147"/>
      <c r="AK811" s="147"/>
      <c r="AL811" s="147"/>
      <c r="AM811" s="151"/>
      <c r="AN811" s="147"/>
      <c r="AO811" s="147"/>
      <c r="AP811" s="147"/>
      <c r="AQ811" s="147"/>
      <c r="AR811" s="147"/>
      <c r="AS811" s="147"/>
      <c r="AT811" s="147"/>
      <c r="AU811" s="147"/>
      <c r="AV811" s="147"/>
      <c r="AW811" s="147"/>
      <c r="AX811" s="147"/>
      <c r="AY811" s="147"/>
      <c r="AZ811" s="147"/>
      <c r="BA811" s="147"/>
      <c r="BB811" s="147"/>
      <c r="BC811" s="147"/>
      <c r="BD811" s="147"/>
      <c r="BE811" s="147"/>
      <c r="BF811" s="147"/>
      <c r="BG811" s="147"/>
      <c r="BH811" s="147"/>
      <c r="BI811" s="147"/>
      <c r="BJ811" s="147"/>
      <c r="BK811" s="147"/>
      <c r="BL811" s="147"/>
      <c r="BM811" s="147"/>
      <c r="BN811" s="147"/>
      <c r="BO811" s="147"/>
      <c r="BP811" s="147"/>
      <c r="BQ811" s="147"/>
      <c r="BR811" s="147"/>
      <c r="BS811" s="147"/>
      <c r="BT811" s="147"/>
      <c r="BU811" s="147"/>
      <c r="BV811" s="147"/>
      <c r="BW811" s="147"/>
      <c r="BX811" s="147"/>
      <c r="BY811" s="147"/>
      <c r="BZ811" s="147"/>
      <c r="CA811" s="147"/>
      <c r="CB811" s="147"/>
      <c r="CC811" s="147"/>
      <c r="CD811" s="147"/>
      <c r="CE811" s="147"/>
      <c r="CF811" s="147"/>
      <c r="CG811" s="147"/>
      <c r="CH811" s="147"/>
      <c r="CI811" s="147"/>
      <c r="CJ811" s="147"/>
      <c r="CK811" s="147"/>
    </row>
    <row r="812" spans="1:89">
      <c r="A812" s="157"/>
      <c r="F812" s="3"/>
      <c r="G812" s="3"/>
      <c r="L812" s="157"/>
      <c r="M812" s="157"/>
      <c r="O812" s="147"/>
      <c r="P812" s="147"/>
      <c r="Q812" s="147"/>
      <c r="R812" s="147"/>
      <c r="S812" s="147"/>
      <c r="T812" s="147"/>
      <c r="U812" s="147"/>
      <c r="V812" s="147"/>
      <c r="W812" s="147"/>
      <c r="X812" s="147"/>
      <c r="Y812" s="147"/>
      <c r="Z812" s="147"/>
      <c r="AA812" s="147"/>
      <c r="AB812" s="147"/>
      <c r="AC812" s="147"/>
      <c r="AD812" s="147"/>
      <c r="AE812" s="147"/>
      <c r="AF812" s="147"/>
      <c r="AG812" s="147"/>
      <c r="AH812" s="147"/>
      <c r="AI812" s="147"/>
      <c r="AJ812" s="147"/>
      <c r="AK812" s="147"/>
      <c r="AL812" s="147"/>
      <c r="AM812" s="151"/>
      <c r="AN812" s="147"/>
      <c r="AO812" s="147"/>
      <c r="AP812" s="147"/>
      <c r="AQ812" s="147"/>
      <c r="AR812" s="147"/>
      <c r="AS812" s="147"/>
      <c r="AT812" s="147"/>
      <c r="AU812" s="147"/>
      <c r="AV812" s="147"/>
      <c r="AW812" s="147"/>
      <c r="AX812" s="147"/>
      <c r="AY812" s="147"/>
      <c r="AZ812" s="147"/>
      <c r="BA812" s="147"/>
      <c r="BB812" s="147"/>
      <c r="BC812" s="147"/>
      <c r="BD812" s="147"/>
      <c r="BE812" s="147"/>
      <c r="BF812" s="147"/>
      <c r="BG812" s="147"/>
      <c r="BH812" s="147"/>
      <c r="BI812" s="147"/>
      <c r="BJ812" s="147"/>
      <c r="BK812" s="147"/>
      <c r="BL812" s="147"/>
      <c r="BM812" s="147"/>
      <c r="BN812" s="147"/>
      <c r="BO812" s="147"/>
      <c r="BP812" s="147"/>
      <c r="BQ812" s="147"/>
      <c r="BR812" s="147"/>
      <c r="BS812" s="147"/>
      <c r="BT812" s="147"/>
      <c r="BU812" s="147"/>
      <c r="BV812" s="147"/>
      <c r="BW812" s="147"/>
      <c r="BX812" s="147"/>
      <c r="BY812" s="147"/>
      <c r="BZ812" s="147"/>
      <c r="CA812" s="147"/>
      <c r="CB812" s="147"/>
      <c r="CC812" s="147"/>
      <c r="CD812" s="147"/>
      <c r="CE812" s="147"/>
      <c r="CF812" s="147"/>
      <c r="CG812" s="147"/>
      <c r="CH812" s="147"/>
      <c r="CI812" s="147"/>
      <c r="CJ812" s="147"/>
      <c r="CK812" s="147"/>
    </row>
    <row r="813" spans="1:89">
      <c r="A813" s="157"/>
      <c r="F813" s="3"/>
      <c r="G813" s="3"/>
      <c r="L813" s="157"/>
      <c r="M813" s="157"/>
      <c r="O813" s="147"/>
      <c r="P813" s="147"/>
      <c r="Q813" s="147"/>
      <c r="R813" s="147"/>
      <c r="S813" s="147"/>
      <c r="T813" s="147"/>
      <c r="U813" s="147"/>
      <c r="V813" s="147"/>
      <c r="W813" s="147"/>
      <c r="X813" s="147"/>
      <c r="Y813" s="147"/>
      <c r="Z813" s="147"/>
      <c r="AA813" s="147"/>
      <c r="AB813" s="147"/>
      <c r="AC813" s="147"/>
      <c r="AD813" s="147"/>
      <c r="AE813" s="147"/>
      <c r="AF813" s="147"/>
      <c r="AG813" s="147"/>
      <c r="AH813" s="147"/>
      <c r="AI813" s="147"/>
      <c r="AJ813" s="147"/>
      <c r="AK813" s="147"/>
      <c r="AL813" s="147"/>
      <c r="AM813" s="151"/>
      <c r="AN813" s="147"/>
      <c r="AO813" s="147"/>
      <c r="AP813" s="147"/>
      <c r="AQ813" s="147"/>
      <c r="AR813" s="147"/>
      <c r="AS813" s="147"/>
      <c r="AT813" s="147"/>
      <c r="AU813" s="147"/>
      <c r="AV813" s="147"/>
      <c r="AW813" s="147"/>
      <c r="AX813" s="147"/>
      <c r="AY813" s="147"/>
      <c r="AZ813" s="147"/>
      <c r="BA813" s="147"/>
      <c r="BB813" s="147"/>
      <c r="BC813" s="147"/>
      <c r="BD813" s="147"/>
      <c r="BE813" s="147"/>
      <c r="BF813" s="147"/>
      <c r="BG813" s="147"/>
      <c r="BH813" s="147"/>
      <c r="BI813" s="147"/>
      <c r="BJ813" s="147"/>
      <c r="BK813" s="147"/>
      <c r="BL813" s="147"/>
      <c r="BM813" s="147"/>
      <c r="BN813" s="147"/>
      <c r="BO813" s="147"/>
      <c r="BP813" s="147"/>
      <c r="BQ813" s="147"/>
      <c r="BR813" s="147"/>
      <c r="BS813" s="147"/>
      <c r="BT813" s="147"/>
      <c r="BU813" s="147"/>
      <c r="BV813" s="147"/>
      <c r="BW813" s="147"/>
      <c r="BX813" s="147"/>
      <c r="BY813" s="147"/>
      <c r="BZ813" s="147"/>
      <c r="CA813" s="147"/>
      <c r="CB813" s="147"/>
      <c r="CC813" s="147"/>
      <c r="CD813" s="147"/>
      <c r="CE813" s="147"/>
      <c r="CF813" s="147"/>
      <c r="CG813" s="147"/>
      <c r="CH813" s="147"/>
      <c r="CI813" s="147"/>
      <c r="CJ813" s="147"/>
      <c r="CK813" s="147"/>
    </row>
    <row r="814" spans="1:89">
      <c r="A814" s="157"/>
      <c r="F814" s="3"/>
      <c r="G814" s="3"/>
      <c r="L814" s="157"/>
      <c r="M814" s="157"/>
      <c r="O814" s="147"/>
      <c r="P814" s="147"/>
      <c r="Q814" s="147"/>
      <c r="R814" s="147"/>
      <c r="S814" s="147"/>
      <c r="T814" s="147"/>
      <c r="U814" s="147"/>
      <c r="V814" s="147"/>
      <c r="W814" s="147"/>
      <c r="X814" s="147"/>
      <c r="Y814" s="147"/>
      <c r="Z814" s="147"/>
      <c r="AA814" s="147"/>
      <c r="AB814" s="147"/>
      <c r="AC814" s="147"/>
      <c r="AD814" s="147"/>
      <c r="AE814" s="147"/>
      <c r="AF814" s="147"/>
      <c r="AG814" s="147"/>
      <c r="AH814" s="147"/>
      <c r="AI814" s="147"/>
      <c r="AJ814" s="147"/>
      <c r="AK814" s="147"/>
      <c r="AL814" s="147"/>
      <c r="AM814" s="151"/>
      <c r="AN814" s="147"/>
      <c r="AO814" s="147"/>
      <c r="AP814" s="147"/>
      <c r="AQ814" s="147"/>
      <c r="AR814" s="147"/>
      <c r="AS814" s="147"/>
      <c r="AT814" s="147"/>
      <c r="AU814" s="147"/>
      <c r="AV814" s="147"/>
      <c r="AW814" s="147"/>
      <c r="AX814" s="147"/>
      <c r="AY814" s="147"/>
      <c r="AZ814" s="147"/>
      <c r="BA814" s="147"/>
      <c r="BB814" s="147"/>
      <c r="BC814" s="147"/>
      <c r="BD814" s="147"/>
      <c r="BE814" s="147"/>
      <c r="BF814" s="147"/>
      <c r="BG814" s="147"/>
      <c r="BH814" s="147"/>
      <c r="BI814" s="147"/>
      <c r="BJ814" s="147"/>
      <c r="BK814" s="147"/>
      <c r="BL814" s="147"/>
      <c r="BM814" s="147"/>
      <c r="BN814" s="147"/>
      <c r="BO814" s="147"/>
      <c r="BP814" s="147"/>
      <c r="BQ814" s="147"/>
      <c r="BR814" s="147"/>
      <c r="BS814" s="147"/>
      <c r="BT814" s="147"/>
      <c r="BU814" s="147"/>
      <c r="BV814" s="147"/>
      <c r="BW814" s="147"/>
      <c r="BX814" s="147"/>
      <c r="BY814" s="147"/>
      <c r="BZ814" s="147"/>
      <c r="CA814" s="147"/>
      <c r="CB814" s="147"/>
      <c r="CC814" s="147"/>
      <c r="CD814" s="147"/>
      <c r="CE814" s="147"/>
      <c r="CF814" s="147"/>
      <c r="CG814" s="147"/>
      <c r="CH814" s="147"/>
      <c r="CI814" s="147"/>
      <c r="CJ814" s="147"/>
      <c r="CK814" s="147"/>
    </row>
    <row r="815" spans="1:89">
      <c r="A815" s="157"/>
      <c r="F815" s="3"/>
      <c r="G815" s="3"/>
      <c r="L815" s="157"/>
      <c r="M815" s="157"/>
      <c r="O815" s="147"/>
      <c r="P815" s="147"/>
      <c r="Q815" s="147"/>
      <c r="R815" s="147"/>
      <c r="S815" s="147"/>
      <c r="T815" s="147"/>
      <c r="U815" s="147"/>
      <c r="V815" s="147"/>
      <c r="W815" s="147"/>
      <c r="X815" s="147"/>
      <c r="Y815" s="147"/>
      <c r="Z815" s="147"/>
      <c r="AA815" s="147"/>
      <c r="AB815" s="147"/>
      <c r="AC815" s="147"/>
      <c r="AD815" s="147"/>
      <c r="AE815" s="147"/>
      <c r="AF815" s="147"/>
      <c r="AG815" s="147"/>
      <c r="AH815" s="147"/>
      <c r="AI815" s="147"/>
      <c r="AJ815" s="147"/>
      <c r="AK815" s="147"/>
      <c r="AL815" s="147"/>
      <c r="AM815" s="151"/>
      <c r="AN815" s="147"/>
      <c r="AO815" s="147"/>
      <c r="AP815" s="147"/>
      <c r="AQ815" s="147"/>
      <c r="AR815" s="147"/>
      <c r="AS815" s="147"/>
      <c r="AT815" s="147"/>
      <c r="AU815" s="147"/>
      <c r="AV815" s="147"/>
      <c r="AW815" s="147"/>
      <c r="AX815" s="147"/>
      <c r="AY815" s="147"/>
      <c r="AZ815" s="147"/>
      <c r="BA815" s="147"/>
      <c r="BB815" s="147"/>
      <c r="BC815" s="147"/>
      <c r="BD815" s="147"/>
      <c r="BE815" s="147"/>
      <c r="BF815" s="147"/>
      <c r="BG815" s="147"/>
      <c r="BH815" s="147"/>
      <c r="BI815" s="147"/>
      <c r="BJ815" s="147"/>
      <c r="BK815" s="147"/>
      <c r="BL815" s="147"/>
      <c r="BM815" s="147"/>
      <c r="BN815" s="147"/>
      <c r="BO815" s="147"/>
      <c r="BP815" s="147"/>
      <c r="BQ815" s="147"/>
      <c r="BR815" s="147"/>
      <c r="BS815" s="147"/>
      <c r="BT815" s="147"/>
      <c r="BU815" s="147"/>
      <c r="BV815" s="147"/>
      <c r="BW815" s="147"/>
      <c r="BX815" s="147"/>
      <c r="BY815" s="147"/>
      <c r="BZ815" s="147"/>
      <c r="CA815" s="147"/>
      <c r="CB815" s="147"/>
      <c r="CC815" s="147"/>
      <c r="CD815" s="147"/>
      <c r="CE815" s="147"/>
      <c r="CF815" s="147"/>
      <c r="CG815" s="147"/>
      <c r="CH815" s="147"/>
      <c r="CI815" s="147"/>
      <c r="CJ815" s="147"/>
      <c r="CK815" s="147"/>
    </row>
    <row r="816" spans="1:89">
      <c r="A816" s="157"/>
      <c r="F816" s="3"/>
      <c r="G816" s="3"/>
      <c r="L816" s="157"/>
      <c r="M816" s="157"/>
      <c r="O816" s="147"/>
      <c r="P816" s="147"/>
      <c r="Q816" s="147"/>
      <c r="R816" s="147"/>
      <c r="S816" s="147"/>
      <c r="T816" s="147"/>
      <c r="U816" s="147"/>
      <c r="V816" s="147"/>
      <c r="W816" s="147"/>
      <c r="X816" s="147"/>
      <c r="Y816" s="147"/>
      <c r="Z816" s="147"/>
      <c r="AA816" s="147"/>
      <c r="AB816" s="147"/>
      <c r="AC816" s="147"/>
      <c r="AD816" s="147"/>
      <c r="AE816" s="147"/>
      <c r="AF816" s="147"/>
      <c r="AG816" s="147"/>
      <c r="AH816" s="147"/>
      <c r="AI816" s="147"/>
      <c r="AJ816" s="147"/>
      <c r="AK816" s="147"/>
      <c r="AL816" s="147"/>
      <c r="AM816" s="151"/>
      <c r="AN816" s="147"/>
      <c r="AO816" s="147"/>
      <c r="AP816" s="147"/>
      <c r="AQ816" s="147"/>
      <c r="AR816" s="147"/>
      <c r="AS816" s="147"/>
      <c r="AT816" s="147"/>
      <c r="AU816" s="147"/>
      <c r="AV816" s="147"/>
      <c r="AW816" s="147"/>
      <c r="AX816" s="147"/>
      <c r="AY816" s="147"/>
      <c r="AZ816" s="147"/>
      <c r="BA816" s="147"/>
      <c r="BB816" s="147"/>
      <c r="BC816" s="147"/>
      <c r="BD816" s="147"/>
      <c r="BE816" s="147"/>
      <c r="BF816" s="147"/>
      <c r="BG816" s="147"/>
      <c r="BH816" s="147"/>
      <c r="BI816" s="147"/>
      <c r="BJ816" s="147"/>
      <c r="BK816" s="147"/>
      <c r="BL816" s="147"/>
      <c r="BM816" s="147"/>
      <c r="BN816" s="147"/>
      <c r="BO816" s="147"/>
      <c r="BP816" s="147"/>
      <c r="BQ816" s="147"/>
      <c r="BR816" s="147"/>
      <c r="BS816" s="147"/>
      <c r="BT816" s="147"/>
      <c r="BU816" s="147"/>
      <c r="BV816" s="147"/>
      <c r="BW816" s="147"/>
      <c r="BX816" s="147"/>
      <c r="BY816" s="147"/>
      <c r="BZ816" s="147"/>
      <c r="CA816" s="147"/>
      <c r="CB816" s="147"/>
      <c r="CC816" s="147"/>
      <c r="CD816" s="147"/>
      <c r="CE816" s="147"/>
      <c r="CF816" s="147"/>
      <c r="CG816" s="147"/>
      <c r="CH816" s="147"/>
      <c r="CI816" s="147"/>
      <c r="CJ816" s="147"/>
      <c r="CK816" s="147"/>
    </row>
    <row r="817" spans="1:89">
      <c r="A817" s="157"/>
      <c r="F817" s="3"/>
      <c r="G817" s="3"/>
      <c r="L817" s="157"/>
      <c r="M817" s="157"/>
      <c r="O817" s="147"/>
      <c r="P817" s="147"/>
      <c r="Q817" s="147"/>
      <c r="R817" s="147"/>
      <c r="S817" s="147"/>
      <c r="T817" s="147"/>
      <c r="U817" s="147"/>
      <c r="V817" s="147"/>
      <c r="W817" s="147"/>
      <c r="X817" s="147"/>
      <c r="Y817" s="147"/>
      <c r="Z817" s="147"/>
      <c r="AA817" s="147"/>
      <c r="AB817" s="147"/>
      <c r="AC817" s="147"/>
      <c r="AD817" s="147"/>
      <c r="AE817" s="147"/>
      <c r="AF817" s="147"/>
      <c r="AG817" s="147"/>
      <c r="AH817" s="147"/>
      <c r="AI817" s="147"/>
      <c r="AJ817" s="147"/>
      <c r="AK817" s="147"/>
      <c r="AL817" s="147"/>
      <c r="AM817" s="151"/>
      <c r="AN817" s="147"/>
      <c r="AO817" s="147"/>
      <c r="AP817" s="147"/>
      <c r="AQ817" s="147"/>
      <c r="AR817" s="147"/>
      <c r="AS817" s="147"/>
      <c r="AT817" s="147"/>
      <c r="AU817" s="147"/>
      <c r="AV817" s="147"/>
      <c r="AW817" s="147"/>
      <c r="AX817" s="147"/>
      <c r="AY817" s="147"/>
      <c r="AZ817" s="147"/>
      <c r="BA817" s="147"/>
      <c r="BB817" s="147"/>
      <c r="BC817" s="147"/>
      <c r="BD817" s="147"/>
      <c r="BE817" s="147"/>
      <c r="BF817" s="147"/>
      <c r="BG817" s="147"/>
      <c r="BH817" s="147"/>
      <c r="BI817" s="147"/>
      <c r="BJ817" s="147"/>
      <c r="BK817" s="147"/>
      <c r="BL817" s="147"/>
      <c r="BM817" s="147"/>
      <c r="BN817" s="147"/>
      <c r="BO817" s="147"/>
      <c r="BP817" s="147"/>
      <c r="BQ817" s="147"/>
      <c r="BR817" s="147"/>
      <c r="BS817" s="147"/>
      <c r="BT817" s="147"/>
      <c r="BU817" s="147"/>
      <c r="BV817" s="147"/>
      <c r="BW817" s="147"/>
      <c r="BX817" s="147"/>
      <c r="BY817" s="147"/>
      <c r="BZ817" s="147"/>
      <c r="CA817" s="147"/>
      <c r="CB817" s="147"/>
      <c r="CC817" s="147"/>
      <c r="CD817" s="147"/>
      <c r="CE817" s="147"/>
      <c r="CF817" s="147"/>
      <c r="CG817" s="147"/>
      <c r="CH817" s="147"/>
      <c r="CI817" s="147"/>
      <c r="CJ817" s="147"/>
      <c r="CK817" s="147"/>
    </row>
    <row r="818" spans="1:89">
      <c r="A818" s="157"/>
      <c r="F818" s="3"/>
      <c r="G818" s="3"/>
      <c r="L818" s="157"/>
      <c r="M818" s="157"/>
      <c r="O818" s="147"/>
      <c r="P818" s="147"/>
      <c r="Q818" s="147"/>
      <c r="R818" s="147"/>
      <c r="S818" s="147"/>
      <c r="T818" s="147"/>
      <c r="U818" s="147"/>
      <c r="V818" s="147"/>
      <c r="W818" s="147"/>
      <c r="X818" s="147"/>
      <c r="Y818" s="147"/>
      <c r="Z818" s="147"/>
      <c r="AA818" s="147"/>
      <c r="AB818" s="147"/>
      <c r="AC818" s="147"/>
      <c r="AD818" s="147"/>
      <c r="AE818" s="147"/>
      <c r="AF818" s="147"/>
      <c r="AG818" s="147"/>
      <c r="AH818" s="147"/>
      <c r="AI818" s="147"/>
      <c r="AJ818" s="147"/>
      <c r="AK818" s="147"/>
      <c r="AL818" s="147"/>
      <c r="AM818" s="151"/>
      <c r="AN818" s="147"/>
      <c r="AO818" s="147"/>
      <c r="AP818" s="147"/>
      <c r="AQ818" s="147"/>
      <c r="AR818" s="147"/>
      <c r="AS818" s="147"/>
      <c r="AT818" s="147"/>
      <c r="AU818" s="147"/>
      <c r="AV818" s="147"/>
      <c r="AW818" s="147"/>
      <c r="AX818" s="147"/>
      <c r="AY818" s="147"/>
      <c r="AZ818" s="147"/>
      <c r="BA818" s="147"/>
      <c r="BB818" s="147"/>
      <c r="BC818" s="147"/>
      <c r="BD818" s="147"/>
      <c r="BE818" s="147"/>
      <c r="BF818" s="147"/>
      <c r="BG818" s="147"/>
      <c r="BH818" s="147"/>
      <c r="BI818" s="147"/>
      <c r="BJ818" s="147"/>
      <c r="BK818" s="147"/>
      <c r="BL818" s="147"/>
      <c r="BM818" s="147"/>
      <c r="BN818" s="147"/>
      <c r="BO818" s="147"/>
      <c r="BP818" s="147"/>
      <c r="BQ818" s="147"/>
      <c r="BR818" s="147"/>
      <c r="BS818" s="147"/>
      <c r="BT818" s="147"/>
      <c r="BU818" s="147"/>
      <c r="BV818" s="147"/>
      <c r="BW818" s="147"/>
      <c r="BX818" s="147"/>
      <c r="BY818" s="147"/>
      <c r="BZ818" s="147"/>
      <c r="CA818" s="147"/>
      <c r="CB818" s="147"/>
      <c r="CC818" s="147"/>
      <c r="CD818" s="147"/>
      <c r="CE818" s="147"/>
      <c r="CF818" s="147"/>
      <c r="CG818" s="147"/>
      <c r="CH818" s="147"/>
      <c r="CI818" s="147"/>
      <c r="CJ818" s="147"/>
      <c r="CK818" s="147"/>
    </row>
    <row r="819" spans="1:89">
      <c r="A819" s="157"/>
      <c r="F819" s="3"/>
      <c r="G819" s="3"/>
      <c r="L819" s="157"/>
      <c r="M819" s="157"/>
      <c r="O819" s="147"/>
      <c r="P819" s="147"/>
      <c r="Q819" s="147"/>
      <c r="R819" s="147"/>
      <c r="S819" s="147"/>
      <c r="T819" s="147"/>
      <c r="U819" s="147"/>
      <c r="V819" s="147"/>
      <c r="W819" s="147"/>
      <c r="X819" s="147"/>
      <c r="Y819" s="147"/>
      <c r="Z819" s="147"/>
      <c r="AA819" s="147"/>
      <c r="AB819" s="147"/>
      <c r="AC819" s="147"/>
      <c r="AD819" s="147"/>
      <c r="AE819" s="147"/>
      <c r="AF819" s="147"/>
      <c r="AG819" s="147"/>
      <c r="AH819" s="147"/>
      <c r="AI819" s="147"/>
      <c r="AJ819" s="147"/>
      <c r="AK819" s="147"/>
      <c r="AL819" s="147"/>
      <c r="AM819" s="151"/>
      <c r="AN819" s="147"/>
      <c r="AO819" s="147"/>
      <c r="AP819" s="147"/>
      <c r="AQ819" s="147"/>
      <c r="AR819" s="147"/>
      <c r="AS819" s="147"/>
      <c r="AT819" s="147"/>
      <c r="AU819" s="147"/>
      <c r="AV819" s="147"/>
      <c r="AW819" s="147"/>
      <c r="AX819" s="147"/>
      <c r="AY819" s="147"/>
      <c r="AZ819" s="147"/>
      <c r="BA819" s="147"/>
      <c r="BB819" s="147"/>
      <c r="BC819" s="147"/>
      <c r="BD819" s="147"/>
      <c r="BE819" s="147"/>
      <c r="BF819" s="147"/>
      <c r="BG819" s="147"/>
      <c r="BH819" s="147"/>
      <c r="BI819" s="147"/>
      <c r="BJ819" s="147"/>
      <c r="BK819" s="147"/>
      <c r="BL819" s="147"/>
      <c r="BM819" s="147"/>
      <c r="BN819" s="147"/>
      <c r="BO819" s="147"/>
      <c r="BP819" s="147"/>
      <c r="BQ819" s="147"/>
      <c r="BR819" s="147"/>
      <c r="BS819" s="147"/>
      <c r="BT819" s="147"/>
      <c r="BU819" s="147"/>
      <c r="BV819" s="147"/>
      <c r="BW819" s="147"/>
      <c r="BX819" s="147"/>
      <c r="BY819" s="147"/>
      <c r="BZ819" s="147"/>
      <c r="CA819" s="147"/>
      <c r="CB819" s="147"/>
      <c r="CC819" s="147"/>
      <c r="CD819" s="147"/>
      <c r="CE819" s="147"/>
      <c r="CF819" s="147"/>
      <c r="CG819" s="147"/>
      <c r="CH819" s="147"/>
      <c r="CI819" s="147"/>
      <c r="CJ819" s="147"/>
      <c r="CK819" s="147"/>
    </row>
    <row r="820" spans="1:89">
      <c r="A820" s="157"/>
      <c r="F820" s="3"/>
      <c r="G820" s="3"/>
      <c r="L820" s="157"/>
      <c r="M820" s="157"/>
      <c r="O820" s="147"/>
      <c r="P820" s="147"/>
      <c r="Q820" s="147"/>
      <c r="R820" s="147"/>
      <c r="S820" s="147"/>
      <c r="T820" s="147"/>
      <c r="U820" s="147"/>
      <c r="V820" s="147"/>
      <c r="W820" s="147"/>
      <c r="X820" s="147"/>
      <c r="Y820" s="147"/>
      <c r="Z820" s="147"/>
      <c r="AA820" s="147"/>
      <c r="AB820" s="147"/>
      <c r="AC820" s="147"/>
      <c r="AD820" s="147"/>
      <c r="AE820" s="147"/>
      <c r="AF820" s="147"/>
      <c r="AG820" s="147"/>
      <c r="AH820" s="147"/>
      <c r="AI820" s="147"/>
      <c r="AJ820" s="147"/>
      <c r="AK820" s="147"/>
      <c r="AL820" s="147"/>
      <c r="AM820" s="151"/>
      <c r="AN820" s="147"/>
      <c r="AO820" s="147"/>
      <c r="AP820" s="147"/>
      <c r="AQ820" s="147"/>
      <c r="AR820" s="147"/>
      <c r="AS820" s="147"/>
      <c r="AT820" s="147"/>
      <c r="AU820" s="147"/>
      <c r="AV820" s="147"/>
      <c r="AW820" s="147"/>
      <c r="AX820" s="147"/>
      <c r="AY820" s="147"/>
      <c r="AZ820" s="147"/>
      <c r="BA820" s="147"/>
      <c r="BB820" s="147"/>
      <c r="BC820" s="147"/>
      <c r="BD820" s="147"/>
      <c r="BE820" s="147"/>
      <c r="BF820" s="147"/>
      <c r="BG820" s="147"/>
      <c r="BH820" s="147"/>
      <c r="BI820" s="147"/>
      <c r="BJ820" s="147"/>
      <c r="BK820" s="147"/>
      <c r="BL820" s="147"/>
      <c r="BM820" s="147"/>
      <c r="BN820" s="147"/>
      <c r="BO820" s="147"/>
      <c r="BP820" s="147"/>
      <c r="BQ820" s="147"/>
      <c r="BR820" s="147"/>
      <c r="BS820" s="147"/>
      <c r="BT820" s="147"/>
      <c r="BU820" s="147"/>
      <c r="BV820" s="147"/>
      <c r="BW820" s="147"/>
      <c r="BX820" s="147"/>
      <c r="BY820" s="147"/>
      <c r="BZ820" s="147"/>
      <c r="CA820" s="147"/>
      <c r="CB820" s="147"/>
      <c r="CC820" s="147"/>
      <c r="CD820" s="147"/>
      <c r="CE820" s="147"/>
      <c r="CF820" s="147"/>
      <c r="CG820" s="147"/>
      <c r="CH820" s="147"/>
      <c r="CI820" s="147"/>
      <c r="CJ820" s="147"/>
      <c r="CK820" s="147"/>
    </row>
    <row r="821" spans="1:89">
      <c r="A821" s="157"/>
      <c r="F821" s="3"/>
      <c r="G821" s="3"/>
      <c r="L821" s="157"/>
      <c r="M821" s="157"/>
      <c r="O821" s="147"/>
      <c r="P821" s="147"/>
      <c r="Q821" s="147"/>
      <c r="R821" s="147"/>
      <c r="S821" s="147"/>
      <c r="T821" s="147"/>
      <c r="U821" s="147"/>
      <c r="V821" s="147"/>
      <c r="W821" s="147"/>
      <c r="X821" s="147"/>
      <c r="Y821" s="147"/>
      <c r="Z821" s="147"/>
      <c r="AA821" s="147"/>
      <c r="AB821" s="147"/>
      <c r="AC821" s="147"/>
      <c r="AD821" s="147"/>
      <c r="AE821" s="147"/>
      <c r="AF821" s="147"/>
      <c r="AG821" s="147"/>
      <c r="AH821" s="147"/>
      <c r="AI821" s="147"/>
      <c r="AJ821" s="147"/>
      <c r="AK821" s="147"/>
      <c r="AL821" s="147"/>
      <c r="AM821" s="151"/>
      <c r="AN821" s="147"/>
      <c r="AO821" s="147"/>
      <c r="AP821" s="147"/>
      <c r="AQ821" s="147"/>
      <c r="AR821" s="147"/>
      <c r="AS821" s="147"/>
      <c r="AT821" s="147"/>
      <c r="AU821" s="147"/>
      <c r="AV821" s="147"/>
      <c r="AW821" s="147"/>
      <c r="AX821" s="147"/>
      <c r="AY821" s="147"/>
      <c r="AZ821" s="147"/>
      <c r="BA821" s="147"/>
      <c r="BB821" s="147"/>
      <c r="BC821" s="147"/>
      <c r="BD821" s="147"/>
      <c r="BE821" s="147"/>
      <c r="BF821" s="147"/>
      <c r="BG821" s="147"/>
      <c r="BH821" s="147"/>
      <c r="BI821" s="147"/>
      <c r="BJ821" s="147"/>
      <c r="BK821" s="147"/>
      <c r="BL821" s="147"/>
      <c r="BM821" s="147"/>
      <c r="BN821" s="147"/>
      <c r="BO821" s="147"/>
      <c r="BP821" s="147"/>
      <c r="BQ821" s="147"/>
      <c r="BR821" s="147"/>
      <c r="BS821" s="147"/>
      <c r="BT821" s="147"/>
      <c r="BU821" s="147"/>
      <c r="BV821" s="147"/>
      <c r="BW821" s="147"/>
      <c r="BX821" s="147"/>
      <c r="BY821" s="147"/>
      <c r="BZ821" s="147"/>
      <c r="CA821" s="147"/>
      <c r="CB821" s="147"/>
      <c r="CC821" s="147"/>
      <c r="CD821" s="147"/>
      <c r="CE821" s="147"/>
      <c r="CF821" s="147"/>
      <c r="CG821" s="147"/>
      <c r="CH821" s="147"/>
      <c r="CI821" s="147"/>
      <c r="CJ821" s="147"/>
      <c r="CK821" s="147"/>
    </row>
    <row r="822" spans="1:89">
      <c r="A822" s="157"/>
      <c r="F822" s="3"/>
      <c r="G822" s="3"/>
      <c r="L822" s="157"/>
      <c r="M822" s="157"/>
      <c r="O822" s="147"/>
      <c r="P822" s="147"/>
      <c r="Q822" s="147"/>
      <c r="R822" s="147"/>
      <c r="S822" s="147"/>
      <c r="T822" s="147"/>
      <c r="U822" s="147"/>
      <c r="V822" s="147"/>
      <c r="W822" s="147"/>
      <c r="X822" s="147"/>
      <c r="Y822" s="147"/>
      <c r="Z822" s="147"/>
      <c r="AA822" s="147"/>
      <c r="AB822" s="147"/>
      <c r="AC822" s="147"/>
      <c r="AD822" s="147"/>
      <c r="AE822" s="147"/>
      <c r="AF822" s="147"/>
      <c r="AG822" s="147"/>
      <c r="AH822" s="147"/>
      <c r="AI822" s="147"/>
      <c r="AJ822" s="147"/>
      <c r="AK822" s="147"/>
      <c r="AL822" s="147"/>
      <c r="AM822" s="151"/>
      <c r="AN822" s="147"/>
      <c r="AO822" s="147"/>
      <c r="AP822" s="147"/>
      <c r="AQ822" s="147"/>
      <c r="AR822" s="147"/>
      <c r="AS822" s="147"/>
      <c r="AT822" s="147"/>
      <c r="AU822" s="147"/>
      <c r="AV822" s="147"/>
      <c r="AW822" s="147"/>
      <c r="AX822" s="147"/>
      <c r="AY822" s="147"/>
      <c r="AZ822" s="147"/>
      <c r="BA822" s="147"/>
      <c r="BB822" s="147"/>
      <c r="BC822" s="147"/>
      <c r="BD822" s="147"/>
      <c r="BE822" s="147"/>
      <c r="BF822" s="147"/>
      <c r="BG822" s="147"/>
      <c r="BH822" s="147"/>
      <c r="BI822" s="147"/>
      <c r="BJ822" s="147"/>
      <c r="BK822" s="147"/>
      <c r="BL822" s="147"/>
      <c r="BM822" s="147"/>
      <c r="BN822" s="147"/>
      <c r="BO822" s="147"/>
      <c r="BP822" s="147"/>
      <c r="BQ822" s="147"/>
      <c r="BR822" s="147"/>
      <c r="BS822" s="147"/>
      <c r="BT822" s="147"/>
      <c r="BU822" s="147"/>
      <c r="BV822" s="147"/>
      <c r="BW822" s="147"/>
      <c r="BX822" s="147"/>
      <c r="BY822" s="147"/>
      <c r="BZ822" s="147"/>
      <c r="CA822" s="147"/>
      <c r="CB822" s="147"/>
      <c r="CC822" s="147"/>
      <c r="CD822" s="147"/>
      <c r="CE822" s="147"/>
      <c r="CF822" s="147"/>
      <c r="CG822" s="147"/>
      <c r="CH822" s="147"/>
      <c r="CI822" s="147"/>
      <c r="CJ822" s="147"/>
      <c r="CK822" s="147"/>
    </row>
    <row r="823" spans="1:89">
      <c r="A823" s="157"/>
      <c r="F823" s="3"/>
      <c r="G823" s="3"/>
      <c r="L823" s="157"/>
      <c r="M823" s="157"/>
      <c r="O823" s="147"/>
      <c r="P823" s="147"/>
      <c r="Q823" s="147"/>
      <c r="R823" s="147"/>
      <c r="S823" s="147"/>
      <c r="T823" s="147"/>
      <c r="U823" s="147"/>
      <c r="V823" s="147"/>
      <c r="W823" s="147"/>
      <c r="X823" s="147"/>
      <c r="Y823" s="147"/>
      <c r="Z823" s="147"/>
      <c r="AA823" s="147"/>
      <c r="AB823" s="147"/>
      <c r="AC823" s="147"/>
      <c r="AD823" s="147"/>
      <c r="AE823" s="147"/>
      <c r="AF823" s="147"/>
      <c r="AG823" s="147"/>
      <c r="AH823" s="147"/>
      <c r="AI823" s="147"/>
      <c r="AJ823" s="147"/>
      <c r="AK823" s="147"/>
      <c r="AL823" s="147"/>
      <c r="AM823" s="151"/>
      <c r="AN823" s="147"/>
      <c r="AO823" s="147"/>
      <c r="AP823" s="147"/>
      <c r="AQ823" s="147"/>
      <c r="AR823" s="147"/>
      <c r="AS823" s="147"/>
      <c r="AT823" s="147"/>
      <c r="AU823" s="147"/>
      <c r="AV823" s="147"/>
      <c r="AW823" s="147"/>
      <c r="AX823" s="147"/>
      <c r="AY823" s="147"/>
      <c r="AZ823" s="147"/>
      <c r="BA823" s="147"/>
      <c r="BB823" s="147"/>
      <c r="BC823" s="147"/>
      <c r="BD823" s="147"/>
      <c r="BE823" s="147"/>
      <c r="BF823" s="147"/>
      <c r="BG823" s="147"/>
      <c r="BH823" s="147"/>
      <c r="BI823" s="147"/>
      <c r="BJ823" s="147"/>
      <c r="BK823" s="147"/>
      <c r="BL823" s="147"/>
      <c r="BM823" s="147"/>
      <c r="BN823" s="147"/>
      <c r="BO823" s="147"/>
      <c r="BP823" s="147"/>
      <c r="BQ823" s="147"/>
      <c r="BR823" s="147"/>
      <c r="BS823" s="147"/>
      <c r="BT823" s="147"/>
      <c r="BU823" s="147"/>
      <c r="BV823" s="147"/>
      <c r="BW823" s="147"/>
      <c r="BX823" s="147"/>
      <c r="BY823" s="147"/>
      <c r="BZ823" s="147"/>
      <c r="CA823" s="147"/>
      <c r="CB823" s="147"/>
      <c r="CC823" s="147"/>
      <c r="CD823" s="147"/>
      <c r="CE823" s="147"/>
      <c r="CF823" s="147"/>
      <c r="CG823" s="147"/>
      <c r="CH823" s="147"/>
      <c r="CI823" s="147"/>
      <c r="CJ823" s="147"/>
      <c r="CK823" s="147"/>
    </row>
    <row r="824" spans="1:89">
      <c r="A824" s="157"/>
      <c r="F824" s="3"/>
      <c r="G824" s="3"/>
      <c r="L824" s="157"/>
      <c r="M824" s="157"/>
      <c r="O824" s="147"/>
      <c r="P824" s="147"/>
      <c r="Q824" s="147"/>
      <c r="R824" s="147"/>
      <c r="S824" s="147"/>
      <c r="T824" s="147"/>
      <c r="U824" s="147"/>
      <c r="V824" s="147"/>
      <c r="W824" s="147"/>
      <c r="X824" s="147"/>
      <c r="Y824" s="147"/>
      <c r="Z824" s="147"/>
      <c r="AA824" s="147"/>
      <c r="AB824" s="147"/>
      <c r="AC824" s="147"/>
      <c r="AD824" s="147"/>
      <c r="AE824" s="147"/>
      <c r="AF824" s="147"/>
      <c r="AG824" s="147"/>
      <c r="AH824" s="147"/>
      <c r="AI824" s="147"/>
      <c r="AJ824" s="147"/>
      <c r="AK824" s="147"/>
      <c r="AL824" s="147"/>
      <c r="AM824" s="151"/>
      <c r="AN824" s="147"/>
      <c r="AO824" s="147"/>
      <c r="AP824" s="147"/>
      <c r="AQ824" s="147"/>
      <c r="AR824" s="147"/>
      <c r="AS824" s="147"/>
      <c r="AT824" s="147"/>
      <c r="AU824" s="147"/>
      <c r="AV824" s="147"/>
      <c r="AW824" s="147"/>
      <c r="AX824" s="147"/>
      <c r="AY824" s="147"/>
      <c r="AZ824" s="147"/>
      <c r="BA824" s="147"/>
      <c r="BB824" s="147"/>
      <c r="BC824" s="147"/>
      <c r="BD824" s="147"/>
      <c r="BE824" s="147"/>
      <c r="BF824" s="147"/>
      <c r="BG824" s="147"/>
      <c r="BH824" s="147"/>
      <c r="BI824" s="147"/>
      <c r="BJ824" s="147"/>
      <c r="BK824" s="147"/>
      <c r="BL824" s="147"/>
      <c r="BM824" s="147"/>
      <c r="BN824" s="147"/>
      <c r="BO824" s="147"/>
      <c r="BP824" s="147"/>
      <c r="BQ824" s="147"/>
      <c r="BR824" s="147"/>
      <c r="BS824" s="147"/>
      <c r="BT824" s="147"/>
      <c r="BU824" s="147"/>
      <c r="BV824" s="147"/>
      <c r="BW824" s="147"/>
      <c r="BX824" s="147"/>
      <c r="BY824" s="147"/>
      <c r="BZ824" s="147"/>
      <c r="CA824" s="147"/>
      <c r="CB824" s="147"/>
      <c r="CC824" s="147"/>
      <c r="CD824" s="147"/>
      <c r="CE824" s="147"/>
      <c r="CF824" s="147"/>
      <c r="CG824" s="147"/>
      <c r="CH824" s="147"/>
      <c r="CI824" s="147"/>
      <c r="CJ824" s="147"/>
      <c r="CK824" s="147"/>
    </row>
    <row r="825" spans="1:89">
      <c r="A825" s="157"/>
      <c r="F825" s="3"/>
      <c r="G825" s="3"/>
      <c r="L825" s="157"/>
      <c r="M825" s="157"/>
      <c r="O825" s="147"/>
      <c r="P825" s="147"/>
      <c r="Q825" s="147"/>
      <c r="R825" s="147"/>
      <c r="S825" s="147"/>
      <c r="T825" s="147"/>
      <c r="U825" s="147"/>
      <c r="V825" s="147"/>
      <c r="W825" s="147"/>
      <c r="X825" s="147"/>
      <c r="Y825" s="147"/>
      <c r="Z825" s="147"/>
      <c r="AA825" s="147"/>
      <c r="AB825" s="147"/>
      <c r="AC825" s="147"/>
      <c r="AD825" s="147"/>
      <c r="AE825" s="147"/>
      <c r="AF825" s="147"/>
      <c r="AG825" s="147"/>
      <c r="AH825" s="147"/>
      <c r="AI825" s="147"/>
      <c r="AJ825" s="147"/>
      <c r="AK825" s="147"/>
      <c r="AL825" s="147"/>
      <c r="AM825" s="151"/>
      <c r="AN825" s="147"/>
      <c r="AO825" s="147"/>
      <c r="AP825" s="147"/>
      <c r="AQ825" s="147"/>
      <c r="AR825" s="147"/>
      <c r="AS825" s="147"/>
      <c r="AT825" s="147"/>
      <c r="AU825" s="147"/>
      <c r="AV825" s="147"/>
      <c r="AW825" s="147"/>
      <c r="AX825" s="147"/>
      <c r="AY825" s="147"/>
      <c r="AZ825" s="147"/>
      <c r="BA825" s="147"/>
      <c r="BB825" s="147"/>
      <c r="BC825" s="147"/>
      <c r="BD825" s="147"/>
      <c r="BE825" s="147"/>
      <c r="BF825" s="147"/>
      <c r="BG825" s="147"/>
      <c r="BH825" s="147"/>
      <c r="BI825" s="147"/>
      <c r="BJ825" s="147"/>
      <c r="BK825" s="147"/>
      <c r="BL825" s="147"/>
      <c r="BM825" s="147"/>
      <c r="BN825" s="147"/>
      <c r="BO825" s="147"/>
      <c r="BP825" s="147"/>
      <c r="BQ825" s="147"/>
      <c r="BR825" s="147"/>
      <c r="BS825" s="147"/>
      <c r="BT825" s="147"/>
      <c r="BU825" s="147"/>
      <c r="BV825" s="147"/>
      <c r="BW825" s="147"/>
      <c r="BX825" s="147"/>
      <c r="BY825" s="147"/>
      <c r="BZ825" s="147"/>
      <c r="CA825" s="147"/>
      <c r="CB825" s="147"/>
      <c r="CC825" s="147"/>
      <c r="CD825" s="147"/>
      <c r="CE825" s="147"/>
      <c r="CF825" s="147"/>
      <c r="CG825" s="147"/>
      <c r="CH825" s="147"/>
      <c r="CI825" s="147"/>
      <c r="CJ825" s="147"/>
      <c r="CK825" s="147"/>
    </row>
    <row r="826" spans="1:89">
      <c r="A826" s="157"/>
      <c r="F826" s="3"/>
      <c r="G826" s="3"/>
      <c r="L826" s="157"/>
      <c r="M826" s="157"/>
      <c r="O826" s="147"/>
      <c r="P826" s="147"/>
      <c r="Q826" s="147"/>
      <c r="R826" s="147"/>
      <c r="S826" s="147"/>
      <c r="T826" s="147"/>
      <c r="U826" s="147"/>
      <c r="V826" s="147"/>
      <c r="W826" s="147"/>
      <c r="X826" s="147"/>
      <c r="Y826" s="147"/>
      <c r="Z826" s="147"/>
      <c r="AA826" s="147"/>
      <c r="AB826" s="147"/>
      <c r="AC826" s="147"/>
      <c r="AD826" s="147"/>
      <c r="AE826" s="147"/>
      <c r="AF826" s="147"/>
      <c r="AG826" s="147"/>
      <c r="AH826" s="147"/>
      <c r="AI826" s="147"/>
      <c r="AJ826" s="147"/>
      <c r="AK826" s="147"/>
      <c r="AL826" s="147"/>
      <c r="AM826" s="151"/>
      <c r="AN826" s="147"/>
      <c r="AO826" s="147"/>
      <c r="AP826" s="147"/>
      <c r="AQ826" s="147"/>
      <c r="AR826" s="147"/>
      <c r="AS826" s="147"/>
      <c r="AT826" s="147"/>
      <c r="AU826" s="147"/>
      <c r="AV826" s="147"/>
      <c r="AW826" s="147"/>
      <c r="AX826" s="147"/>
      <c r="AY826" s="147"/>
      <c r="AZ826" s="147"/>
      <c r="BA826" s="147"/>
      <c r="BB826" s="147"/>
      <c r="BC826" s="147"/>
      <c r="BD826" s="147"/>
      <c r="BE826" s="147"/>
      <c r="BF826" s="147"/>
      <c r="BG826" s="147"/>
      <c r="BH826" s="147"/>
      <c r="BI826" s="147"/>
      <c r="BJ826" s="147"/>
      <c r="BK826" s="147"/>
      <c r="BL826" s="147"/>
      <c r="BM826" s="147"/>
      <c r="BN826" s="147"/>
      <c r="BO826" s="147"/>
      <c r="BP826" s="147"/>
      <c r="BQ826" s="147"/>
      <c r="BR826" s="147"/>
      <c r="BS826" s="147"/>
      <c r="BT826" s="147"/>
      <c r="BU826" s="147"/>
      <c r="BV826" s="147"/>
      <c r="BW826" s="147"/>
      <c r="BX826" s="147"/>
      <c r="BY826" s="147"/>
      <c r="BZ826" s="147"/>
      <c r="CA826" s="147"/>
      <c r="CB826" s="147"/>
      <c r="CC826" s="147"/>
      <c r="CD826" s="147"/>
      <c r="CE826" s="147"/>
      <c r="CF826" s="147"/>
      <c r="CG826" s="147"/>
      <c r="CH826" s="147"/>
      <c r="CI826" s="147"/>
      <c r="CJ826" s="147"/>
      <c r="CK826" s="147"/>
    </row>
    <row r="827" spans="1:89">
      <c r="A827" s="157"/>
      <c r="F827" s="3"/>
      <c r="G827" s="3"/>
      <c r="L827" s="157"/>
      <c r="M827" s="157"/>
      <c r="O827" s="147"/>
      <c r="P827" s="147"/>
      <c r="Q827" s="147"/>
      <c r="R827" s="147"/>
      <c r="S827" s="147"/>
      <c r="T827" s="147"/>
      <c r="U827" s="147"/>
      <c r="V827" s="147"/>
      <c r="W827" s="147"/>
      <c r="X827" s="147"/>
      <c r="Y827" s="147"/>
      <c r="Z827" s="147"/>
      <c r="AA827" s="147"/>
      <c r="AB827" s="147"/>
      <c r="AC827" s="147"/>
      <c r="AD827" s="147"/>
      <c r="AE827" s="147"/>
      <c r="AF827" s="147"/>
      <c r="AG827" s="147"/>
      <c r="AH827" s="147"/>
      <c r="AI827" s="147"/>
      <c r="AJ827" s="147"/>
      <c r="AK827" s="147"/>
      <c r="AL827" s="147"/>
      <c r="AM827" s="151"/>
      <c r="AN827" s="147"/>
      <c r="AO827" s="147"/>
      <c r="AP827" s="147"/>
      <c r="AQ827" s="147"/>
      <c r="AR827" s="147"/>
      <c r="AS827" s="147"/>
      <c r="AT827" s="147"/>
      <c r="AU827" s="147"/>
      <c r="AV827" s="147"/>
      <c r="AW827" s="147"/>
      <c r="AX827" s="147"/>
      <c r="AY827" s="147"/>
      <c r="AZ827" s="147"/>
      <c r="BA827" s="147"/>
      <c r="BB827" s="147"/>
      <c r="BC827" s="147"/>
      <c r="BD827" s="147"/>
      <c r="BE827" s="147"/>
      <c r="BF827" s="147"/>
      <c r="BG827" s="147"/>
      <c r="BH827" s="147"/>
      <c r="BI827" s="147"/>
      <c r="BJ827" s="147"/>
      <c r="BK827" s="147"/>
      <c r="BL827" s="147"/>
      <c r="BM827" s="147"/>
      <c r="BN827" s="147"/>
      <c r="BO827" s="147"/>
      <c r="BP827" s="147"/>
      <c r="BQ827" s="147"/>
      <c r="BR827" s="147"/>
      <c r="BS827" s="147"/>
      <c r="BT827" s="147"/>
      <c r="BU827" s="147"/>
      <c r="BV827" s="147"/>
      <c r="BW827" s="147"/>
      <c r="BX827" s="147"/>
      <c r="BY827" s="147"/>
      <c r="BZ827" s="147"/>
      <c r="CA827" s="147"/>
      <c r="CB827" s="147"/>
      <c r="CC827" s="147"/>
      <c r="CD827" s="147"/>
      <c r="CE827" s="147"/>
      <c r="CF827" s="147"/>
      <c r="CG827" s="147"/>
      <c r="CH827" s="147"/>
      <c r="CI827" s="147"/>
      <c r="CJ827" s="147"/>
      <c r="CK827" s="147"/>
    </row>
    <row r="828" spans="1:89">
      <c r="A828" s="157"/>
      <c r="F828" s="3"/>
      <c r="G828" s="3"/>
      <c r="L828" s="157"/>
      <c r="M828" s="157"/>
      <c r="O828" s="147"/>
      <c r="P828" s="147"/>
      <c r="Q828" s="147"/>
      <c r="R828" s="147"/>
      <c r="S828" s="147"/>
      <c r="T828" s="147"/>
      <c r="U828" s="147"/>
      <c r="V828" s="147"/>
      <c r="W828" s="147"/>
      <c r="X828" s="147"/>
      <c r="Y828" s="147"/>
      <c r="Z828" s="147"/>
      <c r="AA828" s="147"/>
      <c r="AB828" s="147"/>
      <c r="AC828" s="147"/>
      <c r="AD828" s="147"/>
      <c r="AE828" s="147"/>
      <c r="AF828" s="147"/>
      <c r="AG828" s="147"/>
      <c r="AH828" s="147"/>
      <c r="AI828" s="147"/>
      <c r="AJ828" s="147"/>
      <c r="AK828" s="147"/>
      <c r="AL828" s="147"/>
      <c r="AM828" s="151"/>
      <c r="AN828" s="147"/>
      <c r="AO828" s="147"/>
      <c r="AP828" s="147"/>
      <c r="AQ828" s="147"/>
      <c r="AR828" s="147"/>
      <c r="AS828" s="147"/>
      <c r="AT828" s="147"/>
      <c r="AU828" s="147"/>
      <c r="AV828" s="147"/>
      <c r="AW828" s="147"/>
      <c r="AX828" s="147"/>
      <c r="AY828" s="147"/>
      <c r="AZ828" s="147"/>
      <c r="BA828" s="147"/>
      <c r="BB828" s="147"/>
      <c r="BC828" s="147"/>
      <c r="BD828" s="147"/>
      <c r="BE828" s="147"/>
      <c r="BF828" s="147"/>
      <c r="BG828" s="147"/>
      <c r="BH828" s="147"/>
      <c r="BI828" s="147"/>
      <c r="BJ828" s="147"/>
      <c r="BK828" s="147"/>
      <c r="BL828" s="147"/>
      <c r="BM828" s="147"/>
      <c r="BN828" s="147"/>
      <c r="BO828" s="147"/>
      <c r="BP828" s="147"/>
      <c r="BQ828" s="147"/>
      <c r="BR828" s="147"/>
      <c r="BS828" s="147"/>
      <c r="BT828" s="147"/>
      <c r="BU828" s="147"/>
      <c r="BV828" s="147"/>
      <c r="BW828" s="147"/>
      <c r="BX828" s="147"/>
      <c r="BY828" s="147"/>
      <c r="BZ828" s="147"/>
      <c r="CA828" s="147"/>
      <c r="CB828" s="147"/>
      <c r="CC828" s="147"/>
      <c r="CD828" s="147"/>
      <c r="CE828" s="147"/>
      <c r="CF828" s="147"/>
      <c r="CG828" s="147"/>
      <c r="CH828" s="147"/>
      <c r="CI828" s="147"/>
      <c r="CJ828" s="147"/>
      <c r="CK828" s="147"/>
    </row>
    <row r="829" spans="1:89">
      <c r="A829" s="157"/>
      <c r="F829" s="3"/>
      <c r="G829" s="3"/>
      <c r="L829" s="157"/>
      <c r="M829" s="157"/>
      <c r="O829" s="147"/>
      <c r="P829" s="147"/>
      <c r="Q829" s="147"/>
      <c r="R829" s="147"/>
      <c r="S829" s="147"/>
      <c r="T829" s="147"/>
      <c r="U829" s="147"/>
      <c r="V829" s="147"/>
      <c r="W829" s="147"/>
      <c r="X829" s="147"/>
      <c r="Y829" s="147"/>
      <c r="Z829" s="147"/>
      <c r="AA829" s="147"/>
      <c r="AB829" s="147"/>
      <c r="AC829" s="147"/>
      <c r="AD829" s="147"/>
      <c r="AE829" s="147"/>
      <c r="AF829" s="147"/>
      <c r="AG829" s="147"/>
      <c r="AH829" s="147"/>
      <c r="AI829" s="147"/>
      <c r="AJ829" s="147"/>
      <c r="AK829" s="147"/>
      <c r="AL829" s="147"/>
      <c r="AM829" s="151"/>
      <c r="AN829" s="147"/>
      <c r="AO829" s="147"/>
      <c r="AP829" s="147"/>
      <c r="AQ829" s="147"/>
      <c r="AR829" s="147"/>
      <c r="AS829" s="147"/>
      <c r="AT829" s="147"/>
      <c r="AU829" s="147"/>
      <c r="AV829" s="147"/>
      <c r="AW829" s="147"/>
      <c r="AX829" s="147"/>
      <c r="AY829" s="147"/>
      <c r="AZ829" s="147"/>
      <c r="BA829" s="147"/>
      <c r="BB829" s="147"/>
      <c r="BC829" s="147"/>
      <c r="BD829" s="147"/>
      <c r="BE829" s="147"/>
      <c r="BF829" s="147"/>
      <c r="BG829" s="147"/>
      <c r="BH829" s="147"/>
      <c r="BI829" s="147"/>
      <c r="BJ829" s="147"/>
      <c r="BK829" s="147"/>
      <c r="BL829" s="147"/>
      <c r="BM829" s="147"/>
      <c r="BN829" s="147"/>
      <c r="BO829" s="147"/>
      <c r="BP829" s="147"/>
      <c r="BQ829" s="147"/>
      <c r="BR829" s="147"/>
      <c r="BS829" s="147"/>
      <c r="BT829" s="147"/>
      <c r="BU829" s="147"/>
      <c r="BV829" s="147"/>
      <c r="BW829" s="147"/>
      <c r="BX829" s="147"/>
      <c r="BY829" s="147"/>
      <c r="BZ829" s="147"/>
      <c r="CA829" s="147"/>
      <c r="CB829" s="147"/>
      <c r="CC829" s="147"/>
      <c r="CD829" s="147"/>
      <c r="CE829" s="147"/>
      <c r="CF829" s="147"/>
      <c r="CG829" s="147"/>
      <c r="CH829" s="147"/>
      <c r="CI829" s="147"/>
      <c r="CJ829" s="147"/>
      <c r="CK829" s="147"/>
    </row>
    <row r="830" spans="1:89">
      <c r="A830" s="157"/>
      <c r="F830" s="3"/>
      <c r="G830" s="3"/>
      <c r="L830" s="157"/>
      <c r="M830" s="157"/>
      <c r="O830" s="147"/>
      <c r="P830" s="147"/>
      <c r="Q830" s="147"/>
      <c r="R830" s="147"/>
      <c r="S830" s="147"/>
      <c r="T830" s="147"/>
      <c r="U830" s="147"/>
      <c r="V830" s="147"/>
      <c r="W830" s="147"/>
      <c r="X830" s="147"/>
      <c r="Y830" s="147"/>
      <c r="Z830" s="147"/>
      <c r="AA830" s="147"/>
      <c r="AB830" s="147"/>
      <c r="AC830" s="147"/>
      <c r="AD830" s="147"/>
      <c r="AE830" s="147"/>
      <c r="AF830" s="147"/>
      <c r="AG830" s="147"/>
      <c r="AH830" s="147"/>
      <c r="AI830" s="147"/>
      <c r="AJ830" s="147"/>
      <c r="AK830" s="147"/>
      <c r="AL830" s="147"/>
      <c r="AM830" s="151"/>
      <c r="AN830" s="147"/>
      <c r="AO830" s="147"/>
      <c r="AP830" s="147"/>
      <c r="AQ830" s="147"/>
      <c r="AR830" s="147"/>
      <c r="AS830" s="147"/>
      <c r="AT830" s="147"/>
      <c r="AU830" s="147"/>
      <c r="AV830" s="147"/>
      <c r="AW830" s="147"/>
      <c r="AX830" s="147"/>
      <c r="AY830" s="147"/>
      <c r="AZ830" s="147"/>
      <c r="BA830" s="147"/>
      <c r="BB830" s="147"/>
      <c r="BC830" s="147"/>
      <c r="BD830" s="147"/>
      <c r="BE830" s="147"/>
      <c r="BF830" s="147"/>
      <c r="BG830" s="147"/>
      <c r="BH830" s="147"/>
      <c r="BI830" s="147"/>
      <c r="BJ830" s="147"/>
      <c r="BK830" s="147"/>
      <c r="BL830" s="147"/>
      <c r="BM830" s="147"/>
      <c r="BN830" s="147"/>
      <c r="BO830" s="147"/>
      <c r="BP830" s="147"/>
      <c r="BQ830" s="147"/>
      <c r="BR830" s="147"/>
      <c r="BS830" s="147"/>
      <c r="BT830" s="147"/>
      <c r="BU830" s="147"/>
      <c r="BV830" s="147"/>
      <c r="BW830" s="147"/>
      <c r="BX830" s="147"/>
      <c r="BY830" s="147"/>
      <c r="BZ830" s="147"/>
      <c r="CA830" s="147"/>
      <c r="CB830" s="147"/>
      <c r="CC830" s="147"/>
      <c r="CD830" s="147"/>
      <c r="CE830" s="147"/>
      <c r="CF830" s="147"/>
      <c r="CG830" s="147"/>
      <c r="CH830" s="147"/>
      <c r="CI830" s="147"/>
      <c r="CJ830" s="147"/>
      <c r="CK830" s="147"/>
    </row>
    <row r="831" spans="1:89">
      <c r="A831" s="157"/>
      <c r="F831" s="3"/>
      <c r="G831" s="3"/>
      <c r="L831" s="157"/>
      <c r="M831" s="157"/>
      <c r="O831" s="147"/>
      <c r="P831" s="147"/>
      <c r="Q831" s="147"/>
      <c r="R831" s="147"/>
      <c r="S831" s="147"/>
      <c r="T831" s="147"/>
      <c r="U831" s="147"/>
      <c r="V831" s="147"/>
      <c r="W831" s="147"/>
      <c r="X831" s="147"/>
      <c r="Y831" s="147"/>
      <c r="Z831" s="147"/>
      <c r="AA831" s="147"/>
      <c r="AB831" s="147"/>
      <c r="AC831" s="147"/>
      <c r="AD831" s="147"/>
      <c r="AE831" s="147"/>
      <c r="AF831" s="147"/>
      <c r="AG831" s="147"/>
      <c r="AH831" s="147"/>
      <c r="AI831" s="147"/>
      <c r="AJ831" s="147"/>
      <c r="AK831" s="147"/>
      <c r="AL831" s="147"/>
      <c r="AM831" s="151"/>
      <c r="AN831" s="147"/>
      <c r="AO831" s="147"/>
      <c r="AP831" s="147"/>
      <c r="AQ831" s="147"/>
      <c r="AR831" s="147"/>
      <c r="AS831" s="147"/>
      <c r="AT831" s="147"/>
      <c r="AU831" s="147"/>
      <c r="AV831" s="147"/>
      <c r="AW831" s="147"/>
      <c r="AX831" s="147"/>
      <c r="AY831" s="147"/>
      <c r="AZ831" s="147"/>
      <c r="BA831" s="147"/>
      <c r="BB831" s="147"/>
      <c r="BC831" s="147"/>
      <c r="BD831" s="147"/>
      <c r="BE831" s="147"/>
      <c r="BF831" s="147"/>
      <c r="BG831" s="147"/>
      <c r="BH831" s="147"/>
      <c r="BI831" s="147"/>
      <c r="BJ831" s="147"/>
      <c r="BK831" s="147"/>
      <c r="BL831" s="147"/>
      <c r="BM831" s="147"/>
      <c r="BN831" s="147"/>
      <c r="BO831" s="147"/>
      <c r="BP831" s="147"/>
      <c r="BQ831" s="147"/>
      <c r="BR831" s="147"/>
      <c r="BS831" s="147"/>
      <c r="BT831" s="147"/>
      <c r="BU831" s="147"/>
      <c r="BV831" s="147"/>
      <c r="BW831" s="147"/>
      <c r="BX831" s="147"/>
      <c r="BY831" s="147"/>
      <c r="BZ831" s="147"/>
      <c r="CA831" s="147"/>
      <c r="CB831" s="147"/>
      <c r="CC831" s="147"/>
      <c r="CD831" s="147"/>
      <c r="CE831" s="147"/>
      <c r="CF831" s="147"/>
      <c r="CG831" s="147"/>
      <c r="CH831" s="147"/>
      <c r="CI831" s="147"/>
      <c r="CJ831" s="147"/>
      <c r="CK831" s="147"/>
    </row>
    <row r="832" spans="1:89">
      <c r="A832" s="157"/>
      <c r="F832" s="3"/>
      <c r="G832" s="3"/>
      <c r="L832" s="157"/>
      <c r="M832" s="157"/>
      <c r="O832" s="147"/>
      <c r="P832" s="147"/>
      <c r="Q832" s="147"/>
      <c r="R832" s="147"/>
      <c r="S832" s="147"/>
      <c r="T832" s="147"/>
      <c r="U832" s="147"/>
      <c r="V832" s="147"/>
      <c r="W832" s="147"/>
      <c r="X832" s="147"/>
      <c r="Y832" s="147"/>
      <c r="Z832" s="147"/>
      <c r="AA832" s="147"/>
      <c r="AB832" s="147"/>
      <c r="AC832" s="147"/>
      <c r="AD832" s="147"/>
      <c r="AE832" s="147"/>
      <c r="AF832" s="147"/>
      <c r="AG832" s="147"/>
      <c r="AH832" s="147"/>
      <c r="AI832" s="147"/>
      <c r="AJ832" s="147"/>
      <c r="AK832" s="147"/>
      <c r="AL832" s="147"/>
      <c r="AM832" s="151"/>
      <c r="AN832" s="147"/>
      <c r="AO832" s="147"/>
      <c r="AP832" s="147"/>
      <c r="AQ832" s="147"/>
      <c r="AR832" s="147"/>
      <c r="AS832" s="147"/>
      <c r="AT832" s="147"/>
      <c r="AU832" s="147"/>
      <c r="AV832" s="147"/>
      <c r="AW832" s="147"/>
      <c r="AX832" s="147"/>
      <c r="AY832" s="147"/>
      <c r="AZ832" s="147"/>
      <c r="BA832" s="147"/>
      <c r="BB832" s="147"/>
      <c r="BC832" s="147"/>
      <c r="BD832" s="147"/>
      <c r="BE832" s="147"/>
      <c r="BF832" s="147"/>
      <c r="BG832" s="147"/>
      <c r="BH832" s="147"/>
      <c r="BI832" s="147"/>
      <c r="BJ832" s="147"/>
      <c r="BK832" s="147"/>
      <c r="BL832" s="147"/>
      <c r="BM832" s="147"/>
      <c r="BN832" s="147"/>
      <c r="BO832" s="147"/>
      <c r="BP832" s="147"/>
      <c r="BQ832" s="147"/>
      <c r="BR832" s="147"/>
      <c r="BS832" s="147"/>
      <c r="BT832" s="147"/>
      <c r="BU832" s="147"/>
      <c r="BV832" s="147"/>
      <c r="BW832" s="147"/>
      <c r="BX832" s="147"/>
      <c r="BY832" s="147"/>
      <c r="BZ832" s="147"/>
      <c r="CA832" s="147"/>
      <c r="CB832" s="147"/>
      <c r="CC832" s="147"/>
      <c r="CD832" s="147"/>
      <c r="CE832" s="147"/>
      <c r="CF832" s="147"/>
      <c r="CG832" s="147"/>
      <c r="CH832" s="147"/>
      <c r="CI832" s="147"/>
      <c r="CJ832" s="147"/>
      <c r="CK832" s="147"/>
    </row>
    <row r="833" spans="1:89">
      <c r="A833" s="157"/>
      <c r="F833" s="3"/>
      <c r="G833" s="3"/>
      <c r="L833" s="157"/>
      <c r="M833" s="157"/>
      <c r="O833" s="147"/>
      <c r="P833" s="147"/>
      <c r="Q833" s="147"/>
      <c r="R833" s="147"/>
      <c r="S833" s="147"/>
      <c r="T833" s="147"/>
      <c r="U833" s="147"/>
      <c r="V833" s="147"/>
      <c r="W833" s="147"/>
      <c r="X833" s="147"/>
      <c r="Y833" s="147"/>
      <c r="Z833" s="147"/>
      <c r="AA833" s="147"/>
      <c r="AB833" s="147"/>
      <c r="AC833" s="147"/>
      <c r="AD833" s="147"/>
      <c r="AE833" s="147"/>
      <c r="AF833" s="147"/>
      <c r="AG833" s="147"/>
      <c r="AH833" s="147"/>
      <c r="AI833" s="147"/>
      <c r="AJ833" s="147"/>
      <c r="AK833" s="147"/>
      <c r="AL833" s="147"/>
      <c r="AM833" s="151"/>
      <c r="AN833" s="147"/>
      <c r="AO833" s="147"/>
      <c r="AP833" s="147"/>
      <c r="AQ833" s="147"/>
      <c r="AR833" s="147"/>
      <c r="AS833" s="147"/>
      <c r="AT833" s="147"/>
      <c r="AU833" s="147"/>
      <c r="AV833" s="147"/>
      <c r="AW833" s="147"/>
      <c r="AX833" s="147"/>
      <c r="AY833" s="147"/>
      <c r="AZ833" s="147"/>
      <c r="BA833" s="147"/>
      <c r="BB833" s="147"/>
      <c r="BC833" s="147"/>
      <c r="BD833" s="147"/>
      <c r="BE833" s="147"/>
      <c r="BF833" s="147"/>
      <c r="BG833" s="147"/>
      <c r="BH833" s="147"/>
      <c r="BI833" s="147"/>
      <c r="BJ833" s="147"/>
      <c r="BK833" s="147"/>
      <c r="BL833" s="147"/>
      <c r="BM833" s="147"/>
      <c r="BN833" s="147"/>
      <c r="BO833" s="147"/>
      <c r="BP833" s="147"/>
      <c r="BQ833" s="147"/>
      <c r="BR833" s="147"/>
      <c r="BS833" s="147"/>
      <c r="BT833" s="147"/>
      <c r="BU833" s="147"/>
      <c r="BV833" s="147"/>
      <c r="BW833" s="147"/>
      <c r="BX833" s="147"/>
      <c r="BY833" s="147"/>
      <c r="BZ833" s="147"/>
      <c r="CA833" s="147"/>
      <c r="CB833" s="147"/>
      <c r="CC833" s="147"/>
      <c r="CD833" s="147"/>
      <c r="CE833" s="147"/>
      <c r="CF833" s="147"/>
      <c r="CG833" s="147"/>
      <c r="CH833" s="147"/>
      <c r="CI833" s="147"/>
      <c r="CJ833" s="147"/>
      <c r="CK833" s="147"/>
    </row>
    <row r="834" spans="1:89">
      <c r="A834" s="157"/>
      <c r="F834" s="3"/>
      <c r="G834" s="3"/>
      <c r="L834" s="157"/>
      <c r="M834" s="157"/>
      <c r="O834" s="147"/>
      <c r="P834" s="147"/>
      <c r="Q834" s="147"/>
      <c r="R834" s="147"/>
      <c r="S834" s="147"/>
      <c r="T834" s="147"/>
      <c r="U834" s="147"/>
      <c r="V834" s="147"/>
      <c r="W834" s="147"/>
      <c r="X834" s="147"/>
      <c r="Y834" s="147"/>
      <c r="Z834" s="147"/>
      <c r="AA834" s="147"/>
      <c r="AB834" s="147"/>
      <c r="AC834" s="147"/>
      <c r="AD834" s="147"/>
      <c r="AE834" s="147"/>
      <c r="AF834" s="147"/>
      <c r="AG834" s="147"/>
      <c r="AH834" s="147"/>
      <c r="AI834" s="147"/>
      <c r="AJ834" s="147"/>
      <c r="AK834" s="147"/>
      <c r="AL834" s="147"/>
      <c r="AM834" s="151"/>
      <c r="AN834" s="147"/>
      <c r="AO834" s="147"/>
      <c r="AP834" s="147"/>
      <c r="AQ834" s="147"/>
      <c r="AR834" s="147"/>
      <c r="AS834" s="147"/>
      <c r="AT834" s="147"/>
      <c r="AU834" s="147"/>
      <c r="AV834" s="147"/>
      <c r="AW834" s="147"/>
      <c r="AX834" s="147"/>
      <c r="AY834" s="147"/>
      <c r="AZ834" s="147"/>
      <c r="BA834" s="147"/>
      <c r="BB834" s="147"/>
      <c r="BC834" s="147"/>
      <c r="BD834" s="147"/>
      <c r="BE834" s="147"/>
      <c r="BF834" s="147"/>
      <c r="BG834" s="147"/>
      <c r="BH834" s="147"/>
      <c r="BI834" s="147"/>
      <c r="BJ834" s="147"/>
      <c r="BK834" s="147"/>
      <c r="BL834" s="147"/>
      <c r="BM834" s="147"/>
      <c r="BN834" s="147"/>
      <c r="BO834" s="147"/>
      <c r="BP834" s="147"/>
      <c r="BQ834" s="147"/>
      <c r="BR834" s="147"/>
      <c r="BS834" s="147"/>
      <c r="BT834" s="147"/>
      <c r="BU834" s="147"/>
      <c r="BV834" s="147"/>
      <c r="BW834" s="147"/>
      <c r="BX834" s="147"/>
      <c r="BY834" s="147"/>
      <c r="BZ834" s="147"/>
      <c r="CA834" s="147"/>
      <c r="CB834" s="147"/>
      <c r="CC834" s="147"/>
      <c r="CD834" s="147"/>
      <c r="CE834" s="147"/>
      <c r="CF834" s="147"/>
      <c r="CG834" s="147"/>
      <c r="CH834" s="147"/>
      <c r="CI834" s="147"/>
      <c r="CJ834" s="147"/>
      <c r="CK834" s="147"/>
    </row>
    <row r="835" spans="1:89">
      <c r="A835" s="157"/>
      <c r="F835" s="3"/>
      <c r="G835" s="3"/>
      <c r="L835" s="157"/>
      <c r="M835" s="157"/>
      <c r="O835" s="147"/>
      <c r="P835" s="147"/>
      <c r="Q835" s="147"/>
      <c r="R835" s="147"/>
      <c r="S835" s="147"/>
      <c r="T835" s="147"/>
      <c r="U835" s="147"/>
      <c r="V835" s="147"/>
      <c r="W835" s="147"/>
      <c r="X835" s="147"/>
      <c r="Y835" s="147"/>
      <c r="Z835" s="147"/>
      <c r="AA835" s="147"/>
      <c r="AB835" s="147"/>
      <c r="AC835" s="147"/>
      <c r="AD835" s="147"/>
      <c r="AE835" s="147"/>
      <c r="AF835" s="147"/>
      <c r="AG835" s="147"/>
      <c r="AH835" s="147"/>
      <c r="AI835" s="147"/>
      <c r="AJ835" s="147"/>
      <c r="AK835" s="147"/>
      <c r="AL835" s="147"/>
      <c r="AM835" s="151"/>
      <c r="AN835" s="147"/>
      <c r="AO835" s="147"/>
      <c r="AP835" s="147"/>
      <c r="AQ835" s="147"/>
      <c r="AR835" s="147"/>
      <c r="AS835" s="147"/>
      <c r="AT835" s="147"/>
      <c r="AU835" s="147"/>
      <c r="AV835" s="147"/>
      <c r="AW835" s="147"/>
      <c r="AX835" s="147"/>
      <c r="AY835" s="147"/>
      <c r="AZ835" s="147"/>
      <c r="BA835" s="147"/>
      <c r="BB835" s="147"/>
      <c r="BC835" s="147"/>
      <c r="BD835" s="147"/>
      <c r="BE835" s="147"/>
      <c r="BF835" s="147"/>
      <c r="BG835" s="147"/>
      <c r="BH835" s="147"/>
      <c r="BI835" s="147"/>
      <c r="BJ835" s="147"/>
      <c r="BK835" s="147"/>
      <c r="BL835" s="147"/>
      <c r="BM835" s="147"/>
      <c r="BN835" s="147"/>
      <c r="BO835" s="147"/>
      <c r="BP835" s="147"/>
      <c r="BQ835" s="147"/>
      <c r="BR835" s="147"/>
      <c r="BS835" s="147"/>
      <c r="BT835" s="147"/>
      <c r="BU835" s="147"/>
      <c r="BV835" s="147"/>
      <c r="BW835" s="147"/>
      <c r="BX835" s="147"/>
      <c r="BY835" s="147"/>
      <c r="BZ835" s="147"/>
      <c r="CA835" s="147"/>
      <c r="CB835" s="147"/>
      <c r="CC835" s="147"/>
      <c r="CD835" s="147"/>
      <c r="CE835" s="147"/>
      <c r="CF835" s="147"/>
      <c r="CG835" s="147"/>
      <c r="CH835" s="147"/>
      <c r="CI835" s="147"/>
      <c r="CJ835" s="147"/>
      <c r="CK835" s="147"/>
    </row>
    <row r="836" spans="1:89">
      <c r="A836" s="157"/>
      <c r="F836" s="3"/>
      <c r="G836" s="3"/>
      <c r="L836" s="157"/>
      <c r="M836" s="157"/>
      <c r="O836" s="147"/>
      <c r="P836" s="147"/>
      <c r="Q836" s="147"/>
      <c r="R836" s="147"/>
      <c r="S836" s="147"/>
      <c r="T836" s="147"/>
      <c r="U836" s="147"/>
      <c r="V836" s="147"/>
      <c r="W836" s="147"/>
      <c r="X836" s="147"/>
      <c r="Y836" s="147"/>
      <c r="Z836" s="147"/>
      <c r="AA836" s="147"/>
      <c r="AB836" s="147"/>
      <c r="AC836" s="147"/>
      <c r="AD836" s="147"/>
      <c r="AE836" s="147"/>
      <c r="AF836" s="147"/>
      <c r="AG836" s="147"/>
      <c r="AH836" s="147"/>
      <c r="AI836" s="147"/>
      <c r="AJ836" s="147"/>
      <c r="AK836" s="147"/>
      <c r="AL836" s="147"/>
      <c r="AM836" s="151"/>
      <c r="AN836" s="147"/>
      <c r="AO836" s="147"/>
      <c r="AP836" s="147"/>
      <c r="AQ836" s="147"/>
      <c r="AR836" s="147"/>
      <c r="AS836" s="147"/>
      <c r="AT836" s="147"/>
      <c r="AU836" s="147"/>
      <c r="AV836" s="147"/>
      <c r="AW836" s="147"/>
      <c r="AX836" s="147"/>
      <c r="AY836" s="147"/>
      <c r="AZ836" s="147"/>
      <c r="BA836" s="147"/>
      <c r="BB836" s="147"/>
      <c r="BC836" s="147"/>
      <c r="BD836" s="147"/>
      <c r="BE836" s="147"/>
      <c r="BF836" s="147"/>
      <c r="BG836" s="147"/>
      <c r="BH836" s="147"/>
      <c r="BI836" s="147"/>
      <c r="BJ836" s="147"/>
      <c r="BK836" s="147"/>
      <c r="BL836" s="147"/>
      <c r="BM836" s="147"/>
      <c r="BN836" s="147"/>
      <c r="BO836" s="147"/>
      <c r="BP836" s="147"/>
      <c r="BQ836" s="147"/>
      <c r="BR836" s="147"/>
      <c r="BS836" s="147"/>
      <c r="BT836" s="147"/>
      <c r="BU836" s="147"/>
      <c r="BV836" s="147"/>
      <c r="BW836" s="147"/>
      <c r="BX836" s="147"/>
      <c r="BY836" s="147"/>
      <c r="BZ836" s="147"/>
      <c r="CA836" s="147"/>
      <c r="CB836" s="147"/>
      <c r="CC836" s="147"/>
      <c r="CD836" s="147"/>
      <c r="CE836" s="147"/>
      <c r="CF836" s="147"/>
      <c r="CG836" s="147"/>
      <c r="CH836" s="147"/>
      <c r="CI836" s="147"/>
      <c r="CJ836" s="147"/>
      <c r="CK836" s="147"/>
    </row>
    <row r="837" spans="1:89">
      <c r="A837" s="157"/>
      <c r="F837" s="3"/>
      <c r="G837" s="3"/>
      <c r="L837" s="157"/>
      <c r="M837" s="157"/>
      <c r="O837" s="147"/>
      <c r="P837" s="147"/>
      <c r="Q837" s="147"/>
      <c r="R837" s="147"/>
      <c r="S837" s="147"/>
      <c r="T837" s="147"/>
      <c r="U837" s="147"/>
      <c r="V837" s="147"/>
      <c r="W837" s="147"/>
      <c r="X837" s="147"/>
      <c r="Y837" s="147"/>
      <c r="Z837" s="147"/>
      <c r="AA837" s="147"/>
      <c r="AB837" s="147"/>
      <c r="AC837" s="147"/>
      <c r="AD837" s="147"/>
      <c r="AE837" s="147"/>
      <c r="AF837" s="147"/>
      <c r="AG837" s="147"/>
      <c r="AH837" s="147"/>
      <c r="AI837" s="147"/>
      <c r="AJ837" s="147"/>
      <c r="AK837" s="147"/>
      <c r="AL837" s="147"/>
      <c r="AM837" s="151"/>
      <c r="AN837" s="147"/>
      <c r="AO837" s="147"/>
      <c r="AP837" s="147"/>
      <c r="AQ837" s="147"/>
      <c r="AR837" s="147"/>
      <c r="AS837" s="147"/>
      <c r="AT837" s="147"/>
      <c r="AU837" s="147"/>
      <c r="AV837" s="147"/>
      <c r="AW837" s="147"/>
      <c r="AX837" s="147"/>
      <c r="AY837" s="147"/>
      <c r="AZ837" s="147"/>
      <c r="BA837" s="147"/>
      <c r="BB837" s="147"/>
      <c r="BC837" s="147"/>
      <c r="BD837" s="147"/>
      <c r="BE837" s="147"/>
      <c r="BF837" s="147"/>
      <c r="BG837" s="147"/>
      <c r="BH837" s="147"/>
      <c r="BI837" s="147"/>
      <c r="BJ837" s="147"/>
      <c r="BK837" s="147"/>
      <c r="BL837" s="147"/>
      <c r="BM837" s="147"/>
      <c r="BN837" s="147"/>
      <c r="BO837" s="147"/>
      <c r="BP837" s="147"/>
      <c r="BQ837" s="147"/>
      <c r="BR837" s="147"/>
      <c r="BS837" s="147"/>
      <c r="BT837" s="147"/>
      <c r="BU837" s="147"/>
      <c r="BV837" s="147"/>
      <c r="BW837" s="147"/>
      <c r="BX837" s="147"/>
      <c r="BY837" s="147"/>
      <c r="BZ837" s="147"/>
      <c r="CA837" s="147"/>
      <c r="CB837" s="147"/>
      <c r="CC837" s="147"/>
      <c r="CD837" s="147"/>
      <c r="CE837" s="147"/>
      <c r="CF837" s="147"/>
      <c r="CG837" s="147"/>
      <c r="CH837" s="147"/>
      <c r="CI837" s="147"/>
      <c r="CJ837" s="147"/>
      <c r="CK837" s="147"/>
    </row>
    <row r="838" spans="1:89">
      <c r="A838" s="157"/>
      <c r="F838" s="3"/>
      <c r="G838" s="3"/>
      <c r="L838" s="157"/>
      <c r="M838" s="157"/>
      <c r="O838" s="147"/>
      <c r="P838" s="147"/>
      <c r="Q838" s="147"/>
      <c r="R838" s="147"/>
      <c r="S838" s="147"/>
      <c r="T838" s="147"/>
      <c r="U838" s="147"/>
      <c r="V838" s="147"/>
      <c r="W838" s="147"/>
      <c r="X838" s="147"/>
      <c r="Y838" s="147"/>
      <c r="Z838" s="147"/>
      <c r="AA838" s="147"/>
      <c r="AB838" s="147"/>
      <c r="AC838" s="147"/>
      <c r="AD838" s="147"/>
      <c r="AE838" s="147"/>
      <c r="AF838" s="147"/>
      <c r="AG838" s="147"/>
      <c r="AH838" s="147"/>
      <c r="AI838" s="147"/>
      <c r="AJ838" s="147"/>
      <c r="AK838" s="147"/>
      <c r="AL838" s="147"/>
      <c r="AM838" s="151"/>
      <c r="AN838" s="147"/>
      <c r="AO838" s="147"/>
      <c r="AP838" s="147"/>
      <c r="AQ838" s="147"/>
      <c r="AR838" s="147"/>
      <c r="AS838" s="147"/>
      <c r="AT838" s="147"/>
      <c r="AU838" s="147"/>
      <c r="AV838" s="147"/>
      <c r="AW838" s="147"/>
      <c r="AX838" s="147"/>
      <c r="AY838" s="147"/>
      <c r="AZ838" s="147"/>
      <c r="BA838" s="147"/>
      <c r="BB838" s="147"/>
      <c r="BC838" s="147"/>
      <c r="BD838" s="147"/>
      <c r="BE838" s="147"/>
      <c r="BF838" s="147"/>
      <c r="BG838" s="147"/>
      <c r="BH838" s="147"/>
      <c r="BI838" s="147"/>
      <c r="BJ838" s="147"/>
      <c r="BK838" s="147"/>
      <c r="BL838" s="147"/>
      <c r="BM838" s="147"/>
      <c r="BN838" s="147"/>
      <c r="BO838" s="147"/>
      <c r="BP838" s="147"/>
      <c r="BQ838" s="147"/>
      <c r="BR838" s="147"/>
      <c r="BS838" s="147"/>
      <c r="BT838" s="147"/>
      <c r="BU838" s="147"/>
      <c r="BV838" s="147"/>
      <c r="BW838" s="147"/>
      <c r="BX838" s="147"/>
      <c r="BY838" s="147"/>
      <c r="BZ838" s="147"/>
      <c r="CA838" s="147"/>
      <c r="CB838" s="147"/>
      <c r="CC838" s="147"/>
      <c r="CD838" s="147"/>
      <c r="CE838" s="147"/>
      <c r="CF838" s="147"/>
      <c r="CG838" s="147"/>
      <c r="CH838" s="147"/>
      <c r="CI838" s="147"/>
      <c r="CJ838" s="147"/>
      <c r="CK838" s="147"/>
    </row>
    <row r="839" spans="1:89">
      <c r="A839" s="157"/>
      <c r="F839" s="3"/>
      <c r="G839" s="3"/>
      <c r="L839" s="157"/>
      <c r="M839" s="157"/>
      <c r="O839" s="147"/>
      <c r="P839" s="147"/>
      <c r="Q839" s="147"/>
      <c r="R839" s="147"/>
      <c r="S839" s="147"/>
      <c r="T839" s="147"/>
      <c r="U839" s="147"/>
      <c r="V839" s="147"/>
      <c r="W839" s="147"/>
      <c r="X839" s="147"/>
      <c r="Y839" s="147"/>
      <c r="Z839" s="147"/>
      <c r="AA839" s="147"/>
      <c r="AB839" s="147"/>
      <c r="AC839" s="147"/>
      <c r="AD839" s="147"/>
      <c r="AE839" s="147"/>
      <c r="AF839" s="147"/>
      <c r="AG839" s="147"/>
      <c r="AH839" s="147"/>
      <c r="AI839" s="147"/>
      <c r="AJ839" s="147"/>
      <c r="AK839" s="147"/>
      <c r="AL839" s="147"/>
      <c r="AM839" s="151"/>
      <c r="AN839" s="147"/>
      <c r="AO839" s="147"/>
      <c r="AP839" s="147"/>
      <c r="AQ839" s="147"/>
      <c r="AR839" s="147"/>
      <c r="AS839" s="147"/>
      <c r="AT839" s="147"/>
      <c r="AU839" s="147"/>
      <c r="AV839" s="147"/>
      <c r="AW839" s="147"/>
      <c r="AX839" s="147"/>
      <c r="AY839" s="147"/>
      <c r="AZ839" s="147"/>
      <c r="BA839" s="147"/>
      <c r="BB839" s="147"/>
      <c r="BC839" s="147"/>
      <c r="BD839" s="147"/>
      <c r="BE839" s="147"/>
      <c r="BF839" s="147"/>
      <c r="BG839" s="147"/>
      <c r="BH839" s="147"/>
      <c r="BI839" s="147"/>
      <c r="BJ839" s="147"/>
      <c r="BK839" s="147"/>
      <c r="BL839" s="147"/>
      <c r="BM839" s="147"/>
      <c r="BN839" s="147"/>
      <c r="BO839" s="147"/>
      <c r="BP839" s="147"/>
      <c r="BQ839" s="147"/>
      <c r="BR839" s="147"/>
      <c r="BS839" s="147"/>
      <c r="BT839" s="147"/>
      <c r="BU839" s="147"/>
      <c r="BV839" s="147"/>
      <c r="BW839" s="147"/>
      <c r="BX839" s="147"/>
      <c r="BY839" s="147"/>
      <c r="BZ839" s="147"/>
      <c r="CA839" s="147"/>
      <c r="CB839" s="147"/>
      <c r="CC839" s="147"/>
      <c r="CD839" s="147"/>
      <c r="CE839" s="147"/>
      <c r="CF839" s="147"/>
      <c r="CG839" s="147"/>
      <c r="CH839" s="147"/>
      <c r="CI839" s="147"/>
      <c r="CJ839" s="147"/>
      <c r="CK839" s="147"/>
    </row>
    <row r="840" spans="1:89">
      <c r="A840" s="157"/>
      <c r="F840" s="3"/>
      <c r="G840" s="3"/>
      <c r="L840" s="157"/>
      <c r="M840" s="157"/>
      <c r="O840" s="147"/>
      <c r="P840" s="147"/>
      <c r="Q840" s="147"/>
      <c r="R840" s="147"/>
      <c r="S840" s="147"/>
      <c r="T840" s="147"/>
      <c r="U840" s="147"/>
      <c r="V840" s="147"/>
      <c r="W840" s="147"/>
      <c r="X840" s="147"/>
      <c r="Y840" s="147"/>
      <c r="Z840" s="147"/>
      <c r="AA840" s="147"/>
      <c r="AB840" s="147"/>
      <c r="AC840" s="147"/>
      <c r="AD840" s="147"/>
      <c r="AE840" s="147"/>
      <c r="AF840" s="147"/>
      <c r="AG840" s="147"/>
      <c r="AH840" s="147"/>
      <c r="AI840" s="147"/>
      <c r="AJ840" s="147"/>
      <c r="AK840" s="147"/>
      <c r="AL840" s="147"/>
      <c r="AM840" s="151"/>
      <c r="AN840" s="147"/>
      <c r="AO840" s="147"/>
      <c r="AP840" s="147"/>
      <c r="AQ840" s="147"/>
      <c r="AR840" s="147"/>
      <c r="AS840" s="147"/>
      <c r="AT840" s="147"/>
      <c r="AU840" s="147"/>
      <c r="AV840" s="147"/>
      <c r="AW840" s="147"/>
      <c r="AX840" s="147"/>
      <c r="AY840" s="147"/>
      <c r="AZ840" s="147"/>
      <c r="BA840" s="147"/>
      <c r="BB840" s="147"/>
      <c r="BC840" s="147"/>
      <c r="BD840" s="147"/>
      <c r="BE840" s="147"/>
      <c r="BF840" s="147"/>
      <c r="BG840" s="147"/>
      <c r="BH840" s="147"/>
      <c r="BI840" s="147"/>
      <c r="BJ840" s="147"/>
      <c r="BK840" s="147"/>
      <c r="BL840" s="147"/>
      <c r="BM840" s="147"/>
      <c r="BN840" s="147"/>
      <c r="BO840" s="147"/>
      <c r="BP840" s="147"/>
      <c r="BQ840" s="147"/>
      <c r="BR840" s="147"/>
      <c r="BS840" s="147"/>
      <c r="BT840" s="147"/>
      <c r="BU840" s="147"/>
      <c r="BV840" s="147"/>
      <c r="BW840" s="147"/>
      <c r="BX840" s="147"/>
      <c r="BY840" s="147"/>
      <c r="BZ840" s="147"/>
      <c r="CA840" s="147"/>
      <c r="CB840" s="147"/>
      <c r="CC840" s="147"/>
      <c r="CD840" s="147"/>
      <c r="CE840" s="147"/>
      <c r="CF840" s="147"/>
      <c r="CG840" s="147"/>
      <c r="CH840" s="147"/>
      <c r="CI840" s="147"/>
      <c r="CJ840" s="147"/>
      <c r="CK840" s="147"/>
    </row>
    <row r="841" spans="1:89">
      <c r="A841" s="157"/>
      <c r="F841" s="3"/>
      <c r="G841" s="3"/>
      <c r="L841" s="157"/>
      <c r="M841" s="157"/>
      <c r="O841" s="147"/>
      <c r="P841" s="147"/>
      <c r="Q841" s="147"/>
      <c r="R841" s="147"/>
      <c r="S841" s="147"/>
      <c r="T841" s="147"/>
      <c r="U841" s="147"/>
      <c r="V841" s="147"/>
      <c r="W841" s="147"/>
      <c r="X841" s="147"/>
      <c r="Y841" s="147"/>
      <c r="Z841" s="147"/>
      <c r="AA841" s="147"/>
      <c r="AB841" s="147"/>
      <c r="AC841" s="147"/>
      <c r="AD841" s="147"/>
      <c r="AE841" s="147"/>
      <c r="AF841" s="147"/>
      <c r="AG841" s="147"/>
      <c r="AH841" s="147"/>
      <c r="AI841" s="147"/>
      <c r="AJ841" s="147"/>
      <c r="AK841" s="147"/>
      <c r="AL841" s="147"/>
      <c r="AM841" s="151"/>
      <c r="AN841" s="147"/>
      <c r="AO841" s="147"/>
      <c r="AP841" s="147"/>
      <c r="AQ841" s="147"/>
      <c r="AR841" s="147"/>
      <c r="AS841" s="147"/>
      <c r="AT841" s="147"/>
      <c r="AU841" s="147"/>
      <c r="AV841" s="147"/>
      <c r="AW841" s="147"/>
      <c r="AX841" s="147"/>
      <c r="AY841" s="147"/>
      <c r="AZ841" s="147"/>
      <c r="BA841" s="147"/>
      <c r="BB841" s="147"/>
      <c r="BC841" s="147"/>
      <c r="BD841" s="147"/>
      <c r="BE841" s="147"/>
      <c r="BF841" s="147"/>
      <c r="BG841" s="147"/>
      <c r="BH841" s="147"/>
      <c r="BI841" s="147"/>
      <c r="BJ841" s="147"/>
      <c r="BK841" s="147"/>
      <c r="BL841" s="147"/>
      <c r="BM841" s="147"/>
      <c r="BN841" s="147"/>
      <c r="BO841" s="147"/>
      <c r="BP841" s="147"/>
      <c r="BQ841" s="147"/>
      <c r="BR841" s="147"/>
      <c r="BS841" s="147"/>
      <c r="BT841" s="147"/>
      <c r="BU841" s="147"/>
      <c r="BV841" s="147"/>
      <c r="BW841" s="147"/>
      <c r="BX841" s="147"/>
      <c r="BY841" s="147"/>
      <c r="BZ841" s="147"/>
      <c r="CA841" s="147"/>
      <c r="CB841" s="147"/>
      <c r="CC841" s="147"/>
      <c r="CD841" s="147"/>
      <c r="CE841" s="147"/>
      <c r="CF841" s="147"/>
      <c r="CG841" s="147"/>
      <c r="CH841" s="147"/>
      <c r="CI841" s="147"/>
      <c r="CJ841" s="147"/>
      <c r="CK841" s="147"/>
    </row>
    <row r="842" spans="1:89">
      <c r="A842" s="157"/>
      <c r="F842" s="3"/>
      <c r="G842" s="3"/>
      <c r="L842" s="157"/>
      <c r="M842" s="157"/>
      <c r="O842" s="147"/>
      <c r="P842" s="147"/>
      <c r="Q842" s="147"/>
      <c r="R842" s="147"/>
      <c r="S842" s="147"/>
      <c r="T842" s="147"/>
      <c r="U842" s="147"/>
      <c r="V842" s="147"/>
      <c r="W842" s="147"/>
      <c r="X842" s="147"/>
      <c r="Y842" s="147"/>
      <c r="Z842" s="147"/>
      <c r="AA842" s="147"/>
      <c r="AB842" s="147"/>
      <c r="AC842" s="147"/>
      <c r="AD842" s="147"/>
      <c r="AE842" s="147"/>
      <c r="AF842" s="147"/>
      <c r="AG842" s="147"/>
      <c r="AH842" s="147"/>
      <c r="AI842" s="147"/>
      <c r="AJ842" s="147"/>
      <c r="AK842" s="147"/>
      <c r="AL842" s="147"/>
      <c r="AM842" s="151"/>
      <c r="AN842" s="147"/>
      <c r="AO842" s="147"/>
      <c r="AP842" s="147"/>
      <c r="AQ842" s="147"/>
      <c r="AR842" s="147"/>
      <c r="AS842" s="147"/>
      <c r="AT842" s="147"/>
      <c r="AU842" s="147"/>
      <c r="AV842" s="147"/>
      <c r="AW842" s="147"/>
      <c r="AX842" s="147"/>
      <c r="AY842" s="147"/>
      <c r="AZ842" s="147"/>
      <c r="BA842" s="147"/>
      <c r="BB842" s="147"/>
      <c r="BC842" s="147"/>
      <c r="BD842" s="147"/>
      <c r="BE842" s="147"/>
      <c r="BF842" s="147"/>
      <c r="BG842" s="147"/>
      <c r="BH842" s="147"/>
      <c r="BI842" s="147"/>
      <c r="BJ842" s="147"/>
      <c r="BK842" s="147"/>
      <c r="BL842" s="147"/>
      <c r="BM842" s="147"/>
      <c r="BN842" s="147"/>
      <c r="BO842" s="147"/>
      <c r="BP842" s="147"/>
      <c r="BQ842" s="147"/>
      <c r="BR842" s="147"/>
      <c r="BS842" s="147"/>
      <c r="BT842" s="147"/>
      <c r="BU842" s="147"/>
      <c r="BV842" s="147"/>
      <c r="BW842" s="147"/>
      <c r="BX842" s="147"/>
      <c r="BY842" s="147"/>
      <c r="BZ842" s="147"/>
      <c r="CA842" s="147"/>
      <c r="CB842" s="147"/>
      <c r="CC842" s="147"/>
      <c r="CD842" s="147"/>
      <c r="CE842" s="147"/>
      <c r="CF842" s="147"/>
      <c r="CG842" s="147"/>
      <c r="CH842" s="147"/>
      <c r="CI842" s="147"/>
      <c r="CJ842" s="147"/>
      <c r="CK842" s="147"/>
    </row>
    <row r="843" spans="1:89">
      <c r="A843" s="157"/>
      <c r="F843" s="3"/>
      <c r="G843" s="3"/>
      <c r="L843" s="157"/>
      <c r="M843" s="157"/>
      <c r="O843" s="147"/>
      <c r="P843" s="147"/>
      <c r="Q843" s="147"/>
      <c r="R843" s="147"/>
      <c r="S843" s="147"/>
      <c r="T843" s="147"/>
      <c r="U843" s="147"/>
      <c r="V843" s="147"/>
      <c r="W843" s="147"/>
      <c r="X843" s="147"/>
      <c r="Y843" s="147"/>
      <c r="Z843" s="147"/>
      <c r="AA843" s="147"/>
      <c r="AB843" s="147"/>
      <c r="AC843" s="147"/>
      <c r="AD843" s="147"/>
      <c r="AE843" s="147"/>
      <c r="AF843" s="147"/>
      <c r="AG843" s="147"/>
      <c r="AH843" s="147"/>
      <c r="AI843" s="147"/>
      <c r="AJ843" s="147"/>
      <c r="AK843" s="147"/>
      <c r="AL843" s="147"/>
      <c r="AM843" s="151"/>
      <c r="AN843" s="147"/>
      <c r="AO843" s="147"/>
      <c r="AP843" s="147"/>
      <c r="AQ843" s="147"/>
      <c r="AR843" s="147"/>
      <c r="AS843" s="147"/>
      <c r="AT843" s="147"/>
      <c r="AU843" s="147"/>
      <c r="AV843" s="147"/>
      <c r="AW843" s="147"/>
      <c r="AX843" s="147"/>
      <c r="AY843" s="147"/>
      <c r="AZ843" s="147"/>
      <c r="BA843" s="147"/>
      <c r="BB843" s="147"/>
      <c r="BC843" s="147"/>
      <c r="BD843" s="147"/>
      <c r="BE843" s="147"/>
      <c r="BF843" s="147"/>
      <c r="BG843" s="147"/>
      <c r="BH843" s="147"/>
      <c r="BI843" s="147"/>
      <c r="BJ843" s="147"/>
      <c r="BK843" s="147"/>
      <c r="BL843" s="147"/>
      <c r="BM843" s="147"/>
      <c r="BN843" s="147"/>
      <c r="BO843" s="147"/>
      <c r="BP843" s="147"/>
      <c r="BQ843" s="147"/>
      <c r="BR843" s="147"/>
      <c r="BS843" s="147"/>
      <c r="BT843" s="147"/>
      <c r="BU843" s="147"/>
      <c r="BV843" s="147"/>
      <c r="BW843" s="147"/>
      <c r="BX843" s="147"/>
      <c r="BY843" s="147"/>
      <c r="BZ843" s="147"/>
      <c r="CA843" s="147"/>
      <c r="CB843" s="147"/>
      <c r="CC843" s="147"/>
      <c r="CD843" s="147"/>
      <c r="CE843" s="147"/>
      <c r="CF843" s="147"/>
      <c r="CG843" s="147"/>
      <c r="CH843" s="147"/>
      <c r="CI843" s="147"/>
      <c r="CJ843" s="147"/>
      <c r="CK843" s="147"/>
    </row>
    <row r="844" spans="1:89">
      <c r="A844" s="157"/>
      <c r="F844" s="3"/>
      <c r="G844" s="3"/>
      <c r="L844" s="157"/>
      <c r="M844" s="157"/>
      <c r="O844" s="147"/>
      <c r="P844" s="147"/>
      <c r="Q844" s="147"/>
      <c r="R844" s="147"/>
      <c r="S844" s="147"/>
      <c r="T844" s="147"/>
      <c r="U844" s="147"/>
      <c r="V844" s="147"/>
      <c r="W844" s="147"/>
      <c r="X844" s="147"/>
      <c r="Y844" s="147"/>
      <c r="Z844" s="147"/>
      <c r="AA844" s="147"/>
      <c r="AB844" s="147"/>
      <c r="AC844" s="147"/>
      <c r="AD844" s="147"/>
      <c r="AE844" s="147"/>
      <c r="AF844" s="147"/>
      <c r="AG844" s="147"/>
      <c r="AH844" s="147"/>
      <c r="AI844" s="147"/>
      <c r="AJ844" s="147"/>
      <c r="AK844" s="147"/>
      <c r="AL844" s="147"/>
      <c r="AM844" s="151"/>
      <c r="AN844" s="147"/>
      <c r="AO844" s="147"/>
      <c r="AP844" s="147"/>
      <c r="AQ844" s="147"/>
      <c r="AR844" s="147"/>
      <c r="AS844" s="147"/>
      <c r="AT844" s="147"/>
      <c r="AU844" s="147"/>
      <c r="AV844" s="147"/>
      <c r="AW844" s="147"/>
      <c r="AX844" s="147"/>
      <c r="AY844" s="147"/>
      <c r="AZ844" s="147"/>
      <c r="BA844" s="147"/>
      <c r="BB844" s="147"/>
      <c r="BC844" s="147"/>
      <c r="BD844" s="147"/>
      <c r="BE844" s="147"/>
      <c r="BF844" s="147"/>
      <c r="BG844" s="147"/>
      <c r="BH844" s="147"/>
      <c r="BI844" s="147"/>
      <c r="BJ844" s="147"/>
      <c r="BK844" s="147"/>
      <c r="BL844" s="147"/>
      <c r="BM844" s="147"/>
      <c r="BN844" s="147"/>
      <c r="BO844" s="147"/>
      <c r="BP844" s="147"/>
      <c r="BQ844" s="147"/>
      <c r="BR844" s="147"/>
      <c r="BS844" s="147"/>
      <c r="BT844" s="147"/>
      <c r="BU844" s="147"/>
      <c r="BV844" s="147"/>
      <c r="BW844" s="147"/>
      <c r="BX844" s="147"/>
      <c r="BY844" s="147"/>
      <c r="BZ844" s="147"/>
      <c r="CA844" s="147"/>
      <c r="CB844" s="147"/>
      <c r="CC844" s="147"/>
      <c r="CD844" s="147"/>
      <c r="CE844" s="147"/>
      <c r="CF844" s="147"/>
      <c r="CG844" s="147"/>
      <c r="CH844" s="147"/>
      <c r="CI844" s="147"/>
      <c r="CJ844" s="147"/>
      <c r="CK844" s="147"/>
    </row>
    <row r="845" spans="1:89">
      <c r="A845" s="157"/>
      <c r="F845" s="3"/>
      <c r="G845" s="3"/>
      <c r="L845" s="157"/>
      <c r="M845" s="157"/>
      <c r="O845" s="147"/>
      <c r="P845" s="147"/>
      <c r="Q845" s="147"/>
      <c r="R845" s="147"/>
      <c r="S845" s="147"/>
      <c r="T845" s="147"/>
      <c r="U845" s="147"/>
      <c r="V845" s="147"/>
      <c r="W845" s="147"/>
      <c r="X845" s="147"/>
      <c r="Y845" s="147"/>
      <c r="Z845" s="147"/>
      <c r="AA845" s="147"/>
      <c r="AB845" s="147"/>
      <c r="AC845" s="147"/>
      <c r="AD845" s="147"/>
      <c r="AE845" s="147"/>
      <c r="AF845" s="147"/>
      <c r="AG845" s="147"/>
      <c r="AH845" s="147"/>
      <c r="AI845" s="147"/>
      <c r="AJ845" s="147"/>
      <c r="AK845" s="147"/>
      <c r="AL845" s="147"/>
      <c r="AM845" s="151"/>
      <c r="AN845" s="147"/>
      <c r="AO845" s="147"/>
      <c r="AP845" s="147"/>
      <c r="AQ845" s="147"/>
      <c r="AR845" s="147"/>
      <c r="AS845" s="147"/>
      <c r="AT845" s="147"/>
      <c r="AU845" s="147"/>
      <c r="AV845" s="147"/>
      <c r="AW845" s="147"/>
      <c r="AX845" s="147"/>
      <c r="AY845" s="147"/>
      <c r="AZ845" s="147"/>
      <c r="BA845" s="147"/>
      <c r="BB845" s="147"/>
      <c r="BC845" s="147"/>
      <c r="BD845" s="147"/>
      <c r="BE845" s="147"/>
      <c r="BF845" s="147"/>
      <c r="BG845" s="147"/>
      <c r="BH845" s="147"/>
      <c r="BI845" s="147"/>
      <c r="BJ845" s="147"/>
      <c r="BK845" s="147"/>
      <c r="BL845" s="147"/>
      <c r="BM845" s="147"/>
      <c r="BN845" s="147"/>
      <c r="BO845" s="147"/>
      <c r="BP845" s="147"/>
      <c r="BQ845" s="147"/>
      <c r="BR845" s="147"/>
      <c r="BS845" s="147"/>
      <c r="BT845" s="147"/>
      <c r="BU845" s="147"/>
      <c r="BV845" s="147"/>
      <c r="BW845" s="147"/>
      <c r="BX845" s="147"/>
      <c r="BY845" s="147"/>
      <c r="BZ845" s="147"/>
      <c r="CA845" s="147"/>
      <c r="CB845" s="147"/>
      <c r="CC845" s="147"/>
      <c r="CD845" s="147"/>
      <c r="CE845" s="147"/>
      <c r="CF845" s="147"/>
      <c r="CG845" s="147"/>
      <c r="CH845" s="147"/>
      <c r="CI845" s="147"/>
      <c r="CJ845" s="147"/>
      <c r="CK845" s="147"/>
    </row>
    <row r="846" spans="1:89">
      <c r="A846" s="157"/>
      <c r="F846" s="3"/>
      <c r="G846" s="3"/>
      <c r="L846" s="157"/>
      <c r="M846" s="157"/>
      <c r="O846" s="147"/>
      <c r="P846" s="147"/>
      <c r="Q846" s="147"/>
      <c r="R846" s="147"/>
      <c r="S846" s="147"/>
      <c r="T846" s="147"/>
      <c r="U846" s="147"/>
      <c r="V846" s="147"/>
      <c r="W846" s="147"/>
      <c r="X846" s="147"/>
      <c r="Y846" s="147"/>
      <c r="Z846" s="147"/>
      <c r="AA846" s="147"/>
      <c r="AB846" s="147"/>
      <c r="AC846" s="147"/>
      <c r="AD846" s="147"/>
      <c r="AE846" s="147"/>
      <c r="AF846" s="147"/>
      <c r="AG846" s="147"/>
      <c r="AH846" s="147"/>
      <c r="AI846" s="147"/>
      <c r="AJ846" s="147"/>
      <c r="AK846" s="147"/>
      <c r="AL846" s="147"/>
      <c r="AM846" s="151"/>
      <c r="AN846" s="147"/>
      <c r="AO846" s="147"/>
      <c r="AP846" s="147"/>
      <c r="AQ846" s="147"/>
      <c r="AR846" s="147"/>
      <c r="AS846" s="147"/>
      <c r="AT846" s="147"/>
      <c r="AU846" s="147"/>
      <c r="AV846" s="147"/>
      <c r="AW846" s="147"/>
      <c r="AX846" s="147"/>
      <c r="AY846" s="147"/>
      <c r="AZ846" s="147"/>
      <c r="BA846" s="147"/>
      <c r="BB846" s="147"/>
      <c r="BC846" s="147"/>
      <c r="BD846" s="147"/>
      <c r="BE846" s="147"/>
      <c r="BF846" s="147"/>
      <c r="BG846" s="147"/>
      <c r="BH846" s="147"/>
      <c r="BI846" s="147"/>
      <c r="BJ846" s="147"/>
      <c r="BK846" s="147"/>
      <c r="BL846" s="147"/>
      <c r="BM846" s="147"/>
      <c r="BN846" s="147"/>
      <c r="BO846" s="147"/>
      <c r="BP846" s="147"/>
      <c r="BQ846" s="147"/>
      <c r="BR846" s="147"/>
      <c r="BS846" s="147"/>
      <c r="BT846" s="147"/>
      <c r="BU846" s="147"/>
      <c r="BV846" s="147"/>
      <c r="BW846" s="147"/>
      <c r="BX846" s="147"/>
      <c r="BY846" s="147"/>
      <c r="BZ846" s="147"/>
      <c r="CA846" s="147"/>
      <c r="CB846" s="147"/>
      <c r="CC846" s="147"/>
      <c r="CD846" s="147"/>
      <c r="CE846" s="147"/>
      <c r="CF846" s="147"/>
      <c r="CG846" s="147"/>
      <c r="CH846" s="147"/>
      <c r="CI846" s="147"/>
      <c r="CJ846" s="147"/>
      <c r="CK846" s="147"/>
    </row>
    <row r="847" spans="1:89">
      <c r="A847" s="157"/>
      <c r="F847" s="3"/>
      <c r="G847" s="3"/>
      <c r="L847" s="157"/>
      <c r="M847" s="157"/>
      <c r="O847" s="147"/>
      <c r="P847" s="147"/>
      <c r="Q847" s="147"/>
      <c r="R847" s="147"/>
      <c r="S847" s="147"/>
      <c r="T847" s="147"/>
      <c r="U847" s="147"/>
      <c r="V847" s="147"/>
      <c r="W847" s="147"/>
      <c r="X847" s="147"/>
      <c r="Y847" s="147"/>
      <c r="Z847" s="147"/>
      <c r="AA847" s="147"/>
      <c r="AB847" s="147"/>
      <c r="AC847" s="147"/>
      <c r="AD847" s="147"/>
      <c r="AE847" s="147"/>
      <c r="AF847" s="147"/>
      <c r="AG847" s="147"/>
      <c r="AH847" s="147"/>
      <c r="AI847" s="147"/>
      <c r="AJ847" s="147"/>
      <c r="AK847" s="147"/>
      <c r="AL847" s="147"/>
      <c r="AM847" s="151"/>
      <c r="AN847" s="147"/>
      <c r="AO847" s="147"/>
      <c r="AP847" s="147"/>
      <c r="AQ847" s="147"/>
      <c r="AR847" s="147"/>
      <c r="AS847" s="147"/>
      <c r="AT847" s="147"/>
      <c r="AU847" s="147"/>
      <c r="AV847" s="147"/>
      <c r="AW847" s="147"/>
      <c r="AX847" s="147"/>
      <c r="AY847" s="147"/>
      <c r="AZ847" s="147"/>
      <c r="BA847" s="147"/>
      <c r="BB847" s="147"/>
      <c r="BC847" s="147"/>
      <c r="BD847" s="147"/>
      <c r="BE847" s="147"/>
      <c r="BF847" s="147"/>
      <c r="BG847" s="147"/>
      <c r="BH847" s="147"/>
      <c r="BI847" s="147"/>
      <c r="BJ847" s="147"/>
      <c r="BK847" s="147"/>
      <c r="BL847" s="147"/>
      <c r="BM847" s="147"/>
      <c r="BN847" s="147"/>
      <c r="BO847" s="147"/>
      <c r="BP847" s="147"/>
      <c r="BQ847" s="147"/>
      <c r="BR847" s="147"/>
      <c r="BS847" s="147"/>
      <c r="BT847" s="147"/>
      <c r="BU847" s="147"/>
      <c r="BV847" s="147"/>
      <c r="BW847" s="147"/>
      <c r="BX847" s="147"/>
      <c r="BY847" s="147"/>
      <c r="BZ847" s="147"/>
      <c r="CA847" s="147"/>
      <c r="CB847" s="147"/>
      <c r="CC847" s="147"/>
      <c r="CD847" s="147"/>
      <c r="CE847" s="147"/>
      <c r="CF847" s="147"/>
      <c r="CG847" s="147"/>
      <c r="CH847" s="147"/>
      <c r="CI847" s="147"/>
      <c r="CJ847" s="147"/>
      <c r="CK847" s="147"/>
    </row>
    <row r="848" spans="1:89">
      <c r="A848" s="157"/>
      <c r="F848" s="3"/>
      <c r="G848" s="3"/>
      <c r="L848" s="157"/>
      <c r="M848" s="157"/>
      <c r="O848" s="147"/>
      <c r="P848" s="147"/>
      <c r="Q848" s="147"/>
      <c r="R848" s="147"/>
      <c r="S848" s="147"/>
      <c r="T848" s="147"/>
      <c r="U848" s="147"/>
      <c r="V848" s="147"/>
      <c r="W848" s="147"/>
      <c r="X848" s="147"/>
      <c r="Y848" s="147"/>
      <c r="Z848" s="147"/>
      <c r="AA848" s="147"/>
      <c r="AB848" s="147"/>
      <c r="AC848" s="147"/>
      <c r="AD848" s="147"/>
      <c r="AE848" s="147"/>
      <c r="AF848" s="147"/>
      <c r="AG848" s="147"/>
      <c r="AH848" s="147"/>
      <c r="AI848" s="147"/>
      <c r="AJ848" s="147"/>
      <c r="AK848" s="147"/>
      <c r="AL848" s="147"/>
      <c r="AM848" s="151"/>
      <c r="AN848" s="147"/>
      <c r="AO848" s="147"/>
      <c r="AP848" s="147"/>
      <c r="AQ848" s="147"/>
      <c r="AR848" s="147"/>
      <c r="AS848" s="147"/>
      <c r="AT848" s="147"/>
      <c r="AU848" s="147"/>
      <c r="AV848" s="147"/>
      <c r="AW848" s="147"/>
      <c r="AX848" s="147"/>
      <c r="AY848" s="147"/>
      <c r="AZ848" s="147"/>
      <c r="BA848" s="147"/>
      <c r="BB848" s="147"/>
      <c r="BC848" s="147"/>
      <c r="BD848" s="147"/>
      <c r="BE848" s="147"/>
      <c r="BF848" s="147"/>
      <c r="BG848" s="147"/>
      <c r="BH848" s="147"/>
      <c r="BI848" s="147"/>
      <c r="BJ848" s="147"/>
      <c r="BK848" s="147"/>
      <c r="BL848" s="147"/>
      <c r="BM848" s="147"/>
      <c r="BN848" s="147"/>
      <c r="BO848" s="147"/>
      <c r="BP848" s="147"/>
      <c r="BQ848" s="147"/>
      <c r="BR848" s="147"/>
      <c r="BS848" s="147"/>
      <c r="BT848" s="147"/>
      <c r="BU848" s="147"/>
      <c r="BV848" s="147"/>
      <c r="BW848" s="147"/>
      <c r="BX848" s="147"/>
      <c r="BY848" s="147"/>
      <c r="BZ848" s="147"/>
      <c r="CA848" s="147"/>
      <c r="CB848" s="147"/>
      <c r="CC848" s="147"/>
      <c r="CD848" s="147"/>
      <c r="CE848" s="147"/>
      <c r="CF848" s="147"/>
      <c r="CG848" s="147"/>
      <c r="CH848" s="147"/>
      <c r="CI848" s="147"/>
      <c r="CJ848" s="147"/>
      <c r="CK848" s="147"/>
    </row>
    <row r="849" spans="1:89">
      <c r="A849" s="157"/>
      <c r="F849" s="3"/>
      <c r="G849" s="3"/>
      <c r="L849" s="157"/>
      <c r="M849" s="157"/>
      <c r="O849" s="147"/>
      <c r="P849" s="147"/>
      <c r="Q849" s="147"/>
      <c r="R849" s="147"/>
      <c r="S849" s="147"/>
      <c r="T849" s="147"/>
      <c r="U849" s="147"/>
      <c r="V849" s="147"/>
      <c r="W849" s="147"/>
      <c r="X849" s="147"/>
      <c r="Y849" s="147"/>
      <c r="Z849" s="147"/>
      <c r="AA849" s="147"/>
      <c r="AB849" s="147"/>
      <c r="AC849" s="147"/>
      <c r="AD849" s="147"/>
      <c r="AE849" s="147"/>
      <c r="AF849" s="147"/>
      <c r="AG849" s="147"/>
      <c r="AH849" s="147"/>
      <c r="AI849" s="147"/>
      <c r="AJ849" s="147"/>
      <c r="AK849" s="147"/>
      <c r="AL849" s="147"/>
      <c r="AM849" s="151"/>
      <c r="AN849" s="147"/>
      <c r="AO849" s="147"/>
      <c r="AP849" s="147"/>
      <c r="AQ849" s="147"/>
      <c r="AR849" s="147"/>
      <c r="AS849" s="147"/>
      <c r="AT849" s="147"/>
      <c r="AU849" s="147"/>
      <c r="AV849" s="147"/>
      <c r="AW849" s="147"/>
      <c r="AX849" s="147"/>
      <c r="AY849" s="147"/>
      <c r="AZ849" s="147"/>
      <c r="BA849" s="147"/>
      <c r="BB849" s="147"/>
      <c r="BC849" s="147"/>
      <c r="BD849" s="147"/>
      <c r="BE849" s="147"/>
      <c r="BF849" s="147"/>
      <c r="BG849" s="147"/>
      <c r="BH849" s="147"/>
      <c r="BI849" s="147"/>
      <c r="BJ849" s="147"/>
      <c r="BK849" s="147"/>
      <c r="BL849" s="147"/>
      <c r="BM849" s="147"/>
      <c r="BN849" s="147"/>
      <c r="BO849" s="147"/>
      <c r="BP849" s="147"/>
      <c r="BQ849" s="147"/>
      <c r="BR849" s="147"/>
      <c r="BS849" s="147"/>
      <c r="BT849" s="147"/>
      <c r="BU849" s="147"/>
      <c r="BV849" s="147"/>
      <c r="BW849" s="147"/>
      <c r="BX849" s="147"/>
      <c r="BY849" s="147"/>
      <c r="BZ849" s="147"/>
      <c r="CA849" s="147"/>
      <c r="CB849" s="147"/>
      <c r="CC849" s="147"/>
      <c r="CD849" s="147"/>
      <c r="CE849" s="147"/>
      <c r="CF849" s="147"/>
      <c r="CG849" s="147"/>
      <c r="CH849" s="147"/>
      <c r="CI849" s="147"/>
      <c r="CJ849" s="147"/>
      <c r="CK849" s="147"/>
    </row>
    <row r="850" spans="1:89">
      <c r="A850" s="157"/>
      <c r="F850" s="3"/>
      <c r="G850" s="3"/>
      <c r="L850" s="157"/>
      <c r="M850" s="157"/>
      <c r="O850" s="147"/>
      <c r="P850" s="147"/>
      <c r="Q850" s="147"/>
      <c r="R850" s="147"/>
      <c r="S850" s="147"/>
      <c r="T850" s="147"/>
      <c r="U850" s="147"/>
      <c r="V850" s="147"/>
      <c r="W850" s="147"/>
      <c r="X850" s="147"/>
      <c r="Y850" s="147"/>
      <c r="Z850" s="147"/>
      <c r="AA850" s="147"/>
      <c r="AB850" s="147"/>
      <c r="AC850" s="147"/>
      <c r="AD850" s="147"/>
      <c r="AE850" s="147"/>
      <c r="AF850" s="147"/>
      <c r="AG850" s="147"/>
      <c r="AH850" s="147"/>
      <c r="AI850" s="147"/>
      <c r="AJ850" s="147"/>
      <c r="AK850" s="147"/>
      <c r="AL850" s="147"/>
      <c r="AM850" s="151"/>
      <c r="AN850" s="147"/>
      <c r="AO850" s="147"/>
      <c r="AP850" s="147"/>
      <c r="AQ850" s="147"/>
      <c r="AR850" s="147"/>
      <c r="AS850" s="147"/>
      <c r="AT850" s="147"/>
      <c r="AU850" s="147"/>
      <c r="AV850" s="147"/>
      <c r="AW850" s="147"/>
      <c r="AX850" s="147"/>
      <c r="AY850" s="147"/>
      <c r="AZ850" s="147"/>
      <c r="BA850" s="147"/>
      <c r="BB850" s="147"/>
      <c r="BC850" s="147"/>
      <c r="BD850" s="147"/>
      <c r="BE850" s="147"/>
      <c r="BF850" s="147"/>
      <c r="BG850" s="147"/>
      <c r="BH850" s="147"/>
      <c r="BI850" s="147"/>
      <c r="BJ850" s="147"/>
      <c r="BK850" s="147"/>
      <c r="BL850" s="147"/>
      <c r="BM850" s="147"/>
      <c r="BN850" s="147"/>
      <c r="BO850" s="147"/>
      <c r="BP850" s="147"/>
      <c r="BQ850" s="147"/>
      <c r="BR850" s="147"/>
      <c r="BS850" s="147"/>
      <c r="BT850" s="147"/>
      <c r="BU850" s="147"/>
      <c r="BV850" s="147"/>
      <c r="BW850" s="147"/>
      <c r="BX850" s="147"/>
      <c r="BY850" s="147"/>
      <c r="BZ850" s="147"/>
      <c r="CA850" s="147"/>
      <c r="CB850" s="147"/>
      <c r="CC850" s="147"/>
      <c r="CD850" s="147"/>
      <c r="CE850" s="147"/>
      <c r="CF850" s="147"/>
      <c r="CG850" s="147"/>
      <c r="CH850" s="147"/>
      <c r="CI850" s="147"/>
      <c r="CJ850" s="147"/>
      <c r="CK850" s="147"/>
    </row>
    <row r="851" spans="1:89">
      <c r="A851" s="157"/>
      <c r="F851" s="3"/>
      <c r="G851" s="3"/>
      <c r="L851" s="157"/>
      <c r="M851" s="157"/>
      <c r="O851" s="147"/>
      <c r="P851" s="147"/>
      <c r="Q851" s="147"/>
      <c r="R851" s="147"/>
      <c r="S851" s="147"/>
      <c r="T851" s="147"/>
      <c r="U851" s="147"/>
      <c r="V851" s="147"/>
      <c r="W851" s="147"/>
      <c r="X851" s="147"/>
      <c r="Y851" s="147"/>
      <c r="Z851" s="147"/>
      <c r="AA851" s="147"/>
      <c r="AB851" s="147"/>
      <c r="AC851" s="147"/>
      <c r="AD851" s="147"/>
      <c r="AE851" s="147"/>
      <c r="AF851" s="147"/>
      <c r="AG851" s="147"/>
      <c r="AH851" s="147"/>
      <c r="AI851" s="147"/>
      <c r="AJ851" s="147"/>
      <c r="AK851" s="147"/>
      <c r="AL851" s="147"/>
      <c r="AM851" s="151"/>
      <c r="AN851" s="147"/>
      <c r="AO851" s="147"/>
      <c r="AP851" s="147"/>
      <c r="AQ851" s="147"/>
      <c r="AR851" s="147"/>
      <c r="AS851" s="147"/>
      <c r="AT851" s="147"/>
      <c r="AU851" s="147"/>
      <c r="AV851" s="147"/>
      <c r="AW851" s="147"/>
      <c r="AX851" s="147"/>
      <c r="AY851" s="147"/>
      <c r="AZ851" s="147"/>
      <c r="BA851" s="147"/>
      <c r="BB851" s="147"/>
      <c r="BC851" s="147"/>
      <c r="BD851" s="147"/>
      <c r="BE851" s="147"/>
      <c r="BF851" s="147"/>
      <c r="BG851" s="147"/>
      <c r="BH851" s="147"/>
      <c r="BI851" s="147"/>
      <c r="BJ851" s="147"/>
      <c r="BK851" s="147"/>
      <c r="BL851" s="147"/>
      <c r="BM851" s="147"/>
      <c r="BN851" s="147"/>
      <c r="BO851" s="147"/>
      <c r="BP851" s="147"/>
      <c r="BQ851" s="147"/>
      <c r="BR851" s="147"/>
      <c r="BS851" s="147"/>
      <c r="BT851" s="147"/>
      <c r="BU851" s="147"/>
      <c r="BV851" s="147"/>
      <c r="BW851" s="147"/>
      <c r="BX851" s="147"/>
      <c r="BY851" s="147"/>
      <c r="BZ851" s="147"/>
      <c r="CA851" s="147"/>
      <c r="CB851" s="147"/>
      <c r="CC851" s="147"/>
      <c r="CD851" s="147"/>
      <c r="CE851" s="147"/>
      <c r="CF851" s="147"/>
      <c r="CG851" s="147"/>
      <c r="CH851" s="147"/>
      <c r="CI851" s="147"/>
      <c r="CJ851" s="147"/>
      <c r="CK851" s="147"/>
    </row>
    <row r="852" spans="1:89">
      <c r="A852" s="157"/>
      <c r="F852" s="3"/>
      <c r="G852" s="3"/>
      <c r="L852" s="157"/>
      <c r="M852" s="157"/>
      <c r="O852" s="147"/>
      <c r="P852" s="147"/>
      <c r="Q852" s="147"/>
      <c r="R852" s="147"/>
      <c r="S852" s="147"/>
      <c r="T852" s="147"/>
      <c r="U852" s="147"/>
      <c r="V852" s="147"/>
      <c r="W852" s="147"/>
      <c r="X852" s="147"/>
      <c r="Y852" s="147"/>
      <c r="Z852" s="147"/>
      <c r="AA852" s="147"/>
      <c r="AB852" s="147"/>
      <c r="AC852" s="147"/>
      <c r="AD852" s="147"/>
      <c r="AE852" s="147"/>
      <c r="AF852" s="147"/>
      <c r="AG852" s="147"/>
      <c r="AH852" s="147"/>
      <c r="AI852" s="147"/>
      <c r="AJ852" s="147"/>
      <c r="AK852" s="147"/>
      <c r="AL852" s="147"/>
      <c r="AM852" s="151"/>
      <c r="AN852" s="147"/>
      <c r="AO852" s="147"/>
      <c r="AP852" s="147"/>
      <c r="AQ852" s="147"/>
      <c r="AR852" s="147"/>
      <c r="AS852" s="147"/>
      <c r="AT852" s="147"/>
      <c r="AU852" s="147"/>
      <c r="AV852" s="147"/>
      <c r="AW852" s="147"/>
      <c r="AX852" s="147"/>
      <c r="AY852" s="147"/>
      <c r="AZ852" s="147"/>
      <c r="BA852" s="147"/>
      <c r="BB852" s="147"/>
      <c r="BC852" s="147"/>
      <c r="BD852" s="147"/>
      <c r="BE852" s="147"/>
      <c r="BF852" s="147"/>
      <c r="BG852" s="147"/>
      <c r="BH852" s="147"/>
      <c r="BI852" s="147"/>
      <c r="BJ852" s="147"/>
      <c r="BK852" s="147"/>
      <c r="BL852" s="147"/>
      <c r="BM852" s="147"/>
      <c r="BN852" s="147"/>
      <c r="BO852" s="147"/>
      <c r="BP852" s="147"/>
      <c r="BQ852" s="147"/>
      <c r="BR852" s="147"/>
      <c r="BS852" s="147"/>
      <c r="BT852" s="147"/>
      <c r="BU852" s="147"/>
      <c r="BV852" s="147"/>
      <c r="BW852" s="147"/>
      <c r="BX852" s="147"/>
      <c r="BY852" s="147"/>
      <c r="BZ852" s="147"/>
      <c r="CA852" s="147"/>
      <c r="CB852" s="147"/>
      <c r="CC852" s="147"/>
      <c r="CD852" s="147"/>
      <c r="CE852" s="147"/>
      <c r="CF852" s="147"/>
      <c r="CG852" s="147"/>
      <c r="CH852" s="147"/>
      <c r="CI852" s="147"/>
      <c r="CJ852" s="147"/>
      <c r="CK852" s="147"/>
    </row>
    <row r="853" spans="1:89">
      <c r="A853" s="157"/>
      <c r="F853" s="3"/>
      <c r="G853" s="3"/>
      <c r="L853" s="157"/>
      <c r="M853" s="157"/>
      <c r="O853" s="147"/>
      <c r="P853" s="147"/>
      <c r="Q853" s="147"/>
      <c r="R853" s="147"/>
      <c r="S853" s="147"/>
      <c r="T853" s="147"/>
      <c r="U853" s="147"/>
      <c r="V853" s="147"/>
      <c r="W853" s="147"/>
      <c r="X853" s="147"/>
      <c r="Y853" s="147"/>
      <c r="Z853" s="147"/>
      <c r="AA853" s="147"/>
      <c r="AB853" s="147"/>
      <c r="AC853" s="147"/>
      <c r="AD853" s="147"/>
      <c r="AE853" s="147"/>
      <c r="AF853" s="147"/>
      <c r="AG853" s="147"/>
      <c r="AH853" s="147"/>
      <c r="AI853" s="147"/>
      <c r="AJ853" s="147"/>
      <c r="AK853" s="147"/>
      <c r="AL853" s="147"/>
      <c r="AM853" s="151"/>
      <c r="AN853" s="147"/>
      <c r="AO853" s="147"/>
      <c r="AP853" s="147"/>
      <c r="AQ853" s="147"/>
      <c r="AR853" s="147"/>
      <c r="AS853" s="147"/>
      <c r="AT853" s="147"/>
      <c r="AU853" s="147"/>
      <c r="AV853" s="147"/>
      <c r="AW853" s="147"/>
      <c r="AX853" s="147"/>
      <c r="AY853" s="147"/>
      <c r="AZ853" s="147"/>
      <c r="BA853" s="147"/>
      <c r="BB853" s="147"/>
      <c r="BC853" s="147"/>
      <c r="BD853" s="147"/>
      <c r="BE853" s="147"/>
      <c r="BF853" s="147"/>
      <c r="BG853" s="147"/>
      <c r="BH853" s="147"/>
      <c r="BI853" s="147"/>
      <c r="BJ853" s="147"/>
      <c r="BK853" s="147"/>
      <c r="BL853" s="147"/>
      <c r="BM853" s="147"/>
      <c r="BN853" s="147"/>
      <c r="BO853" s="147"/>
      <c r="BP853" s="147"/>
      <c r="BQ853" s="147"/>
      <c r="BR853" s="147"/>
      <c r="BS853" s="147"/>
      <c r="BT853" s="147"/>
      <c r="BU853" s="147"/>
      <c r="BV853" s="147"/>
      <c r="BW853" s="147"/>
      <c r="BX853" s="147"/>
      <c r="BY853" s="147"/>
      <c r="BZ853" s="147"/>
      <c r="CA853" s="147"/>
      <c r="CB853" s="147"/>
      <c r="CC853" s="147"/>
      <c r="CD853" s="147"/>
      <c r="CE853" s="147"/>
      <c r="CF853" s="147"/>
      <c r="CG853" s="147"/>
      <c r="CH853" s="147"/>
      <c r="CI853" s="147"/>
      <c r="CJ853" s="147"/>
      <c r="CK853" s="147"/>
    </row>
    <row r="854" spans="1:89">
      <c r="A854" s="157"/>
      <c r="F854" s="3"/>
      <c r="G854" s="3"/>
      <c r="L854" s="157"/>
      <c r="M854" s="157"/>
      <c r="O854" s="147"/>
      <c r="P854" s="147"/>
      <c r="Q854" s="147"/>
      <c r="R854" s="147"/>
      <c r="S854" s="147"/>
      <c r="T854" s="147"/>
      <c r="U854" s="147"/>
      <c r="V854" s="147"/>
      <c r="W854" s="147"/>
      <c r="X854" s="147"/>
      <c r="Y854" s="147"/>
      <c r="Z854" s="147"/>
      <c r="AA854" s="147"/>
      <c r="AB854" s="147"/>
      <c r="AC854" s="147"/>
      <c r="AD854" s="147"/>
      <c r="AE854" s="147"/>
      <c r="AF854" s="147"/>
      <c r="AG854" s="147"/>
      <c r="AH854" s="147"/>
      <c r="AI854" s="147"/>
      <c r="AJ854" s="147"/>
      <c r="AK854" s="147"/>
      <c r="AL854" s="147"/>
      <c r="AM854" s="151"/>
      <c r="AN854" s="147"/>
      <c r="AO854" s="147"/>
      <c r="AP854" s="147"/>
      <c r="AQ854" s="147"/>
      <c r="AR854" s="147"/>
      <c r="AS854" s="147"/>
      <c r="AT854" s="147"/>
      <c r="AU854" s="147"/>
      <c r="AV854" s="147"/>
      <c r="AW854" s="147"/>
      <c r="AX854" s="147"/>
      <c r="AY854" s="147"/>
      <c r="AZ854" s="147"/>
      <c r="BA854" s="147"/>
      <c r="BB854" s="147"/>
      <c r="BC854" s="147"/>
      <c r="BD854" s="147"/>
      <c r="BE854" s="147"/>
      <c r="BF854" s="147"/>
      <c r="BG854" s="147"/>
      <c r="BH854" s="147"/>
      <c r="BI854" s="147"/>
      <c r="BJ854" s="147"/>
      <c r="BK854" s="147"/>
      <c r="BL854" s="147"/>
      <c r="BM854" s="147"/>
      <c r="BN854" s="147"/>
      <c r="BO854" s="147"/>
      <c r="BP854" s="147"/>
      <c r="BQ854" s="147"/>
      <c r="BR854" s="147"/>
      <c r="BS854" s="147"/>
      <c r="BT854" s="147"/>
      <c r="BU854" s="147"/>
      <c r="BV854" s="147"/>
      <c r="BW854" s="147"/>
      <c r="BX854" s="147"/>
      <c r="BY854" s="147"/>
      <c r="BZ854" s="147"/>
      <c r="CA854" s="147"/>
      <c r="CB854" s="147"/>
      <c r="CC854" s="147"/>
      <c r="CD854" s="147"/>
      <c r="CE854" s="147"/>
      <c r="CF854" s="147"/>
      <c r="CG854" s="147"/>
      <c r="CH854" s="147"/>
      <c r="CI854" s="147"/>
      <c r="CJ854" s="147"/>
      <c r="CK854" s="147"/>
    </row>
    <row r="855" spans="1:89">
      <c r="A855" s="157"/>
      <c r="F855" s="3"/>
      <c r="G855" s="3"/>
      <c r="L855" s="157"/>
      <c r="M855" s="157"/>
      <c r="O855" s="147"/>
      <c r="P855" s="147"/>
      <c r="Q855" s="147"/>
      <c r="R855" s="147"/>
      <c r="S855" s="147"/>
      <c r="T855" s="147"/>
      <c r="U855" s="147"/>
      <c r="V855" s="147"/>
      <c r="W855" s="147"/>
      <c r="X855" s="147"/>
      <c r="Y855" s="147"/>
      <c r="Z855" s="147"/>
      <c r="AA855" s="147"/>
      <c r="AB855" s="147"/>
      <c r="AC855" s="147"/>
      <c r="AD855" s="147"/>
      <c r="AE855" s="147"/>
      <c r="AF855" s="147"/>
      <c r="AG855" s="147"/>
      <c r="AH855" s="147"/>
      <c r="AI855" s="147"/>
      <c r="AJ855" s="147"/>
      <c r="AK855" s="147"/>
      <c r="AL855" s="147"/>
      <c r="AM855" s="151"/>
      <c r="AN855" s="147"/>
      <c r="AO855" s="147"/>
      <c r="AP855" s="147"/>
      <c r="AQ855" s="147"/>
      <c r="AR855" s="147"/>
      <c r="AS855" s="147"/>
      <c r="AT855" s="147"/>
      <c r="AU855" s="147"/>
      <c r="AV855" s="147"/>
      <c r="AW855" s="147"/>
      <c r="AX855" s="147"/>
      <c r="AY855" s="147"/>
      <c r="AZ855" s="147"/>
      <c r="BA855" s="147"/>
      <c r="BB855" s="147"/>
      <c r="BC855" s="147"/>
      <c r="BD855" s="147"/>
      <c r="BE855" s="147"/>
      <c r="BF855" s="147"/>
      <c r="BG855" s="147"/>
      <c r="BH855" s="147"/>
      <c r="BI855" s="147"/>
      <c r="BJ855" s="147"/>
      <c r="BK855" s="147"/>
      <c r="BL855" s="147"/>
      <c r="BM855" s="147"/>
      <c r="BN855" s="147"/>
      <c r="BO855" s="147"/>
      <c r="BP855" s="147"/>
      <c r="BQ855" s="147"/>
      <c r="BR855" s="147"/>
      <c r="BS855" s="147"/>
      <c r="BT855" s="147"/>
      <c r="BU855" s="147"/>
      <c r="BV855" s="147"/>
      <c r="BW855" s="147"/>
      <c r="BX855" s="147"/>
      <c r="BY855" s="147"/>
      <c r="BZ855" s="147"/>
      <c r="CA855" s="147"/>
      <c r="CB855" s="147"/>
      <c r="CC855" s="147"/>
      <c r="CD855" s="147"/>
      <c r="CE855" s="147"/>
      <c r="CF855" s="147"/>
      <c r="CG855" s="147"/>
      <c r="CH855" s="147"/>
      <c r="CI855" s="147"/>
      <c r="CJ855" s="147"/>
      <c r="CK855" s="147"/>
    </row>
    <row r="856" spans="1:89">
      <c r="A856" s="157"/>
      <c r="F856" s="3"/>
      <c r="G856" s="3"/>
      <c r="L856" s="157"/>
      <c r="M856" s="157"/>
      <c r="O856" s="147"/>
      <c r="P856" s="147"/>
      <c r="Q856" s="147"/>
      <c r="R856" s="147"/>
      <c r="S856" s="147"/>
      <c r="T856" s="147"/>
      <c r="U856" s="147"/>
      <c r="V856" s="147"/>
      <c r="W856" s="147"/>
      <c r="X856" s="147"/>
      <c r="Y856" s="147"/>
      <c r="Z856" s="147"/>
      <c r="AA856" s="147"/>
      <c r="AB856" s="147"/>
      <c r="AC856" s="147"/>
      <c r="AD856" s="147"/>
      <c r="AE856" s="147"/>
      <c r="AF856" s="147"/>
      <c r="AG856" s="147"/>
      <c r="AH856" s="147"/>
      <c r="AI856" s="147"/>
      <c r="AJ856" s="147"/>
      <c r="AK856" s="147"/>
      <c r="AL856" s="147"/>
      <c r="AM856" s="151"/>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c r="BI856" s="147"/>
      <c r="BJ856" s="147"/>
      <c r="BK856" s="147"/>
      <c r="BL856" s="147"/>
      <c r="BM856" s="147"/>
      <c r="BN856" s="147"/>
      <c r="BO856" s="147"/>
      <c r="BP856" s="147"/>
      <c r="BQ856" s="147"/>
      <c r="BR856" s="147"/>
      <c r="BS856" s="147"/>
      <c r="BT856" s="147"/>
      <c r="BU856" s="147"/>
      <c r="BV856" s="147"/>
      <c r="BW856" s="147"/>
      <c r="BX856" s="147"/>
      <c r="BY856" s="147"/>
      <c r="BZ856" s="147"/>
      <c r="CA856" s="147"/>
      <c r="CB856" s="147"/>
      <c r="CC856" s="147"/>
      <c r="CD856" s="147"/>
      <c r="CE856" s="147"/>
      <c r="CF856" s="147"/>
      <c r="CG856" s="147"/>
      <c r="CH856" s="147"/>
      <c r="CI856" s="147"/>
      <c r="CJ856" s="147"/>
      <c r="CK856" s="147"/>
    </row>
    <row r="857" spans="1:89">
      <c r="A857" s="157"/>
      <c r="F857" s="3"/>
      <c r="G857" s="3"/>
      <c r="L857" s="157"/>
      <c r="M857" s="157"/>
      <c r="O857" s="147"/>
      <c r="P857" s="147"/>
      <c r="Q857" s="147"/>
      <c r="R857" s="147"/>
      <c r="S857" s="147"/>
      <c r="T857" s="147"/>
      <c r="U857" s="147"/>
      <c r="V857" s="147"/>
      <c r="W857" s="147"/>
      <c r="X857" s="147"/>
      <c r="Y857" s="147"/>
      <c r="Z857" s="147"/>
      <c r="AA857" s="147"/>
      <c r="AB857" s="147"/>
      <c r="AC857" s="147"/>
      <c r="AD857" s="147"/>
      <c r="AE857" s="147"/>
      <c r="AF857" s="147"/>
      <c r="AG857" s="147"/>
      <c r="AH857" s="147"/>
      <c r="AI857" s="147"/>
      <c r="AJ857" s="147"/>
      <c r="AK857" s="147"/>
      <c r="AL857" s="147"/>
      <c r="AM857" s="151"/>
      <c r="AN857" s="147"/>
      <c r="AO857" s="147"/>
      <c r="AP857" s="147"/>
      <c r="AQ857" s="147"/>
      <c r="AR857" s="147"/>
      <c r="AS857" s="147"/>
      <c r="AT857" s="147"/>
      <c r="AU857" s="147"/>
      <c r="AV857" s="147"/>
      <c r="AW857" s="147"/>
      <c r="AX857" s="147"/>
      <c r="AY857" s="147"/>
      <c r="AZ857" s="147"/>
      <c r="BA857" s="147"/>
      <c r="BB857" s="147"/>
      <c r="BC857" s="147"/>
      <c r="BD857" s="147"/>
      <c r="BE857" s="147"/>
      <c r="BF857" s="147"/>
      <c r="BG857" s="147"/>
      <c r="BH857" s="147"/>
      <c r="BI857" s="147"/>
      <c r="BJ857" s="147"/>
      <c r="BK857" s="147"/>
      <c r="BL857" s="147"/>
      <c r="BM857" s="147"/>
      <c r="BN857" s="147"/>
      <c r="BO857" s="147"/>
      <c r="BP857" s="147"/>
      <c r="BQ857" s="147"/>
      <c r="BR857" s="147"/>
      <c r="BS857" s="147"/>
      <c r="BT857" s="147"/>
      <c r="BU857" s="147"/>
      <c r="BV857" s="147"/>
      <c r="BW857" s="147"/>
      <c r="BX857" s="147"/>
      <c r="BY857" s="147"/>
      <c r="BZ857" s="147"/>
      <c r="CA857" s="147"/>
      <c r="CB857" s="147"/>
      <c r="CC857" s="147"/>
      <c r="CD857" s="147"/>
      <c r="CE857" s="147"/>
      <c r="CF857" s="147"/>
      <c r="CG857" s="147"/>
      <c r="CH857" s="147"/>
      <c r="CI857" s="147"/>
      <c r="CJ857" s="147"/>
      <c r="CK857" s="147"/>
    </row>
    <row r="858" spans="1:89">
      <c r="A858" s="157"/>
      <c r="F858" s="3"/>
      <c r="G858" s="3"/>
      <c r="L858" s="157"/>
      <c r="M858" s="157"/>
      <c r="O858" s="147"/>
      <c r="P858" s="147"/>
      <c r="Q858" s="147"/>
      <c r="R858" s="147"/>
      <c r="S858" s="147"/>
      <c r="T858" s="147"/>
      <c r="U858" s="147"/>
      <c r="V858" s="147"/>
      <c r="W858" s="147"/>
      <c r="X858" s="147"/>
      <c r="Y858" s="147"/>
      <c r="Z858" s="147"/>
      <c r="AA858" s="147"/>
      <c r="AB858" s="147"/>
      <c r="AC858" s="147"/>
      <c r="AD858" s="147"/>
      <c r="AE858" s="147"/>
      <c r="AF858" s="147"/>
      <c r="AG858" s="147"/>
      <c r="AH858" s="147"/>
      <c r="AI858" s="147"/>
      <c r="AJ858" s="147"/>
      <c r="AK858" s="147"/>
      <c r="AL858" s="147"/>
      <c r="AM858" s="151"/>
      <c r="AN858" s="147"/>
      <c r="AO858" s="147"/>
      <c r="AP858" s="147"/>
      <c r="AQ858" s="147"/>
      <c r="AR858" s="147"/>
      <c r="AS858" s="147"/>
      <c r="AT858" s="147"/>
      <c r="AU858" s="147"/>
      <c r="AV858" s="147"/>
      <c r="AW858" s="147"/>
      <c r="AX858" s="147"/>
      <c r="AY858" s="147"/>
      <c r="AZ858" s="147"/>
      <c r="BA858" s="147"/>
      <c r="BB858" s="147"/>
      <c r="BC858" s="147"/>
      <c r="BD858" s="147"/>
      <c r="BE858" s="147"/>
      <c r="BF858" s="147"/>
      <c r="BG858" s="147"/>
      <c r="BH858" s="147"/>
      <c r="BI858" s="147"/>
      <c r="BJ858" s="147"/>
      <c r="BK858" s="147"/>
      <c r="BL858" s="147"/>
      <c r="BM858" s="147"/>
      <c r="BN858" s="147"/>
      <c r="BO858" s="147"/>
      <c r="BP858" s="147"/>
      <c r="BQ858" s="147"/>
      <c r="BR858" s="147"/>
      <c r="BS858" s="147"/>
      <c r="BT858" s="147"/>
      <c r="BU858" s="147"/>
      <c r="BV858" s="147"/>
      <c r="BW858" s="147"/>
      <c r="BX858" s="147"/>
      <c r="BY858" s="147"/>
      <c r="BZ858" s="147"/>
      <c r="CA858" s="147"/>
      <c r="CB858" s="147"/>
      <c r="CC858" s="147"/>
      <c r="CD858" s="147"/>
      <c r="CE858" s="147"/>
      <c r="CF858" s="147"/>
      <c r="CG858" s="147"/>
      <c r="CH858" s="147"/>
      <c r="CI858" s="147"/>
      <c r="CJ858" s="147"/>
      <c r="CK858" s="147"/>
    </row>
    <row r="859" spans="1:89">
      <c r="A859" s="157"/>
      <c r="F859" s="3"/>
      <c r="G859" s="3"/>
      <c r="L859" s="157"/>
      <c r="M859" s="157"/>
      <c r="O859" s="147"/>
      <c r="P859" s="147"/>
      <c r="Q859" s="147"/>
      <c r="R859" s="147"/>
      <c r="S859" s="147"/>
      <c r="T859" s="147"/>
      <c r="U859" s="147"/>
      <c r="V859" s="147"/>
      <c r="W859" s="147"/>
      <c r="X859" s="147"/>
      <c r="Y859" s="147"/>
      <c r="Z859" s="147"/>
      <c r="AA859" s="147"/>
      <c r="AB859" s="147"/>
      <c r="AC859" s="147"/>
      <c r="AD859" s="147"/>
      <c r="AE859" s="147"/>
      <c r="AF859" s="147"/>
      <c r="AG859" s="147"/>
      <c r="AH859" s="147"/>
      <c r="AI859" s="147"/>
      <c r="AJ859" s="147"/>
      <c r="AK859" s="147"/>
      <c r="AL859" s="147"/>
      <c r="AM859" s="151"/>
      <c r="AN859" s="147"/>
      <c r="AO859" s="147"/>
      <c r="AP859" s="147"/>
      <c r="AQ859" s="147"/>
      <c r="AR859" s="147"/>
      <c r="AS859" s="147"/>
      <c r="AT859" s="147"/>
      <c r="AU859" s="147"/>
      <c r="AV859" s="147"/>
      <c r="AW859" s="147"/>
      <c r="AX859" s="147"/>
      <c r="AY859" s="147"/>
      <c r="AZ859" s="147"/>
      <c r="BA859" s="147"/>
      <c r="BB859" s="147"/>
      <c r="BC859" s="147"/>
      <c r="BD859" s="147"/>
      <c r="BE859" s="147"/>
      <c r="BF859" s="147"/>
      <c r="BG859" s="147"/>
      <c r="BH859" s="147"/>
      <c r="BI859" s="147"/>
      <c r="BJ859" s="147"/>
      <c r="BK859" s="147"/>
      <c r="BL859" s="147"/>
      <c r="BM859" s="147"/>
      <c r="BN859" s="147"/>
      <c r="BO859" s="147"/>
      <c r="BP859" s="147"/>
      <c r="BQ859" s="147"/>
      <c r="BR859" s="147"/>
      <c r="BS859" s="147"/>
      <c r="BT859" s="147"/>
      <c r="BU859" s="147"/>
      <c r="BV859" s="147"/>
      <c r="BW859" s="147"/>
      <c r="BX859" s="147"/>
      <c r="BY859" s="147"/>
      <c r="BZ859" s="147"/>
      <c r="CA859" s="147"/>
      <c r="CB859" s="147"/>
      <c r="CC859" s="147"/>
      <c r="CD859" s="147"/>
      <c r="CE859" s="147"/>
      <c r="CF859" s="147"/>
      <c r="CG859" s="147"/>
      <c r="CH859" s="147"/>
      <c r="CI859" s="147"/>
      <c r="CJ859" s="147"/>
      <c r="CK859" s="147"/>
    </row>
    <row r="860" spans="1:89">
      <c r="A860" s="157"/>
      <c r="F860" s="3"/>
      <c r="G860" s="3"/>
      <c r="L860" s="157"/>
      <c r="M860" s="157"/>
      <c r="O860" s="147"/>
      <c r="P860" s="147"/>
      <c r="Q860" s="147"/>
      <c r="R860" s="147"/>
      <c r="S860" s="147"/>
      <c r="T860" s="147"/>
      <c r="U860" s="147"/>
      <c r="V860" s="147"/>
      <c r="W860" s="147"/>
      <c r="X860" s="147"/>
      <c r="Y860" s="147"/>
      <c r="Z860" s="147"/>
      <c r="AA860" s="147"/>
      <c r="AB860" s="147"/>
      <c r="AC860" s="147"/>
      <c r="AD860" s="147"/>
      <c r="AE860" s="147"/>
      <c r="AF860" s="147"/>
      <c r="AG860" s="147"/>
      <c r="AH860" s="147"/>
      <c r="AI860" s="147"/>
      <c r="AJ860" s="147"/>
      <c r="AK860" s="147"/>
      <c r="AL860" s="147"/>
      <c r="AM860" s="151"/>
      <c r="AN860" s="147"/>
      <c r="AO860" s="147"/>
      <c r="AP860" s="147"/>
      <c r="AQ860" s="147"/>
      <c r="AR860" s="147"/>
      <c r="AS860" s="147"/>
      <c r="AT860" s="147"/>
      <c r="AU860" s="147"/>
      <c r="AV860" s="147"/>
      <c r="AW860" s="147"/>
      <c r="AX860" s="147"/>
      <c r="AY860" s="147"/>
      <c r="AZ860" s="147"/>
      <c r="BA860" s="147"/>
      <c r="BB860" s="147"/>
      <c r="BC860" s="147"/>
      <c r="BD860" s="147"/>
      <c r="BE860" s="147"/>
      <c r="BF860" s="147"/>
      <c r="BG860" s="147"/>
      <c r="BH860" s="147"/>
      <c r="BI860" s="147"/>
      <c r="BJ860" s="147"/>
      <c r="BK860" s="147"/>
      <c r="BL860" s="147"/>
      <c r="BM860" s="147"/>
      <c r="BN860" s="147"/>
      <c r="BO860" s="147"/>
      <c r="BP860" s="147"/>
      <c r="BQ860" s="147"/>
      <c r="BR860" s="147"/>
      <c r="BS860" s="147"/>
      <c r="BT860" s="147"/>
      <c r="BU860" s="147"/>
      <c r="BV860" s="147"/>
      <c r="BW860" s="147"/>
      <c r="BX860" s="147"/>
      <c r="BY860" s="147"/>
      <c r="BZ860" s="147"/>
      <c r="CA860" s="147"/>
      <c r="CB860" s="147"/>
      <c r="CC860" s="147"/>
      <c r="CD860" s="147"/>
      <c r="CE860" s="147"/>
      <c r="CF860" s="147"/>
      <c r="CG860" s="147"/>
      <c r="CH860" s="147"/>
      <c r="CI860" s="147"/>
      <c r="CJ860" s="147"/>
      <c r="CK860" s="147"/>
    </row>
    <row r="861" spans="1:89">
      <c r="A861" s="157"/>
      <c r="F861" s="3"/>
      <c r="G861" s="3"/>
      <c r="L861" s="157"/>
      <c r="M861" s="157"/>
      <c r="O861" s="147"/>
      <c r="P861" s="147"/>
      <c r="Q861" s="147"/>
      <c r="R861" s="147"/>
      <c r="S861" s="147"/>
      <c r="T861" s="147"/>
      <c r="U861" s="147"/>
      <c r="V861" s="147"/>
      <c r="W861" s="147"/>
      <c r="X861" s="147"/>
      <c r="Y861" s="147"/>
      <c r="Z861" s="147"/>
      <c r="AA861" s="147"/>
      <c r="AB861" s="147"/>
      <c r="AC861" s="147"/>
      <c r="AD861" s="147"/>
      <c r="AE861" s="147"/>
      <c r="AF861" s="147"/>
      <c r="AG861" s="147"/>
      <c r="AH861" s="147"/>
      <c r="AI861" s="147"/>
      <c r="AJ861" s="147"/>
      <c r="AK861" s="147"/>
      <c r="AL861" s="147"/>
      <c r="AM861" s="151"/>
      <c r="AN861" s="147"/>
      <c r="AO861" s="147"/>
      <c r="AP861" s="147"/>
      <c r="AQ861" s="147"/>
      <c r="AR861" s="147"/>
      <c r="AS861" s="147"/>
      <c r="AT861" s="147"/>
      <c r="AU861" s="147"/>
      <c r="AV861" s="147"/>
      <c r="AW861" s="147"/>
      <c r="AX861" s="147"/>
      <c r="AY861" s="147"/>
      <c r="AZ861" s="147"/>
      <c r="BA861" s="147"/>
      <c r="BB861" s="147"/>
      <c r="BC861" s="147"/>
      <c r="BD861" s="147"/>
      <c r="BE861" s="147"/>
      <c r="BF861" s="147"/>
      <c r="BG861" s="147"/>
      <c r="BH861" s="147"/>
      <c r="BI861" s="147"/>
      <c r="BJ861" s="147"/>
      <c r="BK861" s="147"/>
      <c r="BL861" s="147"/>
      <c r="BM861" s="147"/>
      <c r="BN861" s="147"/>
      <c r="BO861" s="147"/>
      <c r="BP861" s="147"/>
      <c r="BQ861" s="147"/>
      <c r="BR861" s="147"/>
      <c r="BS861" s="147"/>
      <c r="BT861" s="147"/>
      <c r="BU861" s="147"/>
      <c r="BV861" s="147"/>
      <c r="BW861" s="147"/>
      <c r="BX861" s="147"/>
      <c r="BY861" s="147"/>
      <c r="BZ861" s="147"/>
      <c r="CA861" s="147"/>
      <c r="CB861" s="147"/>
      <c r="CC861" s="147"/>
      <c r="CD861" s="147"/>
      <c r="CE861" s="147"/>
      <c r="CF861" s="147"/>
      <c r="CG861" s="147"/>
      <c r="CH861" s="147"/>
      <c r="CI861" s="147"/>
      <c r="CJ861" s="147"/>
      <c r="CK861" s="147"/>
    </row>
    <row r="862" spans="1:89">
      <c r="A862" s="157"/>
      <c r="F862" s="3"/>
      <c r="G862" s="3"/>
      <c r="L862" s="157"/>
      <c r="M862" s="157"/>
      <c r="O862" s="147"/>
      <c r="P862" s="147"/>
      <c r="Q862" s="147"/>
      <c r="R862" s="147"/>
      <c r="S862" s="147"/>
      <c r="T862" s="147"/>
      <c r="U862" s="147"/>
      <c r="V862" s="147"/>
      <c r="W862" s="147"/>
      <c r="X862" s="147"/>
      <c r="Y862" s="147"/>
      <c r="Z862" s="147"/>
      <c r="AA862" s="147"/>
      <c r="AB862" s="147"/>
      <c r="AC862" s="147"/>
      <c r="AD862" s="147"/>
      <c r="AE862" s="147"/>
      <c r="AF862" s="147"/>
      <c r="AG862" s="147"/>
      <c r="AH862" s="147"/>
      <c r="AI862" s="147"/>
      <c r="AJ862" s="147"/>
      <c r="AK862" s="147"/>
      <c r="AL862" s="147"/>
      <c r="AM862" s="151"/>
      <c r="AN862" s="147"/>
      <c r="AO862" s="147"/>
      <c r="AP862" s="147"/>
      <c r="AQ862" s="147"/>
      <c r="AR862" s="147"/>
      <c r="AS862" s="147"/>
      <c r="AT862" s="147"/>
      <c r="AU862" s="147"/>
      <c r="AV862" s="147"/>
      <c r="AW862" s="147"/>
      <c r="AX862" s="147"/>
      <c r="AY862" s="147"/>
      <c r="AZ862" s="147"/>
      <c r="BA862" s="147"/>
      <c r="BB862" s="147"/>
      <c r="BC862" s="147"/>
      <c r="BD862" s="147"/>
      <c r="BE862" s="147"/>
      <c r="BF862" s="147"/>
      <c r="BG862" s="147"/>
      <c r="BH862" s="147"/>
      <c r="BI862" s="147"/>
      <c r="BJ862" s="147"/>
      <c r="BK862" s="147"/>
      <c r="BL862" s="147"/>
      <c r="BM862" s="147"/>
      <c r="BN862" s="147"/>
      <c r="BO862" s="147"/>
      <c r="BP862" s="147"/>
      <c r="BQ862" s="147"/>
      <c r="BR862" s="147"/>
      <c r="BS862" s="147"/>
      <c r="BT862" s="147"/>
      <c r="BU862" s="147"/>
      <c r="BV862" s="147"/>
      <c r="BW862" s="147"/>
      <c r="BX862" s="147"/>
      <c r="BY862" s="147"/>
      <c r="BZ862" s="147"/>
      <c r="CA862" s="147"/>
      <c r="CB862" s="147"/>
      <c r="CC862" s="147"/>
      <c r="CD862" s="147"/>
      <c r="CE862" s="147"/>
      <c r="CF862" s="147"/>
      <c r="CG862" s="147"/>
      <c r="CH862" s="147"/>
      <c r="CI862" s="147"/>
      <c r="CJ862" s="147"/>
      <c r="CK862" s="147"/>
    </row>
    <row r="863" spans="1:89">
      <c r="A863" s="157"/>
      <c r="F863" s="3"/>
      <c r="G863" s="3"/>
      <c r="L863" s="157"/>
      <c r="M863" s="157"/>
      <c r="O863" s="147"/>
      <c r="P863" s="147"/>
      <c r="Q863" s="147"/>
      <c r="R863" s="147"/>
      <c r="S863" s="147"/>
      <c r="T863" s="147"/>
      <c r="U863" s="147"/>
      <c r="V863" s="147"/>
      <c r="W863" s="147"/>
      <c r="X863" s="147"/>
      <c r="Y863" s="147"/>
      <c r="Z863" s="147"/>
      <c r="AA863" s="147"/>
      <c r="AB863" s="147"/>
      <c r="AC863" s="147"/>
      <c r="AD863" s="147"/>
      <c r="AE863" s="147"/>
      <c r="AF863" s="147"/>
      <c r="AG863" s="147"/>
      <c r="AH863" s="147"/>
      <c r="AI863" s="147"/>
      <c r="AJ863" s="147"/>
      <c r="AK863" s="147"/>
      <c r="AL863" s="147"/>
      <c r="AM863" s="151"/>
      <c r="AN863" s="147"/>
      <c r="AO863" s="147"/>
      <c r="AP863" s="147"/>
      <c r="AQ863" s="147"/>
      <c r="AR863" s="147"/>
      <c r="AS863" s="147"/>
      <c r="AT863" s="147"/>
      <c r="AU863" s="147"/>
      <c r="AV863" s="147"/>
      <c r="AW863" s="147"/>
      <c r="AX863" s="147"/>
      <c r="AY863" s="147"/>
      <c r="AZ863" s="147"/>
      <c r="BA863" s="147"/>
      <c r="BB863" s="147"/>
      <c r="BC863" s="147"/>
      <c r="BD863" s="147"/>
      <c r="BE863" s="147"/>
      <c r="BF863" s="147"/>
      <c r="BG863" s="147"/>
      <c r="BH863" s="147"/>
      <c r="BI863" s="147"/>
      <c r="BJ863" s="147"/>
      <c r="BK863" s="147"/>
      <c r="BL863" s="147"/>
      <c r="BM863" s="147"/>
      <c r="BN863" s="147"/>
      <c r="BO863" s="147"/>
      <c r="BP863" s="147"/>
      <c r="BQ863" s="147"/>
      <c r="BR863" s="147"/>
      <c r="BS863" s="147"/>
      <c r="BT863" s="147"/>
      <c r="BU863" s="147"/>
      <c r="BV863" s="147"/>
      <c r="BW863" s="147"/>
      <c r="BX863" s="147"/>
      <c r="BY863" s="147"/>
      <c r="BZ863" s="147"/>
      <c r="CA863" s="147"/>
      <c r="CB863" s="147"/>
      <c r="CC863" s="147"/>
      <c r="CD863" s="147"/>
      <c r="CE863" s="147"/>
      <c r="CF863" s="147"/>
      <c r="CG863" s="147"/>
      <c r="CH863" s="147"/>
      <c r="CI863" s="147"/>
      <c r="CJ863" s="147"/>
      <c r="CK863" s="147"/>
    </row>
    <row r="864" spans="1:89">
      <c r="A864" s="157"/>
      <c r="F864" s="3"/>
      <c r="G864" s="3"/>
      <c r="L864" s="157"/>
      <c r="M864" s="157"/>
      <c r="O864" s="147"/>
      <c r="P864" s="147"/>
      <c r="Q864" s="147"/>
      <c r="R864" s="147"/>
      <c r="S864" s="147"/>
      <c r="T864" s="147"/>
      <c r="U864" s="147"/>
      <c r="V864" s="147"/>
      <c r="W864" s="147"/>
      <c r="X864" s="147"/>
      <c r="Y864" s="147"/>
      <c r="Z864" s="147"/>
      <c r="AA864" s="147"/>
      <c r="AB864" s="147"/>
      <c r="AC864" s="147"/>
      <c r="AD864" s="147"/>
      <c r="AE864" s="147"/>
      <c r="AF864" s="147"/>
      <c r="AG864" s="147"/>
      <c r="AH864" s="147"/>
      <c r="AI864" s="147"/>
      <c r="AJ864" s="147"/>
      <c r="AK864" s="147"/>
      <c r="AL864" s="147"/>
      <c r="AM864" s="151"/>
      <c r="AN864" s="147"/>
      <c r="AO864" s="147"/>
      <c r="AP864" s="147"/>
      <c r="AQ864" s="147"/>
      <c r="AR864" s="147"/>
      <c r="AS864" s="147"/>
      <c r="AT864" s="147"/>
      <c r="AU864" s="147"/>
      <c r="AV864" s="147"/>
      <c r="AW864" s="147"/>
      <c r="AX864" s="147"/>
      <c r="AY864" s="147"/>
      <c r="AZ864" s="147"/>
      <c r="BA864" s="147"/>
      <c r="BB864" s="147"/>
      <c r="BC864" s="147"/>
      <c r="BD864" s="147"/>
      <c r="BE864" s="147"/>
      <c r="BF864" s="147"/>
      <c r="BG864" s="147"/>
      <c r="BH864" s="147"/>
      <c r="BI864" s="147"/>
      <c r="BJ864" s="147"/>
      <c r="BK864" s="147"/>
      <c r="BL864" s="147"/>
      <c r="BM864" s="147"/>
      <c r="BN864" s="147"/>
      <c r="BO864" s="147"/>
      <c r="BP864" s="147"/>
      <c r="BQ864" s="147"/>
      <c r="BR864" s="147"/>
      <c r="BS864" s="147"/>
      <c r="BT864" s="147"/>
      <c r="BU864" s="147"/>
      <c r="BV864" s="147"/>
      <c r="BW864" s="147"/>
      <c r="BX864" s="147"/>
      <c r="BY864" s="147"/>
      <c r="BZ864" s="147"/>
      <c r="CA864" s="147"/>
      <c r="CB864" s="147"/>
      <c r="CC864" s="147"/>
      <c r="CD864" s="147"/>
      <c r="CE864" s="147"/>
      <c r="CF864" s="147"/>
      <c r="CG864" s="147"/>
      <c r="CH864" s="147"/>
      <c r="CI864" s="147"/>
      <c r="CJ864" s="147"/>
      <c r="CK864" s="147"/>
    </row>
    <row r="865" spans="1:89">
      <c r="A865" s="157"/>
      <c r="F865" s="3"/>
      <c r="G865" s="3"/>
      <c r="L865" s="157"/>
      <c r="M865" s="157"/>
      <c r="O865" s="147"/>
      <c r="P865" s="147"/>
      <c r="Q865" s="147"/>
      <c r="R865" s="147"/>
      <c r="S865" s="147"/>
      <c r="T865" s="147"/>
      <c r="U865" s="147"/>
      <c r="V865" s="147"/>
      <c r="W865" s="147"/>
      <c r="X865" s="147"/>
      <c r="Y865" s="147"/>
      <c r="Z865" s="147"/>
      <c r="AA865" s="147"/>
      <c r="AB865" s="147"/>
      <c r="AC865" s="147"/>
      <c r="AD865" s="147"/>
      <c r="AE865" s="147"/>
      <c r="AF865" s="147"/>
      <c r="AG865" s="147"/>
      <c r="AH865" s="147"/>
      <c r="AI865" s="147"/>
      <c r="AJ865" s="147"/>
      <c r="AK865" s="147"/>
      <c r="AL865" s="147"/>
      <c r="AM865" s="151"/>
      <c r="AN865" s="147"/>
      <c r="AO865" s="147"/>
      <c r="AP865" s="147"/>
      <c r="AQ865" s="147"/>
      <c r="AR865" s="147"/>
      <c r="AS865" s="147"/>
      <c r="AT865" s="147"/>
      <c r="AU865" s="147"/>
      <c r="AV865" s="147"/>
      <c r="AW865" s="147"/>
      <c r="AX865" s="147"/>
      <c r="AY865" s="147"/>
      <c r="AZ865" s="147"/>
      <c r="BA865" s="147"/>
      <c r="BB865" s="147"/>
      <c r="BC865" s="147"/>
      <c r="BD865" s="147"/>
      <c r="BE865" s="147"/>
      <c r="BF865" s="147"/>
      <c r="BG865" s="147"/>
      <c r="BH865" s="147"/>
      <c r="BI865" s="147"/>
      <c r="BJ865" s="147"/>
      <c r="BK865" s="147"/>
      <c r="BL865" s="147"/>
      <c r="BM865" s="147"/>
      <c r="BN865" s="147"/>
      <c r="BO865" s="147"/>
      <c r="BP865" s="147"/>
      <c r="BQ865" s="147"/>
      <c r="BR865" s="147"/>
      <c r="BS865" s="147"/>
      <c r="BT865" s="147"/>
      <c r="BU865" s="147"/>
      <c r="BV865" s="147"/>
      <c r="BW865" s="147"/>
      <c r="BX865" s="147"/>
      <c r="BY865" s="147"/>
      <c r="BZ865" s="147"/>
      <c r="CA865" s="147"/>
      <c r="CB865" s="147"/>
      <c r="CC865" s="147"/>
      <c r="CD865" s="147"/>
      <c r="CE865" s="147"/>
      <c r="CF865" s="147"/>
      <c r="CG865" s="147"/>
      <c r="CH865" s="147"/>
      <c r="CI865" s="147"/>
      <c r="CJ865" s="147"/>
      <c r="CK865" s="147"/>
    </row>
    <row r="866" spans="1:89">
      <c r="A866" s="157"/>
      <c r="F866" s="3"/>
      <c r="G866" s="3"/>
      <c r="L866" s="157"/>
      <c r="M866" s="157"/>
      <c r="O866" s="147"/>
      <c r="P866" s="147"/>
      <c r="Q866" s="147"/>
      <c r="R866" s="147"/>
      <c r="S866" s="147"/>
      <c r="T866" s="147"/>
      <c r="U866" s="147"/>
      <c r="V866" s="147"/>
      <c r="W866" s="147"/>
      <c r="X866" s="147"/>
      <c r="Y866" s="147"/>
      <c r="Z866" s="147"/>
      <c r="AA866" s="147"/>
      <c r="AB866" s="147"/>
      <c r="AC866" s="147"/>
      <c r="AD866" s="147"/>
      <c r="AE866" s="147"/>
      <c r="AF866" s="147"/>
      <c r="AG866" s="147"/>
      <c r="AH866" s="147"/>
      <c r="AI866" s="147"/>
      <c r="AJ866" s="147"/>
      <c r="AK866" s="147"/>
      <c r="AL866" s="147"/>
      <c r="AM866" s="151"/>
      <c r="AN866" s="147"/>
      <c r="AO866" s="147"/>
      <c r="AP866" s="147"/>
      <c r="AQ866" s="147"/>
      <c r="AR866" s="147"/>
      <c r="AS866" s="147"/>
      <c r="AT866" s="147"/>
      <c r="AU866" s="147"/>
      <c r="AV866" s="147"/>
      <c r="AW866" s="147"/>
      <c r="AX866" s="147"/>
      <c r="AY866" s="147"/>
      <c r="AZ866" s="147"/>
      <c r="BA866" s="147"/>
      <c r="BB866" s="147"/>
      <c r="BC866" s="147"/>
      <c r="BD866" s="147"/>
      <c r="BE866" s="147"/>
      <c r="BF866" s="147"/>
      <c r="BG866" s="147"/>
      <c r="BH866" s="147"/>
      <c r="BI866" s="147"/>
      <c r="BJ866" s="147"/>
      <c r="BK866" s="147"/>
      <c r="BL866" s="147"/>
      <c r="BM866" s="147"/>
      <c r="BN866" s="147"/>
      <c r="BO866" s="147"/>
      <c r="BP866" s="147"/>
      <c r="BQ866" s="147"/>
      <c r="BR866" s="147"/>
      <c r="BS866" s="147"/>
      <c r="BT866" s="147"/>
      <c r="BU866" s="147"/>
      <c r="BV866" s="147"/>
      <c r="BW866" s="147"/>
      <c r="BX866" s="147"/>
      <c r="BY866" s="147"/>
      <c r="BZ866" s="147"/>
      <c r="CA866" s="147"/>
      <c r="CB866" s="147"/>
      <c r="CC866" s="147"/>
      <c r="CD866" s="147"/>
      <c r="CE866" s="147"/>
      <c r="CF866" s="147"/>
      <c r="CG866" s="147"/>
      <c r="CH866" s="147"/>
      <c r="CI866" s="147"/>
      <c r="CJ866" s="147"/>
      <c r="CK866" s="147"/>
    </row>
    <row r="867" spans="1:89">
      <c r="A867" s="157"/>
      <c r="F867" s="3"/>
      <c r="G867" s="3"/>
      <c r="L867" s="157"/>
      <c r="M867" s="157"/>
      <c r="O867" s="147"/>
      <c r="P867" s="147"/>
      <c r="Q867" s="147"/>
      <c r="R867" s="147"/>
      <c r="S867" s="147"/>
      <c r="T867" s="147"/>
      <c r="U867" s="147"/>
      <c r="V867" s="147"/>
      <c r="W867" s="147"/>
      <c r="X867" s="147"/>
      <c r="Y867" s="147"/>
      <c r="Z867" s="147"/>
      <c r="AA867" s="147"/>
      <c r="AB867" s="147"/>
      <c r="AC867" s="147"/>
      <c r="AD867" s="147"/>
      <c r="AE867" s="147"/>
      <c r="AF867" s="147"/>
      <c r="AG867" s="147"/>
      <c r="AH867" s="147"/>
      <c r="AI867" s="147"/>
      <c r="AJ867" s="147"/>
      <c r="AK867" s="147"/>
      <c r="AL867" s="147"/>
      <c r="AM867" s="151"/>
      <c r="AN867" s="147"/>
      <c r="AO867" s="147"/>
      <c r="AP867" s="147"/>
      <c r="AQ867" s="147"/>
      <c r="AR867" s="147"/>
      <c r="AS867" s="147"/>
      <c r="AT867" s="147"/>
      <c r="AU867" s="147"/>
      <c r="AV867" s="147"/>
      <c r="AW867" s="147"/>
      <c r="AX867" s="147"/>
      <c r="AY867" s="147"/>
      <c r="AZ867" s="147"/>
      <c r="BA867" s="147"/>
      <c r="BB867" s="147"/>
      <c r="BC867" s="147"/>
      <c r="BD867" s="147"/>
      <c r="BE867" s="147"/>
      <c r="BF867" s="147"/>
      <c r="BG867" s="147"/>
      <c r="BH867" s="147"/>
      <c r="BI867" s="147"/>
      <c r="BJ867" s="147"/>
      <c r="BK867" s="147"/>
      <c r="BL867" s="147"/>
      <c r="BM867" s="147"/>
      <c r="BN867" s="147"/>
      <c r="BO867" s="147"/>
      <c r="BP867" s="147"/>
      <c r="BQ867" s="147"/>
      <c r="BR867" s="147"/>
      <c r="BS867" s="147"/>
      <c r="BT867" s="147"/>
      <c r="BU867" s="147"/>
      <c r="BV867" s="147"/>
      <c r="BW867" s="147"/>
      <c r="BX867" s="147"/>
      <c r="BY867" s="147"/>
      <c r="BZ867" s="147"/>
      <c r="CA867" s="147"/>
      <c r="CB867" s="147"/>
      <c r="CC867" s="147"/>
      <c r="CD867" s="147"/>
      <c r="CE867" s="147"/>
      <c r="CF867" s="147"/>
      <c r="CG867" s="147"/>
      <c r="CH867" s="147"/>
      <c r="CI867" s="147"/>
      <c r="CJ867" s="147"/>
      <c r="CK867" s="147"/>
    </row>
    <row r="868" spans="1:89">
      <c r="A868" s="157"/>
      <c r="F868" s="3"/>
      <c r="G868" s="3"/>
      <c r="L868" s="157"/>
      <c r="M868" s="157"/>
      <c r="O868" s="147"/>
      <c r="P868" s="147"/>
      <c r="Q868" s="147"/>
      <c r="R868" s="147"/>
      <c r="S868" s="147"/>
      <c r="T868" s="147"/>
      <c r="U868" s="147"/>
      <c r="V868" s="147"/>
      <c r="W868" s="147"/>
      <c r="X868" s="147"/>
      <c r="Y868" s="147"/>
      <c r="Z868" s="147"/>
      <c r="AA868" s="147"/>
      <c r="AB868" s="147"/>
      <c r="AC868" s="147"/>
      <c r="AD868" s="147"/>
      <c r="AE868" s="147"/>
      <c r="AF868" s="147"/>
      <c r="AG868" s="147"/>
      <c r="AH868" s="147"/>
      <c r="AI868" s="147"/>
      <c r="AJ868" s="147"/>
      <c r="AK868" s="147"/>
      <c r="AL868" s="147"/>
      <c r="AM868" s="151"/>
      <c r="AN868" s="147"/>
      <c r="AO868" s="147"/>
      <c r="AP868" s="147"/>
      <c r="AQ868" s="147"/>
      <c r="AR868" s="147"/>
      <c r="AS868" s="147"/>
      <c r="AT868" s="147"/>
      <c r="AU868" s="147"/>
      <c r="AV868" s="147"/>
      <c r="AW868" s="147"/>
      <c r="AX868" s="147"/>
      <c r="AY868" s="147"/>
      <c r="AZ868" s="147"/>
      <c r="BA868" s="147"/>
      <c r="BB868" s="147"/>
      <c r="BC868" s="147"/>
      <c r="BD868" s="147"/>
      <c r="BE868" s="147"/>
      <c r="BF868" s="147"/>
      <c r="BG868" s="147"/>
      <c r="BH868" s="147"/>
      <c r="BI868" s="147"/>
      <c r="BJ868" s="147"/>
      <c r="BK868" s="147"/>
      <c r="BL868" s="147"/>
      <c r="BM868" s="147"/>
      <c r="BN868" s="147"/>
      <c r="BO868" s="147"/>
      <c r="BP868" s="147"/>
      <c r="BQ868" s="147"/>
      <c r="BR868" s="147"/>
      <c r="BS868" s="147"/>
      <c r="BT868" s="147"/>
      <c r="BU868" s="147"/>
      <c r="BV868" s="147"/>
      <c r="BW868" s="147"/>
      <c r="BX868" s="147"/>
      <c r="BY868" s="147"/>
      <c r="BZ868" s="147"/>
      <c r="CA868" s="147"/>
      <c r="CB868" s="147"/>
      <c r="CC868" s="147"/>
      <c r="CD868" s="147"/>
      <c r="CE868" s="147"/>
      <c r="CF868" s="147"/>
      <c r="CG868" s="147"/>
      <c r="CH868" s="147"/>
      <c r="CI868" s="147"/>
      <c r="CJ868" s="147"/>
      <c r="CK868" s="147"/>
    </row>
    <row r="869" spans="1:89">
      <c r="A869" s="157"/>
      <c r="F869" s="3"/>
      <c r="G869" s="3"/>
      <c r="L869" s="157"/>
      <c r="M869" s="157"/>
      <c r="O869" s="147"/>
      <c r="P869" s="147"/>
      <c r="Q869" s="147"/>
      <c r="R869" s="147"/>
      <c r="S869" s="147"/>
      <c r="T869" s="147"/>
      <c r="U869" s="147"/>
      <c r="V869" s="147"/>
      <c r="W869" s="147"/>
      <c r="X869" s="147"/>
      <c r="Y869" s="147"/>
      <c r="Z869" s="147"/>
      <c r="AA869" s="147"/>
      <c r="AB869" s="147"/>
      <c r="AC869" s="147"/>
      <c r="AD869" s="147"/>
      <c r="AE869" s="147"/>
      <c r="AF869" s="147"/>
      <c r="AG869" s="147"/>
      <c r="AH869" s="147"/>
      <c r="AI869" s="147"/>
      <c r="AJ869" s="147"/>
      <c r="AK869" s="147"/>
      <c r="AL869" s="147"/>
      <c r="AM869" s="151"/>
      <c r="AN869" s="147"/>
      <c r="AO869" s="147"/>
      <c r="AP869" s="147"/>
      <c r="AQ869" s="147"/>
      <c r="AR869" s="147"/>
      <c r="AS869" s="147"/>
      <c r="AT869" s="147"/>
      <c r="AU869" s="147"/>
      <c r="AV869" s="147"/>
      <c r="AW869" s="147"/>
      <c r="AX869" s="147"/>
      <c r="AY869" s="147"/>
      <c r="AZ869" s="147"/>
      <c r="BA869" s="147"/>
      <c r="BB869" s="147"/>
      <c r="BC869" s="147"/>
      <c r="BD869" s="147"/>
      <c r="BE869" s="147"/>
      <c r="BF869" s="147"/>
      <c r="BG869" s="147"/>
      <c r="BH869" s="147"/>
      <c r="BI869" s="147"/>
      <c r="BJ869" s="147"/>
      <c r="BK869" s="147"/>
      <c r="BL869" s="147"/>
      <c r="BM869" s="147"/>
      <c r="BN869" s="147"/>
      <c r="BO869" s="147"/>
      <c r="BP869" s="147"/>
      <c r="BQ869" s="147"/>
      <c r="BR869" s="147"/>
      <c r="BS869" s="147"/>
      <c r="BT869" s="147"/>
      <c r="BU869" s="147"/>
      <c r="BV869" s="147"/>
      <c r="BW869" s="147"/>
      <c r="BX869" s="147"/>
      <c r="BY869" s="147"/>
      <c r="BZ869" s="147"/>
      <c r="CA869" s="147"/>
      <c r="CB869" s="147"/>
      <c r="CC869" s="147"/>
      <c r="CD869" s="147"/>
      <c r="CE869" s="147"/>
      <c r="CF869" s="147"/>
      <c r="CG869" s="147"/>
      <c r="CH869" s="147"/>
      <c r="CI869" s="147"/>
      <c r="CJ869" s="147"/>
      <c r="CK869" s="147"/>
    </row>
    <row r="870" spans="1:89">
      <c r="A870" s="157"/>
      <c r="F870" s="3"/>
      <c r="G870" s="3"/>
      <c r="L870" s="157"/>
      <c r="M870" s="157"/>
      <c r="O870" s="147"/>
      <c r="P870" s="147"/>
      <c r="Q870" s="147"/>
      <c r="R870" s="147"/>
      <c r="S870" s="147"/>
      <c r="T870" s="147"/>
      <c r="U870" s="147"/>
      <c r="V870" s="147"/>
      <c r="W870" s="147"/>
      <c r="X870" s="147"/>
      <c r="Y870" s="147"/>
      <c r="Z870" s="147"/>
      <c r="AA870" s="147"/>
      <c r="AB870" s="147"/>
      <c r="AC870" s="147"/>
      <c r="AD870" s="147"/>
      <c r="AE870" s="147"/>
      <c r="AF870" s="147"/>
      <c r="AG870" s="147"/>
      <c r="AH870" s="147"/>
      <c r="AI870" s="147"/>
      <c r="AJ870" s="147"/>
      <c r="AK870" s="147"/>
      <c r="AL870" s="147"/>
      <c r="AM870" s="151"/>
      <c r="AN870" s="147"/>
      <c r="AO870" s="147"/>
      <c r="AP870" s="147"/>
      <c r="AQ870" s="147"/>
      <c r="AR870" s="147"/>
      <c r="AS870" s="147"/>
      <c r="AT870" s="147"/>
      <c r="AU870" s="147"/>
      <c r="AV870" s="147"/>
      <c r="AW870" s="147"/>
      <c r="AX870" s="147"/>
      <c r="AY870" s="147"/>
      <c r="AZ870" s="147"/>
      <c r="BA870" s="147"/>
      <c r="BB870" s="147"/>
      <c r="BC870" s="147"/>
      <c r="BD870" s="147"/>
      <c r="BE870" s="147"/>
      <c r="BF870" s="147"/>
      <c r="BG870" s="147"/>
      <c r="BH870" s="147"/>
      <c r="BI870" s="147"/>
      <c r="BJ870" s="147"/>
      <c r="BK870" s="147"/>
      <c r="BL870" s="147"/>
      <c r="BM870" s="147"/>
      <c r="BN870" s="147"/>
      <c r="BO870" s="147"/>
      <c r="BP870" s="147"/>
      <c r="BQ870" s="147"/>
      <c r="BR870" s="147"/>
      <c r="BS870" s="147"/>
      <c r="BT870" s="147"/>
      <c r="BU870" s="147"/>
      <c r="BV870" s="147"/>
      <c r="BW870" s="147"/>
      <c r="BX870" s="147"/>
      <c r="BY870" s="147"/>
      <c r="BZ870" s="147"/>
      <c r="CA870" s="147"/>
      <c r="CB870" s="147"/>
      <c r="CC870" s="147"/>
      <c r="CD870" s="147"/>
      <c r="CE870" s="147"/>
      <c r="CF870" s="147"/>
      <c r="CG870" s="147"/>
      <c r="CH870" s="147"/>
      <c r="CI870" s="147"/>
      <c r="CJ870" s="147"/>
      <c r="CK870" s="147"/>
    </row>
    <row r="871" spans="1:89">
      <c r="A871" s="157"/>
      <c r="F871" s="3"/>
      <c r="G871" s="3"/>
      <c r="L871" s="157"/>
      <c r="M871" s="157"/>
      <c r="O871" s="147"/>
      <c r="P871" s="147"/>
      <c r="Q871" s="147"/>
      <c r="R871" s="147"/>
      <c r="S871" s="147"/>
      <c r="T871" s="147"/>
      <c r="U871" s="147"/>
      <c r="V871" s="147"/>
      <c r="W871" s="147"/>
      <c r="X871" s="147"/>
      <c r="Y871" s="147"/>
      <c r="Z871" s="147"/>
      <c r="AA871" s="147"/>
      <c r="AB871" s="147"/>
      <c r="AC871" s="147"/>
      <c r="AD871" s="147"/>
      <c r="AE871" s="147"/>
      <c r="AF871" s="147"/>
      <c r="AG871" s="147"/>
      <c r="AH871" s="147"/>
      <c r="AI871" s="147"/>
      <c r="AJ871" s="147"/>
      <c r="AK871" s="147"/>
      <c r="AL871" s="147"/>
      <c r="AM871" s="151"/>
      <c r="AN871" s="147"/>
      <c r="AO871" s="147"/>
      <c r="AP871" s="147"/>
      <c r="AQ871" s="147"/>
      <c r="AR871" s="147"/>
      <c r="AS871" s="147"/>
      <c r="AT871" s="147"/>
      <c r="AU871" s="147"/>
      <c r="AV871" s="147"/>
      <c r="AW871" s="147"/>
      <c r="AX871" s="147"/>
      <c r="AY871" s="147"/>
      <c r="AZ871" s="147"/>
      <c r="BA871" s="147"/>
      <c r="BB871" s="147"/>
      <c r="BC871" s="147"/>
      <c r="BD871" s="147"/>
      <c r="BE871" s="147"/>
      <c r="BF871" s="147"/>
      <c r="BG871" s="147"/>
      <c r="BH871" s="147"/>
      <c r="BI871" s="147"/>
      <c r="BJ871" s="147"/>
      <c r="BK871" s="147"/>
      <c r="BL871" s="147"/>
      <c r="BM871" s="147"/>
      <c r="BN871" s="147"/>
      <c r="BO871" s="147"/>
      <c r="BP871" s="147"/>
      <c r="BQ871" s="147"/>
      <c r="BR871" s="147"/>
      <c r="BS871" s="147"/>
      <c r="BT871" s="147"/>
      <c r="BU871" s="147"/>
      <c r="BV871" s="147"/>
      <c r="BW871" s="147"/>
      <c r="BX871" s="147"/>
      <c r="BY871" s="147"/>
      <c r="BZ871" s="147"/>
      <c r="CA871" s="147"/>
      <c r="CB871" s="147"/>
      <c r="CC871" s="147"/>
      <c r="CD871" s="147"/>
      <c r="CE871" s="147"/>
      <c r="CF871" s="147"/>
      <c r="CG871" s="147"/>
      <c r="CH871" s="147"/>
      <c r="CI871" s="147"/>
      <c r="CJ871" s="147"/>
      <c r="CK871" s="147"/>
    </row>
    <row r="872" spans="1:89">
      <c r="A872" s="157"/>
      <c r="F872" s="3"/>
      <c r="G872" s="3"/>
      <c r="L872" s="157"/>
      <c r="M872" s="157"/>
      <c r="O872" s="147"/>
      <c r="P872" s="147"/>
      <c r="Q872" s="147"/>
      <c r="R872" s="147"/>
      <c r="S872" s="147"/>
      <c r="T872" s="147"/>
      <c r="U872" s="147"/>
      <c r="V872" s="147"/>
      <c r="W872" s="147"/>
      <c r="X872" s="147"/>
      <c r="Y872" s="147"/>
      <c r="Z872" s="147"/>
      <c r="AA872" s="147"/>
      <c r="AB872" s="147"/>
      <c r="AC872" s="147"/>
      <c r="AD872" s="147"/>
      <c r="AE872" s="147"/>
      <c r="AF872" s="147"/>
      <c r="AG872" s="147"/>
      <c r="AH872" s="147"/>
      <c r="AI872" s="147"/>
      <c r="AJ872" s="147"/>
      <c r="AK872" s="147"/>
      <c r="AL872" s="147"/>
      <c r="AM872" s="151"/>
      <c r="AN872" s="147"/>
      <c r="AO872" s="147"/>
      <c r="AP872" s="147"/>
      <c r="AQ872" s="147"/>
      <c r="AR872" s="147"/>
      <c r="AS872" s="147"/>
      <c r="AT872" s="147"/>
      <c r="AU872" s="147"/>
      <c r="AV872" s="147"/>
      <c r="AW872" s="147"/>
      <c r="AX872" s="147"/>
      <c r="AY872" s="147"/>
      <c r="AZ872" s="147"/>
      <c r="BA872" s="147"/>
      <c r="BB872" s="147"/>
      <c r="BC872" s="147"/>
      <c r="BD872" s="147"/>
      <c r="BE872" s="147"/>
      <c r="BF872" s="147"/>
      <c r="BG872" s="147"/>
      <c r="BH872" s="147"/>
      <c r="BI872" s="147"/>
      <c r="BJ872" s="147"/>
      <c r="BK872" s="147"/>
      <c r="BL872" s="147"/>
      <c r="BM872" s="147"/>
      <c r="BN872" s="147"/>
      <c r="BO872" s="147"/>
      <c r="BP872" s="147"/>
      <c r="BQ872" s="147"/>
      <c r="BR872" s="147"/>
      <c r="BS872" s="147"/>
      <c r="BT872" s="147"/>
      <c r="BU872" s="147"/>
      <c r="BV872" s="147"/>
      <c r="BW872" s="147"/>
      <c r="BX872" s="147"/>
      <c r="BY872" s="147"/>
      <c r="BZ872" s="147"/>
      <c r="CA872" s="147"/>
      <c r="CB872" s="147"/>
      <c r="CC872" s="147"/>
      <c r="CD872" s="147"/>
      <c r="CE872" s="147"/>
      <c r="CF872" s="147"/>
      <c r="CG872" s="147"/>
      <c r="CH872" s="147"/>
      <c r="CI872" s="147"/>
      <c r="CJ872" s="147"/>
      <c r="CK872" s="147"/>
    </row>
    <row r="873" spans="1:89">
      <c r="A873" s="157"/>
      <c r="F873" s="3"/>
      <c r="G873" s="3"/>
      <c r="L873" s="157"/>
      <c r="M873" s="157"/>
      <c r="O873" s="147"/>
      <c r="P873" s="147"/>
      <c r="Q873" s="147"/>
      <c r="R873" s="147"/>
      <c r="S873" s="147"/>
      <c r="T873" s="147"/>
      <c r="U873" s="147"/>
      <c r="V873" s="147"/>
      <c r="W873" s="147"/>
      <c r="X873" s="147"/>
      <c r="Y873" s="147"/>
      <c r="Z873" s="147"/>
      <c r="AA873" s="147"/>
      <c r="AB873" s="147"/>
      <c r="AC873" s="147"/>
      <c r="AD873" s="147"/>
      <c r="AE873" s="147"/>
      <c r="AF873" s="147"/>
      <c r="AG873" s="147"/>
      <c r="AH873" s="147"/>
      <c r="AI873" s="147"/>
      <c r="AJ873" s="147"/>
      <c r="AK873" s="147"/>
      <c r="AL873" s="147"/>
      <c r="AM873" s="151"/>
      <c r="AN873" s="147"/>
      <c r="AO873" s="147"/>
      <c r="AP873" s="147"/>
      <c r="AQ873" s="147"/>
      <c r="AR873" s="147"/>
      <c r="AS873" s="147"/>
      <c r="AT873" s="147"/>
      <c r="AU873" s="147"/>
      <c r="AV873" s="147"/>
      <c r="AW873" s="147"/>
      <c r="AX873" s="147"/>
      <c r="AY873" s="147"/>
      <c r="AZ873" s="147"/>
      <c r="BA873" s="147"/>
      <c r="BB873" s="147"/>
      <c r="BC873" s="147"/>
      <c r="BD873" s="147"/>
      <c r="BE873" s="147"/>
      <c r="BF873" s="147"/>
      <c r="BG873" s="147"/>
      <c r="BH873" s="147"/>
      <c r="BI873" s="147"/>
      <c r="BJ873" s="147"/>
      <c r="BK873" s="147"/>
      <c r="BL873" s="147"/>
      <c r="BM873" s="147"/>
      <c r="BN873" s="147"/>
      <c r="BO873" s="147"/>
      <c r="BP873" s="147"/>
      <c r="BQ873" s="147"/>
      <c r="BR873" s="147"/>
      <c r="BS873" s="147"/>
      <c r="BT873" s="147"/>
      <c r="BU873" s="147"/>
      <c r="BV873" s="147"/>
      <c r="BW873" s="147"/>
      <c r="BX873" s="147"/>
      <c r="BY873" s="147"/>
      <c r="BZ873" s="147"/>
      <c r="CA873" s="147"/>
      <c r="CB873" s="147"/>
      <c r="CC873" s="147"/>
      <c r="CD873" s="147"/>
      <c r="CE873" s="147"/>
      <c r="CF873" s="147"/>
      <c r="CG873" s="147"/>
      <c r="CH873" s="147"/>
      <c r="CI873" s="147"/>
      <c r="CJ873" s="147"/>
      <c r="CK873" s="147"/>
    </row>
    <row r="874" spans="1:89">
      <c r="A874" s="157"/>
      <c r="F874" s="3"/>
      <c r="G874" s="3"/>
      <c r="L874" s="157"/>
      <c r="M874" s="157"/>
      <c r="O874" s="147"/>
      <c r="P874" s="147"/>
      <c r="Q874" s="147"/>
      <c r="R874" s="147"/>
      <c r="S874" s="147"/>
      <c r="T874" s="147"/>
      <c r="U874" s="147"/>
      <c r="V874" s="147"/>
      <c r="W874" s="147"/>
      <c r="X874" s="147"/>
      <c r="Y874" s="147"/>
      <c r="Z874" s="147"/>
      <c r="AA874" s="147"/>
      <c r="AB874" s="147"/>
      <c r="AC874" s="147"/>
      <c r="AD874" s="147"/>
      <c r="AE874" s="147"/>
      <c r="AF874" s="147"/>
      <c r="AG874" s="147"/>
      <c r="AH874" s="147"/>
      <c r="AI874" s="147"/>
      <c r="AJ874" s="147"/>
      <c r="AK874" s="147"/>
      <c r="AL874" s="147"/>
      <c r="AM874" s="151"/>
      <c r="AN874" s="147"/>
      <c r="AO874" s="147"/>
      <c r="AP874" s="147"/>
      <c r="AQ874" s="147"/>
      <c r="AR874" s="147"/>
      <c r="AS874" s="147"/>
      <c r="AT874" s="147"/>
      <c r="AU874" s="147"/>
      <c r="AV874" s="147"/>
      <c r="AW874" s="147"/>
      <c r="AX874" s="147"/>
      <c r="AY874" s="147"/>
      <c r="AZ874" s="147"/>
      <c r="BA874" s="147"/>
      <c r="BB874" s="147"/>
      <c r="BC874" s="147"/>
      <c r="BD874" s="147"/>
      <c r="BE874" s="147"/>
      <c r="BF874" s="147"/>
      <c r="BG874" s="147"/>
      <c r="BH874" s="147"/>
      <c r="BI874" s="147"/>
      <c r="BJ874" s="147"/>
      <c r="BK874" s="147"/>
      <c r="BL874" s="147"/>
      <c r="BM874" s="147"/>
      <c r="BN874" s="147"/>
      <c r="BO874" s="147"/>
      <c r="BP874" s="147"/>
      <c r="BQ874" s="147"/>
      <c r="BR874" s="147"/>
      <c r="BS874" s="147"/>
      <c r="BT874" s="147"/>
      <c r="BU874" s="147"/>
      <c r="BV874" s="147"/>
      <c r="BW874" s="147"/>
      <c r="BX874" s="147"/>
      <c r="BY874" s="147"/>
      <c r="BZ874" s="147"/>
      <c r="CA874" s="147"/>
      <c r="CB874" s="147"/>
      <c r="CC874" s="147"/>
      <c r="CD874" s="147"/>
      <c r="CE874" s="147"/>
      <c r="CF874" s="147"/>
      <c r="CG874" s="147"/>
      <c r="CH874" s="147"/>
      <c r="CI874" s="147"/>
      <c r="CJ874" s="147"/>
      <c r="CK874" s="147"/>
    </row>
    <row r="875" spans="1:89">
      <c r="A875" s="157"/>
      <c r="F875" s="3"/>
      <c r="G875" s="3"/>
      <c r="L875" s="157"/>
      <c r="M875" s="157"/>
      <c r="O875" s="147"/>
      <c r="P875" s="147"/>
      <c r="Q875" s="147"/>
      <c r="R875" s="147"/>
      <c r="S875" s="147"/>
      <c r="T875" s="147"/>
      <c r="U875" s="147"/>
      <c r="V875" s="147"/>
      <c r="W875" s="147"/>
      <c r="X875" s="147"/>
      <c r="Y875" s="147"/>
      <c r="Z875" s="147"/>
      <c r="AA875" s="147"/>
      <c r="AB875" s="147"/>
      <c r="AC875" s="147"/>
      <c r="AD875" s="147"/>
      <c r="AE875" s="147"/>
      <c r="AF875" s="147"/>
      <c r="AG875" s="147"/>
      <c r="AH875" s="147"/>
      <c r="AI875" s="147"/>
      <c r="AJ875" s="147"/>
      <c r="AK875" s="147"/>
      <c r="AL875" s="147"/>
      <c r="AM875" s="151"/>
      <c r="AN875" s="147"/>
      <c r="AO875" s="147"/>
      <c r="AP875" s="147"/>
      <c r="AQ875" s="147"/>
      <c r="AR875" s="147"/>
      <c r="AS875" s="147"/>
      <c r="AT875" s="147"/>
      <c r="AU875" s="147"/>
      <c r="AV875" s="147"/>
      <c r="AW875" s="147"/>
      <c r="AX875" s="147"/>
      <c r="AY875" s="147"/>
      <c r="AZ875" s="147"/>
      <c r="BA875" s="147"/>
      <c r="BB875" s="147"/>
      <c r="BC875" s="147"/>
      <c r="BD875" s="147"/>
      <c r="BE875" s="147"/>
      <c r="BF875" s="147"/>
      <c r="BG875" s="147"/>
      <c r="BH875" s="147"/>
      <c r="BI875" s="147"/>
      <c r="BJ875" s="147"/>
      <c r="BK875" s="147"/>
      <c r="BL875" s="147"/>
      <c r="BM875" s="147"/>
      <c r="BN875" s="147"/>
      <c r="BO875" s="147"/>
      <c r="BP875" s="147"/>
      <c r="BQ875" s="147"/>
      <c r="BR875" s="147"/>
      <c r="BS875" s="147"/>
      <c r="BT875" s="147"/>
      <c r="BU875" s="147"/>
      <c r="BV875" s="147"/>
      <c r="BW875" s="147"/>
      <c r="BX875" s="147"/>
      <c r="BY875" s="147"/>
      <c r="BZ875" s="147"/>
      <c r="CA875" s="147"/>
      <c r="CB875" s="147"/>
      <c r="CC875" s="147"/>
      <c r="CD875" s="147"/>
      <c r="CE875" s="147"/>
      <c r="CF875" s="147"/>
      <c r="CG875" s="147"/>
      <c r="CH875" s="147"/>
      <c r="CI875" s="147"/>
      <c r="CJ875" s="147"/>
      <c r="CK875" s="147"/>
    </row>
    <row r="876" spans="1:89">
      <c r="A876" s="157"/>
      <c r="F876" s="3"/>
      <c r="G876" s="3"/>
      <c r="L876" s="157"/>
      <c r="M876" s="157"/>
      <c r="O876" s="147"/>
      <c r="P876" s="147"/>
      <c r="Q876" s="147"/>
      <c r="R876" s="147"/>
      <c r="S876" s="147"/>
      <c r="T876" s="147"/>
      <c r="U876" s="147"/>
      <c r="V876" s="147"/>
      <c r="W876" s="147"/>
      <c r="X876" s="147"/>
      <c r="Y876" s="147"/>
      <c r="Z876" s="147"/>
      <c r="AA876" s="147"/>
      <c r="AB876" s="147"/>
      <c r="AC876" s="147"/>
      <c r="AD876" s="147"/>
      <c r="AE876" s="147"/>
      <c r="AF876" s="147"/>
      <c r="AG876" s="147"/>
      <c r="AH876" s="147"/>
      <c r="AI876" s="147"/>
      <c r="AJ876" s="147"/>
      <c r="AK876" s="147"/>
      <c r="AL876" s="147"/>
      <c r="AM876" s="151"/>
      <c r="AN876" s="147"/>
      <c r="AO876" s="147"/>
      <c r="AP876" s="147"/>
      <c r="AQ876" s="147"/>
      <c r="AR876" s="147"/>
      <c r="AS876" s="147"/>
      <c r="AT876" s="147"/>
      <c r="AU876" s="147"/>
      <c r="AV876" s="147"/>
      <c r="AW876" s="147"/>
      <c r="AX876" s="147"/>
      <c r="AY876" s="147"/>
      <c r="AZ876" s="147"/>
      <c r="BA876" s="147"/>
      <c r="BB876" s="147"/>
      <c r="BC876" s="147"/>
      <c r="BD876" s="147"/>
      <c r="BE876" s="147"/>
      <c r="BF876" s="147"/>
      <c r="BG876" s="147"/>
      <c r="BH876" s="147"/>
      <c r="BI876" s="147"/>
      <c r="BJ876" s="147"/>
      <c r="BK876" s="147"/>
      <c r="BL876" s="147"/>
      <c r="BM876" s="147"/>
      <c r="BN876" s="147"/>
      <c r="BO876" s="147"/>
      <c r="BP876" s="147"/>
      <c r="BQ876" s="147"/>
      <c r="BR876" s="147"/>
      <c r="BS876" s="147"/>
      <c r="BT876" s="147"/>
      <c r="BU876" s="147"/>
      <c r="BV876" s="147"/>
      <c r="BW876" s="147"/>
      <c r="BX876" s="147"/>
      <c r="BY876" s="147"/>
      <c r="BZ876" s="147"/>
      <c r="CA876" s="147"/>
      <c r="CB876" s="147"/>
      <c r="CC876" s="147"/>
      <c r="CD876" s="147"/>
      <c r="CE876" s="147"/>
      <c r="CF876" s="147"/>
      <c r="CG876" s="147"/>
      <c r="CH876" s="147"/>
      <c r="CI876" s="147"/>
      <c r="CJ876" s="147"/>
      <c r="CK876" s="147"/>
    </row>
    <row r="877" spans="1:89">
      <c r="A877" s="157"/>
      <c r="F877" s="3"/>
      <c r="G877" s="3"/>
      <c r="L877" s="157"/>
      <c r="M877" s="157"/>
      <c r="O877" s="147"/>
      <c r="P877" s="147"/>
      <c r="Q877" s="147"/>
      <c r="R877" s="147"/>
      <c r="S877" s="147"/>
      <c r="T877" s="147"/>
      <c r="U877" s="147"/>
      <c r="V877" s="147"/>
      <c r="W877" s="147"/>
      <c r="X877" s="147"/>
      <c r="Y877" s="147"/>
      <c r="Z877" s="147"/>
      <c r="AA877" s="147"/>
      <c r="AB877" s="147"/>
      <c r="AC877" s="147"/>
      <c r="AD877" s="147"/>
      <c r="AE877" s="147"/>
      <c r="AF877" s="147"/>
      <c r="AG877" s="147"/>
      <c r="AH877" s="147"/>
      <c r="AI877" s="147"/>
      <c r="AJ877" s="147"/>
      <c r="AK877" s="147"/>
      <c r="AL877" s="147"/>
      <c r="AM877" s="151"/>
      <c r="AN877" s="147"/>
      <c r="AO877" s="147"/>
      <c r="AP877" s="147"/>
      <c r="AQ877" s="147"/>
      <c r="AR877" s="147"/>
      <c r="AS877" s="147"/>
      <c r="AT877" s="147"/>
      <c r="AU877" s="147"/>
      <c r="AV877" s="147"/>
      <c r="AW877" s="147"/>
      <c r="AX877" s="147"/>
      <c r="AY877" s="147"/>
      <c r="AZ877" s="147"/>
      <c r="BA877" s="147"/>
      <c r="BB877" s="147"/>
      <c r="BC877" s="147"/>
      <c r="BD877" s="147"/>
      <c r="BE877" s="147"/>
      <c r="BF877" s="147"/>
      <c r="BG877" s="147"/>
      <c r="BH877" s="147"/>
      <c r="BI877" s="147"/>
      <c r="BJ877" s="147"/>
      <c r="BK877" s="147"/>
      <c r="BL877" s="147"/>
      <c r="BM877" s="147"/>
      <c r="BN877" s="147"/>
      <c r="BO877" s="147"/>
      <c r="BP877" s="147"/>
      <c r="BQ877" s="147"/>
      <c r="BR877" s="147"/>
      <c r="BS877" s="147"/>
      <c r="BT877" s="147"/>
      <c r="BU877" s="147"/>
      <c r="BV877" s="147"/>
      <c r="BW877" s="147"/>
      <c r="BX877" s="147"/>
      <c r="BY877" s="147"/>
      <c r="BZ877" s="147"/>
      <c r="CA877" s="147"/>
      <c r="CB877" s="147"/>
      <c r="CC877" s="147"/>
      <c r="CD877" s="147"/>
      <c r="CE877" s="147"/>
      <c r="CF877" s="147"/>
      <c r="CG877" s="147"/>
      <c r="CH877" s="147"/>
      <c r="CI877" s="147"/>
      <c r="CJ877" s="147"/>
      <c r="CK877" s="147"/>
    </row>
    <row r="878" spans="1:89">
      <c r="A878" s="157"/>
      <c r="F878" s="3"/>
      <c r="G878" s="3"/>
      <c r="L878" s="157"/>
      <c r="M878" s="157"/>
      <c r="O878" s="147"/>
      <c r="P878" s="147"/>
      <c r="Q878" s="147"/>
      <c r="R878" s="147"/>
      <c r="S878" s="147"/>
      <c r="T878" s="147"/>
      <c r="U878" s="147"/>
      <c r="V878" s="147"/>
      <c r="W878" s="147"/>
      <c r="X878" s="147"/>
      <c r="Y878" s="147"/>
      <c r="Z878" s="147"/>
      <c r="AA878" s="147"/>
      <c r="AB878" s="147"/>
      <c r="AC878" s="147"/>
      <c r="AD878" s="147"/>
      <c r="AE878" s="147"/>
      <c r="AF878" s="147"/>
      <c r="AG878" s="147"/>
      <c r="AH878" s="147"/>
      <c r="AI878" s="147"/>
      <c r="AJ878" s="147"/>
      <c r="AK878" s="147"/>
      <c r="AL878" s="147"/>
      <c r="AM878" s="151"/>
      <c r="AN878" s="147"/>
      <c r="AO878" s="147"/>
      <c r="AP878" s="147"/>
      <c r="AQ878" s="147"/>
      <c r="AR878" s="147"/>
      <c r="AS878" s="147"/>
      <c r="AT878" s="147"/>
      <c r="AU878" s="147"/>
      <c r="AV878" s="147"/>
      <c r="AW878" s="147"/>
      <c r="AX878" s="147"/>
      <c r="AY878" s="147"/>
      <c r="AZ878" s="147"/>
      <c r="BA878" s="147"/>
      <c r="BB878" s="147"/>
      <c r="BC878" s="147"/>
      <c r="BD878" s="147"/>
      <c r="BE878" s="147"/>
      <c r="BF878" s="147"/>
      <c r="BG878" s="147"/>
      <c r="BH878" s="147"/>
      <c r="BI878" s="147"/>
      <c r="BJ878" s="147"/>
      <c r="BK878" s="147"/>
      <c r="BL878" s="147"/>
      <c r="BM878" s="147"/>
      <c r="BN878" s="147"/>
      <c r="BO878" s="147"/>
      <c r="BP878" s="147"/>
      <c r="BQ878" s="147"/>
      <c r="BR878" s="147"/>
      <c r="BS878" s="147"/>
      <c r="BT878" s="147"/>
      <c r="BU878" s="147"/>
      <c r="BV878" s="147"/>
      <c r="BW878" s="147"/>
      <c r="BX878" s="147"/>
      <c r="BY878" s="147"/>
      <c r="BZ878" s="147"/>
      <c r="CA878" s="147"/>
      <c r="CB878" s="147"/>
      <c r="CC878" s="147"/>
      <c r="CD878" s="147"/>
      <c r="CE878" s="147"/>
      <c r="CF878" s="147"/>
      <c r="CG878" s="147"/>
      <c r="CH878" s="147"/>
      <c r="CI878" s="147"/>
      <c r="CJ878" s="147"/>
      <c r="CK878" s="147"/>
    </row>
    <row r="879" spans="1:89">
      <c r="A879" s="157"/>
      <c r="F879" s="3"/>
      <c r="G879" s="3"/>
      <c r="L879" s="157"/>
      <c r="M879" s="157"/>
      <c r="O879" s="147"/>
      <c r="P879" s="147"/>
      <c r="Q879" s="147"/>
      <c r="R879" s="147"/>
      <c r="S879" s="147"/>
      <c r="T879" s="147"/>
      <c r="U879" s="147"/>
      <c r="V879" s="147"/>
      <c r="W879" s="147"/>
      <c r="X879" s="147"/>
      <c r="Y879" s="147"/>
      <c r="Z879" s="147"/>
      <c r="AA879" s="147"/>
      <c r="AB879" s="147"/>
      <c r="AC879" s="147"/>
      <c r="AD879" s="147"/>
      <c r="AE879" s="147"/>
      <c r="AF879" s="147"/>
      <c r="AG879" s="147"/>
      <c r="AH879" s="147"/>
      <c r="AI879" s="147"/>
      <c r="AJ879" s="147"/>
      <c r="AK879" s="147"/>
      <c r="AL879" s="147"/>
      <c r="AM879" s="151"/>
      <c r="AN879" s="147"/>
      <c r="AO879" s="147"/>
      <c r="AP879" s="147"/>
      <c r="AQ879" s="147"/>
      <c r="AR879" s="147"/>
      <c r="AS879" s="147"/>
      <c r="AT879" s="147"/>
      <c r="AU879" s="147"/>
      <c r="AV879" s="147"/>
      <c r="AW879" s="147"/>
      <c r="AX879" s="147"/>
      <c r="AY879" s="147"/>
      <c r="AZ879" s="147"/>
      <c r="BA879" s="147"/>
      <c r="BB879" s="147"/>
      <c r="BC879" s="147"/>
      <c r="BD879" s="147"/>
      <c r="BE879" s="147"/>
      <c r="BF879" s="147"/>
      <c r="BG879" s="147"/>
      <c r="BH879" s="147"/>
      <c r="BI879" s="147"/>
      <c r="BJ879" s="147"/>
      <c r="BK879" s="147"/>
      <c r="BL879" s="147"/>
      <c r="BM879" s="147"/>
      <c r="BN879" s="147"/>
      <c r="BO879" s="147"/>
      <c r="BP879" s="147"/>
      <c r="BQ879" s="147"/>
      <c r="BR879" s="147"/>
      <c r="BS879" s="147"/>
      <c r="BT879" s="147"/>
      <c r="BU879" s="147"/>
      <c r="BV879" s="147"/>
      <c r="BW879" s="147"/>
      <c r="BX879" s="147"/>
      <c r="BY879" s="147"/>
      <c r="BZ879" s="147"/>
      <c r="CA879" s="147"/>
      <c r="CB879" s="147"/>
      <c r="CC879" s="147"/>
      <c r="CD879" s="147"/>
      <c r="CE879" s="147"/>
      <c r="CF879" s="147"/>
      <c r="CG879" s="147"/>
      <c r="CH879" s="147"/>
      <c r="CI879" s="147"/>
      <c r="CJ879" s="147"/>
      <c r="CK879" s="147"/>
    </row>
    <row r="880" spans="1:89">
      <c r="A880" s="157"/>
      <c r="F880" s="3"/>
      <c r="G880" s="3"/>
      <c r="L880" s="157"/>
      <c r="M880" s="157"/>
      <c r="O880" s="147"/>
      <c r="P880" s="147"/>
      <c r="Q880" s="147"/>
      <c r="R880" s="147"/>
      <c r="S880" s="147"/>
      <c r="T880" s="147"/>
      <c r="U880" s="147"/>
      <c r="V880" s="147"/>
      <c r="W880" s="147"/>
      <c r="X880" s="147"/>
      <c r="Y880" s="147"/>
      <c r="Z880" s="147"/>
      <c r="AA880" s="147"/>
      <c r="AB880" s="147"/>
      <c r="AC880" s="147"/>
      <c r="AD880" s="147"/>
      <c r="AE880" s="147"/>
      <c r="AF880" s="147"/>
      <c r="AG880" s="147"/>
      <c r="AH880" s="147"/>
      <c r="AI880" s="147"/>
      <c r="AJ880" s="147"/>
      <c r="AK880" s="147"/>
      <c r="AL880" s="147"/>
      <c r="AM880" s="151"/>
      <c r="AN880" s="147"/>
      <c r="AO880" s="147"/>
      <c r="AP880" s="147"/>
      <c r="AQ880" s="147"/>
      <c r="AR880" s="147"/>
      <c r="AS880" s="147"/>
      <c r="AT880" s="147"/>
      <c r="AU880" s="147"/>
      <c r="AV880" s="147"/>
      <c r="AW880" s="147"/>
      <c r="AX880" s="147"/>
      <c r="AY880" s="147"/>
      <c r="AZ880" s="147"/>
      <c r="BA880" s="147"/>
      <c r="BB880" s="147"/>
      <c r="BC880" s="147"/>
      <c r="BD880" s="147"/>
      <c r="BE880" s="147"/>
      <c r="BF880" s="147"/>
      <c r="BG880" s="147"/>
      <c r="BH880" s="147"/>
      <c r="BI880" s="147"/>
      <c r="BJ880" s="147"/>
      <c r="BK880" s="147"/>
      <c r="BL880" s="147"/>
      <c r="BM880" s="147"/>
      <c r="BN880" s="147"/>
      <c r="BO880" s="147"/>
      <c r="BP880" s="147"/>
      <c r="BQ880" s="147"/>
      <c r="BR880" s="147"/>
      <c r="BS880" s="147"/>
      <c r="BT880" s="147"/>
      <c r="BU880" s="147"/>
      <c r="BV880" s="147"/>
      <c r="BW880" s="147"/>
      <c r="BX880" s="147"/>
      <c r="BY880" s="147"/>
      <c r="BZ880" s="147"/>
      <c r="CA880" s="147"/>
      <c r="CB880" s="147"/>
      <c r="CC880" s="147"/>
      <c r="CD880" s="147"/>
      <c r="CE880" s="147"/>
      <c r="CF880" s="147"/>
      <c r="CG880" s="147"/>
      <c r="CH880" s="147"/>
      <c r="CI880" s="147"/>
      <c r="CJ880" s="147"/>
      <c r="CK880" s="147"/>
    </row>
    <row r="881" spans="1:89">
      <c r="A881" s="157"/>
      <c r="F881" s="3"/>
      <c r="G881" s="3"/>
      <c r="L881" s="157"/>
      <c r="M881" s="157"/>
      <c r="O881" s="147"/>
      <c r="P881" s="147"/>
      <c r="Q881" s="147"/>
      <c r="R881" s="147"/>
      <c r="S881" s="147"/>
      <c r="T881" s="147"/>
      <c r="U881" s="147"/>
      <c r="V881" s="147"/>
      <c r="W881" s="147"/>
      <c r="X881" s="147"/>
      <c r="Y881" s="147"/>
      <c r="Z881" s="147"/>
      <c r="AA881" s="147"/>
      <c r="AB881" s="147"/>
      <c r="AC881" s="147"/>
      <c r="AD881" s="147"/>
      <c r="AE881" s="147"/>
      <c r="AF881" s="147"/>
      <c r="AG881" s="147"/>
      <c r="AH881" s="147"/>
      <c r="AI881" s="147"/>
      <c r="AJ881" s="147"/>
      <c r="AK881" s="147"/>
      <c r="AL881" s="147"/>
      <c r="AM881" s="151"/>
      <c r="AN881" s="147"/>
      <c r="AO881" s="147"/>
      <c r="AP881" s="147"/>
      <c r="AQ881" s="147"/>
      <c r="AR881" s="147"/>
      <c r="AS881" s="147"/>
      <c r="AT881" s="147"/>
      <c r="AU881" s="147"/>
      <c r="AV881" s="147"/>
      <c r="AW881" s="147"/>
      <c r="AX881" s="147"/>
      <c r="AY881" s="147"/>
      <c r="AZ881" s="147"/>
      <c r="BA881" s="147"/>
      <c r="BB881" s="147"/>
      <c r="BC881" s="147"/>
      <c r="BD881" s="147"/>
      <c r="BE881" s="147"/>
      <c r="BF881" s="147"/>
      <c r="BG881" s="147"/>
      <c r="BH881" s="147"/>
      <c r="BI881" s="147"/>
      <c r="BJ881" s="147"/>
      <c r="BK881" s="147"/>
      <c r="BL881" s="147"/>
      <c r="BM881" s="147"/>
      <c r="BN881" s="147"/>
      <c r="BO881" s="147"/>
      <c r="BP881" s="147"/>
      <c r="BQ881" s="147"/>
      <c r="BR881" s="147"/>
      <c r="BS881" s="147"/>
      <c r="BT881" s="147"/>
      <c r="BU881" s="147"/>
      <c r="BV881" s="147"/>
      <c r="BW881" s="147"/>
      <c r="BX881" s="147"/>
      <c r="BY881" s="147"/>
      <c r="BZ881" s="147"/>
      <c r="CA881" s="147"/>
      <c r="CB881" s="147"/>
      <c r="CC881" s="147"/>
      <c r="CD881" s="147"/>
      <c r="CE881" s="147"/>
      <c r="CF881" s="147"/>
      <c r="CG881" s="147"/>
      <c r="CH881" s="147"/>
      <c r="CI881" s="147"/>
      <c r="CJ881" s="147"/>
      <c r="CK881" s="147"/>
    </row>
    <row r="882" spans="1:89">
      <c r="A882" s="157"/>
      <c r="F882" s="3"/>
      <c r="G882" s="3"/>
      <c r="L882" s="157"/>
      <c r="M882" s="157"/>
      <c r="O882" s="147"/>
      <c r="P882" s="147"/>
      <c r="Q882" s="147"/>
      <c r="R882" s="147"/>
      <c r="S882" s="147"/>
      <c r="T882" s="147"/>
      <c r="U882" s="147"/>
      <c r="V882" s="147"/>
      <c r="W882" s="147"/>
      <c r="X882" s="147"/>
      <c r="Y882" s="147"/>
      <c r="Z882" s="147"/>
      <c r="AA882" s="147"/>
      <c r="AB882" s="147"/>
      <c r="AC882" s="147"/>
      <c r="AD882" s="147"/>
      <c r="AE882" s="147"/>
      <c r="AF882" s="147"/>
      <c r="AG882" s="147"/>
      <c r="AH882" s="147"/>
      <c r="AI882" s="147"/>
      <c r="AJ882" s="147"/>
      <c r="AK882" s="147"/>
      <c r="AL882" s="147"/>
      <c r="AM882" s="151"/>
      <c r="AN882" s="147"/>
      <c r="AO882" s="147"/>
      <c r="AP882" s="147"/>
      <c r="AQ882" s="147"/>
      <c r="AR882" s="147"/>
      <c r="AS882" s="147"/>
      <c r="AT882" s="147"/>
      <c r="AU882" s="147"/>
      <c r="AV882" s="147"/>
      <c r="AW882" s="147"/>
      <c r="AX882" s="147"/>
      <c r="AY882" s="147"/>
      <c r="AZ882" s="147"/>
      <c r="BA882" s="147"/>
      <c r="BB882" s="147"/>
      <c r="BC882" s="147"/>
      <c r="BD882" s="147"/>
      <c r="BE882" s="147"/>
      <c r="BF882" s="147"/>
      <c r="BG882" s="147"/>
      <c r="BH882" s="147"/>
      <c r="BI882" s="147"/>
      <c r="BJ882" s="147"/>
      <c r="BK882" s="147"/>
      <c r="BL882" s="147"/>
      <c r="BM882" s="147"/>
      <c r="BN882" s="147"/>
      <c r="BO882" s="147"/>
      <c r="BP882" s="147"/>
      <c r="BQ882" s="147"/>
      <c r="BR882" s="147"/>
      <c r="BS882" s="147"/>
      <c r="BT882" s="147"/>
      <c r="BU882" s="147"/>
      <c r="BV882" s="147"/>
      <c r="BW882" s="147"/>
      <c r="BX882" s="147"/>
      <c r="BY882" s="147"/>
      <c r="BZ882" s="147"/>
      <c r="CA882" s="147"/>
      <c r="CB882" s="147"/>
      <c r="CC882" s="147"/>
      <c r="CD882" s="147"/>
      <c r="CE882" s="147"/>
      <c r="CF882" s="147"/>
      <c r="CG882" s="147"/>
      <c r="CH882" s="147"/>
      <c r="CI882" s="147"/>
      <c r="CJ882" s="147"/>
      <c r="CK882" s="147"/>
    </row>
    <row r="883" spans="1:89">
      <c r="A883" s="157"/>
      <c r="F883" s="3"/>
      <c r="G883" s="3"/>
      <c r="L883" s="157"/>
      <c r="M883" s="157"/>
      <c r="O883" s="147"/>
      <c r="P883" s="147"/>
      <c r="Q883" s="147"/>
      <c r="R883" s="147"/>
      <c r="S883" s="147"/>
      <c r="T883" s="147"/>
      <c r="U883" s="147"/>
      <c r="V883" s="147"/>
      <c r="W883" s="147"/>
      <c r="X883" s="147"/>
      <c r="Y883" s="147"/>
      <c r="Z883" s="147"/>
      <c r="AA883" s="147"/>
      <c r="AB883" s="147"/>
      <c r="AC883" s="147"/>
      <c r="AD883" s="147"/>
      <c r="AE883" s="147"/>
      <c r="AF883" s="147"/>
      <c r="AG883" s="147"/>
      <c r="AH883" s="147"/>
      <c r="AI883" s="147"/>
      <c r="AJ883" s="147"/>
      <c r="AK883" s="147"/>
      <c r="AL883" s="147"/>
      <c r="AM883" s="151"/>
      <c r="AN883" s="147"/>
      <c r="AO883" s="147"/>
      <c r="AP883" s="147"/>
      <c r="AQ883" s="147"/>
      <c r="AR883" s="147"/>
      <c r="AS883" s="147"/>
      <c r="AT883" s="147"/>
      <c r="AU883" s="147"/>
      <c r="AV883" s="147"/>
      <c r="AW883" s="147"/>
      <c r="AX883" s="147"/>
      <c r="AY883" s="147"/>
      <c r="AZ883" s="147"/>
      <c r="BA883" s="147"/>
      <c r="BB883" s="147"/>
      <c r="BC883" s="147"/>
      <c r="BD883" s="147"/>
      <c r="BE883" s="147"/>
      <c r="BF883" s="147"/>
      <c r="BG883" s="147"/>
      <c r="BH883" s="147"/>
      <c r="BI883" s="147"/>
      <c r="BJ883" s="147"/>
      <c r="BK883" s="147"/>
      <c r="BL883" s="147"/>
      <c r="BM883" s="147"/>
      <c r="BN883" s="147"/>
      <c r="BO883" s="147"/>
      <c r="BP883" s="147"/>
      <c r="BQ883" s="147"/>
      <c r="BR883" s="147"/>
      <c r="BS883" s="147"/>
      <c r="BT883" s="147"/>
      <c r="BU883" s="147"/>
      <c r="BV883" s="147"/>
      <c r="BW883" s="147"/>
      <c r="BX883" s="147"/>
      <c r="BY883" s="147"/>
      <c r="BZ883" s="147"/>
      <c r="CA883" s="147"/>
      <c r="CB883" s="147"/>
      <c r="CC883" s="147"/>
      <c r="CD883" s="147"/>
      <c r="CE883" s="147"/>
      <c r="CF883" s="147"/>
      <c r="CG883" s="147"/>
      <c r="CH883" s="147"/>
      <c r="CI883" s="147"/>
      <c r="CJ883" s="147"/>
      <c r="CK883" s="147"/>
    </row>
    <row r="884" spans="1:89">
      <c r="A884" s="157"/>
      <c r="F884" s="3"/>
      <c r="G884" s="3"/>
      <c r="L884" s="157"/>
      <c r="M884" s="157"/>
      <c r="O884" s="147"/>
      <c r="P884" s="147"/>
      <c r="Q884" s="147"/>
      <c r="R884" s="147"/>
      <c r="S884" s="147"/>
      <c r="T884" s="147"/>
      <c r="U884" s="147"/>
      <c r="V884" s="147"/>
      <c r="W884" s="147"/>
      <c r="X884" s="147"/>
      <c r="Y884" s="147"/>
      <c r="Z884" s="147"/>
      <c r="AA884" s="147"/>
      <c r="AB884" s="147"/>
      <c r="AC884" s="147"/>
      <c r="AD884" s="147"/>
      <c r="AE884" s="147"/>
      <c r="AF884" s="147"/>
      <c r="AG884" s="147"/>
      <c r="AH884" s="147"/>
      <c r="AI884" s="147"/>
      <c r="AJ884" s="147"/>
      <c r="AK884" s="147"/>
      <c r="AL884" s="147"/>
      <c r="AM884" s="151"/>
      <c r="AN884" s="147"/>
      <c r="AO884" s="147"/>
      <c r="AP884" s="147"/>
      <c r="AQ884" s="147"/>
      <c r="AR884" s="147"/>
      <c r="AS884" s="147"/>
      <c r="AT884" s="147"/>
      <c r="AU884" s="147"/>
      <c r="AV884" s="147"/>
      <c r="AW884" s="147"/>
      <c r="AX884" s="147"/>
      <c r="AY884" s="147"/>
      <c r="AZ884" s="147"/>
      <c r="BA884" s="147"/>
      <c r="BB884" s="147"/>
      <c r="BC884" s="147"/>
      <c r="BD884" s="147"/>
      <c r="BE884" s="147"/>
      <c r="BF884" s="147"/>
      <c r="BG884" s="147"/>
      <c r="BH884" s="147"/>
      <c r="BI884" s="147"/>
      <c r="BJ884" s="147"/>
      <c r="BK884" s="147"/>
      <c r="BL884" s="147"/>
      <c r="BM884" s="147"/>
      <c r="BN884" s="147"/>
      <c r="BO884" s="147"/>
      <c r="BP884" s="147"/>
      <c r="BQ884" s="147"/>
      <c r="BR884" s="147"/>
      <c r="BS884" s="147"/>
      <c r="BT884" s="147"/>
      <c r="BU884" s="147"/>
      <c r="BV884" s="147"/>
      <c r="BW884" s="147"/>
      <c r="BX884" s="147"/>
      <c r="BY884" s="147"/>
      <c r="BZ884" s="147"/>
      <c r="CA884" s="147"/>
      <c r="CB884" s="147"/>
      <c r="CC884" s="147"/>
      <c r="CD884" s="147"/>
      <c r="CE884" s="147"/>
      <c r="CF884" s="147"/>
      <c r="CG884" s="147"/>
      <c r="CH884" s="147"/>
      <c r="CI884" s="147"/>
      <c r="CJ884" s="147"/>
      <c r="CK884" s="147"/>
    </row>
    <row r="885" spans="1:89">
      <c r="A885" s="157"/>
      <c r="F885" s="3"/>
      <c r="G885" s="3"/>
      <c r="L885" s="157"/>
      <c r="M885" s="157"/>
      <c r="O885" s="147"/>
      <c r="P885" s="147"/>
      <c r="Q885" s="147"/>
      <c r="R885" s="147"/>
      <c r="S885" s="147"/>
      <c r="T885" s="147"/>
      <c r="U885" s="147"/>
      <c r="V885" s="147"/>
      <c r="W885" s="147"/>
      <c r="X885" s="147"/>
      <c r="Y885" s="147"/>
      <c r="Z885" s="147"/>
      <c r="AA885" s="147"/>
      <c r="AB885" s="147"/>
      <c r="AC885" s="147"/>
      <c r="AD885" s="147"/>
      <c r="AE885" s="147"/>
      <c r="AF885" s="147"/>
      <c r="AG885" s="147"/>
      <c r="AH885" s="147"/>
      <c r="AI885" s="147"/>
      <c r="AJ885" s="147"/>
      <c r="AK885" s="147"/>
      <c r="AL885" s="147"/>
      <c r="AM885" s="151"/>
      <c r="AN885" s="147"/>
      <c r="AO885" s="147"/>
      <c r="AP885" s="147"/>
      <c r="AQ885" s="147"/>
      <c r="AR885" s="147"/>
      <c r="AS885" s="147"/>
      <c r="AT885" s="147"/>
      <c r="AU885" s="147"/>
      <c r="AV885" s="147"/>
      <c r="AW885" s="147"/>
      <c r="AX885" s="147"/>
      <c r="AY885" s="147"/>
      <c r="AZ885" s="147"/>
      <c r="BA885" s="147"/>
      <c r="BB885" s="147"/>
      <c r="BC885" s="147"/>
      <c r="BD885" s="147"/>
      <c r="BE885" s="147"/>
      <c r="BF885" s="147"/>
      <c r="BG885" s="147"/>
      <c r="BH885" s="147"/>
      <c r="BI885" s="147"/>
      <c r="BJ885" s="147"/>
      <c r="BK885" s="147"/>
      <c r="BL885" s="147"/>
      <c r="BM885" s="147"/>
      <c r="BN885" s="147"/>
      <c r="BO885" s="147"/>
      <c r="BP885" s="147"/>
      <c r="BQ885" s="147"/>
      <c r="BR885" s="147"/>
      <c r="BS885" s="147"/>
      <c r="BT885" s="147"/>
      <c r="BU885" s="147"/>
      <c r="BV885" s="147"/>
      <c r="BW885" s="147"/>
      <c r="BX885" s="147"/>
      <c r="BY885" s="147"/>
      <c r="BZ885" s="147"/>
      <c r="CA885" s="147"/>
      <c r="CB885" s="147"/>
      <c r="CC885" s="147"/>
      <c r="CD885" s="147"/>
      <c r="CE885" s="147"/>
      <c r="CF885" s="147"/>
      <c r="CG885" s="147"/>
      <c r="CH885" s="147"/>
      <c r="CI885" s="147"/>
      <c r="CJ885" s="147"/>
      <c r="CK885" s="147"/>
    </row>
    <row r="886" spans="1:89">
      <c r="A886" s="157"/>
      <c r="F886" s="3"/>
      <c r="G886" s="3"/>
      <c r="L886" s="157"/>
      <c r="M886" s="157"/>
      <c r="O886" s="147"/>
      <c r="P886" s="147"/>
      <c r="Q886" s="147"/>
      <c r="R886" s="147"/>
      <c r="S886" s="147"/>
      <c r="T886" s="147"/>
      <c r="U886" s="147"/>
      <c r="V886" s="147"/>
      <c r="W886" s="147"/>
      <c r="X886" s="147"/>
      <c r="Y886" s="147"/>
      <c r="Z886" s="147"/>
      <c r="AA886" s="147"/>
      <c r="AB886" s="147"/>
      <c r="AC886" s="147"/>
      <c r="AD886" s="147"/>
      <c r="AE886" s="147"/>
      <c r="AF886" s="147"/>
      <c r="AG886" s="147"/>
      <c r="AH886" s="147"/>
      <c r="AI886" s="147"/>
      <c r="AJ886" s="147"/>
      <c r="AK886" s="147"/>
      <c r="AL886" s="147"/>
      <c r="AM886" s="151"/>
      <c r="AN886" s="147"/>
      <c r="AO886" s="147"/>
      <c r="AP886" s="147"/>
      <c r="AQ886" s="147"/>
      <c r="AR886" s="147"/>
      <c r="AS886" s="147"/>
      <c r="AT886" s="147"/>
      <c r="AU886" s="147"/>
      <c r="AV886" s="147"/>
      <c r="AW886" s="147"/>
      <c r="AX886" s="147"/>
      <c r="AY886" s="147"/>
      <c r="AZ886" s="147"/>
      <c r="BA886" s="147"/>
      <c r="BB886" s="147"/>
      <c r="BC886" s="147"/>
      <c r="BD886" s="147"/>
      <c r="BE886" s="147"/>
      <c r="BF886" s="147"/>
      <c r="BG886" s="147"/>
      <c r="BH886" s="147"/>
      <c r="BI886" s="147"/>
      <c r="BJ886" s="147"/>
      <c r="BK886" s="147"/>
      <c r="BL886" s="147"/>
      <c r="BM886" s="147"/>
      <c r="BN886" s="147"/>
      <c r="BO886" s="147"/>
      <c r="BP886" s="147"/>
      <c r="BQ886" s="147"/>
      <c r="BR886" s="147"/>
      <c r="BS886" s="147"/>
      <c r="BT886" s="147"/>
      <c r="BU886" s="147"/>
      <c r="BV886" s="147"/>
      <c r="BW886" s="147"/>
      <c r="BX886" s="147"/>
      <c r="BY886" s="147"/>
      <c r="BZ886" s="147"/>
      <c r="CA886" s="147"/>
      <c r="CB886" s="147"/>
      <c r="CC886" s="147"/>
      <c r="CD886" s="147"/>
      <c r="CE886" s="147"/>
      <c r="CF886" s="147"/>
      <c r="CG886" s="147"/>
      <c r="CH886" s="147"/>
      <c r="CI886" s="147"/>
      <c r="CJ886" s="147"/>
      <c r="CK886" s="147"/>
    </row>
    <row r="887" spans="1:89">
      <c r="A887" s="157"/>
      <c r="F887" s="3"/>
      <c r="G887" s="3"/>
      <c r="L887" s="157"/>
      <c r="M887" s="157"/>
      <c r="O887" s="147"/>
      <c r="P887" s="147"/>
      <c r="Q887" s="147"/>
      <c r="R887" s="147"/>
      <c r="S887" s="147"/>
      <c r="T887" s="147"/>
      <c r="U887" s="147"/>
      <c r="V887" s="147"/>
      <c r="W887" s="147"/>
      <c r="X887" s="147"/>
      <c r="Y887" s="147"/>
      <c r="Z887" s="147"/>
      <c r="AA887" s="147"/>
      <c r="AB887" s="147"/>
      <c r="AC887" s="147"/>
      <c r="AD887" s="147"/>
      <c r="AE887" s="147"/>
      <c r="AF887" s="147"/>
      <c r="AG887" s="147"/>
      <c r="AH887" s="147"/>
      <c r="AI887" s="147"/>
      <c r="AJ887" s="147"/>
      <c r="AK887" s="147"/>
      <c r="AL887" s="147"/>
      <c r="AM887" s="151"/>
      <c r="AN887" s="147"/>
      <c r="AO887" s="147"/>
      <c r="AP887" s="147"/>
      <c r="AQ887" s="147"/>
      <c r="AR887" s="147"/>
      <c r="AS887" s="147"/>
      <c r="AT887" s="147"/>
      <c r="AU887" s="147"/>
      <c r="AV887" s="147"/>
      <c r="AW887" s="147"/>
      <c r="AX887" s="147"/>
      <c r="AY887" s="147"/>
      <c r="AZ887" s="147"/>
      <c r="BA887" s="147"/>
      <c r="BB887" s="147"/>
      <c r="BC887" s="147"/>
      <c r="BD887" s="147"/>
      <c r="BE887" s="147"/>
      <c r="BF887" s="147"/>
      <c r="BG887" s="147"/>
      <c r="BH887" s="147"/>
      <c r="BI887" s="147"/>
      <c r="BJ887" s="147"/>
      <c r="BK887" s="147"/>
      <c r="BL887" s="147"/>
      <c r="BM887" s="147"/>
      <c r="BN887" s="147"/>
      <c r="BO887" s="147"/>
      <c r="BP887" s="147"/>
      <c r="BQ887" s="147"/>
      <c r="BR887" s="147"/>
      <c r="BS887" s="147"/>
      <c r="BT887" s="147"/>
      <c r="BU887" s="147"/>
      <c r="BV887" s="147"/>
      <c r="BW887" s="147"/>
      <c r="BX887" s="147"/>
      <c r="BY887" s="147"/>
      <c r="BZ887" s="147"/>
      <c r="CA887" s="147"/>
      <c r="CB887" s="147"/>
      <c r="CC887" s="147"/>
      <c r="CD887" s="147"/>
      <c r="CE887" s="147"/>
      <c r="CF887" s="147"/>
      <c r="CG887" s="147"/>
      <c r="CH887" s="147"/>
      <c r="CI887" s="147"/>
      <c r="CJ887" s="147"/>
      <c r="CK887" s="147"/>
    </row>
    <row r="888" spans="1:89">
      <c r="A888" s="157"/>
      <c r="F888" s="3"/>
      <c r="G888" s="3"/>
      <c r="L888" s="157"/>
      <c r="M888" s="157"/>
      <c r="O888" s="147"/>
      <c r="P888" s="147"/>
      <c r="Q888" s="147"/>
      <c r="R888" s="147"/>
      <c r="S888" s="147"/>
      <c r="T888" s="147"/>
      <c r="U888" s="147"/>
      <c r="V888" s="147"/>
      <c r="W888" s="147"/>
      <c r="X888" s="147"/>
      <c r="Y888" s="147"/>
      <c r="Z888" s="147"/>
      <c r="AA888" s="147"/>
      <c r="AB888" s="147"/>
      <c r="AC888" s="147"/>
      <c r="AD888" s="147"/>
      <c r="AE888" s="147"/>
      <c r="AF888" s="147"/>
      <c r="AG888" s="147"/>
      <c r="AH888" s="147"/>
      <c r="AI888" s="147"/>
      <c r="AJ888" s="147"/>
      <c r="AK888" s="147"/>
      <c r="AL888" s="147"/>
      <c r="AM888" s="151"/>
      <c r="AN888" s="147"/>
      <c r="AO888" s="147"/>
      <c r="AP888" s="147"/>
      <c r="AQ888" s="147"/>
      <c r="AR888" s="147"/>
      <c r="AS888" s="147"/>
      <c r="AT888" s="147"/>
      <c r="AU888" s="147"/>
      <c r="AV888" s="147"/>
      <c r="AW888" s="147"/>
      <c r="AX888" s="147"/>
      <c r="AY888" s="147"/>
      <c r="AZ888" s="147"/>
      <c r="BA888" s="147"/>
      <c r="BB888" s="147"/>
      <c r="BC888" s="147"/>
      <c r="BD888" s="147"/>
      <c r="BE888" s="147"/>
      <c r="BF888" s="147"/>
      <c r="BG888" s="147"/>
      <c r="BH888" s="147"/>
      <c r="BI888" s="147"/>
      <c r="BJ888" s="147"/>
      <c r="BK888" s="147"/>
      <c r="BL888" s="147"/>
      <c r="BM888" s="147"/>
      <c r="BN888" s="147"/>
      <c r="BO888" s="147"/>
      <c r="BP888" s="147"/>
      <c r="BQ888" s="147"/>
      <c r="BR888" s="147"/>
      <c r="BS888" s="147"/>
      <c r="BT888" s="147"/>
      <c r="BU888" s="147"/>
      <c r="BV888" s="147"/>
      <c r="BW888" s="147"/>
      <c r="BX888" s="147"/>
      <c r="BY888" s="147"/>
      <c r="BZ888" s="147"/>
      <c r="CA888" s="147"/>
      <c r="CB888" s="147"/>
      <c r="CC888" s="147"/>
      <c r="CD888" s="147"/>
      <c r="CE888" s="147"/>
      <c r="CF888" s="147"/>
      <c r="CG888" s="147"/>
      <c r="CH888" s="147"/>
      <c r="CI888" s="147"/>
      <c r="CJ888" s="147"/>
      <c r="CK888" s="147"/>
    </row>
    <row r="889" spans="1:89">
      <c r="A889" s="157"/>
      <c r="F889" s="3"/>
      <c r="G889" s="3"/>
      <c r="L889" s="157"/>
      <c r="M889" s="157"/>
      <c r="O889" s="147"/>
      <c r="P889" s="147"/>
      <c r="Q889" s="147"/>
      <c r="R889" s="147"/>
      <c r="S889" s="147"/>
      <c r="T889" s="147"/>
      <c r="U889" s="147"/>
      <c r="V889" s="147"/>
      <c r="W889" s="147"/>
      <c r="X889" s="147"/>
      <c r="Y889" s="147"/>
      <c r="Z889" s="147"/>
      <c r="AA889" s="147"/>
      <c r="AB889" s="147"/>
      <c r="AC889" s="147"/>
      <c r="AD889" s="147"/>
      <c r="AE889" s="147"/>
      <c r="AF889" s="147"/>
      <c r="AG889" s="147"/>
      <c r="AH889" s="147"/>
      <c r="AI889" s="147"/>
      <c r="AJ889" s="147"/>
      <c r="AK889" s="147"/>
      <c r="AL889" s="147"/>
      <c r="AM889" s="151"/>
      <c r="AN889" s="147"/>
      <c r="AO889" s="147"/>
      <c r="AP889" s="147"/>
      <c r="AQ889" s="147"/>
      <c r="AR889" s="147"/>
      <c r="AS889" s="147"/>
      <c r="AT889" s="147"/>
      <c r="AU889" s="147"/>
      <c r="AV889" s="147"/>
      <c r="AW889" s="147"/>
      <c r="AX889" s="147"/>
      <c r="AY889" s="147"/>
      <c r="AZ889" s="147"/>
      <c r="BA889" s="147"/>
      <c r="BB889" s="147"/>
      <c r="BC889" s="147"/>
      <c r="BD889" s="147"/>
      <c r="BE889" s="147"/>
      <c r="BF889" s="147"/>
      <c r="BG889" s="147"/>
      <c r="BH889" s="147"/>
      <c r="BI889" s="147"/>
      <c r="BJ889" s="147"/>
      <c r="BK889" s="147"/>
      <c r="BL889" s="147"/>
      <c r="BM889" s="147"/>
      <c r="BN889" s="147"/>
      <c r="BO889" s="147"/>
      <c r="BP889" s="147"/>
      <c r="BQ889" s="147"/>
      <c r="BR889" s="147"/>
      <c r="BS889" s="147"/>
      <c r="BT889" s="147"/>
      <c r="BU889" s="147"/>
      <c r="BV889" s="147"/>
      <c r="BW889" s="147"/>
      <c r="BX889" s="147"/>
      <c r="BY889" s="147"/>
      <c r="BZ889" s="147"/>
      <c r="CA889" s="147"/>
      <c r="CB889" s="147"/>
      <c r="CC889" s="147"/>
      <c r="CD889" s="147"/>
      <c r="CE889" s="147"/>
      <c r="CF889" s="147"/>
      <c r="CG889" s="147"/>
      <c r="CH889" s="147"/>
      <c r="CI889" s="147"/>
      <c r="CJ889" s="147"/>
      <c r="CK889" s="147"/>
    </row>
    <row r="890" spans="1:89">
      <c r="A890" s="157"/>
      <c r="F890" s="3"/>
      <c r="G890" s="3"/>
      <c r="L890" s="157"/>
      <c r="M890" s="157"/>
      <c r="O890" s="147"/>
      <c r="P890" s="147"/>
      <c r="Q890" s="147"/>
      <c r="R890" s="147"/>
      <c r="S890" s="147"/>
      <c r="T890" s="147"/>
      <c r="U890" s="147"/>
      <c r="V890" s="147"/>
      <c r="W890" s="147"/>
      <c r="X890" s="147"/>
      <c r="Y890" s="147"/>
      <c r="Z890" s="147"/>
      <c r="AA890" s="147"/>
      <c r="AB890" s="147"/>
      <c r="AC890" s="147"/>
      <c r="AD890" s="147"/>
      <c r="AE890" s="147"/>
      <c r="AF890" s="147"/>
      <c r="AG890" s="147"/>
      <c r="AH890" s="147"/>
      <c r="AI890" s="147"/>
      <c r="AJ890" s="147"/>
      <c r="AK890" s="147"/>
      <c r="AL890" s="147"/>
      <c r="AM890" s="151"/>
      <c r="AN890" s="147"/>
      <c r="AO890" s="147"/>
      <c r="AP890" s="147"/>
      <c r="AQ890" s="147"/>
      <c r="AR890" s="147"/>
      <c r="AS890" s="147"/>
      <c r="AT890" s="147"/>
      <c r="AU890" s="147"/>
      <c r="AV890" s="147"/>
      <c r="AW890" s="147"/>
      <c r="AX890" s="147"/>
      <c r="AY890" s="147"/>
      <c r="AZ890" s="147"/>
      <c r="BA890" s="147"/>
      <c r="BB890" s="147"/>
      <c r="BC890" s="147"/>
      <c r="BD890" s="147"/>
      <c r="BE890" s="147"/>
      <c r="BF890" s="147"/>
      <c r="BG890" s="147"/>
      <c r="BH890" s="147"/>
      <c r="BI890" s="147"/>
      <c r="BJ890" s="147"/>
      <c r="BK890" s="147"/>
      <c r="BL890" s="147"/>
      <c r="BM890" s="147"/>
      <c r="BN890" s="147"/>
      <c r="BO890" s="147"/>
      <c r="BP890" s="147"/>
      <c r="BQ890" s="147"/>
      <c r="BR890" s="147"/>
      <c r="BS890" s="147"/>
      <c r="BT890" s="147"/>
      <c r="BU890" s="147"/>
      <c r="BV890" s="147"/>
      <c r="BW890" s="147"/>
      <c r="BX890" s="147"/>
      <c r="BY890" s="147"/>
      <c r="BZ890" s="147"/>
      <c r="CA890" s="147"/>
      <c r="CB890" s="147"/>
      <c r="CC890" s="147"/>
      <c r="CD890" s="147"/>
      <c r="CE890" s="147"/>
      <c r="CF890" s="147"/>
      <c r="CG890" s="147"/>
      <c r="CH890" s="147"/>
      <c r="CI890" s="147"/>
      <c r="CJ890" s="147"/>
      <c r="CK890" s="147"/>
    </row>
    <row r="891" spans="1:89">
      <c r="A891" s="157"/>
      <c r="F891" s="3"/>
      <c r="G891" s="3"/>
      <c r="L891" s="157"/>
      <c r="M891" s="157"/>
      <c r="O891" s="147"/>
      <c r="P891" s="147"/>
      <c r="Q891" s="147"/>
      <c r="R891" s="147"/>
      <c r="S891" s="147"/>
      <c r="T891" s="147"/>
      <c r="U891" s="147"/>
      <c r="V891" s="147"/>
      <c r="W891" s="147"/>
      <c r="X891" s="147"/>
      <c r="Y891" s="147"/>
      <c r="Z891" s="147"/>
      <c r="AA891" s="147"/>
      <c r="AB891" s="147"/>
      <c r="AC891" s="147"/>
      <c r="AD891" s="147"/>
      <c r="AE891" s="147"/>
      <c r="AF891" s="147"/>
      <c r="AG891" s="147"/>
      <c r="AH891" s="147"/>
      <c r="AI891" s="147"/>
      <c r="AJ891" s="147"/>
      <c r="AK891" s="147"/>
      <c r="AL891" s="147"/>
      <c r="AM891" s="151"/>
      <c r="AN891" s="147"/>
      <c r="AO891" s="147"/>
      <c r="AP891" s="147"/>
      <c r="AQ891" s="147"/>
      <c r="AR891" s="147"/>
      <c r="AS891" s="147"/>
      <c r="AT891" s="147"/>
      <c r="AU891" s="147"/>
      <c r="AV891" s="147"/>
      <c r="AW891" s="147"/>
      <c r="AX891" s="147"/>
      <c r="AY891" s="147"/>
      <c r="AZ891" s="147"/>
      <c r="BA891" s="147"/>
      <c r="BB891" s="147"/>
      <c r="BC891" s="147"/>
      <c r="BD891" s="147"/>
      <c r="BE891" s="147"/>
      <c r="BF891" s="147"/>
      <c r="BG891" s="147"/>
      <c r="BH891" s="147"/>
      <c r="BI891" s="147"/>
      <c r="BJ891" s="147"/>
      <c r="BK891" s="147"/>
      <c r="BL891" s="147"/>
      <c r="BM891" s="147"/>
      <c r="BN891" s="147"/>
      <c r="BO891" s="147"/>
      <c r="BP891" s="147"/>
      <c r="BQ891" s="147"/>
      <c r="BR891" s="147"/>
      <c r="BS891" s="147"/>
      <c r="BT891" s="147"/>
      <c r="BU891" s="147"/>
      <c r="BV891" s="147"/>
      <c r="BW891" s="147"/>
      <c r="BX891" s="147"/>
      <c r="BY891" s="147"/>
      <c r="BZ891" s="147"/>
      <c r="CA891" s="147"/>
      <c r="CB891" s="147"/>
      <c r="CC891" s="147"/>
      <c r="CD891" s="147"/>
      <c r="CE891" s="147"/>
      <c r="CF891" s="147"/>
      <c r="CG891" s="147"/>
      <c r="CH891" s="147"/>
      <c r="CI891" s="147"/>
      <c r="CJ891" s="147"/>
      <c r="CK891" s="147"/>
    </row>
    <row r="892" spans="1:89">
      <c r="A892" s="157"/>
      <c r="F892" s="3"/>
      <c r="G892" s="3"/>
      <c r="L892" s="157"/>
      <c r="M892" s="157"/>
      <c r="O892" s="147"/>
      <c r="P892" s="147"/>
      <c r="Q892" s="147"/>
      <c r="R892" s="147"/>
      <c r="S892" s="147"/>
      <c r="T892" s="147"/>
      <c r="U892" s="147"/>
      <c r="V892" s="147"/>
      <c r="W892" s="147"/>
      <c r="X892" s="147"/>
      <c r="Y892" s="147"/>
      <c r="Z892" s="147"/>
      <c r="AA892" s="147"/>
      <c r="AB892" s="147"/>
      <c r="AC892" s="147"/>
      <c r="AD892" s="147"/>
      <c r="AE892" s="147"/>
      <c r="AF892" s="147"/>
      <c r="AG892" s="147"/>
      <c r="AH892" s="147"/>
      <c r="AI892" s="147"/>
      <c r="AJ892" s="147"/>
      <c r="AK892" s="147"/>
      <c r="AL892" s="147"/>
      <c r="AM892" s="151"/>
      <c r="AN892" s="147"/>
      <c r="AO892" s="147"/>
      <c r="AP892" s="147"/>
      <c r="AQ892" s="147"/>
      <c r="AR892" s="147"/>
      <c r="AS892" s="147"/>
      <c r="AT892" s="147"/>
      <c r="AU892" s="147"/>
      <c r="AV892" s="147"/>
      <c r="AW892" s="147"/>
      <c r="AX892" s="147"/>
      <c r="AY892" s="147"/>
      <c r="AZ892" s="147"/>
      <c r="BA892" s="147"/>
      <c r="BB892" s="147"/>
      <c r="BC892" s="147"/>
      <c r="BD892" s="147"/>
      <c r="BE892" s="147"/>
      <c r="BF892" s="147"/>
      <c r="BG892" s="147"/>
      <c r="BH892" s="147"/>
      <c r="BI892" s="147"/>
      <c r="BJ892" s="147"/>
      <c r="BK892" s="147"/>
      <c r="BL892" s="147"/>
      <c r="BM892" s="147"/>
      <c r="BN892" s="147"/>
      <c r="BO892" s="147"/>
      <c r="BP892" s="147"/>
      <c r="BQ892" s="147"/>
      <c r="BR892" s="147"/>
      <c r="BS892" s="147"/>
      <c r="BT892" s="147"/>
      <c r="BU892" s="147"/>
      <c r="BV892" s="147"/>
      <c r="BW892" s="147"/>
      <c r="BX892" s="147"/>
      <c r="BY892" s="147"/>
      <c r="BZ892" s="147"/>
      <c r="CA892" s="147"/>
      <c r="CB892" s="147"/>
      <c r="CC892" s="147"/>
      <c r="CD892" s="147"/>
      <c r="CE892" s="147"/>
      <c r="CF892" s="147"/>
      <c r="CG892" s="147"/>
      <c r="CH892" s="147"/>
      <c r="CI892" s="147"/>
      <c r="CJ892" s="147"/>
      <c r="CK892" s="147"/>
    </row>
    <row r="893" spans="1:89">
      <c r="A893" s="157"/>
      <c r="F893" s="3"/>
      <c r="G893" s="3"/>
      <c r="L893" s="157"/>
      <c r="M893" s="157"/>
      <c r="O893" s="147"/>
      <c r="P893" s="147"/>
      <c r="Q893" s="147"/>
      <c r="R893" s="147"/>
      <c r="S893" s="147"/>
      <c r="T893" s="147"/>
      <c r="U893" s="147"/>
      <c r="V893" s="147"/>
      <c r="W893" s="147"/>
      <c r="X893" s="147"/>
      <c r="Y893" s="147"/>
      <c r="Z893" s="147"/>
      <c r="AA893" s="147"/>
      <c r="AB893" s="147"/>
      <c r="AC893" s="147"/>
      <c r="AD893" s="147"/>
      <c r="AE893" s="147"/>
      <c r="AF893" s="147"/>
      <c r="AG893" s="147"/>
      <c r="AH893" s="147"/>
      <c r="AI893" s="147"/>
      <c r="AJ893" s="147"/>
      <c r="AK893" s="147"/>
      <c r="AL893" s="147"/>
      <c r="AM893" s="151"/>
      <c r="AN893" s="147"/>
      <c r="AO893" s="147"/>
      <c r="AP893" s="147"/>
      <c r="AQ893" s="147"/>
      <c r="AR893" s="147"/>
      <c r="AS893" s="147"/>
      <c r="AT893" s="147"/>
      <c r="AU893" s="147"/>
      <c r="AV893" s="147"/>
      <c r="AW893" s="147"/>
      <c r="AX893" s="147"/>
      <c r="AY893" s="147"/>
      <c r="AZ893" s="147"/>
      <c r="BA893" s="147"/>
      <c r="BB893" s="147"/>
      <c r="BC893" s="147"/>
      <c r="BD893" s="147"/>
      <c r="BE893" s="147"/>
      <c r="BF893" s="147"/>
      <c r="BG893" s="147"/>
      <c r="BH893" s="147"/>
      <c r="BI893" s="147"/>
      <c r="BJ893" s="147"/>
      <c r="BK893" s="147"/>
      <c r="BL893" s="147"/>
      <c r="BM893" s="147"/>
      <c r="BN893" s="147"/>
      <c r="BO893" s="147"/>
      <c r="BP893" s="147"/>
      <c r="BQ893" s="147"/>
      <c r="BR893" s="147"/>
      <c r="BS893" s="147"/>
      <c r="BT893" s="147"/>
      <c r="BU893" s="147"/>
      <c r="BV893" s="147"/>
      <c r="BW893" s="147"/>
      <c r="BX893" s="147"/>
      <c r="BY893" s="147"/>
      <c r="BZ893" s="147"/>
      <c r="CA893" s="147"/>
      <c r="CB893" s="147"/>
      <c r="CC893" s="147"/>
      <c r="CD893" s="147"/>
      <c r="CE893" s="147"/>
      <c r="CF893" s="147"/>
      <c r="CG893" s="147"/>
      <c r="CH893" s="147"/>
      <c r="CI893" s="147"/>
      <c r="CJ893" s="147"/>
      <c r="CK893" s="147"/>
    </row>
    <row r="894" spans="1:89">
      <c r="A894" s="157"/>
      <c r="F894" s="3"/>
      <c r="G894" s="3"/>
      <c r="L894" s="157"/>
      <c r="M894" s="157"/>
      <c r="O894" s="147"/>
      <c r="P894" s="147"/>
      <c r="Q894" s="147"/>
      <c r="R894" s="147"/>
      <c r="S894" s="147"/>
      <c r="T894" s="147"/>
      <c r="U894" s="147"/>
      <c r="V894" s="147"/>
      <c r="W894" s="147"/>
      <c r="X894" s="147"/>
      <c r="Y894" s="147"/>
      <c r="Z894" s="147"/>
      <c r="AA894" s="147"/>
      <c r="AB894" s="147"/>
      <c r="AC894" s="147"/>
      <c r="AD894" s="147"/>
      <c r="AE894" s="147"/>
      <c r="AF894" s="147"/>
      <c r="AG894" s="147"/>
      <c r="AH894" s="147"/>
      <c r="AI894" s="147"/>
      <c r="AJ894" s="147"/>
      <c r="AK894" s="147"/>
      <c r="AL894" s="147"/>
      <c r="AM894" s="151"/>
      <c r="AN894" s="147"/>
      <c r="AO894" s="147"/>
      <c r="AP894" s="147"/>
      <c r="AQ894" s="147"/>
      <c r="AR894" s="147"/>
      <c r="AS894" s="147"/>
      <c r="AT894" s="147"/>
      <c r="AU894" s="147"/>
      <c r="AV894" s="147"/>
      <c r="AW894" s="147"/>
      <c r="AX894" s="147"/>
      <c r="AY894" s="147"/>
      <c r="AZ894" s="147"/>
      <c r="BA894" s="147"/>
      <c r="BB894" s="147"/>
      <c r="BC894" s="147"/>
      <c r="BD894" s="147"/>
      <c r="BE894" s="147"/>
      <c r="BF894" s="147"/>
      <c r="BG894" s="147"/>
      <c r="BH894" s="147"/>
      <c r="BI894" s="147"/>
      <c r="BJ894" s="147"/>
      <c r="BK894" s="147"/>
      <c r="BL894" s="147"/>
      <c r="BM894" s="147"/>
      <c r="BN894" s="147"/>
      <c r="BO894" s="147"/>
      <c r="BP894" s="147"/>
      <c r="BQ894" s="147"/>
      <c r="BR894" s="147"/>
      <c r="BS894" s="147"/>
      <c r="BT894" s="147"/>
      <c r="BU894" s="147"/>
      <c r="BV894" s="147"/>
      <c r="BW894" s="147"/>
      <c r="BX894" s="147"/>
      <c r="BY894" s="147"/>
      <c r="BZ894" s="147"/>
      <c r="CA894" s="147"/>
      <c r="CB894" s="147"/>
      <c r="CC894" s="147"/>
      <c r="CD894" s="147"/>
      <c r="CE894" s="147"/>
      <c r="CF894" s="147"/>
      <c r="CG894" s="147"/>
      <c r="CH894" s="147"/>
      <c r="CI894" s="147"/>
      <c r="CJ894" s="147"/>
      <c r="CK894" s="147"/>
    </row>
    <row r="895" spans="1:89">
      <c r="A895" s="157"/>
      <c r="F895" s="3"/>
      <c r="G895" s="3"/>
      <c r="L895" s="157"/>
      <c r="M895" s="157"/>
      <c r="O895" s="147"/>
      <c r="P895" s="147"/>
      <c r="Q895" s="147"/>
      <c r="R895" s="147"/>
      <c r="S895" s="147"/>
      <c r="T895" s="147"/>
      <c r="U895" s="147"/>
      <c r="V895" s="147"/>
      <c r="W895" s="147"/>
      <c r="X895" s="147"/>
      <c r="Y895" s="147"/>
      <c r="Z895" s="147"/>
      <c r="AA895" s="147"/>
      <c r="AB895" s="147"/>
      <c r="AC895" s="147"/>
      <c r="AD895" s="147"/>
      <c r="AE895" s="147"/>
      <c r="AF895" s="147"/>
      <c r="AG895" s="147"/>
      <c r="AH895" s="147"/>
      <c r="AI895" s="147"/>
      <c r="AJ895" s="147"/>
      <c r="AK895" s="147"/>
      <c r="AL895" s="147"/>
      <c r="AM895" s="151"/>
      <c r="AN895" s="147"/>
      <c r="AO895" s="147"/>
      <c r="AP895" s="147"/>
      <c r="AQ895" s="147"/>
      <c r="AR895" s="147"/>
      <c r="AS895" s="147"/>
      <c r="AT895" s="147"/>
      <c r="AU895" s="147"/>
      <c r="AV895" s="147"/>
      <c r="AW895" s="147"/>
      <c r="AX895" s="147"/>
      <c r="AY895" s="147"/>
      <c r="AZ895" s="147"/>
      <c r="BA895" s="147"/>
      <c r="BB895" s="147"/>
      <c r="BC895" s="147"/>
      <c r="BD895" s="147"/>
      <c r="BE895" s="147"/>
      <c r="BF895" s="147"/>
      <c r="BG895" s="147"/>
      <c r="BH895" s="147"/>
      <c r="BI895" s="147"/>
      <c r="BJ895" s="147"/>
      <c r="BK895" s="147"/>
      <c r="BL895" s="147"/>
      <c r="BM895" s="147"/>
      <c r="BN895" s="147"/>
      <c r="BO895" s="147"/>
      <c r="BP895" s="147"/>
      <c r="BQ895" s="147"/>
      <c r="BR895" s="147"/>
      <c r="BS895" s="147"/>
      <c r="BT895" s="147"/>
      <c r="BU895" s="147"/>
      <c r="BV895" s="147"/>
      <c r="BW895" s="147"/>
      <c r="BX895" s="147"/>
      <c r="BY895" s="147"/>
      <c r="BZ895" s="147"/>
      <c r="CA895" s="147"/>
      <c r="CB895" s="147"/>
      <c r="CC895" s="147"/>
      <c r="CD895" s="147"/>
      <c r="CE895" s="147"/>
      <c r="CF895" s="147"/>
      <c r="CG895" s="147"/>
      <c r="CH895" s="147"/>
      <c r="CI895" s="147"/>
      <c r="CJ895" s="147"/>
      <c r="CK895" s="147"/>
    </row>
    <row r="896" spans="1:89">
      <c r="A896" s="157"/>
      <c r="F896" s="3"/>
      <c r="G896" s="3"/>
      <c r="L896" s="157"/>
      <c r="M896" s="157"/>
      <c r="O896" s="147"/>
      <c r="P896" s="147"/>
      <c r="Q896" s="147"/>
      <c r="R896" s="147"/>
      <c r="S896" s="147"/>
      <c r="T896" s="147"/>
      <c r="U896" s="147"/>
      <c r="V896" s="147"/>
      <c r="W896" s="147"/>
      <c r="X896" s="147"/>
      <c r="Y896" s="147"/>
      <c r="Z896" s="147"/>
      <c r="AA896" s="147"/>
      <c r="AB896" s="147"/>
      <c r="AC896" s="147"/>
      <c r="AD896" s="147"/>
      <c r="AE896" s="147"/>
      <c r="AF896" s="147"/>
      <c r="AG896" s="147"/>
      <c r="AH896" s="147"/>
      <c r="AI896" s="147"/>
      <c r="AJ896" s="147"/>
      <c r="AK896" s="147"/>
      <c r="AL896" s="147"/>
      <c r="AM896" s="151"/>
      <c r="AN896" s="147"/>
      <c r="AO896" s="147"/>
      <c r="AP896" s="147"/>
      <c r="AQ896" s="147"/>
      <c r="AR896" s="147"/>
      <c r="AS896" s="147"/>
      <c r="AT896" s="147"/>
      <c r="AU896" s="147"/>
      <c r="AV896" s="147"/>
      <c r="AW896" s="147"/>
      <c r="AX896" s="147"/>
      <c r="AY896" s="147"/>
      <c r="AZ896" s="147"/>
      <c r="BA896" s="147"/>
      <c r="BB896" s="147"/>
      <c r="BC896" s="147"/>
      <c r="BD896" s="147"/>
      <c r="BE896" s="147"/>
      <c r="BF896" s="147"/>
      <c r="BG896" s="147"/>
      <c r="BH896" s="147"/>
      <c r="BI896" s="147"/>
      <c r="BJ896" s="147"/>
      <c r="BK896" s="147"/>
      <c r="BL896" s="147"/>
      <c r="BM896" s="147"/>
      <c r="BN896" s="147"/>
      <c r="BO896" s="147"/>
      <c r="BP896" s="147"/>
      <c r="BQ896" s="147"/>
      <c r="BR896" s="147"/>
      <c r="BS896" s="147"/>
      <c r="BT896" s="147"/>
      <c r="BU896" s="147"/>
      <c r="BV896" s="147"/>
      <c r="BW896" s="147"/>
      <c r="BX896" s="147"/>
      <c r="BY896" s="147"/>
      <c r="BZ896" s="147"/>
      <c r="CA896" s="147"/>
      <c r="CB896" s="147"/>
      <c r="CC896" s="147"/>
      <c r="CD896" s="147"/>
      <c r="CE896" s="147"/>
      <c r="CF896" s="147"/>
      <c r="CG896" s="147"/>
      <c r="CH896" s="147"/>
      <c r="CI896" s="147"/>
      <c r="CJ896" s="147"/>
      <c r="CK896" s="147"/>
    </row>
    <row r="897" spans="1:89">
      <c r="A897" s="157"/>
      <c r="F897" s="3"/>
      <c r="G897" s="3"/>
      <c r="L897" s="157"/>
      <c r="M897" s="157"/>
      <c r="O897" s="147"/>
      <c r="P897" s="147"/>
      <c r="Q897" s="147"/>
      <c r="R897" s="147"/>
      <c r="S897" s="147"/>
      <c r="T897" s="147"/>
      <c r="U897" s="147"/>
      <c r="V897" s="147"/>
      <c r="W897" s="147"/>
      <c r="X897" s="147"/>
      <c r="Y897" s="147"/>
      <c r="Z897" s="147"/>
      <c r="AA897" s="147"/>
      <c r="AB897" s="147"/>
      <c r="AC897" s="147"/>
      <c r="AD897" s="147"/>
      <c r="AE897" s="147"/>
      <c r="AF897" s="147"/>
      <c r="AG897" s="147"/>
      <c r="AH897" s="147"/>
      <c r="AI897" s="147"/>
      <c r="AJ897" s="147"/>
      <c r="AK897" s="147"/>
      <c r="AL897" s="147"/>
      <c r="AM897" s="151"/>
      <c r="AN897" s="147"/>
      <c r="AO897" s="147"/>
      <c r="AP897" s="147"/>
      <c r="AQ897" s="147"/>
      <c r="AR897" s="147"/>
      <c r="AS897" s="147"/>
      <c r="AT897" s="147"/>
      <c r="AU897" s="147"/>
      <c r="AV897" s="147"/>
      <c r="AW897" s="147"/>
      <c r="AX897" s="147"/>
      <c r="AY897" s="147"/>
      <c r="AZ897" s="147"/>
      <c r="BA897" s="147"/>
      <c r="BB897" s="147"/>
      <c r="BC897" s="147"/>
      <c r="BD897" s="147"/>
      <c r="BE897" s="147"/>
      <c r="BF897" s="147"/>
      <c r="BG897" s="147"/>
      <c r="BH897" s="147"/>
      <c r="BI897" s="147"/>
      <c r="BJ897" s="147"/>
      <c r="BK897" s="147"/>
      <c r="BL897" s="147"/>
      <c r="BM897" s="147"/>
      <c r="BN897" s="147"/>
      <c r="BO897" s="147"/>
      <c r="BP897" s="147"/>
      <c r="BQ897" s="147"/>
      <c r="BR897" s="147"/>
      <c r="BS897" s="147"/>
      <c r="BT897" s="147"/>
      <c r="BU897" s="147"/>
      <c r="BV897" s="147"/>
      <c r="BW897" s="147"/>
      <c r="BX897" s="147"/>
      <c r="BY897" s="147"/>
      <c r="BZ897" s="147"/>
      <c r="CA897" s="147"/>
      <c r="CB897" s="147"/>
      <c r="CC897" s="147"/>
      <c r="CD897" s="147"/>
      <c r="CE897" s="147"/>
      <c r="CF897" s="147"/>
      <c r="CG897" s="147"/>
      <c r="CH897" s="147"/>
      <c r="CI897" s="147"/>
      <c r="CJ897" s="147"/>
      <c r="CK897" s="147"/>
    </row>
    <row r="898" spans="1:89">
      <c r="A898" s="157"/>
      <c r="F898" s="3"/>
      <c r="G898" s="3"/>
      <c r="L898" s="157"/>
      <c r="M898" s="157"/>
      <c r="O898" s="147"/>
      <c r="P898" s="147"/>
      <c r="Q898" s="147"/>
      <c r="R898" s="147"/>
      <c r="S898" s="147"/>
      <c r="T898" s="147"/>
      <c r="U898" s="147"/>
      <c r="V898" s="147"/>
      <c r="W898" s="147"/>
      <c r="X898" s="147"/>
      <c r="Y898" s="147"/>
      <c r="Z898" s="147"/>
      <c r="AA898" s="147"/>
      <c r="AB898" s="147"/>
      <c r="AC898" s="147"/>
      <c r="AD898" s="147"/>
      <c r="AE898" s="147"/>
      <c r="AF898" s="147"/>
      <c r="AG898" s="147"/>
      <c r="AH898" s="147"/>
      <c r="AI898" s="147"/>
      <c r="AJ898" s="147"/>
      <c r="AK898" s="147"/>
      <c r="AL898" s="147"/>
      <c r="AM898" s="151"/>
      <c r="AN898" s="147"/>
      <c r="AO898" s="147"/>
      <c r="AP898" s="147"/>
      <c r="AQ898" s="147"/>
      <c r="AR898" s="147"/>
      <c r="AS898" s="147"/>
      <c r="AT898" s="147"/>
      <c r="AU898" s="147"/>
      <c r="AV898" s="147"/>
      <c r="AW898" s="147"/>
      <c r="AX898" s="147"/>
      <c r="AY898" s="147"/>
      <c r="AZ898" s="147"/>
      <c r="BA898" s="147"/>
      <c r="BB898" s="147"/>
      <c r="BC898" s="147"/>
      <c r="BD898" s="147"/>
      <c r="BE898" s="147"/>
      <c r="BF898" s="147"/>
      <c r="BG898" s="147"/>
      <c r="BH898" s="147"/>
      <c r="BI898" s="147"/>
      <c r="BJ898" s="147"/>
      <c r="BK898" s="147"/>
      <c r="BL898" s="147"/>
      <c r="BM898" s="147"/>
      <c r="BN898" s="147"/>
      <c r="BO898" s="147"/>
      <c r="BP898" s="147"/>
      <c r="BQ898" s="147"/>
      <c r="BR898" s="147"/>
      <c r="BS898" s="147"/>
      <c r="BT898" s="147"/>
      <c r="BU898" s="147"/>
      <c r="BV898" s="147"/>
      <c r="BW898" s="147"/>
      <c r="BX898" s="147"/>
      <c r="BY898" s="147"/>
      <c r="BZ898" s="147"/>
      <c r="CA898" s="147"/>
      <c r="CB898" s="147"/>
      <c r="CC898" s="147"/>
      <c r="CD898" s="147"/>
      <c r="CE898" s="147"/>
      <c r="CF898" s="147"/>
      <c r="CG898" s="147"/>
      <c r="CH898" s="147"/>
      <c r="CI898" s="147"/>
      <c r="CJ898" s="147"/>
      <c r="CK898" s="147"/>
    </row>
    <row r="899" spans="1:89">
      <c r="A899" s="157"/>
      <c r="F899" s="3"/>
      <c r="G899" s="3"/>
      <c r="L899" s="157"/>
      <c r="M899" s="157"/>
      <c r="O899" s="147"/>
      <c r="P899" s="147"/>
      <c r="Q899" s="147"/>
      <c r="R899" s="147"/>
      <c r="S899" s="147"/>
      <c r="T899" s="147"/>
      <c r="U899" s="147"/>
      <c r="V899" s="147"/>
      <c r="W899" s="147"/>
      <c r="X899" s="147"/>
      <c r="Y899" s="147"/>
      <c r="Z899" s="147"/>
      <c r="AA899" s="147"/>
      <c r="AB899" s="147"/>
      <c r="AC899" s="147"/>
      <c r="AD899" s="147"/>
      <c r="AE899" s="147"/>
      <c r="AF899" s="147"/>
      <c r="AG899" s="147"/>
      <c r="AH899" s="147"/>
      <c r="AI899" s="147"/>
      <c r="AJ899" s="147"/>
      <c r="AK899" s="147"/>
      <c r="AL899" s="147"/>
      <c r="AM899" s="151"/>
      <c r="AN899" s="147"/>
      <c r="AO899" s="147"/>
      <c r="AP899" s="147"/>
      <c r="AQ899" s="147"/>
      <c r="AR899" s="147"/>
      <c r="AS899" s="147"/>
      <c r="AT899" s="147"/>
      <c r="AU899" s="147"/>
      <c r="AV899" s="147"/>
      <c r="AW899" s="147"/>
      <c r="AX899" s="147"/>
      <c r="AY899" s="147"/>
      <c r="AZ899" s="147"/>
      <c r="BA899" s="147"/>
      <c r="BB899" s="147"/>
      <c r="BC899" s="147"/>
      <c r="BD899" s="147"/>
      <c r="BE899" s="147"/>
      <c r="BF899" s="147"/>
      <c r="BG899" s="147"/>
      <c r="BH899" s="147"/>
      <c r="BI899" s="147"/>
      <c r="BJ899" s="147"/>
      <c r="BK899" s="147"/>
      <c r="BL899" s="147"/>
      <c r="BM899" s="147"/>
      <c r="BN899" s="147"/>
      <c r="BO899" s="147"/>
      <c r="BP899" s="147"/>
      <c r="BQ899" s="147"/>
      <c r="BR899" s="147"/>
      <c r="BS899" s="147"/>
      <c r="BT899" s="147"/>
      <c r="BU899" s="147"/>
      <c r="BV899" s="147"/>
      <c r="BW899" s="147"/>
      <c r="BX899" s="147"/>
      <c r="BY899" s="147"/>
      <c r="BZ899" s="147"/>
      <c r="CA899" s="147"/>
      <c r="CB899" s="147"/>
      <c r="CC899" s="147"/>
      <c r="CD899" s="147"/>
      <c r="CE899" s="147"/>
      <c r="CF899" s="147"/>
      <c r="CG899" s="147"/>
      <c r="CH899" s="147"/>
      <c r="CI899" s="147"/>
      <c r="CJ899" s="147"/>
      <c r="CK899" s="147"/>
    </row>
    <row r="900" spans="1:89">
      <c r="A900" s="157"/>
      <c r="F900" s="3"/>
      <c r="G900" s="3"/>
      <c r="L900" s="157"/>
      <c r="M900" s="157"/>
      <c r="O900" s="147"/>
      <c r="P900" s="147"/>
      <c r="Q900" s="147"/>
      <c r="R900" s="147"/>
      <c r="S900" s="147"/>
      <c r="T900" s="147"/>
      <c r="U900" s="147"/>
      <c r="V900" s="147"/>
      <c r="W900" s="147"/>
      <c r="X900" s="147"/>
      <c r="Y900" s="147"/>
      <c r="Z900" s="147"/>
      <c r="AA900" s="147"/>
      <c r="AB900" s="147"/>
      <c r="AC900" s="147"/>
      <c r="AD900" s="147"/>
      <c r="AE900" s="147"/>
      <c r="AF900" s="147"/>
      <c r="AG900" s="147"/>
      <c r="AH900" s="147"/>
      <c r="AI900" s="147"/>
      <c r="AJ900" s="147"/>
      <c r="AK900" s="147"/>
      <c r="AL900" s="147"/>
      <c r="AM900" s="151"/>
      <c r="AN900" s="147"/>
      <c r="AO900" s="147"/>
      <c r="AP900" s="147"/>
      <c r="AQ900" s="147"/>
      <c r="AR900" s="147"/>
      <c r="AS900" s="147"/>
      <c r="AT900" s="147"/>
      <c r="AU900" s="147"/>
      <c r="AV900" s="147"/>
      <c r="AW900" s="147"/>
      <c r="AX900" s="147"/>
      <c r="AY900" s="147"/>
      <c r="AZ900" s="147"/>
      <c r="BA900" s="147"/>
      <c r="BB900" s="147"/>
      <c r="BC900" s="147"/>
      <c r="BD900" s="147"/>
      <c r="BE900" s="147"/>
      <c r="BF900" s="147"/>
      <c r="BG900" s="147"/>
      <c r="BH900" s="147"/>
      <c r="BI900" s="147"/>
      <c r="BJ900" s="147"/>
      <c r="BK900" s="147"/>
      <c r="BL900" s="147"/>
      <c r="BM900" s="147"/>
      <c r="BN900" s="147"/>
      <c r="BO900" s="147"/>
      <c r="BP900" s="147"/>
      <c r="BQ900" s="147"/>
      <c r="BR900" s="147"/>
      <c r="BS900" s="147"/>
      <c r="BT900" s="147"/>
      <c r="BU900" s="147"/>
      <c r="BV900" s="147"/>
      <c r="BW900" s="147"/>
      <c r="BX900" s="147"/>
      <c r="BY900" s="147"/>
      <c r="BZ900" s="147"/>
      <c r="CA900" s="147"/>
      <c r="CB900" s="147"/>
      <c r="CC900" s="147"/>
      <c r="CD900" s="147"/>
      <c r="CE900" s="147"/>
      <c r="CF900" s="147"/>
      <c r="CG900" s="147"/>
      <c r="CH900" s="147"/>
      <c r="CI900" s="147"/>
      <c r="CJ900" s="147"/>
      <c r="CK900" s="147"/>
    </row>
    <row r="901" spans="1:89">
      <c r="A901" s="157"/>
      <c r="F901" s="3"/>
      <c r="G901" s="3"/>
      <c r="L901" s="157"/>
      <c r="M901" s="157"/>
      <c r="O901" s="147"/>
      <c r="P901" s="147"/>
      <c r="Q901" s="147"/>
      <c r="R901" s="147"/>
      <c r="S901" s="147"/>
      <c r="T901" s="147"/>
      <c r="U901" s="147"/>
      <c r="V901" s="147"/>
      <c r="W901" s="147"/>
      <c r="X901" s="147"/>
      <c r="Y901" s="147"/>
      <c r="Z901" s="147"/>
      <c r="AA901" s="147"/>
      <c r="AB901" s="147"/>
      <c r="AC901" s="147"/>
      <c r="AD901" s="147"/>
      <c r="AE901" s="147"/>
      <c r="AF901" s="147"/>
      <c r="AG901" s="147"/>
      <c r="AH901" s="147"/>
      <c r="AI901" s="147"/>
      <c r="AJ901" s="147"/>
      <c r="AK901" s="147"/>
      <c r="AL901" s="147"/>
      <c r="AM901" s="151"/>
      <c r="AN901" s="147"/>
      <c r="AO901" s="147"/>
      <c r="AP901" s="147"/>
      <c r="AQ901" s="147"/>
      <c r="AR901" s="147"/>
      <c r="AS901" s="147"/>
      <c r="AT901" s="147"/>
      <c r="AU901" s="147"/>
      <c r="AV901" s="147"/>
      <c r="AW901" s="147"/>
      <c r="AX901" s="147"/>
      <c r="AY901" s="147"/>
      <c r="AZ901" s="147"/>
      <c r="BA901" s="147"/>
      <c r="BB901" s="147"/>
      <c r="BC901" s="147"/>
      <c r="BD901" s="147"/>
      <c r="BE901" s="147"/>
      <c r="BF901" s="147"/>
      <c r="BG901" s="147"/>
      <c r="BH901" s="147"/>
      <c r="BI901" s="147"/>
      <c r="BJ901" s="147"/>
      <c r="BK901" s="147"/>
      <c r="BL901" s="147"/>
      <c r="BM901" s="147"/>
      <c r="BN901" s="147"/>
      <c r="BO901" s="147"/>
      <c r="BP901" s="147"/>
      <c r="BQ901" s="147"/>
      <c r="BR901" s="147"/>
      <c r="BS901" s="147"/>
      <c r="BT901" s="147"/>
      <c r="BU901" s="147"/>
      <c r="BV901" s="147"/>
      <c r="BW901" s="147"/>
      <c r="BX901" s="147"/>
      <c r="BY901" s="147"/>
      <c r="BZ901" s="147"/>
      <c r="CA901" s="147"/>
      <c r="CB901" s="147"/>
      <c r="CC901" s="147"/>
      <c r="CD901" s="147"/>
      <c r="CE901" s="147"/>
      <c r="CF901" s="147"/>
      <c r="CG901" s="147"/>
      <c r="CH901" s="147"/>
      <c r="CI901" s="147"/>
      <c r="CJ901" s="147"/>
      <c r="CK901" s="147"/>
    </row>
    <row r="902" spans="1:89">
      <c r="A902" s="157"/>
      <c r="F902" s="3"/>
      <c r="G902" s="3"/>
      <c r="L902" s="157"/>
      <c r="M902" s="157"/>
      <c r="O902" s="147"/>
      <c r="P902" s="147"/>
      <c r="Q902" s="147"/>
      <c r="R902" s="147"/>
      <c r="S902" s="147"/>
      <c r="T902" s="147"/>
      <c r="U902" s="147"/>
      <c r="V902" s="147"/>
      <c r="W902" s="147"/>
      <c r="X902" s="147"/>
      <c r="Y902" s="147"/>
      <c r="Z902" s="147"/>
      <c r="AA902" s="147"/>
      <c r="AB902" s="147"/>
      <c r="AC902" s="147"/>
      <c r="AD902" s="147"/>
      <c r="AE902" s="147"/>
      <c r="AF902" s="147"/>
      <c r="AG902" s="147"/>
      <c r="AH902" s="147"/>
      <c r="AI902" s="147"/>
      <c r="AJ902" s="147"/>
      <c r="AK902" s="147"/>
      <c r="AL902" s="147"/>
      <c r="AM902" s="151"/>
      <c r="AN902" s="147"/>
      <c r="AO902" s="147"/>
      <c r="AP902" s="147"/>
      <c r="AQ902" s="147"/>
      <c r="AR902" s="147"/>
      <c r="AS902" s="147"/>
      <c r="AT902" s="147"/>
      <c r="AU902" s="147"/>
      <c r="AV902" s="147"/>
      <c r="AW902" s="147"/>
      <c r="AX902" s="147"/>
      <c r="AY902" s="147"/>
      <c r="AZ902" s="147"/>
      <c r="BA902" s="147"/>
      <c r="BB902" s="147"/>
      <c r="BC902" s="147"/>
      <c r="BD902" s="147"/>
      <c r="BE902" s="147"/>
      <c r="BF902" s="147"/>
      <c r="BG902" s="147"/>
      <c r="BH902" s="147"/>
      <c r="BI902" s="147"/>
      <c r="BJ902" s="147"/>
      <c r="BK902" s="147"/>
      <c r="BL902" s="147"/>
      <c r="BM902" s="147"/>
      <c r="BN902" s="147"/>
      <c r="BO902" s="147"/>
      <c r="BP902" s="147"/>
      <c r="BQ902" s="147"/>
      <c r="BR902" s="147"/>
      <c r="BS902" s="147"/>
      <c r="BT902" s="147"/>
      <c r="BU902" s="147"/>
      <c r="BV902" s="147"/>
      <c r="BW902" s="147"/>
      <c r="BX902" s="147"/>
      <c r="BY902" s="147"/>
      <c r="BZ902" s="147"/>
      <c r="CA902" s="147"/>
      <c r="CB902" s="147"/>
      <c r="CC902" s="147"/>
      <c r="CD902" s="147"/>
      <c r="CE902" s="147"/>
      <c r="CF902" s="147"/>
      <c r="CG902" s="147"/>
      <c r="CH902" s="147"/>
      <c r="CI902" s="147"/>
      <c r="CJ902" s="147"/>
      <c r="CK902" s="147"/>
    </row>
    <row r="903" spans="1:89">
      <c r="A903" s="157"/>
      <c r="F903" s="3"/>
      <c r="G903" s="3"/>
      <c r="L903" s="157"/>
      <c r="M903" s="157"/>
      <c r="O903" s="147"/>
      <c r="P903" s="147"/>
      <c r="Q903" s="147"/>
      <c r="R903" s="147"/>
      <c r="S903" s="147"/>
      <c r="T903" s="147"/>
      <c r="U903" s="147"/>
      <c r="V903" s="147"/>
      <c r="W903" s="147"/>
      <c r="X903" s="147"/>
      <c r="Y903" s="147"/>
      <c r="Z903" s="147"/>
      <c r="AA903" s="147"/>
      <c r="AB903" s="147"/>
      <c r="AC903" s="147"/>
      <c r="AD903" s="147"/>
      <c r="AE903" s="147"/>
      <c r="AF903" s="147"/>
      <c r="AG903" s="147"/>
      <c r="AH903" s="147"/>
      <c r="AI903" s="147"/>
      <c r="AJ903" s="147"/>
      <c r="AK903" s="147"/>
      <c r="AL903" s="147"/>
      <c r="AM903" s="151"/>
      <c r="AN903" s="147"/>
      <c r="AO903" s="147"/>
      <c r="AP903" s="147"/>
      <c r="AQ903" s="147"/>
      <c r="AR903" s="147"/>
      <c r="AS903" s="147"/>
      <c r="AT903" s="147"/>
      <c r="AU903" s="147"/>
      <c r="AV903" s="147"/>
      <c r="AW903" s="147"/>
      <c r="AX903" s="147"/>
      <c r="AY903" s="147"/>
      <c r="AZ903" s="147"/>
      <c r="BA903" s="147"/>
      <c r="BB903" s="147"/>
      <c r="BC903" s="147"/>
      <c r="BD903" s="147"/>
      <c r="BE903" s="147"/>
      <c r="BF903" s="147"/>
      <c r="BG903" s="147"/>
      <c r="BH903" s="147"/>
      <c r="BI903" s="147"/>
      <c r="BJ903" s="147"/>
      <c r="BK903" s="147"/>
      <c r="BL903" s="147"/>
      <c r="BM903" s="147"/>
      <c r="BN903" s="147"/>
      <c r="BO903" s="147"/>
      <c r="BP903" s="147"/>
      <c r="BQ903" s="147"/>
      <c r="BR903" s="147"/>
      <c r="BS903" s="147"/>
      <c r="BT903" s="147"/>
      <c r="BU903" s="147"/>
      <c r="BV903" s="147"/>
      <c r="BW903" s="147"/>
      <c r="BX903" s="147"/>
      <c r="BY903" s="147"/>
      <c r="BZ903" s="147"/>
      <c r="CA903" s="147"/>
      <c r="CB903" s="147"/>
      <c r="CC903" s="147"/>
      <c r="CD903" s="147"/>
      <c r="CE903" s="147"/>
      <c r="CF903" s="147"/>
      <c r="CG903" s="147"/>
      <c r="CH903" s="147"/>
      <c r="CI903" s="147"/>
      <c r="CJ903" s="147"/>
      <c r="CK903" s="147"/>
    </row>
    <row r="904" spans="1:89">
      <c r="A904" s="157"/>
      <c r="F904" s="3"/>
      <c r="G904" s="3"/>
      <c r="L904" s="157"/>
      <c r="M904" s="157"/>
      <c r="O904" s="147"/>
      <c r="P904" s="147"/>
      <c r="Q904" s="147"/>
      <c r="R904" s="147"/>
      <c r="S904" s="147"/>
      <c r="T904" s="147"/>
      <c r="U904" s="147"/>
      <c r="V904" s="147"/>
      <c r="W904" s="147"/>
      <c r="X904" s="147"/>
      <c r="Y904" s="147"/>
      <c r="Z904" s="147"/>
      <c r="AA904" s="147"/>
      <c r="AB904" s="147"/>
      <c r="AC904" s="147"/>
      <c r="AD904" s="147"/>
      <c r="AE904" s="147"/>
      <c r="AF904" s="147"/>
      <c r="AG904" s="147"/>
      <c r="AH904" s="147"/>
      <c r="AI904" s="147"/>
      <c r="AJ904" s="147"/>
      <c r="AK904" s="147"/>
      <c r="AL904" s="147"/>
      <c r="AM904" s="151"/>
      <c r="AN904" s="147"/>
      <c r="AO904" s="147"/>
      <c r="AP904" s="147"/>
      <c r="AQ904" s="147"/>
      <c r="AR904" s="147"/>
      <c r="AS904" s="147"/>
      <c r="AT904" s="147"/>
      <c r="AU904" s="147"/>
      <c r="AV904" s="147"/>
      <c r="AW904" s="147"/>
      <c r="AX904" s="147"/>
      <c r="AY904" s="147"/>
      <c r="AZ904" s="147"/>
      <c r="BA904" s="147"/>
      <c r="BB904" s="147"/>
      <c r="BC904" s="147"/>
      <c r="BD904" s="147"/>
      <c r="BE904" s="147"/>
      <c r="BF904" s="147"/>
      <c r="BG904" s="147"/>
      <c r="BH904" s="147"/>
      <c r="BI904" s="147"/>
      <c r="BJ904" s="147"/>
      <c r="BK904" s="147"/>
      <c r="BL904" s="147"/>
      <c r="BM904" s="147"/>
      <c r="BN904" s="147"/>
      <c r="BO904" s="147"/>
      <c r="BP904" s="147"/>
      <c r="BQ904" s="147"/>
      <c r="BR904" s="147"/>
      <c r="BS904" s="147"/>
      <c r="BT904" s="147"/>
      <c r="BU904" s="147"/>
      <c r="BV904" s="147"/>
      <c r="BW904" s="147"/>
      <c r="BX904" s="147"/>
      <c r="BY904" s="147"/>
      <c r="BZ904" s="147"/>
      <c r="CA904" s="147"/>
      <c r="CB904" s="147"/>
      <c r="CC904" s="147"/>
      <c r="CD904" s="147"/>
      <c r="CE904" s="147"/>
      <c r="CF904" s="147"/>
      <c r="CG904" s="147"/>
      <c r="CH904" s="147"/>
      <c r="CI904" s="147"/>
      <c r="CJ904" s="147"/>
      <c r="CK904" s="147"/>
    </row>
    <row r="905" spans="1:89">
      <c r="A905" s="157"/>
      <c r="F905" s="3"/>
      <c r="G905" s="3"/>
      <c r="L905" s="157"/>
      <c r="M905" s="157"/>
      <c r="O905" s="147"/>
      <c r="P905" s="147"/>
      <c r="Q905" s="147"/>
      <c r="R905" s="147"/>
      <c r="S905" s="147"/>
      <c r="T905" s="147"/>
      <c r="U905" s="147"/>
      <c r="V905" s="147"/>
      <c r="W905" s="147"/>
      <c r="X905" s="147"/>
      <c r="Y905" s="147"/>
      <c r="Z905" s="147"/>
      <c r="AA905" s="147"/>
      <c r="AB905" s="147"/>
      <c r="AC905" s="147"/>
      <c r="AD905" s="147"/>
      <c r="AE905" s="147"/>
      <c r="AF905" s="147"/>
      <c r="AG905" s="147"/>
      <c r="AH905" s="147"/>
      <c r="AI905" s="147"/>
      <c r="AJ905" s="147"/>
      <c r="AK905" s="147"/>
      <c r="AL905" s="147"/>
      <c r="AM905" s="151"/>
      <c r="AN905" s="147"/>
      <c r="AO905" s="147"/>
      <c r="AP905" s="147"/>
      <c r="AQ905" s="147"/>
      <c r="AR905" s="147"/>
      <c r="AS905" s="147"/>
      <c r="AT905" s="147"/>
      <c r="AU905" s="147"/>
      <c r="AV905" s="147"/>
      <c r="AW905" s="147"/>
      <c r="AX905" s="147"/>
      <c r="AY905" s="147"/>
      <c r="AZ905" s="147"/>
      <c r="BA905" s="147"/>
      <c r="BB905" s="147"/>
      <c r="BC905" s="147"/>
      <c r="BD905" s="147"/>
      <c r="BE905" s="147"/>
      <c r="BF905" s="147"/>
      <c r="BG905" s="147"/>
      <c r="BH905" s="147"/>
      <c r="BI905" s="147"/>
      <c r="BJ905" s="147"/>
      <c r="BK905" s="147"/>
      <c r="BL905" s="147"/>
      <c r="BM905" s="147"/>
      <c r="BN905" s="147"/>
      <c r="BO905" s="147"/>
      <c r="BP905" s="147"/>
      <c r="BQ905" s="147"/>
      <c r="BR905" s="147"/>
      <c r="BS905" s="147"/>
      <c r="BT905" s="147"/>
      <c r="BU905" s="147"/>
      <c r="BV905" s="147"/>
      <c r="BW905" s="147"/>
      <c r="BX905" s="147"/>
      <c r="BY905" s="147"/>
      <c r="BZ905" s="147"/>
      <c r="CA905" s="147"/>
      <c r="CB905" s="147"/>
      <c r="CC905" s="147"/>
      <c r="CD905" s="147"/>
      <c r="CE905" s="147"/>
      <c r="CF905" s="147"/>
      <c r="CG905" s="147"/>
      <c r="CH905" s="147"/>
      <c r="CI905" s="147"/>
      <c r="CJ905" s="147"/>
      <c r="CK905" s="147"/>
    </row>
    <row r="906" spans="1:89">
      <c r="A906" s="157"/>
      <c r="F906" s="3"/>
      <c r="G906" s="3"/>
      <c r="L906" s="157"/>
      <c r="M906" s="157"/>
      <c r="O906" s="147"/>
      <c r="P906" s="147"/>
      <c r="Q906" s="147"/>
      <c r="R906" s="147"/>
      <c r="S906" s="147"/>
      <c r="T906" s="147"/>
      <c r="U906" s="147"/>
      <c r="V906" s="147"/>
      <c r="W906" s="147"/>
      <c r="X906" s="147"/>
      <c r="Y906" s="147"/>
      <c r="Z906" s="147"/>
      <c r="AA906" s="147"/>
      <c r="AB906" s="147"/>
      <c r="AC906" s="147"/>
      <c r="AD906" s="147"/>
      <c r="AE906" s="147"/>
      <c r="AF906" s="147"/>
      <c r="AG906" s="147"/>
      <c r="AH906" s="147"/>
      <c r="AI906" s="147"/>
      <c r="AJ906" s="147"/>
      <c r="AK906" s="147"/>
      <c r="AL906" s="147"/>
      <c r="AM906" s="151"/>
      <c r="AN906" s="147"/>
      <c r="AO906" s="147"/>
      <c r="AP906" s="147"/>
      <c r="AQ906" s="147"/>
      <c r="AR906" s="147"/>
      <c r="AS906" s="147"/>
      <c r="AT906" s="147"/>
      <c r="AU906" s="147"/>
      <c r="AV906" s="147"/>
      <c r="AW906" s="147"/>
      <c r="AX906" s="147"/>
      <c r="AY906" s="147"/>
      <c r="AZ906" s="147"/>
      <c r="BA906" s="147"/>
      <c r="BB906" s="147"/>
      <c r="BC906" s="147"/>
      <c r="BD906" s="147"/>
      <c r="BE906" s="147"/>
      <c r="BF906" s="147"/>
      <c r="BG906" s="147"/>
      <c r="BH906" s="147"/>
      <c r="BI906" s="147"/>
      <c r="BJ906" s="147"/>
      <c r="BK906" s="147"/>
      <c r="BL906" s="147"/>
      <c r="BM906" s="147"/>
      <c r="BN906" s="147"/>
      <c r="BO906" s="147"/>
      <c r="BP906" s="147"/>
      <c r="BQ906" s="147"/>
      <c r="BR906" s="147"/>
      <c r="BS906" s="147"/>
      <c r="BT906" s="147"/>
      <c r="BU906" s="147"/>
      <c r="BV906" s="147"/>
      <c r="BW906" s="147"/>
      <c r="BX906" s="147"/>
      <c r="BY906" s="147"/>
      <c r="BZ906" s="147"/>
      <c r="CA906" s="147"/>
      <c r="CB906" s="147"/>
      <c r="CC906" s="147"/>
      <c r="CD906" s="147"/>
      <c r="CE906" s="147"/>
      <c r="CF906" s="147"/>
      <c r="CG906" s="147"/>
      <c r="CH906" s="147"/>
      <c r="CI906" s="147"/>
      <c r="CJ906" s="147"/>
      <c r="CK906" s="147"/>
    </row>
    <row r="907" spans="1:89">
      <c r="A907" s="157"/>
      <c r="F907" s="3"/>
      <c r="G907" s="3"/>
      <c r="L907" s="157"/>
      <c r="M907" s="157"/>
      <c r="O907" s="147"/>
      <c r="P907" s="147"/>
      <c r="Q907" s="147"/>
      <c r="R907" s="147"/>
      <c r="S907" s="147"/>
      <c r="T907" s="147"/>
      <c r="U907" s="147"/>
      <c r="V907" s="147"/>
      <c r="W907" s="147"/>
      <c r="X907" s="147"/>
      <c r="Y907" s="147"/>
      <c r="Z907" s="147"/>
      <c r="AA907" s="147"/>
      <c r="AB907" s="147"/>
      <c r="AC907" s="147"/>
      <c r="AD907" s="147"/>
      <c r="AE907" s="147"/>
      <c r="AF907" s="147"/>
      <c r="AG907" s="147"/>
      <c r="AH907" s="147"/>
      <c r="AI907" s="147"/>
      <c r="AJ907" s="147"/>
      <c r="AK907" s="147"/>
      <c r="AL907" s="147"/>
      <c r="AM907" s="151"/>
      <c r="AN907" s="147"/>
      <c r="AO907" s="147"/>
      <c r="AP907" s="147"/>
      <c r="AQ907" s="147"/>
      <c r="AR907" s="147"/>
      <c r="AS907" s="147"/>
      <c r="AT907" s="147"/>
      <c r="AU907" s="147"/>
      <c r="AV907" s="147"/>
      <c r="AW907" s="147"/>
      <c r="AX907" s="147"/>
      <c r="AY907" s="147"/>
      <c r="AZ907" s="147"/>
      <c r="BA907" s="147"/>
      <c r="BB907" s="147"/>
      <c r="BC907" s="147"/>
      <c r="BD907" s="147"/>
      <c r="BE907" s="147"/>
      <c r="BF907" s="147"/>
      <c r="BG907" s="147"/>
      <c r="BH907" s="147"/>
      <c r="BI907" s="147"/>
      <c r="BJ907" s="147"/>
      <c r="BK907" s="147"/>
      <c r="BL907" s="147"/>
      <c r="BM907" s="147"/>
      <c r="BN907" s="147"/>
      <c r="BO907" s="147"/>
      <c r="BP907" s="147"/>
      <c r="BQ907" s="147"/>
      <c r="BR907" s="147"/>
      <c r="BS907" s="147"/>
      <c r="BT907" s="147"/>
      <c r="BU907" s="147"/>
      <c r="BV907" s="147"/>
      <c r="BW907" s="147"/>
      <c r="BX907" s="147"/>
      <c r="BY907" s="147"/>
      <c r="BZ907" s="147"/>
      <c r="CA907" s="147"/>
      <c r="CB907" s="147"/>
      <c r="CC907" s="147"/>
      <c r="CD907" s="147"/>
      <c r="CE907" s="147"/>
      <c r="CF907" s="147"/>
      <c r="CG907" s="147"/>
      <c r="CH907" s="147"/>
      <c r="CI907" s="147"/>
      <c r="CJ907" s="147"/>
      <c r="CK907" s="147"/>
    </row>
    <row r="908" spans="1:89">
      <c r="A908" s="157"/>
      <c r="F908" s="3"/>
      <c r="G908" s="3"/>
      <c r="L908" s="157"/>
      <c r="M908" s="157"/>
      <c r="O908" s="147"/>
      <c r="P908" s="147"/>
      <c r="Q908" s="147"/>
      <c r="R908" s="147"/>
      <c r="S908" s="147"/>
      <c r="T908" s="147"/>
      <c r="U908" s="147"/>
      <c r="V908" s="147"/>
      <c r="W908" s="147"/>
      <c r="X908" s="147"/>
      <c r="Y908" s="147"/>
      <c r="Z908" s="147"/>
      <c r="AA908" s="147"/>
      <c r="AB908" s="147"/>
      <c r="AC908" s="147"/>
      <c r="AD908" s="147"/>
      <c r="AE908" s="147"/>
      <c r="AF908" s="147"/>
      <c r="AG908" s="147"/>
      <c r="AH908" s="147"/>
      <c r="AI908" s="147"/>
      <c r="AJ908" s="147"/>
      <c r="AK908" s="147"/>
      <c r="AL908" s="147"/>
      <c r="AM908" s="151"/>
      <c r="AN908" s="147"/>
      <c r="AO908" s="147"/>
      <c r="AP908" s="147"/>
      <c r="AQ908" s="147"/>
      <c r="AR908" s="147"/>
      <c r="AS908" s="147"/>
      <c r="AT908" s="147"/>
      <c r="AU908" s="147"/>
      <c r="AV908" s="147"/>
      <c r="AW908" s="147"/>
      <c r="AX908" s="147"/>
      <c r="AY908" s="147"/>
      <c r="AZ908" s="147"/>
      <c r="BA908" s="147"/>
      <c r="BB908" s="147"/>
      <c r="BC908" s="147"/>
      <c r="BD908" s="147"/>
      <c r="BE908" s="147"/>
      <c r="BF908" s="147"/>
      <c r="BG908" s="147"/>
      <c r="BH908" s="147"/>
      <c r="BI908" s="147"/>
      <c r="BJ908" s="147"/>
      <c r="BK908" s="147"/>
      <c r="BL908" s="147"/>
      <c r="BM908" s="147"/>
      <c r="BN908" s="147"/>
      <c r="BO908" s="147"/>
      <c r="BP908" s="147"/>
      <c r="BQ908" s="147"/>
      <c r="BR908" s="147"/>
      <c r="BS908" s="147"/>
      <c r="BT908" s="147"/>
      <c r="BU908" s="147"/>
      <c r="BV908" s="147"/>
      <c r="BW908" s="147"/>
      <c r="BX908" s="147"/>
      <c r="BY908" s="147"/>
      <c r="BZ908" s="147"/>
      <c r="CA908" s="147"/>
      <c r="CB908" s="147"/>
      <c r="CC908" s="147"/>
      <c r="CD908" s="147"/>
      <c r="CE908" s="147"/>
      <c r="CF908" s="147"/>
      <c r="CG908" s="147"/>
      <c r="CH908" s="147"/>
      <c r="CI908" s="147"/>
      <c r="CJ908" s="147"/>
      <c r="CK908" s="147"/>
    </row>
    <row r="909" spans="1:89">
      <c r="A909" s="157"/>
      <c r="F909" s="3"/>
      <c r="G909" s="3"/>
      <c r="L909" s="157"/>
      <c r="M909" s="157"/>
      <c r="O909" s="147"/>
      <c r="P909" s="147"/>
      <c r="Q909" s="147"/>
      <c r="R909" s="147"/>
      <c r="S909" s="147"/>
      <c r="T909" s="147"/>
      <c r="U909" s="147"/>
      <c r="V909" s="147"/>
      <c r="W909" s="147"/>
      <c r="X909" s="147"/>
      <c r="Y909" s="147"/>
      <c r="Z909" s="147"/>
      <c r="AA909" s="147"/>
      <c r="AB909" s="147"/>
      <c r="AC909" s="147"/>
      <c r="AD909" s="147"/>
      <c r="AE909" s="147"/>
      <c r="AF909" s="147"/>
      <c r="AG909" s="147"/>
      <c r="AH909" s="147"/>
      <c r="AI909" s="147"/>
      <c r="AJ909" s="147"/>
      <c r="AK909" s="147"/>
      <c r="AL909" s="147"/>
      <c r="AM909" s="151"/>
      <c r="AN909" s="147"/>
      <c r="AO909" s="147"/>
      <c r="AP909" s="147"/>
      <c r="AQ909" s="147"/>
      <c r="AR909" s="147"/>
      <c r="AS909" s="147"/>
      <c r="AT909" s="147"/>
      <c r="AU909" s="147"/>
      <c r="AV909" s="147"/>
      <c r="AW909" s="147"/>
      <c r="AX909" s="147"/>
      <c r="AY909" s="147"/>
      <c r="AZ909" s="147"/>
      <c r="BA909" s="147"/>
      <c r="BB909" s="147"/>
      <c r="BC909" s="147"/>
      <c r="BD909" s="147"/>
      <c r="BE909" s="147"/>
      <c r="BF909" s="147"/>
      <c r="BG909" s="147"/>
      <c r="BH909" s="147"/>
      <c r="BI909" s="147"/>
      <c r="BJ909" s="147"/>
      <c r="BK909" s="147"/>
      <c r="BL909" s="147"/>
      <c r="BM909" s="147"/>
      <c r="BN909" s="147"/>
      <c r="BO909" s="147"/>
      <c r="BP909" s="147"/>
      <c r="BQ909" s="147"/>
      <c r="BR909" s="147"/>
      <c r="BS909" s="147"/>
      <c r="BT909" s="147"/>
      <c r="BU909" s="147"/>
      <c r="BV909" s="147"/>
      <c r="BW909" s="147"/>
      <c r="BX909" s="147"/>
      <c r="BY909" s="147"/>
      <c r="BZ909" s="147"/>
      <c r="CA909" s="147"/>
      <c r="CB909" s="147"/>
      <c r="CC909" s="147"/>
      <c r="CD909" s="147"/>
      <c r="CE909" s="147"/>
      <c r="CF909" s="147"/>
      <c r="CG909" s="147"/>
      <c r="CH909" s="147"/>
      <c r="CI909" s="147"/>
      <c r="CJ909" s="147"/>
      <c r="CK909" s="147"/>
    </row>
    <row r="910" spans="1:89">
      <c r="A910" s="157"/>
      <c r="F910" s="3"/>
      <c r="G910" s="3"/>
      <c r="L910" s="157"/>
      <c r="M910" s="157"/>
      <c r="O910" s="147"/>
      <c r="P910" s="147"/>
      <c r="Q910" s="147"/>
      <c r="R910" s="147"/>
      <c r="S910" s="147"/>
      <c r="T910" s="147"/>
      <c r="U910" s="147"/>
      <c r="V910" s="147"/>
      <c r="W910" s="147"/>
      <c r="X910" s="147"/>
      <c r="Y910" s="147"/>
      <c r="Z910" s="147"/>
      <c r="AA910" s="147"/>
      <c r="AB910" s="147"/>
      <c r="AC910" s="147"/>
      <c r="AD910" s="147"/>
      <c r="AE910" s="147"/>
      <c r="AF910" s="147"/>
      <c r="AG910" s="147"/>
      <c r="AH910" s="147"/>
      <c r="AI910" s="147"/>
      <c r="AJ910" s="147"/>
      <c r="AK910" s="147"/>
      <c r="AL910" s="147"/>
      <c r="AM910" s="151"/>
      <c r="AN910" s="147"/>
      <c r="AO910" s="147"/>
      <c r="AP910" s="147"/>
      <c r="AQ910" s="147"/>
      <c r="AR910" s="147"/>
      <c r="AS910" s="147"/>
      <c r="AT910" s="147"/>
      <c r="AU910" s="147"/>
      <c r="AV910" s="147"/>
      <c r="AW910" s="147"/>
      <c r="AX910" s="147"/>
      <c r="AY910" s="147"/>
      <c r="AZ910" s="147"/>
      <c r="BA910" s="147"/>
      <c r="BB910" s="147"/>
      <c r="BC910" s="147"/>
      <c r="BD910" s="147"/>
      <c r="BE910" s="147"/>
      <c r="BF910" s="147"/>
      <c r="BG910" s="147"/>
      <c r="BH910" s="147"/>
      <c r="BI910" s="147"/>
      <c r="BJ910" s="147"/>
      <c r="BK910" s="147"/>
      <c r="BL910" s="147"/>
      <c r="BM910" s="147"/>
      <c r="BN910" s="147"/>
      <c r="BO910" s="147"/>
      <c r="BP910" s="147"/>
      <c r="BQ910" s="147"/>
      <c r="BR910" s="147"/>
      <c r="BS910" s="147"/>
      <c r="BT910" s="147"/>
      <c r="BU910" s="147"/>
      <c r="BV910" s="147"/>
      <c r="BW910" s="147"/>
      <c r="BX910" s="147"/>
      <c r="BY910" s="147"/>
      <c r="BZ910" s="147"/>
      <c r="CA910" s="147"/>
      <c r="CB910" s="147"/>
      <c r="CC910" s="147"/>
      <c r="CD910" s="147"/>
      <c r="CE910" s="147"/>
      <c r="CF910" s="147"/>
      <c r="CG910" s="147"/>
      <c r="CH910" s="147"/>
      <c r="CI910" s="147"/>
      <c r="CJ910" s="147"/>
      <c r="CK910" s="147"/>
    </row>
    <row r="911" spans="1:89">
      <c r="A911" s="157"/>
      <c r="F911" s="3"/>
      <c r="G911" s="3"/>
      <c r="L911" s="157"/>
      <c r="M911" s="157"/>
      <c r="O911" s="147"/>
      <c r="P911" s="147"/>
      <c r="Q911" s="147"/>
      <c r="R911" s="147"/>
      <c r="S911" s="147"/>
      <c r="T911" s="147"/>
      <c r="U911" s="147"/>
      <c r="V911" s="147"/>
      <c r="W911" s="147"/>
      <c r="X911" s="147"/>
      <c r="Y911" s="147"/>
      <c r="Z911" s="147"/>
      <c r="AA911" s="147"/>
      <c r="AB911" s="147"/>
      <c r="AC911" s="147"/>
      <c r="AD911" s="147"/>
      <c r="AE911" s="147"/>
      <c r="AF911" s="147"/>
      <c r="AG911" s="147"/>
      <c r="AH911" s="147"/>
      <c r="AI911" s="147"/>
      <c r="AJ911" s="147"/>
      <c r="AK911" s="147"/>
      <c r="AL911" s="147"/>
      <c r="AM911" s="151"/>
      <c r="AN911" s="147"/>
      <c r="AO911" s="147"/>
      <c r="AP911" s="147"/>
      <c r="AQ911" s="147"/>
      <c r="AR911" s="147"/>
      <c r="AS911" s="147"/>
      <c r="AT911" s="147"/>
      <c r="AU911" s="147"/>
      <c r="AV911" s="147"/>
      <c r="AW911" s="147"/>
      <c r="AX911" s="147"/>
      <c r="AY911" s="147"/>
      <c r="AZ911" s="147"/>
      <c r="BA911" s="147"/>
      <c r="BB911" s="147"/>
      <c r="BC911" s="147"/>
      <c r="BD911" s="147"/>
      <c r="BE911" s="147"/>
      <c r="BF911" s="147"/>
      <c r="BG911" s="147"/>
      <c r="BH911" s="147"/>
      <c r="BI911" s="147"/>
      <c r="BJ911" s="147"/>
      <c r="BK911" s="147"/>
      <c r="BL911" s="147"/>
      <c r="BM911" s="147"/>
      <c r="BN911" s="147"/>
      <c r="BO911" s="147"/>
      <c r="BP911" s="147"/>
      <c r="BQ911" s="147"/>
      <c r="BR911" s="147"/>
      <c r="BS911" s="147"/>
      <c r="BT911" s="147"/>
      <c r="BU911" s="147"/>
      <c r="BV911" s="147"/>
      <c r="BW911" s="147"/>
      <c r="BX911" s="147"/>
      <c r="BY911" s="147"/>
      <c r="BZ911" s="147"/>
      <c r="CA911" s="147"/>
      <c r="CB911" s="147"/>
      <c r="CC911" s="147"/>
      <c r="CD911" s="147"/>
      <c r="CE911" s="147"/>
      <c r="CF911" s="147"/>
      <c r="CG911" s="147"/>
      <c r="CH911" s="147"/>
      <c r="CI911" s="147"/>
      <c r="CJ911" s="147"/>
      <c r="CK911" s="147"/>
    </row>
    <row r="912" spans="1:89">
      <c r="A912" s="157"/>
      <c r="F912" s="3"/>
      <c r="G912" s="3"/>
      <c r="L912" s="157"/>
      <c r="M912" s="157"/>
      <c r="O912" s="147"/>
      <c r="P912" s="147"/>
      <c r="Q912" s="147"/>
      <c r="R912" s="147"/>
      <c r="S912" s="147"/>
      <c r="T912" s="147"/>
      <c r="U912" s="147"/>
      <c r="V912" s="147"/>
      <c r="W912" s="147"/>
      <c r="X912" s="147"/>
      <c r="Y912" s="147"/>
      <c r="Z912" s="147"/>
      <c r="AA912" s="147"/>
      <c r="AB912" s="147"/>
      <c r="AC912" s="147"/>
      <c r="AD912" s="147"/>
      <c r="AE912" s="147"/>
      <c r="AF912" s="147"/>
      <c r="AG912" s="147"/>
      <c r="AH912" s="147"/>
      <c r="AI912" s="147"/>
      <c r="AJ912" s="147"/>
      <c r="AK912" s="147"/>
      <c r="AL912" s="147"/>
      <c r="AM912" s="151"/>
      <c r="AN912" s="147"/>
      <c r="AO912" s="147"/>
      <c r="AP912" s="147"/>
      <c r="AQ912" s="147"/>
      <c r="AR912" s="147"/>
      <c r="AS912" s="147"/>
      <c r="AT912" s="147"/>
      <c r="AU912" s="147"/>
      <c r="AV912" s="147"/>
      <c r="AW912" s="147"/>
      <c r="AX912" s="147"/>
      <c r="AY912" s="147"/>
      <c r="AZ912" s="147"/>
      <c r="BA912" s="147"/>
      <c r="BB912" s="147"/>
      <c r="BC912" s="147"/>
      <c r="BD912" s="147"/>
      <c r="BE912" s="147"/>
      <c r="BF912" s="147"/>
      <c r="BG912" s="147"/>
      <c r="BH912" s="147"/>
      <c r="BI912" s="147"/>
      <c r="BJ912" s="147"/>
      <c r="BK912" s="147"/>
      <c r="BL912" s="147"/>
      <c r="BM912" s="147"/>
      <c r="BN912" s="147"/>
      <c r="BO912" s="147"/>
      <c r="BP912" s="147"/>
      <c r="BQ912" s="147"/>
      <c r="BR912" s="147"/>
      <c r="BS912" s="147"/>
      <c r="BT912" s="147"/>
      <c r="BU912" s="147"/>
      <c r="BV912" s="147"/>
      <c r="BW912" s="147"/>
      <c r="BX912" s="147"/>
      <c r="BY912" s="147"/>
      <c r="BZ912" s="147"/>
      <c r="CA912" s="147"/>
      <c r="CB912" s="147"/>
      <c r="CC912" s="147"/>
      <c r="CD912" s="147"/>
      <c r="CE912" s="147"/>
      <c r="CF912" s="147"/>
      <c r="CG912" s="147"/>
      <c r="CH912" s="147"/>
      <c r="CI912" s="147"/>
      <c r="CJ912" s="147"/>
      <c r="CK912" s="147"/>
    </row>
    <row r="913" spans="1:89">
      <c r="A913" s="157"/>
      <c r="F913" s="3"/>
      <c r="G913" s="3"/>
      <c r="L913" s="157"/>
      <c r="M913" s="157"/>
      <c r="O913" s="147"/>
      <c r="P913" s="147"/>
      <c r="Q913" s="147"/>
      <c r="R913" s="147"/>
      <c r="S913" s="147"/>
      <c r="T913" s="147"/>
      <c r="U913" s="147"/>
      <c r="V913" s="147"/>
      <c r="W913" s="147"/>
      <c r="X913" s="147"/>
      <c r="Y913" s="147"/>
      <c r="Z913" s="147"/>
      <c r="AA913" s="147"/>
      <c r="AB913" s="147"/>
      <c r="AC913" s="147"/>
      <c r="AD913" s="147"/>
      <c r="AE913" s="147"/>
      <c r="AF913" s="147"/>
      <c r="AG913" s="147"/>
      <c r="AH913" s="147"/>
      <c r="AI913" s="147"/>
      <c r="AJ913" s="147"/>
      <c r="AK913" s="147"/>
      <c r="AL913" s="147"/>
      <c r="AM913" s="151"/>
      <c r="AN913" s="147"/>
      <c r="AO913" s="147"/>
      <c r="AP913" s="147"/>
      <c r="AQ913" s="147"/>
      <c r="AR913" s="147"/>
      <c r="AS913" s="147"/>
      <c r="AT913" s="147"/>
      <c r="AU913" s="147"/>
      <c r="AV913" s="147"/>
      <c r="AW913" s="147"/>
      <c r="AX913" s="147"/>
      <c r="AY913" s="147"/>
      <c r="AZ913" s="147"/>
      <c r="BA913" s="147"/>
      <c r="BB913" s="147"/>
      <c r="BC913" s="147"/>
      <c r="BD913" s="147"/>
      <c r="BE913" s="147"/>
      <c r="BF913" s="147"/>
      <c r="BG913" s="147"/>
      <c r="BH913" s="147"/>
      <c r="BI913" s="147"/>
      <c r="BJ913" s="147"/>
      <c r="BK913" s="147"/>
      <c r="BL913" s="147"/>
      <c r="BM913" s="147"/>
      <c r="BN913" s="147"/>
      <c r="BO913" s="147"/>
      <c r="BP913" s="147"/>
      <c r="BQ913" s="147"/>
      <c r="BR913" s="147"/>
      <c r="BS913" s="147"/>
      <c r="BT913" s="147"/>
      <c r="BU913" s="147"/>
      <c r="BV913" s="147"/>
      <c r="BW913" s="147"/>
      <c r="BX913" s="147"/>
      <c r="BY913" s="147"/>
      <c r="BZ913" s="147"/>
      <c r="CA913" s="147"/>
      <c r="CB913" s="147"/>
      <c r="CC913" s="147"/>
      <c r="CD913" s="147"/>
      <c r="CE913" s="147"/>
      <c r="CF913" s="147"/>
      <c r="CG913" s="147"/>
      <c r="CH913" s="147"/>
      <c r="CI913" s="147"/>
      <c r="CJ913" s="147"/>
      <c r="CK913" s="147"/>
    </row>
    <row r="914" spans="1:89">
      <c r="A914" s="157"/>
      <c r="F914" s="3"/>
      <c r="G914" s="3"/>
      <c r="L914" s="157"/>
      <c r="M914" s="157"/>
      <c r="O914" s="147"/>
      <c r="P914" s="147"/>
      <c r="Q914" s="147"/>
      <c r="R914" s="147"/>
      <c r="S914" s="147"/>
      <c r="T914" s="147"/>
      <c r="U914" s="147"/>
      <c r="V914" s="147"/>
      <c r="W914" s="147"/>
      <c r="X914" s="147"/>
      <c r="Y914" s="147"/>
      <c r="Z914" s="147"/>
      <c r="AA914" s="147"/>
      <c r="AB914" s="147"/>
      <c r="AC914" s="147"/>
      <c r="AD914" s="147"/>
      <c r="AE914" s="147"/>
      <c r="AF914" s="147"/>
      <c r="AG914" s="147"/>
      <c r="AH914" s="147"/>
      <c r="AI914" s="147"/>
      <c r="AJ914" s="147"/>
      <c r="AK914" s="147"/>
      <c r="AL914" s="147"/>
      <c r="AM914" s="151"/>
      <c r="AN914" s="147"/>
      <c r="AO914" s="147"/>
      <c r="AP914" s="147"/>
      <c r="AQ914" s="147"/>
      <c r="AR914" s="147"/>
      <c r="AS914" s="147"/>
      <c r="AT914" s="147"/>
      <c r="AU914" s="147"/>
      <c r="AV914" s="147"/>
      <c r="AW914" s="147"/>
      <c r="AX914" s="147"/>
      <c r="AY914" s="147"/>
      <c r="AZ914" s="147"/>
      <c r="BA914" s="147"/>
      <c r="BB914" s="147"/>
      <c r="BC914" s="147"/>
      <c r="BD914" s="147"/>
      <c r="BE914" s="147"/>
      <c r="BF914" s="147"/>
      <c r="BG914" s="147"/>
      <c r="BH914" s="147"/>
      <c r="BI914" s="147"/>
      <c r="BJ914" s="147"/>
      <c r="BK914" s="147"/>
      <c r="BL914" s="147"/>
      <c r="BM914" s="147"/>
      <c r="BN914" s="147"/>
      <c r="BO914" s="147"/>
      <c r="BP914" s="147"/>
      <c r="BQ914" s="147"/>
      <c r="BR914" s="147"/>
      <c r="BS914" s="147"/>
      <c r="BT914" s="147"/>
      <c r="BU914" s="147"/>
      <c r="BV914" s="147"/>
      <c r="BW914" s="147"/>
      <c r="BX914" s="147"/>
      <c r="BY914" s="147"/>
      <c r="BZ914" s="147"/>
      <c r="CA914" s="147"/>
      <c r="CB914" s="147"/>
      <c r="CC914" s="147"/>
      <c r="CD914" s="147"/>
      <c r="CE914" s="147"/>
      <c r="CF914" s="147"/>
      <c r="CG914" s="147"/>
      <c r="CH914" s="147"/>
      <c r="CI914" s="147"/>
      <c r="CJ914" s="147"/>
      <c r="CK914" s="147"/>
    </row>
    <row r="915" spans="1:89">
      <c r="A915" s="157"/>
      <c r="F915" s="3"/>
      <c r="G915" s="3"/>
      <c r="L915" s="157"/>
      <c r="M915" s="157"/>
      <c r="O915" s="147"/>
      <c r="P915" s="147"/>
      <c r="Q915" s="147"/>
      <c r="R915" s="147"/>
      <c r="S915" s="147"/>
      <c r="T915" s="147"/>
      <c r="U915" s="147"/>
      <c r="V915" s="147"/>
      <c r="W915" s="147"/>
      <c r="X915" s="147"/>
      <c r="Y915" s="147"/>
      <c r="Z915" s="147"/>
      <c r="AA915" s="147"/>
      <c r="AB915" s="147"/>
      <c r="AC915" s="147"/>
      <c r="AD915" s="147"/>
      <c r="AE915" s="147"/>
      <c r="AF915" s="147"/>
      <c r="AG915" s="147"/>
      <c r="AH915" s="147"/>
      <c r="AI915" s="147"/>
      <c r="AJ915" s="147"/>
      <c r="AK915" s="147"/>
      <c r="AL915" s="147"/>
      <c r="AM915" s="151"/>
      <c r="AN915" s="147"/>
      <c r="AO915" s="147"/>
      <c r="AP915" s="147"/>
      <c r="AQ915" s="147"/>
      <c r="AR915" s="147"/>
      <c r="AS915" s="147"/>
      <c r="AT915" s="147"/>
      <c r="AU915" s="147"/>
      <c r="AV915" s="147"/>
      <c r="AW915" s="147"/>
      <c r="AX915" s="147"/>
      <c r="AY915" s="147"/>
      <c r="AZ915" s="147"/>
      <c r="BA915" s="147"/>
      <c r="BB915" s="147"/>
      <c r="BC915" s="147"/>
      <c r="BD915" s="147"/>
      <c r="BE915" s="147"/>
      <c r="BF915" s="147"/>
      <c r="BG915" s="147"/>
      <c r="BH915" s="147"/>
      <c r="BI915" s="147"/>
      <c r="BJ915" s="147"/>
      <c r="BK915" s="147"/>
      <c r="BL915" s="147"/>
      <c r="BM915" s="147"/>
      <c r="BN915" s="147"/>
      <c r="BO915" s="147"/>
      <c r="BP915" s="147"/>
      <c r="BQ915" s="147"/>
      <c r="BR915" s="147"/>
      <c r="BS915" s="147"/>
      <c r="BT915" s="147"/>
      <c r="BU915" s="147"/>
      <c r="BV915" s="147"/>
      <c r="BW915" s="147"/>
      <c r="BX915" s="147"/>
      <c r="BY915" s="147"/>
      <c r="BZ915" s="147"/>
      <c r="CA915" s="147"/>
      <c r="CB915" s="147"/>
      <c r="CC915" s="147"/>
      <c r="CD915" s="147"/>
      <c r="CE915" s="147"/>
      <c r="CF915" s="147"/>
      <c r="CG915" s="147"/>
      <c r="CH915" s="147"/>
      <c r="CI915" s="147"/>
      <c r="CJ915" s="147"/>
      <c r="CK915" s="147"/>
    </row>
    <row r="916" spans="1:89">
      <c r="A916" s="157"/>
      <c r="F916" s="3"/>
      <c r="G916" s="3"/>
      <c r="L916" s="157"/>
      <c r="M916" s="157"/>
      <c r="O916" s="147"/>
      <c r="P916" s="147"/>
      <c r="Q916" s="147"/>
      <c r="R916" s="147"/>
      <c r="S916" s="147"/>
      <c r="T916" s="147"/>
      <c r="U916" s="147"/>
      <c r="V916" s="147"/>
      <c r="W916" s="147"/>
      <c r="X916" s="147"/>
      <c r="Y916" s="147"/>
      <c r="Z916" s="147"/>
      <c r="AA916" s="147"/>
      <c r="AB916" s="147"/>
      <c r="AC916" s="147"/>
      <c r="AD916" s="147"/>
      <c r="AE916" s="147"/>
      <c r="AF916" s="147"/>
      <c r="AG916" s="147"/>
      <c r="AH916" s="147"/>
      <c r="AI916" s="147"/>
      <c r="AJ916" s="147"/>
      <c r="AK916" s="147"/>
      <c r="AL916" s="147"/>
      <c r="AM916" s="151"/>
      <c r="AN916" s="147"/>
      <c r="AO916" s="147"/>
      <c r="AP916" s="147"/>
      <c r="AQ916" s="147"/>
      <c r="AR916" s="147"/>
      <c r="AS916" s="147"/>
      <c r="AT916" s="147"/>
      <c r="AU916" s="147"/>
      <c r="AV916" s="147"/>
      <c r="AW916" s="147"/>
      <c r="AX916" s="147"/>
      <c r="AY916" s="147"/>
      <c r="AZ916" s="147"/>
      <c r="BA916" s="147"/>
      <c r="BB916" s="147"/>
      <c r="BC916" s="147"/>
      <c r="BD916" s="147"/>
      <c r="BE916" s="147"/>
      <c r="BF916" s="147"/>
      <c r="BG916" s="147"/>
      <c r="BH916" s="147"/>
      <c r="BI916" s="147"/>
      <c r="BJ916" s="147"/>
      <c r="BK916" s="147"/>
      <c r="BL916" s="147"/>
      <c r="BM916" s="147"/>
      <c r="BN916" s="147"/>
      <c r="BO916" s="147"/>
      <c r="BP916" s="147"/>
      <c r="BQ916" s="147"/>
      <c r="BR916" s="147"/>
      <c r="BS916" s="147"/>
      <c r="BT916" s="147"/>
      <c r="BU916" s="147"/>
      <c r="BV916" s="147"/>
      <c r="BW916" s="147"/>
      <c r="BX916" s="147"/>
      <c r="BY916" s="147"/>
      <c r="BZ916" s="147"/>
      <c r="CA916" s="147"/>
      <c r="CB916" s="147"/>
      <c r="CC916" s="147"/>
      <c r="CD916" s="147"/>
      <c r="CE916" s="147"/>
      <c r="CF916" s="147"/>
      <c r="CG916" s="147"/>
      <c r="CH916" s="147"/>
      <c r="CI916" s="147"/>
      <c r="CJ916" s="147"/>
      <c r="CK916" s="147"/>
    </row>
    <row r="917" spans="1:89">
      <c r="A917" s="157"/>
      <c r="F917" s="3"/>
      <c r="G917" s="3"/>
      <c r="L917" s="157"/>
      <c r="M917" s="157"/>
      <c r="O917" s="147"/>
      <c r="P917" s="147"/>
      <c r="Q917" s="147"/>
      <c r="R917" s="147"/>
      <c r="S917" s="147"/>
      <c r="T917" s="147"/>
      <c r="U917" s="147"/>
      <c r="V917" s="147"/>
      <c r="W917" s="147"/>
      <c r="X917" s="147"/>
      <c r="Y917" s="147"/>
      <c r="Z917" s="147"/>
      <c r="AA917" s="147"/>
      <c r="AB917" s="147"/>
      <c r="AC917" s="147"/>
      <c r="AD917" s="147"/>
      <c r="AE917" s="147"/>
      <c r="AF917" s="147"/>
      <c r="AG917" s="147"/>
      <c r="AH917" s="147"/>
      <c r="AI917" s="147"/>
      <c r="AJ917" s="147"/>
      <c r="AK917" s="147"/>
      <c r="AL917" s="147"/>
      <c r="AM917" s="151"/>
      <c r="AN917" s="147"/>
      <c r="AO917" s="147"/>
      <c r="AP917" s="147"/>
      <c r="AQ917" s="147"/>
      <c r="AR917" s="147"/>
      <c r="AS917" s="147"/>
      <c r="AT917" s="147"/>
      <c r="AU917" s="147"/>
      <c r="AV917" s="147"/>
      <c r="AW917" s="147"/>
      <c r="AX917" s="147"/>
      <c r="AY917" s="147"/>
      <c r="AZ917" s="147"/>
      <c r="BA917" s="147"/>
      <c r="BB917" s="147"/>
      <c r="BC917" s="147"/>
      <c r="BD917" s="147"/>
      <c r="BE917" s="147"/>
      <c r="BF917" s="147"/>
      <c r="BG917" s="147"/>
      <c r="BH917" s="147"/>
      <c r="BI917" s="147"/>
      <c r="BJ917" s="147"/>
      <c r="BK917" s="147"/>
      <c r="BL917" s="147"/>
      <c r="BM917" s="147"/>
      <c r="BN917" s="147"/>
      <c r="BO917" s="147"/>
      <c r="BP917" s="147"/>
      <c r="BQ917" s="147"/>
      <c r="BR917" s="147"/>
      <c r="BS917" s="147"/>
      <c r="BT917" s="147"/>
      <c r="BU917" s="147"/>
      <c r="BV917" s="147"/>
      <c r="BW917" s="147"/>
      <c r="BX917" s="147"/>
      <c r="BY917" s="147"/>
      <c r="BZ917" s="147"/>
      <c r="CA917" s="147"/>
      <c r="CB917" s="147"/>
      <c r="CC917" s="147"/>
      <c r="CD917" s="147"/>
      <c r="CE917" s="147"/>
      <c r="CF917" s="147"/>
      <c r="CG917" s="147"/>
      <c r="CH917" s="147"/>
      <c r="CI917" s="147"/>
      <c r="CJ917" s="147"/>
      <c r="CK917" s="147"/>
    </row>
    <row r="918" spans="1:89">
      <c r="A918" s="157"/>
      <c r="F918" s="3"/>
      <c r="G918" s="3"/>
      <c r="L918" s="157"/>
      <c r="M918" s="157"/>
      <c r="O918" s="147"/>
      <c r="P918" s="147"/>
      <c r="Q918" s="147"/>
      <c r="R918" s="147"/>
      <c r="S918" s="147"/>
      <c r="T918" s="147"/>
      <c r="U918" s="147"/>
      <c r="V918" s="147"/>
      <c r="W918" s="147"/>
      <c r="X918" s="147"/>
      <c r="Y918" s="147"/>
      <c r="Z918" s="147"/>
      <c r="AA918" s="147"/>
      <c r="AB918" s="147"/>
      <c r="AC918" s="147"/>
      <c r="AD918" s="147"/>
      <c r="AE918" s="147"/>
      <c r="AF918" s="147"/>
      <c r="AG918" s="147"/>
      <c r="AH918" s="147"/>
      <c r="AI918" s="147"/>
      <c r="AJ918" s="147"/>
      <c r="AK918" s="147"/>
      <c r="AL918" s="147"/>
      <c r="AM918" s="151"/>
      <c r="AN918" s="147"/>
      <c r="AO918" s="147"/>
      <c r="AP918" s="147"/>
      <c r="AQ918" s="147"/>
      <c r="AR918" s="147"/>
      <c r="AS918" s="147"/>
      <c r="AT918" s="147"/>
      <c r="AU918" s="147"/>
      <c r="AV918" s="147"/>
      <c r="AW918" s="147"/>
      <c r="AX918" s="147"/>
      <c r="AY918" s="147"/>
      <c r="AZ918" s="147"/>
      <c r="BA918" s="147"/>
      <c r="BB918" s="147"/>
      <c r="BC918" s="147"/>
      <c r="BD918" s="147"/>
      <c r="BE918" s="147"/>
      <c r="BF918" s="147"/>
      <c r="BG918" s="147"/>
      <c r="BH918" s="147"/>
      <c r="BI918" s="147"/>
      <c r="BJ918" s="147"/>
      <c r="BK918" s="147"/>
      <c r="BL918" s="147"/>
      <c r="BM918" s="147"/>
      <c r="BN918" s="147"/>
      <c r="BO918" s="147"/>
      <c r="BP918" s="147"/>
      <c r="BQ918" s="147"/>
      <c r="BR918" s="147"/>
      <c r="BS918" s="147"/>
      <c r="BT918" s="147"/>
      <c r="BU918" s="147"/>
      <c r="BV918" s="147"/>
      <c r="BW918" s="147"/>
      <c r="BX918" s="147"/>
      <c r="BY918" s="147"/>
      <c r="BZ918" s="147"/>
      <c r="CA918" s="147"/>
      <c r="CB918" s="147"/>
      <c r="CC918" s="147"/>
      <c r="CD918" s="147"/>
      <c r="CE918" s="147"/>
      <c r="CF918" s="147"/>
      <c r="CG918" s="147"/>
      <c r="CH918" s="147"/>
      <c r="CI918" s="147"/>
      <c r="CJ918" s="147"/>
      <c r="CK918" s="147"/>
    </row>
    <row r="919" spans="1:89">
      <c r="A919" s="157"/>
      <c r="F919" s="3"/>
      <c r="G919" s="3"/>
      <c r="L919" s="157"/>
      <c r="M919" s="157"/>
      <c r="O919" s="147"/>
      <c r="P919" s="147"/>
      <c r="Q919" s="147"/>
      <c r="R919" s="147"/>
      <c r="S919" s="147"/>
      <c r="T919" s="147"/>
      <c r="U919" s="147"/>
      <c r="V919" s="147"/>
      <c r="W919" s="147"/>
      <c r="X919" s="147"/>
      <c r="Y919" s="147"/>
      <c r="Z919" s="147"/>
      <c r="AA919" s="147"/>
      <c r="AB919" s="147"/>
      <c r="AC919" s="147"/>
      <c r="AD919" s="147"/>
      <c r="AE919" s="147"/>
      <c r="AF919" s="147"/>
      <c r="AG919" s="147"/>
      <c r="AH919" s="147"/>
      <c r="AI919" s="147"/>
      <c r="AJ919" s="147"/>
      <c r="AK919" s="147"/>
      <c r="AL919" s="147"/>
      <c r="AM919" s="151"/>
      <c r="AN919" s="147"/>
      <c r="AO919" s="147"/>
      <c r="AP919" s="147"/>
      <c r="AQ919" s="147"/>
      <c r="AR919" s="147"/>
      <c r="AS919" s="147"/>
      <c r="AT919" s="147"/>
      <c r="AU919" s="147"/>
      <c r="AV919" s="147"/>
      <c r="AW919" s="147"/>
      <c r="AX919" s="147"/>
      <c r="AY919" s="147"/>
      <c r="AZ919" s="147"/>
      <c r="BA919" s="147"/>
      <c r="BB919" s="147"/>
      <c r="BC919" s="147"/>
      <c r="BD919" s="147"/>
      <c r="BE919" s="147"/>
      <c r="BF919" s="147"/>
      <c r="BG919" s="147"/>
      <c r="BH919" s="147"/>
      <c r="BI919" s="147"/>
      <c r="BJ919" s="147"/>
      <c r="BK919" s="147"/>
      <c r="BL919" s="147"/>
      <c r="BM919" s="147"/>
      <c r="BN919" s="147"/>
      <c r="BO919" s="147"/>
      <c r="BP919" s="147"/>
      <c r="BQ919" s="147"/>
      <c r="BR919" s="147"/>
      <c r="BS919" s="147"/>
      <c r="BT919" s="147"/>
      <c r="BU919" s="147"/>
      <c r="BV919" s="147"/>
      <c r="BW919" s="147"/>
      <c r="BX919" s="147"/>
      <c r="BY919" s="147"/>
      <c r="BZ919" s="147"/>
      <c r="CA919" s="147"/>
      <c r="CB919" s="147"/>
      <c r="CC919" s="147"/>
      <c r="CD919" s="147"/>
      <c r="CE919" s="147"/>
      <c r="CF919" s="147"/>
      <c r="CG919" s="147"/>
      <c r="CH919" s="147"/>
      <c r="CI919" s="147"/>
      <c r="CJ919" s="147"/>
      <c r="CK919" s="147"/>
    </row>
    <row r="920" spans="1:89">
      <c r="A920" s="157"/>
      <c r="F920" s="3"/>
      <c r="G920" s="3"/>
      <c r="L920" s="157"/>
      <c r="M920" s="157"/>
      <c r="O920" s="147"/>
      <c r="P920" s="147"/>
      <c r="Q920" s="147"/>
      <c r="R920" s="147"/>
      <c r="S920" s="147"/>
      <c r="T920" s="147"/>
      <c r="U920" s="147"/>
      <c r="V920" s="147"/>
      <c r="W920" s="147"/>
      <c r="X920" s="147"/>
      <c r="Y920" s="147"/>
      <c r="Z920" s="147"/>
      <c r="AA920" s="147"/>
      <c r="AB920" s="147"/>
      <c r="AC920" s="147"/>
      <c r="AD920" s="147"/>
      <c r="AE920" s="147"/>
      <c r="AF920" s="147"/>
      <c r="AG920" s="147"/>
      <c r="AH920" s="147"/>
      <c r="AI920" s="147"/>
      <c r="AJ920" s="147"/>
      <c r="AK920" s="147"/>
      <c r="AL920" s="147"/>
      <c r="AM920" s="151"/>
      <c r="AN920" s="147"/>
      <c r="AO920" s="147"/>
      <c r="AP920" s="147"/>
      <c r="AQ920" s="147"/>
      <c r="AR920" s="147"/>
      <c r="AS920" s="147"/>
      <c r="AT920" s="147"/>
      <c r="AU920" s="147"/>
      <c r="AV920" s="147"/>
      <c r="AW920" s="147"/>
      <c r="AX920" s="147"/>
      <c r="AY920" s="147"/>
      <c r="AZ920" s="147"/>
      <c r="BA920" s="147"/>
      <c r="BB920" s="147"/>
      <c r="BC920" s="147"/>
      <c r="BD920" s="147"/>
      <c r="BE920" s="147"/>
      <c r="BF920" s="147"/>
      <c r="BG920" s="147"/>
      <c r="BH920" s="147"/>
      <c r="BI920" s="147"/>
      <c r="BJ920" s="147"/>
      <c r="BK920" s="147"/>
      <c r="BL920" s="147"/>
      <c r="BM920" s="147"/>
      <c r="BN920" s="147"/>
      <c r="BO920" s="147"/>
      <c r="BP920" s="147"/>
      <c r="BQ920" s="147"/>
      <c r="BR920" s="147"/>
      <c r="BS920" s="147"/>
      <c r="BT920" s="147"/>
      <c r="BU920" s="147"/>
      <c r="BV920" s="147"/>
      <c r="BW920" s="147"/>
      <c r="BX920" s="147"/>
      <c r="BY920" s="147"/>
      <c r="BZ920" s="147"/>
      <c r="CA920" s="147"/>
      <c r="CB920" s="147"/>
      <c r="CC920" s="147"/>
      <c r="CD920" s="147"/>
      <c r="CE920" s="147"/>
      <c r="CF920" s="147"/>
      <c r="CG920" s="147"/>
      <c r="CH920" s="147"/>
      <c r="CI920" s="147"/>
      <c r="CJ920" s="147"/>
      <c r="CK920" s="147"/>
    </row>
    <row r="921" spans="1:89">
      <c r="A921" s="157"/>
      <c r="F921" s="3"/>
      <c r="G921" s="3"/>
      <c r="L921" s="157"/>
      <c r="M921" s="157"/>
      <c r="O921" s="147"/>
      <c r="P921" s="147"/>
      <c r="Q921" s="147"/>
      <c r="R921" s="147"/>
      <c r="S921" s="147"/>
      <c r="T921" s="147"/>
      <c r="U921" s="147"/>
      <c r="V921" s="147"/>
      <c r="W921" s="147"/>
      <c r="X921" s="147"/>
      <c r="Y921" s="147"/>
      <c r="Z921" s="147"/>
      <c r="AA921" s="147"/>
      <c r="AB921" s="147"/>
      <c r="AC921" s="147"/>
      <c r="AD921" s="147"/>
      <c r="AE921" s="147"/>
      <c r="AF921" s="147"/>
      <c r="AG921" s="147"/>
      <c r="AH921" s="147"/>
      <c r="AI921" s="147"/>
      <c r="AJ921" s="147"/>
      <c r="AK921" s="147"/>
      <c r="AL921" s="147"/>
      <c r="AM921" s="151"/>
      <c r="AN921" s="147"/>
      <c r="AO921" s="147"/>
      <c r="AP921" s="147"/>
      <c r="AQ921" s="147"/>
      <c r="AR921" s="147"/>
      <c r="AS921" s="147"/>
      <c r="AT921" s="147"/>
      <c r="AU921" s="147"/>
      <c r="AV921" s="147"/>
      <c r="AW921" s="147"/>
      <c r="AX921" s="147"/>
      <c r="AY921" s="147"/>
      <c r="AZ921" s="147"/>
      <c r="BA921" s="147"/>
      <c r="BB921" s="147"/>
      <c r="BC921" s="147"/>
      <c r="BD921" s="147"/>
      <c r="BE921" s="147"/>
      <c r="BF921" s="147"/>
      <c r="BG921" s="147"/>
      <c r="BH921" s="147"/>
      <c r="BI921" s="147"/>
      <c r="BJ921" s="147"/>
      <c r="BK921" s="147"/>
      <c r="BL921" s="147"/>
      <c r="BM921" s="147"/>
      <c r="BN921" s="147"/>
      <c r="BO921" s="147"/>
      <c r="BP921" s="147"/>
      <c r="BQ921" s="147"/>
      <c r="BR921" s="147"/>
      <c r="BS921" s="147"/>
      <c r="BT921" s="147"/>
      <c r="BU921" s="147"/>
      <c r="BV921" s="147"/>
      <c r="BW921" s="147"/>
      <c r="BX921" s="147"/>
      <c r="BY921" s="147"/>
      <c r="BZ921" s="147"/>
      <c r="CA921" s="147"/>
      <c r="CB921" s="147"/>
      <c r="CC921" s="147"/>
      <c r="CD921" s="147"/>
      <c r="CE921" s="147"/>
      <c r="CF921" s="147"/>
      <c r="CG921" s="147"/>
      <c r="CH921" s="147"/>
      <c r="CI921" s="147"/>
      <c r="CJ921" s="147"/>
      <c r="CK921" s="147"/>
    </row>
    <row r="922" spans="1:89">
      <c r="A922" s="157"/>
      <c r="F922" s="3"/>
      <c r="G922" s="3"/>
      <c r="L922" s="157"/>
      <c r="M922" s="157"/>
      <c r="O922" s="147"/>
      <c r="P922" s="147"/>
      <c r="Q922" s="147"/>
      <c r="R922" s="147"/>
      <c r="S922" s="147"/>
      <c r="T922" s="147"/>
      <c r="U922" s="147"/>
      <c r="V922" s="147"/>
      <c r="W922" s="147"/>
      <c r="X922" s="147"/>
      <c r="Y922" s="147"/>
      <c r="Z922" s="147"/>
      <c r="AA922" s="147"/>
      <c r="AB922" s="147"/>
      <c r="AC922" s="147"/>
      <c r="AD922" s="147"/>
      <c r="AE922" s="147"/>
      <c r="AF922" s="147"/>
      <c r="AG922" s="147"/>
      <c r="AH922" s="147"/>
      <c r="AI922" s="147"/>
      <c r="AJ922" s="147"/>
      <c r="AK922" s="147"/>
      <c r="AL922" s="147"/>
      <c r="AM922" s="151"/>
      <c r="AN922" s="147"/>
      <c r="AO922" s="147"/>
      <c r="AP922" s="147"/>
      <c r="AQ922" s="147"/>
      <c r="AR922" s="147"/>
      <c r="AS922" s="147"/>
      <c r="AT922" s="147"/>
      <c r="AU922" s="147"/>
      <c r="AV922" s="147"/>
      <c r="AW922" s="147"/>
      <c r="AX922" s="147"/>
      <c r="AY922" s="147"/>
      <c r="AZ922" s="147"/>
      <c r="BA922" s="147"/>
      <c r="BB922" s="147"/>
      <c r="BC922" s="147"/>
      <c r="BD922" s="147"/>
      <c r="BE922" s="147"/>
      <c r="BF922" s="147"/>
      <c r="BG922" s="147"/>
      <c r="BH922" s="147"/>
      <c r="BI922" s="147"/>
      <c r="BJ922" s="147"/>
      <c r="BK922" s="147"/>
      <c r="BL922" s="147"/>
      <c r="BM922" s="147"/>
      <c r="BN922" s="147"/>
      <c r="BO922" s="147"/>
      <c r="BP922" s="147"/>
      <c r="BQ922" s="147"/>
      <c r="BR922" s="147"/>
      <c r="BS922" s="147"/>
      <c r="BT922" s="147"/>
      <c r="BU922" s="147"/>
      <c r="BV922" s="147"/>
      <c r="BW922" s="147"/>
      <c r="BX922" s="147"/>
      <c r="BY922" s="147"/>
      <c r="BZ922" s="147"/>
      <c r="CA922" s="147"/>
      <c r="CB922" s="147"/>
      <c r="CC922" s="147"/>
      <c r="CD922" s="147"/>
      <c r="CE922" s="147"/>
      <c r="CF922" s="147"/>
      <c r="CG922" s="147"/>
      <c r="CH922" s="147"/>
      <c r="CI922" s="147"/>
      <c r="CJ922" s="147"/>
      <c r="CK922" s="147"/>
    </row>
    <row r="923" spans="1:89">
      <c r="A923" s="157"/>
      <c r="F923" s="3"/>
      <c r="G923" s="3"/>
      <c r="L923" s="157"/>
      <c r="M923" s="157"/>
      <c r="O923" s="147"/>
      <c r="P923" s="147"/>
      <c r="Q923" s="147"/>
      <c r="R923" s="147"/>
      <c r="S923" s="147"/>
      <c r="T923" s="147"/>
      <c r="U923" s="147"/>
      <c r="V923" s="147"/>
      <c r="W923" s="147"/>
      <c r="X923" s="147"/>
      <c r="Y923" s="147"/>
      <c r="Z923" s="147"/>
      <c r="AA923" s="147"/>
      <c r="AB923" s="147"/>
      <c r="AC923" s="147"/>
      <c r="AD923" s="147"/>
      <c r="AE923" s="147"/>
      <c r="AF923" s="147"/>
      <c r="AG923" s="147"/>
      <c r="AH923" s="147"/>
      <c r="AI923" s="147"/>
      <c r="AJ923" s="147"/>
      <c r="AK923" s="147"/>
      <c r="AL923" s="147"/>
      <c r="AM923" s="151"/>
      <c r="AN923" s="147"/>
      <c r="AO923" s="147"/>
      <c r="AP923" s="147"/>
      <c r="AQ923" s="147"/>
      <c r="AR923" s="147"/>
      <c r="AS923" s="147"/>
      <c r="AT923" s="147"/>
      <c r="AU923" s="147"/>
      <c r="AV923" s="147"/>
      <c r="AW923" s="147"/>
      <c r="AX923" s="147"/>
      <c r="AY923" s="147"/>
      <c r="AZ923" s="147"/>
      <c r="BA923" s="147"/>
      <c r="BB923" s="147"/>
      <c r="BC923" s="147"/>
      <c r="BD923" s="147"/>
      <c r="BE923" s="147"/>
      <c r="BF923" s="147"/>
      <c r="BG923" s="147"/>
      <c r="BH923" s="147"/>
      <c r="BI923" s="147"/>
      <c r="BJ923" s="147"/>
      <c r="BK923" s="147"/>
      <c r="BL923" s="147"/>
      <c r="BM923" s="147"/>
      <c r="BN923" s="147"/>
      <c r="BO923" s="147"/>
      <c r="BP923" s="147"/>
      <c r="BQ923" s="147"/>
      <c r="BR923" s="147"/>
      <c r="BS923" s="147"/>
      <c r="BT923" s="147"/>
      <c r="BU923" s="147"/>
      <c r="BV923" s="147"/>
      <c r="BW923" s="147"/>
      <c r="BX923" s="147"/>
      <c r="BY923" s="147"/>
      <c r="BZ923" s="147"/>
      <c r="CA923" s="147"/>
      <c r="CB923" s="147"/>
      <c r="CC923" s="147"/>
      <c r="CD923" s="147"/>
      <c r="CE923" s="147"/>
      <c r="CF923" s="147"/>
      <c r="CG923" s="147"/>
      <c r="CH923" s="147"/>
      <c r="CI923" s="147"/>
      <c r="CJ923" s="147"/>
      <c r="CK923" s="147"/>
    </row>
    <row r="924" spans="1:89">
      <c r="A924" s="157"/>
      <c r="F924" s="3"/>
      <c r="G924" s="3"/>
      <c r="L924" s="157"/>
      <c r="M924" s="157"/>
      <c r="O924" s="147"/>
      <c r="P924" s="147"/>
      <c r="Q924" s="147"/>
      <c r="R924" s="147"/>
      <c r="S924" s="147"/>
      <c r="T924" s="147"/>
      <c r="U924" s="147"/>
      <c r="V924" s="147"/>
      <c r="W924" s="147"/>
      <c r="X924" s="147"/>
      <c r="Y924" s="147"/>
      <c r="Z924" s="147"/>
      <c r="AA924" s="147"/>
      <c r="AB924" s="147"/>
      <c r="AC924" s="147"/>
      <c r="AD924" s="147"/>
      <c r="AE924" s="147"/>
      <c r="AF924" s="147"/>
      <c r="AG924" s="147"/>
      <c r="AH924" s="147"/>
      <c r="AI924" s="147"/>
      <c r="AJ924" s="147"/>
      <c r="AK924" s="147"/>
      <c r="AL924" s="147"/>
      <c r="AM924" s="151"/>
      <c r="AN924" s="147"/>
      <c r="AO924" s="147"/>
      <c r="AP924" s="147"/>
      <c r="AQ924" s="147"/>
      <c r="AR924" s="147"/>
      <c r="AS924" s="147"/>
      <c r="AT924" s="147"/>
      <c r="AU924" s="147"/>
      <c r="AV924" s="147"/>
      <c r="AW924" s="147"/>
      <c r="AX924" s="147"/>
      <c r="AY924" s="147"/>
      <c r="AZ924" s="147"/>
      <c r="BA924" s="147"/>
      <c r="BB924" s="147"/>
      <c r="BC924" s="147"/>
      <c r="BD924" s="147"/>
      <c r="BE924" s="147"/>
      <c r="BF924" s="147"/>
      <c r="BG924" s="147"/>
      <c r="BH924" s="147"/>
      <c r="BI924" s="147"/>
      <c r="BJ924" s="147"/>
      <c r="BK924" s="147"/>
      <c r="BL924" s="147"/>
      <c r="BM924" s="147"/>
      <c r="BN924" s="147"/>
      <c r="BO924" s="147"/>
      <c r="BP924" s="147"/>
      <c r="BQ924" s="147"/>
      <c r="BR924" s="147"/>
      <c r="BS924" s="147"/>
      <c r="BT924" s="147"/>
      <c r="BU924" s="147"/>
      <c r="BV924" s="147"/>
      <c r="BW924" s="147"/>
      <c r="BX924" s="147"/>
      <c r="BY924" s="147"/>
      <c r="BZ924" s="147"/>
      <c r="CA924" s="147"/>
      <c r="CB924" s="147"/>
      <c r="CC924" s="147"/>
      <c r="CD924" s="147"/>
      <c r="CE924" s="147"/>
      <c r="CF924" s="147"/>
      <c r="CG924" s="147"/>
      <c r="CH924" s="147"/>
      <c r="CI924" s="147"/>
      <c r="CJ924" s="147"/>
      <c r="CK924" s="147"/>
    </row>
    <row r="925" spans="1:89">
      <c r="A925" s="157"/>
      <c r="F925" s="3"/>
      <c r="G925" s="3"/>
      <c r="L925" s="157"/>
      <c r="M925" s="157"/>
      <c r="O925" s="147"/>
      <c r="P925" s="147"/>
      <c r="Q925" s="147"/>
      <c r="R925" s="147"/>
      <c r="S925" s="147"/>
      <c r="T925" s="147"/>
      <c r="U925" s="147"/>
      <c r="V925" s="147"/>
      <c r="W925" s="147"/>
      <c r="X925" s="147"/>
      <c r="Y925" s="147"/>
      <c r="Z925" s="147"/>
      <c r="AA925" s="147"/>
      <c r="AB925" s="147"/>
      <c r="AC925" s="147"/>
      <c r="AD925" s="147"/>
      <c r="AE925" s="147"/>
      <c r="AF925" s="147"/>
      <c r="AG925" s="147"/>
      <c r="AH925" s="147"/>
      <c r="AI925" s="147"/>
      <c r="AJ925" s="147"/>
      <c r="AK925" s="147"/>
      <c r="AL925" s="147"/>
      <c r="AM925" s="151"/>
      <c r="AN925" s="147"/>
      <c r="AO925" s="147"/>
      <c r="AP925" s="147"/>
      <c r="AQ925" s="147"/>
      <c r="AR925" s="147"/>
      <c r="AS925" s="147"/>
      <c r="AT925" s="147"/>
      <c r="AU925" s="147"/>
      <c r="AV925" s="147"/>
      <c r="AW925" s="147"/>
      <c r="AX925" s="147"/>
      <c r="AY925" s="147"/>
      <c r="AZ925" s="147"/>
      <c r="BA925" s="147"/>
      <c r="BB925" s="147"/>
      <c r="BC925" s="147"/>
      <c r="BD925" s="147"/>
      <c r="BE925" s="147"/>
      <c r="BF925" s="147"/>
      <c r="BG925" s="147"/>
      <c r="BH925" s="147"/>
      <c r="BI925" s="147"/>
      <c r="BJ925" s="147"/>
      <c r="BK925" s="147"/>
      <c r="BL925" s="147"/>
      <c r="BM925" s="147"/>
      <c r="BN925" s="147"/>
      <c r="BO925" s="147"/>
      <c r="BP925" s="147"/>
      <c r="BQ925" s="147"/>
      <c r="BR925" s="147"/>
      <c r="BS925" s="147"/>
      <c r="BT925" s="147"/>
      <c r="BU925" s="147"/>
      <c r="BV925" s="147"/>
      <c r="BW925" s="147"/>
      <c r="BX925" s="147"/>
      <c r="BY925" s="147"/>
      <c r="BZ925" s="147"/>
      <c r="CA925" s="147"/>
      <c r="CB925" s="147"/>
      <c r="CC925" s="147"/>
      <c r="CD925" s="147"/>
      <c r="CE925" s="147"/>
      <c r="CF925" s="147"/>
      <c r="CG925" s="147"/>
      <c r="CH925" s="147"/>
      <c r="CI925" s="147"/>
      <c r="CJ925" s="147"/>
      <c r="CK925" s="147"/>
    </row>
    <row r="926" spans="1:89">
      <c r="A926" s="157"/>
      <c r="F926" s="3"/>
      <c r="G926" s="3"/>
      <c r="L926" s="157"/>
      <c r="M926" s="157"/>
      <c r="O926" s="147"/>
      <c r="P926" s="147"/>
      <c r="Q926" s="147"/>
      <c r="R926" s="147"/>
      <c r="S926" s="147"/>
      <c r="T926" s="147"/>
      <c r="U926" s="147"/>
      <c r="V926" s="147"/>
      <c r="W926" s="147"/>
      <c r="X926" s="147"/>
      <c r="Y926" s="147"/>
      <c r="Z926" s="147"/>
      <c r="AA926" s="147"/>
      <c r="AB926" s="147"/>
      <c r="AC926" s="147"/>
      <c r="AD926" s="147"/>
      <c r="AE926" s="147"/>
      <c r="AF926" s="147"/>
      <c r="AG926" s="147"/>
      <c r="AH926" s="147"/>
      <c r="AI926" s="147"/>
      <c r="AJ926" s="147"/>
      <c r="AK926" s="147"/>
      <c r="AL926" s="147"/>
      <c r="AM926" s="151"/>
      <c r="AN926" s="147"/>
      <c r="AO926" s="147"/>
      <c r="AP926" s="147"/>
      <c r="AQ926" s="147"/>
      <c r="AR926" s="147"/>
      <c r="AS926" s="147"/>
      <c r="AT926" s="147"/>
      <c r="AU926" s="147"/>
      <c r="AV926" s="147"/>
      <c r="AW926" s="147"/>
      <c r="AX926" s="147"/>
      <c r="AY926" s="147"/>
      <c r="AZ926" s="147"/>
      <c r="BA926" s="147"/>
      <c r="BB926" s="147"/>
      <c r="BC926" s="147"/>
      <c r="BD926" s="147"/>
      <c r="BE926" s="147"/>
      <c r="BF926" s="147"/>
      <c r="BG926" s="147"/>
      <c r="BH926" s="147"/>
      <c r="BI926" s="147"/>
      <c r="BJ926" s="147"/>
      <c r="BK926" s="147"/>
      <c r="BL926" s="147"/>
      <c r="BM926" s="147"/>
      <c r="BN926" s="147"/>
      <c r="BO926" s="147"/>
      <c r="BP926" s="147"/>
      <c r="BQ926" s="147"/>
      <c r="BR926" s="147"/>
      <c r="BS926" s="147"/>
      <c r="BT926" s="147"/>
      <c r="BU926" s="147"/>
      <c r="BV926" s="147"/>
      <c r="BW926" s="147"/>
      <c r="BX926" s="147"/>
      <c r="BY926" s="147"/>
      <c r="BZ926" s="147"/>
      <c r="CA926" s="147"/>
      <c r="CB926" s="147"/>
      <c r="CC926" s="147"/>
      <c r="CD926" s="147"/>
      <c r="CE926" s="147"/>
      <c r="CF926" s="147"/>
      <c r="CG926" s="147"/>
      <c r="CH926" s="147"/>
      <c r="CI926" s="147"/>
      <c r="CJ926" s="147"/>
      <c r="CK926" s="147"/>
    </row>
    <row r="927" spans="1:89">
      <c r="A927" s="157"/>
      <c r="F927" s="3"/>
      <c r="G927" s="3"/>
      <c r="L927" s="157"/>
      <c r="M927" s="157"/>
      <c r="O927" s="147"/>
      <c r="P927" s="147"/>
      <c r="Q927" s="147"/>
      <c r="R927" s="147"/>
      <c r="S927" s="147"/>
      <c r="T927" s="147"/>
      <c r="U927" s="147"/>
      <c r="V927" s="147"/>
      <c r="W927" s="147"/>
      <c r="X927" s="147"/>
      <c r="Y927" s="147"/>
      <c r="Z927" s="147"/>
      <c r="AA927" s="147"/>
      <c r="AB927" s="147"/>
      <c r="AC927" s="147"/>
      <c r="AD927" s="147"/>
      <c r="AE927" s="147"/>
      <c r="AF927" s="147"/>
      <c r="AG927" s="147"/>
      <c r="AH927" s="147"/>
      <c r="AI927" s="147"/>
      <c r="AJ927" s="147"/>
      <c r="AK927" s="147"/>
      <c r="AL927" s="147"/>
      <c r="AM927" s="151"/>
      <c r="AN927" s="147"/>
      <c r="AO927" s="147"/>
      <c r="AP927" s="147"/>
      <c r="AQ927" s="147"/>
      <c r="AR927" s="147"/>
      <c r="AS927" s="147"/>
      <c r="AT927" s="147"/>
      <c r="AU927" s="147"/>
      <c r="AV927" s="147"/>
      <c r="AW927" s="147"/>
      <c r="AX927" s="147"/>
      <c r="AY927" s="147"/>
      <c r="AZ927" s="147"/>
      <c r="BA927" s="147"/>
      <c r="BB927" s="147"/>
      <c r="BC927" s="147"/>
      <c r="BD927" s="147"/>
      <c r="BE927" s="147"/>
      <c r="BF927" s="147"/>
      <c r="BG927" s="147"/>
      <c r="BH927" s="147"/>
      <c r="BI927" s="147"/>
      <c r="BJ927" s="147"/>
      <c r="BK927" s="147"/>
      <c r="BL927" s="147"/>
      <c r="BM927" s="147"/>
      <c r="BN927" s="147"/>
      <c r="BO927" s="147"/>
      <c r="BP927" s="147"/>
      <c r="BQ927" s="147"/>
      <c r="BR927" s="147"/>
      <c r="BS927" s="147"/>
      <c r="BT927" s="147"/>
      <c r="BU927" s="147"/>
      <c r="BV927" s="147"/>
      <c r="BW927" s="147"/>
      <c r="BX927" s="147"/>
      <c r="BY927" s="147"/>
      <c r="BZ927" s="147"/>
      <c r="CA927" s="147"/>
      <c r="CB927" s="147"/>
      <c r="CC927" s="147"/>
      <c r="CD927" s="147"/>
      <c r="CE927" s="147"/>
      <c r="CF927" s="147"/>
      <c r="CG927" s="147"/>
      <c r="CH927" s="147"/>
      <c r="CI927" s="147"/>
      <c r="CJ927" s="147"/>
      <c r="CK927" s="147"/>
    </row>
    <row r="928" spans="1:89">
      <c r="A928" s="157"/>
      <c r="F928" s="3"/>
      <c r="G928" s="3"/>
      <c r="L928" s="157"/>
      <c r="M928" s="157"/>
      <c r="O928" s="147"/>
      <c r="P928" s="147"/>
      <c r="Q928" s="147"/>
      <c r="R928" s="147"/>
      <c r="S928" s="147"/>
      <c r="T928" s="147"/>
      <c r="U928" s="147"/>
      <c r="V928" s="147"/>
      <c r="W928" s="147"/>
      <c r="X928" s="147"/>
      <c r="Y928" s="147"/>
      <c r="Z928" s="147"/>
      <c r="AA928" s="147"/>
      <c r="AB928" s="147"/>
      <c r="AC928" s="147"/>
      <c r="AD928" s="147"/>
      <c r="AE928" s="147"/>
      <c r="AF928" s="147"/>
      <c r="AG928" s="147"/>
      <c r="AH928" s="147"/>
      <c r="AI928" s="147"/>
      <c r="AJ928" s="147"/>
      <c r="AK928" s="147"/>
      <c r="AL928" s="147"/>
      <c r="AM928" s="151"/>
      <c r="AN928" s="147"/>
      <c r="AO928" s="147"/>
      <c r="AP928" s="147"/>
      <c r="AQ928" s="147"/>
      <c r="AR928" s="147"/>
      <c r="AS928" s="147"/>
      <c r="AT928" s="147"/>
      <c r="AU928" s="147"/>
      <c r="AV928" s="147"/>
      <c r="AW928" s="147"/>
      <c r="AX928" s="147"/>
      <c r="AY928" s="147"/>
      <c r="AZ928" s="147"/>
      <c r="BA928" s="147"/>
      <c r="BB928" s="147"/>
      <c r="BC928" s="147"/>
      <c r="BD928" s="147"/>
      <c r="BE928" s="147"/>
      <c r="BF928" s="147"/>
      <c r="BG928" s="147"/>
      <c r="BH928" s="147"/>
      <c r="BI928" s="147"/>
      <c r="BJ928" s="147"/>
      <c r="BK928" s="147"/>
      <c r="BL928" s="147"/>
      <c r="BM928" s="147"/>
      <c r="BN928" s="147"/>
      <c r="BO928" s="147"/>
      <c r="BP928" s="147"/>
      <c r="BQ928" s="147"/>
      <c r="BR928" s="147"/>
      <c r="BS928" s="147"/>
      <c r="BT928" s="147"/>
      <c r="BU928" s="147"/>
      <c r="BV928" s="147"/>
      <c r="BW928" s="147"/>
      <c r="BX928" s="147"/>
      <c r="BY928" s="147"/>
      <c r="BZ928" s="147"/>
      <c r="CA928" s="147"/>
      <c r="CB928" s="147"/>
      <c r="CC928" s="147"/>
      <c r="CD928" s="147"/>
      <c r="CE928" s="147"/>
      <c r="CF928" s="147"/>
      <c r="CG928" s="147"/>
      <c r="CH928" s="147"/>
      <c r="CI928" s="147"/>
      <c r="CJ928" s="147"/>
      <c r="CK928" s="147"/>
    </row>
    <row r="929" spans="1:89">
      <c r="A929" s="157"/>
      <c r="F929" s="3"/>
      <c r="G929" s="3"/>
      <c r="L929" s="157"/>
      <c r="M929" s="157"/>
      <c r="O929" s="147"/>
      <c r="P929" s="147"/>
      <c r="Q929" s="147"/>
      <c r="R929" s="147"/>
      <c r="S929" s="147"/>
      <c r="T929" s="147"/>
      <c r="U929" s="147"/>
      <c r="V929" s="147"/>
      <c r="W929" s="147"/>
      <c r="X929" s="147"/>
      <c r="Y929" s="147"/>
      <c r="Z929" s="147"/>
      <c r="AA929" s="147"/>
      <c r="AB929" s="147"/>
      <c r="AC929" s="147"/>
      <c r="AD929" s="147"/>
      <c r="AE929" s="147"/>
      <c r="AF929" s="147"/>
      <c r="AG929" s="147"/>
      <c r="AH929" s="147"/>
      <c r="AI929" s="147"/>
      <c r="AJ929" s="147"/>
      <c r="AK929" s="147"/>
      <c r="AL929" s="147"/>
      <c r="AM929" s="151"/>
      <c r="AN929" s="147"/>
      <c r="AO929" s="147"/>
      <c r="AP929" s="147"/>
      <c r="AQ929" s="147"/>
      <c r="AR929" s="147"/>
      <c r="AS929" s="147"/>
      <c r="AT929" s="147"/>
      <c r="AU929" s="147"/>
      <c r="AV929" s="147"/>
      <c r="AW929" s="147"/>
      <c r="AX929" s="147"/>
      <c r="AY929" s="147"/>
      <c r="AZ929" s="147"/>
      <c r="BA929" s="147"/>
      <c r="BB929" s="147"/>
      <c r="BC929" s="147"/>
      <c r="BD929" s="147"/>
      <c r="BE929" s="147"/>
      <c r="BF929" s="147"/>
      <c r="BG929" s="147"/>
      <c r="BH929" s="147"/>
      <c r="BI929" s="147"/>
      <c r="BJ929" s="147"/>
      <c r="BK929" s="147"/>
      <c r="BL929" s="147"/>
      <c r="BM929" s="147"/>
      <c r="BN929" s="147"/>
      <c r="BO929" s="147"/>
      <c r="BP929" s="147"/>
      <c r="BQ929" s="147"/>
      <c r="BR929" s="147"/>
      <c r="BS929" s="147"/>
      <c r="BT929" s="147"/>
      <c r="BU929" s="147"/>
      <c r="BV929" s="147"/>
      <c r="BW929" s="147"/>
      <c r="BX929" s="147"/>
      <c r="BY929" s="147"/>
      <c r="BZ929" s="147"/>
      <c r="CA929" s="147"/>
      <c r="CB929" s="147"/>
      <c r="CC929" s="147"/>
      <c r="CD929" s="147"/>
      <c r="CE929" s="147"/>
      <c r="CF929" s="147"/>
      <c r="CG929" s="147"/>
      <c r="CH929" s="147"/>
      <c r="CI929" s="147"/>
      <c r="CJ929" s="147"/>
      <c r="CK929" s="147"/>
    </row>
    <row r="930" spans="1:89">
      <c r="A930" s="157"/>
      <c r="F930" s="3"/>
      <c r="G930" s="3"/>
      <c r="L930" s="157"/>
      <c r="M930" s="157"/>
      <c r="O930" s="147"/>
      <c r="P930" s="147"/>
      <c r="Q930" s="147"/>
      <c r="R930" s="147"/>
      <c r="S930" s="147"/>
      <c r="T930" s="147"/>
      <c r="U930" s="147"/>
      <c r="V930" s="147"/>
      <c r="W930" s="147"/>
      <c r="X930" s="147"/>
      <c r="Y930" s="147"/>
      <c r="Z930" s="147"/>
      <c r="AA930" s="147"/>
      <c r="AB930" s="147"/>
      <c r="AC930" s="147"/>
      <c r="AD930" s="147"/>
      <c r="AE930" s="147"/>
      <c r="AF930" s="147"/>
      <c r="AG930" s="147"/>
      <c r="AH930" s="147"/>
      <c r="AI930" s="147"/>
      <c r="AJ930" s="147"/>
      <c r="AK930" s="147"/>
      <c r="AL930" s="147"/>
      <c r="AM930" s="151"/>
      <c r="AN930" s="147"/>
      <c r="AO930" s="147"/>
      <c r="AP930" s="147"/>
      <c r="AQ930" s="147"/>
      <c r="AR930" s="147"/>
      <c r="AS930" s="147"/>
      <c r="AT930" s="147"/>
      <c r="AU930" s="147"/>
      <c r="AV930" s="147"/>
      <c r="AW930" s="147"/>
      <c r="AX930" s="147"/>
      <c r="AY930" s="147"/>
      <c r="AZ930" s="147"/>
      <c r="BA930" s="147"/>
      <c r="BB930" s="147"/>
      <c r="BC930" s="147"/>
      <c r="BD930" s="147"/>
      <c r="BE930" s="147"/>
      <c r="BF930" s="147"/>
      <c r="BG930" s="147"/>
      <c r="BH930" s="147"/>
      <c r="BI930" s="147"/>
      <c r="BJ930" s="147"/>
      <c r="BK930" s="147"/>
      <c r="BL930" s="147"/>
      <c r="BM930" s="147"/>
      <c r="BN930" s="147"/>
      <c r="BO930" s="147"/>
      <c r="BP930" s="147"/>
      <c r="BQ930" s="147"/>
      <c r="BR930" s="147"/>
      <c r="BS930" s="147"/>
      <c r="BT930" s="147"/>
      <c r="BU930" s="147"/>
      <c r="BV930" s="147"/>
      <c r="BW930" s="147"/>
      <c r="BX930" s="147"/>
      <c r="BY930" s="147"/>
      <c r="BZ930" s="147"/>
      <c r="CA930" s="147"/>
      <c r="CB930" s="147"/>
      <c r="CC930" s="147"/>
      <c r="CD930" s="147"/>
      <c r="CE930" s="147"/>
      <c r="CF930" s="147"/>
      <c r="CG930" s="147"/>
      <c r="CH930" s="147"/>
      <c r="CI930" s="147"/>
      <c r="CJ930" s="147"/>
      <c r="CK930" s="147"/>
    </row>
    <row r="931" spans="1:89">
      <c r="A931" s="157"/>
      <c r="F931" s="3"/>
      <c r="G931" s="3"/>
      <c r="L931" s="157"/>
      <c r="M931" s="157"/>
      <c r="O931" s="147"/>
      <c r="P931" s="147"/>
      <c r="Q931" s="147"/>
      <c r="R931" s="147"/>
      <c r="S931" s="147"/>
      <c r="T931" s="147"/>
      <c r="U931" s="147"/>
      <c r="V931" s="147"/>
      <c r="W931" s="147"/>
      <c r="X931" s="147"/>
      <c r="Y931" s="147"/>
      <c r="Z931" s="147"/>
      <c r="AA931" s="147"/>
      <c r="AB931" s="147"/>
      <c r="AC931" s="147"/>
      <c r="AD931" s="147"/>
      <c r="AE931" s="147"/>
      <c r="AF931" s="147"/>
      <c r="AG931" s="147"/>
      <c r="AH931" s="147"/>
      <c r="AI931" s="147"/>
      <c r="AJ931" s="147"/>
      <c r="AK931" s="147"/>
      <c r="AL931" s="147"/>
      <c r="AM931" s="151"/>
      <c r="AN931" s="147"/>
      <c r="AO931" s="147"/>
      <c r="AP931" s="147"/>
      <c r="AQ931" s="147"/>
      <c r="AR931" s="147"/>
      <c r="AS931" s="147"/>
      <c r="AT931" s="147"/>
      <c r="AU931" s="147"/>
      <c r="AV931" s="147"/>
      <c r="AW931" s="147"/>
      <c r="AX931" s="147"/>
      <c r="AY931" s="147"/>
      <c r="AZ931" s="147"/>
      <c r="BA931" s="147"/>
      <c r="BB931" s="147"/>
      <c r="BC931" s="147"/>
      <c r="BD931" s="147"/>
      <c r="BE931" s="147"/>
      <c r="BF931" s="147"/>
      <c r="BG931" s="147"/>
      <c r="BH931" s="147"/>
      <c r="BI931" s="147"/>
      <c r="BJ931" s="147"/>
      <c r="BK931" s="147"/>
      <c r="BL931" s="147"/>
      <c r="BM931" s="147"/>
      <c r="BN931" s="147"/>
      <c r="BO931" s="147"/>
      <c r="BP931" s="147"/>
      <c r="BQ931" s="147"/>
      <c r="BR931" s="147"/>
      <c r="BS931" s="147"/>
      <c r="BT931" s="147"/>
      <c r="BU931" s="147"/>
      <c r="BV931" s="147"/>
      <c r="BW931" s="147"/>
      <c r="BX931" s="147"/>
      <c r="BY931" s="147"/>
      <c r="BZ931" s="147"/>
      <c r="CA931" s="147"/>
      <c r="CB931" s="147"/>
      <c r="CC931" s="147"/>
      <c r="CD931" s="147"/>
      <c r="CE931" s="147"/>
      <c r="CF931" s="147"/>
      <c r="CG931" s="147"/>
      <c r="CH931" s="147"/>
      <c r="CI931" s="147"/>
      <c r="CJ931" s="147"/>
      <c r="CK931" s="147"/>
    </row>
    <row r="932" spans="1:89">
      <c r="A932" s="157"/>
      <c r="F932" s="3"/>
      <c r="G932" s="3"/>
      <c r="L932" s="157"/>
      <c r="M932" s="157"/>
      <c r="O932" s="147"/>
      <c r="P932" s="147"/>
      <c r="Q932" s="147"/>
      <c r="R932" s="147"/>
      <c r="S932" s="147"/>
      <c r="T932" s="147"/>
      <c r="U932" s="147"/>
      <c r="V932" s="147"/>
      <c r="W932" s="147"/>
      <c r="X932" s="147"/>
      <c r="Y932" s="147"/>
      <c r="Z932" s="147"/>
      <c r="AA932" s="147"/>
      <c r="AB932" s="147"/>
      <c r="AC932" s="147"/>
      <c r="AD932" s="147"/>
      <c r="AE932" s="147"/>
      <c r="AF932" s="147"/>
      <c r="AG932" s="147"/>
      <c r="AH932" s="147"/>
      <c r="AI932" s="147"/>
      <c r="AJ932" s="147"/>
      <c r="AK932" s="147"/>
      <c r="AL932" s="147"/>
      <c r="AM932" s="151"/>
      <c r="AN932" s="147"/>
      <c r="AO932" s="147"/>
      <c r="AP932" s="147"/>
      <c r="AQ932" s="147"/>
      <c r="AR932" s="147"/>
      <c r="AS932" s="147"/>
      <c r="AT932" s="147"/>
      <c r="AU932" s="147"/>
      <c r="AV932" s="147"/>
      <c r="AW932" s="147"/>
      <c r="AX932" s="147"/>
      <c r="AY932" s="147"/>
      <c r="AZ932" s="147"/>
      <c r="BA932" s="147"/>
      <c r="BB932" s="147"/>
      <c r="BC932" s="147"/>
      <c r="BD932" s="147"/>
      <c r="BE932" s="147"/>
      <c r="BF932" s="147"/>
      <c r="BG932" s="147"/>
      <c r="BH932" s="147"/>
      <c r="BI932" s="147"/>
      <c r="BJ932" s="147"/>
      <c r="BK932" s="147"/>
      <c r="BL932" s="147"/>
      <c r="BM932" s="147"/>
      <c r="BN932" s="147"/>
      <c r="BO932" s="147"/>
      <c r="BP932" s="147"/>
      <c r="BQ932" s="147"/>
      <c r="BR932" s="147"/>
      <c r="BS932" s="147"/>
      <c r="BT932" s="147"/>
      <c r="BU932" s="147"/>
      <c r="BV932" s="147"/>
      <c r="BW932" s="147"/>
      <c r="BX932" s="147"/>
      <c r="BY932" s="147"/>
      <c r="BZ932" s="147"/>
      <c r="CA932" s="147"/>
      <c r="CB932" s="147"/>
      <c r="CC932" s="147"/>
      <c r="CD932" s="147"/>
      <c r="CE932" s="147"/>
      <c r="CF932" s="147"/>
      <c r="CG932" s="147"/>
      <c r="CH932" s="147"/>
      <c r="CI932" s="147"/>
      <c r="CJ932" s="147"/>
      <c r="CK932" s="147"/>
    </row>
    <row r="933" spans="1:89">
      <c r="A933" s="157"/>
      <c r="F933" s="3"/>
      <c r="G933" s="3"/>
      <c r="L933" s="157"/>
      <c r="M933" s="157"/>
      <c r="O933" s="147"/>
      <c r="P933" s="147"/>
      <c r="Q933" s="147"/>
      <c r="R933" s="147"/>
      <c r="S933" s="147"/>
      <c r="T933" s="147"/>
      <c r="U933" s="147"/>
      <c r="V933" s="147"/>
      <c r="W933" s="147"/>
      <c r="X933" s="147"/>
      <c r="Y933" s="147"/>
      <c r="Z933" s="147"/>
      <c r="AA933" s="147"/>
      <c r="AB933" s="147"/>
      <c r="AC933" s="147"/>
      <c r="AD933" s="147"/>
      <c r="AE933" s="147"/>
      <c r="AF933" s="147"/>
      <c r="AG933" s="147"/>
      <c r="AH933" s="147"/>
      <c r="AI933" s="147"/>
      <c r="AJ933" s="147"/>
      <c r="AK933" s="147"/>
      <c r="AL933" s="147"/>
      <c r="AM933" s="151"/>
      <c r="AN933" s="147"/>
      <c r="AO933" s="147"/>
      <c r="AP933" s="147"/>
      <c r="AQ933" s="147"/>
      <c r="AR933" s="147"/>
      <c r="AS933" s="147"/>
      <c r="AT933" s="147"/>
      <c r="AU933" s="147"/>
      <c r="AV933" s="147"/>
      <c r="AW933" s="147"/>
      <c r="AX933" s="147"/>
      <c r="AY933" s="147"/>
      <c r="AZ933" s="147"/>
      <c r="BA933" s="147"/>
      <c r="BB933" s="147"/>
      <c r="BC933" s="147"/>
      <c r="BD933" s="147"/>
      <c r="BE933" s="147"/>
      <c r="BF933" s="147"/>
      <c r="BG933" s="147"/>
      <c r="BH933" s="147"/>
      <c r="BI933" s="147"/>
      <c r="BJ933" s="147"/>
      <c r="BK933" s="147"/>
      <c r="BL933" s="147"/>
      <c r="BM933" s="147"/>
      <c r="BN933" s="147"/>
      <c r="BO933" s="147"/>
      <c r="BP933" s="147"/>
      <c r="BQ933" s="147"/>
      <c r="BR933" s="147"/>
      <c r="BS933" s="147"/>
      <c r="BT933" s="147"/>
      <c r="BU933" s="147"/>
      <c r="BV933" s="147"/>
      <c r="BW933" s="147"/>
      <c r="BX933" s="147"/>
      <c r="BY933" s="147"/>
      <c r="BZ933" s="147"/>
      <c r="CA933" s="147"/>
      <c r="CB933" s="147"/>
      <c r="CC933" s="147"/>
      <c r="CD933" s="147"/>
      <c r="CE933" s="147"/>
      <c r="CF933" s="147"/>
      <c r="CG933" s="147"/>
      <c r="CH933" s="147"/>
      <c r="CI933" s="147"/>
      <c r="CJ933" s="147"/>
      <c r="CK933" s="147"/>
    </row>
    <row r="934" spans="1:89">
      <c r="A934" s="157"/>
      <c r="F934" s="3"/>
      <c r="G934" s="3"/>
      <c r="L934" s="157"/>
      <c r="M934" s="157"/>
      <c r="O934" s="147"/>
      <c r="P934" s="147"/>
      <c r="Q934" s="147"/>
      <c r="R934" s="147"/>
      <c r="S934" s="147"/>
      <c r="T934" s="147"/>
      <c r="U934" s="147"/>
      <c r="V934" s="147"/>
      <c r="W934" s="147"/>
      <c r="X934" s="147"/>
      <c r="Y934" s="147"/>
      <c r="Z934" s="147"/>
      <c r="AA934" s="147"/>
      <c r="AB934" s="147"/>
      <c r="AC934" s="147"/>
      <c r="AD934" s="147"/>
      <c r="AE934" s="147"/>
      <c r="AF934" s="147"/>
      <c r="AG934" s="147"/>
      <c r="AH934" s="147"/>
      <c r="AI934" s="147"/>
      <c r="AJ934" s="147"/>
      <c r="AK934" s="147"/>
      <c r="AL934" s="147"/>
      <c r="AM934" s="151"/>
      <c r="AN934" s="147"/>
      <c r="AO934" s="147"/>
      <c r="AP934" s="147"/>
      <c r="AQ934" s="147"/>
      <c r="AR934" s="147"/>
      <c r="AS934" s="147"/>
      <c r="AT934" s="147"/>
      <c r="AU934" s="147"/>
      <c r="AV934" s="147"/>
      <c r="AW934" s="147"/>
      <c r="AX934" s="147"/>
      <c r="AY934" s="147"/>
      <c r="AZ934" s="147"/>
      <c r="BA934" s="147"/>
      <c r="BB934" s="147"/>
      <c r="BC934" s="147"/>
      <c r="BD934" s="147"/>
      <c r="BE934" s="147"/>
      <c r="BF934" s="147"/>
      <c r="BG934" s="147"/>
      <c r="BH934" s="147"/>
      <c r="BI934" s="147"/>
      <c r="BJ934" s="147"/>
      <c r="BK934" s="147"/>
      <c r="BL934" s="147"/>
      <c r="BM934" s="147"/>
      <c r="BN934" s="147"/>
      <c r="BO934" s="147"/>
      <c r="BP934" s="147"/>
      <c r="BQ934" s="147"/>
      <c r="BR934" s="147"/>
      <c r="BS934" s="147"/>
      <c r="BT934" s="147"/>
      <c r="BU934" s="147"/>
      <c r="BV934" s="147"/>
      <c r="BW934" s="147"/>
      <c r="BX934" s="147"/>
      <c r="BY934" s="147"/>
      <c r="BZ934" s="147"/>
      <c r="CA934" s="147"/>
      <c r="CB934" s="147"/>
      <c r="CC934" s="147"/>
      <c r="CD934" s="147"/>
      <c r="CE934" s="147"/>
      <c r="CF934" s="147"/>
      <c r="CG934" s="147"/>
      <c r="CH934" s="147"/>
      <c r="CI934" s="147"/>
      <c r="CJ934" s="147"/>
      <c r="CK934" s="147"/>
    </row>
    <row r="935" spans="1:89">
      <c r="A935" s="157"/>
      <c r="F935" s="3"/>
      <c r="G935" s="3"/>
      <c r="L935" s="157"/>
      <c r="M935" s="157"/>
      <c r="O935" s="147"/>
      <c r="P935" s="147"/>
      <c r="Q935" s="147"/>
      <c r="R935" s="147"/>
      <c r="S935" s="147"/>
      <c r="T935" s="147"/>
      <c r="U935" s="147"/>
      <c r="V935" s="147"/>
      <c r="W935" s="147"/>
      <c r="X935" s="147"/>
      <c r="Y935" s="147"/>
      <c r="Z935" s="147"/>
      <c r="AA935" s="147"/>
      <c r="AB935" s="147"/>
      <c r="AC935" s="147"/>
      <c r="AD935" s="147"/>
      <c r="AE935" s="147"/>
      <c r="AF935" s="147"/>
      <c r="AG935" s="147"/>
      <c r="AH935" s="147"/>
      <c r="AI935" s="147"/>
      <c r="AJ935" s="147"/>
      <c r="AK935" s="147"/>
      <c r="AL935" s="147"/>
      <c r="AM935" s="151"/>
      <c r="AN935" s="147"/>
      <c r="AO935" s="147"/>
      <c r="AP935" s="147"/>
      <c r="AQ935" s="147"/>
      <c r="AR935" s="147"/>
      <c r="AS935" s="147"/>
      <c r="AT935" s="147"/>
      <c r="AU935" s="147"/>
      <c r="AV935" s="147"/>
      <c r="AW935" s="147"/>
      <c r="AX935" s="147"/>
      <c r="AY935" s="147"/>
      <c r="AZ935" s="147"/>
      <c r="BA935" s="147"/>
      <c r="BB935" s="147"/>
      <c r="BC935" s="147"/>
      <c r="BD935" s="147"/>
      <c r="BE935" s="147"/>
      <c r="BF935" s="147"/>
      <c r="BG935" s="147"/>
      <c r="BH935" s="147"/>
      <c r="BI935" s="147"/>
      <c r="BJ935" s="147"/>
      <c r="BK935" s="147"/>
      <c r="BL935" s="147"/>
      <c r="BM935" s="147"/>
      <c r="BN935" s="147"/>
      <c r="BO935" s="147"/>
      <c r="BP935" s="147"/>
      <c r="BQ935" s="147"/>
      <c r="BR935" s="147"/>
      <c r="BS935" s="147"/>
      <c r="BT935" s="147"/>
      <c r="BU935" s="147"/>
      <c r="BV935" s="147"/>
      <c r="BW935" s="147"/>
      <c r="BX935" s="147"/>
      <c r="BY935" s="147"/>
      <c r="BZ935" s="147"/>
      <c r="CA935" s="147"/>
      <c r="CB935" s="147"/>
      <c r="CC935" s="147"/>
      <c r="CD935" s="147"/>
      <c r="CE935" s="147"/>
      <c r="CF935" s="147"/>
      <c r="CG935" s="147"/>
      <c r="CH935" s="147"/>
      <c r="CI935" s="147"/>
      <c r="CJ935" s="147"/>
      <c r="CK935" s="147"/>
    </row>
    <row r="936" spans="1:89">
      <c r="A936" s="157"/>
      <c r="F936" s="3"/>
      <c r="G936" s="3"/>
      <c r="L936" s="157"/>
      <c r="M936" s="157"/>
      <c r="O936" s="147"/>
      <c r="P936" s="147"/>
      <c r="Q936" s="147"/>
      <c r="R936" s="147"/>
      <c r="S936" s="147"/>
      <c r="T936" s="147"/>
      <c r="U936" s="147"/>
      <c r="V936" s="147"/>
      <c r="W936" s="147"/>
      <c r="X936" s="147"/>
      <c r="Y936" s="147"/>
      <c r="Z936" s="147"/>
      <c r="AA936" s="147"/>
      <c r="AB936" s="147"/>
      <c r="AC936" s="147"/>
      <c r="AD936" s="147"/>
      <c r="AE936" s="147"/>
      <c r="AF936" s="147"/>
      <c r="AG936" s="147"/>
      <c r="AH936" s="147"/>
      <c r="AI936" s="147"/>
      <c r="AJ936" s="147"/>
      <c r="AK936" s="147"/>
      <c r="AL936" s="147"/>
      <c r="AM936" s="151"/>
      <c r="AN936" s="147"/>
      <c r="AO936" s="147"/>
      <c r="AP936" s="147"/>
      <c r="AQ936" s="147"/>
      <c r="AR936" s="147"/>
      <c r="AS936" s="147"/>
      <c r="AT936" s="147"/>
      <c r="AU936" s="147"/>
      <c r="AV936" s="147"/>
      <c r="AW936" s="147"/>
      <c r="AX936" s="147"/>
      <c r="AY936" s="147"/>
      <c r="AZ936" s="147"/>
      <c r="BA936" s="147"/>
      <c r="BB936" s="147"/>
      <c r="BC936" s="147"/>
      <c r="BD936" s="147"/>
      <c r="BE936" s="147"/>
      <c r="BF936" s="147"/>
      <c r="BG936" s="147"/>
      <c r="BH936" s="147"/>
      <c r="BI936" s="147"/>
      <c r="BJ936" s="147"/>
      <c r="BK936" s="147"/>
      <c r="BL936" s="147"/>
      <c r="BM936" s="147"/>
      <c r="BN936" s="147"/>
      <c r="BO936" s="147"/>
      <c r="BP936" s="147"/>
      <c r="BQ936" s="147"/>
      <c r="BR936" s="147"/>
      <c r="BS936" s="147"/>
      <c r="BT936" s="147"/>
      <c r="BU936" s="147"/>
      <c r="BV936" s="147"/>
      <c r="BW936" s="147"/>
      <c r="BX936" s="147"/>
      <c r="BY936" s="147"/>
      <c r="BZ936" s="147"/>
      <c r="CA936" s="147"/>
      <c r="CB936" s="147"/>
      <c r="CC936" s="147"/>
      <c r="CD936" s="147"/>
      <c r="CE936" s="147"/>
      <c r="CF936" s="147"/>
      <c r="CG936" s="147"/>
      <c r="CH936" s="147"/>
      <c r="CI936" s="147"/>
      <c r="CJ936" s="147"/>
      <c r="CK936" s="147"/>
    </row>
    <row r="937" spans="1:89">
      <c r="A937" s="157"/>
      <c r="F937" s="3"/>
      <c r="G937" s="3"/>
      <c r="L937" s="157"/>
      <c r="M937" s="157"/>
      <c r="O937" s="147"/>
      <c r="P937" s="147"/>
      <c r="Q937" s="147"/>
      <c r="R937" s="147"/>
      <c r="S937" s="147"/>
      <c r="T937" s="147"/>
      <c r="U937" s="147"/>
      <c r="V937" s="147"/>
      <c r="W937" s="147"/>
      <c r="X937" s="147"/>
      <c r="Y937" s="147"/>
      <c r="Z937" s="147"/>
      <c r="AA937" s="147"/>
      <c r="AB937" s="147"/>
      <c r="AC937" s="147"/>
      <c r="AD937" s="147"/>
      <c r="AE937" s="147"/>
      <c r="AF937" s="147"/>
      <c r="AG937" s="147"/>
      <c r="AH937" s="147"/>
      <c r="AI937" s="147"/>
      <c r="AJ937" s="147"/>
      <c r="AK937" s="147"/>
      <c r="AL937" s="147"/>
      <c r="AM937" s="151"/>
      <c r="AN937" s="147"/>
      <c r="AO937" s="147"/>
      <c r="AP937" s="147"/>
      <c r="AQ937" s="147"/>
      <c r="AR937" s="147"/>
      <c r="AS937" s="147"/>
      <c r="AT937" s="147"/>
      <c r="AU937" s="147"/>
      <c r="AV937" s="147"/>
      <c r="AW937" s="147"/>
      <c r="AX937" s="147"/>
      <c r="AY937" s="147"/>
      <c r="AZ937" s="147"/>
      <c r="BA937" s="147"/>
      <c r="BB937" s="147"/>
      <c r="BC937" s="147"/>
      <c r="BD937" s="147"/>
      <c r="BE937" s="147"/>
      <c r="BF937" s="147"/>
      <c r="BG937" s="147"/>
      <c r="BH937" s="147"/>
      <c r="BI937" s="147"/>
      <c r="BJ937" s="147"/>
      <c r="BK937" s="147"/>
      <c r="BL937" s="147"/>
      <c r="BM937" s="147"/>
      <c r="BN937" s="147"/>
      <c r="BO937" s="147"/>
      <c r="BP937" s="147"/>
      <c r="BQ937" s="147"/>
      <c r="BR937" s="147"/>
      <c r="BS937" s="147"/>
      <c r="BT937" s="147"/>
      <c r="BU937" s="147"/>
      <c r="BV937" s="147"/>
      <c r="BW937" s="147"/>
      <c r="BX937" s="147"/>
      <c r="BY937" s="147"/>
      <c r="BZ937" s="147"/>
      <c r="CA937" s="147"/>
      <c r="CB937" s="147"/>
      <c r="CC937" s="147"/>
      <c r="CD937" s="147"/>
      <c r="CE937" s="147"/>
      <c r="CF937" s="147"/>
      <c r="CG937" s="147"/>
      <c r="CH937" s="147"/>
      <c r="CI937" s="147"/>
      <c r="CJ937" s="147"/>
      <c r="CK937" s="147"/>
    </row>
    <row r="938" spans="1:89">
      <c r="A938" s="157"/>
      <c r="F938" s="3"/>
      <c r="G938" s="3"/>
      <c r="L938" s="157"/>
      <c r="M938" s="157"/>
      <c r="O938" s="147"/>
      <c r="P938" s="147"/>
      <c r="Q938" s="147"/>
      <c r="R938" s="147"/>
      <c r="S938" s="147"/>
      <c r="T938" s="147"/>
      <c r="U938" s="147"/>
      <c r="V938" s="147"/>
      <c r="W938" s="147"/>
      <c r="X938" s="147"/>
      <c r="Y938" s="147"/>
      <c r="Z938" s="147"/>
      <c r="AA938" s="147"/>
      <c r="AB938" s="147"/>
      <c r="AC938" s="147"/>
      <c r="AD938" s="147"/>
      <c r="AE938" s="147"/>
      <c r="AF938" s="147"/>
      <c r="AG938" s="147"/>
      <c r="AH938" s="147"/>
      <c r="AI938" s="147"/>
      <c r="AJ938" s="147"/>
      <c r="AK938" s="147"/>
      <c r="AL938" s="147"/>
      <c r="AM938" s="151"/>
      <c r="AN938" s="147"/>
      <c r="AO938" s="147"/>
      <c r="AP938" s="147"/>
      <c r="AQ938" s="147"/>
      <c r="AR938" s="147"/>
      <c r="AS938" s="147"/>
      <c r="AT938" s="147"/>
      <c r="AU938" s="147"/>
      <c r="AV938" s="147"/>
      <c r="AW938" s="147"/>
      <c r="AX938" s="147"/>
      <c r="AY938" s="147"/>
      <c r="AZ938" s="147"/>
      <c r="BA938" s="147"/>
      <c r="BB938" s="147"/>
      <c r="BC938" s="147"/>
      <c r="BD938" s="147"/>
      <c r="BE938" s="147"/>
      <c r="BF938" s="147"/>
      <c r="BG938" s="147"/>
      <c r="BH938" s="147"/>
      <c r="BI938" s="147"/>
      <c r="BJ938" s="147"/>
      <c r="BK938" s="147"/>
      <c r="BL938" s="147"/>
      <c r="BM938" s="147"/>
      <c r="BN938" s="147"/>
      <c r="BO938" s="147"/>
      <c r="BP938" s="147"/>
      <c r="BQ938" s="147"/>
      <c r="BR938" s="147"/>
      <c r="BS938" s="147"/>
      <c r="BT938" s="147"/>
      <c r="BU938" s="147"/>
      <c r="BV938" s="147"/>
      <c r="BW938" s="147"/>
      <c r="BX938" s="147"/>
      <c r="BY938" s="147"/>
      <c r="BZ938" s="147"/>
      <c r="CA938" s="147"/>
      <c r="CB938" s="147"/>
      <c r="CC938" s="147"/>
      <c r="CD938" s="147"/>
      <c r="CE938" s="147"/>
      <c r="CF938" s="147"/>
      <c r="CG938" s="147"/>
      <c r="CH938" s="147"/>
      <c r="CI938" s="147"/>
      <c r="CJ938" s="147"/>
      <c r="CK938" s="147"/>
    </row>
    <row r="939" spans="1:89">
      <c r="A939" s="157"/>
      <c r="F939" s="3"/>
      <c r="G939" s="3"/>
      <c r="L939" s="157"/>
      <c r="M939" s="157"/>
      <c r="O939" s="147"/>
      <c r="P939" s="147"/>
      <c r="Q939" s="147"/>
      <c r="R939" s="147"/>
      <c r="S939" s="147"/>
      <c r="T939" s="147"/>
      <c r="U939" s="147"/>
      <c r="V939" s="147"/>
      <c r="W939" s="147"/>
      <c r="X939" s="147"/>
      <c r="Y939" s="147"/>
      <c r="Z939" s="147"/>
      <c r="AA939" s="147"/>
      <c r="AB939" s="147"/>
      <c r="AC939" s="147"/>
      <c r="AD939" s="147"/>
      <c r="AE939" s="147"/>
      <c r="AF939" s="147"/>
      <c r="AG939" s="147"/>
      <c r="AH939" s="147"/>
      <c r="AI939" s="147"/>
      <c r="AJ939" s="147"/>
      <c r="AK939" s="147"/>
      <c r="AL939" s="147"/>
      <c r="AM939" s="151"/>
      <c r="AN939" s="147"/>
      <c r="AO939" s="147"/>
      <c r="AP939" s="147"/>
      <c r="AQ939" s="147"/>
      <c r="AR939" s="147"/>
      <c r="AS939" s="147"/>
      <c r="AT939" s="147"/>
      <c r="AU939" s="147"/>
      <c r="AV939" s="147"/>
      <c r="AW939" s="147"/>
      <c r="AX939" s="147"/>
      <c r="AY939" s="147"/>
      <c r="AZ939" s="147"/>
      <c r="BA939" s="147"/>
      <c r="BB939" s="147"/>
      <c r="BC939" s="147"/>
      <c r="BD939" s="147"/>
      <c r="BE939" s="147"/>
      <c r="BF939" s="147"/>
      <c r="BG939" s="147"/>
      <c r="BH939" s="147"/>
      <c r="BI939" s="147"/>
      <c r="BJ939" s="147"/>
      <c r="BK939" s="147"/>
      <c r="BL939" s="147"/>
      <c r="BM939" s="147"/>
      <c r="BN939" s="147"/>
      <c r="BO939" s="147"/>
      <c r="BP939" s="147"/>
      <c r="BQ939" s="147"/>
      <c r="BR939" s="147"/>
      <c r="BS939" s="147"/>
      <c r="BT939" s="147"/>
      <c r="BU939" s="147"/>
      <c r="BV939" s="147"/>
      <c r="BW939" s="147"/>
      <c r="BX939" s="147"/>
      <c r="BY939" s="147"/>
      <c r="BZ939" s="147"/>
      <c r="CA939" s="147"/>
      <c r="CB939" s="147"/>
      <c r="CC939" s="147"/>
      <c r="CD939" s="147"/>
      <c r="CE939" s="147"/>
      <c r="CF939" s="147"/>
      <c r="CG939" s="147"/>
      <c r="CH939" s="147"/>
      <c r="CI939" s="147"/>
      <c r="CJ939" s="147"/>
      <c r="CK939" s="147"/>
    </row>
    <row r="940" spans="1:89">
      <c r="A940" s="157"/>
      <c r="F940" s="3"/>
      <c r="G940" s="3"/>
      <c r="L940" s="157"/>
      <c r="M940" s="157"/>
      <c r="O940" s="147"/>
      <c r="P940" s="147"/>
      <c r="Q940" s="147"/>
      <c r="R940" s="147"/>
      <c r="S940" s="147"/>
      <c r="T940" s="147"/>
      <c r="U940" s="147"/>
      <c r="V940" s="147"/>
      <c r="W940" s="147"/>
      <c r="X940" s="147"/>
      <c r="Y940" s="147"/>
      <c r="Z940" s="147"/>
      <c r="AA940" s="147"/>
      <c r="AB940" s="147"/>
      <c r="AC940" s="147"/>
      <c r="AD940" s="147"/>
      <c r="AE940" s="147"/>
      <c r="AF940" s="147"/>
      <c r="AG940" s="147"/>
      <c r="AH940" s="147"/>
      <c r="AI940" s="147"/>
      <c r="AJ940" s="147"/>
      <c r="AK940" s="147"/>
      <c r="AL940" s="147"/>
      <c r="AM940" s="151"/>
      <c r="AN940" s="147"/>
      <c r="AO940" s="147"/>
      <c r="AP940" s="147"/>
      <c r="AQ940" s="147"/>
      <c r="AR940" s="147"/>
      <c r="AS940" s="147"/>
      <c r="AT940" s="147"/>
      <c r="AU940" s="147"/>
      <c r="AV940" s="147"/>
      <c r="AW940" s="147"/>
      <c r="AX940" s="147"/>
      <c r="AY940" s="147"/>
      <c r="AZ940" s="147"/>
      <c r="BA940" s="147"/>
      <c r="BB940" s="147"/>
      <c r="BC940" s="147"/>
      <c r="BD940" s="147"/>
      <c r="BE940" s="147"/>
      <c r="BF940" s="147"/>
      <c r="BG940" s="147"/>
      <c r="BH940" s="147"/>
      <c r="BI940" s="147"/>
      <c r="BJ940" s="147"/>
      <c r="BK940" s="147"/>
      <c r="BL940" s="147"/>
      <c r="BM940" s="147"/>
      <c r="BN940" s="147"/>
      <c r="BO940" s="147"/>
      <c r="BP940" s="147"/>
      <c r="BQ940" s="147"/>
      <c r="BR940" s="147"/>
      <c r="BS940" s="147"/>
      <c r="BT940" s="147"/>
      <c r="BU940" s="147"/>
      <c r="BV940" s="147"/>
      <c r="BW940" s="147"/>
      <c r="BX940" s="147"/>
      <c r="BY940" s="147"/>
      <c r="BZ940" s="147"/>
      <c r="CA940" s="147"/>
      <c r="CB940" s="147"/>
      <c r="CC940" s="147"/>
      <c r="CD940" s="147"/>
      <c r="CE940" s="147"/>
      <c r="CF940" s="147"/>
      <c r="CG940" s="147"/>
      <c r="CH940" s="147"/>
      <c r="CI940" s="147"/>
      <c r="CJ940" s="147"/>
      <c r="CK940" s="147"/>
    </row>
    <row r="941" spans="1:89">
      <c r="A941" s="157"/>
      <c r="F941" s="3"/>
      <c r="G941" s="3"/>
      <c r="L941" s="157"/>
      <c r="M941" s="157"/>
      <c r="O941" s="147"/>
      <c r="P941" s="147"/>
      <c r="Q941" s="147"/>
      <c r="R941" s="147"/>
      <c r="S941" s="147"/>
      <c r="T941" s="147"/>
      <c r="U941" s="147"/>
      <c r="V941" s="147"/>
      <c r="W941" s="147"/>
      <c r="X941" s="147"/>
      <c r="Y941" s="147"/>
      <c r="Z941" s="147"/>
      <c r="AA941" s="147"/>
      <c r="AB941" s="147"/>
      <c r="AC941" s="147"/>
      <c r="AD941" s="147"/>
      <c r="AE941" s="147"/>
      <c r="AF941" s="147"/>
      <c r="AG941" s="147"/>
      <c r="AH941" s="147"/>
      <c r="AI941" s="147"/>
      <c r="AJ941" s="147"/>
      <c r="AK941" s="147"/>
      <c r="AL941" s="147"/>
      <c r="AM941" s="151"/>
      <c r="AN941" s="147"/>
      <c r="AO941" s="147"/>
      <c r="AP941" s="147"/>
      <c r="AQ941" s="147"/>
      <c r="AR941" s="147"/>
      <c r="AS941" s="147"/>
      <c r="AT941" s="147"/>
      <c r="AU941" s="147"/>
      <c r="AV941" s="147"/>
      <c r="AW941" s="147"/>
      <c r="AX941" s="147"/>
      <c r="AY941" s="147"/>
      <c r="AZ941" s="147"/>
      <c r="BA941" s="147"/>
      <c r="BB941" s="147"/>
      <c r="BC941" s="147"/>
      <c r="BD941" s="147"/>
      <c r="BE941" s="147"/>
      <c r="BF941" s="147"/>
      <c r="BG941" s="147"/>
      <c r="BH941" s="147"/>
      <c r="BI941" s="147"/>
      <c r="BJ941" s="147"/>
      <c r="BK941" s="147"/>
      <c r="BL941" s="147"/>
      <c r="BM941" s="147"/>
      <c r="BN941" s="147"/>
      <c r="BO941" s="147"/>
      <c r="BP941" s="147"/>
      <c r="BQ941" s="147"/>
      <c r="BR941" s="147"/>
      <c r="BS941" s="147"/>
      <c r="BT941" s="147"/>
      <c r="BU941" s="147"/>
      <c r="BV941" s="147"/>
      <c r="BW941" s="147"/>
      <c r="BX941" s="147"/>
      <c r="BY941" s="147"/>
      <c r="BZ941" s="147"/>
      <c r="CA941" s="147"/>
      <c r="CB941" s="147"/>
      <c r="CC941" s="147"/>
      <c r="CD941" s="147"/>
      <c r="CE941" s="147"/>
      <c r="CF941" s="147"/>
      <c r="CG941" s="147"/>
      <c r="CH941" s="147"/>
      <c r="CI941" s="147"/>
      <c r="CJ941" s="147"/>
      <c r="CK941" s="147"/>
    </row>
    <row r="942" spans="1:89">
      <c r="A942" s="157"/>
      <c r="F942" s="3"/>
      <c r="G942" s="3"/>
      <c r="L942" s="157"/>
      <c r="M942" s="157"/>
      <c r="O942" s="147"/>
      <c r="P942" s="147"/>
      <c r="Q942" s="147"/>
      <c r="R942" s="147"/>
      <c r="S942" s="147"/>
      <c r="T942" s="147"/>
      <c r="U942" s="147"/>
      <c r="V942" s="147"/>
      <c r="W942" s="147"/>
      <c r="X942" s="147"/>
      <c r="Y942" s="147"/>
      <c r="Z942" s="147"/>
      <c r="AA942" s="147"/>
      <c r="AB942" s="147"/>
      <c r="AC942" s="147"/>
      <c r="AD942" s="147"/>
      <c r="AE942" s="147"/>
      <c r="AF942" s="147"/>
      <c r="AG942" s="147"/>
      <c r="AH942" s="147"/>
      <c r="AI942" s="147"/>
      <c r="AJ942" s="147"/>
      <c r="AK942" s="147"/>
      <c r="AL942" s="147"/>
      <c r="AM942" s="151"/>
      <c r="AN942" s="147"/>
      <c r="AO942" s="147"/>
      <c r="AP942" s="147"/>
      <c r="AQ942" s="147"/>
      <c r="AR942" s="147"/>
      <c r="AS942" s="147"/>
      <c r="AT942" s="147"/>
      <c r="AU942" s="147"/>
      <c r="AV942" s="147"/>
      <c r="AW942" s="147"/>
      <c r="AX942" s="147"/>
      <c r="AY942" s="147"/>
      <c r="AZ942" s="147"/>
      <c r="BA942" s="147"/>
      <c r="BB942" s="147"/>
      <c r="BC942" s="147"/>
      <c r="BD942" s="147"/>
      <c r="BE942" s="147"/>
      <c r="BF942" s="147"/>
      <c r="BG942" s="147"/>
      <c r="BH942" s="147"/>
      <c r="BI942" s="147"/>
      <c r="BJ942" s="147"/>
      <c r="BK942" s="147"/>
      <c r="BL942" s="147"/>
      <c r="BM942" s="147"/>
      <c r="BN942" s="147"/>
      <c r="BO942" s="147"/>
      <c r="BP942" s="147"/>
      <c r="BQ942" s="147"/>
      <c r="BR942" s="147"/>
      <c r="BS942" s="147"/>
      <c r="BT942" s="147"/>
      <c r="BU942" s="147"/>
      <c r="BV942" s="147"/>
      <c r="BW942" s="147"/>
      <c r="BX942" s="147"/>
      <c r="BY942" s="147"/>
      <c r="BZ942" s="147"/>
      <c r="CA942" s="147"/>
      <c r="CB942" s="147"/>
      <c r="CC942" s="147"/>
      <c r="CD942" s="147"/>
      <c r="CE942" s="147"/>
      <c r="CF942" s="147"/>
      <c r="CG942" s="147"/>
      <c r="CH942" s="147"/>
      <c r="CI942" s="147"/>
      <c r="CJ942" s="147"/>
      <c r="CK942" s="147"/>
    </row>
    <row r="943" spans="1:89">
      <c r="A943" s="157"/>
      <c r="F943" s="3"/>
      <c r="G943" s="3"/>
      <c r="L943" s="157"/>
      <c r="M943" s="157"/>
      <c r="O943" s="147"/>
      <c r="P943" s="147"/>
      <c r="Q943" s="147"/>
      <c r="R943" s="147"/>
      <c r="S943" s="147"/>
      <c r="T943" s="147"/>
      <c r="U943" s="147"/>
      <c r="V943" s="147"/>
      <c r="W943" s="147"/>
      <c r="X943" s="147"/>
      <c r="Y943" s="147"/>
      <c r="Z943" s="147"/>
      <c r="AA943" s="147"/>
      <c r="AB943" s="147"/>
      <c r="AC943" s="147"/>
      <c r="AD943" s="147"/>
      <c r="AE943" s="147"/>
      <c r="AF943" s="147"/>
      <c r="AG943" s="147"/>
      <c r="AH943" s="147"/>
      <c r="AI943" s="147"/>
      <c r="AJ943" s="147"/>
      <c r="AK943" s="147"/>
      <c r="AL943" s="147"/>
      <c r="AM943" s="151"/>
      <c r="AN943" s="147"/>
      <c r="AO943" s="147"/>
      <c r="AP943" s="147"/>
      <c r="AQ943" s="147"/>
      <c r="AR943" s="147"/>
      <c r="AS943" s="147"/>
      <c r="AT943" s="147"/>
      <c r="AU943" s="147"/>
      <c r="AV943" s="147"/>
      <c r="AW943" s="147"/>
      <c r="AX943" s="147"/>
      <c r="AY943" s="147"/>
      <c r="AZ943" s="147"/>
      <c r="BA943" s="147"/>
      <c r="BB943" s="147"/>
      <c r="BC943" s="147"/>
      <c r="BD943" s="147"/>
      <c r="BE943" s="147"/>
      <c r="BF943" s="147"/>
      <c r="BG943" s="147"/>
      <c r="BH943" s="147"/>
      <c r="BI943" s="147"/>
      <c r="BJ943" s="147"/>
      <c r="BK943" s="147"/>
      <c r="BL943" s="147"/>
      <c r="BM943" s="147"/>
      <c r="BN943" s="147"/>
      <c r="BO943" s="147"/>
      <c r="BP943" s="147"/>
      <c r="BQ943" s="147"/>
      <c r="BR943" s="147"/>
      <c r="BS943" s="147"/>
      <c r="BT943" s="147"/>
      <c r="BU943" s="147"/>
      <c r="BV943" s="147"/>
      <c r="BW943" s="147"/>
      <c r="BX943" s="147"/>
      <c r="BY943" s="147"/>
      <c r="BZ943" s="147"/>
      <c r="CA943" s="147"/>
      <c r="CB943" s="147"/>
      <c r="CC943" s="147"/>
      <c r="CD943" s="147"/>
      <c r="CE943" s="147"/>
      <c r="CF943" s="147"/>
      <c r="CG943" s="147"/>
      <c r="CH943" s="147"/>
      <c r="CI943" s="147"/>
      <c r="CJ943" s="147"/>
      <c r="CK943" s="147"/>
    </row>
    <row r="944" spans="1:89">
      <c r="A944" s="157"/>
      <c r="F944" s="3"/>
      <c r="G944" s="3"/>
      <c r="L944" s="157"/>
      <c r="M944" s="157"/>
      <c r="O944" s="147"/>
      <c r="P944" s="147"/>
      <c r="Q944" s="147"/>
      <c r="R944" s="147"/>
      <c r="S944" s="147"/>
      <c r="T944" s="147"/>
      <c r="U944" s="147"/>
      <c r="V944" s="147"/>
      <c r="W944" s="147"/>
      <c r="X944" s="147"/>
      <c r="Y944" s="147"/>
      <c r="Z944" s="147"/>
      <c r="AA944" s="147"/>
      <c r="AB944" s="147"/>
      <c r="AC944" s="147"/>
      <c r="AD944" s="147"/>
      <c r="AE944" s="147"/>
      <c r="AF944" s="147"/>
      <c r="AG944" s="147"/>
      <c r="AH944" s="147"/>
      <c r="AI944" s="147"/>
      <c r="AJ944" s="147"/>
      <c r="AK944" s="147"/>
      <c r="AL944" s="147"/>
      <c r="AM944" s="151"/>
      <c r="AN944" s="147"/>
      <c r="AO944" s="147"/>
      <c r="AP944" s="147"/>
      <c r="AQ944" s="147"/>
      <c r="AR944" s="147"/>
      <c r="AS944" s="147"/>
      <c r="AT944" s="147"/>
      <c r="AU944" s="147"/>
      <c r="AV944" s="147"/>
      <c r="AW944" s="147"/>
      <c r="AX944" s="147"/>
      <c r="AY944" s="147"/>
      <c r="AZ944" s="147"/>
      <c r="BA944" s="147"/>
      <c r="BB944" s="147"/>
      <c r="BC944" s="147"/>
      <c r="BD944" s="147"/>
      <c r="BE944" s="147"/>
      <c r="BF944" s="147"/>
      <c r="BG944" s="147"/>
      <c r="BH944" s="147"/>
      <c r="BI944" s="147"/>
      <c r="BJ944" s="147"/>
      <c r="BK944" s="147"/>
      <c r="BL944" s="147"/>
      <c r="BM944" s="147"/>
      <c r="BN944" s="147"/>
      <c r="BO944" s="147"/>
      <c r="BP944" s="147"/>
      <c r="BQ944" s="147"/>
      <c r="BR944" s="147"/>
      <c r="BS944" s="147"/>
      <c r="BT944" s="147"/>
      <c r="BU944" s="147"/>
      <c r="BV944" s="147"/>
      <c r="BW944" s="147"/>
      <c r="BX944" s="147"/>
      <c r="BY944" s="147"/>
      <c r="BZ944" s="147"/>
      <c r="CA944" s="147"/>
      <c r="CB944" s="147"/>
      <c r="CC944" s="147"/>
      <c r="CD944" s="147"/>
      <c r="CE944" s="147"/>
      <c r="CF944" s="147"/>
      <c r="CG944" s="147"/>
      <c r="CH944" s="147"/>
      <c r="CI944" s="147"/>
      <c r="CJ944" s="147"/>
      <c r="CK944" s="147"/>
    </row>
    <row r="945" spans="1:89">
      <c r="A945" s="157"/>
      <c r="F945" s="3"/>
      <c r="G945" s="3"/>
      <c r="L945" s="157"/>
      <c r="M945" s="157"/>
      <c r="O945" s="147"/>
      <c r="P945" s="147"/>
      <c r="Q945" s="147"/>
      <c r="R945" s="147"/>
      <c r="S945" s="147"/>
      <c r="T945" s="147"/>
      <c r="U945" s="147"/>
      <c r="V945" s="147"/>
      <c r="W945" s="147"/>
      <c r="X945" s="147"/>
      <c r="Y945" s="147"/>
      <c r="Z945" s="147"/>
      <c r="AA945" s="147"/>
      <c r="AB945" s="147"/>
      <c r="AC945" s="147"/>
      <c r="AD945" s="147"/>
      <c r="AE945" s="147"/>
      <c r="AF945" s="147"/>
      <c r="AG945" s="147"/>
      <c r="AH945" s="147"/>
      <c r="AI945" s="147"/>
      <c r="AJ945" s="147"/>
      <c r="AK945" s="147"/>
      <c r="AL945" s="147"/>
      <c r="AM945" s="151"/>
      <c r="AN945" s="147"/>
      <c r="AO945" s="147"/>
      <c r="AP945" s="147"/>
      <c r="AQ945" s="147"/>
      <c r="AR945" s="147"/>
      <c r="AS945" s="147"/>
      <c r="AT945" s="147"/>
      <c r="AU945" s="147"/>
      <c r="AV945" s="147"/>
      <c r="AW945" s="147"/>
      <c r="AX945" s="147"/>
      <c r="AY945" s="147"/>
      <c r="AZ945" s="147"/>
      <c r="BA945" s="147"/>
      <c r="BB945" s="147"/>
      <c r="BC945" s="147"/>
      <c r="BD945" s="147"/>
      <c r="BE945" s="147"/>
      <c r="BF945" s="147"/>
      <c r="BG945" s="147"/>
      <c r="BH945" s="147"/>
      <c r="BI945" s="147"/>
      <c r="BJ945" s="147"/>
      <c r="BK945" s="147"/>
      <c r="BL945" s="147"/>
      <c r="BM945" s="147"/>
      <c r="BN945" s="147"/>
      <c r="BO945" s="147"/>
      <c r="BP945" s="147"/>
      <c r="BQ945" s="147"/>
      <c r="BR945" s="147"/>
      <c r="BS945" s="147"/>
      <c r="BT945" s="147"/>
      <c r="BU945" s="147"/>
      <c r="BV945" s="147"/>
      <c r="BW945" s="147"/>
      <c r="BX945" s="147"/>
      <c r="BY945" s="147"/>
      <c r="BZ945" s="147"/>
      <c r="CA945" s="147"/>
      <c r="CB945" s="147"/>
      <c r="CC945" s="147"/>
      <c r="CD945" s="147"/>
      <c r="CE945" s="147"/>
      <c r="CF945" s="147"/>
      <c r="CG945" s="147"/>
      <c r="CH945" s="147"/>
      <c r="CI945" s="147"/>
      <c r="CJ945" s="147"/>
      <c r="CK945" s="147"/>
    </row>
    <row r="946" spans="1:89">
      <c r="A946" s="157"/>
      <c r="F946" s="3"/>
      <c r="G946" s="3"/>
      <c r="L946" s="157"/>
      <c r="M946" s="157"/>
      <c r="O946" s="147"/>
      <c r="P946" s="147"/>
      <c r="Q946" s="147"/>
      <c r="R946" s="147"/>
      <c r="S946" s="147"/>
      <c r="T946" s="147"/>
      <c r="U946" s="147"/>
      <c r="V946" s="147"/>
      <c r="W946" s="147"/>
      <c r="X946" s="147"/>
      <c r="Y946" s="147"/>
      <c r="Z946" s="147"/>
      <c r="AA946" s="147"/>
      <c r="AB946" s="147"/>
      <c r="AC946" s="147"/>
      <c r="AD946" s="147"/>
      <c r="AE946" s="147"/>
      <c r="AF946" s="147"/>
      <c r="AG946" s="147"/>
      <c r="AH946" s="147"/>
      <c r="AI946" s="147"/>
      <c r="AJ946" s="147"/>
      <c r="AK946" s="147"/>
      <c r="AL946" s="147"/>
      <c r="AM946" s="151"/>
      <c r="AN946" s="147"/>
      <c r="AO946" s="147"/>
      <c r="AP946" s="147"/>
      <c r="AQ946" s="147"/>
      <c r="AR946" s="147"/>
      <c r="AS946" s="147"/>
      <c r="AT946" s="147"/>
      <c r="AU946" s="147"/>
      <c r="AV946" s="147"/>
      <c r="AW946" s="147"/>
      <c r="AX946" s="147"/>
      <c r="AY946" s="147"/>
      <c r="AZ946" s="147"/>
      <c r="BA946" s="147"/>
      <c r="BB946" s="147"/>
      <c r="BC946" s="147"/>
      <c r="BD946" s="147"/>
      <c r="BE946" s="147"/>
      <c r="BF946" s="147"/>
      <c r="BG946" s="147"/>
      <c r="BH946" s="147"/>
      <c r="BI946" s="147"/>
      <c r="BJ946" s="147"/>
      <c r="BK946" s="147"/>
      <c r="BL946" s="147"/>
      <c r="BM946" s="147"/>
      <c r="BN946" s="147"/>
      <c r="BO946" s="147"/>
      <c r="BP946" s="147"/>
      <c r="BQ946" s="147"/>
      <c r="BR946" s="147"/>
      <c r="BS946" s="147"/>
      <c r="BT946" s="147"/>
      <c r="BU946" s="147"/>
      <c r="BV946" s="147"/>
      <c r="BW946" s="147"/>
      <c r="BX946" s="147"/>
      <c r="BY946" s="147"/>
      <c r="BZ946" s="147"/>
      <c r="CA946" s="147"/>
      <c r="CB946" s="147"/>
      <c r="CC946" s="147"/>
      <c r="CD946" s="147"/>
      <c r="CE946" s="147"/>
      <c r="CF946" s="147"/>
      <c r="CG946" s="147"/>
      <c r="CH946" s="147"/>
      <c r="CI946" s="147"/>
      <c r="CJ946" s="147"/>
      <c r="CK946" s="147"/>
    </row>
    <row r="947" spans="1:89">
      <c r="A947" s="157"/>
      <c r="F947" s="3"/>
      <c r="G947" s="3"/>
      <c r="L947" s="157"/>
      <c r="M947" s="157"/>
      <c r="O947" s="147"/>
      <c r="P947" s="147"/>
      <c r="Q947" s="147"/>
      <c r="R947" s="147"/>
      <c r="S947" s="147"/>
      <c r="T947" s="147"/>
      <c r="U947" s="147"/>
      <c r="V947" s="147"/>
      <c r="W947" s="147"/>
      <c r="X947" s="147"/>
      <c r="Y947" s="147"/>
      <c r="Z947" s="147"/>
      <c r="AA947" s="147"/>
      <c r="AB947" s="147"/>
      <c r="AC947" s="147"/>
      <c r="AD947" s="147"/>
      <c r="AE947" s="147"/>
      <c r="AF947" s="147"/>
      <c r="AG947" s="147"/>
      <c r="AH947" s="147"/>
      <c r="AI947" s="147"/>
      <c r="AJ947" s="147"/>
      <c r="AK947" s="147"/>
      <c r="AL947" s="147"/>
      <c r="AM947" s="151"/>
      <c r="AN947" s="147"/>
      <c r="AO947" s="147"/>
      <c r="AP947" s="147"/>
      <c r="AQ947" s="147"/>
      <c r="AR947" s="147"/>
      <c r="AS947" s="147"/>
      <c r="AT947" s="147"/>
      <c r="AU947" s="147"/>
      <c r="AV947" s="147"/>
      <c r="AW947" s="147"/>
      <c r="AX947" s="147"/>
      <c r="AY947" s="147"/>
      <c r="AZ947" s="147"/>
      <c r="BA947" s="147"/>
      <c r="BB947" s="147"/>
      <c r="BC947" s="147"/>
      <c r="BD947" s="147"/>
      <c r="BE947" s="147"/>
      <c r="BF947" s="147"/>
      <c r="BG947" s="147"/>
      <c r="BH947" s="147"/>
      <c r="BI947" s="147"/>
      <c r="BJ947" s="147"/>
      <c r="BK947" s="147"/>
      <c r="BL947" s="147"/>
      <c r="BM947" s="147"/>
      <c r="BN947" s="147"/>
      <c r="BO947" s="147"/>
      <c r="BP947" s="147"/>
      <c r="BQ947" s="147"/>
      <c r="BR947" s="147"/>
      <c r="BS947" s="147"/>
      <c r="BT947" s="147"/>
      <c r="BU947" s="147"/>
      <c r="BV947" s="147"/>
      <c r="BW947" s="147"/>
      <c r="BX947" s="147"/>
      <c r="BY947" s="147"/>
      <c r="BZ947" s="147"/>
      <c r="CA947" s="147"/>
      <c r="CB947" s="147"/>
      <c r="CC947" s="147"/>
      <c r="CD947" s="147"/>
      <c r="CE947" s="147"/>
      <c r="CF947" s="147"/>
      <c r="CG947" s="147"/>
      <c r="CH947" s="147"/>
      <c r="CI947" s="147"/>
      <c r="CJ947" s="147"/>
      <c r="CK947" s="147"/>
    </row>
    <row r="948" spans="1:89">
      <c r="A948" s="157"/>
      <c r="F948" s="3"/>
      <c r="G948" s="3"/>
      <c r="L948" s="157"/>
      <c r="M948" s="157"/>
      <c r="O948" s="147"/>
      <c r="P948" s="147"/>
      <c r="Q948" s="147"/>
      <c r="R948" s="147"/>
      <c r="S948" s="147"/>
      <c r="T948" s="147"/>
      <c r="U948" s="147"/>
      <c r="V948" s="147"/>
      <c r="W948" s="147"/>
      <c r="X948" s="147"/>
      <c r="Y948" s="147"/>
      <c r="Z948" s="147"/>
      <c r="AA948" s="147"/>
      <c r="AB948" s="147"/>
      <c r="AC948" s="147"/>
      <c r="AD948" s="147"/>
      <c r="AE948" s="147"/>
      <c r="AF948" s="147"/>
      <c r="AG948" s="147"/>
      <c r="AH948" s="147"/>
      <c r="AI948" s="147"/>
      <c r="AJ948" s="147"/>
      <c r="AK948" s="147"/>
      <c r="AL948" s="147"/>
      <c r="AM948" s="151"/>
      <c r="AN948" s="147"/>
      <c r="AO948" s="147"/>
      <c r="AP948" s="147"/>
      <c r="AQ948" s="147"/>
      <c r="AR948" s="147"/>
      <c r="AS948" s="147"/>
      <c r="AT948" s="147"/>
      <c r="AU948" s="147"/>
      <c r="AV948" s="147"/>
      <c r="AW948" s="147"/>
      <c r="AX948" s="147"/>
      <c r="AY948" s="147"/>
      <c r="AZ948" s="147"/>
      <c r="BA948" s="147"/>
      <c r="BB948" s="147"/>
      <c r="BC948" s="147"/>
      <c r="BD948" s="147"/>
      <c r="BE948" s="147"/>
      <c r="BF948" s="147"/>
      <c r="BG948" s="147"/>
      <c r="BH948" s="147"/>
      <c r="BI948" s="147"/>
      <c r="BJ948" s="147"/>
      <c r="BK948" s="147"/>
      <c r="BL948" s="147"/>
      <c r="BM948" s="147"/>
      <c r="BN948" s="147"/>
      <c r="BO948" s="147"/>
      <c r="BP948" s="147"/>
      <c r="BQ948" s="147"/>
      <c r="BR948" s="147"/>
      <c r="BS948" s="147"/>
      <c r="BT948" s="147"/>
      <c r="BU948" s="147"/>
      <c r="BV948" s="147"/>
      <c r="BW948" s="147"/>
      <c r="BX948" s="147"/>
      <c r="BY948" s="147"/>
      <c r="BZ948" s="147"/>
      <c r="CA948" s="147"/>
      <c r="CB948" s="147"/>
      <c r="CC948" s="147"/>
      <c r="CD948" s="147"/>
      <c r="CE948" s="147"/>
      <c r="CF948" s="147"/>
      <c r="CG948" s="147"/>
      <c r="CH948" s="147"/>
      <c r="CI948" s="147"/>
      <c r="CJ948" s="147"/>
      <c r="CK948" s="147"/>
    </row>
    <row r="949" spans="1:89">
      <c r="A949" s="157"/>
      <c r="F949" s="3"/>
      <c r="G949" s="3"/>
      <c r="L949" s="157"/>
      <c r="M949" s="157"/>
      <c r="O949" s="147"/>
      <c r="P949" s="147"/>
      <c r="Q949" s="147"/>
      <c r="R949" s="147"/>
      <c r="S949" s="147"/>
      <c r="T949" s="147"/>
      <c r="U949" s="147"/>
      <c r="V949" s="147"/>
      <c r="W949" s="147"/>
      <c r="X949" s="147"/>
      <c r="Y949" s="147"/>
      <c r="Z949" s="147"/>
      <c r="AA949" s="147"/>
      <c r="AB949" s="147"/>
      <c r="AC949" s="147"/>
      <c r="AD949" s="147"/>
      <c r="AE949" s="147"/>
      <c r="AF949" s="147"/>
      <c r="AG949" s="147"/>
      <c r="AH949" s="147"/>
      <c r="AI949" s="147"/>
      <c r="AJ949" s="147"/>
      <c r="AK949" s="147"/>
      <c r="AL949" s="147"/>
      <c r="AM949" s="151"/>
      <c r="AN949" s="147"/>
      <c r="AO949" s="147"/>
      <c r="AP949" s="147"/>
      <c r="AQ949" s="147"/>
      <c r="AR949" s="147"/>
      <c r="AS949" s="147"/>
      <c r="AT949" s="147"/>
      <c r="AU949" s="147"/>
      <c r="AV949" s="147"/>
      <c r="AW949" s="147"/>
      <c r="AX949" s="147"/>
      <c r="AY949" s="147"/>
      <c r="AZ949" s="147"/>
      <c r="BA949" s="147"/>
      <c r="BB949" s="147"/>
      <c r="BC949" s="147"/>
      <c r="BD949" s="147"/>
      <c r="BE949" s="147"/>
      <c r="BF949" s="147"/>
      <c r="BG949" s="147"/>
      <c r="BH949" s="147"/>
      <c r="BI949" s="147"/>
      <c r="BJ949" s="147"/>
      <c r="BK949" s="147"/>
      <c r="BL949" s="147"/>
      <c r="BM949" s="147"/>
      <c r="BN949" s="147"/>
      <c r="BO949" s="147"/>
      <c r="BP949" s="147"/>
      <c r="BQ949" s="147"/>
      <c r="BR949" s="147"/>
      <c r="BS949" s="147"/>
      <c r="BT949" s="147"/>
      <c r="BU949" s="147"/>
      <c r="BV949" s="147"/>
      <c r="BW949" s="147"/>
      <c r="BX949" s="147"/>
      <c r="BY949" s="147"/>
      <c r="BZ949" s="147"/>
      <c r="CA949" s="147"/>
      <c r="CB949" s="147"/>
      <c r="CC949" s="147"/>
      <c r="CD949" s="147"/>
      <c r="CE949" s="147"/>
      <c r="CF949" s="147"/>
      <c r="CG949" s="147"/>
      <c r="CH949" s="147"/>
      <c r="CI949" s="147"/>
      <c r="CJ949" s="147"/>
      <c r="CK949" s="147"/>
    </row>
    <row r="950" spans="1:89">
      <c r="A950" s="157"/>
      <c r="F950" s="3"/>
      <c r="G950" s="3"/>
      <c r="L950" s="157"/>
      <c r="M950" s="157"/>
      <c r="O950" s="147"/>
      <c r="P950" s="147"/>
      <c r="Q950" s="147"/>
      <c r="R950" s="147"/>
      <c r="S950" s="147"/>
      <c r="T950" s="147"/>
      <c r="U950" s="147"/>
      <c r="V950" s="147"/>
      <c r="W950" s="147"/>
      <c r="X950" s="147"/>
      <c r="Y950" s="147"/>
      <c r="Z950" s="147"/>
      <c r="AA950" s="147"/>
      <c r="AB950" s="147"/>
      <c r="AC950" s="147"/>
      <c r="AD950" s="147"/>
      <c r="AE950" s="147"/>
      <c r="AF950" s="147"/>
      <c r="AG950" s="147"/>
      <c r="AH950" s="147"/>
      <c r="AI950" s="147"/>
      <c r="AJ950" s="147"/>
      <c r="AK950" s="147"/>
      <c r="AL950" s="147"/>
      <c r="AM950" s="151"/>
      <c r="AN950" s="147"/>
      <c r="AO950" s="147"/>
      <c r="AP950" s="147"/>
      <c r="AQ950" s="147"/>
      <c r="AR950" s="147"/>
      <c r="AS950" s="147"/>
      <c r="AT950" s="147"/>
      <c r="AU950" s="147"/>
      <c r="AV950" s="147"/>
      <c r="AW950" s="147"/>
      <c r="AX950" s="147"/>
      <c r="AY950" s="147"/>
      <c r="AZ950" s="147"/>
      <c r="BA950" s="147"/>
      <c r="BB950" s="147"/>
      <c r="BC950" s="147"/>
      <c r="BD950" s="147"/>
      <c r="BE950" s="147"/>
      <c r="BF950" s="147"/>
      <c r="BG950" s="147"/>
      <c r="BH950" s="147"/>
      <c r="BI950" s="147"/>
      <c r="BJ950" s="147"/>
      <c r="BK950" s="147"/>
      <c r="BL950" s="147"/>
      <c r="BM950" s="147"/>
      <c r="BN950" s="147"/>
      <c r="BO950" s="147"/>
      <c r="BP950" s="147"/>
      <c r="BQ950" s="147"/>
      <c r="BR950" s="147"/>
      <c r="BS950" s="147"/>
      <c r="BT950" s="147"/>
      <c r="BU950" s="147"/>
      <c r="BV950" s="147"/>
      <c r="BW950" s="147"/>
      <c r="BX950" s="147"/>
      <c r="BY950" s="147"/>
      <c r="BZ950" s="147"/>
      <c r="CA950" s="147"/>
      <c r="CB950" s="147"/>
      <c r="CC950" s="147"/>
      <c r="CD950" s="147"/>
      <c r="CE950" s="147"/>
      <c r="CF950" s="147"/>
      <c r="CG950" s="147"/>
      <c r="CH950" s="147"/>
      <c r="CI950" s="147"/>
      <c r="CJ950" s="147"/>
      <c r="CK950" s="147"/>
    </row>
    <row r="951" spans="1:89">
      <c r="A951" s="157"/>
      <c r="F951" s="3"/>
      <c r="G951" s="3"/>
      <c r="L951" s="157"/>
      <c r="M951" s="157"/>
      <c r="O951" s="147"/>
      <c r="P951" s="147"/>
      <c r="Q951" s="147"/>
      <c r="R951" s="147"/>
      <c r="S951" s="147"/>
      <c r="T951" s="147"/>
      <c r="U951" s="147"/>
      <c r="V951" s="147"/>
      <c r="W951" s="147"/>
      <c r="X951" s="147"/>
      <c r="Y951" s="147"/>
      <c r="Z951" s="147"/>
      <c r="AA951" s="147"/>
      <c r="AB951" s="147"/>
      <c r="AC951" s="147"/>
      <c r="AD951" s="147"/>
      <c r="AE951" s="147"/>
      <c r="AF951" s="147"/>
      <c r="AG951" s="147"/>
      <c r="AH951" s="147"/>
      <c r="AI951" s="147"/>
      <c r="AJ951" s="147"/>
      <c r="AK951" s="147"/>
      <c r="AL951" s="147"/>
      <c r="AM951" s="151"/>
      <c r="AN951" s="147"/>
      <c r="AO951" s="147"/>
      <c r="AP951" s="147"/>
      <c r="AQ951" s="147"/>
      <c r="AR951" s="147"/>
      <c r="AS951" s="147"/>
      <c r="AT951" s="147"/>
      <c r="AU951" s="147"/>
      <c r="AV951" s="147"/>
      <c r="AW951" s="147"/>
      <c r="AX951" s="147"/>
      <c r="AY951" s="147"/>
      <c r="AZ951" s="147"/>
      <c r="BA951" s="147"/>
      <c r="BB951" s="147"/>
      <c r="BC951" s="147"/>
      <c r="BD951" s="147"/>
      <c r="BE951" s="147"/>
      <c r="BF951" s="147"/>
      <c r="BG951" s="147"/>
      <c r="BH951" s="147"/>
      <c r="BI951" s="147"/>
      <c r="BJ951" s="147"/>
      <c r="BK951" s="147"/>
      <c r="BL951" s="147"/>
      <c r="BM951" s="147"/>
      <c r="BN951" s="147"/>
      <c r="BO951" s="147"/>
      <c r="BP951" s="147"/>
      <c r="BQ951" s="147"/>
      <c r="BR951" s="147"/>
      <c r="BS951" s="147"/>
      <c r="BT951" s="147"/>
      <c r="BU951" s="147"/>
      <c r="BV951" s="147"/>
      <c r="BW951" s="147"/>
      <c r="BX951" s="147"/>
      <c r="BY951" s="147"/>
      <c r="BZ951" s="147"/>
      <c r="CA951" s="147"/>
      <c r="CB951" s="147"/>
      <c r="CC951" s="147"/>
      <c r="CD951" s="147"/>
      <c r="CE951" s="147"/>
      <c r="CF951" s="147"/>
      <c r="CG951" s="147"/>
      <c r="CH951" s="147"/>
      <c r="CI951" s="147"/>
      <c r="CJ951" s="147"/>
      <c r="CK951" s="147"/>
    </row>
    <row r="952" spans="1:89">
      <c r="A952" s="157"/>
      <c r="F952" s="3"/>
      <c r="G952" s="3"/>
      <c r="L952" s="157"/>
      <c r="M952" s="157"/>
      <c r="O952" s="147"/>
      <c r="P952" s="147"/>
      <c r="Q952" s="147"/>
      <c r="R952" s="147"/>
      <c r="S952" s="147"/>
      <c r="T952" s="147"/>
      <c r="U952" s="147"/>
      <c r="V952" s="147"/>
      <c r="W952" s="147"/>
      <c r="X952" s="147"/>
      <c r="Y952" s="147"/>
      <c r="Z952" s="147"/>
      <c r="AA952" s="147"/>
      <c r="AB952" s="147"/>
      <c r="AC952" s="147"/>
      <c r="AD952" s="147"/>
      <c r="AE952" s="147"/>
      <c r="AF952" s="147"/>
      <c r="AG952" s="147"/>
      <c r="AH952" s="147"/>
      <c r="AI952" s="147"/>
      <c r="AJ952" s="147"/>
      <c r="AK952" s="147"/>
      <c r="AL952" s="147"/>
      <c r="AM952" s="151"/>
      <c r="AN952" s="147"/>
      <c r="AO952" s="147"/>
      <c r="AP952" s="147"/>
      <c r="AQ952" s="147"/>
      <c r="AR952" s="147"/>
      <c r="AS952" s="147"/>
      <c r="AT952" s="147"/>
      <c r="AU952" s="147"/>
      <c r="AV952" s="147"/>
      <c r="AW952" s="147"/>
      <c r="AX952" s="147"/>
      <c r="AY952" s="147"/>
      <c r="AZ952" s="147"/>
      <c r="BA952" s="147"/>
      <c r="BB952" s="147"/>
      <c r="BC952" s="147"/>
      <c r="BD952" s="147"/>
      <c r="BE952" s="147"/>
      <c r="BF952" s="147"/>
      <c r="BG952" s="147"/>
      <c r="BH952" s="147"/>
      <c r="BI952" s="147"/>
      <c r="BJ952" s="147"/>
      <c r="BK952" s="147"/>
      <c r="BL952" s="147"/>
      <c r="BM952" s="147"/>
      <c r="BN952" s="147"/>
      <c r="BO952" s="147"/>
      <c r="BP952" s="147"/>
      <c r="BQ952" s="147"/>
      <c r="BR952" s="147"/>
      <c r="BS952" s="147"/>
      <c r="BT952" s="147"/>
      <c r="BU952" s="147"/>
      <c r="BV952" s="147"/>
      <c r="BW952" s="147"/>
      <c r="BX952" s="147"/>
      <c r="BY952" s="147"/>
      <c r="BZ952" s="147"/>
      <c r="CA952" s="147"/>
      <c r="CB952" s="147"/>
      <c r="CC952" s="147"/>
      <c r="CD952" s="147"/>
      <c r="CE952" s="147"/>
      <c r="CF952" s="147"/>
      <c r="CG952" s="147"/>
      <c r="CH952" s="147"/>
      <c r="CI952" s="147"/>
      <c r="CJ952" s="147"/>
      <c r="CK952" s="147"/>
    </row>
    <row r="953" spans="1:89">
      <c r="A953" s="157"/>
      <c r="F953" s="3"/>
      <c r="G953" s="3"/>
      <c r="L953" s="157"/>
      <c r="M953" s="157"/>
      <c r="O953" s="147"/>
      <c r="P953" s="147"/>
      <c r="Q953" s="147"/>
      <c r="R953" s="147"/>
      <c r="S953" s="147"/>
      <c r="T953" s="147"/>
      <c r="U953" s="147"/>
      <c r="V953" s="147"/>
      <c r="W953" s="147"/>
      <c r="X953" s="147"/>
      <c r="Y953" s="147"/>
      <c r="Z953" s="147"/>
      <c r="AA953" s="147"/>
      <c r="AB953" s="147"/>
      <c r="AC953" s="147"/>
      <c r="AD953" s="147"/>
      <c r="AE953" s="147"/>
      <c r="AF953" s="147"/>
      <c r="AG953" s="147"/>
      <c r="AH953" s="147"/>
      <c r="AI953" s="147"/>
      <c r="AJ953" s="147"/>
      <c r="AK953" s="147"/>
      <c r="AL953" s="147"/>
      <c r="AM953" s="151"/>
      <c r="AN953" s="147"/>
      <c r="AO953" s="147"/>
      <c r="AP953" s="147"/>
      <c r="AQ953" s="147"/>
      <c r="AR953" s="147"/>
      <c r="AS953" s="147"/>
      <c r="AT953" s="147"/>
      <c r="AU953" s="147"/>
      <c r="AV953" s="147"/>
      <c r="AW953" s="147"/>
      <c r="AX953" s="147"/>
      <c r="AY953" s="147"/>
      <c r="AZ953" s="147"/>
      <c r="BA953" s="147"/>
      <c r="BB953" s="147"/>
      <c r="BC953" s="147"/>
      <c r="BD953" s="147"/>
      <c r="BE953" s="147"/>
      <c r="BF953" s="147"/>
      <c r="BG953" s="147"/>
      <c r="BH953" s="147"/>
      <c r="BI953" s="147"/>
      <c r="BJ953" s="147"/>
      <c r="BK953" s="147"/>
      <c r="BL953" s="147"/>
      <c r="BM953" s="147"/>
      <c r="BN953" s="147"/>
      <c r="BO953" s="147"/>
      <c r="BP953" s="147"/>
      <c r="BQ953" s="147"/>
      <c r="BR953" s="147"/>
      <c r="BS953" s="147"/>
      <c r="BT953" s="147"/>
      <c r="BU953" s="147"/>
      <c r="BV953" s="147"/>
      <c r="BW953" s="147"/>
      <c r="BX953" s="147"/>
      <c r="BY953" s="147"/>
      <c r="BZ953" s="147"/>
      <c r="CA953" s="147"/>
      <c r="CB953" s="147"/>
      <c r="CC953" s="147"/>
      <c r="CD953" s="147"/>
      <c r="CE953" s="147"/>
      <c r="CF953" s="147"/>
      <c r="CG953" s="147"/>
      <c r="CH953" s="147"/>
      <c r="CI953" s="147"/>
      <c r="CJ953" s="147"/>
      <c r="CK953" s="147"/>
    </row>
    <row r="954" spans="1:89">
      <c r="A954" s="157"/>
      <c r="F954" s="3"/>
      <c r="G954" s="3"/>
      <c r="L954" s="157"/>
      <c r="M954" s="157"/>
      <c r="O954" s="147"/>
      <c r="P954" s="147"/>
      <c r="Q954" s="147"/>
      <c r="R954" s="147"/>
      <c r="S954" s="147"/>
      <c r="T954" s="147"/>
      <c r="U954" s="147"/>
      <c r="V954" s="147"/>
      <c r="W954" s="147"/>
      <c r="X954" s="147"/>
      <c r="Y954" s="147"/>
      <c r="Z954" s="147"/>
      <c r="AA954" s="147"/>
      <c r="AB954" s="147"/>
      <c r="AC954" s="147"/>
      <c r="AD954" s="147"/>
      <c r="AE954" s="147"/>
      <c r="AF954" s="147"/>
      <c r="AG954" s="147"/>
      <c r="AH954" s="147"/>
      <c r="AI954" s="147"/>
      <c r="AJ954" s="147"/>
      <c r="AK954" s="147"/>
      <c r="AL954" s="147"/>
      <c r="AM954" s="151"/>
      <c r="AN954" s="147"/>
      <c r="AO954" s="147"/>
      <c r="AP954" s="147"/>
      <c r="AQ954" s="147"/>
      <c r="AR954" s="147"/>
      <c r="AS954" s="147"/>
      <c r="AT954" s="147"/>
      <c r="AU954" s="147"/>
      <c r="AV954" s="147"/>
      <c r="AW954" s="147"/>
      <c r="AX954" s="147"/>
      <c r="AY954" s="147"/>
      <c r="AZ954" s="147"/>
      <c r="BA954" s="147"/>
      <c r="BB954" s="147"/>
      <c r="BC954" s="147"/>
      <c r="BD954" s="147"/>
      <c r="BE954" s="147"/>
      <c r="BF954" s="147"/>
      <c r="BG954" s="147"/>
      <c r="BH954" s="147"/>
      <c r="BI954" s="147"/>
      <c r="BJ954" s="147"/>
      <c r="BK954" s="147"/>
      <c r="BL954" s="147"/>
      <c r="BM954" s="147"/>
      <c r="BN954" s="147"/>
      <c r="BO954" s="147"/>
      <c r="BP954" s="147"/>
      <c r="BQ954" s="147"/>
      <c r="BR954" s="147"/>
      <c r="BS954" s="147"/>
      <c r="BT954" s="147"/>
      <c r="BU954" s="147"/>
      <c r="BV954" s="147"/>
      <c r="BW954" s="147"/>
      <c r="BX954" s="147"/>
      <c r="BY954" s="147"/>
      <c r="BZ954" s="147"/>
      <c r="CA954" s="147"/>
      <c r="CB954" s="147"/>
      <c r="CC954" s="147"/>
      <c r="CD954" s="147"/>
      <c r="CE954" s="147"/>
      <c r="CF954" s="147"/>
      <c r="CG954" s="147"/>
      <c r="CH954" s="147"/>
      <c r="CI954" s="147"/>
      <c r="CJ954" s="147"/>
      <c r="CK954" s="147"/>
    </row>
    <row r="955" spans="1:89">
      <c r="A955" s="157"/>
      <c r="F955" s="3"/>
      <c r="G955" s="3"/>
      <c r="L955" s="157"/>
      <c r="M955" s="157"/>
      <c r="O955" s="147"/>
      <c r="P955" s="147"/>
      <c r="Q955" s="147"/>
      <c r="R955" s="147"/>
      <c r="S955" s="147"/>
      <c r="T955" s="147"/>
      <c r="U955" s="147"/>
      <c r="V955" s="147"/>
      <c r="W955" s="147"/>
      <c r="X955" s="147"/>
      <c r="Y955" s="147"/>
      <c r="Z955" s="147"/>
      <c r="AA955" s="147"/>
      <c r="AB955" s="147"/>
      <c r="AC955" s="147"/>
      <c r="AD955" s="147"/>
      <c r="AE955" s="147"/>
      <c r="AF955" s="147"/>
      <c r="AG955" s="147"/>
      <c r="AH955" s="147"/>
      <c r="AI955" s="147"/>
      <c r="AJ955" s="147"/>
      <c r="AK955" s="147"/>
      <c r="AL955" s="147"/>
      <c r="AM955" s="151"/>
      <c r="AN955" s="147"/>
      <c r="AO955" s="147"/>
      <c r="AP955" s="147"/>
      <c r="AQ955" s="147"/>
      <c r="AR955" s="147"/>
      <c r="AS955" s="147"/>
      <c r="AT955" s="147"/>
      <c r="AU955" s="147"/>
      <c r="AV955" s="147"/>
      <c r="AW955" s="147"/>
      <c r="AX955" s="147"/>
      <c r="AY955" s="147"/>
      <c r="AZ955" s="147"/>
      <c r="BA955" s="147"/>
      <c r="BB955" s="147"/>
      <c r="BC955" s="147"/>
      <c r="BD955" s="147"/>
      <c r="BE955" s="147"/>
      <c r="BF955" s="147"/>
      <c r="BG955" s="147"/>
      <c r="BH955" s="147"/>
      <c r="BI955" s="147"/>
      <c r="BJ955" s="147"/>
      <c r="BK955" s="147"/>
      <c r="BL955" s="147"/>
      <c r="BM955" s="147"/>
      <c r="BN955" s="147"/>
      <c r="BO955" s="147"/>
      <c r="BP955" s="147"/>
      <c r="BQ955" s="147"/>
      <c r="BR955" s="147"/>
      <c r="BS955" s="147"/>
      <c r="BT955" s="147"/>
      <c r="BU955" s="147"/>
      <c r="BV955" s="147"/>
      <c r="BW955" s="147"/>
      <c r="BX955" s="147"/>
      <c r="BY955" s="147"/>
      <c r="BZ955" s="147"/>
      <c r="CA955" s="147"/>
      <c r="CB955" s="147"/>
      <c r="CC955" s="147"/>
      <c r="CD955" s="147"/>
      <c r="CE955" s="147"/>
      <c r="CF955" s="147"/>
      <c r="CG955" s="147"/>
      <c r="CH955" s="147"/>
      <c r="CI955" s="147"/>
      <c r="CJ955" s="147"/>
      <c r="CK955" s="147"/>
    </row>
    <row r="956" spans="1:89">
      <c r="A956" s="157"/>
      <c r="F956" s="3"/>
      <c r="G956" s="3"/>
      <c r="L956" s="157"/>
      <c r="M956" s="157"/>
      <c r="O956" s="147"/>
      <c r="P956" s="147"/>
      <c r="Q956" s="147"/>
      <c r="R956" s="147"/>
      <c r="S956" s="147"/>
      <c r="T956" s="147"/>
      <c r="U956" s="147"/>
      <c r="V956" s="147"/>
      <c r="W956" s="147"/>
      <c r="X956" s="147"/>
      <c r="Y956" s="147"/>
      <c r="Z956" s="147"/>
      <c r="AA956" s="147"/>
      <c r="AB956" s="147"/>
      <c r="AC956" s="147"/>
      <c r="AD956" s="147"/>
      <c r="AE956" s="147"/>
      <c r="AF956" s="147"/>
      <c r="AG956" s="147"/>
      <c r="AH956" s="147"/>
      <c r="AI956" s="147"/>
      <c r="AJ956" s="147"/>
      <c r="AK956" s="147"/>
      <c r="AL956" s="147"/>
      <c r="AM956" s="151"/>
      <c r="AN956" s="147"/>
      <c r="AO956" s="147"/>
      <c r="AP956" s="147"/>
      <c r="AQ956" s="147"/>
      <c r="AR956" s="147"/>
      <c r="AS956" s="147"/>
      <c r="AT956" s="147"/>
      <c r="AU956" s="147"/>
      <c r="AV956" s="147"/>
      <c r="AW956" s="147"/>
      <c r="AX956" s="147"/>
      <c r="AY956" s="147"/>
      <c r="AZ956" s="147"/>
      <c r="BA956" s="147"/>
      <c r="BB956" s="147"/>
      <c r="BC956" s="147"/>
      <c r="BD956" s="147"/>
      <c r="BE956" s="147"/>
      <c r="BF956" s="147"/>
      <c r="BG956" s="147"/>
      <c r="BH956" s="147"/>
      <c r="BI956" s="147"/>
      <c r="BJ956" s="147"/>
      <c r="BK956" s="147"/>
      <c r="BL956" s="147"/>
      <c r="BM956" s="147"/>
      <c r="BN956" s="147"/>
      <c r="BO956" s="147"/>
      <c r="BP956" s="147"/>
      <c r="BQ956" s="147"/>
      <c r="BR956" s="147"/>
      <c r="BS956" s="147"/>
      <c r="BT956" s="147"/>
      <c r="BU956" s="147"/>
      <c r="BV956" s="147"/>
      <c r="BW956" s="147"/>
      <c r="BX956" s="147"/>
      <c r="BY956" s="147"/>
      <c r="BZ956" s="147"/>
      <c r="CA956" s="147"/>
      <c r="CB956" s="147"/>
      <c r="CC956" s="147"/>
      <c r="CD956" s="147"/>
      <c r="CE956" s="147"/>
      <c r="CF956" s="147"/>
      <c r="CG956" s="147"/>
      <c r="CH956" s="147"/>
      <c r="CI956" s="147"/>
      <c r="CJ956" s="147"/>
      <c r="CK956" s="147"/>
    </row>
    <row r="957" spans="1:89">
      <c r="A957" s="157"/>
      <c r="F957" s="3"/>
      <c r="G957" s="3"/>
      <c r="L957" s="157"/>
      <c r="M957" s="157"/>
      <c r="O957" s="147"/>
      <c r="P957" s="147"/>
      <c r="Q957" s="147"/>
      <c r="R957" s="147"/>
      <c r="S957" s="147"/>
      <c r="T957" s="147"/>
      <c r="U957" s="147"/>
      <c r="V957" s="147"/>
      <c r="W957" s="147"/>
      <c r="X957" s="147"/>
      <c r="Y957" s="147"/>
      <c r="Z957" s="147"/>
      <c r="AA957" s="147"/>
      <c r="AB957" s="147"/>
      <c r="AC957" s="147"/>
      <c r="AD957" s="147"/>
      <c r="AE957" s="147"/>
      <c r="AF957" s="147"/>
      <c r="AG957" s="147"/>
      <c r="AH957" s="147"/>
      <c r="AI957" s="147"/>
      <c r="AJ957" s="147"/>
      <c r="AK957" s="147"/>
      <c r="AL957" s="147"/>
      <c r="AM957" s="151"/>
      <c r="AN957" s="147"/>
      <c r="AO957" s="147"/>
      <c r="AP957" s="147"/>
      <c r="AQ957" s="147"/>
      <c r="AR957" s="147"/>
      <c r="AS957" s="147"/>
      <c r="AT957" s="147"/>
      <c r="AU957" s="147"/>
      <c r="AV957" s="147"/>
      <c r="AW957" s="147"/>
      <c r="AX957" s="147"/>
      <c r="AY957" s="147"/>
      <c r="AZ957" s="147"/>
      <c r="BA957" s="147"/>
      <c r="BB957" s="147"/>
      <c r="BC957" s="147"/>
      <c r="BD957" s="147"/>
      <c r="BE957" s="147"/>
      <c r="BF957" s="147"/>
      <c r="BG957" s="147"/>
      <c r="BH957" s="147"/>
      <c r="BI957" s="147"/>
      <c r="BJ957" s="147"/>
      <c r="BK957" s="147"/>
      <c r="BL957" s="147"/>
      <c r="BM957" s="147"/>
      <c r="BN957" s="147"/>
      <c r="BO957" s="147"/>
      <c r="BP957" s="147"/>
      <c r="BQ957" s="147"/>
      <c r="BR957" s="147"/>
      <c r="BS957" s="147"/>
      <c r="BT957" s="147"/>
      <c r="BU957" s="147"/>
      <c r="BV957" s="147"/>
      <c r="BW957" s="147"/>
      <c r="BX957" s="147"/>
      <c r="BY957" s="147"/>
      <c r="BZ957" s="147"/>
      <c r="CA957" s="147"/>
      <c r="CB957" s="147"/>
      <c r="CC957" s="147"/>
      <c r="CD957" s="147"/>
      <c r="CE957" s="147"/>
      <c r="CF957" s="147"/>
      <c r="CG957" s="147"/>
      <c r="CH957" s="147"/>
      <c r="CI957" s="147"/>
      <c r="CJ957" s="147"/>
      <c r="CK957" s="147"/>
    </row>
    <row r="958" spans="1:89">
      <c r="A958" s="157"/>
      <c r="F958" s="3"/>
      <c r="G958" s="3"/>
      <c r="L958" s="157"/>
      <c r="M958" s="157"/>
      <c r="O958" s="147"/>
      <c r="P958" s="147"/>
      <c r="Q958" s="147"/>
      <c r="R958" s="147"/>
      <c r="S958" s="147"/>
      <c r="T958" s="147"/>
      <c r="U958" s="147"/>
      <c r="V958" s="147"/>
      <c r="W958" s="147"/>
      <c r="X958" s="147"/>
      <c r="Y958" s="147"/>
      <c r="Z958" s="147"/>
      <c r="AA958" s="147"/>
      <c r="AB958" s="147"/>
      <c r="AC958" s="147"/>
      <c r="AD958" s="147"/>
      <c r="AE958" s="147"/>
      <c r="AF958" s="147"/>
      <c r="AG958" s="147"/>
      <c r="AH958" s="147"/>
      <c r="AI958" s="147"/>
      <c r="AJ958" s="147"/>
      <c r="AK958" s="147"/>
      <c r="AL958" s="147"/>
      <c r="AM958" s="151"/>
      <c r="AN958" s="147"/>
      <c r="AO958" s="147"/>
      <c r="AP958" s="147"/>
      <c r="AQ958" s="147"/>
      <c r="AR958" s="147"/>
      <c r="AS958" s="147"/>
      <c r="AT958" s="147"/>
      <c r="AU958" s="147"/>
      <c r="AV958" s="147"/>
      <c r="AW958" s="147"/>
      <c r="AX958" s="147"/>
      <c r="AY958" s="147"/>
      <c r="AZ958" s="147"/>
      <c r="BA958" s="147"/>
      <c r="BB958" s="147"/>
      <c r="BC958" s="147"/>
      <c r="BD958" s="147"/>
      <c r="BE958" s="147"/>
      <c r="BF958" s="147"/>
      <c r="BG958" s="147"/>
      <c r="BH958" s="147"/>
      <c r="BI958" s="147"/>
      <c r="BJ958" s="147"/>
      <c r="BK958" s="147"/>
      <c r="BL958" s="147"/>
      <c r="BM958" s="147"/>
      <c r="BN958" s="147"/>
      <c r="BO958" s="147"/>
      <c r="BP958" s="147"/>
      <c r="BQ958" s="147"/>
      <c r="BR958" s="147"/>
      <c r="BS958" s="147"/>
      <c r="BT958" s="147"/>
      <c r="BU958" s="147"/>
      <c r="BV958" s="147"/>
      <c r="BW958" s="147"/>
      <c r="BX958" s="147"/>
      <c r="BY958" s="147"/>
      <c r="BZ958" s="147"/>
      <c r="CA958" s="147"/>
      <c r="CB958" s="147"/>
      <c r="CC958" s="147"/>
      <c r="CD958" s="147"/>
      <c r="CE958" s="147"/>
      <c r="CF958" s="147"/>
      <c r="CG958" s="147"/>
      <c r="CH958" s="147"/>
      <c r="CI958" s="147"/>
      <c r="CJ958" s="147"/>
      <c r="CK958" s="147"/>
    </row>
    <row r="959" spans="1:89">
      <c r="A959" s="157"/>
      <c r="F959" s="3"/>
      <c r="G959" s="3"/>
      <c r="L959" s="157"/>
      <c r="M959" s="157"/>
      <c r="O959" s="147"/>
      <c r="P959" s="147"/>
      <c r="Q959" s="147"/>
      <c r="R959" s="147"/>
      <c r="S959" s="147"/>
      <c r="T959" s="147"/>
      <c r="U959" s="147"/>
      <c r="V959" s="147"/>
      <c r="W959" s="147"/>
      <c r="X959" s="147"/>
      <c r="Y959" s="147"/>
      <c r="Z959" s="147"/>
      <c r="AA959" s="147"/>
      <c r="AB959" s="147"/>
      <c r="AC959" s="147"/>
      <c r="AD959" s="147"/>
      <c r="AE959" s="147"/>
      <c r="AF959" s="147"/>
      <c r="AG959" s="147"/>
      <c r="AH959" s="147"/>
      <c r="AI959" s="147"/>
      <c r="AJ959" s="147"/>
      <c r="AK959" s="147"/>
      <c r="AL959" s="147"/>
      <c r="AM959" s="151"/>
      <c r="AN959" s="147"/>
      <c r="AO959" s="147"/>
      <c r="AP959" s="147"/>
      <c r="AQ959" s="147"/>
      <c r="AR959" s="147"/>
      <c r="AS959" s="147"/>
      <c r="AT959" s="147"/>
      <c r="AU959" s="147"/>
      <c r="AV959" s="147"/>
      <c r="AW959" s="147"/>
      <c r="AX959" s="147"/>
      <c r="AY959" s="147"/>
      <c r="AZ959" s="147"/>
      <c r="BA959" s="147"/>
      <c r="BB959" s="147"/>
      <c r="BC959" s="147"/>
      <c r="BD959" s="147"/>
      <c r="BE959" s="147"/>
      <c r="BF959" s="147"/>
      <c r="BG959" s="147"/>
      <c r="BH959" s="147"/>
      <c r="BI959" s="147"/>
      <c r="BJ959" s="147"/>
      <c r="BK959" s="147"/>
      <c r="BL959" s="147"/>
      <c r="BM959" s="147"/>
      <c r="BN959" s="147"/>
      <c r="BO959" s="147"/>
      <c r="BP959" s="147"/>
      <c r="BQ959" s="147"/>
      <c r="BR959" s="147"/>
      <c r="BS959" s="147"/>
      <c r="BT959" s="147"/>
      <c r="BU959" s="147"/>
      <c r="BV959" s="147"/>
      <c r="BW959" s="147"/>
      <c r="BX959" s="147"/>
      <c r="BY959" s="147"/>
      <c r="BZ959" s="147"/>
      <c r="CA959" s="147"/>
      <c r="CB959" s="147"/>
      <c r="CC959" s="147"/>
      <c r="CD959" s="147"/>
      <c r="CE959" s="147"/>
      <c r="CF959" s="147"/>
      <c r="CG959" s="147"/>
      <c r="CH959" s="147"/>
      <c r="CI959" s="147"/>
      <c r="CJ959" s="147"/>
      <c r="CK959" s="147"/>
    </row>
    <row r="960" spans="1:89">
      <c r="A960" s="157"/>
      <c r="F960" s="3"/>
      <c r="G960" s="3"/>
      <c r="L960" s="157"/>
      <c r="M960" s="157"/>
      <c r="O960" s="147"/>
      <c r="P960" s="147"/>
      <c r="Q960" s="147"/>
      <c r="R960" s="147"/>
      <c r="S960" s="147"/>
      <c r="T960" s="147"/>
      <c r="U960" s="147"/>
      <c r="V960" s="147"/>
      <c r="W960" s="147"/>
      <c r="X960" s="147"/>
      <c r="Y960" s="147"/>
      <c r="Z960" s="147"/>
      <c r="AA960" s="147"/>
      <c r="AB960" s="147"/>
      <c r="AC960" s="147"/>
      <c r="AD960" s="147"/>
      <c r="AE960" s="147"/>
      <c r="AF960" s="147"/>
      <c r="AG960" s="147"/>
      <c r="AH960" s="147"/>
      <c r="AI960" s="147"/>
      <c r="AJ960" s="147"/>
      <c r="AK960" s="147"/>
      <c r="AL960" s="147"/>
      <c r="AM960" s="151"/>
      <c r="AN960" s="147"/>
      <c r="AO960" s="147"/>
      <c r="AP960" s="147"/>
      <c r="AQ960" s="147"/>
      <c r="AR960" s="147"/>
      <c r="AS960" s="147"/>
      <c r="AT960" s="147"/>
      <c r="AU960" s="147"/>
      <c r="AV960" s="147"/>
      <c r="AW960" s="147"/>
      <c r="AX960" s="147"/>
      <c r="AY960" s="147"/>
      <c r="AZ960" s="147"/>
      <c r="BA960" s="147"/>
      <c r="BB960" s="147"/>
      <c r="BC960" s="147"/>
      <c r="BD960" s="147"/>
      <c r="BE960" s="147"/>
      <c r="BF960" s="147"/>
      <c r="BG960" s="147"/>
      <c r="BH960" s="147"/>
      <c r="BI960" s="147"/>
      <c r="BJ960" s="147"/>
      <c r="BK960" s="147"/>
      <c r="BL960" s="147"/>
      <c r="BM960" s="147"/>
      <c r="BN960" s="147"/>
      <c r="BO960" s="147"/>
      <c r="BP960" s="147"/>
      <c r="BQ960" s="147"/>
      <c r="BR960" s="147"/>
      <c r="BS960" s="147"/>
      <c r="BT960" s="147"/>
      <c r="BU960" s="147"/>
      <c r="BV960" s="147"/>
      <c r="BW960" s="147"/>
      <c r="BX960" s="147"/>
      <c r="BY960" s="147"/>
      <c r="BZ960" s="147"/>
      <c r="CA960" s="147"/>
      <c r="CB960" s="147"/>
      <c r="CC960" s="147"/>
      <c r="CD960" s="147"/>
      <c r="CE960" s="147"/>
      <c r="CF960" s="147"/>
      <c r="CG960" s="147"/>
      <c r="CH960" s="147"/>
      <c r="CI960" s="147"/>
      <c r="CJ960" s="147"/>
      <c r="CK960" s="147"/>
    </row>
    <row r="961" spans="1:89">
      <c r="A961" s="157"/>
      <c r="F961" s="3"/>
      <c r="G961" s="3"/>
      <c r="L961" s="157"/>
      <c r="M961" s="157"/>
      <c r="O961" s="147"/>
      <c r="P961" s="147"/>
      <c r="Q961" s="147"/>
      <c r="R961" s="147"/>
      <c r="S961" s="147"/>
      <c r="T961" s="147"/>
      <c r="U961" s="147"/>
      <c r="V961" s="147"/>
      <c r="W961" s="147"/>
      <c r="X961" s="147"/>
      <c r="Y961" s="147"/>
      <c r="Z961" s="147"/>
      <c r="AA961" s="147"/>
      <c r="AB961" s="147"/>
      <c r="AC961" s="147"/>
      <c r="AD961" s="147"/>
      <c r="AE961" s="147"/>
      <c r="AF961" s="147"/>
      <c r="AG961" s="147"/>
      <c r="AH961" s="147"/>
      <c r="AI961" s="147"/>
      <c r="AJ961" s="147"/>
      <c r="AK961" s="147"/>
      <c r="AL961" s="147"/>
      <c r="AM961" s="151"/>
      <c r="AN961" s="147"/>
      <c r="AO961" s="147"/>
      <c r="AP961" s="147"/>
      <c r="AQ961" s="147"/>
      <c r="AR961" s="147"/>
      <c r="AS961" s="147"/>
      <c r="AT961" s="147"/>
      <c r="AU961" s="147"/>
      <c r="AV961" s="147"/>
      <c r="AW961" s="147"/>
      <c r="AX961" s="147"/>
      <c r="AY961" s="147"/>
      <c r="AZ961" s="147"/>
      <c r="BA961" s="147"/>
      <c r="BB961" s="147"/>
      <c r="BC961" s="147"/>
      <c r="BD961" s="147"/>
      <c r="BE961" s="147"/>
      <c r="BF961" s="147"/>
      <c r="BG961" s="147"/>
      <c r="BH961" s="147"/>
      <c r="BI961" s="147"/>
      <c r="BJ961" s="147"/>
      <c r="BK961" s="147"/>
      <c r="BL961" s="147"/>
      <c r="BM961" s="147"/>
      <c r="BN961" s="147"/>
      <c r="BO961" s="147"/>
      <c r="BP961" s="147"/>
      <c r="BQ961" s="147"/>
      <c r="BR961" s="147"/>
      <c r="BS961" s="147"/>
      <c r="BT961" s="147"/>
      <c r="BU961" s="147"/>
      <c r="BV961" s="147"/>
      <c r="BW961" s="147"/>
      <c r="BX961" s="147"/>
      <c r="BY961" s="147"/>
      <c r="BZ961" s="147"/>
      <c r="CA961" s="147"/>
      <c r="CB961" s="147"/>
      <c r="CC961" s="147"/>
      <c r="CD961" s="147"/>
      <c r="CE961" s="147"/>
      <c r="CF961" s="147"/>
      <c r="CG961" s="147"/>
      <c r="CH961" s="147"/>
      <c r="CI961" s="147"/>
      <c r="CJ961" s="147"/>
      <c r="CK961" s="147"/>
    </row>
    <row r="962" spans="1:89">
      <c r="A962" s="157"/>
      <c r="F962" s="3"/>
      <c r="G962" s="3"/>
      <c r="L962" s="157"/>
      <c r="M962" s="157"/>
      <c r="O962" s="147"/>
      <c r="P962" s="147"/>
      <c r="Q962" s="147"/>
      <c r="R962" s="147"/>
      <c r="S962" s="147"/>
      <c r="T962" s="147"/>
      <c r="U962" s="147"/>
      <c r="V962" s="147"/>
      <c r="W962" s="147"/>
      <c r="X962" s="147"/>
      <c r="Y962" s="147"/>
      <c r="Z962" s="147"/>
      <c r="AA962" s="147"/>
      <c r="AB962" s="147"/>
      <c r="AC962" s="147"/>
      <c r="AD962" s="147"/>
      <c r="AE962" s="147"/>
      <c r="AF962" s="147"/>
      <c r="AG962" s="147"/>
      <c r="AH962" s="147"/>
      <c r="AI962" s="147"/>
      <c r="AJ962" s="147"/>
      <c r="AK962" s="147"/>
      <c r="AL962" s="147"/>
      <c r="AM962" s="151"/>
      <c r="AN962" s="147"/>
      <c r="AO962" s="147"/>
      <c r="AP962" s="147"/>
      <c r="AQ962" s="147"/>
      <c r="AR962" s="147"/>
      <c r="AS962" s="147"/>
      <c r="AT962" s="147"/>
      <c r="AU962" s="147"/>
      <c r="AV962" s="147"/>
      <c r="AW962" s="147"/>
      <c r="AX962" s="147"/>
      <c r="AY962" s="147"/>
      <c r="AZ962" s="147"/>
      <c r="BA962" s="147"/>
      <c r="BB962" s="147"/>
      <c r="BC962" s="147"/>
      <c r="BD962" s="147"/>
      <c r="BE962" s="147"/>
      <c r="BF962" s="147"/>
      <c r="BG962" s="147"/>
      <c r="BH962" s="147"/>
      <c r="BI962" s="147"/>
      <c r="BJ962" s="147"/>
      <c r="BK962" s="147"/>
      <c r="BL962" s="147"/>
      <c r="BM962" s="147"/>
      <c r="BN962" s="147"/>
      <c r="BO962" s="147"/>
      <c r="BP962" s="147"/>
      <c r="BQ962" s="147"/>
      <c r="BR962" s="147"/>
      <c r="BS962" s="147"/>
      <c r="BT962" s="147"/>
      <c r="BU962" s="147"/>
      <c r="BV962" s="147"/>
      <c r="BW962" s="147"/>
      <c r="BX962" s="147"/>
      <c r="BY962" s="147"/>
      <c r="BZ962" s="147"/>
      <c r="CA962" s="147"/>
      <c r="CB962" s="147"/>
      <c r="CC962" s="147"/>
      <c r="CD962" s="147"/>
      <c r="CE962" s="147"/>
      <c r="CF962" s="147"/>
      <c r="CG962" s="147"/>
      <c r="CH962" s="147"/>
      <c r="CI962" s="147"/>
      <c r="CJ962" s="147"/>
      <c r="CK962" s="147"/>
    </row>
    <row r="963" spans="1:89">
      <c r="A963" s="157"/>
      <c r="F963" s="3"/>
      <c r="G963" s="3"/>
      <c r="L963" s="157"/>
      <c r="M963" s="157"/>
      <c r="O963" s="147"/>
      <c r="P963" s="147"/>
      <c r="Q963" s="147"/>
      <c r="R963" s="147"/>
      <c r="S963" s="147"/>
      <c r="T963" s="147"/>
      <c r="U963" s="147"/>
      <c r="V963" s="147"/>
      <c r="W963" s="147"/>
      <c r="X963" s="147"/>
      <c r="Y963" s="147"/>
      <c r="Z963" s="147"/>
      <c r="AA963" s="147"/>
      <c r="AB963" s="147"/>
      <c r="AC963" s="147"/>
      <c r="AD963" s="147"/>
      <c r="AE963" s="147"/>
      <c r="AF963" s="147"/>
      <c r="AG963" s="147"/>
      <c r="AH963" s="147"/>
      <c r="AI963" s="147"/>
      <c r="AJ963" s="147"/>
      <c r="AK963" s="147"/>
      <c r="AL963" s="147"/>
      <c r="AM963" s="151"/>
      <c r="AN963" s="147"/>
      <c r="AO963" s="147"/>
      <c r="AP963" s="147"/>
      <c r="AQ963" s="147"/>
      <c r="AR963" s="147"/>
      <c r="AS963" s="147"/>
      <c r="AT963" s="147"/>
      <c r="AU963" s="147"/>
      <c r="AV963" s="147"/>
      <c r="AW963" s="147"/>
      <c r="AX963" s="147"/>
      <c r="AY963" s="147"/>
      <c r="AZ963" s="147"/>
      <c r="BA963" s="147"/>
      <c r="BB963" s="147"/>
      <c r="BC963" s="147"/>
      <c r="BD963" s="147"/>
      <c r="BE963" s="147"/>
      <c r="BF963" s="147"/>
      <c r="BG963" s="147"/>
      <c r="BH963" s="147"/>
      <c r="BI963" s="147"/>
      <c r="BJ963" s="147"/>
      <c r="BK963" s="147"/>
      <c r="BL963" s="147"/>
      <c r="BM963" s="147"/>
      <c r="BN963" s="147"/>
      <c r="BO963" s="147"/>
      <c r="BP963" s="147"/>
      <c r="BQ963" s="147"/>
      <c r="BR963" s="147"/>
      <c r="BS963" s="147"/>
      <c r="BT963" s="147"/>
      <c r="BU963" s="147"/>
      <c r="BV963" s="147"/>
      <c r="BW963" s="147"/>
      <c r="BX963" s="147"/>
      <c r="BY963" s="147"/>
      <c r="BZ963" s="147"/>
      <c r="CA963" s="147"/>
      <c r="CB963" s="147"/>
      <c r="CC963" s="147"/>
      <c r="CD963" s="147"/>
      <c r="CE963" s="147"/>
      <c r="CF963" s="147"/>
      <c r="CG963" s="147"/>
      <c r="CH963" s="147"/>
      <c r="CI963" s="147"/>
      <c r="CJ963" s="147"/>
      <c r="CK963" s="147"/>
    </row>
    <row r="964" spans="1:89">
      <c r="A964" s="157"/>
      <c r="F964" s="3"/>
      <c r="G964" s="3"/>
      <c r="L964" s="157"/>
      <c r="M964" s="157"/>
      <c r="O964" s="147"/>
      <c r="P964" s="147"/>
      <c r="Q964" s="147"/>
      <c r="R964" s="147"/>
      <c r="S964" s="147"/>
      <c r="T964" s="147"/>
      <c r="U964" s="147"/>
      <c r="V964" s="147"/>
      <c r="W964" s="147"/>
      <c r="X964" s="147"/>
      <c r="Y964" s="147"/>
      <c r="Z964" s="147"/>
      <c r="AA964" s="147"/>
      <c r="AB964" s="147"/>
      <c r="AC964" s="147"/>
      <c r="AD964" s="147"/>
      <c r="AE964" s="147"/>
      <c r="AF964" s="147"/>
      <c r="AG964" s="147"/>
      <c r="AH964" s="147"/>
      <c r="AI964" s="147"/>
      <c r="AJ964" s="147"/>
      <c r="AK964" s="147"/>
      <c r="AL964" s="147"/>
      <c r="AM964" s="151"/>
      <c r="AN964" s="147"/>
      <c r="AO964" s="147"/>
      <c r="AP964" s="147"/>
      <c r="AQ964" s="147"/>
      <c r="AR964" s="147"/>
      <c r="AS964" s="147"/>
      <c r="AT964" s="147"/>
      <c r="AU964" s="147"/>
      <c r="AV964" s="147"/>
      <c r="AW964" s="147"/>
      <c r="AX964" s="147"/>
      <c r="AY964" s="147"/>
      <c r="AZ964" s="147"/>
      <c r="BA964" s="147"/>
      <c r="BB964" s="147"/>
      <c r="BC964" s="147"/>
      <c r="BD964" s="147"/>
      <c r="BE964" s="147"/>
      <c r="BF964" s="147"/>
      <c r="BG964" s="147"/>
      <c r="BH964" s="147"/>
      <c r="BI964" s="147"/>
      <c r="BJ964" s="147"/>
      <c r="BK964" s="147"/>
      <c r="BL964" s="147"/>
      <c r="BM964" s="147"/>
      <c r="BN964" s="147"/>
      <c r="BO964" s="147"/>
      <c r="BP964" s="147"/>
      <c r="BQ964" s="147"/>
      <c r="BR964" s="147"/>
      <c r="BS964" s="147"/>
      <c r="BT964" s="147"/>
      <c r="BU964" s="147"/>
      <c r="BV964" s="147"/>
      <c r="BW964" s="147"/>
      <c r="BX964" s="147"/>
      <c r="BY964" s="147"/>
      <c r="BZ964" s="147"/>
      <c r="CA964" s="147"/>
      <c r="CB964" s="147"/>
      <c r="CC964" s="147"/>
      <c r="CD964" s="147"/>
      <c r="CE964" s="147"/>
      <c r="CF964" s="147"/>
      <c r="CG964" s="147"/>
      <c r="CH964" s="147"/>
      <c r="CI964" s="147"/>
      <c r="CJ964" s="147"/>
      <c r="CK964" s="147"/>
    </row>
    <row r="965" spans="1:89">
      <c r="A965" s="157"/>
      <c r="F965" s="3"/>
      <c r="G965" s="3"/>
      <c r="L965" s="157"/>
      <c r="M965" s="157"/>
      <c r="O965" s="147"/>
      <c r="P965" s="147"/>
      <c r="Q965" s="147"/>
      <c r="R965" s="147"/>
      <c r="S965" s="147"/>
      <c r="T965" s="147"/>
      <c r="U965" s="147"/>
      <c r="V965" s="147"/>
      <c r="W965" s="147"/>
      <c r="X965" s="147"/>
      <c r="Y965" s="147"/>
      <c r="Z965" s="147"/>
      <c r="AA965" s="147"/>
      <c r="AB965" s="147"/>
      <c r="AC965" s="147"/>
      <c r="AD965" s="147"/>
      <c r="AE965" s="147"/>
      <c r="AF965" s="147"/>
      <c r="AG965" s="147"/>
      <c r="AH965" s="147"/>
      <c r="AI965" s="147"/>
      <c r="AJ965" s="147"/>
      <c r="AK965" s="147"/>
      <c r="AL965" s="147"/>
      <c r="AM965" s="151"/>
      <c r="AN965" s="147"/>
      <c r="AO965" s="147"/>
      <c r="AP965" s="147"/>
      <c r="AQ965" s="147"/>
      <c r="AR965" s="147"/>
      <c r="AS965" s="147"/>
      <c r="AT965" s="147"/>
      <c r="AU965" s="147"/>
      <c r="AV965" s="147"/>
      <c r="AW965" s="147"/>
      <c r="AX965" s="147"/>
      <c r="AY965" s="147"/>
      <c r="AZ965" s="147"/>
      <c r="BA965" s="147"/>
      <c r="BB965" s="147"/>
      <c r="BC965" s="147"/>
      <c r="BD965" s="147"/>
      <c r="BE965" s="147"/>
      <c r="BF965" s="147"/>
      <c r="BG965" s="147"/>
      <c r="BH965" s="147"/>
      <c r="BI965" s="147"/>
      <c r="BJ965" s="147"/>
      <c r="BK965" s="147"/>
      <c r="BL965" s="147"/>
      <c r="BM965" s="147"/>
      <c r="BN965" s="147"/>
      <c r="BO965" s="147"/>
      <c r="BP965" s="147"/>
      <c r="BQ965" s="147"/>
      <c r="BR965" s="147"/>
      <c r="BS965" s="147"/>
      <c r="BT965" s="147"/>
      <c r="BU965" s="147"/>
      <c r="BV965" s="147"/>
      <c r="BW965" s="147"/>
      <c r="BX965" s="147"/>
      <c r="BY965" s="147"/>
      <c r="BZ965" s="147"/>
      <c r="CA965" s="147"/>
      <c r="CB965" s="147"/>
      <c r="CC965" s="147"/>
      <c r="CD965" s="147"/>
      <c r="CE965" s="147"/>
      <c r="CF965" s="147"/>
      <c r="CG965" s="147"/>
      <c r="CH965" s="147"/>
      <c r="CI965" s="147"/>
      <c r="CJ965" s="147"/>
      <c r="CK965" s="147"/>
    </row>
    <row r="966" spans="1:89">
      <c r="A966" s="157"/>
      <c r="F966" s="3"/>
      <c r="G966" s="3"/>
      <c r="L966" s="157"/>
      <c r="M966" s="157"/>
      <c r="O966" s="147"/>
      <c r="P966" s="147"/>
      <c r="Q966" s="147"/>
      <c r="R966" s="147"/>
      <c r="S966" s="147"/>
      <c r="T966" s="147"/>
      <c r="U966" s="147"/>
      <c r="V966" s="147"/>
      <c r="W966" s="147"/>
      <c r="X966" s="147"/>
      <c r="Y966" s="147"/>
      <c r="Z966" s="147"/>
      <c r="AA966" s="147"/>
      <c r="AB966" s="147"/>
      <c r="AC966" s="147"/>
      <c r="AD966" s="147"/>
      <c r="AE966" s="147"/>
      <c r="AF966" s="147"/>
      <c r="AG966" s="147"/>
      <c r="AH966" s="147"/>
      <c r="AI966" s="147"/>
      <c r="AJ966" s="147"/>
      <c r="AK966" s="147"/>
      <c r="AL966" s="147"/>
      <c r="AM966" s="151"/>
      <c r="AN966" s="147"/>
      <c r="AO966" s="147"/>
      <c r="AP966" s="147"/>
      <c r="AQ966" s="147"/>
      <c r="AR966" s="147"/>
      <c r="AS966" s="147"/>
      <c r="AT966" s="147"/>
      <c r="AU966" s="147"/>
      <c r="AV966" s="147"/>
      <c r="AW966" s="147"/>
      <c r="AX966" s="147"/>
      <c r="AY966" s="147"/>
      <c r="AZ966" s="147"/>
      <c r="BA966" s="147"/>
      <c r="BB966" s="147"/>
      <c r="BC966" s="147"/>
      <c r="BD966" s="147"/>
      <c r="BE966" s="147"/>
      <c r="BF966" s="147"/>
      <c r="BG966" s="147"/>
      <c r="BH966" s="147"/>
      <c r="BI966" s="147"/>
      <c r="BJ966" s="147"/>
      <c r="BK966" s="147"/>
      <c r="BL966" s="147"/>
      <c r="BM966" s="147"/>
      <c r="BN966" s="147"/>
      <c r="BO966" s="147"/>
      <c r="BP966" s="147"/>
      <c r="BQ966" s="147"/>
      <c r="BR966" s="147"/>
      <c r="BS966" s="147"/>
      <c r="BT966" s="147"/>
      <c r="BU966" s="147"/>
      <c r="BV966" s="147"/>
      <c r="BW966" s="147"/>
      <c r="BX966" s="147"/>
      <c r="BY966" s="147"/>
      <c r="BZ966" s="147"/>
      <c r="CA966" s="147"/>
      <c r="CB966" s="147"/>
      <c r="CC966" s="147"/>
      <c r="CD966" s="147"/>
      <c r="CE966" s="147"/>
      <c r="CF966" s="147"/>
      <c r="CG966" s="147"/>
      <c r="CH966" s="147"/>
      <c r="CI966" s="147"/>
      <c r="CJ966" s="147"/>
      <c r="CK966" s="147"/>
    </row>
    <row r="967" spans="1:89">
      <c r="A967" s="157"/>
      <c r="F967" s="3"/>
      <c r="G967" s="3"/>
      <c r="L967" s="157"/>
      <c r="M967" s="157"/>
      <c r="O967" s="147"/>
      <c r="P967" s="147"/>
      <c r="Q967" s="147"/>
      <c r="R967" s="147"/>
      <c r="S967" s="147"/>
      <c r="T967" s="147"/>
      <c r="U967" s="147"/>
      <c r="V967" s="147"/>
      <c r="W967" s="147"/>
      <c r="X967" s="147"/>
      <c r="Y967" s="147"/>
      <c r="Z967" s="147"/>
      <c r="AA967" s="147"/>
      <c r="AB967" s="147"/>
      <c r="AC967" s="147"/>
      <c r="AD967" s="147"/>
      <c r="AE967" s="147"/>
      <c r="AF967" s="147"/>
      <c r="AG967" s="147"/>
      <c r="AH967" s="147"/>
      <c r="AI967" s="147"/>
      <c r="AJ967" s="147"/>
      <c r="AK967" s="147"/>
      <c r="AL967" s="147"/>
      <c r="AM967" s="151"/>
      <c r="AN967" s="147"/>
      <c r="AO967" s="147"/>
      <c r="AP967" s="147"/>
      <c r="AQ967" s="147"/>
      <c r="AR967" s="147"/>
      <c r="AS967" s="147"/>
      <c r="AT967" s="147"/>
      <c r="AU967" s="147"/>
      <c r="AV967" s="147"/>
      <c r="AW967" s="147"/>
      <c r="AX967" s="147"/>
      <c r="AY967" s="147"/>
      <c r="AZ967" s="147"/>
      <c r="BA967" s="147"/>
      <c r="BB967" s="147"/>
      <c r="BC967" s="147"/>
      <c r="BD967" s="147"/>
      <c r="BE967" s="147"/>
      <c r="BF967" s="147"/>
      <c r="BG967" s="147"/>
      <c r="BH967" s="147"/>
      <c r="BI967" s="147"/>
      <c r="BJ967" s="147"/>
      <c r="BK967" s="147"/>
      <c r="BL967" s="147"/>
      <c r="BM967" s="147"/>
      <c r="BN967" s="147"/>
      <c r="BO967" s="147"/>
      <c r="BP967" s="147"/>
      <c r="BQ967" s="147"/>
      <c r="BR967" s="147"/>
      <c r="BS967" s="147"/>
      <c r="BT967" s="147"/>
      <c r="BU967" s="147"/>
      <c r="BV967" s="147"/>
      <c r="BW967" s="147"/>
      <c r="BX967" s="147"/>
      <c r="BY967" s="147"/>
      <c r="BZ967" s="147"/>
      <c r="CA967" s="147"/>
      <c r="CB967" s="147"/>
      <c r="CC967" s="147"/>
      <c r="CD967" s="147"/>
      <c r="CE967" s="147"/>
      <c r="CF967" s="147"/>
      <c r="CG967" s="147"/>
      <c r="CH967" s="147"/>
      <c r="CI967" s="147"/>
      <c r="CJ967" s="147"/>
      <c r="CK967" s="147"/>
    </row>
    <row r="968" spans="1:89">
      <c r="A968" s="157"/>
      <c r="F968" s="3"/>
      <c r="G968" s="3"/>
      <c r="L968" s="157"/>
      <c r="M968" s="157"/>
      <c r="O968" s="147"/>
      <c r="P968" s="147"/>
      <c r="Q968" s="147"/>
      <c r="R968" s="147"/>
      <c r="S968" s="147"/>
      <c r="T968" s="147"/>
      <c r="U968" s="147"/>
      <c r="V968" s="147"/>
      <c r="W968" s="147"/>
      <c r="X968" s="147"/>
      <c r="Y968" s="147"/>
      <c r="Z968" s="147"/>
      <c r="AA968" s="147"/>
      <c r="AB968" s="147"/>
      <c r="AC968" s="147"/>
      <c r="AD968" s="147"/>
      <c r="AE968" s="147"/>
      <c r="AF968" s="147"/>
      <c r="AG968" s="147"/>
      <c r="AH968" s="147"/>
      <c r="AI968" s="147"/>
      <c r="AJ968" s="147"/>
      <c r="AK968" s="147"/>
      <c r="AL968" s="147"/>
      <c r="AM968" s="151"/>
      <c r="AN968" s="147"/>
      <c r="AO968" s="147"/>
      <c r="AP968" s="147"/>
      <c r="AQ968" s="147"/>
      <c r="AR968" s="147"/>
      <c r="AS968" s="147"/>
      <c r="AT968" s="147"/>
      <c r="AU968" s="147"/>
      <c r="AV968" s="147"/>
      <c r="AW968" s="147"/>
      <c r="AX968" s="147"/>
      <c r="AY968" s="147"/>
      <c r="AZ968" s="147"/>
      <c r="BA968" s="147"/>
      <c r="BB968" s="147"/>
      <c r="BC968" s="147"/>
      <c r="BD968" s="147"/>
      <c r="BE968" s="147"/>
      <c r="BF968" s="147"/>
      <c r="BG968" s="147"/>
      <c r="BH968" s="147"/>
      <c r="BI968" s="147"/>
      <c r="BJ968" s="147"/>
      <c r="BK968" s="147"/>
      <c r="BL968" s="147"/>
      <c r="BM968" s="147"/>
      <c r="BN968" s="147"/>
      <c r="BO968" s="147"/>
      <c r="BP968" s="147"/>
      <c r="BQ968" s="147"/>
      <c r="BR968" s="147"/>
      <c r="BS968" s="147"/>
      <c r="BT968" s="147"/>
      <c r="BU968" s="147"/>
      <c r="BV968" s="147"/>
      <c r="BW968" s="147"/>
      <c r="BX968" s="147"/>
      <c r="BY968" s="147"/>
      <c r="BZ968" s="147"/>
      <c r="CA968" s="147"/>
      <c r="CB968" s="147"/>
      <c r="CC968" s="147"/>
      <c r="CD968" s="147"/>
      <c r="CE968" s="147"/>
      <c r="CF968" s="147"/>
      <c r="CG968" s="147"/>
      <c r="CH968" s="147"/>
      <c r="CI968" s="147"/>
      <c r="CJ968" s="147"/>
      <c r="CK968" s="147"/>
    </row>
    <row r="969" spans="1:89">
      <c r="A969" s="157"/>
      <c r="F969" s="3"/>
      <c r="G969" s="3"/>
      <c r="L969" s="157"/>
      <c r="M969" s="157"/>
      <c r="O969" s="147"/>
      <c r="P969" s="147"/>
      <c r="Q969" s="147"/>
      <c r="R969" s="147"/>
      <c r="S969" s="147"/>
      <c r="T969" s="147"/>
      <c r="U969" s="147"/>
      <c r="V969" s="147"/>
      <c r="W969" s="147"/>
      <c r="X969" s="147"/>
      <c r="Y969" s="147"/>
      <c r="Z969" s="147"/>
      <c r="AA969" s="147"/>
      <c r="AB969" s="147"/>
      <c r="AC969" s="147"/>
      <c r="AD969" s="147"/>
      <c r="AE969" s="147"/>
      <c r="AF969" s="147"/>
      <c r="AG969" s="147"/>
      <c r="AH969" s="147"/>
      <c r="AI969" s="147"/>
      <c r="AJ969" s="147"/>
      <c r="AK969" s="147"/>
      <c r="AL969" s="147"/>
      <c r="AM969" s="151"/>
      <c r="AN969" s="147"/>
      <c r="AO969" s="147"/>
      <c r="AP969" s="147"/>
      <c r="AQ969" s="147"/>
      <c r="AR969" s="147"/>
      <c r="AS969" s="147"/>
      <c r="AT969" s="147"/>
      <c r="AU969" s="147"/>
      <c r="AV969" s="147"/>
      <c r="AW969" s="147"/>
      <c r="AX969" s="147"/>
      <c r="AY969" s="147"/>
      <c r="AZ969" s="147"/>
      <c r="BA969" s="147"/>
      <c r="BB969" s="147"/>
      <c r="BC969" s="147"/>
      <c r="BD969" s="147"/>
      <c r="BE969" s="147"/>
      <c r="BF969" s="147"/>
      <c r="BG969" s="147"/>
      <c r="BH969" s="147"/>
      <c r="BI969" s="147"/>
      <c r="BJ969" s="147"/>
      <c r="BK969" s="147"/>
      <c r="BL969" s="147"/>
      <c r="BM969" s="147"/>
      <c r="BN969" s="147"/>
      <c r="BO969" s="147"/>
      <c r="BP969" s="147"/>
      <c r="BQ969" s="147"/>
      <c r="BR969" s="147"/>
      <c r="BS969" s="147"/>
      <c r="BT969" s="147"/>
      <c r="BU969" s="147"/>
      <c r="BV969" s="147"/>
      <c r="BW969" s="147"/>
      <c r="BX969" s="147"/>
      <c r="BY969" s="147"/>
      <c r="BZ969" s="147"/>
      <c r="CA969" s="147"/>
      <c r="CB969" s="147"/>
      <c r="CC969" s="147"/>
      <c r="CD969" s="147"/>
      <c r="CE969" s="147"/>
      <c r="CF969" s="147"/>
      <c r="CG969" s="147"/>
      <c r="CH969" s="147"/>
      <c r="CI969" s="147"/>
      <c r="CJ969" s="147"/>
      <c r="CK969" s="147"/>
    </row>
    <row r="970" spans="1:89">
      <c r="A970" s="157"/>
      <c r="F970" s="3"/>
      <c r="G970" s="3"/>
      <c r="L970" s="157"/>
      <c r="M970" s="157"/>
      <c r="O970" s="147"/>
      <c r="P970" s="147"/>
      <c r="Q970" s="147"/>
      <c r="R970" s="147"/>
      <c r="S970" s="147"/>
      <c r="T970" s="147"/>
      <c r="U970" s="147"/>
      <c r="V970" s="147"/>
      <c r="W970" s="147"/>
      <c r="X970" s="147"/>
      <c r="Y970" s="147"/>
      <c r="Z970" s="147"/>
      <c r="AA970" s="147"/>
      <c r="AB970" s="147"/>
      <c r="AC970" s="147"/>
      <c r="AD970" s="147"/>
      <c r="AE970" s="147"/>
      <c r="AF970" s="147"/>
      <c r="AG970" s="147"/>
      <c r="AH970" s="147"/>
      <c r="AI970" s="147"/>
      <c r="AJ970" s="147"/>
      <c r="AK970" s="147"/>
      <c r="AL970" s="147"/>
      <c r="AM970" s="151"/>
      <c r="AN970" s="147"/>
      <c r="AO970" s="147"/>
      <c r="AP970" s="147"/>
      <c r="AQ970" s="147"/>
      <c r="AR970" s="147"/>
      <c r="AS970" s="147"/>
      <c r="AT970" s="147"/>
      <c r="AU970" s="147"/>
      <c r="AV970" s="147"/>
      <c r="AW970" s="147"/>
      <c r="AX970" s="147"/>
      <c r="AY970" s="147"/>
      <c r="AZ970" s="147"/>
      <c r="BA970" s="147"/>
      <c r="BB970" s="147"/>
      <c r="BC970" s="147"/>
      <c r="BD970" s="147"/>
      <c r="BE970" s="147"/>
      <c r="BF970" s="147"/>
      <c r="BG970" s="147"/>
      <c r="BH970" s="147"/>
      <c r="BI970" s="147"/>
      <c r="BJ970" s="147"/>
      <c r="BK970" s="147"/>
      <c r="BL970" s="147"/>
      <c r="BM970" s="147"/>
      <c r="BN970" s="147"/>
      <c r="BO970" s="147"/>
      <c r="BP970" s="147"/>
      <c r="BQ970" s="147"/>
      <c r="BR970" s="147"/>
      <c r="BS970" s="147"/>
      <c r="BT970" s="147"/>
      <c r="BU970" s="147"/>
      <c r="BV970" s="147"/>
      <c r="BW970" s="147"/>
      <c r="BX970" s="147"/>
      <c r="BY970" s="147"/>
      <c r="BZ970" s="147"/>
      <c r="CA970" s="147"/>
      <c r="CB970" s="147"/>
      <c r="CC970" s="147"/>
      <c r="CD970" s="147"/>
      <c r="CE970" s="147"/>
      <c r="CF970" s="147"/>
      <c r="CG970" s="147"/>
      <c r="CH970" s="147"/>
      <c r="CI970" s="147"/>
      <c r="CJ970" s="147"/>
      <c r="CK970" s="147"/>
    </row>
    <row r="971" spans="1:89">
      <c r="A971" s="157"/>
      <c r="F971" s="3"/>
      <c r="G971" s="3"/>
      <c r="L971" s="157"/>
      <c r="M971" s="157"/>
      <c r="O971" s="147"/>
      <c r="P971" s="147"/>
      <c r="Q971" s="147"/>
      <c r="R971" s="147"/>
      <c r="S971" s="147"/>
      <c r="T971" s="147"/>
      <c r="U971" s="147"/>
      <c r="V971" s="147"/>
      <c r="W971" s="147"/>
      <c r="X971" s="147"/>
      <c r="Y971" s="147"/>
      <c r="Z971" s="147"/>
      <c r="AA971" s="147"/>
      <c r="AB971" s="147"/>
      <c r="AC971" s="147"/>
      <c r="AD971" s="147"/>
      <c r="AE971" s="147"/>
      <c r="AF971" s="147"/>
      <c r="AG971" s="147"/>
      <c r="AH971" s="147"/>
      <c r="AI971" s="147"/>
      <c r="AJ971" s="147"/>
      <c r="AK971" s="147"/>
      <c r="AL971" s="147"/>
      <c r="AM971" s="151"/>
      <c r="AN971" s="147"/>
      <c r="AO971" s="147"/>
      <c r="AP971" s="147"/>
      <c r="AQ971" s="147"/>
      <c r="AR971" s="147"/>
      <c r="AS971" s="147"/>
      <c r="AT971" s="147"/>
      <c r="AU971" s="147"/>
      <c r="AV971" s="147"/>
      <c r="AW971" s="147"/>
      <c r="AX971" s="147"/>
      <c r="AY971" s="147"/>
      <c r="AZ971" s="147"/>
      <c r="BA971" s="147"/>
      <c r="BB971" s="147"/>
      <c r="BC971" s="147"/>
      <c r="BD971" s="147"/>
      <c r="BE971" s="147"/>
      <c r="BF971" s="147"/>
      <c r="BG971" s="147"/>
      <c r="BH971" s="147"/>
      <c r="BI971" s="147"/>
      <c r="BJ971" s="147"/>
      <c r="BK971" s="147"/>
      <c r="BL971" s="147"/>
      <c r="BM971" s="147"/>
      <c r="BN971" s="147"/>
      <c r="BO971" s="147"/>
      <c r="BP971" s="147"/>
      <c r="BQ971" s="147"/>
      <c r="BR971" s="147"/>
      <c r="BS971" s="147"/>
      <c r="BT971" s="147"/>
      <c r="BU971" s="147"/>
      <c r="BV971" s="147"/>
      <c r="BW971" s="147"/>
      <c r="BX971" s="147"/>
      <c r="BY971" s="147"/>
      <c r="BZ971" s="147"/>
      <c r="CA971" s="147"/>
      <c r="CB971" s="147"/>
      <c r="CC971" s="147"/>
      <c r="CD971" s="147"/>
      <c r="CE971" s="147"/>
      <c r="CF971" s="147"/>
      <c r="CG971" s="147"/>
      <c r="CH971" s="147"/>
      <c r="CI971" s="147"/>
      <c r="CJ971" s="147"/>
      <c r="CK971" s="147"/>
    </row>
    <row r="972" spans="1:89">
      <c r="A972" s="157"/>
      <c r="F972" s="3"/>
      <c r="G972" s="3"/>
      <c r="L972" s="157"/>
      <c r="M972" s="157"/>
      <c r="O972" s="147"/>
      <c r="P972" s="147"/>
      <c r="Q972" s="147"/>
      <c r="R972" s="147"/>
      <c r="S972" s="147"/>
      <c r="T972" s="147"/>
      <c r="U972" s="147"/>
      <c r="V972" s="147"/>
      <c r="W972" s="147"/>
      <c r="X972" s="147"/>
      <c r="Y972" s="147"/>
      <c r="Z972" s="147"/>
      <c r="AA972" s="147"/>
      <c r="AB972" s="147"/>
      <c r="AC972" s="147"/>
      <c r="AD972" s="147"/>
      <c r="AE972" s="147"/>
      <c r="AF972" s="147"/>
      <c r="AG972" s="147"/>
      <c r="AH972" s="147"/>
      <c r="AI972" s="147"/>
      <c r="AJ972" s="147"/>
      <c r="AK972" s="147"/>
      <c r="AL972" s="147"/>
      <c r="AM972" s="151"/>
      <c r="AN972" s="147"/>
      <c r="AO972" s="147"/>
      <c r="AP972" s="147"/>
      <c r="AQ972" s="147"/>
      <c r="AR972" s="147"/>
      <c r="AS972" s="147"/>
      <c r="AT972" s="147"/>
      <c r="AU972" s="147"/>
      <c r="AV972" s="147"/>
      <c r="AW972" s="147"/>
      <c r="AX972" s="147"/>
      <c r="AY972" s="147"/>
      <c r="AZ972" s="147"/>
      <c r="BA972" s="147"/>
      <c r="BB972" s="147"/>
      <c r="BC972" s="147"/>
      <c r="BD972" s="147"/>
      <c r="BE972" s="147"/>
      <c r="BF972" s="147"/>
      <c r="BG972" s="147"/>
      <c r="BH972" s="147"/>
      <c r="BI972" s="147"/>
      <c r="BJ972" s="147"/>
      <c r="BK972" s="147"/>
      <c r="BL972" s="147"/>
      <c r="BM972" s="147"/>
      <c r="BN972" s="147"/>
      <c r="BO972" s="147"/>
      <c r="BP972" s="147"/>
      <c r="BQ972" s="147"/>
      <c r="BR972" s="147"/>
      <c r="BS972" s="147"/>
      <c r="BT972" s="147"/>
      <c r="BU972" s="147"/>
      <c r="BV972" s="147"/>
      <c r="BW972" s="147"/>
      <c r="BX972" s="147"/>
      <c r="BY972" s="147"/>
      <c r="BZ972" s="147"/>
      <c r="CA972" s="147"/>
      <c r="CB972" s="147"/>
      <c r="CC972" s="147"/>
      <c r="CD972" s="147"/>
      <c r="CE972" s="147"/>
      <c r="CF972" s="147"/>
      <c r="CG972" s="147"/>
      <c r="CH972" s="147"/>
      <c r="CI972" s="147"/>
      <c r="CJ972" s="147"/>
      <c r="CK972" s="147"/>
    </row>
    <row r="973" spans="1:89">
      <c r="A973" s="157"/>
      <c r="F973" s="3"/>
      <c r="G973" s="3"/>
      <c r="L973" s="157"/>
      <c r="M973" s="157"/>
      <c r="O973" s="147"/>
      <c r="P973" s="147"/>
      <c r="Q973" s="147"/>
      <c r="R973" s="147"/>
      <c r="S973" s="147"/>
      <c r="T973" s="147"/>
      <c r="U973" s="147"/>
      <c r="V973" s="147"/>
      <c r="W973" s="147"/>
      <c r="X973" s="147"/>
      <c r="Y973" s="147"/>
      <c r="Z973" s="147"/>
      <c r="AA973" s="147"/>
      <c r="AB973" s="147"/>
      <c r="AC973" s="147"/>
      <c r="AD973" s="147"/>
      <c r="AE973" s="147"/>
      <c r="AF973" s="147"/>
      <c r="AG973" s="147"/>
      <c r="AH973" s="147"/>
      <c r="AI973" s="147"/>
      <c r="AJ973" s="147"/>
      <c r="AK973" s="147"/>
      <c r="AL973" s="147"/>
      <c r="AM973" s="151"/>
      <c r="AN973" s="147"/>
      <c r="AO973" s="147"/>
      <c r="AP973" s="147"/>
      <c r="AQ973" s="147"/>
      <c r="AR973" s="147"/>
      <c r="AS973" s="147"/>
      <c r="AT973" s="147"/>
      <c r="AU973" s="147"/>
      <c r="AV973" s="147"/>
      <c r="AW973" s="147"/>
      <c r="AX973" s="147"/>
      <c r="AY973" s="147"/>
      <c r="AZ973" s="147"/>
      <c r="BA973" s="147"/>
      <c r="BB973" s="147"/>
      <c r="BC973" s="147"/>
      <c r="BD973" s="147"/>
      <c r="BE973" s="147"/>
      <c r="BF973" s="147"/>
      <c r="BG973" s="147"/>
      <c r="BH973" s="147"/>
      <c r="BI973" s="147"/>
      <c r="BJ973" s="147"/>
      <c r="BK973" s="147"/>
      <c r="BL973" s="147"/>
      <c r="BM973" s="147"/>
      <c r="BN973" s="147"/>
      <c r="BO973" s="147"/>
      <c r="BP973" s="147"/>
      <c r="BQ973" s="147"/>
      <c r="BR973" s="147"/>
      <c r="BS973" s="147"/>
      <c r="BT973" s="147"/>
      <c r="BU973" s="147"/>
      <c r="BV973" s="147"/>
      <c r="BW973" s="147"/>
      <c r="BX973" s="147"/>
      <c r="BY973" s="147"/>
      <c r="BZ973" s="147"/>
      <c r="CA973" s="147"/>
      <c r="CB973" s="147"/>
      <c r="CC973" s="147"/>
      <c r="CD973" s="147"/>
      <c r="CE973" s="147"/>
      <c r="CF973" s="147"/>
      <c r="CG973" s="147"/>
      <c r="CH973" s="147"/>
      <c r="CI973" s="147"/>
      <c r="CJ973" s="147"/>
      <c r="CK973" s="147"/>
    </row>
    <row r="974" spans="1:89">
      <c r="A974" s="157"/>
      <c r="F974" s="3"/>
      <c r="G974" s="3"/>
      <c r="L974" s="157"/>
      <c r="M974" s="157"/>
      <c r="O974" s="147"/>
      <c r="P974" s="147"/>
      <c r="Q974" s="147"/>
      <c r="R974" s="147"/>
      <c r="S974" s="147"/>
      <c r="T974" s="147"/>
      <c r="U974" s="147"/>
      <c r="V974" s="147"/>
      <c r="W974" s="147"/>
      <c r="X974" s="147"/>
      <c r="Y974" s="147"/>
      <c r="Z974" s="147"/>
      <c r="AA974" s="147"/>
      <c r="AB974" s="147"/>
      <c r="AC974" s="147"/>
      <c r="AD974" s="147"/>
      <c r="AE974" s="147"/>
      <c r="AF974" s="147"/>
      <c r="AG974" s="147"/>
      <c r="AH974" s="147"/>
      <c r="AI974" s="147"/>
      <c r="AJ974" s="147"/>
      <c r="AK974" s="147"/>
      <c r="AL974" s="147"/>
      <c r="AM974" s="151"/>
      <c r="AN974" s="147"/>
      <c r="AO974" s="147"/>
      <c r="AP974" s="147"/>
      <c r="AQ974" s="147"/>
      <c r="AR974" s="147"/>
      <c r="AS974" s="147"/>
      <c r="AT974" s="147"/>
      <c r="AU974" s="147"/>
      <c r="AV974" s="147"/>
      <c r="AW974" s="147"/>
      <c r="AX974" s="147"/>
      <c r="AY974" s="147"/>
      <c r="AZ974" s="147"/>
      <c r="BA974" s="147"/>
      <c r="BB974" s="147"/>
      <c r="BC974" s="147"/>
      <c r="BD974" s="147"/>
      <c r="BE974" s="147"/>
      <c r="BF974" s="147"/>
      <c r="BG974" s="147"/>
      <c r="BH974" s="147"/>
      <c r="BI974" s="147"/>
      <c r="BJ974" s="147"/>
      <c r="BK974" s="147"/>
      <c r="BL974" s="147"/>
      <c r="BM974" s="147"/>
      <c r="BN974" s="147"/>
      <c r="BO974" s="147"/>
      <c r="BP974" s="147"/>
      <c r="BQ974" s="147"/>
      <c r="BR974" s="147"/>
      <c r="BS974" s="147"/>
      <c r="BT974" s="147"/>
      <c r="BU974" s="147"/>
      <c r="BV974" s="147"/>
      <c r="BW974" s="147"/>
      <c r="BX974" s="147"/>
      <c r="BY974" s="147"/>
      <c r="BZ974" s="147"/>
      <c r="CA974" s="147"/>
      <c r="CB974" s="147"/>
      <c r="CC974" s="147"/>
      <c r="CD974" s="147"/>
      <c r="CE974" s="147"/>
      <c r="CF974" s="147"/>
      <c r="CG974" s="147"/>
      <c r="CH974" s="147"/>
      <c r="CI974" s="147"/>
      <c r="CJ974" s="147"/>
      <c r="CK974" s="147"/>
    </row>
    <row r="975" spans="1:89">
      <c r="A975" s="157"/>
      <c r="F975" s="3"/>
      <c r="G975" s="3"/>
      <c r="L975" s="157"/>
      <c r="M975" s="157"/>
      <c r="O975" s="147"/>
      <c r="P975" s="147"/>
      <c r="Q975" s="147"/>
      <c r="R975" s="147"/>
      <c r="S975" s="147"/>
      <c r="T975" s="147"/>
      <c r="U975" s="147"/>
      <c r="V975" s="147"/>
      <c r="W975" s="147"/>
      <c r="X975" s="147"/>
      <c r="Y975" s="147"/>
      <c r="Z975" s="147"/>
      <c r="AA975" s="147"/>
      <c r="AB975" s="147"/>
      <c r="AC975" s="147"/>
      <c r="AD975" s="147"/>
      <c r="AE975" s="147"/>
      <c r="AF975" s="147"/>
      <c r="AG975" s="147"/>
      <c r="AH975" s="147"/>
      <c r="AI975" s="147"/>
      <c r="AJ975" s="147"/>
      <c r="AK975" s="147"/>
      <c r="AL975" s="147"/>
      <c r="AM975" s="151"/>
      <c r="AN975" s="147"/>
      <c r="AO975" s="147"/>
      <c r="AP975" s="147"/>
      <c r="AQ975" s="147"/>
      <c r="AR975" s="147"/>
      <c r="AS975" s="147"/>
      <c r="AT975" s="147"/>
      <c r="AU975" s="147"/>
      <c r="AV975" s="147"/>
      <c r="AW975" s="147"/>
      <c r="AX975" s="147"/>
      <c r="AY975" s="147"/>
      <c r="AZ975" s="147"/>
      <c r="BA975" s="147"/>
      <c r="BB975" s="147"/>
      <c r="BC975" s="147"/>
      <c r="BD975" s="147"/>
      <c r="BE975" s="147"/>
      <c r="BF975" s="147"/>
      <c r="BG975" s="147"/>
      <c r="BH975" s="147"/>
      <c r="BI975" s="147"/>
      <c r="BJ975" s="147"/>
      <c r="BK975" s="147"/>
      <c r="BL975" s="147"/>
      <c r="BM975" s="147"/>
      <c r="BN975" s="147"/>
      <c r="BO975" s="147"/>
      <c r="BP975" s="147"/>
      <c r="BQ975" s="147"/>
      <c r="BR975" s="147"/>
      <c r="BS975" s="147"/>
      <c r="BT975" s="147"/>
      <c r="BU975" s="147"/>
      <c r="BV975" s="147"/>
      <c r="BW975" s="147"/>
      <c r="BX975" s="147"/>
      <c r="BY975" s="147"/>
      <c r="BZ975" s="147"/>
      <c r="CA975" s="147"/>
      <c r="CB975" s="147"/>
      <c r="CC975" s="147"/>
      <c r="CD975" s="147"/>
      <c r="CE975" s="147"/>
      <c r="CF975" s="147"/>
      <c r="CG975" s="147"/>
      <c r="CH975" s="147"/>
      <c r="CI975" s="147"/>
      <c r="CJ975" s="147"/>
      <c r="CK975" s="147"/>
    </row>
    <row r="976" spans="1:89">
      <c r="A976" s="157"/>
      <c r="F976" s="3"/>
      <c r="G976" s="3"/>
      <c r="L976" s="157"/>
      <c r="M976" s="157"/>
      <c r="O976" s="147"/>
      <c r="P976" s="147"/>
      <c r="Q976" s="147"/>
      <c r="R976" s="147"/>
      <c r="S976" s="147"/>
      <c r="T976" s="147"/>
      <c r="U976" s="147"/>
      <c r="V976" s="147"/>
      <c r="W976" s="147"/>
      <c r="X976" s="147"/>
      <c r="Y976" s="147"/>
      <c r="Z976" s="147"/>
      <c r="AA976" s="147"/>
      <c r="AB976" s="147"/>
      <c r="AC976" s="147"/>
      <c r="AD976" s="147"/>
      <c r="AE976" s="147"/>
      <c r="AF976" s="147"/>
      <c r="AG976" s="147"/>
      <c r="AH976" s="147"/>
      <c r="AI976" s="147"/>
      <c r="AJ976" s="147"/>
      <c r="AK976" s="147"/>
      <c r="AL976" s="147"/>
      <c r="AM976" s="151"/>
      <c r="AN976" s="147"/>
      <c r="AO976" s="147"/>
      <c r="AP976" s="147"/>
      <c r="AQ976" s="147"/>
      <c r="AR976" s="147"/>
      <c r="AS976" s="147"/>
      <c r="AT976" s="147"/>
      <c r="AU976" s="147"/>
      <c r="AV976" s="147"/>
      <c r="AW976" s="147"/>
      <c r="AX976" s="147"/>
      <c r="AY976" s="147"/>
      <c r="AZ976" s="147"/>
      <c r="BA976" s="147"/>
      <c r="BB976" s="147"/>
      <c r="BC976" s="147"/>
      <c r="BD976" s="147"/>
      <c r="BE976" s="147"/>
      <c r="BF976" s="147"/>
      <c r="BG976" s="147"/>
      <c r="BH976" s="147"/>
      <c r="BI976" s="147"/>
      <c r="BJ976" s="147"/>
      <c r="BK976" s="147"/>
      <c r="BL976" s="147"/>
      <c r="BM976" s="147"/>
      <c r="BN976" s="147"/>
      <c r="BO976" s="147"/>
      <c r="BP976" s="147"/>
      <c r="BQ976" s="147"/>
      <c r="BR976" s="147"/>
      <c r="BS976" s="147"/>
      <c r="BT976" s="147"/>
      <c r="BU976" s="147"/>
      <c r="BV976" s="147"/>
      <c r="BW976" s="147"/>
      <c r="BX976" s="147"/>
      <c r="BY976" s="147"/>
      <c r="BZ976" s="147"/>
      <c r="CA976" s="147"/>
      <c r="CB976" s="147"/>
      <c r="CC976" s="147"/>
      <c r="CD976" s="147"/>
      <c r="CE976" s="147"/>
      <c r="CF976" s="147"/>
      <c r="CG976" s="147"/>
      <c r="CH976" s="147"/>
      <c r="CI976" s="147"/>
      <c r="CJ976" s="147"/>
      <c r="CK976" s="147"/>
    </row>
    <row r="977" spans="1:89">
      <c r="A977" s="157"/>
      <c r="F977" s="3"/>
      <c r="G977" s="3"/>
      <c r="L977" s="157"/>
      <c r="M977" s="157"/>
      <c r="O977" s="147"/>
      <c r="P977" s="147"/>
      <c r="Q977" s="147"/>
      <c r="R977" s="147"/>
      <c r="S977" s="147"/>
      <c r="T977" s="147"/>
      <c r="U977" s="147"/>
      <c r="V977" s="147"/>
      <c r="W977" s="147"/>
      <c r="X977" s="147"/>
      <c r="Y977" s="147"/>
      <c r="Z977" s="147"/>
      <c r="AA977" s="147"/>
      <c r="AB977" s="147"/>
      <c r="AC977" s="147"/>
      <c r="AD977" s="147"/>
      <c r="AE977" s="147"/>
      <c r="AF977" s="147"/>
      <c r="AG977" s="147"/>
      <c r="AH977" s="147"/>
      <c r="AI977" s="147"/>
      <c r="AJ977" s="147"/>
      <c r="AK977" s="147"/>
      <c r="AL977" s="147"/>
      <c r="AM977" s="151"/>
      <c r="AN977" s="147"/>
      <c r="AO977" s="147"/>
      <c r="AP977" s="147"/>
      <c r="AQ977" s="147"/>
      <c r="AR977" s="147"/>
      <c r="AS977" s="147"/>
      <c r="AT977" s="147"/>
      <c r="AU977" s="147"/>
      <c r="AV977" s="147"/>
      <c r="AW977" s="147"/>
      <c r="AX977" s="147"/>
      <c r="AY977" s="147"/>
      <c r="AZ977" s="147"/>
      <c r="BA977" s="147"/>
      <c r="BB977" s="147"/>
      <c r="BC977" s="147"/>
      <c r="BD977" s="147"/>
      <c r="BE977" s="147"/>
      <c r="BF977" s="147"/>
      <c r="BG977" s="147"/>
      <c r="BH977" s="147"/>
      <c r="BI977" s="147"/>
      <c r="BJ977" s="147"/>
      <c r="BK977" s="147"/>
      <c r="BL977" s="147"/>
      <c r="BM977" s="147"/>
      <c r="BN977" s="147"/>
      <c r="BO977" s="147"/>
      <c r="BP977" s="147"/>
      <c r="BQ977" s="147"/>
      <c r="BR977" s="147"/>
      <c r="BS977" s="147"/>
      <c r="BT977" s="147"/>
      <c r="BU977" s="147"/>
      <c r="BV977" s="147"/>
      <c r="BW977" s="147"/>
      <c r="BX977" s="147"/>
      <c r="BY977" s="147"/>
      <c r="BZ977" s="147"/>
      <c r="CA977" s="147"/>
      <c r="CB977" s="147"/>
      <c r="CC977" s="147"/>
      <c r="CD977" s="147"/>
      <c r="CE977" s="147"/>
      <c r="CF977" s="147"/>
      <c r="CG977" s="147"/>
      <c r="CH977" s="147"/>
      <c r="CI977" s="147"/>
      <c r="CJ977" s="147"/>
      <c r="CK977" s="147"/>
    </row>
    <row r="978" spans="1:89">
      <c r="A978" s="157"/>
      <c r="F978" s="3"/>
      <c r="G978" s="3"/>
      <c r="L978" s="157"/>
      <c r="M978" s="157"/>
      <c r="O978" s="147"/>
      <c r="P978" s="147"/>
      <c r="Q978" s="147"/>
      <c r="R978" s="147"/>
      <c r="S978" s="147"/>
      <c r="T978" s="147"/>
      <c r="U978" s="147"/>
      <c r="V978" s="147"/>
      <c r="W978" s="147"/>
      <c r="X978" s="147"/>
      <c r="Y978" s="147"/>
      <c r="Z978" s="147"/>
      <c r="AA978" s="147"/>
      <c r="AB978" s="147"/>
      <c r="AC978" s="147"/>
      <c r="AD978" s="147"/>
      <c r="AE978" s="147"/>
      <c r="AF978" s="147"/>
      <c r="AG978" s="147"/>
      <c r="AH978" s="147"/>
      <c r="AI978" s="147"/>
      <c r="AJ978" s="147"/>
      <c r="AK978" s="147"/>
      <c r="AL978" s="147"/>
      <c r="AM978" s="151"/>
      <c r="AN978" s="147"/>
      <c r="AO978" s="147"/>
      <c r="AP978" s="147"/>
      <c r="AQ978" s="147"/>
      <c r="AR978" s="147"/>
      <c r="AS978" s="147"/>
      <c r="AT978" s="147"/>
      <c r="AU978" s="147"/>
      <c r="AV978" s="147"/>
      <c r="AW978" s="147"/>
      <c r="AX978" s="147"/>
      <c r="AY978" s="147"/>
      <c r="AZ978" s="147"/>
      <c r="BA978" s="147"/>
      <c r="BB978" s="147"/>
      <c r="BC978" s="147"/>
      <c r="BD978" s="147"/>
      <c r="BE978" s="147"/>
      <c r="BF978" s="147"/>
      <c r="BG978" s="147"/>
      <c r="BH978" s="147"/>
      <c r="BI978" s="147"/>
      <c r="BJ978" s="147"/>
      <c r="BK978" s="147"/>
      <c r="BL978" s="147"/>
      <c r="BM978" s="147"/>
      <c r="BN978" s="147"/>
      <c r="BO978" s="147"/>
      <c r="BP978" s="147"/>
      <c r="BQ978" s="147"/>
      <c r="BR978" s="147"/>
      <c r="BS978" s="147"/>
      <c r="BT978" s="147"/>
      <c r="BU978" s="147"/>
      <c r="BV978" s="147"/>
      <c r="BW978" s="147"/>
      <c r="BX978" s="147"/>
      <c r="BY978" s="147"/>
      <c r="BZ978" s="147"/>
      <c r="CA978" s="147"/>
      <c r="CB978" s="147"/>
      <c r="CC978" s="147"/>
      <c r="CD978" s="147"/>
      <c r="CE978" s="147"/>
      <c r="CF978" s="147"/>
      <c r="CG978" s="147"/>
      <c r="CH978" s="147"/>
      <c r="CI978" s="147"/>
      <c r="CJ978" s="147"/>
      <c r="CK978" s="147"/>
    </row>
    <row r="979" spans="1:89">
      <c r="A979" s="157"/>
      <c r="F979" s="3"/>
      <c r="G979" s="3"/>
      <c r="L979" s="157"/>
      <c r="M979" s="157"/>
      <c r="O979" s="147"/>
      <c r="P979" s="147"/>
      <c r="Q979" s="147"/>
      <c r="R979" s="147"/>
      <c r="S979" s="147"/>
      <c r="T979" s="147"/>
      <c r="U979" s="147"/>
      <c r="V979" s="147"/>
      <c r="W979" s="147"/>
      <c r="X979" s="147"/>
      <c r="Y979" s="147"/>
      <c r="Z979" s="147"/>
      <c r="AA979" s="147"/>
      <c r="AB979" s="147"/>
      <c r="AC979" s="147"/>
      <c r="AD979" s="147"/>
      <c r="AE979" s="147"/>
      <c r="AF979" s="147"/>
      <c r="AG979" s="147"/>
      <c r="AH979" s="147"/>
      <c r="AI979" s="147"/>
      <c r="AJ979" s="147"/>
      <c r="AK979" s="147"/>
      <c r="AL979" s="147"/>
      <c r="AM979" s="151"/>
      <c r="AN979" s="147"/>
      <c r="AO979" s="147"/>
      <c r="AP979" s="147"/>
      <c r="AQ979" s="147"/>
      <c r="AR979" s="147"/>
      <c r="AS979" s="147"/>
      <c r="AT979" s="147"/>
      <c r="AU979" s="147"/>
      <c r="AV979" s="147"/>
      <c r="AW979" s="147"/>
      <c r="AX979" s="147"/>
      <c r="AY979" s="147"/>
      <c r="AZ979" s="147"/>
      <c r="BA979" s="147"/>
      <c r="BB979" s="147"/>
      <c r="BC979" s="147"/>
      <c r="BD979" s="147"/>
      <c r="BE979" s="147"/>
      <c r="BF979" s="147"/>
      <c r="BG979" s="147"/>
      <c r="BH979" s="147"/>
      <c r="BI979" s="147"/>
      <c r="BJ979" s="147"/>
      <c r="BK979" s="147"/>
      <c r="BL979" s="147"/>
      <c r="BM979" s="147"/>
      <c r="BN979" s="147"/>
      <c r="BO979" s="147"/>
      <c r="BP979" s="147"/>
      <c r="BQ979" s="147"/>
      <c r="BR979" s="147"/>
      <c r="BS979" s="147"/>
      <c r="BT979" s="147"/>
      <c r="BU979" s="147"/>
      <c r="BV979" s="147"/>
      <c r="BW979" s="147"/>
      <c r="BX979" s="147"/>
      <c r="BY979" s="147"/>
      <c r="BZ979" s="147"/>
      <c r="CA979" s="147"/>
      <c r="CB979" s="147"/>
      <c r="CC979" s="147"/>
      <c r="CD979" s="147"/>
      <c r="CE979" s="147"/>
      <c r="CF979" s="147"/>
      <c r="CG979" s="147"/>
      <c r="CH979" s="147"/>
      <c r="CI979" s="147"/>
      <c r="CJ979" s="147"/>
      <c r="CK979" s="147"/>
    </row>
    <row r="980" spans="1:89">
      <c r="A980" s="157"/>
      <c r="F980" s="3"/>
      <c r="G980" s="3"/>
      <c r="L980" s="157"/>
      <c r="M980" s="157"/>
      <c r="O980" s="147"/>
      <c r="P980" s="147"/>
      <c r="Q980" s="147"/>
      <c r="R980" s="147"/>
      <c r="S980" s="147"/>
      <c r="T980" s="147"/>
      <c r="U980" s="147"/>
      <c r="V980" s="147"/>
      <c r="W980" s="147"/>
      <c r="X980" s="147"/>
      <c r="Y980" s="147"/>
      <c r="Z980" s="147"/>
      <c r="AA980" s="147"/>
      <c r="AB980" s="147"/>
      <c r="AC980" s="147"/>
      <c r="AD980" s="147"/>
      <c r="AE980" s="147"/>
      <c r="AF980" s="147"/>
      <c r="AG980" s="147"/>
      <c r="AH980" s="147"/>
      <c r="AI980" s="147"/>
      <c r="AJ980" s="147"/>
      <c r="AK980" s="147"/>
      <c r="AL980" s="147"/>
      <c r="AM980" s="151"/>
      <c r="AN980" s="147"/>
      <c r="AO980" s="147"/>
      <c r="AP980" s="147"/>
      <c r="AQ980" s="147"/>
      <c r="AR980" s="147"/>
      <c r="AS980" s="147"/>
      <c r="AT980" s="147"/>
      <c r="AU980" s="147"/>
      <c r="AV980" s="147"/>
      <c r="AW980" s="147"/>
      <c r="AX980" s="147"/>
      <c r="AY980" s="147"/>
      <c r="AZ980" s="147"/>
      <c r="BA980" s="147"/>
      <c r="BB980" s="147"/>
      <c r="BC980" s="147"/>
      <c r="BD980" s="147"/>
      <c r="BE980" s="147"/>
      <c r="BF980" s="147"/>
      <c r="BG980" s="147"/>
      <c r="BH980" s="147"/>
      <c r="BI980" s="147"/>
      <c r="BJ980" s="147"/>
      <c r="BK980" s="147"/>
      <c r="BL980" s="147"/>
      <c r="BM980" s="147"/>
      <c r="BN980" s="147"/>
      <c r="BO980" s="147"/>
      <c r="BP980" s="147"/>
      <c r="BQ980" s="147"/>
      <c r="BR980" s="147"/>
      <c r="BS980" s="147"/>
      <c r="BT980" s="147"/>
      <c r="BU980" s="147"/>
      <c r="BV980" s="147"/>
      <c r="BW980" s="147"/>
      <c r="BX980" s="147"/>
      <c r="BY980" s="147"/>
      <c r="BZ980" s="147"/>
      <c r="CA980" s="147"/>
      <c r="CB980" s="147"/>
      <c r="CC980" s="147"/>
      <c r="CD980" s="147"/>
      <c r="CE980" s="147"/>
      <c r="CF980" s="147"/>
      <c r="CG980" s="147"/>
      <c r="CH980" s="147"/>
      <c r="CI980" s="147"/>
      <c r="CJ980" s="147"/>
      <c r="CK980" s="147"/>
    </row>
    <row r="981" spans="1:89">
      <c r="A981" s="157"/>
      <c r="F981" s="3"/>
      <c r="G981" s="3"/>
      <c r="L981" s="157"/>
      <c r="M981" s="157"/>
      <c r="O981" s="147"/>
      <c r="P981" s="147"/>
      <c r="Q981" s="147"/>
      <c r="R981" s="147"/>
      <c r="S981" s="147"/>
      <c r="T981" s="147"/>
      <c r="U981" s="147"/>
      <c r="V981" s="147"/>
      <c r="W981" s="147"/>
      <c r="X981" s="147"/>
      <c r="Y981" s="147"/>
      <c r="Z981" s="147"/>
      <c r="AA981" s="147"/>
      <c r="AB981" s="147"/>
      <c r="AC981" s="147"/>
      <c r="AD981" s="147"/>
      <c r="AE981" s="147"/>
      <c r="AF981" s="147"/>
      <c r="AG981" s="147"/>
      <c r="AH981" s="147"/>
      <c r="AI981" s="147"/>
      <c r="AJ981" s="147"/>
      <c r="AK981" s="147"/>
      <c r="AL981" s="147"/>
      <c r="AM981" s="151"/>
      <c r="AN981" s="147"/>
      <c r="AO981" s="147"/>
      <c r="AP981" s="147"/>
      <c r="AQ981" s="147"/>
      <c r="AR981" s="147"/>
      <c r="AS981" s="147"/>
      <c r="AT981" s="147"/>
      <c r="AU981" s="147"/>
      <c r="AV981" s="147"/>
      <c r="AW981" s="147"/>
      <c r="AX981" s="147"/>
      <c r="AY981" s="147"/>
      <c r="AZ981" s="147"/>
      <c r="BA981" s="147"/>
      <c r="BB981" s="147"/>
      <c r="BC981" s="147"/>
      <c r="BD981" s="147"/>
      <c r="BE981" s="147"/>
      <c r="BF981" s="147"/>
      <c r="BG981" s="147"/>
      <c r="BH981" s="147"/>
      <c r="BI981" s="147"/>
      <c r="BJ981" s="147"/>
      <c r="BK981" s="147"/>
      <c r="BL981" s="147"/>
      <c r="BM981" s="147"/>
      <c r="BN981" s="147"/>
      <c r="BO981" s="147"/>
      <c r="BP981" s="147"/>
      <c r="BQ981" s="147"/>
      <c r="BR981" s="147"/>
      <c r="BS981" s="147"/>
      <c r="BT981" s="147"/>
      <c r="BU981" s="147"/>
      <c r="BV981" s="147"/>
      <c r="BW981" s="147"/>
      <c r="BX981" s="147"/>
      <c r="BY981" s="147"/>
      <c r="BZ981" s="147"/>
      <c r="CA981" s="147"/>
      <c r="CB981" s="147"/>
      <c r="CC981" s="147"/>
      <c r="CD981" s="147"/>
      <c r="CE981" s="147"/>
      <c r="CF981" s="147"/>
      <c r="CG981" s="147"/>
      <c r="CH981" s="147"/>
      <c r="CI981" s="147"/>
      <c r="CJ981" s="147"/>
      <c r="CK981" s="147"/>
    </row>
    <row r="982" spans="1:89">
      <c r="A982" s="157"/>
      <c r="F982" s="3"/>
      <c r="G982" s="3"/>
      <c r="L982" s="157"/>
      <c r="M982" s="157"/>
      <c r="O982" s="147"/>
      <c r="P982" s="147"/>
      <c r="Q982" s="147"/>
      <c r="R982" s="147"/>
      <c r="S982" s="147"/>
      <c r="T982" s="147"/>
      <c r="U982" s="147"/>
      <c r="V982" s="147"/>
      <c r="W982" s="147"/>
      <c r="X982" s="147"/>
      <c r="Y982" s="147"/>
      <c r="Z982" s="147"/>
      <c r="AA982" s="147"/>
      <c r="AB982" s="147"/>
      <c r="AC982" s="147"/>
      <c r="AD982" s="147"/>
      <c r="AE982" s="147"/>
      <c r="AF982" s="147"/>
      <c r="AG982" s="147"/>
      <c r="AH982" s="147"/>
      <c r="AI982" s="147"/>
      <c r="AJ982" s="147"/>
      <c r="AK982" s="147"/>
      <c r="AL982" s="147"/>
      <c r="AM982" s="151"/>
      <c r="AN982" s="147"/>
      <c r="AO982" s="147"/>
      <c r="AP982" s="147"/>
      <c r="AQ982" s="147"/>
      <c r="AR982" s="147"/>
      <c r="AS982" s="147"/>
      <c r="AT982" s="147"/>
      <c r="AU982" s="147"/>
      <c r="AV982" s="147"/>
      <c r="AW982" s="147"/>
      <c r="AX982" s="147"/>
      <c r="AY982" s="147"/>
      <c r="AZ982" s="147"/>
      <c r="BA982" s="147"/>
      <c r="BB982" s="147"/>
      <c r="BC982" s="147"/>
      <c r="BD982" s="147"/>
      <c r="BE982" s="147"/>
      <c r="BF982" s="147"/>
      <c r="BG982" s="147"/>
      <c r="BH982" s="147"/>
      <c r="BI982" s="147"/>
      <c r="BJ982" s="147"/>
      <c r="BK982" s="147"/>
      <c r="BL982" s="147"/>
      <c r="BM982" s="147"/>
      <c r="BN982" s="147"/>
      <c r="BO982" s="147"/>
      <c r="BP982" s="147"/>
      <c r="BQ982" s="147"/>
      <c r="BR982" s="147"/>
      <c r="BS982" s="147"/>
      <c r="BT982" s="147"/>
      <c r="BU982" s="147"/>
      <c r="BV982" s="147"/>
      <c r="BW982" s="147"/>
      <c r="BX982" s="147"/>
      <c r="BY982" s="147"/>
      <c r="BZ982" s="147"/>
      <c r="CA982" s="147"/>
      <c r="CB982" s="147"/>
      <c r="CC982" s="147"/>
      <c r="CD982" s="147"/>
      <c r="CE982" s="147"/>
      <c r="CF982" s="147"/>
      <c r="CG982" s="147"/>
      <c r="CH982" s="147"/>
      <c r="CI982" s="147"/>
      <c r="CJ982" s="147"/>
      <c r="CK982" s="147"/>
    </row>
    <row r="983" spans="1:89">
      <c r="A983" s="157"/>
      <c r="F983" s="3"/>
      <c r="G983" s="3"/>
      <c r="L983" s="157"/>
      <c r="M983" s="157"/>
      <c r="O983" s="147"/>
      <c r="P983" s="147"/>
      <c r="Q983" s="147"/>
      <c r="R983" s="147"/>
      <c r="S983" s="147"/>
      <c r="T983" s="147"/>
      <c r="U983" s="147"/>
      <c r="V983" s="147"/>
      <c r="W983" s="147"/>
      <c r="X983" s="147"/>
      <c r="Y983" s="147"/>
      <c r="Z983" s="147"/>
      <c r="AA983" s="147"/>
      <c r="AB983" s="147"/>
      <c r="AC983" s="147"/>
      <c r="AD983" s="147"/>
      <c r="AE983" s="147"/>
      <c r="AF983" s="147"/>
      <c r="AG983" s="147"/>
      <c r="AH983" s="147"/>
      <c r="AI983" s="147"/>
      <c r="AJ983" s="147"/>
      <c r="AK983" s="147"/>
      <c r="AL983" s="147"/>
      <c r="AM983" s="151"/>
      <c r="AN983" s="147"/>
      <c r="AO983" s="147"/>
      <c r="AP983" s="147"/>
      <c r="AQ983" s="147"/>
      <c r="AR983" s="147"/>
      <c r="AS983" s="147"/>
      <c r="AT983" s="147"/>
      <c r="AU983" s="147"/>
      <c r="AV983" s="147"/>
      <c r="AW983" s="147"/>
      <c r="AX983" s="147"/>
      <c r="AY983" s="147"/>
      <c r="AZ983" s="147"/>
      <c r="BA983" s="147"/>
      <c r="BB983" s="147"/>
      <c r="BC983" s="147"/>
      <c r="BD983" s="147"/>
      <c r="BE983" s="147"/>
      <c r="BF983" s="147"/>
      <c r="BG983" s="147"/>
      <c r="BH983" s="147"/>
      <c r="BI983" s="147"/>
      <c r="BJ983" s="147"/>
      <c r="BK983" s="147"/>
      <c r="BL983" s="147"/>
      <c r="BM983" s="147"/>
      <c r="BN983" s="147"/>
      <c r="BO983" s="147"/>
      <c r="BP983" s="147"/>
      <c r="BQ983" s="147"/>
      <c r="BR983" s="147"/>
      <c r="BS983" s="147"/>
      <c r="BT983" s="147"/>
      <c r="BU983" s="147"/>
      <c r="BV983" s="147"/>
      <c r="BW983" s="147"/>
      <c r="BX983" s="147"/>
      <c r="BY983" s="147"/>
      <c r="BZ983" s="147"/>
      <c r="CA983" s="147"/>
      <c r="CB983" s="147"/>
      <c r="CC983" s="147"/>
      <c r="CD983" s="147"/>
      <c r="CE983" s="147"/>
      <c r="CF983" s="147"/>
      <c r="CG983" s="147"/>
      <c r="CH983" s="147"/>
      <c r="CI983" s="147"/>
      <c r="CJ983" s="147"/>
      <c r="CK983" s="147"/>
    </row>
    <row r="984" spans="1:89">
      <c r="A984" s="157"/>
      <c r="F984" s="3"/>
      <c r="G984" s="3"/>
      <c r="L984" s="157"/>
      <c r="M984" s="157"/>
      <c r="O984" s="147"/>
      <c r="P984" s="147"/>
      <c r="Q984" s="147"/>
      <c r="R984" s="147"/>
      <c r="S984" s="147"/>
      <c r="T984" s="147"/>
      <c r="U984" s="147"/>
      <c r="V984" s="147"/>
      <c r="W984" s="147"/>
      <c r="X984" s="147"/>
      <c r="Y984" s="147"/>
      <c r="Z984" s="147"/>
      <c r="AA984" s="147"/>
      <c r="AB984" s="147"/>
      <c r="AC984" s="147"/>
      <c r="AD984" s="147"/>
      <c r="AE984" s="147"/>
      <c r="AF984" s="147"/>
      <c r="AG984" s="147"/>
      <c r="AH984" s="147"/>
      <c r="AI984" s="147"/>
      <c r="AJ984" s="147"/>
      <c r="AK984" s="147"/>
      <c r="AL984" s="147"/>
      <c r="AM984" s="151"/>
      <c r="AN984" s="147"/>
      <c r="AO984" s="147"/>
      <c r="AP984" s="147"/>
      <c r="AQ984" s="147"/>
      <c r="AR984" s="147"/>
      <c r="AS984" s="147"/>
      <c r="AT984" s="147"/>
      <c r="AU984" s="147"/>
      <c r="AV984" s="147"/>
      <c r="AW984" s="147"/>
      <c r="AX984" s="147"/>
      <c r="AY984" s="147"/>
      <c r="AZ984" s="147"/>
      <c r="BA984" s="147"/>
      <c r="BB984" s="147"/>
      <c r="BC984" s="147"/>
      <c r="BD984" s="147"/>
      <c r="BE984" s="147"/>
      <c r="BF984" s="147"/>
      <c r="BG984" s="147"/>
      <c r="BH984" s="147"/>
      <c r="BI984" s="147"/>
      <c r="BJ984" s="147"/>
      <c r="BK984" s="147"/>
      <c r="BL984" s="147"/>
      <c r="BM984" s="147"/>
      <c r="BN984" s="147"/>
      <c r="BO984" s="147"/>
      <c r="BP984" s="147"/>
      <c r="BQ984" s="147"/>
      <c r="BR984" s="147"/>
      <c r="BS984" s="147"/>
      <c r="BT984" s="147"/>
      <c r="BU984" s="147"/>
      <c r="BV984" s="147"/>
      <c r="BW984" s="147"/>
      <c r="BX984" s="147"/>
      <c r="BY984" s="147"/>
      <c r="BZ984" s="147"/>
      <c r="CA984" s="147"/>
      <c r="CB984" s="147"/>
      <c r="CC984" s="147"/>
      <c r="CD984" s="147"/>
      <c r="CE984" s="147"/>
      <c r="CF984" s="147"/>
      <c r="CG984" s="147"/>
      <c r="CH984" s="147"/>
      <c r="CI984" s="147"/>
      <c r="CJ984" s="147"/>
      <c r="CK984" s="147"/>
    </row>
    <row r="985" spans="1:89">
      <c r="A985" s="157"/>
      <c r="F985" s="3"/>
      <c r="G985" s="3"/>
      <c r="L985" s="157"/>
      <c r="M985" s="157"/>
      <c r="O985" s="147"/>
      <c r="P985" s="147"/>
      <c r="Q985" s="147"/>
      <c r="R985" s="147"/>
      <c r="S985" s="147"/>
      <c r="T985" s="147"/>
      <c r="U985" s="147"/>
      <c r="V985" s="147"/>
      <c r="W985" s="147"/>
      <c r="X985" s="147"/>
      <c r="Y985" s="147"/>
      <c r="Z985" s="147"/>
      <c r="AA985" s="147"/>
      <c r="AB985" s="147"/>
      <c r="AC985" s="147"/>
      <c r="AD985" s="147"/>
      <c r="AE985" s="147"/>
      <c r="AF985" s="147"/>
      <c r="AG985" s="147"/>
      <c r="AH985" s="147"/>
      <c r="AI985" s="147"/>
      <c r="AJ985" s="147"/>
      <c r="AK985" s="147"/>
      <c r="AL985" s="147"/>
      <c r="AM985" s="151"/>
      <c r="AN985" s="147"/>
      <c r="AO985" s="147"/>
      <c r="AP985" s="147"/>
      <c r="AQ985" s="147"/>
      <c r="AR985" s="147"/>
      <c r="AS985" s="147"/>
      <c r="AT985" s="147"/>
      <c r="AU985" s="147"/>
      <c r="AV985" s="147"/>
      <c r="AW985" s="147"/>
      <c r="AX985" s="147"/>
      <c r="AY985" s="147"/>
      <c r="AZ985" s="147"/>
      <c r="BA985" s="147"/>
      <c r="BB985" s="147"/>
      <c r="BC985" s="147"/>
      <c r="BD985" s="147"/>
      <c r="BE985" s="147"/>
      <c r="BF985" s="147"/>
      <c r="BG985" s="147"/>
      <c r="BH985" s="147"/>
      <c r="BI985" s="147"/>
      <c r="BJ985" s="147"/>
      <c r="BK985" s="147"/>
      <c r="BL985" s="147"/>
      <c r="BM985" s="147"/>
      <c r="BN985" s="147"/>
      <c r="BO985" s="147"/>
      <c r="BP985" s="147"/>
      <c r="BQ985" s="147"/>
      <c r="BR985" s="147"/>
      <c r="BS985" s="147"/>
      <c r="BT985" s="147"/>
      <c r="BU985" s="147"/>
      <c r="BV985" s="147"/>
      <c r="BW985" s="147"/>
      <c r="BX985" s="147"/>
      <c r="BY985" s="147"/>
      <c r="BZ985" s="147"/>
      <c r="CA985" s="147"/>
      <c r="CB985" s="147"/>
      <c r="CC985" s="147"/>
      <c r="CD985" s="147"/>
      <c r="CE985" s="147"/>
      <c r="CF985" s="147"/>
      <c r="CG985" s="147"/>
      <c r="CH985" s="147"/>
      <c r="CI985" s="147"/>
      <c r="CJ985" s="147"/>
      <c r="CK985" s="147"/>
    </row>
    <row r="986" spans="1:89">
      <c r="A986" s="157"/>
      <c r="F986" s="3"/>
      <c r="G986" s="3"/>
      <c r="L986" s="157"/>
      <c r="M986" s="157"/>
      <c r="O986" s="147"/>
      <c r="P986" s="147"/>
      <c r="Q986" s="147"/>
      <c r="R986" s="147"/>
      <c r="S986" s="147"/>
      <c r="T986" s="147"/>
      <c r="U986" s="147"/>
      <c r="V986" s="147"/>
      <c r="W986" s="147"/>
      <c r="X986" s="147"/>
      <c r="Y986" s="147"/>
      <c r="Z986" s="147"/>
      <c r="AA986" s="147"/>
      <c r="AB986" s="147"/>
      <c r="AC986" s="147"/>
      <c r="AD986" s="147"/>
      <c r="AE986" s="147"/>
      <c r="AF986" s="147"/>
      <c r="AG986" s="147"/>
      <c r="AH986" s="147"/>
      <c r="AI986" s="147"/>
      <c r="AJ986" s="147"/>
      <c r="AK986" s="147"/>
      <c r="AL986" s="147"/>
      <c r="AM986" s="151"/>
      <c r="AN986" s="147"/>
      <c r="AO986" s="147"/>
      <c r="AP986" s="147"/>
      <c r="AQ986" s="147"/>
      <c r="AR986" s="147"/>
      <c r="AS986" s="147"/>
      <c r="AT986" s="147"/>
      <c r="AU986" s="147"/>
      <c r="AV986" s="147"/>
      <c r="AW986" s="147"/>
      <c r="AX986" s="147"/>
      <c r="AY986" s="147"/>
      <c r="AZ986" s="147"/>
      <c r="BA986" s="147"/>
      <c r="BB986" s="147"/>
      <c r="BC986" s="147"/>
      <c r="BD986" s="147"/>
      <c r="BE986" s="147"/>
      <c r="BF986" s="147"/>
      <c r="BG986" s="147"/>
      <c r="BH986" s="147"/>
      <c r="BI986" s="147"/>
      <c r="BJ986" s="147"/>
      <c r="BK986" s="147"/>
      <c r="BL986" s="147"/>
      <c r="BM986" s="147"/>
      <c r="BN986" s="147"/>
      <c r="BO986" s="147"/>
      <c r="BP986" s="147"/>
      <c r="BQ986" s="147"/>
      <c r="BR986" s="147"/>
      <c r="BS986" s="147"/>
      <c r="BT986" s="147"/>
      <c r="BU986" s="147"/>
      <c r="BV986" s="147"/>
      <c r="BW986" s="147"/>
      <c r="BX986" s="147"/>
      <c r="BY986" s="147"/>
      <c r="BZ986" s="147"/>
      <c r="CA986" s="147"/>
      <c r="CB986" s="147"/>
      <c r="CC986" s="147"/>
      <c r="CD986" s="147"/>
      <c r="CE986" s="147"/>
      <c r="CF986" s="147"/>
      <c r="CG986" s="147"/>
      <c r="CH986" s="147"/>
      <c r="CI986" s="147"/>
      <c r="CJ986" s="147"/>
      <c r="CK986" s="147"/>
    </row>
    <row r="987" spans="1:89">
      <c r="A987" s="157"/>
      <c r="F987" s="3"/>
      <c r="G987" s="3"/>
      <c r="L987" s="157"/>
      <c r="M987" s="157"/>
      <c r="O987" s="147"/>
      <c r="P987" s="147"/>
      <c r="Q987" s="147"/>
      <c r="R987" s="147"/>
      <c r="S987" s="147"/>
      <c r="T987" s="147"/>
      <c r="U987" s="147"/>
      <c r="V987" s="147"/>
      <c r="W987" s="147"/>
      <c r="X987" s="147"/>
      <c r="Y987" s="147"/>
      <c r="Z987" s="147"/>
      <c r="AA987" s="147"/>
      <c r="AB987" s="147"/>
      <c r="AC987" s="147"/>
      <c r="AD987" s="147"/>
      <c r="AE987" s="147"/>
      <c r="AF987" s="147"/>
      <c r="AG987" s="147"/>
      <c r="AH987" s="147"/>
      <c r="AI987" s="147"/>
      <c r="AJ987" s="147"/>
      <c r="AK987" s="147"/>
      <c r="AL987" s="147"/>
      <c r="AM987" s="151"/>
      <c r="AN987" s="147"/>
      <c r="AO987" s="147"/>
      <c r="AP987" s="147"/>
      <c r="AQ987" s="147"/>
      <c r="AR987" s="147"/>
      <c r="AS987" s="147"/>
      <c r="AT987" s="147"/>
      <c r="AU987" s="147"/>
      <c r="AV987" s="147"/>
      <c r="AW987" s="147"/>
      <c r="AX987" s="147"/>
      <c r="AY987" s="147"/>
      <c r="AZ987" s="147"/>
      <c r="BA987" s="147"/>
      <c r="BB987" s="147"/>
      <c r="BC987" s="147"/>
      <c r="BD987" s="147"/>
      <c r="BE987" s="147"/>
      <c r="BF987" s="147"/>
      <c r="BG987" s="147"/>
      <c r="BH987" s="147"/>
      <c r="BI987" s="147"/>
      <c r="BJ987" s="147"/>
      <c r="BK987" s="147"/>
      <c r="BL987" s="147"/>
      <c r="BM987" s="147"/>
      <c r="BN987" s="147"/>
      <c r="BO987" s="147"/>
      <c r="BP987" s="147"/>
      <c r="BQ987" s="147"/>
      <c r="BR987" s="147"/>
      <c r="BS987" s="147"/>
      <c r="BT987" s="147"/>
      <c r="BU987" s="147"/>
      <c r="BV987" s="147"/>
      <c r="BW987" s="147"/>
      <c r="BX987" s="147"/>
      <c r="BY987" s="147"/>
      <c r="BZ987" s="147"/>
      <c r="CA987" s="147"/>
      <c r="CB987" s="147"/>
      <c r="CC987" s="147"/>
      <c r="CD987" s="147"/>
      <c r="CE987" s="147"/>
      <c r="CF987" s="147"/>
      <c r="CG987" s="147"/>
      <c r="CH987" s="147"/>
      <c r="CI987" s="147"/>
      <c r="CJ987" s="147"/>
      <c r="CK987" s="147"/>
    </row>
    <row r="988" spans="1:89">
      <c r="A988" s="157"/>
      <c r="F988" s="3"/>
      <c r="G988" s="3"/>
      <c r="L988" s="157"/>
      <c r="M988" s="157"/>
      <c r="O988" s="147"/>
      <c r="P988" s="147"/>
      <c r="Q988" s="147"/>
      <c r="R988" s="147"/>
      <c r="S988" s="147"/>
      <c r="T988" s="147"/>
      <c r="U988" s="147"/>
      <c r="V988" s="147"/>
      <c r="W988" s="147"/>
      <c r="X988" s="147"/>
      <c r="Y988" s="147"/>
      <c r="Z988" s="147"/>
      <c r="AA988" s="147"/>
      <c r="AB988" s="147"/>
      <c r="AC988" s="147"/>
      <c r="AD988" s="147"/>
      <c r="AE988" s="147"/>
      <c r="AF988" s="147"/>
      <c r="AG988" s="147"/>
      <c r="AH988" s="147"/>
      <c r="AI988" s="147"/>
      <c r="AJ988" s="147"/>
      <c r="AK988" s="147"/>
      <c r="AL988" s="147"/>
      <c r="AM988" s="151"/>
      <c r="AN988" s="147"/>
      <c r="AO988" s="147"/>
      <c r="AP988" s="147"/>
      <c r="AQ988" s="147"/>
      <c r="AR988" s="147"/>
      <c r="AS988" s="147"/>
      <c r="AT988" s="147"/>
      <c r="AU988" s="147"/>
      <c r="AV988" s="147"/>
      <c r="AW988" s="147"/>
      <c r="AX988" s="147"/>
      <c r="AY988" s="147"/>
      <c r="AZ988" s="147"/>
      <c r="BA988" s="147"/>
      <c r="BB988" s="147"/>
      <c r="BC988" s="147"/>
      <c r="BD988" s="147"/>
      <c r="BE988" s="147"/>
      <c r="BF988" s="147"/>
      <c r="BG988" s="147"/>
      <c r="BH988" s="147"/>
      <c r="BI988" s="147"/>
      <c r="BJ988" s="147"/>
      <c r="BK988" s="147"/>
      <c r="BL988" s="147"/>
      <c r="BM988" s="147"/>
      <c r="BN988" s="147"/>
      <c r="BO988" s="147"/>
      <c r="BP988" s="147"/>
      <c r="BQ988" s="147"/>
      <c r="BR988" s="147"/>
      <c r="BS988" s="147"/>
      <c r="BT988" s="147"/>
      <c r="BU988" s="147"/>
      <c r="BV988" s="147"/>
      <c r="BW988" s="147"/>
      <c r="BX988" s="147"/>
      <c r="BY988" s="147"/>
      <c r="BZ988" s="147"/>
      <c r="CA988" s="147"/>
      <c r="CB988" s="147"/>
      <c r="CC988" s="147"/>
      <c r="CD988" s="147"/>
      <c r="CE988" s="147"/>
      <c r="CF988" s="147"/>
      <c r="CG988" s="147"/>
      <c r="CH988" s="147"/>
      <c r="CI988" s="147"/>
      <c r="CJ988" s="147"/>
      <c r="CK988" s="147"/>
    </row>
    <row r="989" spans="1:89">
      <c r="A989" s="157"/>
      <c r="F989" s="3"/>
      <c r="G989" s="3"/>
      <c r="L989" s="157"/>
      <c r="M989" s="157"/>
      <c r="O989" s="147"/>
      <c r="P989" s="147"/>
      <c r="Q989" s="147"/>
      <c r="R989" s="147"/>
      <c r="S989" s="147"/>
      <c r="T989" s="147"/>
      <c r="U989" s="147"/>
      <c r="V989" s="147"/>
      <c r="W989" s="147"/>
      <c r="X989" s="147"/>
      <c r="Y989" s="147"/>
      <c r="Z989" s="147"/>
      <c r="AA989" s="147"/>
      <c r="AB989" s="147"/>
      <c r="AC989" s="147"/>
      <c r="AD989" s="147"/>
      <c r="AE989" s="147"/>
      <c r="AF989" s="147"/>
      <c r="AG989" s="147"/>
      <c r="AH989" s="147"/>
      <c r="AI989" s="147"/>
      <c r="AJ989" s="147"/>
      <c r="AK989" s="147"/>
      <c r="AL989" s="147"/>
      <c r="AM989" s="151"/>
      <c r="AN989" s="147"/>
      <c r="AO989" s="147"/>
      <c r="AP989" s="147"/>
      <c r="AQ989" s="147"/>
      <c r="AR989" s="147"/>
      <c r="AS989" s="147"/>
      <c r="AT989" s="147"/>
      <c r="AU989" s="147"/>
      <c r="AV989" s="147"/>
      <c r="AW989" s="147"/>
      <c r="AX989" s="147"/>
      <c r="AY989" s="147"/>
      <c r="AZ989" s="147"/>
      <c r="BA989" s="147"/>
      <c r="BB989" s="147"/>
      <c r="BC989" s="147"/>
      <c r="BD989" s="147"/>
      <c r="BE989" s="147"/>
      <c r="BF989" s="147"/>
      <c r="BG989" s="147"/>
      <c r="BH989" s="147"/>
      <c r="BI989" s="147"/>
      <c r="BJ989" s="147"/>
      <c r="BK989" s="147"/>
      <c r="BL989" s="147"/>
      <c r="BM989" s="147"/>
      <c r="BN989" s="147"/>
      <c r="BO989" s="147"/>
      <c r="BP989" s="147"/>
      <c r="BQ989" s="147"/>
      <c r="BR989" s="147"/>
      <c r="BS989" s="147"/>
      <c r="BT989" s="147"/>
      <c r="BU989" s="147"/>
      <c r="BV989" s="147"/>
      <c r="BW989" s="147"/>
      <c r="BX989" s="147"/>
      <c r="BY989" s="147"/>
      <c r="BZ989" s="147"/>
      <c r="CA989" s="147"/>
      <c r="CB989" s="147"/>
      <c r="CC989" s="147"/>
      <c r="CD989" s="147"/>
      <c r="CE989" s="147"/>
      <c r="CF989" s="147"/>
      <c r="CG989" s="147"/>
      <c r="CH989" s="147"/>
      <c r="CI989" s="147"/>
      <c r="CJ989" s="147"/>
      <c r="CK989" s="147"/>
    </row>
    <row r="990" spans="1:89">
      <c r="A990" s="157"/>
      <c r="F990" s="3"/>
      <c r="G990" s="3"/>
      <c r="L990" s="157"/>
      <c r="M990" s="157"/>
      <c r="O990" s="147"/>
      <c r="P990" s="147"/>
      <c r="Q990" s="147"/>
      <c r="R990" s="147"/>
      <c r="S990" s="147"/>
      <c r="T990" s="147"/>
      <c r="U990" s="147"/>
      <c r="V990" s="147"/>
      <c r="W990" s="147"/>
      <c r="X990" s="147"/>
      <c r="Y990" s="147"/>
      <c r="Z990" s="147"/>
      <c r="AA990" s="147"/>
      <c r="AB990" s="147"/>
      <c r="AC990" s="147"/>
      <c r="AD990" s="147"/>
      <c r="AE990" s="147"/>
      <c r="AF990" s="147"/>
      <c r="AG990" s="147"/>
      <c r="AH990" s="147"/>
      <c r="AI990" s="147"/>
      <c r="AJ990" s="147"/>
      <c r="AK990" s="147"/>
      <c r="AL990" s="147"/>
      <c r="AM990" s="151"/>
      <c r="AN990" s="147"/>
      <c r="AO990" s="147"/>
      <c r="AP990" s="147"/>
      <c r="AQ990" s="147"/>
      <c r="AR990" s="147"/>
      <c r="AS990" s="147"/>
      <c r="AT990" s="147"/>
      <c r="AU990" s="147"/>
      <c r="AV990" s="147"/>
      <c r="AW990" s="147"/>
      <c r="AX990" s="147"/>
      <c r="AY990" s="147"/>
      <c r="AZ990" s="147"/>
      <c r="BA990" s="147"/>
      <c r="BB990" s="147"/>
      <c r="BC990" s="147"/>
      <c r="BD990" s="147"/>
      <c r="BE990" s="147"/>
      <c r="BF990" s="147"/>
      <c r="BG990" s="147"/>
      <c r="BH990" s="147"/>
      <c r="BI990" s="147"/>
      <c r="BJ990" s="147"/>
      <c r="BK990" s="147"/>
      <c r="BL990" s="147"/>
      <c r="BM990" s="147"/>
      <c r="BN990" s="147"/>
      <c r="BO990" s="147"/>
      <c r="BP990" s="147"/>
      <c r="BQ990" s="147"/>
      <c r="BR990" s="147"/>
      <c r="BS990" s="147"/>
      <c r="BT990" s="147"/>
      <c r="BU990" s="147"/>
      <c r="BV990" s="147"/>
      <c r="BW990" s="147"/>
      <c r="BX990" s="147"/>
      <c r="BY990" s="147"/>
      <c r="BZ990" s="147"/>
      <c r="CA990" s="147"/>
      <c r="CB990" s="147"/>
      <c r="CC990" s="147"/>
      <c r="CD990" s="147"/>
      <c r="CE990" s="147"/>
      <c r="CF990" s="147"/>
      <c r="CG990" s="147"/>
      <c r="CH990" s="147"/>
      <c r="CI990" s="147"/>
      <c r="CJ990" s="147"/>
      <c r="CK990" s="147"/>
    </row>
    <row r="991" spans="1:89">
      <c r="A991" s="157"/>
      <c r="F991" s="3"/>
      <c r="G991" s="3"/>
      <c r="L991" s="157"/>
      <c r="M991" s="157"/>
      <c r="O991" s="147"/>
      <c r="P991" s="147"/>
      <c r="Q991" s="147"/>
      <c r="R991" s="147"/>
      <c r="S991" s="147"/>
      <c r="T991" s="147"/>
      <c r="U991" s="147"/>
      <c r="V991" s="147"/>
      <c r="W991" s="147"/>
      <c r="X991" s="147"/>
      <c r="Y991" s="147"/>
      <c r="Z991" s="147"/>
      <c r="AA991" s="147"/>
      <c r="AB991" s="147"/>
      <c r="AC991" s="147"/>
      <c r="AD991" s="147"/>
      <c r="AE991" s="147"/>
      <c r="AF991" s="147"/>
      <c r="AG991" s="147"/>
      <c r="AH991" s="147"/>
      <c r="AI991" s="147"/>
      <c r="AJ991" s="147"/>
      <c r="AK991" s="147"/>
      <c r="AL991" s="147"/>
      <c r="AM991" s="151"/>
      <c r="AN991" s="147"/>
      <c r="AO991" s="147"/>
      <c r="AP991" s="147"/>
      <c r="AQ991" s="147"/>
      <c r="AR991" s="147"/>
      <c r="AS991" s="147"/>
      <c r="AT991" s="147"/>
      <c r="AU991" s="147"/>
      <c r="AV991" s="147"/>
      <c r="AW991" s="147"/>
      <c r="AX991" s="147"/>
      <c r="AY991" s="147"/>
      <c r="AZ991" s="147"/>
      <c r="BA991" s="147"/>
      <c r="BB991" s="147"/>
      <c r="BC991" s="147"/>
      <c r="BD991" s="147"/>
      <c r="BE991" s="147"/>
      <c r="BF991" s="147"/>
      <c r="BG991" s="147"/>
      <c r="BH991" s="147"/>
      <c r="BI991" s="147"/>
      <c r="BJ991" s="147"/>
      <c r="BK991" s="147"/>
      <c r="BL991" s="147"/>
      <c r="BM991" s="147"/>
      <c r="BN991" s="147"/>
      <c r="BO991" s="147"/>
      <c r="BP991" s="147"/>
      <c r="BQ991" s="147"/>
      <c r="BR991" s="147"/>
      <c r="BS991" s="147"/>
      <c r="BT991" s="147"/>
      <c r="BU991" s="147"/>
      <c r="BV991" s="147"/>
      <c r="BW991" s="147"/>
      <c r="BX991" s="147"/>
      <c r="BY991" s="147"/>
      <c r="BZ991" s="147"/>
      <c r="CA991" s="147"/>
      <c r="CB991" s="147"/>
      <c r="CC991" s="147"/>
      <c r="CD991" s="147"/>
      <c r="CE991" s="147"/>
      <c r="CF991" s="147"/>
      <c r="CG991" s="147"/>
      <c r="CH991" s="147"/>
      <c r="CI991" s="147"/>
      <c r="CJ991" s="147"/>
      <c r="CK991" s="147"/>
    </row>
    <row r="992" spans="1:89">
      <c r="A992" s="157"/>
      <c r="F992" s="3"/>
      <c r="G992" s="3"/>
      <c r="L992" s="157"/>
      <c r="M992" s="157"/>
      <c r="O992" s="147"/>
      <c r="P992" s="147"/>
      <c r="Q992" s="147"/>
      <c r="R992" s="147"/>
      <c r="S992" s="147"/>
      <c r="T992" s="147"/>
      <c r="U992" s="147"/>
      <c r="V992" s="147"/>
      <c r="W992" s="147"/>
      <c r="X992" s="147"/>
      <c r="Y992" s="147"/>
      <c r="Z992" s="147"/>
      <c r="AA992" s="147"/>
      <c r="AB992" s="147"/>
      <c r="AC992" s="147"/>
      <c r="AD992" s="147"/>
      <c r="AE992" s="147"/>
      <c r="AF992" s="147"/>
      <c r="AG992" s="147"/>
      <c r="AH992" s="147"/>
      <c r="AI992" s="147"/>
      <c r="AJ992" s="147"/>
      <c r="AK992" s="147"/>
      <c r="AL992" s="147"/>
      <c r="AM992" s="151"/>
      <c r="AN992" s="147"/>
      <c r="AO992" s="147"/>
      <c r="AP992" s="147"/>
      <c r="AQ992" s="147"/>
      <c r="AR992" s="147"/>
      <c r="AS992" s="147"/>
      <c r="AT992" s="147"/>
      <c r="AU992" s="147"/>
      <c r="AV992" s="147"/>
      <c r="AW992" s="147"/>
      <c r="AX992" s="147"/>
      <c r="AY992" s="147"/>
      <c r="AZ992" s="147"/>
      <c r="BA992" s="147"/>
      <c r="BB992" s="147"/>
      <c r="BC992" s="147"/>
      <c r="BD992" s="147"/>
      <c r="BE992" s="147"/>
      <c r="BF992" s="147"/>
      <c r="BG992" s="147"/>
      <c r="BH992" s="147"/>
      <c r="BI992" s="147"/>
      <c r="BJ992" s="147"/>
      <c r="BK992" s="147"/>
      <c r="BL992" s="147"/>
      <c r="BM992" s="147"/>
      <c r="BN992" s="147"/>
      <c r="BO992" s="147"/>
      <c r="BP992" s="147"/>
      <c r="BQ992" s="147"/>
      <c r="BR992" s="147"/>
      <c r="BS992" s="147"/>
      <c r="BT992" s="147"/>
      <c r="BU992" s="147"/>
      <c r="BV992" s="147"/>
      <c r="BW992" s="147"/>
      <c r="BX992" s="147"/>
      <c r="BY992" s="147"/>
      <c r="BZ992" s="147"/>
      <c r="CA992" s="147"/>
      <c r="CB992" s="147"/>
      <c r="CC992" s="147"/>
      <c r="CD992" s="147"/>
      <c r="CE992" s="147"/>
      <c r="CF992" s="147"/>
      <c r="CG992" s="147"/>
      <c r="CH992" s="147"/>
      <c r="CI992" s="147"/>
      <c r="CJ992" s="147"/>
      <c r="CK992" s="147"/>
    </row>
    <row r="993" spans="1:89">
      <c r="A993" s="157"/>
      <c r="F993" s="3"/>
      <c r="G993" s="3"/>
      <c r="L993" s="157"/>
      <c r="M993" s="157"/>
      <c r="O993" s="147"/>
      <c r="P993" s="147"/>
      <c r="Q993" s="147"/>
      <c r="R993" s="147"/>
      <c r="S993" s="147"/>
      <c r="T993" s="147"/>
      <c r="U993" s="147"/>
      <c r="V993" s="147"/>
      <c r="W993" s="147"/>
      <c r="X993" s="147"/>
      <c r="Y993" s="147"/>
      <c r="Z993" s="147"/>
      <c r="AA993" s="147"/>
      <c r="AB993" s="147"/>
      <c r="AC993" s="147"/>
      <c r="AD993" s="147"/>
      <c r="AE993" s="147"/>
      <c r="AF993" s="147"/>
      <c r="AG993" s="147"/>
      <c r="AH993" s="147"/>
      <c r="AI993" s="147"/>
      <c r="AJ993" s="147"/>
      <c r="AK993" s="147"/>
      <c r="AL993" s="147"/>
      <c r="AM993" s="151"/>
      <c r="AN993" s="147"/>
      <c r="AO993" s="147"/>
      <c r="AP993" s="147"/>
      <c r="AQ993" s="147"/>
      <c r="AR993" s="147"/>
      <c r="AS993" s="147"/>
      <c r="AT993" s="147"/>
      <c r="AU993" s="147"/>
      <c r="AV993" s="147"/>
      <c r="AW993" s="147"/>
      <c r="AX993" s="147"/>
      <c r="AY993" s="147"/>
      <c r="AZ993" s="147"/>
      <c r="BA993" s="147"/>
      <c r="BB993" s="147"/>
      <c r="BC993" s="147"/>
      <c r="BD993" s="147"/>
      <c r="BE993" s="147"/>
      <c r="BF993" s="147"/>
      <c r="BG993" s="147"/>
      <c r="BH993" s="147"/>
      <c r="BI993" s="147"/>
      <c r="BJ993" s="147"/>
      <c r="BK993" s="147"/>
      <c r="BL993" s="147"/>
      <c r="BM993" s="147"/>
      <c r="BN993" s="147"/>
      <c r="BO993" s="147"/>
      <c r="BP993" s="147"/>
      <c r="BQ993" s="147"/>
      <c r="BR993" s="147"/>
      <c r="BS993" s="147"/>
      <c r="BT993" s="147"/>
      <c r="BU993" s="147"/>
      <c r="BV993" s="147"/>
      <c r="BW993" s="147"/>
      <c r="BX993" s="147"/>
      <c r="BY993" s="147"/>
      <c r="BZ993" s="147"/>
      <c r="CA993" s="147"/>
      <c r="CB993" s="147"/>
      <c r="CC993" s="147"/>
      <c r="CD993" s="147"/>
      <c r="CE993" s="147"/>
      <c r="CF993" s="147"/>
      <c r="CG993" s="147"/>
      <c r="CH993" s="147"/>
      <c r="CI993" s="147"/>
      <c r="CJ993" s="147"/>
      <c r="CK993" s="147"/>
    </row>
    <row r="994" spans="1:89">
      <c r="A994" s="157"/>
      <c r="F994" s="3"/>
      <c r="G994" s="3"/>
      <c r="L994" s="157"/>
      <c r="M994" s="157"/>
      <c r="O994" s="147"/>
      <c r="P994" s="147"/>
      <c r="Q994" s="147"/>
      <c r="R994" s="147"/>
      <c r="S994" s="147"/>
      <c r="T994" s="147"/>
      <c r="U994" s="147"/>
      <c r="V994" s="147"/>
      <c r="W994" s="147"/>
      <c r="X994" s="147"/>
      <c r="Y994" s="147"/>
      <c r="Z994" s="147"/>
      <c r="AA994" s="147"/>
      <c r="AB994" s="147"/>
      <c r="AC994" s="147"/>
      <c r="AD994" s="147"/>
      <c r="AE994" s="147"/>
      <c r="AF994" s="147"/>
      <c r="AG994" s="147"/>
      <c r="AH994" s="147"/>
      <c r="AI994" s="147"/>
      <c r="AJ994" s="147"/>
      <c r="AK994" s="147"/>
      <c r="AL994" s="147"/>
      <c r="AM994" s="151"/>
      <c r="AN994" s="147"/>
      <c r="AO994" s="147"/>
      <c r="AP994" s="147"/>
      <c r="AQ994" s="147"/>
      <c r="AR994" s="147"/>
      <c r="AS994" s="147"/>
      <c r="AT994" s="147"/>
      <c r="AU994" s="147"/>
      <c r="AV994" s="147"/>
      <c r="AW994" s="147"/>
      <c r="AX994" s="147"/>
      <c r="AY994" s="147"/>
      <c r="AZ994" s="147"/>
      <c r="BA994" s="147"/>
      <c r="BB994" s="147"/>
      <c r="BC994" s="147"/>
      <c r="BD994" s="147"/>
      <c r="BE994" s="147"/>
      <c r="BF994" s="147"/>
      <c r="BG994" s="147"/>
      <c r="BH994" s="147"/>
      <c r="BI994" s="147"/>
      <c r="BJ994" s="147"/>
      <c r="BK994" s="147"/>
      <c r="BL994" s="147"/>
      <c r="BM994" s="147"/>
      <c r="BN994" s="147"/>
      <c r="BO994" s="147"/>
      <c r="BP994" s="147"/>
      <c r="BQ994" s="147"/>
      <c r="BR994" s="147"/>
      <c r="BS994" s="147"/>
      <c r="BT994" s="147"/>
      <c r="BU994" s="147"/>
      <c r="BV994" s="147"/>
      <c r="BW994" s="147"/>
      <c r="BX994" s="147"/>
      <c r="BY994" s="147"/>
      <c r="BZ994" s="147"/>
      <c r="CA994" s="147"/>
      <c r="CB994" s="147"/>
      <c r="CC994" s="147"/>
      <c r="CD994" s="147"/>
      <c r="CE994" s="147"/>
      <c r="CF994" s="147"/>
      <c r="CG994" s="147"/>
      <c r="CH994" s="147"/>
      <c r="CI994" s="147"/>
      <c r="CJ994" s="147"/>
      <c r="CK994" s="147"/>
    </row>
    <row r="995" spans="1:89">
      <c r="A995" s="157"/>
      <c r="F995" s="3"/>
      <c r="G995" s="3"/>
      <c r="L995" s="157"/>
      <c r="M995" s="157"/>
      <c r="O995" s="147"/>
      <c r="P995" s="147"/>
      <c r="Q995" s="147"/>
      <c r="R995" s="147"/>
      <c r="S995" s="147"/>
      <c r="T995" s="147"/>
      <c r="U995" s="147"/>
      <c r="V995" s="147"/>
      <c r="W995" s="147"/>
      <c r="X995" s="147"/>
      <c r="Y995" s="147"/>
      <c r="Z995" s="147"/>
      <c r="AA995" s="147"/>
      <c r="AB995" s="147"/>
      <c r="AC995" s="147"/>
      <c r="AD995" s="147"/>
      <c r="AE995" s="147"/>
      <c r="AF995" s="147"/>
      <c r="AG995" s="147"/>
      <c r="AH995" s="147"/>
      <c r="AI995" s="147"/>
      <c r="AJ995" s="147"/>
      <c r="AK995" s="147"/>
      <c r="AL995" s="147"/>
      <c r="AM995" s="151"/>
      <c r="AN995" s="147"/>
      <c r="AO995" s="147"/>
      <c r="AP995" s="147"/>
      <c r="AQ995" s="147"/>
      <c r="AR995" s="147"/>
      <c r="AS995" s="147"/>
      <c r="AT995" s="147"/>
      <c r="AU995" s="147"/>
      <c r="AV995" s="147"/>
      <c r="AW995" s="147"/>
      <c r="AX995" s="147"/>
      <c r="AY995" s="147"/>
      <c r="AZ995" s="147"/>
      <c r="BA995" s="147"/>
      <c r="BB995" s="147"/>
      <c r="BC995" s="147"/>
      <c r="BD995" s="147"/>
      <c r="BE995" s="147"/>
      <c r="BF995" s="147"/>
      <c r="BG995" s="147"/>
      <c r="BH995" s="147"/>
      <c r="BI995" s="147"/>
      <c r="BJ995" s="147"/>
      <c r="BK995" s="147"/>
      <c r="BL995" s="147"/>
      <c r="BM995" s="147"/>
      <c r="BN995" s="147"/>
      <c r="BO995" s="147"/>
      <c r="BP995" s="147"/>
      <c r="BQ995" s="147"/>
      <c r="BR995" s="147"/>
      <c r="BS995" s="147"/>
      <c r="BT995" s="147"/>
      <c r="BU995" s="147"/>
      <c r="BV995" s="147"/>
      <c r="BW995" s="147"/>
      <c r="BX995" s="147"/>
      <c r="BY995" s="147"/>
      <c r="BZ995" s="147"/>
      <c r="CA995" s="147"/>
      <c r="CB995" s="147"/>
      <c r="CC995" s="147"/>
      <c r="CD995" s="147"/>
      <c r="CE995" s="147"/>
      <c r="CF995" s="147"/>
      <c r="CG995" s="147"/>
      <c r="CH995" s="147"/>
      <c r="CI995" s="147"/>
      <c r="CJ995" s="147"/>
      <c r="CK995" s="147"/>
    </row>
    <row r="996" spans="1:89">
      <c r="A996" s="157"/>
      <c r="F996" s="3"/>
      <c r="G996" s="3"/>
      <c r="L996" s="157"/>
      <c r="M996" s="157"/>
      <c r="O996" s="147"/>
      <c r="P996" s="147"/>
      <c r="Q996" s="147"/>
      <c r="R996" s="147"/>
      <c r="S996" s="147"/>
      <c r="T996" s="147"/>
      <c r="U996" s="147"/>
      <c r="V996" s="147"/>
      <c r="W996" s="147"/>
      <c r="X996" s="147"/>
      <c r="Y996" s="147"/>
      <c r="Z996" s="147"/>
      <c r="AA996" s="147"/>
      <c r="AB996" s="147"/>
      <c r="AC996" s="147"/>
      <c r="AD996" s="147"/>
      <c r="AE996" s="147"/>
      <c r="AF996" s="147"/>
      <c r="AG996" s="147"/>
      <c r="AH996" s="147"/>
      <c r="AI996" s="147"/>
      <c r="AJ996" s="147"/>
      <c r="AK996" s="147"/>
      <c r="AL996" s="147"/>
      <c r="AM996" s="151"/>
      <c r="AN996" s="147"/>
      <c r="AO996" s="147"/>
      <c r="AP996" s="147"/>
      <c r="AQ996" s="147"/>
      <c r="AR996" s="147"/>
      <c r="AS996" s="147"/>
      <c r="AT996" s="147"/>
      <c r="AU996" s="147"/>
      <c r="AV996" s="147"/>
      <c r="AW996" s="147"/>
      <c r="AX996" s="147"/>
      <c r="AY996" s="147"/>
      <c r="AZ996" s="147"/>
      <c r="BA996" s="147"/>
      <c r="BB996" s="147"/>
      <c r="BC996" s="147"/>
      <c r="BD996" s="147"/>
      <c r="BE996" s="147"/>
      <c r="BF996" s="147"/>
      <c r="BG996" s="147"/>
      <c r="BH996" s="147"/>
      <c r="BI996" s="147"/>
      <c r="BJ996" s="147"/>
      <c r="BK996" s="147"/>
      <c r="BL996" s="147"/>
      <c r="BM996" s="147"/>
      <c r="BN996" s="147"/>
      <c r="BO996" s="147"/>
      <c r="BP996" s="147"/>
      <c r="BQ996" s="147"/>
      <c r="BR996" s="147"/>
      <c r="BS996" s="147"/>
      <c r="BT996" s="147"/>
      <c r="BU996" s="147"/>
      <c r="BV996" s="147"/>
      <c r="BW996" s="147"/>
      <c r="BX996" s="147"/>
      <c r="BY996" s="147"/>
      <c r="BZ996" s="147"/>
      <c r="CA996" s="147"/>
      <c r="CB996" s="147"/>
      <c r="CC996" s="147"/>
      <c r="CD996" s="147"/>
      <c r="CE996" s="147"/>
      <c r="CF996" s="147"/>
      <c r="CG996" s="147"/>
      <c r="CH996" s="147"/>
      <c r="CI996" s="147"/>
      <c r="CJ996" s="147"/>
      <c r="CK996" s="147"/>
    </row>
    <row r="997" spans="1:89">
      <c r="A997" s="157"/>
      <c r="F997" s="3"/>
      <c r="G997" s="3"/>
      <c r="L997" s="157"/>
      <c r="M997" s="157"/>
      <c r="O997" s="147"/>
      <c r="P997" s="147"/>
      <c r="Q997" s="147"/>
      <c r="R997" s="147"/>
      <c r="S997" s="147"/>
      <c r="T997" s="147"/>
      <c r="U997" s="147"/>
      <c r="V997" s="147"/>
      <c r="W997" s="147"/>
      <c r="X997" s="147"/>
      <c r="Y997" s="147"/>
      <c r="Z997" s="147"/>
      <c r="AA997" s="147"/>
      <c r="AB997" s="147"/>
      <c r="AC997" s="147"/>
      <c r="AD997" s="147"/>
      <c r="AE997" s="147"/>
      <c r="AF997" s="147"/>
      <c r="AG997" s="147"/>
      <c r="AH997" s="147"/>
      <c r="AI997" s="147"/>
      <c r="AJ997" s="147"/>
      <c r="AK997" s="147"/>
      <c r="AL997" s="147"/>
      <c r="AM997" s="151"/>
      <c r="AN997" s="147"/>
      <c r="AO997" s="147"/>
      <c r="AP997" s="147"/>
      <c r="AQ997" s="147"/>
      <c r="AR997" s="147"/>
      <c r="AS997" s="147"/>
      <c r="AT997" s="147"/>
      <c r="AU997" s="147"/>
      <c r="AV997" s="147"/>
      <c r="AW997" s="147"/>
      <c r="AX997" s="147"/>
      <c r="AY997" s="147"/>
      <c r="AZ997" s="147"/>
      <c r="BA997" s="147"/>
      <c r="BB997" s="147"/>
      <c r="BC997" s="147"/>
      <c r="BD997" s="147"/>
      <c r="BE997" s="147"/>
      <c r="BF997" s="147"/>
      <c r="BG997" s="147"/>
      <c r="BH997" s="147"/>
      <c r="BI997" s="147"/>
      <c r="BJ997" s="147"/>
      <c r="BK997" s="147"/>
      <c r="BL997" s="147"/>
      <c r="BM997" s="147"/>
      <c r="BN997" s="147"/>
      <c r="BO997" s="147"/>
      <c r="BP997" s="147"/>
      <c r="BQ997" s="147"/>
      <c r="BR997" s="147"/>
      <c r="BS997" s="147"/>
      <c r="BT997" s="147"/>
      <c r="BU997" s="147"/>
      <c r="BV997" s="147"/>
      <c r="BW997" s="147"/>
      <c r="BX997" s="147"/>
      <c r="BY997" s="147"/>
      <c r="BZ997" s="147"/>
      <c r="CA997" s="147"/>
      <c r="CB997" s="147"/>
      <c r="CC997" s="147"/>
      <c r="CD997" s="147"/>
      <c r="CE997" s="147"/>
      <c r="CF997" s="147"/>
      <c r="CG997" s="147"/>
      <c r="CH997" s="147"/>
      <c r="CI997" s="147"/>
      <c r="CJ997" s="147"/>
      <c r="CK997" s="147"/>
    </row>
    <row r="998" spans="1:89">
      <c r="A998" s="157"/>
      <c r="F998" s="3"/>
      <c r="G998" s="3"/>
      <c r="L998" s="157"/>
      <c r="M998" s="157"/>
      <c r="O998" s="147"/>
      <c r="P998" s="147"/>
      <c r="Q998" s="147"/>
      <c r="R998" s="147"/>
      <c r="S998" s="147"/>
      <c r="T998" s="147"/>
      <c r="U998" s="147"/>
      <c r="V998" s="147"/>
      <c r="W998" s="147"/>
      <c r="X998" s="147"/>
      <c r="Y998" s="147"/>
      <c r="Z998" s="147"/>
      <c r="AA998" s="147"/>
      <c r="AB998" s="147"/>
      <c r="AC998" s="147"/>
      <c r="AD998" s="147"/>
      <c r="AE998" s="147"/>
      <c r="AF998" s="147"/>
      <c r="AG998" s="147"/>
      <c r="AH998" s="147"/>
      <c r="AI998" s="147"/>
      <c r="AJ998" s="147"/>
      <c r="AK998" s="147"/>
      <c r="AL998" s="147"/>
      <c r="AM998" s="151"/>
      <c r="AN998" s="147"/>
      <c r="AO998" s="147"/>
      <c r="AP998" s="147"/>
      <c r="AQ998" s="147"/>
      <c r="AR998" s="147"/>
      <c r="AS998" s="147"/>
      <c r="AT998" s="147"/>
      <c r="AU998" s="147"/>
      <c r="AV998" s="147"/>
      <c r="AW998" s="147"/>
      <c r="AX998" s="147"/>
      <c r="AY998" s="147"/>
      <c r="AZ998" s="147"/>
      <c r="BA998" s="147"/>
      <c r="BB998" s="147"/>
      <c r="BC998" s="147"/>
      <c r="BD998" s="147"/>
      <c r="BE998" s="147"/>
      <c r="BF998" s="147"/>
      <c r="BG998" s="147"/>
      <c r="BH998" s="147"/>
      <c r="BI998" s="147"/>
      <c r="BJ998" s="147"/>
      <c r="BK998" s="147"/>
      <c r="BL998" s="147"/>
      <c r="BM998" s="147"/>
      <c r="BN998" s="147"/>
      <c r="BO998" s="147"/>
      <c r="BP998" s="147"/>
      <c r="BQ998" s="147"/>
      <c r="BR998" s="147"/>
      <c r="BS998" s="147"/>
      <c r="BT998" s="147"/>
      <c r="BU998" s="147"/>
      <c r="BV998" s="147"/>
      <c r="BW998" s="147"/>
      <c r="BX998" s="147"/>
      <c r="BY998" s="147"/>
      <c r="BZ998" s="147"/>
      <c r="CA998" s="147"/>
      <c r="CB998" s="147"/>
      <c r="CC998" s="147"/>
      <c r="CD998" s="147"/>
      <c r="CE998" s="147"/>
      <c r="CF998" s="147"/>
      <c r="CG998" s="147"/>
      <c r="CH998" s="147"/>
      <c r="CI998" s="147"/>
      <c r="CJ998" s="147"/>
      <c r="CK998" s="147"/>
    </row>
    <row r="999" spans="1:89">
      <c r="A999" s="157"/>
      <c r="F999" s="3"/>
      <c r="G999" s="3"/>
      <c r="L999" s="157"/>
      <c r="M999" s="157"/>
      <c r="O999" s="147"/>
      <c r="P999" s="147"/>
      <c r="Q999" s="147"/>
      <c r="R999" s="147"/>
      <c r="S999" s="147"/>
      <c r="T999" s="147"/>
      <c r="U999" s="147"/>
      <c r="V999" s="147"/>
      <c r="W999" s="147"/>
      <c r="X999" s="147"/>
      <c r="Y999" s="147"/>
      <c r="Z999" s="147"/>
      <c r="AA999" s="147"/>
      <c r="AB999" s="147"/>
      <c r="AC999" s="147"/>
      <c r="AD999" s="147"/>
      <c r="AE999" s="147"/>
      <c r="AF999" s="147"/>
      <c r="AG999" s="147"/>
      <c r="AH999" s="147"/>
      <c r="AI999" s="147"/>
      <c r="AJ999" s="147"/>
      <c r="AK999" s="147"/>
      <c r="AL999" s="147"/>
      <c r="AM999" s="151"/>
      <c r="AN999" s="147"/>
      <c r="AO999" s="147"/>
      <c r="AP999" s="147"/>
      <c r="AQ999" s="147"/>
      <c r="AR999" s="147"/>
      <c r="AS999" s="147"/>
      <c r="AT999" s="147"/>
      <c r="AU999" s="147"/>
      <c r="AV999" s="147"/>
      <c r="AW999" s="147"/>
      <c r="AX999" s="147"/>
      <c r="AY999" s="147"/>
      <c r="AZ999" s="147"/>
      <c r="BA999" s="147"/>
      <c r="BB999" s="147"/>
      <c r="BC999" s="147"/>
      <c r="BD999" s="147"/>
      <c r="BE999" s="147"/>
      <c r="BF999" s="147"/>
      <c r="BG999" s="147"/>
      <c r="BH999" s="147"/>
      <c r="BI999" s="147"/>
      <c r="BJ999" s="147"/>
      <c r="BK999" s="147"/>
      <c r="BL999" s="147"/>
      <c r="BM999" s="147"/>
      <c r="BN999" s="147"/>
      <c r="BO999" s="147"/>
      <c r="BP999" s="147"/>
      <c r="BQ999" s="147"/>
      <c r="BR999" s="147"/>
      <c r="BS999" s="147"/>
      <c r="BT999" s="147"/>
      <c r="BU999" s="147"/>
      <c r="BV999" s="147"/>
      <c r="BW999" s="147"/>
      <c r="BX999" s="147"/>
      <c r="BY999" s="147"/>
      <c r="BZ999" s="147"/>
      <c r="CA999" s="147"/>
      <c r="CB999" s="147"/>
      <c r="CC999" s="147"/>
      <c r="CD999" s="147"/>
      <c r="CE999" s="147"/>
      <c r="CF999" s="147"/>
      <c r="CG999" s="147"/>
      <c r="CH999" s="147"/>
      <c r="CI999" s="147"/>
      <c r="CJ999" s="147"/>
      <c r="CK999" s="147"/>
    </row>
    <row r="1000" spans="1:89">
      <c r="A1000" s="157"/>
      <c r="F1000" s="3"/>
      <c r="G1000" s="3"/>
      <c r="L1000" s="157"/>
      <c r="M1000" s="157"/>
      <c r="O1000" s="147"/>
      <c r="P1000" s="147"/>
      <c r="Q1000" s="147"/>
      <c r="R1000" s="147"/>
      <c r="S1000" s="147"/>
      <c r="T1000" s="147"/>
      <c r="U1000" s="147"/>
      <c r="V1000" s="147"/>
      <c r="W1000" s="147"/>
      <c r="X1000" s="147"/>
      <c r="Y1000" s="147"/>
      <c r="Z1000" s="147"/>
      <c r="AA1000" s="147"/>
      <c r="AB1000" s="147"/>
      <c r="AC1000" s="147"/>
      <c r="AD1000" s="147"/>
      <c r="AE1000" s="147"/>
      <c r="AF1000" s="147"/>
      <c r="AG1000" s="147"/>
      <c r="AH1000" s="147"/>
      <c r="AI1000" s="147"/>
      <c r="AJ1000" s="147"/>
      <c r="AK1000" s="147"/>
      <c r="AL1000" s="147"/>
      <c r="AM1000" s="151"/>
      <c r="AN1000" s="147"/>
      <c r="AO1000" s="147"/>
      <c r="AP1000" s="147"/>
      <c r="AQ1000" s="147"/>
      <c r="AR1000" s="147"/>
      <c r="AS1000" s="147"/>
      <c r="AT1000" s="147"/>
      <c r="AU1000" s="147"/>
      <c r="AV1000" s="147"/>
      <c r="AW1000" s="147"/>
      <c r="AX1000" s="147"/>
      <c r="AY1000" s="147"/>
      <c r="AZ1000" s="147"/>
      <c r="BA1000" s="147"/>
      <c r="BB1000" s="147"/>
      <c r="BC1000" s="147"/>
      <c r="BD1000" s="147"/>
      <c r="BE1000" s="147"/>
      <c r="BF1000" s="147"/>
      <c r="BG1000" s="147"/>
      <c r="BH1000" s="147"/>
      <c r="BI1000" s="147"/>
      <c r="BJ1000" s="147"/>
      <c r="BK1000" s="147"/>
      <c r="BL1000" s="147"/>
      <c r="BM1000" s="147"/>
      <c r="BN1000" s="147"/>
      <c r="BO1000" s="147"/>
      <c r="BP1000" s="147"/>
      <c r="BQ1000" s="147"/>
      <c r="BR1000" s="147"/>
      <c r="BS1000" s="147"/>
      <c r="BT1000" s="147"/>
      <c r="BU1000" s="147"/>
      <c r="BV1000" s="147"/>
      <c r="BW1000" s="147"/>
      <c r="BX1000" s="147"/>
      <c r="BY1000" s="147"/>
      <c r="BZ1000" s="147"/>
      <c r="CA1000" s="147"/>
      <c r="CB1000" s="147"/>
      <c r="CC1000" s="147"/>
      <c r="CD1000" s="147"/>
      <c r="CE1000" s="147"/>
      <c r="CF1000" s="147"/>
      <c r="CG1000" s="147"/>
      <c r="CH1000" s="147"/>
      <c r="CI1000" s="147"/>
      <c r="CJ1000" s="147"/>
      <c r="CK1000" s="147"/>
    </row>
    <row r="1001" spans="1:89">
      <c r="A1001" s="157"/>
      <c r="F1001" s="3"/>
      <c r="G1001" s="3"/>
      <c r="L1001" s="157"/>
      <c r="M1001" s="157"/>
      <c r="O1001" s="147"/>
      <c r="P1001" s="147"/>
      <c r="Q1001" s="147"/>
      <c r="R1001" s="147"/>
      <c r="S1001" s="147"/>
      <c r="T1001" s="147"/>
      <c r="U1001" s="147"/>
      <c r="V1001" s="147"/>
      <c r="W1001" s="147"/>
      <c r="X1001" s="147"/>
      <c r="Y1001" s="147"/>
      <c r="Z1001" s="147"/>
      <c r="AA1001" s="147"/>
      <c r="AB1001" s="147"/>
      <c r="AC1001" s="147"/>
      <c r="AD1001" s="147"/>
      <c r="AE1001" s="147"/>
      <c r="AF1001" s="147"/>
      <c r="AG1001" s="147"/>
      <c r="AH1001" s="147"/>
      <c r="AI1001" s="147"/>
      <c r="AJ1001" s="147"/>
      <c r="AK1001" s="147"/>
      <c r="AL1001" s="147"/>
      <c r="AM1001" s="151"/>
      <c r="AN1001" s="147"/>
      <c r="AO1001" s="147"/>
      <c r="AP1001" s="147"/>
      <c r="AQ1001" s="147"/>
      <c r="AR1001" s="147"/>
      <c r="AS1001" s="147"/>
      <c r="AT1001" s="147"/>
      <c r="AU1001" s="147"/>
      <c r="AV1001" s="147"/>
      <c r="AW1001" s="147"/>
      <c r="AX1001" s="147"/>
      <c r="AY1001" s="147"/>
      <c r="AZ1001" s="147"/>
      <c r="BA1001" s="147"/>
      <c r="BB1001" s="147"/>
      <c r="BC1001" s="147"/>
      <c r="BD1001" s="147"/>
      <c r="BE1001" s="147"/>
      <c r="BF1001" s="147"/>
      <c r="BG1001" s="147"/>
      <c r="BH1001" s="147"/>
      <c r="BI1001" s="147"/>
      <c r="BJ1001" s="147"/>
      <c r="BK1001" s="147"/>
      <c r="BL1001" s="147"/>
      <c r="BM1001" s="147"/>
      <c r="BN1001" s="147"/>
      <c r="BO1001" s="147"/>
      <c r="BP1001" s="147"/>
      <c r="BQ1001" s="147"/>
      <c r="BR1001" s="147"/>
      <c r="BS1001" s="147"/>
      <c r="BT1001" s="147"/>
      <c r="BU1001" s="147"/>
      <c r="BV1001" s="147"/>
      <c r="BW1001" s="147"/>
      <c r="BX1001" s="147"/>
      <c r="BY1001" s="147"/>
      <c r="BZ1001" s="147"/>
      <c r="CA1001" s="147"/>
      <c r="CB1001" s="147"/>
      <c r="CC1001" s="147"/>
      <c r="CD1001" s="147"/>
      <c r="CE1001" s="147"/>
      <c r="CF1001" s="147"/>
      <c r="CG1001" s="147"/>
      <c r="CH1001" s="147"/>
      <c r="CI1001" s="147"/>
      <c r="CJ1001" s="147"/>
      <c r="CK1001" s="147"/>
    </row>
    <row r="1002" spans="1:89">
      <c r="A1002" s="157"/>
      <c r="F1002" s="3"/>
      <c r="G1002" s="3"/>
      <c r="L1002" s="157"/>
      <c r="M1002" s="157"/>
      <c r="O1002" s="147"/>
      <c r="P1002" s="147"/>
      <c r="Q1002" s="147"/>
      <c r="R1002" s="147"/>
      <c r="S1002" s="147"/>
      <c r="T1002" s="147"/>
      <c r="U1002" s="147"/>
      <c r="V1002" s="147"/>
      <c r="W1002" s="147"/>
      <c r="X1002" s="147"/>
      <c r="Y1002" s="147"/>
      <c r="Z1002" s="147"/>
      <c r="AA1002" s="147"/>
      <c r="AB1002" s="147"/>
      <c r="AC1002" s="147"/>
      <c r="AD1002" s="147"/>
      <c r="AE1002" s="147"/>
      <c r="AF1002" s="147"/>
      <c r="AG1002" s="147"/>
      <c r="AH1002" s="147"/>
      <c r="AI1002" s="147"/>
      <c r="AJ1002" s="147"/>
      <c r="AK1002" s="147"/>
      <c r="AL1002" s="147"/>
      <c r="AM1002" s="151"/>
      <c r="AN1002" s="147"/>
      <c r="AO1002" s="147"/>
      <c r="AP1002" s="147"/>
      <c r="AQ1002" s="147"/>
      <c r="AR1002" s="147"/>
      <c r="AS1002" s="147"/>
      <c r="AT1002" s="147"/>
      <c r="AU1002" s="147"/>
      <c r="AV1002" s="147"/>
      <c r="AW1002" s="147"/>
      <c r="AX1002" s="147"/>
      <c r="AY1002" s="147"/>
      <c r="AZ1002" s="147"/>
      <c r="BA1002" s="147"/>
      <c r="BB1002" s="147"/>
      <c r="BC1002" s="147"/>
      <c r="BD1002" s="147"/>
      <c r="BE1002" s="147"/>
      <c r="BF1002" s="147"/>
      <c r="BG1002" s="147"/>
      <c r="BH1002" s="147"/>
      <c r="BI1002" s="147"/>
      <c r="BJ1002" s="147"/>
      <c r="BK1002" s="147"/>
      <c r="BL1002" s="147"/>
      <c r="BM1002" s="147"/>
      <c r="BN1002" s="147"/>
      <c r="BO1002" s="147"/>
      <c r="BP1002" s="147"/>
      <c r="BQ1002" s="147"/>
      <c r="BR1002" s="147"/>
      <c r="BS1002" s="147"/>
      <c r="BT1002" s="147"/>
      <c r="BU1002" s="147"/>
      <c r="BV1002" s="147"/>
      <c r="BW1002" s="147"/>
      <c r="BX1002" s="147"/>
      <c r="BY1002" s="147"/>
      <c r="BZ1002" s="147"/>
      <c r="CA1002" s="147"/>
      <c r="CB1002" s="147"/>
      <c r="CC1002" s="147"/>
      <c r="CD1002" s="147"/>
      <c r="CE1002" s="147"/>
      <c r="CF1002" s="147"/>
      <c r="CG1002" s="147"/>
      <c r="CH1002" s="147"/>
      <c r="CI1002" s="147"/>
      <c r="CJ1002" s="147"/>
      <c r="CK1002" s="147"/>
    </row>
    <row r="1003" spans="1:89">
      <c r="A1003" s="157"/>
      <c r="F1003" s="3"/>
      <c r="G1003" s="3"/>
      <c r="L1003" s="157"/>
      <c r="M1003" s="157"/>
      <c r="O1003" s="147"/>
      <c r="P1003" s="147"/>
      <c r="Q1003" s="147"/>
      <c r="R1003" s="147"/>
      <c r="S1003" s="147"/>
      <c r="T1003" s="147"/>
      <c r="U1003" s="147"/>
      <c r="V1003" s="147"/>
      <c r="W1003" s="147"/>
      <c r="X1003" s="147"/>
      <c r="Y1003" s="147"/>
      <c r="Z1003" s="147"/>
      <c r="AA1003" s="147"/>
      <c r="AB1003" s="147"/>
      <c r="AC1003" s="147"/>
      <c r="AD1003" s="147"/>
      <c r="AE1003" s="147"/>
      <c r="AF1003" s="147"/>
      <c r="AG1003" s="147"/>
      <c r="AH1003" s="147"/>
      <c r="AI1003" s="147"/>
      <c r="AJ1003" s="147"/>
      <c r="AK1003" s="147"/>
      <c r="AL1003" s="147"/>
      <c r="AM1003" s="151"/>
      <c r="AN1003" s="147"/>
      <c r="AO1003" s="147"/>
      <c r="AP1003" s="147"/>
      <c r="AQ1003" s="147"/>
      <c r="AR1003" s="147"/>
      <c r="AS1003" s="147"/>
      <c r="AT1003" s="147"/>
      <c r="AU1003" s="147"/>
      <c r="AV1003" s="147"/>
      <c r="AW1003" s="147"/>
      <c r="AX1003" s="147"/>
      <c r="AY1003" s="147"/>
      <c r="AZ1003" s="147"/>
      <c r="BA1003" s="147"/>
      <c r="BB1003" s="147"/>
      <c r="BC1003" s="147"/>
      <c r="BD1003" s="147"/>
      <c r="BE1003" s="147"/>
      <c r="BF1003" s="147"/>
      <c r="BG1003" s="147"/>
      <c r="BH1003" s="147"/>
      <c r="BI1003" s="147"/>
      <c r="BJ1003" s="147"/>
      <c r="BK1003" s="147"/>
      <c r="BL1003" s="147"/>
      <c r="BM1003" s="147"/>
      <c r="BN1003" s="147"/>
      <c r="BO1003" s="147"/>
      <c r="BP1003" s="147"/>
      <c r="BQ1003" s="147"/>
      <c r="BR1003" s="147"/>
      <c r="BS1003" s="147"/>
      <c r="BT1003" s="147"/>
      <c r="BU1003" s="147"/>
      <c r="BV1003" s="147"/>
      <c r="BW1003" s="147"/>
      <c r="BX1003" s="147"/>
      <c r="BY1003" s="147"/>
      <c r="BZ1003" s="147"/>
      <c r="CA1003" s="147"/>
      <c r="CB1003" s="147"/>
      <c r="CC1003" s="147"/>
      <c r="CD1003" s="147"/>
      <c r="CE1003" s="147"/>
      <c r="CF1003" s="147"/>
      <c r="CG1003" s="147"/>
      <c r="CH1003" s="147"/>
      <c r="CI1003" s="147"/>
      <c r="CJ1003" s="147"/>
      <c r="CK1003" s="147"/>
    </row>
    <row r="1004" spans="1:89">
      <c r="A1004" s="157"/>
      <c r="F1004" s="3"/>
      <c r="G1004" s="3"/>
      <c r="L1004" s="157"/>
      <c r="M1004" s="157"/>
      <c r="O1004" s="147"/>
      <c r="P1004" s="147"/>
      <c r="Q1004" s="147"/>
      <c r="R1004" s="147"/>
      <c r="S1004" s="147"/>
      <c r="T1004" s="147"/>
      <c r="U1004" s="147"/>
      <c r="V1004" s="147"/>
      <c r="W1004" s="147"/>
      <c r="X1004" s="147"/>
      <c r="Y1004" s="147"/>
      <c r="Z1004" s="147"/>
      <c r="AA1004" s="147"/>
      <c r="AB1004" s="147"/>
      <c r="AC1004" s="147"/>
      <c r="AD1004" s="147"/>
      <c r="AE1004" s="147"/>
      <c r="AF1004" s="147"/>
      <c r="AG1004" s="147"/>
      <c r="AH1004" s="147"/>
      <c r="AI1004" s="147"/>
      <c r="AJ1004" s="147"/>
      <c r="AK1004" s="147"/>
      <c r="AL1004" s="147"/>
      <c r="AM1004" s="151"/>
      <c r="AN1004" s="147"/>
      <c r="AO1004" s="147"/>
      <c r="AP1004" s="147"/>
      <c r="AQ1004" s="147"/>
      <c r="AR1004" s="147"/>
      <c r="AS1004" s="147"/>
      <c r="AT1004" s="147"/>
      <c r="AU1004" s="147"/>
      <c r="AV1004" s="147"/>
      <c r="AW1004" s="147"/>
      <c r="AX1004" s="147"/>
      <c r="AY1004" s="147"/>
      <c r="AZ1004" s="147"/>
      <c r="BA1004" s="147"/>
      <c r="BB1004" s="147"/>
      <c r="BC1004" s="147"/>
      <c r="BD1004" s="147"/>
      <c r="BE1004" s="147"/>
      <c r="BF1004" s="147"/>
      <c r="BG1004" s="147"/>
      <c r="BH1004" s="147"/>
      <c r="BI1004" s="147"/>
      <c r="BJ1004" s="147"/>
      <c r="BK1004" s="147"/>
      <c r="BL1004" s="147"/>
      <c r="BM1004" s="147"/>
      <c r="BN1004" s="147"/>
      <c r="BO1004" s="147"/>
      <c r="BP1004" s="147"/>
      <c r="BQ1004" s="147"/>
      <c r="BR1004" s="147"/>
      <c r="BS1004" s="147"/>
      <c r="BT1004" s="147"/>
      <c r="BU1004" s="147"/>
      <c r="BV1004" s="147"/>
      <c r="BW1004" s="147"/>
      <c r="BX1004" s="147"/>
      <c r="BY1004" s="147"/>
      <c r="BZ1004" s="147"/>
      <c r="CA1004" s="147"/>
      <c r="CB1004" s="147"/>
      <c r="CC1004" s="147"/>
      <c r="CD1004" s="147"/>
      <c r="CE1004" s="147"/>
      <c r="CF1004" s="147"/>
      <c r="CG1004" s="147"/>
      <c r="CH1004" s="147"/>
      <c r="CI1004" s="147"/>
      <c r="CJ1004" s="147"/>
      <c r="CK1004" s="147"/>
    </row>
    <row r="1005" spans="1:89">
      <c r="A1005" s="157"/>
      <c r="F1005" s="3"/>
      <c r="G1005" s="3"/>
      <c r="L1005" s="157"/>
      <c r="M1005" s="157"/>
      <c r="O1005" s="147"/>
      <c r="P1005" s="147"/>
      <c r="Q1005" s="147"/>
      <c r="R1005" s="147"/>
      <c r="S1005" s="147"/>
      <c r="T1005" s="147"/>
      <c r="U1005" s="147"/>
      <c r="V1005" s="147"/>
      <c r="W1005" s="147"/>
      <c r="X1005" s="147"/>
      <c r="Y1005" s="147"/>
      <c r="Z1005" s="147"/>
      <c r="AA1005" s="147"/>
      <c r="AB1005" s="147"/>
      <c r="AC1005" s="147"/>
      <c r="AD1005" s="147"/>
      <c r="AE1005" s="147"/>
      <c r="AF1005" s="147"/>
      <c r="AG1005" s="147"/>
      <c r="AH1005" s="147"/>
      <c r="AI1005" s="147"/>
      <c r="AJ1005" s="147"/>
      <c r="AK1005" s="147"/>
      <c r="AL1005" s="147"/>
      <c r="AM1005" s="151"/>
      <c r="AN1005" s="147"/>
      <c r="AO1005" s="147"/>
      <c r="AP1005" s="147"/>
      <c r="AQ1005" s="147"/>
      <c r="AR1005" s="147"/>
      <c r="AS1005" s="147"/>
      <c r="AT1005" s="147"/>
      <c r="AU1005" s="147"/>
      <c r="AV1005" s="147"/>
      <c r="AW1005" s="147"/>
      <c r="AX1005" s="147"/>
      <c r="AY1005" s="147"/>
      <c r="AZ1005" s="147"/>
      <c r="BA1005" s="147"/>
      <c r="BB1005" s="147"/>
      <c r="BC1005" s="147"/>
      <c r="BD1005" s="147"/>
      <c r="BE1005" s="147"/>
      <c r="BF1005" s="147"/>
      <c r="BG1005" s="147"/>
      <c r="BH1005" s="147"/>
      <c r="BI1005" s="147"/>
      <c r="BJ1005" s="147"/>
      <c r="BK1005" s="147"/>
      <c r="BL1005" s="147"/>
      <c r="BM1005" s="147"/>
      <c r="BN1005" s="147"/>
      <c r="BO1005" s="147"/>
      <c r="BP1005" s="147"/>
      <c r="BQ1005" s="147"/>
      <c r="BR1005" s="147"/>
      <c r="BS1005" s="147"/>
      <c r="BT1005" s="147"/>
      <c r="BU1005" s="147"/>
      <c r="BV1005" s="147"/>
      <c r="BW1005" s="147"/>
      <c r="BX1005" s="147"/>
      <c r="BY1005" s="147"/>
      <c r="BZ1005" s="147"/>
      <c r="CA1005" s="147"/>
      <c r="CB1005" s="147"/>
      <c r="CC1005" s="147"/>
      <c r="CD1005" s="147"/>
      <c r="CE1005" s="147"/>
      <c r="CF1005" s="147"/>
      <c r="CG1005" s="147"/>
      <c r="CH1005" s="147"/>
      <c r="CI1005" s="147"/>
      <c r="CJ1005" s="147"/>
      <c r="CK1005" s="147"/>
    </row>
    <row r="1006" spans="1:89">
      <c r="A1006" s="157"/>
      <c r="F1006" s="3"/>
      <c r="G1006" s="3"/>
      <c r="L1006" s="157"/>
      <c r="M1006" s="157"/>
      <c r="O1006" s="147"/>
      <c r="P1006" s="147"/>
      <c r="Q1006" s="147"/>
      <c r="R1006" s="147"/>
      <c r="S1006" s="147"/>
      <c r="T1006" s="147"/>
      <c r="U1006" s="147"/>
      <c r="V1006" s="147"/>
      <c r="W1006" s="147"/>
      <c r="X1006" s="147"/>
      <c r="Y1006" s="147"/>
      <c r="Z1006" s="147"/>
      <c r="AA1006" s="147"/>
      <c r="AB1006" s="147"/>
      <c r="AC1006" s="147"/>
      <c r="AD1006" s="147"/>
      <c r="AE1006" s="147"/>
      <c r="AF1006" s="147"/>
      <c r="AG1006" s="147"/>
      <c r="AH1006" s="147"/>
      <c r="AI1006" s="147"/>
      <c r="AJ1006" s="147"/>
      <c r="AK1006" s="147"/>
      <c r="AL1006" s="147"/>
      <c r="AM1006" s="151"/>
      <c r="AN1006" s="147"/>
      <c r="AO1006" s="147"/>
      <c r="AP1006" s="147"/>
      <c r="AQ1006" s="147"/>
      <c r="AR1006" s="147"/>
      <c r="AS1006" s="147"/>
      <c r="AT1006" s="147"/>
      <c r="AU1006" s="147"/>
      <c r="AV1006" s="147"/>
      <c r="AW1006" s="147"/>
      <c r="AX1006" s="147"/>
      <c r="AY1006" s="147"/>
      <c r="AZ1006" s="147"/>
      <c r="BA1006" s="147"/>
      <c r="BB1006" s="147"/>
      <c r="BC1006" s="147"/>
      <c r="BD1006" s="147"/>
      <c r="BE1006" s="147"/>
      <c r="BF1006" s="147"/>
      <c r="BG1006" s="147"/>
      <c r="BH1006" s="147"/>
      <c r="BI1006" s="147"/>
      <c r="BJ1006" s="147"/>
      <c r="BK1006" s="147"/>
      <c r="BL1006" s="147"/>
      <c r="BM1006" s="147"/>
      <c r="BN1006" s="147"/>
      <c r="BO1006" s="147"/>
      <c r="BP1006" s="147"/>
      <c r="BQ1006" s="147"/>
      <c r="BR1006" s="147"/>
      <c r="BS1006" s="147"/>
      <c r="BT1006" s="147"/>
      <c r="BU1006" s="147"/>
      <c r="BV1006" s="147"/>
      <c r="BW1006" s="147"/>
      <c r="BX1006" s="147"/>
      <c r="BY1006" s="147"/>
      <c r="BZ1006" s="147"/>
      <c r="CA1006" s="147"/>
      <c r="CB1006" s="147"/>
      <c r="CC1006" s="147"/>
      <c r="CD1006" s="147"/>
      <c r="CE1006" s="147"/>
      <c r="CF1006" s="147"/>
      <c r="CG1006" s="147"/>
      <c r="CH1006" s="147"/>
      <c r="CI1006" s="147"/>
      <c r="CJ1006" s="147"/>
      <c r="CK1006" s="147"/>
    </row>
    <row r="1007" spans="1:89">
      <c r="A1007" s="157"/>
      <c r="F1007" s="3"/>
      <c r="G1007" s="3"/>
      <c r="L1007" s="157"/>
      <c r="M1007" s="157"/>
      <c r="O1007" s="147"/>
      <c r="P1007" s="147"/>
      <c r="Q1007" s="147"/>
      <c r="R1007" s="147"/>
      <c r="S1007" s="147"/>
      <c r="T1007" s="147"/>
      <c r="U1007" s="147"/>
      <c r="V1007" s="147"/>
      <c r="W1007" s="147"/>
      <c r="X1007" s="147"/>
      <c r="Y1007" s="147"/>
      <c r="Z1007" s="147"/>
      <c r="AA1007" s="147"/>
      <c r="AB1007" s="147"/>
      <c r="AC1007" s="147"/>
      <c r="AD1007" s="147"/>
      <c r="AE1007" s="147"/>
      <c r="AF1007" s="147"/>
      <c r="AG1007" s="147"/>
      <c r="AH1007" s="147"/>
      <c r="AI1007" s="147"/>
      <c r="AJ1007" s="147"/>
      <c r="AK1007" s="147"/>
      <c r="AL1007" s="147"/>
      <c r="AM1007" s="151"/>
      <c r="AN1007" s="147"/>
      <c r="AO1007" s="147"/>
      <c r="AP1007" s="147"/>
      <c r="AQ1007" s="147"/>
      <c r="AR1007" s="147"/>
      <c r="AS1007" s="147"/>
      <c r="AT1007" s="147"/>
      <c r="AU1007" s="147"/>
      <c r="AV1007" s="147"/>
      <c r="AW1007" s="147"/>
      <c r="AX1007" s="147"/>
      <c r="AY1007" s="147"/>
      <c r="AZ1007" s="147"/>
      <c r="BA1007" s="147"/>
      <c r="BB1007" s="147"/>
      <c r="BC1007" s="147"/>
      <c r="BD1007" s="147"/>
      <c r="BE1007" s="147"/>
      <c r="BF1007" s="147"/>
      <c r="BG1007" s="147"/>
      <c r="BH1007" s="147"/>
      <c r="BI1007" s="147"/>
      <c r="BJ1007" s="147"/>
      <c r="BK1007" s="147"/>
      <c r="BL1007" s="147"/>
      <c r="BM1007" s="147"/>
      <c r="BN1007" s="147"/>
      <c r="BO1007" s="147"/>
      <c r="BP1007" s="147"/>
      <c r="BQ1007" s="147"/>
      <c r="BR1007" s="147"/>
      <c r="BS1007" s="147"/>
      <c r="BT1007" s="147"/>
      <c r="BU1007" s="147"/>
      <c r="BV1007" s="147"/>
      <c r="BW1007" s="147"/>
      <c r="BX1007" s="147"/>
      <c r="BY1007" s="147"/>
      <c r="BZ1007" s="147"/>
      <c r="CA1007" s="147"/>
      <c r="CB1007" s="147"/>
      <c r="CC1007" s="147"/>
      <c r="CD1007" s="147"/>
      <c r="CE1007" s="147"/>
      <c r="CF1007" s="147"/>
      <c r="CG1007" s="147"/>
      <c r="CH1007" s="147"/>
      <c r="CI1007" s="147"/>
      <c r="CJ1007" s="147"/>
      <c r="CK1007" s="147"/>
    </row>
    <row r="1008" spans="1:89">
      <c r="A1008" s="157"/>
      <c r="F1008" s="3"/>
      <c r="G1008" s="3"/>
      <c r="L1008" s="157"/>
      <c r="M1008" s="157"/>
      <c r="O1008" s="147"/>
      <c r="P1008" s="147"/>
      <c r="Q1008" s="147"/>
      <c r="R1008" s="147"/>
      <c r="S1008" s="147"/>
      <c r="T1008" s="147"/>
      <c r="U1008" s="147"/>
      <c r="V1008" s="147"/>
      <c r="W1008" s="147"/>
      <c r="X1008" s="147"/>
      <c r="Y1008" s="147"/>
      <c r="Z1008" s="147"/>
      <c r="AA1008" s="147"/>
      <c r="AB1008" s="147"/>
      <c r="AC1008" s="147"/>
      <c r="AD1008" s="147"/>
      <c r="AE1008" s="147"/>
      <c r="AF1008" s="147"/>
      <c r="AG1008" s="147"/>
      <c r="AH1008" s="147"/>
      <c r="AI1008" s="147"/>
      <c r="AJ1008" s="147"/>
      <c r="AK1008" s="147"/>
      <c r="AL1008" s="147"/>
      <c r="AM1008" s="151"/>
      <c r="AN1008" s="147"/>
      <c r="AO1008" s="147"/>
      <c r="AP1008" s="147"/>
      <c r="AQ1008" s="147"/>
      <c r="AR1008" s="147"/>
      <c r="AS1008" s="147"/>
      <c r="AT1008" s="147"/>
      <c r="AU1008" s="147"/>
      <c r="AV1008" s="147"/>
      <c r="AW1008" s="147"/>
      <c r="AX1008" s="147"/>
      <c r="AY1008" s="147"/>
      <c r="AZ1008" s="147"/>
      <c r="BA1008" s="147"/>
      <c r="BB1008" s="147"/>
      <c r="BC1008" s="147"/>
      <c r="BD1008" s="147"/>
      <c r="BE1008" s="147"/>
      <c r="BF1008" s="147"/>
      <c r="BG1008" s="147"/>
      <c r="BH1008" s="147"/>
      <c r="BI1008" s="147"/>
      <c r="BJ1008" s="147"/>
      <c r="BK1008" s="147"/>
      <c r="BL1008" s="147"/>
      <c r="BM1008" s="147"/>
      <c r="BN1008" s="147"/>
      <c r="BO1008" s="147"/>
      <c r="BP1008" s="147"/>
      <c r="BQ1008" s="147"/>
      <c r="BR1008" s="147"/>
      <c r="BS1008" s="147"/>
      <c r="BT1008" s="147"/>
      <c r="BU1008" s="147"/>
      <c r="BV1008" s="147"/>
      <c r="BW1008" s="147"/>
      <c r="BX1008" s="147"/>
      <c r="BY1008" s="147"/>
      <c r="BZ1008" s="147"/>
      <c r="CA1008" s="147"/>
      <c r="CB1008" s="147"/>
      <c r="CC1008" s="147"/>
      <c r="CD1008" s="147"/>
      <c r="CE1008" s="147"/>
      <c r="CF1008" s="147"/>
      <c r="CG1008" s="147"/>
      <c r="CH1008" s="147"/>
      <c r="CI1008" s="147"/>
      <c r="CJ1008" s="147"/>
      <c r="CK1008" s="147"/>
    </row>
    <row r="1009" spans="1:89">
      <c r="A1009" s="157"/>
      <c r="F1009" s="3"/>
      <c r="G1009" s="3"/>
      <c r="L1009" s="157"/>
      <c r="M1009" s="157"/>
      <c r="O1009" s="147"/>
      <c r="P1009" s="147"/>
      <c r="Q1009" s="147"/>
      <c r="R1009" s="147"/>
      <c r="S1009" s="147"/>
      <c r="T1009" s="147"/>
      <c r="U1009" s="147"/>
      <c r="V1009" s="147"/>
      <c r="W1009" s="147"/>
      <c r="X1009" s="147"/>
      <c r="Y1009" s="147"/>
      <c r="Z1009" s="147"/>
      <c r="AA1009" s="147"/>
      <c r="AB1009" s="147"/>
      <c r="AC1009" s="147"/>
      <c r="AD1009" s="147"/>
      <c r="AE1009" s="147"/>
      <c r="AF1009" s="147"/>
      <c r="AG1009" s="147"/>
      <c r="AH1009" s="147"/>
      <c r="AI1009" s="147"/>
      <c r="AJ1009" s="147"/>
      <c r="AK1009" s="147"/>
      <c r="AL1009" s="147"/>
      <c r="AM1009" s="151"/>
      <c r="AN1009" s="147"/>
      <c r="AO1009" s="147"/>
      <c r="AP1009" s="147"/>
      <c r="AQ1009" s="147"/>
      <c r="AR1009" s="147"/>
      <c r="AS1009" s="147"/>
      <c r="AT1009" s="147"/>
      <c r="AU1009" s="147"/>
      <c r="AV1009" s="147"/>
      <c r="AW1009" s="147"/>
      <c r="AX1009" s="147"/>
      <c r="AY1009" s="147"/>
      <c r="AZ1009" s="147"/>
      <c r="BA1009" s="147"/>
      <c r="BB1009" s="147"/>
      <c r="BC1009" s="147"/>
      <c r="BD1009" s="147"/>
      <c r="BE1009" s="147"/>
      <c r="BF1009" s="147"/>
      <c r="BG1009" s="147"/>
      <c r="BH1009" s="147"/>
      <c r="BI1009" s="147"/>
      <c r="BJ1009" s="147"/>
      <c r="BK1009" s="147"/>
      <c r="BL1009" s="147"/>
      <c r="BM1009" s="147"/>
      <c r="BN1009" s="147"/>
      <c r="BO1009" s="147"/>
      <c r="BP1009" s="147"/>
      <c r="BQ1009" s="147"/>
      <c r="BR1009" s="147"/>
      <c r="BS1009" s="147"/>
      <c r="BT1009" s="147"/>
      <c r="BU1009" s="147"/>
      <c r="BV1009" s="147"/>
      <c r="BW1009" s="147"/>
      <c r="BX1009" s="147"/>
      <c r="BY1009" s="147"/>
      <c r="BZ1009" s="147"/>
      <c r="CA1009" s="147"/>
      <c r="CB1009" s="147"/>
      <c r="CC1009" s="147"/>
      <c r="CD1009" s="147"/>
      <c r="CE1009" s="147"/>
      <c r="CF1009" s="147"/>
      <c r="CG1009" s="147"/>
      <c r="CH1009" s="147"/>
      <c r="CI1009" s="147"/>
      <c r="CJ1009" s="147"/>
      <c r="CK1009" s="147"/>
    </row>
    <row r="1010" spans="1:89">
      <c r="A1010" s="157"/>
      <c r="F1010" s="3"/>
      <c r="G1010" s="3"/>
      <c r="L1010" s="157"/>
      <c r="M1010" s="157"/>
      <c r="O1010" s="147"/>
      <c r="P1010" s="147"/>
      <c r="Q1010" s="147"/>
      <c r="R1010" s="147"/>
      <c r="S1010" s="147"/>
      <c r="T1010" s="147"/>
      <c r="U1010" s="147"/>
      <c r="V1010" s="147"/>
      <c r="W1010" s="147"/>
      <c r="X1010" s="147"/>
      <c r="Y1010" s="147"/>
      <c r="Z1010" s="147"/>
      <c r="AA1010" s="147"/>
      <c r="AB1010" s="147"/>
      <c r="AC1010" s="147"/>
      <c r="AD1010" s="147"/>
      <c r="AE1010" s="147"/>
      <c r="AF1010" s="147"/>
      <c r="AG1010" s="147"/>
      <c r="AH1010" s="147"/>
      <c r="AI1010" s="147"/>
      <c r="AJ1010" s="147"/>
      <c r="AK1010" s="147"/>
      <c r="AL1010" s="147"/>
      <c r="AM1010" s="151"/>
      <c r="AN1010" s="147"/>
      <c r="AO1010" s="147"/>
      <c r="AP1010" s="147"/>
      <c r="AQ1010" s="147"/>
      <c r="AR1010" s="147"/>
      <c r="AS1010" s="147"/>
      <c r="AT1010" s="147"/>
      <c r="AU1010" s="147"/>
      <c r="AV1010" s="147"/>
      <c r="AW1010" s="147"/>
      <c r="AX1010" s="147"/>
      <c r="AY1010" s="147"/>
      <c r="AZ1010" s="147"/>
      <c r="BA1010" s="147"/>
      <c r="BB1010" s="147"/>
      <c r="BC1010" s="147"/>
      <c r="BD1010" s="147"/>
      <c r="BE1010" s="147"/>
      <c r="BF1010" s="147"/>
      <c r="BG1010" s="147"/>
      <c r="BH1010" s="147"/>
      <c r="BI1010" s="147"/>
      <c r="BJ1010" s="147"/>
      <c r="BK1010" s="147"/>
      <c r="BL1010" s="147"/>
      <c r="BM1010" s="147"/>
      <c r="BN1010" s="147"/>
      <c r="BO1010" s="147"/>
      <c r="BP1010" s="147"/>
      <c r="BQ1010" s="147"/>
      <c r="BR1010" s="147"/>
      <c r="BS1010" s="147"/>
      <c r="BT1010" s="147"/>
      <c r="BU1010" s="147"/>
      <c r="BV1010" s="147"/>
      <c r="BW1010" s="147"/>
      <c r="BX1010" s="147"/>
      <c r="BY1010" s="147"/>
      <c r="BZ1010" s="147"/>
      <c r="CA1010" s="147"/>
      <c r="CB1010" s="147"/>
      <c r="CC1010" s="147"/>
      <c r="CD1010" s="147"/>
      <c r="CE1010" s="147"/>
      <c r="CF1010" s="147"/>
      <c r="CG1010" s="147"/>
      <c r="CH1010" s="147"/>
      <c r="CI1010" s="147"/>
      <c r="CJ1010" s="147"/>
      <c r="CK1010" s="147"/>
    </row>
    <row r="1011" spans="1:89">
      <c r="A1011" s="157"/>
      <c r="F1011" s="3"/>
      <c r="G1011" s="3"/>
      <c r="L1011" s="157"/>
      <c r="M1011" s="157"/>
      <c r="O1011" s="147"/>
      <c r="P1011" s="147"/>
      <c r="Q1011" s="147"/>
      <c r="R1011" s="147"/>
      <c r="S1011" s="147"/>
      <c r="T1011" s="147"/>
      <c r="U1011" s="147"/>
      <c r="V1011" s="147"/>
      <c r="W1011" s="147"/>
      <c r="X1011" s="147"/>
      <c r="Y1011" s="147"/>
      <c r="Z1011" s="147"/>
      <c r="AA1011" s="147"/>
      <c r="AB1011" s="147"/>
      <c r="AC1011" s="147"/>
      <c r="AD1011" s="147"/>
      <c r="AE1011" s="147"/>
      <c r="AF1011" s="147"/>
      <c r="AG1011" s="147"/>
      <c r="AH1011" s="147"/>
      <c r="AI1011" s="147"/>
      <c r="AJ1011" s="147"/>
      <c r="AK1011" s="147"/>
      <c r="AL1011" s="147"/>
      <c r="AM1011" s="151"/>
      <c r="AN1011" s="147"/>
      <c r="AO1011" s="147"/>
      <c r="AP1011" s="147"/>
      <c r="AQ1011" s="147"/>
      <c r="AR1011" s="147"/>
      <c r="AS1011" s="147"/>
      <c r="AT1011" s="147"/>
      <c r="AU1011" s="147"/>
      <c r="AV1011" s="147"/>
      <c r="AW1011" s="147"/>
      <c r="AX1011" s="147"/>
      <c r="AY1011" s="147"/>
      <c r="AZ1011" s="147"/>
      <c r="BA1011" s="147"/>
      <c r="BB1011" s="147"/>
      <c r="BC1011" s="147"/>
      <c r="BD1011" s="147"/>
      <c r="BE1011" s="147"/>
      <c r="BF1011" s="147"/>
      <c r="BG1011" s="147"/>
      <c r="BH1011" s="147"/>
      <c r="BI1011" s="147"/>
      <c r="BJ1011" s="147"/>
      <c r="BK1011" s="147"/>
      <c r="BL1011" s="147"/>
      <c r="BM1011" s="147"/>
      <c r="BN1011" s="147"/>
      <c r="BO1011" s="147"/>
      <c r="BP1011" s="147"/>
      <c r="BQ1011" s="147"/>
      <c r="BR1011" s="147"/>
      <c r="BS1011" s="147"/>
      <c r="BT1011" s="147"/>
      <c r="BU1011" s="147"/>
      <c r="BV1011" s="147"/>
      <c r="BW1011" s="147"/>
      <c r="BX1011" s="147"/>
      <c r="BY1011" s="147"/>
      <c r="BZ1011" s="147"/>
      <c r="CA1011" s="147"/>
      <c r="CB1011" s="147"/>
      <c r="CC1011" s="147"/>
      <c r="CD1011" s="147"/>
      <c r="CE1011" s="147"/>
      <c r="CF1011" s="147"/>
      <c r="CG1011" s="147"/>
      <c r="CH1011" s="147"/>
      <c r="CI1011" s="147"/>
      <c r="CJ1011" s="147"/>
      <c r="CK1011" s="147"/>
    </row>
    <row r="1012" spans="1:89">
      <c r="A1012" s="157"/>
      <c r="F1012" s="3"/>
      <c r="G1012" s="3"/>
      <c r="L1012" s="157"/>
      <c r="M1012" s="157"/>
      <c r="O1012" s="147"/>
      <c r="P1012" s="147"/>
      <c r="Q1012" s="147"/>
      <c r="R1012" s="147"/>
      <c r="S1012" s="147"/>
      <c r="T1012" s="147"/>
      <c r="U1012" s="147"/>
      <c r="V1012" s="147"/>
      <c r="W1012" s="147"/>
      <c r="X1012" s="147"/>
      <c r="Y1012" s="147"/>
      <c r="Z1012" s="147"/>
      <c r="AA1012" s="147"/>
      <c r="AB1012" s="147"/>
      <c r="AC1012" s="147"/>
      <c r="AD1012" s="147"/>
      <c r="AE1012" s="147"/>
      <c r="AF1012" s="147"/>
      <c r="AG1012" s="147"/>
      <c r="AH1012" s="147"/>
      <c r="AI1012" s="147"/>
      <c r="AJ1012" s="147"/>
      <c r="AK1012" s="147"/>
      <c r="AL1012" s="147"/>
      <c r="AM1012" s="151"/>
      <c r="AN1012" s="147"/>
      <c r="AO1012" s="147"/>
      <c r="AP1012" s="147"/>
      <c r="AQ1012" s="147"/>
      <c r="AR1012" s="147"/>
      <c r="AS1012" s="147"/>
      <c r="AT1012" s="147"/>
      <c r="AU1012" s="147"/>
      <c r="AV1012" s="147"/>
      <c r="AW1012" s="147"/>
      <c r="AX1012" s="147"/>
      <c r="AY1012" s="147"/>
      <c r="AZ1012" s="147"/>
      <c r="BA1012" s="147"/>
      <c r="BB1012" s="147"/>
      <c r="BC1012" s="147"/>
      <c r="BD1012" s="147"/>
      <c r="BE1012" s="147"/>
      <c r="BF1012" s="147"/>
      <c r="BG1012" s="147"/>
      <c r="BH1012" s="147"/>
      <c r="BI1012" s="147"/>
      <c r="BJ1012" s="147"/>
      <c r="BK1012" s="147"/>
      <c r="BL1012" s="147"/>
      <c r="BM1012" s="147"/>
      <c r="BN1012" s="147"/>
      <c r="BO1012" s="147"/>
      <c r="BP1012" s="147"/>
      <c r="BQ1012" s="147"/>
      <c r="BR1012" s="147"/>
      <c r="BS1012" s="147"/>
      <c r="BT1012" s="147"/>
      <c r="BU1012" s="147"/>
      <c r="BV1012" s="147"/>
      <c r="BW1012" s="147"/>
      <c r="BX1012" s="147"/>
      <c r="BY1012" s="147"/>
      <c r="BZ1012" s="147"/>
      <c r="CA1012" s="147"/>
      <c r="CB1012" s="147"/>
      <c r="CC1012" s="147"/>
      <c r="CD1012" s="147"/>
      <c r="CE1012" s="147"/>
      <c r="CF1012" s="147"/>
      <c r="CG1012" s="147"/>
      <c r="CH1012" s="147"/>
      <c r="CI1012" s="147"/>
      <c r="CJ1012" s="147"/>
      <c r="CK1012" s="147"/>
    </row>
    <row r="1013" spans="1:89">
      <c r="A1013" s="157"/>
      <c r="F1013" s="3"/>
      <c r="G1013" s="3"/>
      <c r="L1013" s="157"/>
      <c r="M1013" s="157"/>
      <c r="O1013" s="147"/>
      <c r="P1013" s="147"/>
      <c r="Q1013" s="147"/>
      <c r="R1013" s="147"/>
      <c r="S1013" s="147"/>
      <c r="T1013" s="147"/>
      <c r="U1013" s="147"/>
      <c r="V1013" s="147"/>
      <c r="W1013" s="147"/>
      <c r="X1013" s="147"/>
      <c r="Y1013" s="147"/>
      <c r="Z1013" s="147"/>
      <c r="AA1013" s="147"/>
      <c r="AB1013" s="147"/>
      <c r="AC1013" s="147"/>
      <c r="AD1013" s="147"/>
      <c r="AE1013" s="147"/>
      <c r="AF1013" s="147"/>
      <c r="AG1013" s="147"/>
      <c r="AH1013" s="147"/>
      <c r="AI1013" s="147"/>
      <c r="AJ1013" s="147"/>
      <c r="AK1013" s="147"/>
      <c r="AL1013" s="147"/>
      <c r="AM1013" s="151"/>
      <c r="AN1013" s="147"/>
      <c r="AO1013" s="147"/>
      <c r="AP1013" s="147"/>
      <c r="AQ1013" s="147"/>
      <c r="AR1013" s="147"/>
      <c r="AS1013" s="147"/>
      <c r="AT1013" s="147"/>
      <c r="AU1013" s="147"/>
      <c r="AV1013" s="147"/>
      <c r="AW1013" s="147"/>
      <c r="AX1013" s="147"/>
      <c r="AY1013" s="147"/>
      <c r="AZ1013" s="147"/>
      <c r="BA1013" s="147"/>
      <c r="BB1013" s="147"/>
      <c r="BC1013" s="147"/>
      <c r="BD1013" s="147"/>
      <c r="BE1013" s="147"/>
      <c r="BF1013" s="147"/>
      <c r="BG1013" s="147"/>
      <c r="BH1013" s="147"/>
      <c r="BI1013" s="147"/>
      <c r="BJ1013" s="147"/>
      <c r="BK1013" s="147"/>
      <c r="BL1013" s="147"/>
      <c r="BM1013" s="147"/>
      <c r="BN1013" s="147"/>
      <c r="BO1013" s="147"/>
      <c r="BP1013" s="147"/>
      <c r="BQ1013" s="147"/>
      <c r="BR1013" s="147"/>
      <c r="BS1013" s="147"/>
      <c r="BT1013" s="147"/>
      <c r="BU1013" s="147"/>
      <c r="BV1013" s="147"/>
      <c r="BW1013" s="147"/>
      <c r="BX1013" s="147"/>
      <c r="BY1013" s="147"/>
      <c r="BZ1013" s="147"/>
      <c r="CA1013" s="147"/>
      <c r="CB1013" s="147"/>
      <c r="CC1013" s="147"/>
      <c r="CD1013" s="147"/>
      <c r="CE1013" s="147"/>
      <c r="CF1013" s="147"/>
      <c r="CG1013" s="147"/>
      <c r="CH1013" s="147"/>
      <c r="CI1013" s="147"/>
      <c r="CJ1013" s="147"/>
      <c r="CK1013" s="147"/>
    </row>
    <row r="1014" spans="1:89">
      <c r="A1014" s="157"/>
      <c r="F1014" s="3"/>
      <c r="G1014" s="3"/>
      <c r="L1014" s="157"/>
      <c r="M1014" s="157"/>
      <c r="O1014" s="147"/>
      <c r="P1014" s="147"/>
      <c r="Q1014" s="147"/>
      <c r="R1014" s="147"/>
      <c r="S1014" s="147"/>
      <c r="T1014" s="147"/>
      <c r="U1014" s="147"/>
      <c r="V1014" s="147"/>
      <c r="W1014" s="147"/>
      <c r="X1014" s="147"/>
      <c r="Y1014" s="147"/>
      <c r="Z1014" s="147"/>
      <c r="AA1014" s="147"/>
      <c r="AB1014" s="147"/>
      <c r="AC1014" s="147"/>
      <c r="AD1014" s="147"/>
      <c r="AE1014" s="147"/>
      <c r="AF1014" s="147"/>
      <c r="AG1014" s="147"/>
      <c r="AH1014" s="147"/>
      <c r="AI1014" s="147"/>
      <c r="AJ1014" s="147"/>
      <c r="AK1014" s="147"/>
      <c r="AL1014" s="147"/>
      <c r="AM1014" s="151"/>
      <c r="AN1014" s="147"/>
      <c r="AO1014" s="147"/>
      <c r="AP1014" s="147"/>
      <c r="AQ1014" s="147"/>
      <c r="AR1014" s="147"/>
      <c r="AS1014" s="147"/>
      <c r="AT1014" s="147"/>
      <c r="AU1014" s="147"/>
      <c r="AV1014" s="147"/>
      <c r="AW1014" s="147"/>
      <c r="AX1014" s="147"/>
      <c r="AY1014" s="147"/>
      <c r="AZ1014" s="147"/>
      <c r="BA1014" s="147"/>
      <c r="BB1014" s="147"/>
      <c r="BC1014" s="147"/>
      <c r="BD1014" s="147"/>
      <c r="BE1014" s="147"/>
      <c r="BF1014" s="147"/>
      <c r="BG1014" s="147"/>
      <c r="BH1014" s="147"/>
      <c r="BI1014" s="147"/>
      <c r="BJ1014" s="147"/>
      <c r="BK1014" s="147"/>
      <c r="BL1014" s="147"/>
      <c r="BM1014" s="147"/>
      <c r="BN1014" s="147"/>
      <c r="BO1014" s="147"/>
      <c r="BP1014" s="147"/>
      <c r="BQ1014" s="147"/>
      <c r="BR1014" s="147"/>
      <c r="BS1014" s="147"/>
      <c r="BT1014" s="147"/>
      <c r="BU1014" s="147"/>
      <c r="BV1014" s="147"/>
      <c r="BW1014" s="147"/>
      <c r="BX1014" s="147"/>
      <c r="BY1014" s="147"/>
      <c r="BZ1014" s="147"/>
      <c r="CA1014" s="147"/>
      <c r="CB1014" s="147"/>
      <c r="CC1014" s="147"/>
      <c r="CD1014" s="147"/>
      <c r="CE1014" s="147"/>
      <c r="CF1014" s="147"/>
      <c r="CG1014" s="147"/>
      <c r="CH1014" s="147"/>
      <c r="CI1014" s="147"/>
      <c r="CJ1014" s="147"/>
      <c r="CK1014" s="147"/>
    </row>
    <row r="1015" spans="1:89">
      <c r="A1015" s="157"/>
      <c r="F1015" s="3"/>
      <c r="G1015" s="3"/>
      <c r="L1015" s="157"/>
      <c r="M1015" s="157"/>
      <c r="O1015" s="147"/>
      <c r="P1015" s="147"/>
      <c r="Q1015" s="147"/>
      <c r="R1015" s="147"/>
      <c r="S1015" s="147"/>
      <c r="T1015" s="147"/>
      <c r="U1015" s="147"/>
      <c r="V1015" s="147"/>
      <c r="W1015" s="147"/>
      <c r="X1015" s="147"/>
      <c r="Y1015" s="147"/>
      <c r="Z1015" s="147"/>
      <c r="AA1015" s="147"/>
      <c r="AB1015" s="147"/>
      <c r="AC1015" s="147"/>
      <c r="AD1015" s="147"/>
      <c r="AE1015" s="147"/>
      <c r="AF1015" s="147"/>
      <c r="AG1015" s="147"/>
      <c r="AH1015" s="147"/>
      <c r="AI1015" s="147"/>
      <c r="AJ1015" s="147"/>
      <c r="AK1015" s="147"/>
      <c r="AL1015" s="147"/>
      <c r="AM1015" s="151"/>
      <c r="AN1015" s="147"/>
      <c r="AO1015" s="147"/>
      <c r="AP1015" s="147"/>
      <c r="AQ1015" s="147"/>
      <c r="AR1015" s="147"/>
      <c r="AS1015" s="147"/>
      <c r="AT1015" s="147"/>
      <c r="AU1015" s="147"/>
      <c r="AV1015" s="147"/>
      <c r="AW1015" s="147"/>
      <c r="AX1015" s="147"/>
      <c r="AY1015" s="147"/>
      <c r="AZ1015" s="147"/>
      <c r="BA1015" s="147"/>
      <c r="BB1015" s="147"/>
      <c r="BC1015" s="147"/>
      <c r="BD1015" s="147"/>
      <c r="BE1015" s="147"/>
      <c r="BF1015" s="147"/>
      <c r="BG1015" s="147"/>
      <c r="BH1015" s="147"/>
      <c r="BI1015" s="147"/>
      <c r="BJ1015" s="147"/>
      <c r="BK1015" s="147"/>
      <c r="BL1015" s="147"/>
      <c r="BM1015" s="147"/>
      <c r="BN1015" s="147"/>
      <c r="BO1015" s="147"/>
      <c r="BP1015" s="147"/>
      <c r="BQ1015" s="147"/>
      <c r="BR1015" s="147"/>
      <c r="BS1015" s="147"/>
      <c r="BT1015" s="147"/>
      <c r="BU1015" s="147"/>
      <c r="BV1015" s="147"/>
      <c r="BW1015" s="147"/>
      <c r="BX1015" s="147"/>
      <c r="BY1015" s="147"/>
      <c r="BZ1015" s="147"/>
      <c r="CA1015" s="147"/>
      <c r="CB1015" s="147"/>
      <c r="CC1015" s="147"/>
      <c r="CD1015" s="147"/>
      <c r="CE1015" s="147"/>
      <c r="CF1015" s="147"/>
      <c r="CG1015" s="147"/>
      <c r="CH1015" s="147"/>
      <c r="CI1015" s="147"/>
      <c r="CJ1015" s="147"/>
      <c r="CK1015" s="147"/>
    </row>
    <row r="1016" spans="1:89">
      <c r="A1016" s="157"/>
      <c r="F1016" s="3"/>
      <c r="G1016" s="3"/>
      <c r="L1016" s="157"/>
      <c r="M1016" s="157"/>
      <c r="O1016" s="147"/>
      <c r="P1016" s="147"/>
      <c r="Q1016" s="147"/>
      <c r="R1016" s="147"/>
      <c r="S1016" s="147"/>
      <c r="T1016" s="147"/>
      <c r="U1016" s="147"/>
      <c r="V1016" s="147"/>
      <c r="W1016" s="147"/>
      <c r="X1016" s="147"/>
      <c r="Y1016" s="147"/>
      <c r="Z1016" s="147"/>
      <c r="AA1016" s="147"/>
      <c r="AB1016" s="147"/>
      <c r="AC1016" s="147"/>
      <c r="AD1016" s="147"/>
      <c r="AE1016" s="147"/>
      <c r="AF1016" s="147"/>
      <c r="AG1016" s="147"/>
      <c r="AH1016" s="147"/>
      <c r="AI1016" s="147"/>
      <c r="AJ1016" s="147"/>
      <c r="AK1016" s="147"/>
      <c r="AL1016" s="147"/>
      <c r="AM1016" s="151"/>
      <c r="AN1016" s="147"/>
      <c r="AO1016" s="147"/>
      <c r="AP1016" s="147"/>
      <c r="AQ1016" s="147"/>
      <c r="AR1016" s="147"/>
      <c r="AS1016" s="147"/>
      <c r="AT1016" s="147"/>
      <c r="AU1016" s="147"/>
      <c r="AV1016" s="147"/>
      <c r="AW1016" s="147"/>
      <c r="AX1016" s="147"/>
      <c r="AY1016" s="147"/>
      <c r="AZ1016" s="147"/>
      <c r="BA1016" s="147"/>
      <c r="BB1016" s="147"/>
      <c r="BC1016" s="147"/>
      <c r="BD1016" s="147"/>
      <c r="BE1016" s="147"/>
      <c r="BF1016" s="147"/>
      <c r="BG1016" s="147"/>
      <c r="BH1016" s="147"/>
      <c r="BI1016" s="147"/>
      <c r="BJ1016" s="147"/>
      <c r="BK1016" s="147"/>
      <c r="BL1016" s="147"/>
      <c r="BM1016" s="147"/>
      <c r="BN1016" s="147"/>
      <c r="BO1016" s="147"/>
      <c r="BP1016" s="147"/>
      <c r="BQ1016" s="147"/>
      <c r="BR1016" s="147"/>
      <c r="BS1016" s="147"/>
      <c r="BT1016" s="147"/>
      <c r="BU1016" s="147"/>
      <c r="BV1016" s="147"/>
      <c r="BW1016" s="147"/>
      <c r="BX1016" s="147"/>
      <c r="BY1016" s="147"/>
      <c r="BZ1016" s="147"/>
      <c r="CA1016" s="147"/>
      <c r="CB1016" s="147"/>
      <c r="CC1016" s="147"/>
      <c r="CD1016" s="147"/>
      <c r="CE1016" s="147"/>
      <c r="CF1016" s="147"/>
      <c r="CG1016" s="147"/>
      <c r="CH1016" s="147"/>
      <c r="CI1016" s="147"/>
      <c r="CJ1016" s="147"/>
      <c r="CK1016" s="147"/>
    </row>
    <row r="1017" spans="1:89">
      <c r="A1017" s="157"/>
      <c r="F1017" s="3"/>
      <c r="G1017" s="3"/>
      <c r="L1017" s="157"/>
      <c r="M1017" s="157"/>
      <c r="O1017" s="147"/>
      <c r="P1017" s="147"/>
      <c r="Q1017" s="147"/>
      <c r="R1017" s="147"/>
      <c r="S1017" s="147"/>
      <c r="T1017" s="147"/>
      <c r="U1017" s="147"/>
      <c r="V1017" s="147"/>
      <c r="W1017" s="147"/>
      <c r="X1017" s="147"/>
      <c r="Y1017" s="147"/>
      <c r="Z1017" s="147"/>
      <c r="AA1017" s="147"/>
      <c r="AB1017" s="147"/>
      <c r="AC1017" s="147"/>
      <c r="AD1017" s="147"/>
      <c r="AE1017" s="147"/>
      <c r="AF1017" s="147"/>
      <c r="AG1017" s="147"/>
      <c r="AH1017" s="147"/>
      <c r="AI1017" s="147"/>
      <c r="AJ1017" s="147"/>
      <c r="AK1017" s="147"/>
      <c r="AL1017" s="147"/>
      <c r="AM1017" s="151"/>
      <c r="AN1017" s="147"/>
      <c r="AO1017" s="147"/>
      <c r="AP1017" s="147"/>
      <c r="AQ1017" s="147"/>
      <c r="AR1017" s="147"/>
      <c r="AS1017" s="147"/>
      <c r="AT1017" s="147"/>
      <c r="AU1017" s="147"/>
      <c r="AV1017" s="147"/>
      <c r="AW1017" s="147"/>
      <c r="AX1017" s="147"/>
      <c r="AY1017" s="147"/>
      <c r="AZ1017" s="147"/>
      <c r="BA1017" s="147"/>
      <c r="BB1017" s="147"/>
      <c r="BC1017" s="147"/>
      <c r="BD1017" s="147"/>
      <c r="BE1017" s="147"/>
      <c r="BF1017" s="147"/>
      <c r="BG1017" s="147"/>
      <c r="BH1017" s="147"/>
      <c r="BI1017" s="147"/>
      <c r="BJ1017" s="147"/>
      <c r="BK1017" s="147"/>
      <c r="BL1017" s="147"/>
      <c r="BM1017" s="147"/>
      <c r="BN1017" s="147"/>
      <c r="BO1017" s="147"/>
      <c r="BP1017" s="147"/>
      <c r="BQ1017" s="147"/>
      <c r="BR1017" s="147"/>
      <c r="BS1017" s="147"/>
      <c r="BT1017" s="147"/>
      <c r="BU1017" s="147"/>
      <c r="BV1017" s="147"/>
      <c r="BW1017" s="147"/>
      <c r="BX1017" s="147"/>
      <c r="BY1017" s="147"/>
      <c r="BZ1017" s="147"/>
      <c r="CA1017" s="147"/>
      <c r="CB1017" s="147"/>
      <c r="CC1017" s="147"/>
      <c r="CD1017" s="147"/>
      <c r="CE1017" s="147"/>
      <c r="CF1017" s="147"/>
      <c r="CG1017" s="147"/>
      <c r="CH1017" s="147"/>
      <c r="CI1017" s="147"/>
      <c r="CJ1017" s="147"/>
      <c r="CK1017" s="147"/>
    </row>
    <row r="1018" spans="1:89">
      <c r="A1018" s="157"/>
      <c r="F1018" s="3"/>
      <c r="G1018" s="3"/>
      <c r="L1018" s="157"/>
      <c r="M1018" s="157"/>
      <c r="O1018" s="147"/>
      <c r="P1018" s="147"/>
      <c r="Q1018" s="147"/>
      <c r="R1018" s="147"/>
      <c r="S1018" s="147"/>
      <c r="T1018" s="147"/>
      <c r="U1018" s="147"/>
      <c r="V1018" s="147"/>
      <c r="W1018" s="147"/>
      <c r="X1018" s="147"/>
      <c r="Y1018" s="147"/>
      <c r="Z1018" s="147"/>
      <c r="AA1018" s="147"/>
      <c r="AB1018" s="147"/>
      <c r="AC1018" s="147"/>
      <c r="AD1018" s="147"/>
      <c r="AE1018" s="147"/>
      <c r="AF1018" s="147"/>
      <c r="AG1018" s="147"/>
      <c r="AH1018" s="147"/>
      <c r="AI1018" s="147"/>
      <c r="AJ1018" s="147"/>
      <c r="AK1018" s="147"/>
      <c r="AL1018" s="147"/>
      <c r="AM1018" s="151"/>
      <c r="AN1018" s="147"/>
      <c r="AO1018" s="147"/>
      <c r="AP1018" s="147"/>
      <c r="AQ1018" s="147"/>
      <c r="AR1018" s="147"/>
      <c r="AS1018" s="147"/>
      <c r="AT1018" s="147"/>
      <c r="AU1018" s="147"/>
      <c r="AV1018" s="147"/>
      <c r="AW1018" s="147"/>
      <c r="AX1018" s="147"/>
      <c r="AY1018" s="147"/>
      <c r="AZ1018" s="147"/>
      <c r="BA1018" s="147"/>
      <c r="BB1018" s="147"/>
      <c r="BC1018" s="147"/>
      <c r="BD1018" s="147"/>
      <c r="BE1018" s="147"/>
      <c r="BF1018" s="147"/>
      <c r="BG1018" s="147"/>
      <c r="BH1018" s="147"/>
      <c r="BI1018" s="147"/>
      <c r="BJ1018" s="147"/>
      <c r="BK1018" s="147"/>
      <c r="BL1018" s="147"/>
      <c r="BM1018" s="147"/>
      <c r="BN1018" s="147"/>
      <c r="BO1018" s="147"/>
      <c r="BP1018" s="147"/>
      <c r="BQ1018" s="147"/>
      <c r="BR1018" s="147"/>
      <c r="BS1018" s="147"/>
      <c r="BT1018" s="147"/>
      <c r="BU1018" s="147"/>
      <c r="BV1018" s="147"/>
      <c r="BW1018" s="147"/>
      <c r="BX1018" s="147"/>
      <c r="BY1018" s="147"/>
      <c r="BZ1018" s="147"/>
      <c r="CA1018" s="147"/>
      <c r="CB1018" s="147"/>
      <c r="CC1018" s="147"/>
      <c r="CD1018" s="147"/>
      <c r="CE1018" s="147"/>
      <c r="CF1018" s="147"/>
      <c r="CG1018" s="147"/>
      <c r="CH1018" s="147"/>
      <c r="CI1018" s="147"/>
      <c r="CJ1018" s="147"/>
      <c r="CK1018" s="147"/>
    </row>
    <row r="1019" spans="1:89">
      <c r="A1019" s="157"/>
      <c r="F1019" s="3"/>
      <c r="G1019" s="3"/>
      <c r="L1019" s="157"/>
      <c r="M1019" s="157"/>
      <c r="O1019" s="147"/>
      <c r="P1019" s="147"/>
      <c r="Q1019" s="147"/>
      <c r="R1019" s="147"/>
      <c r="S1019" s="147"/>
      <c r="T1019" s="147"/>
      <c r="U1019" s="147"/>
      <c r="V1019" s="147"/>
      <c r="W1019" s="147"/>
      <c r="X1019" s="147"/>
      <c r="Y1019" s="147"/>
      <c r="Z1019" s="147"/>
      <c r="AA1019" s="147"/>
      <c r="AB1019" s="147"/>
      <c r="AC1019" s="147"/>
      <c r="AD1019" s="147"/>
      <c r="AE1019" s="147"/>
      <c r="AF1019" s="147"/>
      <c r="AG1019" s="147"/>
      <c r="AH1019" s="147"/>
      <c r="AI1019" s="147"/>
      <c r="AJ1019" s="147"/>
      <c r="AK1019" s="147"/>
      <c r="AL1019" s="147"/>
      <c r="AM1019" s="151"/>
      <c r="AN1019" s="147"/>
      <c r="AO1019" s="147"/>
      <c r="AP1019" s="147"/>
      <c r="AQ1019" s="147"/>
      <c r="AR1019" s="147"/>
      <c r="AS1019" s="147"/>
      <c r="AT1019" s="147"/>
      <c r="AU1019" s="147"/>
      <c r="AV1019" s="147"/>
      <c r="AW1019" s="147"/>
      <c r="AX1019" s="147"/>
      <c r="AY1019" s="147"/>
      <c r="AZ1019" s="147"/>
      <c r="BA1019" s="147"/>
      <c r="BB1019" s="147"/>
      <c r="BC1019" s="147"/>
      <c r="BD1019" s="147"/>
      <c r="BE1019" s="147"/>
      <c r="BF1019" s="147"/>
      <c r="BG1019" s="147"/>
      <c r="BH1019" s="147"/>
      <c r="BI1019" s="147"/>
      <c r="BJ1019" s="147"/>
      <c r="BK1019" s="147"/>
      <c r="BL1019" s="147"/>
      <c r="BM1019" s="147"/>
      <c r="BN1019" s="147"/>
      <c r="BO1019" s="147"/>
      <c r="BP1019" s="147"/>
      <c r="BQ1019" s="147"/>
      <c r="BR1019" s="147"/>
      <c r="BS1019" s="147"/>
      <c r="BT1019" s="147"/>
      <c r="BU1019" s="147"/>
      <c r="BV1019" s="147"/>
      <c r="BW1019" s="147"/>
      <c r="BX1019" s="147"/>
      <c r="BY1019" s="147"/>
      <c r="BZ1019" s="147"/>
      <c r="CA1019" s="147"/>
      <c r="CB1019" s="147"/>
      <c r="CC1019" s="147"/>
      <c r="CD1019" s="147"/>
      <c r="CE1019" s="147"/>
      <c r="CF1019" s="147"/>
      <c r="CG1019" s="147"/>
      <c r="CH1019" s="147"/>
      <c r="CI1019" s="147"/>
      <c r="CJ1019" s="147"/>
      <c r="CK1019" s="147"/>
    </row>
    <row r="1020" spans="1:89">
      <c r="A1020" s="157"/>
      <c r="F1020" s="3"/>
      <c r="G1020" s="3"/>
      <c r="L1020" s="157"/>
      <c r="M1020" s="157"/>
      <c r="O1020" s="147"/>
      <c r="P1020" s="147"/>
      <c r="Q1020" s="147"/>
      <c r="R1020" s="147"/>
      <c r="S1020" s="147"/>
      <c r="T1020" s="147"/>
      <c r="U1020" s="147"/>
      <c r="V1020" s="147"/>
      <c r="W1020" s="147"/>
      <c r="X1020" s="147"/>
      <c r="Y1020" s="147"/>
      <c r="Z1020" s="147"/>
      <c r="AA1020" s="147"/>
      <c r="AB1020" s="147"/>
      <c r="AC1020" s="147"/>
      <c r="AD1020" s="147"/>
      <c r="AE1020" s="147"/>
      <c r="AF1020" s="147"/>
      <c r="AG1020" s="147"/>
      <c r="AH1020" s="147"/>
      <c r="AI1020" s="147"/>
      <c r="AJ1020" s="147"/>
      <c r="AK1020" s="147"/>
      <c r="AL1020" s="147"/>
      <c r="AM1020" s="151"/>
      <c r="AN1020" s="147"/>
      <c r="AO1020" s="147"/>
      <c r="AP1020" s="147"/>
      <c r="AQ1020" s="147"/>
      <c r="AR1020" s="147"/>
      <c r="AS1020" s="147"/>
      <c r="AT1020" s="147"/>
      <c r="AU1020" s="147"/>
      <c r="AV1020" s="147"/>
      <c r="AW1020" s="147"/>
      <c r="AX1020" s="147"/>
      <c r="AY1020" s="147"/>
      <c r="AZ1020" s="147"/>
      <c r="BA1020" s="147"/>
      <c r="BB1020" s="147"/>
      <c r="BC1020" s="147"/>
      <c r="BD1020" s="147"/>
      <c r="BE1020" s="147"/>
      <c r="BF1020" s="147"/>
      <c r="BG1020" s="147"/>
      <c r="BH1020" s="147"/>
      <c r="BI1020" s="147"/>
      <c r="BJ1020" s="147"/>
      <c r="BK1020" s="147"/>
      <c r="BL1020" s="147"/>
      <c r="BM1020" s="147"/>
      <c r="BN1020" s="147"/>
      <c r="BO1020" s="147"/>
      <c r="BP1020" s="147"/>
      <c r="BQ1020" s="147"/>
      <c r="BR1020" s="147"/>
      <c r="BS1020" s="147"/>
      <c r="BT1020" s="147"/>
      <c r="BU1020" s="147"/>
      <c r="BV1020" s="147"/>
      <c r="BW1020" s="147"/>
      <c r="BX1020" s="147"/>
      <c r="BY1020" s="147"/>
      <c r="BZ1020" s="147"/>
      <c r="CA1020" s="147"/>
      <c r="CB1020" s="147"/>
      <c r="CC1020" s="147"/>
      <c r="CD1020" s="147"/>
      <c r="CE1020" s="147"/>
      <c r="CF1020" s="147"/>
      <c r="CG1020" s="147"/>
      <c r="CH1020" s="147"/>
      <c r="CI1020" s="147"/>
      <c r="CJ1020" s="147"/>
      <c r="CK1020" s="147"/>
    </row>
    <row r="1021" spans="1:89">
      <c r="A1021" s="157"/>
      <c r="F1021" s="3"/>
      <c r="G1021" s="3"/>
      <c r="L1021" s="157"/>
      <c r="M1021" s="157"/>
      <c r="O1021" s="147"/>
      <c r="P1021" s="147"/>
      <c r="Q1021" s="147"/>
      <c r="R1021" s="147"/>
      <c r="S1021" s="147"/>
      <c r="T1021" s="147"/>
      <c r="U1021" s="147"/>
      <c r="V1021" s="147"/>
      <c r="W1021" s="147"/>
      <c r="X1021" s="147"/>
      <c r="Y1021" s="147"/>
      <c r="Z1021" s="147"/>
      <c r="AA1021" s="147"/>
      <c r="AB1021" s="147"/>
      <c r="AC1021" s="147"/>
      <c r="AD1021" s="147"/>
      <c r="AE1021" s="147"/>
      <c r="AF1021" s="147"/>
      <c r="AG1021" s="147"/>
      <c r="AH1021" s="147"/>
      <c r="AI1021" s="147"/>
      <c r="AJ1021" s="147"/>
      <c r="AK1021" s="147"/>
      <c r="AL1021" s="147"/>
      <c r="AM1021" s="151"/>
      <c r="AN1021" s="147"/>
      <c r="AO1021" s="147"/>
      <c r="AP1021" s="147"/>
      <c r="AQ1021" s="147"/>
      <c r="AR1021" s="147"/>
      <c r="AS1021" s="147"/>
      <c r="AT1021" s="147"/>
      <c r="AU1021" s="147"/>
      <c r="AV1021" s="147"/>
      <c r="AW1021" s="147"/>
      <c r="AX1021" s="147"/>
      <c r="AY1021" s="147"/>
      <c r="AZ1021" s="147"/>
      <c r="BA1021" s="147"/>
      <c r="BB1021" s="147"/>
      <c r="BC1021" s="147"/>
      <c r="BD1021" s="147"/>
      <c r="BE1021" s="147"/>
      <c r="BF1021" s="147"/>
      <c r="BG1021" s="147"/>
      <c r="BH1021" s="147"/>
      <c r="BI1021" s="147"/>
      <c r="BJ1021" s="147"/>
      <c r="BK1021" s="147"/>
      <c r="BL1021" s="147"/>
      <c r="BM1021" s="147"/>
      <c r="BN1021" s="147"/>
      <c r="BO1021" s="147"/>
      <c r="BP1021" s="147"/>
      <c r="BQ1021" s="147"/>
      <c r="BR1021" s="147"/>
      <c r="BS1021" s="147"/>
      <c r="BT1021" s="147"/>
      <c r="BU1021" s="147"/>
      <c r="BV1021" s="147"/>
      <c r="BW1021" s="147"/>
      <c r="BX1021" s="147"/>
      <c r="BY1021" s="147"/>
      <c r="BZ1021" s="147"/>
      <c r="CA1021" s="147"/>
      <c r="CB1021" s="147"/>
      <c r="CC1021" s="147"/>
      <c r="CD1021" s="147"/>
      <c r="CE1021" s="147"/>
      <c r="CF1021" s="147"/>
      <c r="CG1021" s="147"/>
      <c r="CH1021" s="147"/>
      <c r="CI1021" s="147"/>
      <c r="CJ1021" s="147"/>
      <c r="CK1021" s="147"/>
    </row>
    <row r="1022" spans="1:89">
      <c r="A1022" s="157"/>
      <c r="F1022" s="3"/>
      <c r="G1022" s="3"/>
      <c r="L1022" s="157"/>
      <c r="M1022" s="157"/>
      <c r="O1022" s="147"/>
      <c r="P1022" s="147"/>
      <c r="Q1022" s="147"/>
      <c r="R1022" s="147"/>
      <c r="S1022" s="147"/>
      <c r="T1022" s="147"/>
      <c r="U1022" s="147"/>
      <c r="V1022" s="147"/>
      <c r="W1022" s="147"/>
      <c r="X1022" s="147"/>
      <c r="Y1022" s="147"/>
      <c r="Z1022" s="147"/>
      <c r="AA1022" s="147"/>
      <c r="AB1022" s="147"/>
      <c r="AC1022" s="147"/>
      <c r="AD1022" s="147"/>
      <c r="AE1022" s="147"/>
      <c r="AF1022" s="147"/>
      <c r="AG1022" s="147"/>
      <c r="AH1022" s="147"/>
      <c r="AI1022" s="147"/>
      <c r="AJ1022" s="147"/>
      <c r="AK1022" s="147"/>
      <c r="AL1022" s="147"/>
      <c r="AM1022" s="151"/>
      <c r="AN1022" s="147"/>
      <c r="AO1022" s="147"/>
      <c r="AP1022" s="147"/>
      <c r="AQ1022" s="147"/>
      <c r="AR1022" s="147"/>
      <c r="AS1022" s="147"/>
      <c r="AT1022" s="147"/>
      <c r="AU1022" s="147"/>
      <c r="AV1022" s="147"/>
      <c r="AW1022" s="147"/>
      <c r="AX1022" s="147"/>
      <c r="AY1022" s="147"/>
      <c r="AZ1022" s="147"/>
      <c r="BA1022" s="147"/>
      <c r="BB1022" s="147"/>
      <c r="BC1022" s="147"/>
      <c r="BD1022" s="147"/>
      <c r="BE1022" s="147"/>
      <c r="BF1022" s="147"/>
      <c r="BG1022" s="147"/>
      <c r="BH1022" s="147"/>
      <c r="BI1022" s="147"/>
      <c r="BJ1022" s="147"/>
      <c r="BK1022" s="147"/>
      <c r="BL1022" s="147"/>
      <c r="BM1022" s="147"/>
      <c r="BN1022" s="147"/>
      <c r="BO1022" s="147"/>
      <c r="BP1022" s="147"/>
      <c r="BQ1022" s="147"/>
      <c r="BR1022" s="147"/>
      <c r="BS1022" s="147"/>
      <c r="BT1022" s="147"/>
      <c r="BU1022" s="147"/>
      <c r="BV1022" s="147"/>
      <c r="BW1022" s="147"/>
      <c r="BX1022" s="147"/>
      <c r="BY1022" s="147"/>
      <c r="BZ1022" s="147"/>
      <c r="CA1022" s="147"/>
      <c r="CB1022" s="147"/>
      <c r="CC1022" s="147"/>
      <c r="CD1022" s="147"/>
      <c r="CE1022" s="147"/>
      <c r="CF1022" s="147"/>
      <c r="CG1022" s="147"/>
      <c r="CH1022" s="147"/>
      <c r="CI1022" s="147"/>
      <c r="CJ1022" s="147"/>
      <c r="CK1022" s="147"/>
    </row>
    <row r="1023" spans="1:89">
      <c r="A1023" s="157"/>
      <c r="F1023" s="3"/>
      <c r="G1023" s="3"/>
      <c r="L1023" s="157"/>
      <c r="M1023" s="157"/>
      <c r="O1023" s="147"/>
      <c r="P1023" s="147"/>
      <c r="Q1023" s="147"/>
      <c r="R1023" s="147"/>
      <c r="S1023" s="147"/>
      <c r="T1023" s="147"/>
      <c r="U1023" s="147"/>
      <c r="V1023" s="147"/>
      <c r="W1023" s="147"/>
      <c r="X1023" s="147"/>
      <c r="Y1023" s="147"/>
      <c r="Z1023" s="147"/>
      <c r="AA1023" s="147"/>
      <c r="AB1023" s="147"/>
      <c r="AC1023" s="147"/>
      <c r="AD1023" s="147"/>
      <c r="AE1023" s="147"/>
      <c r="AF1023" s="147"/>
      <c r="AG1023" s="147"/>
      <c r="AH1023" s="147"/>
      <c r="AI1023" s="147"/>
      <c r="AJ1023" s="147"/>
      <c r="AK1023" s="147"/>
      <c r="AL1023" s="147"/>
      <c r="AM1023" s="151"/>
      <c r="AN1023" s="147"/>
      <c r="AO1023" s="147"/>
      <c r="AP1023" s="147"/>
      <c r="AQ1023" s="147"/>
      <c r="AR1023" s="147"/>
      <c r="AS1023" s="147"/>
      <c r="AT1023" s="147"/>
      <c r="AU1023" s="147"/>
      <c r="AV1023" s="147"/>
      <c r="AW1023" s="147"/>
      <c r="AX1023" s="147"/>
      <c r="AY1023" s="147"/>
      <c r="AZ1023" s="147"/>
      <c r="BA1023" s="147"/>
      <c r="BB1023" s="147"/>
      <c r="BC1023" s="147"/>
      <c r="BD1023" s="147"/>
      <c r="BE1023" s="147"/>
      <c r="BF1023" s="147"/>
      <c r="BG1023" s="147"/>
      <c r="BH1023" s="147"/>
      <c r="BI1023" s="147"/>
      <c r="BJ1023" s="147"/>
      <c r="BK1023" s="147"/>
      <c r="BL1023" s="147"/>
      <c r="BM1023" s="147"/>
      <c r="BN1023" s="147"/>
      <c r="BO1023" s="147"/>
      <c r="BP1023" s="147"/>
      <c r="BQ1023" s="147"/>
      <c r="BR1023" s="147"/>
      <c r="BS1023" s="147"/>
      <c r="BT1023" s="147"/>
      <c r="BU1023" s="147"/>
      <c r="BV1023" s="147"/>
      <c r="BW1023" s="147"/>
      <c r="BX1023" s="147"/>
      <c r="BY1023" s="147"/>
      <c r="BZ1023" s="147"/>
      <c r="CA1023" s="147"/>
      <c r="CB1023" s="147"/>
      <c r="CC1023" s="147"/>
      <c r="CD1023" s="147"/>
      <c r="CE1023" s="147"/>
      <c r="CF1023" s="147"/>
      <c r="CG1023" s="147"/>
      <c r="CH1023" s="147"/>
      <c r="CI1023" s="147"/>
      <c r="CJ1023" s="147"/>
      <c r="CK1023" s="147"/>
    </row>
    <row r="1024" spans="1:89">
      <c r="A1024" s="157"/>
      <c r="F1024" s="3"/>
      <c r="G1024" s="3"/>
      <c r="L1024" s="157"/>
      <c r="M1024" s="157"/>
      <c r="O1024" s="147"/>
      <c r="P1024" s="147"/>
      <c r="Q1024" s="147"/>
      <c r="R1024" s="147"/>
      <c r="S1024" s="147"/>
      <c r="T1024" s="147"/>
      <c r="U1024" s="147"/>
      <c r="V1024" s="147"/>
      <c r="W1024" s="147"/>
      <c r="X1024" s="147"/>
      <c r="Y1024" s="147"/>
      <c r="Z1024" s="147"/>
      <c r="AA1024" s="147"/>
      <c r="AB1024" s="147"/>
      <c r="AC1024" s="147"/>
      <c r="AD1024" s="147"/>
      <c r="AE1024" s="147"/>
      <c r="AF1024" s="147"/>
      <c r="AG1024" s="147"/>
      <c r="AH1024" s="147"/>
      <c r="AI1024" s="147"/>
      <c r="AJ1024" s="147"/>
      <c r="AK1024" s="147"/>
      <c r="AL1024" s="147"/>
      <c r="AM1024" s="151"/>
      <c r="AN1024" s="147"/>
      <c r="AO1024" s="147"/>
      <c r="AP1024" s="147"/>
      <c r="AQ1024" s="147"/>
      <c r="AR1024" s="147"/>
      <c r="AS1024" s="147"/>
      <c r="AT1024" s="147"/>
      <c r="AU1024" s="147"/>
      <c r="AV1024" s="147"/>
      <c r="AW1024" s="147"/>
      <c r="AX1024" s="147"/>
      <c r="AY1024" s="147"/>
      <c r="AZ1024" s="147"/>
      <c r="BA1024" s="147"/>
      <c r="BB1024" s="147"/>
      <c r="BC1024" s="147"/>
      <c r="BD1024" s="147"/>
      <c r="BE1024" s="147"/>
      <c r="BF1024" s="147"/>
      <c r="BG1024" s="147"/>
      <c r="BH1024" s="147"/>
      <c r="BI1024" s="147"/>
      <c r="BJ1024" s="147"/>
      <c r="BK1024" s="147"/>
      <c r="BL1024" s="147"/>
      <c r="BM1024" s="147"/>
      <c r="BN1024" s="147"/>
      <c r="BO1024" s="147"/>
      <c r="BP1024" s="147"/>
      <c r="BQ1024" s="147"/>
      <c r="BR1024" s="147"/>
      <c r="BS1024" s="147"/>
      <c r="BT1024" s="147"/>
      <c r="BU1024" s="147"/>
      <c r="BV1024" s="147"/>
      <c r="BW1024" s="147"/>
      <c r="BX1024" s="147"/>
      <c r="BY1024" s="147"/>
      <c r="BZ1024" s="147"/>
      <c r="CA1024" s="147"/>
      <c r="CB1024" s="147"/>
      <c r="CC1024" s="147"/>
      <c r="CD1024" s="147"/>
      <c r="CE1024" s="147"/>
      <c r="CF1024" s="147"/>
      <c r="CG1024" s="147"/>
      <c r="CH1024" s="147"/>
      <c r="CI1024" s="147"/>
      <c r="CJ1024" s="147"/>
      <c r="CK1024" s="147"/>
    </row>
    <row r="1025" spans="1:89">
      <c r="A1025" s="157"/>
      <c r="F1025" s="3"/>
      <c r="G1025" s="3"/>
      <c r="L1025" s="157"/>
      <c r="M1025" s="157"/>
      <c r="O1025" s="147"/>
      <c r="P1025" s="147"/>
      <c r="Q1025" s="147"/>
      <c r="R1025" s="147"/>
      <c r="S1025" s="147"/>
      <c r="T1025" s="147"/>
      <c r="U1025" s="147"/>
      <c r="V1025" s="147"/>
      <c r="W1025" s="147"/>
      <c r="X1025" s="147"/>
      <c r="Y1025" s="147"/>
      <c r="Z1025" s="147"/>
      <c r="AA1025" s="147"/>
      <c r="AB1025" s="147"/>
      <c r="AC1025" s="147"/>
      <c r="AD1025" s="147"/>
      <c r="AE1025" s="147"/>
      <c r="AF1025" s="147"/>
      <c r="AG1025" s="147"/>
      <c r="AH1025" s="147"/>
      <c r="AI1025" s="147"/>
      <c r="AJ1025" s="147"/>
      <c r="AK1025" s="147"/>
      <c r="AL1025" s="147"/>
      <c r="AM1025" s="151"/>
      <c r="AN1025" s="147"/>
      <c r="AO1025" s="147"/>
      <c r="AP1025" s="147"/>
      <c r="AQ1025" s="147"/>
      <c r="AR1025" s="147"/>
      <c r="AS1025" s="147"/>
      <c r="AT1025" s="147"/>
      <c r="AU1025" s="147"/>
      <c r="AV1025" s="147"/>
      <c r="AW1025" s="147"/>
      <c r="AX1025" s="147"/>
      <c r="AY1025" s="147"/>
      <c r="AZ1025" s="147"/>
      <c r="BA1025" s="147"/>
      <c r="BB1025" s="147"/>
      <c r="BC1025" s="147"/>
      <c r="BD1025" s="147"/>
      <c r="BE1025" s="147"/>
      <c r="BF1025" s="147"/>
      <c r="BG1025" s="147"/>
      <c r="BH1025" s="147"/>
      <c r="BI1025" s="147"/>
      <c r="BJ1025" s="147"/>
      <c r="BK1025" s="147"/>
      <c r="BL1025" s="147"/>
      <c r="BM1025" s="147"/>
      <c r="BN1025" s="147"/>
      <c r="BO1025" s="147"/>
      <c r="BP1025" s="147"/>
      <c r="BQ1025" s="147"/>
      <c r="BR1025" s="147"/>
      <c r="BS1025" s="147"/>
      <c r="BT1025" s="147"/>
      <c r="BU1025" s="147"/>
      <c r="BV1025" s="147"/>
      <c r="BW1025" s="147"/>
      <c r="BX1025" s="147"/>
      <c r="BY1025" s="147"/>
      <c r="BZ1025" s="147"/>
      <c r="CA1025" s="147"/>
      <c r="CB1025" s="147"/>
      <c r="CC1025" s="147"/>
      <c r="CD1025" s="147"/>
      <c r="CE1025" s="147"/>
      <c r="CF1025" s="147"/>
      <c r="CG1025" s="147"/>
      <c r="CH1025" s="147"/>
      <c r="CI1025" s="147"/>
      <c r="CJ1025" s="147"/>
      <c r="CK1025" s="147"/>
    </row>
    <row r="1026" spans="1:89">
      <c r="A1026" s="157"/>
      <c r="F1026" s="3"/>
      <c r="G1026" s="3"/>
      <c r="L1026" s="157"/>
      <c r="M1026" s="157"/>
      <c r="O1026" s="147"/>
      <c r="P1026" s="147"/>
      <c r="Q1026" s="147"/>
      <c r="R1026" s="147"/>
      <c r="S1026" s="147"/>
      <c r="T1026" s="147"/>
      <c r="U1026" s="147"/>
      <c r="V1026" s="147"/>
      <c r="W1026" s="147"/>
      <c r="X1026" s="147"/>
      <c r="Y1026" s="147"/>
      <c r="Z1026" s="147"/>
      <c r="AA1026" s="147"/>
      <c r="AB1026" s="147"/>
      <c r="AC1026" s="147"/>
      <c r="AD1026" s="147"/>
      <c r="AE1026" s="147"/>
      <c r="AF1026" s="147"/>
      <c r="AG1026" s="147"/>
      <c r="AH1026" s="147"/>
      <c r="AI1026" s="147"/>
      <c r="AJ1026" s="147"/>
      <c r="AK1026" s="147"/>
      <c r="AL1026" s="147"/>
      <c r="AM1026" s="151"/>
      <c r="AN1026" s="147"/>
      <c r="AO1026" s="147"/>
      <c r="AP1026" s="147"/>
      <c r="AQ1026" s="147"/>
      <c r="AR1026" s="147"/>
      <c r="AS1026" s="147"/>
      <c r="AT1026" s="147"/>
      <c r="AU1026" s="147"/>
      <c r="AV1026" s="147"/>
      <c r="AW1026" s="147"/>
      <c r="AX1026" s="147"/>
      <c r="AY1026" s="147"/>
      <c r="AZ1026" s="147"/>
      <c r="BA1026" s="147"/>
      <c r="BB1026" s="147"/>
      <c r="BC1026" s="147"/>
      <c r="BD1026" s="147"/>
      <c r="BE1026" s="147"/>
      <c r="BF1026" s="147"/>
      <c r="BG1026" s="147"/>
      <c r="BH1026" s="147"/>
      <c r="BI1026" s="147"/>
      <c r="BJ1026" s="147"/>
      <c r="BK1026" s="147"/>
      <c r="BL1026" s="147"/>
      <c r="BM1026" s="147"/>
      <c r="BN1026" s="147"/>
      <c r="BO1026" s="147"/>
      <c r="BP1026" s="147"/>
      <c r="BQ1026" s="147"/>
      <c r="BR1026" s="147"/>
      <c r="BS1026" s="147"/>
      <c r="BT1026" s="147"/>
      <c r="BU1026" s="147"/>
      <c r="BV1026" s="147"/>
      <c r="BW1026" s="147"/>
      <c r="BX1026" s="147"/>
      <c r="BY1026" s="147"/>
      <c r="BZ1026" s="147"/>
      <c r="CA1026" s="147"/>
      <c r="CB1026" s="147"/>
      <c r="CC1026" s="147"/>
      <c r="CD1026" s="147"/>
      <c r="CE1026" s="147"/>
      <c r="CF1026" s="147"/>
      <c r="CG1026" s="147"/>
      <c r="CH1026" s="147"/>
      <c r="CI1026" s="147"/>
      <c r="CJ1026" s="147"/>
      <c r="CK1026" s="147"/>
    </row>
    <row r="1027" spans="1:89">
      <c r="A1027" s="157"/>
      <c r="F1027" s="3"/>
      <c r="G1027" s="3"/>
      <c r="L1027" s="157"/>
      <c r="M1027" s="157"/>
      <c r="O1027" s="147"/>
      <c r="P1027" s="147"/>
      <c r="Q1027" s="147"/>
      <c r="R1027" s="147"/>
      <c r="S1027" s="147"/>
      <c r="T1027" s="147"/>
      <c r="U1027" s="147"/>
      <c r="V1027" s="147"/>
      <c r="W1027" s="147"/>
      <c r="X1027" s="147"/>
      <c r="Y1027" s="147"/>
      <c r="Z1027" s="147"/>
      <c r="AA1027" s="147"/>
      <c r="AB1027" s="147"/>
      <c r="AC1027" s="147"/>
      <c r="AD1027" s="147"/>
      <c r="AE1027" s="147"/>
      <c r="AF1027" s="147"/>
      <c r="AG1027" s="147"/>
      <c r="AH1027" s="147"/>
      <c r="AI1027" s="147"/>
      <c r="AJ1027" s="147"/>
      <c r="AK1027" s="147"/>
      <c r="AL1027" s="147"/>
      <c r="AM1027" s="151"/>
      <c r="AN1027" s="147"/>
      <c r="AO1027" s="147"/>
      <c r="AP1027" s="147"/>
      <c r="AQ1027" s="147"/>
      <c r="AR1027" s="147"/>
      <c r="AS1027" s="147"/>
      <c r="AT1027" s="147"/>
      <c r="AU1027" s="147"/>
      <c r="AV1027" s="147"/>
      <c r="AW1027" s="147"/>
      <c r="AX1027" s="147"/>
      <c r="AY1027" s="147"/>
      <c r="AZ1027" s="147"/>
      <c r="BA1027" s="147"/>
      <c r="BB1027" s="147"/>
      <c r="BC1027" s="147"/>
      <c r="BD1027" s="147"/>
      <c r="BE1027" s="147"/>
      <c r="BF1027" s="147"/>
      <c r="BG1027" s="147"/>
      <c r="BH1027" s="147"/>
      <c r="BI1027" s="147"/>
      <c r="BJ1027" s="147"/>
      <c r="BK1027" s="147"/>
      <c r="BL1027" s="147"/>
      <c r="BM1027" s="147"/>
      <c r="BN1027" s="147"/>
      <c r="BO1027" s="147"/>
      <c r="BP1027" s="147"/>
      <c r="BQ1027" s="147"/>
      <c r="BR1027" s="147"/>
      <c r="BS1027" s="147"/>
      <c r="BT1027" s="147"/>
      <c r="BU1027" s="147"/>
      <c r="BV1027" s="147"/>
      <c r="BW1027" s="147"/>
      <c r="BX1027" s="147"/>
      <c r="BY1027" s="147"/>
      <c r="BZ1027" s="147"/>
      <c r="CA1027" s="147"/>
      <c r="CB1027" s="147"/>
      <c r="CC1027" s="147"/>
      <c r="CD1027" s="147"/>
      <c r="CE1027" s="147"/>
      <c r="CF1027" s="147"/>
      <c r="CG1027" s="147"/>
      <c r="CH1027" s="147"/>
      <c r="CI1027" s="147"/>
      <c r="CJ1027" s="147"/>
      <c r="CK1027" s="147"/>
    </row>
    <row r="1028" spans="1:89">
      <c r="A1028" s="157"/>
      <c r="F1028" s="3"/>
      <c r="G1028" s="3"/>
      <c r="L1028" s="157"/>
      <c r="M1028" s="157"/>
      <c r="O1028" s="147"/>
      <c r="P1028" s="147"/>
      <c r="Q1028" s="147"/>
      <c r="R1028" s="147"/>
      <c r="S1028" s="147"/>
      <c r="T1028" s="147"/>
      <c r="U1028" s="147"/>
      <c r="V1028" s="147"/>
      <c r="W1028" s="147"/>
      <c r="X1028" s="147"/>
      <c r="Y1028" s="147"/>
      <c r="Z1028" s="147"/>
      <c r="AA1028" s="147"/>
      <c r="AB1028" s="147"/>
      <c r="AC1028" s="147"/>
      <c r="AD1028" s="147"/>
      <c r="AE1028" s="147"/>
      <c r="AF1028" s="147"/>
      <c r="AG1028" s="147"/>
      <c r="AH1028" s="147"/>
      <c r="AI1028" s="147"/>
      <c r="AJ1028" s="147"/>
      <c r="AK1028" s="147"/>
      <c r="AL1028" s="147"/>
      <c r="AM1028" s="151"/>
      <c r="AN1028" s="147"/>
      <c r="AO1028" s="147"/>
      <c r="AP1028" s="147"/>
      <c r="AQ1028" s="147"/>
      <c r="AR1028" s="147"/>
      <c r="AS1028" s="147"/>
      <c r="AT1028" s="147"/>
      <c r="AU1028" s="147"/>
      <c r="AV1028" s="147"/>
      <c r="AW1028" s="147"/>
      <c r="AX1028" s="147"/>
      <c r="AY1028" s="147"/>
      <c r="AZ1028" s="147"/>
      <c r="BA1028" s="147"/>
      <c r="BB1028" s="147"/>
      <c r="BC1028" s="147"/>
      <c r="BD1028" s="147"/>
      <c r="BE1028" s="147"/>
      <c r="BF1028" s="147"/>
      <c r="BG1028" s="147"/>
      <c r="BH1028" s="147"/>
      <c r="BI1028" s="147"/>
      <c r="BJ1028" s="147"/>
      <c r="BK1028" s="147"/>
      <c r="BL1028" s="147"/>
      <c r="BM1028" s="147"/>
      <c r="BN1028" s="147"/>
      <c r="BO1028" s="147"/>
      <c r="BP1028" s="147"/>
      <c r="BQ1028" s="147"/>
      <c r="BR1028" s="147"/>
      <c r="BS1028" s="147"/>
      <c r="BT1028" s="147"/>
      <c r="BU1028" s="147"/>
      <c r="BV1028" s="147"/>
      <c r="BW1028" s="147"/>
      <c r="BX1028" s="147"/>
      <c r="BY1028" s="147"/>
      <c r="BZ1028" s="147"/>
      <c r="CA1028" s="147"/>
      <c r="CB1028" s="147"/>
      <c r="CC1028" s="147"/>
      <c r="CD1028" s="147"/>
      <c r="CE1028" s="147"/>
      <c r="CF1028" s="147"/>
      <c r="CG1028" s="147"/>
      <c r="CH1028" s="147"/>
      <c r="CI1028" s="147"/>
      <c r="CJ1028" s="147"/>
      <c r="CK1028" s="147"/>
    </row>
    <row r="1029" spans="1:89">
      <c r="A1029" s="157"/>
      <c r="F1029" s="3"/>
      <c r="G1029" s="3"/>
      <c r="L1029" s="157"/>
      <c r="M1029" s="157"/>
      <c r="O1029" s="147"/>
      <c r="P1029" s="147"/>
      <c r="Q1029" s="147"/>
      <c r="R1029" s="147"/>
      <c r="S1029" s="147"/>
      <c r="T1029" s="147"/>
      <c r="U1029" s="147"/>
      <c r="V1029" s="147"/>
      <c r="W1029" s="147"/>
      <c r="X1029" s="147"/>
      <c r="Y1029" s="147"/>
      <c r="Z1029" s="147"/>
      <c r="AA1029" s="147"/>
      <c r="AB1029" s="147"/>
      <c r="AC1029" s="147"/>
      <c r="AD1029" s="147"/>
      <c r="AE1029" s="147"/>
      <c r="AF1029" s="147"/>
      <c r="AG1029" s="147"/>
      <c r="AH1029" s="147"/>
      <c r="AI1029" s="147"/>
      <c r="AJ1029" s="147"/>
      <c r="AK1029" s="147"/>
      <c r="AL1029" s="147"/>
      <c r="AM1029" s="151"/>
      <c r="AN1029" s="147"/>
      <c r="AO1029" s="147"/>
      <c r="AP1029" s="147"/>
      <c r="AQ1029" s="147"/>
      <c r="AR1029" s="147"/>
      <c r="AS1029" s="147"/>
      <c r="AT1029" s="147"/>
      <c r="AU1029" s="147"/>
      <c r="AV1029" s="147"/>
      <c r="AW1029" s="147"/>
      <c r="AX1029" s="147"/>
      <c r="AY1029" s="147"/>
      <c r="AZ1029" s="147"/>
      <c r="BA1029" s="147"/>
      <c r="BB1029" s="147"/>
      <c r="BC1029" s="147"/>
      <c r="BD1029" s="147"/>
      <c r="BE1029" s="147"/>
      <c r="BF1029" s="147"/>
      <c r="BG1029" s="147"/>
      <c r="BH1029" s="147"/>
      <c r="BI1029" s="147"/>
      <c r="BJ1029" s="147"/>
      <c r="BK1029" s="147"/>
      <c r="BL1029" s="147"/>
      <c r="BM1029" s="147"/>
      <c r="BN1029" s="147"/>
      <c r="BO1029" s="147"/>
      <c r="BP1029" s="147"/>
      <c r="BQ1029" s="147"/>
      <c r="BR1029" s="147"/>
      <c r="BS1029" s="147"/>
      <c r="BT1029" s="147"/>
      <c r="BU1029" s="147"/>
      <c r="BV1029" s="147"/>
      <c r="BW1029" s="147"/>
      <c r="BX1029" s="147"/>
      <c r="BY1029" s="147"/>
      <c r="BZ1029" s="147"/>
      <c r="CA1029" s="147"/>
      <c r="CB1029" s="147"/>
      <c r="CC1029" s="147"/>
      <c r="CD1029" s="147"/>
      <c r="CE1029" s="147"/>
      <c r="CF1029" s="147"/>
      <c r="CG1029" s="147"/>
      <c r="CH1029" s="147"/>
      <c r="CI1029" s="147"/>
      <c r="CJ1029" s="147"/>
      <c r="CK1029" s="147"/>
    </row>
    <row r="1030" spans="1:89">
      <c r="A1030" s="157"/>
      <c r="F1030" s="3"/>
      <c r="G1030" s="3"/>
      <c r="L1030" s="157"/>
      <c r="M1030" s="157"/>
      <c r="O1030" s="147"/>
      <c r="P1030" s="147"/>
      <c r="Q1030" s="147"/>
      <c r="R1030" s="147"/>
      <c r="S1030" s="147"/>
      <c r="T1030" s="147"/>
      <c r="U1030" s="147"/>
      <c r="V1030" s="147"/>
      <c r="W1030" s="147"/>
      <c r="X1030" s="147"/>
      <c r="Y1030" s="147"/>
      <c r="Z1030" s="147"/>
      <c r="AA1030" s="147"/>
      <c r="AB1030" s="147"/>
      <c r="AC1030" s="147"/>
      <c r="AD1030" s="147"/>
      <c r="AE1030" s="147"/>
      <c r="AF1030" s="147"/>
      <c r="AG1030" s="147"/>
      <c r="AH1030" s="147"/>
      <c r="AI1030" s="147"/>
      <c r="AJ1030" s="147"/>
      <c r="AK1030" s="147"/>
      <c r="AL1030" s="147"/>
      <c r="AM1030" s="151"/>
      <c r="AN1030" s="147"/>
      <c r="AO1030" s="147"/>
      <c r="AP1030" s="147"/>
      <c r="AQ1030" s="147"/>
      <c r="AR1030" s="147"/>
      <c r="AS1030" s="147"/>
      <c r="AT1030" s="147"/>
      <c r="AU1030" s="147"/>
      <c r="AV1030" s="147"/>
      <c r="AW1030" s="147"/>
      <c r="AX1030" s="147"/>
      <c r="AY1030" s="147"/>
      <c r="AZ1030" s="147"/>
      <c r="BA1030" s="147"/>
      <c r="BB1030" s="147"/>
      <c r="BC1030" s="147"/>
      <c r="BD1030" s="147"/>
      <c r="BE1030" s="147"/>
      <c r="BF1030" s="147"/>
      <c r="BG1030" s="147"/>
      <c r="BH1030" s="147"/>
      <c r="BI1030" s="147"/>
      <c r="BJ1030" s="147"/>
      <c r="BK1030" s="147"/>
      <c r="BL1030" s="147"/>
      <c r="BM1030" s="147"/>
      <c r="BN1030" s="147"/>
      <c r="BO1030" s="147"/>
      <c r="BP1030" s="147"/>
      <c r="BQ1030" s="147"/>
      <c r="BR1030" s="147"/>
      <c r="BS1030" s="147"/>
      <c r="BT1030" s="147"/>
      <c r="BU1030" s="147"/>
      <c r="BV1030" s="147"/>
      <c r="BW1030" s="147"/>
      <c r="BX1030" s="147"/>
      <c r="BY1030" s="147"/>
      <c r="BZ1030" s="147"/>
      <c r="CA1030" s="147"/>
      <c r="CB1030" s="147"/>
      <c r="CC1030" s="147"/>
      <c r="CD1030" s="147"/>
      <c r="CE1030" s="147"/>
      <c r="CF1030" s="147"/>
      <c r="CG1030" s="147"/>
      <c r="CH1030" s="147"/>
      <c r="CI1030" s="147"/>
      <c r="CJ1030" s="147"/>
      <c r="CK1030" s="147"/>
    </row>
    <row r="1031" spans="1:89">
      <c r="A1031" s="157"/>
      <c r="F1031" s="3"/>
      <c r="G1031" s="3"/>
      <c r="L1031" s="157"/>
      <c r="M1031" s="157"/>
      <c r="O1031" s="147"/>
      <c r="P1031" s="147"/>
      <c r="Q1031" s="147"/>
      <c r="R1031" s="147"/>
      <c r="S1031" s="147"/>
      <c r="T1031" s="147"/>
      <c r="U1031" s="147"/>
      <c r="V1031" s="147"/>
      <c r="W1031" s="147"/>
      <c r="X1031" s="147"/>
      <c r="Y1031" s="147"/>
      <c r="Z1031" s="147"/>
      <c r="AA1031" s="147"/>
      <c r="AB1031" s="147"/>
      <c r="AC1031" s="147"/>
      <c r="AD1031" s="147"/>
      <c r="AE1031" s="147"/>
      <c r="AF1031" s="147"/>
      <c r="AG1031" s="147"/>
      <c r="AH1031" s="147"/>
      <c r="AI1031" s="147"/>
      <c r="AJ1031" s="147"/>
      <c r="AK1031" s="147"/>
      <c r="AL1031" s="147"/>
      <c r="AM1031" s="151"/>
      <c r="AN1031" s="147"/>
      <c r="AO1031" s="147"/>
      <c r="AP1031" s="147"/>
      <c r="AQ1031" s="147"/>
      <c r="AR1031" s="147"/>
      <c r="AS1031" s="147"/>
      <c r="AT1031" s="147"/>
      <c r="AU1031" s="147"/>
      <c r="AV1031" s="147"/>
      <c r="AW1031" s="147"/>
      <c r="AX1031" s="147"/>
      <c r="AY1031" s="147"/>
      <c r="AZ1031" s="147"/>
      <c r="BA1031" s="147"/>
      <c r="BB1031" s="147"/>
      <c r="BC1031" s="147"/>
      <c r="BD1031" s="147"/>
      <c r="BE1031" s="147"/>
      <c r="BF1031" s="147"/>
      <c r="BG1031" s="147"/>
      <c r="BH1031" s="147"/>
      <c r="BI1031" s="147"/>
      <c r="BJ1031" s="147"/>
      <c r="BK1031" s="147"/>
      <c r="BL1031" s="147"/>
      <c r="BM1031" s="147"/>
      <c r="BN1031" s="147"/>
      <c r="BO1031" s="147"/>
      <c r="BP1031" s="147"/>
      <c r="BQ1031" s="147"/>
      <c r="BR1031" s="147"/>
      <c r="BS1031" s="147"/>
      <c r="BT1031" s="147"/>
      <c r="BU1031" s="147"/>
      <c r="BV1031" s="147"/>
      <c r="BW1031" s="147"/>
      <c r="BX1031" s="147"/>
      <c r="BY1031" s="147"/>
      <c r="BZ1031" s="147"/>
      <c r="CA1031" s="147"/>
      <c r="CB1031" s="147"/>
      <c r="CC1031" s="147"/>
      <c r="CD1031" s="147"/>
      <c r="CE1031" s="147"/>
      <c r="CF1031" s="147"/>
      <c r="CG1031" s="147"/>
      <c r="CH1031" s="147"/>
      <c r="CI1031" s="147"/>
      <c r="CJ1031" s="147"/>
      <c r="CK1031" s="147"/>
    </row>
    <row r="1032" spans="1:89">
      <c r="A1032" s="157"/>
      <c r="F1032" s="3"/>
      <c r="G1032" s="3"/>
      <c r="L1032" s="157"/>
      <c r="M1032" s="157"/>
      <c r="O1032" s="147"/>
      <c r="P1032" s="147"/>
      <c r="Q1032" s="147"/>
      <c r="R1032" s="147"/>
      <c r="S1032" s="147"/>
      <c r="T1032" s="147"/>
      <c r="U1032" s="147"/>
      <c r="V1032" s="147"/>
      <c r="W1032" s="147"/>
      <c r="X1032" s="147"/>
      <c r="Y1032" s="147"/>
      <c r="Z1032" s="147"/>
      <c r="AA1032" s="147"/>
      <c r="AB1032" s="147"/>
      <c r="AC1032" s="147"/>
      <c r="AD1032" s="147"/>
      <c r="AE1032" s="147"/>
      <c r="AF1032" s="147"/>
      <c r="AG1032" s="147"/>
      <c r="AH1032" s="147"/>
      <c r="AI1032" s="147"/>
      <c r="AJ1032" s="147"/>
      <c r="AK1032" s="147"/>
      <c r="AL1032" s="147"/>
      <c r="AM1032" s="151"/>
      <c r="AN1032" s="147"/>
      <c r="AO1032" s="147"/>
      <c r="AP1032" s="147"/>
      <c r="AQ1032" s="147"/>
      <c r="AR1032" s="147"/>
      <c r="AS1032" s="147"/>
      <c r="AT1032" s="147"/>
      <c r="AU1032" s="147"/>
      <c r="AV1032" s="147"/>
      <c r="AW1032" s="147"/>
      <c r="AX1032" s="147"/>
      <c r="AY1032" s="147"/>
      <c r="AZ1032" s="147"/>
      <c r="BA1032" s="147"/>
      <c r="BB1032" s="147"/>
      <c r="BC1032" s="147"/>
      <c r="BD1032" s="147"/>
      <c r="BE1032" s="147"/>
      <c r="BF1032" s="147"/>
      <c r="BG1032" s="147"/>
      <c r="BH1032" s="147"/>
      <c r="BI1032" s="147"/>
      <c r="BJ1032" s="147"/>
      <c r="BK1032" s="147"/>
      <c r="BL1032" s="147"/>
      <c r="BM1032" s="147"/>
      <c r="BN1032" s="147"/>
      <c r="BO1032" s="147"/>
      <c r="BP1032" s="147"/>
      <c r="BQ1032" s="147"/>
      <c r="BR1032" s="147"/>
      <c r="BS1032" s="147"/>
      <c r="BT1032" s="147"/>
      <c r="BU1032" s="147"/>
      <c r="BV1032" s="147"/>
      <c r="BW1032" s="147"/>
      <c r="BX1032" s="147"/>
      <c r="BY1032" s="147"/>
      <c r="BZ1032" s="147"/>
      <c r="CA1032" s="147"/>
      <c r="CB1032" s="147"/>
      <c r="CC1032" s="147"/>
      <c r="CD1032" s="147"/>
      <c r="CE1032" s="147"/>
      <c r="CF1032" s="147"/>
      <c r="CG1032" s="147"/>
      <c r="CH1032" s="147"/>
      <c r="CI1032" s="147"/>
      <c r="CJ1032" s="147"/>
      <c r="CK1032" s="147"/>
    </row>
    <row r="1033" spans="1:89">
      <c r="A1033" s="157"/>
      <c r="F1033" s="3"/>
      <c r="G1033" s="3"/>
      <c r="L1033" s="157"/>
      <c r="M1033" s="157"/>
      <c r="O1033" s="147"/>
      <c r="P1033" s="147"/>
      <c r="Q1033" s="147"/>
      <c r="R1033" s="147"/>
      <c r="S1033" s="147"/>
      <c r="T1033" s="147"/>
      <c r="U1033" s="147"/>
      <c r="V1033" s="147"/>
      <c r="W1033" s="147"/>
      <c r="X1033" s="147"/>
      <c r="Y1033" s="147"/>
      <c r="Z1033" s="147"/>
      <c r="AA1033" s="147"/>
      <c r="AB1033" s="147"/>
      <c r="AC1033" s="147"/>
      <c r="AD1033" s="147"/>
      <c r="AE1033" s="147"/>
      <c r="AF1033" s="147"/>
      <c r="AG1033" s="147"/>
      <c r="AH1033" s="147"/>
      <c r="AI1033" s="147"/>
      <c r="AJ1033" s="147"/>
      <c r="AK1033" s="147"/>
      <c r="AL1033" s="147"/>
      <c r="AM1033" s="151"/>
      <c r="AN1033" s="147"/>
      <c r="AO1033" s="147"/>
      <c r="AP1033" s="147"/>
      <c r="AQ1033" s="147"/>
      <c r="AR1033" s="147"/>
      <c r="AS1033" s="147"/>
      <c r="AT1033" s="147"/>
      <c r="AU1033" s="147"/>
      <c r="AV1033" s="147"/>
      <c r="AW1033" s="147"/>
      <c r="AX1033" s="147"/>
      <c r="AY1033" s="147"/>
      <c r="AZ1033" s="147"/>
      <c r="BA1033" s="147"/>
      <c r="BB1033" s="147"/>
      <c r="BC1033" s="147"/>
      <c r="BD1033" s="147"/>
      <c r="BE1033" s="147"/>
      <c r="BF1033" s="147"/>
      <c r="BG1033" s="147"/>
      <c r="BH1033" s="147"/>
      <c r="BI1033" s="147"/>
      <c r="BJ1033" s="147"/>
      <c r="BK1033" s="147"/>
      <c r="BL1033" s="147"/>
      <c r="BM1033" s="147"/>
      <c r="BN1033" s="147"/>
      <c r="BO1033" s="147"/>
      <c r="BP1033" s="147"/>
      <c r="BQ1033" s="147"/>
      <c r="BR1033" s="147"/>
      <c r="BS1033" s="147"/>
      <c r="BT1033" s="147"/>
      <c r="BU1033" s="147"/>
      <c r="BV1033" s="147"/>
      <c r="BW1033" s="147"/>
      <c r="BX1033" s="147"/>
      <c r="BY1033" s="147"/>
      <c r="BZ1033" s="147"/>
      <c r="CA1033" s="147"/>
      <c r="CB1033" s="147"/>
      <c r="CC1033" s="147"/>
      <c r="CD1033" s="147"/>
      <c r="CE1033" s="147"/>
      <c r="CF1033" s="147"/>
      <c r="CG1033" s="147"/>
      <c r="CH1033" s="147"/>
      <c r="CI1033" s="147"/>
      <c r="CJ1033" s="147"/>
      <c r="CK1033" s="147"/>
    </row>
    <row r="1034" spans="1:89">
      <c r="A1034" s="157"/>
      <c r="F1034" s="3"/>
      <c r="G1034" s="3"/>
      <c r="L1034" s="157"/>
      <c r="M1034" s="157"/>
      <c r="O1034" s="147"/>
      <c r="P1034" s="147"/>
      <c r="Q1034" s="147"/>
      <c r="R1034" s="147"/>
      <c r="S1034" s="147"/>
      <c r="T1034" s="147"/>
      <c r="U1034" s="147"/>
      <c r="V1034" s="147"/>
      <c r="W1034" s="147"/>
      <c r="X1034" s="147"/>
      <c r="Y1034" s="147"/>
      <c r="Z1034" s="147"/>
      <c r="AA1034" s="147"/>
      <c r="AB1034" s="147"/>
      <c r="AC1034" s="147"/>
      <c r="AD1034" s="147"/>
      <c r="AE1034" s="147"/>
      <c r="AF1034" s="147"/>
      <c r="AG1034" s="147"/>
      <c r="AH1034" s="147"/>
      <c r="AI1034" s="147"/>
      <c r="AJ1034" s="147"/>
      <c r="AK1034" s="147"/>
      <c r="AL1034" s="147"/>
      <c r="AM1034" s="151"/>
      <c r="AN1034" s="147"/>
      <c r="AO1034" s="147"/>
      <c r="AP1034" s="147"/>
      <c r="AQ1034" s="147"/>
      <c r="AR1034" s="147"/>
      <c r="AS1034" s="147"/>
      <c r="AT1034" s="147"/>
      <c r="AU1034" s="147"/>
      <c r="AV1034" s="147"/>
      <c r="AW1034" s="147"/>
      <c r="AX1034" s="147"/>
      <c r="AY1034" s="147"/>
      <c r="AZ1034" s="147"/>
      <c r="BA1034" s="147"/>
      <c r="BB1034" s="147"/>
      <c r="BC1034" s="147"/>
      <c r="BD1034" s="147"/>
      <c r="BE1034" s="147"/>
      <c r="BF1034" s="147"/>
      <c r="BG1034" s="147"/>
      <c r="BH1034" s="147"/>
      <c r="BI1034" s="147"/>
      <c r="BJ1034" s="147"/>
      <c r="BK1034" s="147"/>
      <c r="BL1034" s="147"/>
      <c r="BM1034" s="147"/>
      <c r="BN1034" s="147"/>
      <c r="BO1034" s="147"/>
      <c r="BP1034" s="147"/>
      <c r="BQ1034" s="147"/>
      <c r="BR1034" s="147"/>
      <c r="BS1034" s="147"/>
      <c r="BT1034" s="147"/>
      <c r="BU1034" s="147"/>
      <c r="BV1034" s="147"/>
      <c r="BW1034" s="147"/>
      <c r="BX1034" s="147"/>
      <c r="BY1034" s="147"/>
      <c r="BZ1034" s="147"/>
      <c r="CA1034" s="147"/>
      <c r="CB1034" s="147"/>
      <c r="CC1034" s="147"/>
      <c r="CD1034" s="147"/>
      <c r="CE1034" s="147"/>
      <c r="CF1034" s="147"/>
      <c r="CG1034" s="147"/>
      <c r="CH1034" s="147"/>
      <c r="CI1034" s="147"/>
      <c r="CJ1034" s="147"/>
      <c r="CK1034" s="147"/>
    </row>
    <row r="1035" spans="1:89">
      <c r="A1035" s="157"/>
      <c r="F1035" s="3"/>
      <c r="G1035" s="3"/>
      <c r="L1035" s="157"/>
      <c r="M1035" s="157"/>
      <c r="O1035" s="147"/>
      <c r="P1035" s="147"/>
      <c r="Q1035" s="147"/>
      <c r="R1035" s="147"/>
      <c r="S1035" s="147"/>
      <c r="T1035" s="147"/>
      <c r="U1035" s="147"/>
      <c r="V1035" s="147"/>
      <c r="W1035" s="147"/>
      <c r="X1035" s="147"/>
      <c r="Y1035" s="147"/>
      <c r="Z1035" s="147"/>
      <c r="AA1035" s="147"/>
      <c r="AB1035" s="147"/>
      <c r="AC1035" s="147"/>
      <c r="AD1035" s="147"/>
      <c r="AE1035" s="147"/>
      <c r="AF1035" s="147"/>
      <c r="AG1035" s="147"/>
      <c r="AH1035" s="147"/>
      <c r="AI1035" s="147"/>
      <c r="AJ1035" s="147"/>
      <c r="AK1035" s="147"/>
      <c r="AL1035" s="147"/>
      <c r="AM1035" s="151"/>
      <c r="AN1035" s="147"/>
      <c r="AO1035" s="147"/>
      <c r="AP1035" s="147"/>
      <c r="AQ1035" s="147"/>
      <c r="AR1035" s="147"/>
      <c r="AS1035" s="147"/>
      <c r="AT1035" s="147"/>
      <c r="AU1035" s="147"/>
      <c r="AV1035" s="147"/>
      <c r="AW1035" s="147"/>
      <c r="AX1035" s="147"/>
      <c r="AY1035" s="147"/>
      <c r="AZ1035" s="147"/>
      <c r="BA1035" s="147"/>
      <c r="BB1035" s="147"/>
      <c r="BC1035" s="147"/>
      <c r="BD1035" s="147"/>
      <c r="BE1035" s="147"/>
      <c r="BF1035" s="147"/>
      <c r="BG1035" s="147"/>
      <c r="BH1035" s="147"/>
      <c r="BI1035" s="147"/>
      <c r="BJ1035" s="147"/>
      <c r="BK1035" s="147"/>
      <c r="BL1035" s="147"/>
      <c r="BM1035" s="147"/>
      <c r="BN1035" s="147"/>
      <c r="BO1035" s="147"/>
      <c r="BP1035" s="147"/>
      <c r="BQ1035" s="147"/>
      <c r="BR1035" s="147"/>
      <c r="BS1035" s="147"/>
      <c r="BT1035" s="147"/>
      <c r="BU1035" s="147"/>
      <c r="BV1035" s="147"/>
      <c r="BW1035" s="147"/>
      <c r="BX1035" s="147"/>
      <c r="BY1035" s="147"/>
      <c r="BZ1035" s="147"/>
      <c r="CA1035" s="147"/>
      <c r="CB1035" s="147"/>
      <c r="CC1035" s="147"/>
      <c r="CD1035" s="147"/>
      <c r="CE1035" s="147"/>
      <c r="CF1035" s="147"/>
      <c r="CG1035" s="147"/>
      <c r="CH1035" s="147"/>
      <c r="CI1035" s="147"/>
      <c r="CJ1035" s="147"/>
      <c r="CK1035" s="147"/>
    </row>
    <row r="1036" spans="1:89">
      <c r="A1036" s="157"/>
      <c r="F1036" s="3"/>
      <c r="G1036" s="3"/>
      <c r="L1036" s="157"/>
      <c r="M1036" s="157"/>
      <c r="O1036" s="147"/>
      <c r="P1036" s="147"/>
      <c r="Q1036" s="147"/>
      <c r="R1036" s="147"/>
      <c r="S1036" s="147"/>
      <c r="T1036" s="147"/>
      <c r="U1036" s="147"/>
      <c r="V1036" s="147"/>
      <c r="W1036" s="147"/>
      <c r="X1036" s="147"/>
      <c r="Y1036" s="147"/>
      <c r="Z1036" s="147"/>
      <c r="AA1036" s="147"/>
      <c r="AB1036" s="147"/>
      <c r="AC1036" s="147"/>
      <c r="AD1036" s="147"/>
      <c r="AE1036" s="147"/>
      <c r="AF1036" s="147"/>
      <c r="AG1036" s="147"/>
      <c r="AH1036" s="147"/>
      <c r="AI1036" s="147"/>
      <c r="AJ1036" s="147"/>
      <c r="AK1036" s="147"/>
      <c r="AL1036" s="147"/>
      <c r="AM1036" s="151"/>
      <c r="AN1036" s="147"/>
      <c r="AO1036" s="147"/>
      <c r="AP1036" s="147"/>
      <c r="AQ1036" s="147"/>
      <c r="AR1036" s="147"/>
      <c r="AS1036" s="147"/>
      <c r="AT1036" s="147"/>
      <c r="AU1036" s="147"/>
      <c r="AV1036" s="147"/>
      <c r="AW1036" s="147"/>
      <c r="AX1036" s="147"/>
      <c r="AY1036" s="147"/>
      <c r="AZ1036" s="147"/>
      <c r="BA1036" s="147"/>
      <c r="BB1036" s="147"/>
      <c r="BC1036" s="147"/>
      <c r="BD1036" s="147"/>
      <c r="BE1036" s="147"/>
      <c r="BF1036" s="147"/>
      <c r="BG1036" s="147"/>
      <c r="BH1036" s="147"/>
      <c r="BI1036" s="147"/>
      <c r="BJ1036" s="147"/>
      <c r="BK1036" s="147"/>
      <c r="BL1036" s="147"/>
      <c r="BM1036" s="147"/>
      <c r="BN1036" s="147"/>
      <c r="BO1036" s="147"/>
      <c r="BP1036" s="147"/>
      <c r="BQ1036" s="147"/>
      <c r="BR1036" s="147"/>
      <c r="BS1036" s="147"/>
      <c r="BT1036" s="147"/>
      <c r="BU1036" s="147"/>
      <c r="BV1036" s="147"/>
      <c r="BW1036" s="147"/>
      <c r="BX1036" s="147"/>
      <c r="BY1036" s="147"/>
      <c r="BZ1036" s="147"/>
      <c r="CA1036" s="147"/>
      <c r="CB1036" s="147"/>
      <c r="CC1036" s="147"/>
      <c r="CD1036" s="147"/>
      <c r="CE1036" s="147"/>
      <c r="CF1036" s="147"/>
      <c r="CG1036" s="147"/>
      <c r="CH1036" s="147"/>
      <c r="CI1036" s="147"/>
      <c r="CJ1036" s="147"/>
      <c r="CK1036" s="147"/>
    </row>
    <row r="1037" spans="1:89">
      <c r="A1037" s="157"/>
      <c r="F1037" s="3"/>
      <c r="G1037" s="3"/>
      <c r="L1037" s="157"/>
      <c r="M1037" s="157"/>
      <c r="O1037" s="147"/>
      <c r="P1037" s="147"/>
      <c r="Q1037" s="147"/>
      <c r="R1037" s="147"/>
      <c r="S1037" s="147"/>
      <c r="T1037" s="147"/>
      <c r="U1037" s="147"/>
      <c r="V1037" s="147"/>
      <c r="W1037" s="147"/>
      <c r="X1037" s="147"/>
      <c r="Y1037" s="147"/>
      <c r="Z1037" s="147"/>
      <c r="AA1037" s="147"/>
      <c r="AB1037" s="147"/>
      <c r="AC1037" s="147"/>
      <c r="AD1037" s="147"/>
      <c r="AE1037" s="147"/>
      <c r="AF1037" s="147"/>
      <c r="AG1037" s="147"/>
      <c r="AH1037" s="147"/>
      <c r="AI1037" s="147"/>
      <c r="AJ1037" s="147"/>
      <c r="AK1037" s="147"/>
      <c r="AL1037" s="147"/>
      <c r="AM1037" s="151"/>
      <c r="AN1037" s="147"/>
      <c r="AO1037" s="147"/>
      <c r="AP1037" s="147"/>
      <c r="AQ1037" s="147"/>
      <c r="AR1037" s="147"/>
      <c r="AS1037" s="147"/>
      <c r="AT1037" s="147"/>
      <c r="AU1037" s="147"/>
      <c r="AV1037" s="147"/>
      <c r="AW1037" s="147"/>
      <c r="AX1037" s="147"/>
      <c r="AY1037" s="147"/>
      <c r="AZ1037" s="147"/>
      <c r="BA1037" s="147"/>
      <c r="BB1037" s="147"/>
      <c r="BC1037" s="147"/>
      <c r="BD1037" s="147"/>
      <c r="BE1037" s="147"/>
      <c r="BF1037" s="147"/>
      <c r="BG1037" s="147"/>
      <c r="BH1037" s="147"/>
      <c r="BI1037" s="147"/>
      <c r="BJ1037" s="147"/>
      <c r="BK1037" s="147"/>
      <c r="BL1037" s="147"/>
      <c r="BM1037" s="147"/>
      <c r="BN1037" s="147"/>
      <c r="BO1037" s="147"/>
      <c r="BP1037" s="147"/>
      <c r="BQ1037" s="147"/>
      <c r="BR1037" s="147"/>
      <c r="BS1037" s="147"/>
      <c r="BT1037" s="147"/>
      <c r="BU1037" s="147"/>
      <c r="BV1037" s="147"/>
      <c r="BW1037" s="147"/>
      <c r="BX1037" s="147"/>
      <c r="BY1037" s="147"/>
      <c r="BZ1037" s="147"/>
      <c r="CA1037" s="147"/>
      <c r="CB1037" s="147"/>
      <c r="CC1037" s="147"/>
      <c r="CD1037" s="147"/>
      <c r="CE1037" s="147"/>
      <c r="CF1037" s="147"/>
      <c r="CG1037" s="147"/>
      <c r="CH1037" s="147"/>
      <c r="CI1037" s="147"/>
      <c r="CJ1037" s="147"/>
      <c r="CK1037" s="147"/>
    </row>
    <row r="1038" spans="1:89">
      <c r="A1038" s="157"/>
      <c r="F1038" s="3"/>
      <c r="G1038" s="3"/>
      <c r="L1038" s="157"/>
      <c r="M1038" s="157"/>
      <c r="O1038" s="147"/>
      <c r="P1038" s="147"/>
      <c r="Q1038" s="147"/>
      <c r="R1038" s="147"/>
      <c r="S1038" s="147"/>
      <c r="T1038" s="147"/>
      <c r="U1038" s="147"/>
      <c r="V1038" s="147"/>
      <c r="W1038" s="147"/>
      <c r="X1038" s="147"/>
      <c r="Y1038" s="147"/>
      <c r="Z1038" s="147"/>
      <c r="AA1038" s="147"/>
      <c r="AB1038" s="147"/>
      <c r="AC1038" s="147"/>
      <c r="AD1038" s="147"/>
      <c r="AE1038" s="147"/>
      <c r="AF1038" s="147"/>
      <c r="AG1038" s="147"/>
      <c r="AH1038" s="147"/>
      <c r="AI1038" s="147"/>
      <c r="AJ1038" s="147"/>
      <c r="AK1038" s="147"/>
      <c r="AL1038" s="147"/>
      <c r="AM1038" s="151"/>
      <c r="AN1038" s="147"/>
      <c r="AO1038" s="147"/>
      <c r="AP1038" s="147"/>
      <c r="AQ1038" s="147"/>
      <c r="AR1038" s="147"/>
      <c r="AS1038" s="147"/>
      <c r="AT1038" s="147"/>
      <c r="AU1038" s="147"/>
      <c r="AV1038" s="147"/>
      <c r="AW1038" s="147"/>
      <c r="AX1038" s="147"/>
      <c r="AY1038" s="147"/>
      <c r="AZ1038" s="147"/>
      <c r="BA1038" s="147"/>
      <c r="BB1038" s="147"/>
      <c r="BC1038" s="147"/>
      <c r="BD1038" s="147"/>
      <c r="BE1038" s="147"/>
      <c r="BF1038" s="147"/>
      <c r="BG1038" s="147"/>
      <c r="BH1038" s="147"/>
      <c r="BI1038" s="147"/>
      <c r="BJ1038" s="147"/>
      <c r="BK1038" s="147"/>
      <c r="BL1038" s="147"/>
      <c r="BM1038" s="147"/>
      <c r="BN1038" s="147"/>
      <c r="BO1038" s="147"/>
      <c r="BP1038" s="147"/>
      <c r="BQ1038" s="147"/>
      <c r="BR1038" s="147"/>
      <c r="BS1038" s="147"/>
      <c r="BT1038" s="147"/>
      <c r="BU1038" s="147"/>
      <c r="BV1038" s="147"/>
      <c r="BW1038" s="147"/>
      <c r="BX1038" s="147"/>
      <c r="BY1038" s="147"/>
      <c r="BZ1038" s="147"/>
      <c r="CA1038" s="147"/>
      <c r="CB1038" s="147"/>
      <c r="CC1038" s="147"/>
      <c r="CD1038" s="147"/>
      <c r="CE1038" s="147"/>
      <c r="CF1038" s="147"/>
      <c r="CG1038" s="147"/>
      <c r="CH1038" s="147"/>
      <c r="CI1038" s="147"/>
      <c r="CJ1038" s="147"/>
      <c r="CK1038" s="147"/>
    </row>
    <row r="1039" spans="1:89">
      <c r="A1039" s="157"/>
      <c r="F1039" s="3"/>
      <c r="G1039" s="3"/>
      <c r="L1039" s="157"/>
      <c r="M1039" s="157"/>
      <c r="O1039" s="147"/>
      <c r="P1039" s="147"/>
      <c r="Q1039" s="147"/>
      <c r="R1039" s="147"/>
      <c r="S1039" s="147"/>
      <c r="T1039" s="147"/>
      <c r="U1039" s="147"/>
      <c r="V1039" s="147"/>
      <c r="W1039" s="147"/>
      <c r="X1039" s="147"/>
      <c r="Y1039" s="147"/>
      <c r="Z1039" s="147"/>
      <c r="AA1039" s="147"/>
      <c r="AB1039" s="147"/>
      <c r="AC1039" s="147"/>
      <c r="AD1039" s="147"/>
      <c r="AE1039" s="147"/>
      <c r="AF1039" s="147"/>
      <c r="AG1039" s="147"/>
      <c r="AH1039" s="147"/>
      <c r="AI1039" s="147"/>
      <c r="AJ1039" s="147"/>
      <c r="AK1039" s="147"/>
      <c r="AL1039" s="147"/>
      <c r="AM1039" s="151"/>
      <c r="AN1039" s="147"/>
      <c r="AO1039" s="147"/>
      <c r="AP1039" s="147"/>
      <c r="AQ1039" s="147"/>
      <c r="AR1039" s="147"/>
      <c r="AS1039" s="147"/>
      <c r="AT1039" s="147"/>
      <c r="AU1039" s="147"/>
      <c r="AV1039" s="147"/>
      <c r="AW1039" s="147"/>
      <c r="AX1039" s="147"/>
      <c r="AY1039" s="147"/>
      <c r="AZ1039" s="147"/>
      <c r="BA1039" s="147"/>
      <c r="BB1039" s="147"/>
      <c r="BC1039" s="147"/>
      <c r="BD1039" s="147"/>
      <c r="BE1039" s="147"/>
      <c r="BF1039" s="147"/>
      <c r="BG1039" s="147"/>
      <c r="BH1039" s="147"/>
      <c r="BI1039" s="147"/>
      <c r="BJ1039" s="147"/>
      <c r="BK1039" s="147"/>
      <c r="BL1039" s="147"/>
      <c r="BM1039" s="147"/>
      <c r="BN1039" s="147"/>
      <c r="BO1039" s="147"/>
      <c r="BP1039" s="147"/>
      <c r="BQ1039" s="147"/>
      <c r="BR1039" s="147"/>
      <c r="BS1039" s="147"/>
      <c r="BT1039" s="147"/>
      <c r="BU1039" s="147"/>
      <c r="BV1039" s="147"/>
      <c r="BW1039" s="147"/>
      <c r="BX1039" s="147"/>
      <c r="BY1039" s="147"/>
      <c r="BZ1039" s="147"/>
      <c r="CA1039" s="147"/>
      <c r="CB1039" s="147"/>
      <c r="CC1039" s="147"/>
      <c r="CD1039" s="147"/>
      <c r="CE1039" s="147"/>
      <c r="CF1039" s="147"/>
      <c r="CG1039" s="147"/>
      <c r="CH1039" s="147"/>
      <c r="CI1039" s="147"/>
      <c r="CJ1039" s="147"/>
      <c r="CK1039" s="147"/>
    </row>
    <row r="1040" spans="1:89">
      <c r="A1040" s="157"/>
      <c r="F1040" s="3"/>
      <c r="G1040" s="3"/>
      <c r="L1040" s="157"/>
      <c r="M1040" s="157"/>
      <c r="O1040" s="147"/>
      <c r="P1040" s="147"/>
      <c r="Q1040" s="147"/>
      <c r="R1040" s="147"/>
      <c r="S1040" s="147"/>
      <c r="T1040" s="147"/>
      <c r="U1040" s="147"/>
      <c r="V1040" s="147"/>
      <c r="W1040" s="147"/>
      <c r="X1040" s="147"/>
      <c r="Y1040" s="147"/>
      <c r="Z1040" s="147"/>
      <c r="AA1040" s="147"/>
      <c r="AB1040" s="147"/>
      <c r="AC1040" s="147"/>
      <c r="AD1040" s="147"/>
      <c r="AE1040" s="147"/>
      <c r="AF1040" s="147"/>
      <c r="AG1040" s="147"/>
      <c r="AH1040" s="147"/>
      <c r="AI1040" s="147"/>
      <c r="AJ1040" s="147"/>
      <c r="AK1040" s="147"/>
      <c r="AL1040" s="147"/>
      <c r="AM1040" s="151"/>
      <c r="AN1040" s="147"/>
      <c r="AO1040" s="147"/>
      <c r="AP1040" s="147"/>
      <c r="AQ1040" s="147"/>
      <c r="AR1040" s="147"/>
      <c r="AS1040" s="147"/>
      <c r="AT1040" s="147"/>
      <c r="AU1040" s="147"/>
      <c r="AV1040" s="147"/>
      <c r="AW1040" s="147"/>
      <c r="AX1040" s="147"/>
      <c r="AY1040" s="147"/>
      <c r="AZ1040" s="147"/>
      <c r="BA1040" s="147"/>
      <c r="BB1040" s="147"/>
      <c r="BC1040" s="147"/>
      <c r="BD1040" s="147"/>
      <c r="BE1040" s="147"/>
      <c r="BF1040" s="147"/>
      <c r="BG1040" s="147"/>
      <c r="BH1040" s="147"/>
      <c r="BI1040" s="147"/>
      <c r="BJ1040" s="147"/>
      <c r="BK1040" s="147"/>
      <c r="BL1040" s="147"/>
      <c r="BM1040" s="147"/>
      <c r="BN1040" s="147"/>
      <c r="BO1040" s="147"/>
      <c r="BP1040" s="147"/>
      <c r="BQ1040" s="147"/>
      <c r="BR1040" s="147"/>
      <c r="BS1040" s="147"/>
      <c r="BT1040" s="147"/>
      <c r="BU1040" s="147"/>
      <c r="BV1040" s="147"/>
      <c r="BW1040" s="147"/>
      <c r="BX1040" s="147"/>
      <c r="BY1040" s="147"/>
      <c r="BZ1040" s="147"/>
      <c r="CA1040" s="147"/>
      <c r="CB1040" s="147"/>
      <c r="CC1040" s="147"/>
      <c r="CD1040" s="147"/>
      <c r="CE1040" s="147"/>
      <c r="CF1040" s="147"/>
      <c r="CG1040" s="147"/>
      <c r="CH1040" s="147"/>
      <c r="CI1040" s="147"/>
      <c r="CJ1040" s="147"/>
      <c r="CK1040" s="147"/>
    </row>
    <row r="1041" spans="1:89">
      <c r="A1041" s="157"/>
      <c r="F1041" s="3"/>
      <c r="G1041" s="3"/>
      <c r="L1041" s="157"/>
      <c r="M1041" s="157"/>
      <c r="O1041" s="147"/>
      <c r="P1041" s="147"/>
      <c r="Q1041" s="147"/>
      <c r="R1041" s="147"/>
      <c r="S1041" s="147"/>
      <c r="T1041" s="147"/>
      <c r="U1041" s="147"/>
      <c r="V1041" s="147"/>
      <c r="W1041" s="147"/>
      <c r="X1041" s="147"/>
      <c r="Y1041" s="147"/>
      <c r="Z1041" s="147"/>
      <c r="AA1041" s="147"/>
      <c r="AB1041" s="147"/>
      <c r="AC1041" s="147"/>
      <c r="AD1041" s="147"/>
      <c r="AE1041" s="147"/>
      <c r="AF1041" s="147"/>
      <c r="AG1041" s="147"/>
      <c r="AH1041" s="147"/>
      <c r="AI1041" s="147"/>
      <c r="AJ1041" s="147"/>
      <c r="AK1041" s="147"/>
      <c r="AL1041" s="147"/>
      <c r="AM1041" s="151"/>
      <c r="AN1041" s="147"/>
      <c r="AO1041" s="147"/>
      <c r="AP1041" s="147"/>
      <c r="AQ1041" s="147"/>
      <c r="AR1041" s="147"/>
      <c r="AS1041" s="147"/>
      <c r="AT1041" s="147"/>
      <c r="AU1041" s="147"/>
      <c r="AV1041" s="147"/>
      <c r="AW1041" s="147"/>
      <c r="AX1041" s="147"/>
      <c r="AY1041" s="147"/>
      <c r="AZ1041" s="147"/>
      <c r="BA1041" s="147"/>
      <c r="BB1041" s="147"/>
      <c r="BC1041" s="147"/>
      <c r="BD1041" s="147"/>
      <c r="BE1041" s="147"/>
      <c r="BF1041" s="147"/>
      <c r="BG1041" s="147"/>
      <c r="BH1041" s="147"/>
      <c r="BI1041" s="147"/>
      <c r="BJ1041" s="147"/>
      <c r="BK1041" s="147"/>
      <c r="BL1041" s="147"/>
      <c r="BM1041" s="147"/>
      <c r="BN1041" s="147"/>
      <c r="BO1041" s="147"/>
      <c r="BP1041" s="147"/>
      <c r="BQ1041" s="147"/>
      <c r="BR1041" s="147"/>
      <c r="BS1041" s="147"/>
      <c r="BT1041" s="147"/>
      <c r="BU1041" s="147"/>
      <c r="BV1041" s="147"/>
      <c r="BW1041" s="147"/>
      <c r="BX1041" s="147"/>
      <c r="BY1041" s="147"/>
      <c r="BZ1041" s="147"/>
      <c r="CA1041" s="147"/>
      <c r="CB1041" s="147"/>
      <c r="CC1041" s="147"/>
      <c r="CD1041" s="147"/>
      <c r="CE1041" s="147"/>
      <c r="CF1041" s="147"/>
      <c r="CG1041" s="147"/>
      <c r="CH1041" s="147"/>
      <c r="CI1041" s="147"/>
      <c r="CJ1041" s="147"/>
      <c r="CK1041" s="147"/>
    </row>
    <row r="1042" spans="1:89">
      <c r="A1042" s="157"/>
      <c r="F1042" s="3"/>
      <c r="G1042" s="3"/>
      <c r="L1042" s="157"/>
      <c r="M1042" s="157"/>
      <c r="O1042" s="147"/>
      <c r="P1042" s="147"/>
      <c r="Q1042" s="147"/>
      <c r="R1042" s="147"/>
      <c r="S1042" s="147"/>
      <c r="T1042" s="147"/>
      <c r="U1042" s="147"/>
      <c r="V1042" s="147"/>
      <c r="W1042" s="147"/>
      <c r="X1042" s="147"/>
      <c r="Y1042" s="147"/>
      <c r="Z1042" s="147"/>
      <c r="AA1042" s="147"/>
      <c r="AB1042" s="147"/>
      <c r="AC1042" s="147"/>
      <c r="AD1042" s="147"/>
      <c r="AE1042" s="147"/>
      <c r="AF1042" s="147"/>
      <c r="AG1042" s="147"/>
      <c r="AH1042" s="147"/>
      <c r="AI1042" s="147"/>
      <c r="AJ1042" s="147"/>
      <c r="AK1042" s="147"/>
      <c r="AL1042" s="147"/>
      <c r="AM1042" s="151"/>
      <c r="AN1042" s="147"/>
      <c r="AO1042" s="147"/>
      <c r="AP1042" s="147"/>
      <c r="AQ1042" s="147"/>
      <c r="AR1042" s="147"/>
      <c r="AS1042" s="147"/>
      <c r="AT1042" s="147"/>
      <c r="AU1042" s="147"/>
      <c r="AV1042" s="147"/>
      <c r="AW1042" s="147"/>
      <c r="AX1042" s="147"/>
      <c r="AY1042" s="147"/>
      <c r="AZ1042" s="147"/>
      <c r="BA1042" s="147"/>
      <c r="BB1042" s="147"/>
      <c r="BC1042" s="147"/>
      <c r="BD1042" s="147"/>
      <c r="BE1042" s="147"/>
      <c r="BF1042" s="147"/>
      <c r="BG1042" s="147"/>
      <c r="BH1042" s="147"/>
      <c r="BI1042" s="147"/>
      <c r="BJ1042" s="147"/>
      <c r="BK1042" s="147"/>
      <c r="BL1042" s="147"/>
      <c r="BM1042" s="147"/>
      <c r="BN1042" s="147"/>
      <c r="BO1042" s="147"/>
      <c r="BP1042" s="147"/>
      <c r="BQ1042" s="147"/>
      <c r="BR1042" s="147"/>
      <c r="BS1042" s="147"/>
      <c r="BT1042" s="147"/>
      <c r="BU1042" s="147"/>
      <c r="BV1042" s="147"/>
      <c r="BW1042" s="147"/>
      <c r="BX1042" s="147"/>
      <c r="BY1042" s="147"/>
      <c r="BZ1042" s="147"/>
      <c r="CA1042" s="147"/>
      <c r="CB1042" s="147"/>
      <c r="CC1042" s="147"/>
      <c r="CD1042" s="147"/>
      <c r="CE1042" s="147"/>
      <c r="CF1042" s="147"/>
      <c r="CG1042" s="147"/>
      <c r="CH1042" s="147"/>
      <c r="CI1042" s="147"/>
      <c r="CJ1042" s="147"/>
      <c r="CK1042" s="147"/>
    </row>
    <row r="1043" spans="1:89">
      <c r="A1043" s="157"/>
      <c r="F1043" s="3"/>
      <c r="G1043" s="3"/>
      <c r="L1043" s="157"/>
      <c r="M1043" s="157"/>
      <c r="O1043" s="147"/>
      <c r="P1043" s="147"/>
      <c r="Q1043" s="147"/>
      <c r="R1043" s="147"/>
      <c r="S1043" s="147"/>
      <c r="T1043" s="147"/>
      <c r="U1043" s="147"/>
      <c r="V1043" s="147"/>
      <c r="W1043" s="147"/>
      <c r="X1043" s="147"/>
      <c r="Y1043" s="147"/>
      <c r="Z1043" s="147"/>
      <c r="AA1043" s="147"/>
      <c r="AB1043" s="147"/>
      <c r="AC1043" s="147"/>
      <c r="AD1043" s="147"/>
      <c r="AE1043" s="147"/>
      <c r="AF1043" s="147"/>
      <c r="AG1043" s="147"/>
      <c r="AH1043" s="147"/>
      <c r="AI1043" s="147"/>
      <c r="AJ1043" s="147"/>
      <c r="AK1043" s="147"/>
      <c r="AL1043" s="147"/>
      <c r="AM1043" s="151"/>
      <c r="AN1043" s="147"/>
      <c r="AO1043" s="147"/>
      <c r="AP1043" s="147"/>
      <c r="AQ1043" s="147"/>
      <c r="AR1043" s="147"/>
      <c r="AS1043" s="147"/>
      <c r="AT1043" s="147"/>
      <c r="AU1043" s="147"/>
      <c r="AV1043" s="147"/>
      <c r="AW1043" s="147"/>
      <c r="AX1043" s="147"/>
      <c r="AY1043" s="147"/>
      <c r="AZ1043" s="147"/>
      <c r="BA1043" s="147"/>
      <c r="BB1043" s="147"/>
      <c r="BC1043" s="147"/>
      <c r="BD1043" s="147"/>
      <c r="BE1043" s="147"/>
      <c r="BF1043" s="147"/>
      <c r="BG1043" s="147"/>
      <c r="BH1043" s="147"/>
      <c r="BI1043" s="147"/>
      <c r="BJ1043" s="147"/>
      <c r="BK1043" s="147"/>
      <c r="BL1043" s="147"/>
      <c r="BM1043" s="147"/>
      <c r="BN1043" s="147"/>
      <c r="BO1043" s="147"/>
      <c r="BP1043" s="147"/>
      <c r="BQ1043" s="147"/>
      <c r="BR1043" s="147"/>
      <c r="BS1043" s="147"/>
      <c r="BT1043" s="147"/>
      <c r="BU1043" s="147"/>
      <c r="BV1043" s="147"/>
      <c r="BW1043" s="147"/>
      <c r="BX1043" s="147"/>
      <c r="BY1043" s="147"/>
      <c r="BZ1043" s="147"/>
      <c r="CA1043" s="147"/>
      <c r="CB1043" s="147"/>
      <c r="CC1043" s="147"/>
      <c r="CD1043" s="147"/>
      <c r="CE1043" s="147"/>
      <c r="CF1043" s="147"/>
      <c r="CG1043" s="147"/>
      <c r="CH1043" s="147"/>
      <c r="CI1043" s="147"/>
      <c r="CJ1043" s="147"/>
      <c r="CK1043" s="147"/>
    </row>
    <row r="1044" spans="1:89">
      <c r="A1044" s="157"/>
      <c r="F1044" s="3"/>
      <c r="G1044" s="3"/>
      <c r="L1044" s="157"/>
      <c r="M1044" s="157"/>
      <c r="O1044" s="147"/>
      <c r="P1044" s="147"/>
      <c r="Q1044" s="147"/>
      <c r="R1044" s="147"/>
      <c r="S1044" s="147"/>
      <c r="T1044" s="147"/>
      <c r="U1044" s="147"/>
      <c r="V1044" s="147"/>
      <c r="W1044" s="147"/>
      <c r="X1044" s="147"/>
      <c r="Y1044" s="147"/>
      <c r="Z1044" s="147"/>
      <c r="AA1044" s="147"/>
      <c r="AB1044" s="147"/>
      <c r="AC1044" s="147"/>
      <c r="AD1044" s="147"/>
      <c r="AE1044" s="147"/>
      <c r="AF1044" s="147"/>
      <c r="AG1044" s="147"/>
      <c r="AH1044" s="147"/>
      <c r="AI1044" s="147"/>
      <c r="AJ1044" s="147"/>
      <c r="AK1044" s="147"/>
      <c r="AL1044" s="147"/>
      <c r="AM1044" s="151"/>
      <c r="AN1044" s="147"/>
      <c r="AO1044" s="147"/>
      <c r="AP1044" s="147"/>
      <c r="AQ1044" s="147"/>
      <c r="AR1044" s="147"/>
      <c r="AS1044" s="147"/>
      <c r="AT1044" s="147"/>
      <c r="AU1044" s="147"/>
      <c r="AV1044" s="147"/>
      <c r="AW1044" s="147"/>
      <c r="AX1044" s="147"/>
      <c r="AY1044" s="147"/>
      <c r="AZ1044" s="147"/>
      <c r="BA1044" s="147"/>
      <c r="BB1044" s="147"/>
      <c r="BC1044" s="147"/>
      <c r="BD1044" s="147"/>
      <c r="BE1044" s="147"/>
      <c r="BF1044" s="147"/>
      <c r="BG1044" s="147"/>
      <c r="BH1044" s="147"/>
      <c r="BI1044" s="147"/>
      <c r="BJ1044" s="147"/>
      <c r="BK1044" s="147"/>
      <c r="BL1044" s="147"/>
      <c r="BM1044" s="147"/>
      <c r="BN1044" s="147"/>
      <c r="BO1044" s="147"/>
      <c r="BP1044" s="147"/>
      <c r="BQ1044" s="147"/>
      <c r="BR1044" s="147"/>
      <c r="BS1044" s="147"/>
      <c r="BT1044" s="147"/>
      <c r="BU1044" s="147"/>
      <c r="BV1044" s="147"/>
      <c r="BW1044" s="147"/>
      <c r="BX1044" s="147"/>
      <c r="BY1044" s="147"/>
      <c r="BZ1044" s="147"/>
      <c r="CA1044" s="147"/>
      <c r="CB1044" s="147"/>
      <c r="CC1044" s="147"/>
      <c r="CD1044" s="147"/>
      <c r="CE1044" s="147"/>
      <c r="CF1044" s="147"/>
      <c r="CG1044" s="147"/>
      <c r="CH1044" s="147"/>
      <c r="CI1044" s="147"/>
      <c r="CJ1044" s="147"/>
      <c r="CK1044" s="147"/>
    </row>
    <row r="1045" spans="1:89">
      <c r="A1045" s="157"/>
      <c r="F1045" s="3"/>
      <c r="G1045" s="3"/>
      <c r="L1045" s="157"/>
      <c r="M1045" s="157"/>
      <c r="O1045" s="147"/>
      <c r="P1045" s="147"/>
      <c r="Q1045" s="147"/>
      <c r="R1045" s="147"/>
      <c r="S1045" s="147"/>
      <c r="T1045" s="147"/>
      <c r="U1045" s="147"/>
      <c r="V1045" s="147"/>
      <c r="W1045" s="147"/>
      <c r="X1045" s="147"/>
      <c r="Y1045" s="147"/>
      <c r="Z1045" s="147"/>
      <c r="AA1045" s="147"/>
      <c r="AB1045" s="147"/>
      <c r="AC1045" s="147"/>
      <c r="AD1045" s="147"/>
      <c r="AE1045" s="147"/>
      <c r="AF1045" s="147"/>
      <c r="AG1045" s="147"/>
      <c r="AH1045" s="147"/>
      <c r="AI1045" s="147"/>
      <c r="AJ1045" s="147"/>
      <c r="AK1045" s="147"/>
      <c r="AL1045" s="147"/>
      <c r="AM1045" s="151"/>
      <c r="AN1045" s="147"/>
      <c r="AO1045" s="147"/>
      <c r="AP1045" s="147"/>
      <c r="AQ1045" s="147"/>
      <c r="AR1045" s="147"/>
      <c r="AS1045" s="147"/>
      <c r="AT1045" s="147"/>
      <c r="AU1045" s="147"/>
      <c r="AV1045" s="147"/>
      <c r="AW1045" s="147"/>
      <c r="AX1045" s="147"/>
      <c r="AY1045" s="147"/>
      <c r="AZ1045" s="147"/>
      <c r="BA1045" s="147"/>
      <c r="BB1045" s="147"/>
      <c r="BC1045" s="147"/>
      <c r="BD1045" s="147"/>
      <c r="BE1045" s="147"/>
      <c r="BF1045" s="147"/>
      <c r="BG1045" s="147"/>
      <c r="BH1045" s="147"/>
      <c r="BI1045" s="147"/>
      <c r="BJ1045" s="147"/>
      <c r="BK1045" s="147"/>
      <c r="BL1045" s="147"/>
      <c r="BM1045" s="147"/>
      <c r="BN1045" s="147"/>
      <c r="BO1045" s="147"/>
      <c r="BP1045" s="147"/>
      <c r="BQ1045" s="147"/>
      <c r="BR1045" s="147"/>
      <c r="BS1045" s="147"/>
      <c r="BT1045" s="147"/>
      <c r="BU1045" s="147"/>
      <c r="BV1045" s="147"/>
      <c r="BW1045" s="147"/>
      <c r="BX1045" s="147"/>
      <c r="BY1045" s="147"/>
      <c r="BZ1045" s="147"/>
      <c r="CA1045" s="147"/>
      <c r="CB1045" s="147"/>
      <c r="CC1045" s="147"/>
      <c r="CD1045" s="147"/>
      <c r="CE1045" s="147"/>
      <c r="CF1045" s="147"/>
      <c r="CG1045" s="147"/>
      <c r="CH1045" s="147"/>
      <c r="CI1045" s="147"/>
      <c r="CJ1045" s="147"/>
      <c r="CK1045" s="147"/>
    </row>
    <row r="1046" spans="1:89">
      <c r="A1046" s="157"/>
      <c r="F1046" s="3"/>
      <c r="G1046" s="3"/>
      <c r="L1046" s="157"/>
      <c r="M1046" s="157"/>
      <c r="O1046" s="147"/>
      <c r="P1046" s="147"/>
      <c r="Q1046" s="147"/>
      <c r="R1046" s="147"/>
      <c r="S1046" s="147"/>
      <c r="T1046" s="147"/>
      <c r="U1046" s="147"/>
      <c r="V1046" s="147"/>
      <c r="W1046" s="147"/>
      <c r="X1046" s="147"/>
      <c r="Y1046" s="147"/>
      <c r="Z1046" s="147"/>
      <c r="AA1046" s="147"/>
      <c r="AB1046" s="147"/>
      <c r="AC1046" s="147"/>
      <c r="AD1046" s="147"/>
      <c r="AE1046" s="147"/>
      <c r="AF1046" s="147"/>
      <c r="AG1046" s="147"/>
      <c r="AH1046" s="147"/>
      <c r="AI1046" s="147"/>
      <c r="AJ1046" s="147"/>
      <c r="AK1046" s="147"/>
      <c r="AL1046" s="147"/>
      <c r="AM1046" s="151"/>
      <c r="AN1046" s="147"/>
      <c r="AO1046" s="147"/>
      <c r="AP1046" s="147"/>
      <c r="AQ1046" s="147"/>
      <c r="AR1046" s="147"/>
      <c r="AS1046" s="147"/>
      <c r="AT1046" s="147"/>
      <c r="AU1046" s="147"/>
      <c r="AV1046" s="147"/>
      <c r="AW1046" s="147"/>
      <c r="AX1046" s="147"/>
      <c r="AY1046" s="147"/>
      <c r="AZ1046" s="147"/>
      <c r="BA1046" s="147"/>
      <c r="BB1046" s="147"/>
      <c r="BC1046" s="147"/>
      <c r="BD1046" s="147"/>
      <c r="BE1046" s="147"/>
      <c r="BF1046" s="147"/>
      <c r="BG1046" s="147"/>
      <c r="BH1046" s="147"/>
      <c r="BI1046" s="147"/>
      <c r="BJ1046" s="147"/>
      <c r="BK1046" s="147"/>
      <c r="BL1046" s="147"/>
      <c r="BM1046" s="147"/>
      <c r="BN1046" s="147"/>
      <c r="BO1046" s="147"/>
      <c r="BP1046" s="147"/>
      <c r="BQ1046" s="147"/>
      <c r="BR1046" s="147"/>
      <c r="BS1046" s="147"/>
      <c r="BT1046" s="147"/>
      <c r="BU1046" s="147"/>
      <c r="BV1046" s="147"/>
      <c r="BW1046" s="147"/>
      <c r="BX1046" s="147"/>
      <c r="BY1046" s="147"/>
      <c r="BZ1046" s="147"/>
      <c r="CA1046" s="147"/>
      <c r="CB1046" s="147"/>
      <c r="CC1046" s="147"/>
      <c r="CD1046" s="147"/>
      <c r="CE1046" s="147"/>
      <c r="CF1046" s="147"/>
      <c r="CG1046" s="147"/>
      <c r="CH1046" s="147"/>
      <c r="CI1046" s="147"/>
      <c r="CJ1046" s="147"/>
      <c r="CK1046" s="147"/>
    </row>
    <row r="1047" spans="1:89">
      <c r="A1047" s="157"/>
      <c r="F1047" s="3"/>
      <c r="G1047" s="3"/>
      <c r="L1047" s="157"/>
      <c r="M1047" s="157"/>
      <c r="O1047" s="147"/>
      <c r="P1047" s="147"/>
      <c r="Q1047" s="147"/>
      <c r="R1047" s="147"/>
      <c r="S1047" s="147"/>
      <c r="T1047" s="147"/>
      <c r="U1047" s="147"/>
      <c r="V1047" s="147"/>
      <c r="W1047" s="147"/>
      <c r="X1047" s="147"/>
      <c r="Y1047" s="147"/>
      <c r="Z1047" s="147"/>
      <c r="AA1047" s="147"/>
      <c r="AB1047" s="147"/>
      <c r="AC1047" s="147"/>
      <c r="AD1047" s="147"/>
      <c r="AE1047" s="147"/>
      <c r="AF1047" s="147"/>
      <c r="AG1047" s="147"/>
      <c r="AH1047" s="147"/>
      <c r="AI1047" s="147"/>
      <c r="AJ1047" s="147"/>
      <c r="AK1047" s="147"/>
      <c r="AL1047" s="147"/>
      <c r="AM1047" s="151"/>
      <c r="AN1047" s="147"/>
      <c r="AO1047" s="147"/>
      <c r="AP1047" s="147"/>
      <c r="AQ1047" s="147"/>
      <c r="AR1047" s="147"/>
      <c r="AS1047" s="147"/>
      <c r="AT1047" s="147"/>
      <c r="AU1047" s="147"/>
      <c r="AV1047" s="147"/>
      <c r="AW1047" s="147"/>
      <c r="AX1047" s="147"/>
      <c r="AY1047" s="147"/>
      <c r="AZ1047" s="147"/>
      <c r="BA1047" s="147"/>
      <c r="BB1047" s="147"/>
      <c r="BC1047" s="147"/>
      <c r="BD1047" s="147"/>
      <c r="BE1047" s="147"/>
      <c r="BF1047" s="147"/>
      <c r="BG1047" s="147"/>
      <c r="BH1047" s="147"/>
      <c r="BI1047" s="147"/>
      <c r="BJ1047" s="147"/>
      <c r="BK1047" s="147"/>
      <c r="BL1047" s="147"/>
      <c r="BM1047" s="147"/>
      <c r="BN1047" s="147"/>
      <c r="BO1047" s="147"/>
      <c r="BP1047" s="147"/>
      <c r="BQ1047" s="147"/>
      <c r="BR1047" s="147"/>
      <c r="BS1047" s="147"/>
      <c r="BT1047" s="147"/>
      <c r="BU1047" s="147"/>
      <c r="BV1047" s="147"/>
      <c r="BW1047" s="147"/>
      <c r="BX1047" s="147"/>
      <c r="BY1047" s="147"/>
      <c r="BZ1047" s="147"/>
      <c r="CA1047" s="147"/>
      <c r="CB1047" s="147"/>
      <c r="CC1047" s="147"/>
      <c r="CD1047" s="147"/>
      <c r="CE1047" s="147"/>
      <c r="CF1047" s="147"/>
      <c r="CG1047" s="147"/>
      <c r="CH1047" s="147"/>
      <c r="CI1047" s="147"/>
      <c r="CJ1047" s="147"/>
      <c r="CK1047" s="147"/>
    </row>
    <row r="1048" spans="1:89">
      <c r="A1048" s="157"/>
      <c r="F1048" s="3"/>
      <c r="G1048" s="3"/>
      <c r="L1048" s="157"/>
      <c r="M1048" s="157"/>
      <c r="O1048" s="147"/>
      <c r="P1048" s="147"/>
      <c r="Q1048" s="147"/>
      <c r="R1048" s="147"/>
      <c r="S1048" s="147"/>
      <c r="T1048" s="147"/>
      <c r="U1048" s="147"/>
      <c r="V1048" s="147"/>
      <c r="W1048" s="147"/>
      <c r="X1048" s="147"/>
      <c r="Y1048" s="147"/>
      <c r="Z1048" s="147"/>
      <c r="AA1048" s="147"/>
      <c r="AB1048" s="147"/>
      <c r="AC1048" s="147"/>
      <c r="AD1048" s="147"/>
      <c r="AE1048" s="147"/>
      <c r="AF1048" s="147"/>
      <c r="AG1048" s="147"/>
      <c r="AH1048" s="147"/>
      <c r="AI1048" s="147"/>
      <c r="AJ1048" s="147"/>
      <c r="AK1048" s="147"/>
      <c r="AL1048" s="147"/>
      <c r="AM1048" s="151"/>
      <c r="AN1048" s="147"/>
      <c r="AO1048" s="147"/>
      <c r="AP1048" s="147"/>
      <c r="AQ1048" s="147"/>
      <c r="AR1048" s="147"/>
      <c r="AS1048" s="147"/>
      <c r="AT1048" s="147"/>
      <c r="AU1048" s="147"/>
      <c r="AV1048" s="147"/>
      <c r="AW1048" s="147"/>
      <c r="AX1048" s="147"/>
      <c r="AY1048" s="147"/>
      <c r="AZ1048" s="147"/>
      <c r="BA1048" s="147"/>
      <c r="BB1048" s="147"/>
      <c r="BC1048" s="147"/>
      <c r="BD1048" s="147"/>
      <c r="BE1048" s="147"/>
      <c r="BF1048" s="147"/>
      <c r="BG1048" s="147"/>
      <c r="BH1048" s="147"/>
      <c r="BI1048" s="147"/>
      <c r="BJ1048" s="147"/>
      <c r="BK1048" s="147"/>
      <c r="BL1048" s="147"/>
      <c r="BM1048" s="147"/>
      <c r="BN1048" s="147"/>
      <c r="BO1048" s="147"/>
      <c r="BP1048" s="147"/>
      <c r="BQ1048" s="147"/>
      <c r="BR1048" s="147"/>
      <c r="BS1048" s="147"/>
      <c r="BT1048" s="147"/>
      <c r="BU1048" s="147"/>
      <c r="BV1048" s="147"/>
      <c r="BW1048" s="147"/>
      <c r="BX1048" s="147"/>
      <c r="BY1048" s="147"/>
      <c r="BZ1048" s="147"/>
      <c r="CA1048" s="147"/>
      <c r="CB1048" s="147"/>
      <c r="CC1048" s="147"/>
      <c r="CD1048" s="147"/>
      <c r="CE1048" s="147"/>
      <c r="CF1048" s="147"/>
      <c r="CG1048" s="147"/>
      <c r="CH1048" s="147"/>
      <c r="CI1048" s="147"/>
      <c r="CJ1048" s="147"/>
      <c r="CK1048" s="147"/>
    </row>
    <row r="1049" spans="1:89">
      <c r="A1049" s="157"/>
      <c r="F1049" s="3"/>
      <c r="G1049" s="3"/>
      <c r="L1049" s="157"/>
      <c r="M1049" s="157"/>
      <c r="O1049" s="147"/>
      <c r="P1049" s="147"/>
      <c r="Q1049" s="147"/>
      <c r="R1049" s="147"/>
      <c r="S1049" s="147"/>
      <c r="T1049" s="147"/>
      <c r="U1049" s="147"/>
      <c r="V1049" s="147"/>
      <c r="W1049" s="147"/>
      <c r="X1049" s="147"/>
      <c r="Y1049" s="147"/>
      <c r="Z1049" s="147"/>
      <c r="AA1049" s="147"/>
      <c r="AB1049" s="147"/>
      <c r="AC1049" s="147"/>
      <c r="AD1049" s="147"/>
      <c r="AE1049" s="147"/>
      <c r="AF1049" s="147"/>
      <c r="AG1049" s="147"/>
      <c r="AH1049" s="147"/>
      <c r="AI1049" s="147"/>
      <c r="AJ1049" s="147"/>
      <c r="AK1049" s="147"/>
      <c r="AL1049" s="147"/>
      <c r="AM1049" s="151"/>
      <c r="AN1049" s="147"/>
      <c r="AO1049" s="147"/>
      <c r="AP1049" s="147"/>
      <c r="AQ1049" s="147"/>
      <c r="AR1049" s="147"/>
      <c r="AS1049" s="147"/>
      <c r="AT1049" s="147"/>
      <c r="AU1049" s="147"/>
      <c r="AV1049" s="147"/>
      <c r="AW1049" s="147"/>
      <c r="AX1049" s="147"/>
      <c r="AY1049" s="147"/>
      <c r="AZ1049" s="147"/>
      <c r="BA1049" s="147"/>
      <c r="BB1049" s="147"/>
      <c r="BC1049" s="147"/>
      <c r="BD1049" s="147"/>
      <c r="BE1049" s="147"/>
      <c r="BF1049" s="147"/>
      <c r="BG1049" s="147"/>
      <c r="BH1049" s="147"/>
      <c r="BI1049" s="147"/>
      <c r="BJ1049" s="147"/>
      <c r="BK1049" s="147"/>
      <c r="BL1049" s="147"/>
      <c r="BM1049" s="147"/>
      <c r="BN1049" s="147"/>
      <c r="BO1049" s="147"/>
      <c r="BP1049" s="147"/>
      <c r="BQ1049" s="147"/>
      <c r="BR1049" s="147"/>
      <c r="BS1049" s="147"/>
      <c r="BT1049" s="147"/>
      <c r="BU1049" s="147"/>
      <c r="BV1049" s="147"/>
      <c r="BW1049" s="147"/>
      <c r="BX1049" s="147"/>
      <c r="BY1049" s="147"/>
      <c r="BZ1049" s="147"/>
      <c r="CA1049" s="147"/>
      <c r="CB1049" s="147"/>
      <c r="CC1049" s="147"/>
      <c r="CD1049" s="147"/>
      <c r="CE1049" s="147"/>
      <c r="CF1049" s="147"/>
      <c r="CG1049" s="147"/>
      <c r="CH1049" s="147"/>
      <c r="CI1049" s="147"/>
      <c r="CJ1049" s="147"/>
      <c r="CK1049" s="147"/>
    </row>
    <row r="1050" spans="1:89">
      <c r="A1050" s="157"/>
      <c r="F1050" s="3"/>
      <c r="G1050" s="3"/>
      <c r="L1050" s="157"/>
      <c r="M1050" s="157"/>
      <c r="O1050" s="147"/>
      <c r="P1050" s="147"/>
      <c r="Q1050" s="147"/>
      <c r="R1050" s="147"/>
      <c r="S1050" s="147"/>
      <c r="T1050" s="147"/>
      <c r="U1050" s="147"/>
      <c r="V1050" s="147"/>
      <c r="W1050" s="147"/>
      <c r="X1050" s="147"/>
      <c r="Y1050" s="147"/>
      <c r="Z1050" s="147"/>
      <c r="AA1050" s="147"/>
      <c r="AB1050" s="147"/>
      <c r="AC1050" s="147"/>
      <c r="AD1050" s="147"/>
      <c r="AE1050" s="147"/>
      <c r="AF1050" s="147"/>
      <c r="AG1050" s="147"/>
      <c r="AH1050" s="147"/>
      <c r="AI1050" s="147"/>
      <c r="AJ1050" s="147"/>
      <c r="AK1050" s="147"/>
      <c r="AL1050" s="147"/>
      <c r="AM1050" s="151"/>
      <c r="AN1050" s="147"/>
      <c r="AO1050" s="147"/>
      <c r="AP1050" s="147"/>
      <c r="AQ1050" s="147"/>
      <c r="AR1050" s="147"/>
      <c r="AS1050" s="147"/>
      <c r="AT1050" s="147"/>
      <c r="AU1050" s="147"/>
      <c r="AV1050" s="147"/>
      <c r="AW1050" s="147"/>
      <c r="AX1050" s="147"/>
      <c r="AY1050" s="147"/>
      <c r="AZ1050" s="147"/>
      <c r="BA1050" s="147"/>
      <c r="BB1050" s="147"/>
      <c r="BC1050" s="147"/>
      <c r="BD1050" s="147"/>
      <c r="BE1050" s="147"/>
      <c r="BF1050" s="147"/>
      <c r="BG1050" s="147"/>
      <c r="BH1050" s="147"/>
      <c r="BI1050" s="147"/>
      <c r="BJ1050" s="147"/>
      <c r="BK1050" s="147"/>
      <c r="BL1050" s="147"/>
      <c r="BM1050" s="147"/>
      <c r="BN1050" s="147"/>
      <c r="BO1050" s="147"/>
      <c r="BP1050" s="147"/>
      <c r="BQ1050" s="147"/>
      <c r="BR1050" s="147"/>
      <c r="BS1050" s="147"/>
      <c r="BT1050" s="147"/>
      <c r="BU1050" s="147"/>
      <c r="BV1050" s="147"/>
      <c r="BW1050" s="147"/>
      <c r="BX1050" s="147"/>
      <c r="BY1050" s="147"/>
      <c r="BZ1050" s="147"/>
      <c r="CA1050" s="147"/>
      <c r="CB1050" s="147"/>
      <c r="CC1050" s="147"/>
      <c r="CD1050" s="147"/>
      <c r="CE1050" s="147"/>
      <c r="CF1050" s="147"/>
      <c r="CG1050" s="147"/>
      <c r="CH1050" s="147"/>
      <c r="CI1050" s="147"/>
      <c r="CJ1050" s="147"/>
      <c r="CK1050" s="147"/>
    </row>
    <row r="1051" spans="1:89">
      <c r="A1051" s="157"/>
      <c r="F1051" s="3"/>
      <c r="G1051" s="3"/>
      <c r="L1051" s="157"/>
      <c r="M1051" s="157"/>
      <c r="O1051" s="147"/>
      <c r="P1051" s="147"/>
      <c r="Q1051" s="147"/>
      <c r="R1051" s="147"/>
      <c r="S1051" s="147"/>
      <c r="T1051" s="147"/>
      <c r="U1051" s="147"/>
      <c r="V1051" s="147"/>
      <c r="W1051" s="147"/>
      <c r="X1051" s="147"/>
      <c r="Y1051" s="147"/>
      <c r="Z1051" s="147"/>
      <c r="AA1051" s="147"/>
      <c r="AB1051" s="147"/>
      <c r="AC1051" s="147"/>
      <c r="AD1051" s="147"/>
      <c r="AE1051" s="147"/>
      <c r="AF1051" s="147"/>
      <c r="AG1051" s="147"/>
      <c r="AH1051" s="147"/>
      <c r="AI1051" s="147"/>
      <c r="AJ1051" s="147"/>
      <c r="AK1051" s="147"/>
      <c r="AL1051" s="147"/>
      <c r="AM1051" s="151"/>
      <c r="AN1051" s="147"/>
      <c r="AO1051" s="147"/>
      <c r="AP1051" s="147"/>
      <c r="AQ1051" s="147"/>
      <c r="AR1051" s="147"/>
      <c r="AS1051" s="147"/>
      <c r="AT1051" s="147"/>
      <c r="AU1051" s="147"/>
      <c r="AV1051" s="147"/>
      <c r="AW1051" s="147"/>
      <c r="AX1051" s="147"/>
      <c r="AY1051" s="147"/>
      <c r="AZ1051" s="147"/>
      <c r="BA1051" s="147"/>
      <c r="BB1051" s="147"/>
      <c r="BC1051" s="147"/>
      <c r="BD1051" s="147"/>
      <c r="BE1051" s="147"/>
      <c r="BF1051" s="147"/>
      <c r="BG1051" s="147"/>
      <c r="BH1051" s="147"/>
      <c r="BI1051" s="147"/>
      <c r="BJ1051" s="147"/>
      <c r="BK1051" s="147"/>
      <c r="BL1051" s="147"/>
      <c r="BM1051" s="147"/>
      <c r="BN1051" s="147"/>
      <c r="BO1051" s="147"/>
      <c r="BP1051" s="147"/>
      <c r="BQ1051" s="147"/>
      <c r="BR1051" s="147"/>
      <c r="BS1051" s="147"/>
      <c r="BT1051" s="147"/>
      <c r="BU1051" s="147"/>
      <c r="BV1051" s="147"/>
      <c r="BW1051" s="147"/>
      <c r="BX1051" s="147"/>
      <c r="BY1051" s="147"/>
      <c r="BZ1051" s="147"/>
      <c r="CA1051" s="147"/>
      <c r="CB1051" s="147"/>
      <c r="CC1051" s="147"/>
      <c r="CD1051" s="147"/>
      <c r="CE1051" s="147"/>
      <c r="CF1051" s="147"/>
      <c r="CG1051" s="147"/>
      <c r="CH1051" s="147"/>
      <c r="CI1051" s="147"/>
      <c r="CJ1051" s="147"/>
      <c r="CK1051" s="147"/>
    </row>
    <row r="1052" spans="1:89">
      <c r="A1052" s="157"/>
      <c r="F1052" s="3"/>
      <c r="G1052" s="3"/>
      <c r="L1052" s="157"/>
      <c r="M1052" s="157"/>
      <c r="O1052" s="147"/>
      <c r="P1052" s="147"/>
      <c r="Q1052" s="147"/>
      <c r="R1052" s="147"/>
      <c r="S1052" s="147"/>
      <c r="T1052" s="147"/>
      <c r="U1052" s="147"/>
      <c r="V1052" s="147"/>
      <c r="W1052" s="147"/>
      <c r="X1052" s="147"/>
      <c r="Y1052" s="147"/>
      <c r="Z1052" s="147"/>
      <c r="AA1052" s="147"/>
      <c r="AB1052" s="147"/>
      <c r="AC1052" s="147"/>
      <c r="AD1052" s="147"/>
      <c r="AE1052" s="147"/>
      <c r="AF1052" s="147"/>
      <c r="AG1052" s="147"/>
      <c r="AH1052" s="147"/>
      <c r="AI1052" s="147"/>
      <c r="AJ1052" s="147"/>
      <c r="AK1052" s="147"/>
      <c r="AL1052" s="147"/>
      <c r="AM1052" s="151"/>
      <c r="AN1052" s="147"/>
      <c r="AO1052" s="147"/>
      <c r="AP1052" s="147"/>
      <c r="AQ1052" s="147"/>
      <c r="AR1052" s="147"/>
      <c r="AS1052" s="147"/>
      <c r="AT1052" s="147"/>
      <c r="AU1052" s="147"/>
      <c r="AV1052" s="147"/>
      <c r="AW1052" s="147"/>
      <c r="AX1052" s="147"/>
      <c r="AY1052" s="147"/>
      <c r="AZ1052" s="147"/>
      <c r="BA1052" s="147"/>
      <c r="BB1052" s="147"/>
      <c r="BC1052" s="147"/>
      <c r="BD1052" s="147"/>
      <c r="BE1052" s="147"/>
      <c r="BF1052" s="147"/>
      <c r="BG1052" s="147"/>
      <c r="BH1052" s="147"/>
      <c r="BI1052" s="147"/>
      <c r="BJ1052" s="147"/>
      <c r="BK1052" s="147"/>
      <c r="BL1052" s="147"/>
      <c r="BM1052" s="147"/>
      <c r="BN1052" s="147"/>
      <c r="BO1052" s="147"/>
      <c r="BP1052" s="147"/>
      <c r="BQ1052" s="147"/>
      <c r="BR1052" s="147"/>
      <c r="BS1052" s="147"/>
      <c r="BT1052" s="147"/>
      <c r="BU1052" s="147"/>
      <c r="BV1052" s="147"/>
      <c r="BW1052" s="147"/>
      <c r="BX1052" s="147"/>
      <c r="BY1052" s="147"/>
      <c r="BZ1052" s="147"/>
      <c r="CA1052" s="147"/>
      <c r="CB1052" s="147"/>
      <c r="CC1052" s="147"/>
      <c r="CD1052" s="147"/>
      <c r="CE1052" s="147"/>
      <c r="CF1052" s="147"/>
      <c r="CG1052" s="147"/>
      <c r="CH1052" s="147"/>
      <c r="CI1052" s="147"/>
      <c r="CJ1052" s="147"/>
      <c r="CK1052" s="147"/>
    </row>
    <row r="1053" spans="1:89">
      <c r="A1053" s="157"/>
      <c r="F1053" s="3"/>
      <c r="G1053" s="3"/>
      <c r="L1053" s="157"/>
      <c r="M1053" s="157"/>
      <c r="O1053" s="147"/>
      <c r="P1053" s="147"/>
      <c r="Q1053" s="147"/>
      <c r="R1053" s="147"/>
      <c r="S1053" s="147"/>
      <c r="T1053" s="147"/>
      <c r="U1053" s="147"/>
      <c r="V1053" s="147"/>
      <c r="W1053" s="147"/>
      <c r="X1053" s="147"/>
      <c r="Y1053" s="147"/>
      <c r="Z1053" s="147"/>
      <c r="AA1053" s="147"/>
      <c r="AB1053" s="147"/>
      <c r="AC1053" s="147"/>
      <c r="AD1053" s="147"/>
      <c r="AE1053" s="147"/>
      <c r="AF1053" s="147"/>
      <c r="AG1053" s="147"/>
      <c r="AH1053" s="147"/>
      <c r="AI1053" s="147"/>
      <c r="AJ1053" s="147"/>
      <c r="AK1053" s="147"/>
      <c r="AL1053" s="147"/>
      <c r="AM1053" s="151"/>
      <c r="AN1053" s="147"/>
      <c r="AO1053" s="147"/>
      <c r="AP1053" s="147"/>
      <c r="AQ1053" s="147"/>
      <c r="AR1053" s="147"/>
      <c r="AS1053" s="147"/>
      <c r="AT1053" s="147"/>
      <c r="AU1053" s="147"/>
      <c r="AV1053" s="147"/>
      <c r="AW1053" s="147"/>
      <c r="AX1053" s="147"/>
      <c r="AY1053" s="147"/>
      <c r="AZ1053" s="147"/>
      <c r="BA1053" s="147"/>
      <c r="BB1053" s="147"/>
      <c r="BC1053" s="147"/>
      <c r="BD1053" s="147"/>
      <c r="BE1053" s="147"/>
      <c r="BF1053" s="147"/>
      <c r="BG1053" s="147"/>
      <c r="BH1053" s="147"/>
      <c r="BI1053" s="147"/>
      <c r="BJ1053" s="147"/>
      <c r="BK1053" s="147"/>
      <c r="BL1053" s="147"/>
      <c r="BM1053" s="147"/>
      <c r="BN1053" s="147"/>
      <c r="BO1053" s="147"/>
      <c r="BP1053" s="147"/>
      <c r="BQ1053" s="147"/>
      <c r="BR1053" s="147"/>
      <c r="BS1053" s="147"/>
      <c r="BT1053" s="147"/>
      <c r="BU1053" s="147"/>
      <c r="BV1053" s="147"/>
      <c r="BW1053" s="147"/>
      <c r="BX1053" s="147"/>
      <c r="BY1053" s="147"/>
      <c r="BZ1053" s="147"/>
      <c r="CA1053" s="147"/>
      <c r="CB1053" s="147"/>
      <c r="CC1053" s="147"/>
      <c r="CD1053" s="147"/>
      <c r="CE1053" s="147"/>
      <c r="CF1053" s="147"/>
      <c r="CG1053" s="147"/>
      <c r="CH1053" s="147"/>
      <c r="CI1053" s="147"/>
      <c r="CJ1053" s="147"/>
      <c r="CK1053" s="147"/>
    </row>
    <row r="1054" spans="1:89">
      <c r="A1054" s="157"/>
      <c r="F1054" s="3"/>
      <c r="G1054" s="3"/>
      <c r="L1054" s="157"/>
      <c r="M1054" s="157"/>
      <c r="O1054" s="147"/>
      <c r="P1054" s="147"/>
      <c r="Q1054" s="147"/>
      <c r="R1054" s="147"/>
      <c r="S1054" s="147"/>
      <c r="T1054" s="147"/>
      <c r="U1054" s="147"/>
      <c r="V1054" s="147"/>
      <c r="W1054" s="147"/>
      <c r="X1054" s="147"/>
      <c r="Y1054" s="147"/>
      <c r="Z1054" s="147"/>
      <c r="AA1054" s="147"/>
      <c r="AB1054" s="147"/>
      <c r="AC1054" s="147"/>
      <c r="AD1054" s="147"/>
      <c r="AE1054" s="147"/>
      <c r="AF1054" s="147"/>
      <c r="AG1054" s="147"/>
      <c r="AH1054" s="147"/>
      <c r="AI1054" s="147"/>
      <c r="AJ1054" s="147"/>
      <c r="AK1054" s="147"/>
      <c r="AL1054" s="147"/>
      <c r="AM1054" s="151"/>
      <c r="AN1054" s="147"/>
      <c r="AO1054" s="147"/>
      <c r="AP1054" s="147"/>
      <c r="AQ1054" s="147"/>
      <c r="AR1054" s="147"/>
      <c r="AS1054" s="147"/>
      <c r="AT1054" s="147"/>
      <c r="AU1054" s="147"/>
      <c r="AV1054" s="147"/>
      <c r="AW1054" s="147"/>
      <c r="AX1054" s="147"/>
      <c r="AY1054" s="147"/>
      <c r="AZ1054" s="147"/>
      <c r="BA1054" s="147"/>
      <c r="BB1054" s="147"/>
      <c r="BC1054" s="147"/>
      <c r="BD1054" s="147"/>
      <c r="BE1054" s="147"/>
      <c r="BF1054" s="147"/>
      <c r="BG1054" s="147"/>
      <c r="BH1054" s="147"/>
      <c r="BI1054" s="147"/>
      <c r="BJ1054" s="147"/>
      <c r="BK1054" s="147"/>
      <c r="BL1054" s="147"/>
      <c r="BM1054" s="147"/>
      <c r="BN1054" s="147"/>
      <c r="BO1054" s="147"/>
      <c r="BP1054" s="147"/>
      <c r="BQ1054" s="147"/>
      <c r="BR1054" s="147"/>
      <c r="BS1054" s="147"/>
      <c r="BT1054" s="147"/>
      <c r="BU1054" s="147"/>
      <c r="BV1054" s="147"/>
      <c r="BW1054" s="147"/>
      <c r="BX1054" s="147"/>
      <c r="BY1054" s="147"/>
      <c r="BZ1054" s="147"/>
      <c r="CA1054" s="147"/>
      <c r="CB1054" s="147"/>
      <c r="CC1054" s="147"/>
      <c r="CD1054" s="147"/>
      <c r="CE1054" s="147"/>
      <c r="CF1054" s="147"/>
      <c r="CG1054" s="147"/>
      <c r="CH1054" s="147"/>
      <c r="CI1054" s="147"/>
      <c r="CJ1054" s="147"/>
      <c r="CK1054" s="147"/>
    </row>
    <row r="1055" spans="1:89">
      <c r="A1055" s="157"/>
      <c r="F1055" s="3"/>
      <c r="G1055" s="3"/>
      <c r="L1055" s="157"/>
      <c r="M1055" s="157"/>
      <c r="O1055" s="147"/>
      <c r="P1055" s="147"/>
      <c r="Q1055" s="147"/>
      <c r="R1055" s="147"/>
      <c r="S1055" s="147"/>
      <c r="T1055" s="147"/>
      <c r="U1055" s="147"/>
      <c r="V1055" s="147"/>
      <c r="W1055" s="147"/>
      <c r="X1055" s="147"/>
      <c r="Y1055" s="147"/>
      <c r="Z1055" s="147"/>
      <c r="AA1055" s="147"/>
      <c r="AB1055" s="147"/>
      <c r="AC1055" s="147"/>
      <c r="AD1055" s="147"/>
      <c r="AE1055" s="147"/>
      <c r="AF1055" s="147"/>
      <c r="AG1055" s="147"/>
      <c r="AH1055" s="147"/>
      <c r="AI1055" s="147"/>
      <c r="AJ1055" s="147"/>
      <c r="AK1055" s="147"/>
      <c r="AL1055" s="147"/>
      <c r="AM1055" s="151"/>
      <c r="AN1055" s="147"/>
      <c r="AO1055" s="147"/>
      <c r="AP1055" s="147"/>
      <c r="AQ1055" s="147"/>
      <c r="AR1055" s="147"/>
      <c r="AS1055" s="147"/>
      <c r="AT1055" s="147"/>
      <c r="AU1055" s="147"/>
      <c r="AV1055" s="147"/>
      <c r="AW1055" s="147"/>
      <c r="AX1055" s="147"/>
      <c r="AY1055" s="147"/>
      <c r="AZ1055" s="147"/>
      <c r="BA1055" s="147"/>
      <c r="BB1055" s="147"/>
      <c r="BC1055" s="147"/>
      <c r="BD1055" s="147"/>
      <c r="BE1055" s="147"/>
      <c r="BF1055" s="147"/>
      <c r="BG1055" s="147"/>
      <c r="BH1055" s="147"/>
      <c r="BI1055" s="147"/>
      <c r="BJ1055" s="147"/>
      <c r="BK1055" s="147"/>
      <c r="BL1055" s="147"/>
      <c r="BM1055" s="147"/>
      <c r="BN1055" s="147"/>
      <c r="BO1055" s="147"/>
      <c r="BP1055" s="147"/>
      <c r="BQ1055" s="147"/>
      <c r="BR1055" s="147"/>
      <c r="BS1055" s="147"/>
      <c r="BT1055" s="147"/>
      <c r="BU1055" s="147"/>
      <c r="BV1055" s="147"/>
      <c r="BW1055" s="147"/>
      <c r="BX1055" s="147"/>
      <c r="BY1055" s="147"/>
      <c r="BZ1055" s="147"/>
      <c r="CA1055" s="147"/>
      <c r="CB1055" s="147"/>
      <c r="CC1055" s="147"/>
      <c r="CD1055" s="147"/>
      <c r="CE1055" s="147"/>
      <c r="CF1055" s="147"/>
      <c r="CG1055" s="147"/>
      <c r="CH1055" s="147"/>
      <c r="CI1055" s="147"/>
      <c r="CJ1055" s="147"/>
      <c r="CK1055" s="147"/>
    </row>
    <row r="1056" spans="1:89">
      <c r="A1056" s="157"/>
      <c r="F1056" s="3"/>
      <c r="G1056" s="3"/>
      <c r="L1056" s="157"/>
      <c r="M1056" s="157"/>
      <c r="O1056" s="147"/>
      <c r="P1056" s="147"/>
      <c r="Q1056" s="147"/>
      <c r="R1056" s="147"/>
      <c r="S1056" s="147"/>
      <c r="T1056" s="147"/>
      <c r="U1056" s="147"/>
      <c r="V1056" s="147"/>
      <c r="W1056" s="147"/>
      <c r="X1056" s="147"/>
      <c r="Y1056" s="147"/>
      <c r="Z1056" s="147"/>
      <c r="AA1056" s="147"/>
      <c r="AB1056" s="147"/>
      <c r="AC1056" s="147"/>
      <c r="AD1056" s="147"/>
      <c r="AE1056" s="147"/>
      <c r="AF1056" s="147"/>
      <c r="AG1056" s="147"/>
      <c r="AH1056" s="147"/>
      <c r="AI1056" s="147"/>
      <c r="AJ1056" s="147"/>
      <c r="AK1056" s="147"/>
      <c r="AL1056" s="147"/>
      <c r="AM1056" s="151"/>
      <c r="AN1056" s="147"/>
      <c r="AO1056" s="147"/>
      <c r="AP1056" s="147"/>
      <c r="AQ1056" s="147"/>
      <c r="AR1056" s="147"/>
      <c r="AS1056" s="147"/>
      <c r="AT1056" s="147"/>
      <c r="AU1056" s="147"/>
      <c r="AV1056" s="147"/>
      <c r="AW1056" s="147"/>
      <c r="AX1056" s="147"/>
      <c r="AY1056" s="147"/>
      <c r="AZ1056" s="147"/>
      <c r="BA1056" s="147"/>
      <c r="BB1056" s="147"/>
      <c r="BC1056" s="147"/>
      <c r="BD1056" s="147"/>
      <c r="BE1056" s="147"/>
      <c r="BF1056" s="147"/>
      <c r="BG1056" s="147"/>
      <c r="BH1056" s="147"/>
      <c r="BI1056" s="147"/>
      <c r="BJ1056" s="147"/>
      <c r="BK1056" s="147"/>
      <c r="BL1056" s="147"/>
      <c r="BM1056" s="147"/>
      <c r="BN1056" s="147"/>
      <c r="BO1056" s="147"/>
      <c r="BP1056" s="147"/>
      <c r="BQ1056" s="147"/>
      <c r="BR1056" s="147"/>
      <c r="BS1056" s="147"/>
      <c r="BT1056" s="147"/>
      <c r="BU1056" s="147"/>
      <c r="BV1056" s="147"/>
      <c r="BW1056" s="147"/>
      <c r="BX1056" s="147"/>
      <c r="BY1056" s="147"/>
      <c r="BZ1056" s="147"/>
      <c r="CA1056" s="147"/>
      <c r="CB1056" s="147"/>
      <c r="CC1056" s="147"/>
      <c r="CD1056" s="147"/>
      <c r="CE1056" s="147"/>
      <c r="CF1056" s="147"/>
      <c r="CG1056" s="147"/>
      <c r="CH1056" s="147"/>
      <c r="CI1056" s="147"/>
      <c r="CJ1056" s="147"/>
      <c r="CK1056" s="147"/>
    </row>
    <row r="1057" spans="1:89">
      <c r="A1057" s="157"/>
      <c r="F1057" s="3"/>
      <c r="G1057" s="3"/>
      <c r="L1057" s="157"/>
      <c r="M1057" s="157"/>
      <c r="O1057" s="147"/>
      <c r="P1057" s="147"/>
      <c r="Q1057" s="147"/>
      <c r="R1057" s="147"/>
      <c r="S1057" s="147"/>
      <c r="T1057" s="147"/>
      <c r="U1057" s="147"/>
      <c r="V1057" s="147"/>
      <c r="W1057" s="147"/>
      <c r="X1057" s="147"/>
      <c r="Y1057" s="147"/>
      <c r="Z1057" s="147"/>
      <c r="AA1057" s="147"/>
      <c r="AB1057" s="147"/>
      <c r="AC1057" s="147"/>
      <c r="AD1057" s="147"/>
      <c r="AE1057" s="147"/>
      <c r="AF1057" s="147"/>
      <c r="AG1057" s="147"/>
      <c r="AH1057" s="147"/>
      <c r="AI1057" s="147"/>
      <c r="AJ1057" s="147"/>
      <c r="AK1057" s="147"/>
      <c r="AL1057" s="147"/>
      <c r="AM1057" s="151"/>
      <c r="AN1057" s="147"/>
      <c r="AO1057" s="147"/>
      <c r="AP1057" s="147"/>
      <c r="AQ1057" s="147"/>
      <c r="AR1057" s="147"/>
      <c r="AS1057" s="147"/>
      <c r="AT1057" s="147"/>
      <c r="AU1057" s="147"/>
      <c r="AV1057" s="147"/>
      <c r="AW1057" s="147"/>
      <c r="AX1057" s="147"/>
      <c r="AY1057" s="147"/>
      <c r="AZ1057" s="147"/>
      <c r="BA1057" s="147"/>
      <c r="BB1057" s="147"/>
      <c r="BC1057" s="147"/>
      <c r="BD1057" s="147"/>
      <c r="BE1057" s="147"/>
      <c r="BF1057" s="147"/>
      <c r="BG1057" s="147"/>
      <c r="BH1057" s="147"/>
      <c r="BI1057" s="147"/>
      <c r="BJ1057" s="147"/>
      <c r="BK1057" s="147"/>
      <c r="BL1057" s="147"/>
      <c r="BM1057" s="147"/>
      <c r="BN1057" s="147"/>
      <c r="BO1057" s="147"/>
      <c r="BP1057" s="147"/>
      <c r="BQ1057" s="147"/>
      <c r="BR1057" s="147"/>
      <c r="BS1057" s="147"/>
      <c r="BT1057" s="147"/>
      <c r="BU1057" s="147"/>
      <c r="BV1057" s="147"/>
      <c r="BW1057" s="147"/>
      <c r="BX1057" s="147"/>
      <c r="BY1057" s="147"/>
      <c r="BZ1057" s="147"/>
      <c r="CA1057" s="147"/>
      <c r="CB1057" s="147"/>
      <c r="CC1057" s="147"/>
      <c r="CD1057" s="147"/>
      <c r="CE1057" s="147"/>
      <c r="CF1057" s="147"/>
      <c r="CG1057" s="147"/>
      <c r="CH1057" s="147"/>
      <c r="CI1057" s="147"/>
      <c r="CJ1057" s="147"/>
      <c r="CK1057" s="147"/>
    </row>
    <row r="1058" spans="1:89">
      <c r="A1058" s="157"/>
      <c r="F1058" s="3"/>
      <c r="G1058" s="3"/>
      <c r="L1058" s="157"/>
      <c r="M1058" s="157"/>
      <c r="O1058" s="147"/>
      <c r="P1058" s="147"/>
      <c r="Q1058" s="147"/>
      <c r="R1058" s="147"/>
      <c r="S1058" s="147"/>
      <c r="T1058" s="147"/>
      <c r="U1058" s="147"/>
      <c r="V1058" s="147"/>
      <c r="W1058" s="147"/>
      <c r="X1058" s="147"/>
      <c r="Y1058" s="147"/>
      <c r="Z1058" s="147"/>
      <c r="AA1058" s="147"/>
      <c r="AB1058" s="147"/>
      <c r="AC1058" s="147"/>
      <c r="AD1058" s="147"/>
      <c r="AE1058" s="147"/>
      <c r="AF1058" s="147"/>
      <c r="AG1058" s="147"/>
      <c r="AH1058" s="147"/>
      <c r="AI1058" s="147"/>
      <c r="AJ1058" s="147"/>
      <c r="AK1058" s="147"/>
      <c r="AL1058" s="147"/>
      <c r="AM1058" s="151"/>
      <c r="AN1058" s="147"/>
      <c r="AO1058" s="147"/>
      <c r="AP1058" s="147"/>
      <c r="AQ1058" s="147"/>
      <c r="AR1058" s="147"/>
      <c r="AS1058" s="147"/>
      <c r="AT1058" s="147"/>
      <c r="AU1058" s="147"/>
      <c r="AV1058" s="147"/>
      <c r="AW1058" s="147"/>
      <c r="AX1058" s="147"/>
      <c r="AY1058" s="147"/>
      <c r="AZ1058" s="147"/>
      <c r="BA1058" s="147"/>
      <c r="BB1058" s="147"/>
      <c r="BC1058" s="147"/>
      <c r="BD1058" s="147"/>
      <c r="BE1058" s="147"/>
      <c r="BF1058" s="147"/>
      <c r="BG1058" s="147"/>
      <c r="BH1058" s="147"/>
      <c r="BI1058" s="147"/>
      <c r="BJ1058" s="147"/>
      <c r="BK1058" s="147"/>
      <c r="BL1058" s="147"/>
      <c r="BM1058" s="147"/>
      <c r="BN1058" s="147"/>
      <c r="BO1058" s="147"/>
      <c r="BP1058" s="147"/>
      <c r="BQ1058" s="147"/>
      <c r="BR1058" s="147"/>
      <c r="BS1058" s="147"/>
      <c r="BT1058" s="147"/>
      <c r="BU1058" s="147"/>
      <c r="BV1058" s="147"/>
      <c r="BW1058" s="147"/>
      <c r="BX1058" s="147"/>
      <c r="BY1058" s="147"/>
      <c r="BZ1058" s="147"/>
      <c r="CA1058" s="147"/>
      <c r="CB1058" s="147"/>
      <c r="CC1058" s="147"/>
      <c r="CD1058" s="147"/>
      <c r="CE1058" s="147"/>
      <c r="CF1058" s="147"/>
      <c r="CG1058" s="147"/>
      <c r="CH1058" s="147"/>
      <c r="CI1058" s="147"/>
      <c r="CJ1058" s="147"/>
      <c r="CK1058" s="147"/>
    </row>
    <row r="1059" spans="1:89">
      <c r="A1059" s="157"/>
      <c r="F1059" s="3"/>
      <c r="G1059" s="3"/>
      <c r="L1059" s="157"/>
      <c r="M1059" s="157"/>
      <c r="O1059" s="147"/>
      <c r="P1059" s="147"/>
      <c r="Q1059" s="147"/>
      <c r="R1059" s="147"/>
      <c r="S1059" s="147"/>
      <c r="T1059" s="147"/>
      <c r="U1059" s="147"/>
      <c r="V1059" s="147"/>
      <c r="W1059" s="147"/>
      <c r="X1059" s="147"/>
      <c r="Y1059" s="147"/>
      <c r="Z1059" s="147"/>
      <c r="AA1059" s="147"/>
      <c r="AB1059" s="147"/>
      <c r="AC1059" s="147"/>
      <c r="AD1059" s="147"/>
      <c r="AE1059" s="147"/>
      <c r="AF1059" s="147"/>
      <c r="AG1059" s="147"/>
      <c r="AH1059" s="147"/>
      <c r="AI1059" s="147"/>
      <c r="AJ1059" s="147"/>
      <c r="AK1059" s="147"/>
      <c r="AL1059" s="147"/>
      <c r="AM1059" s="151"/>
      <c r="AN1059" s="147"/>
      <c r="AO1059" s="147"/>
      <c r="AP1059" s="147"/>
      <c r="AQ1059" s="147"/>
      <c r="AR1059" s="147"/>
      <c r="AS1059" s="147"/>
      <c r="AT1059" s="147"/>
      <c r="AU1059" s="147"/>
      <c r="AV1059" s="147"/>
      <c r="AW1059" s="147"/>
      <c r="AX1059" s="147"/>
      <c r="AY1059" s="147"/>
      <c r="AZ1059" s="147"/>
      <c r="BA1059" s="147"/>
      <c r="BB1059" s="147"/>
      <c r="BC1059" s="147"/>
      <c r="BD1059" s="147"/>
      <c r="BE1059" s="147"/>
      <c r="BF1059" s="147"/>
      <c r="BG1059" s="147"/>
      <c r="BH1059" s="147"/>
      <c r="BI1059" s="147"/>
      <c r="BJ1059" s="147"/>
      <c r="BK1059" s="147"/>
      <c r="BL1059" s="147"/>
      <c r="BM1059" s="147"/>
      <c r="BN1059" s="147"/>
      <c r="BO1059" s="147"/>
      <c r="BP1059" s="147"/>
      <c r="BQ1059" s="147"/>
      <c r="BR1059" s="147"/>
      <c r="BS1059" s="147"/>
      <c r="BT1059" s="147"/>
      <c r="BU1059" s="147"/>
      <c r="BV1059" s="147"/>
      <c r="BW1059" s="147"/>
      <c r="BX1059" s="147"/>
      <c r="BY1059" s="147"/>
      <c r="BZ1059" s="147"/>
      <c r="CA1059" s="147"/>
      <c r="CB1059" s="147"/>
      <c r="CC1059" s="147"/>
      <c r="CD1059" s="147"/>
      <c r="CE1059" s="147"/>
      <c r="CF1059" s="147"/>
      <c r="CG1059" s="147"/>
      <c r="CH1059" s="147"/>
      <c r="CI1059" s="147"/>
      <c r="CJ1059" s="147"/>
      <c r="CK1059" s="147"/>
    </row>
    <row r="1060" spans="1:89">
      <c r="A1060" s="157"/>
      <c r="F1060" s="3"/>
      <c r="G1060" s="3"/>
      <c r="L1060" s="157"/>
      <c r="M1060" s="157"/>
      <c r="O1060" s="147"/>
      <c r="P1060" s="147"/>
      <c r="Q1060" s="147"/>
      <c r="R1060" s="147"/>
      <c r="S1060" s="147"/>
      <c r="T1060" s="147"/>
      <c r="U1060" s="147"/>
      <c r="V1060" s="147"/>
      <c r="W1060" s="147"/>
      <c r="X1060" s="147"/>
      <c r="Y1060" s="147"/>
      <c r="Z1060" s="147"/>
      <c r="AA1060" s="147"/>
      <c r="AB1060" s="147"/>
      <c r="AC1060" s="147"/>
      <c r="AD1060" s="147"/>
      <c r="AE1060" s="147"/>
      <c r="AF1060" s="147"/>
      <c r="AG1060" s="147"/>
      <c r="AH1060" s="147"/>
      <c r="AI1060" s="147"/>
      <c r="AJ1060" s="147"/>
      <c r="AK1060" s="147"/>
      <c r="AL1060" s="147"/>
      <c r="AM1060" s="151"/>
      <c r="AN1060" s="147"/>
      <c r="AO1060" s="147"/>
      <c r="AP1060" s="147"/>
      <c r="AQ1060" s="147"/>
      <c r="AR1060" s="147"/>
      <c r="AS1060" s="147"/>
      <c r="AT1060" s="147"/>
      <c r="AU1060" s="147"/>
      <c r="AV1060" s="147"/>
      <c r="AW1060" s="147"/>
      <c r="AX1060" s="147"/>
      <c r="AY1060" s="147"/>
      <c r="AZ1060" s="147"/>
      <c r="BA1060" s="147"/>
      <c r="BB1060" s="147"/>
      <c r="BC1060" s="147"/>
      <c r="BD1060" s="147"/>
      <c r="BE1060" s="147"/>
      <c r="BF1060" s="147"/>
      <c r="BG1060" s="147"/>
      <c r="BH1060" s="147"/>
      <c r="BI1060" s="147"/>
      <c r="BJ1060" s="147"/>
      <c r="BK1060" s="147"/>
      <c r="BL1060" s="147"/>
      <c r="BM1060" s="147"/>
      <c r="BN1060" s="147"/>
      <c r="BO1060" s="147"/>
      <c r="BP1060" s="147"/>
      <c r="BQ1060" s="147"/>
      <c r="BR1060" s="147"/>
      <c r="BS1060" s="147"/>
      <c r="BT1060" s="147"/>
      <c r="BU1060" s="147"/>
      <c r="BV1060" s="147"/>
      <c r="BW1060" s="147"/>
      <c r="BX1060" s="147"/>
      <c r="BY1060" s="147"/>
      <c r="BZ1060" s="147"/>
      <c r="CA1060" s="147"/>
      <c r="CB1060" s="147"/>
      <c r="CC1060" s="147"/>
      <c r="CD1060" s="147"/>
      <c r="CE1060" s="147"/>
      <c r="CF1060" s="147"/>
      <c r="CG1060" s="147"/>
      <c r="CH1060" s="147"/>
      <c r="CI1060" s="147"/>
      <c r="CJ1060" s="147"/>
      <c r="CK1060" s="147"/>
    </row>
    <row r="1061" spans="1:89">
      <c r="A1061" s="157"/>
      <c r="F1061" s="3"/>
      <c r="G1061" s="3"/>
      <c r="L1061" s="157"/>
      <c r="M1061" s="157"/>
      <c r="O1061" s="147"/>
      <c r="P1061" s="147"/>
      <c r="Q1061" s="147"/>
      <c r="R1061" s="147"/>
      <c r="S1061" s="147"/>
      <c r="T1061" s="147"/>
      <c r="U1061" s="147"/>
      <c r="V1061" s="147"/>
      <c r="W1061" s="147"/>
      <c r="X1061" s="147"/>
      <c r="Y1061" s="147"/>
      <c r="Z1061" s="147"/>
      <c r="AA1061" s="147"/>
      <c r="AB1061" s="147"/>
      <c r="AC1061" s="147"/>
      <c r="AD1061" s="147"/>
      <c r="AE1061" s="147"/>
      <c r="AF1061" s="147"/>
      <c r="AG1061" s="147"/>
      <c r="AH1061" s="147"/>
      <c r="AI1061" s="147"/>
      <c r="AJ1061" s="147"/>
      <c r="AK1061" s="147"/>
      <c r="AL1061" s="147"/>
      <c r="AM1061" s="151"/>
      <c r="AN1061" s="147"/>
      <c r="AO1061" s="147"/>
      <c r="AP1061" s="147"/>
      <c r="AQ1061" s="147"/>
      <c r="AR1061" s="147"/>
      <c r="AS1061" s="147"/>
      <c r="AT1061" s="147"/>
      <c r="AU1061" s="147"/>
      <c r="AV1061" s="147"/>
      <c r="AW1061" s="147"/>
      <c r="AX1061" s="147"/>
      <c r="AY1061" s="147"/>
      <c r="AZ1061" s="147"/>
      <c r="BA1061" s="147"/>
      <c r="BB1061" s="147"/>
      <c r="BC1061" s="147"/>
      <c r="BD1061" s="147"/>
      <c r="BE1061" s="147"/>
      <c r="BF1061" s="147"/>
      <c r="BG1061" s="147"/>
      <c r="BH1061" s="147"/>
      <c r="BI1061" s="147"/>
      <c r="BJ1061" s="147"/>
      <c r="BK1061" s="147"/>
      <c r="BL1061" s="147"/>
      <c r="BM1061" s="147"/>
      <c r="BN1061" s="147"/>
      <c r="BO1061" s="147"/>
      <c r="BP1061" s="147"/>
      <c r="BQ1061" s="147"/>
      <c r="BR1061" s="147"/>
      <c r="BS1061" s="147"/>
      <c r="BT1061" s="147"/>
      <c r="BU1061" s="147"/>
      <c r="BV1061" s="147"/>
      <c r="BW1061" s="147"/>
      <c r="BX1061" s="147"/>
      <c r="BY1061" s="147"/>
      <c r="BZ1061" s="147"/>
      <c r="CA1061" s="147"/>
      <c r="CB1061" s="147"/>
      <c r="CC1061" s="147"/>
      <c r="CD1061" s="147"/>
      <c r="CE1061" s="147"/>
      <c r="CF1061" s="147"/>
      <c r="CG1061" s="147"/>
      <c r="CH1061" s="147"/>
      <c r="CI1061" s="147"/>
      <c r="CJ1061" s="147"/>
      <c r="CK1061" s="147"/>
    </row>
    <row r="1062" spans="1:89">
      <c r="A1062" s="157"/>
      <c r="F1062" s="3"/>
      <c r="G1062" s="3"/>
      <c r="L1062" s="157"/>
      <c r="M1062" s="157"/>
      <c r="O1062" s="147"/>
      <c r="P1062" s="147"/>
      <c r="Q1062" s="147"/>
      <c r="R1062" s="147"/>
      <c r="S1062" s="147"/>
      <c r="T1062" s="147"/>
      <c r="U1062" s="147"/>
      <c r="V1062" s="147"/>
      <c r="W1062" s="147"/>
      <c r="X1062" s="147"/>
      <c r="Y1062" s="147"/>
      <c r="Z1062" s="147"/>
      <c r="AA1062" s="147"/>
      <c r="AB1062" s="147"/>
      <c r="AC1062" s="147"/>
      <c r="AD1062" s="147"/>
      <c r="AE1062" s="147"/>
      <c r="AF1062" s="147"/>
      <c r="AG1062" s="147"/>
      <c r="AH1062" s="147"/>
      <c r="AI1062" s="147"/>
      <c r="AJ1062" s="147"/>
      <c r="AK1062" s="147"/>
      <c r="AL1062" s="147"/>
      <c r="AM1062" s="151"/>
      <c r="AN1062" s="147"/>
      <c r="AO1062" s="147"/>
      <c r="AP1062" s="147"/>
      <c r="AQ1062" s="147"/>
      <c r="AR1062" s="147"/>
      <c r="AS1062" s="147"/>
      <c r="AT1062" s="147"/>
      <c r="AU1062" s="147"/>
      <c r="AV1062" s="147"/>
      <c r="AW1062" s="147"/>
      <c r="AX1062" s="147"/>
      <c r="AY1062" s="147"/>
      <c r="AZ1062" s="147"/>
      <c r="BA1062" s="147"/>
      <c r="BB1062" s="147"/>
      <c r="BC1062" s="147"/>
      <c r="BD1062" s="147"/>
      <c r="BE1062" s="147"/>
      <c r="BF1062" s="147"/>
      <c r="BG1062" s="147"/>
      <c r="BH1062" s="147"/>
      <c r="BI1062" s="147"/>
      <c r="BJ1062" s="147"/>
      <c r="BK1062" s="147"/>
      <c r="BL1062" s="147"/>
      <c r="BM1062" s="147"/>
      <c r="BN1062" s="147"/>
      <c r="BO1062" s="147"/>
      <c r="BP1062" s="147"/>
      <c r="BQ1062" s="147"/>
      <c r="BR1062" s="147"/>
      <c r="BS1062" s="147"/>
      <c r="BT1062" s="147"/>
      <c r="BU1062" s="147"/>
      <c r="BV1062" s="147"/>
      <c r="BW1062" s="147"/>
      <c r="BX1062" s="147"/>
      <c r="BY1062" s="147"/>
      <c r="BZ1062" s="147"/>
      <c r="CA1062" s="147"/>
      <c r="CB1062" s="147"/>
      <c r="CC1062" s="147"/>
      <c r="CD1062" s="147"/>
      <c r="CE1062" s="147"/>
      <c r="CF1062" s="147"/>
      <c r="CG1062" s="147"/>
      <c r="CH1062" s="147"/>
      <c r="CI1062" s="147"/>
      <c r="CJ1062" s="147"/>
      <c r="CK1062" s="147"/>
    </row>
    <row r="1063" spans="1:89">
      <c r="A1063" s="157"/>
      <c r="F1063" s="3"/>
      <c r="G1063" s="3"/>
      <c r="L1063" s="157"/>
      <c r="M1063" s="157"/>
      <c r="O1063" s="147"/>
      <c r="P1063" s="147"/>
      <c r="Q1063" s="147"/>
      <c r="R1063" s="147"/>
      <c r="S1063" s="147"/>
      <c r="T1063" s="147"/>
      <c r="U1063" s="147"/>
      <c r="V1063" s="147"/>
      <c r="W1063" s="147"/>
      <c r="X1063" s="147"/>
      <c r="Y1063" s="147"/>
      <c r="Z1063" s="147"/>
      <c r="AA1063" s="147"/>
      <c r="AB1063" s="147"/>
      <c r="AC1063" s="147"/>
      <c r="AD1063" s="147"/>
      <c r="AE1063" s="147"/>
      <c r="AF1063" s="147"/>
      <c r="AG1063" s="147"/>
      <c r="AH1063" s="147"/>
      <c r="AI1063" s="147"/>
      <c r="AJ1063" s="147"/>
      <c r="AK1063" s="147"/>
      <c r="AL1063" s="147"/>
      <c r="AM1063" s="151"/>
      <c r="AN1063" s="147"/>
      <c r="AO1063" s="147"/>
      <c r="AP1063" s="147"/>
      <c r="AQ1063" s="147"/>
      <c r="AR1063" s="147"/>
      <c r="AS1063" s="147"/>
      <c r="AT1063" s="147"/>
      <c r="AU1063" s="147"/>
      <c r="AV1063" s="147"/>
      <c r="AW1063" s="147"/>
      <c r="AX1063" s="147"/>
      <c r="AY1063" s="147"/>
      <c r="AZ1063" s="147"/>
      <c r="BA1063" s="147"/>
      <c r="BB1063" s="147"/>
      <c r="BC1063" s="147"/>
      <c r="BD1063" s="147"/>
      <c r="BE1063" s="147"/>
      <c r="BF1063" s="147"/>
      <c r="BG1063" s="147"/>
      <c r="BH1063" s="147"/>
      <c r="BI1063" s="147"/>
      <c r="BJ1063" s="147"/>
      <c r="BK1063" s="147"/>
      <c r="BL1063" s="147"/>
      <c r="BM1063" s="147"/>
      <c r="BN1063" s="147"/>
      <c r="BO1063" s="147"/>
      <c r="BP1063" s="147"/>
      <c r="BQ1063" s="147"/>
      <c r="BR1063" s="147"/>
      <c r="BS1063" s="147"/>
      <c r="BT1063" s="147"/>
      <c r="BU1063" s="147"/>
      <c r="BV1063" s="147"/>
      <c r="BW1063" s="147"/>
      <c r="BX1063" s="147"/>
      <c r="BY1063" s="147"/>
      <c r="BZ1063" s="147"/>
      <c r="CA1063" s="147"/>
      <c r="CB1063" s="147"/>
      <c r="CC1063" s="147"/>
      <c r="CD1063" s="147"/>
      <c r="CE1063" s="147"/>
      <c r="CF1063" s="147"/>
      <c r="CG1063" s="147"/>
      <c r="CH1063" s="147"/>
      <c r="CI1063" s="147"/>
      <c r="CJ1063" s="147"/>
      <c r="CK1063" s="147"/>
    </row>
    <row r="1064" spans="1:89">
      <c r="A1064" s="157"/>
      <c r="F1064" s="3"/>
      <c r="G1064" s="3"/>
      <c r="L1064" s="157"/>
      <c r="M1064" s="157"/>
      <c r="O1064" s="147"/>
      <c r="P1064" s="147"/>
      <c r="Q1064" s="147"/>
      <c r="R1064" s="147"/>
      <c r="S1064" s="147"/>
      <c r="T1064" s="147"/>
      <c r="U1064" s="147"/>
      <c r="V1064" s="147"/>
      <c r="W1064" s="147"/>
      <c r="X1064" s="147"/>
      <c r="Y1064" s="147"/>
      <c r="Z1064" s="147"/>
      <c r="AA1064" s="147"/>
      <c r="AB1064" s="147"/>
      <c r="AC1064" s="147"/>
      <c r="AD1064" s="147"/>
      <c r="AE1064" s="147"/>
      <c r="AF1064" s="147"/>
      <c r="AG1064" s="147"/>
      <c r="AH1064" s="147"/>
      <c r="AI1064" s="147"/>
      <c r="AJ1064" s="147"/>
      <c r="AK1064" s="147"/>
      <c r="AL1064" s="147"/>
      <c r="AM1064" s="151"/>
      <c r="AN1064" s="147"/>
      <c r="AO1064" s="147"/>
      <c r="AP1064" s="147"/>
      <c r="AQ1064" s="147"/>
      <c r="AR1064" s="147"/>
      <c r="AS1064" s="147"/>
      <c r="AT1064" s="147"/>
      <c r="AU1064" s="147"/>
      <c r="AV1064" s="147"/>
      <c r="AW1064" s="147"/>
      <c r="AX1064" s="147"/>
      <c r="AY1064" s="147"/>
      <c r="AZ1064" s="147"/>
      <c r="BA1064" s="147"/>
      <c r="BB1064" s="147"/>
      <c r="BC1064" s="147"/>
      <c r="BD1064" s="147"/>
      <c r="BE1064" s="147"/>
      <c r="BF1064" s="147"/>
      <c r="BG1064" s="147"/>
      <c r="BH1064" s="147"/>
      <c r="BI1064" s="147"/>
      <c r="BJ1064" s="147"/>
      <c r="BK1064" s="147"/>
      <c r="BL1064" s="147"/>
      <c r="BM1064" s="147"/>
      <c r="BN1064" s="147"/>
      <c r="BO1064" s="147"/>
      <c r="BP1064" s="147"/>
      <c r="BQ1064" s="147"/>
      <c r="BR1064" s="147"/>
      <c r="BS1064" s="147"/>
      <c r="BT1064" s="147"/>
      <c r="BU1064" s="147"/>
      <c r="BV1064" s="147"/>
      <c r="BW1064" s="147"/>
      <c r="BX1064" s="147"/>
      <c r="BY1064" s="147"/>
      <c r="BZ1064" s="147"/>
      <c r="CA1064" s="147"/>
      <c r="CB1064" s="147"/>
      <c r="CC1064" s="147"/>
      <c r="CD1064" s="147"/>
      <c r="CE1064" s="147"/>
      <c r="CF1064" s="147"/>
      <c r="CG1064" s="147"/>
      <c r="CH1064" s="147"/>
      <c r="CI1064" s="147"/>
      <c r="CJ1064" s="147"/>
      <c r="CK1064" s="147"/>
    </row>
    <row r="1065" spans="1:89">
      <c r="A1065" s="157"/>
      <c r="F1065" s="3"/>
      <c r="G1065" s="3"/>
      <c r="L1065" s="157"/>
      <c r="M1065" s="157"/>
      <c r="O1065" s="147"/>
      <c r="P1065" s="147"/>
      <c r="Q1065" s="147"/>
      <c r="R1065" s="147"/>
      <c r="S1065" s="147"/>
      <c r="T1065" s="147"/>
      <c r="U1065" s="147"/>
      <c r="V1065" s="147"/>
      <c r="W1065" s="147"/>
      <c r="X1065" s="147"/>
      <c r="Y1065" s="147"/>
      <c r="Z1065" s="147"/>
      <c r="AA1065" s="147"/>
      <c r="AB1065" s="147"/>
      <c r="AC1065" s="147"/>
      <c r="AD1065" s="147"/>
      <c r="AE1065" s="147"/>
      <c r="AF1065" s="147"/>
      <c r="AG1065" s="147"/>
      <c r="AH1065" s="147"/>
      <c r="AI1065" s="147"/>
      <c r="AJ1065" s="147"/>
      <c r="AK1065" s="147"/>
      <c r="AL1065" s="147"/>
      <c r="AM1065" s="151"/>
      <c r="AN1065" s="147"/>
      <c r="AO1065" s="147"/>
      <c r="AP1065" s="147"/>
      <c r="AQ1065" s="147"/>
      <c r="AR1065" s="147"/>
      <c r="AS1065" s="147"/>
      <c r="AT1065" s="147"/>
      <c r="AU1065" s="147"/>
      <c r="AV1065" s="147"/>
      <c r="AW1065" s="147"/>
      <c r="AX1065" s="147"/>
      <c r="AY1065" s="147"/>
      <c r="AZ1065" s="147"/>
      <c r="BA1065" s="147"/>
      <c r="BB1065" s="147"/>
      <c r="BC1065" s="147"/>
      <c r="BD1065" s="147"/>
      <c r="BE1065" s="147"/>
      <c r="BF1065" s="147"/>
      <c r="BG1065" s="147"/>
      <c r="BH1065" s="147"/>
      <c r="BI1065" s="147"/>
      <c r="BJ1065" s="147"/>
      <c r="BK1065" s="147"/>
      <c r="BL1065" s="147"/>
      <c r="BM1065" s="147"/>
      <c r="BN1065" s="147"/>
      <c r="BO1065" s="147"/>
      <c r="BP1065" s="147"/>
      <c r="BQ1065" s="147"/>
      <c r="BR1065" s="147"/>
      <c r="BS1065" s="147"/>
      <c r="BT1065" s="147"/>
      <c r="BU1065" s="147"/>
      <c r="BV1065" s="147"/>
      <c r="BW1065" s="147"/>
      <c r="BX1065" s="147"/>
      <c r="BY1065" s="147"/>
      <c r="BZ1065" s="147"/>
      <c r="CA1065" s="147"/>
      <c r="CB1065" s="147"/>
      <c r="CC1065" s="147"/>
      <c r="CD1065" s="147"/>
      <c r="CE1065" s="147"/>
      <c r="CF1065" s="147"/>
      <c r="CG1065" s="147"/>
      <c r="CH1065" s="147"/>
      <c r="CI1065" s="147"/>
      <c r="CJ1065" s="147"/>
      <c r="CK1065" s="147"/>
    </row>
    <row r="1066" spans="1:89">
      <c r="A1066" s="157"/>
      <c r="F1066" s="3"/>
      <c r="G1066" s="3"/>
      <c r="L1066" s="157"/>
      <c r="M1066" s="157"/>
      <c r="O1066" s="147"/>
      <c r="P1066" s="147"/>
      <c r="Q1066" s="147"/>
      <c r="R1066" s="147"/>
      <c r="S1066" s="147"/>
      <c r="T1066" s="147"/>
      <c r="U1066" s="147"/>
      <c r="V1066" s="147"/>
      <c r="W1066" s="147"/>
      <c r="X1066" s="147"/>
      <c r="Y1066" s="147"/>
      <c r="Z1066" s="147"/>
      <c r="AA1066" s="147"/>
      <c r="AB1066" s="147"/>
      <c r="AC1066" s="147"/>
      <c r="AD1066" s="147"/>
      <c r="AE1066" s="147"/>
      <c r="AF1066" s="147"/>
      <c r="AG1066" s="147"/>
      <c r="AH1066" s="147"/>
      <c r="AI1066" s="147"/>
      <c r="AJ1066" s="147"/>
      <c r="AK1066" s="147"/>
      <c r="AL1066" s="147"/>
      <c r="AM1066" s="151"/>
      <c r="AN1066" s="147"/>
      <c r="AO1066" s="147"/>
      <c r="AP1066" s="147"/>
      <c r="AQ1066" s="147"/>
      <c r="AR1066" s="147"/>
      <c r="AS1066" s="147"/>
      <c r="AT1066" s="147"/>
      <c r="AU1066" s="147"/>
      <c r="AV1066" s="147"/>
      <c r="AW1066" s="147"/>
      <c r="AX1066" s="147"/>
      <c r="AY1066" s="147"/>
      <c r="AZ1066" s="147"/>
      <c r="BA1066" s="147"/>
      <c r="BB1066" s="147"/>
      <c r="BC1066" s="147"/>
      <c r="BD1066" s="147"/>
      <c r="BE1066" s="147"/>
      <c r="BF1066" s="147"/>
      <c r="BG1066" s="147"/>
      <c r="BH1066" s="147"/>
      <c r="BI1066" s="147"/>
      <c r="BJ1066" s="147"/>
      <c r="BK1066" s="147"/>
      <c r="BL1066" s="147"/>
      <c r="BM1066" s="147"/>
      <c r="BN1066" s="147"/>
      <c r="BO1066" s="147"/>
      <c r="BP1066" s="147"/>
      <c r="BQ1066" s="147"/>
      <c r="BR1066" s="147"/>
      <c r="BS1066" s="147"/>
      <c r="BT1066" s="147"/>
      <c r="BU1066" s="147"/>
      <c r="BV1066" s="147"/>
      <c r="BW1066" s="147"/>
      <c r="BX1066" s="147"/>
      <c r="BY1066" s="147"/>
      <c r="BZ1066" s="147"/>
      <c r="CA1066" s="147"/>
      <c r="CB1066" s="147"/>
      <c r="CC1066" s="147"/>
      <c r="CD1066" s="147"/>
      <c r="CE1066" s="147"/>
      <c r="CF1066" s="147"/>
      <c r="CG1066" s="147"/>
      <c r="CH1066" s="147"/>
      <c r="CI1066" s="147"/>
      <c r="CJ1066" s="147"/>
      <c r="CK1066" s="147"/>
    </row>
    <row r="1067" spans="1:89">
      <c r="A1067" s="157"/>
      <c r="F1067" s="3"/>
      <c r="G1067" s="3"/>
      <c r="L1067" s="157"/>
      <c r="M1067" s="157"/>
      <c r="O1067" s="147"/>
      <c r="P1067" s="147"/>
      <c r="Q1067" s="147"/>
      <c r="R1067" s="147"/>
      <c r="S1067" s="147"/>
      <c r="T1067" s="147"/>
      <c r="U1067" s="147"/>
      <c r="V1067" s="147"/>
      <c r="W1067" s="147"/>
      <c r="X1067" s="147"/>
      <c r="Y1067" s="147"/>
      <c r="Z1067" s="147"/>
      <c r="AA1067" s="147"/>
      <c r="AB1067" s="147"/>
      <c r="AC1067" s="147"/>
      <c r="AD1067" s="147"/>
      <c r="AE1067" s="147"/>
      <c r="AF1067" s="147"/>
      <c r="AG1067" s="147"/>
      <c r="AH1067" s="147"/>
      <c r="AI1067" s="147"/>
      <c r="AJ1067" s="147"/>
      <c r="AK1067" s="147"/>
      <c r="AL1067" s="147"/>
      <c r="AM1067" s="151"/>
      <c r="AN1067" s="147"/>
      <c r="AO1067" s="147"/>
      <c r="AP1067" s="147"/>
      <c r="AQ1067" s="147"/>
      <c r="AR1067" s="147"/>
      <c r="AS1067" s="147"/>
      <c r="AT1067" s="147"/>
      <c r="AU1067" s="147"/>
      <c r="AV1067" s="147"/>
      <c r="AW1067" s="147"/>
      <c r="AX1067" s="147"/>
      <c r="AY1067" s="147"/>
      <c r="AZ1067" s="147"/>
      <c r="BA1067" s="147"/>
      <c r="BB1067" s="147"/>
      <c r="BC1067" s="147"/>
      <c r="BD1067" s="147"/>
      <c r="BE1067" s="147"/>
      <c r="BF1067" s="147"/>
      <c r="BG1067" s="147"/>
      <c r="BH1067" s="147"/>
      <c r="BI1067" s="147"/>
      <c r="BJ1067" s="147"/>
      <c r="BK1067" s="147"/>
      <c r="BL1067" s="147"/>
      <c r="BM1067" s="147"/>
      <c r="BN1067" s="147"/>
      <c r="BO1067" s="147"/>
      <c r="BP1067" s="147"/>
      <c r="BQ1067" s="147"/>
      <c r="BR1067" s="147"/>
      <c r="BS1067" s="147"/>
      <c r="BT1067" s="147"/>
      <c r="BU1067" s="147"/>
      <c r="BV1067" s="147"/>
      <c r="BW1067" s="147"/>
      <c r="BX1067" s="147"/>
      <c r="BY1067" s="147"/>
      <c r="BZ1067" s="147"/>
      <c r="CA1067" s="147"/>
      <c r="CB1067" s="147"/>
      <c r="CC1067" s="147"/>
      <c r="CD1067" s="147"/>
      <c r="CE1067" s="147"/>
      <c r="CF1067" s="147"/>
      <c r="CG1067" s="147"/>
      <c r="CH1067" s="147"/>
      <c r="CI1067" s="147"/>
      <c r="CJ1067" s="147"/>
      <c r="CK1067" s="147"/>
    </row>
    <row r="1068" spans="1:89">
      <c r="A1068" s="157"/>
      <c r="F1068" s="3"/>
      <c r="G1068" s="3"/>
      <c r="L1068" s="157"/>
      <c r="M1068" s="157"/>
      <c r="O1068" s="147"/>
      <c r="P1068" s="147"/>
      <c r="Q1068" s="147"/>
      <c r="R1068" s="147"/>
      <c r="S1068" s="147"/>
      <c r="T1068" s="147"/>
      <c r="U1068" s="147"/>
      <c r="V1068" s="147"/>
      <c r="W1068" s="147"/>
      <c r="X1068" s="147"/>
      <c r="Y1068" s="147"/>
      <c r="Z1068" s="147"/>
      <c r="AA1068" s="147"/>
      <c r="AB1068" s="147"/>
      <c r="AC1068" s="147"/>
      <c r="AD1068" s="147"/>
      <c r="AE1068" s="147"/>
      <c r="AF1068" s="147"/>
      <c r="AG1068" s="147"/>
      <c r="AH1068" s="147"/>
      <c r="AI1068" s="147"/>
      <c r="AJ1068" s="147"/>
      <c r="AK1068" s="147"/>
      <c r="AL1068" s="147"/>
      <c r="AM1068" s="151"/>
      <c r="AN1068" s="147"/>
      <c r="AO1068" s="147"/>
      <c r="AP1068" s="147"/>
      <c r="AQ1068" s="147"/>
      <c r="AR1068" s="147"/>
      <c r="AS1068" s="147"/>
      <c r="AT1068" s="147"/>
      <c r="AU1068" s="147"/>
      <c r="AV1068" s="147"/>
      <c r="AW1068" s="147"/>
      <c r="AX1068" s="147"/>
      <c r="AY1068" s="147"/>
      <c r="AZ1068" s="147"/>
      <c r="BA1068" s="147"/>
      <c r="BB1068" s="147"/>
      <c r="BC1068" s="147"/>
      <c r="BD1068" s="147"/>
      <c r="BE1068" s="147"/>
      <c r="BF1068" s="147"/>
      <c r="BG1068" s="147"/>
      <c r="BH1068" s="147"/>
      <c r="BI1068" s="147"/>
      <c r="BJ1068" s="147"/>
      <c r="BK1068" s="147"/>
      <c r="BL1068" s="147"/>
      <c r="BM1068" s="147"/>
      <c r="BN1068" s="147"/>
      <c r="BO1068" s="147"/>
      <c r="BP1068" s="147"/>
      <c r="BQ1068" s="147"/>
      <c r="BR1068" s="147"/>
      <c r="BS1068" s="147"/>
      <c r="BT1068" s="147"/>
      <c r="BU1068" s="147"/>
      <c r="BV1068" s="147"/>
      <c r="BW1068" s="147"/>
      <c r="BX1068" s="147"/>
      <c r="BY1068" s="147"/>
      <c r="BZ1068" s="147"/>
      <c r="CA1068" s="147"/>
      <c r="CB1068" s="147"/>
      <c r="CC1068" s="147"/>
      <c r="CD1068" s="147"/>
      <c r="CE1068" s="147"/>
      <c r="CF1068" s="147"/>
      <c r="CG1068" s="147"/>
      <c r="CH1068" s="147"/>
      <c r="CI1068" s="147"/>
      <c r="CJ1068" s="147"/>
      <c r="CK1068" s="147"/>
    </row>
    <row r="1069" spans="1:89">
      <c r="A1069" s="157"/>
      <c r="F1069" s="3"/>
      <c r="G1069" s="3"/>
      <c r="L1069" s="157"/>
      <c r="M1069" s="157"/>
      <c r="O1069" s="147"/>
      <c r="P1069" s="147"/>
      <c r="Q1069" s="147"/>
      <c r="R1069" s="147"/>
      <c r="S1069" s="147"/>
      <c r="T1069" s="147"/>
      <c r="U1069" s="147"/>
      <c r="V1069" s="147"/>
      <c r="W1069" s="147"/>
      <c r="X1069" s="147"/>
      <c r="Y1069" s="147"/>
      <c r="Z1069" s="147"/>
      <c r="AA1069" s="147"/>
      <c r="AB1069" s="147"/>
      <c r="AC1069" s="147"/>
      <c r="AD1069" s="147"/>
      <c r="AE1069" s="147"/>
      <c r="AF1069" s="147"/>
      <c r="AG1069" s="147"/>
      <c r="AH1069" s="147"/>
      <c r="AI1069" s="147"/>
      <c r="AJ1069" s="147"/>
      <c r="AK1069" s="147"/>
      <c r="AL1069" s="147"/>
      <c r="AM1069" s="151"/>
      <c r="AN1069" s="147"/>
      <c r="AO1069" s="147"/>
      <c r="AP1069" s="147"/>
      <c r="AQ1069" s="147"/>
      <c r="AR1069" s="147"/>
      <c r="AS1069" s="147"/>
      <c r="AT1069" s="147"/>
      <c r="AU1069" s="147"/>
      <c r="AV1069" s="147"/>
      <c r="AW1069" s="147"/>
      <c r="AX1069" s="147"/>
      <c r="AY1069" s="147"/>
      <c r="AZ1069" s="147"/>
      <c r="BA1069" s="147"/>
      <c r="BB1069" s="147"/>
      <c r="BC1069" s="147"/>
      <c r="BD1069" s="147"/>
      <c r="BE1069" s="147"/>
      <c r="BF1069" s="147"/>
      <c r="BG1069" s="147"/>
      <c r="BH1069" s="147"/>
      <c r="BI1069" s="147"/>
      <c r="BJ1069" s="147"/>
      <c r="BK1069" s="147"/>
      <c r="BL1069" s="147"/>
      <c r="BM1069" s="147"/>
      <c r="BN1069" s="147"/>
      <c r="BO1069" s="147"/>
      <c r="BP1069" s="147"/>
      <c r="BQ1069" s="147"/>
      <c r="BR1069" s="147"/>
      <c r="BS1069" s="147"/>
      <c r="BT1069" s="147"/>
      <c r="BU1069" s="147"/>
      <c r="BV1069" s="147"/>
      <c r="BW1069" s="147"/>
      <c r="BX1069" s="147"/>
      <c r="BY1069" s="147"/>
      <c r="BZ1069" s="147"/>
      <c r="CA1069" s="147"/>
      <c r="CB1069" s="147"/>
      <c r="CC1069" s="147"/>
      <c r="CD1069" s="147"/>
      <c r="CE1069" s="147"/>
      <c r="CF1069" s="147"/>
      <c r="CG1069" s="147"/>
      <c r="CH1069" s="147"/>
      <c r="CI1069" s="147"/>
      <c r="CJ1069" s="147"/>
      <c r="CK1069" s="147"/>
    </row>
    <row r="1070" spans="1:89">
      <c r="A1070" s="157"/>
      <c r="F1070" s="3"/>
      <c r="G1070" s="3"/>
      <c r="L1070" s="157"/>
      <c r="M1070" s="157"/>
      <c r="O1070" s="147"/>
      <c r="P1070" s="147"/>
      <c r="Q1070" s="147"/>
      <c r="R1070" s="147"/>
      <c r="S1070" s="147"/>
      <c r="T1070" s="147"/>
      <c r="U1070" s="147"/>
      <c r="V1070" s="147"/>
      <c r="W1070" s="147"/>
      <c r="X1070" s="147"/>
      <c r="Y1070" s="147"/>
      <c r="Z1070" s="147"/>
      <c r="AA1070" s="147"/>
      <c r="AB1070" s="147"/>
      <c r="AC1070" s="147"/>
      <c r="AD1070" s="147"/>
      <c r="AE1070" s="147"/>
      <c r="AF1070" s="147"/>
      <c r="AG1070" s="147"/>
      <c r="AH1070" s="147"/>
      <c r="AI1070" s="147"/>
      <c r="AJ1070" s="147"/>
      <c r="AK1070" s="147"/>
      <c r="AL1070" s="147"/>
      <c r="AM1070" s="151"/>
      <c r="AN1070" s="147"/>
      <c r="AO1070" s="147"/>
      <c r="AP1070" s="147"/>
      <c r="AQ1070" s="147"/>
      <c r="AR1070" s="147"/>
      <c r="AS1070" s="147"/>
      <c r="AT1070" s="147"/>
      <c r="AU1070" s="147"/>
      <c r="AV1070" s="147"/>
      <c r="AW1070" s="147"/>
      <c r="AX1070" s="147"/>
      <c r="AY1070" s="147"/>
      <c r="AZ1070" s="147"/>
      <c r="BA1070" s="147"/>
      <c r="BB1070" s="147"/>
      <c r="BC1070" s="147"/>
      <c r="BD1070" s="147"/>
      <c r="BE1070" s="147"/>
      <c r="BF1070" s="147"/>
      <c r="BG1070" s="147"/>
      <c r="BH1070" s="147"/>
      <c r="BI1070" s="147"/>
      <c r="BJ1070" s="147"/>
      <c r="BK1070" s="147"/>
      <c r="BL1070" s="147"/>
      <c r="BM1070" s="147"/>
      <c r="BN1070" s="147"/>
      <c r="BO1070" s="147"/>
      <c r="BP1070" s="147"/>
      <c r="BQ1070" s="147"/>
      <c r="BR1070" s="147"/>
      <c r="BS1070" s="147"/>
      <c r="BT1070" s="147"/>
      <c r="BU1070" s="147"/>
      <c r="BV1070" s="147"/>
      <c r="BW1070" s="147"/>
      <c r="BX1070" s="147"/>
      <c r="BY1070" s="147"/>
      <c r="BZ1070" s="147"/>
      <c r="CA1070" s="147"/>
      <c r="CB1070" s="147"/>
      <c r="CC1070" s="147"/>
      <c r="CD1070" s="147"/>
      <c r="CE1070" s="147"/>
      <c r="CF1070" s="147"/>
      <c r="CG1070" s="147"/>
      <c r="CH1070" s="147"/>
      <c r="CI1070" s="147"/>
      <c r="CJ1070" s="147"/>
      <c r="CK1070" s="147"/>
    </row>
    <row r="1071" spans="1:89">
      <c r="A1071" s="157"/>
      <c r="F1071" s="3"/>
      <c r="G1071" s="3"/>
      <c r="L1071" s="157"/>
      <c r="M1071" s="157"/>
      <c r="O1071" s="147"/>
      <c r="P1071" s="147"/>
      <c r="Q1071" s="147"/>
      <c r="R1071" s="147"/>
      <c r="S1071" s="147"/>
      <c r="T1071" s="147"/>
      <c r="U1071" s="147"/>
      <c r="V1071" s="147"/>
      <c r="W1071" s="147"/>
      <c r="X1071" s="147"/>
      <c r="Y1071" s="147"/>
      <c r="Z1071" s="147"/>
      <c r="AA1071" s="147"/>
      <c r="AB1071" s="147"/>
      <c r="AC1071" s="147"/>
      <c r="AD1071" s="147"/>
      <c r="AE1071" s="147"/>
      <c r="AF1071" s="147"/>
      <c r="AG1071" s="147"/>
      <c r="AH1071" s="147"/>
      <c r="AI1071" s="147"/>
      <c r="AJ1071" s="147"/>
      <c r="AK1071" s="147"/>
      <c r="AL1071" s="147"/>
      <c r="AM1071" s="151"/>
      <c r="AN1071" s="147"/>
      <c r="AO1071" s="147"/>
      <c r="AP1071" s="147"/>
      <c r="AQ1071" s="147"/>
      <c r="AR1071" s="147"/>
      <c r="AS1071" s="147"/>
      <c r="AT1071" s="147"/>
      <c r="AU1071" s="147"/>
      <c r="AV1071" s="147"/>
      <c r="AW1071" s="147"/>
      <c r="AX1071" s="147"/>
      <c r="AY1071" s="147"/>
      <c r="AZ1071" s="147"/>
      <c r="BA1071" s="147"/>
      <c r="BB1071" s="147"/>
      <c r="BC1071" s="147"/>
      <c r="BD1071" s="147"/>
      <c r="BE1071" s="147"/>
      <c r="BF1071" s="147"/>
      <c r="BG1071" s="147"/>
      <c r="BH1071" s="147"/>
      <c r="BI1071" s="147"/>
      <c r="BJ1071" s="147"/>
      <c r="BK1071" s="147"/>
      <c r="BL1071" s="147"/>
      <c r="BM1071" s="147"/>
      <c r="BN1071" s="147"/>
      <c r="BO1071" s="147"/>
      <c r="BP1071" s="147"/>
      <c r="BQ1071" s="147"/>
      <c r="BR1071" s="147"/>
      <c r="BS1071" s="147"/>
      <c r="BT1071" s="147"/>
      <c r="BU1071" s="147"/>
      <c r="BV1071" s="147"/>
      <c r="BW1071" s="147"/>
      <c r="BX1071" s="147"/>
      <c r="BY1071" s="147"/>
      <c r="BZ1071" s="147"/>
      <c r="CA1071" s="147"/>
      <c r="CB1071" s="147"/>
      <c r="CC1071" s="147"/>
      <c r="CD1071" s="147"/>
      <c r="CE1071" s="147"/>
      <c r="CF1071" s="147"/>
      <c r="CG1071" s="147"/>
      <c r="CH1071" s="147"/>
      <c r="CI1071" s="147"/>
      <c r="CJ1071" s="147"/>
      <c r="CK1071" s="147"/>
    </row>
    <row r="1072" spans="1:89">
      <c r="A1072" s="157"/>
      <c r="F1072" s="3"/>
      <c r="G1072" s="3"/>
      <c r="L1072" s="157"/>
      <c r="M1072" s="157"/>
      <c r="O1072" s="147"/>
      <c r="P1072" s="147"/>
      <c r="Q1072" s="147"/>
      <c r="R1072" s="147"/>
      <c r="S1072" s="147"/>
      <c r="T1072" s="147"/>
      <c r="U1072" s="147"/>
      <c r="V1072" s="147"/>
      <c r="W1072" s="147"/>
      <c r="X1072" s="147"/>
      <c r="Y1072" s="147"/>
      <c r="Z1072" s="147"/>
      <c r="AA1072" s="147"/>
      <c r="AB1072" s="147"/>
      <c r="AC1072" s="147"/>
      <c r="AD1072" s="147"/>
      <c r="AE1072" s="147"/>
      <c r="AF1072" s="147"/>
      <c r="AG1072" s="147"/>
      <c r="AH1072" s="147"/>
      <c r="AI1072" s="147"/>
      <c r="AJ1072" s="147"/>
      <c r="AK1072" s="147"/>
      <c r="AL1072" s="147"/>
      <c r="AM1072" s="151"/>
      <c r="AN1072" s="147"/>
      <c r="AO1072" s="147"/>
      <c r="AP1072" s="147"/>
      <c r="AQ1072" s="147"/>
      <c r="AR1072" s="147"/>
      <c r="AS1072" s="147"/>
      <c r="AT1072" s="147"/>
      <c r="AU1072" s="147"/>
      <c r="AV1072" s="147"/>
      <c r="AW1072" s="147"/>
      <c r="AX1072" s="147"/>
      <c r="AY1072" s="147"/>
      <c r="AZ1072" s="147"/>
      <c r="BA1072" s="147"/>
      <c r="BB1072" s="147"/>
      <c r="BC1072" s="147"/>
      <c r="BD1072" s="147"/>
      <c r="BE1072" s="147"/>
      <c r="BF1072" s="147"/>
      <c r="BG1072" s="147"/>
      <c r="BH1072" s="147"/>
      <c r="BI1072" s="147"/>
      <c r="BJ1072" s="147"/>
      <c r="BK1072" s="147"/>
      <c r="BL1072" s="147"/>
      <c r="BM1072" s="147"/>
      <c r="BN1072" s="147"/>
      <c r="BO1072" s="147"/>
      <c r="BP1072" s="147"/>
      <c r="BQ1072" s="147"/>
      <c r="BR1072" s="147"/>
      <c r="BS1072" s="147"/>
      <c r="BT1072" s="147"/>
      <c r="BU1072" s="147"/>
      <c r="BV1072" s="147"/>
      <c r="BW1072" s="147"/>
      <c r="BX1072" s="147"/>
      <c r="BY1072" s="147"/>
      <c r="BZ1072" s="147"/>
      <c r="CA1072" s="147"/>
      <c r="CB1072" s="147"/>
      <c r="CC1072" s="147"/>
      <c r="CD1072" s="147"/>
      <c r="CE1072" s="147"/>
      <c r="CF1072" s="147"/>
      <c r="CG1072" s="147"/>
      <c r="CH1072" s="147"/>
      <c r="CI1072" s="147"/>
      <c r="CJ1072" s="147"/>
      <c r="CK1072" s="147"/>
    </row>
    <row r="1073" spans="1:89">
      <c r="A1073" s="157"/>
      <c r="F1073" s="3"/>
      <c r="G1073" s="3"/>
      <c r="L1073" s="157"/>
      <c r="M1073" s="157"/>
      <c r="O1073" s="147"/>
      <c r="P1073" s="147"/>
      <c r="Q1073" s="147"/>
      <c r="R1073" s="147"/>
      <c r="S1073" s="147"/>
      <c r="T1073" s="147"/>
      <c r="U1073" s="147"/>
      <c r="V1073" s="147"/>
      <c r="W1073" s="147"/>
      <c r="X1073" s="147"/>
      <c r="Y1073" s="147"/>
      <c r="Z1073" s="147"/>
      <c r="AA1073" s="147"/>
      <c r="AB1073" s="147"/>
      <c r="AC1073" s="147"/>
      <c r="AD1073" s="147"/>
      <c r="AE1073" s="147"/>
      <c r="AF1073" s="147"/>
      <c r="AG1073" s="147"/>
      <c r="AH1073" s="147"/>
      <c r="AI1073" s="147"/>
      <c r="AJ1073" s="147"/>
      <c r="AK1073" s="147"/>
      <c r="AL1073" s="147"/>
      <c r="AM1073" s="151"/>
      <c r="AN1073" s="147"/>
      <c r="AO1073" s="147"/>
      <c r="AP1073" s="147"/>
      <c r="AQ1073" s="147"/>
      <c r="AR1073" s="147"/>
      <c r="AS1073" s="147"/>
      <c r="AT1073" s="147"/>
      <c r="AU1073" s="147"/>
      <c r="AV1073" s="147"/>
      <c r="AW1073" s="147"/>
      <c r="AX1073" s="147"/>
      <c r="AY1073" s="147"/>
      <c r="AZ1073" s="147"/>
      <c r="BA1073" s="147"/>
      <c r="BB1073" s="147"/>
      <c r="BC1073" s="147"/>
      <c r="BD1073" s="147"/>
      <c r="BE1073" s="147"/>
      <c r="BF1073" s="147"/>
      <c r="BG1073" s="147"/>
      <c r="BH1073" s="147"/>
      <c r="BI1073" s="147"/>
      <c r="BJ1073" s="147"/>
      <c r="BK1073" s="147"/>
      <c r="BL1073" s="147"/>
      <c r="BM1073" s="147"/>
      <c r="BN1073" s="147"/>
      <c r="BO1073" s="147"/>
      <c r="BP1073" s="147"/>
      <c r="BQ1073" s="147"/>
      <c r="BR1073" s="147"/>
      <c r="BS1073" s="147"/>
      <c r="BT1073" s="147"/>
      <c r="BU1073" s="147"/>
      <c r="BV1073" s="147"/>
      <c r="BW1073" s="147"/>
      <c r="BX1073" s="147"/>
      <c r="BY1073" s="147"/>
      <c r="BZ1073" s="147"/>
      <c r="CA1073" s="147"/>
      <c r="CB1073" s="147"/>
      <c r="CC1073" s="147"/>
      <c r="CD1073" s="147"/>
      <c r="CE1073" s="147"/>
      <c r="CF1073" s="147"/>
      <c r="CG1073" s="147"/>
      <c r="CH1073" s="147"/>
      <c r="CI1073" s="147"/>
      <c r="CJ1073" s="147"/>
      <c r="CK1073" s="147"/>
    </row>
    <row r="1074" spans="1:89">
      <c r="A1074" s="157"/>
      <c r="F1074" s="3"/>
      <c r="G1074" s="3"/>
      <c r="L1074" s="157"/>
      <c r="M1074" s="157"/>
      <c r="O1074" s="147"/>
      <c r="P1074" s="147"/>
      <c r="Q1074" s="147"/>
      <c r="R1074" s="147"/>
      <c r="S1074" s="147"/>
      <c r="T1074" s="147"/>
      <c r="U1074" s="147"/>
      <c r="V1074" s="147"/>
      <c r="W1074" s="147"/>
      <c r="X1074" s="147"/>
      <c r="Y1074" s="147"/>
      <c r="Z1074" s="147"/>
      <c r="AA1074" s="147"/>
      <c r="AB1074" s="147"/>
      <c r="AC1074" s="147"/>
      <c r="AD1074" s="147"/>
      <c r="AE1074" s="147"/>
      <c r="AF1074" s="147"/>
      <c r="AG1074" s="147"/>
      <c r="AH1074" s="147"/>
      <c r="AI1074" s="147"/>
      <c r="AJ1074" s="147"/>
      <c r="AK1074" s="147"/>
      <c r="AL1074" s="147"/>
      <c r="AM1074" s="151"/>
      <c r="AN1074" s="147"/>
      <c r="AO1074" s="147"/>
      <c r="AP1074" s="147"/>
      <c r="AQ1074" s="147"/>
      <c r="AR1074" s="147"/>
      <c r="AS1074" s="147"/>
      <c r="AT1074" s="147"/>
      <c r="AU1074" s="147"/>
      <c r="AV1074" s="147"/>
      <c r="AW1074" s="147"/>
      <c r="AX1074" s="147"/>
      <c r="AY1074" s="147"/>
      <c r="AZ1074" s="147"/>
      <c r="BA1074" s="147"/>
      <c r="BB1074" s="147"/>
      <c r="BC1074" s="147"/>
      <c r="BD1074" s="147"/>
      <c r="BE1074" s="147"/>
      <c r="BF1074" s="147"/>
      <c r="BG1074" s="147"/>
      <c r="BH1074" s="147"/>
      <c r="BI1074" s="147"/>
      <c r="BJ1074" s="147"/>
      <c r="BK1074" s="147"/>
      <c r="BL1074" s="147"/>
      <c r="BM1074" s="147"/>
      <c r="BN1074" s="147"/>
      <c r="BO1074" s="147"/>
      <c r="BP1074" s="147"/>
      <c r="BQ1074" s="147"/>
      <c r="BR1074" s="147"/>
      <c r="BS1074" s="147"/>
      <c r="BT1074" s="147"/>
      <c r="BU1074" s="147"/>
      <c r="BV1074" s="147"/>
      <c r="BW1074" s="147"/>
      <c r="BX1074" s="147"/>
      <c r="BY1074" s="147"/>
      <c r="BZ1074" s="147"/>
      <c r="CA1074" s="147"/>
      <c r="CB1074" s="147"/>
      <c r="CC1074" s="147"/>
      <c r="CD1074" s="147"/>
      <c r="CE1074" s="147"/>
      <c r="CF1074" s="147"/>
      <c r="CG1074" s="147"/>
      <c r="CH1074" s="147"/>
      <c r="CI1074" s="147"/>
      <c r="CJ1074" s="147"/>
      <c r="CK1074" s="147"/>
    </row>
    <row r="1075" spans="1:89">
      <c r="A1075" s="157"/>
      <c r="F1075" s="3"/>
      <c r="G1075" s="3"/>
      <c r="L1075" s="157"/>
      <c r="M1075" s="157"/>
      <c r="O1075" s="147"/>
      <c r="P1075" s="147"/>
      <c r="Q1075" s="147"/>
      <c r="R1075" s="147"/>
      <c r="S1075" s="147"/>
      <c r="T1075" s="147"/>
      <c r="U1075" s="147"/>
      <c r="V1075" s="147"/>
      <c r="W1075" s="147"/>
      <c r="X1075" s="147"/>
      <c r="Y1075" s="147"/>
      <c r="Z1075" s="147"/>
      <c r="AA1075" s="147"/>
      <c r="AB1075" s="147"/>
      <c r="AC1075" s="147"/>
      <c r="AD1075" s="147"/>
      <c r="AE1075" s="147"/>
      <c r="AF1075" s="147"/>
      <c r="AG1075" s="147"/>
      <c r="AH1075" s="147"/>
      <c r="AI1075" s="147"/>
      <c r="AJ1075" s="147"/>
      <c r="AK1075" s="147"/>
      <c r="AL1075" s="147"/>
      <c r="AM1075" s="151"/>
      <c r="AN1075" s="147"/>
      <c r="AO1075" s="147"/>
      <c r="AP1075" s="147"/>
      <c r="AQ1075" s="147"/>
      <c r="AR1075" s="147"/>
      <c r="AS1075" s="147"/>
      <c r="AT1075" s="147"/>
      <c r="AU1075" s="147"/>
      <c r="AV1075" s="147"/>
      <c r="AW1075" s="147"/>
      <c r="AX1075" s="147"/>
      <c r="AY1075" s="147"/>
      <c r="AZ1075" s="147"/>
      <c r="BA1075" s="147"/>
      <c r="BB1075" s="147"/>
      <c r="BC1075" s="147"/>
      <c r="BD1075" s="147"/>
      <c r="BE1075" s="147"/>
      <c r="BF1075" s="147"/>
      <c r="BG1075" s="147"/>
      <c r="BH1075" s="147"/>
      <c r="BI1075" s="147"/>
      <c r="BJ1075" s="147"/>
      <c r="BK1075" s="147"/>
      <c r="BL1075" s="147"/>
      <c r="BM1075" s="147"/>
      <c r="BN1075" s="147"/>
      <c r="BO1075" s="147"/>
      <c r="BP1075" s="147"/>
      <c r="BQ1075" s="147"/>
      <c r="BR1075" s="147"/>
      <c r="BS1075" s="147"/>
      <c r="BT1075" s="147"/>
      <c r="BU1075" s="147"/>
      <c r="BV1075" s="147"/>
      <c r="BW1075" s="147"/>
      <c r="BX1075" s="147"/>
      <c r="BY1075" s="147"/>
      <c r="BZ1075" s="147"/>
      <c r="CA1075" s="147"/>
      <c r="CB1075" s="147"/>
      <c r="CC1075" s="147"/>
      <c r="CD1075" s="147"/>
      <c r="CE1075" s="147"/>
      <c r="CF1075" s="147"/>
      <c r="CG1075" s="147"/>
      <c r="CH1075" s="147"/>
      <c r="CI1075" s="147"/>
      <c r="CJ1075" s="147"/>
      <c r="CK1075" s="147"/>
    </row>
    <row r="1076" spans="1:89">
      <c r="A1076" s="157"/>
      <c r="F1076" s="3"/>
      <c r="G1076" s="3"/>
      <c r="L1076" s="157"/>
      <c r="M1076" s="157"/>
      <c r="O1076" s="147"/>
      <c r="P1076" s="147"/>
      <c r="Q1076" s="147"/>
      <c r="R1076" s="147"/>
      <c r="S1076" s="147"/>
      <c r="T1076" s="147"/>
      <c r="U1076" s="147"/>
      <c r="V1076" s="147"/>
      <c r="W1076" s="147"/>
      <c r="X1076" s="147"/>
      <c r="Y1076" s="147"/>
      <c r="Z1076" s="147"/>
      <c r="AA1076" s="147"/>
      <c r="AB1076" s="147"/>
      <c r="AC1076" s="147"/>
      <c r="AD1076" s="147"/>
      <c r="AE1076" s="147"/>
      <c r="AF1076" s="147"/>
      <c r="AG1076" s="147"/>
      <c r="AH1076" s="147"/>
      <c r="AI1076" s="147"/>
      <c r="AJ1076" s="147"/>
      <c r="AK1076" s="147"/>
      <c r="AL1076" s="147"/>
      <c r="AM1076" s="151"/>
      <c r="AN1076" s="147"/>
      <c r="AO1076" s="147"/>
      <c r="AP1076" s="147"/>
      <c r="AQ1076" s="147"/>
      <c r="AR1076" s="147"/>
      <c r="AS1076" s="147"/>
      <c r="AT1076" s="147"/>
      <c r="AU1076" s="147"/>
      <c r="AV1076" s="147"/>
      <c r="AW1076" s="147"/>
      <c r="AX1076" s="147"/>
      <c r="AY1076" s="147"/>
      <c r="AZ1076" s="147"/>
      <c r="BA1076" s="147"/>
      <c r="BB1076" s="147"/>
      <c r="BC1076" s="147"/>
      <c r="BD1076" s="147"/>
      <c r="BE1076" s="147"/>
      <c r="BF1076" s="147"/>
      <c r="BG1076" s="147"/>
      <c r="BH1076" s="147"/>
      <c r="BI1076" s="147"/>
      <c r="BJ1076" s="147"/>
      <c r="BK1076" s="147"/>
      <c r="BL1076" s="147"/>
      <c r="BM1076" s="147"/>
      <c r="BN1076" s="147"/>
      <c r="BO1076" s="147"/>
      <c r="BP1076" s="147"/>
      <c r="BQ1076" s="147"/>
      <c r="BR1076" s="147"/>
      <c r="BS1076" s="147"/>
      <c r="BT1076" s="147"/>
      <c r="BU1076" s="147"/>
      <c r="BV1076" s="147"/>
      <c r="BW1076" s="147"/>
      <c r="BX1076" s="147"/>
      <c r="BY1076" s="147"/>
      <c r="BZ1076" s="147"/>
      <c r="CA1076" s="147"/>
      <c r="CB1076" s="147"/>
      <c r="CC1076" s="147"/>
      <c r="CD1076" s="147"/>
      <c r="CE1076" s="147"/>
      <c r="CF1076" s="147"/>
      <c r="CG1076" s="147"/>
      <c r="CH1076" s="147"/>
      <c r="CI1076" s="147"/>
      <c r="CJ1076" s="147"/>
      <c r="CK1076" s="147"/>
    </row>
    <row r="1077" spans="1:89">
      <c r="A1077" s="157"/>
      <c r="F1077" s="3"/>
      <c r="G1077" s="3"/>
      <c r="L1077" s="157"/>
      <c r="M1077" s="157"/>
      <c r="O1077" s="147"/>
      <c r="P1077" s="147"/>
      <c r="Q1077" s="147"/>
      <c r="R1077" s="147"/>
      <c r="S1077" s="147"/>
      <c r="T1077" s="147"/>
      <c r="U1077" s="147"/>
      <c r="V1077" s="147"/>
      <c r="W1077" s="147"/>
      <c r="X1077" s="147"/>
      <c r="Y1077" s="147"/>
      <c r="Z1077" s="147"/>
      <c r="AA1077" s="147"/>
      <c r="AB1077" s="147"/>
      <c r="AC1077" s="147"/>
      <c r="AD1077" s="147"/>
      <c r="AE1077" s="147"/>
      <c r="AF1077" s="147"/>
      <c r="AG1077" s="147"/>
      <c r="AH1077" s="147"/>
      <c r="AI1077" s="147"/>
      <c r="AJ1077" s="147"/>
      <c r="AK1077" s="147"/>
      <c r="AL1077" s="147"/>
      <c r="AM1077" s="151"/>
      <c r="AN1077" s="147"/>
      <c r="AO1077" s="147"/>
      <c r="AP1077" s="147"/>
      <c r="AQ1077" s="147"/>
      <c r="AR1077" s="147"/>
      <c r="AS1077" s="147"/>
      <c r="AT1077" s="147"/>
      <c r="AU1077" s="147"/>
      <c r="AV1077" s="147"/>
      <c r="AW1077" s="147"/>
      <c r="AX1077" s="147"/>
      <c r="AY1077" s="147"/>
      <c r="AZ1077" s="147"/>
      <c r="BA1077" s="147"/>
      <c r="BB1077" s="147"/>
      <c r="BC1077" s="147"/>
      <c r="BD1077" s="147"/>
      <c r="BE1077" s="147"/>
      <c r="BF1077" s="147"/>
      <c r="BG1077" s="147"/>
      <c r="BH1077" s="147"/>
      <c r="BI1077" s="147"/>
      <c r="BJ1077" s="147"/>
      <c r="BK1077" s="147"/>
      <c r="BL1077" s="147"/>
      <c r="BM1077" s="147"/>
      <c r="BN1077" s="147"/>
      <c r="BO1077" s="147"/>
      <c r="BP1077" s="147"/>
      <c r="BQ1077" s="147"/>
      <c r="BR1077" s="147"/>
      <c r="BS1077" s="147"/>
      <c r="BT1077" s="147"/>
      <c r="BU1077" s="147"/>
      <c r="BV1077" s="147"/>
      <c r="BW1077" s="147"/>
      <c r="BX1077" s="147"/>
      <c r="BY1077" s="147"/>
      <c r="BZ1077" s="147"/>
      <c r="CA1077" s="147"/>
      <c r="CB1077" s="147"/>
      <c r="CC1077" s="147"/>
      <c r="CD1077" s="147"/>
      <c r="CE1077" s="147"/>
      <c r="CF1077" s="147"/>
      <c r="CG1077" s="147"/>
      <c r="CH1077" s="147"/>
      <c r="CI1077" s="147"/>
      <c r="CJ1077" s="147"/>
      <c r="CK1077" s="147"/>
    </row>
    <row r="1078" spans="1:89">
      <c r="A1078" s="157"/>
      <c r="F1078" s="3"/>
      <c r="G1078" s="3"/>
      <c r="L1078" s="157"/>
      <c r="M1078" s="157"/>
      <c r="O1078" s="147"/>
      <c r="P1078" s="147"/>
      <c r="Q1078" s="147"/>
      <c r="R1078" s="147"/>
      <c r="S1078" s="147"/>
      <c r="T1078" s="147"/>
      <c r="U1078" s="147"/>
      <c r="V1078" s="147"/>
      <c r="W1078" s="147"/>
      <c r="X1078" s="147"/>
      <c r="Y1078" s="147"/>
      <c r="Z1078" s="147"/>
      <c r="AA1078" s="147"/>
      <c r="AB1078" s="147"/>
      <c r="AC1078" s="147"/>
      <c r="AD1078" s="147"/>
      <c r="AE1078" s="147"/>
      <c r="AF1078" s="147"/>
      <c r="AG1078" s="147"/>
      <c r="AH1078" s="147"/>
      <c r="AI1078" s="147"/>
      <c r="AJ1078" s="147"/>
      <c r="AK1078" s="147"/>
      <c r="AL1078" s="147"/>
      <c r="AM1078" s="151"/>
      <c r="AN1078" s="147"/>
      <c r="AO1078" s="147"/>
      <c r="AP1078" s="147"/>
      <c r="AQ1078" s="147"/>
      <c r="AR1078" s="147"/>
      <c r="AS1078" s="147"/>
      <c r="AT1078" s="147"/>
      <c r="AU1078" s="147"/>
      <c r="AV1078" s="147"/>
      <c r="AW1078" s="147"/>
      <c r="AX1078" s="147"/>
      <c r="AY1078" s="147"/>
      <c r="AZ1078" s="147"/>
      <c r="BA1078" s="147"/>
      <c r="BB1078" s="147"/>
      <c r="BC1078" s="147"/>
      <c r="BD1078" s="147"/>
      <c r="BE1078" s="147"/>
      <c r="BF1078" s="147"/>
      <c r="BG1078" s="147"/>
      <c r="BH1078" s="147"/>
      <c r="BI1078" s="147"/>
      <c r="BJ1078" s="147"/>
      <c r="BK1078" s="147"/>
      <c r="BL1078" s="147"/>
      <c r="BM1078" s="147"/>
      <c r="BN1078" s="147"/>
      <c r="BO1078" s="147"/>
      <c r="BP1078" s="147"/>
      <c r="BQ1078" s="147"/>
      <c r="BR1078" s="147"/>
      <c r="BS1078" s="147"/>
      <c r="BT1078" s="147"/>
      <c r="BU1078" s="147"/>
      <c r="BV1078" s="147"/>
      <c r="BW1078" s="147"/>
      <c r="BX1078" s="147"/>
      <c r="BY1078" s="147"/>
      <c r="BZ1078" s="147"/>
      <c r="CA1078" s="147"/>
      <c r="CB1078" s="147"/>
      <c r="CC1078" s="147"/>
      <c r="CD1078" s="147"/>
      <c r="CE1078" s="147"/>
      <c r="CF1078" s="147"/>
      <c r="CG1078" s="147"/>
      <c r="CH1078" s="147"/>
      <c r="CI1078" s="147"/>
      <c r="CJ1078" s="147"/>
      <c r="CK1078" s="147"/>
    </row>
    <row r="1079" spans="1:89">
      <c r="A1079" s="157"/>
      <c r="F1079" s="3"/>
      <c r="G1079" s="3"/>
      <c r="L1079" s="157"/>
      <c r="M1079" s="157"/>
      <c r="O1079" s="147"/>
      <c r="P1079" s="147"/>
      <c r="Q1079" s="147"/>
      <c r="R1079" s="147"/>
      <c r="S1079" s="147"/>
      <c r="T1079" s="147"/>
      <c r="U1079" s="147"/>
      <c r="V1079" s="147"/>
      <c r="W1079" s="147"/>
      <c r="X1079" s="147"/>
      <c r="Y1079" s="147"/>
      <c r="Z1079" s="147"/>
      <c r="AA1079" s="147"/>
      <c r="AB1079" s="147"/>
      <c r="AC1079" s="147"/>
      <c r="AD1079" s="147"/>
      <c r="AE1079" s="147"/>
      <c r="AF1079" s="147"/>
      <c r="AG1079" s="147"/>
      <c r="AH1079" s="147"/>
      <c r="AI1079" s="147"/>
      <c r="AJ1079" s="147"/>
      <c r="AK1079" s="147"/>
      <c r="AL1079" s="147"/>
      <c r="AM1079" s="151"/>
      <c r="AN1079" s="147"/>
      <c r="AO1079" s="147"/>
      <c r="AP1079" s="147"/>
      <c r="AQ1079" s="147"/>
      <c r="AR1079" s="147"/>
      <c r="AS1079" s="147"/>
      <c r="AT1079" s="147"/>
      <c r="AU1079" s="147"/>
      <c r="AV1079" s="147"/>
      <c r="AW1079" s="147"/>
      <c r="AX1079" s="147"/>
      <c r="AY1079" s="147"/>
      <c r="AZ1079" s="147"/>
      <c r="BA1079" s="147"/>
      <c r="BB1079" s="147"/>
      <c r="BC1079" s="147"/>
      <c r="BD1079" s="147"/>
      <c r="BE1079" s="147"/>
      <c r="BF1079" s="147"/>
      <c r="BG1079" s="147"/>
      <c r="BH1079" s="147"/>
      <c r="BI1079" s="147"/>
      <c r="BJ1079" s="147"/>
      <c r="BK1079" s="147"/>
      <c r="BL1079" s="147"/>
      <c r="BM1079" s="147"/>
      <c r="BN1079" s="147"/>
      <c r="BO1079" s="147"/>
      <c r="BP1079" s="147"/>
      <c r="BQ1079" s="147"/>
      <c r="BR1079" s="147"/>
      <c r="BS1079" s="147"/>
      <c r="BT1079" s="147"/>
      <c r="BU1079" s="147"/>
      <c r="BV1079" s="147"/>
      <c r="BW1079" s="147"/>
      <c r="BX1079" s="147"/>
      <c r="BY1079" s="147"/>
      <c r="BZ1079" s="147"/>
      <c r="CA1079" s="147"/>
      <c r="CB1079" s="147"/>
      <c r="CC1079" s="147"/>
      <c r="CD1079" s="147"/>
      <c r="CE1079" s="147"/>
      <c r="CF1079" s="147"/>
      <c r="CG1079" s="147"/>
      <c r="CH1079" s="147"/>
      <c r="CI1079" s="147"/>
      <c r="CJ1079" s="147"/>
      <c r="CK1079" s="147"/>
    </row>
    <row r="1080" spans="1:89">
      <c r="A1080" s="157"/>
      <c r="F1080" s="3"/>
      <c r="G1080" s="3"/>
      <c r="L1080" s="157"/>
      <c r="M1080" s="157"/>
      <c r="O1080" s="147"/>
      <c r="P1080" s="147"/>
      <c r="Q1080" s="147"/>
      <c r="R1080" s="147"/>
      <c r="S1080" s="147"/>
      <c r="T1080" s="147"/>
      <c r="U1080" s="147"/>
      <c r="V1080" s="147"/>
      <c r="W1080" s="147"/>
      <c r="X1080" s="147"/>
      <c r="Y1080" s="147"/>
      <c r="Z1080" s="147"/>
      <c r="AA1080" s="147"/>
      <c r="AB1080" s="147"/>
      <c r="AC1080" s="147"/>
      <c r="AD1080" s="147"/>
      <c r="AE1080" s="147"/>
      <c r="AF1080" s="147"/>
      <c r="AG1080" s="147"/>
      <c r="AH1080" s="147"/>
      <c r="AI1080" s="147"/>
      <c r="AJ1080" s="147"/>
      <c r="AK1080" s="147"/>
      <c r="AL1080" s="147"/>
      <c r="AM1080" s="151"/>
      <c r="AN1080" s="147"/>
      <c r="AO1080" s="147"/>
      <c r="AP1080" s="147"/>
      <c r="AQ1080" s="147"/>
      <c r="AR1080" s="147"/>
      <c r="AS1080" s="147"/>
      <c r="AT1080" s="147"/>
      <c r="AU1080" s="147"/>
      <c r="AV1080" s="147"/>
      <c r="AW1080" s="147"/>
      <c r="AX1080" s="147"/>
      <c r="AY1080" s="147"/>
      <c r="AZ1080" s="147"/>
      <c r="BA1080" s="147"/>
      <c r="BB1080" s="147"/>
      <c r="BC1080" s="147"/>
      <c r="BD1080" s="147"/>
      <c r="BE1080" s="147"/>
      <c r="BF1080" s="147"/>
      <c r="BG1080" s="147"/>
      <c r="BH1080" s="147"/>
      <c r="BI1080" s="147"/>
      <c r="BJ1080" s="147"/>
      <c r="BK1080" s="147"/>
      <c r="BL1080" s="147"/>
      <c r="BM1080" s="147"/>
      <c r="BN1080" s="147"/>
      <c r="BO1080" s="147"/>
      <c r="BP1080" s="147"/>
      <c r="BQ1080" s="147"/>
      <c r="BR1080" s="147"/>
      <c r="BS1080" s="147"/>
      <c r="BT1080" s="147"/>
      <c r="BU1080" s="147"/>
      <c r="BV1080" s="147"/>
      <c r="BW1080" s="147"/>
      <c r="BX1080" s="147"/>
      <c r="BY1080" s="147"/>
      <c r="BZ1080" s="147"/>
      <c r="CA1080" s="147"/>
      <c r="CB1080" s="147"/>
      <c r="CC1080" s="147"/>
      <c r="CD1080" s="147"/>
      <c r="CE1080" s="147"/>
      <c r="CF1080" s="147"/>
      <c r="CG1080" s="147"/>
      <c r="CH1080" s="147"/>
      <c r="CI1080" s="147"/>
      <c r="CJ1080" s="147"/>
      <c r="CK1080" s="147"/>
    </row>
    <row r="1081" spans="1:89">
      <c r="A1081" s="157"/>
      <c r="F1081" s="3"/>
      <c r="G1081" s="3"/>
      <c r="L1081" s="157"/>
      <c r="M1081" s="157"/>
      <c r="O1081" s="147"/>
      <c r="P1081" s="147"/>
      <c r="Q1081" s="147"/>
      <c r="R1081" s="147"/>
      <c r="S1081" s="147"/>
      <c r="T1081" s="147"/>
      <c r="U1081" s="147"/>
      <c r="V1081" s="147"/>
      <c r="W1081" s="147"/>
      <c r="X1081" s="147"/>
      <c r="Y1081" s="147"/>
      <c r="Z1081" s="147"/>
      <c r="AA1081" s="147"/>
      <c r="AB1081" s="147"/>
      <c r="AC1081" s="147"/>
      <c r="AD1081" s="147"/>
      <c r="AE1081" s="147"/>
      <c r="AF1081" s="147"/>
      <c r="AG1081" s="147"/>
      <c r="AH1081" s="147"/>
      <c r="AI1081" s="147"/>
      <c r="AJ1081" s="147"/>
      <c r="AK1081" s="147"/>
      <c r="AL1081" s="147"/>
      <c r="AM1081" s="151"/>
      <c r="AN1081" s="147"/>
      <c r="AO1081" s="147"/>
      <c r="AP1081" s="147"/>
      <c r="AQ1081" s="147"/>
      <c r="AR1081" s="147"/>
      <c r="AS1081" s="147"/>
      <c r="AT1081" s="147"/>
      <c r="AU1081" s="147"/>
      <c r="AV1081" s="147"/>
      <c r="AW1081" s="147"/>
      <c r="AX1081" s="147"/>
      <c r="AY1081" s="147"/>
      <c r="AZ1081" s="147"/>
      <c r="BA1081" s="147"/>
      <c r="BB1081" s="147"/>
      <c r="BC1081" s="147"/>
      <c r="BD1081" s="147"/>
      <c r="BE1081" s="147"/>
      <c r="BF1081" s="147"/>
      <c r="BG1081" s="147"/>
      <c r="BH1081" s="147"/>
      <c r="BI1081" s="147"/>
      <c r="BJ1081" s="147"/>
      <c r="BK1081" s="147"/>
      <c r="BL1081" s="147"/>
      <c r="BM1081" s="147"/>
      <c r="BN1081" s="147"/>
      <c r="BO1081" s="147"/>
      <c r="BP1081" s="147"/>
      <c r="BQ1081" s="147"/>
      <c r="BR1081" s="147"/>
      <c r="BS1081" s="147"/>
      <c r="BT1081" s="147"/>
      <c r="BU1081" s="147"/>
      <c r="BV1081" s="147"/>
      <c r="BW1081" s="147"/>
      <c r="BX1081" s="147"/>
      <c r="BY1081" s="147"/>
      <c r="BZ1081" s="147"/>
      <c r="CA1081" s="147"/>
      <c r="CB1081" s="147"/>
      <c r="CC1081" s="147"/>
      <c r="CD1081" s="147"/>
      <c r="CE1081" s="147"/>
      <c r="CF1081" s="147"/>
      <c r="CG1081" s="147"/>
      <c r="CH1081" s="147"/>
      <c r="CI1081" s="147"/>
      <c r="CJ1081" s="147"/>
      <c r="CK1081" s="147"/>
    </row>
    <row r="1082" spans="1:89">
      <c r="A1082" s="157"/>
      <c r="F1082" s="3"/>
      <c r="G1082" s="3"/>
      <c r="L1082" s="157"/>
      <c r="M1082" s="157"/>
      <c r="O1082" s="147"/>
      <c r="P1082" s="147"/>
      <c r="Q1082" s="147"/>
      <c r="R1082" s="147"/>
      <c r="S1082" s="147"/>
      <c r="T1082" s="147"/>
      <c r="U1082" s="147"/>
      <c r="V1082" s="147"/>
      <c r="W1082" s="147"/>
      <c r="X1082" s="147"/>
      <c r="Y1082" s="147"/>
      <c r="Z1082" s="147"/>
      <c r="AA1082" s="147"/>
      <c r="AB1082" s="147"/>
      <c r="AC1082" s="147"/>
      <c r="AD1082" s="147"/>
      <c r="AE1082" s="147"/>
      <c r="AF1082" s="147"/>
      <c r="AG1082" s="147"/>
      <c r="AH1082" s="147"/>
      <c r="AI1082" s="147"/>
      <c r="AJ1082" s="147"/>
      <c r="AK1082" s="147"/>
      <c r="AL1082" s="147"/>
      <c r="AM1082" s="151"/>
      <c r="AN1082" s="147"/>
      <c r="AO1082" s="147"/>
      <c r="AP1082" s="147"/>
      <c r="AQ1082" s="147"/>
      <c r="AR1082" s="147"/>
      <c r="AS1082" s="147"/>
      <c r="AT1082" s="147"/>
      <c r="AU1082" s="147"/>
      <c r="AV1082" s="147"/>
      <c r="AW1082" s="147"/>
      <c r="AX1082" s="147"/>
      <c r="AY1082" s="147"/>
      <c r="AZ1082" s="147"/>
      <c r="BA1082" s="147"/>
      <c r="BB1082" s="147"/>
      <c r="BC1082" s="147"/>
      <c r="BD1082" s="147"/>
      <c r="BE1082" s="147"/>
      <c r="BF1082" s="147"/>
      <c r="BG1082" s="147"/>
      <c r="BH1082" s="147"/>
      <c r="BI1082" s="147"/>
      <c r="BJ1082" s="147"/>
      <c r="BK1082" s="147"/>
      <c r="BL1082" s="147"/>
      <c r="BM1082" s="147"/>
      <c r="BN1082" s="147"/>
      <c r="BO1082" s="147"/>
      <c r="BP1082" s="147"/>
      <c r="BQ1082" s="147"/>
      <c r="BR1082" s="147"/>
      <c r="BS1082" s="147"/>
      <c r="BT1082" s="147"/>
      <c r="BU1082" s="147"/>
      <c r="BV1082" s="147"/>
      <c r="BW1082" s="147"/>
      <c r="BX1082" s="147"/>
      <c r="BY1082" s="147"/>
      <c r="BZ1082" s="147"/>
      <c r="CA1082" s="147"/>
      <c r="CB1082" s="147"/>
      <c r="CC1082" s="147"/>
      <c r="CD1082" s="147"/>
      <c r="CE1082" s="147"/>
      <c r="CF1082" s="147"/>
      <c r="CG1082" s="147"/>
      <c r="CH1082" s="147"/>
      <c r="CI1082" s="147"/>
      <c r="CJ1082" s="147"/>
      <c r="CK1082" s="147"/>
    </row>
    <row r="1083" spans="1:89">
      <c r="A1083" s="157"/>
      <c r="F1083" s="3"/>
      <c r="G1083" s="3"/>
      <c r="L1083" s="157"/>
      <c r="M1083" s="157"/>
      <c r="O1083" s="147"/>
      <c r="P1083" s="147"/>
      <c r="Q1083" s="147"/>
      <c r="R1083" s="147"/>
      <c r="S1083" s="147"/>
      <c r="T1083" s="147"/>
      <c r="U1083" s="147"/>
      <c r="V1083" s="147"/>
      <c r="W1083" s="147"/>
      <c r="X1083" s="147"/>
      <c r="Y1083" s="147"/>
      <c r="Z1083" s="147"/>
      <c r="AA1083" s="147"/>
      <c r="AB1083" s="147"/>
      <c r="AC1083" s="147"/>
      <c r="AD1083" s="147"/>
      <c r="AE1083" s="147"/>
      <c r="AF1083" s="147"/>
      <c r="AG1083" s="147"/>
      <c r="AH1083" s="147"/>
      <c r="AI1083" s="147"/>
      <c r="AJ1083" s="147"/>
      <c r="AK1083" s="147"/>
      <c r="AL1083" s="147"/>
      <c r="AM1083" s="151"/>
      <c r="AN1083" s="147"/>
      <c r="AO1083" s="147"/>
      <c r="AP1083" s="147"/>
      <c r="AQ1083" s="147"/>
      <c r="AR1083" s="147"/>
      <c r="AS1083" s="147"/>
      <c r="AT1083" s="147"/>
      <c r="AU1083" s="147"/>
      <c r="AV1083" s="147"/>
      <c r="AW1083" s="147"/>
      <c r="AX1083" s="147"/>
      <c r="AY1083" s="147"/>
      <c r="AZ1083" s="147"/>
      <c r="BA1083" s="147"/>
      <c r="BB1083" s="147"/>
      <c r="BC1083" s="147"/>
      <c r="BD1083" s="147"/>
      <c r="BE1083" s="147"/>
      <c r="BF1083" s="147"/>
      <c r="BG1083" s="147"/>
      <c r="BH1083" s="147"/>
      <c r="BI1083" s="147"/>
      <c r="BJ1083" s="147"/>
      <c r="BK1083" s="147"/>
      <c r="BL1083" s="147"/>
      <c r="BM1083" s="147"/>
      <c r="BN1083" s="147"/>
      <c r="BO1083" s="147"/>
      <c r="BP1083" s="147"/>
      <c r="BQ1083" s="147"/>
      <c r="BR1083" s="147"/>
      <c r="BS1083" s="147"/>
      <c r="BT1083" s="147"/>
      <c r="BU1083" s="147"/>
      <c r="BV1083" s="147"/>
      <c r="BW1083" s="147"/>
      <c r="BX1083" s="147"/>
      <c r="BY1083" s="147"/>
      <c r="BZ1083" s="147"/>
      <c r="CA1083" s="147"/>
      <c r="CB1083" s="147"/>
      <c r="CC1083" s="147"/>
      <c r="CD1083" s="147"/>
      <c r="CE1083" s="147"/>
      <c r="CF1083" s="147"/>
      <c r="CG1083" s="147"/>
      <c r="CH1083" s="147"/>
      <c r="CI1083" s="147"/>
      <c r="CJ1083" s="147"/>
      <c r="CK1083" s="147"/>
    </row>
    <row r="1084" spans="1:89">
      <c r="A1084" s="157"/>
      <c r="F1084" s="3"/>
      <c r="G1084" s="3"/>
      <c r="L1084" s="157"/>
      <c r="M1084" s="157"/>
      <c r="O1084" s="147"/>
      <c r="P1084" s="147"/>
      <c r="Q1084" s="147"/>
      <c r="R1084" s="147"/>
      <c r="S1084" s="147"/>
      <c r="T1084" s="147"/>
      <c r="U1084" s="147"/>
      <c r="V1084" s="147"/>
      <c r="W1084" s="147"/>
      <c r="X1084" s="147"/>
      <c r="Y1084" s="147"/>
      <c r="Z1084" s="147"/>
      <c r="AA1084" s="147"/>
      <c r="AB1084" s="147"/>
      <c r="AC1084" s="147"/>
      <c r="AD1084" s="147"/>
      <c r="AE1084" s="147"/>
      <c r="AF1084" s="147"/>
      <c r="AG1084" s="147"/>
      <c r="AH1084" s="147"/>
      <c r="AI1084" s="147"/>
      <c r="AJ1084" s="147"/>
      <c r="AK1084" s="147"/>
      <c r="AL1084" s="147"/>
      <c r="AM1084" s="151"/>
      <c r="AN1084" s="147"/>
      <c r="AO1084" s="147"/>
      <c r="AP1084" s="147"/>
      <c r="AQ1084" s="147"/>
      <c r="AR1084" s="147"/>
      <c r="AS1084" s="147"/>
      <c r="AT1084" s="147"/>
      <c r="AU1084" s="147"/>
      <c r="AV1084" s="147"/>
      <c r="AW1084" s="147"/>
      <c r="AX1084" s="147"/>
      <c r="AY1084" s="147"/>
      <c r="AZ1084" s="147"/>
      <c r="BA1084" s="147"/>
      <c r="BB1084" s="147"/>
      <c r="BC1084" s="147"/>
      <c r="BD1084" s="147"/>
      <c r="BE1084" s="147"/>
      <c r="BF1084" s="147"/>
      <c r="BG1084" s="147"/>
      <c r="BH1084" s="147"/>
      <c r="BI1084" s="147"/>
      <c r="BJ1084" s="147"/>
      <c r="BK1084" s="147"/>
      <c r="BL1084" s="147"/>
      <c r="BM1084" s="147"/>
      <c r="BN1084" s="147"/>
      <c r="BO1084" s="147"/>
      <c r="BP1084" s="147"/>
      <c r="BQ1084" s="147"/>
      <c r="BR1084" s="147"/>
      <c r="BS1084" s="147"/>
      <c r="BT1084" s="147"/>
      <c r="BU1084" s="147"/>
      <c r="BV1084" s="147"/>
      <c r="BW1084" s="147"/>
      <c r="BX1084" s="147"/>
      <c r="BY1084" s="147"/>
      <c r="BZ1084" s="147"/>
      <c r="CA1084" s="147"/>
      <c r="CB1084" s="147"/>
      <c r="CC1084" s="147"/>
      <c r="CD1084" s="147"/>
      <c r="CE1084" s="147"/>
      <c r="CF1084" s="147"/>
      <c r="CG1084" s="147"/>
      <c r="CH1084" s="147"/>
      <c r="CI1084" s="147"/>
      <c r="CJ1084" s="147"/>
      <c r="CK1084" s="147"/>
    </row>
    <row r="1085" spans="1:89">
      <c r="A1085" s="157"/>
      <c r="F1085" s="3"/>
      <c r="G1085" s="3"/>
      <c r="L1085" s="157"/>
      <c r="M1085" s="157"/>
      <c r="O1085" s="147"/>
      <c r="P1085" s="147"/>
      <c r="Q1085" s="147"/>
      <c r="R1085" s="147"/>
      <c r="S1085" s="147"/>
      <c r="T1085" s="147"/>
      <c r="U1085" s="147"/>
      <c r="V1085" s="147"/>
      <c r="W1085" s="147"/>
      <c r="X1085" s="147"/>
      <c r="Y1085" s="147"/>
      <c r="Z1085" s="147"/>
      <c r="AA1085" s="147"/>
      <c r="AB1085" s="147"/>
      <c r="AC1085" s="147"/>
      <c r="AD1085" s="147"/>
      <c r="AE1085" s="147"/>
      <c r="AF1085" s="147"/>
      <c r="AG1085" s="147"/>
      <c r="AH1085" s="147"/>
      <c r="AI1085" s="147"/>
      <c r="AJ1085" s="147"/>
      <c r="AK1085" s="147"/>
      <c r="AL1085" s="147"/>
      <c r="AM1085" s="151"/>
      <c r="AN1085" s="147"/>
      <c r="AO1085" s="147"/>
      <c r="AP1085" s="147"/>
      <c r="AQ1085" s="147"/>
      <c r="AR1085" s="147"/>
      <c r="AS1085" s="147"/>
      <c r="AT1085" s="147"/>
      <c r="AU1085" s="147"/>
      <c r="AV1085" s="147"/>
      <c r="AW1085" s="147"/>
      <c r="AX1085" s="147"/>
      <c r="AY1085" s="147"/>
      <c r="AZ1085" s="147"/>
      <c r="BA1085" s="147"/>
      <c r="BB1085" s="147"/>
      <c r="BC1085" s="147"/>
      <c r="BD1085" s="147"/>
      <c r="BE1085" s="147"/>
      <c r="BF1085" s="147"/>
      <c r="BG1085" s="147"/>
      <c r="BH1085" s="147"/>
      <c r="BI1085" s="147"/>
      <c r="BJ1085" s="147"/>
      <c r="BK1085" s="147"/>
      <c r="BL1085" s="147"/>
      <c r="BM1085" s="147"/>
      <c r="BN1085" s="147"/>
      <c r="BO1085" s="147"/>
      <c r="BP1085" s="147"/>
      <c r="BQ1085" s="147"/>
      <c r="BR1085" s="147"/>
      <c r="BS1085" s="147"/>
      <c r="BT1085" s="147"/>
      <c r="BU1085" s="147"/>
      <c r="BV1085" s="147"/>
      <c r="BW1085" s="147"/>
      <c r="BX1085" s="147"/>
      <c r="BY1085" s="147"/>
      <c r="BZ1085" s="147"/>
      <c r="CA1085" s="147"/>
      <c r="CB1085" s="147"/>
      <c r="CC1085" s="147"/>
      <c r="CD1085" s="147"/>
      <c r="CE1085" s="147"/>
      <c r="CF1085" s="147"/>
      <c r="CG1085" s="147"/>
      <c r="CH1085" s="147"/>
      <c r="CI1085" s="147"/>
      <c r="CJ1085" s="147"/>
      <c r="CK1085" s="147"/>
    </row>
    <row r="1086" spans="1:89">
      <c r="A1086" s="157"/>
      <c r="F1086" s="3"/>
      <c r="G1086" s="3"/>
      <c r="L1086" s="157"/>
      <c r="M1086" s="157"/>
      <c r="O1086" s="147"/>
      <c r="P1086" s="147"/>
      <c r="Q1086" s="147"/>
      <c r="R1086" s="147"/>
      <c r="S1086" s="147"/>
      <c r="T1086" s="147"/>
      <c r="U1086" s="147"/>
      <c r="V1086" s="147"/>
      <c r="W1086" s="147"/>
      <c r="X1086" s="147"/>
      <c r="Y1086" s="147"/>
      <c r="Z1086" s="147"/>
      <c r="AA1086" s="147"/>
      <c r="AB1086" s="147"/>
      <c r="AC1086" s="147"/>
      <c r="AD1086" s="147"/>
      <c r="AE1086" s="147"/>
      <c r="AF1086" s="147"/>
      <c r="AG1086" s="147"/>
      <c r="AH1086" s="147"/>
      <c r="AI1086" s="147"/>
      <c r="AJ1086" s="147"/>
      <c r="AK1086" s="147"/>
      <c r="AL1086" s="147"/>
      <c r="AM1086" s="151"/>
      <c r="AN1086" s="147"/>
      <c r="AO1086" s="147"/>
      <c r="AP1086" s="147"/>
      <c r="AQ1086" s="147"/>
      <c r="AR1086" s="147"/>
      <c r="AS1086" s="147"/>
      <c r="AT1086" s="147"/>
      <c r="AU1086" s="147"/>
      <c r="AV1086" s="147"/>
      <c r="AW1086" s="147"/>
      <c r="AX1086" s="147"/>
      <c r="AY1086" s="147"/>
      <c r="AZ1086" s="147"/>
      <c r="BA1086" s="147"/>
      <c r="BB1086" s="147"/>
      <c r="BC1086" s="147"/>
      <c r="BD1086" s="147"/>
      <c r="BE1086" s="147"/>
      <c r="BF1086" s="147"/>
      <c r="BG1086" s="147"/>
      <c r="BH1086" s="147"/>
      <c r="BI1086" s="147"/>
      <c r="BJ1086" s="147"/>
      <c r="BK1086" s="147"/>
      <c r="BL1086" s="147"/>
      <c r="BM1086" s="147"/>
      <c r="BN1086" s="147"/>
      <c r="BO1086" s="147"/>
      <c r="BP1086" s="147"/>
      <c r="BQ1086" s="147"/>
      <c r="BR1086" s="147"/>
      <c r="BS1086" s="147"/>
      <c r="BT1086" s="147"/>
      <c r="BU1086" s="147"/>
      <c r="BV1086" s="147"/>
      <c r="BW1086" s="147"/>
      <c r="BX1086" s="147"/>
      <c r="BY1086" s="147"/>
      <c r="BZ1086" s="147"/>
      <c r="CA1086" s="147"/>
      <c r="CB1086" s="147"/>
      <c r="CC1086" s="147"/>
      <c r="CD1086" s="147"/>
      <c r="CE1086" s="147"/>
      <c r="CF1086" s="147"/>
      <c r="CG1086" s="147"/>
      <c r="CH1086" s="147"/>
      <c r="CI1086" s="147"/>
      <c r="CJ1086" s="147"/>
      <c r="CK1086" s="147"/>
    </row>
    <row r="1087" spans="1:89">
      <c r="A1087" s="157"/>
      <c r="F1087" s="3"/>
      <c r="G1087" s="3"/>
      <c r="L1087" s="157"/>
      <c r="M1087" s="157"/>
      <c r="O1087" s="147"/>
      <c r="P1087" s="147"/>
      <c r="Q1087" s="147"/>
      <c r="R1087" s="147"/>
      <c r="S1087" s="147"/>
      <c r="T1087" s="147"/>
      <c r="U1087" s="147"/>
      <c r="V1087" s="147"/>
      <c r="W1087" s="147"/>
      <c r="X1087" s="147"/>
      <c r="Y1087" s="147"/>
      <c r="Z1087" s="147"/>
      <c r="AA1087" s="147"/>
      <c r="AB1087" s="147"/>
      <c r="AC1087" s="147"/>
      <c r="AD1087" s="147"/>
      <c r="AE1087" s="147"/>
      <c r="AF1087" s="147"/>
      <c r="AG1087" s="147"/>
      <c r="AH1087" s="147"/>
      <c r="AI1087" s="147"/>
      <c r="AJ1087" s="147"/>
      <c r="AK1087" s="147"/>
      <c r="AL1087" s="147"/>
      <c r="AM1087" s="151"/>
      <c r="AN1087" s="147"/>
      <c r="AO1087" s="147"/>
      <c r="AP1087" s="147"/>
      <c r="AQ1087" s="147"/>
      <c r="AR1087" s="147"/>
      <c r="AS1087" s="147"/>
      <c r="AT1087" s="147"/>
      <c r="AU1087" s="147"/>
      <c r="AV1087" s="147"/>
      <c r="AW1087" s="147"/>
      <c r="AX1087" s="147"/>
      <c r="AY1087" s="147"/>
      <c r="AZ1087" s="147"/>
      <c r="BA1087" s="147"/>
      <c r="BB1087" s="147"/>
      <c r="BC1087" s="147"/>
      <c r="BD1087" s="147"/>
      <c r="BE1087" s="147"/>
      <c r="BF1087" s="147"/>
      <c r="BG1087" s="147"/>
      <c r="BH1087" s="147"/>
      <c r="BI1087" s="147"/>
      <c r="BJ1087" s="147"/>
      <c r="BK1087" s="147"/>
      <c r="BL1087" s="147"/>
      <c r="BM1087" s="147"/>
      <c r="BN1087" s="147"/>
      <c r="BO1087" s="147"/>
      <c r="BP1087" s="147"/>
      <c r="BQ1087" s="147"/>
      <c r="BR1087" s="147"/>
      <c r="BS1087" s="147"/>
      <c r="BT1087" s="147"/>
      <c r="BU1087" s="147"/>
      <c r="BV1087" s="147"/>
      <c r="BW1087" s="147"/>
      <c r="BX1087" s="147"/>
      <c r="BY1087" s="147"/>
      <c r="BZ1087" s="147"/>
      <c r="CA1087" s="147"/>
      <c r="CB1087" s="147"/>
      <c r="CC1087" s="147"/>
      <c r="CD1087" s="147"/>
      <c r="CE1087" s="147"/>
      <c r="CF1087" s="147"/>
      <c r="CG1087" s="147"/>
      <c r="CH1087" s="147"/>
      <c r="CI1087" s="147"/>
      <c r="CJ1087" s="147"/>
      <c r="CK1087" s="147"/>
    </row>
    <row r="1088" spans="1:89">
      <c r="A1088" s="157"/>
      <c r="F1088" s="3"/>
      <c r="G1088" s="3"/>
      <c r="L1088" s="157"/>
      <c r="M1088" s="157"/>
      <c r="O1088" s="147"/>
      <c r="P1088" s="147"/>
      <c r="Q1088" s="147"/>
      <c r="R1088" s="147"/>
      <c r="S1088" s="147"/>
      <c r="T1088" s="147"/>
      <c r="U1088" s="147"/>
      <c r="V1088" s="147"/>
      <c r="W1088" s="147"/>
      <c r="X1088" s="147"/>
      <c r="Y1088" s="147"/>
      <c r="Z1088" s="147"/>
      <c r="AA1088" s="147"/>
      <c r="AB1088" s="147"/>
      <c r="AC1088" s="147"/>
      <c r="AD1088" s="147"/>
      <c r="AE1088" s="147"/>
      <c r="AF1088" s="147"/>
      <c r="AG1088" s="147"/>
      <c r="AH1088" s="147"/>
      <c r="AI1088" s="147"/>
      <c r="AJ1088" s="147"/>
      <c r="AK1088" s="147"/>
      <c r="AL1088" s="147"/>
      <c r="AM1088" s="151"/>
      <c r="AN1088" s="147"/>
      <c r="AO1088" s="147"/>
      <c r="AP1088" s="147"/>
      <c r="AQ1088" s="147"/>
      <c r="AR1088" s="147"/>
      <c r="AS1088" s="147"/>
      <c r="AT1088" s="147"/>
      <c r="AU1088" s="147"/>
      <c r="AV1088" s="147"/>
      <c r="AW1088" s="147"/>
      <c r="AX1088" s="147"/>
      <c r="AY1088" s="147"/>
      <c r="AZ1088" s="147"/>
      <c r="BA1088" s="147"/>
      <c r="BB1088" s="147"/>
      <c r="BC1088" s="147"/>
      <c r="BD1088" s="147"/>
      <c r="BE1088" s="147"/>
      <c r="BF1088" s="147"/>
      <c r="BG1088" s="147"/>
      <c r="BH1088" s="147"/>
      <c r="BI1088" s="147"/>
      <c r="BJ1088" s="147"/>
      <c r="BK1088" s="147"/>
      <c r="BL1088" s="147"/>
      <c r="BM1088" s="147"/>
      <c r="BN1088" s="147"/>
      <c r="BO1088" s="147"/>
      <c r="BP1088" s="147"/>
      <c r="BQ1088" s="147"/>
      <c r="BR1088" s="147"/>
      <c r="BS1088" s="147"/>
      <c r="BT1088" s="147"/>
      <c r="BU1088" s="147"/>
      <c r="BV1088" s="147"/>
      <c r="BW1088" s="147"/>
      <c r="BX1088" s="147"/>
      <c r="BY1088" s="147"/>
      <c r="BZ1088" s="147"/>
      <c r="CA1088" s="147"/>
      <c r="CB1088" s="147"/>
      <c r="CC1088" s="147"/>
      <c r="CD1088" s="147"/>
      <c r="CE1088" s="147"/>
      <c r="CF1088" s="147"/>
      <c r="CG1088" s="147"/>
      <c r="CH1088" s="147"/>
      <c r="CI1088" s="147"/>
      <c r="CJ1088" s="147"/>
      <c r="CK1088" s="147"/>
    </row>
    <row r="1089" spans="1:89">
      <c r="A1089" s="157"/>
      <c r="F1089" s="3"/>
      <c r="G1089" s="3"/>
      <c r="L1089" s="157"/>
      <c r="M1089" s="157"/>
      <c r="O1089" s="147"/>
      <c r="P1089" s="147"/>
      <c r="Q1089" s="147"/>
      <c r="R1089" s="147"/>
      <c r="S1089" s="147"/>
      <c r="T1089" s="147"/>
      <c r="U1089" s="147"/>
      <c r="V1089" s="147"/>
      <c r="W1089" s="147"/>
      <c r="X1089" s="147"/>
      <c r="Y1089" s="147"/>
      <c r="Z1089" s="147"/>
      <c r="AA1089" s="147"/>
      <c r="AB1089" s="147"/>
      <c r="AC1089" s="147"/>
      <c r="AD1089" s="147"/>
      <c r="AE1089" s="147"/>
      <c r="AF1089" s="147"/>
      <c r="AG1089" s="147"/>
      <c r="AH1089" s="147"/>
      <c r="AI1089" s="147"/>
      <c r="AJ1089" s="147"/>
      <c r="AK1089" s="147"/>
      <c r="AL1089" s="147"/>
      <c r="AM1089" s="151"/>
      <c r="AN1089" s="147"/>
      <c r="AO1089" s="147"/>
      <c r="AP1089" s="147"/>
      <c r="AQ1089" s="147"/>
      <c r="AR1089" s="147"/>
      <c r="AS1089" s="147"/>
      <c r="AT1089" s="147"/>
      <c r="AU1089" s="147"/>
      <c r="AV1089" s="147"/>
      <c r="AW1089" s="147"/>
      <c r="AX1089" s="147"/>
      <c r="AY1089" s="147"/>
      <c r="AZ1089" s="147"/>
      <c r="BA1089" s="147"/>
      <c r="BB1089" s="147"/>
      <c r="BC1089" s="147"/>
      <c r="BD1089" s="147"/>
      <c r="BE1089" s="147"/>
      <c r="BF1089" s="147"/>
      <c r="BG1089" s="147"/>
      <c r="BH1089" s="147"/>
      <c r="BI1089" s="147"/>
      <c r="BJ1089" s="147"/>
      <c r="BK1089" s="147"/>
      <c r="BL1089" s="147"/>
      <c r="BM1089" s="147"/>
      <c r="BN1089" s="147"/>
      <c r="BO1089" s="147"/>
      <c r="BP1089" s="147"/>
      <c r="BQ1089" s="147"/>
      <c r="BR1089" s="147"/>
      <c r="BS1089" s="147"/>
      <c r="BT1089" s="147"/>
      <c r="BU1089" s="147"/>
      <c r="BV1089" s="147"/>
      <c r="BW1089" s="147"/>
      <c r="BX1089" s="147"/>
      <c r="BY1089" s="147"/>
      <c r="BZ1089" s="147"/>
      <c r="CA1089" s="147"/>
      <c r="CB1089" s="147"/>
      <c r="CC1089" s="147"/>
      <c r="CD1089" s="147"/>
      <c r="CE1089" s="147"/>
      <c r="CF1089" s="147"/>
      <c r="CG1089" s="147"/>
      <c r="CH1089" s="147"/>
      <c r="CI1089" s="147"/>
      <c r="CJ1089" s="147"/>
      <c r="CK1089" s="147"/>
    </row>
    <row r="1090" spans="1:89">
      <c r="A1090" s="157"/>
      <c r="F1090" s="3"/>
      <c r="G1090" s="3"/>
      <c r="L1090" s="157"/>
      <c r="M1090" s="157"/>
      <c r="O1090" s="147"/>
      <c r="P1090" s="147"/>
      <c r="Q1090" s="147"/>
      <c r="R1090" s="147"/>
      <c r="S1090" s="147"/>
      <c r="T1090" s="147"/>
      <c r="U1090" s="147"/>
      <c r="V1090" s="147"/>
      <c r="W1090" s="147"/>
      <c r="X1090" s="147"/>
      <c r="Y1090" s="147"/>
      <c r="Z1090" s="147"/>
      <c r="AA1090" s="147"/>
      <c r="AB1090" s="147"/>
      <c r="AC1090" s="147"/>
      <c r="AD1090" s="147"/>
      <c r="AE1090" s="147"/>
      <c r="AF1090" s="147"/>
      <c r="AG1090" s="147"/>
      <c r="AH1090" s="147"/>
      <c r="AI1090" s="147"/>
      <c r="AJ1090" s="147"/>
      <c r="AK1090" s="147"/>
      <c r="AL1090" s="147"/>
      <c r="AM1090" s="151"/>
      <c r="AN1090" s="147"/>
      <c r="AO1090" s="147"/>
      <c r="AP1090" s="147"/>
      <c r="AQ1090" s="147"/>
      <c r="AR1090" s="147"/>
      <c r="AS1090" s="147"/>
      <c r="AT1090" s="147"/>
      <c r="AU1090" s="147"/>
      <c r="AV1090" s="147"/>
      <c r="AW1090" s="147"/>
      <c r="AX1090" s="147"/>
      <c r="AY1090" s="147"/>
      <c r="AZ1090" s="147"/>
      <c r="BA1090" s="147"/>
      <c r="BB1090" s="147"/>
      <c r="BC1090" s="147"/>
      <c r="BD1090" s="147"/>
      <c r="BE1090" s="147"/>
      <c r="BF1090" s="147"/>
      <c r="BG1090" s="147"/>
      <c r="BH1090" s="147"/>
      <c r="BI1090" s="147"/>
      <c r="BJ1090" s="147"/>
      <c r="BK1090" s="147"/>
      <c r="BL1090" s="147"/>
      <c r="BM1090" s="147"/>
      <c r="BN1090" s="147"/>
      <c r="BO1090" s="147"/>
      <c r="BP1090" s="147"/>
      <c r="BQ1090" s="147"/>
      <c r="BR1090" s="147"/>
      <c r="BS1090" s="147"/>
      <c r="BT1090" s="147"/>
      <c r="BU1090" s="147"/>
      <c r="BV1090" s="147"/>
      <c r="BW1090" s="147"/>
      <c r="BX1090" s="147"/>
      <c r="BY1090" s="147"/>
      <c r="BZ1090" s="147"/>
      <c r="CA1090" s="147"/>
      <c r="CB1090" s="147"/>
      <c r="CC1090" s="147"/>
      <c r="CD1090" s="147"/>
      <c r="CE1090" s="147"/>
      <c r="CF1090" s="147"/>
      <c r="CG1090" s="147"/>
      <c r="CH1090" s="147"/>
      <c r="CI1090" s="147"/>
      <c r="CJ1090" s="147"/>
      <c r="CK1090" s="147"/>
    </row>
    <row r="1091" spans="1:89">
      <c r="A1091" s="157"/>
      <c r="F1091" s="3"/>
      <c r="G1091" s="3"/>
      <c r="L1091" s="157"/>
      <c r="M1091" s="157"/>
      <c r="O1091" s="147"/>
      <c r="P1091" s="147"/>
      <c r="Q1091" s="147"/>
      <c r="R1091" s="147"/>
      <c r="S1091" s="147"/>
      <c r="T1091" s="147"/>
      <c r="U1091" s="147"/>
      <c r="V1091" s="147"/>
      <c r="W1091" s="147"/>
      <c r="X1091" s="147"/>
      <c r="Y1091" s="147"/>
      <c r="Z1091" s="147"/>
      <c r="AA1091" s="147"/>
      <c r="AB1091" s="147"/>
      <c r="AC1091" s="147"/>
      <c r="AD1091" s="147"/>
      <c r="AE1091" s="147"/>
      <c r="AF1091" s="147"/>
      <c r="AG1091" s="147"/>
      <c r="AH1091" s="147"/>
      <c r="AI1091" s="147"/>
      <c r="AJ1091" s="147"/>
      <c r="AK1091" s="147"/>
      <c r="AL1091" s="147"/>
      <c r="AM1091" s="151"/>
      <c r="AN1091" s="147"/>
      <c r="AO1091" s="147"/>
      <c r="AP1091" s="147"/>
      <c r="AQ1091" s="147"/>
      <c r="AR1091" s="147"/>
      <c r="AS1091" s="147"/>
      <c r="AT1091" s="147"/>
      <c r="AU1091" s="147"/>
      <c r="AV1091" s="147"/>
      <c r="AW1091" s="147"/>
      <c r="AX1091" s="147"/>
      <c r="AY1091" s="147"/>
      <c r="AZ1091" s="147"/>
      <c r="BA1091" s="147"/>
      <c r="BB1091" s="147"/>
      <c r="BC1091" s="147"/>
      <c r="BD1091" s="147"/>
      <c r="BE1091" s="147"/>
      <c r="BF1091" s="147"/>
      <c r="BG1091" s="147"/>
      <c r="BH1091" s="147"/>
      <c r="BI1091" s="147"/>
      <c r="BJ1091" s="147"/>
      <c r="BK1091" s="147"/>
      <c r="BL1091" s="147"/>
      <c r="BM1091" s="147"/>
      <c r="BN1091" s="147"/>
      <c r="BO1091" s="147"/>
      <c r="BP1091" s="147"/>
      <c r="BQ1091" s="147"/>
      <c r="BR1091" s="147"/>
      <c r="BS1091" s="147"/>
      <c r="BT1091" s="147"/>
      <c r="BU1091" s="147"/>
      <c r="BV1091" s="147"/>
      <c r="BW1091" s="147"/>
      <c r="BX1091" s="147"/>
      <c r="BY1091" s="147"/>
      <c r="BZ1091" s="147"/>
      <c r="CA1091" s="147"/>
      <c r="CB1091" s="147"/>
      <c r="CC1091" s="147"/>
      <c r="CD1091" s="147"/>
      <c r="CE1091" s="147"/>
      <c r="CF1091" s="147"/>
      <c r="CG1091" s="147"/>
      <c r="CH1091" s="147"/>
      <c r="CI1091" s="147"/>
      <c r="CJ1091" s="147"/>
      <c r="CK1091" s="147"/>
    </row>
    <row r="1092" spans="1:89">
      <c r="A1092" s="157"/>
      <c r="F1092" s="3"/>
      <c r="G1092" s="3"/>
      <c r="L1092" s="157"/>
      <c r="M1092" s="157"/>
      <c r="O1092" s="147"/>
      <c r="P1092" s="147"/>
      <c r="Q1092" s="147"/>
      <c r="R1092" s="147"/>
      <c r="S1092" s="147"/>
      <c r="T1092" s="147"/>
      <c r="U1092" s="147"/>
      <c r="V1092" s="147"/>
      <c r="W1092" s="147"/>
      <c r="X1092" s="147"/>
      <c r="Y1092" s="147"/>
      <c r="Z1092" s="147"/>
      <c r="AA1092" s="147"/>
      <c r="AB1092" s="147"/>
      <c r="AC1092" s="147"/>
      <c r="AD1092" s="147"/>
      <c r="AE1092" s="147"/>
      <c r="AF1092" s="147"/>
      <c r="AG1092" s="147"/>
      <c r="AH1092" s="147"/>
      <c r="AI1092" s="147"/>
      <c r="AJ1092" s="147"/>
      <c r="AK1092" s="147"/>
      <c r="AL1092" s="147"/>
      <c r="AM1092" s="151"/>
      <c r="AN1092" s="147"/>
      <c r="AO1092" s="147"/>
      <c r="AP1092" s="147"/>
      <c r="AQ1092" s="147"/>
      <c r="AR1092" s="147"/>
      <c r="AS1092" s="147"/>
      <c r="AT1092" s="147"/>
      <c r="AU1092" s="147"/>
      <c r="AV1092" s="147"/>
      <c r="AW1092" s="147"/>
      <c r="AX1092" s="147"/>
      <c r="AY1092" s="147"/>
      <c r="AZ1092" s="147"/>
      <c r="BA1092" s="147"/>
      <c r="BB1092" s="147"/>
      <c r="BC1092" s="147"/>
      <c r="BD1092" s="147"/>
      <c r="BE1092" s="147"/>
      <c r="BF1092" s="147"/>
      <c r="BG1092" s="147"/>
      <c r="BH1092" s="147"/>
      <c r="BI1092" s="147"/>
      <c r="BJ1092" s="147"/>
      <c r="BK1092" s="147"/>
      <c r="BL1092" s="147"/>
      <c r="BM1092" s="147"/>
      <c r="BN1092" s="147"/>
      <c r="BO1092" s="147"/>
      <c r="BP1092" s="147"/>
      <c r="BQ1092" s="147"/>
      <c r="BR1092" s="147"/>
      <c r="BS1092" s="147"/>
      <c r="BT1092" s="147"/>
      <c r="BU1092" s="147"/>
      <c r="BV1092" s="147"/>
      <c r="BW1092" s="147"/>
      <c r="BX1092" s="147"/>
      <c r="BY1092" s="147"/>
      <c r="BZ1092" s="147"/>
      <c r="CA1092" s="147"/>
      <c r="CB1092" s="147"/>
      <c r="CC1092" s="147"/>
      <c r="CD1092" s="147"/>
      <c r="CE1092" s="147"/>
      <c r="CF1092" s="147"/>
      <c r="CG1092" s="147"/>
      <c r="CH1092" s="147"/>
      <c r="CI1092" s="147"/>
      <c r="CJ1092" s="147"/>
      <c r="CK1092" s="147"/>
    </row>
    <row r="1093" spans="1:89">
      <c r="A1093" s="157"/>
      <c r="F1093" s="3"/>
      <c r="G1093" s="3"/>
      <c r="L1093" s="157"/>
      <c r="M1093" s="157"/>
      <c r="O1093" s="147"/>
      <c r="P1093" s="147"/>
      <c r="Q1093" s="147"/>
      <c r="R1093" s="147"/>
      <c r="S1093" s="147"/>
      <c r="T1093" s="147"/>
      <c r="U1093" s="147"/>
      <c r="V1093" s="147"/>
      <c r="W1093" s="147"/>
      <c r="X1093" s="147"/>
      <c r="Y1093" s="147"/>
      <c r="Z1093" s="147"/>
      <c r="AA1093" s="147"/>
      <c r="AB1093" s="147"/>
      <c r="AC1093" s="147"/>
      <c r="AD1093" s="147"/>
      <c r="AE1093" s="147"/>
      <c r="AF1093" s="147"/>
      <c r="AG1093" s="147"/>
      <c r="AH1093" s="147"/>
      <c r="AI1093" s="147"/>
      <c r="AJ1093" s="147"/>
      <c r="AK1093" s="147"/>
      <c r="AL1093" s="147"/>
      <c r="AM1093" s="151"/>
      <c r="AN1093" s="147"/>
      <c r="AO1093" s="147"/>
      <c r="AP1093" s="147"/>
      <c r="AQ1093" s="147"/>
      <c r="AR1093" s="147"/>
      <c r="AS1093" s="147"/>
      <c r="AT1093" s="147"/>
      <c r="AU1093" s="147"/>
      <c r="AV1093" s="147"/>
      <c r="AW1093" s="147"/>
      <c r="AX1093" s="147"/>
      <c r="AY1093" s="147"/>
      <c r="AZ1093" s="147"/>
      <c r="BA1093" s="147"/>
      <c r="BB1093" s="147"/>
      <c r="BC1093" s="147"/>
      <c r="BD1093" s="147"/>
      <c r="BE1093" s="147"/>
      <c r="BF1093" s="147"/>
      <c r="BG1093" s="147"/>
      <c r="BH1093" s="147"/>
      <c r="BI1093" s="147"/>
      <c r="BJ1093" s="147"/>
      <c r="BK1093" s="147"/>
      <c r="BL1093" s="147"/>
      <c r="BM1093" s="147"/>
      <c r="BN1093" s="147"/>
      <c r="BO1093" s="147"/>
      <c r="BP1093" s="147"/>
      <c r="BQ1093" s="147"/>
      <c r="BR1093" s="147"/>
      <c r="BS1093" s="147"/>
      <c r="BT1093" s="147"/>
      <c r="BU1093" s="147"/>
      <c r="BV1093" s="147"/>
      <c r="BW1093" s="147"/>
      <c r="BX1093" s="147"/>
      <c r="BY1093" s="147"/>
      <c r="BZ1093" s="147"/>
      <c r="CA1093" s="147"/>
      <c r="CB1093" s="147"/>
      <c r="CC1093" s="147"/>
      <c r="CD1093" s="147"/>
      <c r="CE1093" s="147"/>
      <c r="CF1093" s="147"/>
      <c r="CG1093" s="147"/>
      <c r="CH1093" s="147"/>
      <c r="CI1093" s="147"/>
      <c r="CJ1093" s="147"/>
      <c r="CK1093" s="147"/>
    </row>
    <row r="1094" spans="1:89">
      <c r="A1094" s="157"/>
      <c r="F1094" s="3"/>
      <c r="G1094" s="3"/>
      <c r="L1094" s="157"/>
      <c r="M1094" s="157"/>
      <c r="O1094" s="147"/>
      <c r="P1094" s="147"/>
      <c r="Q1094" s="147"/>
      <c r="R1094" s="147"/>
      <c r="S1094" s="147"/>
      <c r="T1094" s="147"/>
      <c r="U1094" s="147"/>
      <c r="V1094" s="147"/>
      <c r="W1094" s="147"/>
      <c r="X1094" s="147"/>
      <c r="Y1094" s="147"/>
      <c r="Z1094" s="147"/>
      <c r="AA1094" s="147"/>
      <c r="AB1094" s="147"/>
      <c r="AC1094" s="147"/>
      <c r="AD1094" s="147"/>
      <c r="AE1094" s="147"/>
      <c r="AF1094" s="147"/>
      <c r="AG1094" s="147"/>
      <c r="AH1094" s="147"/>
      <c r="AI1094" s="147"/>
      <c r="AJ1094" s="147"/>
      <c r="AK1094" s="147"/>
      <c r="AL1094" s="147"/>
      <c r="AM1094" s="151"/>
      <c r="AN1094" s="147"/>
      <c r="AO1094" s="147"/>
      <c r="AP1094" s="147"/>
      <c r="AQ1094" s="147"/>
      <c r="AR1094" s="147"/>
      <c r="AS1094" s="147"/>
      <c r="AT1094" s="147"/>
      <c r="AU1094" s="147"/>
      <c r="AV1094" s="147"/>
      <c r="AW1094" s="147"/>
      <c r="AX1094" s="147"/>
      <c r="AY1094" s="147"/>
      <c r="AZ1094" s="147"/>
      <c r="BA1094" s="147"/>
      <c r="BB1094" s="147"/>
      <c r="BC1094" s="147"/>
      <c r="BD1094" s="147"/>
      <c r="BE1094" s="147"/>
      <c r="BF1094" s="147"/>
      <c r="BG1094" s="147"/>
      <c r="BH1094" s="147"/>
      <c r="BI1094" s="147"/>
      <c r="BJ1094" s="147"/>
      <c r="BK1094" s="147"/>
      <c r="BL1094" s="147"/>
      <c r="BM1094" s="147"/>
      <c r="BN1094" s="147"/>
      <c r="BO1094" s="147"/>
      <c r="BP1094" s="147"/>
      <c r="BQ1094" s="147"/>
      <c r="BR1094" s="147"/>
      <c r="BS1094" s="147"/>
      <c r="BT1094" s="147"/>
      <c r="BU1094" s="147"/>
      <c r="BV1094" s="147"/>
      <c r="BW1094" s="147"/>
      <c r="BX1094" s="147"/>
      <c r="BY1094" s="147"/>
      <c r="BZ1094" s="147"/>
      <c r="CA1094" s="147"/>
      <c r="CB1094" s="147"/>
      <c r="CC1094" s="147"/>
      <c r="CD1094" s="147"/>
      <c r="CE1094" s="147"/>
      <c r="CF1094" s="147"/>
      <c r="CG1094" s="147"/>
      <c r="CH1094" s="147"/>
      <c r="CI1094" s="147"/>
      <c r="CJ1094" s="147"/>
      <c r="CK1094" s="147"/>
    </row>
    <row r="1095" spans="1:89">
      <c r="A1095" s="157"/>
      <c r="F1095" s="3"/>
      <c r="G1095" s="3"/>
      <c r="L1095" s="157"/>
      <c r="M1095" s="157"/>
      <c r="O1095" s="147"/>
      <c r="P1095" s="147"/>
      <c r="Q1095" s="147"/>
      <c r="R1095" s="147"/>
      <c r="S1095" s="147"/>
      <c r="T1095" s="147"/>
      <c r="U1095" s="147"/>
      <c r="V1095" s="147"/>
      <c r="W1095" s="147"/>
      <c r="X1095" s="147"/>
      <c r="Y1095" s="147"/>
      <c r="Z1095" s="147"/>
      <c r="AA1095" s="147"/>
      <c r="AB1095" s="147"/>
      <c r="AC1095" s="147"/>
      <c r="AD1095" s="147"/>
      <c r="AE1095" s="147"/>
      <c r="AF1095" s="147"/>
      <c r="AG1095" s="147"/>
      <c r="AH1095" s="147"/>
      <c r="AI1095" s="147"/>
      <c r="AJ1095" s="147"/>
      <c r="AK1095" s="147"/>
      <c r="AL1095" s="147"/>
      <c r="AM1095" s="151"/>
      <c r="AN1095" s="147"/>
      <c r="AO1095" s="147"/>
      <c r="AP1095" s="147"/>
      <c r="AQ1095" s="147"/>
      <c r="AR1095" s="147"/>
      <c r="AS1095" s="147"/>
      <c r="AT1095" s="147"/>
      <c r="AU1095" s="147"/>
      <c r="AV1095" s="147"/>
      <c r="AW1095" s="147"/>
      <c r="AX1095" s="147"/>
      <c r="AY1095" s="147"/>
      <c r="AZ1095" s="147"/>
      <c r="BA1095" s="147"/>
      <c r="BB1095" s="147"/>
      <c r="BC1095" s="147"/>
      <c r="BD1095" s="147"/>
      <c r="BE1095" s="147"/>
      <c r="BF1095" s="147"/>
      <c r="BG1095" s="147"/>
      <c r="BH1095" s="147"/>
      <c r="BI1095" s="147"/>
      <c r="BJ1095" s="147"/>
      <c r="BK1095" s="147"/>
      <c r="BL1095" s="147"/>
      <c r="BM1095" s="147"/>
      <c r="BN1095" s="147"/>
      <c r="BO1095" s="147"/>
      <c r="BP1095" s="147"/>
      <c r="BQ1095" s="147"/>
      <c r="BR1095" s="147"/>
      <c r="BS1095" s="147"/>
      <c r="BT1095" s="147"/>
      <c r="BU1095" s="147"/>
      <c r="BV1095" s="147"/>
      <c r="BW1095" s="147"/>
      <c r="BX1095" s="147"/>
      <c r="BY1095" s="147"/>
      <c r="BZ1095" s="147"/>
      <c r="CA1095" s="147"/>
      <c r="CB1095" s="147"/>
      <c r="CC1095" s="147"/>
      <c r="CD1095" s="147"/>
      <c r="CE1095" s="147"/>
      <c r="CF1095" s="147"/>
      <c r="CG1095" s="147"/>
      <c r="CH1095" s="147"/>
      <c r="CI1095" s="147"/>
      <c r="CJ1095" s="147"/>
      <c r="CK1095" s="147"/>
    </row>
    <row r="1096" spans="1:89">
      <c r="A1096" s="157"/>
      <c r="F1096" s="3"/>
      <c r="G1096" s="3"/>
      <c r="L1096" s="157"/>
      <c r="M1096" s="157"/>
      <c r="O1096" s="147"/>
      <c r="P1096" s="147"/>
      <c r="Q1096" s="147"/>
      <c r="R1096" s="147"/>
      <c r="S1096" s="147"/>
      <c r="T1096" s="147"/>
      <c r="U1096" s="147"/>
      <c r="V1096" s="147"/>
      <c r="W1096" s="147"/>
      <c r="X1096" s="147"/>
      <c r="Y1096" s="147"/>
      <c r="Z1096" s="147"/>
      <c r="AA1096" s="147"/>
      <c r="AB1096" s="147"/>
      <c r="AC1096" s="147"/>
      <c r="AD1096" s="147"/>
      <c r="AE1096" s="147"/>
      <c r="AF1096" s="147"/>
      <c r="AG1096" s="147"/>
      <c r="AH1096" s="147"/>
      <c r="AI1096" s="147"/>
      <c r="AJ1096" s="147"/>
      <c r="AK1096" s="147"/>
      <c r="AL1096" s="147"/>
      <c r="AM1096" s="151"/>
      <c r="AN1096" s="147"/>
      <c r="AO1096" s="147"/>
      <c r="AP1096" s="147"/>
      <c r="AQ1096" s="147"/>
      <c r="AR1096" s="147"/>
      <c r="AS1096" s="147"/>
      <c r="AT1096" s="147"/>
      <c r="AU1096" s="147"/>
      <c r="AV1096" s="147"/>
      <c r="AW1096" s="147"/>
      <c r="AX1096" s="147"/>
      <c r="AY1096" s="147"/>
      <c r="AZ1096" s="147"/>
      <c r="BA1096" s="147"/>
      <c r="BB1096" s="147"/>
      <c r="BC1096" s="147"/>
      <c r="BD1096" s="147"/>
      <c r="BE1096" s="147"/>
      <c r="BF1096" s="147"/>
      <c r="BG1096" s="147"/>
      <c r="BH1096" s="147"/>
      <c r="BI1096" s="147"/>
      <c r="BJ1096" s="147"/>
      <c r="BK1096" s="147"/>
      <c r="BL1096" s="147"/>
      <c r="BM1096" s="147"/>
      <c r="BN1096" s="147"/>
      <c r="BO1096" s="147"/>
      <c r="BP1096" s="147"/>
      <c r="BQ1096" s="147"/>
      <c r="BR1096" s="147"/>
      <c r="BS1096" s="147"/>
      <c r="BT1096" s="147"/>
      <c r="BU1096" s="147"/>
      <c r="BV1096" s="147"/>
      <c r="BW1096" s="147"/>
      <c r="BX1096" s="147"/>
      <c r="BY1096" s="147"/>
      <c r="BZ1096" s="147"/>
      <c r="CA1096" s="147"/>
      <c r="CB1096" s="147"/>
      <c r="CC1096" s="147"/>
      <c r="CD1096" s="147"/>
      <c r="CE1096" s="147"/>
      <c r="CF1096" s="147"/>
      <c r="CG1096" s="147"/>
      <c r="CH1096" s="147"/>
      <c r="CI1096" s="147"/>
      <c r="CJ1096" s="147"/>
      <c r="CK1096" s="147"/>
    </row>
    <row r="1097" spans="1:89">
      <c r="A1097" s="157"/>
      <c r="F1097" s="3"/>
      <c r="G1097" s="3"/>
      <c r="L1097" s="157"/>
      <c r="M1097" s="157"/>
      <c r="O1097" s="147"/>
      <c r="P1097" s="147"/>
      <c r="Q1097" s="147"/>
      <c r="R1097" s="147"/>
      <c r="S1097" s="147"/>
      <c r="T1097" s="147"/>
      <c r="U1097" s="147"/>
      <c r="V1097" s="147"/>
      <c r="W1097" s="147"/>
      <c r="X1097" s="147"/>
      <c r="Y1097" s="147"/>
      <c r="Z1097" s="147"/>
      <c r="AA1097" s="147"/>
      <c r="AB1097" s="147"/>
      <c r="AC1097" s="147"/>
      <c r="AD1097" s="147"/>
      <c r="AE1097" s="147"/>
      <c r="AF1097" s="147"/>
      <c r="AG1097" s="147"/>
      <c r="AH1097" s="147"/>
      <c r="AI1097" s="147"/>
      <c r="AJ1097" s="147"/>
      <c r="AK1097" s="147"/>
      <c r="AL1097" s="147"/>
      <c r="AM1097" s="151"/>
      <c r="AN1097" s="147"/>
      <c r="AO1097" s="147"/>
      <c r="AP1097" s="147"/>
      <c r="AQ1097" s="147"/>
      <c r="AR1097" s="147"/>
      <c r="AS1097" s="147"/>
      <c r="AT1097" s="147"/>
      <c r="AU1097" s="147"/>
      <c r="AV1097" s="147"/>
      <c r="AW1097" s="147"/>
      <c r="AX1097" s="147"/>
      <c r="AY1097" s="147"/>
      <c r="AZ1097" s="147"/>
      <c r="BA1097" s="147"/>
      <c r="BB1097" s="147"/>
      <c r="BC1097" s="147"/>
      <c r="BD1097" s="147"/>
      <c r="BE1097" s="147"/>
      <c r="BF1097" s="147"/>
      <c r="BG1097" s="147"/>
      <c r="BH1097" s="147"/>
      <c r="BI1097" s="147"/>
      <c r="BJ1097" s="147"/>
      <c r="BK1097" s="147"/>
      <c r="BL1097" s="147"/>
      <c r="BM1097" s="147"/>
      <c r="BN1097" s="147"/>
      <c r="BO1097" s="147"/>
      <c r="BP1097" s="147"/>
      <c r="BQ1097" s="147"/>
      <c r="BR1097" s="147"/>
      <c r="BS1097" s="147"/>
      <c r="BT1097" s="147"/>
      <c r="BU1097" s="147"/>
      <c r="BV1097" s="147"/>
      <c r="BW1097" s="147"/>
      <c r="BX1097" s="147"/>
      <c r="BY1097" s="147"/>
      <c r="BZ1097" s="147"/>
      <c r="CA1097" s="147"/>
      <c r="CB1097" s="147"/>
      <c r="CC1097" s="147"/>
      <c r="CD1097" s="147"/>
      <c r="CE1097" s="147"/>
      <c r="CF1097" s="147"/>
      <c r="CG1097" s="147"/>
      <c r="CH1097" s="147"/>
      <c r="CI1097" s="147"/>
      <c r="CJ1097" s="147"/>
      <c r="CK1097" s="147"/>
    </row>
    <row r="1098" spans="1:89">
      <c r="A1098" s="157"/>
      <c r="F1098" s="3"/>
      <c r="G1098" s="3"/>
      <c r="L1098" s="157"/>
      <c r="M1098" s="157"/>
      <c r="O1098" s="147"/>
      <c r="P1098" s="147"/>
      <c r="Q1098" s="147"/>
      <c r="R1098" s="147"/>
      <c r="S1098" s="147"/>
      <c r="T1098" s="147"/>
      <c r="U1098" s="147"/>
      <c r="V1098" s="147"/>
      <c r="W1098" s="147"/>
      <c r="X1098" s="147"/>
      <c r="Y1098" s="147"/>
      <c r="Z1098" s="147"/>
      <c r="AA1098" s="147"/>
      <c r="AB1098" s="147"/>
      <c r="AC1098" s="147"/>
      <c r="AD1098" s="147"/>
      <c r="AE1098" s="147"/>
      <c r="AF1098" s="147"/>
      <c r="AG1098" s="147"/>
      <c r="AH1098" s="147"/>
      <c r="AI1098" s="147"/>
      <c r="AJ1098" s="147"/>
      <c r="AK1098" s="147"/>
      <c r="AL1098" s="147"/>
      <c r="AM1098" s="151"/>
      <c r="AN1098" s="147"/>
      <c r="AO1098" s="147"/>
      <c r="AP1098" s="147"/>
      <c r="AQ1098" s="147"/>
      <c r="AR1098" s="147"/>
      <c r="AS1098" s="147"/>
      <c r="AT1098" s="147"/>
      <c r="AU1098" s="147"/>
      <c r="AV1098" s="147"/>
      <c r="AW1098" s="147"/>
      <c r="AX1098" s="147"/>
      <c r="AY1098" s="147"/>
      <c r="AZ1098" s="147"/>
      <c r="BA1098" s="147"/>
      <c r="BB1098" s="147"/>
      <c r="BC1098" s="147"/>
      <c r="BD1098" s="147"/>
      <c r="BE1098" s="147"/>
      <c r="BF1098" s="147"/>
      <c r="BG1098" s="147"/>
      <c r="BH1098" s="147"/>
      <c r="BI1098" s="147"/>
      <c r="BJ1098" s="147"/>
      <c r="BK1098" s="147"/>
      <c r="BL1098" s="147"/>
      <c r="BM1098" s="147"/>
      <c r="BN1098" s="147"/>
      <c r="BO1098" s="147"/>
      <c r="BP1098" s="147"/>
      <c r="BQ1098" s="147"/>
      <c r="BR1098" s="147"/>
      <c r="BS1098" s="147"/>
      <c r="BT1098" s="147"/>
      <c r="BU1098" s="147"/>
      <c r="BV1098" s="147"/>
      <c r="BW1098" s="147"/>
      <c r="BX1098" s="147"/>
      <c r="BY1098" s="147"/>
      <c r="BZ1098" s="147"/>
      <c r="CA1098" s="147"/>
      <c r="CB1098" s="147"/>
      <c r="CC1098" s="147"/>
      <c r="CD1098" s="147"/>
      <c r="CE1098" s="147"/>
      <c r="CF1098" s="147"/>
      <c r="CG1098" s="147"/>
      <c r="CH1098" s="147"/>
      <c r="CI1098" s="147"/>
      <c r="CJ1098" s="147"/>
      <c r="CK1098" s="147"/>
    </row>
    <row r="1099" spans="1:89">
      <c r="A1099" s="157"/>
      <c r="F1099" s="3"/>
      <c r="G1099" s="3"/>
      <c r="L1099" s="157"/>
      <c r="M1099" s="157"/>
      <c r="O1099" s="147"/>
      <c r="P1099" s="147"/>
      <c r="Q1099" s="147"/>
      <c r="R1099" s="147"/>
      <c r="S1099" s="147"/>
      <c r="T1099" s="147"/>
      <c r="U1099" s="147"/>
      <c r="V1099" s="147"/>
      <c r="W1099" s="147"/>
      <c r="X1099" s="147"/>
      <c r="Y1099" s="147"/>
      <c r="Z1099" s="147"/>
      <c r="AA1099" s="147"/>
      <c r="AB1099" s="147"/>
      <c r="AC1099" s="147"/>
      <c r="AD1099" s="147"/>
      <c r="AE1099" s="147"/>
      <c r="AF1099" s="147"/>
      <c r="AG1099" s="147"/>
      <c r="AH1099" s="147"/>
      <c r="AI1099" s="147"/>
      <c r="AJ1099" s="147"/>
      <c r="AK1099" s="147"/>
      <c r="AL1099" s="147"/>
      <c r="AM1099" s="151"/>
      <c r="AN1099" s="147"/>
      <c r="AO1099" s="147"/>
      <c r="AP1099" s="147"/>
      <c r="AQ1099" s="147"/>
      <c r="AR1099" s="147"/>
      <c r="AS1099" s="147"/>
      <c r="AT1099" s="147"/>
      <c r="AU1099" s="147"/>
      <c r="AV1099" s="147"/>
      <c r="AW1099" s="147"/>
      <c r="AX1099" s="147"/>
      <c r="AY1099" s="147"/>
      <c r="AZ1099" s="147"/>
      <c r="BA1099" s="147"/>
      <c r="BB1099" s="147"/>
      <c r="BC1099" s="147"/>
      <c r="BD1099" s="147"/>
      <c r="BE1099" s="147"/>
      <c r="BF1099" s="147"/>
      <c r="BG1099" s="147"/>
      <c r="BH1099" s="147"/>
      <c r="BI1099" s="147"/>
      <c r="BJ1099" s="147"/>
      <c r="BK1099" s="147"/>
      <c r="BL1099" s="147"/>
      <c r="BM1099" s="147"/>
      <c r="BN1099" s="147"/>
      <c r="BO1099" s="147"/>
      <c r="BP1099" s="147"/>
      <c r="BQ1099" s="147"/>
      <c r="BR1099" s="147"/>
      <c r="BS1099" s="147"/>
      <c r="BT1099" s="147"/>
      <c r="BU1099" s="147"/>
      <c r="BV1099" s="147"/>
      <c r="BW1099" s="147"/>
      <c r="BX1099" s="147"/>
      <c r="BY1099" s="147"/>
      <c r="BZ1099" s="147"/>
      <c r="CA1099" s="147"/>
      <c r="CB1099" s="147"/>
      <c r="CC1099" s="147"/>
      <c r="CD1099" s="147"/>
      <c r="CE1099" s="147"/>
      <c r="CF1099" s="147"/>
      <c r="CG1099" s="147"/>
      <c r="CH1099" s="147"/>
      <c r="CI1099" s="147"/>
      <c r="CJ1099" s="147"/>
      <c r="CK1099" s="147"/>
    </row>
    <row r="1100" spans="1:89">
      <c r="A1100" s="157"/>
      <c r="F1100" s="3"/>
      <c r="G1100" s="3"/>
      <c r="L1100" s="157"/>
      <c r="M1100" s="157"/>
      <c r="O1100" s="147"/>
      <c r="P1100" s="147"/>
      <c r="Q1100" s="147"/>
      <c r="R1100" s="147"/>
      <c r="S1100" s="147"/>
      <c r="T1100" s="147"/>
      <c r="U1100" s="147"/>
      <c r="V1100" s="147"/>
      <c r="W1100" s="147"/>
      <c r="X1100" s="147"/>
      <c r="Y1100" s="147"/>
      <c r="Z1100" s="147"/>
      <c r="AA1100" s="147"/>
      <c r="AB1100" s="147"/>
      <c r="AC1100" s="147"/>
      <c r="AD1100" s="147"/>
      <c r="AE1100" s="147"/>
      <c r="AF1100" s="147"/>
      <c r="AG1100" s="147"/>
      <c r="AH1100" s="147"/>
      <c r="AI1100" s="147"/>
      <c r="AJ1100" s="147"/>
      <c r="AK1100" s="147"/>
      <c r="AL1100" s="147"/>
      <c r="AM1100" s="151"/>
      <c r="AN1100" s="147"/>
      <c r="AO1100" s="147"/>
      <c r="AP1100" s="147"/>
      <c r="AQ1100" s="147"/>
      <c r="AR1100" s="147"/>
      <c r="AS1100" s="147"/>
      <c r="AT1100" s="147"/>
      <c r="AU1100" s="147"/>
      <c r="AV1100" s="147"/>
      <c r="AW1100" s="147"/>
      <c r="AX1100" s="147"/>
      <c r="AY1100" s="147"/>
      <c r="AZ1100" s="147"/>
      <c r="BA1100" s="147"/>
      <c r="BB1100" s="147"/>
      <c r="BC1100" s="147"/>
      <c r="BD1100" s="147"/>
      <c r="BE1100" s="147"/>
      <c r="BF1100" s="147"/>
      <c r="BG1100" s="147"/>
      <c r="BH1100" s="147"/>
      <c r="BI1100" s="147"/>
      <c r="BJ1100" s="147"/>
      <c r="BK1100" s="147"/>
      <c r="BL1100" s="147"/>
      <c r="BM1100" s="147"/>
      <c r="BN1100" s="147"/>
      <c r="BO1100" s="147"/>
      <c r="BP1100" s="147"/>
      <c r="BQ1100" s="147"/>
      <c r="BR1100" s="147"/>
      <c r="BS1100" s="147"/>
      <c r="BT1100" s="147"/>
      <c r="BU1100" s="147"/>
      <c r="BV1100" s="147"/>
      <c r="BW1100" s="147"/>
      <c r="BX1100" s="147"/>
      <c r="BY1100" s="147"/>
      <c r="BZ1100" s="147"/>
      <c r="CA1100" s="147"/>
      <c r="CB1100" s="147"/>
      <c r="CC1100" s="147"/>
      <c r="CD1100" s="147"/>
      <c r="CE1100" s="147"/>
      <c r="CF1100" s="147"/>
      <c r="CG1100" s="147"/>
      <c r="CH1100" s="147"/>
      <c r="CI1100" s="147"/>
      <c r="CJ1100" s="147"/>
      <c r="CK1100" s="147"/>
    </row>
    <row r="1101" spans="1:89">
      <c r="A1101" s="157"/>
      <c r="F1101" s="3"/>
      <c r="G1101" s="3"/>
      <c r="L1101" s="157"/>
      <c r="M1101" s="157"/>
      <c r="O1101" s="147"/>
      <c r="P1101" s="147"/>
      <c r="Q1101" s="147"/>
      <c r="R1101" s="147"/>
      <c r="S1101" s="147"/>
      <c r="T1101" s="147"/>
      <c r="U1101" s="147"/>
      <c r="V1101" s="147"/>
      <c r="W1101" s="147"/>
      <c r="X1101" s="147"/>
      <c r="Y1101" s="147"/>
      <c r="Z1101" s="147"/>
      <c r="AA1101" s="147"/>
      <c r="AB1101" s="147"/>
      <c r="AC1101" s="147"/>
      <c r="AD1101" s="147"/>
      <c r="AE1101" s="147"/>
      <c r="AF1101" s="147"/>
      <c r="AG1101" s="147"/>
      <c r="AH1101" s="147"/>
      <c r="AI1101" s="147"/>
      <c r="AJ1101" s="147"/>
      <c r="AK1101" s="147"/>
      <c r="AL1101" s="147"/>
      <c r="AM1101" s="151"/>
      <c r="AN1101" s="147"/>
      <c r="AO1101" s="147"/>
      <c r="AP1101" s="147"/>
      <c r="AQ1101" s="147"/>
      <c r="AR1101" s="147"/>
      <c r="AS1101" s="147"/>
      <c r="AT1101" s="147"/>
      <c r="AU1101" s="147"/>
      <c r="AV1101" s="147"/>
      <c r="AW1101" s="147"/>
      <c r="AX1101" s="147"/>
      <c r="AY1101" s="147"/>
      <c r="AZ1101" s="147"/>
      <c r="BA1101" s="147"/>
      <c r="BB1101" s="147"/>
      <c r="BC1101" s="147"/>
      <c r="BD1101" s="147"/>
      <c r="BE1101" s="147"/>
      <c r="BF1101" s="147"/>
      <c r="BG1101" s="147"/>
      <c r="BH1101" s="147"/>
      <c r="BI1101" s="147"/>
      <c r="BJ1101" s="147"/>
      <c r="BK1101" s="147"/>
      <c r="BL1101" s="147"/>
      <c r="BM1101" s="147"/>
      <c r="BN1101" s="147"/>
      <c r="BO1101" s="147"/>
      <c r="BP1101" s="147"/>
      <c r="BQ1101" s="147"/>
      <c r="BR1101" s="147"/>
      <c r="BS1101" s="147"/>
      <c r="BT1101" s="147"/>
      <c r="BU1101" s="147"/>
      <c r="BV1101" s="147"/>
      <c r="BW1101" s="147"/>
      <c r="BX1101" s="147"/>
      <c r="BY1101" s="147"/>
      <c r="BZ1101" s="147"/>
      <c r="CA1101" s="147"/>
      <c r="CB1101" s="147"/>
      <c r="CC1101" s="147"/>
      <c r="CD1101" s="147"/>
      <c r="CE1101" s="147"/>
      <c r="CF1101" s="147"/>
      <c r="CG1101" s="147"/>
      <c r="CH1101" s="147"/>
      <c r="CI1101" s="147"/>
      <c r="CJ1101" s="147"/>
      <c r="CK1101" s="147"/>
    </row>
    <row r="1102" spans="1:89">
      <c r="A1102" s="157"/>
      <c r="F1102" s="3"/>
      <c r="G1102" s="3"/>
      <c r="L1102" s="157"/>
      <c r="M1102" s="157"/>
      <c r="O1102" s="147"/>
      <c r="P1102" s="147"/>
      <c r="Q1102" s="147"/>
      <c r="R1102" s="147"/>
      <c r="S1102" s="147"/>
      <c r="T1102" s="147"/>
      <c r="U1102" s="147"/>
      <c r="V1102" s="147"/>
      <c r="W1102" s="147"/>
      <c r="X1102" s="147"/>
      <c r="Y1102" s="147"/>
      <c r="Z1102" s="147"/>
      <c r="AA1102" s="147"/>
      <c r="AB1102" s="147"/>
      <c r="AC1102" s="147"/>
      <c r="AD1102" s="147"/>
      <c r="AE1102" s="147"/>
      <c r="AF1102" s="147"/>
      <c r="AG1102" s="147"/>
      <c r="AH1102" s="147"/>
      <c r="AI1102" s="147"/>
      <c r="AJ1102" s="147"/>
      <c r="AK1102" s="147"/>
      <c r="AL1102" s="147"/>
      <c r="AM1102" s="151"/>
      <c r="AN1102" s="147"/>
      <c r="AO1102" s="147"/>
      <c r="AP1102" s="147"/>
      <c r="AQ1102" s="147"/>
      <c r="AR1102" s="147"/>
      <c r="AS1102" s="147"/>
      <c r="AT1102" s="147"/>
      <c r="AU1102" s="147"/>
      <c r="AV1102" s="147"/>
      <c r="AW1102" s="147"/>
      <c r="AX1102" s="147"/>
      <c r="AY1102" s="147"/>
      <c r="AZ1102" s="147"/>
      <c r="BA1102" s="147"/>
      <c r="BB1102" s="147"/>
      <c r="BC1102" s="147"/>
      <c r="BD1102" s="147"/>
      <c r="BE1102" s="147"/>
      <c r="BF1102" s="147"/>
      <c r="BG1102" s="147"/>
      <c r="BH1102" s="147"/>
      <c r="BI1102" s="147"/>
      <c r="BJ1102" s="147"/>
      <c r="BK1102" s="147"/>
      <c r="BL1102" s="147"/>
      <c r="BM1102" s="147"/>
      <c r="BN1102" s="147"/>
      <c r="BO1102" s="147"/>
      <c r="BP1102" s="147"/>
      <c r="BQ1102" s="147"/>
      <c r="BR1102" s="147"/>
      <c r="BS1102" s="147"/>
      <c r="BT1102" s="147"/>
      <c r="BU1102" s="147"/>
      <c r="BV1102" s="147"/>
      <c r="BW1102" s="147"/>
      <c r="BX1102" s="147"/>
      <c r="BY1102" s="147"/>
      <c r="BZ1102" s="147"/>
      <c r="CA1102" s="147"/>
      <c r="CB1102" s="147"/>
      <c r="CC1102" s="147"/>
      <c r="CD1102" s="147"/>
      <c r="CE1102" s="147"/>
      <c r="CF1102" s="147"/>
      <c r="CG1102" s="147"/>
      <c r="CH1102" s="147"/>
      <c r="CI1102" s="147"/>
      <c r="CJ1102" s="147"/>
      <c r="CK1102" s="147"/>
    </row>
    <row r="1103" spans="1:89">
      <c r="A1103" s="157"/>
      <c r="F1103" s="3"/>
      <c r="G1103" s="3"/>
      <c r="L1103" s="157"/>
      <c r="M1103" s="157"/>
      <c r="O1103" s="147"/>
      <c r="P1103" s="147"/>
      <c r="Q1103" s="147"/>
      <c r="R1103" s="147"/>
      <c r="S1103" s="147"/>
      <c r="T1103" s="147"/>
      <c r="U1103" s="147"/>
      <c r="V1103" s="147"/>
      <c r="W1103" s="147"/>
      <c r="X1103" s="147"/>
      <c r="Y1103" s="147"/>
      <c r="Z1103" s="147"/>
      <c r="AA1103" s="147"/>
      <c r="AB1103" s="147"/>
      <c r="AC1103" s="147"/>
      <c r="AD1103" s="147"/>
      <c r="AE1103" s="147"/>
      <c r="AF1103" s="147"/>
      <c r="AG1103" s="147"/>
      <c r="AH1103" s="147"/>
      <c r="AI1103" s="147"/>
      <c r="AJ1103" s="147"/>
      <c r="AK1103" s="147"/>
      <c r="AL1103" s="147"/>
      <c r="AM1103" s="151"/>
      <c r="AN1103" s="147"/>
      <c r="AO1103" s="147"/>
      <c r="AP1103" s="147"/>
      <c r="AQ1103" s="147"/>
      <c r="AR1103" s="147"/>
      <c r="AS1103" s="147"/>
      <c r="AT1103" s="147"/>
      <c r="AU1103" s="147"/>
      <c r="AV1103" s="147"/>
      <c r="AW1103" s="147"/>
      <c r="AX1103" s="147"/>
      <c r="AY1103" s="147"/>
      <c r="AZ1103" s="147"/>
      <c r="BA1103" s="147"/>
      <c r="BB1103" s="147"/>
      <c r="BC1103" s="147"/>
      <c r="BD1103" s="147"/>
      <c r="BE1103" s="147"/>
      <c r="BF1103" s="147"/>
      <c r="BG1103" s="147"/>
      <c r="BH1103" s="147"/>
      <c r="BI1103" s="147"/>
      <c r="BJ1103" s="147"/>
      <c r="BK1103" s="147"/>
      <c r="BL1103" s="147"/>
      <c r="BM1103" s="147"/>
      <c r="BN1103" s="147"/>
      <c r="BO1103" s="147"/>
      <c r="BP1103" s="147"/>
      <c r="BQ1103" s="147"/>
      <c r="BR1103" s="147"/>
      <c r="BS1103" s="147"/>
      <c r="BT1103" s="147"/>
      <c r="BU1103" s="147"/>
      <c r="BV1103" s="147"/>
      <c r="BW1103" s="147"/>
      <c r="BX1103" s="147"/>
      <c r="BY1103" s="147"/>
      <c r="BZ1103" s="147"/>
      <c r="CA1103" s="147"/>
      <c r="CB1103" s="147"/>
      <c r="CC1103" s="147"/>
      <c r="CD1103" s="147"/>
      <c r="CE1103" s="147"/>
      <c r="CF1103" s="147"/>
      <c r="CG1103" s="147"/>
      <c r="CH1103" s="147"/>
      <c r="CI1103" s="147"/>
      <c r="CJ1103" s="147"/>
      <c r="CK1103" s="147"/>
    </row>
    <row r="1104" spans="1:89">
      <c r="A1104" s="157"/>
      <c r="F1104" s="3"/>
      <c r="G1104" s="3"/>
      <c r="L1104" s="157"/>
      <c r="M1104" s="157"/>
      <c r="O1104" s="147"/>
      <c r="P1104" s="147"/>
      <c r="Q1104" s="147"/>
      <c r="R1104" s="147"/>
      <c r="S1104" s="147"/>
      <c r="T1104" s="147"/>
      <c r="U1104" s="147"/>
      <c r="V1104" s="147"/>
      <c r="W1104" s="147"/>
      <c r="X1104" s="147"/>
      <c r="Y1104" s="147"/>
      <c r="Z1104" s="147"/>
      <c r="AA1104" s="147"/>
      <c r="AB1104" s="147"/>
      <c r="AC1104" s="147"/>
      <c r="AD1104" s="147"/>
      <c r="AE1104" s="147"/>
      <c r="AF1104" s="147"/>
      <c r="AG1104" s="147"/>
      <c r="AH1104" s="147"/>
      <c r="AI1104" s="147"/>
      <c r="AJ1104" s="147"/>
      <c r="AK1104" s="147"/>
      <c r="AL1104" s="147"/>
      <c r="AM1104" s="151"/>
      <c r="AN1104" s="147"/>
      <c r="AO1104" s="147"/>
      <c r="AP1104" s="147"/>
      <c r="AQ1104" s="147"/>
      <c r="AR1104" s="147"/>
      <c r="AS1104" s="147"/>
      <c r="AT1104" s="147"/>
      <c r="AU1104" s="147"/>
      <c r="AV1104" s="147"/>
      <c r="AW1104" s="147"/>
      <c r="AX1104" s="147"/>
      <c r="AY1104" s="147"/>
      <c r="AZ1104" s="147"/>
      <c r="BA1104" s="147"/>
      <c r="BB1104" s="147"/>
      <c r="BC1104" s="147"/>
      <c r="BD1104" s="147"/>
      <c r="BE1104" s="147"/>
      <c r="BF1104" s="147"/>
      <c r="BG1104" s="147"/>
      <c r="BH1104" s="147"/>
      <c r="BI1104" s="147"/>
      <c r="BJ1104" s="147"/>
      <c r="BK1104" s="147"/>
      <c r="BL1104" s="147"/>
      <c r="BM1104" s="147"/>
      <c r="BN1104" s="147"/>
      <c r="BO1104" s="147"/>
      <c r="BP1104" s="147"/>
      <c r="BQ1104" s="147"/>
      <c r="BR1104" s="147"/>
      <c r="BS1104" s="147"/>
      <c r="BT1104" s="147"/>
      <c r="BU1104" s="147"/>
      <c r="BV1104" s="147"/>
      <c r="BW1104" s="147"/>
      <c r="BX1104" s="147"/>
      <c r="BY1104" s="147"/>
      <c r="BZ1104" s="147"/>
      <c r="CA1104" s="147"/>
      <c r="CB1104" s="147"/>
      <c r="CC1104" s="147"/>
      <c r="CD1104" s="147"/>
      <c r="CE1104" s="147"/>
      <c r="CF1104" s="147"/>
      <c r="CG1104" s="147"/>
      <c r="CH1104" s="147"/>
      <c r="CI1104" s="147"/>
      <c r="CJ1104" s="147"/>
      <c r="CK1104" s="147"/>
    </row>
    <row r="1105" spans="1:89">
      <c r="A1105" s="157"/>
      <c r="F1105" s="3"/>
      <c r="G1105" s="3"/>
      <c r="L1105" s="157"/>
      <c r="M1105" s="157"/>
      <c r="O1105" s="147"/>
      <c r="P1105" s="147"/>
      <c r="Q1105" s="147"/>
      <c r="R1105" s="147"/>
      <c r="S1105" s="147"/>
      <c r="T1105" s="147"/>
      <c r="U1105" s="147"/>
      <c r="V1105" s="147"/>
      <c r="W1105" s="147"/>
      <c r="X1105" s="147"/>
      <c r="Y1105" s="147"/>
      <c r="Z1105" s="147"/>
      <c r="AA1105" s="147"/>
      <c r="AB1105" s="147"/>
      <c r="AC1105" s="147"/>
      <c r="AD1105" s="147"/>
      <c r="AE1105" s="147"/>
      <c r="AF1105" s="147"/>
      <c r="AG1105" s="147"/>
      <c r="AH1105" s="147"/>
      <c r="AI1105" s="147"/>
      <c r="AJ1105" s="147"/>
      <c r="AK1105" s="147"/>
      <c r="AL1105" s="147"/>
      <c r="AM1105" s="151"/>
      <c r="AN1105" s="147"/>
      <c r="AO1105" s="147"/>
      <c r="AP1105" s="147"/>
      <c r="AQ1105" s="147"/>
      <c r="AR1105" s="147"/>
      <c r="AS1105" s="147"/>
      <c r="AT1105" s="147"/>
      <c r="AU1105" s="147"/>
      <c r="AV1105" s="147"/>
      <c r="AW1105" s="147"/>
      <c r="AX1105" s="147"/>
      <c r="AY1105" s="147"/>
      <c r="AZ1105" s="147"/>
      <c r="BA1105" s="147"/>
      <c r="BB1105" s="147"/>
      <c r="BC1105" s="147"/>
      <c r="BD1105" s="147"/>
      <c r="BE1105" s="147"/>
      <c r="BF1105" s="147"/>
      <c r="BG1105" s="147"/>
      <c r="BH1105" s="147"/>
      <c r="BI1105" s="147"/>
      <c r="BJ1105" s="147"/>
      <c r="BK1105" s="147"/>
      <c r="BL1105" s="147"/>
      <c r="BM1105" s="147"/>
      <c r="BN1105" s="147"/>
      <c r="BO1105" s="147"/>
      <c r="BP1105" s="147"/>
      <c r="BQ1105" s="147"/>
      <c r="BR1105" s="147"/>
      <c r="BS1105" s="147"/>
      <c r="BT1105" s="147"/>
      <c r="BU1105" s="147"/>
      <c r="BV1105" s="147"/>
      <c r="BW1105" s="147"/>
      <c r="BX1105" s="147"/>
      <c r="BY1105" s="147"/>
      <c r="BZ1105" s="147"/>
      <c r="CA1105" s="147"/>
      <c r="CB1105" s="147"/>
      <c r="CC1105" s="147"/>
      <c r="CD1105" s="147"/>
      <c r="CE1105" s="147"/>
      <c r="CF1105" s="147"/>
      <c r="CG1105" s="147"/>
      <c r="CH1105" s="147"/>
      <c r="CI1105" s="147"/>
      <c r="CJ1105" s="147"/>
      <c r="CK1105" s="147"/>
    </row>
    <row r="1106" spans="1:89">
      <c r="A1106" s="157"/>
      <c r="F1106" s="3"/>
      <c r="G1106" s="3"/>
      <c r="L1106" s="157"/>
      <c r="M1106" s="157"/>
      <c r="O1106" s="147"/>
      <c r="P1106" s="147"/>
      <c r="Q1106" s="147"/>
      <c r="R1106" s="147"/>
      <c r="S1106" s="147"/>
      <c r="T1106" s="147"/>
      <c r="U1106" s="147"/>
      <c r="V1106" s="147"/>
      <c r="W1106" s="147"/>
      <c r="X1106" s="147"/>
      <c r="Y1106" s="147"/>
      <c r="Z1106" s="147"/>
      <c r="AA1106" s="147"/>
      <c r="AB1106" s="147"/>
      <c r="AC1106" s="147"/>
      <c r="AD1106" s="147"/>
      <c r="AE1106" s="147"/>
      <c r="AF1106" s="147"/>
      <c r="AG1106" s="147"/>
      <c r="AH1106" s="147"/>
      <c r="AI1106" s="147"/>
      <c r="AJ1106" s="147"/>
      <c r="AK1106" s="147"/>
      <c r="AL1106" s="147"/>
      <c r="AM1106" s="151"/>
      <c r="AN1106" s="147"/>
      <c r="AO1106" s="147"/>
      <c r="AP1106" s="147"/>
      <c r="AQ1106" s="147"/>
      <c r="AR1106" s="147"/>
      <c r="AS1106" s="147"/>
      <c r="AT1106" s="147"/>
      <c r="AU1106" s="147"/>
      <c r="AV1106" s="147"/>
      <c r="AW1106" s="147"/>
      <c r="AX1106" s="147"/>
      <c r="AY1106" s="147"/>
      <c r="AZ1106" s="147"/>
      <c r="BA1106" s="147"/>
      <c r="BB1106" s="147"/>
      <c r="BC1106" s="147"/>
      <c r="BD1106" s="147"/>
      <c r="BE1106" s="147"/>
      <c r="BF1106" s="147"/>
      <c r="BG1106" s="147"/>
      <c r="BH1106" s="147"/>
      <c r="BI1106" s="147"/>
      <c r="BJ1106" s="147"/>
      <c r="BK1106" s="147"/>
      <c r="BL1106" s="147"/>
      <c r="BM1106" s="147"/>
      <c r="BN1106" s="147"/>
      <c r="BO1106" s="147"/>
      <c r="BP1106" s="147"/>
      <c r="BQ1106" s="147"/>
      <c r="BR1106" s="147"/>
      <c r="BS1106" s="147"/>
      <c r="BT1106" s="147"/>
      <c r="BU1106" s="147"/>
      <c r="BV1106" s="147"/>
      <c r="BW1106" s="147"/>
      <c r="BX1106" s="147"/>
      <c r="BY1106" s="147"/>
      <c r="BZ1106" s="147"/>
      <c r="CA1106" s="147"/>
      <c r="CB1106" s="147"/>
      <c r="CC1106" s="147"/>
      <c r="CD1106" s="147"/>
      <c r="CE1106" s="147"/>
      <c r="CF1106" s="147"/>
      <c r="CG1106" s="147"/>
      <c r="CH1106" s="147"/>
      <c r="CI1106" s="147"/>
      <c r="CJ1106" s="147"/>
      <c r="CK1106" s="147"/>
    </row>
    <row r="1107" spans="1:89">
      <c r="A1107" s="157"/>
      <c r="F1107" s="3"/>
      <c r="G1107" s="3"/>
      <c r="L1107" s="157"/>
      <c r="M1107" s="157"/>
      <c r="O1107" s="147"/>
      <c r="P1107" s="147"/>
      <c r="Q1107" s="147"/>
      <c r="R1107" s="147"/>
      <c r="S1107" s="147"/>
      <c r="T1107" s="147"/>
      <c r="U1107" s="147"/>
      <c r="V1107" s="147"/>
      <c r="W1107" s="147"/>
      <c r="X1107" s="147"/>
      <c r="Y1107" s="147"/>
      <c r="Z1107" s="147"/>
      <c r="AA1107" s="147"/>
      <c r="AB1107" s="147"/>
      <c r="AC1107" s="147"/>
      <c r="AD1107" s="147"/>
      <c r="AE1107" s="147"/>
      <c r="AF1107" s="147"/>
      <c r="AG1107" s="147"/>
      <c r="AH1107" s="147"/>
      <c r="AI1107" s="147"/>
      <c r="AJ1107" s="147"/>
      <c r="AK1107" s="147"/>
      <c r="AL1107" s="147"/>
      <c r="AM1107" s="151"/>
      <c r="AN1107" s="147"/>
      <c r="AO1107" s="147"/>
      <c r="AP1107" s="147"/>
      <c r="AQ1107" s="147"/>
      <c r="AR1107" s="147"/>
      <c r="AS1107" s="147"/>
      <c r="AT1107" s="147"/>
      <c r="AU1107" s="147"/>
      <c r="AV1107" s="147"/>
      <c r="AW1107" s="147"/>
      <c r="AX1107" s="147"/>
      <c r="AY1107" s="147"/>
      <c r="AZ1107" s="147"/>
      <c r="BA1107" s="147"/>
      <c r="BB1107" s="147"/>
      <c r="BC1107" s="147"/>
      <c r="BD1107" s="147"/>
      <c r="BE1107" s="147"/>
      <c r="BF1107" s="147"/>
      <c r="BG1107" s="147"/>
      <c r="BH1107" s="147"/>
      <c r="BI1107" s="147"/>
      <c r="BJ1107" s="147"/>
      <c r="BK1107" s="147"/>
      <c r="BL1107" s="147"/>
      <c r="BM1107" s="147"/>
      <c r="BN1107" s="147"/>
      <c r="BO1107" s="147"/>
      <c r="BP1107" s="147"/>
      <c r="BQ1107" s="147"/>
      <c r="BR1107" s="147"/>
      <c r="BS1107" s="147"/>
      <c r="BT1107" s="147"/>
      <c r="BU1107" s="147"/>
      <c r="BV1107" s="147"/>
      <c r="BW1107" s="147"/>
      <c r="BX1107" s="147"/>
      <c r="BY1107" s="147"/>
      <c r="BZ1107" s="147"/>
      <c r="CA1107" s="147"/>
      <c r="CB1107" s="147"/>
      <c r="CC1107" s="147"/>
      <c r="CD1107" s="147"/>
      <c r="CE1107" s="147"/>
      <c r="CF1107" s="147"/>
      <c r="CG1107" s="147"/>
      <c r="CH1107" s="147"/>
      <c r="CI1107" s="147"/>
      <c r="CJ1107" s="147"/>
      <c r="CK1107" s="147"/>
    </row>
    <row r="1108" spans="1:89">
      <c r="A1108" s="157"/>
      <c r="F1108" s="3"/>
      <c r="G1108" s="3"/>
      <c r="L1108" s="157"/>
      <c r="M1108" s="157"/>
      <c r="O1108" s="147"/>
      <c r="P1108" s="147"/>
      <c r="Q1108" s="147"/>
      <c r="R1108" s="147"/>
      <c r="S1108" s="147"/>
      <c r="T1108" s="147"/>
      <c r="U1108" s="147"/>
      <c r="V1108" s="147"/>
      <c r="W1108" s="147"/>
      <c r="X1108" s="147"/>
      <c r="Y1108" s="147"/>
      <c r="Z1108" s="147"/>
      <c r="AA1108" s="147"/>
      <c r="AB1108" s="147"/>
      <c r="AC1108" s="147"/>
      <c r="AD1108" s="147"/>
      <c r="AE1108" s="147"/>
      <c r="AF1108" s="147"/>
      <c r="AG1108" s="147"/>
      <c r="AH1108" s="147"/>
      <c r="AI1108" s="147"/>
      <c r="AJ1108" s="147"/>
      <c r="AK1108" s="147"/>
      <c r="AL1108" s="147"/>
      <c r="AM1108" s="151"/>
      <c r="AN1108" s="147"/>
      <c r="AO1108" s="147"/>
      <c r="AP1108" s="147"/>
      <c r="AQ1108" s="147"/>
      <c r="AR1108" s="147"/>
      <c r="AS1108" s="147"/>
      <c r="AT1108" s="147"/>
      <c r="AU1108" s="147"/>
      <c r="AV1108" s="147"/>
      <c r="AW1108" s="147"/>
      <c r="AX1108" s="147"/>
      <c r="AY1108" s="147"/>
      <c r="AZ1108" s="147"/>
      <c r="BA1108" s="147"/>
      <c r="BB1108" s="147"/>
      <c r="BC1108" s="147"/>
      <c r="BD1108" s="147"/>
      <c r="BE1108" s="147"/>
      <c r="BF1108" s="147"/>
      <c r="BG1108" s="147"/>
      <c r="BH1108" s="147"/>
      <c r="BI1108" s="147"/>
      <c r="BJ1108" s="147"/>
      <c r="BK1108" s="147"/>
      <c r="BL1108" s="147"/>
      <c r="BM1108" s="147"/>
      <c r="BN1108" s="147"/>
      <c r="BO1108" s="147"/>
      <c r="BP1108" s="147"/>
      <c r="BQ1108" s="147"/>
      <c r="BR1108" s="147"/>
      <c r="BS1108" s="147"/>
      <c r="BT1108" s="147"/>
      <c r="BU1108" s="147"/>
      <c r="BV1108" s="147"/>
      <c r="BW1108" s="147"/>
      <c r="BX1108" s="147"/>
      <c r="BY1108" s="147"/>
      <c r="BZ1108" s="147"/>
      <c r="CA1108" s="147"/>
      <c r="CB1108" s="147"/>
      <c r="CC1108" s="147"/>
      <c r="CD1108" s="147"/>
      <c r="CE1108" s="147"/>
      <c r="CF1108" s="147"/>
      <c r="CG1108" s="147"/>
      <c r="CH1108" s="147"/>
      <c r="CI1108" s="147"/>
      <c r="CJ1108" s="147"/>
      <c r="CK1108" s="147"/>
    </row>
    <row r="1109" spans="1:89">
      <c r="A1109" s="157"/>
      <c r="F1109" s="3"/>
      <c r="G1109" s="3"/>
      <c r="L1109" s="157"/>
      <c r="M1109" s="157"/>
      <c r="O1109" s="147"/>
      <c r="P1109" s="147"/>
      <c r="Q1109" s="147"/>
      <c r="R1109" s="147"/>
      <c r="S1109" s="147"/>
      <c r="T1109" s="147"/>
      <c r="U1109" s="147"/>
      <c r="V1109" s="147"/>
      <c r="W1109" s="147"/>
      <c r="X1109" s="147"/>
      <c r="Y1109" s="147"/>
      <c r="Z1109" s="147"/>
      <c r="AA1109" s="147"/>
      <c r="AB1109" s="147"/>
      <c r="AC1109" s="147"/>
      <c r="AD1109" s="147"/>
      <c r="AE1109" s="147"/>
      <c r="AF1109" s="147"/>
      <c r="AG1109" s="147"/>
      <c r="AH1109" s="147"/>
      <c r="AI1109" s="147"/>
      <c r="AJ1109" s="147"/>
      <c r="AK1109" s="147"/>
      <c r="AL1109" s="147"/>
      <c r="AM1109" s="151"/>
      <c r="AN1109" s="147"/>
      <c r="AO1109" s="147"/>
      <c r="AP1109" s="147"/>
      <c r="AQ1109" s="147"/>
      <c r="AR1109" s="147"/>
      <c r="AS1109" s="147"/>
      <c r="AT1109" s="147"/>
      <c r="AU1109" s="147"/>
      <c r="AV1109" s="147"/>
      <c r="AW1109" s="147"/>
      <c r="AX1109" s="147"/>
      <c r="AY1109" s="147"/>
      <c r="AZ1109" s="147"/>
      <c r="BA1109" s="147"/>
      <c r="BB1109" s="147"/>
      <c r="BC1109" s="147"/>
      <c r="BD1109" s="147"/>
      <c r="BE1109" s="147"/>
      <c r="BF1109" s="147"/>
      <c r="BG1109" s="147"/>
      <c r="BH1109" s="147"/>
      <c r="BI1109" s="147"/>
      <c r="BJ1109" s="147"/>
      <c r="BK1109" s="147"/>
      <c r="BL1109" s="147"/>
      <c r="BM1109" s="147"/>
      <c r="BN1109" s="147"/>
      <c r="BO1109" s="147"/>
      <c r="BP1109" s="147"/>
      <c r="BQ1109" s="147"/>
      <c r="BR1109" s="147"/>
      <c r="BS1109" s="147"/>
      <c r="BT1109" s="147"/>
      <c r="BU1109" s="147"/>
      <c r="BV1109" s="147"/>
      <c r="BW1109" s="147"/>
      <c r="BX1109" s="147"/>
      <c r="BY1109" s="147"/>
      <c r="BZ1109" s="147"/>
      <c r="CA1109" s="147"/>
      <c r="CB1109" s="147"/>
      <c r="CC1109" s="147"/>
      <c r="CD1109" s="147"/>
      <c r="CE1109" s="147"/>
      <c r="CF1109" s="147"/>
      <c r="CG1109" s="147"/>
      <c r="CH1109" s="147"/>
      <c r="CI1109" s="147"/>
      <c r="CJ1109" s="147"/>
      <c r="CK1109" s="147"/>
    </row>
    <row r="1110" spans="1:89">
      <c r="A1110" s="157"/>
      <c r="F1110" s="3"/>
      <c r="G1110" s="3"/>
      <c r="L1110" s="157"/>
      <c r="M1110" s="157"/>
      <c r="O1110" s="147"/>
      <c r="P1110" s="147"/>
      <c r="Q1110" s="147"/>
      <c r="R1110" s="147"/>
      <c r="S1110" s="147"/>
      <c r="T1110" s="147"/>
      <c r="U1110" s="147"/>
      <c r="V1110" s="147"/>
      <c r="W1110" s="147"/>
      <c r="X1110" s="147"/>
      <c r="Y1110" s="147"/>
      <c r="Z1110" s="147"/>
      <c r="AA1110" s="147"/>
      <c r="AB1110" s="147"/>
      <c r="AC1110" s="147"/>
      <c r="AD1110" s="147"/>
      <c r="AE1110" s="147"/>
      <c r="AF1110" s="147"/>
      <c r="AG1110" s="147"/>
      <c r="AH1110" s="147"/>
      <c r="AI1110" s="147"/>
      <c r="AJ1110" s="147"/>
      <c r="AK1110" s="147"/>
      <c r="AL1110" s="147"/>
      <c r="AM1110" s="151"/>
      <c r="AN1110" s="147"/>
      <c r="AO1110" s="147"/>
      <c r="AP1110" s="147"/>
      <c r="AQ1110" s="147"/>
      <c r="AR1110" s="147"/>
      <c r="AS1110" s="147"/>
      <c r="AT1110" s="147"/>
      <c r="AU1110" s="147"/>
      <c r="AV1110" s="147"/>
      <c r="AW1110" s="147"/>
      <c r="AX1110" s="147"/>
      <c r="AY1110" s="147"/>
      <c r="AZ1110" s="147"/>
      <c r="BA1110" s="147"/>
      <c r="BB1110" s="147"/>
      <c r="BC1110" s="147"/>
      <c r="BD1110" s="147"/>
      <c r="BE1110" s="147"/>
      <c r="BF1110" s="147"/>
      <c r="BG1110" s="147"/>
      <c r="BH1110" s="147"/>
      <c r="BI1110" s="147"/>
      <c r="BJ1110" s="147"/>
      <c r="BK1110" s="147"/>
      <c r="BL1110" s="147"/>
      <c r="BM1110" s="147"/>
      <c r="BN1110" s="147"/>
      <c r="BO1110" s="147"/>
      <c r="BP1110" s="147"/>
      <c r="BQ1110" s="147"/>
      <c r="BR1110" s="147"/>
      <c r="BS1110" s="147"/>
      <c r="BT1110" s="147"/>
      <c r="BU1110" s="147"/>
      <c r="BV1110" s="147"/>
      <c r="BW1110" s="147"/>
      <c r="BX1110" s="147"/>
      <c r="BY1110" s="147"/>
      <c r="BZ1110" s="147"/>
      <c r="CA1110" s="147"/>
      <c r="CB1110" s="147"/>
      <c r="CC1110" s="147"/>
      <c r="CD1110" s="147"/>
      <c r="CE1110" s="147"/>
      <c r="CF1110" s="147"/>
      <c r="CG1110" s="147"/>
      <c r="CH1110" s="147"/>
      <c r="CI1110" s="147"/>
      <c r="CJ1110" s="147"/>
      <c r="CK1110" s="147"/>
    </row>
    <row r="1111" spans="1:89">
      <c r="A1111" s="157"/>
      <c r="F1111" s="3"/>
      <c r="G1111" s="3"/>
      <c r="L1111" s="157"/>
      <c r="M1111" s="157"/>
      <c r="O1111" s="147"/>
      <c r="P1111" s="147"/>
      <c r="Q1111" s="147"/>
      <c r="R1111" s="147"/>
      <c r="S1111" s="147"/>
      <c r="T1111" s="147"/>
      <c r="U1111" s="147"/>
      <c r="V1111" s="147"/>
      <c r="W1111" s="147"/>
      <c r="X1111" s="147"/>
      <c r="Y1111" s="147"/>
      <c r="Z1111" s="147"/>
      <c r="AA1111" s="147"/>
      <c r="AB1111" s="147"/>
      <c r="AC1111" s="147"/>
      <c r="AD1111" s="147"/>
      <c r="AE1111" s="147"/>
      <c r="AF1111" s="147"/>
      <c r="AG1111" s="147"/>
      <c r="AH1111" s="147"/>
      <c r="AI1111" s="147"/>
      <c r="AJ1111" s="147"/>
      <c r="AK1111" s="147"/>
      <c r="AL1111" s="147"/>
      <c r="AM1111" s="151"/>
      <c r="AN1111" s="147"/>
      <c r="AO1111" s="147"/>
      <c r="AP1111" s="147"/>
      <c r="AQ1111" s="147"/>
      <c r="AR1111" s="147"/>
      <c r="AS1111" s="147"/>
      <c r="AT1111" s="147"/>
      <c r="AU1111" s="147"/>
      <c r="AV1111" s="147"/>
      <c r="AW1111" s="147"/>
      <c r="AX1111" s="147"/>
      <c r="AY1111" s="147"/>
      <c r="AZ1111" s="147"/>
      <c r="BA1111" s="147"/>
      <c r="BB1111" s="147"/>
      <c r="BC1111" s="147"/>
      <c r="BD1111" s="147"/>
      <c r="BE1111" s="147"/>
      <c r="BF1111" s="147"/>
      <c r="BG1111" s="147"/>
      <c r="BH1111" s="147"/>
      <c r="BI1111" s="147"/>
      <c r="BJ1111" s="147"/>
      <c r="BK1111" s="147"/>
      <c r="BL1111" s="147"/>
      <c r="BM1111" s="147"/>
      <c r="BN1111" s="147"/>
      <c r="BO1111" s="147"/>
      <c r="BP1111" s="147"/>
      <c r="BQ1111" s="147"/>
      <c r="BR1111" s="147"/>
      <c r="BS1111" s="147"/>
      <c r="BT1111" s="147"/>
      <c r="BU1111" s="147"/>
      <c r="BV1111" s="147"/>
      <c r="BW1111" s="147"/>
      <c r="BX1111" s="147"/>
      <c r="BY1111" s="147"/>
      <c r="BZ1111" s="147"/>
      <c r="CA1111" s="147"/>
      <c r="CB1111" s="147"/>
      <c r="CC1111" s="147"/>
      <c r="CD1111" s="147"/>
      <c r="CE1111" s="147"/>
      <c r="CF1111" s="147"/>
      <c r="CG1111" s="147"/>
      <c r="CH1111" s="147"/>
      <c r="CI1111" s="147"/>
      <c r="CJ1111" s="147"/>
      <c r="CK1111" s="147"/>
    </row>
    <row r="1112" spans="1:89">
      <c r="A1112" s="157"/>
      <c r="F1112" s="3"/>
      <c r="G1112" s="3"/>
      <c r="L1112" s="157"/>
      <c r="M1112" s="157"/>
      <c r="O1112" s="147"/>
      <c r="P1112" s="147"/>
      <c r="Q1112" s="147"/>
      <c r="R1112" s="147"/>
      <c r="S1112" s="147"/>
      <c r="T1112" s="147"/>
      <c r="U1112" s="147"/>
      <c r="V1112" s="147"/>
      <c r="W1112" s="147"/>
      <c r="X1112" s="147"/>
      <c r="Y1112" s="147"/>
      <c r="Z1112" s="147"/>
      <c r="AA1112" s="147"/>
      <c r="AB1112" s="147"/>
      <c r="AC1112" s="147"/>
      <c r="AD1112" s="147"/>
      <c r="AE1112" s="147"/>
      <c r="AF1112" s="147"/>
      <c r="AG1112" s="147"/>
      <c r="AH1112" s="147"/>
      <c r="AI1112" s="147"/>
      <c r="AJ1112" s="147"/>
      <c r="AK1112" s="147"/>
      <c r="AL1112" s="147"/>
      <c r="AM1112" s="151"/>
      <c r="AN1112" s="147"/>
      <c r="AO1112" s="147"/>
      <c r="AP1112" s="147"/>
      <c r="AQ1112" s="147"/>
      <c r="AR1112" s="147"/>
      <c r="AS1112" s="147"/>
      <c r="AT1112" s="147"/>
      <c r="AU1112" s="147"/>
      <c r="AV1112" s="147"/>
      <c r="AW1112" s="147"/>
      <c r="AX1112" s="147"/>
      <c r="AY1112" s="147"/>
      <c r="AZ1112" s="147"/>
      <c r="BA1112" s="147"/>
      <c r="BB1112" s="147"/>
      <c r="BC1112" s="147"/>
      <c r="BD1112" s="147"/>
      <c r="BE1112" s="147"/>
      <c r="BF1112" s="147"/>
      <c r="BG1112" s="147"/>
      <c r="BH1112" s="147"/>
      <c r="BI1112" s="147"/>
      <c r="BJ1112" s="147"/>
      <c r="BK1112" s="147"/>
      <c r="BL1112" s="147"/>
      <c r="BM1112" s="147"/>
      <c r="BN1112" s="147"/>
      <c r="BO1112" s="147"/>
      <c r="BP1112" s="147"/>
      <c r="BQ1112" s="147"/>
      <c r="BR1112" s="147"/>
      <c r="BS1112" s="147"/>
      <c r="BT1112" s="147"/>
      <c r="BU1112" s="147"/>
      <c r="BV1112" s="147"/>
      <c r="BW1112" s="147"/>
      <c r="BX1112" s="147"/>
      <c r="BY1112" s="147"/>
      <c r="BZ1112" s="147"/>
      <c r="CA1112" s="147"/>
      <c r="CB1112" s="147"/>
      <c r="CC1112" s="147"/>
      <c r="CD1112" s="147"/>
      <c r="CE1112" s="147"/>
      <c r="CF1112" s="147"/>
      <c r="CG1112" s="147"/>
      <c r="CH1112" s="147"/>
      <c r="CI1112" s="147"/>
      <c r="CJ1112" s="147"/>
      <c r="CK1112" s="147"/>
    </row>
    <row r="1113" spans="1:89">
      <c r="A1113" s="157"/>
      <c r="F1113" s="3"/>
      <c r="G1113" s="3"/>
      <c r="L1113" s="157"/>
      <c r="M1113" s="157"/>
      <c r="O1113" s="147"/>
      <c r="P1113" s="147"/>
      <c r="Q1113" s="147"/>
      <c r="R1113" s="147"/>
      <c r="S1113" s="147"/>
      <c r="T1113" s="147"/>
      <c r="U1113" s="147"/>
      <c r="V1113" s="147"/>
      <c r="W1113" s="147"/>
      <c r="X1113" s="147"/>
      <c r="Y1113" s="147"/>
      <c r="Z1113" s="147"/>
      <c r="AA1113" s="147"/>
      <c r="AB1113" s="147"/>
      <c r="AC1113" s="147"/>
      <c r="AD1113" s="147"/>
      <c r="AE1113" s="147"/>
      <c r="AF1113" s="147"/>
      <c r="AG1113" s="147"/>
      <c r="AH1113" s="147"/>
      <c r="AI1113" s="147"/>
      <c r="AJ1113" s="147"/>
      <c r="AK1113" s="147"/>
      <c r="AL1113" s="147"/>
      <c r="AM1113" s="151"/>
      <c r="AN1113" s="147"/>
      <c r="AO1113" s="147"/>
      <c r="AP1113" s="147"/>
      <c r="AQ1113" s="147"/>
      <c r="AR1113" s="147"/>
      <c r="AS1113" s="147"/>
      <c r="AT1113" s="147"/>
      <c r="AU1113" s="147"/>
      <c r="AV1113" s="147"/>
      <c r="AW1113" s="147"/>
      <c r="AX1113" s="147"/>
      <c r="AY1113" s="147"/>
      <c r="AZ1113" s="147"/>
      <c r="BA1113" s="147"/>
      <c r="BB1113" s="147"/>
      <c r="BC1113" s="147"/>
      <c r="BD1113" s="147"/>
      <c r="BE1113" s="147"/>
      <c r="BF1113" s="147"/>
      <c r="BG1113" s="147"/>
      <c r="BH1113" s="147"/>
      <c r="BI1113" s="147"/>
      <c r="BJ1113" s="147"/>
      <c r="BK1113" s="147"/>
      <c r="BL1113" s="147"/>
      <c r="BM1113" s="147"/>
      <c r="BN1113" s="147"/>
      <c r="BO1113" s="147"/>
      <c r="BP1113" s="147"/>
      <c r="BQ1113" s="147"/>
      <c r="BR1113" s="147"/>
      <c r="BS1113" s="147"/>
      <c r="BT1113" s="147"/>
      <c r="BU1113" s="147"/>
      <c r="BV1113" s="147"/>
      <c r="BW1113" s="147"/>
      <c r="BX1113" s="147"/>
      <c r="BY1113" s="147"/>
      <c r="BZ1113" s="147"/>
      <c r="CA1113" s="147"/>
      <c r="CB1113" s="147"/>
      <c r="CC1113" s="147"/>
      <c r="CD1113" s="147"/>
      <c r="CE1113" s="147"/>
      <c r="CF1113" s="147"/>
      <c r="CG1113" s="147"/>
      <c r="CH1113" s="147"/>
      <c r="CI1113" s="147"/>
      <c r="CJ1113" s="147"/>
      <c r="CK1113" s="147"/>
    </row>
    <row r="1114" spans="1:89">
      <c r="A1114" s="157"/>
      <c r="F1114" s="3"/>
      <c r="G1114" s="3"/>
      <c r="L1114" s="157"/>
      <c r="M1114" s="157"/>
      <c r="O1114" s="147"/>
      <c r="P1114" s="147"/>
      <c r="Q1114" s="147"/>
      <c r="R1114" s="147"/>
      <c r="S1114" s="147"/>
      <c r="T1114" s="147"/>
      <c r="U1114" s="147"/>
      <c r="V1114" s="147"/>
      <c r="W1114" s="147"/>
      <c r="X1114" s="147"/>
      <c r="Y1114" s="147"/>
      <c r="Z1114" s="147"/>
      <c r="AA1114" s="147"/>
      <c r="AB1114" s="147"/>
      <c r="AC1114" s="147"/>
      <c r="AD1114" s="147"/>
      <c r="AE1114" s="147"/>
      <c r="AF1114" s="147"/>
      <c r="AG1114" s="147"/>
      <c r="AH1114" s="147"/>
      <c r="AI1114" s="147"/>
      <c r="AJ1114" s="147"/>
      <c r="AK1114" s="147"/>
      <c r="AL1114" s="147"/>
      <c r="AM1114" s="151"/>
      <c r="AN1114" s="147"/>
      <c r="AO1114" s="147"/>
      <c r="AP1114" s="147"/>
      <c r="AQ1114" s="147"/>
      <c r="AR1114" s="147"/>
      <c r="AS1114" s="147"/>
      <c r="AT1114" s="147"/>
      <c r="AU1114" s="147"/>
      <c r="AV1114" s="147"/>
      <c r="AW1114" s="147"/>
      <c r="AX1114" s="147"/>
      <c r="AY1114" s="147"/>
      <c r="AZ1114" s="147"/>
      <c r="BA1114" s="147"/>
      <c r="BB1114" s="147"/>
      <c r="BC1114" s="147"/>
      <c r="BD1114" s="147"/>
      <c r="BE1114" s="147"/>
      <c r="BF1114" s="147"/>
      <c r="BG1114" s="147"/>
      <c r="BH1114" s="147"/>
      <c r="BI1114" s="147"/>
      <c r="BJ1114" s="147"/>
      <c r="BK1114" s="147"/>
      <c r="BL1114" s="147"/>
      <c r="BM1114" s="147"/>
      <c r="BN1114" s="147"/>
      <c r="BO1114" s="147"/>
      <c r="BP1114" s="147"/>
      <c r="BQ1114" s="147"/>
      <c r="BR1114" s="147"/>
      <c r="BS1114" s="147"/>
      <c r="BT1114" s="147"/>
      <c r="BU1114" s="147"/>
      <c r="BV1114" s="147"/>
      <c r="BW1114" s="147"/>
      <c r="BX1114" s="147"/>
      <c r="BY1114" s="147"/>
      <c r="BZ1114" s="147"/>
      <c r="CA1114" s="147"/>
      <c r="CB1114" s="147"/>
      <c r="CC1114" s="147"/>
      <c r="CD1114" s="147"/>
      <c r="CE1114" s="147"/>
      <c r="CF1114" s="147"/>
      <c r="CG1114" s="147"/>
      <c r="CH1114" s="147"/>
      <c r="CI1114" s="147"/>
      <c r="CJ1114" s="147"/>
      <c r="CK1114" s="147"/>
    </row>
    <row r="1115" spans="1:89">
      <c r="A1115" s="157"/>
      <c r="F1115" s="3"/>
      <c r="G1115" s="3"/>
      <c r="L1115" s="157"/>
      <c r="M1115" s="157"/>
      <c r="O1115" s="147"/>
      <c r="P1115" s="147"/>
      <c r="Q1115" s="147"/>
      <c r="R1115" s="147"/>
      <c r="S1115" s="147"/>
      <c r="T1115" s="147"/>
      <c r="U1115" s="147"/>
      <c r="V1115" s="147"/>
      <c r="W1115" s="147"/>
      <c r="X1115" s="147"/>
      <c r="Y1115" s="147"/>
      <c r="Z1115" s="147"/>
      <c r="AA1115" s="147"/>
      <c r="AB1115" s="147"/>
      <c r="AC1115" s="147"/>
      <c r="AD1115" s="147"/>
      <c r="AE1115" s="147"/>
      <c r="AF1115" s="147"/>
      <c r="AG1115" s="147"/>
      <c r="AH1115" s="147"/>
      <c r="AI1115" s="147"/>
      <c r="AJ1115" s="147"/>
      <c r="AK1115" s="147"/>
      <c r="AL1115" s="147"/>
      <c r="AM1115" s="151"/>
      <c r="AN1115" s="147"/>
      <c r="AO1115" s="147"/>
      <c r="AP1115" s="147"/>
      <c r="AQ1115" s="147"/>
      <c r="AR1115" s="147"/>
      <c r="AS1115" s="147"/>
      <c r="AT1115" s="147"/>
      <c r="AU1115" s="147"/>
      <c r="AV1115" s="147"/>
      <c r="AW1115" s="147"/>
      <c r="AX1115" s="147"/>
      <c r="AY1115" s="147"/>
      <c r="AZ1115" s="147"/>
      <c r="BA1115" s="147"/>
      <c r="BB1115" s="147"/>
      <c r="BC1115" s="147"/>
      <c r="BD1115" s="147"/>
      <c r="BE1115" s="147"/>
      <c r="BF1115" s="147"/>
      <c r="BG1115" s="147"/>
      <c r="BH1115" s="147"/>
      <c r="BI1115" s="147"/>
      <c r="BJ1115" s="147"/>
      <c r="BK1115" s="147"/>
      <c r="BL1115" s="147"/>
      <c r="BM1115" s="147"/>
      <c r="BN1115" s="147"/>
      <c r="BO1115" s="147"/>
      <c r="BP1115" s="147"/>
      <c r="BQ1115" s="147"/>
      <c r="BR1115" s="147"/>
      <c r="BS1115" s="147"/>
      <c r="BT1115" s="147"/>
      <c r="BU1115" s="147"/>
      <c r="BV1115" s="147"/>
      <c r="BW1115" s="147"/>
      <c r="BX1115" s="147"/>
      <c r="BY1115" s="147"/>
      <c r="BZ1115" s="147"/>
      <c r="CA1115" s="147"/>
      <c r="CB1115" s="147"/>
      <c r="CC1115" s="147"/>
      <c r="CD1115" s="147"/>
      <c r="CE1115" s="147"/>
      <c r="CF1115" s="147"/>
      <c r="CG1115" s="147"/>
      <c r="CH1115" s="147"/>
      <c r="CI1115" s="147"/>
      <c r="CJ1115" s="147"/>
      <c r="CK1115" s="147"/>
    </row>
    <row r="1116" spans="1:89">
      <c r="A1116" s="157"/>
      <c r="F1116" s="3"/>
      <c r="G1116" s="3"/>
      <c r="L1116" s="157"/>
      <c r="M1116" s="157"/>
      <c r="O1116" s="147"/>
      <c r="P1116" s="147"/>
      <c r="Q1116" s="147"/>
      <c r="R1116" s="147"/>
      <c r="S1116" s="147"/>
      <c r="T1116" s="147"/>
      <c r="U1116" s="147"/>
      <c r="V1116" s="147"/>
      <c r="W1116" s="147"/>
      <c r="X1116" s="147"/>
      <c r="Y1116" s="147"/>
      <c r="Z1116" s="147"/>
      <c r="AA1116" s="147"/>
      <c r="AB1116" s="147"/>
      <c r="AC1116" s="147"/>
      <c r="AD1116" s="147"/>
      <c r="AE1116" s="147"/>
      <c r="AF1116" s="147"/>
      <c r="AG1116" s="147"/>
      <c r="AH1116" s="147"/>
      <c r="AI1116" s="147"/>
      <c r="AJ1116" s="147"/>
      <c r="AK1116" s="147"/>
      <c r="AL1116" s="147"/>
      <c r="AM1116" s="151"/>
      <c r="AN1116" s="147"/>
      <c r="AO1116" s="147"/>
      <c r="AP1116" s="147"/>
      <c r="AQ1116" s="147"/>
      <c r="AR1116" s="147"/>
      <c r="AS1116" s="147"/>
      <c r="AT1116" s="147"/>
      <c r="AU1116" s="147"/>
      <c r="AV1116" s="147"/>
      <c r="AW1116" s="147"/>
      <c r="AX1116" s="147"/>
      <c r="AY1116" s="147"/>
      <c r="AZ1116" s="147"/>
      <c r="BA1116" s="147"/>
      <c r="BB1116" s="147"/>
      <c r="BC1116" s="147"/>
      <c r="BD1116" s="147"/>
      <c r="BE1116" s="147"/>
      <c r="BF1116" s="147"/>
      <c r="BG1116" s="147"/>
      <c r="BH1116" s="147"/>
      <c r="BI1116" s="147"/>
      <c r="BJ1116" s="147"/>
      <c r="BK1116" s="147"/>
      <c r="BL1116" s="147"/>
      <c r="BM1116" s="147"/>
      <c r="BN1116" s="147"/>
      <c r="BO1116" s="147"/>
      <c r="BP1116" s="147"/>
      <c r="BQ1116" s="147"/>
      <c r="BR1116" s="147"/>
      <c r="BS1116" s="147"/>
      <c r="BT1116" s="147"/>
      <c r="BU1116" s="147"/>
      <c r="BV1116" s="147"/>
      <c r="BW1116" s="147"/>
      <c r="BX1116" s="147"/>
      <c r="BY1116" s="147"/>
      <c r="BZ1116" s="147"/>
      <c r="CA1116" s="147"/>
      <c r="CB1116" s="147"/>
      <c r="CC1116" s="147"/>
      <c r="CD1116" s="147"/>
      <c r="CE1116" s="147"/>
      <c r="CF1116" s="147"/>
      <c r="CG1116" s="147"/>
      <c r="CH1116" s="147"/>
      <c r="CI1116" s="147"/>
      <c r="CJ1116" s="147"/>
      <c r="CK1116" s="147"/>
    </row>
    <row r="1117" spans="1:89">
      <c r="A1117" s="157"/>
      <c r="F1117" s="3"/>
      <c r="G1117" s="3"/>
      <c r="L1117" s="157"/>
      <c r="M1117" s="157"/>
      <c r="O1117" s="147"/>
      <c r="P1117" s="147"/>
      <c r="Q1117" s="147"/>
      <c r="R1117" s="147"/>
      <c r="S1117" s="147"/>
      <c r="T1117" s="147"/>
      <c r="U1117" s="147"/>
      <c r="V1117" s="147"/>
      <c r="W1117" s="147"/>
      <c r="X1117" s="147"/>
      <c r="Y1117" s="147"/>
      <c r="Z1117" s="147"/>
      <c r="AA1117" s="147"/>
      <c r="AB1117" s="147"/>
      <c r="AC1117" s="147"/>
      <c r="AD1117" s="147"/>
      <c r="AE1117" s="147"/>
      <c r="AF1117" s="147"/>
      <c r="AG1117" s="147"/>
      <c r="AH1117" s="147"/>
      <c r="AI1117" s="147"/>
      <c r="AJ1117" s="147"/>
      <c r="AK1117" s="147"/>
      <c r="AL1117" s="147"/>
      <c r="AM1117" s="151"/>
      <c r="AN1117" s="147"/>
      <c r="AO1117" s="147"/>
      <c r="AP1117" s="147"/>
      <c r="AQ1117" s="147"/>
      <c r="AR1117" s="147"/>
      <c r="AS1117" s="147"/>
      <c r="AT1117" s="147"/>
      <c r="AU1117" s="147"/>
      <c r="AV1117" s="147"/>
      <c r="AW1117" s="147"/>
      <c r="AX1117" s="147"/>
      <c r="AY1117" s="147"/>
      <c r="AZ1117" s="147"/>
      <c r="BA1117" s="147"/>
      <c r="BB1117" s="147"/>
      <c r="BC1117" s="147"/>
      <c r="BD1117" s="147"/>
      <c r="BE1117" s="147"/>
      <c r="BF1117" s="147"/>
      <c r="BG1117" s="147"/>
      <c r="BH1117" s="147"/>
      <c r="BI1117" s="147"/>
      <c r="BJ1117" s="147"/>
      <c r="BK1117" s="147"/>
      <c r="BL1117" s="147"/>
      <c r="BM1117" s="147"/>
      <c r="BN1117" s="147"/>
      <c r="BO1117" s="147"/>
      <c r="BP1117" s="147"/>
      <c r="BQ1117" s="147"/>
      <c r="BR1117" s="147"/>
      <c r="BS1117" s="147"/>
      <c r="BT1117" s="147"/>
      <c r="BU1117" s="147"/>
      <c r="BV1117" s="147"/>
      <c r="BW1117" s="147"/>
      <c r="BX1117" s="147"/>
      <c r="BY1117" s="147"/>
      <c r="BZ1117" s="147"/>
      <c r="CA1117" s="147"/>
      <c r="CB1117" s="147"/>
      <c r="CC1117" s="147"/>
      <c r="CD1117" s="147"/>
      <c r="CE1117" s="147"/>
      <c r="CF1117" s="147"/>
      <c r="CG1117" s="147"/>
      <c r="CH1117" s="147"/>
      <c r="CI1117" s="147"/>
      <c r="CJ1117" s="147"/>
      <c r="CK1117" s="147"/>
    </row>
    <row r="1118" spans="1:89">
      <c r="A1118" s="157"/>
      <c r="F1118" s="3"/>
      <c r="G1118" s="3"/>
      <c r="L1118" s="157"/>
      <c r="M1118" s="157"/>
      <c r="O1118" s="147"/>
      <c r="P1118" s="147"/>
      <c r="Q1118" s="147"/>
      <c r="R1118" s="147"/>
      <c r="S1118" s="147"/>
      <c r="T1118" s="147"/>
      <c r="U1118" s="147"/>
      <c r="V1118" s="147"/>
      <c r="W1118" s="147"/>
      <c r="X1118" s="147"/>
      <c r="Y1118" s="147"/>
      <c r="Z1118" s="147"/>
      <c r="AA1118" s="147"/>
      <c r="AB1118" s="147"/>
      <c r="AC1118" s="147"/>
      <c r="AD1118" s="147"/>
      <c r="AE1118" s="147"/>
      <c r="AF1118" s="147"/>
      <c r="AG1118" s="147"/>
      <c r="AH1118" s="147"/>
      <c r="AI1118" s="147"/>
      <c r="AJ1118" s="147"/>
      <c r="AK1118" s="147"/>
      <c r="AL1118" s="147"/>
      <c r="AM1118" s="151"/>
      <c r="AN1118" s="147"/>
      <c r="AO1118" s="147"/>
      <c r="AP1118" s="147"/>
      <c r="AQ1118" s="147"/>
      <c r="AR1118" s="147"/>
      <c r="AS1118" s="147"/>
      <c r="AT1118" s="147"/>
      <c r="AU1118" s="147"/>
      <c r="AV1118" s="147"/>
      <c r="AW1118" s="147"/>
      <c r="AX1118" s="147"/>
      <c r="AY1118" s="147"/>
      <c r="AZ1118" s="147"/>
      <c r="BA1118" s="147"/>
      <c r="BB1118" s="147"/>
      <c r="BC1118" s="147"/>
      <c r="BD1118" s="147"/>
      <c r="BE1118" s="147"/>
      <c r="BF1118" s="147"/>
      <c r="BG1118" s="147"/>
      <c r="BH1118" s="147"/>
      <c r="BI1118" s="147"/>
      <c r="BJ1118" s="147"/>
      <c r="BK1118" s="147"/>
      <c r="BL1118" s="147"/>
      <c r="BM1118" s="147"/>
      <c r="BN1118" s="147"/>
      <c r="BO1118" s="147"/>
      <c r="BP1118" s="147"/>
      <c r="BQ1118" s="147"/>
      <c r="BR1118" s="147"/>
      <c r="BS1118" s="147"/>
      <c r="BT1118" s="147"/>
      <c r="BU1118" s="147"/>
      <c r="BV1118" s="147"/>
      <c r="BW1118" s="147"/>
      <c r="BX1118" s="147"/>
      <c r="BY1118" s="147"/>
      <c r="BZ1118" s="147"/>
      <c r="CA1118" s="147"/>
      <c r="CB1118" s="147"/>
      <c r="CC1118" s="147"/>
      <c r="CD1118" s="147"/>
      <c r="CE1118" s="147"/>
      <c r="CF1118" s="147"/>
      <c r="CG1118" s="147"/>
      <c r="CH1118" s="147"/>
      <c r="CI1118" s="147"/>
      <c r="CJ1118" s="147"/>
      <c r="CK1118" s="147"/>
    </row>
    <row r="1119" spans="1:89">
      <c r="A1119" s="157"/>
      <c r="F1119" s="3"/>
      <c r="G1119" s="3"/>
      <c r="L1119" s="157"/>
      <c r="M1119" s="157"/>
      <c r="O1119" s="147"/>
      <c r="P1119" s="147"/>
      <c r="Q1119" s="147"/>
      <c r="R1119" s="147"/>
      <c r="S1119" s="147"/>
      <c r="T1119" s="147"/>
      <c r="U1119" s="147"/>
      <c r="V1119" s="147"/>
      <c r="W1119" s="147"/>
      <c r="X1119" s="147"/>
      <c r="Y1119" s="147"/>
      <c r="Z1119" s="147"/>
      <c r="AA1119" s="147"/>
      <c r="AB1119" s="147"/>
      <c r="AC1119" s="147"/>
      <c r="AD1119" s="147"/>
      <c r="AE1119" s="147"/>
      <c r="AF1119" s="147"/>
      <c r="AG1119" s="147"/>
      <c r="AH1119" s="147"/>
      <c r="AI1119" s="147"/>
      <c r="AJ1119" s="147"/>
      <c r="AK1119" s="147"/>
      <c r="AL1119" s="147"/>
      <c r="AM1119" s="151"/>
      <c r="AN1119" s="147"/>
      <c r="AO1119" s="147"/>
      <c r="AP1119" s="147"/>
      <c r="AQ1119" s="147"/>
      <c r="AR1119" s="147"/>
      <c r="AS1119" s="147"/>
      <c r="AT1119" s="147"/>
      <c r="AU1119" s="147"/>
      <c r="AV1119" s="147"/>
      <c r="AW1119" s="147"/>
      <c r="AX1119" s="147"/>
      <c r="AY1119" s="147"/>
      <c r="AZ1119" s="147"/>
      <c r="BA1119" s="147"/>
      <c r="BB1119" s="147"/>
      <c r="BC1119" s="147"/>
      <c r="BD1119" s="147"/>
      <c r="BE1119" s="147"/>
      <c r="BF1119" s="147"/>
      <c r="BG1119" s="147"/>
      <c r="BH1119" s="147"/>
      <c r="BI1119" s="147"/>
      <c r="BJ1119" s="147"/>
      <c r="BK1119" s="147"/>
      <c r="BL1119" s="147"/>
      <c r="BM1119" s="147"/>
      <c r="BN1119" s="147"/>
      <c r="BO1119" s="147"/>
      <c r="BP1119" s="147"/>
      <c r="BQ1119" s="147"/>
      <c r="BR1119" s="147"/>
      <c r="BS1119" s="147"/>
      <c r="BT1119" s="147"/>
      <c r="BU1119" s="147"/>
      <c r="BV1119" s="147"/>
      <c r="BW1119" s="147"/>
      <c r="BX1119" s="147"/>
      <c r="BY1119" s="147"/>
      <c r="BZ1119" s="147"/>
      <c r="CA1119" s="147"/>
      <c r="CB1119" s="147"/>
      <c r="CC1119" s="147"/>
      <c r="CD1119" s="147"/>
      <c r="CE1119" s="147"/>
      <c r="CF1119" s="147"/>
      <c r="CG1119" s="147"/>
      <c r="CH1119" s="147"/>
      <c r="CI1119" s="147"/>
      <c r="CJ1119" s="147"/>
      <c r="CK1119" s="147"/>
    </row>
    <row r="1120" spans="1:89">
      <c r="A1120" s="157"/>
      <c r="F1120" s="3"/>
      <c r="G1120" s="3"/>
      <c r="L1120" s="157"/>
      <c r="M1120" s="157"/>
      <c r="O1120" s="147"/>
      <c r="P1120" s="147"/>
      <c r="Q1120" s="147"/>
      <c r="R1120" s="147"/>
      <c r="S1120" s="147"/>
      <c r="T1120" s="147"/>
      <c r="U1120" s="147"/>
      <c r="V1120" s="147"/>
      <c r="W1120" s="147"/>
      <c r="X1120" s="147"/>
      <c r="Y1120" s="147"/>
      <c r="Z1120" s="147"/>
      <c r="AA1120" s="147"/>
      <c r="AB1120" s="147"/>
      <c r="AC1120" s="147"/>
      <c r="AD1120" s="147"/>
      <c r="AE1120" s="147"/>
      <c r="AF1120" s="147"/>
      <c r="AG1120" s="147"/>
      <c r="AH1120" s="147"/>
      <c r="AI1120" s="147"/>
      <c r="AJ1120" s="147"/>
      <c r="AK1120" s="147"/>
      <c r="AL1120" s="147"/>
      <c r="AM1120" s="151"/>
      <c r="AN1120" s="147"/>
      <c r="AO1120" s="147"/>
      <c r="AP1120" s="147"/>
      <c r="AQ1120" s="147"/>
      <c r="AR1120" s="147"/>
      <c r="AS1120" s="147"/>
      <c r="AT1120" s="147"/>
      <c r="AU1120" s="147"/>
      <c r="AV1120" s="147"/>
      <c r="AW1120" s="147"/>
      <c r="AX1120" s="147"/>
      <c r="AY1120" s="147"/>
      <c r="AZ1120" s="147"/>
      <c r="BA1120" s="147"/>
      <c r="BB1120" s="147"/>
      <c r="BC1120" s="147"/>
      <c r="BD1120" s="147"/>
      <c r="BE1120" s="147"/>
      <c r="BF1120" s="147"/>
      <c r="BG1120" s="147"/>
      <c r="BH1120" s="147"/>
      <c r="BI1120" s="147"/>
      <c r="BJ1120" s="147"/>
      <c r="BK1120" s="147"/>
      <c r="BL1120" s="147"/>
      <c r="BM1120" s="147"/>
      <c r="BN1120" s="147"/>
      <c r="BO1120" s="147"/>
      <c r="BP1120" s="147"/>
      <c r="BQ1120" s="147"/>
      <c r="BR1120" s="147"/>
      <c r="BS1120" s="147"/>
      <c r="BT1120" s="147"/>
      <c r="BU1120" s="147"/>
      <c r="BV1120" s="147"/>
      <c r="BW1120" s="147"/>
      <c r="BX1120" s="147"/>
      <c r="BY1120" s="147"/>
      <c r="BZ1120" s="147"/>
      <c r="CA1120" s="147"/>
      <c r="CB1120" s="147"/>
      <c r="CC1120" s="147"/>
      <c r="CD1120" s="147"/>
      <c r="CE1120" s="147"/>
      <c r="CF1120" s="147"/>
      <c r="CG1120" s="147"/>
      <c r="CH1120" s="147"/>
      <c r="CI1120" s="147"/>
      <c r="CJ1120" s="147"/>
      <c r="CK1120" s="147"/>
    </row>
    <row r="1121" spans="1:89">
      <c r="A1121" s="157"/>
      <c r="F1121" s="3"/>
      <c r="G1121" s="3"/>
      <c r="L1121" s="157"/>
      <c r="M1121" s="157"/>
      <c r="O1121" s="147"/>
      <c r="P1121" s="147"/>
      <c r="Q1121" s="147"/>
      <c r="R1121" s="147"/>
      <c r="S1121" s="147"/>
      <c r="T1121" s="147"/>
      <c r="U1121" s="147"/>
      <c r="V1121" s="147"/>
      <c r="W1121" s="147"/>
      <c r="X1121" s="147"/>
      <c r="Y1121" s="147"/>
      <c r="Z1121" s="147"/>
      <c r="AA1121" s="147"/>
      <c r="AB1121" s="147"/>
      <c r="AC1121" s="147"/>
      <c r="AD1121" s="147"/>
      <c r="AE1121" s="147"/>
      <c r="AF1121" s="147"/>
      <c r="AG1121" s="147"/>
      <c r="AH1121" s="147"/>
      <c r="AI1121" s="147"/>
      <c r="AJ1121" s="147"/>
      <c r="AK1121" s="147"/>
      <c r="AL1121" s="147"/>
      <c r="AM1121" s="151"/>
      <c r="AN1121" s="147"/>
      <c r="AO1121" s="147"/>
      <c r="AP1121" s="147"/>
      <c r="AQ1121" s="147"/>
      <c r="AR1121" s="147"/>
      <c r="AS1121" s="147"/>
      <c r="AT1121" s="147"/>
      <c r="AU1121" s="147"/>
      <c r="AV1121" s="147"/>
      <c r="AW1121" s="147"/>
      <c r="AX1121" s="147"/>
      <c r="AY1121" s="147"/>
      <c r="AZ1121" s="147"/>
      <c r="BA1121" s="147"/>
      <c r="BB1121" s="147"/>
      <c r="BC1121" s="147"/>
      <c r="BD1121" s="147"/>
      <c r="BE1121" s="147"/>
      <c r="BF1121" s="147"/>
      <c r="BG1121" s="147"/>
      <c r="BH1121" s="147"/>
      <c r="BI1121" s="147"/>
      <c r="BJ1121" s="147"/>
      <c r="BK1121" s="147"/>
      <c r="BL1121" s="147"/>
      <c r="BM1121" s="147"/>
      <c r="BN1121" s="147"/>
      <c r="BO1121" s="147"/>
      <c r="BP1121" s="147"/>
      <c r="BQ1121" s="147"/>
      <c r="BR1121" s="147"/>
      <c r="BS1121" s="147"/>
      <c r="BT1121" s="147"/>
      <c r="BU1121" s="147"/>
      <c r="BV1121" s="147"/>
      <c r="BW1121" s="147"/>
      <c r="BX1121" s="147"/>
      <c r="BY1121" s="147"/>
      <c r="BZ1121" s="147"/>
      <c r="CA1121" s="147"/>
      <c r="CB1121" s="147"/>
      <c r="CC1121" s="147"/>
      <c r="CD1121" s="147"/>
      <c r="CE1121" s="147"/>
      <c r="CF1121" s="147"/>
      <c r="CG1121" s="147"/>
      <c r="CH1121" s="147"/>
      <c r="CI1121" s="147"/>
      <c r="CJ1121" s="147"/>
      <c r="CK1121" s="147"/>
    </row>
    <row r="1122" spans="1:89">
      <c r="A1122" s="157"/>
      <c r="F1122" s="3"/>
      <c r="G1122" s="3"/>
      <c r="L1122" s="157"/>
      <c r="M1122" s="157"/>
      <c r="O1122" s="147"/>
      <c r="P1122" s="147"/>
      <c r="Q1122" s="147"/>
      <c r="R1122" s="147"/>
      <c r="S1122" s="147"/>
      <c r="T1122" s="147"/>
      <c r="U1122" s="147"/>
      <c r="V1122" s="147"/>
      <c r="W1122" s="147"/>
      <c r="X1122" s="147"/>
      <c r="Y1122" s="147"/>
      <c r="Z1122" s="147"/>
      <c r="AA1122" s="147"/>
      <c r="AB1122" s="147"/>
      <c r="AC1122" s="147"/>
      <c r="AD1122" s="147"/>
      <c r="AE1122" s="147"/>
      <c r="AF1122" s="147"/>
      <c r="AG1122" s="147"/>
      <c r="AH1122" s="147"/>
      <c r="AI1122" s="147"/>
      <c r="AJ1122" s="147"/>
      <c r="AK1122" s="147"/>
      <c r="AL1122" s="147"/>
      <c r="AM1122" s="151"/>
      <c r="AN1122" s="147"/>
      <c r="AO1122" s="147"/>
      <c r="AP1122" s="147"/>
      <c r="AQ1122" s="147"/>
      <c r="AR1122" s="147"/>
      <c r="AS1122" s="147"/>
      <c r="AT1122" s="147"/>
      <c r="AU1122" s="147"/>
      <c r="AV1122" s="147"/>
      <c r="AW1122" s="147"/>
      <c r="AX1122" s="147"/>
      <c r="AY1122" s="147"/>
      <c r="AZ1122" s="147"/>
      <c r="BA1122" s="147"/>
      <c r="BB1122" s="147"/>
      <c r="BC1122" s="147"/>
      <c r="BD1122" s="147"/>
      <c r="BE1122" s="147"/>
      <c r="BF1122" s="147"/>
      <c r="BG1122" s="147"/>
      <c r="BH1122" s="147"/>
      <c r="BI1122" s="147"/>
      <c r="BJ1122" s="147"/>
      <c r="BK1122" s="147"/>
      <c r="BL1122" s="147"/>
      <c r="BM1122" s="147"/>
      <c r="BN1122" s="147"/>
      <c r="BO1122" s="147"/>
      <c r="BP1122" s="147"/>
      <c r="BQ1122" s="147"/>
      <c r="BR1122" s="147"/>
      <c r="BS1122" s="147"/>
      <c r="BT1122" s="147"/>
      <c r="BU1122" s="147"/>
      <c r="BV1122" s="147"/>
      <c r="BW1122" s="147"/>
      <c r="BX1122" s="147"/>
      <c r="BY1122" s="147"/>
      <c r="BZ1122" s="147"/>
      <c r="CA1122" s="147"/>
      <c r="CB1122" s="147"/>
      <c r="CC1122" s="147"/>
      <c r="CD1122" s="147"/>
      <c r="CE1122" s="147"/>
      <c r="CF1122" s="147"/>
      <c r="CG1122" s="147"/>
      <c r="CH1122" s="147"/>
      <c r="CI1122" s="147"/>
      <c r="CJ1122" s="147"/>
      <c r="CK1122" s="147"/>
    </row>
    <row r="1123" spans="1:89">
      <c r="A1123" s="157"/>
      <c r="F1123" s="3"/>
      <c r="G1123" s="3"/>
      <c r="L1123" s="157"/>
      <c r="M1123" s="157"/>
      <c r="O1123" s="147"/>
      <c r="P1123" s="147"/>
      <c r="Q1123" s="147"/>
      <c r="R1123" s="147"/>
      <c r="S1123" s="147"/>
      <c r="T1123" s="147"/>
      <c r="U1123" s="147"/>
      <c r="V1123" s="147"/>
      <c r="W1123" s="147"/>
      <c r="X1123" s="147"/>
      <c r="Y1123" s="147"/>
      <c r="Z1123" s="147"/>
      <c r="AA1123" s="147"/>
      <c r="AB1123" s="147"/>
      <c r="AC1123" s="147"/>
      <c r="AD1123" s="147"/>
      <c r="AE1123" s="147"/>
      <c r="AF1123" s="147"/>
      <c r="AG1123" s="147"/>
      <c r="AH1123" s="147"/>
      <c r="AI1123" s="147"/>
      <c r="AJ1123" s="147"/>
      <c r="AK1123" s="147"/>
      <c r="AL1123" s="147"/>
      <c r="AM1123" s="151"/>
      <c r="AN1123" s="147"/>
      <c r="AO1123" s="147"/>
      <c r="AP1123" s="147"/>
      <c r="AQ1123" s="147"/>
      <c r="AR1123" s="147"/>
      <c r="AS1123" s="147"/>
      <c r="AT1123" s="147"/>
      <c r="AU1123" s="147"/>
      <c r="AV1123" s="147"/>
      <c r="AW1123" s="147"/>
      <c r="AX1123" s="147"/>
      <c r="AY1123" s="147"/>
      <c r="AZ1123" s="147"/>
      <c r="BA1123" s="147"/>
      <c r="BB1123" s="147"/>
      <c r="BC1123" s="147"/>
      <c r="BD1123" s="147"/>
      <c r="BE1123" s="147"/>
      <c r="BF1123" s="147"/>
      <c r="BG1123" s="147"/>
      <c r="BH1123" s="147"/>
      <c r="BI1123" s="147"/>
      <c r="BJ1123" s="147"/>
      <c r="BK1123" s="147"/>
      <c r="BL1123" s="147"/>
      <c r="BM1123" s="147"/>
      <c r="BN1123" s="147"/>
      <c r="BO1123" s="147"/>
      <c r="BP1123" s="147"/>
      <c r="BQ1123" s="147"/>
      <c r="BR1123" s="147"/>
      <c r="BS1123" s="147"/>
      <c r="BT1123" s="147"/>
      <c r="BU1123" s="147"/>
      <c r="BV1123" s="147"/>
      <c r="BW1123" s="147"/>
      <c r="BX1123" s="147"/>
      <c r="BY1123" s="147"/>
      <c r="BZ1123" s="147"/>
      <c r="CA1123" s="147"/>
      <c r="CB1123" s="147"/>
      <c r="CC1123" s="147"/>
      <c r="CD1123" s="147"/>
      <c r="CE1123" s="147"/>
      <c r="CF1123" s="147"/>
      <c r="CG1123" s="147"/>
      <c r="CH1123" s="147"/>
      <c r="CI1123" s="147"/>
      <c r="CJ1123" s="147"/>
      <c r="CK1123" s="147"/>
    </row>
    <row r="1124" spans="1:89">
      <c r="A1124" s="157"/>
      <c r="F1124" s="3"/>
      <c r="G1124" s="3"/>
      <c r="L1124" s="157"/>
      <c r="M1124" s="157"/>
      <c r="O1124" s="147"/>
      <c r="P1124" s="147"/>
      <c r="Q1124" s="147"/>
      <c r="R1124" s="147"/>
      <c r="S1124" s="147"/>
      <c r="T1124" s="147"/>
      <c r="U1124" s="147"/>
      <c r="V1124" s="147"/>
      <c r="W1124" s="147"/>
      <c r="X1124" s="147"/>
      <c r="Y1124" s="147"/>
      <c r="Z1124" s="147"/>
      <c r="AA1124" s="147"/>
      <c r="AB1124" s="147"/>
      <c r="AC1124" s="147"/>
      <c r="AD1124" s="147"/>
      <c r="AE1124" s="147"/>
      <c r="AF1124" s="147"/>
      <c r="AG1124" s="147"/>
      <c r="AH1124" s="147"/>
      <c r="AI1124" s="147"/>
      <c r="AJ1124" s="147"/>
      <c r="AK1124" s="147"/>
      <c r="AL1124" s="147"/>
      <c r="AM1124" s="151"/>
      <c r="AN1124" s="147"/>
      <c r="AO1124" s="147"/>
      <c r="AP1124" s="147"/>
      <c r="AQ1124" s="147"/>
      <c r="AR1124" s="147"/>
      <c r="AS1124" s="147"/>
      <c r="AT1124" s="147"/>
      <c r="AU1124" s="147"/>
      <c r="AV1124" s="147"/>
      <c r="AW1124" s="147"/>
      <c r="AX1124" s="147"/>
      <c r="AY1124" s="147"/>
      <c r="AZ1124" s="147"/>
      <c r="BA1124" s="147"/>
      <c r="BB1124" s="147"/>
      <c r="BC1124" s="147"/>
      <c r="BD1124" s="147"/>
      <c r="BE1124" s="147"/>
      <c r="BF1124" s="147"/>
      <c r="BG1124" s="147"/>
      <c r="BH1124" s="147"/>
      <c r="BI1124" s="147"/>
      <c r="BJ1124" s="147"/>
      <c r="BK1124" s="147"/>
      <c r="BL1124" s="147"/>
      <c r="BM1124" s="147"/>
      <c r="BN1124" s="147"/>
      <c r="BO1124" s="147"/>
      <c r="BP1124" s="147"/>
      <c r="BQ1124" s="147"/>
      <c r="BR1124" s="147"/>
      <c r="BS1124" s="147"/>
      <c r="BT1124" s="147"/>
      <c r="BU1124" s="147"/>
      <c r="BV1124" s="147"/>
      <c r="BW1124" s="147"/>
      <c r="BX1124" s="147"/>
      <c r="BY1124" s="147"/>
      <c r="BZ1124" s="147"/>
      <c r="CA1124" s="147"/>
      <c r="CB1124" s="147"/>
      <c r="CC1124" s="147"/>
      <c r="CD1124" s="147"/>
      <c r="CE1124" s="147"/>
      <c r="CF1124" s="147"/>
      <c r="CG1124" s="147"/>
      <c r="CH1124" s="147"/>
      <c r="CI1124" s="147"/>
      <c r="CJ1124" s="147"/>
      <c r="CK1124" s="147"/>
    </row>
    <row r="1125" spans="1:89">
      <c r="A1125" s="157"/>
      <c r="F1125" s="3"/>
      <c r="G1125" s="3"/>
      <c r="L1125" s="157"/>
      <c r="M1125" s="157"/>
      <c r="O1125" s="147"/>
      <c r="P1125" s="147"/>
      <c r="Q1125" s="147"/>
      <c r="R1125" s="147"/>
      <c r="S1125" s="147"/>
      <c r="T1125" s="147"/>
      <c r="U1125" s="147"/>
      <c r="V1125" s="147"/>
      <c r="W1125" s="147"/>
      <c r="X1125" s="147"/>
      <c r="Y1125" s="147"/>
      <c r="Z1125" s="147"/>
      <c r="AA1125" s="147"/>
      <c r="AB1125" s="147"/>
      <c r="AC1125" s="147"/>
      <c r="AD1125" s="147"/>
      <c r="AE1125" s="147"/>
      <c r="AF1125" s="147"/>
      <c r="AG1125" s="147"/>
      <c r="AH1125" s="147"/>
      <c r="AI1125" s="147"/>
      <c r="AJ1125" s="147"/>
      <c r="AK1125" s="147"/>
      <c r="AL1125" s="147"/>
      <c r="AM1125" s="151"/>
      <c r="AN1125" s="147"/>
      <c r="AO1125" s="147"/>
      <c r="AP1125" s="147"/>
      <c r="AQ1125" s="147"/>
      <c r="AR1125" s="147"/>
      <c r="AS1125" s="147"/>
      <c r="AT1125" s="147"/>
      <c r="AU1125" s="147"/>
      <c r="AV1125" s="147"/>
      <c r="AW1125" s="147"/>
      <c r="AX1125" s="147"/>
      <c r="AY1125" s="147"/>
      <c r="AZ1125" s="147"/>
      <c r="BA1125" s="147"/>
      <c r="BB1125" s="147"/>
      <c r="BC1125" s="147"/>
      <c r="BD1125" s="147"/>
      <c r="BE1125" s="147"/>
      <c r="BF1125" s="147"/>
      <c r="BG1125" s="147"/>
      <c r="BH1125" s="147"/>
      <c r="BI1125" s="147"/>
      <c r="BJ1125" s="147"/>
      <c r="BK1125" s="147"/>
      <c r="BL1125" s="147"/>
      <c r="BM1125" s="147"/>
      <c r="BN1125" s="147"/>
      <c r="BO1125" s="147"/>
      <c r="BP1125" s="147"/>
      <c r="BQ1125" s="147"/>
      <c r="BR1125" s="147"/>
      <c r="BS1125" s="147"/>
      <c r="BT1125" s="147"/>
      <c r="BU1125" s="147"/>
      <c r="BV1125" s="147"/>
      <c r="BW1125" s="147"/>
      <c r="BX1125" s="147"/>
      <c r="BY1125" s="147"/>
      <c r="BZ1125" s="147"/>
      <c r="CA1125" s="147"/>
      <c r="CB1125" s="147"/>
      <c r="CC1125" s="147"/>
      <c r="CD1125" s="147"/>
      <c r="CE1125" s="147"/>
      <c r="CF1125" s="147"/>
      <c r="CG1125" s="147"/>
      <c r="CH1125" s="147"/>
      <c r="CI1125" s="147"/>
      <c r="CJ1125" s="147"/>
      <c r="CK1125" s="147"/>
    </row>
    <row r="1126" spans="1:89">
      <c r="A1126" s="157"/>
      <c r="F1126" s="3"/>
      <c r="G1126" s="3"/>
      <c r="L1126" s="157"/>
      <c r="M1126" s="157"/>
      <c r="O1126" s="147"/>
      <c r="P1126" s="147"/>
      <c r="Q1126" s="147"/>
      <c r="R1126" s="147"/>
      <c r="S1126" s="147"/>
      <c r="T1126" s="147"/>
      <c r="U1126" s="147"/>
      <c r="V1126" s="147"/>
      <c r="W1126" s="147"/>
      <c r="X1126" s="147"/>
      <c r="Y1126" s="147"/>
      <c r="Z1126" s="147"/>
      <c r="AA1126" s="147"/>
      <c r="AB1126" s="147"/>
      <c r="AC1126" s="147"/>
      <c r="AD1126" s="147"/>
      <c r="AE1126" s="147"/>
      <c r="AF1126" s="147"/>
      <c r="AG1126" s="147"/>
      <c r="AH1126" s="147"/>
      <c r="AI1126" s="147"/>
      <c r="AJ1126" s="147"/>
      <c r="AK1126" s="147"/>
      <c r="AL1126" s="147"/>
      <c r="AM1126" s="151"/>
      <c r="AN1126" s="147"/>
      <c r="AO1126" s="147"/>
      <c r="AP1126" s="147"/>
      <c r="AQ1126" s="147"/>
      <c r="AR1126" s="147"/>
      <c r="AS1126" s="147"/>
      <c r="AT1126" s="147"/>
      <c r="AU1126" s="147"/>
      <c r="AV1126" s="147"/>
      <c r="AW1126" s="147"/>
      <c r="AX1126" s="147"/>
      <c r="AY1126" s="147"/>
      <c r="AZ1126" s="147"/>
      <c r="BA1126" s="147"/>
      <c r="BB1126" s="147"/>
      <c r="BC1126" s="147"/>
      <c r="BD1126" s="147"/>
      <c r="BE1126" s="147"/>
      <c r="BF1126" s="147"/>
      <c r="BG1126" s="147"/>
      <c r="BH1126" s="147"/>
      <c r="BI1126" s="147"/>
      <c r="BJ1126" s="147"/>
      <c r="BK1126" s="147"/>
      <c r="BL1126" s="147"/>
      <c r="BM1126" s="147"/>
      <c r="BN1126" s="147"/>
      <c r="BO1126" s="147"/>
      <c r="BP1126" s="147"/>
      <c r="BQ1126" s="147"/>
      <c r="BR1126" s="147"/>
      <c r="BS1126" s="147"/>
      <c r="BT1126" s="147"/>
      <c r="BU1126" s="147"/>
      <c r="BV1126" s="147"/>
      <c r="BW1126" s="147"/>
      <c r="BX1126" s="147"/>
      <c r="BY1126" s="147"/>
      <c r="BZ1126" s="147"/>
      <c r="CA1126" s="147"/>
      <c r="CB1126" s="147"/>
      <c r="CC1126" s="147"/>
      <c r="CD1126" s="147"/>
      <c r="CE1126" s="147"/>
      <c r="CF1126" s="147"/>
      <c r="CG1126" s="147"/>
      <c r="CH1126" s="147"/>
      <c r="CI1126" s="147"/>
      <c r="CJ1126" s="147"/>
      <c r="CK1126" s="147"/>
    </row>
    <row r="1127" spans="1:89">
      <c r="A1127" s="157"/>
      <c r="F1127" s="3"/>
      <c r="G1127" s="3"/>
      <c r="L1127" s="157"/>
      <c r="M1127" s="157"/>
      <c r="O1127" s="147"/>
      <c r="P1127" s="147"/>
      <c r="Q1127" s="147"/>
      <c r="R1127" s="147"/>
      <c r="S1127" s="147"/>
      <c r="T1127" s="147"/>
      <c r="U1127" s="147"/>
      <c r="V1127" s="147"/>
      <c r="W1127" s="147"/>
      <c r="X1127" s="147"/>
      <c r="Y1127" s="147"/>
      <c r="Z1127" s="147"/>
      <c r="AA1127" s="147"/>
      <c r="AB1127" s="147"/>
      <c r="AC1127" s="147"/>
      <c r="AD1127" s="147"/>
      <c r="AE1127" s="147"/>
      <c r="AF1127" s="147"/>
      <c r="AG1127" s="147"/>
      <c r="AH1127" s="147"/>
      <c r="AI1127" s="147"/>
      <c r="AJ1127" s="147"/>
      <c r="AK1127" s="147"/>
      <c r="AL1127" s="147"/>
      <c r="AM1127" s="151"/>
      <c r="AN1127" s="147"/>
      <c r="AO1127" s="147"/>
      <c r="AP1127" s="147"/>
      <c r="AQ1127" s="147"/>
      <c r="AR1127" s="147"/>
      <c r="AS1127" s="147"/>
      <c r="AT1127" s="147"/>
      <c r="AU1127" s="147"/>
      <c r="AV1127" s="147"/>
      <c r="AW1127" s="147"/>
      <c r="AX1127" s="147"/>
      <c r="AY1127" s="147"/>
      <c r="AZ1127" s="147"/>
      <c r="BA1127" s="147"/>
      <c r="BB1127" s="147"/>
      <c r="BC1127" s="147"/>
      <c r="BD1127" s="147"/>
      <c r="BE1127" s="147"/>
      <c r="BF1127" s="147"/>
      <c r="BG1127" s="147"/>
      <c r="BH1127" s="147"/>
      <c r="BI1127" s="147"/>
      <c r="BJ1127" s="147"/>
      <c r="BK1127" s="147"/>
      <c r="BL1127" s="147"/>
      <c r="BM1127" s="147"/>
      <c r="BN1127" s="147"/>
      <c r="BO1127" s="147"/>
      <c r="BP1127" s="147"/>
      <c r="BQ1127" s="147"/>
      <c r="BR1127" s="147"/>
      <c r="BS1127" s="147"/>
      <c r="BT1127" s="147"/>
      <c r="BU1127" s="147"/>
      <c r="BV1127" s="147"/>
      <c r="BW1127" s="147"/>
      <c r="BX1127" s="147"/>
      <c r="BY1127" s="147"/>
      <c r="BZ1127" s="147"/>
      <c r="CA1127" s="147"/>
      <c r="CB1127" s="147"/>
      <c r="CC1127" s="147"/>
      <c r="CD1127" s="147"/>
      <c r="CE1127" s="147"/>
      <c r="CF1127" s="147"/>
      <c r="CG1127" s="147"/>
      <c r="CH1127" s="147"/>
      <c r="CI1127" s="147"/>
      <c r="CJ1127" s="147"/>
      <c r="CK1127" s="147"/>
    </row>
    <row r="1128" spans="1:89">
      <c r="A1128" s="157"/>
      <c r="F1128" s="3"/>
      <c r="G1128" s="3"/>
      <c r="L1128" s="157"/>
      <c r="M1128" s="157"/>
      <c r="O1128" s="147"/>
      <c r="P1128" s="147"/>
      <c r="Q1128" s="147"/>
      <c r="R1128" s="147"/>
      <c r="S1128" s="147"/>
      <c r="T1128" s="147"/>
      <c r="U1128" s="147"/>
      <c r="V1128" s="147"/>
      <c r="W1128" s="147"/>
      <c r="X1128" s="147"/>
      <c r="Y1128" s="147"/>
      <c r="Z1128" s="147"/>
      <c r="AA1128" s="147"/>
      <c r="AB1128" s="147"/>
      <c r="AC1128" s="147"/>
      <c r="AD1128" s="147"/>
      <c r="AE1128" s="147"/>
      <c r="AF1128" s="147"/>
      <c r="AG1128" s="147"/>
      <c r="AH1128" s="147"/>
      <c r="AI1128" s="147"/>
      <c r="AJ1128" s="147"/>
      <c r="AK1128" s="147"/>
      <c r="AL1128" s="147"/>
      <c r="AM1128" s="151"/>
      <c r="AN1128" s="147"/>
      <c r="AO1128" s="147"/>
      <c r="AP1128" s="147"/>
      <c r="AQ1128" s="147"/>
      <c r="AR1128" s="147"/>
      <c r="AS1128" s="147"/>
      <c r="AT1128" s="147"/>
      <c r="AU1128" s="147"/>
      <c r="AV1128" s="147"/>
      <c r="AW1128" s="147"/>
      <c r="AX1128" s="147"/>
      <c r="AY1128" s="147"/>
      <c r="AZ1128" s="147"/>
      <c r="BA1128" s="147"/>
      <c r="BB1128" s="147"/>
      <c r="BC1128" s="147"/>
      <c r="BD1128" s="147"/>
      <c r="BE1128" s="147"/>
      <c r="BF1128" s="147"/>
      <c r="BG1128" s="147"/>
      <c r="BH1128" s="147"/>
      <c r="BI1128" s="147"/>
      <c r="BJ1128" s="147"/>
      <c r="BK1128" s="147"/>
      <c r="BL1128" s="147"/>
      <c r="BM1128" s="147"/>
      <c r="BN1128" s="147"/>
      <c r="BO1128" s="147"/>
      <c r="BP1128" s="147"/>
      <c r="BQ1128" s="147"/>
      <c r="BR1128" s="147"/>
      <c r="BS1128" s="147"/>
      <c r="BT1128" s="147"/>
      <c r="BU1128" s="147"/>
      <c r="BV1128" s="147"/>
      <c r="BW1128" s="147"/>
      <c r="BX1128" s="147"/>
      <c r="BY1128" s="147"/>
      <c r="BZ1128" s="147"/>
      <c r="CA1128" s="147"/>
      <c r="CB1128" s="147"/>
      <c r="CC1128" s="147"/>
      <c r="CD1128" s="147"/>
      <c r="CE1128" s="147"/>
      <c r="CF1128" s="147"/>
      <c r="CG1128" s="147"/>
      <c r="CH1128" s="147"/>
      <c r="CI1128" s="147"/>
      <c r="CJ1128" s="147"/>
      <c r="CK1128" s="147"/>
    </row>
    <row r="1129" spans="1:89">
      <c r="A1129" s="157"/>
      <c r="F1129" s="3"/>
      <c r="G1129" s="3"/>
      <c r="L1129" s="157"/>
      <c r="M1129" s="157"/>
      <c r="O1129" s="147"/>
      <c r="P1129" s="147"/>
      <c r="Q1129" s="147"/>
      <c r="R1129" s="147"/>
      <c r="S1129" s="147"/>
      <c r="T1129" s="147"/>
      <c r="U1129" s="147"/>
      <c r="V1129" s="147"/>
      <c r="W1129" s="147"/>
      <c r="X1129" s="147"/>
      <c r="Y1129" s="147"/>
      <c r="Z1129" s="147"/>
      <c r="AA1129" s="147"/>
      <c r="AB1129" s="147"/>
      <c r="AC1129" s="147"/>
      <c r="AD1129" s="147"/>
      <c r="AE1129" s="147"/>
      <c r="AF1129" s="147"/>
      <c r="AG1129" s="147"/>
      <c r="AH1129" s="147"/>
      <c r="AI1129" s="147"/>
      <c r="AJ1129" s="147"/>
      <c r="AK1129" s="147"/>
      <c r="AL1129" s="147"/>
      <c r="AM1129" s="151"/>
      <c r="AN1129" s="147"/>
      <c r="AO1129" s="147"/>
      <c r="AP1129" s="147"/>
      <c r="AQ1129" s="147"/>
      <c r="AR1129" s="147"/>
      <c r="AS1129" s="147"/>
      <c r="AT1129" s="147"/>
      <c r="AU1129" s="147"/>
      <c r="AV1129" s="147"/>
      <c r="AW1129" s="147"/>
      <c r="AX1129" s="147"/>
      <c r="AY1129" s="147"/>
      <c r="AZ1129" s="147"/>
      <c r="BA1129" s="147"/>
      <c r="BB1129" s="147"/>
      <c r="BC1129" s="147"/>
      <c r="BD1129" s="147"/>
      <c r="BE1129" s="147"/>
      <c r="BF1129" s="147"/>
      <c r="BG1129" s="147"/>
      <c r="BH1129" s="147"/>
      <c r="BI1129" s="147"/>
      <c r="BJ1129" s="147"/>
      <c r="BK1129" s="147"/>
      <c r="BL1129" s="147"/>
      <c r="BM1129" s="147"/>
      <c r="BN1129" s="147"/>
      <c r="BO1129" s="147"/>
      <c r="BP1129" s="147"/>
      <c r="BQ1129" s="147"/>
      <c r="BR1129" s="147"/>
      <c r="BS1129" s="147"/>
      <c r="BT1129" s="147"/>
      <c r="BU1129" s="147"/>
      <c r="BV1129" s="147"/>
      <c r="BW1129" s="147"/>
      <c r="BX1129" s="147"/>
      <c r="BY1129" s="147"/>
      <c r="BZ1129" s="147"/>
      <c r="CA1129" s="147"/>
      <c r="CB1129" s="147"/>
      <c r="CC1129" s="147"/>
      <c r="CD1129" s="147"/>
      <c r="CE1129" s="147"/>
      <c r="CF1129" s="147"/>
      <c r="CG1129" s="147"/>
      <c r="CH1129" s="147"/>
      <c r="CI1129" s="147"/>
      <c r="CJ1129" s="147"/>
      <c r="CK1129" s="147"/>
    </row>
    <row r="1130" spans="1:89">
      <c r="A1130" s="157"/>
      <c r="F1130" s="3"/>
      <c r="G1130" s="3"/>
      <c r="L1130" s="157"/>
      <c r="M1130" s="157"/>
      <c r="O1130" s="147"/>
      <c r="P1130" s="147"/>
      <c r="Q1130" s="147"/>
      <c r="R1130" s="147"/>
      <c r="S1130" s="147"/>
      <c r="T1130" s="147"/>
      <c r="U1130" s="147"/>
      <c r="V1130" s="147"/>
      <c r="W1130" s="147"/>
      <c r="X1130" s="147"/>
      <c r="Y1130" s="147"/>
      <c r="Z1130" s="147"/>
      <c r="AA1130" s="147"/>
      <c r="AB1130" s="147"/>
      <c r="AC1130" s="147"/>
      <c r="AD1130" s="147"/>
      <c r="AE1130" s="147"/>
      <c r="AF1130" s="147"/>
      <c r="AG1130" s="147"/>
      <c r="AH1130" s="147"/>
      <c r="AI1130" s="147"/>
      <c r="AJ1130" s="147"/>
      <c r="AK1130" s="147"/>
      <c r="AL1130" s="147"/>
      <c r="AM1130" s="151"/>
      <c r="AN1130" s="147"/>
      <c r="AO1130" s="147"/>
      <c r="AP1130" s="147"/>
      <c r="AQ1130" s="147"/>
      <c r="AR1130" s="147"/>
      <c r="AS1130" s="147"/>
      <c r="AT1130" s="147"/>
      <c r="AU1130" s="147"/>
      <c r="AV1130" s="147"/>
      <c r="AW1130" s="147"/>
      <c r="AX1130" s="147"/>
      <c r="AY1130" s="147"/>
      <c r="AZ1130" s="147"/>
      <c r="BA1130" s="147"/>
      <c r="BB1130" s="147"/>
      <c r="BC1130" s="147"/>
      <c r="BD1130" s="147"/>
      <c r="BE1130" s="147"/>
      <c r="BF1130" s="147"/>
      <c r="BG1130" s="147"/>
      <c r="BH1130" s="147"/>
      <c r="BI1130" s="147"/>
      <c r="BJ1130" s="147"/>
      <c r="BK1130" s="147"/>
      <c r="BL1130" s="147"/>
      <c r="BM1130" s="147"/>
      <c r="BN1130" s="147"/>
      <c r="BO1130" s="147"/>
      <c r="BP1130" s="147"/>
      <c r="BQ1130" s="147"/>
      <c r="BR1130" s="147"/>
      <c r="BS1130" s="147"/>
      <c r="BT1130" s="147"/>
      <c r="BU1130" s="147"/>
      <c r="BV1130" s="147"/>
      <c r="BW1130" s="147"/>
      <c r="BX1130" s="147"/>
      <c r="BY1130" s="147"/>
      <c r="BZ1130" s="147"/>
      <c r="CA1130" s="147"/>
      <c r="CB1130" s="147"/>
      <c r="CC1130" s="147"/>
      <c r="CD1130" s="147"/>
      <c r="CE1130" s="147"/>
      <c r="CF1130" s="147"/>
      <c r="CG1130" s="147"/>
      <c r="CH1130" s="147"/>
      <c r="CI1130" s="147"/>
      <c r="CJ1130" s="147"/>
      <c r="CK1130" s="147"/>
    </row>
    <row r="1131" spans="1:89">
      <c r="A1131" s="157"/>
      <c r="F1131" s="3"/>
      <c r="G1131" s="3"/>
      <c r="L1131" s="157"/>
      <c r="M1131" s="157"/>
      <c r="O1131" s="147"/>
      <c r="P1131" s="147"/>
      <c r="Q1131" s="147"/>
      <c r="R1131" s="147"/>
      <c r="S1131" s="147"/>
      <c r="T1131" s="147"/>
      <c r="U1131" s="147"/>
      <c r="V1131" s="147"/>
      <c r="W1131" s="147"/>
      <c r="X1131" s="147"/>
      <c r="Y1131" s="147"/>
      <c r="Z1131" s="147"/>
      <c r="AA1131" s="147"/>
      <c r="AB1131" s="147"/>
      <c r="AC1131" s="147"/>
      <c r="AD1131" s="147"/>
      <c r="AE1131" s="147"/>
      <c r="AF1131" s="147"/>
      <c r="AG1131" s="147"/>
      <c r="AH1131" s="147"/>
      <c r="AI1131" s="147"/>
      <c r="AJ1131" s="147"/>
      <c r="AK1131" s="147"/>
      <c r="AL1131" s="147"/>
      <c r="AM1131" s="151"/>
      <c r="AN1131" s="147"/>
      <c r="AO1131" s="147"/>
      <c r="AP1131" s="147"/>
      <c r="AQ1131" s="147"/>
      <c r="AR1131" s="147"/>
      <c r="AS1131" s="147"/>
      <c r="AT1131" s="147"/>
      <c r="AU1131" s="147"/>
      <c r="AV1131" s="147"/>
      <c r="AW1131" s="147"/>
      <c r="AX1131" s="147"/>
      <c r="AY1131" s="147"/>
      <c r="AZ1131" s="147"/>
      <c r="BA1131" s="147"/>
      <c r="BB1131" s="147"/>
      <c r="BC1131" s="147"/>
      <c r="BD1131" s="147"/>
      <c r="BE1131" s="147"/>
      <c r="BF1131" s="147"/>
      <c r="BG1131" s="147"/>
      <c r="BH1131" s="147"/>
      <c r="BI1131" s="147"/>
      <c r="BJ1131" s="147"/>
      <c r="BK1131" s="147"/>
      <c r="BL1131" s="147"/>
      <c r="BM1131" s="147"/>
      <c r="BN1131" s="147"/>
      <c r="BO1131" s="147"/>
      <c r="BP1131" s="147"/>
      <c r="BQ1131" s="147"/>
      <c r="BR1131" s="147"/>
      <c r="BS1131" s="147"/>
      <c r="BT1131" s="147"/>
      <c r="BU1131" s="147"/>
      <c r="BV1131" s="147"/>
      <c r="BW1131" s="147"/>
      <c r="BX1131" s="147"/>
      <c r="BY1131" s="147"/>
      <c r="BZ1131" s="147"/>
      <c r="CA1131" s="147"/>
      <c r="CB1131" s="147"/>
      <c r="CC1131" s="147"/>
      <c r="CD1131" s="147"/>
      <c r="CE1131" s="147"/>
      <c r="CF1131" s="147"/>
      <c r="CG1131" s="147"/>
      <c r="CH1131" s="147"/>
      <c r="CI1131" s="147"/>
      <c r="CJ1131" s="147"/>
      <c r="CK1131" s="147"/>
    </row>
    <row r="1132" spans="1:89">
      <c r="A1132" s="157"/>
      <c r="F1132" s="3"/>
      <c r="G1132" s="3"/>
      <c r="L1132" s="157"/>
      <c r="M1132" s="157"/>
      <c r="O1132" s="147"/>
      <c r="P1132" s="147"/>
      <c r="Q1132" s="147"/>
      <c r="R1132" s="147"/>
      <c r="S1132" s="147"/>
      <c r="T1132" s="147"/>
      <c r="U1132" s="147"/>
      <c r="V1132" s="147"/>
      <c r="W1132" s="147"/>
      <c r="X1132" s="147"/>
      <c r="Y1132" s="147"/>
      <c r="Z1132" s="147"/>
      <c r="AA1132" s="147"/>
      <c r="AB1132" s="147"/>
      <c r="AC1132" s="147"/>
      <c r="AD1132" s="147"/>
      <c r="AE1132" s="147"/>
      <c r="AF1132" s="147"/>
      <c r="AG1132" s="147"/>
      <c r="AH1132" s="147"/>
      <c r="AI1132" s="147"/>
      <c r="AJ1132" s="147"/>
      <c r="AK1132" s="147"/>
      <c r="AL1132" s="147"/>
      <c r="AM1132" s="151"/>
      <c r="AN1132" s="147"/>
      <c r="AO1132" s="147"/>
      <c r="AP1132" s="147"/>
      <c r="AQ1132" s="147"/>
      <c r="AR1132" s="147"/>
      <c r="AS1132" s="147"/>
      <c r="AT1132" s="147"/>
      <c r="AU1132" s="147"/>
      <c r="AV1132" s="147"/>
      <c r="AW1132" s="147"/>
      <c r="AX1132" s="147"/>
      <c r="AY1132" s="147"/>
      <c r="AZ1132" s="147"/>
      <c r="BA1132" s="147"/>
      <c r="BB1132" s="147"/>
      <c r="BC1132" s="147"/>
      <c r="BD1132" s="147"/>
      <c r="BE1132" s="147"/>
      <c r="BF1132" s="147"/>
      <c r="BG1132" s="147"/>
      <c r="BH1132" s="147"/>
      <c r="BI1132" s="147"/>
      <c r="BJ1132" s="147"/>
      <c r="BK1132" s="147"/>
      <c r="BL1132" s="147"/>
      <c r="BM1132" s="147"/>
      <c r="BN1132" s="147"/>
      <c r="BO1132" s="147"/>
      <c r="BP1132" s="147"/>
      <c r="BQ1132" s="147"/>
      <c r="BR1132" s="147"/>
      <c r="BS1132" s="147"/>
      <c r="BT1132" s="147"/>
      <c r="BU1132" s="147"/>
      <c r="BV1132" s="147"/>
      <c r="BW1132" s="147"/>
      <c r="BX1132" s="147"/>
      <c r="BY1132" s="147"/>
      <c r="BZ1132" s="147"/>
      <c r="CA1132" s="147"/>
      <c r="CB1132" s="147"/>
      <c r="CC1132" s="147"/>
      <c r="CD1132" s="147"/>
      <c r="CE1132" s="147"/>
      <c r="CF1132" s="147"/>
      <c r="CG1132" s="147"/>
      <c r="CH1132" s="147"/>
      <c r="CI1132" s="147"/>
      <c r="CJ1132" s="147"/>
      <c r="CK1132" s="147"/>
    </row>
    <row r="1133" spans="1:89">
      <c r="A1133" s="157"/>
      <c r="F1133" s="3"/>
      <c r="G1133" s="3"/>
      <c r="L1133" s="157"/>
      <c r="M1133" s="157"/>
      <c r="O1133" s="147"/>
      <c r="P1133" s="147"/>
      <c r="Q1133" s="147"/>
      <c r="R1133" s="147"/>
      <c r="S1133" s="147"/>
      <c r="T1133" s="147"/>
      <c r="U1133" s="147"/>
      <c r="V1133" s="147"/>
      <c r="W1133" s="147"/>
      <c r="X1133" s="147"/>
      <c r="Y1133" s="147"/>
      <c r="Z1133" s="147"/>
      <c r="AA1133" s="147"/>
      <c r="AB1133" s="147"/>
      <c r="AC1133" s="147"/>
      <c r="AD1133" s="147"/>
      <c r="AE1133" s="147"/>
      <c r="AF1133" s="147"/>
      <c r="AG1133" s="147"/>
      <c r="AH1133" s="147"/>
      <c r="AI1133" s="147"/>
      <c r="AJ1133" s="147"/>
      <c r="AK1133" s="147"/>
      <c r="AL1133" s="147"/>
      <c r="AM1133" s="151"/>
      <c r="AN1133" s="147"/>
      <c r="AO1133" s="147"/>
      <c r="AP1133" s="147"/>
      <c r="AQ1133" s="147"/>
      <c r="AR1133" s="147"/>
      <c r="AS1133" s="147"/>
      <c r="AT1133" s="147"/>
      <c r="AU1133" s="147"/>
      <c r="AV1133" s="147"/>
      <c r="AW1133" s="147"/>
      <c r="AX1133" s="147"/>
      <c r="AY1133" s="147"/>
      <c r="AZ1133" s="147"/>
      <c r="BA1133" s="147"/>
      <c r="BB1133" s="147"/>
      <c r="BC1133" s="147"/>
      <c r="BD1133" s="147"/>
      <c r="BE1133" s="147"/>
      <c r="BF1133" s="147"/>
      <c r="BG1133" s="147"/>
      <c r="BH1133" s="147"/>
      <c r="BI1133" s="147"/>
      <c r="BJ1133" s="147"/>
      <c r="BK1133" s="147"/>
      <c r="BL1133" s="147"/>
      <c r="BM1133" s="147"/>
      <c r="BN1133" s="147"/>
      <c r="BO1133" s="147"/>
      <c r="BP1133" s="147"/>
      <c r="BQ1133" s="147"/>
      <c r="BR1133" s="147"/>
      <c r="BS1133" s="147"/>
      <c r="BT1133" s="147"/>
      <c r="BU1133" s="147"/>
      <c r="BV1133" s="147"/>
      <c r="BW1133" s="147"/>
      <c r="BX1133" s="147"/>
      <c r="BY1133" s="147"/>
      <c r="BZ1133" s="147"/>
      <c r="CA1133" s="147"/>
      <c r="CB1133" s="147"/>
      <c r="CC1133" s="147"/>
      <c r="CD1133" s="147"/>
      <c r="CE1133" s="147"/>
      <c r="CF1133" s="147"/>
      <c r="CG1133" s="147"/>
      <c r="CH1133" s="147"/>
      <c r="CI1133" s="147"/>
      <c r="CJ1133" s="147"/>
      <c r="CK1133" s="147"/>
    </row>
    <row r="1134" spans="1:89">
      <c r="A1134" s="157"/>
      <c r="F1134" s="3"/>
      <c r="G1134" s="3"/>
      <c r="L1134" s="157"/>
      <c r="M1134" s="157"/>
      <c r="O1134" s="147"/>
      <c r="P1134" s="147"/>
      <c r="Q1134" s="147"/>
      <c r="R1134" s="147"/>
      <c r="S1134" s="147"/>
      <c r="T1134" s="147"/>
      <c r="U1134" s="147"/>
      <c r="V1134" s="147"/>
      <c r="W1134" s="147"/>
      <c r="X1134" s="147"/>
      <c r="Y1134" s="147"/>
      <c r="Z1134" s="147"/>
      <c r="AA1134" s="147"/>
      <c r="AB1134" s="147"/>
      <c r="AC1134" s="147"/>
      <c r="AD1134" s="147"/>
      <c r="AE1134" s="147"/>
      <c r="AF1134" s="147"/>
      <c r="AG1134" s="147"/>
      <c r="AH1134" s="147"/>
      <c r="AI1134" s="147"/>
      <c r="AJ1134" s="147"/>
      <c r="AK1134" s="147"/>
      <c r="AL1134" s="147"/>
      <c r="AM1134" s="151"/>
      <c r="AN1134" s="147"/>
      <c r="AO1134" s="147"/>
      <c r="AP1134" s="147"/>
      <c r="AQ1134" s="147"/>
      <c r="AR1134" s="147"/>
      <c r="AS1134" s="147"/>
      <c r="AT1134" s="147"/>
      <c r="AU1134" s="147"/>
      <c r="AV1134" s="147"/>
      <c r="AW1134" s="147"/>
      <c r="AX1134" s="147"/>
      <c r="AY1134" s="147"/>
      <c r="AZ1134" s="147"/>
      <c r="BA1134" s="147"/>
      <c r="BB1134" s="147"/>
      <c r="BC1134" s="147"/>
      <c r="BD1134" s="147"/>
      <c r="BE1134" s="147"/>
      <c r="BF1134" s="147"/>
      <c r="BG1134" s="147"/>
      <c r="BH1134" s="147"/>
      <c r="BI1134" s="147"/>
      <c r="BJ1134" s="147"/>
      <c r="BK1134" s="147"/>
      <c r="BL1134" s="147"/>
      <c r="BM1134" s="147"/>
      <c r="BN1134" s="147"/>
      <c r="BO1134" s="147"/>
      <c r="BP1134" s="147"/>
      <c r="BQ1134" s="147"/>
      <c r="BR1134" s="147"/>
      <c r="BS1134" s="147"/>
      <c r="BT1134" s="147"/>
      <c r="BU1134" s="147"/>
      <c r="BV1134" s="147"/>
      <c r="BW1134" s="147"/>
      <c r="BX1134" s="147"/>
      <c r="BY1134" s="147"/>
      <c r="BZ1134" s="147"/>
      <c r="CA1134" s="147"/>
      <c r="CB1134" s="147"/>
      <c r="CC1134" s="147"/>
      <c r="CD1134" s="147"/>
      <c r="CE1134" s="147"/>
      <c r="CF1134" s="147"/>
      <c r="CG1134" s="147"/>
      <c r="CH1134" s="147"/>
      <c r="CI1134" s="147"/>
      <c r="CJ1134" s="147"/>
      <c r="CK1134" s="147"/>
    </row>
    <row r="1135" spans="1:89">
      <c r="A1135" s="157"/>
      <c r="F1135" s="3"/>
      <c r="G1135" s="3"/>
      <c r="L1135" s="157"/>
      <c r="M1135" s="157"/>
      <c r="O1135" s="147"/>
      <c r="P1135" s="147"/>
      <c r="Q1135" s="147"/>
      <c r="R1135" s="147"/>
      <c r="S1135" s="147"/>
      <c r="T1135" s="147"/>
      <c r="U1135" s="147"/>
      <c r="V1135" s="147"/>
      <c r="W1135" s="147"/>
      <c r="X1135" s="147"/>
      <c r="Y1135" s="147"/>
      <c r="Z1135" s="147"/>
      <c r="AA1135" s="147"/>
      <c r="AB1135" s="147"/>
      <c r="AC1135" s="147"/>
      <c r="AD1135" s="147"/>
      <c r="AE1135" s="147"/>
      <c r="AF1135" s="147"/>
      <c r="AG1135" s="147"/>
      <c r="AH1135" s="147"/>
      <c r="AI1135" s="147"/>
      <c r="AJ1135" s="147"/>
      <c r="AK1135" s="147"/>
      <c r="AL1135" s="147"/>
      <c r="AM1135" s="151"/>
      <c r="AN1135" s="147"/>
      <c r="AO1135" s="147"/>
      <c r="AP1135" s="147"/>
      <c r="AQ1135" s="147"/>
      <c r="AR1135" s="147"/>
      <c r="AS1135" s="147"/>
      <c r="AT1135" s="147"/>
      <c r="AU1135" s="147"/>
      <c r="AV1135" s="147"/>
      <c r="AW1135" s="147"/>
      <c r="AX1135" s="147"/>
      <c r="AY1135" s="147"/>
      <c r="AZ1135" s="147"/>
      <c r="BA1135" s="147"/>
      <c r="BB1135" s="147"/>
      <c r="BC1135" s="147"/>
      <c r="BD1135" s="147"/>
      <c r="BE1135" s="147"/>
      <c r="BF1135" s="147"/>
      <c r="BG1135" s="147"/>
      <c r="BH1135" s="147"/>
      <c r="BI1135" s="147"/>
      <c r="BJ1135" s="147"/>
      <c r="BK1135" s="147"/>
      <c r="BL1135" s="147"/>
      <c r="BM1135" s="147"/>
      <c r="BN1135" s="147"/>
      <c r="BO1135" s="147"/>
      <c r="BP1135" s="147"/>
      <c r="BQ1135" s="147"/>
      <c r="BR1135" s="147"/>
      <c r="BS1135" s="147"/>
      <c r="BT1135" s="147"/>
      <c r="BU1135" s="147"/>
      <c r="BV1135" s="147"/>
      <c r="BW1135" s="147"/>
      <c r="BX1135" s="147"/>
      <c r="BY1135" s="147"/>
      <c r="BZ1135" s="147"/>
      <c r="CA1135" s="147"/>
      <c r="CB1135" s="147"/>
      <c r="CC1135" s="147"/>
      <c r="CD1135" s="147"/>
      <c r="CE1135" s="147"/>
      <c r="CF1135" s="147"/>
      <c r="CG1135" s="147"/>
      <c r="CH1135" s="147"/>
      <c r="CI1135" s="147"/>
      <c r="CJ1135" s="147"/>
      <c r="CK1135" s="147"/>
    </row>
    <row r="1136" spans="1:89">
      <c r="A1136" s="157"/>
      <c r="F1136" s="3"/>
      <c r="G1136" s="3"/>
      <c r="L1136" s="157"/>
      <c r="M1136" s="157"/>
      <c r="O1136" s="147"/>
      <c r="P1136" s="147"/>
      <c r="Q1136" s="147"/>
      <c r="R1136" s="147"/>
      <c r="S1136" s="147"/>
      <c r="T1136" s="147"/>
      <c r="U1136" s="147"/>
      <c r="V1136" s="147"/>
      <c r="W1136" s="147"/>
      <c r="X1136" s="147"/>
      <c r="Y1136" s="147"/>
      <c r="Z1136" s="147"/>
      <c r="AA1136" s="147"/>
      <c r="AB1136" s="147"/>
      <c r="AC1136" s="147"/>
      <c r="AD1136" s="147"/>
      <c r="AE1136" s="147"/>
      <c r="AF1136" s="147"/>
      <c r="AG1136" s="147"/>
      <c r="AH1136" s="147"/>
      <c r="AI1136" s="147"/>
      <c r="AJ1136" s="147"/>
      <c r="AK1136" s="147"/>
      <c r="AL1136" s="147"/>
      <c r="AM1136" s="151"/>
      <c r="AN1136" s="147"/>
      <c r="AO1136" s="147"/>
      <c r="AP1136" s="147"/>
      <c r="AQ1136" s="147"/>
      <c r="AR1136" s="147"/>
      <c r="AS1136" s="147"/>
      <c r="AT1136" s="147"/>
      <c r="AU1136" s="147"/>
      <c r="AV1136" s="147"/>
      <c r="AW1136" s="147"/>
      <c r="AX1136" s="147"/>
      <c r="AY1136" s="147"/>
      <c r="AZ1136" s="147"/>
      <c r="BA1136" s="147"/>
      <c r="BB1136" s="147"/>
      <c r="BC1136" s="147"/>
      <c r="BD1136" s="147"/>
      <c r="BE1136" s="147"/>
      <c r="BF1136" s="147"/>
      <c r="BG1136" s="147"/>
      <c r="BH1136" s="147"/>
      <c r="BI1136" s="147"/>
      <c r="BJ1136" s="147"/>
      <c r="BK1136" s="147"/>
      <c r="BL1136" s="147"/>
      <c r="BM1136" s="147"/>
      <c r="BN1136" s="147"/>
      <c r="BO1136" s="147"/>
      <c r="BP1136" s="147"/>
      <c r="BQ1136" s="147"/>
      <c r="BR1136" s="147"/>
      <c r="BS1136" s="147"/>
      <c r="BT1136" s="147"/>
      <c r="BU1136" s="147"/>
      <c r="BV1136" s="147"/>
      <c r="BW1136" s="147"/>
      <c r="BX1136" s="147"/>
      <c r="BY1136" s="147"/>
      <c r="BZ1136" s="147"/>
      <c r="CA1136" s="147"/>
      <c r="CB1136" s="147"/>
      <c r="CC1136" s="147"/>
      <c r="CD1136" s="147"/>
      <c r="CE1136" s="147"/>
      <c r="CF1136" s="147"/>
      <c r="CG1136" s="147"/>
      <c r="CH1136" s="147"/>
      <c r="CI1136" s="147"/>
      <c r="CJ1136" s="147"/>
      <c r="CK1136" s="147"/>
    </row>
    <row r="1137" spans="1:89">
      <c r="A1137" s="157"/>
      <c r="F1137" s="3"/>
      <c r="G1137" s="3"/>
      <c r="L1137" s="157"/>
      <c r="M1137" s="157"/>
      <c r="O1137" s="147"/>
      <c r="P1137" s="147"/>
      <c r="Q1137" s="147"/>
      <c r="R1137" s="147"/>
      <c r="S1137" s="147"/>
      <c r="T1137" s="147"/>
      <c r="U1137" s="147"/>
      <c r="V1137" s="147"/>
      <c r="W1137" s="147"/>
      <c r="X1137" s="147"/>
      <c r="Y1137" s="147"/>
      <c r="Z1137" s="147"/>
      <c r="AA1137" s="147"/>
      <c r="AB1137" s="147"/>
      <c r="AC1137" s="147"/>
      <c r="AD1137" s="147"/>
      <c r="AE1137" s="147"/>
      <c r="AF1137" s="147"/>
      <c r="AG1137" s="147"/>
      <c r="AH1137" s="147"/>
      <c r="AI1137" s="147"/>
      <c r="AJ1137" s="147"/>
      <c r="AK1137" s="147"/>
      <c r="AL1137" s="147"/>
      <c r="AM1137" s="151"/>
      <c r="AN1137" s="147"/>
      <c r="AO1137" s="147"/>
      <c r="AP1137" s="147"/>
      <c r="AQ1137" s="147"/>
      <c r="AR1137" s="147"/>
      <c r="AS1137" s="147"/>
      <c r="AT1137" s="147"/>
      <c r="AU1137" s="147"/>
      <c r="AV1137" s="147"/>
      <c r="AW1137" s="147"/>
      <c r="AX1137" s="147"/>
      <c r="AY1137" s="147"/>
      <c r="AZ1137" s="147"/>
      <c r="BA1137" s="147"/>
      <c r="BB1137" s="147"/>
      <c r="BC1137" s="147"/>
      <c r="BD1137" s="147"/>
      <c r="BE1137" s="147"/>
      <c r="BF1137" s="147"/>
      <c r="BG1137" s="147"/>
      <c r="BH1137" s="147"/>
      <c r="BI1137" s="147"/>
      <c r="BJ1137" s="147"/>
      <c r="BK1137" s="147"/>
      <c r="BL1137" s="147"/>
      <c r="BM1137" s="147"/>
      <c r="BN1137" s="147"/>
      <c r="BO1137" s="147"/>
      <c r="BP1137" s="147"/>
      <c r="BQ1137" s="147"/>
      <c r="BR1137" s="147"/>
      <c r="BS1137" s="147"/>
      <c r="BT1137" s="147"/>
      <c r="BU1137" s="147"/>
      <c r="BV1137" s="147"/>
      <c r="BW1137" s="147"/>
      <c r="BX1137" s="147"/>
      <c r="BY1137" s="147"/>
      <c r="BZ1137" s="147"/>
      <c r="CA1137" s="147"/>
      <c r="CB1137" s="147"/>
      <c r="CC1137" s="147"/>
      <c r="CD1137" s="147"/>
      <c r="CE1137" s="147"/>
      <c r="CF1137" s="147"/>
      <c r="CG1137" s="147"/>
      <c r="CH1137" s="147"/>
      <c r="CI1137" s="147"/>
      <c r="CJ1137" s="147"/>
      <c r="CK1137" s="147"/>
    </row>
    <row r="1138" spans="1:89">
      <c r="A1138" s="157"/>
      <c r="F1138" s="3"/>
      <c r="G1138" s="3"/>
      <c r="L1138" s="157"/>
      <c r="M1138" s="157"/>
      <c r="O1138" s="147"/>
      <c r="P1138" s="147"/>
      <c r="Q1138" s="147"/>
      <c r="R1138" s="147"/>
      <c r="S1138" s="147"/>
      <c r="T1138" s="147"/>
      <c r="U1138" s="147"/>
      <c r="V1138" s="147"/>
      <c r="W1138" s="147"/>
      <c r="X1138" s="147"/>
      <c r="Y1138" s="147"/>
      <c r="Z1138" s="147"/>
      <c r="AA1138" s="147"/>
      <c r="AB1138" s="147"/>
      <c r="AC1138" s="147"/>
      <c r="AD1138" s="147"/>
      <c r="AE1138" s="147"/>
      <c r="AF1138" s="147"/>
      <c r="AG1138" s="147"/>
      <c r="AH1138" s="147"/>
      <c r="AI1138" s="147"/>
      <c r="AJ1138" s="147"/>
      <c r="AK1138" s="147"/>
      <c r="AL1138" s="147"/>
      <c r="AM1138" s="151"/>
      <c r="AN1138" s="147"/>
      <c r="AO1138" s="147"/>
      <c r="AP1138" s="147"/>
      <c r="AQ1138" s="147"/>
      <c r="AR1138" s="147"/>
      <c r="AS1138" s="147"/>
      <c r="AT1138" s="147"/>
      <c r="AU1138" s="147"/>
      <c r="AV1138" s="147"/>
      <c r="AW1138" s="147"/>
      <c r="AX1138" s="147"/>
      <c r="AY1138" s="147"/>
      <c r="AZ1138" s="147"/>
      <c r="BA1138" s="147"/>
      <c r="BB1138" s="147"/>
      <c r="BC1138" s="147"/>
      <c r="BD1138" s="147"/>
      <c r="BE1138" s="147"/>
      <c r="BF1138" s="147"/>
      <c r="BG1138" s="147"/>
      <c r="BH1138" s="147"/>
      <c r="BI1138" s="147"/>
      <c r="BJ1138" s="147"/>
      <c r="BK1138" s="147"/>
      <c r="BL1138" s="147"/>
      <c r="BM1138" s="147"/>
      <c r="BN1138" s="147"/>
      <c r="BO1138" s="147"/>
      <c r="BP1138" s="147"/>
      <c r="BQ1138" s="147"/>
      <c r="BR1138" s="147"/>
      <c r="BS1138" s="147"/>
      <c r="BT1138" s="147"/>
      <c r="BU1138" s="147"/>
      <c r="BV1138" s="147"/>
      <c r="BW1138" s="147"/>
      <c r="BX1138" s="147"/>
      <c r="BY1138" s="147"/>
      <c r="BZ1138" s="147"/>
      <c r="CA1138" s="147"/>
      <c r="CB1138" s="147"/>
      <c r="CC1138" s="147"/>
      <c r="CD1138" s="147"/>
      <c r="CE1138" s="147"/>
      <c r="CF1138" s="147"/>
      <c r="CG1138" s="147"/>
      <c r="CH1138" s="147"/>
      <c r="CI1138" s="147"/>
      <c r="CJ1138" s="147"/>
      <c r="CK1138" s="147"/>
    </row>
    <row r="1139" spans="1:89">
      <c r="A1139" s="157"/>
      <c r="F1139" s="3"/>
      <c r="G1139" s="3"/>
      <c r="L1139" s="157"/>
      <c r="M1139" s="157"/>
      <c r="O1139" s="147"/>
      <c r="P1139" s="147"/>
      <c r="Q1139" s="147"/>
      <c r="R1139" s="147"/>
      <c r="S1139" s="147"/>
      <c r="T1139" s="147"/>
      <c r="U1139" s="147"/>
      <c r="V1139" s="147"/>
      <c r="W1139" s="147"/>
      <c r="X1139" s="147"/>
      <c r="Y1139" s="147"/>
      <c r="Z1139" s="147"/>
      <c r="AA1139" s="147"/>
      <c r="AB1139" s="147"/>
      <c r="AC1139" s="147"/>
      <c r="AD1139" s="147"/>
      <c r="AE1139" s="147"/>
      <c r="AF1139" s="147"/>
      <c r="AG1139" s="147"/>
      <c r="AH1139" s="147"/>
      <c r="AI1139" s="147"/>
      <c r="AJ1139" s="147"/>
      <c r="AK1139" s="147"/>
      <c r="AL1139" s="147"/>
      <c r="AM1139" s="151"/>
      <c r="AN1139" s="147"/>
      <c r="AO1139" s="147"/>
      <c r="AP1139" s="147"/>
      <c r="AQ1139" s="147"/>
      <c r="AR1139" s="147"/>
      <c r="AS1139" s="147"/>
      <c r="AT1139" s="147"/>
      <c r="AU1139" s="147"/>
      <c r="AV1139" s="147"/>
      <c r="AW1139" s="147"/>
      <c r="AX1139" s="147"/>
      <c r="AY1139" s="147"/>
      <c r="AZ1139" s="147"/>
      <c r="BA1139" s="147"/>
      <c r="BB1139" s="147"/>
      <c r="BC1139" s="147"/>
      <c r="BD1139" s="147"/>
      <c r="BE1139" s="147"/>
      <c r="BF1139" s="147"/>
      <c r="BG1139" s="147"/>
      <c r="BH1139" s="147"/>
      <c r="BI1139" s="147"/>
      <c r="BJ1139" s="147"/>
      <c r="BK1139" s="147"/>
      <c r="BL1139" s="147"/>
      <c r="BM1139" s="147"/>
      <c r="BN1139" s="147"/>
      <c r="BO1139" s="147"/>
      <c r="BP1139" s="147"/>
      <c r="BQ1139" s="147"/>
      <c r="BR1139" s="147"/>
      <c r="BS1139" s="147"/>
      <c r="BT1139" s="147"/>
      <c r="BU1139" s="147"/>
      <c r="BV1139" s="147"/>
      <c r="BW1139" s="147"/>
      <c r="BX1139" s="147"/>
      <c r="BY1139" s="147"/>
      <c r="BZ1139" s="147"/>
      <c r="CA1139" s="147"/>
      <c r="CB1139" s="147"/>
      <c r="CC1139" s="147"/>
      <c r="CD1139" s="147"/>
      <c r="CE1139" s="147"/>
      <c r="CF1139" s="147"/>
      <c r="CG1139" s="147"/>
      <c r="CH1139" s="147"/>
      <c r="CI1139" s="147"/>
      <c r="CJ1139" s="147"/>
      <c r="CK1139" s="147"/>
    </row>
    <row r="1140" spans="1:89">
      <c r="A1140" s="157"/>
      <c r="F1140" s="3"/>
      <c r="G1140" s="3"/>
      <c r="L1140" s="157"/>
      <c r="M1140" s="157"/>
      <c r="O1140" s="147"/>
      <c r="P1140" s="147"/>
      <c r="Q1140" s="147"/>
      <c r="R1140" s="147"/>
      <c r="S1140" s="147"/>
      <c r="T1140" s="147"/>
      <c r="U1140" s="147"/>
      <c r="V1140" s="147"/>
      <c r="W1140" s="147"/>
      <c r="X1140" s="147"/>
      <c r="Y1140" s="147"/>
      <c r="Z1140" s="147"/>
      <c r="AA1140" s="147"/>
      <c r="AB1140" s="147"/>
      <c r="AC1140" s="147"/>
      <c r="AD1140" s="147"/>
      <c r="AE1140" s="147"/>
      <c r="AF1140" s="147"/>
      <c r="AG1140" s="147"/>
      <c r="AH1140" s="147"/>
      <c r="AI1140" s="147"/>
      <c r="AJ1140" s="147"/>
      <c r="AK1140" s="147"/>
      <c r="AL1140" s="147"/>
      <c r="AM1140" s="151"/>
      <c r="AN1140" s="147"/>
      <c r="AO1140" s="147"/>
      <c r="AP1140" s="147"/>
      <c r="AQ1140" s="147"/>
      <c r="AR1140" s="147"/>
      <c r="AS1140" s="147"/>
      <c r="AT1140" s="147"/>
      <c r="AU1140" s="147"/>
      <c r="AV1140" s="147"/>
      <c r="AW1140" s="147"/>
      <c r="AX1140" s="147"/>
      <c r="AY1140" s="147"/>
      <c r="AZ1140" s="147"/>
      <c r="BA1140" s="147"/>
      <c r="BB1140" s="147"/>
      <c r="BC1140" s="147"/>
      <c r="BD1140" s="147"/>
      <c r="BE1140" s="147"/>
      <c r="BF1140" s="147"/>
      <c r="BG1140" s="147"/>
      <c r="BH1140" s="147"/>
      <c r="BI1140" s="147"/>
      <c r="BJ1140" s="147"/>
      <c r="BK1140" s="147"/>
      <c r="BL1140" s="147"/>
      <c r="BM1140" s="147"/>
      <c r="BN1140" s="147"/>
      <c r="BO1140" s="147"/>
      <c r="BP1140" s="147"/>
      <c r="BQ1140" s="147"/>
      <c r="BR1140" s="147"/>
      <c r="BS1140" s="147"/>
      <c r="BT1140" s="147"/>
      <c r="BU1140" s="147"/>
      <c r="BV1140" s="147"/>
      <c r="BW1140" s="147"/>
      <c r="BX1140" s="147"/>
      <c r="BY1140" s="147"/>
      <c r="BZ1140" s="147"/>
      <c r="CA1140" s="147"/>
      <c r="CB1140" s="147"/>
      <c r="CC1140" s="147"/>
      <c r="CD1140" s="147"/>
      <c r="CE1140" s="147"/>
      <c r="CF1140" s="147"/>
      <c r="CG1140" s="147"/>
      <c r="CH1140" s="147"/>
      <c r="CI1140" s="147"/>
      <c r="CJ1140" s="147"/>
      <c r="CK1140" s="147"/>
    </row>
    <row r="1141" spans="1:89">
      <c r="A1141" s="157"/>
      <c r="F1141" s="3"/>
      <c r="G1141" s="3"/>
      <c r="L1141" s="157"/>
      <c r="M1141" s="157"/>
      <c r="O1141" s="147"/>
      <c r="P1141" s="147"/>
      <c r="Q1141" s="147"/>
      <c r="R1141" s="147"/>
      <c r="S1141" s="147"/>
      <c r="T1141" s="147"/>
      <c r="U1141" s="147"/>
      <c r="V1141" s="147"/>
      <c r="W1141" s="147"/>
      <c r="X1141" s="147"/>
      <c r="Y1141" s="147"/>
      <c r="Z1141" s="147"/>
      <c r="AA1141" s="147"/>
      <c r="AB1141" s="147"/>
      <c r="AC1141" s="147"/>
      <c r="AD1141" s="147"/>
      <c r="AE1141" s="147"/>
      <c r="AF1141" s="147"/>
      <c r="AG1141" s="147"/>
      <c r="AH1141" s="147"/>
      <c r="AI1141" s="147"/>
      <c r="AJ1141" s="147"/>
      <c r="AK1141" s="147"/>
      <c r="AL1141" s="147"/>
      <c r="AM1141" s="151"/>
      <c r="AN1141" s="147"/>
      <c r="AO1141" s="147"/>
      <c r="AP1141" s="147"/>
      <c r="AQ1141" s="147"/>
      <c r="AR1141" s="147"/>
      <c r="AS1141" s="147"/>
      <c r="AT1141" s="147"/>
      <c r="AU1141" s="147"/>
      <c r="AV1141" s="147"/>
      <c r="AW1141" s="147"/>
      <c r="AX1141" s="147"/>
      <c r="AY1141" s="147"/>
      <c r="AZ1141" s="147"/>
      <c r="BA1141" s="147"/>
      <c r="BB1141" s="147"/>
      <c r="BC1141" s="147"/>
      <c r="BD1141" s="147"/>
      <c r="BE1141" s="147"/>
      <c r="BF1141" s="147"/>
      <c r="BG1141" s="147"/>
      <c r="BH1141" s="147"/>
      <c r="BI1141" s="147"/>
      <c r="BJ1141" s="147"/>
      <c r="BK1141" s="147"/>
      <c r="BL1141" s="147"/>
      <c r="BM1141" s="147"/>
      <c r="BN1141" s="147"/>
      <c r="BO1141" s="147"/>
      <c r="BP1141" s="147"/>
      <c r="BQ1141" s="147"/>
      <c r="BR1141" s="147"/>
      <c r="BS1141" s="147"/>
      <c r="BT1141" s="147"/>
      <c r="BU1141" s="147"/>
      <c r="BV1141" s="147"/>
      <c r="BW1141" s="147"/>
      <c r="BX1141" s="147"/>
      <c r="BY1141" s="147"/>
      <c r="BZ1141" s="147"/>
      <c r="CA1141" s="147"/>
      <c r="CB1141" s="147"/>
      <c r="CC1141" s="147"/>
      <c r="CD1141" s="147"/>
      <c r="CE1141" s="147"/>
      <c r="CF1141" s="147"/>
      <c r="CG1141" s="147"/>
      <c r="CH1141" s="147"/>
      <c r="CI1141" s="147"/>
      <c r="CJ1141" s="147"/>
      <c r="CK1141" s="147"/>
    </row>
    <row r="1142" spans="1:89">
      <c r="A1142" s="157"/>
      <c r="F1142" s="3"/>
      <c r="G1142" s="3"/>
      <c r="L1142" s="157"/>
      <c r="M1142" s="157"/>
      <c r="O1142" s="147"/>
      <c r="P1142" s="147"/>
      <c r="Q1142" s="147"/>
      <c r="R1142" s="147"/>
      <c r="S1142" s="147"/>
      <c r="T1142" s="147"/>
      <c r="U1142" s="147"/>
      <c r="V1142" s="147"/>
      <c r="W1142" s="147"/>
      <c r="X1142" s="147"/>
      <c r="Y1142" s="147"/>
      <c r="Z1142" s="147"/>
      <c r="AA1142" s="147"/>
      <c r="AB1142" s="147"/>
      <c r="AC1142" s="147"/>
      <c r="AD1142" s="147"/>
      <c r="AE1142" s="147"/>
      <c r="AF1142" s="147"/>
      <c r="AG1142" s="147"/>
      <c r="AH1142" s="147"/>
      <c r="AI1142" s="147"/>
      <c r="AJ1142" s="147"/>
      <c r="AK1142" s="147"/>
      <c r="AL1142" s="147"/>
      <c r="AM1142" s="151"/>
      <c r="AN1142" s="147"/>
      <c r="AO1142" s="147"/>
      <c r="AP1142" s="147"/>
      <c r="AQ1142" s="147"/>
      <c r="AR1142" s="147"/>
      <c r="AS1142" s="147"/>
      <c r="AT1142" s="147"/>
      <c r="AU1142" s="147"/>
      <c r="AV1142" s="147"/>
      <c r="AW1142" s="147"/>
      <c r="AX1142" s="147"/>
      <c r="AY1142" s="147"/>
      <c r="AZ1142" s="147"/>
      <c r="BA1142" s="147"/>
      <c r="BB1142" s="147"/>
      <c r="BC1142" s="147"/>
      <c r="BD1142" s="147"/>
      <c r="BE1142" s="147"/>
      <c r="BF1142" s="147"/>
      <c r="BG1142" s="147"/>
      <c r="BH1142" s="147"/>
      <c r="BI1142" s="147"/>
      <c r="BJ1142" s="147"/>
      <c r="BK1142" s="147"/>
      <c r="BL1142" s="147"/>
      <c r="BM1142" s="147"/>
      <c r="BN1142" s="147"/>
      <c r="BO1142" s="147"/>
      <c r="BP1142" s="147"/>
      <c r="BQ1142" s="147"/>
      <c r="BR1142" s="147"/>
      <c r="BS1142" s="147"/>
      <c r="BT1142" s="147"/>
      <c r="BU1142" s="147"/>
      <c r="BV1142" s="147"/>
      <c r="BW1142" s="147"/>
      <c r="BX1142" s="147"/>
      <c r="BY1142" s="147"/>
      <c r="BZ1142" s="147"/>
      <c r="CA1142" s="147"/>
      <c r="CB1142" s="147"/>
      <c r="CC1142" s="147"/>
      <c r="CD1142" s="147"/>
      <c r="CE1142" s="147"/>
      <c r="CF1142" s="147"/>
      <c r="CG1142" s="147"/>
      <c r="CH1142" s="147"/>
      <c r="CI1142" s="147"/>
      <c r="CJ1142" s="147"/>
      <c r="CK1142" s="147"/>
    </row>
    <row r="1143" spans="1:89">
      <c r="A1143" s="157"/>
      <c r="F1143" s="3"/>
      <c r="G1143" s="3"/>
      <c r="L1143" s="157"/>
      <c r="M1143" s="157"/>
      <c r="O1143" s="147"/>
      <c r="P1143" s="147"/>
      <c r="Q1143" s="147"/>
      <c r="R1143" s="147"/>
      <c r="S1143" s="147"/>
      <c r="T1143" s="147"/>
      <c r="U1143" s="147"/>
      <c r="V1143" s="147"/>
      <c r="W1143" s="147"/>
      <c r="X1143" s="147"/>
      <c r="Y1143" s="147"/>
      <c r="Z1143" s="147"/>
      <c r="AA1143" s="147"/>
      <c r="AB1143" s="147"/>
      <c r="AC1143" s="147"/>
      <c r="AD1143" s="147"/>
      <c r="AE1143" s="147"/>
      <c r="AF1143" s="147"/>
      <c r="AG1143" s="147"/>
      <c r="AH1143" s="147"/>
      <c r="AI1143" s="147"/>
      <c r="AJ1143" s="147"/>
      <c r="AK1143" s="147"/>
      <c r="AL1143" s="147"/>
      <c r="AM1143" s="151"/>
      <c r="AN1143" s="147"/>
      <c r="AO1143" s="147"/>
      <c r="AP1143" s="147"/>
      <c r="AQ1143" s="147"/>
      <c r="AR1143" s="147"/>
      <c r="AS1143" s="147"/>
      <c r="AT1143" s="147"/>
      <c r="AU1143" s="147"/>
      <c r="AV1143" s="147"/>
      <c r="AW1143" s="147"/>
      <c r="AX1143" s="147"/>
      <c r="AY1143" s="147"/>
      <c r="AZ1143" s="147"/>
      <c r="BA1143" s="147"/>
      <c r="BB1143" s="147"/>
      <c r="BC1143" s="147"/>
      <c r="BD1143" s="147"/>
      <c r="BE1143" s="147"/>
      <c r="BF1143" s="147"/>
      <c r="BG1143" s="147"/>
      <c r="BH1143" s="147"/>
      <c r="BI1143" s="147"/>
      <c r="BJ1143" s="147"/>
      <c r="BK1143" s="147"/>
      <c r="BL1143" s="147"/>
      <c r="BM1143" s="147"/>
      <c r="BN1143" s="147"/>
      <c r="BO1143" s="147"/>
      <c r="BP1143" s="147"/>
      <c r="BQ1143" s="147"/>
      <c r="BR1143" s="147"/>
      <c r="BS1143" s="147"/>
      <c r="BT1143" s="147"/>
      <c r="BU1143" s="147"/>
      <c r="BV1143" s="147"/>
      <c r="BW1143" s="147"/>
      <c r="BX1143" s="147"/>
      <c r="BY1143" s="147"/>
      <c r="BZ1143" s="147"/>
      <c r="CA1143" s="147"/>
      <c r="CB1143" s="147"/>
      <c r="CC1143" s="147"/>
      <c r="CD1143" s="147"/>
      <c r="CE1143" s="147"/>
      <c r="CF1143" s="147"/>
      <c r="CG1143" s="147"/>
      <c r="CH1143" s="147"/>
      <c r="CI1143" s="147"/>
      <c r="CJ1143" s="147"/>
      <c r="CK1143" s="147"/>
    </row>
    <row r="1144" spans="1:89">
      <c r="A1144" s="157"/>
      <c r="F1144" s="3"/>
      <c r="G1144" s="3"/>
      <c r="L1144" s="157"/>
      <c r="M1144" s="157"/>
      <c r="O1144" s="147"/>
      <c r="P1144" s="147"/>
      <c r="Q1144" s="147"/>
      <c r="R1144" s="147"/>
      <c r="S1144" s="147"/>
      <c r="T1144" s="147"/>
      <c r="U1144" s="147"/>
      <c r="V1144" s="147"/>
      <c r="W1144" s="147"/>
      <c r="X1144" s="147"/>
      <c r="Y1144" s="147"/>
      <c r="Z1144" s="147"/>
      <c r="AA1144" s="147"/>
      <c r="AB1144" s="147"/>
      <c r="AC1144" s="147"/>
      <c r="AD1144" s="147"/>
      <c r="AE1144" s="147"/>
      <c r="AF1144" s="147"/>
      <c r="AG1144" s="147"/>
      <c r="AH1144" s="147"/>
      <c r="AI1144" s="147"/>
      <c r="AJ1144" s="147"/>
      <c r="AK1144" s="147"/>
      <c r="AL1144" s="147"/>
      <c r="AM1144" s="151"/>
      <c r="AN1144" s="147"/>
      <c r="AO1144" s="147"/>
      <c r="AP1144" s="147"/>
      <c r="AQ1144" s="147"/>
      <c r="AR1144" s="147"/>
      <c r="AS1144" s="147"/>
      <c r="AT1144" s="147"/>
      <c r="AU1144" s="147"/>
      <c r="AV1144" s="147"/>
      <c r="AW1144" s="147"/>
      <c r="AX1144" s="147"/>
      <c r="AY1144" s="147"/>
      <c r="AZ1144" s="147"/>
      <c r="BA1144" s="147"/>
      <c r="BB1144" s="147"/>
      <c r="BC1144" s="147"/>
      <c r="BD1144" s="147"/>
      <c r="BE1144" s="147"/>
      <c r="BF1144" s="147"/>
      <c r="BG1144" s="147"/>
      <c r="BH1144" s="147"/>
      <c r="BI1144" s="147"/>
      <c r="BJ1144" s="147"/>
      <c r="BK1144" s="147"/>
      <c r="BL1144" s="147"/>
      <c r="BM1144" s="147"/>
      <c r="BN1144" s="147"/>
      <c r="BO1144" s="147"/>
      <c r="BP1144" s="147"/>
      <c r="BQ1144" s="147"/>
      <c r="BR1144" s="147"/>
      <c r="BS1144" s="147"/>
      <c r="BT1144" s="147"/>
      <c r="BU1144" s="147"/>
      <c r="BV1144" s="147"/>
      <c r="BW1144" s="147"/>
      <c r="BX1144" s="147"/>
      <c r="BY1144" s="147"/>
      <c r="BZ1144" s="147"/>
      <c r="CA1144" s="147"/>
      <c r="CB1144" s="147"/>
      <c r="CC1144" s="147"/>
      <c r="CD1144" s="147"/>
      <c r="CE1144" s="147"/>
      <c r="CF1144" s="147"/>
      <c r="CG1144" s="147"/>
      <c r="CH1144" s="147"/>
      <c r="CI1144" s="147"/>
      <c r="CJ1144" s="147"/>
      <c r="CK1144" s="147"/>
    </row>
    <row r="1145" spans="1:89">
      <c r="A1145" s="157"/>
      <c r="F1145" s="3"/>
      <c r="G1145" s="3"/>
      <c r="L1145" s="157"/>
      <c r="M1145" s="157"/>
      <c r="O1145" s="147"/>
      <c r="P1145" s="147"/>
      <c r="Q1145" s="147"/>
      <c r="R1145" s="147"/>
      <c r="S1145" s="147"/>
      <c r="T1145" s="147"/>
      <c r="U1145" s="147"/>
      <c r="V1145" s="147"/>
      <c r="W1145" s="147"/>
      <c r="X1145" s="147"/>
      <c r="Y1145" s="147"/>
      <c r="Z1145" s="147"/>
      <c r="AA1145" s="147"/>
      <c r="AB1145" s="147"/>
      <c r="AC1145" s="147"/>
      <c r="AD1145" s="147"/>
      <c r="AE1145" s="147"/>
      <c r="AF1145" s="147"/>
      <c r="AG1145" s="147"/>
      <c r="AH1145" s="147"/>
      <c r="AI1145" s="147"/>
      <c r="AJ1145" s="147"/>
      <c r="AK1145" s="147"/>
      <c r="AL1145" s="147"/>
      <c r="AM1145" s="151"/>
      <c r="AN1145" s="147"/>
      <c r="AO1145" s="147"/>
      <c r="AP1145" s="147"/>
      <c r="AQ1145" s="147"/>
      <c r="AR1145" s="147"/>
      <c r="AS1145" s="147"/>
      <c r="AT1145" s="147"/>
      <c r="AU1145" s="147"/>
      <c r="AV1145" s="147"/>
      <c r="AW1145" s="147"/>
      <c r="AX1145" s="147"/>
      <c r="AY1145" s="147"/>
      <c r="AZ1145" s="147"/>
      <c r="BA1145" s="147"/>
      <c r="BB1145" s="147"/>
      <c r="BC1145" s="147"/>
      <c r="BD1145" s="147"/>
      <c r="BE1145" s="147"/>
      <c r="BF1145" s="147"/>
      <c r="BG1145" s="147"/>
      <c r="BH1145" s="147"/>
      <c r="BI1145" s="147"/>
      <c r="BJ1145" s="147"/>
      <c r="BK1145" s="147"/>
      <c r="BL1145" s="147"/>
      <c r="BM1145" s="147"/>
      <c r="BN1145" s="147"/>
      <c r="BO1145" s="147"/>
      <c r="BP1145" s="147"/>
      <c r="BQ1145" s="147"/>
      <c r="BR1145" s="147"/>
      <c r="BS1145" s="147"/>
      <c r="BT1145" s="147"/>
      <c r="BU1145" s="147"/>
      <c r="BV1145" s="147"/>
      <c r="BW1145" s="147"/>
      <c r="BX1145" s="147"/>
      <c r="BY1145" s="147"/>
      <c r="BZ1145" s="147"/>
      <c r="CA1145" s="147"/>
      <c r="CB1145" s="147"/>
      <c r="CC1145" s="147"/>
      <c r="CD1145" s="147"/>
      <c r="CE1145" s="147"/>
      <c r="CF1145" s="147"/>
      <c r="CG1145" s="147"/>
      <c r="CH1145" s="147"/>
      <c r="CI1145" s="147"/>
      <c r="CJ1145" s="147"/>
      <c r="CK1145" s="147"/>
    </row>
    <row r="1146" spans="1:89">
      <c r="A1146" s="157"/>
      <c r="F1146" s="3"/>
      <c r="G1146" s="3"/>
      <c r="L1146" s="157"/>
      <c r="M1146" s="157"/>
      <c r="O1146" s="147"/>
      <c r="P1146" s="147"/>
      <c r="Q1146" s="147"/>
      <c r="R1146" s="147"/>
      <c r="S1146" s="147"/>
      <c r="T1146" s="147"/>
      <c r="U1146" s="147"/>
      <c r="V1146" s="147"/>
      <c r="W1146" s="147"/>
      <c r="X1146" s="147"/>
      <c r="Y1146" s="147"/>
      <c r="Z1146" s="147"/>
      <c r="AA1146" s="147"/>
      <c r="AB1146" s="147"/>
      <c r="AC1146" s="147"/>
      <c r="AD1146" s="147"/>
      <c r="AE1146" s="147"/>
      <c r="AF1146" s="147"/>
      <c r="AG1146" s="147"/>
      <c r="AH1146" s="147"/>
      <c r="AI1146" s="147"/>
      <c r="AJ1146" s="147"/>
      <c r="AK1146" s="147"/>
      <c r="AL1146" s="147"/>
      <c r="AM1146" s="151"/>
      <c r="AN1146" s="147"/>
      <c r="AO1146" s="147"/>
      <c r="AP1146" s="147"/>
      <c r="AQ1146" s="147"/>
      <c r="AR1146" s="147"/>
      <c r="AS1146" s="147"/>
      <c r="AT1146" s="147"/>
      <c r="AU1146" s="147"/>
      <c r="AV1146" s="147"/>
      <c r="AW1146" s="147"/>
      <c r="AX1146" s="147"/>
      <c r="AY1146" s="147"/>
      <c r="AZ1146" s="147"/>
      <c r="BA1146" s="147"/>
      <c r="BB1146" s="147"/>
      <c r="BC1146" s="147"/>
      <c r="BD1146" s="147"/>
      <c r="BE1146" s="147"/>
      <c r="BF1146" s="147"/>
      <c r="BG1146" s="147"/>
      <c r="BH1146" s="147"/>
      <c r="BI1146" s="147"/>
      <c r="BJ1146" s="147"/>
      <c r="BK1146" s="147"/>
      <c r="BL1146" s="147"/>
      <c r="BM1146" s="147"/>
      <c r="BN1146" s="147"/>
      <c r="BO1146" s="147"/>
      <c r="BP1146" s="147"/>
      <c r="BQ1146" s="147"/>
      <c r="BR1146" s="147"/>
      <c r="BS1146" s="147"/>
      <c r="BT1146" s="147"/>
      <c r="BU1146" s="147"/>
      <c r="BV1146" s="147"/>
      <c r="BW1146" s="147"/>
      <c r="BX1146" s="147"/>
      <c r="BY1146" s="147"/>
      <c r="BZ1146" s="147"/>
      <c r="CA1146" s="147"/>
      <c r="CB1146" s="147"/>
      <c r="CC1146" s="147"/>
      <c r="CD1146" s="147"/>
      <c r="CE1146" s="147"/>
      <c r="CF1146" s="147"/>
      <c r="CG1146" s="147"/>
      <c r="CH1146" s="147"/>
      <c r="CI1146" s="147"/>
      <c r="CJ1146" s="147"/>
      <c r="CK1146" s="147"/>
    </row>
    <row r="1147" spans="1:89">
      <c r="A1147" s="157"/>
      <c r="F1147" s="3"/>
      <c r="G1147" s="3"/>
      <c r="L1147" s="157"/>
      <c r="M1147" s="157"/>
      <c r="O1147" s="147"/>
      <c r="P1147" s="147"/>
      <c r="Q1147" s="147"/>
      <c r="R1147" s="147"/>
      <c r="S1147" s="147"/>
      <c r="T1147" s="147"/>
      <c r="U1147" s="147"/>
      <c r="V1147" s="147"/>
      <c r="W1147" s="147"/>
      <c r="X1147" s="147"/>
      <c r="Y1147" s="147"/>
      <c r="Z1147" s="147"/>
      <c r="AA1147" s="147"/>
      <c r="AB1147" s="147"/>
      <c r="AC1147" s="147"/>
      <c r="AD1147" s="147"/>
      <c r="AE1147" s="147"/>
      <c r="AF1147" s="147"/>
      <c r="AG1147" s="147"/>
      <c r="AH1147" s="147"/>
      <c r="AI1147" s="147"/>
      <c r="AJ1147" s="147"/>
      <c r="AK1147" s="147"/>
      <c r="AL1147" s="147"/>
      <c r="AM1147" s="151"/>
      <c r="AN1147" s="147"/>
      <c r="AO1147" s="147"/>
      <c r="AP1147" s="147"/>
      <c r="AQ1147" s="147"/>
      <c r="AR1147" s="147"/>
      <c r="AS1147" s="147"/>
      <c r="AT1147" s="147"/>
      <c r="AU1147" s="147"/>
      <c r="AV1147" s="147"/>
      <c r="AW1147" s="147"/>
      <c r="AX1147" s="147"/>
      <c r="AY1147" s="147"/>
      <c r="AZ1147" s="147"/>
      <c r="BA1147" s="147"/>
      <c r="BB1147" s="147"/>
      <c r="BC1147" s="147"/>
      <c r="BD1147" s="147"/>
      <c r="BE1147" s="147"/>
      <c r="BF1147" s="147"/>
      <c r="BG1147" s="147"/>
      <c r="BH1147" s="147"/>
      <c r="BI1147" s="147"/>
      <c r="BJ1147" s="147"/>
      <c r="BK1147" s="147"/>
      <c r="BL1147" s="147"/>
      <c r="BM1147" s="147"/>
      <c r="BN1147" s="147"/>
      <c r="BO1147" s="147"/>
      <c r="BP1147" s="147"/>
      <c r="BQ1147" s="147"/>
      <c r="BR1147" s="147"/>
      <c r="BS1147" s="147"/>
      <c r="BT1147" s="147"/>
      <c r="BU1147" s="147"/>
      <c r="BV1147" s="147"/>
      <c r="BW1147" s="147"/>
      <c r="BX1147" s="147"/>
      <c r="BY1147" s="147"/>
      <c r="BZ1147" s="147"/>
      <c r="CA1147" s="147"/>
      <c r="CB1147" s="147"/>
      <c r="CC1147" s="147"/>
      <c r="CD1147" s="147"/>
      <c r="CE1147" s="147"/>
      <c r="CF1147" s="147"/>
      <c r="CG1147" s="147"/>
      <c r="CH1147" s="147"/>
      <c r="CI1147" s="147"/>
      <c r="CJ1147" s="147"/>
      <c r="CK1147" s="147"/>
    </row>
    <row r="1148" spans="1:89">
      <c r="A1148" s="157"/>
      <c r="F1148" s="3"/>
      <c r="G1148" s="3"/>
      <c r="L1148" s="157"/>
      <c r="M1148" s="157"/>
      <c r="O1148" s="147"/>
      <c r="P1148" s="147"/>
      <c r="Q1148" s="147"/>
      <c r="R1148" s="147"/>
      <c r="S1148" s="147"/>
      <c r="T1148" s="147"/>
      <c r="U1148" s="147"/>
      <c r="V1148" s="147"/>
      <c r="W1148" s="147"/>
      <c r="X1148" s="147"/>
      <c r="Y1148" s="147"/>
      <c r="Z1148" s="147"/>
      <c r="AA1148" s="147"/>
      <c r="AB1148" s="147"/>
      <c r="AC1148" s="147"/>
      <c r="AD1148" s="147"/>
      <c r="AE1148" s="147"/>
      <c r="AF1148" s="147"/>
      <c r="AG1148" s="147"/>
      <c r="AH1148" s="147"/>
      <c r="AI1148" s="147"/>
      <c r="AJ1148" s="147"/>
      <c r="AK1148" s="147"/>
      <c r="AL1148" s="147"/>
      <c r="AM1148" s="151"/>
      <c r="AN1148" s="147"/>
      <c r="AO1148" s="147"/>
      <c r="AP1148" s="147"/>
      <c r="AQ1148" s="147"/>
      <c r="AR1148" s="147"/>
      <c r="AS1148" s="147"/>
      <c r="AT1148" s="147"/>
      <c r="AU1148" s="147"/>
      <c r="AV1148" s="147"/>
      <c r="AW1148" s="147"/>
      <c r="AX1148" s="147"/>
      <c r="AY1148" s="147"/>
      <c r="AZ1148" s="147"/>
      <c r="BA1148" s="147"/>
      <c r="BB1148" s="147"/>
      <c r="BC1148" s="147"/>
      <c r="BD1148" s="147"/>
      <c r="BE1148" s="147"/>
      <c r="BF1148" s="147"/>
      <c r="BG1148" s="147"/>
      <c r="BH1148" s="147"/>
      <c r="BI1148" s="147"/>
      <c r="BJ1148" s="147"/>
      <c r="BK1148" s="147"/>
      <c r="BL1148" s="147"/>
      <c r="BM1148" s="147"/>
      <c r="BN1148" s="147"/>
      <c r="BO1148" s="147"/>
      <c r="BP1148" s="147"/>
      <c r="BQ1148" s="147"/>
      <c r="BR1148" s="147"/>
      <c r="BS1148" s="147"/>
      <c r="BT1148" s="147"/>
      <c r="BU1148" s="147"/>
      <c r="BV1148" s="147"/>
      <c r="BW1148" s="147"/>
      <c r="BX1148" s="147"/>
      <c r="BY1148" s="147"/>
      <c r="BZ1148" s="147"/>
      <c r="CA1148" s="147"/>
      <c r="CB1148" s="147"/>
      <c r="CC1148" s="147"/>
      <c r="CD1148" s="147"/>
      <c r="CE1148" s="147"/>
      <c r="CF1148" s="147"/>
      <c r="CG1148" s="147"/>
      <c r="CH1148" s="147"/>
      <c r="CI1148" s="147"/>
      <c r="CJ1148" s="147"/>
      <c r="CK1148" s="147"/>
    </row>
    <row r="1149" spans="1:89">
      <c r="A1149" s="157"/>
      <c r="F1149" s="3"/>
      <c r="G1149" s="3"/>
      <c r="L1149" s="157"/>
      <c r="M1149" s="157"/>
      <c r="O1149" s="147"/>
      <c r="P1149" s="147"/>
      <c r="Q1149" s="147"/>
      <c r="R1149" s="147"/>
      <c r="S1149" s="147"/>
      <c r="T1149" s="147"/>
      <c r="U1149" s="147"/>
      <c r="V1149" s="147"/>
      <c r="W1149" s="147"/>
      <c r="X1149" s="147"/>
      <c r="Y1149" s="147"/>
      <c r="Z1149" s="147"/>
      <c r="AA1149" s="147"/>
      <c r="AB1149" s="147"/>
      <c r="AC1149" s="147"/>
      <c r="AD1149" s="147"/>
      <c r="AE1149" s="147"/>
      <c r="AF1149" s="147"/>
      <c r="AG1149" s="147"/>
      <c r="AH1149" s="147"/>
      <c r="AI1149" s="147"/>
      <c r="AJ1149" s="147"/>
      <c r="AK1149" s="147"/>
      <c r="AL1149" s="147"/>
      <c r="AM1149" s="151"/>
      <c r="AN1149" s="147"/>
      <c r="AO1149" s="147"/>
      <c r="AP1149" s="147"/>
      <c r="AQ1149" s="147"/>
      <c r="AR1149" s="147"/>
      <c r="AS1149" s="147"/>
      <c r="AT1149" s="147"/>
      <c r="AU1149" s="147"/>
      <c r="AV1149" s="147"/>
      <c r="AW1149" s="147"/>
      <c r="AX1149" s="147"/>
      <c r="AY1149" s="147"/>
      <c r="AZ1149" s="147"/>
      <c r="BA1149" s="147"/>
      <c r="BB1149" s="147"/>
      <c r="BC1149" s="147"/>
      <c r="BD1149" s="147"/>
      <c r="BE1149" s="147"/>
      <c r="BF1149" s="147"/>
      <c r="BG1149" s="147"/>
      <c r="BH1149" s="147"/>
      <c r="BI1149" s="147"/>
      <c r="BJ1149" s="147"/>
      <c r="BK1149" s="147"/>
      <c r="BL1149" s="147"/>
      <c r="BM1149" s="147"/>
      <c r="BN1149" s="147"/>
      <c r="BO1149" s="147"/>
      <c r="BP1149" s="147"/>
      <c r="BQ1149" s="147"/>
      <c r="BR1149" s="147"/>
      <c r="BS1149" s="147"/>
      <c r="BT1149" s="147"/>
      <c r="BU1149" s="147"/>
      <c r="BV1149" s="147"/>
      <c r="BW1149" s="147"/>
      <c r="BX1149" s="147"/>
      <c r="BY1149" s="147"/>
      <c r="BZ1149" s="147"/>
      <c r="CA1149" s="147"/>
      <c r="CB1149" s="147"/>
      <c r="CC1149" s="147"/>
      <c r="CD1149" s="147"/>
      <c r="CE1149" s="147"/>
      <c r="CF1149" s="147"/>
      <c r="CG1149" s="147"/>
      <c r="CH1149" s="147"/>
      <c r="CI1149" s="147"/>
      <c r="CJ1149" s="147"/>
      <c r="CK1149" s="147"/>
    </row>
    <row r="1150" spans="1:89">
      <c r="A1150" s="157"/>
      <c r="F1150" s="3"/>
      <c r="G1150" s="3"/>
      <c r="L1150" s="157"/>
      <c r="M1150" s="157"/>
      <c r="O1150" s="147"/>
      <c r="P1150" s="147"/>
      <c r="Q1150" s="147"/>
      <c r="R1150" s="147"/>
      <c r="S1150" s="147"/>
      <c r="T1150" s="147"/>
      <c r="U1150" s="147"/>
      <c r="V1150" s="147"/>
      <c r="W1150" s="147"/>
      <c r="X1150" s="147"/>
      <c r="Y1150" s="147"/>
      <c r="Z1150" s="147"/>
      <c r="AA1150" s="147"/>
      <c r="AB1150" s="147"/>
      <c r="AC1150" s="147"/>
      <c r="AD1150" s="147"/>
      <c r="AE1150" s="147"/>
      <c r="AF1150" s="147"/>
      <c r="AG1150" s="147"/>
      <c r="AH1150" s="147"/>
      <c r="AI1150" s="147"/>
      <c r="AJ1150" s="147"/>
      <c r="AK1150" s="147"/>
      <c r="AL1150" s="147"/>
      <c r="AM1150" s="151"/>
      <c r="AN1150" s="147"/>
      <c r="AO1150" s="147"/>
      <c r="AP1150" s="147"/>
      <c r="AQ1150" s="147"/>
      <c r="AR1150" s="147"/>
      <c r="AS1150" s="147"/>
      <c r="AT1150" s="147"/>
      <c r="AU1150" s="147"/>
      <c r="AV1150" s="147"/>
      <c r="AW1150" s="147"/>
      <c r="AX1150" s="147"/>
      <c r="AY1150" s="147"/>
      <c r="AZ1150" s="147"/>
      <c r="BA1150" s="147"/>
      <c r="BB1150" s="147"/>
      <c r="BC1150" s="147"/>
      <c r="BD1150" s="147"/>
      <c r="BE1150" s="147"/>
      <c r="BF1150" s="147"/>
      <c r="BG1150" s="147"/>
      <c r="BH1150" s="147"/>
      <c r="BI1150" s="147"/>
      <c r="BJ1150" s="147"/>
      <c r="BK1150" s="147"/>
      <c r="BL1150" s="147"/>
      <c r="BM1150" s="147"/>
      <c r="BN1150" s="147"/>
      <c r="BO1150" s="147"/>
      <c r="BP1150" s="147"/>
      <c r="BQ1150" s="147"/>
      <c r="BR1150" s="147"/>
      <c r="BS1150" s="147"/>
      <c r="BT1150" s="147"/>
      <c r="BU1150" s="147"/>
      <c r="BV1150" s="147"/>
      <c r="BW1150" s="147"/>
      <c r="BX1150" s="147"/>
      <c r="BY1150" s="147"/>
      <c r="BZ1150" s="147"/>
      <c r="CA1150" s="147"/>
      <c r="CB1150" s="147"/>
      <c r="CC1150" s="147"/>
      <c r="CD1150" s="147"/>
      <c r="CE1150" s="147"/>
      <c r="CF1150" s="147"/>
      <c r="CG1150" s="147"/>
      <c r="CH1150" s="147"/>
      <c r="CI1150" s="147"/>
      <c r="CJ1150" s="147"/>
      <c r="CK1150" s="147"/>
    </row>
    <row r="1151" spans="1:89">
      <c r="A1151" s="157"/>
      <c r="F1151" s="3"/>
      <c r="G1151" s="3"/>
      <c r="L1151" s="157"/>
      <c r="M1151" s="157"/>
      <c r="O1151" s="147"/>
      <c r="P1151" s="147"/>
      <c r="Q1151" s="147"/>
      <c r="R1151" s="147"/>
      <c r="S1151" s="147"/>
      <c r="T1151" s="147"/>
      <c r="U1151" s="147"/>
      <c r="V1151" s="147"/>
      <c r="W1151" s="147"/>
      <c r="X1151" s="147"/>
      <c r="Y1151" s="147"/>
      <c r="Z1151" s="147"/>
      <c r="AA1151" s="147"/>
      <c r="AB1151" s="147"/>
      <c r="AC1151" s="147"/>
      <c r="AD1151" s="147"/>
      <c r="AE1151" s="147"/>
      <c r="AF1151" s="147"/>
      <c r="AG1151" s="147"/>
      <c r="AH1151" s="147"/>
      <c r="AI1151" s="147"/>
      <c r="AJ1151" s="147"/>
      <c r="AK1151" s="147"/>
      <c r="AL1151" s="147"/>
      <c r="AM1151" s="151"/>
      <c r="AN1151" s="147"/>
      <c r="AO1151" s="147"/>
      <c r="AP1151" s="147"/>
      <c r="AQ1151" s="147"/>
      <c r="AR1151" s="147"/>
      <c r="AS1151" s="147"/>
      <c r="AT1151" s="147"/>
      <c r="AU1151" s="147"/>
      <c r="AV1151" s="147"/>
      <c r="AW1151" s="147"/>
      <c r="AX1151" s="147"/>
      <c r="AY1151" s="147"/>
      <c r="AZ1151" s="147"/>
      <c r="BA1151" s="147"/>
      <c r="BB1151" s="147"/>
      <c r="BC1151" s="147"/>
      <c r="BD1151" s="147"/>
      <c r="BE1151" s="147"/>
      <c r="BF1151" s="147"/>
      <c r="BG1151" s="147"/>
      <c r="BH1151" s="147"/>
      <c r="BI1151" s="147"/>
      <c r="BJ1151" s="147"/>
      <c r="BK1151" s="147"/>
      <c r="BL1151" s="147"/>
      <c r="BM1151" s="147"/>
      <c r="BN1151" s="147"/>
      <c r="BO1151" s="147"/>
      <c r="BP1151" s="147"/>
      <c r="BQ1151" s="147"/>
      <c r="BR1151" s="147"/>
      <c r="BS1151" s="147"/>
      <c r="BT1151" s="147"/>
      <c r="BU1151" s="147"/>
      <c r="BV1151" s="147"/>
      <c r="BW1151" s="147"/>
      <c r="BX1151" s="147"/>
      <c r="BY1151" s="147"/>
      <c r="BZ1151" s="147"/>
      <c r="CA1151" s="147"/>
      <c r="CB1151" s="147"/>
      <c r="CC1151" s="147"/>
      <c r="CD1151" s="147"/>
      <c r="CE1151" s="147"/>
      <c r="CF1151" s="147"/>
      <c r="CG1151" s="147"/>
      <c r="CH1151" s="147"/>
      <c r="CI1151" s="147"/>
      <c r="CJ1151" s="147"/>
      <c r="CK1151" s="147"/>
    </row>
    <row r="1152" spans="1:89">
      <c r="A1152" s="157"/>
      <c r="F1152" s="3"/>
      <c r="G1152" s="3"/>
      <c r="L1152" s="157"/>
      <c r="M1152" s="157"/>
      <c r="O1152" s="147"/>
      <c r="P1152" s="147"/>
      <c r="Q1152" s="147"/>
      <c r="R1152" s="147"/>
      <c r="S1152" s="147"/>
      <c r="T1152" s="147"/>
      <c r="U1152" s="147"/>
      <c r="V1152" s="147"/>
      <c r="W1152" s="147"/>
      <c r="X1152" s="147"/>
      <c r="Y1152" s="147"/>
      <c r="Z1152" s="147"/>
      <c r="AA1152" s="147"/>
      <c r="AB1152" s="147"/>
      <c r="AC1152" s="147"/>
      <c r="AD1152" s="147"/>
      <c r="AE1152" s="147"/>
      <c r="AF1152" s="147"/>
      <c r="AG1152" s="147"/>
      <c r="AH1152" s="147"/>
      <c r="AI1152" s="147"/>
      <c r="AJ1152" s="147"/>
      <c r="AK1152" s="147"/>
      <c r="AL1152" s="147"/>
      <c r="AM1152" s="151"/>
      <c r="AN1152" s="147"/>
      <c r="AO1152" s="147"/>
      <c r="AP1152" s="147"/>
      <c r="AQ1152" s="147"/>
      <c r="AR1152" s="147"/>
      <c r="AS1152" s="147"/>
      <c r="AT1152" s="147"/>
      <c r="AU1152" s="147"/>
      <c r="AV1152" s="147"/>
      <c r="AW1152" s="147"/>
      <c r="AX1152" s="147"/>
      <c r="AY1152" s="147"/>
      <c r="AZ1152" s="147"/>
      <c r="BA1152" s="147"/>
      <c r="BB1152" s="147"/>
      <c r="BC1152" s="147"/>
      <c r="BD1152" s="147"/>
      <c r="BE1152" s="147"/>
      <c r="BF1152" s="147"/>
      <c r="BG1152" s="147"/>
      <c r="BH1152" s="147"/>
      <c r="BI1152" s="147"/>
      <c r="BJ1152" s="147"/>
      <c r="BK1152" s="147"/>
      <c r="BL1152" s="147"/>
      <c r="BM1152" s="147"/>
      <c r="BN1152" s="147"/>
      <c r="BO1152" s="147"/>
      <c r="BP1152" s="147"/>
      <c r="BQ1152" s="147"/>
      <c r="BR1152" s="147"/>
      <c r="BS1152" s="147"/>
      <c r="BT1152" s="147"/>
      <c r="BU1152" s="147"/>
      <c r="BV1152" s="147"/>
      <c r="BW1152" s="147"/>
      <c r="BX1152" s="147"/>
      <c r="BY1152" s="147"/>
      <c r="BZ1152" s="147"/>
      <c r="CA1152" s="147"/>
      <c r="CB1152" s="147"/>
      <c r="CC1152" s="147"/>
      <c r="CD1152" s="147"/>
      <c r="CE1152" s="147"/>
      <c r="CF1152" s="147"/>
      <c r="CG1152" s="147"/>
      <c r="CH1152" s="147"/>
      <c r="CI1152" s="147"/>
      <c r="CJ1152" s="147"/>
      <c r="CK1152" s="147"/>
    </row>
    <row r="1153" spans="1:89">
      <c r="A1153" s="157"/>
      <c r="F1153" s="3"/>
      <c r="G1153" s="3"/>
      <c r="L1153" s="157"/>
      <c r="M1153" s="157"/>
      <c r="O1153" s="147"/>
      <c r="P1153" s="147"/>
      <c r="Q1153" s="147"/>
      <c r="R1153" s="147"/>
      <c r="S1153" s="147"/>
      <c r="T1153" s="147"/>
      <c r="U1153" s="147"/>
      <c r="V1153" s="147"/>
      <c r="W1153" s="147"/>
      <c r="X1153" s="147"/>
      <c r="Y1153" s="147"/>
      <c r="Z1153" s="147"/>
      <c r="AA1153" s="147"/>
      <c r="AB1153" s="147"/>
      <c r="AC1153" s="147"/>
      <c r="AD1153" s="147"/>
      <c r="AE1153" s="147"/>
      <c r="AF1153" s="147"/>
      <c r="AG1153" s="147"/>
      <c r="AH1153" s="147"/>
      <c r="AI1153" s="147"/>
      <c r="AJ1153" s="147"/>
      <c r="AK1153" s="147"/>
      <c r="AL1153" s="147"/>
      <c r="AM1153" s="151"/>
      <c r="AN1153" s="147"/>
      <c r="AO1153" s="147"/>
      <c r="AP1153" s="147"/>
      <c r="AQ1153" s="147"/>
      <c r="AR1153" s="147"/>
      <c r="AS1153" s="147"/>
      <c r="AT1153" s="147"/>
      <c r="AU1153" s="147"/>
      <c r="AV1153" s="147"/>
      <c r="AW1153" s="147"/>
      <c r="AX1153" s="147"/>
      <c r="AY1153" s="147"/>
      <c r="AZ1153" s="147"/>
      <c r="BA1153" s="147"/>
      <c r="BB1153" s="147"/>
      <c r="BC1153" s="147"/>
      <c r="BD1153" s="147"/>
      <c r="BE1153" s="147"/>
      <c r="BF1153" s="147"/>
      <c r="BG1153" s="147"/>
      <c r="BH1153" s="147"/>
      <c r="BI1153" s="147"/>
      <c r="BJ1153" s="147"/>
      <c r="BK1153" s="147"/>
      <c r="BL1153" s="147"/>
      <c r="BM1153" s="147"/>
      <c r="BN1153" s="147"/>
      <c r="BO1153" s="147"/>
      <c r="BP1153" s="147"/>
      <c r="BQ1153" s="147"/>
      <c r="BR1153" s="147"/>
      <c r="BS1153" s="147"/>
      <c r="BT1153" s="147"/>
      <c r="BU1153" s="147"/>
      <c r="BV1153" s="147"/>
      <c r="BW1153" s="147"/>
      <c r="BX1153" s="147"/>
      <c r="BY1153" s="147"/>
      <c r="BZ1153" s="147"/>
      <c r="CA1153" s="147"/>
      <c r="CB1153" s="147"/>
      <c r="CC1153" s="147"/>
      <c r="CD1153" s="147"/>
      <c r="CE1153" s="147"/>
      <c r="CF1153" s="147"/>
      <c r="CG1153" s="147"/>
      <c r="CH1153" s="147"/>
      <c r="CI1153" s="147"/>
      <c r="CJ1153" s="147"/>
      <c r="CK1153" s="147"/>
    </row>
    <row r="1154" spans="1:89">
      <c r="A1154" s="157"/>
      <c r="F1154" s="3"/>
      <c r="G1154" s="3"/>
      <c r="L1154" s="157"/>
      <c r="M1154" s="157"/>
      <c r="O1154" s="147"/>
      <c r="P1154" s="147"/>
      <c r="Q1154" s="147"/>
      <c r="R1154" s="147"/>
      <c r="S1154" s="147"/>
      <c r="T1154" s="147"/>
      <c r="U1154" s="147"/>
      <c r="V1154" s="147"/>
      <c r="W1154" s="147"/>
      <c r="X1154" s="147"/>
      <c r="Y1154" s="147"/>
      <c r="Z1154" s="147"/>
      <c r="AA1154" s="147"/>
      <c r="AB1154" s="147"/>
      <c r="AC1154" s="147"/>
      <c r="AD1154" s="147"/>
      <c r="AE1154" s="147"/>
      <c r="AF1154" s="147"/>
      <c r="AG1154" s="147"/>
      <c r="AH1154" s="147"/>
      <c r="AI1154" s="147"/>
      <c r="AJ1154" s="147"/>
      <c r="AK1154" s="147"/>
      <c r="AL1154" s="147"/>
      <c r="AM1154" s="151"/>
      <c r="AN1154" s="147"/>
      <c r="AO1154" s="147"/>
      <c r="AP1154" s="147"/>
      <c r="AQ1154" s="147"/>
      <c r="AR1154" s="147"/>
      <c r="AS1154" s="147"/>
      <c r="AT1154" s="147"/>
      <c r="AU1154" s="147"/>
      <c r="AV1154" s="147"/>
      <c r="AW1154" s="147"/>
      <c r="AX1154" s="147"/>
      <c r="AY1154" s="147"/>
      <c r="AZ1154" s="147"/>
      <c r="BA1154" s="147"/>
      <c r="BB1154" s="147"/>
      <c r="BC1154" s="147"/>
      <c r="BD1154" s="147"/>
      <c r="BE1154" s="147"/>
      <c r="BF1154" s="147"/>
      <c r="BG1154" s="147"/>
      <c r="BH1154" s="147"/>
      <c r="BI1154" s="147"/>
      <c r="BJ1154" s="147"/>
      <c r="BK1154" s="147"/>
      <c r="BL1154" s="147"/>
      <c r="BM1154" s="147"/>
      <c r="BN1154" s="147"/>
      <c r="BO1154" s="147"/>
      <c r="BP1154" s="147"/>
      <c r="BQ1154" s="147"/>
      <c r="BR1154" s="147"/>
      <c r="BS1154" s="147"/>
      <c r="BT1154" s="147"/>
      <c r="BU1154" s="147"/>
      <c r="BV1154" s="147"/>
      <c r="BW1154" s="147"/>
      <c r="BX1154" s="147"/>
      <c r="BY1154" s="147"/>
      <c r="BZ1154" s="147"/>
      <c r="CA1154" s="147"/>
      <c r="CB1154" s="147"/>
      <c r="CC1154" s="147"/>
      <c r="CD1154" s="147"/>
      <c r="CE1154" s="147"/>
      <c r="CF1154" s="147"/>
      <c r="CG1154" s="147"/>
      <c r="CH1154" s="147"/>
      <c r="CI1154" s="147"/>
      <c r="CJ1154" s="147"/>
      <c r="CK1154" s="147"/>
    </row>
    <row r="1155" spans="1:89">
      <c r="A1155" s="157"/>
      <c r="F1155" s="3"/>
      <c r="G1155" s="3"/>
      <c r="L1155" s="157"/>
      <c r="M1155" s="157"/>
      <c r="O1155" s="147"/>
      <c r="P1155" s="147"/>
      <c r="Q1155" s="147"/>
      <c r="R1155" s="147"/>
      <c r="S1155" s="147"/>
      <c r="T1155" s="147"/>
      <c r="U1155" s="147"/>
      <c r="V1155" s="147"/>
      <c r="W1155" s="147"/>
      <c r="X1155" s="147"/>
      <c r="Y1155" s="147"/>
      <c r="Z1155" s="147"/>
      <c r="AA1155" s="147"/>
      <c r="AB1155" s="147"/>
      <c r="AC1155" s="147"/>
      <c r="AD1155" s="147"/>
      <c r="AE1155" s="147"/>
      <c r="AF1155" s="147"/>
      <c r="AG1155" s="147"/>
      <c r="AH1155" s="147"/>
      <c r="AI1155" s="147"/>
      <c r="AJ1155" s="147"/>
      <c r="AK1155" s="147"/>
      <c r="AL1155" s="147"/>
      <c r="AM1155" s="151"/>
      <c r="AN1155" s="147"/>
      <c r="AO1155" s="147"/>
      <c r="AP1155" s="147"/>
      <c r="AQ1155" s="147"/>
      <c r="AR1155" s="147"/>
      <c r="AS1155" s="147"/>
      <c r="AT1155" s="147"/>
      <c r="AU1155" s="147"/>
      <c r="AV1155" s="147"/>
      <c r="AW1155" s="147"/>
      <c r="AX1155" s="147"/>
      <c r="AY1155" s="147"/>
      <c r="AZ1155" s="147"/>
      <c r="BA1155" s="147"/>
      <c r="BB1155" s="147"/>
      <c r="BC1155" s="147"/>
      <c r="BD1155" s="147"/>
      <c r="BE1155" s="147"/>
      <c r="BF1155" s="147"/>
      <c r="BG1155" s="147"/>
      <c r="BH1155" s="147"/>
      <c r="BI1155" s="147"/>
      <c r="BJ1155" s="147"/>
      <c r="BK1155" s="147"/>
      <c r="BL1155" s="147"/>
      <c r="BM1155" s="147"/>
      <c r="BN1155" s="147"/>
      <c r="BO1155" s="147"/>
      <c r="BP1155" s="147"/>
      <c r="BQ1155" s="147"/>
      <c r="BR1155" s="147"/>
      <c r="BS1155" s="147"/>
      <c r="BT1155" s="147"/>
      <c r="BU1155" s="147"/>
      <c r="BV1155" s="147"/>
      <c r="BW1155" s="147"/>
      <c r="BX1155" s="147"/>
      <c r="BY1155" s="147"/>
      <c r="BZ1155" s="147"/>
      <c r="CA1155" s="147"/>
      <c r="CB1155" s="147"/>
      <c r="CC1155" s="147"/>
      <c r="CD1155" s="147"/>
      <c r="CE1155" s="147"/>
      <c r="CF1155" s="147"/>
      <c r="CG1155" s="147"/>
      <c r="CH1155" s="147"/>
      <c r="CI1155" s="147"/>
      <c r="CJ1155" s="147"/>
      <c r="CK1155" s="147"/>
    </row>
    <row r="1156" spans="1:89">
      <c r="A1156" s="157"/>
      <c r="F1156" s="3"/>
      <c r="G1156" s="3"/>
      <c r="L1156" s="157"/>
      <c r="M1156" s="157"/>
      <c r="O1156" s="147"/>
      <c r="P1156" s="147"/>
      <c r="Q1156" s="147"/>
      <c r="R1156" s="147"/>
      <c r="S1156" s="147"/>
      <c r="T1156" s="147"/>
      <c r="U1156" s="147"/>
      <c r="V1156" s="147"/>
      <c r="W1156" s="147"/>
      <c r="X1156" s="147"/>
      <c r="Y1156" s="147"/>
      <c r="Z1156" s="147"/>
      <c r="AA1156" s="147"/>
      <c r="AB1156" s="147"/>
      <c r="AC1156" s="147"/>
      <c r="AD1156" s="147"/>
      <c r="AE1156" s="147"/>
      <c r="AF1156" s="147"/>
      <c r="AG1156" s="147"/>
      <c r="AH1156" s="147"/>
      <c r="AI1156" s="147"/>
      <c r="AJ1156" s="147"/>
      <c r="AK1156" s="147"/>
      <c r="AL1156" s="147"/>
      <c r="AM1156" s="151"/>
      <c r="AN1156" s="147"/>
      <c r="AO1156" s="147"/>
      <c r="AP1156" s="147"/>
      <c r="AQ1156" s="147"/>
      <c r="AR1156" s="147"/>
      <c r="AS1156" s="147"/>
      <c r="AT1156" s="147"/>
      <c r="AU1156" s="147"/>
      <c r="AV1156" s="147"/>
      <c r="AW1156" s="147"/>
      <c r="AX1156" s="147"/>
      <c r="AY1156" s="147"/>
      <c r="AZ1156" s="147"/>
      <c r="BA1156" s="147"/>
      <c r="BB1156" s="147"/>
      <c r="BC1156" s="147"/>
      <c r="BD1156" s="147"/>
      <c r="BE1156" s="147"/>
      <c r="BF1156" s="147"/>
      <c r="BG1156" s="147"/>
      <c r="BH1156" s="147"/>
      <c r="BI1156" s="147"/>
      <c r="BJ1156" s="147"/>
      <c r="BK1156" s="147"/>
      <c r="BL1156" s="147"/>
      <c r="BM1156" s="147"/>
      <c r="BN1156" s="147"/>
      <c r="BO1156" s="147"/>
      <c r="BP1156" s="147"/>
      <c r="BQ1156" s="147"/>
      <c r="BR1156" s="147"/>
      <c r="BS1156" s="147"/>
      <c r="BT1156" s="147"/>
      <c r="BU1156" s="147"/>
      <c r="BV1156" s="147"/>
      <c r="BW1156" s="147"/>
      <c r="BX1156" s="147"/>
      <c r="BY1156" s="147"/>
      <c r="BZ1156" s="147"/>
      <c r="CA1156" s="147"/>
      <c r="CB1156" s="147"/>
      <c r="CC1156" s="147"/>
      <c r="CD1156" s="147"/>
      <c r="CE1156" s="147"/>
      <c r="CF1156" s="147"/>
      <c r="CG1156" s="147"/>
      <c r="CH1156" s="147"/>
      <c r="CI1156" s="147"/>
      <c r="CJ1156" s="147"/>
      <c r="CK1156" s="147"/>
    </row>
    <row r="1157" spans="1:89">
      <c r="A1157" s="157"/>
      <c r="F1157" s="3"/>
      <c r="G1157" s="3"/>
      <c r="L1157" s="157"/>
      <c r="M1157" s="157"/>
      <c r="O1157" s="147"/>
      <c r="P1157" s="147"/>
      <c r="Q1157" s="147"/>
      <c r="R1157" s="147"/>
      <c r="S1157" s="147"/>
      <c r="T1157" s="147"/>
      <c r="U1157" s="147"/>
      <c r="V1157" s="147"/>
      <c r="W1157" s="147"/>
      <c r="X1157" s="147"/>
      <c r="Y1157" s="147"/>
      <c r="Z1157" s="147"/>
      <c r="AA1157" s="147"/>
      <c r="AB1157" s="147"/>
      <c r="AC1157" s="147"/>
      <c r="AD1157" s="147"/>
      <c r="AE1157" s="147"/>
      <c r="AF1157" s="147"/>
      <c r="AG1157" s="147"/>
      <c r="AH1157" s="147"/>
      <c r="AI1157" s="147"/>
      <c r="AJ1157" s="147"/>
      <c r="AK1157" s="147"/>
      <c r="AL1157" s="147"/>
      <c r="AM1157" s="151"/>
      <c r="AN1157" s="147"/>
      <c r="AO1157" s="147"/>
      <c r="AP1157" s="147"/>
      <c r="AQ1157" s="147"/>
      <c r="AR1157" s="147"/>
      <c r="AS1157" s="147"/>
      <c r="AT1157" s="147"/>
      <c r="AU1157" s="147"/>
      <c r="AV1157" s="147"/>
      <c r="AW1157" s="147"/>
      <c r="AX1157" s="147"/>
      <c r="AY1157" s="147"/>
      <c r="AZ1157" s="147"/>
      <c r="BA1157" s="147"/>
      <c r="BB1157" s="147"/>
      <c r="BC1157" s="147"/>
      <c r="BD1157" s="147"/>
      <c r="BE1157" s="147"/>
      <c r="BF1157" s="147"/>
      <c r="BG1157" s="147"/>
      <c r="BH1157" s="147"/>
      <c r="BI1157" s="147"/>
      <c r="BJ1157" s="147"/>
      <c r="BK1157" s="147"/>
      <c r="BL1157" s="147"/>
      <c r="BM1157" s="147"/>
      <c r="BN1157" s="147"/>
      <c r="BO1157" s="147"/>
      <c r="BP1157" s="147"/>
      <c r="BQ1157" s="147"/>
      <c r="BR1157" s="147"/>
      <c r="BS1157" s="147"/>
      <c r="BT1157" s="147"/>
      <c r="BU1157" s="147"/>
      <c r="BV1157" s="147"/>
      <c r="BW1157" s="147"/>
      <c r="BX1157" s="147"/>
      <c r="BY1157" s="147"/>
      <c r="BZ1157" s="147"/>
      <c r="CA1157" s="147"/>
      <c r="CB1157" s="147"/>
      <c r="CC1157" s="147"/>
      <c r="CD1157" s="147"/>
      <c r="CE1157" s="147"/>
      <c r="CF1157" s="147"/>
      <c r="CG1157" s="147"/>
      <c r="CH1157" s="147"/>
      <c r="CI1157" s="147"/>
      <c r="CJ1157" s="147"/>
      <c r="CK1157" s="147"/>
    </row>
    <row r="1158" spans="1:89">
      <c r="A1158" s="157"/>
      <c r="F1158" s="3"/>
      <c r="G1158" s="3"/>
      <c r="L1158" s="157"/>
      <c r="M1158" s="157"/>
      <c r="O1158" s="147"/>
      <c r="P1158" s="147"/>
      <c r="Q1158" s="147"/>
      <c r="R1158" s="147"/>
      <c r="S1158" s="147"/>
      <c r="T1158" s="147"/>
      <c r="U1158" s="147"/>
      <c r="V1158" s="147"/>
      <c r="W1158" s="147"/>
      <c r="X1158" s="147"/>
      <c r="Y1158" s="147"/>
      <c r="Z1158" s="147"/>
      <c r="AA1158" s="147"/>
      <c r="AB1158" s="147"/>
      <c r="AC1158" s="147"/>
      <c r="AD1158" s="147"/>
      <c r="AE1158" s="147"/>
      <c r="AF1158" s="147"/>
      <c r="AG1158" s="147"/>
      <c r="AH1158" s="147"/>
      <c r="AI1158" s="147"/>
      <c r="AJ1158" s="147"/>
      <c r="AK1158" s="147"/>
      <c r="AL1158" s="147"/>
      <c r="AM1158" s="151"/>
      <c r="AN1158" s="147"/>
      <c r="AO1158" s="147"/>
      <c r="AP1158" s="147"/>
      <c r="AQ1158" s="147"/>
      <c r="AR1158" s="147"/>
      <c r="AS1158" s="147"/>
      <c r="AT1158" s="147"/>
      <c r="AU1158" s="147"/>
      <c r="AV1158" s="147"/>
      <c r="AW1158" s="147"/>
      <c r="AX1158" s="147"/>
      <c r="AY1158" s="147"/>
      <c r="AZ1158" s="147"/>
      <c r="BA1158" s="147"/>
      <c r="BB1158" s="147"/>
      <c r="BC1158" s="147"/>
      <c r="BD1158" s="147"/>
      <c r="BE1158" s="147"/>
      <c r="BF1158" s="147"/>
      <c r="BG1158" s="147"/>
      <c r="BH1158" s="147"/>
      <c r="BI1158" s="147"/>
      <c r="BJ1158" s="147"/>
      <c r="BK1158" s="147"/>
      <c r="BL1158" s="147"/>
      <c r="BM1158" s="147"/>
      <c r="BN1158" s="147"/>
      <c r="BO1158" s="147"/>
      <c r="BP1158" s="147"/>
      <c r="BQ1158" s="147"/>
      <c r="BR1158" s="147"/>
      <c r="BS1158" s="147"/>
      <c r="BT1158" s="147"/>
      <c r="BU1158" s="147"/>
      <c r="BV1158" s="147"/>
      <c r="BW1158" s="147"/>
      <c r="BX1158" s="147"/>
      <c r="BY1158" s="147"/>
      <c r="BZ1158" s="147"/>
      <c r="CA1158" s="147"/>
      <c r="CB1158" s="147"/>
      <c r="CC1158" s="147"/>
      <c r="CD1158" s="147"/>
      <c r="CE1158" s="147"/>
      <c r="CF1158" s="147"/>
      <c r="CG1158" s="147"/>
      <c r="CH1158" s="147"/>
      <c r="CI1158" s="147"/>
      <c r="CJ1158" s="147"/>
      <c r="CK1158" s="147"/>
    </row>
    <row r="1159" spans="1:89">
      <c r="A1159" s="157"/>
      <c r="F1159" s="3"/>
      <c r="G1159" s="3"/>
      <c r="L1159" s="157"/>
      <c r="M1159" s="157"/>
      <c r="O1159" s="147"/>
      <c r="P1159" s="147"/>
      <c r="Q1159" s="147"/>
      <c r="R1159" s="147"/>
      <c r="S1159" s="147"/>
      <c r="T1159" s="147"/>
      <c r="U1159" s="147"/>
      <c r="V1159" s="147"/>
      <c r="W1159" s="147"/>
      <c r="X1159" s="147"/>
      <c r="Y1159" s="147"/>
      <c r="Z1159" s="147"/>
      <c r="AA1159" s="147"/>
      <c r="AB1159" s="147"/>
      <c r="AC1159" s="147"/>
      <c r="AD1159" s="147"/>
      <c r="AE1159" s="147"/>
      <c r="AF1159" s="147"/>
      <c r="AG1159" s="147"/>
      <c r="AH1159" s="147"/>
      <c r="AI1159" s="147"/>
      <c r="AJ1159" s="147"/>
      <c r="AK1159" s="147"/>
      <c r="AL1159" s="147"/>
      <c r="AM1159" s="151"/>
      <c r="AN1159" s="147"/>
      <c r="AO1159" s="147"/>
      <c r="AP1159" s="147"/>
      <c r="AQ1159" s="147"/>
      <c r="AR1159" s="147"/>
      <c r="AS1159" s="147"/>
      <c r="AT1159" s="147"/>
      <c r="AU1159" s="147"/>
      <c r="AV1159" s="147"/>
      <c r="AW1159" s="147"/>
      <c r="AX1159" s="147"/>
      <c r="AY1159" s="147"/>
      <c r="AZ1159" s="147"/>
      <c r="BA1159" s="147"/>
      <c r="BB1159" s="147"/>
      <c r="BC1159" s="147"/>
      <c r="BD1159" s="147"/>
      <c r="BE1159" s="147"/>
      <c r="BF1159" s="147"/>
      <c r="BG1159" s="147"/>
      <c r="BH1159" s="147"/>
      <c r="BI1159" s="147"/>
      <c r="BJ1159" s="147"/>
      <c r="BK1159" s="147"/>
      <c r="BL1159" s="147"/>
      <c r="BM1159" s="147"/>
      <c r="BN1159" s="147"/>
      <c r="BO1159" s="147"/>
      <c r="BP1159" s="147"/>
      <c r="BQ1159" s="147"/>
      <c r="BR1159" s="147"/>
      <c r="BS1159" s="147"/>
      <c r="BT1159" s="147"/>
      <c r="BU1159" s="147"/>
      <c r="BV1159" s="147"/>
      <c r="BW1159" s="147"/>
      <c r="BX1159" s="147"/>
      <c r="BY1159" s="147"/>
      <c r="BZ1159" s="147"/>
      <c r="CA1159" s="147"/>
      <c r="CB1159" s="147"/>
      <c r="CC1159" s="147"/>
      <c r="CD1159" s="147"/>
      <c r="CE1159" s="147"/>
      <c r="CF1159" s="147"/>
      <c r="CG1159" s="147"/>
      <c r="CH1159" s="147"/>
      <c r="CI1159" s="147"/>
      <c r="CJ1159" s="147"/>
      <c r="CK1159" s="147"/>
    </row>
    <row r="1160" spans="1:89">
      <c r="A1160" s="157"/>
      <c r="F1160" s="3"/>
      <c r="G1160" s="3"/>
      <c r="L1160" s="157"/>
      <c r="M1160" s="157"/>
      <c r="O1160" s="147"/>
      <c r="P1160" s="147"/>
      <c r="Q1160" s="147"/>
      <c r="R1160" s="147"/>
      <c r="S1160" s="147"/>
      <c r="T1160" s="147"/>
      <c r="U1160" s="147"/>
      <c r="V1160" s="147"/>
      <c r="W1160" s="147"/>
      <c r="X1160" s="147"/>
      <c r="Y1160" s="147"/>
      <c r="Z1160" s="147"/>
      <c r="AA1160" s="147"/>
      <c r="AB1160" s="147"/>
      <c r="AC1160" s="147"/>
      <c r="AD1160" s="147"/>
      <c r="AE1160" s="147"/>
      <c r="AF1160" s="147"/>
      <c r="AG1160" s="147"/>
      <c r="AH1160" s="147"/>
      <c r="AI1160" s="147"/>
      <c r="AJ1160" s="147"/>
      <c r="AK1160" s="147"/>
      <c r="AL1160" s="147"/>
      <c r="AM1160" s="151"/>
      <c r="AN1160" s="147"/>
      <c r="AO1160" s="147"/>
      <c r="AP1160" s="147"/>
      <c r="AQ1160" s="147"/>
      <c r="AR1160" s="147"/>
      <c r="AS1160" s="147"/>
      <c r="AT1160" s="147"/>
      <c r="AU1160" s="147"/>
      <c r="AV1160" s="147"/>
      <c r="AW1160" s="147"/>
      <c r="AX1160" s="147"/>
      <c r="AY1160" s="147"/>
      <c r="AZ1160" s="147"/>
      <c r="BA1160" s="147"/>
      <c r="BB1160" s="147"/>
      <c r="BC1160" s="147"/>
      <c r="BD1160" s="147"/>
      <c r="BE1160" s="147"/>
      <c r="BF1160" s="147"/>
      <c r="BG1160" s="147"/>
      <c r="BH1160" s="147"/>
      <c r="BI1160" s="147"/>
      <c r="BJ1160" s="147"/>
      <c r="BK1160" s="147"/>
      <c r="BL1160" s="147"/>
      <c r="BM1160" s="147"/>
      <c r="BN1160" s="147"/>
      <c r="BO1160" s="147"/>
      <c r="BP1160" s="147"/>
      <c r="BQ1160" s="147"/>
      <c r="BR1160" s="147"/>
      <c r="BS1160" s="147"/>
      <c r="BT1160" s="147"/>
      <c r="BU1160" s="147"/>
      <c r="BV1160" s="147"/>
      <c r="BW1160" s="147"/>
      <c r="BX1160" s="147"/>
      <c r="BY1160" s="147"/>
      <c r="BZ1160" s="147"/>
      <c r="CA1160" s="147"/>
      <c r="CB1160" s="147"/>
      <c r="CC1160" s="147"/>
      <c r="CD1160" s="147"/>
      <c r="CE1160" s="147"/>
      <c r="CF1160" s="147"/>
      <c r="CG1160" s="147"/>
      <c r="CH1160" s="147"/>
      <c r="CI1160" s="147"/>
      <c r="CJ1160" s="147"/>
      <c r="CK1160" s="147"/>
    </row>
    <row r="1161" spans="1:89">
      <c r="A1161" s="157"/>
      <c r="F1161" s="3"/>
      <c r="G1161" s="3"/>
      <c r="L1161" s="157"/>
      <c r="M1161" s="157"/>
      <c r="O1161" s="147"/>
      <c r="P1161" s="147"/>
      <c r="Q1161" s="147"/>
      <c r="R1161" s="147"/>
      <c r="S1161" s="147"/>
      <c r="T1161" s="147"/>
      <c r="U1161" s="147"/>
      <c r="V1161" s="147"/>
      <c r="W1161" s="147"/>
      <c r="X1161" s="147"/>
      <c r="Y1161" s="147"/>
      <c r="Z1161" s="147"/>
      <c r="AA1161" s="147"/>
      <c r="AB1161" s="147"/>
      <c r="AC1161" s="147"/>
      <c r="AD1161" s="147"/>
      <c r="AE1161" s="147"/>
      <c r="AF1161" s="147"/>
      <c r="AG1161" s="147"/>
      <c r="AH1161" s="147"/>
      <c r="AI1161" s="147"/>
      <c r="AJ1161" s="147"/>
      <c r="AK1161" s="147"/>
      <c r="AL1161" s="147"/>
      <c r="AM1161" s="151"/>
      <c r="AN1161" s="147"/>
      <c r="AO1161" s="147"/>
      <c r="AP1161" s="147"/>
      <c r="AQ1161" s="147"/>
      <c r="AR1161" s="147"/>
      <c r="AS1161" s="147"/>
      <c r="AT1161" s="147"/>
      <c r="AU1161" s="147"/>
      <c r="AV1161" s="147"/>
      <c r="AW1161" s="147"/>
      <c r="AX1161" s="147"/>
      <c r="AY1161" s="147"/>
      <c r="AZ1161" s="147"/>
      <c r="BA1161" s="147"/>
      <c r="BB1161" s="147"/>
      <c r="BC1161" s="147"/>
      <c r="BD1161" s="147"/>
      <c r="BE1161" s="147"/>
      <c r="BF1161" s="147"/>
      <c r="BG1161" s="147"/>
      <c r="BH1161" s="147"/>
      <c r="BI1161" s="147"/>
      <c r="BJ1161" s="147"/>
      <c r="BK1161" s="147"/>
      <c r="BL1161" s="147"/>
      <c r="BM1161" s="147"/>
      <c r="BN1161" s="147"/>
      <c r="BO1161" s="147"/>
      <c r="BP1161" s="147"/>
      <c r="BQ1161" s="147"/>
      <c r="BR1161" s="147"/>
      <c r="BS1161" s="147"/>
      <c r="BT1161" s="147"/>
      <c r="BU1161" s="147"/>
      <c r="BV1161" s="147"/>
      <c r="BW1161" s="147"/>
      <c r="BX1161" s="147"/>
      <c r="BY1161" s="147"/>
      <c r="BZ1161" s="147"/>
      <c r="CA1161" s="147"/>
      <c r="CB1161" s="147"/>
      <c r="CC1161" s="147"/>
      <c r="CD1161" s="147"/>
      <c r="CE1161" s="147"/>
      <c r="CF1161" s="147"/>
      <c r="CG1161" s="147"/>
      <c r="CH1161" s="147"/>
      <c r="CI1161" s="147"/>
      <c r="CJ1161" s="147"/>
      <c r="CK1161" s="147"/>
    </row>
    <row r="1162" spans="1:89">
      <c r="A1162" s="157"/>
      <c r="F1162" s="3"/>
      <c r="G1162" s="3"/>
      <c r="L1162" s="157"/>
      <c r="M1162" s="157"/>
      <c r="O1162" s="147"/>
      <c r="P1162" s="147"/>
      <c r="Q1162" s="147"/>
      <c r="R1162" s="147"/>
      <c r="S1162" s="147"/>
      <c r="T1162" s="147"/>
      <c r="U1162" s="147"/>
      <c r="V1162" s="147"/>
      <c r="W1162" s="147"/>
      <c r="X1162" s="147"/>
      <c r="Y1162" s="147"/>
      <c r="Z1162" s="147"/>
      <c r="AA1162" s="147"/>
      <c r="AB1162" s="147"/>
      <c r="AC1162" s="147"/>
      <c r="AD1162" s="147"/>
      <c r="AE1162" s="147"/>
      <c r="AF1162" s="147"/>
      <c r="AG1162" s="147"/>
      <c r="AH1162" s="147"/>
      <c r="AI1162" s="147"/>
      <c r="AJ1162" s="147"/>
      <c r="AK1162" s="147"/>
      <c r="AL1162" s="147"/>
      <c r="AM1162" s="151"/>
      <c r="AN1162" s="147"/>
      <c r="AO1162" s="147"/>
      <c r="AP1162" s="147"/>
      <c r="AQ1162" s="147"/>
      <c r="AR1162" s="147"/>
      <c r="AS1162" s="147"/>
      <c r="AT1162" s="147"/>
      <c r="AU1162" s="147"/>
      <c r="AV1162" s="147"/>
      <c r="AW1162" s="147"/>
      <c r="AX1162" s="147"/>
      <c r="AY1162" s="147"/>
      <c r="AZ1162" s="147"/>
      <c r="BA1162" s="147"/>
      <c r="BB1162" s="147"/>
      <c r="BC1162" s="147"/>
      <c r="BD1162" s="147"/>
      <c r="BE1162" s="147"/>
      <c r="BF1162" s="147"/>
      <c r="BG1162" s="147"/>
      <c r="BH1162" s="147"/>
      <c r="BI1162" s="147"/>
      <c r="BJ1162" s="147"/>
      <c r="BK1162" s="147"/>
      <c r="BL1162" s="147"/>
      <c r="BM1162" s="147"/>
      <c r="BN1162" s="147"/>
      <c r="BO1162" s="147"/>
      <c r="BP1162" s="147"/>
      <c r="BQ1162" s="147"/>
      <c r="BR1162" s="147"/>
      <c r="BS1162" s="147"/>
      <c r="BT1162" s="147"/>
      <c r="BU1162" s="147"/>
      <c r="BV1162" s="147"/>
      <c r="BW1162" s="147"/>
      <c r="BX1162" s="147"/>
      <c r="BY1162" s="147"/>
      <c r="BZ1162" s="147"/>
      <c r="CA1162" s="147"/>
      <c r="CB1162" s="147"/>
      <c r="CC1162" s="147"/>
      <c r="CD1162" s="147"/>
      <c r="CE1162" s="147"/>
      <c r="CF1162" s="147"/>
      <c r="CG1162" s="147"/>
      <c r="CH1162" s="147"/>
      <c r="CI1162" s="147"/>
      <c r="CJ1162" s="147"/>
      <c r="CK1162" s="147"/>
    </row>
    <row r="1163" spans="1:89">
      <c r="A1163" s="157"/>
      <c r="F1163" s="3"/>
      <c r="G1163" s="3"/>
      <c r="L1163" s="157"/>
      <c r="M1163" s="157"/>
      <c r="O1163" s="147"/>
      <c r="P1163" s="147"/>
      <c r="Q1163" s="147"/>
      <c r="R1163" s="147"/>
      <c r="S1163" s="147"/>
      <c r="T1163" s="147"/>
      <c r="U1163" s="147"/>
      <c r="V1163" s="147"/>
      <c r="W1163" s="147"/>
      <c r="X1163" s="147"/>
      <c r="Y1163" s="147"/>
      <c r="Z1163" s="147"/>
      <c r="AA1163" s="147"/>
      <c r="AB1163" s="147"/>
      <c r="AC1163" s="147"/>
      <c r="AD1163" s="147"/>
      <c r="AE1163" s="147"/>
      <c r="AF1163" s="147"/>
      <c r="AG1163" s="147"/>
      <c r="AH1163" s="147"/>
      <c r="AI1163" s="147"/>
      <c r="AJ1163" s="147"/>
      <c r="AK1163" s="147"/>
      <c r="AL1163" s="147"/>
      <c r="AM1163" s="151"/>
      <c r="AN1163" s="147"/>
      <c r="AO1163" s="147"/>
      <c r="AP1163" s="147"/>
      <c r="AQ1163" s="147"/>
      <c r="AR1163" s="147"/>
      <c r="AS1163" s="147"/>
      <c r="AT1163" s="147"/>
      <c r="AU1163" s="147"/>
      <c r="AV1163" s="147"/>
      <c r="AW1163" s="147"/>
      <c r="AX1163" s="147"/>
      <c r="AY1163" s="147"/>
      <c r="AZ1163" s="147"/>
      <c r="BA1163" s="147"/>
      <c r="BB1163" s="147"/>
      <c r="BC1163" s="147"/>
      <c r="BD1163" s="147"/>
      <c r="BE1163" s="147"/>
      <c r="BF1163" s="147"/>
      <c r="BG1163" s="147"/>
      <c r="BH1163" s="147"/>
      <c r="BI1163" s="147"/>
      <c r="BJ1163" s="147"/>
      <c r="BK1163" s="147"/>
      <c r="BL1163" s="147"/>
      <c r="BM1163" s="147"/>
      <c r="BN1163" s="147"/>
      <c r="BO1163" s="147"/>
      <c r="BP1163" s="147"/>
      <c r="BQ1163" s="147"/>
      <c r="BR1163" s="147"/>
      <c r="BS1163" s="147"/>
      <c r="BT1163" s="147"/>
      <c r="BU1163" s="147"/>
      <c r="BV1163" s="147"/>
      <c r="BW1163" s="147"/>
      <c r="BX1163" s="147"/>
      <c r="BY1163" s="147"/>
      <c r="BZ1163" s="147"/>
      <c r="CA1163" s="147"/>
      <c r="CB1163" s="147"/>
      <c r="CC1163" s="147"/>
      <c r="CD1163" s="147"/>
      <c r="CE1163" s="147"/>
      <c r="CF1163" s="147"/>
      <c r="CG1163" s="147"/>
      <c r="CH1163" s="147"/>
      <c r="CI1163" s="147"/>
      <c r="CJ1163" s="147"/>
      <c r="CK1163" s="147"/>
    </row>
    <row r="1164" spans="1:89">
      <c r="A1164" s="157"/>
      <c r="F1164" s="3"/>
      <c r="G1164" s="3"/>
      <c r="L1164" s="157"/>
      <c r="M1164" s="157"/>
      <c r="O1164" s="147"/>
      <c r="P1164" s="147"/>
      <c r="Q1164" s="147"/>
      <c r="R1164" s="147"/>
      <c r="S1164" s="147"/>
      <c r="T1164" s="147"/>
      <c r="U1164" s="147"/>
      <c r="V1164" s="147"/>
      <c r="W1164" s="147"/>
      <c r="X1164" s="147"/>
      <c r="Y1164" s="147"/>
      <c r="Z1164" s="147"/>
      <c r="AA1164" s="147"/>
      <c r="AB1164" s="147"/>
      <c r="AC1164" s="147"/>
      <c r="AD1164" s="147"/>
      <c r="AE1164" s="147"/>
      <c r="AF1164" s="147"/>
      <c r="AG1164" s="147"/>
      <c r="AH1164" s="147"/>
      <c r="AI1164" s="147"/>
      <c r="AJ1164" s="147"/>
      <c r="AK1164" s="147"/>
      <c r="AL1164" s="147"/>
      <c r="AM1164" s="151"/>
      <c r="AN1164" s="147"/>
      <c r="AO1164" s="147"/>
      <c r="AP1164" s="147"/>
      <c r="AQ1164" s="147"/>
      <c r="AR1164" s="147"/>
      <c r="AS1164" s="147"/>
      <c r="AT1164" s="147"/>
      <c r="AU1164" s="147"/>
      <c r="AV1164" s="147"/>
      <c r="AW1164" s="147"/>
      <c r="AX1164" s="147"/>
      <c r="AY1164" s="147"/>
      <c r="AZ1164" s="147"/>
      <c r="BA1164" s="147"/>
      <c r="BB1164" s="147"/>
      <c r="BC1164" s="147"/>
      <c r="BD1164" s="147"/>
      <c r="BE1164" s="147"/>
      <c r="BF1164" s="147"/>
      <c r="BG1164" s="147"/>
      <c r="BH1164" s="147"/>
      <c r="BI1164" s="147"/>
      <c r="BJ1164" s="147"/>
      <c r="BK1164" s="147"/>
      <c r="BL1164" s="147"/>
      <c r="BM1164" s="147"/>
      <c r="BN1164" s="147"/>
      <c r="BO1164" s="147"/>
      <c r="BP1164" s="147"/>
      <c r="BQ1164" s="147"/>
      <c r="BR1164" s="147"/>
      <c r="BS1164" s="147"/>
      <c r="BT1164" s="147"/>
      <c r="BU1164" s="147"/>
      <c r="BV1164" s="147"/>
      <c r="BW1164" s="147"/>
      <c r="BX1164" s="147"/>
      <c r="BY1164" s="147"/>
      <c r="BZ1164" s="147"/>
      <c r="CA1164" s="147"/>
      <c r="CB1164" s="147"/>
      <c r="CC1164" s="147"/>
      <c r="CD1164" s="147"/>
      <c r="CE1164" s="147"/>
      <c r="CF1164" s="147"/>
      <c r="CG1164" s="147"/>
      <c r="CH1164" s="147"/>
      <c r="CI1164" s="147"/>
      <c r="CJ1164" s="147"/>
      <c r="CK1164" s="147"/>
    </row>
    <row r="1165" spans="1:89">
      <c r="A1165" s="157"/>
      <c r="F1165" s="3"/>
      <c r="G1165" s="3"/>
      <c r="L1165" s="157"/>
      <c r="M1165" s="157"/>
      <c r="O1165" s="147"/>
      <c r="P1165" s="147"/>
      <c r="Q1165" s="147"/>
      <c r="R1165" s="147"/>
      <c r="S1165" s="147"/>
      <c r="T1165" s="147"/>
      <c r="U1165" s="147"/>
      <c r="V1165" s="147"/>
      <c r="W1165" s="147"/>
      <c r="X1165" s="147"/>
      <c r="Y1165" s="147"/>
      <c r="Z1165" s="147"/>
      <c r="AA1165" s="147"/>
      <c r="AB1165" s="147"/>
      <c r="AC1165" s="147"/>
      <c r="AD1165" s="147"/>
      <c r="AE1165" s="147"/>
      <c r="AF1165" s="147"/>
      <c r="AG1165" s="147"/>
      <c r="AH1165" s="147"/>
      <c r="AI1165" s="147"/>
      <c r="AJ1165" s="147"/>
      <c r="AK1165" s="147"/>
      <c r="AL1165" s="147"/>
      <c r="AM1165" s="151"/>
      <c r="AN1165" s="147"/>
      <c r="AO1165" s="147"/>
      <c r="AP1165" s="147"/>
      <c r="AQ1165" s="147"/>
      <c r="AR1165" s="147"/>
      <c r="AS1165" s="147"/>
      <c r="AT1165" s="147"/>
      <c r="AU1165" s="147"/>
      <c r="AV1165" s="147"/>
      <c r="AW1165" s="147"/>
      <c r="AX1165" s="147"/>
      <c r="AY1165" s="147"/>
      <c r="AZ1165" s="147"/>
      <c r="BA1165" s="147"/>
      <c r="BB1165" s="147"/>
      <c r="BC1165" s="147"/>
      <c r="BD1165" s="147"/>
      <c r="BE1165" s="147"/>
      <c r="BF1165" s="147"/>
      <c r="BG1165" s="147"/>
      <c r="BH1165" s="147"/>
      <c r="BI1165" s="147"/>
      <c r="BJ1165" s="147"/>
      <c r="BK1165" s="147"/>
      <c r="BL1165" s="147"/>
      <c r="BM1165" s="147"/>
      <c r="BN1165" s="147"/>
      <c r="BO1165" s="147"/>
      <c r="BP1165" s="147"/>
      <c r="BQ1165" s="147"/>
      <c r="BR1165" s="147"/>
      <c r="BS1165" s="147"/>
      <c r="BT1165" s="147"/>
      <c r="BU1165" s="147"/>
      <c r="BV1165" s="147"/>
      <c r="BW1165" s="147"/>
      <c r="BX1165" s="147"/>
      <c r="BY1165" s="147"/>
      <c r="BZ1165" s="147"/>
      <c r="CA1165" s="147"/>
      <c r="CB1165" s="147"/>
      <c r="CC1165" s="147"/>
      <c r="CD1165" s="147"/>
      <c r="CE1165" s="147"/>
      <c r="CF1165" s="147"/>
      <c r="CG1165" s="147"/>
      <c r="CH1165" s="147"/>
      <c r="CI1165" s="147"/>
      <c r="CJ1165" s="147"/>
      <c r="CK1165" s="147"/>
    </row>
    <row r="1166" spans="1:89">
      <c r="A1166" s="157"/>
      <c r="F1166" s="3"/>
      <c r="G1166" s="3"/>
      <c r="L1166" s="157"/>
      <c r="M1166" s="157"/>
      <c r="O1166" s="147"/>
      <c r="P1166" s="147"/>
      <c r="Q1166" s="147"/>
      <c r="R1166" s="147"/>
      <c r="S1166" s="147"/>
      <c r="T1166" s="147"/>
      <c r="U1166" s="147"/>
      <c r="V1166" s="147"/>
      <c r="W1166" s="147"/>
      <c r="X1166" s="147"/>
      <c r="Y1166" s="147"/>
      <c r="Z1166" s="147"/>
      <c r="AA1166" s="147"/>
      <c r="AB1166" s="147"/>
      <c r="AC1166" s="147"/>
      <c r="AD1166" s="147"/>
      <c r="AE1166" s="147"/>
      <c r="AF1166" s="147"/>
      <c r="AG1166" s="147"/>
      <c r="AH1166" s="147"/>
      <c r="AI1166" s="147"/>
      <c r="AJ1166" s="147"/>
      <c r="AK1166" s="147"/>
      <c r="AL1166" s="147"/>
      <c r="AM1166" s="151"/>
      <c r="AN1166" s="147"/>
      <c r="AO1166" s="147"/>
      <c r="AP1166" s="147"/>
      <c r="AQ1166" s="147"/>
      <c r="AR1166" s="147"/>
      <c r="AS1166" s="147"/>
      <c r="AT1166" s="147"/>
      <c r="AU1166" s="147"/>
      <c r="AV1166" s="147"/>
      <c r="AW1166" s="147"/>
      <c r="AX1166" s="147"/>
      <c r="AY1166" s="147"/>
      <c r="AZ1166" s="147"/>
      <c r="BA1166" s="147"/>
      <c r="BB1166" s="147"/>
      <c r="BC1166" s="147"/>
      <c r="BD1166" s="147"/>
      <c r="BE1166" s="147"/>
      <c r="BF1166" s="147"/>
      <c r="BG1166" s="147"/>
      <c r="BH1166" s="147"/>
      <c r="BI1166" s="147"/>
      <c r="BJ1166" s="147"/>
      <c r="BK1166" s="147"/>
      <c r="BL1166" s="147"/>
      <c r="BM1166" s="147"/>
      <c r="BN1166" s="147"/>
      <c r="BO1166" s="147"/>
      <c r="BP1166" s="147"/>
      <c r="BQ1166" s="147"/>
      <c r="BR1166" s="147"/>
      <c r="BS1166" s="147"/>
      <c r="BT1166" s="147"/>
      <c r="BU1166" s="147"/>
      <c r="BV1166" s="147"/>
      <c r="BW1166" s="147"/>
      <c r="BX1166" s="147"/>
      <c r="BY1166" s="147"/>
      <c r="BZ1166" s="147"/>
      <c r="CA1166" s="147"/>
      <c r="CB1166" s="147"/>
      <c r="CC1166" s="147"/>
      <c r="CD1166" s="147"/>
      <c r="CE1166" s="147"/>
      <c r="CF1166" s="147"/>
      <c r="CG1166" s="147"/>
      <c r="CH1166" s="147"/>
      <c r="CI1166" s="147"/>
      <c r="CJ1166" s="147"/>
      <c r="CK1166" s="147"/>
    </row>
    <row r="1167" spans="1:89">
      <c r="A1167" s="157"/>
      <c r="F1167" s="3"/>
      <c r="G1167" s="3"/>
      <c r="L1167" s="157"/>
      <c r="M1167" s="157"/>
      <c r="O1167" s="147"/>
      <c r="P1167" s="147"/>
      <c r="Q1167" s="147"/>
      <c r="R1167" s="147"/>
      <c r="S1167" s="147"/>
      <c r="T1167" s="147"/>
      <c r="U1167" s="147"/>
      <c r="V1167" s="147"/>
      <c r="W1167" s="147"/>
      <c r="X1167" s="147"/>
      <c r="Y1167" s="147"/>
      <c r="Z1167" s="147"/>
      <c r="AA1167" s="147"/>
      <c r="AB1167" s="147"/>
      <c r="AC1167" s="147"/>
      <c r="AD1167" s="147"/>
      <c r="AE1167" s="147"/>
      <c r="AF1167" s="147"/>
      <c r="AG1167" s="147"/>
      <c r="AH1167" s="147"/>
      <c r="AI1167" s="147"/>
      <c r="AJ1167" s="147"/>
      <c r="AK1167" s="147"/>
      <c r="AL1167" s="147"/>
      <c r="AM1167" s="151"/>
      <c r="AN1167" s="147"/>
      <c r="AO1167" s="147"/>
      <c r="AP1167" s="147"/>
      <c r="AQ1167" s="147"/>
      <c r="AR1167" s="147"/>
      <c r="AS1167" s="147"/>
      <c r="AT1167" s="147"/>
      <c r="AU1167" s="147"/>
      <c r="AV1167" s="147"/>
      <c r="AW1167" s="147"/>
      <c r="AX1167" s="147"/>
      <c r="AY1167" s="147"/>
      <c r="AZ1167" s="147"/>
      <c r="BA1167" s="147"/>
      <c r="BB1167" s="147"/>
      <c r="BC1167" s="147"/>
      <c r="BD1167" s="147"/>
      <c r="BE1167" s="147"/>
      <c r="BF1167" s="147"/>
      <c r="BG1167" s="147"/>
      <c r="BH1167" s="147"/>
      <c r="BI1167" s="147"/>
      <c r="BJ1167" s="147"/>
      <c r="BK1167" s="147"/>
      <c r="BL1167" s="147"/>
      <c r="BM1167" s="147"/>
      <c r="BN1167" s="147"/>
      <c r="BO1167" s="147"/>
      <c r="BP1167" s="147"/>
      <c r="BQ1167" s="147"/>
      <c r="BR1167" s="147"/>
      <c r="BS1167" s="147"/>
      <c r="BT1167" s="147"/>
      <c r="BU1167" s="147"/>
      <c r="BV1167" s="147"/>
      <c r="BW1167" s="147"/>
      <c r="BX1167" s="147"/>
      <c r="BY1167" s="147"/>
      <c r="BZ1167" s="147"/>
      <c r="CA1167" s="147"/>
      <c r="CB1167" s="147"/>
      <c r="CC1167" s="147"/>
      <c r="CD1167" s="147"/>
      <c r="CE1167" s="147"/>
      <c r="CF1167" s="147"/>
      <c r="CG1167" s="147"/>
      <c r="CH1167" s="147"/>
      <c r="CI1167" s="147"/>
      <c r="CJ1167" s="147"/>
      <c r="CK1167" s="147"/>
    </row>
    <row r="1168" spans="1:89">
      <c r="A1168" s="157"/>
      <c r="F1168" s="3"/>
      <c r="G1168" s="3"/>
      <c r="L1168" s="157"/>
      <c r="M1168" s="157"/>
      <c r="O1168" s="147"/>
      <c r="P1168" s="147"/>
      <c r="Q1168" s="147"/>
      <c r="R1168" s="147"/>
      <c r="S1168" s="147"/>
      <c r="T1168" s="147"/>
      <c r="U1168" s="147"/>
      <c r="V1168" s="147"/>
      <c r="W1168" s="147"/>
      <c r="X1168" s="147"/>
      <c r="Y1168" s="147"/>
      <c r="Z1168" s="147"/>
      <c r="AA1168" s="147"/>
      <c r="AB1168" s="147"/>
      <c r="AC1168" s="147"/>
      <c r="AD1168" s="147"/>
      <c r="AE1168" s="147"/>
      <c r="AF1168" s="147"/>
      <c r="AG1168" s="147"/>
      <c r="AH1168" s="147"/>
      <c r="AI1168" s="147"/>
      <c r="AJ1168" s="147"/>
      <c r="AK1168" s="147"/>
      <c r="AL1168" s="147"/>
      <c r="AM1168" s="151"/>
      <c r="AN1168" s="147"/>
      <c r="AO1168" s="147"/>
      <c r="AP1168" s="147"/>
      <c r="AQ1168" s="147"/>
      <c r="AR1168" s="147"/>
      <c r="AS1168" s="147"/>
      <c r="AT1168" s="147"/>
      <c r="AU1168" s="147"/>
      <c r="AV1168" s="147"/>
      <c r="AW1168" s="147"/>
      <c r="AX1168" s="147"/>
      <c r="AY1168" s="147"/>
      <c r="AZ1168" s="147"/>
      <c r="BA1168" s="147"/>
      <c r="BB1168" s="147"/>
      <c r="BC1168" s="147"/>
      <c r="BD1168" s="147"/>
      <c r="BE1168" s="147"/>
      <c r="BF1168" s="147"/>
      <c r="BG1168" s="147"/>
      <c r="BH1168" s="147"/>
      <c r="BI1168" s="147"/>
      <c r="BJ1168" s="147"/>
      <c r="BK1168" s="147"/>
      <c r="BL1168" s="147"/>
      <c r="BM1168" s="147"/>
      <c r="BN1168" s="147"/>
      <c r="BO1168" s="147"/>
      <c r="BP1168" s="147"/>
      <c r="BQ1168" s="147"/>
      <c r="BR1168" s="147"/>
      <c r="BS1168" s="147"/>
      <c r="BT1168" s="147"/>
      <c r="BU1168" s="147"/>
      <c r="BV1168" s="147"/>
      <c r="BW1168" s="147"/>
      <c r="BX1168" s="147"/>
      <c r="BY1168" s="147"/>
      <c r="BZ1168" s="147"/>
      <c r="CA1168" s="147"/>
      <c r="CB1168" s="147"/>
      <c r="CC1168" s="147"/>
      <c r="CD1168" s="147"/>
      <c r="CE1168" s="147"/>
      <c r="CF1168" s="147"/>
      <c r="CG1168" s="147"/>
      <c r="CH1168" s="147"/>
      <c r="CI1168" s="147"/>
      <c r="CJ1168" s="147"/>
      <c r="CK1168" s="147"/>
    </row>
    <row r="1169" spans="1:89">
      <c r="A1169" s="157"/>
      <c r="F1169" s="3"/>
      <c r="G1169" s="3"/>
      <c r="L1169" s="157"/>
      <c r="M1169" s="157"/>
      <c r="O1169" s="147"/>
      <c r="P1169" s="147"/>
      <c r="Q1169" s="147"/>
      <c r="R1169" s="147"/>
      <c r="S1169" s="147"/>
      <c r="T1169" s="147"/>
      <c r="U1169" s="147"/>
      <c r="V1169" s="147"/>
      <c r="W1169" s="147"/>
      <c r="X1169" s="147"/>
      <c r="Y1169" s="147"/>
      <c r="Z1169" s="147"/>
      <c r="AA1169" s="147"/>
      <c r="AB1169" s="147"/>
      <c r="AC1169" s="147"/>
      <c r="AD1169" s="147"/>
      <c r="AE1169" s="147"/>
      <c r="AF1169" s="147"/>
      <c r="AG1169" s="147"/>
      <c r="AH1169" s="147"/>
      <c r="AI1169" s="147"/>
      <c r="AJ1169" s="147"/>
      <c r="AK1169" s="147"/>
      <c r="AL1169" s="147"/>
      <c r="AM1169" s="151"/>
      <c r="AN1169" s="147"/>
      <c r="AO1169" s="147"/>
      <c r="AP1169" s="147"/>
      <c r="AQ1169" s="147"/>
      <c r="AR1169" s="147"/>
      <c r="AS1169" s="147"/>
      <c r="AT1169" s="147"/>
      <c r="AU1169" s="147"/>
      <c r="AV1169" s="147"/>
      <c r="AW1169" s="147"/>
      <c r="AX1169" s="147"/>
      <c r="AY1169" s="147"/>
      <c r="AZ1169" s="147"/>
      <c r="BA1169" s="147"/>
      <c r="BB1169" s="147"/>
      <c r="BC1169" s="147"/>
      <c r="BD1169" s="147"/>
      <c r="BE1169" s="147"/>
      <c r="BF1169" s="147"/>
      <c r="BG1169" s="147"/>
      <c r="BH1169" s="147"/>
      <c r="BI1169" s="147"/>
      <c r="BJ1169" s="147"/>
      <c r="BK1169" s="147"/>
      <c r="BL1169" s="147"/>
      <c r="BM1169" s="147"/>
      <c r="BN1169" s="147"/>
      <c r="BO1169" s="147"/>
      <c r="BP1169" s="147"/>
      <c r="BQ1169" s="147"/>
      <c r="BR1169" s="147"/>
      <c r="BS1169" s="147"/>
      <c r="BT1169" s="147"/>
      <c r="BU1169" s="147"/>
      <c r="BV1169" s="147"/>
      <c r="BW1169" s="147"/>
      <c r="BX1169" s="147"/>
      <c r="BY1169" s="147"/>
      <c r="BZ1169" s="147"/>
      <c r="CA1169" s="147"/>
      <c r="CB1169" s="147"/>
      <c r="CC1169" s="147"/>
      <c r="CD1169" s="147"/>
      <c r="CE1169" s="147"/>
      <c r="CF1169" s="147"/>
      <c r="CG1169" s="147"/>
      <c r="CH1169" s="147"/>
      <c r="CI1169" s="147"/>
      <c r="CJ1169" s="147"/>
      <c r="CK1169" s="147"/>
    </row>
    <row r="1170" spans="1:89">
      <c r="A1170" s="157"/>
      <c r="F1170" s="3"/>
      <c r="G1170" s="3"/>
      <c r="L1170" s="157"/>
      <c r="M1170" s="157"/>
      <c r="O1170" s="147"/>
      <c r="P1170" s="147"/>
      <c r="Q1170" s="147"/>
      <c r="R1170" s="147"/>
      <c r="S1170" s="147"/>
      <c r="T1170" s="147"/>
      <c r="U1170" s="147"/>
      <c r="V1170" s="147"/>
      <c r="W1170" s="147"/>
      <c r="X1170" s="147"/>
      <c r="Y1170" s="147"/>
      <c r="Z1170" s="147"/>
      <c r="AA1170" s="147"/>
      <c r="AB1170" s="147"/>
      <c r="AC1170" s="147"/>
      <c r="AD1170" s="147"/>
      <c r="AE1170" s="147"/>
      <c r="AF1170" s="147"/>
      <c r="AG1170" s="147"/>
      <c r="AH1170" s="147"/>
      <c r="AI1170" s="147"/>
      <c r="AJ1170" s="147"/>
      <c r="AK1170" s="147"/>
      <c r="AL1170" s="147"/>
      <c r="AM1170" s="151"/>
      <c r="AN1170" s="147"/>
      <c r="AO1170" s="147"/>
      <c r="AP1170" s="147"/>
      <c r="AQ1170" s="147"/>
      <c r="AR1170" s="147"/>
      <c r="AS1170" s="147"/>
      <c r="AT1170" s="147"/>
      <c r="AU1170" s="147"/>
      <c r="AV1170" s="147"/>
      <c r="AW1170" s="147"/>
      <c r="AX1170" s="147"/>
      <c r="AY1170" s="147"/>
      <c r="AZ1170" s="147"/>
      <c r="BA1170" s="147"/>
      <c r="BB1170" s="147"/>
      <c r="BC1170" s="147"/>
      <c r="BD1170" s="147"/>
      <c r="BE1170" s="147"/>
      <c r="BF1170" s="147"/>
      <c r="BG1170" s="147"/>
      <c r="BH1170" s="147"/>
      <c r="BI1170" s="147"/>
      <c r="BJ1170" s="147"/>
      <c r="BK1170" s="147"/>
      <c r="BL1170" s="147"/>
      <c r="BM1170" s="147"/>
      <c r="BN1170" s="147"/>
      <c r="BO1170" s="147"/>
      <c r="BP1170" s="147"/>
      <c r="BQ1170" s="147"/>
      <c r="BR1170" s="147"/>
      <c r="BS1170" s="147"/>
      <c r="BT1170" s="147"/>
      <c r="BU1170" s="147"/>
      <c r="BV1170" s="147"/>
      <c r="BW1170" s="147"/>
      <c r="BX1170" s="147"/>
      <c r="BY1170" s="147"/>
      <c r="BZ1170" s="147"/>
      <c r="CA1170" s="147"/>
      <c r="CB1170" s="147"/>
      <c r="CC1170" s="147"/>
      <c r="CD1170" s="147"/>
      <c r="CE1170" s="147"/>
      <c r="CF1170" s="147"/>
      <c r="CG1170" s="147"/>
      <c r="CH1170" s="147"/>
      <c r="CI1170" s="147"/>
      <c r="CJ1170" s="147"/>
      <c r="CK1170" s="147"/>
    </row>
    <row r="1171" spans="1:89">
      <c r="A1171" s="157"/>
      <c r="F1171" s="3"/>
      <c r="G1171" s="3"/>
      <c r="L1171" s="157"/>
      <c r="M1171" s="157"/>
      <c r="O1171" s="147"/>
      <c r="P1171" s="147"/>
      <c r="Q1171" s="147"/>
      <c r="R1171" s="147"/>
      <c r="S1171" s="147"/>
      <c r="T1171" s="147"/>
      <c r="U1171" s="147"/>
      <c r="V1171" s="147"/>
      <c r="W1171" s="147"/>
      <c r="X1171" s="147"/>
      <c r="Y1171" s="147"/>
      <c r="Z1171" s="147"/>
      <c r="AA1171" s="147"/>
      <c r="AB1171" s="147"/>
      <c r="AC1171" s="147"/>
      <c r="AD1171" s="147"/>
      <c r="AE1171" s="147"/>
      <c r="AF1171" s="147"/>
      <c r="AG1171" s="147"/>
      <c r="AH1171" s="147"/>
      <c r="AI1171" s="147"/>
      <c r="AJ1171" s="147"/>
      <c r="AK1171" s="147"/>
      <c r="AL1171" s="147"/>
      <c r="AM1171" s="151"/>
      <c r="AN1171" s="147"/>
      <c r="AO1171" s="147"/>
      <c r="AP1171" s="147"/>
      <c r="AQ1171" s="147"/>
      <c r="AR1171" s="147"/>
      <c r="AS1171" s="147"/>
      <c r="AT1171" s="147"/>
      <c r="AU1171" s="147"/>
      <c r="AV1171" s="147"/>
      <c r="AW1171" s="147"/>
      <c r="AX1171" s="147"/>
      <c r="AY1171" s="147"/>
      <c r="AZ1171" s="147"/>
      <c r="BA1171" s="147"/>
      <c r="BB1171" s="147"/>
      <c r="BC1171" s="147"/>
      <c r="BD1171" s="147"/>
      <c r="BE1171" s="147"/>
      <c r="BF1171" s="147"/>
      <c r="BG1171" s="147"/>
      <c r="BH1171" s="147"/>
      <c r="BI1171" s="147"/>
      <c r="BJ1171" s="147"/>
      <c r="BK1171" s="147"/>
      <c r="BL1171" s="147"/>
      <c r="BM1171" s="147"/>
      <c r="BN1171" s="147"/>
      <c r="BO1171" s="147"/>
      <c r="BP1171" s="147"/>
      <c r="BQ1171" s="147"/>
      <c r="BR1171" s="147"/>
      <c r="BS1171" s="147"/>
      <c r="BT1171" s="147"/>
      <c r="BU1171" s="147"/>
      <c r="BV1171" s="147"/>
      <c r="BW1171" s="147"/>
      <c r="BX1171" s="147"/>
      <c r="BY1171" s="147"/>
      <c r="BZ1171" s="147"/>
      <c r="CA1171" s="147"/>
      <c r="CB1171" s="147"/>
      <c r="CC1171" s="147"/>
      <c r="CD1171" s="147"/>
      <c r="CE1171" s="147"/>
      <c r="CF1171" s="147"/>
      <c r="CG1171" s="147"/>
      <c r="CH1171" s="147"/>
      <c r="CI1171" s="147"/>
      <c r="CJ1171" s="147"/>
      <c r="CK1171" s="147"/>
    </row>
    <row r="1172" spans="1:89">
      <c r="A1172" s="157"/>
      <c r="F1172" s="3"/>
      <c r="G1172" s="3"/>
      <c r="L1172" s="157"/>
      <c r="M1172" s="157"/>
      <c r="O1172" s="147"/>
      <c r="P1172" s="147"/>
      <c r="Q1172" s="147"/>
      <c r="R1172" s="147"/>
      <c r="S1172" s="147"/>
      <c r="T1172" s="147"/>
      <c r="U1172" s="147"/>
      <c r="V1172" s="147"/>
      <c r="W1172" s="147"/>
      <c r="X1172" s="147"/>
      <c r="Y1172" s="147"/>
      <c r="Z1172" s="147"/>
      <c r="AA1172" s="147"/>
      <c r="AB1172" s="147"/>
      <c r="AC1172" s="147"/>
      <c r="AD1172" s="147"/>
      <c r="AE1172" s="147"/>
      <c r="AF1172" s="147"/>
      <c r="AG1172" s="147"/>
      <c r="AH1172" s="147"/>
      <c r="AI1172" s="147"/>
      <c r="AJ1172" s="147"/>
      <c r="AK1172" s="147"/>
      <c r="AL1172" s="147"/>
      <c r="AM1172" s="151"/>
      <c r="AN1172" s="147"/>
      <c r="AO1172" s="147"/>
      <c r="AP1172" s="147"/>
      <c r="AQ1172" s="147"/>
      <c r="AR1172" s="147"/>
      <c r="AS1172" s="147"/>
      <c r="AT1172" s="147"/>
      <c r="AU1172" s="147"/>
      <c r="AV1172" s="147"/>
      <c r="AW1172" s="147"/>
      <c r="AX1172" s="147"/>
      <c r="AY1172" s="147"/>
      <c r="AZ1172" s="147"/>
      <c r="BA1172" s="147"/>
      <c r="BB1172" s="147"/>
      <c r="BC1172" s="147"/>
      <c r="BD1172" s="147"/>
      <c r="BE1172" s="147"/>
      <c r="BF1172" s="147"/>
      <c r="BG1172" s="147"/>
      <c r="BH1172" s="147"/>
      <c r="BI1172" s="147"/>
      <c r="BJ1172" s="147"/>
      <c r="BK1172" s="147"/>
      <c r="BL1172" s="147"/>
      <c r="BM1172" s="147"/>
      <c r="BN1172" s="147"/>
      <c r="BO1172" s="147"/>
      <c r="BP1172" s="147"/>
      <c r="BQ1172" s="147"/>
      <c r="BR1172" s="147"/>
      <c r="BS1172" s="147"/>
      <c r="BT1172" s="147"/>
      <c r="BU1172" s="147"/>
      <c r="BV1172" s="147"/>
      <c r="BW1172" s="147"/>
      <c r="BX1172" s="147"/>
      <c r="BY1172" s="147"/>
      <c r="BZ1172" s="147"/>
      <c r="CA1172" s="147"/>
      <c r="CB1172" s="147"/>
      <c r="CC1172" s="147"/>
      <c r="CD1172" s="147"/>
      <c r="CE1172" s="147"/>
      <c r="CF1172" s="147"/>
      <c r="CG1172" s="147"/>
      <c r="CH1172" s="147"/>
      <c r="CI1172" s="147"/>
      <c r="CJ1172" s="147"/>
      <c r="CK1172" s="147"/>
    </row>
    <row r="1173" spans="1:89">
      <c r="A1173" s="157"/>
      <c r="F1173" s="3"/>
      <c r="G1173" s="3"/>
      <c r="L1173" s="157"/>
      <c r="M1173" s="157"/>
      <c r="O1173" s="147"/>
      <c r="P1173" s="147"/>
      <c r="Q1173" s="147"/>
      <c r="R1173" s="147"/>
      <c r="S1173" s="147"/>
      <c r="T1173" s="147"/>
      <c r="U1173" s="147"/>
      <c r="V1173" s="147"/>
      <c r="W1173" s="147"/>
      <c r="X1173" s="147"/>
      <c r="Y1173" s="147"/>
      <c r="Z1173" s="147"/>
      <c r="AA1173" s="147"/>
      <c r="AB1173" s="147"/>
      <c r="AC1173" s="147"/>
      <c r="AD1173" s="147"/>
      <c r="AE1173" s="147"/>
      <c r="AF1173" s="147"/>
      <c r="AG1173" s="147"/>
      <c r="AH1173" s="147"/>
      <c r="AI1173" s="147"/>
      <c r="AJ1173" s="147"/>
      <c r="AK1173" s="147"/>
      <c r="AL1173" s="147"/>
      <c r="AM1173" s="151"/>
      <c r="AN1173" s="147"/>
      <c r="AO1173" s="147"/>
      <c r="AP1173" s="147"/>
      <c r="AQ1173" s="147"/>
      <c r="AR1173" s="147"/>
      <c r="AS1173" s="147"/>
      <c r="AT1173" s="147"/>
      <c r="AU1173" s="147"/>
      <c r="AV1173" s="147"/>
      <c r="AW1173" s="147"/>
      <c r="AX1173" s="147"/>
      <c r="AY1173" s="147"/>
      <c r="AZ1173" s="147"/>
      <c r="BA1173" s="147"/>
      <c r="BB1173" s="147"/>
      <c r="BC1173" s="147"/>
      <c r="BD1173" s="147"/>
      <c r="BE1173" s="147"/>
      <c r="BF1173" s="147"/>
      <c r="BG1173" s="147"/>
      <c r="BH1173" s="147"/>
      <c r="BI1173" s="147"/>
      <c r="BJ1173" s="147"/>
      <c r="BK1173" s="147"/>
      <c r="BL1173" s="147"/>
      <c r="BM1173" s="147"/>
      <c r="BN1173" s="147"/>
      <c r="BO1173" s="147"/>
      <c r="BP1173" s="147"/>
      <c r="BQ1173" s="147"/>
      <c r="BR1173" s="147"/>
      <c r="BS1173" s="147"/>
      <c r="BT1173" s="147"/>
      <c r="BU1173" s="147"/>
      <c r="BV1173" s="147"/>
      <c r="BW1173" s="147"/>
      <c r="BX1173" s="147"/>
      <c r="BY1173" s="147"/>
      <c r="BZ1173" s="147"/>
      <c r="CA1173" s="147"/>
      <c r="CB1173" s="147"/>
      <c r="CC1173" s="147"/>
      <c r="CD1173" s="147"/>
      <c r="CE1173" s="147"/>
      <c r="CF1173" s="147"/>
      <c r="CG1173" s="147"/>
      <c r="CH1173" s="147"/>
      <c r="CI1173" s="147"/>
      <c r="CJ1173" s="147"/>
      <c r="CK1173" s="147"/>
    </row>
    <row r="1174" spans="1:89">
      <c r="A1174" s="157"/>
      <c r="F1174" s="3"/>
      <c r="G1174" s="3"/>
      <c r="L1174" s="157"/>
      <c r="M1174" s="157"/>
      <c r="O1174" s="147"/>
      <c r="P1174" s="147"/>
      <c r="Q1174" s="147"/>
      <c r="R1174" s="147"/>
      <c r="S1174" s="147"/>
      <c r="T1174" s="147"/>
      <c r="U1174" s="147"/>
      <c r="V1174" s="147"/>
      <c r="W1174" s="147"/>
      <c r="X1174" s="147"/>
      <c r="Y1174" s="147"/>
      <c r="Z1174" s="147"/>
      <c r="AA1174" s="147"/>
      <c r="AB1174" s="147"/>
      <c r="AC1174" s="147"/>
      <c r="AD1174" s="147"/>
      <c r="AE1174" s="147"/>
      <c r="AF1174" s="147"/>
      <c r="AG1174" s="147"/>
      <c r="AH1174" s="147"/>
      <c r="AI1174" s="147"/>
      <c r="AJ1174" s="147"/>
      <c r="AK1174" s="147"/>
      <c r="AL1174" s="147"/>
      <c r="AM1174" s="151"/>
      <c r="AN1174" s="147"/>
      <c r="AO1174" s="147"/>
      <c r="AP1174" s="147"/>
      <c r="AQ1174" s="147"/>
      <c r="AR1174" s="147"/>
      <c r="AS1174" s="147"/>
      <c r="AT1174" s="147"/>
      <c r="AU1174" s="147"/>
      <c r="AV1174" s="147"/>
      <c r="AW1174" s="147"/>
      <c r="AX1174" s="147"/>
      <c r="AY1174" s="147"/>
      <c r="AZ1174" s="147"/>
      <c r="BA1174" s="147"/>
      <c r="BB1174" s="147"/>
      <c r="BC1174" s="147"/>
      <c r="BD1174" s="147"/>
      <c r="BE1174" s="147"/>
      <c r="BF1174" s="147"/>
      <c r="BG1174" s="147"/>
      <c r="BH1174" s="147"/>
      <c r="BI1174" s="147"/>
      <c r="BJ1174" s="147"/>
      <c r="BK1174" s="147"/>
      <c r="BL1174" s="147"/>
      <c r="BM1174" s="147"/>
      <c r="BN1174" s="147"/>
      <c r="BO1174" s="147"/>
      <c r="BP1174" s="147"/>
      <c r="BQ1174" s="147"/>
      <c r="BR1174" s="147"/>
      <c r="BS1174" s="147"/>
      <c r="BT1174" s="147"/>
      <c r="BU1174" s="147"/>
      <c r="BV1174" s="147"/>
      <c r="BW1174" s="147"/>
      <c r="BX1174" s="147"/>
      <c r="BY1174" s="147"/>
      <c r="BZ1174" s="147"/>
      <c r="CA1174" s="147"/>
      <c r="CB1174" s="147"/>
      <c r="CC1174" s="147"/>
      <c r="CD1174" s="147"/>
      <c r="CE1174" s="147"/>
      <c r="CF1174" s="147"/>
      <c r="CG1174" s="147"/>
      <c r="CH1174" s="147"/>
      <c r="CI1174" s="147"/>
      <c r="CJ1174" s="147"/>
      <c r="CK1174" s="147"/>
    </row>
    <row r="1175" spans="1:89">
      <c r="A1175" s="157"/>
      <c r="F1175" s="3"/>
      <c r="G1175" s="3"/>
      <c r="L1175" s="157"/>
      <c r="M1175" s="157"/>
      <c r="O1175" s="147"/>
      <c r="P1175" s="147"/>
      <c r="Q1175" s="147"/>
      <c r="R1175" s="147"/>
      <c r="S1175" s="147"/>
      <c r="T1175" s="147"/>
      <c r="U1175" s="147"/>
      <c r="V1175" s="147"/>
      <c r="W1175" s="147"/>
      <c r="X1175" s="147"/>
      <c r="Y1175" s="147"/>
      <c r="Z1175" s="147"/>
      <c r="AA1175" s="147"/>
      <c r="AB1175" s="147"/>
      <c r="AC1175" s="147"/>
      <c r="AD1175" s="147"/>
      <c r="AE1175" s="147"/>
      <c r="AF1175" s="147"/>
      <c r="AG1175" s="147"/>
      <c r="AH1175" s="147"/>
      <c r="AI1175" s="147"/>
      <c r="AJ1175" s="147"/>
      <c r="AK1175" s="147"/>
      <c r="AL1175" s="147"/>
      <c r="AM1175" s="151"/>
      <c r="AN1175" s="147"/>
      <c r="AO1175" s="147"/>
      <c r="AP1175" s="147"/>
      <c r="AQ1175" s="147"/>
      <c r="AR1175" s="147"/>
      <c r="AS1175" s="147"/>
      <c r="AT1175" s="147"/>
      <c r="AU1175" s="147"/>
      <c r="AV1175" s="147"/>
      <c r="AW1175" s="147"/>
      <c r="AX1175" s="147"/>
      <c r="AY1175" s="147"/>
      <c r="AZ1175" s="147"/>
      <c r="BA1175" s="147"/>
      <c r="BB1175" s="147"/>
      <c r="BC1175" s="147"/>
      <c r="BD1175" s="147"/>
      <c r="BE1175" s="147"/>
      <c r="BF1175" s="147"/>
      <c r="BG1175" s="147"/>
      <c r="BH1175" s="147"/>
      <c r="BI1175" s="147"/>
      <c r="BJ1175" s="147"/>
      <c r="BK1175" s="147"/>
      <c r="BL1175" s="147"/>
      <c r="BM1175" s="147"/>
      <c r="BN1175" s="147"/>
      <c r="BO1175" s="147"/>
      <c r="BP1175" s="147"/>
      <c r="BQ1175" s="147"/>
      <c r="BR1175" s="147"/>
      <c r="BS1175" s="147"/>
      <c r="BT1175" s="147"/>
      <c r="BU1175" s="147"/>
      <c r="BV1175" s="147"/>
      <c r="BW1175" s="147"/>
      <c r="BX1175" s="147"/>
      <c r="BY1175" s="147"/>
      <c r="BZ1175" s="147"/>
      <c r="CA1175" s="147"/>
      <c r="CB1175" s="147"/>
      <c r="CC1175" s="147"/>
      <c r="CD1175" s="147"/>
      <c r="CE1175" s="147"/>
      <c r="CF1175" s="147"/>
      <c r="CG1175" s="147"/>
      <c r="CH1175" s="147"/>
      <c r="CI1175" s="147"/>
      <c r="CJ1175" s="147"/>
      <c r="CK1175" s="147"/>
    </row>
    <row r="1176" spans="1:89">
      <c r="A1176" s="157"/>
      <c r="F1176" s="3"/>
      <c r="G1176" s="3"/>
      <c r="L1176" s="157"/>
      <c r="M1176" s="157"/>
      <c r="O1176" s="147"/>
      <c r="P1176" s="147"/>
      <c r="Q1176" s="147"/>
      <c r="R1176" s="147"/>
      <c r="S1176" s="147"/>
      <c r="T1176" s="147"/>
      <c r="U1176" s="147"/>
      <c r="V1176" s="147"/>
      <c r="W1176" s="147"/>
      <c r="X1176" s="147"/>
      <c r="Y1176" s="147"/>
      <c r="Z1176" s="147"/>
      <c r="AA1176" s="147"/>
      <c r="AB1176" s="147"/>
      <c r="AC1176" s="147"/>
      <c r="AD1176" s="147"/>
      <c r="AE1176" s="147"/>
      <c r="AF1176" s="147"/>
      <c r="AG1176" s="147"/>
      <c r="AH1176" s="147"/>
      <c r="AI1176" s="147"/>
      <c r="AJ1176" s="147"/>
      <c r="AK1176" s="147"/>
      <c r="AL1176" s="147"/>
      <c r="AM1176" s="151"/>
      <c r="AN1176" s="147"/>
      <c r="AO1176" s="147"/>
      <c r="AP1176" s="147"/>
      <c r="AQ1176" s="147"/>
      <c r="AR1176" s="147"/>
      <c r="AS1176" s="147"/>
      <c r="AT1176" s="147"/>
      <c r="AU1176" s="147"/>
      <c r="AV1176" s="147"/>
      <c r="AW1176" s="147"/>
      <c r="AX1176" s="147"/>
      <c r="AY1176" s="147"/>
      <c r="AZ1176" s="147"/>
      <c r="BA1176" s="147"/>
      <c r="BB1176" s="147"/>
      <c r="BC1176" s="147"/>
      <c r="BD1176" s="147"/>
      <c r="BE1176" s="147"/>
      <c r="BF1176" s="147"/>
      <c r="BG1176" s="147"/>
      <c r="BH1176" s="147"/>
      <c r="BI1176" s="147"/>
      <c r="BJ1176" s="147"/>
      <c r="BK1176" s="147"/>
      <c r="BL1176" s="147"/>
      <c r="BM1176" s="147"/>
      <c r="BN1176" s="147"/>
      <c r="BO1176" s="147"/>
      <c r="BP1176" s="147"/>
      <c r="BQ1176" s="147"/>
      <c r="BR1176" s="147"/>
      <c r="BS1176" s="147"/>
      <c r="BT1176" s="147"/>
      <c r="BU1176" s="147"/>
      <c r="BV1176" s="147"/>
      <c r="BW1176" s="147"/>
      <c r="BX1176" s="147"/>
      <c r="BY1176" s="147"/>
      <c r="BZ1176" s="147"/>
      <c r="CA1176" s="147"/>
      <c r="CB1176" s="147"/>
      <c r="CC1176" s="147"/>
      <c r="CD1176" s="147"/>
      <c r="CE1176" s="147"/>
      <c r="CF1176" s="147"/>
      <c r="CG1176" s="147"/>
      <c r="CH1176" s="147"/>
      <c r="CI1176" s="147"/>
      <c r="CJ1176" s="147"/>
      <c r="CK1176" s="147"/>
    </row>
    <row r="1177" spans="1:89">
      <c r="A1177" s="157"/>
      <c r="F1177" s="3"/>
      <c r="G1177" s="3"/>
      <c r="L1177" s="157"/>
      <c r="M1177" s="157"/>
      <c r="O1177" s="147"/>
      <c r="P1177" s="147"/>
      <c r="Q1177" s="147"/>
      <c r="R1177" s="147"/>
      <c r="S1177" s="147"/>
      <c r="T1177" s="147"/>
      <c r="U1177" s="147"/>
      <c r="V1177" s="147"/>
      <c r="W1177" s="147"/>
      <c r="X1177" s="147"/>
      <c r="Y1177" s="147"/>
      <c r="Z1177" s="147"/>
      <c r="AA1177" s="147"/>
      <c r="AB1177" s="147"/>
      <c r="AC1177" s="147"/>
      <c r="AD1177" s="147"/>
      <c r="AE1177" s="147"/>
      <c r="AF1177" s="147"/>
      <c r="AG1177" s="147"/>
      <c r="AH1177" s="147"/>
      <c r="AI1177" s="147"/>
      <c r="AJ1177" s="147"/>
      <c r="AK1177" s="147"/>
      <c r="AL1177" s="147"/>
      <c r="AM1177" s="151"/>
      <c r="AN1177" s="147"/>
      <c r="AO1177" s="147"/>
      <c r="AP1177" s="147"/>
      <c r="AQ1177" s="147"/>
      <c r="AR1177" s="147"/>
      <c r="AS1177" s="147"/>
      <c r="AT1177" s="147"/>
      <c r="AU1177" s="147"/>
      <c r="AV1177" s="147"/>
      <c r="AW1177" s="147"/>
      <c r="AX1177" s="147"/>
      <c r="AY1177" s="147"/>
      <c r="AZ1177" s="147"/>
      <c r="BA1177" s="147"/>
      <c r="BB1177" s="147"/>
      <c r="BC1177" s="147"/>
      <c r="BD1177" s="147"/>
      <c r="BE1177" s="147"/>
      <c r="BF1177" s="147"/>
      <c r="BG1177" s="147"/>
      <c r="BH1177" s="147"/>
      <c r="BI1177" s="147"/>
      <c r="BJ1177" s="147"/>
      <c r="BK1177" s="147"/>
      <c r="BL1177" s="147"/>
      <c r="BM1177" s="147"/>
      <c r="BN1177" s="147"/>
      <c r="BO1177" s="147"/>
      <c r="BP1177" s="147"/>
      <c r="BQ1177" s="147"/>
      <c r="BR1177" s="147"/>
      <c r="BS1177" s="147"/>
      <c r="BT1177" s="147"/>
      <c r="BU1177" s="147"/>
      <c r="BV1177" s="147"/>
      <c r="BW1177" s="147"/>
      <c r="BX1177" s="147"/>
      <c r="BY1177" s="147"/>
      <c r="BZ1177" s="147"/>
      <c r="CA1177" s="147"/>
      <c r="CB1177" s="147"/>
      <c r="CC1177" s="147"/>
      <c r="CD1177" s="147"/>
      <c r="CE1177" s="147"/>
      <c r="CF1177" s="147"/>
      <c r="CG1177" s="147"/>
      <c r="CH1177" s="147"/>
      <c r="CI1177" s="147"/>
      <c r="CJ1177" s="147"/>
      <c r="CK1177" s="147"/>
    </row>
    <row r="1178" spans="1:89">
      <c r="A1178" s="157"/>
      <c r="F1178" s="3"/>
      <c r="G1178" s="3"/>
      <c r="L1178" s="157"/>
      <c r="M1178" s="157"/>
      <c r="O1178" s="147"/>
      <c r="P1178" s="147"/>
      <c r="Q1178" s="147"/>
      <c r="R1178" s="147"/>
      <c r="S1178" s="147"/>
      <c r="T1178" s="147"/>
      <c r="U1178" s="147"/>
      <c r="V1178" s="147"/>
      <c r="W1178" s="147"/>
      <c r="X1178" s="147"/>
      <c r="Y1178" s="147"/>
      <c r="Z1178" s="147"/>
      <c r="AA1178" s="147"/>
      <c r="AB1178" s="147"/>
      <c r="AC1178" s="147"/>
      <c r="AD1178" s="147"/>
      <c r="AE1178" s="147"/>
      <c r="AF1178" s="147"/>
      <c r="AG1178" s="147"/>
      <c r="AH1178" s="147"/>
      <c r="AI1178" s="147"/>
      <c r="AJ1178" s="147"/>
      <c r="AK1178" s="147"/>
      <c r="AL1178" s="147"/>
      <c r="AM1178" s="151"/>
      <c r="AN1178" s="147"/>
      <c r="AO1178" s="147"/>
      <c r="AP1178" s="147"/>
      <c r="AQ1178" s="147"/>
      <c r="AR1178" s="147"/>
      <c r="AS1178" s="147"/>
      <c r="AT1178" s="147"/>
      <c r="AU1178" s="147"/>
      <c r="AV1178" s="147"/>
      <c r="AW1178" s="147"/>
      <c r="AX1178" s="147"/>
      <c r="AY1178" s="147"/>
      <c r="AZ1178" s="147"/>
      <c r="BA1178" s="147"/>
      <c r="BB1178" s="147"/>
      <c r="BC1178" s="147"/>
      <c r="BD1178" s="147"/>
      <c r="BE1178" s="147"/>
      <c r="BF1178" s="147"/>
      <c r="BG1178" s="147"/>
      <c r="BH1178" s="147"/>
      <c r="BI1178" s="147"/>
      <c r="BJ1178" s="147"/>
      <c r="BK1178" s="147"/>
      <c r="BL1178" s="147"/>
      <c r="BM1178" s="147"/>
      <c r="BN1178" s="147"/>
      <c r="BO1178" s="147"/>
      <c r="BP1178" s="147"/>
      <c r="BQ1178" s="147"/>
      <c r="BR1178" s="147"/>
      <c r="BS1178" s="147"/>
      <c r="BT1178" s="147"/>
      <c r="BU1178" s="147"/>
      <c r="BV1178" s="147"/>
      <c r="BW1178" s="147"/>
      <c r="BX1178" s="147"/>
      <c r="BY1178" s="147"/>
      <c r="BZ1178" s="147"/>
      <c r="CA1178" s="147"/>
      <c r="CB1178" s="147"/>
      <c r="CC1178" s="147"/>
      <c r="CD1178" s="147"/>
      <c r="CE1178" s="147"/>
      <c r="CF1178" s="147"/>
      <c r="CG1178" s="147"/>
      <c r="CH1178" s="147"/>
      <c r="CI1178" s="147"/>
      <c r="CJ1178" s="147"/>
      <c r="CK1178" s="147"/>
    </row>
    <row r="1179" spans="1:89">
      <c r="A1179" s="157"/>
      <c r="F1179" s="3"/>
      <c r="G1179" s="3"/>
      <c r="L1179" s="157"/>
      <c r="M1179" s="157"/>
      <c r="O1179" s="147"/>
      <c r="P1179" s="147"/>
      <c r="Q1179" s="147"/>
      <c r="R1179" s="147"/>
      <c r="S1179" s="147"/>
      <c r="T1179" s="147"/>
      <c r="U1179" s="147"/>
      <c r="V1179" s="147"/>
      <c r="W1179" s="147"/>
      <c r="X1179" s="147"/>
      <c r="Y1179" s="147"/>
      <c r="Z1179" s="147"/>
      <c r="AA1179" s="147"/>
      <c r="AB1179" s="147"/>
      <c r="AC1179" s="147"/>
      <c r="AD1179" s="147"/>
      <c r="AE1179" s="147"/>
      <c r="AF1179" s="147"/>
      <c r="AG1179" s="147"/>
      <c r="AH1179" s="147"/>
      <c r="AI1179" s="147"/>
      <c r="AJ1179" s="147"/>
      <c r="AK1179" s="147"/>
      <c r="AL1179" s="147"/>
      <c r="AM1179" s="151"/>
      <c r="AN1179" s="147"/>
      <c r="AO1179" s="147"/>
      <c r="AP1179" s="147"/>
      <c r="AQ1179" s="147"/>
      <c r="AR1179" s="147"/>
      <c r="AS1179" s="147"/>
      <c r="AT1179" s="147"/>
      <c r="AU1179" s="147"/>
      <c r="AV1179" s="147"/>
      <c r="AW1179" s="147"/>
      <c r="AX1179" s="147"/>
      <c r="AY1179" s="147"/>
      <c r="AZ1179" s="147"/>
      <c r="BA1179" s="147"/>
      <c r="BB1179" s="147"/>
      <c r="BC1179" s="147"/>
      <c r="BD1179" s="147"/>
      <c r="BE1179" s="147"/>
      <c r="BF1179" s="147"/>
      <c r="BG1179" s="147"/>
      <c r="BH1179" s="147"/>
      <c r="BI1179" s="147"/>
      <c r="BJ1179" s="147"/>
      <c r="BK1179" s="147"/>
      <c r="BL1179" s="147"/>
      <c r="BM1179" s="147"/>
      <c r="BN1179" s="147"/>
      <c r="BO1179" s="147"/>
      <c r="BP1179" s="147"/>
      <c r="BQ1179" s="147"/>
      <c r="BR1179" s="147"/>
      <c r="BS1179" s="147"/>
      <c r="BT1179" s="147"/>
      <c r="BU1179" s="147"/>
      <c r="BV1179" s="147"/>
      <c r="BW1179" s="147"/>
      <c r="BX1179" s="147"/>
      <c r="BY1179" s="147"/>
      <c r="BZ1179" s="147"/>
      <c r="CA1179" s="147"/>
      <c r="CB1179" s="147"/>
      <c r="CC1179" s="147"/>
      <c r="CD1179" s="147"/>
      <c r="CE1179" s="147"/>
      <c r="CF1179" s="147"/>
      <c r="CG1179" s="147"/>
      <c r="CH1179" s="147"/>
      <c r="CI1179" s="147"/>
      <c r="CJ1179" s="147"/>
      <c r="CK1179" s="147"/>
    </row>
    <row r="1180" spans="1:89">
      <c r="A1180" s="157"/>
      <c r="F1180" s="3"/>
      <c r="G1180" s="3"/>
      <c r="L1180" s="157"/>
      <c r="M1180" s="157"/>
      <c r="O1180" s="147"/>
      <c r="P1180" s="147"/>
      <c r="Q1180" s="147"/>
      <c r="R1180" s="147"/>
      <c r="S1180" s="147"/>
      <c r="T1180" s="147"/>
      <c r="U1180" s="147"/>
      <c r="V1180" s="147"/>
      <c r="W1180" s="147"/>
      <c r="X1180" s="147"/>
      <c r="Y1180" s="147"/>
      <c r="Z1180" s="147"/>
      <c r="AA1180" s="147"/>
      <c r="AB1180" s="147"/>
      <c r="AC1180" s="147"/>
      <c r="AD1180" s="147"/>
      <c r="AE1180" s="147"/>
      <c r="AF1180" s="147"/>
      <c r="AG1180" s="147"/>
      <c r="AH1180" s="147"/>
      <c r="AI1180" s="147"/>
      <c r="AJ1180" s="147"/>
      <c r="AK1180" s="147"/>
      <c r="AL1180" s="147"/>
      <c r="AM1180" s="151"/>
      <c r="AN1180" s="147"/>
      <c r="AO1180" s="147"/>
      <c r="AP1180" s="147"/>
      <c r="AQ1180" s="147"/>
      <c r="AR1180" s="147"/>
      <c r="AS1180" s="147"/>
      <c r="AT1180" s="147"/>
      <c r="AU1180" s="147"/>
      <c r="AV1180" s="147"/>
      <c r="AW1180" s="147"/>
      <c r="AX1180" s="147"/>
      <c r="AY1180" s="147"/>
      <c r="AZ1180" s="147"/>
      <c r="BA1180" s="147"/>
      <c r="BB1180" s="147"/>
      <c r="BC1180" s="147"/>
      <c r="BD1180" s="147"/>
      <c r="BE1180" s="147"/>
      <c r="BF1180" s="147"/>
      <c r="BG1180" s="147"/>
      <c r="BH1180" s="147"/>
      <c r="BI1180" s="147"/>
      <c r="BJ1180" s="147"/>
      <c r="BK1180" s="147"/>
      <c r="BL1180" s="147"/>
      <c r="BM1180" s="147"/>
      <c r="BN1180" s="147"/>
      <c r="BO1180" s="147"/>
      <c r="BP1180" s="147"/>
      <c r="BQ1180" s="147"/>
      <c r="BR1180" s="147"/>
      <c r="BS1180" s="147"/>
      <c r="BT1180" s="147"/>
      <c r="BU1180" s="147"/>
      <c r="BV1180" s="147"/>
      <c r="BW1180" s="147"/>
      <c r="BX1180" s="147"/>
      <c r="BY1180" s="147"/>
      <c r="BZ1180" s="147"/>
      <c r="CA1180" s="147"/>
      <c r="CB1180" s="147"/>
      <c r="CC1180" s="147"/>
      <c r="CD1180" s="147"/>
      <c r="CE1180" s="147"/>
      <c r="CF1180" s="147"/>
      <c r="CG1180" s="147"/>
      <c r="CH1180" s="147"/>
      <c r="CI1180" s="147"/>
      <c r="CJ1180" s="147"/>
      <c r="CK1180" s="147"/>
    </row>
    <row r="1181" spans="1:89">
      <c r="A1181" s="157"/>
      <c r="F1181" s="3"/>
      <c r="G1181" s="3"/>
      <c r="L1181" s="157"/>
      <c r="M1181" s="157"/>
      <c r="O1181" s="147"/>
      <c r="P1181" s="147"/>
      <c r="Q1181" s="147"/>
      <c r="R1181" s="147"/>
      <c r="S1181" s="147"/>
      <c r="T1181" s="147"/>
      <c r="U1181" s="147"/>
      <c r="V1181" s="147"/>
      <c r="W1181" s="147"/>
      <c r="X1181" s="147"/>
      <c r="Y1181" s="147"/>
      <c r="Z1181" s="147"/>
      <c r="AA1181" s="147"/>
      <c r="AB1181" s="147"/>
      <c r="AC1181" s="147"/>
      <c r="AD1181" s="147"/>
      <c r="AE1181" s="147"/>
      <c r="AF1181" s="147"/>
      <c r="AG1181" s="147"/>
      <c r="AH1181" s="147"/>
      <c r="AI1181" s="147"/>
      <c r="AJ1181" s="147"/>
      <c r="AK1181" s="147"/>
      <c r="AL1181" s="147"/>
      <c r="AM1181" s="151"/>
      <c r="AN1181" s="147"/>
      <c r="AO1181" s="147"/>
      <c r="AP1181" s="147"/>
      <c r="AQ1181" s="147"/>
      <c r="AR1181" s="147"/>
      <c r="AS1181" s="147"/>
      <c r="AT1181" s="147"/>
      <c r="AU1181" s="147"/>
      <c r="AV1181" s="147"/>
      <c r="AW1181" s="147"/>
      <c r="AX1181" s="147"/>
      <c r="AY1181" s="147"/>
      <c r="AZ1181" s="147"/>
      <c r="BA1181" s="147"/>
      <c r="BB1181" s="147"/>
      <c r="BC1181" s="147"/>
      <c r="BD1181" s="147"/>
      <c r="BE1181" s="147"/>
      <c r="BF1181" s="147"/>
      <c r="BG1181" s="147"/>
      <c r="BH1181" s="147"/>
      <c r="BI1181" s="147"/>
      <c r="BJ1181" s="147"/>
      <c r="BK1181" s="147"/>
      <c r="BL1181" s="147"/>
      <c r="BM1181" s="147"/>
      <c r="BN1181" s="147"/>
      <c r="BO1181" s="147"/>
      <c r="BP1181" s="147"/>
      <c r="BQ1181" s="147"/>
      <c r="BR1181" s="147"/>
      <c r="BS1181" s="147"/>
      <c r="BT1181" s="147"/>
      <c r="BU1181" s="147"/>
      <c r="BV1181" s="147"/>
      <c r="BW1181" s="147"/>
      <c r="BX1181" s="147"/>
      <c r="BY1181" s="147"/>
      <c r="BZ1181" s="147"/>
      <c r="CA1181" s="147"/>
      <c r="CB1181" s="147"/>
      <c r="CC1181" s="147"/>
      <c r="CD1181" s="147"/>
      <c r="CE1181" s="147"/>
      <c r="CF1181" s="147"/>
      <c r="CG1181" s="147"/>
      <c r="CH1181" s="147"/>
      <c r="CI1181" s="147"/>
      <c r="CJ1181" s="147"/>
      <c r="CK1181" s="147"/>
    </row>
    <row r="1182" spans="1:89">
      <c r="A1182" s="157"/>
      <c r="F1182" s="3"/>
      <c r="G1182" s="3"/>
      <c r="L1182" s="157"/>
      <c r="M1182" s="157"/>
      <c r="O1182" s="147"/>
      <c r="P1182" s="147"/>
      <c r="Q1182" s="147"/>
      <c r="R1182" s="147"/>
      <c r="S1182" s="147"/>
      <c r="T1182" s="147"/>
      <c r="U1182" s="147"/>
      <c r="V1182" s="147"/>
      <c r="W1182" s="147"/>
      <c r="X1182" s="147"/>
      <c r="Y1182" s="147"/>
      <c r="Z1182" s="147"/>
      <c r="AA1182" s="147"/>
      <c r="AB1182" s="147"/>
      <c r="AC1182" s="147"/>
      <c r="AD1182" s="147"/>
      <c r="AE1182" s="147"/>
      <c r="AF1182" s="147"/>
      <c r="AG1182" s="147"/>
      <c r="AH1182" s="147"/>
      <c r="AI1182" s="147"/>
      <c r="AJ1182" s="147"/>
      <c r="AK1182" s="147"/>
      <c r="AL1182" s="147"/>
      <c r="AM1182" s="151"/>
      <c r="AN1182" s="147"/>
      <c r="AO1182" s="147"/>
      <c r="AP1182" s="147"/>
      <c r="AQ1182" s="147"/>
      <c r="AR1182" s="147"/>
      <c r="AS1182" s="147"/>
      <c r="AT1182" s="147"/>
      <c r="AU1182" s="147"/>
      <c r="AV1182" s="147"/>
      <c r="AW1182" s="147"/>
      <c r="AX1182" s="147"/>
      <c r="AY1182" s="147"/>
      <c r="AZ1182" s="147"/>
      <c r="BA1182" s="147"/>
      <c r="BB1182" s="147"/>
      <c r="BC1182" s="147"/>
      <c r="BD1182" s="147"/>
      <c r="BE1182" s="147"/>
      <c r="BF1182" s="147"/>
      <c r="BG1182" s="147"/>
      <c r="BH1182" s="147"/>
      <c r="BI1182" s="147"/>
      <c r="BJ1182" s="147"/>
      <c r="BK1182" s="147"/>
      <c r="BL1182" s="147"/>
      <c r="BM1182" s="147"/>
      <c r="BN1182" s="147"/>
      <c r="BO1182" s="147"/>
      <c r="BP1182" s="147"/>
      <c r="BQ1182" s="147"/>
      <c r="BR1182" s="147"/>
      <c r="BS1182" s="147"/>
      <c r="BT1182" s="147"/>
      <c r="BU1182" s="147"/>
      <c r="BV1182" s="147"/>
      <c r="BW1182" s="147"/>
      <c r="BX1182" s="147"/>
      <c r="BY1182" s="147"/>
      <c r="BZ1182" s="147"/>
      <c r="CA1182" s="147"/>
      <c r="CB1182" s="147"/>
      <c r="CC1182" s="147"/>
      <c r="CD1182" s="147"/>
      <c r="CE1182" s="147"/>
      <c r="CF1182" s="147"/>
      <c r="CG1182" s="147"/>
      <c r="CH1182" s="147"/>
      <c r="CI1182" s="147"/>
      <c r="CJ1182" s="147"/>
      <c r="CK1182" s="147"/>
    </row>
    <row r="1183" spans="1:89">
      <c r="A1183" s="157"/>
      <c r="F1183" s="3"/>
      <c r="G1183" s="3"/>
      <c r="L1183" s="157"/>
      <c r="M1183" s="157"/>
      <c r="O1183" s="147"/>
      <c r="P1183" s="147"/>
      <c r="Q1183" s="147"/>
      <c r="R1183" s="147"/>
      <c r="S1183" s="147"/>
      <c r="T1183" s="147"/>
      <c r="U1183" s="147"/>
      <c r="V1183" s="147"/>
      <c r="W1183" s="147"/>
      <c r="X1183" s="147"/>
      <c r="Y1183" s="147"/>
      <c r="Z1183" s="147"/>
      <c r="AA1183" s="147"/>
      <c r="AB1183" s="147"/>
      <c r="AC1183" s="147"/>
      <c r="AD1183" s="147"/>
      <c r="AE1183" s="147"/>
      <c r="AF1183" s="147"/>
      <c r="AG1183" s="147"/>
      <c r="AH1183" s="147"/>
      <c r="AI1183" s="147"/>
      <c r="AJ1183" s="147"/>
      <c r="AK1183" s="147"/>
      <c r="AL1183" s="147"/>
      <c r="AM1183" s="151"/>
      <c r="AN1183" s="147"/>
      <c r="AO1183" s="147"/>
      <c r="AP1183" s="147"/>
      <c r="AQ1183" s="147"/>
      <c r="AR1183" s="147"/>
      <c r="AS1183" s="147"/>
      <c r="AT1183" s="147"/>
      <c r="AU1183" s="147"/>
      <c r="AV1183" s="147"/>
      <c r="AW1183" s="147"/>
      <c r="AX1183" s="147"/>
      <c r="AY1183" s="147"/>
      <c r="AZ1183" s="147"/>
      <c r="BA1183" s="147"/>
      <c r="BB1183" s="147"/>
      <c r="BC1183" s="147"/>
      <c r="BD1183" s="147"/>
      <c r="BE1183" s="147"/>
      <c r="BF1183" s="147"/>
      <c r="BG1183" s="147"/>
      <c r="BH1183" s="147"/>
      <c r="BI1183" s="147"/>
      <c r="BJ1183" s="147"/>
      <c r="BK1183" s="147"/>
      <c r="BL1183" s="147"/>
      <c r="BM1183" s="147"/>
      <c r="BN1183" s="147"/>
      <c r="BO1183" s="147"/>
      <c r="BP1183" s="147"/>
      <c r="BQ1183" s="147"/>
      <c r="BR1183" s="147"/>
      <c r="BS1183" s="147"/>
      <c r="BT1183" s="147"/>
      <c r="BU1183" s="147"/>
      <c r="BV1183" s="147"/>
      <c r="BW1183" s="147"/>
      <c r="BX1183" s="147"/>
      <c r="BY1183" s="147"/>
      <c r="BZ1183" s="147"/>
      <c r="CA1183" s="147"/>
      <c r="CB1183" s="147"/>
      <c r="CC1183" s="147"/>
      <c r="CD1183" s="147"/>
      <c r="CE1183" s="147"/>
      <c r="CF1183" s="147"/>
      <c r="CG1183" s="147"/>
      <c r="CH1183" s="147"/>
      <c r="CI1183" s="147"/>
      <c r="CJ1183" s="147"/>
      <c r="CK1183" s="147"/>
    </row>
    <row r="1184" spans="1:89">
      <c r="A1184" s="157"/>
      <c r="F1184" s="3"/>
      <c r="G1184" s="3"/>
      <c r="L1184" s="157"/>
      <c r="M1184" s="157"/>
      <c r="O1184" s="147"/>
      <c r="P1184" s="147"/>
      <c r="Q1184" s="147"/>
      <c r="R1184" s="147"/>
      <c r="S1184" s="147"/>
      <c r="T1184" s="147"/>
      <c r="U1184" s="147"/>
      <c r="V1184" s="147"/>
      <c r="W1184" s="147"/>
      <c r="X1184" s="147"/>
      <c r="Y1184" s="147"/>
      <c r="Z1184" s="147"/>
      <c r="AA1184" s="147"/>
      <c r="AB1184" s="147"/>
      <c r="AC1184" s="147"/>
      <c r="AD1184" s="147"/>
      <c r="AE1184" s="147"/>
      <c r="AF1184" s="147"/>
      <c r="AG1184" s="147"/>
      <c r="AH1184" s="147"/>
      <c r="AI1184" s="147"/>
      <c r="AJ1184" s="147"/>
      <c r="AK1184" s="147"/>
      <c r="AL1184" s="147"/>
      <c r="AM1184" s="151"/>
      <c r="AN1184" s="147"/>
      <c r="AO1184" s="147"/>
      <c r="AP1184" s="147"/>
      <c r="AQ1184" s="147"/>
      <c r="AR1184" s="147"/>
      <c r="AS1184" s="147"/>
      <c r="AT1184" s="147"/>
      <c r="AU1184" s="147"/>
      <c r="AV1184" s="147"/>
      <c r="AW1184" s="147"/>
      <c r="AX1184" s="147"/>
      <c r="AY1184" s="147"/>
      <c r="AZ1184" s="147"/>
      <c r="BA1184" s="147"/>
      <c r="BB1184" s="147"/>
      <c r="BC1184" s="147"/>
      <c r="BD1184" s="147"/>
      <c r="BE1184" s="147"/>
      <c r="BF1184" s="147"/>
      <c r="BG1184" s="147"/>
      <c r="BH1184" s="147"/>
      <c r="BI1184" s="147"/>
      <c r="BJ1184" s="147"/>
      <c r="BK1184" s="147"/>
      <c r="BL1184" s="147"/>
      <c r="BM1184" s="147"/>
      <c r="BN1184" s="147"/>
      <c r="BO1184" s="147"/>
      <c r="BP1184" s="147"/>
      <c r="BQ1184" s="147"/>
      <c r="BR1184" s="147"/>
      <c r="BS1184" s="147"/>
      <c r="BT1184" s="147"/>
      <c r="BU1184" s="147"/>
      <c r="BV1184" s="147"/>
      <c r="BW1184" s="147"/>
      <c r="BX1184" s="147"/>
      <c r="BY1184" s="147"/>
      <c r="BZ1184" s="147"/>
      <c r="CA1184" s="147"/>
      <c r="CB1184" s="147"/>
      <c r="CC1184" s="147"/>
      <c r="CD1184" s="147"/>
      <c r="CE1184" s="147"/>
      <c r="CF1184" s="147"/>
      <c r="CG1184" s="147"/>
      <c r="CH1184" s="147"/>
      <c r="CI1184" s="147"/>
      <c r="CJ1184" s="147"/>
      <c r="CK1184" s="147"/>
    </row>
    <row r="1185" spans="1:89">
      <c r="A1185" s="157"/>
      <c r="F1185" s="3"/>
      <c r="G1185" s="3"/>
      <c r="L1185" s="157"/>
      <c r="M1185" s="157"/>
      <c r="O1185" s="147"/>
      <c r="P1185" s="147"/>
      <c r="Q1185" s="147"/>
      <c r="R1185" s="147"/>
      <c r="S1185" s="147"/>
      <c r="T1185" s="147"/>
      <c r="U1185" s="147"/>
      <c r="V1185" s="147"/>
      <c r="W1185" s="147"/>
      <c r="X1185" s="147"/>
      <c r="Y1185" s="147"/>
      <c r="Z1185" s="147"/>
      <c r="AA1185" s="147"/>
      <c r="AB1185" s="147"/>
      <c r="AC1185" s="147"/>
      <c r="AD1185" s="147"/>
      <c r="AE1185" s="147"/>
      <c r="AF1185" s="147"/>
      <c r="AG1185" s="147"/>
      <c r="AH1185" s="147"/>
      <c r="AI1185" s="147"/>
      <c r="AJ1185" s="147"/>
      <c r="AK1185" s="147"/>
      <c r="AL1185" s="147"/>
      <c r="AM1185" s="151"/>
      <c r="AN1185" s="147"/>
      <c r="AO1185" s="147"/>
      <c r="AP1185" s="147"/>
      <c r="AQ1185" s="147"/>
      <c r="AR1185" s="147"/>
      <c r="AS1185" s="147"/>
      <c r="AT1185" s="147"/>
      <c r="AU1185" s="147"/>
      <c r="AV1185" s="147"/>
      <c r="AW1185" s="147"/>
      <c r="AX1185" s="147"/>
      <c r="AY1185" s="147"/>
      <c r="AZ1185" s="147"/>
      <c r="BA1185" s="147"/>
      <c r="BB1185" s="147"/>
      <c r="BC1185" s="147"/>
      <c r="BD1185" s="147"/>
      <c r="BE1185" s="147"/>
      <c r="BF1185" s="147"/>
      <c r="BG1185" s="147"/>
      <c r="BH1185" s="147"/>
      <c r="BI1185" s="147"/>
      <c r="BJ1185" s="147"/>
      <c r="BK1185" s="147"/>
      <c r="BL1185" s="147"/>
      <c r="BM1185" s="147"/>
      <c r="BN1185" s="147"/>
      <c r="BO1185" s="147"/>
      <c r="BP1185" s="147"/>
      <c r="BQ1185" s="147"/>
      <c r="BR1185" s="147"/>
      <c r="BS1185" s="147"/>
      <c r="BT1185" s="147"/>
      <c r="BU1185" s="147"/>
      <c r="BV1185" s="147"/>
      <c r="BW1185" s="147"/>
      <c r="BX1185" s="147"/>
      <c r="BY1185" s="147"/>
      <c r="BZ1185" s="147"/>
      <c r="CA1185" s="147"/>
      <c r="CB1185" s="147"/>
      <c r="CC1185" s="147"/>
      <c r="CD1185" s="147"/>
      <c r="CE1185" s="147"/>
      <c r="CF1185" s="147"/>
      <c r="CG1185" s="147"/>
      <c r="CH1185" s="147"/>
      <c r="CI1185" s="147"/>
      <c r="CJ1185" s="147"/>
      <c r="CK1185" s="147"/>
    </row>
    <row r="1186" spans="1:89">
      <c r="A1186" s="157"/>
      <c r="F1186" s="3"/>
      <c r="G1186" s="3"/>
      <c r="L1186" s="157"/>
      <c r="M1186" s="157"/>
      <c r="O1186" s="147"/>
      <c r="P1186" s="147"/>
      <c r="Q1186" s="147"/>
      <c r="R1186" s="147"/>
      <c r="S1186" s="147"/>
      <c r="T1186" s="147"/>
      <c r="U1186" s="147"/>
      <c r="V1186" s="147"/>
      <c r="W1186" s="147"/>
      <c r="X1186" s="147"/>
      <c r="Y1186" s="147"/>
      <c r="Z1186" s="147"/>
      <c r="AA1186" s="147"/>
      <c r="AB1186" s="147"/>
      <c r="AC1186" s="147"/>
      <c r="AD1186" s="147"/>
      <c r="AE1186" s="147"/>
      <c r="AF1186" s="147"/>
      <c r="AG1186" s="147"/>
      <c r="AH1186" s="147"/>
      <c r="AI1186" s="147"/>
      <c r="AJ1186" s="147"/>
      <c r="AK1186" s="147"/>
      <c r="AL1186" s="147"/>
      <c r="AM1186" s="151"/>
      <c r="AN1186" s="147"/>
      <c r="AO1186" s="147"/>
      <c r="AP1186" s="147"/>
      <c r="AQ1186" s="147"/>
      <c r="AR1186" s="147"/>
      <c r="AS1186" s="147"/>
      <c r="AT1186" s="147"/>
      <c r="AU1186" s="147"/>
      <c r="AV1186" s="147"/>
      <c r="AW1186" s="147"/>
      <c r="AX1186" s="147"/>
      <c r="AY1186" s="147"/>
      <c r="AZ1186" s="147"/>
      <c r="BA1186" s="147"/>
      <c r="BB1186" s="147"/>
      <c r="BC1186" s="147"/>
      <c r="BD1186" s="147"/>
      <c r="BE1186" s="147"/>
      <c r="BF1186" s="147"/>
      <c r="BG1186" s="147"/>
      <c r="BH1186" s="147"/>
      <c r="BI1186" s="147"/>
      <c r="BJ1186" s="147"/>
      <c r="BK1186" s="147"/>
      <c r="BL1186" s="147"/>
      <c r="BM1186" s="147"/>
      <c r="BN1186" s="147"/>
      <c r="BO1186" s="147"/>
      <c r="BP1186" s="147"/>
      <c r="BQ1186" s="147"/>
      <c r="BR1186" s="147"/>
      <c r="BS1186" s="147"/>
      <c r="BT1186" s="147"/>
      <c r="BU1186" s="147"/>
      <c r="BV1186" s="147"/>
      <c r="BW1186" s="147"/>
      <c r="BX1186" s="147"/>
      <c r="BY1186" s="147"/>
      <c r="BZ1186" s="147"/>
      <c r="CA1186" s="147"/>
      <c r="CB1186" s="147"/>
      <c r="CC1186" s="147"/>
      <c r="CD1186" s="147"/>
      <c r="CE1186" s="147"/>
      <c r="CF1186" s="147"/>
      <c r="CG1186" s="147"/>
      <c r="CH1186" s="147"/>
      <c r="CI1186" s="147"/>
      <c r="CJ1186" s="147"/>
      <c r="CK1186" s="147"/>
    </row>
    <row r="1187" spans="1:89">
      <c r="A1187" s="157"/>
      <c r="F1187" s="3"/>
      <c r="G1187" s="3"/>
      <c r="L1187" s="157"/>
      <c r="M1187" s="157"/>
      <c r="O1187" s="147"/>
      <c r="P1187" s="147"/>
      <c r="Q1187" s="147"/>
      <c r="R1187" s="147"/>
      <c r="S1187" s="147"/>
      <c r="T1187" s="147"/>
      <c r="U1187" s="147"/>
      <c r="V1187" s="147"/>
      <c r="W1187" s="147"/>
      <c r="X1187" s="147"/>
      <c r="Y1187" s="147"/>
      <c r="Z1187" s="147"/>
      <c r="AA1187" s="147"/>
      <c r="AB1187" s="147"/>
      <c r="AC1187" s="147"/>
      <c r="AD1187" s="147"/>
      <c r="AE1187" s="147"/>
      <c r="AF1187" s="147"/>
      <c r="AG1187" s="147"/>
      <c r="AH1187" s="147"/>
      <c r="AI1187" s="147"/>
      <c r="AJ1187" s="147"/>
      <c r="AK1187" s="147"/>
      <c r="AL1187" s="147"/>
      <c r="AM1187" s="151"/>
      <c r="AN1187" s="147"/>
      <c r="AO1187" s="147"/>
      <c r="AP1187" s="147"/>
      <c r="AQ1187" s="147"/>
      <c r="AR1187" s="147"/>
      <c r="AS1187" s="147"/>
      <c r="AT1187" s="147"/>
      <c r="AU1187" s="147"/>
      <c r="AV1187" s="147"/>
      <c r="AW1187" s="147"/>
      <c r="AX1187" s="147"/>
      <c r="AY1187" s="147"/>
      <c r="AZ1187" s="147"/>
      <c r="BA1187" s="147"/>
      <c r="BB1187" s="147"/>
      <c r="BC1187" s="147"/>
      <c r="BD1187" s="147"/>
      <c r="BE1187" s="147"/>
      <c r="BF1187" s="147"/>
      <c r="BG1187" s="147"/>
      <c r="BH1187" s="147"/>
      <c r="BI1187" s="147"/>
      <c r="BJ1187" s="147"/>
      <c r="BK1187" s="147"/>
      <c r="BL1187" s="147"/>
      <c r="BM1187" s="147"/>
      <c r="BN1187" s="147"/>
      <c r="BO1187" s="147"/>
      <c r="BP1187" s="147"/>
      <c r="BQ1187" s="147"/>
      <c r="BR1187" s="147"/>
      <c r="BS1187" s="147"/>
      <c r="BT1187" s="147"/>
      <c r="BU1187" s="147"/>
      <c r="BV1187" s="147"/>
      <c r="BW1187" s="147"/>
      <c r="BX1187" s="147"/>
      <c r="BY1187" s="147"/>
      <c r="BZ1187" s="147"/>
      <c r="CA1187" s="147"/>
      <c r="CB1187" s="147"/>
      <c r="CC1187" s="147"/>
      <c r="CD1187" s="147"/>
      <c r="CE1187" s="147"/>
      <c r="CF1187" s="147"/>
      <c r="CG1187" s="147"/>
      <c r="CH1187" s="147"/>
      <c r="CI1187" s="147"/>
      <c r="CJ1187" s="147"/>
      <c r="CK1187" s="147"/>
    </row>
    <row r="1188" spans="1:89">
      <c r="A1188" s="157"/>
      <c r="F1188" s="3"/>
      <c r="G1188" s="3"/>
      <c r="L1188" s="157"/>
      <c r="M1188" s="157"/>
      <c r="O1188" s="147"/>
      <c r="P1188" s="147"/>
      <c r="Q1188" s="147"/>
      <c r="R1188" s="147"/>
      <c r="S1188" s="147"/>
      <c r="T1188" s="147"/>
      <c r="U1188" s="147"/>
      <c r="V1188" s="147"/>
      <c r="W1188" s="147"/>
      <c r="X1188" s="147"/>
      <c r="Y1188" s="147"/>
      <c r="Z1188" s="147"/>
      <c r="AA1188" s="147"/>
      <c r="AB1188" s="147"/>
      <c r="AC1188" s="147"/>
      <c r="AD1188" s="147"/>
      <c r="AE1188" s="147"/>
      <c r="AF1188" s="147"/>
      <c r="AG1188" s="147"/>
      <c r="AH1188" s="147"/>
      <c r="AI1188" s="147"/>
      <c r="AJ1188" s="147"/>
      <c r="AK1188" s="147"/>
      <c r="AL1188" s="147"/>
      <c r="AM1188" s="151"/>
      <c r="AN1188" s="147"/>
      <c r="AO1188" s="147"/>
      <c r="AP1188" s="147"/>
      <c r="AQ1188" s="147"/>
      <c r="AR1188" s="147"/>
      <c r="AS1188" s="147"/>
      <c r="AT1188" s="147"/>
      <c r="AU1188" s="147"/>
      <c r="AV1188" s="147"/>
      <c r="AW1188" s="147"/>
      <c r="AX1188" s="147"/>
      <c r="AY1188" s="147"/>
      <c r="AZ1188" s="147"/>
      <c r="BA1188" s="147"/>
      <c r="BB1188" s="147"/>
      <c r="BC1188" s="147"/>
      <c r="BD1188" s="147"/>
      <c r="BE1188" s="147"/>
      <c r="BF1188" s="147"/>
      <c r="BG1188" s="147"/>
      <c r="BH1188" s="147"/>
      <c r="BI1188" s="147"/>
      <c r="BJ1188" s="147"/>
      <c r="BK1188" s="147"/>
      <c r="BL1188" s="147"/>
      <c r="BM1188" s="147"/>
      <c r="BN1188" s="147"/>
      <c r="BO1188" s="147"/>
      <c r="BP1188" s="147"/>
      <c r="BQ1188" s="147"/>
      <c r="BR1188" s="147"/>
      <c r="BS1188" s="147"/>
      <c r="BT1188" s="147"/>
      <c r="BU1188" s="147"/>
      <c r="BV1188" s="147"/>
      <c r="BW1188" s="147"/>
      <c r="BX1188" s="147"/>
      <c r="BY1188" s="147"/>
      <c r="BZ1188" s="147"/>
      <c r="CA1188" s="147"/>
      <c r="CB1188" s="147"/>
      <c r="CC1188" s="147"/>
      <c r="CD1188" s="147"/>
      <c r="CE1188" s="147"/>
      <c r="CF1188" s="147"/>
      <c r="CG1188" s="147"/>
      <c r="CH1188" s="147"/>
      <c r="CI1188" s="147"/>
      <c r="CJ1188" s="147"/>
      <c r="CK1188" s="147"/>
    </row>
    <row r="1189" spans="1:89">
      <c r="A1189" s="157"/>
      <c r="F1189" s="3"/>
      <c r="G1189" s="3"/>
      <c r="L1189" s="157"/>
      <c r="M1189" s="157"/>
      <c r="O1189" s="147"/>
      <c r="P1189" s="147"/>
      <c r="Q1189" s="147"/>
      <c r="R1189" s="147"/>
      <c r="S1189" s="147"/>
      <c r="T1189" s="147"/>
      <c r="U1189" s="147"/>
      <c r="V1189" s="147"/>
      <c r="W1189" s="147"/>
      <c r="X1189" s="147"/>
      <c r="Y1189" s="147"/>
      <c r="Z1189" s="147"/>
      <c r="AA1189" s="147"/>
      <c r="AB1189" s="147"/>
      <c r="AC1189" s="147"/>
      <c r="AD1189" s="147"/>
      <c r="AE1189" s="147"/>
      <c r="AF1189" s="147"/>
      <c r="AG1189" s="147"/>
      <c r="AH1189" s="147"/>
      <c r="AI1189" s="147"/>
      <c r="AJ1189" s="147"/>
      <c r="AK1189" s="147"/>
      <c r="AL1189" s="147"/>
      <c r="AM1189" s="151"/>
      <c r="AN1189" s="147"/>
      <c r="AO1189" s="147"/>
      <c r="AP1189" s="147"/>
      <c r="AQ1189" s="147"/>
      <c r="AR1189" s="147"/>
      <c r="AS1189" s="147"/>
      <c r="AT1189" s="147"/>
      <c r="AU1189" s="147"/>
      <c r="AV1189" s="147"/>
      <c r="AW1189" s="147"/>
      <c r="AX1189" s="147"/>
      <c r="AY1189" s="147"/>
      <c r="AZ1189" s="147"/>
      <c r="BA1189" s="147"/>
      <c r="BB1189" s="147"/>
      <c r="BC1189" s="147"/>
      <c r="BD1189" s="147"/>
      <c r="BE1189" s="147"/>
      <c r="BF1189" s="147"/>
      <c r="BG1189" s="147"/>
      <c r="BH1189" s="147"/>
      <c r="BI1189" s="147"/>
      <c r="BJ1189" s="147"/>
      <c r="BK1189" s="147"/>
      <c r="BL1189" s="147"/>
      <c r="BM1189" s="147"/>
      <c r="BN1189" s="147"/>
      <c r="BO1189" s="147"/>
      <c r="BP1189" s="147"/>
      <c r="BQ1189" s="147"/>
      <c r="BR1189" s="147"/>
      <c r="BS1189" s="147"/>
      <c r="BT1189" s="147"/>
      <c r="BU1189" s="147"/>
      <c r="BV1189" s="147"/>
      <c r="BW1189" s="147"/>
      <c r="BX1189" s="147"/>
      <c r="BY1189" s="147"/>
      <c r="BZ1189" s="147"/>
      <c r="CA1189" s="147"/>
      <c r="CB1189" s="147"/>
      <c r="CC1189" s="147"/>
      <c r="CD1189" s="147"/>
      <c r="CE1189" s="147"/>
      <c r="CF1189" s="147"/>
      <c r="CG1189" s="147"/>
      <c r="CH1189" s="147"/>
      <c r="CI1189" s="147"/>
      <c r="CJ1189" s="147"/>
      <c r="CK1189" s="147"/>
    </row>
    <row r="1190" spans="1:89">
      <c r="A1190" s="157"/>
      <c r="F1190" s="3"/>
      <c r="G1190" s="3"/>
      <c r="L1190" s="157"/>
      <c r="M1190" s="157"/>
      <c r="O1190" s="147"/>
      <c r="P1190" s="147"/>
      <c r="Q1190" s="147"/>
      <c r="R1190" s="147"/>
      <c r="S1190" s="147"/>
      <c r="T1190" s="147"/>
      <c r="U1190" s="147"/>
      <c r="V1190" s="147"/>
      <c r="W1190" s="147"/>
      <c r="X1190" s="147"/>
      <c r="Y1190" s="147"/>
      <c r="Z1190" s="147"/>
      <c r="AA1190" s="147"/>
      <c r="AB1190" s="147"/>
      <c r="AC1190" s="147"/>
      <c r="AD1190" s="147"/>
      <c r="AE1190" s="147"/>
      <c r="AF1190" s="147"/>
      <c r="AG1190" s="147"/>
      <c r="AH1190" s="147"/>
      <c r="AI1190" s="147"/>
      <c r="AJ1190" s="147"/>
      <c r="AK1190" s="147"/>
      <c r="AL1190" s="147"/>
      <c r="AM1190" s="151"/>
      <c r="AN1190" s="147"/>
      <c r="AO1190" s="147"/>
      <c r="AP1190" s="147"/>
      <c r="AQ1190" s="147"/>
      <c r="AR1190" s="147"/>
      <c r="AS1190" s="147"/>
      <c r="AT1190" s="147"/>
      <c r="AU1190" s="147"/>
      <c r="AV1190" s="147"/>
      <c r="AW1190" s="147"/>
      <c r="AX1190" s="147"/>
      <c r="AY1190" s="147"/>
      <c r="AZ1190" s="147"/>
      <c r="BA1190" s="147"/>
      <c r="BB1190" s="147"/>
      <c r="BC1190" s="147"/>
      <c r="BD1190" s="147"/>
      <c r="BE1190" s="147"/>
      <c r="BF1190" s="147"/>
      <c r="BG1190" s="147"/>
      <c r="BH1190" s="147"/>
      <c r="BI1190" s="147"/>
      <c r="BJ1190" s="147"/>
      <c r="BK1190" s="147"/>
      <c r="BL1190" s="147"/>
      <c r="BM1190" s="147"/>
      <c r="BN1190" s="147"/>
      <c r="BO1190" s="147"/>
      <c r="BP1190" s="147"/>
      <c r="BQ1190" s="147"/>
      <c r="BR1190" s="147"/>
      <c r="BS1190" s="147"/>
      <c r="BT1190" s="147"/>
      <c r="BU1190" s="147"/>
      <c r="BV1190" s="147"/>
      <c r="BW1190" s="147"/>
      <c r="BX1190" s="147"/>
      <c r="BY1190" s="147"/>
      <c r="BZ1190" s="147"/>
      <c r="CA1190" s="147"/>
      <c r="CB1190" s="147"/>
      <c r="CC1190" s="147"/>
      <c r="CD1190" s="147"/>
      <c r="CE1190" s="147"/>
      <c r="CF1190" s="147"/>
      <c r="CG1190" s="147"/>
      <c r="CH1190" s="147"/>
      <c r="CI1190" s="147"/>
      <c r="CJ1190" s="147"/>
      <c r="CK1190" s="147"/>
    </row>
    <row r="1191" spans="1:89">
      <c r="A1191" s="157"/>
      <c r="F1191" s="3"/>
      <c r="G1191" s="3"/>
      <c r="L1191" s="157"/>
      <c r="M1191" s="157"/>
      <c r="O1191" s="147"/>
      <c r="P1191" s="147"/>
      <c r="Q1191" s="147"/>
      <c r="R1191" s="147"/>
      <c r="S1191" s="147"/>
      <c r="T1191" s="147"/>
      <c r="U1191" s="147"/>
      <c r="V1191" s="147"/>
      <c r="W1191" s="147"/>
      <c r="X1191" s="147"/>
      <c r="Y1191" s="147"/>
      <c r="Z1191" s="147"/>
      <c r="AA1191" s="147"/>
      <c r="AB1191" s="147"/>
      <c r="AC1191" s="147"/>
      <c r="AD1191" s="147"/>
      <c r="AE1191" s="147"/>
      <c r="AF1191" s="147"/>
      <c r="AG1191" s="147"/>
      <c r="AH1191" s="147"/>
      <c r="AI1191" s="147"/>
      <c r="AJ1191" s="147"/>
      <c r="AK1191" s="147"/>
      <c r="AL1191" s="147"/>
      <c r="AM1191" s="151"/>
      <c r="AN1191" s="147"/>
      <c r="AO1191" s="147"/>
      <c r="AP1191" s="147"/>
      <c r="AQ1191" s="147"/>
      <c r="AR1191" s="147"/>
      <c r="AS1191" s="147"/>
      <c r="AT1191" s="147"/>
      <c r="AU1191" s="147"/>
      <c r="AV1191" s="147"/>
      <c r="AW1191" s="147"/>
      <c r="AX1191" s="147"/>
      <c r="AY1191" s="147"/>
      <c r="AZ1191" s="147"/>
      <c r="BA1191" s="147"/>
      <c r="BB1191" s="147"/>
      <c r="BC1191" s="147"/>
      <c r="BD1191" s="147"/>
      <c r="BE1191" s="147"/>
      <c r="BF1191" s="147"/>
      <c r="BG1191" s="147"/>
      <c r="BH1191" s="147"/>
      <c r="BI1191" s="147"/>
      <c r="BJ1191" s="147"/>
      <c r="BK1191" s="147"/>
      <c r="BL1191" s="147"/>
      <c r="BM1191" s="147"/>
      <c r="BN1191" s="147"/>
      <c r="BO1191" s="147"/>
      <c r="BP1191" s="147"/>
      <c r="BQ1191" s="147"/>
      <c r="BR1191" s="147"/>
      <c r="BS1191" s="147"/>
      <c r="BT1191" s="147"/>
      <c r="BU1191" s="147"/>
      <c r="BV1191" s="147"/>
      <c r="BW1191" s="147"/>
      <c r="BX1191" s="147"/>
      <c r="BY1191" s="147"/>
      <c r="BZ1191" s="147"/>
      <c r="CA1191" s="147"/>
      <c r="CB1191" s="147"/>
      <c r="CC1191" s="147"/>
      <c r="CD1191" s="147"/>
      <c r="CE1191" s="147"/>
      <c r="CF1191" s="147"/>
      <c r="CG1191" s="147"/>
      <c r="CH1191" s="147"/>
      <c r="CI1191" s="147"/>
      <c r="CJ1191" s="147"/>
      <c r="CK1191" s="147"/>
    </row>
    <row r="1192" spans="1:89">
      <c r="A1192" s="157"/>
      <c r="F1192" s="3"/>
      <c r="G1192" s="3"/>
      <c r="L1192" s="157"/>
      <c r="M1192" s="157"/>
      <c r="O1192" s="147"/>
      <c r="P1192" s="147"/>
      <c r="Q1192" s="147"/>
      <c r="R1192" s="147"/>
      <c r="S1192" s="147"/>
      <c r="T1192" s="147"/>
      <c r="U1192" s="147"/>
      <c r="V1192" s="147"/>
      <c r="W1192" s="147"/>
      <c r="X1192" s="147"/>
      <c r="Y1192" s="147"/>
      <c r="Z1192" s="147"/>
      <c r="AA1192" s="147"/>
      <c r="AB1192" s="147"/>
      <c r="AC1192" s="147"/>
      <c r="AD1192" s="147"/>
      <c r="AE1192" s="147"/>
      <c r="AF1192" s="147"/>
      <c r="AG1192" s="147"/>
      <c r="AH1192" s="147"/>
      <c r="AI1192" s="147"/>
      <c r="AJ1192" s="147"/>
      <c r="AK1192" s="147"/>
      <c r="AL1192" s="147"/>
      <c r="AM1192" s="151"/>
      <c r="AN1192" s="147"/>
      <c r="AO1192" s="147"/>
      <c r="AP1192" s="147"/>
      <c r="AQ1192" s="147"/>
      <c r="AR1192" s="147"/>
      <c r="AS1192" s="147"/>
      <c r="AT1192" s="147"/>
      <c r="AU1192" s="147"/>
      <c r="AV1192" s="147"/>
      <c r="AW1192" s="147"/>
      <c r="AX1192" s="147"/>
      <c r="AY1192" s="147"/>
      <c r="AZ1192" s="147"/>
      <c r="BA1192" s="147"/>
      <c r="BB1192" s="147"/>
      <c r="BC1192" s="147"/>
      <c r="BD1192" s="147"/>
      <c r="BE1192" s="147"/>
      <c r="BF1192" s="147"/>
      <c r="BG1192" s="147"/>
      <c r="BH1192" s="147"/>
      <c r="BI1192" s="147"/>
      <c r="BJ1192" s="147"/>
      <c r="BK1192" s="147"/>
      <c r="BL1192" s="147"/>
      <c r="BM1192" s="147"/>
      <c r="BN1192" s="147"/>
      <c r="BO1192" s="147"/>
      <c r="BP1192" s="147"/>
      <c r="BQ1192" s="147"/>
      <c r="BR1192" s="147"/>
      <c r="BS1192" s="147"/>
      <c r="BT1192" s="147"/>
      <c r="BU1192" s="147"/>
      <c r="BV1192" s="147"/>
      <c r="BW1192" s="147"/>
      <c r="BX1192" s="147"/>
      <c r="BY1192" s="147"/>
      <c r="BZ1192" s="147"/>
      <c r="CA1192" s="147"/>
      <c r="CB1192" s="147"/>
      <c r="CC1192" s="147"/>
      <c r="CD1192" s="147"/>
      <c r="CE1192" s="147"/>
      <c r="CF1192" s="147"/>
      <c r="CG1192" s="147"/>
      <c r="CH1192" s="147"/>
      <c r="CI1192" s="147"/>
      <c r="CJ1192" s="147"/>
      <c r="CK1192" s="147"/>
    </row>
    <row r="1193" spans="1:89">
      <c r="A1193" s="157"/>
      <c r="F1193" s="3"/>
      <c r="G1193" s="3"/>
      <c r="L1193" s="157"/>
      <c r="M1193" s="157"/>
      <c r="O1193" s="147"/>
      <c r="P1193" s="147"/>
      <c r="Q1193" s="147"/>
      <c r="R1193" s="147"/>
      <c r="S1193" s="147"/>
      <c r="T1193" s="147"/>
      <c r="U1193" s="147"/>
      <c r="V1193" s="147"/>
      <c r="W1193" s="147"/>
      <c r="X1193" s="147"/>
      <c r="Y1193" s="147"/>
      <c r="Z1193" s="147"/>
      <c r="AA1193" s="147"/>
      <c r="AB1193" s="147"/>
      <c r="AC1193" s="147"/>
      <c r="AD1193" s="147"/>
      <c r="AE1193" s="147"/>
      <c r="AF1193" s="147"/>
      <c r="AG1193" s="147"/>
      <c r="AH1193" s="147"/>
      <c r="AI1193" s="147"/>
      <c r="AJ1193" s="147"/>
      <c r="AK1193" s="147"/>
      <c r="AL1193" s="147"/>
      <c r="AM1193" s="151"/>
      <c r="AN1193" s="147"/>
      <c r="AO1193" s="147"/>
      <c r="AP1193" s="147"/>
      <c r="AQ1193" s="147"/>
      <c r="AR1193" s="147"/>
      <c r="AS1193" s="147"/>
      <c r="AT1193" s="147"/>
      <c r="AU1193" s="147"/>
      <c r="AV1193" s="147"/>
      <c r="AW1193" s="147"/>
      <c r="AX1193" s="147"/>
      <c r="AY1193" s="147"/>
      <c r="AZ1193" s="147"/>
      <c r="BA1193" s="147"/>
      <c r="BB1193" s="147"/>
      <c r="BC1193" s="147"/>
      <c r="BD1193" s="147"/>
      <c r="BE1193" s="147"/>
      <c r="BF1193" s="147"/>
      <c r="BG1193" s="147"/>
      <c r="BH1193" s="147"/>
      <c r="BI1193" s="147"/>
      <c r="BJ1193" s="147"/>
      <c r="BK1193" s="147"/>
      <c r="BL1193" s="147"/>
      <c r="BM1193" s="147"/>
      <c r="BN1193" s="147"/>
      <c r="BO1193" s="147"/>
      <c r="BP1193" s="147"/>
      <c r="BQ1193" s="147"/>
      <c r="BR1193" s="147"/>
      <c r="BS1193" s="147"/>
      <c r="BT1193" s="147"/>
      <c r="BU1193" s="147"/>
      <c r="BV1193" s="147"/>
      <c r="BW1193" s="147"/>
      <c r="BX1193" s="147"/>
      <c r="BY1193" s="147"/>
      <c r="BZ1193" s="147"/>
      <c r="CA1193" s="147"/>
      <c r="CB1193" s="147"/>
      <c r="CC1193" s="147"/>
      <c r="CD1193" s="147"/>
      <c r="CE1193" s="147"/>
      <c r="CF1193" s="147"/>
      <c r="CG1193" s="147"/>
      <c r="CH1193" s="147"/>
      <c r="CI1193" s="147"/>
      <c r="CJ1193" s="147"/>
      <c r="CK1193" s="147"/>
    </row>
    <row r="1194" spans="1:89">
      <c r="A1194" s="157"/>
      <c r="F1194" s="3"/>
      <c r="G1194" s="3"/>
      <c r="L1194" s="157"/>
      <c r="M1194" s="157"/>
      <c r="O1194" s="147"/>
      <c r="P1194" s="147"/>
      <c r="Q1194" s="147"/>
      <c r="R1194" s="147"/>
      <c r="S1194" s="147"/>
      <c r="T1194" s="147"/>
      <c r="U1194" s="147"/>
      <c r="V1194" s="147"/>
      <c r="W1194" s="147"/>
      <c r="X1194" s="147"/>
      <c r="Y1194" s="147"/>
      <c r="Z1194" s="147"/>
      <c r="AA1194" s="147"/>
      <c r="AB1194" s="147"/>
      <c r="AC1194" s="147"/>
      <c r="AD1194" s="147"/>
      <c r="AE1194" s="147"/>
      <c r="AF1194" s="147"/>
      <c r="AG1194" s="147"/>
      <c r="AH1194" s="147"/>
      <c r="AI1194" s="147"/>
      <c r="AJ1194" s="147"/>
      <c r="AK1194" s="147"/>
      <c r="AL1194" s="147"/>
      <c r="AM1194" s="151"/>
      <c r="AN1194" s="147"/>
      <c r="AO1194" s="147"/>
      <c r="AP1194" s="147"/>
      <c r="AQ1194" s="147"/>
      <c r="AR1194" s="147"/>
      <c r="AS1194" s="147"/>
      <c r="AT1194" s="147"/>
      <c r="AU1194" s="147"/>
      <c r="AV1194" s="147"/>
      <c r="AW1194" s="147"/>
      <c r="AX1194" s="147"/>
      <c r="AY1194" s="147"/>
      <c r="AZ1194" s="147"/>
      <c r="BA1194" s="147"/>
      <c r="BB1194" s="147"/>
      <c r="BC1194" s="147"/>
      <c r="BD1194" s="147"/>
      <c r="BE1194" s="147"/>
      <c r="BF1194" s="147"/>
      <c r="BG1194" s="147"/>
      <c r="BH1194" s="147"/>
      <c r="BI1194" s="147"/>
      <c r="BJ1194" s="147"/>
      <c r="BK1194" s="147"/>
      <c r="BL1194" s="147"/>
      <c r="BM1194" s="147"/>
      <c r="BN1194" s="147"/>
      <c r="BO1194" s="147"/>
      <c r="BP1194" s="147"/>
      <c r="BQ1194" s="147"/>
      <c r="BR1194" s="147"/>
      <c r="BS1194" s="147"/>
      <c r="BT1194" s="147"/>
      <c r="BU1194" s="147"/>
      <c r="BV1194" s="147"/>
      <c r="BW1194" s="147"/>
      <c r="BX1194" s="147"/>
      <c r="BY1194" s="147"/>
      <c r="BZ1194" s="147"/>
      <c r="CA1194" s="147"/>
      <c r="CB1194" s="147"/>
      <c r="CC1194" s="147"/>
      <c r="CD1194" s="147"/>
      <c r="CE1194" s="147"/>
      <c r="CF1194" s="147"/>
      <c r="CG1194" s="147"/>
      <c r="CH1194" s="147"/>
      <c r="CI1194" s="147"/>
      <c r="CJ1194" s="147"/>
      <c r="CK1194" s="147"/>
    </row>
    <row r="1195" spans="1:89">
      <c r="A1195" s="157"/>
      <c r="F1195" s="3"/>
      <c r="G1195" s="3"/>
      <c r="L1195" s="157"/>
      <c r="M1195" s="157"/>
      <c r="O1195" s="147"/>
      <c r="P1195" s="147"/>
      <c r="Q1195" s="147"/>
      <c r="R1195" s="147"/>
      <c r="S1195" s="147"/>
      <c r="T1195" s="147"/>
      <c r="U1195" s="147"/>
      <c r="V1195" s="147"/>
      <c r="W1195" s="147"/>
      <c r="X1195" s="147"/>
      <c r="Y1195" s="147"/>
      <c r="Z1195" s="147"/>
      <c r="AA1195" s="147"/>
      <c r="AB1195" s="147"/>
      <c r="AC1195" s="147"/>
      <c r="AD1195" s="147"/>
      <c r="AE1195" s="147"/>
      <c r="AF1195" s="147"/>
      <c r="AG1195" s="147"/>
      <c r="AH1195" s="147"/>
      <c r="AI1195" s="147"/>
      <c r="AJ1195" s="147"/>
      <c r="AK1195" s="147"/>
      <c r="AL1195" s="147"/>
      <c r="AM1195" s="151"/>
      <c r="AN1195" s="147"/>
      <c r="AO1195" s="147"/>
      <c r="AP1195" s="147"/>
      <c r="AQ1195" s="147"/>
      <c r="AR1195" s="147"/>
      <c r="AS1195" s="147"/>
      <c r="AT1195" s="147"/>
      <c r="AU1195" s="147"/>
      <c r="AV1195" s="147"/>
      <c r="AW1195" s="147"/>
      <c r="AX1195" s="147"/>
      <c r="AY1195" s="147"/>
      <c r="AZ1195" s="147"/>
      <c r="BA1195" s="147"/>
      <c r="BB1195" s="147"/>
      <c r="BC1195" s="147"/>
      <c r="BD1195" s="147"/>
      <c r="BE1195" s="147"/>
      <c r="BF1195" s="147"/>
      <c r="BG1195" s="147"/>
      <c r="BH1195" s="147"/>
      <c r="BI1195" s="147"/>
      <c r="BJ1195" s="147"/>
      <c r="BK1195" s="147"/>
      <c r="BL1195" s="147"/>
      <c r="BM1195" s="147"/>
      <c r="BN1195" s="147"/>
      <c r="BO1195" s="147"/>
      <c r="BP1195" s="147"/>
      <c r="BQ1195" s="147"/>
      <c r="BR1195" s="147"/>
      <c r="BS1195" s="147"/>
      <c r="BT1195" s="147"/>
      <c r="BU1195" s="147"/>
      <c r="BV1195" s="147"/>
      <c r="BW1195" s="147"/>
      <c r="BX1195" s="147"/>
      <c r="BY1195" s="147"/>
      <c r="BZ1195" s="147"/>
      <c r="CA1195" s="147"/>
      <c r="CB1195" s="147"/>
      <c r="CC1195" s="147"/>
      <c r="CD1195" s="147"/>
      <c r="CE1195" s="147"/>
      <c r="CF1195" s="147"/>
      <c r="CG1195" s="147"/>
      <c r="CH1195" s="147"/>
      <c r="CI1195" s="147"/>
      <c r="CJ1195" s="147"/>
      <c r="CK1195" s="147"/>
    </row>
    <row r="1196" spans="1:89">
      <c r="A1196" s="157"/>
      <c r="F1196" s="3"/>
      <c r="G1196" s="3"/>
      <c r="L1196" s="157"/>
      <c r="M1196" s="157"/>
      <c r="O1196" s="147"/>
      <c r="P1196" s="147"/>
      <c r="Q1196" s="147"/>
      <c r="R1196" s="147"/>
      <c r="S1196" s="147"/>
      <c r="T1196" s="147"/>
      <c r="U1196" s="147"/>
      <c r="V1196" s="147"/>
      <c r="W1196" s="147"/>
      <c r="X1196" s="147"/>
      <c r="Y1196" s="147"/>
      <c r="Z1196" s="147"/>
      <c r="AA1196" s="147"/>
      <c r="AB1196" s="147"/>
      <c r="AC1196" s="147"/>
      <c r="AD1196" s="147"/>
      <c r="AE1196" s="147"/>
      <c r="AF1196" s="147"/>
      <c r="AG1196" s="147"/>
      <c r="AH1196" s="147"/>
      <c r="AI1196" s="147"/>
      <c r="AJ1196" s="147"/>
      <c r="AK1196" s="147"/>
      <c r="AL1196" s="147"/>
      <c r="AM1196" s="151"/>
      <c r="AN1196" s="147"/>
      <c r="AO1196" s="147"/>
      <c r="AP1196" s="147"/>
      <c r="AQ1196" s="147"/>
      <c r="AR1196" s="147"/>
      <c r="AS1196" s="147"/>
      <c r="AT1196" s="147"/>
      <c r="AU1196" s="147"/>
      <c r="AV1196" s="147"/>
      <c r="AW1196" s="147"/>
      <c r="AX1196" s="147"/>
      <c r="AY1196" s="147"/>
      <c r="AZ1196" s="147"/>
      <c r="BA1196" s="147"/>
      <c r="BB1196" s="147"/>
      <c r="BC1196" s="147"/>
      <c r="BD1196" s="147"/>
      <c r="BE1196" s="147"/>
      <c r="BF1196" s="147"/>
      <c r="BG1196" s="147"/>
      <c r="BH1196" s="147"/>
      <c r="BI1196" s="147"/>
      <c r="BJ1196" s="147"/>
      <c r="BK1196" s="147"/>
      <c r="BL1196" s="147"/>
      <c r="BM1196" s="147"/>
      <c r="BN1196" s="147"/>
      <c r="BO1196" s="147"/>
      <c r="BP1196" s="147"/>
      <c r="BQ1196" s="147"/>
      <c r="BR1196" s="147"/>
      <c r="BS1196" s="147"/>
      <c r="BT1196" s="147"/>
      <c r="BU1196" s="147"/>
      <c r="BV1196" s="147"/>
      <c r="BW1196" s="147"/>
      <c r="BX1196" s="147"/>
      <c r="BY1196" s="147"/>
      <c r="BZ1196" s="147"/>
      <c r="CA1196" s="147"/>
      <c r="CB1196" s="147"/>
      <c r="CC1196" s="147"/>
      <c r="CD1196" s="147"/>
      <c r="CE1196" s="147"/>
      <c r="CF1196" s="147"/>
      <c r="CG1196" s="147"/>
      <c r="CH1196" s="147"/>
      <c r="CI1196" s="147"/>
      <c r="CJ1196" s="147"/>
      <c r="CK1196" s="147"/>
    </row>
    <row r="1197" spans="1:89">
      <c r="A1197" s="157"/>
      <c r="F1197" s="3"/>
      <c r="G1197" s="3"/>
      <c r="L1197" s="157"/>
      <c r="M1197" s="157"/>
      <c r="O1197" s="147"/>
      <c r="P1197" s="147"/>
      <c r="Q1197" s="147"/>
      <c r="R1197" s="147"/>
      <c r="S1197" s="147"/>
      <c r="T1197" s="147"/>
      <c r="U1197" s="147"/>
      <c r="V1197" s="147"/>
      <c r="W1197" s="147"/>
      <c r="X1197" s="147"/>
      <c r="Y1197" s="147"/>
      <c r="Z1197" s="147"/>
      <c r="AA1197" s="147"/>
      <c r="AB1197" s="147"/>
      <c r="AC1197" s="147"/>
      <c r="AD1197" s="147"/>
      <c r="AE1197" s="147"/>
      <c r="AF1197" s="147"/>
      <c r="AG1197" s="147"/>
      <c r="AH1197" s="147"/>
      <c r="AI1197" s="147"/>
      <c r="AJ1197" s="147"/>
      <c r="AK1197" s="147"/>
      <c r="AL1197" s="147"/>
      <c r="AM1197" s="151"/>
      <c r="AN1197" s="147"/>
      <c r="AO1197" s="147"/>
      <c r="AP1197" s="147"/>
      <c r="AQ1197" s="147"/>
      <c r="AR1197" s="147"/>
      <c r="AS1197" s="147"/>
      <c r="AT1197" s="147"/>
      <c r="AU1197" s="147"/>
      <c r="AV1197" s="147"/>
      <c r="AW1197" s="147"/>
      <c r="AX1197" s="147"/>
      <c r="AY1197" s="147"/>
      <c r="AZ1197" s="147"/>
      <c r="BA1197" s="147"/>
      <c r="BB1197" s="147"/>
      <c r="BC1197" s="147"/>
      <c r="BD1197" s="147"/>
      <c r="BE1197" s="147"/>
      <c r="BF1197" s="147"/>
      <c r="BG1197" s="147"/>
      <c r="BH1197" s="147"/>
      <c r="BI1197" s="147"/>
      <c r="BJ1197" s="147"/>
      <c r="BK1197" s="147"/>
      <c r="BL1197" s="147"/>
      <c r="BM1197" s="147"/>
      <c r="BN1197" s="147"/>
      <c r="BO1197" s="147"/>
      <c r="BP1197" s="147"/>
      <c r="BQ1197" s="147"/>
      <c r="BR1197" s="147"/>
      <c r="BS1197" s="147"/>
      <c r="BT1197" s="147"/>
      <c r="BU1197" s="147"/>
      <c r="BV1197" s="147"/>
      <c r="BW1197" s="147"/>
      <c r="BX1197" s="147"/>
      <c r="BY1197" s="147"/>
      <c r="BZ1197" s="147"/>
      <c r="CA1197" s="147"/>
      <c r="CB1197" s="147"/>
      <c r="CC1197" s="147"/>
      <c r="CD1197" s="147"/>
      <c r="CE1197" s="147"/>
      <c r="CF1197" s="147"/>
      <c r="CG1197" s="147"/>
      <c r="CH1197" s="147"/>
      <c r="CI1197" s="147"/>
      <c r="CJ1197" s="147"/>
      <c r="CK1197" s="147"/>
    </row>
    <row r="1198" spans="1:89">
      <c r="A1198" s="157"/>
      <c r="F1198" s="3"/>
      <c r="G1198" s="3"/>
      <c r="L1198" s="157"/>
      <c r="M1198" s="157"/>
      <c r="O1198" s="147"/>
      <c r="P1198" s="147"/>
      <c r="Q1198" s="147"/>
      <c r="R1198" s="147"/>
      <c r="S1198" s="147"/>
      <c r="T1198" s="147"/>
      <c r="U1198" s="147"/>
      <c r="V1198" s="147"/>
      <c r="W1198" s="147"/>
      <c r="X1198" s="147"/>
      <c r="Y1198" s="147"/>
      <c r="Z1198" s="147"/>
      <c r="AA1198" s="147"/>
      <c r="AB1198" s="147"/>
      <c r="AC1198" s="147"/>
      <c r="AD1198" s="147"/>
      <c r="AE1198" s="147"/>
      <c r="AF1198" s="147"/>
      <c r="AG1198" s="147"/>
      <c r="AH1198" s="147"/>
      <c r="AI1198" s="147"/>
      <c r="AJ1198" s="147"/>
      <c r="AK1198" s="147"/>
      <c r="AL1198" s="147"/>
      <c r="AM1198" s="151"/>
      <c r="AN1198" s="147"/>
      <c r="AO1198" s="147"/>
      <c r="AP1198" s="147"/>
      <c r="AQ1198" s="147"/>
      <c r="AR1198" s="147"/>
      <c r="AS1198" s="147"/>
      <c r="AT1198" s="147"/>
      <c r="AU1198" s="147"/>
      <c r="AV1198" s="147"/>
      <c r="AW1198" s="147"/>
      <c r="AX1198" s="147"/>
      <c r="AY1198" s="147"/>
      <c r="AZ1198" s="147"/>
      <c r="BA1198" s="147"/>
      <c r="BB1198" s="147"/>
      <c r="BC1198" s="147"/>
      <c r="BD1198" s="147"/>
      <c r="BE1198" s="147"/>
      <c r="BF1198" s="147"/>
      <c r="BG1198" s="147"/>
      <c r="BH1198" s="147"/>
      <c r="BI1198" s="147"/>
      <c r="BJ1198" s="147"/>
      <c r="BK1198" s="147"/>
      <c r="BL1198" s="147"/>
      <c r="BM1198" s="147"/>
      <c r="BN1198" s="147"/>
      <c r="BO1198" s="147"/>
      <c r="BP1198" s="147"/>
      <c r="BQ1198" s="147"/>
      <c r="BR1198" s="147"/>
      <c r="BS1198" s="147"/>
      <c r="BT1198" s="147"/>
      <c r="BU1198" s="147"/>
      <c r="BV1198" s="147"/>
      <c r="BW1198" s="147"/>
      <c r="BX1198" s="147"/>
      <c r="BY1198" s="147"/>
      <c r="BZ1198" s="147"/>
      <c r="CA1198" s="147"/>
      <c r="CB1198" s="147"/>
      <c r="CC1198" s="147"/>
      <c r="CD1198" s="147"/>
      <c r="CE1198" s="147"/>
      <c r="CF1198" s="147"/>
      <c r="CG1198" s="147"/>
      <c r="CH1198" s="147"/>
      <c r="CI1198" s="147"/>
      <c r="CJ1198" s="147"/>
      <c r="CK1198" s="147"/>
    </row>
    <row r="1199" spans="1:89">
      <c r="A1199" s="157"/>
      <c r="F1199" s="3"/>
      <c r="G1199" s="3"/>
      <c r="L1199" s="157"/>
      <c r="M1199" s="157"/>
      <c r="O1199" s="147"/>
      <c r="P1199" s="147"/>
      <c r="Q1199" s="147"/>
      <c r="R1199" s="147"/>
      <c r="S1199" s="147"/>
      <c r="T1199" s="147"/>
      <c r="U1199" s="147"/>
      <c r="V1199" s="147"/>
      <c r="W1199" s="147"/>
      <c r="X1199" s="147"/>
      <c r="Y1199" s="147"/>
      <c r="Z1199" s="147"/>
      <c r="AA1199" s="147"/>
      <c r="AB1199" s="147"/>
      <c r="AC1199" s="147"/>
      <c r="AD1199" s="147"/>
      <c r="AE1199" s="147"/>
      <c r="AF1199" s="147"/>
      <c r="AG1199" s="147"/>
      <c r="AH1199" s="147"/>
      <c r="AI1199" s="147"/>
      <c r="AJ1199" s="147"/>
      <c r="AK1199" s="147"/>
      <c r="AL1199" s="147"/>
      <c r="AM1199" s="151"/>
      <c r="AN1199" s="147"/>
      <c r="AO1199" s="147"/>
      <c r="AP1199" s="147"/>
      <c r="AQ1199" s="147"/>
      <c r="AR1199" s="147"/>
      <c r="AS1199" s="147"/>
      <c r="AT1199" s="147"/>
      <c r="AU1199" s="147"/>
      <c r="AV1199" s="147"/>
      <c r="AW1199" s="147"/>
      <c r="AX1199" s="147"/>
      <c r="AY1199" s="147"/>
      <c r="AZ1199" s="147"/>
      <c r="BA1199" s="147"/>
      <c r="BB1199" s="147"/>
      <c r="BC1199" s="147"/>
      <c r="BD1199" s="147"/>
      <c r="BE1199" s="147"/>
      <c r="BF1199" s="147"/>
      <c r="BG1199" s="147"/>
      <c r="BH1199" s="147"/>
      <c r="BI1199" s="147"/>
      <c r="BJ1199" s="147"/>
      <c r="BK1199" s="147"/>
      <c r="BL1199" s="147"/>
      <c r="BM1199" s="147"/>
      <c r="BN1199" s="147"/>
      <c r="BO1199" s="147"/>
      <c r="BP1199" s="147"/>
      <c r="BQ1199" s="147"/>
      <c r="BR1199" s="147"/>
      <c r="BS1199" s="147"/>
      <c r="BT1199" s="147"/>
      <c r="BU1199" s="147"/>
      <c r="BV1199" s="147"/>
      <c r="BW1199" s="147"/>
      <c r="BX1199" s="147"/>
      <c r="BY1199" s="147"/>
      <c r="BZ1199" s="147"/>
      <c r="CA1199" s="147"/>
      <c r="CB1199" s="147"/>
      <c r="CC1199" s="147"/>
      <c r="CD1199" s="147"/>
      <c r="CE1199" s="147"/>
      <c r="CF1199" s="147"/>
      <c r="CG1199" s="147"/>
      <c r="CH1199" s="147"/>
      <c r="CI1199" s="147"/>
      <c r="CJ1199" s="147"/>
      <c r="CK1199" s="147"/>
    </row>
    <row r="1200" spans="1:89">
      <c r="A1200" s="157"/>
      <c r="F1200" s="3"/>
      <c r="G1200" s="3"/>
      <c r="L1200" s="157"/>
      <c r="M1200" s="157"/>
      <c r="O1200" s="147"/>
      <c r="P1200" s="147"/>
      <c r="Q1200" s="147"/>
      <c r="R1200" s="147"/>
      <c r="S1200" s="147"/>
      <c r="T1200" s="147"/>
      <c r="U1200" s="147"/>
      <c r="V1200" s="147"/>
      <c r="W1200" s="147"/>
      <c r="X1200" s="147"/>
      <c r="Y1200" s="147"/>
      <c r="Z1200" s="147"/>
      <c r="AA1200" s="147"/>
      <c r="AB1200" s="147"/>
      <c r="AC1200" s="147"/>
      <c r="AD1200" s="147"/>
      <c r="AE1200" s="147"/>
      <c r="AF1200" s="147"/>
      <c r="AG1200" s="147"/>
      <c r="AH1200" s="147"/>
      <c r="AI1200" s="147"/>
      <c r="AJ1200" s="147"/>
      <c r="AK1200" s="147"/>
      <c r="AL1200" s="147"/>
      <c r="AM1200" s="151"/>
      <c r="AN1200" s="147"/>
      <c r="AO1200" s="147"/>
      <c r="AP1200" s="147"/>
      <c r="AQ1200" s="147"/>
      <c r="AR1200" s="147"/>
      <c r="AS1200" s="147"/>
      <c r="AT1200" s="147"/>
      <c r="AU1200" s="147"/>
      <c r="AV1200" s="147"/>
      <c r="AW1200" s="147"/>
      <c r="AX1200" s="147"/>
      <c r="AY1200" s="147"/>
      <c r="AZ1200" s="147"/>
      <c r="BA1200" s="147"/>
      <c r="BB1200" s="147"/>
      <c r="BC1200" s="147"/>
      <c r="BD1200" s="147"/>
      <c r="BE1200" s="147"/>
      <c r="BF1200" s="147"/>
      <c r="BG1200" s="147"/>
      <c r="BH1200" s="147"/>
      <c r="BI1200" s="147"/>
      <c r="BJ1200" s="147"/>
      <c r="BK1200" s="147"/>
      <c r="BL1200" s="147"/>
      <c r="BM1200" s="147"/>
      <c r="BN1200" s="147"/>
      <c r="BO1200" s="147"/>
      <c r="BP1200" s="147"/>
      <c r="BQ1200" s="147"/>
      <c r="BR1200" s="147"/>
      <c r="BS1200" s="147"/>
      <c r="BT1200" s="147"/>
      <c r="BU1200" s="147"/>
      <c r="BV1200" s="147"/>
      <c r="BW1200" s="147"/>
      <c r="BX1200" s="147"/>
      <c r="BY1200" s="147"/>
      <c r="BZ1200" s="147"/>
      <c r="CA1200" s="147"/>
      <c r="CB1200" s="147"/>
      <c r="CC1200" s="147"/>
      <c r="CD1200" s="147"/>
      <c r="CE1200" s="147"/>
      <c r="CF1200" s="147"/>
      <c r="CG1200" s="147"/>
      <c r="CH1200" s="147"/>
      <c r="CI1200" s="147"/>
      <c r="CJ1200" s="147"/>
      <c r="CK1200" s="147"/>
    </row>
    <row r="1201" spans="1:89">
      <c r="A1201" s="157"/>
      <c r="F1201" s="3"/>
      <c r="G1201" s="3"/>
      <c r="L1201" s="157"/>
      <c r="M1201" s="157"/>
      <c r="O1201" s="147"/>
      <c r="P1201" s="147"/>
      <c r="Q1201" s="147"/>
      <c r="R1201" s="147"/>
      <c r="S1201" s="147"/>
      <c r="T1201" s="147"/>
      <c r="U1201" s="147"/>
      <c r="V1201" s="147"/>
      <c r="W1201" s="147"/>
      <c r="X1201" s="147"/>
      <c r="Y1201" s="147"/>
      <c r="Z1201" s="147"/>
      <c r="AA1201" s="147"/>
      <c r="AB1201" s="147"/>
      <c r="AC1201" s="147"/>
      <c r="AD1201" s="147"/>
      <c r="AE1201" s="147"/>
      <c r="AF1201" s="147"/>
      <c r="AG1201" s="147"/>
      <c r="AH1201" s="147"/>
      <c r="AI1201" s="147"/>
      <c r="AJ1201" s="147"/>
      <c r="AK1201" s="147"/>
      <c r="AL1201" s="147"/>
      <c r="AM1201" s="151"/>
      <c r="AN1201" s="147"/>
      <c r="AO1201" s="147"/>
      <c r="AP1201" s="147"/>
      <c r="AQ1201" s="147"/>
      <c r="AR1201" s="147"/>
      <c r="AS1201" s="147"/>
      <c r="AT1201" s="147"/>
      <c r="AU1201" s="147"/>
      <c r="AV1201" s="147"/>
      <c r="AW1201" s="147"/>
      <c r="AX1201" s="147"/>
      <c r="AY1201" s="147"/>
      <c r="AZ1201" s="147"/>
      <c r="BA1201" s="147"/>
      <c r="BB1201" s="147"/>
      <c r="BC1201" s="147"/>
      <c r="BD1201" s="147"/>
      <c r="BE1201" s="147"/>
      <c r="BF1201" s="147"/>
      <c r="BG1201" s="147"/>
      <c r="BH1201" s="147"/>
      <c r="BI1201" s="147"/>
      <c r="BJ1201" s="147"/>
      <c r="BK1201" s="147"/>
      <c r="BL1201" s="147"/>
      <c r="BM1201" s="147"/>
      <c r="BN1201" s="147"/>
      <c r="BO1201" s="147"/>
      <c r="BP1201" s="147"/>
      <c r="BQ1201" s="147"/>
      <c r="BR1201" s="147"/>
      <c r="BS1201" s="147"/>
      <c r="BT1201" s="147"/>
      <c r="BU1201" s="147"/>
      <c r="BV1201" s="147"/>
      <c r="BW1201" s="147"/>
      <c r="BX1201" s="147"/>
      <c r="BY1201" s="147"/>
      <c r="BZ1201" s="147"/>
      <c r="CA1201" s="147"/>
      <c r="CB1201" s="147"/>
      <c r="CC1201" s="147"/>
      <c r="CD1201" s="147"/>
      <c r="CE1201" s="147"/>
      <c r="CF1201" s="147"/>
      <c r="CG1201" s="147"/>
      <c r="CH1201" s="147"/>
      <c r="CI1201" s="147"/>
      <c r="CJ1201" s="147"/>
      <c r="CK1201" s="147"/>
    </row>
    <row r="1202" spans="1:89">
      <c r="A1202" s="157"/>
      <c r="F1202" s="3"/>
      <c r="G1202" s="3"/>
      <c r="L1202" s="157"/>
      <c r="M1202" s="157"/>
      <c r="O1202" s="147"/>
      <c r="P1202" s="147"/>
      <c r="Q1202" s="147"/>
      <c r="R1202" s="147"/>
      <c r="S1202" s="147"/>
      <c r="T1202" s="147"/>
      <c r="U1202" s="147"/>
      <c r="V1202" s="147"/>
      <c r="W1202" s="147"/>
      <c r="X1202" s="147"/>
      <c r="Y1202" s="147"/>
      <c r="Z1202" s="147"/>
      <c r="AA1202" s="147"/>
      <c r="AB1202" s="147"/>
      <c r="AC1202" s="147"/>
      <c r="AD1202" s="147"/>
      <c r="AE1202" s="147"/>
      <c r="AF1202" s="147"/>
      <c r="AG1202" s="147"/>
      <c r="AH1202" s="147"/>
      <c r="AI1202" s="147"/>
      <c r="AJ1202" s="147"/>
      <c r="AK1202" s="147"/>
      <c r="AL1202" s="147"/>
      <c r="AM1202" s="151"/>
      <c r="AN1202" s="147"/>
      <c r="AO1202" s="147"/>
      <c r="AP1202" s="147"/>
      <c r="AQ1202" s="147"/>
      <c r="AR1202" s="147"/>
      <c r="AS1202" s="147"/>
      <c r="AT1202" s="147"/>
      <c r="AU1202" s="147"/>
      <c r="AV1202" s="147"/>
      <c r="AW1202" s="147"/>
      <c r="AX1202" s="147"/>
      <c r="AY1202" s="147"/>
      <c r="AZ1202" s="147"/>
      <c r="BA1202" s="147"/>
      <c r="BB1202" s="147"/>
      <c r="BC1202" s="147"/>
      <c r="BD1202" s="147"/>
      <c r="BE1202" s="147"/>
      <c r="BF1202" s="147"/>
      <c r="BG1202" s="147"/>
      <c r="BH1202" s="147"/>
      <c r="BI1202" s="147"/>
      <c r="BJ1202" s="147"/>
      <c r="BK1202" s="147"/>
      <c r="BL1202" s="147"/>
      <c r="BM1202" s="147"/>
      <c r="BN1202" s="147"/>
      <c r="BO1202" s="147"/>
      <c r="BP1202" s="147"/>
      <c r="BQ1202" s="147"/>
      <c r="BR1202" s="147"/>
      <c r="BS1202" s="147"/>
      <c r="BT1202" s="147"/>
      <c r="BU1202" s="147"/>
      <c r="BV1202" s="147"/>
      <c r="BW1202" s="147"/>
      <c r="BX1202" s="147"/>
      <c r="BY1202" s="147"/>
      <c r="BZ1202" s="147"/>
      <c r="CA1202" s="147"/>
      <c r="CB1202" s="147"/>
      <c r="CC1202" s="147"/>
      <c r="CD1202" s="147"/>
      <c r="CE1202" s="147"/>
      <c r="CF1202" s="147"/>
      <c r="CG1202" s="147"/>
      <c r="CH1202" s="147"/>
      <c r="CI1202" s="147"/>
      <c r="CJ1202" s="147"/>
      <c r="CK1202" s="147"/>
    </row>
    <row r="1203" spans="1:89">
      <c r="A1203" s="157"/>
      <c r="F1203" s="3"/>
      <c r="G1203" s="3"/>
      <c r="L1203" s="157"/>
      <c r="M1203" s="157"/>
      <c r="O1203" s="147"/>
      <c r="P1203" s="147"/>
      <c r="Q1203" s="147"/>
      <c r="R1203" s="147"/>
      <c r="S1203" s="147"/>
      <c r="T1203" s="147"/>
      <c r="U1203" s="147"/>
      <c r="V1203" s="147"/>
      <c r="W1203" s="147"/>
      <c r="X1203" s="147"/>
      <c r="Y1203" s="147"/>
      <c r="Z1203" s="147"/>
      <c r="AA1203" s="147"/>
      <c r="AB1203" s="147"/>
      <c r="AC1203" s="147"/>
      <c r="AD1203" s="147"/>
      <c r="AE1203" s="147"/>
      <c r="AF1203" s="147"/>
      <c r="AG1203" s="147"/>
      <c r="AH1203" s="147"/>
      <c r="AI1203" s="147"/>
      <c r="AJ1203" s="147"/>
      <c r="AK1203" s="147"/>
      <c r="AL1203" s="147"/>
      <c r="AM1203" s="151"/>
      <c r="AN1203" s="147"/>
      <c r="AO1203" s="147"/>
      <c r="AP1203" s="147"/>
      <c r="AQ1203" s="147"/>
      <c r="AR1203" s="147"/>
      <c r="AS1203" s="147"/>
      <c r="AT1203" s="147"/>
      <c r="AU1203" s="147"/>
      <c r="AV1203" s="147"/>
      <c r="AW1203" s="147"/>
      <c r="AX1203" s="147"/>
      <c r="AY1203" s="147"/>
      <c r="AZ1203" s="147"/>
      <c r="BA1203" s="147"/>
      <c r="BB1203" s="147"/>
      <c r="BC1203" s="147"/>
      <c r="BD1203" s="147"/>
      <c r="BE1203" s="147"/>
      <c r="BF1203" s="147"/>
      <c r="BG1203" s="147"/>
      <c r="BH1203" s="147"/>
      <c r="BI1203" s="147"/>
      <c r="BJ1203" s="147"/>
      <c r="BK1203" s="147"/>
      <c r="BL1203" s="147"/>
      <c r="BM1203" s="147"/>
      <c r="BN1203" s="147"/>
      <c r="BO1203" s="147"/>
      <c r="BP1203" s="147"/>
      <c r="BQ1203" s="147"/>
      <c r="BR1203" s="147"/>
      <c r="BS1203" s="147"/>
      <c r="BT1203" s="147"/>
      <c r="BU1203" s="147"/>
      <c r="BV1203" s="147"/>
      <c r="BW1203" s="147"/>
      <c r="BX1203" s="147"/>
      <c r="BY1203" s="147"/>
      <c r="BZ1203" s="147"/>
      <c r="CA1203" s="147"/>
      <c r="CB1203" s="147"/>
      <c r="CC1203" s="147"/>
      <c r="CD1203" s="147"/>
      <c r="CE1203" s="147"/>
      <c r="CF1203" s="147"/>
      <c r="CG1203" s="147"/>
      <c r="CH1203" s="147"/>
      <c r="CI1203" s="147"/>
      <c r="CJ1203" s="147"/>
      <c r="CK1203" s="147"/>
    </row>
    <row r="1204" spans="1:89">
      <c r="A1204" s="157"/>
      <c r="F1204" s="3"/>
      <c r="G1204" s="3"/>
      <c r="L1204" s="157"/>
      <c r="M1204" s="157"/>
      <c r="O1204" s="147"/>
      <c r="P1204" s="147"/>
      <c r="Q1204" s="147"/>
      <c r="R1204" s="147"/>
      <c r="S1204" s="147"/>
      <c r="T1204" s="147"/>
      <c r="U1204" s="147"/>
      <c r="V1204" s="147"/>
      <c r="W1204" s="147"/>
      <c r="X1204" s="147"/>
      <c r="Y1204" s="147"/>
      <c r="Z1204" s="147"/>
      <c r="AA1204" s="147"/>
      <c r="AB1204" s="147"/>
      <c r="AC1204" s="147"/>
      <c r="AD1204" s="147"/>
      <c r="AE1204" s="147"/>
      <c r="AF1204" s="147"/>
      <c r="AG1204" s="147"/>
      <c r="AH1204" s="147"/>
      <c r="AI1204" s="147"/>
      <c r="AJ1204" s="147"/>
      <c r="AK1204" s="147"/>
      <c r="AL1204" s="147"/>
      <c r="AM1204" s="151"/>
      <c r="AN1204" s="147"/>
      <c r="AO1204" s="147"/>
      <c r="AP1204" s="147"/>
      <c r="AQ1204" s="147"/>
      <c r="AR1204" s="147"/>
      <c r="AS1204" s="147"/>
      <c r="AT1204" s="147"/>
      <c r="AU1204" s="147"/>
      <c r="AV1204" s="147"/>
      <c r="AW1204" s="147"/>
      <c r="AX1204" s="147"/>
      <c r="AY1204" s="147"/>
      <c r="AZ1204" s="147"/>
      <c r="BA1204" s="147"/>
      <c r="BB1204" s="147"/>
      <c r="BC1204" s="147"/>
      <c r="BD1204" s="147"/>
      <c r="BE1204" s="147"/>
      <c r="BF1204" s="147"/>
      <c r="BG1204" s="147"/>
      <c r="BH1204" s="147"/>
      <c r="BI1204" s="147"/>
      <c r="BJ1204" s="147"/>
      <c r="BK1204" s="147"/>
      <c r="BL1204" s="147"/>
      <c r="BM1204" s="147"/>
      <c r="BN1204" s="147"/>
      <c r="BO1204" s="147"/>
      <c r="BP1204" s="147"/>
      <c r="BQ1204" s="147"/>
      <c r="BR1204" s="147"/>
      <c r="BS1204" s="147"/>
      <c r="BT1204" s="147"/>
      <c r="BU1204" s="147"/>
      <c r="BV1204" s="147"/>
      <c r="BW1204" s="147"/>
      <c r="BX1204" s="147"/>
      <c r="BY1204" s="147"/>
      <c r="BZ1204" s="147"/>
      <c r="CA1204" s="147"/>
      <c r="CB1204" s="147"/>
      <c r="CC1204" s="147"/>
      <c r="CD1204" s="147"/>
      <c r="CE1204" s="147"/>
      <c r="CF1204" s="147"/>
      <c r="CG1204" s="147"/>
      <c r="CH1204" s="147"/>
      <c r="CI1204" s="147"/>
      <c r="CJ1204" s="147"/>
      <c r="CK1204" s="147"/>
    </row>
    <row r="1205" spans="1:89">
      <c r="A1205" s="157"/>
      <c r="F1205" s="3"/>
      <c r="G1205" s="3"/>
      <c r="L1205" s="157"/>
      <c r="M1205" s="157"/>
      <c r="O1205" s="147"/>
      <c r="P1205" s="147"/>
      <c r="Q1205" s="147"/>
      <c r="R1205" s="147"/>
      <c r="S1205" s="147"/>
      <c r="T1205" s="147"/>
      <c r="U1205" s="147"/>
      <c r="V1205" s="147"/>
      <c r="W1205" s="147"/>
      <c r="X1205" s="147"/>
      <c r="Y1205" s="147"/>
      <c r="Z1205" s="147"/>
      <c r="AA1205" s="147"/>
      <c r="AB1205" s="147"/>
      <c r="AC1205" s="147"/>
      <c r="AD1205" s="147"/>
      <c r="AE1205" s="147"/>
      <c r="AF1205" s="147"/>
      <c r="AG1205" s="147"/>
      <c r="AH1205" s="147"/>
      <c r="AI1205" s="147"/>
      <c r="AJ1205" s="147"/>
      <c r="AK1205" s="147"/>
      <c r="AL1205" s="147"/>
      <c r="AM1205" s="151"/>
      <c r="AN1205" s="147"/>
      <c r="AO1205" s="147"/>
      <c r="AP1205" s="147"/>
      <c r="AQ1205" s="147"/>
      <c r="AR1205" s="147"/>
      <c r="AS1205" s="147"/>
      <c r="AT1205" s="147"/>
      <c r="AU1205" s="147"/>
      <c r="AV1205" s="147"/>
      <c r="AW1205" s="147"/>
      <c r="AX1205" s="147"/>
      <c r="AY1205" s="147"/>
      <c r="AZ1205" s="147"/>
      <c r="BA1205" s="147"/>
      <c r="BB1205" s="147"/>
      <c r="BC1205" s="147"/>
      <c r="BD1205" s="147"/>
      <c r="BE1205" s="147"/>
      <c r="BF1205" s="147"/>
      <c r="BG1205" s="147"/>
      <c r="BH1205" s="147"/>
      <c r="BI1205" s="147"/>
      <c r="BJ1205" s="147"/>
      <c r="BK1205" s="147"/>
      <c r="BL1205" s="147"/>
      <c r="BM1205" s="147"/>
      <c r="BN1205" s="147"/>
      <c r="BO1205" s="147"/>
      <c r="BP1205" s="147"/>
      <c r="BQ1205" s="147"/>
      <c r="BR1205" s="147"/>
      <c r="BS1205" s="147"/>
      <c r="BT1205" s="147"/>
      <c r="BU1205" s="147"/>
      <c r="BV1205" s="147"/>
      <c r="BW1205" s="147"/>
      <c r="BX1205" s="147"/>
      <c r="BY1205" s="147"/>
      <c r="BZ1205" s="147"/>
      <c r="CA1205" s="147"/>
      <c r="CB1205" s="147"/>
      <c r="CC1205" s="147"/>
      <c r="CD1205" s="147"/>
      <c r="CE1205" s="147"/>
      <c r="CF1205" s="147"/>
      <c r="CG1205" s="147"/>
      <c r="CH1205" s="147"/>
      <c r="CI1205" s="147"/>
      <c r="CJ1205" s="147"/>
      <c r="CK1205" s="147"/>
    </row>
    <row r="1206" spans="1:89">
      <c r="A1206" s="157"/>
      <c r="F1206" s="3"/>
      <c r="G1206" s="3"/>
      <c r="L1206" s="157"/>
      <c r="M1206" s="157"/>
      <c r="O1206" s="147"/>
      <c r="P1206" s="147"/>
      <c r="Q1206" s="147"/>
      <c r="R1206" s="147"/>
      <c r="S1206" s="147"/>
      <c r="T1206" s="147"/>
      <c r="U1206" s="147"/>
      <c r="V1206" s="147"/>
      <c r="W1206" s="147"/>
      <c r="X1206" s="147"/>
      <c r="Y1206" s="147"/>
      <c r="Z1206" s="147"/>
      <c r="AA1206" s="147"/>
      <c r="AB1206" s="147"/>
      <c r="AC1206" s="147"/>
      <c r="AD1206" s="147"/>
      <c r="AE1206" s="147"/>
      <c r="AF1206" s="147"/>
      <c r="AG1206" s="147"/>
      <c r="AH1206" s="147"/>
      <c r="AI1206" s="147"/>
      <c r="AJ1206" s="147"/>
      <c r="AK1206" s="147"/>
      <c r="AL1206" s="147"/>
      <c r="AM1206" s="151"/>
      <c r="AN1206" s="147"/>
      <c r="AO1206" s="147"/>
      <c r="AP1206" s="147"/>
      <c r="AQ1206" s="147"/>
      <c r="AR1206" s="147"/>
      <c r="AS1206" s="147"/>
      <c r="AT1206" s="147"/>
      <c r="AU1206" s="147"/>
      <c r="AV1206" s="147"/>
      <c r="AW1206" s="147"/>
      <c r="AX1206" s="147"/>
      <c r="AY1206" s="147"/>
      <c r="AZ1206" s="147"/>
      <c r="BA1206" s="147"/>
      <c r="BB1206" s="147"/>
      <c r="BC1206" s="147"/>
      <c r="BD1206" s="147"/>
      <c r="BE1206" s="147"/>
      <c r="BF1206" s="147"/>
      <c r="BG1206" s="147"/>
      <c r="BH1206" s="147"/>
      <c r="BI1206" s="147"/>
      <c r="BJ1206" s="147"/>
      <c r="BK1206" s="147"/>
      <c r="BL1206" s="147"/>
      <c r="BM1206" s="147"/>
      <c r="BN1206" s="147"/>
      <c r="BO1206" s="147"/>
      <c r="BP1206" s="147"/>
      <c r="BQ1206" s="147"/>
      <c r="BR1206" s="147"/>
      <c r="BS1206" s="147"/>
      <c r="BT1206" s="147"/>
      <c r="BU1206" s="147"/>
      <c r="BV1206" s="147"/>
      <c r="BW1206" s="147"/>
      <c r="BX1206" s="147"/>
      <c r="BY1206" s="147"/>
      <c r="BZ1206" s="147"/>
      <c r="CA1206" s="147"/>
      <c r="CB1206" s="147"/>
      <c r="CC1206" s="147"/>
      <c r="CD1206" s="147"/>
      <c r="CE1206" s="147"/>
      <c r="CF1206" s="147"/>
      <c r="CG1206" s="147"/>
      <c r="CH1206" s="147"/>
      <c r="CI1206" s="147"/>
      <c r="CJ1206" s="147"/>
      <c r="CK1206" s="147"/>
    </row>
    <row r="1207" spans="1:89">
      <c r="A1207" s="157"/>
      <c r="F1207" s="3"/>
      <c r="G1207" s="3"/>
      <c r="L1207" s="157"/>
      <c r="M1207" s="157"/>
      <c r="O1207" s="147"/>
      <c r="P1207" s="147"/>
      <c r="Q1207" s="147"/>
      <c r="R1207" s="147"/>
      <c r="S1207" s="147"/>
      <c r="T1207" s="147"/>
      <c r="U1207" s="147"/>
      <c r="V1207" s="147"/>
      <c r="W1207" s="147"/>
      <c r="X1207" s="147"/>
      <c r="Y1207" s="147"/>
      <c r="Z1207" s="147"/>
      <c r="AA1207" s="147"/>
      <c r="AB1207" s="147"/>
      <c r="AC1207" s="147"/>
      <c r="AD1207" s="147"/>
      <c r="AE1207" s="147"/>
      <c r="AF1207" s="147"/>
      <c r="AG1207" s="147"/>
      <c r="AH1207" s="147"/>
      <c r="AI1207" s="147"/>
      <c r="AJ1207" s="147"/>
      <c r="AK1207" s="147"/>
      <c r="AL1207" s="147"/>
      <c r="AM1207" s="151"/>
      <c r="AN1207" s="147"/>
      <c r="AO1207" s="147"/>
      <c r="AP1207" s="147"/>
      <c r="AQ1207" s="147"/>
      <c r="AR1207" s="147"/>
      <c r="AS1207" s="147"/>
      <c r="AT1207" s="147"/>
      <c r="AU1207" s="147"/>
      <c r="AV1207" s="147"/>
      <c r="AW1207" s="147"/>
      <c r="AX1207" s="147"/>
      <c r="AY1207" s="147"/>
      <c r="AZ1207" s="147"/>
      <c r="BA1207" s="147"/>
      <c r="BB1207" s="147"/>
      <c r="BC1207" s="147"/>
      <c r="BD1207" s="147"/>
      <c r="BE1207" s="147"/>
      <c r="BF1207" s="147"/>
      <c r="BG1207" s="147"/>
      <c r="BH1207" s="147"/>
      <c r="BI1207" s="147"/>
      <c r="BJ1207" s="147"/>
      <c r="BK1207" s="147"/>
      <c r="BL1207" s="147"/>
      <c r="BM1207" s="147"/>
      <c r="BN1207" s="147"/>
      <c r="BO1207" s="147"/>
      <c r="BP1207" s="147"/>
      <c r="BQ1207" s="147"/>
      <c r="BR1207" s="147"/>
      <c r="BS1207" s="147"/>
      <c r="BT1207" s="147"/>
      <c r="BU1207" s="147"/>
      <c r="BV1207" s="147"/>
      <c r="BW1207" s="147"/>
      <c r="BX1207" s="147"/>
      <c r="BY1207" s="147"/>
      <c r="BZ1207" s="147"/>
      <c r="CA1207" s="147"/>
      <c r="CB1207" s="147"/>
      <c r="CC1207" s="147"/>
      <c r="CD1207" s="147"/>
      <c r="CE1207" s="147"/>
      <c r="CF1207" s="147"/>
      <c r="CG1207" s="147"/>
      <c r="CH1207" s="147"/>
      <c r="CI1207" s="147"/>
      <c r="CJ1207" s="147"/>
      <c r="CK1207" s="147"/>
    </row>
    <row r="1208" spans="1:89">
      <c r="A1208" s="157"/>
      <c r="F1208" s="3"/>
      <c r="G1208" s="3"/>
      <c r="L1208" s="157"/>
      <c r="M1208" s="157"/>
      <c r="O1208" s="147"/>
      <c r="P1208" s="147"/>
      <c r="Q1208" s="147"/>
      <c r="R1208" s="147"/>
      <c r="S1208" s="147"/>
      <c r="T1208" s="147"/>
      <c r="U1208" s="147"/>
      <c r="V1208" s="147"/>
      <c r="W1208" s="147"/>
      <c r="X1208" s="147"/>
      <c r="Y1208" s="147"/>
      <c r="Z1208" s="147"/>
      <c r="AA1208" s="147"/>
      <c r="AB1208" s="147"/>
      <c r="AC1208" s="147"/>
      <c r="AD1208" s="147"/>
      <c r="AE1208" s="147"/>
      <c r="AF1208" s="147"/>
      <c r="AG1208" s="147"/>
      <c r="AH1208" s="147"/>
      <c r="AI1208" s="147"/>
      <c r="AJ1208" s="147"/>
      <c r="AK1208" s="147"/>
      <c r="AL1208" s="147"/>
      <c r="AM1208" s="151"/>
      <c r="AN1208" s="147"/>
      <c r="AO1208" s="147"/>
      <c r="AP1208" s="147"/>
      <c r="AQ1208" s="147"/>
      <c r="AR1208" s="147"/>
      <c r="AS1208" s="147"/>
      <c r="AT1208" s="147"/>
      <c r="AU1208" s="147"/>
      <c r="AV1208" s="147"/>
      <c r="AW1208" s="147"/>
      <c r="AX1208" s="147"/>
      <c r="AY1208" s="147"/>
      <c r="AZ1208" s="147"/>
      <c r="BA1208" s="147"/>
      <c r="BB1208" s="147"/>
      <c r="BC1208" s="147"/>
      <c r="BD1208" s="147"/>
      <c r="BE1208" s="147"/>
      <c r="BF1208" s="147"/>
      <c r="BG1208" s="147"/>
      <c r="BH1208" s="147"/>
      <c r="BI1208" s="147"/>
      <c r="BJ1208" s="147"/>
      <c r="BK1208" s="147"/>
      <c r="BL1208" s="147"/>
      <c r="BM1208" s="147"/>
      <c r="BN1208" s="147"/>
      <c r="BO1208" s="147"/>
      <c r="BP1208" s="147"/>
      <c r="BQ1208" s="147"/>
      <c r="BR1208" s="147"/>
      <c r="BS1208" s="147"/>
      <c r="BT1208" s="147"/>
      <c r="BU1208" s="147"/>
      <c r="BV1208" s="147"/>
      <c r="BW1208" s="147"/>
      <c r="BX1208" s="147"/>
      <c r="BY1208" s="147"/>
      <c r="BZ1208" s="147"/>
      <c r="CA1208" s="147"/>
      <c r="CB1208" s="147"/>
      <c r="CC1208" s="147"/>
      <c r="CD1208" s="147"/>
      <c r="CE1208" s="147"/>
      <c r="CF1208" s="147"/>
      <c r="CG1208" s="147"/>
      <c r="CH1208" s="147"/>
      <c r="CI1208" s="147"/>
      <c r="CJ1208" s="147"/>
      <c r="CK1208" s="147"/>
    </row>
    <row r="1209" spans="1:89">
      <c r="A1209" s="157"/>
      <c r="F1209" s="3"/>
      <c r="G1209" s="3"/>
      <c r="L1209" s="157"/>
      <c r="M1209" s="157"/>
      <c r="O1209" s="147"/>
      <c r="P1209" s="147"/>
      <c r="Q1209" s="147"/>
      <c r="R1209" s="147"/>
      <c r="S1209" s="147"/>
      <c r="T1209" s="147"/>
      <c r="U1209" s="147"/>
      <c r="V1209" s="147"/>
      <c r="W1209" s="147"/>
      <c r="X1209" s="147"/>
      <c r="Y1209" s="147"/>
      <c r="Z1209" s="147"/>
      <c r="AA1209" s="147"/>
      <c r="AB1209" s="147"/>
      <c r="AC1209" s="147"/>
      <c r="AD1209" s="147"/>
      <c r="AE1209" s="147"/>
      <c r="AF1209" s="147"/>
      <c r="AG1209" s="147"/>
      <c r="AH1209" s="147"/>
      <c r="AI1209" s="147"/>
      <c r="AJ1209" s="147"/>
      <c r="AK1209" s="147"/>
      <c r="AL1209" s="147"/>
      <c r="AM1209" s="151"/>
      <c r="AN1209" s="147"/>
      <c r="AO1209" s="147"/>
      <c r="AP1209" s="147"/>
      <c r="AQ1209" s="147"/>
      <c r="AR1209" s="147"/>
      <c r="AS1209" s="147"/>
      <c r="AT1209" s="147"/>
      <c r="AU1209" s="147"/>
      <c r="AV1209" s="147"/>
      <c r="AW1209" s="147"/>
      <c r="AX1209" s="147"/>
      <c r="AY1209" s="147"/>
      <c r="AZ1209" s="147"/>
      <c r="BA1209" s="147"/>
      <c r="BB1209" s="147"/>
      <c r="BC1209" s="147"/>
      <c r="BD1209" s="147"/>
      <c r="BE1209" s="147"/>
      <c r="BF1209" s="147"/>
      <c r="BG1209" s="147"/>
      <c r="BH1209" s="147"/>
      <c r="BI1209" s="147"/>
      <c r="BJ1209" s="147"/>
      <c r="BK1209" s="147"/>
      <c r="BL1209" s="147"/>
      <c r="BM1209" s="147"/>
      <c r="BN1209" s="147"/>
      <c r="BO1209" s="147"/>
      <c r="BP1209" s="147"/>
      <c r="BQ1209" s="147"/>
      <c r="BR1209" s="147"/>
      <c r="BS1209" s="147"/>
      <c r="BT1209" s="147"/>
      <c r="BU1209" s="147"/>
      <c r="BV1209" s="147"/>
      <c r="BW1209" s="147"/>
      <c r="BX1209" s="147"/>
      <c r="BY1209" s="147"/>
      <c r="BZ1209" s="147"/>
      <c r="CA1209" s="147"/>
      <c r="CB1209" s="147"/>
      <c r="CC1209" s="147"/>
      <c r="CD1209" s="147"/>
      <c r="CE1209" s="147"/>
      <c r="CF1209" s="147"/>
      <c r="CG1209" s="147"/>
      <c r="CH1209" s="147"/>
      <c r="CI1209" s="147"/>
      <c r="CJ1209" s="147"/>
      <c r="CK1209" s="147"/>
    </row>
    <row r="1210" spans="1:89">
      <c r="A1210" s="157"/>
      <c r="F1210" s="3"/>
      <c r="G1210" s="3"/>
      <c r="L1210" s="157"/>
      <c r="M1210" s="157"/>
      <c r="O1210" s="147"/>
      <c r="P1210" s="147"/>
      <c r="Q1210" s="147"/>
      <c r="R1210" s="147"/>
      <c r="S1210" s="147"/>
      <c r="T1210" s="147"/>
      <c r="U1210" s="147"/>
      <c r="V1210" s="147"/>
      <c r="W1210" s="147"/>
      <c r="X1210" s="147"/>
      <c r="Y1210" s="147"/>
      <c r="Z1210" s="147"/>
      <c r="AA1210" s="147"/>
      <c r="AB1210" s="147"/>
      <c r="AC1210" s="147"/>
      <c r="AD1210" s="147"/>
      <c r="AE1210" s="147"/>
      <c r="AF1210" s="147"/>
      <c r="AG1210" s="147"/>
      <c r="AH1210" s="147"/>
      <c r="AI1210" s="147"/>
      <c r="AJ1210" s="147"/>
      <c r="AK1210" s="147"/>
      <c r="AL1210" s="147"/>
      <c r="AM1210" s="151"/>
      <c r="AN1210" s="147"/>
      <c r="AO1210" s="147"/>
      <c r="AP1210" s="147"/>
      <c r="AQ1210" s="147"/>
      <c r="AR1210" s="147"/>
      <c r="AS1210" s="147"/>
      <c r="AT1210" s="147"/>
      <c r="AU1210" s="147"/>
      <c r="AV1210" s="147"/>
      <c r="AW1210" s="147"/>
      <c r="AX1210" s="147"/>
      <c r="AY1210" s="147"/>
      <c r="AZ1210" s="147"/>
      <c r="BA1210" s="147"/>
      <c r="BB1210" s="147"/>
      <c r="BC1210" s="147"/>
      <c r="BD1210" s="147"/>
      <c r="BE1210" s="147"/>
      <c r="BF1210" s="147"/>
      <c r="BG1210" s="147"/>
      <c r="BH1210" s="147"/>
      <c r="BI1210" s="147"/>
      <c r="BJ1210" s="147"/>
      <c r="BK1210" s="147"/>
      <c r="BL1210" s="147"/>
      <c r="BM1210" s="147"/>
      <c r="BN1210" s="147"/>
      <c r="BO1210" s="147"/>
      <c r="BP1210" s="147"/>
      <c r="BQ1210" s="147"/>
      <c r="BR1210" s="147"/>
      <c r="BS1210" s="147"/>
      <c r="BT1210" s="147"/>
      <c r="BU1210" s="147"/>
      <c r="BV1210" s="147"/>
      <c r="BW1210" s="147"/>
      <c r="BX1210" s="147"/>
      <c r="BY1210" s="147"/>
      <c r="BZ1210" s="147"/>
      <c r="CA1210" s="147"/>
      <c r="CB1210" s="147"/>
      <c r="CC1210" s="147"/>
      <c r="CD1210" s="147"/>
      <c r="CE1210" s="147"/>
      <c r="CF1210" s="147"/>
      <c r="CG1210" s="147"/>
      <c r="CH1210" s="147"/>
      <c r="CI1210" s="147"/>
      <c r="CJ1210" s="147"/>
      <c r="CK1210" s="147"/>
    </row>
    <row r="1211" spans="1:89">
      <c r="A1211" s="157"/>
      <c r="F1211" s="3"/>
      <c r="G1211" s="3"/>
      <c r="L1211" s="157"/>
      <c r="M1211" s="157"/>
      <c r="O1211" s="147"/>
      <c r="P1211" s="147"/>
      <c r="Q1211" s="147"/>
      <c r="R1211" s="147"/>
      <c r="S1211" s="147"/>
      <c r="T1211" s="147"/>
      <c r="U1211" s="147"/>
      <c r="V1211" s="147"/>
      <c r="W1211" s="147"/>
      <c r="X1211" s="147"/>
      <c r="Y1211" s="147"/>
      <c r="Z1211" s="147"/>
      <c r="AA1211" s="147"/>
      <c r="AB1211" s="147"/>
      <c r="AC1211" s="147"/>
      <c r="AD1211" s="147"/>
      <c r="AE1211" s="147"/>
      <c r="AF1211" s="147"/>
      <c r="AG1211" s="147"/>
      <c r="AH1211" s="147"/>
      <c r="AI1211" s="147"/>
      <c r="AJ1211" s="147"/>
      <c r="AK1211" s="147"/>
      <c r="AL1211" s="147"/>
      <c r="AM1211" s="151"/>
      <c r="AN1211" s="147"/>
      <c r="AO1211" s="147"/>
      <c r="AP1211" s="147"/>
      <c r="AQ1211" s="147"/>
      <c r="AR1211" s="147"/>
      <c r="AS1211" s="147"/>
      <c r="AT1211" s="147"/>
      <c r="AU1211" s="147"/>
      <c r="AV1211" s="147"/>
      <c r="AW1211" s="147"/>
      <c r="AX1211" s="147"/>
      <c r="AY1211" s="147"/>
      <c r="AZ1211" s="147"/>
      <c r="BA1211" s="147"/>
      <c r="BB1211" s="147"/>
      <c r="BC1211" s="147"/>
      <c r="BD1211" s="147"/>
      <c r="BE1211" s="147"/>
      <c r="BF1211" s="147"/>
      <c r="BG1211" s="147"/>
      <c r="BH1211" s="147"/>
      <c r="BI1211" s="147"/>
      <c r="BJ1211" s="147"/>
      <c r="BK1211" s="147"/>
      <c r="BL1211" s="147"/>
      <c r="BM1211" s="147"/>
      <c r="BN1211" s="147"/>
      <c r="BO1211" s="147"/>
      <c r="BP1211" s="147"/>
      <c r="BQ1211" s="147"/>
      <c r="BR1211" s="147"/>
      <c r="BS1211" s="147"/>
      <c r="BT1211" s="147"/>
      <c r="BU1211" s="147"/>
      <c r="BV1211" s="147"/>
      <c r="BW1211" s="147"/>
      <c r="BX1211" s="147"/>
      <c r="BY1211" s="147"/>
      <c r="BZ1211" s="147"/>
      <c r="CA1211" s="147"/>
      <c r="CB1211" s="147"/>
      <c r="CC1211" s="147"/>
      <c r="CD1211" s="147"/>
      <c r="CE1211" s="147"/>
      <c r="CF1211" s="147"/>
      <c r="CG1211" s="147"/>
      <c r="CH1211" s="147"/>
      <c r="CI1211" s="147"/>
      <c r="CJ1211" s="147"/>
      <c r="CK1211" s="147"/>
    </row>
    <row r="1212" spans="1:89">
      <c r="A1212" s="157"/>
      <c r="F1212" s="3"/>
      <c r="G1212" s="3"/>
      <c r="L1212" s="157"/>
      <c r="M1212" s="157"/>
      <c r="O1212" s="147"/>
      <c r="P1212" s="147"/>
      <c r="Q1212" s="147"/>
      <c r="R1212" s="147"/>
      <c r="S1212" s="147"/>
      <c r="T1212" s="147"/>
      <c r="U1212" s="147"/>
      <c r="V1212" s="147"/>
      <c r="W1212" s="147"/>
      <c r="X1212" s="147"/>
      <c r="Y1212" s="147"/>
      <c r="Z1212" s="147"/>
      <c r="AA1212" s="147"/>
      <c r="AB1212" s="147"/>
      <c r="AC1212" s="147"/>
      <c r="AD1212" s="147"/>
      <c r="AE1212" s="147"/>
      <c r="AF1212" s="147"/>
      <c r="AG1212" s="147"/>
      <c r="AH1212" s="147"/>
      <c r="AI1212" s="147"/>
      <c r="AJ1212" s="147"/>
      <c r="AK1212" s="147"/>
      <c r="AL1212" s="147"/>
      <c r="AM1212" s="151"/>
      <c r="AN1212" s="147"/>
      <c r="AO1212" s="147"/>
      <c r="AP1212" s="147"/>
      <c r="AQ1212" s="147"/>
      <c r="AR1212" s="147"/>
      <c r="AS1212" s="147"/>
      <c r="AT1212" s="147"/>
      <c r="AU1212" s="147"/>
      <c r="AV1212" s="147"/>
      <c r="AW1212" s="147"/>
      <c r="AX1212" s="147"/>
      <c r="AY1212" s="147"/>
      <c r="AZ1212" s="147"/>
      <c r="BA1212" s="147"/>
      <c r="BB1212" s="147"/>
      <c r="BC1212" s="147"/>
      <c r="BD1212" s="147"/>
      <c r="BE1212" s="147"/>
      <c r="BF1212" s="147"/>
      <c r="BG1212" s="147"/>
      <c r="BH1212" s="147"/>
      <c r="BI1212" s="147"/>
      <c r="BJ1212" s="147"/>
      <c r="BK1212" s="147"/>
      <c r="BL1212" s="147"/>
      <c r="BM1212" s="147"/>
      <c r="BN1212" s="147"/>
      <c r="BO1212" s="147"/>
      <c r="BP1212" s="147"/>
      <c r="BQ1212" s="147"/>
      <c r="BR1212" s="147"/>
      <c r="BS1212" s="147"/>
      <c r="BT1212" s="147"/>
      <c r="BU1212" s="147"/>
      <c r="BV1212" s="147"/>
      <c r="BW1212" s="147"/>
      <c r="BX1212" s="147"/>
      <c r="BY1212" s="147"/>
      <c r="BZ1212" s="147"/>
      <c r="CA1212" s="147"/>
      <c r="CB1212" s="147"/>
      <c r="CC1212" s="147"/>
      <c r="CD1212" s="147"/>
      <c r="CE1212" s="147"/>
      <c r="CF1212" s="147"/>
      <c r="CG1212" s="147"/>
      <c r="CH1212" s="147"/>
      <c r="CI1212" s="147"/>
      <c r="CJ1212" s="147"/>
      <c r="CK1212" s="147"/>
    </row>
    <row r="1213" spans="1:89">
      <c r="A1213" s="157"/>
      <c r="F1213" s="3"/>
      <c r="G1213" s="3"/>
      <c r="L1213" s="157"/>
      <c r="M1213" s="157"/>
      <c r="O1213" s="147"/>
      <c r="P1213" s="147"/>
      <c r="Q1213" s="147"/>
      <c r="R1213" s="147"/>
      <c r="S1213" s="147"/>
      <c r="T1213" s="147"/>
      <c r="U1213" s="147"/>
      <c r="V1213" s="147"/>
      <c r="W1213" s="147"/>
      <c r="X1213" s="147"/>
      <c r="Y1213" s="147"/>
      <c r="Z1213" s="147"/>
      <c r="AA1213" s="147"/>
      <c r="AB1213" s="147"/>
      <c r="AC1213" s="147"/>
      <c r="AD1213" s="147"/>
      <c r="AE1213" s="147"/>
      <c r="AF1213" s="147"/>
      <c r="AG1213" s="147"/>
      <c r="AH1213" s="147"/>
      <c r="AI1213" s="147"/>
      <c r="AJ1213" s="147"/>
      <c r="AK1213" s="147"/>
      <c r="AL1213" s="147"/>
      <c r="AM1213" s="151"/>
      <c r="AN1213" s="147"/>
      <c r="AO1213" s="147"/>
      <c r="AP1213" s="147"/>
      <c r="AQ1213" s="147"/>
      <c r="AR1213" s="147"/>
      <c r="AS1213" s="147"/>
      <c r="AT1213" s="147"/>
      <c r="AU1213" s="147"/>
      <c r="AV1213" s="147"/>
      <c r="AW1213" s="147"/>
      <c r="AX1213" s="147"/>
      <c r="AY1213" s="147"/>
      <c r="AZ1213" s="147"/>
      <c r="BA1213" s="147"/>
      <c r="BB1213" s="147"/>
      <c r="BC1213" s="147"/>
      <c r="BD1213" s="147"/>
      <c r="BE1213" s="147"/>
      <c r="BF1213" s="147"/>
      <c r="BG1213" s="147"/>
      <c r="BH1213" s="147"/>
      <c r="BI1213" s="147"/>
      <c r="BJ1213" s="147"/>
      <c r="BK1213" s="147"/>
      <c r="BL1213" s="147"/>
      <c r="BM1213" s="147"/>
      <c r="BN1213" s="147"/>
      <c r="BO1213" s="147"/>
      <c r="BP1213" s="147"/>
      <c r="BQ1213" s="147"/>
      <c r="BR1213" s="147"/>
      <c r="BS1213" s="147"/>
      <c r="BT1213" s="147"/>
      <c r="BU1213" s="147"/>
      <c r="BV1213" s="147"/>
      <c r="BW1213" s="147"/>
      <c r="BX1213" s="147"/>
      <c r="BY1213" s="147"/>
      <c r="BZ1213" s="147"/>
      <c r="CA1213" s="147"/>
      <c r="CB1213" s="147"/>
      <c r="CC1213" s="147"/>
      <c r="CD1213" s="147"/>
      <c r="CE1213" s="147"/>
      <c r="CF1213" s="147"/>
      <c r="CG1213" s="147"/>
      <c r="CH1213" s="147"/>
      <c r="CI1213" s="147"/>
      <c r="CJ1213" s="147"/>
      <c r="CK1213" s="147"/>
    </row>
    <row r="1214" spans="1:89">
      <c r="A1214" s="157"/>
      <c r="F1214" s="3"/>
      <c r="G1214" s="3"/>
      <c r="L1214" s="157"/>
      <c r="M1214" s="157"/>
      <c r="O1214" s="147"/>
      <c r="P1214" s="147"/>
      <c r="Q1214" s="147"/>
      <c r="R1214" s="147"/>
      <c r="S1214" s="147"/>
      <c r="T1214" s="147"/>
      <c r="U1214" s="147"/>
      <c r="V1214" s="147"/>
      <c r="W1214" s="147"/>
      <c r="X1214" s="147"/>
      <c r="Y1214" s="147"/>
      <c r="Z1214" s="147"/>
      <c r="AA1214" s="147"/>
      <c r="AB1214" s="147"/>
      <c r="AC1214" s="147"/>
      <c r="AD1214" s="147"/>
      <c r="AE1214" s="147"/>
      <c r="AF1214" s="147"/>
      <c r="AG1214" s="147"/>
      <c r="AH1214" s="147"/>
      <c r="AI1214" s="147"/>
      <c r="AJ1214" s="147"/>
      <c r="AK1214" s="147"/>
      <c r="AL1214" s="147"/>
      <c r="AM1214" s="151"/>
      <c r="AN1214" s="147"/>
      <c r="AO1214" s="147"/>
      <c r="AP1214" s="147"/>
      <c r="AQ1214" s="147"/>
      <c r="AR1214" s="147"/>
      <c r="AS1214" s="147"/>
      <c r="AT1214" s="147"/>
      <c r="AU1214" s="147"/>
      <c r="AV1214" s="147"/>
      <c r="AW1214" s="147"/>
      <c r="AX1214" s="147"/>
      <c r="AY1214" s="147"/>
      <c r="AZ1214" s="147"/>
      <c r="BA1214" s="147"/>
      <c r="BB1214" s="147"/>
      <c r="BC1214" s="147"/>
      <c r="BD1214" s="147"/>
      <c r="BE1214" s="147"/>
      <c r="BF1214" s="147"/>
      <c r="BG1214" s="147"/>
      <c r="BH1214" s="147"/>
      <c r="BI1214" s="147"/>
      <c r="BJ1214" s="147"/>
      <c r="BK1214" s="147"/>
      <c r="BL1214" s="147"/>
      <c r="BM1214" s="147"/>
      <c r="BN1214" s="147"/>
      <c r="BO1214" s="147"/>
      <c r="BP1214" s="147"/>
      <c r="BQ1214" s="147"/>
      <c r="BR1214" s="147"/>
      <c r="BS1214" s="147"/>
      <c r="BT1214" s="147"/>
      <c r="BU1214" s="147"/>
      <c r="BV1214" s="147"/>
      <c r="BW1214" s="147"/>
      <c r="BX1214" s="147"/>
      <c r="BY1214" s="147"/>
      <c r="BZ1214" s="147"/>
      <c r="CA1214" s="147"/>
      <c r="CB1214" s="147"/>
      <c r="CC1214" s="147"/>
      <c r="CD1214" s="147"/>
      <c r="CE1214" s="147"/>
      <c r="CF1214" s="147"/>
      <c r="CG1214" s="147"/>
      <c r="CH1214" s="147"/>
      <c r="CI1214" s="147"/>
      <c r="CJ1214" s="147"/>
      <c r="CK1214" s="147"/>
    </row>
    <row r="1215" spans="1:89">
      <c r="A1215" s="157"/>
      <c r="F1215" s="3"/>
      <c r="G1215" s="3"/>
      <c r="L1215" s="157"/>
      <c r="M1215" s="157"/>
      <c r="O1215" s="147"/>
      <c r="P1215" s="147"/>
      <c r="Q1215" s="147"/>
      <c r="R1215" s="147"/>
      <c r="S1215" s="147"/>
      <c r="T1215" s="147"/>
      <c r="U1215" s="147"/>
      <c r="V1215" s="147"/>
      <c r="W1215" s="147"/>
      <c r="X1215" s="147"/>
      <c r="Y1215" s="147"/>
      <c r="Z1215" s="147"/>
      <c r="AA1215" s="147"/>
      <c r="AB1215" s="147"/>
      <c r="AC1215" s="147"/>
      <c r="AD1215" s="147"/>
      <c r="AE1215" s="147"/>
      <c r="AF1215" s="147"/>
      <c r="AG1215" s="147"/>
      <c r="AH1215" s="147"/>
      <c r="AI1215" s="147"/>
      <c r="AJ1215" s="147"/>
      <c r="AK1215" s="147"/>
      <c r="AL1215" s="147"/>
      <c r="AM1215" s="151"/>
      <c r="AN1215" s="147"/>
      <c r="AO1215" s="147"/>
      <c r="AP1215" s="147"/>
      <c r="AQ1215" s="147"/>
      <c r="AR1215" s="147"/>
      <c r="AS1215" s="147"/>
      <c r="AT1215" s="147"/>
      <c r="AU1215" s="147"/>
      <c r="AV1215" s="147"/>
      <c r="AW1215" s="147"/>
      <c r="AX1215" s="147"/>
      <c r="AY1215" s="147"/>
      <c r="AZ1215" s="147"/>
      <c r="BA1215" s="147"/>
      <c r="BB1215" s="147"/>
      <c r="BC1215" s="147"/>
      <c r="BD1215" s="147"/>
      <c r="BE1215" s="147"/>
      <c r="BF1215" s="147"/>
      <c r="BG1215" s="147"/>
      <c r="BH1215" s="147"/>
      <c r="BI1215" s="147"/>
      <c r="BJ1215" s="147"/>
      <c r="BK1215" s="147"/>
      <c r="BL1215" s="147"/>
      <c r="BM1215" s="147"/>
      <c r="BN1215" s="147"/>
      <c r="BO1215" s="147"/>
      <c r="BP1215" s="147"/>
      <c r="BQ1215" s="147"/>
      <c r="BR1215" s="147"/>
      <c r="BS1215" s="147"/>
      <c r="BT1215" s="147"/>
      <c r="BU1215" s="147"/>
      <c r="BV1215" s="147"/>
      <c r="BW1215" s="147"/>
      <c r="BX1215" s="147"/>
      <c r="BY1215" s="147"/>
      <c r="BZ1215" s="147"/>
      <c r="CA1215" s="147"/>
      <c r="CB1215" s="147"/>
      <c r="CC1215" s="147"/>
      <c r="CD1215" s="147"/>
      <c r="CE1215" s="147"/>
      <c r="CF1215" s="147"/>
      <c r="CG1215" s="147"/>
      <c r="CH1215" s="147"/>
      <c r="CI1215" s="147"/>
      <c r="CJ1215" s="147"/>
      <c r="CK1215" s="147"/>
    </row>
    <row r="1216" spans="1:89">
      <c r="A1216" s="157"/>
      <c r="F1216" s="3"/>
      <c r="G1216" s="3"/>
      <c r="L1216" s="157"/>
      <c r="M1216" s="157"/>
      <c r="O1216" s="147"/>
      <c r="P1216" s="147"/>
      <c r="Q1216" s="147"/>
      <c r="R1216" s="147"/>
      <c r="S1216" s="147"/>
      <c r="T1216" s="147"/>
      <c r="U1216" s="147"/>
      <c r="V1216" s="147"/>
      <c r="W1216" s="147"/>
      <c r="X1216" s="147"/>
      <c r="Y1216" s="147"/>
      <c r="Z1216" s="147"/>
      <c r="AA1216" s="147"/>
      <c r="AB1216" s="147"/>
      <c r="AC1216" s="147"/>
      <c r="AD1216" s="147"/>
      <c r="AE1216" s="147"/>
      <c r="AF1216" s="147"/>
      <c r="AG1216" s="147"/>
      <c r="AH1216" s="147"/>
      <c r="AI1216" s="147"/>
      <c r="AJ1216" s="147"/>
      <c r="AK1216" s="147"/>
      <c r="AL1216" s="147"/>
      <c r="AM1216" s="151"/>
      <c r="AN1216" s="147"/>
      <c r="AO1216" s="147"/>
      <c r="AP1216" s="147"/>
      <c r="AQ1216" s="147"/>
      <c r="AR1216" s="147"/>
      <c r="AS1216" s="147"/>
      <c r="AT1216" s="147"/>
      <c r="AU1216" s="147"/>
      <c r="AV1216" s="147"/>
      <c r="AW1216" s="147"/>
      <c r="AX1216" s="147"/>
      <c r="AY1216" s="147"/>
      <c r="AZ1216" s="147"/>
      <c r="BA1216" s="147"/>
      <c r="BB1216" s="147"/>
      <c r="BC1216" s="147"/>
      <c r="BD1216" s="147"/>
      <c r="BE1216" s="147"/>
      <c r="BF1216" s="147"/>
      <c r="BG1216" s="147"/>
      <c r="BH1216" s="147"/>
      <c r="BI1216" s="147"/>
      <c r="BJ1216" s="147"/>
      <c r="BK1216" s="147"/>
      <c r="BL1216" s="147"/>
      <c r="BM1216" s="147"/>
      <c r="BN1216" s="147"/>
      <c r="BO1216" s="147"/>
      <c r="BP1216" s="147"/>
      <c r="BQ1216" s="147"/>
      <c r="BR1216" s="147"/>
      <c r="BS1216" s="147"/>
      <c r="BT1216" s="147"/>
      <c r="BU1216" s="147"/>
      <c r="BV1216" s="147"/>
      <c r="BW1216" s="147"/>
      <c r="BX1216" s="147"/>
      <c r="BY1216" s="147"/>
      <c r="BZ1216" s="147"/>
      <c r="CA1216" s="147"/>
      <c r="CB1216" s="147"/>
      <c r="CC1216" s="147"/>
      <c r="CD1216" s="147"/>
      <c r="CE1216" s="147"/>
      <c r="CF1216" s="147"/>
      <c r="CG1216" s="147"/>
      <c r="CH1216" s="147"/>
      <c r="CI1216" s="147"/>
      <c r="CJ1216" s="147"/>
      <c r="CK1216" s="147"/>
    </row>
    <row r="1217" spans="1:89">
      <c r="A1217" s="157"/>
      <c r="F1217" s="3"/>
      <c r="G1217" s="3"/>
      <c r="L1217" s="157"/>
      <c r="M1217" s="157"/>
      <c r="O1217" s="147"/>
      <c r="P1217" s="147"/>
      <c r="Q1217" s="147"/>
      <c r="R1217" s="147"/>
      <c r="S1217" s="147"/>
      <c r="T1217" s="147"/>
      <c r="U1217" s="147"/>
      <c r="V1217" s="147"/>
      <c r="W1217" s="147"/>
      <c r="X1217" s="147"/>
      <c r="Y1217" s="147"/>
      <c r="Z1217" s="147"/>
      <c r="AA1217" s="147"/>
      <c r="AB1217" s="147"/>
      <c r="AC1217" s="147"/>
      <c r="AD1217" s="147"/>
      <c r="AE1217" s="147"/>
      <c r="AF1217" s="147"/>
      <c r="AG1217" s="147"/>
      <c r="AH1217" s="147"/>
      <c r="AI1217" s="147"/>
      <c r="AJ1217" s="147"/>
      <c r="AK1217" s="147"/>
      <c r="AL1217" s="147"/>
      <c r="AM1217" s="151"/>
      <c r="AN1217" s="147"/>
      <c r="AO1217" s="147"/>
      <c r="AP1217" s="147"/>
      <c r="AQ1217" s="147"/>
      <c r="AR1217" s="147"/>
      <c r="AS1217" s="147"/>
      <c r="AT1217" s="147"/>
      <c r="AU1217" s="147"/>
      <c r="AV1217" s="147"/>
      <c r="AW1217" s="147"/>
      <c r="AX1217" s="147"/>
      <c r="AY1217" s="147"/>
      <c r="AZ1217" s="147"/>
      <c r="BA1217" s="147"/>
      <c r="BB1217" s="147"/>
      <c r="BC1217" s="147"/>
      <c r="BD1217" s="147"/>
      <c r="BE1217" s="147"/>
      <c r="BF1217" s="147"/>
      <c r="BG1217" s="147"/>
      <c r="BH1217" s="147"/>
      <c r="BI1217" s="147"/>
      <c r="BJ1217" s="147"/>
      <c r="BK1217" s="147"/>
      <c r="BL1217" s="147"/>
      <c r="BM1217" s="147"/>
      <c r="BN1217" s="147"/>
      <c r="BO1217" s="147"/>
      <c r="BP1217" s="147"/>
      <c r="BQ1217" s="147"/>
      <c r="BR1217" s="147"/>
      <c r="BS1217" s="147"/>
      <c r="BT1217" s="147"/>
      <c r="BU1217" s="147"/>
      <c r="BV1217" s="147"/>
      <c r="BW1217" s="147"/>
      <c r="BX1217" s="147"/>
      <c r="BY1217" s="147"/>
      <c r="BZ1217" s="147"/>
      <c r="CA1217" s="147"/>
      <c r="CB1217" s="147"/>
      <c r="CC1217" s="147"/>
      <c r="CD1217" s="147"/>
      <c r="CE1217" s="147"/>
      <c r="CF1217" s="147"/>
      <c r="CG1217" s="147"/>
      <c r="CH1217" s="147"/>
      <c r="CI1217" s="147"/>
      <c r="CJ1217" s="147"/>
      <c r="CK1217" s="147"/>
    </row>
    <row r="1218" spans="1:89">
      <c r="A1218" s="157"/>
      <c r="F1218" s="3"/>
      <c r="G1218" s="3"/>
      <c r="L1218" s="157"/>
      <c r="M1218" s="157"/>
      <c r="O1218" s="147"/>
      <c r="P1218" s="147"/>
      <c r="Q1218" s="147"/>
      <c r="R1218" s="147"/>
      <c r="S1218" s="147"/>
      <c r="T1218" s="147"/>
      <c r="U1218" s="147"/>
      <c r="V1218" s="147"/>
      <c r="W1218" s="147"/>
      <c r="X1218" s="147"/>
      <c r="Y1218" s="147"/>
      <c r="Z1218" s="147"/>
      <c r="AA1218" s="147"/>
      <c r="AB1218" s="147"/>
      <c r="AC1218" s="147"/>
      <c r="AD1218" s="147"/>
      <c r="AE1218" s="147"/>
      <c r="AF1218" s="147"/>
      <c r="AG1218" s="147"/>
      <c r="AH1218" s="147"/>
      <c r="AI1218" s="147"/>
      <c r="AJ1218" s="147"/>
      <c r="AK1218" s="147"/>
      <c r="AL1218" s="147"/>
      <c r="AM1218" s="151"/>
      <c r="AN1218" s="147"/>
      <c r="AO1218" s="147"/>
      <c r="AP1218" s="147"/>
      <c r="AQ1218" s="147"/>
      <c r="AR1218" s="147"/>
      <c r="AS1218" s="147"/>
      <c r="AT1218" s="147"/>
      <c r="AU1218" s="147"/>
      <c r="AV1218" s="147"/>
      <c r="AW1218" s="147"/>
      <c r="AX1218" s="147"/>
      <c r="AY1218" s="147"/>
      <c r="AZ1218" s="147"/>
      <c r="BA1218" s="147"/>
      <c r="BB1218" s="147"/>
      <c r="BC1218" s="147"/>
      <c r="BD1218" s="147"/>
      <c r="BE1218" s="147"/>
      <c r="BF1218" s="147"/>
      <c r="BG1218" s="147"/>
      <c r="BH1218" s="147"/>
      <c r="BI1218" s="147"/>
      <c r="BJ1218" s="147"/>
      <c r="BK1218" s="147"/>
      <c r="BL1218" s="147"/>
      <c r="BM1218" s="147"/>
      <c r="BN1218" s="147"/>
      <c r="BO1218" s="147"/>
      <c r="BP1218" s="147"/>
      <c r="BQ1218" s="147"/>
      <c r="BR1218" s="147"/>
      <c r="BS1218" s="147"/>
      <c r="BT1218" s="147"/>
      <c r="BU1218" s="147"/>
      <c r="BV1218" s="147"/>
      <c r="BW1218" s="147"/>
      <c r="BX1218" s="147"/>
      <c r="BY1218" s="147"/>
      <c r="BZ1218" s="147"/>
      <c r="CA1218" s="147"/>
      <c r="CB1218" s="147"/>
      <c r="CC1218" s="147"/>
      <c r="CD1218" s="147"/>
      <c r="CE1218" s="147"/>
      <c r="CF1218" s="147"/>
      <c r="CG1218" s="147"/>
      <c r="CH1218" s="147"/>
      <c r="CI1218" s="147"/>
      <c r="CJ1218" s="147"/>
      <c r="CK1218" s="147"/>
    </row>
    <row r="1219" spans="1:89">
      <c r="A1219" s="157"/>
      <c r="F1219" s="3"/>
      <c r="G1219" s="3"/>
      <c r="L1219" s="157"/>
      <c r="M1219" s="157"/>
      <c r="O1219" s="147"/>
      <c r="P1219" s="147"/>
      <c r="Q1219" s="147"/>
      <c r="R1219" s="147"/>
      <c r="S1219" s="147"/>
      <c r="T1219" s="147"/>
      <c r="U1219" s="147"/>
      <c r="V1219" s="147"/>
      <c r="W1219" s="147"/>
      <c r="X1219" s="147"/>
      <c r="Y1219" s="147"/>
      <c r="Z1219" s="147"/>
      <c r="AA1219" s="147"/>
      <c r="AB1219" s="147"/>
      <c r="AC1219" s="147"/>
      <c r="AD1219" s="147"/>
      <c r="AE1219" s="147"/>
      <c r="AF1219" s="147"/>
      <c r="AG1219" s="147"/>
      <c r="AH1219" s="147"/>
      <c r="AI1219" s="147"/>
      <c r="AJ1219" s="147"/>
      <c r="AK1219" s="147"/>
      <c r="AL1219" s="147"/>
      <c r="AM1219" s="151"/>
      <c r="AN1219" s="147"/>
      <c r="AO1219" s="147"/>
      <c r="AP1219" s="147"/>
      <c r="AQ1219" s="147"/>
      <c r="AR1219" s="147"/>
      <c r="AS1219" s="147"/>
      <c r="AT1219" s="147"/>
      <c r="AU1219" s="147"/>
      <c r="AV1219" s="147"/>
      <c r="AW1219" s="147"/>
      <c r="AX1219" s="147"/>
      <c r="AY1219" s="147"/>
      <c r="AZ1219" s="147"/>
      <c r="BA1219" s="147"/>
      <c r="BB1219" s="147"/>
      <c r="BC1219" s="147"/>
      <c r="BD1219" s="147"/>
      <c r="BE1219" s="147"/>
      <c r="BF1219" s="147"/>
      <c r="BG1219" s="147"/>
      <c r="BH1219" s="147"/>
      <c r="BI1219" s="147"/>
      <c r="BJ1219" s="147"/>
      <c r="BK1219" s="147"/>
      <c r="BL1219" s="147"/>
      <c r="BM1219" s="147"/>
      <c r="BN1219" s="147"/>
      <c r="BO1219" s="147"/>
      <c r="BP1219" s="147"/>
      <c r="BQ1219" s="147"/>
      <c r="BR1219" s="147"/>
      <c r="BS1219" s="147"/>
      <c r="BT1219" s="147"/>
      <c r="BU1219" s="147"/>
      <c r="BV1219" s="147"/>
      <c r="BW1219" s="147"/>
      <c r="BX1219" s="147"/>
      <c r="BY1219" s="147"/>
      <c r="BZ1219" s="147"/>
      <c r="CA1219" s="147"/>
      <c r="CB1219" s="147"/>
      <c r="CC1219" s="147"/>
      <c r="CD1219" s="147"/>
      <c r="CE1219" s="147"/>
      <c r="CF1219" s="147"/>
      <c r="CG1219" s="147"/>
      <c r="CH1219" s="147"/>
      <c r="CI1219" s="147"/>
      <c r="CJ1219" s="147"/>
      <c r="CK1219" s="147"/>
    </row>
    <row r="1220" spans="1:89">
      <c r="A1220" s="157"/>
      <c r="F1220" s="3"/>
      <c r="G1220" s="3"/>
      <c r="L1220" s="157"/>
      <c r="M1220" s="157"/>
      <c r="O1220" s="147"/>
      <c r="P1220" s="147"/>
      <c r="Q1220" s="147"/>
      <c r="R1220" s="147"/>
      <c r="S1220" s="147"/>
      <c r="T1220" s="147"/>
      <c r="U1220" s="147"/>
      <c r="V1220" s="147"/>
      <c r="W1220" s="147"/>
      <c r="X1220" s="147"/>
      <c r="Y1220" s="147"/>
      <c r="Z1220" s="147"/>
      <c r="AA1220" s="147"/>
      <c r="AB1220" s="147"/>
      <c r="AC1220" s="147"/>
      <c r="AD1220" s="147"/>
      <c r="AE1220" s="147"/>
      <c r="AF1220" s="147"/>
      <c r="AG1220" s="147"/>
      <c r="AH1220" s="147"/>
      <c r="AI1220" s="147"/>
      <c r="AJ1220" s="147"/>
      <c r="AK1220" s="147"/>
      <c r="AL1220" s="147"/>
      <c r="AM1220" s="151"/>
      <c r="AN1220" s="147"/>
      <c r="AO1220" s="147"/>
      <c r="AP1220" s="147"/>
      <c r="AQ1220" s="147"/>
      <c r="AR1220" s="147"/>
      <c r="AS1220" s="147"/>
      <c r="AT1220" s="147"/>
      <c r="AU1220" s="147"/>
      <c r="AV1220" s="147"/>
      <c r="AW1220" s="147"/>
      <c r="AX1220" s="147"/>
      <c r="AY1220" s="147"/>
      <c r="AZ1220" s="147"/>
      <c r="BA1220" s="147"/>
      <c r="BB1220" s="147"/>
      <c r="BC1220" s="147"/>
      <c r="BD1220" s="147"/>
      <c r="BE1220" s="147"/>
      <c r="BF1220" s="147"/>
      <c r="BG1220" s="147"/>
      <c r="BH1220" s="147"/>
      <c r="BI1220" s="147"/>
      <c r="BJ1220" s="147"/>
      <c r="BK1220" s="147"/>
      <c r="BL1220" s="147"/>
      <c r="BM1220" s="147"/>
      <c r="BN1220" s="147"/>
      <c r="BO1220" s="147"/>
      <c r="BP1220" s="147"/>
      <c r="BQ1220" s="147"/>
      <c r="BR1220" s="147"/>
      <c r="BS1220" s="147"/>
      <c r="BT1220" s="147"/>
      <c r="BU1220" s="147"/>
      <c r="BV1220" s="147"/>
      <c r="BW1220" s="147"/>
      <c r="BX1220" s="147"/>
      <c r="BY1220" s="147"/>
      <c r="BZ1220" s="147"/>
      <c r="CA1220" s="147"/>
      <c r="CB1220" s="147"/>
      <c r="CC1220" s="147"/>
      <c r="CD1220" s="147"/>
      <c r="CE1220" s="147"/>
      <c r="CF1220" s="147"/>
      <c r="CG1220" s="147"/>
      <c r="CH1220" s="147"/>
      <c r="CI1220" s="147"/>
      <c r="CJ1220" s="147"/>
      <c r="CK1220" s="147"/>
    </row>
    <row r="1221" spans="1:89">
      <c r="A1221" s="157"/>
      <c r="F1221" s="3"/>
      <c r="G1221" s="3"/>
      <c r="L1221" s="157"/>
      <c r="M1221" s="157"/>
      <c r="O1221" s="147"/>
      <c r="P1221" s="147"/>
      <c r="Q1221" s="147"/>
      <c r="R1221" s="147"/>
      <c r="S1221" s="147"/>
      <c r="T1221" s="147"/>
      <c r="U1221" s="147"/>
      <c r="V1221" s="147"/>
      <c r="W1221" s="147"/>
      <c r="X1221" s="147"/>
      <c r="Y1221" s="147"/>
      <c r="Z1221" s="147"/>
      <c r="AA1221" s="147"/>
      <c r="AB1221" s="147"/>
      <c r="AC1221" s="147"/>
      <c r="AD1221" s="147"/>
      <c r="AE1221" s="147"/>
      <c r="AF1221" s="147"/>
      <c r="AG1221" s="147"/>
      <c r="AH1221" s="147"/>
      <c r="AI1221" s="147"/>
      <c r="AJ1221" s="147"/>
      <c r="AK1221" s="147"/>
      <c r="AL1221" s="147"/>
      <c r="AM1221" s="151"/>
      <c r="AN1221" s="147"/>
      <c r="AO1221" s="147"/>
      <c r="AP1221" s="147"/>
      <c r="AQ1221" s="147"/>
      <c r="AR1221" s="147"/>
      <c r="AS1221" s="147"/>
      <c r="AT1221" s="147"/>
      <c r="AU1221" s="147"/>
      <c r="AV1221" s="147"/>
      <c r="AW1221" s="147"/>
      <c r="AX1221" s="147"/>
      <c r="AY1221" s="147"/>
      <c r="AZ1221" s="147"/>
      <c r="BA1221" s="147"/>
      <c r="BB1221" s="147"/>
      <c r="BC1221" s="147"/>
      <c r="BD1221" s="147"/>
      <c r="BE1221" s="147"/>
      <c r="BF1221" s="147"/>
      <c r="BG1221" s="147"/>
      <c r="BH1221" s="147"/>
      <c r="BI1221" s="147"/>
      <c r="BJ1221" s="147"/>
      <c r="BK1221" s="147"/>
      <c r="BL1221" s="147"/>
      <c r="BM1221" s="147"/>
      <c r="BN1221" s="147"/>
      <c r="BO1221" s="147"/>
      <c r="BP1221" s="147"/>
      <c r="BQ1221" s="147"/>
      <c r="BR1221" s="147"/>
      <c r="BS1221" s="147"/>
      <c r="BT1221" s="147"/>
      <c r="BU1221" s="147"/>
      <c r="BV1221" s="147"/>
      <c r="BW1221" s="147"/>
      <c r="BX1221" s="147"/>
      <c r="BY1221" s="147"/>
      <c r="BZ1221" s="147"/>
      <c r="CA1221" s="147"/>
      <c r="CB1221" s="147"/>
      <c r="CC1221" s="147"/>
      <c r="CD1221" s="147"/>
      <c r="CE1221" s="147"/>
      <c r="CF1221" s="147"/>
      <c r="CG1221" s="147"/>
      <c r="CH1221" s="147"/>
      <c r="CI1221" s="147"/>
      <c r="CJ1221" s="147"/>
      <c r="CK1221" s="147"/>
    </row>
    <row r="1222" spans="1:89">
      <c r="A1222" s="157"/>
      <c r="F1222" s="3"/>
      <c r="G1222" s="3"/>
      <c r="L1222" s="157"/>
      <c r="M1222" s="157"/>
      <c r="O1222" s="147"/>
      <c r="P1222" s="147"/>
      <c r="Q1222" s="147"/>
      <c r="R1222" s="147"/>
      <c r="S1222" s="147"/>
      <c r="T1222" s="147"/>
      <c r="U1222" s="147"/>
      <c r="V1222" s="147"/>
      <c r="W1222" s="147"/>
      <c r="X1222" s="147"/>
      <c r="Y1222" s="147"/>
      <c r="Z1222" s="147"/>
      <c r="AA1222" s="147"/>
      <c r="AB1222" s="147"/>
      <c r="AC1222" s="147"/>
      <c r="AD1222" s="147"/>
      <c r="AE1222" s="147"/>
      <c r="AF1222" s="147"/>
      <c r="AG1222" s="147"/>
      <c r="AH1222" s="147"/>
      <c r="AI1222" s="147"/>
      <c r="AJ1222" s="147"/>
      <c r="AK1222" s="147"/>
      <c r="AL1222" s="147"/>
      <c r="AM1222" s="151"/>
      <c r="AN1222" s="147"/>
      <c r="AO1222" s="147"/>
      <c r="AP1222" s="147"/>
      <c r="AQ1222" s="147"/>
      <c r="AR1222" s="147"/>
      <c r="AS1222" s="147"/>
      <c r="AT1222" s="147"/>
      <c r="AU1222" s="147"/>
      <c r="AV1222" s="147"/>
      <c r="AW1222" s="147"/>
      <c r="AX1222" s="147"/>
      <c r="AY1222" s="147"/>
      <c r="AZ1222" s="147"/>
      <c r="BA1222" s="147"/>
      <c r="BB1222" s="147"/>
      <c r="BC1222" s="147"/>
      <c r="BD1222" s="147"/>
      <c r="BE1222" s="147"/>
      <c r="BF1222" s="147"/>
      <c r="BG1222" s="147"/>
      <c r="BH1222" s="147"/>
      <c r="BI1222" s="147"/>
      <c r="BJ1222" s="147"/>
      <c r="BK1222" s="147"/>
      <c r="BL1222" s="147"/>
      <c r="BM1222" s="147"/>
      <c r="BN1222" s="147"/>
      <c r="BO1222" s="147"/>
      <c r="BP1222" s="147"/>
      <c r="BQ1222" s="147"/>
      <c r="BR1222" s="147"/>
      <c r="BS1222" s="147"/>
      <c r="BT1222" s="147"/>
      <c r="BU1222" s="147"/>
      <c r="BV1222" s="147"/>
      <c r="BW1222" s="147"/>
      <c r="BX1222" s="147"/>
      <c r="BY1222" s="147"/>
      <c r="BZ1222" s="147"/>
      <c r="CA1222" s="147"/>
      <c r="CB1222" s="147"/>
      <c r="CC1222" s="147"/>
      <c r="CD1222" s="147"/>
      <c r="CE1222" s="147"/>
      <c r="CF1222" s="147"/>
      <c r="CG1222" s="147"/>
      <c r="CH1222" s="147"/>
      <c r="CI1222" s="147"/>
      <c r="CJ1222" s="147"/>
      <c r="CK1222" s="147"/>
    </row>
    <row r="1223" spans="1:89">
      <c r="A1223" s="157"/>
      <c r="F1223" s="3"/>
      <c r="G1223" s="3"/>
      <c r="L1223" s="157"/>
      <c r="M1223" s="157"/>
      <c r="O1223" s="147"/>
      <c r="P1223" s="147"/>
      <c r="Q1223" s="147"/>
      <c r="R1223" s="147"/>
      <c r="S1223" s="147"/>
      <c r="T1223" s="147"/>
      <c r="U1223" s="147"/>
      <c r="V1223" s="147"/>
      <c r="W1223" s="147"/>
      <c r="X1223" s="147"/>
      <c r="Y1223" s="147"/>
      <c r="Z1223" s="147"/>
      <c r="AA1223" s="147"/>
      <c r="AB1223" s="147"/>
      <c r="AC1223" s="147"/>
      <c r="AD1223" s="147"/>
      <c r="AE1223" s="147"/>
      <c r="AF1223" s="147"/>
      <c r="AG1223" s="147"/>
      <c r="AH1223" s="147"/>
      <c r="AI1223" s="147"/>
      <c r="AJ1223" s="147"/>
      <c r="AK1223" s="147"/>
      <c r="AL1223" s="147"/>
      <c r="AM1223" s="151"/>
      <c r="AN1223" s="147"/>
      <c r="AO1223" s="147"/>
      <c r="AP1223" s="147"/>
      <c r="AQ1223" s="147"/>
      <c r="AR1223" s="147"/>
      <c r="AS1223" s="147"/>
      <c r="AT1223" s="147"/>
      <c r="AU1223" s="147"/>
      <c r="AV1223" s="147"/>
      <c r="AW1223" s="147"/>
      <c r="AX1223" s="147"/>
      <c r="AY1223" s="147"/>
      <c r="AZ1223" s="147"/>
      <c r="BA1223" s="147"/>
      <c r="BB1223" s="147"/>
      <c r="BC1223" s="147"/>
      <c r="BD1223" s="147"/>
      <c r="BE1223" s="147"/>
      <c r="BF1223" s="147"/>
      <c r="BG1223" s="147"/>
      <c r="BH1223" s="147"/>
      <c r="BI1223" s="147"/>
      <c r="BJ1223" s="147"/>
      <c r="BK1223" s="147"/>
      <c r="BL1223" s="147"/>
      <c r="BM1223" s="147"/>
      <c r="BN1223" s="147"/>
      <c r="BO1223" s="147"/>
      <c r="BP1223" s="147"/>
      <c r="BQ1223" s="147"/>
      <c r="BR1223" s="147"/>
      <c r="BS1223" s="147"/>
      <c r="BT1223" s="147"/>
      <c r="BU1223" s="147"/>
      <c r="BV1223" s="147"/>
      <c r="BW1223" s="147"/>
      <c r="BX1223" s="147"/>
      <c r="BY1223" s="147"/>
      <c r="BZ1223" s="147"/>
      <c r="CA1223" s="147"/>
      <c r="CB1223" s="147"/>
      <c r="CC1223" s="147"/>
      <c r="CD1223" s="147"/>
      <c r="CE1223" s="147"/>
      <c r="CF1223" s="147"/>
      <c r="CG1223" s="147"/>
      <c r="CH1223" s="147"/>
      <c r="CI1223" s="147"/>
      <c r="CJ1223" s="147"/>
      <c r="CK1223" s="147"/>
    </row>
    <row r="1224" spans="1:89">
      <c r="A1224" s="157"/>
      <c r="F1224" s="3"/>
      <c r="G1224" s="3"/>
      <c r="L1224" s="157"/>
      <c r="M1224" s="157"/>
      <c r="O1224" s="147"/>
      <c r="P1224" s="147"/>
      <c r="Q1224" s="147"/>
      <c r="R1224" s="147"/>
      <c r="S1224" s="147"/>
      <c r="T1224" s="147"/>
      <c r="U1224" s="147"/>
      <c r="V1224" s="147"/>
      <c r="W1224" s="147"/>
      <c r="X1224" s="147"/>
      <c r="Y1224" s="147"/>
      <c r="Z1224" s="147"/>
      <c r="AA1224" s="147"/>
      <c r="AB1224" s="147"/>
      <c r="AC1224" s="147"/>
      <c r="AD1224" s="147"/>
      <c r="AE1224" s="147"/>
      <c r="AF1224" s="147"/>
      <c r="AG1224" s="147"/>
      <c r="AH1224" s="147"/>
      <c r="AI1224" s="147"/>
      <c r="AJ1224" s="147"/>
      <c r="AK1224" s="147"/>
      <c r="AL1224" s="147"/>
      <c r="AM1224" s="151"/>
      <c r="AN1224" s="147"/>
      <c r="AO1224" s="147"/>
      <c r="AP1224" s="147"/>
      <c r="AQ1224" s="147"/>
      <c r="AR1224" s="147"/>
      <c r="AS1224" s="147"/>
      <c r="AT1224" s="147"/>
      <c r="AU1224" s="147"/>
      <c r="AV1224" s="147"/>
      <c r="AW1224" s="147"/>
      <c r="AX1224" s="147"/>
      <c r="AY1224" s="147"/>
      <c r="AZ1224" s="147"/>
      <c r="BA1224" s="147"/>
      <c r="BB1224" s="147"/>
      <c r="BC1224" s="147"/>
      <c r="BD1224" s="147"/>
      <c r="BE1224" s="147"/>
      <c r="BF1224" s="147"/>
      <c r="BG1224" s="147"/>
      <c r="BH1224" s="147"/>
      <c r="BI1224" s="147"/>
      <c r="BJ1224" s="147"/>
      <c r="BK1224" s="147"/>
      <c r="BL1224" s="147"/>
      <c r="BM1224" s="147"/>
      <c r="BN1224" s="147"/>
      <c r="BO1224" s="147"/>
      <c r="BP1224" s="147"/>
      <c r="BQ1224" s="147"/>
      <c r="BR1224" s="147"/>
      <c r="BS1224" s="147"/>
      <c r="BT1224" s="147"/>
      <c r="BU1224" s="147"/>
      <c r="BV1224" s="147"/>
      <c r="BW1224" s="147"/>
      <c r="BX1224" s="147"/>
      <c r="BY1224" s="147"/>
      <c r="BZ1224" s="147"/>
      <c r="CA1224" s="147"/>
      <c r="CB1224" s="147"/>
      <c r="CC1224" s="147"/>
      <c r="CD1224" s="147"/>
      <c r="CE1224" s="147"/>
      <c r="CF1224" s="147"/>
      <c r="CG1224" s="147"/>
      <c r="CH1224" s="147"/>
      <c r="CI1224" s="147"/>
      <c r="CJ1224" s="147"/>
      <c r="CK1224" s="147"/>
    </row>
    <row r="1225" spans="1:89">
      <c r="A1225" s="157"/>
      <c r="F1225" s="3"/>
      <c r="G1225" s="3"/>
      <c r="L1225" s="157"/>
      <c r="M1225" s="157"/>
      <c r="O1225" s="147"/>
      <c r="P1225" s="147"/>
      <c r="Q1225" s="147"/>
      <c r="R1225" s="147"/>
      <c r="S1225" s="147"/>
      <c r="T1225" s="147"/>
      <c r="U1225" s="147"/>
      <c r="V1225" s="147"/>
      <c r="W1225" s="147"/>
      <c r="X1225" s="147"/>
      <c r="Y1225" s="147"/>
      <c r="Z1225" s="147"/>
      <c r="AA1225" s="147"/>
      <c r="AB1225" s="147"/>
      <c r="AC1225" s="147"/>
      <c r="AD1225" s="147"/>
      <c r="AE1225" s="147"/>
      <c r="AF1225" s="147"/>
      <c r="AG1225" s="147"/>
      <c r="AH1225" s="147"/>
      <c r="AI1225" s="147"/>
      <c r="AJ1225" s="147"/>
      <c r="AK1225" s="147"/>
      <c r="AL1225" s="147"/>
      <c r="AM1225" s="151"/>
      <c r="AN1225" s="147"/>
      <c r="AO1225" s="147"/>
      <c r="AP1225" s="147"/>
      <c r="AQ1225" s="147"/>
      <c r="AR1225" s="147"/>
      <c r="AS1225" s="147"/>
      <c r="AT1225" s="147"/>
      <c r="AU1225" s="147"/>
      <c r="AV1225" s="147"/>
      <c r="AW1225" s="147"/>
      <c r="AX1225" s="147"/>
      <c r="AY1225" s="147"/>
      <c r="AZ1225" s="147"/>
      <c r="BA1225" s="147"/>
      <c r="BB1225" s="147"/>
      <c r="BC1225" s="147"/>
      <c r="BD1225" s="147"/>
      <c r="BE1225" s="147"/>
      <c r="BF1225" s="147"/>
      <c r="BG1225" s="147"/>
      <c r="BH1225" s="147"/>
      <c r="BI1225" s="147"/>
      <c r="BJ1225" s="147"/>
      <c r="BK1225" s="147"/>
      <c r="BL1225" s="147"/>
      <c r="BM1225" s="147"/>
      <c r="BN1225" s="147"/>
      <c r="BO1225" s="147"/>
      <c r="BP1225" s="147"/>
      <c r="BQ1225" s="147"/>
      <c r="BR1225" s="147"/>
      <c r="BS1225" s="147"/>
      <c r="BT1225" s="147"/>
      <c r="BU1225" s="147"/>
      <c r="BV1225" s="147"/>
      <c r="BW1225" s="147"/>
      <c r="BX1225" s="147"/>
      <c r="BY1225" s="147"/>
      <c r="BZ1225" s="147"/>
      <c r="CA1225" s="147"/>
      <c r="CB1225" s="147"/>
      <c r="CC1225" s="147"/>
      <c r="CD1225" s="147"/>
      <c r="CE1225" s="147"/>
      <c r="CF1225" s="147"/>
      <c r="CG1225" s="147"/>
      <c r="CH1225" s="147"/>
      <c r="CI1225" s="147"/>
      <c r="CJ1225" s="147"/>
      <c r="CK1225" s="147"/>
    </row>
    <row r="1226" spans="1:89">
      <c r="A1226" s="157"/>
      <c r="F1226" s="3"/>
      <c r="G1226" s="3"/>
      <c r="L1226" s="157"/>
      <c r="M1226" s="157"/>
      <c r="O1226" s="147"/>
      <c r="P1226" s="147"/>
      <c r="Q1226" s="147"/>
      <c r="R1226" s="147"/>
      <c r="S1226" s="147"/>
      <c r="T1226" s="147"/>
      <c r="U1226" s="147"/>
      <c r="V1226" s="147"/>
      <c r="W1226" s="147"/>
      <c r="X1226" s="147"/>
      <c r="Y1226" s="147"/>
      <c r="Z1226" s="147"/>
      <c r="AA1226" s="147"/>
      <c r="AB1226" s="147"/>
      <c r="AC1226" s="147"/>
      <c r="AD1226" s="147"/>
      <c r="AE1226" s="147"/>
      <c r="AF1226" s="147"/>
      <c r="AG1226" s="147"/>
      <c r="AH1226" s="147"/>
      <c r="AI1226" s="147"/>
      <c r="AJ1226" s="147"/>
      <c r="AK1226" s="147"/>
      <c r="AL1226" s="147"/>
      <c r="AM1226" s="151"/>
      <c r="AN1226" s="147"/>
      <c r="AO1226" s="147"/>
      <c r="AP1226" s="147"/>
      <c r="AQ1226" s="147"/>
      <c r="AR1226" s="147"/>
      <c r="AS1226" s="147"/>
      <c r="AT1226" s="147"/>
      <c r="AU1226" s="147"/>
      <c r="AV1226" s="147"/>
      <c r="AW1226" s="147"/>
      <c r="AX1226" s="147"/>
      <c r="AY1226" s="147"/>
      <c r="AZ1226" s="147"/>
      <c r="BA1226" s="147"/>
      <c r="BB1226" s="147"/>
      <c r="BC1226" s="147"/>
      <c r="BD1226" s="147"/>
      <c r="BE1226" s="147"/>
      <c r="BF1226" s="147"/>
      <c r="BG1226" s="147"/>
      <c r="BH1226" s="147"/>
      <c r="BI1226" s="147"/>
      <c r="BJ1226" s="147"/>
      <c r="BK1226" s="147"/>
      <c r="BL1226" s="147"/>
      <c r="BM1226" s="147"/>
      <c r="BN1226" s="147"/>
      <c r="BO1226" s="147"/>
      <c r="BP1226" s="147"/>
      <c r="BQ1226" s="147"/>
      <c r="BR1226" s="147"/>
      <c r="BS1226" s="147"/>
      <c r="BT1226" s="147"/>
      <c r="BU1226" s="147"/>
      <c r="BV1226" s="147"/>
      <c r="BW1226" s="147"/>
      <c r="BX1226" s="147"/>
      <c r="BY1226" s="147"/>
      <c r="BZ1226" s="147"/>
      <c r="CA1226" s="147"/>
      <c r="CB1226" s="147"/>
      <c r="CC1226" s="147"/>
      <c r="CD1226" s="147"/>
      <c r="CE1226" s="147"/>
      <c r="CF1226" s="147"/>
      <c r="CG1226" s="147"/>
      <c r="CH1226" s="147"/>
      <c r="CI1226" s="147"/>
      <c r="CJ1226" s="147"/>
      <c r="CK1226" s="147"/>
    </row>
    <row r="1227" spans="1:89">
      <c r="A1227" s="157"/>
      <c r="F1227" s="3"/>
      <c r="G1227" s="3"/>
      <c r="L1227" s="157"/>
      <c r="M1227" s="157"/>
      <c r="O1227" s="147"/>
      <c r="P1227" s="147"/>
      <c r="Q1227" s="147"/>
      <c r="R1227" s="147"/>
      <c r="S1227" s="147"/>
      <c r="T1227" s="147"/>
      <c r="U1227" s="147"/>
      <c r="V1227" s="147"/>
      <c r="W1227" s="147"/>
      <c r="X1227" s="147"/>
      <c r="Y1227" s="147"/>
      <c r="Z1227" s="147"/>
      <c r="AA1227" s="147"/>
      <c r="AB1227" s="147"/>
      <c r="AC1227" s="147"/>
      <c r="AD1227" s="147"/>
      <c r="AE1227" s="147"/>
      <c r="AF1227" s="147"/>
      <c r="AG1227" s="147"/>
      <c r="AH1227" s="147"/>
      <c r="AI1227" s="147"/>
      <c r="AJ1227" s="147"/>
      <c r="AK1227" s="147"/>
      <c r="AL1227" s="147"/>
      <c r="AM1227" s="151"/>
      <c r="AN1227" s="147"/>
      <c r="AO1227" s="147"/>
      <c r="AP1227" s="147"/>
      <c r="AQ1227" s="147"/>
      <c r="AR1227" s="147"/>
      <c r="AS1227" s="147"/>
      <c r="AT1227" s="147"/>
      <c r="AU1227" s="147"/>
      <c r="AV1227" s="147"/>
      <c r="AW1227" s="147"/>
      <c r="AX1227" s="147"/>
      <c r="AY1227" s="147"/>
      <c r="AZ1227" s="147"/>
      <c r="BA1227" s="147"/>
      <c r="BB1227" s="147"/>
      <c r="BC1227" s="147"/>
      <c r="BD1227" s="147"/>
      <c r="BE1227" s="147"/>
      <c r="BF1227" s="147"/>
      <c r="BG1227" s="147"/>
      <c r="BH1227" s="147"/>
      <c r="BI1227" s="147"/>
      <c r="BJ1227" s="147"/>
      <c r="BK1227" s="147"/>
      <c r="BL1227" s="147"/>
      <c r="BM1227" s="147"/>
      <c r="BN1227" s="147"/>
      <c r="BO1227" s="147"/>
      <c r="BP1227" s="147"/>
      <c r="BQ1227" s="147"/>
      <c r="BR1227" s="147"/>
      <c r="BS1227" s="147"/>
      <c r="BT1227" s="147"/>
      <c r="BU1227" s="147"/>
      <c r="BV1227" s="147"/>
      <c r="BW1227" s="147"/>
      <c r="BX1227" s="147"/>
      <c r="BY1227" s="147"/>
      <c r="BZ1227" s="147"/>
      <c r="CA1227" s="147"/>
      <c r="CB1227" s="147"/>
      <c r="CC1227" s="147"/>
      <c r="CD1227" s="147"/>
      <c r="CE1227" s="147"/>
      <c r="CF1227" s="147"/>
      <c r="CG1227" s="147"/>
      <c r="CH1227" s="147"/>
      <c r="CI1227" s="147"/>
      <c r="CJ1227" s="147"/>
      <c r="CK1227" s="147"/>
    </row>
    <row r="1228" spans="1:89">
      <c r="A1228" s="157"/>
      <c r="F1228" s="3"/>
      <c r="G1228" s="3"/>
      <c r="L1228" s="157"/>
      <c r="M1228" s="157"/>
      <c r="O1228" s="147"/>
      <c r="P1228" s="147"/>
      <c r="Q1228" s="147"/>
      <c r="R1228" s="147"/>
      <c r="S1228" s="147"/>
      <c r="T1228" s="147"/>
      <c r="U1228" s="147"/>
      <c r="V1228" s="147"/>
      <c r="W1228" s="147"/>
      <c r="X1228" s="147"/>
      <c r="Y1228" s="147"/>
      <c r="Z1228" s="147"/>
      <c r="AA1228" s="147"/>
      <c r="AB1228" s="147"/>
      <c r="AC1228" s="147"/>
      <c r="AD1228" s="147"/>
      <c r="AE1228" s="147"/>
      <c r="AF1228" s="147"/>
      <c r="AG1228" s="147"/>
      <c r="AH1228" s="147"/>
      <c r="AI1228" s="147"/>
      <c r="AJ1228" s="147"/>
      <c r="AK1228" s="147"/>
      <c r="AL1228" s="147"/>
      <c r="AM1228" s="151"/>
      <c r="AN1228" s="147"/>
      <c r="AO1228" s="147"/>
      <c r="AP1228" s="147"/>
      <c r="AQ1228" s="147"/>
      <c r="AR1228" s="147"/>
      <c r="AS1228" s="147"/>
      <c r="AT1228" s="147"/>
      <c r="AU1228" s="147"/>
      <c r="AV1228" s="147"/>
      <c r="AW1228" s="147"/>
      <c r="AX1228" s="147"/>
      <c r="AY1228" s="147"/>
      <c r="AZ1228" s="147"/>
      <c r="BA1228" s="147"/>
      <c r="BB1228" s="147"/>
      <c r="BC1228" s="147"/>
      <c r="BD1228" s="147"/>
      <c r="BE1228" s="147"/>
      <c r="BF1228" s="147"/>
      <c r="BG1228" s="147"/>
      <c r="BH1228" s="147"/>
      <c r="BI1228" s="147"/>
      <c r="BJ1228" s="147"/>
      <c r="BK1228" s="147"/>
      <c r="BL1228" s="147"/>
      <c r="BM1228" s="147"/>
      <c r="BN1228" s="147"/>
      <c r="BO1228" s="147"/>
      <c r="BP1228" s="147"/>
      <c r="BQ1228" s="147"/>
      <c r="BR1228" s="147"/>
      <c r="BS1228" s="147"/>
      <c r="BT1228" s="147"/>
      <c r="BU1228" s="147"/>
      <c r="BV1228" s="147"/>
      <c r="BW1228" s="147"/>
      <c r="BX1228" s="147"/>
      <c r="BY1228" s="147"/>
      <c r="BZ1228" s="147"/>
      <c r="CA1228" s="147"/>
      <c r="CB1228" s="147"/>
      <c r="CC1228" s="147"/>
      <c r="CD1228" s="147"/>
      <c r="CE1228" s="147"/>
      <c r="CF1228" s="147"/>
      <c r="CG1228" s="147"/>
      <c r="CH1228" s="147"/>
      <c r="CI1228" s="147"/>
      <c r="CJ1228" s="147"/>
      <c r="CK1228" s="147"/>
    </row>
    <row r="1229" spans="1:89">
      <c r="A1229" s="157"/>
      <c r="F1229" s="3"/>
      <c r="G1229" s="3"/>
      <c r="L1229" s="157"/>
      <c r="M1229" s="157"/>
      <c r="O1229" s="147"/>
      <c r="P1229" s="147"/>
      <c r="Q1229" s="147"/>
      <c r="R1229" s="147"/>
      <c r="S1229" s="147"/>
      <c r="T1229" s="147"/>
      <c r="U1229" s="147"/>
      <c r="V1229" s="147"/>
      <c r="W1229" s="147"/>
      <c r="X1229" s="147"/>
      <c r="Y1229" s="147"/>
      <c r="Z1229" s="147"/>
      <c r="AA1229" s="147"/>
      <c r="AB1229" s="147"/>
      <c r="AC1229" s="147"/>
      <c r="AD1229" s="147"/>
      <c r="AE1229" s="147"/>
      <c r="AF1229" s="147"/>
      <c r="AG1229" s="147"/>
      <c r="AH1229" s="147"/>
      <c r="AI1229" s="147"/>
      <c r="AJ1229" s="147"/>
      <c r="AK1229" s="147"/>
      <c r="AL1229" s="147"/>
      <c r="AM1229" s="151"/>
      <c r="AN1229" s="147"/>
      <c r="AO1229" s="147"/>
      <c r="AP1229" s="147"/>
      <c r="AQ1229" s="147"/>
      <c r="AR1229" s="147"/>
      <c r="AS1229" s="147"/>
      <c r="AT1229" s="147"/>
      <c r="AU1229" s="147"/>
      <c r="AV1229" s="147"/>
      <c r="AW1229" s="147"/>
      <c r="AX1229" s="147"/>
      <c r="AY1229" s="147"/>
      <c r="AZ1229" s="147"/>
      <c r="BA1229" s="147"/>
      <c r="BB1229" s="147"/>
      <c r="BC1229" s="147"/>
      <c r="BD1229" s="147"/>
      <c r="BE1229" s="147"/>
      <c r="BF1229" s="147"/>
      <c r="BG1229" s="147"/>
      <c r="BH1229" s="147"/>
      <c r="BI1229" s="147"/>
      <c r="BJ1229" s="147"/>
      <c r="BK1229" s="147"/>
      <c r="BL1229" s="147"/>
      <c r="BM1229" s="147"/>
      <c r="BN1229" s="147"/>
      <c r="BO1229" s="147"/>
      <c r="BP1229" s="147"/>
      <c r="BQ1229" s="147"/>
      <c r="BR1229" s="147"/>
      <c r="BS1229" s="147"/>
      <c r="BT1229" s="147"/>
      <c r="BU1229" s="147"/>
      <c r="BV1229" s="147"/>
      <c r="BW1229" s="147"/>
      <c r="BX1229" s="147"/>
      <c r="BY1229" s="147"/>
      <c r="BZ1229" s="147"/>
      <c r="CA1229" s="147"/>
      <c r="CB1229" s="147"/>
      <c r="CC1229" s="147"/>
      <c r="CD1229" s="147"/>
      <c r="CE1229" s="147"/>
      <c r="CF1229" s="147"/>
      <c r="CG1229" s="147"/>
      <c r="CH1229" s="147"/>
      <c r="CI1229" s="147"/>
      <c r="CJ1229" s="147"/>
      <c r="CK1229" s="147"/>
    </row>
    <row r="1230" spans="1:89">
      <c r="A1230" s="157"/>
      <c r="F1230" s="3"/>
      <c r="G1230" s="3"/>
      <c r="L1230" s="157"/>
      <c r="M1230" s="157"/>
      <c r="O1230" s="147"/>
      <c r="P1230" s="147"/>
      <c r="Q1230" s="147"/>
      <c r="R1230" s="147"/>
      <c r="S1230" s="147"/>
      <c r="T1230" s="147"/>
      <c r="U1230" s="147"/>
      <c r="V1230" s="147"/>
      <c r="W1230" s="147"/>
      <c r="X1230" s="147"/>
      <c r="Y1230" s="147"/>
      <c r="Z1230" s="147"/>
      <c r="AA1230" s="147"/>
      <c r="AB1230" s="147"/>
      <c r="AC1230" s="147"/>
      <c r="AD1230" s="147"/>
      <c r="AE1230" s="147"/>
      <c r="AF1230" s="147"/>
      <c r="AG1230" s="147"/>
      <c r="AH1230" s="147"/>
      <c r="AI1230" s="147"/>
      <c r="AJ1230" s="147"/>
      <c r="AK1230" s="147"/>
      <c r="AL1230" s="147"/>
      <c r="AM1230" s="151"/>
      <c r="AN1230" s="147"/>
      <c r="AO1230" s="147"/>
      <c r="AP1230" s="147"/>
      <c r="AQ1230" s="147"/>
      <c r="AR1230" s="147"/>
      <c r="AS1230" s="147"/>
      <c r="AT1230" s="147"/>
      <c r="AU1230" s="147"/>
      <c r="AV1230" s="147"/>
      <c r="AW1230" s="147"/>
      <c r="AX1230" s="147"/>
      <c r="AY1230" s="147"/>
      <c r="AZ1230" s="147"/>
      <c r="BA1230" s="147"/>
      <c r="BB1230" s="147"/>
      <c r="BC1230" s="147"/>
      <c r="BD1230" s="147"/>
      <c r="BE1230" s="147"/>
      <c r="BF1230" s="147"/>
      <c r="BG1230" s="147"/>
      <c r="BH1230" s="147"/>
      <c r="BI1230" s="147"/>
      <c r="BJ1230" s="147"/>
      <c r="BK1230" s="147"/>
      <c r="BL1230" s="147"/>
      <c r="BM1230" s="147"/>
      <c r="BN1230" s="147"/>
      <c r="BO1230" s="147"/>
      <c r="BP1230" s="147"/>
      <c r="BQ1230" s="147"/>
      <c r="BR1230" s="147"/>
      <c r="BS1230" s="147"/>
      <c r="BT1230" s="147"/>
      <c r="BU1230" s="147"/>
      <c r="BV1230" s="147"/>
      <c r="BW1230" s="147"/>
      <c r="BX1230" s="147"/>
      <c r="BY1230" s="147"/>
      <c r="BZ1230" s="147"/>
      <c r="CA1230" s="147"/>
      <c r="CB1230" s="147"/>
      <c r="CC1230" s="147"/>
      <c r="CD1230" s="147"/>
      <c r="CE1230" s="147"/>
      <c r="CF1230" s="147"/>
      <c r="CG1230" s="147"/>
      <c r="CH1230" s="147"/>
      <c r="CI1230" s="147"/>
      <c r="CJ1230" s="147"/>
      <c r="CK1230" s="147"/>
    </row>
    <row r="1231" spans="1:89">
      <c r="A1231" s="157"/>
      <c r="F1231" s="3"/>
      <c r="G1231" s="3"/>
      <c r="L1231" s="157"/>
      <c r="M1231" s="157"/>
      <c r="O1231" s="147"/>
      <c r="P1231" s="147"/>
      <c r="Q1231" s="147"/>
      <c r="R1231" s="147"/>
      <c r="S1231" s="147"/>
      <c r="T1231" s="147"/>
      <c r="U1231" s="147"/>
      <c r="V1231" s="147"/>
      <c r="W1231" s="147"/>
      <c r="X1231" s="147"/>
      <c r="Y1231" s="147"/>
      <c r="Z1231" s="147"/>
      <c r="AA1231" s="147"/>
      <c r="AB1231" s="147"/>
      <c r="AC1231" s="147"/>
      <c r="AD1231" s="147"/>
      <c r="AE1231" s="147"/>
      <c r="AF1231" s="147"/>
      <c r="AG1231" s="147"/>
      <c r="AH1231" s="147"/>
      <c r="AI1231" s="147"/>
      <c r="AJ1231" s="147"/>
      <c r="AK1231" s="147"/>
      <c r="AL1231" s="147"/>
      <c r="AM1231" s="151"/>
      <c r="AN1231" s="147"/>
      <c r="AO1231" s="147"/>
      <c r="AP1231" s="147"/>
      <c r="AQ1231" s="147"/>
      <c r="AR1231" s="147"/>
      <c r="AS1231" s="147"/>
      <c r="AT1231" s="147"/>
      <c r="AU1231" s="147"/>
      <c r="AV1231" s="147"/>
      <c r="AW1231" s="147"/>
      <c r="AX1231" s="147"/>
      <c r="AY1231" s="147"/>
      <c r="AZ1231" s="147"/>
      <c r="BA1231" s="147"/>
      <c r="BB1231" s="147"/>
      <c r="BC1231" s="147"/>
      <c r="BD1231" s="147"/>
      <c r="BE1231" s="147"/>
      <c r="BF1231" s="147"/>
      <c r="BG1231" s="147"/>
      <c r="BH1231" s="147"/>
      <c r="BI1231" s="147"/>
      <c r="BJ1231" s="147"/>
      <c r="BK1231" s="147"/>
      <c r="BL1231" s="147"/>
      <c r="BM1231" s="147"/>
      <c r="BN1231" s="147"/>
      <c r="BO1231" s="147"/>
      <c r="BP1231" s="147"/>
      <c r="BQ1231" s="147"/>
      <c r="BR1231" s="147"/>
      <c r="BS1231" s="147"/>
      <c r="BT1231" s="147"/>
      <c r="BU1231" s="147"/>
      <c r="BV1231" s="147"/>
      <c r="BW1231" s="147"/>
      <c r="BX1231" s="147"/>
      <c r="BY1231" s="147"/>
      <c r="BZ1231" s="147"/>
      <c r="CA1231" s="147"/>
      <c r="CB1231" s="147"/>
      <c r="CC1231" s="147"/>
      <c r="CD1231" s="147"/>
      <c r="CE1231" s="147"/>
      <c r="CF1231" s="147"/>
      <c r="CG1231" s="147"/>
      <c r="CH1231" s="147"/>
      <c r="CI1231" s="147"/>
      <c r="CJ1231" s="147"/>
      <c r="CK1231" s="147"/>
    </row>
    <row r="1232" spans="1:89">
      <c r="A1232" s="157"/>
      <c r="F1232" s="3"/>
      <c r="G1232" s="3"/>
      <c r="L1232" s="157"/>
      <c r="M1232" s="157"/>
      <c r="O1232" s="147"/>
      <c r="P1232" s="147"/>
      <c r="Q1232" s="147"/>
      <c r="R1232" s="147"/>
      <c r="S1232" s="147"/>
      <c r="T1232" s="147"/>
      <c r="U1232" s="147"/>
      <c r="V1232" s="147"/>
      <c r="W1232" s="147"/>
      <c r="X1232" s="147"/>
      <c r="Y1232" s="147"/>
      <c r="Z1232" s="147"/>
      <c r="AA1232" s="147"/>
      <c r="AB1232" s="147"/>
      <c r="AC1232" s="147"/>
      <c r="AD1232" s="147"/>
      <c r="AE1232" s="147"/>
      <c r="AF1232" s="147"/>
      <c r="AG1232" s="147"/>
      <c r="AH1232" s="147"/>
      <c r="AI1232" s="147"/>
      <c r="AJ1232" s="147"/>
      <c r="AK1232" s="147"/>
      <c r="AL1232" s="147"/>
      <c r="AM1232" s="151"/>
      <c r="AN1232" s="147"/>
      <c r="AO1232" s="147"/>
      <c r="AP1232" s="147"/>
      <c r="AQ1232" s="147"/>
      <c r="AR1232" s="147"/>
      <c r="AS1232" s="147"/>
      <c r="AT1232" s="147"/>
      <c r="AU1232" s="147"/>
      <c r="AV1232" s="147"/>
      <c r="AW1232" s="147"/>
      <c r="AX1232" s="147"/>
      <c r="AY1232" s="147"/>
      <c r="AZ1232" s="147"/>
      <c r="BA1232" s="147"/>
      <c r="BB1232" s="147"/>
      <c r="BC1232" s="147"/>
      <c r="BD1232" s="147"/>
      <c r="BE1232" s="147"/>
      <c r="BF1232" s="147"/>
      <c r="BG1232" s="147"/>
      <c r="BH1232" s="147"/>
      <c r="BI1232" s="147"/>
      <c r="BJ1232" s="147"/>
      <c r="BK1232" s="147"/>
      <c r="BL1232" s="147"/>
      <c r="BM1232" s="147"/>
      <c r="BN1232" s="147"/>
      <c r="BO1232" s="147"/>
      <c r="BP1232" s="147"/>
      <c r="BQ1232" s="147"/>
      <c r="BR1232" s="147"/>
      <c r="BS1232" s="147"/>
      <c r="BT1232" s="147"/>
      <c r="BU1232" s="147"/>
      <c r="BV1232" s="147"/>
      <c r="BW1232" s="147"/>
      <c r="BX1232" s="147"/>
      <c r="BY1232" s="147"/>
      <c r="BZ1232" s="147"/>
      <c r="CA1232" s="147"/>
      <c r="CB1232" s="147"/>
      <c r="CC1232" s="147"/>
      <c r="CD1232" s="147"/>
      <c r="CE1232" s="147"/>
      <c r="CF1232" s="147"/>
      <c r="CG1232" s="147"/>
      <c r="CH1232" s="147"/>
      <c r="CI1232" s="147"/>
      <c r="CJ1232" s="147"/>
      <c r="CK1232" s="147"/>
    </row>
    <row r="1233" spans="1:89">
      <c r="A1233" s="157"/>
      <c r="F1233" s="3"/>
      <c r="G1233" s="3"/>
      <c r="L1233" s="157"/>
      <c r="M1233" s="157"/>
      <c r="O1233" s="147"/>
      <c r="P1233" s="147"/>
      <c r="Q1233" s="147"/>
      <c r="R1233" s="147"/>
      <c r="S1233" s="147"/>
      <c r="T1233" s="147"/>
      <c r="U1233" s="147"/>
      <c r="V1233" s="147"/>
      <c r="W1233" s="147"/>
      <c r="X1233" s="147"/>
      <c r="Y1233" s="147"/>
      <c r="Z1233" s="147"/>
      <c r="AA1233" s="147"/>
      <c r="AB1233" s="147"/>
      <c r="AC1233" s="147"/>
      <c r="AD1233" s="147"/>
      <c r="AE1233" s="147"/>
      <c r="AF1233" s="147"/>
      <c r="AG1233" s="147"/>
      <c r="AH1233" s="147"/>
      <c r="AI1233" s="147"/>
      <c r="AJ1233" s="147"/>
      <c r="AK1233" s="147"/>
      <c r="AL1233" s="147"/>
      <c r="AM1233" s="151"/>
      <c r="AN1233" s="147"/>
      <c r="AO1233" s="147"/>
      <c r="AP1233" s="147"/>
      <c r="AQ1233" s="147"/>
      <c r="AR1233" s="147"/>
      <c r="AS1233" s="147"/>
      <c r="AT1233" s="147"/>
      <c r="AU1233" s="147"/>
      <c r="AV1233" s="147"/>
      <c r="AW1233" s="147"/>
      <c r="AX1233" s="147"/>
      <c r="AY1233" s="147"/>
      <c r="AZ1233" s="147"/>
      <c r="BA1233" s="147"/>
      <c r="BB1233" s="147"/>
      <c r="BC1233" s="147"/>
      <c r="BD1233" s="147"/>
      <c r="BE1233" s="147"/>
      <c r="BF1233" s="147"/>
      <c r="BG1233" s="147"/>
      <c r="BH1233" s="147"/>
      <c r="BI1233" s="147"/>
      <c r="BJ1233" s="147"/>
      <c r="BK1233" s="147"/>
      <c r="BL1233" s="147"/>
      <c r="BM1233" s="147"/>
      <c r="BN1233" s="147"/>
      <c r="BO1233" s="147"/>
      <c r="BP1233" s="147"/>
      <c r="BQ1233" s="147"/>
      <c r="BR1233" s="147"/>
      <c r="BS1233" s="147"/>
      <c r="BT1233" s="147"/>
      <c r="BU1233" s="147"/>
      <c r="BV1233" s="147"/>
      <c r="BW1233" s="147"/>
      <c r="BX1233" s="147"/>
      <c r="BY1233" s="147"/>
      <c r="BZ1233" s="147"/>
      <c r="CA1233" s="147"/>
      <c r="CB1233" s="147"/>
      <c r="CC1233" s="147"/>
      <c r="CD1233" s="147"/>
      <c r="CE1233" s="147"/>
      <c r="CF1233" s="147"/>
      <c r="CG1233" s="147"/>
      <c r="CH1233" s="147"/>
      <c r="CI1233" s="147"/>
      <c r="CJ1233" s="147"/>
      <c r="CK1233" s="147"/>
    </row>
    <row r="1234" spans="1:89">
      <c r="A1234" s="157"/>
      <c r="F1234" s="3"/>
      <c r="G1234" s="3"/>
      <c r="L1234" s="157"/>
      <c r="M1234" s="157"/>
      <c r="O1234" s="147"/>
      <c r="P1234" s="147"/>
      <c r="Q1234" s="147"/>
      <c r="R1234" s="147"/>
      <c r="S1234" s="147"/>
      <c r="T1234" s="147"/>
      <c r="U1234" s="147"/>
      <c r="V1234" s="147"/>
      <c r="W1234" s="147"/>
      <c r="X1234" s="147"/>
      <c r="Y1234" s="147"/>
      <c r="Z1234" s="147"/>
      <c r="AA1234" s="147"/>
      <c r="AB1234" s="147"/>
      <c r="AC1234" s="147"/>
      <c r="AD1234" s="147"/>
      <c r="AE1234" s="147"/>
      <c r="AF1234" s="147"/>
      <c r="AG1234" s="147"/>
      <c r="AH1234" s="147"/>
      <c r="AI1234" s="147"/>
      <c r="AJ1234" s="147"/>
      <c r="AK1234" s="147"/>
      <c r="AL1234" s="147"/>
      <c r="AM1234" s="151"/>
      <c r="AN1234" s="147"/>
      <c r="AO1234" s="147"/>
      <c r="AP1234" s="147"/>
      <c r="AQ1234" s="147"/>
      <c r="AR1234" s="147"/>
      <c r="AS1234" s="147"/>
      <c r="AT1234" s="147"/>
      <c r="AU1234" s="147"/>
      <c r="AV1234" s="147"/>
      <c r="AW1234" s="147"/>
      <c r="AX1234" s="147"/>
      <c r="AY1234" s="147"/>
      <c r="AZ1234" s="147"/>
      <c r="BA1234" s="147"/>
      <c r="BB1234" s="147"/>
      <c r="BC1234" s="147"/>
      <c r="BD1234" s="147"/>
      <c r="BE1234" s="147"/>
      <c r="BF1234" s="147"/>
      <c r="BG1234" s="147"/>
      <c r="BH1234" s="147"/>
      <c r="BI1234" s="147"/>
      <c r="BJ1234" s="147"/>
      <c r="BK1234" s="147"/>
      <c r="BL1234" s="147"/>
      <c r="BM1234" s="147"/>
      <c r="BN1234" s="147"/>
      <c r="BO1234" s="147"/>
      <c r="BP1234" s="147"/>
      <c r="BQ1234" s="147"/>
      <c r="BR1234" s="147"/>
      <c r="BS1234" s="147"/>
      <c r="BT1234" s="147"/>
      <c r="BU1234" s="147"/>
      <c r="BV1234" s="147"/>
      <c r="BW1234" s="147"/>
      <c r="BX1234" s="147"/>
      <c r="BY1234" s="147"/>
      <c r="BZ1234" s="147"/>
      <c r="CA1234" s="147"/>
      <c r="CB1234" s="147"/>
      <c r="CC1234" s="147"/>
      <c r="CD1234" s="147"/>
      <c r="CE1234" s="147"/>
      <c r="CF1234" s="147"/>
      <c r="CG1234" s="147"/>
      <c r="CH1234" s="147"/>
      <c r="CI1234" s="147"/>
      <c r="CJ1234" s="147"/>
      <c r="CK1234" s="147"/>
    </row>
    <row r="1235" spans="1:89">
      <c r="A1235" s="157"/>
      <c r="F1235" s="3"/>
      <c r="G1235" s="3"/>
      <c r="L1235" s="157"/>
      <c r="M1235" s="157"/>
      <c r="O1235" s="147"/>
      <c r="P1235" s="147"/>
      <c r="Q1235" s="147"/>
      <c r="R1235" s="147"/>
      <c r="S1235" s="147"/>
      <c r="T1235" s="147"/>
      <c r="U1235" s="147"/>
      <c r="V1235" s="147"/>
      <c r="W1235" s="147"/>
      <c r="X1235" s="147"/>
      <c r="Y1235" s="147"/>
      <c r="Z1235" s="147"/>
      <c r="AA1235" s="147"/>
      <c r="AB1235" s="147"/>
      <c r="AC1235" s="147"/>
      <c r="AD1235" s="147"/>
      <c r="AE1235" s="147"/>
      <c r="AF1235" s="147"/>
      <c r="AG1235" s="147"/>
      <c r="AH1235" s="147"/>
      <c r="AI1235" s="147"/>
      <c r="AJ1235" s="147"/>
      <c r="AK1235" s="147"/>
      <c r="AL1235" s="147"/>
      <c r="AM1235" s="151"/>
      <c r="AN1235" s="147"/>
      <c r="AO1235" s="147"/>
      <c r="AP1235" s="147"/>
      <c r="AQ1235" s="147"/>
      <c r="AR1235" s="147"/>
      <c r="AS1235" s="147"/>
      <c r="AT1235" s="147"/>
      <c r="AU1235" s="147"/>
      <c r="AV1235" s="147"/>
      <c r="AW1235" s="147"/>
      <c r="AX1235" s="147"/>
      <c r="AY1235" s="147"/>
      <c r="AZ1235" s="147"/>
      <c r="BA1235" s="147"/>
      <c r="BB1235" s="147"/>
      <c r="BC1235" s="147"/>
      <c r="BD1235" s="147"/>
      <c r="BE1235" s="147"/>
      <c r="BF1235" s="147"/>
      <c r="BG1235" s="147"/>
      <c r="BH1235" s="147"/>
      <c r="BI1235" s="147"/>
      <c r="BJ1235" s="147"/>
      <c r="BK1235" s="147"/>
      <c r="BL1235" s="147"/>
      <c r="BM1235" s="147"/>
      <c r="BN1235" s="147"/>
      <c r="BO1235" s="147"/>
      <c r="BP1235" s="147"/>
      <c r="BQ1235" s="147"/>
      <c r="BR1235" s="147"/>
      <c r="BS1235" s="147"/>
      <c r="BT1235" s="147"/>
      <c r="BU1235" s="147"/>
      <c r="BV1235" s="147"/>
      <c r="BW1235" s="147"/>
      <c r="BX1235" s="147"/>
      <c r="BY1235" s="147"/>
      <c r="BZ1235" s="147"/>
      <c r="CA1235" s="147"/>
      <c r="CB1235" s="147"/>
      <c r="CC1235" s="147"/>
      <c r="CD1235" s="147"/>
      <c r="CE1235" s="147"/>
      <c r="CF1235" s="147"/>
      <c r="CG1235" s="147"/>
      <c r="CH1235" s="147"/>
      <c r="CI1235" s="147"/>
      <c r="CJ1235" s="147"/>
      <c r="CK1235" s="147"/>
    </row>
    <row r="1236" spans="1:89">
      <c r="A1236" s="157"/>
      <c r="F1236" s="3"/>
      <c r="G1236" s="3"/>
      <c r="L1236" s="157"/>
      <c r="M1236" s="157"/>
      <c r="O1236" s="147"/>
      <c r="P1236" s="147"/>
      <c r="Q1236" s="147"/>
      <c r="R1236" s="147"/>
      <c r="S1236" s="147"/>
      <c r="T1236" s="147"/>
      <c r="U1236" s="147"/>
      <c r="V1236" s="147"/>
      <c r="W1236" s="147"/>
      <c r="X1236" s="147"/>
      <c r="Y1236" s="147"/>
      <c r="Z1236" s="147"/>
      <c r="AA1236" s="147"/>
      <c r="AB1236" s="147"/>
      <c r="AC1236" s="147"/>
      <c r="AD1236" s="147"/>
      <c r="AE1236" s="147"/>
      <c r="AF1236" s="147"/>
      <c r="AG1236" s="147"/>
      <c r="AH1236" s="147"/>
      <c r="AI1236" s="147"/>
      <c r="AJ1236" s="147"/>
      <c r="AK1236" s="147"/>
      <c r="AL1236" s="147"/>
      <c r="AM1236" s="151"/>
      <c r="AN1236" s="147"/>
      <c r="AO1236" s="147"/>
      <c r="AP1236" s="147"/>
      <c r="AQ1236" s="147"/>
      <c r="AR1236" s="147"/>
      <c r="AS1236" s="147"/>
      <c r="AT1236" s="147"/>
      <c r="AU1236" s="147"/>
      <c r="AV1236" s="147"/>
      <c r="AW1236" s="147"/>
      <c r="AX1236" s="147"/>
      <c r="AY1236" s="147"/>
      <c r="AZ1236" s="147"/>
      <c r="BA1236" s="147"/>
      <c r="BB1236" s="147"/>
      <c r="BC1236" s="147"/>
      <c r="BD1236" s="147"/>
      <c r="BE1236" s="147"/>
      <c r="BF1236" s="147"/>
      <c r="BG1236" s="147"/>
      <c r="BH1236" s="147"/>
      <c r="BI1236" s="147"/>
      <c r="BJ1236" s="147"/>
      <c r="BK1236" s="147"/>
      <c r="BL1236" s="147"/>
      <c r="BM1236" s="147"/>
      <c r="BN1236" s="147"/>
      <c r="BO1236" s="147"/>
      <c r="BP1236" s="147"/>
      <c r="BQ1236" s="147"/>
      <c r="BR1236" s="147"/>
      <c r="BS1236" s="147"/>
      <c r="BT1236" s="147"/>
      <c r="BU1236" s="147"/>
      <c r="BV1236" s="147"/>
      <c r="BW1236" s="147"/>
      <c r="BX1236" s="147"/>
      <c r="BY1236" s="147"/>
      <c r="BZ1236" s="147"/>
      <c r="CA1236" s="147"/>
      <c r="CB1236" s="147"/>
      <c r="CC1236" s="147"/>
      <c r="CD1236" s="147"/>
      <c r="CE1236" s="147"/>
      <c r="CF1236" s="147"/>
      <c r="CG1236" s="147"/>
      <c r="CH1236" s="147"/>
      <c r="CI1236" s="147"/>
      <c r="CJ1236" s="147"/>
      <c r="CK1236" s="147"/>
    </row>
    <row r="1237" spans="1:89">
      <c r="A1237" s="157"/>
      <c r="F1237" s="3"/>
      <c r="G1237" s="3"/>
      <c r="L1237" s="157"/>
      <c r="M1237" s="157"/>
      <c r="O1237" s="147"/>
      <c r="P1237" s="147"/>
      <c r="Q1237" s="147"/>
      <c r="R1237" s="147"/>
      <c r="S1237" s="147"/>
      <c r="T1237" s="147"/>
      <c r="U1237" s="147"/>
      <c r="V1237" s="147"/>
      <c r="W1237" s="147"/>
      <c r="X1237" s="147"/>
      <c r="Y1237" s="147"/>
      <c r="Z1237" s="147"/>
      <c r="AA1237" s="147"/>
      <c r="AB1237" s="147"/>
      <c r="AC1237" s="147"/>
      <c r="AD1237" s="147"/>
      <c r="AE1237" s="147"/>
      <c r="AF1237" s="147"/>
      <c r="AG1237" s="147"/>
      <c r="AH1237" s="147"/>
      <c r="AI1237" s="147"/>
      <c r="AJ1237" s="147"/>
      <c r="AK1237" s="147"/>
      <c r="AL1237" s="147"/>
      <c r="AM1237" s="151"/>
      <c r="AN1237" s="147"/>
      <c r="AO1237" s="147"/>
      <c r="AP1237" s="147"/>
      <c r="AQ1237" s="147"/>
      <c r="AR1237" s="147"/>
      <c r="AS1237" s="147"/>
      <c r="AT1237" s="147"/>
      <c r="AU1237" s="147"/>
      <c r="AV1237" s="147"/>
      <c r="AW1237" s="147"/>
      <c r="AX1237" s="147"/>
      <c r="AY1237" s="147"/>
      <c r="AZ1237" s="147"/>
      <c r="BA1237" s="147"/>
      <c r="BB1237" s="147"/>
      <c r="BC1237" s="147"/>
      <c r="BD1237" s="147"/>
      <c r="BE1237" s="147"/>
      <c r="BF1237" s="147"/>
      <c r="BG1237" s="147"/>
      <c r="BH1237" s="147"/>
      <c r="BI1237" s="147"/>
      <c r="BJ1237" s="147"/>
      <c r="BK1237" s="147"/>
      <c r="BL1237" s="147"/>
      <c r="BM1237" s="147"/>
      <c r="BN1237" s="147"/>
      <c r="BO1237" s="147"/>
      <c r="BP1237" s="147"/>
      <c r="BQ1237" s="147"/>
      <c r="BR1237" s="147"/>
      <c r="BS1237" s="147"/>
      <c r="BT1237" s="147"/>
      <c r="BU1237" s="147"/>
      <c r="BV1237" s="147"/>
      <c r="BW1237" s="147"/>
      <c r="BX1237" s="147"/>
      <c r="BY1237" s="147"/>
      <c r="BZ1237" s="147"/>
      <c r="CA1237" s="147"/>
      <c r="CB1237" s="147"/>
      <c r="CC1237" s="147"/>
      <c r="CD1237" s="147"/>
      <c r="CE1237" s="147"/>
      <c r="CF1237" s="147"/>
      <c r="CG1237" s="147"/>
      <c r="CH1237" s="147"/>
      <c r="CI1237" s="147"/>
      <c r="CJ1237" s="147"/>
      <c r="CK1237" s="147"/>
    </row>
    <row r="1238" spans="1:89">
      <c r="A1238" s="157"/>
      <c r="F1238" s="3"/>
      <c r="G1238" s="3"/>
      <c r="L1238" s="157"/>
      <c r="M1238" s="157"/>
      <c r="O1238" s="147"/>
      <c r="P1238" s="147"/>
      <c r="Q1238" s="147"/>
      <c r="R1238" s="147"/>
      <c r="S1238" s="147"/>
      <c r="T1238" s="147"/>
      <c r="U1238" s="147"/>
      <c r="V1238" s="147"/>
      <c r="W1238" s="147"/>
      <c r="X1238" s="147"/>
      <c r="Y1238" s="147"/>
      <c r="Z1238" s="147"/>
      <c r="AA1238" s="147"/>
      <c r="AB1238" s="147"/>
      <c r="AC1238" s="147"/>
      <c r="AD1238" s="147"/>
      <c r="AE1238" s="147"/>
      <c r="AF1238" s="147"/>
      <c r="AG1238" s="147"/>
      <c r="AH1238" s="147"/>
      <c r="AI1238" s="147"/>
      <c r="AJ1238" s="147"/>
      <c r="AK1238" s="147"/>
      <c r="AL1238" s="147"/>
      <c r="AM1238" s="151"/>
      <c r="AN1238" s="147"/>
      <c r="AO1238" s="147"/>
      <c r="AP1238" s="147"/>
      <c r="AQ1238" s="147"/>
      <c r="AR1238" s="147"/>
      <c r="AS1238" s="147"/>
      <c r="AT1238" s="147"/>
      <c r="AU1238" s="147"/>
      <c r="AV1238" s="147"/>
      <c r="AW1238" s="147"/>
      <c r="AX1238" s="147"/>
      <c r="AY1238" s="147"/>
      <c r="AZ1238" s="147"/>
      <c r="BA1238" s="147"/>
      <c r="BB1238" s="147"/>
      <c r="BC1238" s="147"/>
      <c r="BD1238" s="147"/>
      <c r="BE1238" s="147"/>
      <c r="BF1238" s="147"/>
      <c r="BG1238" s="147"/>
      <c r="BH1238" s="147"/>
      <c r="BI1238" s="147"/>
      <c r="BJ1238" s="147"/>
      <c r="BK1238" s="147"/>
      <c r="BL1238" s="147"/>
      <c r="BM1238" s="147"/>
      <c r="BN1238" s="147"/>
      <c r="BO1238" s="147"/>
      <c r="BP1238" s="147"/>
      <c r="BQ1238" s="147"/>
      <c r="BR1238" s="147"/>
      <c r="BS1238" s="147"/>
      <c r="BT1238" s="147"/>
      <c r="BU1238" s="147"/>
      <c r="BV1238" s="147"/>
      <c r="BW1238" s="147"/>
      <c r="BX1238" s="147"/>
      <c r="BY1238" s="147"/>
      <c r="BZ1238" s="147"/>
      <c r="CA1238" s="147"/>
      <c r="CB1238" s="147"/>
      <c r="CC1238" s="147"/>
      <c r="CD1238" s="147"/>
      <c r="CE1238" s="147"/>
      <c r="CF1238" s="147"/>
      <c r="CG1238" s="147"/>
      <c r="CH1238" s="147"/>
      <c r="CI1238" s="147"/>
      <c r="CJ1238" s="147"/>
      <c r="CK1238" s="147"/>
    </row>
    <row r="1239" spans="1:89">
      <c r="A1239" s="157"/>
      <c r="F1239" s="3"/>
      <c r="G1239" s="3"/>
      <c r="L1239" s="157"/>
      <c r="M1239" s="157"/>
      <c r="O1239" s="147"/>
      <c r="P1239" s="147"/>
      <c r="Q1239" s="147"/>
      <c r="R1239" s="147"/>
      <c r="S1239" s="147"/>
      <c r="T1239" s="147"/>
      <c r="U1239" s="147"/>
      <c r="V1239" s="147"/>
      <c r="W1239" s="147"/>
      <c r="X1239" s="147"/>
      <c r="Y1239" s="147"/>
      <c r="Z1239" s="147"/>
      <c r="AA1239" s="147"/>
      <c r="AB1239" s="147"/>
      <c r="AC1239" s="147"/>
      <c r="AD1239" s="147"/>
      <c r="AE1239" s="147"/>
      <c r="AF1239" s="147"/>
      <c r="AG1239" s="147"/>
      <c r="AH1239" s="147"/>
      <c r="AI1239" s="147"/>
      <c r="AJ1239" s="147"/>
      <c r="AK1239" s="147"/>
      <c r="AL1239" s="147"/>
      <c r="AM1239" s="151"/>
      <c r="AN1239" s="147"/>
      <c r="AO1239" s="147"/>
      <c r="AP1239" s="147"/>
      <c r="AQ1239" s="147"/>
      <c r="AR1239" s="147"/>
      <c r="AS1239" s="147"/>
      <c r="AT1239" s="147"/>
      <c r="AU1239" s="147"/>
      <c r="AV1239" s="147"/>
      <c r="AW1239" s="147"/>
      <c r="AX1239" s="147"/>
      <c r="AY1239" s="147"/>
      <c r="AZ1239" s="147"/>
      <c r="BA1239" s="147"/>
      <c r="BB1239" s="147"/>
      <c r="BC1239" s="147"/>
      <c r="BD1239" s="147"/>
      <c r="BE1239" s="147"/>
      <c r="BF1239" s="147"/>
      <c r="BG1239" s="147"/>
      <c r="BH1239" s="147"/>
      <c r="BI1239" s="147"/>
      <c r="BJ1239" s="147"/>
      <c r="BK1239" s="147"/>
      <c r="BL1239" s="147"/>
      <c r="BM1239" s="147"/>
      <c r="BN1239" s="147"/>
      <c r="BO1239" s="147"/>
      <c r="BP1239" s="147"/>
      <c r="BQ1239" s="147"/>
      <c r="BR1239" s="147"/>
      <c r="BS1239" s="147"/>
      <c r="BT1239" s="147"/>
      <c r="BU1239" s="147"/>
      <c r="BV1239" s="147"/>
      <c r="BW1239" s="147"/>
      <c r="BX1239" s="147"/>
      <c r="BY1239" s="147"/>
      <c r="BZ1239" s="147"/>
      <c r="CA1239" s="147"/>
      <c r="CB1239" s="147"/>
      <c r="CC1239" s="147"/>
      <c r="CD1239" s="147"/>
      <c r="CE1239" s="147"/>
      <c r="CF1239" s="147"/>
      <c r="CG1239" s="147"/>
      <c r="CH1239" s="147"/>
      <c r="CI1239" s="147"/>
      <c r="CJ1239" s="147"/>
      <c r="CK1239" s="147"/>
    </row>
    <row r="1240" spans="1:89">
      <c r="A1240" s="157"/>
      <c r="F1240" s="3"/>
      <c r="G1240" s="3"/>
      <c r="L1240" s="157"/>
      <c r="M1240" s="157"/>
      <c r="O1240" s="147"/>
      <c r="P1240" s="147"/>
      <c r="Q1240" s="147"/>
      <c r="R1240" s="147"/>
      <c r="S1240" s="147"/>
      <c r="T1240" s="147"/>
      <c r="U1240" s="147"/>
      <c r="V1240" s="147"/>
      <c r="W1240" s="147"/>
      <c r="X1240" s="147"/>
      <c r="Y1240" s="147"/>
      <c r="Z1240" s="147"/>
      <c r="AA1240" s="147"/>
      <c r="AB1240" s="147"/>
      <c r="AC1240" s="147"/>
      <c r="AD1240" s="147"/>
      <c r="AE1240" s="147"/>
      <c r="AF1240" s="147"/>
      <c r="AG1240" s="147"/>
      <c r="AH1240" s="147"/>
      <c r="AI1240" s="147"/>
      <c r="AJ1240" s="147"/>
      <c r="AK1240" s="147"/>
      <c r="AL1240" s="147"/>
      <c r="AM1240" s="151"/>
      <c r="AN1240" s="147"/>
      <c r="AO1240" s="147"/>
      <c r="AP1240" s="147"/>
      <c r="AQ1240" s="147"/>
      <c r="AR1240" s="147"/>
      <c r="AS1240" s="147"/>
      <c r="AT1240" s="147"/>
      <c r="AU1240" s="147"/>
      <c r="AV1240" s="147"/>
      <c r="AW1240" s="147"/>
      <c r="AX1240" s="147"/>
      <c r="AY1240" s="147"/>
      <c r="AZ1240" s="147"/>
      <c r="BA1240" s="147"/>
      <c r="BB1240" s="147"/>
      <c r="BC1240" s="147"/>
      <c r="BD1240" s="147"/>
      <c r="BE1240" s="147"/>
      <c r="BF1240" s="147"/>
      <c r="BG1240" s="147"/>
      <c r="BH1240" s="147"/>
      <c r="BI1240" s="147"/>
      <c r="BJ1240" s="147"/>
      <c r="BK1240" s="147"/>
      <c r="BL1240" s="147"/>
      <c r="BM1240" s="147"/>
      <c r="BN1240" s="147"/>
      <c r="BO1240" s="147"/>
      <c r="BP1240" s="147"/>
      <c r="BQ1240" s="147"/>
      <c r="BR1240" s="147"/>
      <c r="BS1240" s="147"/>
      <c r="BT1240" s="147"/>
      <c r="BU1240" s="147"/>
      <c r="BV1240" s="147"/>
      <c r="BW1240" s="147"/>
      <c r="BX1240" s="147"/>
      <c r="BY1240" s="147"/>
      <c r="BZ1240" s="147"/>
      <c r="CA1240" s="147"/>
      <c r="CB1240" s="147"/>
      <c r="CC1240" s="147"/>
      <c r="CD1240" s="147"/>
      <c r="CE1240" s="147"/>
      <c r="CF1240" s="147"/>
      <c r="CG1240" s="147"/>
      <c r="CH1240" s="147"/>
      <c r="CI1240" s="147"/>
      <c r="CJ1240" s="147"/>
      <c r="CK1240" s="147"/>
    </row>
    <row r="1241" spans="1:89">
      <c r="A1241" s="157"/>
      <c r="F1241" s="3"/>
      <c r="G1241" s="3"/>
      <c r="L1241" s="157"/>
      <c r="M1241" s="157"/>
      <c r="O1241" s="147"/>
      <c r="P1241" s="147"/>
      <c r="Q1241" s="147"/>
      <c r="R1241" s="147"/>
      <c r="S1241" s="147"/>
      <c r="T1241" s="147"/>
      <c r="U1241" s="147"/>
      <c r="V1241" s="147"/>
      <c r="W1241" s="147"/>
      <c r="X1241" s="147"/>
      <c r="Y1241" s="147"/>
      <c r="Z1241" s="147"/>
      <c r="AA1241" s="147"/>
      <c r="AB1241" s="147"/>
      <c r="AC1241" s="147"/>
      <c r="AD1241" s="147"/>
      <c r="AE1241" s="147"/>
      <c r="AF1241" s="147"/>
      <c r="AG1241" s="147"/>
      <c r="AH1241" s="147"/>
      <c r="AI1241" s="147"/>
      <c r="AJ1241" s="147"/>
      <c r="AK1241" s="147"/>
      <c r="AL1241" s="147"/>
      <c r="AM1241" s="151"/>
      <c r="AN1241" s="147"/>
      <c r="AO1241" s="147"/>
      <c r="AP1241" s="147"/>
      <c r="AQ1241" s="147"/>
      <c r="AR1241" s="147"/>
      <c r="AS1241" s="147"/>
      <c r="AT1241" s="147"/>
      <c r="AU1241" s="147"/>
      <c r="AV1241" s="147"/>
      <c r="AW1241" s="147"/>
      <c r="AX1241" s="147"/>
      <c r="AY1241" s="147"/>
      <c r="AZ1241" s="147"/>
      <c r="BA1241" s="147"/>
      <c r="BB1241" s="147"/>
      <c r="BC1241" s="147"/>
      <c r="BD1241" s="147"/>
      <c r="BE1241" s="147"/>
      <c r="BF1241" s="147"/>
      <c r="BG1241" s="147"/>
      <c r="BH1241" s="147"/>
      <c r="BI1241" s="147"/>
      <c r="BJ1241" s="147"/>
      <c r="BK1241" s="147"/>
      <c r="BL1241" s="147"/>
      <c r="BM1241" s="147"/>
      <c r="BN1241" s="147"/>
      <c r="BO1241" s="147"/>
      <c r="BP1241" s="147"/>
      <c r="BQ1241" s="147"/>
      <c r="BR1241" s="147"/>
      <c r="BS1241" s="147"/>
      <c r="BT1241" s="147"/>
      <c r="BU1241" s="147"/>
      <c r="BV1241" s="147"/>
      <c r="BW1241" s="147"/>
      <c r="BX1241" s="147"/>
      <c r="BY1241" s="147"/>
      <c r="BZ1241" s="147"/>
      <c r="CA1241" s="147"/>
      <c r="CB1241" s="147"/>
      <c r="CC1241" s="147"/>
      <c r="CD1241" s="147"/>
      <c r="CE1241" s="147"/>
      <c r="CF1241" s="147"/>
      <c r="CG1241" s="147"/>
      <c r="CH1241" s="147"/>
      <c r="CI1241" s="147"/>
      <c r="CJ1241" s="147"/>
      <c r="CK1241" s="147"/>
    </row>
    <row r="1242" spans="1:89">
      <c r="A1242" s="157"/>
      <c r="F1242" s="3"/>
      <c r="G1242" s="3"/>
      <c r="L1242" s="157"/>
      <c r="M1242" s="157"/>
      <c r="O1242" s="147"/>
      <c r="P1242" s="147"/>
      <c r="Q1242" s="147"/>
      <c r="R1242" s="147"/>
      <c r="S1242" s="147"/>
      <c r="T1242" s="147"/>
      <c r="U1242" s="147"/>
      <c r="V1242" s="147"/>
      <c r="W1242" s="147"/>
      <c r="X1242" s="147"/>
      <c r="Y1242" s="147"/>
      <c r="Z1242" s="147"/>
      <c r="AA1242" s="147"/>
      <c r="AB1242" s="147"/>
      <c r="AC1242" s="147"/>
      <c r="AD1242" s="147"/>
      <c r="AE1242" s="147"/>
      <c r="AF1242" s="147"/>
      <c r="AG1242" s="147"/>
      <c r="AH1242" s="147"/>
      <c r="AI1242" s="147"/>
      <c r="AJ1242" s="147"/>
      <c r="AK1242" s="147"/>
      <c r="AL1242" s="147"/>
      <c r="AM1242" s="151"/>
      <c r="AN1242" s="147"/>
      <c r="AO1242" s="147"/>
      <c r="AP1242" s="147"/>
      <c r="AQ1242" s="147"/>
      <c r="AR1242" s="147"/>
      <c r="AS1242" s="147"/>
      <c r="AT1242" s="147"/>
      <c r="AU1242" s="147"/>
      <c r="AV1242" s="147"/>
      <c r="AW1242" s="147"/>
      <c r="AX1242" s="147"/>
      <c r="AY1242" s="147"/>
      <c r="AZ1242" s="147"/>
      <c r="BA1242" s="147"/>
      <c r="BB1242" s="147"/>
      <c r="BC1242" s="147"/>
      <c r="BD1242" s="147"/>
      <c r="BE1242" s="147"/>
      <c r="BF1242" s="147"/>
      <c r="BG1242" s="147"/>
      <c r="BH1242" s="147"/>
      <c r="BI1242" s="147"/>
      <c r="BJ1242" s="147"/>
      <c r="BK1242" s="147"/>
      <c r="BL1242" s="147"/>
      <c r="BM1242" s="147"/>
      <c r="BN1242" s="147"/>
      <c r="BO1242" s="147"/>
      <c r="BP1242" s="147"/>
      <c r="BQ1242" s="147"/>
      <c r="BR1242" s="147"/>
      <c r="BS1242" s="147"/>
      <c r="BT1242" s="147"/>
      <c r="BU1242" s="147"/>
      <c r="BV1242" s="147"/>
      <c r="BW1242" s="147"/>
      <c r="BX1242" s="147"/>
      <c r="BY1242" s="147"/>
      <c r="BZ1242" s="147"/>
      <c r="CA1242" s="147"/>
      <c r="CB1242" s="147"/>
      <c r="CC1242" s="147"/>
      <c r="CD1242" s="147"/>
      <c r="CE1242" s="147"/>
      <c r="CF1242" s="147"/>
      <c r="CG1242" s="147"/>
      <c r="CH1242" s="147"/>
      <c r="CI1242" s="147"/>
      <c r="CJ1242" s="147"/>
      <c r="CK1242" s="147"/>
    </row>
    <row r="1243" spans="1:89">
      <c r="A1243" s="157"/>
      <c r="F1243" s="3"/>
      <c r="G1243" s="3"/>
      <c r="L1243" s="157"/>
      <c r="M1243" s="157"/>
      <c r="O1243" s="147"/>
      <c r="P1243" s="147"/>
      <c r="Q1243" s="147"/>
      <c r="R1243" s="147"/>
      <c r="S1243" s="147"/>
      <c r="T1243" s="147"/>
      <c r="U1243" s="147"/>
      <c r="V1243" s="147"/>
      <c r="W1243" s="147"/>
      <c r="X1243" s="147"/>
      <c r="Y1243" s="147"/>
      <c r="Z1243" s="147"/>
      <c r="AA1243" s="147"/>
      <c r="AB1243" s="147"/>
      <c r="AC1243" s="147"/>
      <c r="AD1243" s="147"/>
      <c r="AE1243" s="147"/>
      <c r="AF1243" s="147"/>
      <c r="AG1243" s="147"/>
      <c r="AH1243" s="147"/>
      <c r="AI1243" s="147"/>
      <c r="AJ1243" s="147"/>
      <c r="AK1243" s="147"/>
      <c r="AL1243" s="147"/>
      <c r="AM1243" s="151"/>
      <c r="AN1243" s="147"/>
      <c r="AO1243" s="147"/>
      <c r="AP1243" s="147"/>
      <c r="AQ1243" s="147"/>
      <c r="AR1243" s="147"/>
      <c r="AS1243" s="147"/>
      <c r="AT1243" s="147"/>
      <c r="AU1243" s="147"/>
      <c r="AV1243" s="147"/>
      <c r="AW1243" s="147"/>
      <c r="AX1243" s="147"/>
      <c r="AY1243" s="147"/>
      <c r="AZ1243" s="147"/>
      <c r="BA1243" s="147"/>
      <c r="BB1243" s="147"/>
      <c r="BC1243" s="147"/>
      <c r="BD1243" s="147"/>
      <c r="BE1243" s="147"/>
      <c r="BF1243" s="147"/>
      <c r="BG1243" s="147"/>
      <c r="BH1243" s="147"/>
      <c r="BI1243" s="147"/>
      <c r="BJ1243" s="147"/>
      <c r="BK1243" s="147"/>
      <c r="BL1243" s="147"/>
      <c r="BM1243" s="147"/>
      <c r="BN1243" s="147"/>
      <c r="BO1243" s="147"/>
      <c r="BP1243" s="147"/>
      <c r="BQ1243" s="147"/>
      <c r="BR1243" s="147"/>
      <c r="BS1243" s="147"/>
      <c r="BT1243" s="147"/>
      <c r="BU1243" s="147"/>
      <c r="BV1243" s="147"/>
      <c r="BW1243" s="147"/>
      <c r="BX1243" s="147"/>
      <c r="BY1243" s="147"/>
      <c r="BZ1243" s="147"/>
      <c r="CA1243" s="147"/>
      <c r="CB1243" s="147"/>
      <c r="CC1243" s="147"/>
      <c r="CD1243" s="147"/>
      <c r="CE1243" s="147"/>
      <c r="CF1243" s="147"/>
      <c r="CG1243" s="147"/>
      <c r="CH1243" s="147"/>
      <c r="CI1243" s="147"/>
      <c r="CJ1243" s="147"/>
      <c r="CK1243" s="147"/>
    </row>
    <row r="1244" spans="1:89">
      <c r="A1244" s="157"/>
      <c r="F1244" s="3"/>
      <c r="G1244" s="3"/>
      <c r="L1244" s="157"/>
      <c r="M1244" s="157"/>
      <c r="O1244" s="147"/>
      <c r="P1244" s="147"/>
      <c r="Q1244" s="147"/>
      <c r="R1244" s="147"/>
      <c r="S1244" s="147"/>
      <c r="T1244" s="147"/>
      <c r="U1244" s="147"/>
      <c r="V1244" s="147"/>
      <c r="W1244" s="147"/>
      <c r="X1244" s="147"/>
      <c r="Y1244" s="147"/>
      <c r="Z1244" s="147"/>
      <c r="AA1244" s="147"/>
      <c r="AB1244" s="147"/>
      <c r="AC1244" s="147"/>
      <c r="AD1244" s="147"/>
      <c r="AE1244" s="147"/>
      <c r="AF1244" s="147"/>
      <c r="AG1244" s="147"/>
      <c r="AH1244" s="147"/>
      <c r="AI1244" s="147"/>
      <c r="AJ1244" s="147"/>
      <c r="AK1244" s="147"/>
      <c r="AL1244" s="147"/>
      <c r="AM1244" s="151"/>
      <c r="AN1244" s="147"/>
      <c r="AO1244" s="147"/>
      <c r="AP1244" s="147"/>
      <c r="AQ1244" s="147"/>
      <c r="AR1244" s="147"/>
      <c r="AS1244" s="147"/>
      <c r="AT1244" s="147"/>
      <c r="AU1244" s="147"/>
      <c r="AV1244" s="147"/>
      <c r="AW1244" s="147"/>
      <c r="AX1244" s="147"/>
      <c r="AY1244" s="147"/>
      <c r="AZ1244" s="147"/>
      <c r="BA1244" s="147"/>
      <c r="BB1244" s="147"/>
      <c r="BC1244" s="147"/>
      <c r="BD1244" s="147"/>
      <c r="BE1244" s="147"/>
      <c r="BF1244" s="147"/>
      <c r="BG1244" s="147"/>
      <c r="BH1244" s="147"/>
      <c r="BI1244" s="147"/>
      <c r="BJ1244" s="147"/>
      <c r="BK1244" s="147"/>
      <c r="BL1244" s="147"/>
      <c r="BM1244" s="147"/>
      <c r="BN1244" s="147"/>
      <c r="BO1244" s="147"/>
      <c r="BP1244" s="147"/>
      <c r="BQ1244" s="147"/>
      <c r="BR1244" s="147"/>
      <c r="BS1244" s="147"/>
      <c r="BT1244" s="147"/>
      <c r="BU1244" s="147"/>
      <c r="BV1244" s="147"/>
      <c r="BW1244" s="147"/>
      <c r="BX1244" s="147"/>
      <c r="BY1244" s="147"/>
      <c r="BZ1244" s="147"/>
      <c r="CA1244" s="147"/>
      <c r="CB1244" s="147"/>
      <c r="CC1244" s="147"/>
      <c r="CD1244" s="147"/>
      <c r="CE1244" s="147"/>
      <c r="CF1244" s="147"/>
      <c r="CG1244" s="147"/>
      <c r="CH1244" s="147"/>
      <c r="CI1244" s="147"/>
      <c r="CJ1244" s="147"/>
      <c r="CK1244" s="147"/>
    </row>
    <row r="1245" spans="1:89">
      <c r="A1245" s="157"/>
      <c r="F1245" s="3"/>
      <c r="G1245" s="3"/>
      <c r="L1245" s="157"/>
      <c r="M1245" s="157"/>
      <c r="O1245" s="147"/>
      <c r="P1245" s="147"/>
      <c r="Q1245" s="147"/>
      <c r="R1245" s="147"/>
      <c r="S1245" s="147"/>
      <c r="T1245" s="147"/>
      <c r="U1245" s="147"/>
      <c r="V1245" s="147"/>
      <c r="W1245" s="147"/>
      <c r="X1245" s="147"/>
      <c r="Y1245" s="147"/>
      <c r="Z1245" s="147"/>
      <c r="AA1245" s="147"/>
      <c r="AB1245" s="147"/>
      <c r="AC1245" s="147"/>
      <c r="AD1245" s="147"/>
      <c r="AE1245" s="147"/>
      <c r="AF1245" s="147"/>
      <c r="AG1245" s="147"/>
      <c r="AH1245" s="147"/>
      <c r="AI1245" s="147"/>
      <c r="AJ1245" s="147"/>
      <c r="AK1245" s="147"/>
      <c r="AL1245" s="147"/>
      <c r="AM1245" s="151"/>
      <c r="AN1245" s="147"/>
      <c r="AO1245" s="147"/>
      <c r="AP1245" s="147"/>
      <c r="AQ1245" s="147"/>
      <c r="AR1245" s="147"/>
      <c r="AS1245" s="147"/>
      <c r="AT1245" s="147"/>
      <c r="AU1245" s="147"/>
      <c r="AV1245" s="147"/>
      <c r="AW1245" s="147"/>
      <c r="AX1245" s="147"/>
      <c r="AY1245" s="147"/>
      <c r="AZ1245" s="147"/>
      <c r="BA1245" s="147"/>
      <c r="BB1245" s="147"/>
      <c r="BC1245" s="147"/>
      <c r="BD1245" s="147"/>
      <c r="BE1245" s="147"/>
      <c r="BF1245" s="147"/>
      <c r="BG1245" s="147"/>
      <c r="BH1245" s="147"/>
      <c r="BI1245" s="147"/>
      <c r="BJ1245" s="147"/>
      <c r="BK1245" s="147"/>
      <c r="BL1245" s="147"/>
      <c r="BM1245" s="147"/>
      <c r="BN1245" s="147"/>
      <c r="BO1245" s="147"/>
      <c r="BP1245" s="147"/>
      <c r="BQ1245" s="147"/>
      <c r="BR1245" s="147"/>
      <c r="BS1245" s="147"/>
      <c r="BT1245" s="147"/>
      <c r="BU1245" s="147"/>
      <c r="BV1245" s="147"/>
      <c r="BW1245" s="147"/>
      <c r="BX1245" s="147"/>
      <c r="BY1245" s="147"/>
      <c r="BZ1245" s="147"/>
      <c r="CA1245" s="147"/>
      <c r="CB1245" s="147"/>
      <c r="CC1245" s="147"/>
      <c r="CD1245" s="147"/>
      <c r="CE1245" s="147"/>
      <c r="CF1245" s="147"/>
      <c r="CG1245" s="147"/>
      <c r="CH1245" s="147"/>
      <c r="CI1245" s="147"/>
      <c r="CJ1245" s="147"/>
      <c r="CK1245" s="147"/>
    </row>
    <row r="1246" spans="1:89">
      <c r="A1246" s="157"/>
      <c r="F1246" s="3"/>
      <c r="G1246" s="3"/>
      <c r="L1246" s="157"/>
      <c r="M1246" s="157"/>
      <c r="O1246" s="147"/>
      <c r="P1246" s="147"/>
      <c r="Q1246" s="147"/>
      <c r="R1246" s="147"/>
      <c r="S1246" s="147"/>
      <c r="T1246" s="147"/>
      <c r="U1246" s="147"/>
      <c r="V1246" s="147"/>
      <c r="W1246" s="147"/>
      <c r="X1246" s="147"/>
      <c r="Y1246" s="147"/>
      <c r="Z1246" s="147"/>
      <c r="AA1246" s="147"/>
      <c r="AB1246" s="147"/>
      <c r="AC1246" s="147"/>
      <c r="AD1246" s="147"/>
      <c r="AE1246" s="147"/>
      <c r="AF1246" s="147"/>
      <c r="AG1246" s="147"/>
      <c r="AH1246" s="147"/>
      <c r="AI1246" s="147"/>
      <c r="AJ1246" s="147"/>
      <c r="AK1246" s="147"/>
      <c r="AL1246" s="147"/>
      <c r="AM1246" s="151"/>
      <c r="AN1246" s="147"/>
      <c r="AO1246" s="147"/>
      <c r="AP1246" s="147"/>
      <c r="AQ1246" s="147"/>
      <c r="AR1246" s="147"/>
      <c r="AS1246" s="147"/>
      <c r="AT1246" s="147"/>
      <c r="AU1246" s="147"/>
      <c r="AV1246" s="147"/>
      <c r="AW1246" s="147"/>
      <c r="AX1246" s="147"/>
      <c r="AY1246" s="147"/>
      <c r="AZ1246" s="147"/>
      <c r="BA1246" s="147"/>
      <c r="BB1246" s="147"/>
      <c r="BC1246" s="147"/>
      <c r="BD1246" s="147"/>
      <c r="BE1246" s="147"/>
      <c r="BF1246" s="147"/>
      <c r="BG1246" s="147"/>
      <c r="BH1246" s="147"/>
      <c r="BI1246" s="147"/>
      <c r="BJ1246" s="147"/>
      <c r="BK1246" s="147"/>
      <c r="BL1246" s="147"/>
      <c r="BM1246" s="147"/>
      <c r="BN1246" s="147"/>
      <c r="BO1246" s="147"/>
      <c r="BP1246" s="147"/>
      <c r="BQ1246" s="147"/>
      <c r="BR1246" s="147"/>
      <c r="BS1246" s="147"/>
      <c r="BT1246" s="147"/>
      <c r="BU1246" s="147"/>
      <c r="BV1246" s="147"/>
      <c r="BW1246" s="147"/>
      <c r="BX1246" s="147"/>
      <c r="BY1246" s="147"/>
      <c r="BZ1246" s="147"/>
      <c r="CA1246" s="147"/>
      <c r="CB1246" s="147"/>
      <c r="CC1246" s="147"/>
      <c r="CD1246" s="147"/>
      <c r="CE1246" s="147"/>
      <c r="CF1246" s="147"/>
      <c r="CG1246" s="147"/>
      <c r="CH1246" s="147"/>
      <c r="CI1246" s="147"/>
      <c r="CJ1246" s="147"/>
      <c r="CK1246" s="147"/>
    </row>
    <row r="1247" spans="1:89">
      <c r="A1247" s="157"/>
      <c r="F1247" s="3"/>
      <c r="G1247" s="3"/>
      <c r="L1247" s="157"/>
      <c r="M1247" s="157"/>
      <c r="O1247" s="147"/>
      <c r="P1247" s="147"/>
      <c r="Q1247" s="147"/>
      <c r="R1247" s="147"/>
      <c r="S1247" s="147"/>
      <c r="T1247" s="147"/>
      <c r="U1247" s="147"/>
      <c r="V1247" s="147"/>
      <c r="W1247" s="147"/>
      <c r="X1247" s="147"/>
      <c r="Y1247" s="147"/>
      <c r="Z1247" s="147"/>
      <c r="AA1247" s="147"/>
      <c r="AB1247" s="147"/>
      <c r="AC1247" s="147"/>
      <c r="AD1247" s="147"/>
      <c r="AE1247" s="147"/>
      <c r="AF1247" s="147"/>
      <c r="AG1247" s="147"/>
      <c r="AH1247" s="147"/>
      <c r="AI1247" s="147"/>
      <c r="AJ1247" s="147"/>
      <c r="AK1247" s="147"/>
      <c r="AL1247" s="147"/>
      <c r="AM1247" s="151"/>
      <c r="AN1247" s="147"/>
      <c r="AO1247" s="147"/>
      <c r="AP1247" s="147"/>
      <c r="AQ1247" s="147"/>
      <c r="AR1247" s="147"/>
      <c r="AS1247" s="147"/>
      <c r="AT1247" s="147"/>
      <c r="AU1247" s="147"/>
      <c r="AV1247" s="147"/>
      <c r="AW1247" s="147"/>
      <c r="AX1247" s="147"/>
      <c r="AY1247" s="147"/>
      <c r="AZ1247" s="147"/>
      <c r="BA1247" s="147"/>
      <c r="BB1247" s="147"/>
      <c r="BC1247" s="147"/>
      <c r="BD1247" s="147"/>
      <c r="BE1247" s="147"/>
      <c r="BF1247" s="147"/>
      <c r="BG1247" s="147"/>
      <c r="BH1247" s="147"/>
      <c r="BI1247" s="147"/>
      <c r="BJ1247" s="147"/>
      <c r="BK1247" s="147"/>
      <c r="BL1247" s="147"/>
      <c r="BM1247" s="147"/>
      <c r="BN1247" s="147"/>
      <c r="BO1247" s="147"/>
      <c r="BP1247" s="147"/>
      <c r="BQ1247" s="147"/>
      <c r="BR1247" s="147"/>
      <c r="BS1247" s="147"/>
      <c r="BT1247" s="147"/>
      <c r="BU1247" s="147"/>
      <c r="BV1247" s="147"/>
      <c r="BW1247" s="147"/>
      <c r="BX1247" s="147"/>
      <c r="BY1247" s="147"/>
      <c r="BZ1247" s="147"/>
      <c r="CA1247" s="147"/>
      <c r="CB1247" s="147"/>
      <c r="CC1247" s="147"/>
      <c r="CD1247" s="147"/>
      <c r="CE1247" s="147"/>
      <c r="CF1247" s="147"/>
      <c r="CG1247" s="147"/>
      <c r="CH1247" s="147"/>
      <c r="CI1247" s="147"/>
      <c r="CJ1247" s="147"/>
      <c r="CK1247" s="147"/>
    </row>
    <row r="1248" spans="1:89">
      <c r="A1248" s="157"/>
      <c r="F1248" s="3"/>
      <c r="G1248" s="3"/>
      <c r="L1248" s="157"/>
      <c r="M1248" s="157"/>
      <c r="O1248" s="147"/>
      <c r="P1248" s="147"/>
      <c r="Q1248" s="147"/>
      <c r="R1248" s="147"/>
      <c r="S1248" s="147"/>
      <c r="T1248" s="147"/>
      <c r="U1248" s="147"/>
      <c r="V1248" s="147"/>
      <c r="W1248" s="147"/>
      <c r="X1248" s="147"/>
      <c r="Y1248" s="147"/>
      <c r="Z1248" s="147"/>
      <c r="AA1248" s="147"/>
      <c r="AB1248" s="147"/>
      <c r="AC1248" s="147"/>
      <c r="AD1248" s="147"/>
      <c r="AE1248" s="147"/>
      <c r="AF1248" s="147"/>
      <c r="AG1248" s="147"/>
      <c r="AH1248" s="147"/>
      <c r="AI1248" s="147"/>
      <c r="AJ1248" s="147"/>
      <c r="AK1248" s="147"/>
      <c r="AL1248" s="147"/>
      <c r="AM1248" s="151"/>
      <c r="AN1248" s="147"/>
      <c r="AO1248" s="147"/>
      <c r="AP1248" s="147"/>
      <c r="AQ1248" s="147"/>
      <c r="AR1248" s="147"/>
      <c r="AS1248" s="147"/>
      <c r="AT1248" s="147"/>
      <c r="AU1248" s="147"/>
      <c r="AV1248" s="147"/>
      <c r="AW1248" s="147"/>
      <c r="AX1248" s="147"/>
      <c r="AY1248" s="147"/>
      <c r="AZ1248" s="147"/>
      <c r="BA1248" s="147"/>
      <c r="BB1248" s="147"/>
      <c r="BC1248" s="147"/>
      <c r="BD1248" s="147"/>
      <c r="BE1248" s="147"/>
      <c r="BF1248" s="147"/>
      <c r="BG1248" s="147"/>
      <c r="BH1248" s="147"/>
      <c r="BI1248" s="147"/>
      <c r="BJ1248" s="147"/>
      <c r="BK1248" s="147"/>
      <c r="BL1248" s="147"/>
      <c r="BM1248" s="147"/>
      <c r="BN1248" s="147"/>
      <c r="BO1248" s="147"/>
      <c r="BP1248" s="147"/>
      <c r="BQ1248" s="147"/>
      <c r="BR1248" s="147"/>
      <c r="BS1248" s="147"/>
      <c r="BT1248" s="147"/>
      <c r="BU1248" s="147"/>
      <c r="BV1248" s="147"/>
      <c r="BW1248" s="147"/>
      <c r="BX1248" s="147"/>
      <c r="BY1248" s="147"/>
      <c r="BZ1248" s="147"/>
      <c r="CA1248" s="147"/>
      <c r="CB1248" s="147"/>
      <c r="CC1248" s="147"/>
      <c r="CD1248" s="147"/>
      <c r="CE1248" s="147"/>
      <c r="CF1248" s="147"/>
      <c r="CG1248" s="147"/>
      <c r="CH1248" s="147"/>
      <c r="CI1248" s="147"/>
      <c r="CJ1248" s="147"/>
      <c r="CK1248" s="147"/>
    </row>
    <row r="1249" spans="1:89">
      <c r="A1249" s="157"/>
      <c r="F1249" s="3"/>
      <c r="G1249" s="3"/>
      <c r="L1249" s="157"/>
      <c r="M1249" s="157"/>
      <c r="O1249" s="147"/>
      <c r="P1249" s="147"/>
      <c r="Q1249" s="147"/>
      <c r="R1249" s="147"/>
      <c r="S1249" s="147"/>
      <c r="T1249" s="147"/>
      <c r="U1249" s="147"/>
      <c r="V1249" s="147"/>
      <c r="W1249" s="147"/>
      <c r="X1249" s="147"/>
      <c r="Y1249" s="147"/>
      <c r="Z1249" s="147"/>
      <c r="AA1249" s="147"/>
      <c r="AB1249" s="147"/>
      <c r="AC1249" s="147"/>
      <c r="AD1249" s="147"/>
      <c r="AE1249" s="147"/>
      <c r="AF1249" s="147"/>
      <c r="AG1249" s="147"/>
      <c r="AH1249" s="147"/>
      <c r="AI1249" s="147"/>
      <c r="AJ1249" s="147"/>
      <c r="AK1249" s="147"/>
      <c r="AL1249" s="147"/>
      <c r="AM1249" s="151"/>
      <c r="AN1249" s="147"/>
      <c r="AO1249" s="147"/>
      <c r="AP1249" s="147"/>
      <c r="AQ1249" s="147"/>
      <c r="AR1249" s="147"/>
      <c r="AS1249" s="147"/>
      <c r="AT1249" s="147"/>
      <c r="AU1249" s="147"/>
      <c r="AV1249" s="147"/>
      <c r="AW1249" s="147"/>
      <c r="AX1249" s="147"/>
      <c r="AY1249" s="147"/>
      <c r="AZ1249" s="147"/>
      <c r="BA1249" s="147"/>
      <c r="BB1249" s="147"/>
      <c r="BC1249" s="147"/>
      <c r="BD1249" s="147"/>
      <c r="BE1249" s="147"/>
      <c r="BF1249" s="147"/>
      <c r="BG1249" s="147"/>
      <c r="BH1249" s="147"/>
      <c r="BI1249" s="147"/>
      <c r="BJ1249" s="147"/>
      <c r="BK1249" s="147"/>
      <c r="BL1249" s="147"/>
      <c r="BM1249" s="147"/>
      <c r="BN1249" s="147"/>
      <c r="BO1249" s="147"/>
      <c r="BP1249" s="147"/>
      <c r="BQ1249" s="147"/>
      <c r="BR1249" s="147"/>
      <c r="BS1249" s="147"/>
      <c r="BT1249" s="147"/>
      <c r="BU1249" s="147"/>
      <c r="BV1249" s="147"/>
      <c r="BW1249" s="147"/>
      <c r="BX1249" s="147"/>
      <c r="BY1249" s="147"/>
      <c r="BZ1249" s="147"/>
      <c r="CA1249" s="147"/>
      <c r="CB1249" s="147"/>
      <c r="CC1249" s="147"/>
      <c r="CD1249" s="147"/>
      <c r="CE1249" s="147"/>
      <c r="CF1249" s="147"/>
      <c r="CG1249" s="147"/>
      <c r="CH1249" s="147"/>
      <c r="CI1249" s="147"/>
      <c r="CJ1249" s="147"/>
      <c r="CK1249" s="147"/>
    </row>
    <row r="1250" spans="1:89">
      <c r="A1250" s="157"/>
      <c r="F1250" s="3"/>
      <c r="G1250" s="3"/>
      <c r="L1250" s="157"/>
      <c r="M1250" s="157"/>
      <c r="O1250" s="147"/>
      <c r="P1250" s="147"/>
      <c r="Q1250" s="147"/>
      <c r="R1250" s="147"/>
      <c r="S1250" s="147"/>
      <c r="T1250" s="147"/>
      <c r="U1250" s="147"/>
      <c r="V1250" s="147"/>
      <c r="W1250" s="147"/>
      <c r="X1250" s="147"/>
      <c r="Y1250" s="147"/>
      <c r="Z1250" s="147"/>
      <c r="AA1250" s="147"/>
      <c r="AB1250" s="147"/>
      <c r="AC1250" s="147"/>
      <c r="AD1250" s="147"/>
      <c r="AE1250" s="147"/>
      <c r="AF1250" s="147"/>
      <c r="AG1250" s="147"/>
      <c r="AH1250" s="147"/>
      <c r="AI1250" s="147"/>
      <c r="AJ1250" s="147"/>
      <c r="AK1250" s="147"/>
      <c r="AL1250" s="147"/>
      <c r="AM1250" s="151"/>
      <c r="AN1250" s="147"/>
      <c r="AO1250" s="147"/>
      <c r="AP1250" s="147"/>
      <c r="AQ1250" s="147"/>
      <c r="AR1250" s="147"/>
      <c r="AS1250" s="147"/>
      <c r="AT1250" s="147"/>
      <c r="AU1250" s="147"/>
      <c r="AV1250" s="147"/>
      <c r="AW1250" s="147"/>
      <c r="AX1250" s="147"/>
      <c r="AY1250" s="147"/>
      <c r="AZ1250" s="147"/>
      <c r="BA1250" s="147"/>
      <c r="BB1250" s="147"/>
      <c r="BC1250" s="147"/>
      <c r="BD1250" s="147"/>
      <c r="BE1250" s="147"/>
      <c r="BF1250" s="147"/>
      <c r="BG1250" s="147"/>
      <c r="BH1250" s="147"/>
      <c r="BI1250" s="147"/>
      <c r="BJ1250" s="147"/>
      <c r="BK1250" s="147"/>
      <c r="BL1250" s="147"/>
      <c r="BM1250" s="147"/>
      <c r="BN1250" s="147"/>
      <c r="BO1250" s="147"/>
      <c r="BP1250" s="147"/>
      <c r="BQ1250" s="147"/>
      <c r="BR1250" s="147"/>
      <c r="BS1250" s="147"/>
      <c r="BT1250" s="147"/>
      <c r="BU1250" s="147"/>
      <c r="BV1250" s="147"/>
      <c r="BW1250" s="147"/>
      <c r="BX1250" s="147"/>
      <c r="BY1250" s="147"/>
      <c r="BZ1250" s="147"/>
      <c r="CA1250" s="147"/>
      <c r="CB1250" s="147"/>
      <c r="CC1250" s="147"/>
      <c r="CD1250" s="147"/>
      <c r="CE1250" s="147"/>
      <c r="CF1250" s="147"/>
      <c r="CG1250" s="147"/>
      <c r="CH1250" s="147"/>
      <c r="CI1250" s="147"/>
      <c r="CJ1250" s="147"/>
      <c r="CK1250" s="147"/>
    </row>
    <row r="1251" spans="1:89">
      <c r="A1251" s="157"/>
      <c r="F1251" s="3"/>
      <c r="G1251" s="3"/>
      <c r="L1251" s="157"/>
      <c r="M1251" s="157"/>
      <c r="O1251" s="147"/>
      <c r="P1251" s="147"/>
      <c r="Q1251" s="147"/>
      <c r="R1251" s="147"/>
      <c r="S1251" s="147"/>
      <c r="T1251" s="147"/>
      <c r="U1251" s="147"/>
      <c r="V1251" s="147"/>
      <c r="W1251" s="147"/>
      <c r="X1251" s="147"/>
      <c r="Y1251" s="147"/>
      <c r="Z1251" s="147"/>
      <c r="AA1251" s="147"/>
      <c r="AB1251" s="147"/>
      <c r="AC1251" s="147"/>
      <c r="AD1251" s="147"/>
      <c r="AE1251" s="147"/>
      <c r="AF1251" s="147"/>
      <c r="AG1251" s="147"/>
      <c r="AH1251" s="147"/>
      <c r="AI1251" s="147"/>
      <c r="AJ1251" s="147"/>
      <c r="AK1251" s="147"/>
      <c r="AL1251" s="147"/>
      <c r="AM1251" s="151"/>
      <c r="AN1251" s="147"/>
      <c r="AO1251" s="147"/>
      <c r="AP1251" s="147"/>
      <c r="AQ1251" s="147"/>
      <c r="AR1251" s="147"/>
      <c r="AS1251" s="147"/>
      <c r="AT1251" s="147"/>
      <c r="AU1251" s="147"/>
      <c r="AV1251" s="147"/>
      <c r="AW1251" s="147"/>
      <c r="AX1251" s="147"/>
      <c r="AY1251" s="147"/>
      <c r="AZ1251" s="147"/>
      <c r="BA1251" s="147"/>
      <c r="BB1251" s="147"/>
      <c r="BC1251" s="147"/>
      <c r="BD1251" s="147"/>
      <c r="BE1251" s="147"/>
      <c r="BF1251" s="147"/>
      <c r="BG1251" s="147"/>
      <c r="BH1251" s="147"/>
      <c r="BI1251" s="147"/>
      <c r="BJ1251" s="147"/>
      <c r="BK1251" s="147"/>
      <c r="BL1251" s="147"/>
      <c r="BM1251" s="147"/>
      <c r="BN1251" s="147"/>
      <c r="BO1251" s="147"/>
      <c r="BP1251" s="147"/>
      <c r="BQ1251" s="147"/>
      <c r="BR1251" s="147"/>
      <c r="BS1251" s="147"/>
      <c r="BT1251" s="147"/>
      <c r="BU1251" s="147"/>
      <c r="BV1251" s="147"/>
      <c r="BW1251" s="147"/>
      <c r="BX1251" s="147"/>
      <c r="BY1251" s="147"/>
      <c r="BZ1251" s="147"/>
      <c r="CA1251" s="147"/>
      <c r="CB1251" s="147"/>
      <c r="CC1251" s="147"/>
      <c r="CD1251" s="147"/>
      <c r="CE1251" s="147"/>
      <c r="CF1251" s="147"/>
      <c r="CG1251" s="147"/>
      <c r="CH1251" s="147"/>
      <c r="CI1251" s="147"/>
      <c r="CJ1251" s="147"/>
      <c r="CK1251" s="147"/>
    </row>
    <row r="1252" spans="1:89">
      <c r="A1252" s="157"/>
      <c r="F1252" s="3"/>
      <c r="G1252" s="3"/>
      <c r="L1252" s="157"/>
      <c r="M1252" s="157"/>
      <c r="O1252" s="147"/>
      <c r="P1252" s="147"/>
      <c r="Q1252" s="147"/>
      <c r="R1252" s="147"/>
      <c r="S1252" s="147"/>
      <c r="T1252" s="147"/>
      <c r="U1252" s="147"/>
      <c r="V1252" s="147"/>
      <c r="W1252" s="147"/>
      <c r="X1252" s="147"/>
      <c r="Y1252" s="147"/>
      <c r="Z1252" s="147"/>
      <c r="AA1252" s="147"/>
      <c r="AB1252" s="147"/>
      <c r="AC1252" s="147"/>
      <c r="AD1252" s="147"/>
      <c r="AE1252" s="147"/>
      <c r="AF1252" s="147"/>
      <c r="AG1252" s="147"/>
      <c r="AH1252" s="147"/>
      <c r="AI1252" s="147"/>
      <c r="AJ1252" s="147"/>
      <c r="AK1252" s="147"/>
      <c r="AL1252" s="147"/>
      <c r="AM1252" s="151"/>
      <c r="AN1252" s="147"/>
      <c r="AO1252" s="147"/>
      <c r="AP1252" s="147"/>
      <c r="AQ1252" s="147"/>
      <c r="AR1252" s="147"/>
      <c r="AS1252" s="147"/>
      <c r="AT1252" s="147"/>
      <c r="AU1252" s="147"/>
      <c r="AV1252" s="147"/>
      <c r="AW1252" s="147"/>
      <c r="AX1252" s="147"/>
      <c r="AY1252" s="147"/>
      <c r="AZ1252" s="147"/>
      <c r="BA1252" s="147"/>
      <c r="BB1252" s="147"/>
      <c r="BC1252" s="147"/>
      <c r="BD1252" s="147"/>
      <c r="BE1252" s="147"/>
      <c r="BF1252" s="147"/>
      <c r="BG1252" s="147"/>
      <c r="BH1252" s="147"/>
      <c r="BI1252" s="147"/>
      <c r="BJ1252" s="147"/>
      <c r="BK1252" s="147"/>
      <c r="BL1252" s="147"/>
      <c r="BM1252" s="147"/>
      <c r="BN1252" s="147"/>
      <c r="BO1252" s="147"/>
      <c r="BP1252" s="147"/>
      <c r="BQ1252" s="147"/>
      <c r="BR1252" s="147"/>
      <c r="BS1252" s="147"/>
      <c r="BT1252" s="147"/>
      <c r="BU1252" s="147"/>
      <c r="BV1252" s="147"/>
      <c r="BW1252" s="147"/>
      <c r="BX1252" s="147"/>
      <c r="BY1252" s="147"/>
      <c r="BZ1252" s="147"/>
      <c r="CA1252" s="147"/>
      <c r="CB1252" s="147"/>
      <c r="CC1252" s="147"/>
      <c r="CD1252" s="147"/>
      <c r="CE1252" s="147"/>
      <c r="CF1252" s="147"/>
      <c r="CG1252" s="147"/>
      <c r="CH1252" s="147"/>
      <c r="CI1252" s="147"/>
      <c r="CJ1252" s="147"/>
      <c r="CK1252" s="147"/>
    </row>
    <row r="1253" spans="1:89">
      <c r="A1253" s="157"/>
      <c r="F1253" s="3"/>
      <c r="G1253" s="3"/>
      <c r="L1253" s="157"/>
      <c r="M1253" s="157"/>
      <c r="O1253" s="147"/>
      <c r="P1253" s="147"/>
      <c r="Q1253" s="147"/>
      <c r="R1253" s="147"/>
      <c r="S1253" s="147"/>
      <c r="T1253" s="147"/>
      <c r="U1253" s="147"/>
      <c r="V1253" s="147"/>
      <c r="W1253" s="147"/>
      <c r="X1253" s="147"/>
      <c r="Y1253" s="147"/>
      <c r="Z1253" s="147"/>
      <c r="AA1253" s="147"/>
      <c r="AB1253" s="147"/>
      <c r="AC1253" s="147"/>
      <c r="AD1253" s="147"/>
      <c r="AE1253" s="147"/>
      <c r="AF1253" s="147"/>
      <c r="AG1253" s="147"/>
      <c r="AH1253" s="147"/>
      <c r="AI1253" s="147"/>
      <c r="AJ1253" s="147"/>
      <c r="AK1253" s="147"/>
      <c r="AL1253" s="147"/>
      <c r="AM1253" s="151"/>
      <c r="AN1253" s="147"/>
      <c r="AO1253" s="147"/>
      <c r="AP1253" s="147"/>
      <c r="AQ1253" s="147"/>
      <c r="AR1253" s="147"/>
      <c r="AS1253" s="147"/>
      <c r="AT1253" s="147"/>
      <c r="AU1253" s="147"/>
      <c r="AV1253" s="147"/>
      <c r="AW1253" s="147"/>
      <c r="AX1253" s="147"/>
      <c r="AY1253" s="147"/>
      <c r="AZ1253" s="147"/>
      <c r="BA1253" s="147"/>
      <c r="BB1253" s="147"/>
      <c r="BC1253" s="147"/>
      <c r="BD1253" s="147"/>
      <c r="BE1253" s="147"/>
      <c r="BF1253" s="147"/>
      <c r="BG1253" s="147"/>
      <c r="BH1253" s="147"/>
      <c r="BI1253" s="147"/>
      <c r="BJ1253" s="147"/>
      <c r="BK1253" s="147"/>
      <c r="BL1253" s="147"/>
      <c r="BM1253" s="147"/>
      <c r="BN1253" s="147"/>
      <c r="BO1253" s="147"/>
      <c r="BP1253" s="147"/>
      <c r="BQ1253" s="147"/>
      <c r="BR1253" s="147"/>
      <c r="BS1253" s="147"/>
      <c r="BT1253" s="147"/>
      <c r="BU1253" s="147"/>
      <c r="BV1253" s="147"/>
      <c r="BW1253" s="147"/>
      <c r="BX1253" s="147"/>
      <c r="BY1253" s="147"/>
      <c r="BZ1253" s="147"/>
      <c r="CA1253" s="147"/>
      <c r="CB1253" s="147"/>
      <c r="CC1253" s="147"/>
      <c r="CD1253" s="147"/>
      <c r="CE1253" s="147"/>
      <c r="CF1253" s="147"/>
      <c r="CG1253" s="147"/>
      <c r="CH1253" s="147"/>
      <c r="CI1253" s="147"/>
      <c r="CJ1253" s="147"/>
      <c r="CK1253" s="147"/>
    </row>
    <row r="1254" spans="1:89">
      <c r="A1254" s="157"/>
      <c r="F1254" s="3"/>
      <c r="G1254" s="3"/>
      <c r="L1254" s="157"/>
      <c r="M1254" s="157"/>
      <c r="O1254" s="147"/>
      <c r="P1254" s="147"/>
      <c r="Q1254" s="147"/>
      <c r="R1254" s="147"/>
      <c r="S1254" s="147"/>
      <c r="T1254" s="147"/>
      <c r="U1254" s="147"/>
      <c r="V1254" s="147"/>
      <c r="W1254" s="147"/>
      <c r="X1254" s="147"/>
      <c r="Y1254" s="147"/>
      <c r="Z1254" s="147"/>
      <c r="AA1254" s="147"/>
      <c r="AB1254" s="147"/>
      <c r="AC1254" s="147"/>
      <c r="AD1254" s="147"/>
      <c r="AE1254" s="147"/>
      <c r="AF1254" s="147"/>
      <c r="AG1254" s="147"/>
      <c r="AH1254" s="147"/>
      <c r="AI1254" s="147"/>
      <c r="AJ1254" s="147"/>
      <c r="AK1254" s="147"/>
      <c r="AL1254" s="147"/>
      <c r="AM1254" s="151"/>
      <c r="AN1254" s="147"/>
      <c r="AO1254" s="147"/>
      <c r="AP1254" s="147"/>
      <c r="AQ1254" s="147"/>
      <c r="AR1254" s="147"/>
      <c r="AS1254" s="147"/>
      <c r="AT1254" s="147"/>
      <c r="AU1254" s="147"/>
      <c r="AV1254" s="147"/>
      <c r="AW1254" s="147"/>
      <c r="AX1254" s="147"/>
      <c r="AY1254" s="147"/>
      <c r="AZ1254" s="147"/>
      <c r="BA1254" s="147"/>
      <c r="BB1254" s="147"/>
      <c r="BC1254" s="147"/>
      <c r="BD1254" s="147"/>
      <c r="BE1254" s="147"/>
      <c r="BF1254" s="147"/>
      <c r="BG1254" s="147"/>
      <c r="BH1254" s="147"/>
      <c r="BI1254" s="147"/>
      <c r="BJ1254" s="147"/>
      <c r="BK1254" s="147"/>
      <c r="BL1254" s="147"/>
      <c r="BM1254" s="147"/>
      <c r="BN1254" s="147"/>
      <c r="BO1254" s="147"/>
      <c r="BP1254" s="147"/>
      <c r="BQ1254" s="147"/>
      <c r="BR1254" s="147"/>
      <c r="BS1254" s="147"/>
      <c r="BT1254" s="147"/>
      <c r="BU1254" s="147"/>
      <c r="BV1254" s="147"/>
      <c r="BW1254" s="147"/>
      <c r="BX1254" s="147"/>
      <c r="BY1254" s="147"/>
      <c r="BZ1254" s="147"/>
      <c r="CA1254" s="147"/>
      <c r="CB1254" s="147"/>
      <c r="CC1254" s="147"/>
      <c r="CD1254" s="147"/>
      <c r="CE1254" s="147"/>
      <c r="CF1254" s="147"/>
      <c r="CG1254" s="147"/>
      <c r="CH1254" s="147"/>
      <c r="CI1254" s="147"/>
      <c r="CJ1254" s="147"/>
      <c r="CK1254" s="147"/>
    </row>
    <row r="1255" spans="1:89">
      <c r="A1255" s="157"/>
      <c r="F1255" s="3"/>
      <c r="G1255" s="3"/>
      <c r="L1255" s="157"/>
      <c r="M1255" s="157"/>
      <c r="O1255" s="147"/>
      <c r="P1255" s="147"/>
      <c r="Q1255" s="147"/>
      <c r="R1255" s="147"/>
      <c r="S1255" s="147"/>
      <c r="T1255" s="147"/>
      <c r="U1255" s="147"/>
      <c r="V1255" s="147"/>
      <c r="W1255" s="147"/>
      <c r="X1255" s="147"/>
      <c r="Y1255" s="147"/>
      <c r="Z1255" s="147"/>
      <c r="AA1255" s="147"/>
      <c r="AB1255" s="147"/>
      <c r="AC1255" s="147"/>
      <c r="AD1255" s="147"/>
      <c r="AE1255" s="147"/>
      <c r="AF1255" s="147"/>
      <c r="AG1255" s="147"/>
      <c r="AH1255" s="147"/>
      <c r="AI1255" s="147"/>
      <c r="AJ1255" s="147"/>
      <c r="AK1255" s="147"/>
      <c r="AL1255" s="147"/>
      <c r="AM1255" s="151"/>
      <c r="AN1255" s="147"/>
      <c r="AO1255" s="147"/>
      <c r="AP1255" s="147"/>
      <c r="AQ1255" s="147"/>
      <c r="AR1255" s="147"/>
      <c r="AS1255" s="147"/>
      <c r="AT1255" s="147"/>
      <c r="AU1255" s="147"/>
      <c r="AV1255" s="147"/>
      <c r="AW1255" s="147"/>
      <c r="AX1255" s="147"/>
      <c r="AY1255" s="147"/>
      <c r="AZ1255" s="147"/>
      <c r="BA1255" s="147"/>
      <c r="BB1255" s="147"/>
      <c r="BC1255" s="147"/>
      <c r="BD1255" s="147"/>
      <c r="BE1255" s="147"/>
      <c r="BF1255" s="147"/>
      <c r="BG1255" s="147"/>
      <c r="BH1255" s="147"/>
      <c r="BI1255" s="147"/>
      <c r="BJ1255" s="147"/>
      <c r="BK1255" s="147"/>
      <c r="BL1255" s="147"/>
      <c r="BM1255" s="147"/>
      <c r="BN1255" s="147"/>
      <c r="BO1255" s="147"/>
      <c r="BP1255" s="147"/>
      <c r="BQ1255" s="147"/>
      <c r="BR1255" s="147"/>
      <c r="BS1255" s="147"/>
      <c r="BT1255" s="147"/>
      <c r="BU1255" s="147"/>
      <c r="BV1255" s="147"/>
      <c r="BW1255" s="147"/>
      <c r="BX1255" s="147"/>
      <c r="BY1255" s="147"/>
      <c r="BZ1255" s="147"/>
      <c r="CA1255" s="147"/>
      <c r="CB1255" s="147"/>
      <c r="CC1255" s="147"/>
      <c r="CD1255" s="147"/>
      <c r="CE1255" s="147"/>
      <c r="CF1255" s="147"/>
      <c r="CG1255" s="147"/>
      <c r="CH1255" s="147"/>
      <c r="CI1255" s="147"/>
      <c r="CJ1255" s="147"/>
      <c r="CK1255" s="147"/>
    </row>
    <row r="1256" spans="1:89">
      <c r="A1256" s="157"/>
      <c r="F1256" s="3"/>
      <c r="G1256" s="3"/>
      <c r="L1256" s="157"/>
      <c r="M1256" s="157"/>
      <c r="O1256" s="147"/>
      <c r="P1256" s="147"/>
      <c r="Q1256" s="147"/>
      <c r="R1256" s="147"/>
      <c r="S1256" s="147"/>
      <c r="T1256" s="147"/>
      <c r="U1256" s="147"/>
      <c r="V1256" s="147"/>
      <c r="W1256" s="147"/>
      <c r="X1256" s="147"/>
      <c r="Y1256" s="147"/>
      <c r="Z1256" s="147"/>
      <c r="AA1256" s="147"/>
      <c r="AB1256" s="147"/>
      <c r="AC1256" s="147"/>
      <c r="AD1256" s="147"/>
      <c r="AE1256" s="147"/>
      <c r="AF1256" s="147"/>
      <c r="AG1256" s="147"/>
      <c r="AH1256" s="147"/>
      <c r="AI1256" s="147"/>
      <c r="AJ1256" s="147"/>
      <c r="AK1256" s="147"/>
      <c r="AL1256" s="147"/>
      <c r="AM1256" s="151"/>
      <c r="AN1256" s="147"/>
      <c r="AO1256" s="147"/>
      <c r="AP1256" s="147"/>
      <c r="AQ1256" s="147"/>
      <c r="AR1256" s="147"/>
      <c r="AS1256" s="147"/>
      <c r="AT1256" s="147"/>
      <c r="AU1256" s="147"/>
      <c r="AV1256" s="147"/>
      <c r="AW1256" s="147"/>
      <c r="AX1256" s="147"/>
      <c r="AY1256" s="147"/>
      <c r="AZ1256" s="147"/>
      <c r="BA1256" s="147"/>
      <c r="BB1256" s="147"/>
      <c r="BC1256" s="147"/>
      <c r="BD1256" s="147"/>
      <c r="BE1256" s="147"/>
      <c r="BF1256" s="147"/>
      <c r="BG1256" s="147"/>
      <c r="BH1256" s="147"/>
      <c r="BI1256" s="147"/>
      <c r="BJ1256" s="147"/>
      <c r="BK1256" s="147"/>
      <c r="BL1256" s="147"/>
      <c r="BM1256" s="147"/>
      <c r="BN1256" s="147"/>
      <c r="BO1256" s="147"/>
      <c r="BP1256" s="147"/>
      <c r="BQ1256" s="147"/>
      <c r="BR1256" s="147"/>
      <c r="BS1256" s="147"/>
      <c r="BT1256" s="147"/>
      <c r="BU1256" s="147"/>
      <c r="BV1256" s="147"/>
      <c r="BW1256" s="147"/>
      <c r="BX1256" s="147"/>
      <c r="BY1256" s="147"/>
      <c r="BZ1256" s="147"/>
      <c r="CA1256" s="147"/>
      <c r="CB1256" s="147"/>
      <c r="CC1256" s="147"/>
      <c r="CD1256" s="147"/>
      <c r="CE1256" s="147"/>
      <c r="CF1256" s="147"/>
      <c r="CG1256" s="147"/>
      <c r="CH1256" s="147"/>
      <c r="CI1256" s="147"/>
      <c r="CJ1256" s="147"/>
      <c r="CK1256" s="147"/>
    </row>
    <row r="1257" spans="1:89">
      <c r="A1257" s="157"/>
      <c r="F1257" s="3"/>
      <c r="G1257" s="3"/>
      <c r="L1257" s="157"/>
      <c r="M1257" s="157"/>
      <c r="O1257" s="147"/>
      <c r="P1257" s="147"/>
      <c r="Q1257" s="147"/>
      <c r="R1257" s="147"/>
      <c r="S1257" s="147"/>
      <c r="T1257" s="147"/>
      <c r="U1257" s="147"/>
      <c r="V1257" s="147"/>
      <c r="W1257" s="147"/>
      <c r="X1257" s="147"/>
      <c r="Y1257" s="147"/>
      <c r="Z1257" s="147"/>
      <c r="AA1257" s="147"/>
      <c r="AB1257" s="147"/>
      <c r="AC1257" s="147"/>
      <c r="AD1257" s="147"/>
      <c r="AE1257" s="147"/>
      <c r="AF1257" s="147"/>
      <c r="AG1257" s="147"/>
      <c r="AH1257" s="147"/>
      <c r="AI1257" s="147"/>
      <c r="AJ1257" s="147"/>
      <c r="AK1257" s="147"/>
      <c r="AL1257" s="147"/>
      <c r="AM1257" s="151"/>
      <c r="AN1257" s="147"/>
      <c r="AO1257" s="147"/>
      <c r="AP1257" s="147"/>
      <c r="AQ1257" s="147"/>
      <c r="AR1257" s="147"/>
      <c r="AS1257" s="147"/>
      <c r="AT1257" s="147"/>
      <c r="AU1257" s="147"/>
      <c r="AV1257" s="147"/>
      <c r="AW1257" s="147"/>
      <c r="AX1257" s="147"/>
      <c r="AY1257" s="147"/>
      <c r="AZ1257" s="147"/>
      <c r="BA1257" s="147"/>
      <c r="BB1257" s="147"/>
      <c r="BC1257" s="147"/>
      <c r="BD1257" s="147"/>
      <c r="BE1257" s="147"/>
      <c r="BF1257" s="147"/>
      <c r="BG1257" s="147"/>
      <c r="BH1257" s="147"/>
      <c r="BI1257" s="147"/>
      <c r="BJ1257" s="147"/>
      <c r="BK1257" s="147"/>
      <c r="BL1257" s="147"/>
      <c r="BM1257" s="147"/>
      <c r="BN1257" s="147"/>
      <c r="BO1257" s="147"/>
      <c r="BP1257" s="147"/>
      <c r="BQ1257" s="147"/>
      <c r="BR1257" s="147"/>
      <c r="BS1257" s="147"/>
      <c r="BT1257" s="147"/>
      <c r="BU1257" s="147"/>
      <c r="BV1257" s="147"/>
      <c r="BW1257" s="147"/>
      <c r="BX1257" s="147"/>
      <c r="BY1257" s="147"/>
      <c r="BZ1257" s="147"/>
      <c r="CA1257" s="147"/>
      <c r="CB1257" s="147"/>
      <c r="CC1257" s="147"/>
      <c r="CD1257" s="147"/>
      <c r="CE1257" s="147"/>
      <c r="CF1257" s="147"/>
      <c r="CG1257" s="147"/>
      <c r="CH1257" s="147"/>
      <c r="CI1257" s="147"/>
      <c r="CJ1257" s="147"/>
      <c r="CK1257" s="147"/>
    </row>
    <row r="1258" spans="1:89">
      <c r="A1258" s="157"/>
      <c r="F1258" s="3"/>
      <c r="G1258" s="3"/>
      <c r="L1258" s="157"/>
      <c r="M1258" s="157"/>
      <c r="O1258" s="147"/>
      <c r="P1258" s="147"/>
      <c r="Q1258" s="147"/>
      <c r="R1258" s="147"/>
      <c r="S1258" s="147"/>
      <c r="T1258" s="147"/>
      <c r="U1258" s="147"/>
      <c r="V1258" s="147"/>
      <c r="W1258" s="147"/>
      <c r="X1258" s="147"/>
      <c r="Y1258" s="147"/>
      <c r="Z1258" s="147"/>
      <c r="AA1258" s="147"/>
      <c r="AB1258" s="147"/>
      <c r="AC1258" s="147"/>
      <c r="AD1258" s="147"/>
      <c r="AE1258" s="147"/>
      <c r="AF1258" s="147"/>
      <c r="AG1258" s="147"/>
      <c r="AH1258" s="147"/>
      <c r="AI1258" s="147"/>
      <c r="AJ1258" s="147"/>
      <c r="AK1258" s="147"/>
      <c r="AL1258" s="147"/>
      <c r="AM1258" s="151"/>
      <c r="AN1258" s="147"/>
      <c r="AO1258" s="147"/>
      <c r="AP1258" s="147"/>
      <c r="AQ1258" s="147"/>
      <c r="AR1258" s="147"/>
      <c r="AS1258" s="147"/>
      <c r="AT1258" s="147"/>
      <c r="AU1258" s="147"/>
      <c r="AV1258" s="147"/>
      <c r="AW1258" s="147"/>
      <c r="AX1258" s="147"/>
      <c r="AY1258" s="147"/>
      <c r="AZ1258" s="147"/>
      <c r="BA1258" s="147"/>
      <c r="BB1258" s="147"/>
      <c r="BC1258" s="147"/>
      <c r="BD1258" s="147"/>
      <c r="BE1258" s="147"/>
      <c r="BF1258" s="147"/>
      <c r="BG1258" s="147"/>
      <c r="BH1258" s="147"/>
      <c r="BI1258" s="147"/>
      <c r="BJ1258" s="147"/>
      <c r="BK1258" s="147"/>
      <c r="BL1258" s="147"/>
      <c r="BM1258" s="147"/>
      <c r="BN1258" s="147"/>
      <c r="BO1258" s="147"/>
      <c r="BP1258" s="147"/>
      <c r="BQ1258" s="147"/>
      <c r="BR1258" s="147"/>
      <c r="BS1258" s="147"/>
      <c r="BT1258" s="147"/>
      <c r="BU1258" s="147"/>
      <c r="BV1258" s="147"/>
      <c r="BW1258" s="147"/>
      <c r="BX1258" s="147"/>
      <c r="BY1258" s="147"/>
      <c r="BZ1258" s="147"/>
      <c r="CA1258" s="147"/>
      <c r="CB1258" s="147"/>
      <c r="CC1258" s="147"/>
      <c r="CD1258" s="147"/>
      <c r="CE1258" s="147"/>
      <c r="CF1258" s="147"/>
      <c r="CG1258" s="147"/>
      <c r="CH1258" s="147"/>
      <c r="CI1258" s="147"/>
      <c r="CJ1258" s="147"/>
      <c r="CK1258" s="147"/>
    </row>
    <row r="1259" spans="1:89">
      <c r="A1259" s="157"/>
      <c r="F1259" s="3"/>
      <c r="G1259" s="3"/>
      <c r="L1259" s="157"/>
      <c r="M1259" s="157"/>
      <c r="O1259" s="147"/>
      <c r="P1259" s="147"/>
      <c r="Q1259" s="147"/>
      <c r="R1259" s="147"/>
      <c r="S1259" s="147"/>
      <c r="T1259" s="147"/>
      <c r="U1259" s="147"/>
      <c r="V1259" s="147"/>
      <c r="W1259" s="147"/>
      <c r="X1259" s="147"/>
      <c r="Y1259" s="147"/>
      <c r="Z1259" s="147"/>
      <c r="AA1259" s="147"/>
      <c r="AB1259" s="147"/>
      <c r="AC1259" s="147"/>
      <c r="AD1259" s="147"/>
      <c r="AE1259" s="147"/>
      <c r="AF1259" s="147"/>
      <c r="AG1259" s="147"/>
      <c r="AH1259" s="147"/>
      <c r="AI1259" s="147"/>
      <c r="AJ1259" s="147"/>
      <c r="AK1259" s="147"/>
      <c r="AL1259" s="147"/>
      <c r="AM1259" s="151"/>
      <c r="AN1259" s="147"/>
      <c r="AO1259" s="147"/>
      <c r="AP1259" s="147"/>
      <c r="AQ1259" s="147"/>
      <c r="AR1259" s="147"/>
      <c r="AS1259" s="147"/>
      <c r="AT1259" s="147"/>
      <c r="AU1259" s="147"/>
      <c r="AV1259" s="147"/>
      <c r="AW1259" s="147"/>
      <c r="AX1259" s="147"/>
      <c r="AY1259" s="147"/>
      <c r="AZ1259" s="147"/>
      <c r="BA1259" s="147"/>
      <c r="BB1259" s="147"/>
      <c r="BC1259" s="147"/>
      <c r="BD1259" s="147"/>
      <c r="BE1259" s="147"/>
      <c r="BF1259" s="147"/>
      <c r="BG1259" s="147"/>
      <c r="BH1259" s="147"/>
      <c r="BI1259" s="147"/>
      <c r="BJ1259" s="147"/>
      <c r="BK1259" s="147"/>
      <c r="BL1259" s="147"/>
      <c r="BM1259" s="147"/>
      <c r="BN1259" s="147"/>
      <c r="BO1259" s="147"/>
      <c r="BP1259" s="147"/>
      <c r="BQ1259" s="147"/>
      <c r="BR1259" s="147"/>
      <c r="BS1259" s="147"/>
      <c r="BT1259" s="147"/>
      <c r="BU1259" s="147"/>
      <c r="BV1259" s="147"/>
      <c r="BW1259" s="147"/>
      <c r="BX1259" s="147"/>
      <c r="BY1259" s="147"/>
      <c r="BZ1259" s="147"/>
      <c r="CA1259" s="147"/>
      <c r="CB1259" s="147"/>
      <c r="CC1259" s="147"/>
      <c r="CD1259" s="147"/>
      <c r="CE1259" s="147"/>
      <c r="CF1259" s="147"/>
      <c r="CG1259" s="147"/>
      <c r="CH1259" s="147"/>
      <c r="CI1259" s="147"/>
      <c r="CJ1259" s="147"/>
      <c r="CK1259" s="147"/>
    </row>
    <row r="1260" spans="1:89">
      <c r="A1260" s="157"/>
      <c r="F1260" s="3"/>
      <c r="G1260" s="3"/>
      <c r="L1260" s="157"/>
      <c r="M1260" s="157"/>
      <c r="O1260" s="147"/>
      <c r="P1260" s="147"/>
      <c r="Q1260" s="147"/>
      <c r="R1260" s="147"/>
      <c r="S1260" s="147"/>
      <c r="T1260" s="147"/>
      <c r="U1260" s="147"/>
      <c r="V1260" s="147"/>
      <c r="W1260" s="147"/>
      <c r="X1260" s="147"/>
      <c r="Y1260" s="147"/>
      <c r="Z1260" s="147"/>
      <c r="AA1260" s="147"/>
      <c r="AB1260" s="147"/>
      <c r="AC1260" s="147"/>
      <c r="AD1260" s="147"/>
      <c r="AE1260" s="147"/>
      <c r="AF1260" s="147"/>
      <c r="AG1260" s="147"/>
      <c r="AH1260" s="147"/>
      <c r="AI1260" s="147"/>
      <c r="AJ1260" s="147"/>
      <c r="AK1260" s="147"/>
      <c r="AL1260" s="147"/>
      <c r="AM1260" s="151"/>
      <c r="AN1260" s="147"/>
      <c r="AO1260" s="147"/>
      <c r="AP1260" s="147"/>
      <c r="AQ1260" s="147"/>
      <c r="AR1260" s="147"/>
      <c r="AS1260" s="147"/>
      <c r="AT1260" s="147"/>
      <c r="AU1260" s="147"/>
      <c r="AV1260" s="147"/>
      <c r="AW1260" s="147"/>
      <c r="AX1260" s="147"/>
      <c r="AY1260" s="147"/>
      <c r="AZ1260" s="147"/>
      <c r="BA1260" s="147"/>
      <c r="BB1260" s="147"/>
      <c r="BC1260" s="147"/>
      <c r="BD1260" s="147"/>
      <c r="BE1260" s="147"/>
      <c r="BF1260" s="147"/>
      <c r="BG1260" s="147"/>
      <c r="BH1260" s="147"/>
      <c r="BI1260" s="147"/>
      <c r="BJ1260" s="147"/>
      <c r="BK1260" s="147"/>
      <c r="BL1260" s="147"/>
      <c r="BM1260" s="147"/>
      <c r="BN1260" s="147"/>
      <c r="BO1260" s="147"/>
      <c r="BP1260" s="147"/>
      <c r="BQ1260" s="147"/>
      <c r="BR1260" s="147"/>
      <c r="BS1260" s="147"/>
      <c r="BT1260" s="147"/>
      <c r="BU1260" s="147"/>
      <c r="BV1260" s="147"/>
      <c r="BW1260" s="147"/>
      <c r="BX1260" s="147"/>
      <c r="BY1260" s="147"/>
      <c r="BZ1260" s="147"/>
      <c r="CA1260" s="147"/>
      <c r="CB1260" s="147"/>
      <c r="CC1260" s="147"/>
      <c r="CD1260" s="147"/>
      <c r="CE1260" s="147"/>
      <c r="CF1260" s="147"/>
      <c r="CG1260" s="147"/>
      <c r="CH1260" s="147"/>
      <c r="CI1260" s="147"/>
      <c r="CJ1260" s="147"/>
      <c r="CK1260" s="147"/>
    </row>
    <row r="1261" spans="1:89">
      <c r="A1261" s="157"/>
      <c r="F1261" s="3"/>
      <c r="G1261" s="3"/>
      <c r="L1261" s="157"/>
      <c r="M1261" s="157"/>
      <c r="O1261" s="147"/>
      <c r="P1261" s="147"/>
      <c r="Q1261" s="147"/>
      <c r="R1261" s="147"/>
      <c r="S1261" s="147"/>
      <c r="T1261" s="147"/>
      <c r="U1261" s="147"/>
      <c r="V1261" s="147"/>
      <c r="W1261" s="147"/>
      <c r="X1261" s="147"/>
      <c r="Y1261" s="147"/>
      <c r="Z1261" s="147"/>
      <c r="AA1261" s="147"/>
      <c r="AB1261" s="147"/>
      <c r="AC1261" s="147"/>
      <c r="AD1261" s="147"/>
      <c r="AE1261" s="147"/>
      <c r="AF1261" s="147"/>
      <c r="AG1261" s="147"/>
      <c r="AH1261" s="147"/>
      <c r="AI1261" s="147"/>
      <c r="AJ1261" s="147"/>
      <c r="AK1261" s="147"/>
      <c r="AL1261" s="147"/>
      <c r="AM1261" s="151"/>
      <c r="AN1261" s="147"/>
      <c r="AO1261" s="147"/>
      <c r="AP1261" s="147"/>
      <c r="AQ1261" s="147"/>
      <c r="AR1261" s="147"/>
      <c r="AS1261" s="147"/>
      <c r="AT1261" s="147"/>
      <c r="AU1261" s="147"/>
      <c r="AV1261" s="147"/>
      <c r="AW1261" s="147"/>
      <c r="AX1261" s="147"/>
      <c r="AY1261" s="147"/>
      <c r="AZ1261" s="147"/>
      <c r="BA1261" s="147"/>
      <c r="BB1261" s="147"/>
      <c r="BC1261" s="147"/>
      <c r="BD1261" s="147"/>
      <c r="BE1261" s="147"/>
      <c r="BF1261" s="147"/>
      <c r="BG1261" s="147"/>
      <c r="BH1261" s="147"/>
      <c r="BI1261" s="147"/>
      <c r="BJ1261" s="147"/>
      <c r="BK1261" s="147"/>
      <c r="BL1261" s="147"/>
      <c r="BM1261" s="147"/>
      <c r="BN1261" s="147"/>
      <c r="BO1261" s="147"/>
      <c r="BP1261" s="147"/>
      <c r="BQ1261" s="147"/>
      <c r="BR1261" s="147"/>
      <c r="BS1261" s="147"/>
      <c r="BT1261" s="147"/>
      <c r="BU1261" s="147"/>
      <c r="BV1261" s="147"/>
      <c r="BW1261" s="147"/>
      <c r="BX1261" s="147"/>
      <c r="BY1261" s="147"/>
      <c r="BZ1261" s="147"/>
      <c r="CA1261" s="147"/>
      <c r="CB1261" s="147"/>
      <c r="CC1261" s="147"/>
      <c r="CD1261" s="147"/>
      <c r="CE1261" s="147"/>
      <c r="CF1261" s="147"/>
      <c r="CG1261" s="147"/>
      <c r="CH1261" s="147"/>
      <c r="CI1261" s="147"/>
      <c r="CJ1261" s="147"/>
      <c r="CK1261" s="147"/>
    </row>
    <row r="1262" spans="1:89">
      <c r="A1262" s="157"/>
      <c r="F1262" s="3"/>
      <c r="G1262" s="3"/>
      <c r="L1262" s="157"/>
      <c r="M1262" s="157"/>
      <c r="O1262" s="147"/>
      <c r="P1262" s="147"/>
      <c r="Q1262" s="147"/>
      <c r="R1262" s="147"/>
      <c r="S1262" s="147"/>
      <c r="T1262" s="147"/>
      <c r="U1262" s="147"/>
      <c r="V1262" s="147"/>
      <c r="W1262" s="147"/>
      <c r="X1262" s="147"/>
      <c r="Y1262" s="147"/>
      <c r="Z1262" s="147"/>
      <c r="AA1262" s="147"/>
      <c r="AB1262" s="147"/>
      <c r="AC1262" s="147"/>
      <c r="AD1262" s="147"/>
      <c r="AE1262" s="147"/>
      <c r="AF1262" s="147"/>
      <c r="AG1262" s="147"/>
      <c r="AH1262" s="147"/>
      <c r="AI1262" s="147"/>
      <c r="AJ1262" s="147"/>
      <c r="AK1262" s="147"/>
      <c r="AL1262" s="147"/>
      <c r="AM1262" s="151"/>
      <c r="AN1262" s="147"/>
      <c r="AO1262" s="147"/>
      <c r="AP1262" s="147"/>
      <c r="AQ1262" s="147"/>
      <c r="AR1262" s="147"/>
      <c r="AS1262" s="147"/>
      <c r="AT1262" s="147"/>
      <c r="AU1262" s="147"/>
      <c r="AV1262" s="147"/>
      <c r="AW1262" s="147"/>
      <c r="AX1262" s="147"/>
      <c r="AY1262" s="147"/>
      <c r="AZ1262" s="147"/>
      <c r="BA1262" s="147"/>
      <c r="BB1262" s="147"/>
      <c r="BC1262" s="147"/>
      <c r="BD1262" s="147"/>
      <c r="BE1262" s="147"/>
      <c r="BF1262" s="147"/>
      <c r="BG1262" s="147"/>
      <c r="BH1262" s="147"/>
      <c r="BI1262" s="147"/>
      <c r="BJ1262" s="147"/>
      <c r="BK1262" s="147"/>
      <c r="BL1262" s="147"/>
      <c r="BM1262" s="147"/>
      <c r="BN1262" s="147"/>
      <c r="BO1262" s="147"/>
      <c r="BP1262" s="147"/>
      <c r="BQ1262" s="147"/>
      <c r="BR1262" s="147"/>
      <c r="BS1262" s="147"/>
      <c r="BT1262" s="147"/>
      <c r="BU1262" s="147"/>
      <c r="BV1262" s="147"/>
      <c r="BW1262" s="147"/>
      <c r="BX1262" s="147"/>
      <c r="BY1262" s="147"/>
      <c r="BZ1262" s="147"/>
      <c r="CA1262" s="147"/>
      <c r="CB1262" s="147"/>
      <c r="CC1262" s="147"/>
      <c r="CD1262" s="147"/>
      <c r="CE1262" s="147"/>
      <c r="CF1262" s="147"/>
      <c r="CG1262" s="147"/>
      <c r="CH1262" s="147"/>
      <c r="CI1262" s="147"/>
      <c r="CJ1262" s="147"/>
      <c r="CK1262" s="147"/>
    </row>
    <row r="1263" spans="1:89">
      <c r="A1263" s="157"/>
      <c r="F1263" s="3"/>
      <c r="G1263" s="3"/>
      <c r="L1263" s="157"/>
      <c r="M1263" s="157"/>
      <c r="O1263" s="147"/>
      <c r="P1263" s="147"/>
      <c r="Q1263" s="147"/>
      <c r="R1263" s="147"/>
      <c r="S1263" s="147"/>
      <c r="T1263" s="147"/>
      <c r="U1263" s="147"/>
      <c r="V1263" s="147"/>
      <c r="W1263" s="147"/>
      <c r="X1263" s="147"/>
      <c r="Y1263" s="147"/>
      <c r="Z1263" s="147"/>
      <c r="AA1263" s="147"/>
      <c r="AB1263" s="147"/>
      <c r="AC1263" s="147"/>
      <c r="AD1263" s="147"/>
      <c r="AE1263" s="147"/>
      <c r="AF1263" s="147"/>
      <c r="AG1263" s="147"/>
      <c r="AH1263" s="147"/>
      <c r="AI1263" s="147"/>
      <c r="AJ1263" s="147"/>
      <c r="AK1263" s="147"/>
      <c r="AL1263" s="147"/>
      <c r="AM1263" s="151"/>
      <c r="AN1263" s="147"/>
      <c r="AO1263" s="147"/>
      <c r="AP1263" s="147"/>
      <c r="AQ1263" s="147"/>
      <c r="AR1263" s="147"/>
      <c r="AS1263" s="147"/>
      <c r="AT1263" s="147"/>
      <c r="AU1263" s="147"/>
      <c r="AV1263" s="147"/>
      <c r="AW1263" s="147"/>
      <c r="AX1263" s="147"/>
      <c r="AY1263" s="147"/>
      <c r="AZ1263" s="147"/>
      <c r="BA1263" s="147"/>
      <c r="BB1263" s="147"/>
      <c r="BC1263" s="147"/>
      <c r="BD1263" s="147"/>
      <c r="BE1263" s="147"/>
      <c r="BF1263" s="147"/>
      <c r="BG1263" s="147"/>
      <c r="BH1263" s="147"/>
      <c r="BI1263" s="147"/>
      <c r="BJ1263" s="147"/>
      <c r="BK1263" s="147"/>
      <c r="BL1263" s="147"/>
      <c r="BM1263" s="147"/>
      <c r="BN1263" s="147"/>
      <c r="BO1263" s="147"/>
      <c r="BP1263" s="147"/>
      <c r="BQ1263" s="147"/>
      <c r="BR1263" s="147"/>
      <c r="BS1263" s="147"/>
      <c r="BT1263" s="147"/>
      <c r="BU1263" s="147"/>
      <c r="BV1263" s="147"/>
      <c r="BW1263" s="147"/>
      <c r="BX1263" s="147"/>
      <c r="BY1263" s="147"/>
      <c r="BZ1263" s="147"/>
      <c r="CA1263" s="147"/>
      <c r="CB1263" s="147"/>
      <c r="CC1263" s="147"/>
      <c r="CD1263" s="147"/>
      <c r="CE1263" s="147"/>
      <c r="CF1263" s="147"/>
      <c r="CG1263" s="147"/>
      <c r="CH1263" s="147"/>
      <c r="CI1263" s="147"/>
      <c r="CJ1263" s="147"/>
      <c r="CK1263" s="147"/>
    </row>
    <row r="1264" spans="1:89">
      <c r="A1264" s="157"/>
      <c r="F1264" s="3"/>
      <c r="G1264" s="3"/>
      <c r="L1264" s="157"/>
      <c r="M1264" s="157"/>
      <c r="O1264" s="147"/>
      <c r="P1264" s="147"/>
      <c r="Q1264" s="147"/>
      <c r="R1264" s="147"/>
      <c r="S1264" s="147"/>
      <c r="T1264" s="147"/>
      <c r="U1264" s="147"/>
      <c r="V1264" s="147"/>
      <c r="W1264" s="147"/>
      <c r="X1264" s="147"/>
      <c r="Y1264" s="147"/>
      <c r="Z1264" s="147"/>
      <c r="AA1264" s="147"/>
      <c r="AB1264" s="147"/>
      <c r="AC1264" s="147"/>
      <c r="AD1264" s="147"/>
      <c r="AE1264" s="147"/>
      <c r="AF1264" s="147"/>
      <c r="AG1264" s="147"/>
      <c r="AH1264" s="147"/>
      <c r="AI1264" s="147"/>
      <c r="AJ1264" s="147"/>
      <c r="AK1264" s="147"/>
      <c r="AL1264" s="147"/>
      <c r="AM1264" s="151"/>
      <c r="AN1264" s="147"/>
      <c r="AO1264" s="147"/>
      <c r="AP1264" s="147"/>
      <c r="AQ1264" s="147"/>
      <c r="AR1264" s="147"/>
      <c r="AS1264" s="147"/>
      <c r="AT1264" s="147"/>
      <c r="AU1264" s="147"/>
      <c r="AV1264" s="147"/>
      <c r="AW1264" s="147"/>
      <c r="AX1264" s="147"/>
      <c r="AY1264" s="147"/>
      <c r="AZ1264" s="147"/>
      <c r="BA1264" s="147"/>
      <c r="BB1264" s="147"/>
      <c r="BC1264" s="147"/>
      <c r="BD1264" s="147"/>
      <c r="BE1264" s="147"/>
      <c r="BF1264" s="147"/>
      <c r="BG1264" s="147"/>
      <c r="BH1264" s="147"/>
      <c r="BI1264" s="147"/>
      <c r="BJ1264" s="147"/>
      <c r="BK1264" s="147"/>
      <c r="BL1264" s="147"/>
      <c r="BM1264" s="147"/>
      <c r="BN1264" s="147"/>
      <c r="BO1264" s="147"/>
      <c r="BP1264" s="147"/>
      <c r="BQ1264" s="147"/>
      <c r="BR1264" s="147"/>
      <c r="BS1264" s="147"/>
      <c r="BT1264" s="147"/>
      <c r="BU1264" s="147"/>
      <c r="BV1264" s="147"/>
      <c r="BW1264" s="147"/>
      <c r="BX1264" s="147"/>
      <c r="BY1264" s="147"/>
      <c r="BZ1264" s="147"/>
      <c r="CA1264" s="147"/>
      <c r="CB1264" s="147"/>
      <c r="CC1264" s="147"/>
      <c r="CD1264" s="147"/>
      <c r="CE1264" s="147"/>
      <c r="CF1264" s="147"/>
      <c r="CG1264" s="147"/>
      <c r="CH1264" s="147"/>
      <c r="CI1264" s="147"/>
      <c r="CJ1264" s="147"/>
      <c r="CK1264" s="147"/>
    </row>
    <row r="1265" spans="1:89">
      <c r="A1265" s="157"/>
      <c r="F1265" s="3"/>
      <c r="G1265" s="3"/>
      <c r="L1265" s="157"/>
      <c r="M1265" s="157"/>
      <c r="O1265" s="147"/>
      <c r="P1265" s="147"/>
      <c r="Q1265" s="147"/>
      <c r="R1265" s="147"/>
      <c r="S1265" s="147"/>
      <c r="T1265" s="147"/>
      <c r="U1265" s="147"/>
      <c r="V1265" s="147"/>
      <c r="W1265" s="147"/>
      <c r="X1265" s="147"/>
      <c r="Y1265" s="147"/>
      <c r="Z1265" s="147"/>
      <c r="AA1265" s="147"/>
      <c r="AB1265" s="147"/>
      <c r="AC1265" s="147"/>
      <c r="AD1265" s="147"/>
      <c r="AE1265" s="147"/>
      <c r="AF1265" s="147"/>
      <c r="AG1265" s="147"/>
      <c r="AH1265" s="147"/>
      <c r="AI1265" s="147"/>
      <c r="AJ1265" s="147"/>
      <c r="AK1265" s="147"/>
      <c r="AL1265" s="147"/>
      <c r="AM1265" s="151"/>
      <c r="AN1265" s="147"/>
      <c r="AO1265" s="147"/>
      <c r="AP1265" s="147"/>
      <c r="AQ1265" s="147"/>
      <c r="AR1265" s="147"/>
      <c r="AS1265" s="147"/>
      <c r="AT1265" s="147"/>
      <c r="AU1265" s="147"/>
      <c r="AV1265" s="147"/>
      <c r="AW1265" s="147"/>
      <c r="AX1265" s="147"/>
      <c r="AY1265" s="147"/>
      <c r="AZ1265" s="147"/>
      <c r="BA1265" s="147"/>
      <c r="BB1265" s="147"/>
      <c r="BC1265" s="147"/>
      <c r="BD1265" s="147"/>
      <c r="BE1265" s="147"/>
      <c r="BF1265" s="147"/>
      <c r="BG1265" s="147"/>
      <c r="BH1265" s="147"/>
      <c r="BI1265" s="147"/>
      <c r="BJ1265" s="147"/>
      <c r="BK1265" s="147"/>
      <c r="BL1265" s="147"/>
      <c r="BM1265" s="147"/>
      <c r="BN1265" s="147"/>
      <c r="BO1265" s="147"/>
      <c r="BP1265" s="147"/>
      <c r="BQ1265" s="147"/>
      <c r="BR1265" s="147"/>
      <c r="BS1265" s="147"/>
      <c r="BT1265" s="147"/>
      <c r="BU1265" s="147"/>
      <c r="BV1265" s="147"/>
      <c r="BW1265" s="147"/>
      <c r="BX1265" s="147"/>
      <c r="BY1265" s="147"/>
      <c r="BZ1265" s="147"/>
      <c r="CA1265" s="147"/>
      <c r="CB1265" s="147"/>
      <c r="CC1265" s="147"/>
      <c r="CD1265" s="147"/>
      <c r="CE1265" s="147"/>
      <c r="CF1265" s="147"/>
      <c r="CG1265" s="147"/>
      <c r="CH1265" s="147"/>
      <c r="CI1265" s="147"/>
      <c r="CJ1265" s="147"/>
      <c r="CK1265" s="147"/>
    </row>
    <row r="1266" spans="1:89">
      <c r="A1266" s="157"/>
      <c r="F1266" s="3"/>
      <c r="G1266" s="3"/>
      <c r="L1266" s="157"/>
      <c r="M1266" s="157"/>
      <c r="O1266" s="147"/>
      <c r="P1266" s="147"/>
      <c r="Q1266" s="147"/>
      <c r="R1266" s="147"/>
      <c r="S1266" s="147"/>
      <c r="T1266" s="147"/>
      <c r="U1266" s="147"/>
      <c r="V1266" s="147"/>
      <c r="W1266" s="147"/>
      <c r="X1266" s="147"/>
      <c r="Y1266" s="147"/>
      <c r="Z1266" s="147"/>
      <c r="AA1266" s="147"/>
      <c r="AB1266" s="147"/>
      <c r="AC1266" s="147"/>
      <c r="AD1266" s="147"/>
      <c r="AE1266" s="147"/>
      <c r="AF1266" s="147"/>
      <c r="AG1266" s="147"/>
      <c r="AH1266" s="147"/>
      <c r="AI1266" s="147"/>
      <c r="AJ1266" s="147"/>
      <c r="AK1266" s="147"/>
      <c r="AL1266" s="147"/>
      <c r="AM1266" s="151"/>
      <c r="AN1266" s="147"/>
      <c r="AO1266" s="147"/>
      <c r="AP1266" s="147"/>
      <c r="AQ1266" s="147"/>
      <c r="AR1266" s="147"/>
      <c r="AS1266" s="147"/>
      <c r="AT1266" s="147"/>
      <c r="AU1266" s="147"/>
      <c r="AV1266" s="147"/>
      <c r="AW1266" s="147"/>
      <c r="AX1266" s="147"/>
      <c r="AY1266" s="147"/>
      <c r="AZ1266" s="147"/>
      <c r="BA1266" s="147"/>
      <c r="BB1266" s="147"/>
      <c r="BC1266" s="147"/>
      <c r="BD1266" s="147"/>
      <c r="BE1266" s="147"/>
      <c r="BF1266" s="147"/>
      <c r="BG1266" s="147"/>
      <c r="BH1266" s="147"/>
      <c r="BI1266" s="147"/>
      <c r="BJ1266" s="147"/>
      <c r="BK1266" s="147"/>
      <c r="BL1266" s="147"/>
      <c r="BM1266" s="147"/>
      <c r="BN1266" s="147"/>
      <c r="BO1266" s="147"/>
      <c r="BP1266" s="147"/>
      <c r="BQ1266" s="147"/>
      <c r="BR1266" s="147"/>
      <c r="BS1266" s="147"/>
      <c r="BT1266" s="147"/>
      <c r="BU1266" s="147"/>
      <c r="BV1266" s="147"/>
      <c r="BW1266" s="147"/>
      <c r="BX1266" s="147"/>
      <c r="BY1266" s="147"/>
      <c r="BZ1266" s="147"/>
      <c r="CA1266" s="147"/>
      <c r="CB1266" s="147"/>
      <c r="CC1266" s="147"/>
      <c r="CD1266" s="147"/>
      <c r="CE1266" s="147"/>
      <c r="CF1266" s="147"/>
      <c r="CG1266" s="147"/>
      <c r="CH1266" s="147"/>
      <c r="CI1266" s="147"/>
      <c r="CJ1266" s="147"/>
      <c r="CK1266" s="147"/>
    </row>
    <row r="1267" spans="1:89">
      <c r="A1267" s="157"/>
      <c r="F1267" s="3"/>
      <c r="G1267" s="3"/>
      <c r="L1267" s="157"/>
      <c r="M1267" s="157"/>
      <c r="O1267" s="147"/>
      <c r="P1267" s="147"/>
      <c r="Q1267" s="147"/>
      <c r="R1267" s="147"/>
      <c r="S1267" s="147"/>
      <c r="T1267" s="147"/>
      <c r="U1267" s="147"/>
      <c r="V1267" s="147"/>
      <c r="W1267" s="147"/>
      <c r="X1267" s="147"/>
      <c r="Y1267" s="147"/>
      <c r="Z1267" s="147"/>
      <c r="AA1267" s="147"/>
      <c r="AB1267" s="147"/>
      <c r="AC1267" s="147"/>
      <c r="AD1267" s="147"/>
      <c r="AE1267" s="147"/>
      <c r="AF1267" s="147"/>
      <c r="AG1267" s="147"/>
      <c r="AH1267" s="147"/>
      <c r="AI1267" s="147"/>
      <c r="AJ1267" s="147"/>
      <c r="AK1267" s="147"/>
      <c r="AL1267" s="147"/>
      <c r="AM1267" s="151"/>
      <c r="AN1267" s="147"/>
      <c r="AO1267" s="147"/>
      <c r="AP1267" s="147"/>
      <c r="AQ1267" s="147"/>
      <c r="AR1267" s="147"/>
      <c r="AS1267" s="147"/>
      <c r="AT1267" s="147"/>
      <c r="AU1267" s="147"/>
      <c r="AV1267" s="147"/>
      <c r="AW1267" s="147"/>
      <c r="AX1267" s="147"/>
      <c r="AY1267" s="147"/>
      <c r="AZ1267" s="147"/>
      <c r="BA1267" s="147"/>
      <c r="BB1267" s="147"/>
      <c r="BC1267" s="147"/>
      <c r="BD1267" s="147"/>
      <c r="BE1267" s="147"/>
      <c r="BF1267" s="147"/>
      <c r="BG1267" s="147"/>
      <c r="BH1267" s="147"/>
      <c r="BI1267" s="147"/>
      <c r="BJ1267" s="147"/>
      <c r="BK1267" s="147"/>
      <c r="BL1267" s="147"/>
      <c r="BM1267" s="147"/>
      <c r="BN1267" s="147"/>
      <c r="BO1267" s="147"/>
      <c r="BP1267" s="147"/>
      <c r="BQ1267" s="147"/>
      <c r="BR1267" s="147"/>
      <c r="BS1267" s="147"/>
      <c r="BT1267" s="147"/>
      <c r="BU1267" s="147"/>
      <c r="BV1267" s="147"/>
      <c r="BW1267" s="147"/>
      <c r="BX1267" s="147"/>
      <c r="BY1267" s="147"/>
      <c r="BZ1267" s="147"/>
      <c r="CA1267" s="147"/>
      <c r="CB1267" s="147"/>
      <c r="CC1267" s="147"/>
      <c r="CD1267" s="147"/>
      <c r="CE1267" s="147"/>
      <c r="CF1267" s="147"/>
      <c r="CG1267" s="147"/>
      <c r="CH1267" s="147"/>
      <c r="CI1267" s="147"/>
      <c r="CJ1267" s="147"/>
      <c r="CK1267" s="147"/>
    </row>
    <row r="1268" spans="1:89">
      <c r="A1268" s="157"/>
      <c r="F1268" s="3"/>
      <c r="G1268" s="3"/>
      <c r="L1268" s="157"/>
      <c r="M1268" s="157"/>
      <c r="O1268" s="147"/>
      <c r="P1268" s="147"/>
      <c r="Q1268" s="147"/>
      <c r="R1268" s="147"/>
      <c r="S1268" s="147"/>
      <c r="T1268" s="147"/>
      <c r="U1268" s="147"/>
      <c r="V1268" s="147"/>
      <c r="W1268" s="147"/>
      <c r="X1268" s="147"/>
      <c r="Y1268" s="147"/>
      <c r="Z1268" s="147"/>
      <c r="AA1268" s="147"/>
      <c r="AB1268" s="147"/>
      <c r="AC1268" s="147"/>
      <c r="AD1268" s="147"/>
      <c r="AE1268" s="147"/>
      <c r="AF1268" s="147"/>
      <c r="AG1268" s="147"/>
      <c r="AH1268" s="147"/>
      <c r="AI1268" s="147"/>
      <c r="AJ1268" s="147"/>
      <c r="AK1268" s="147"/>
      <c r="AL1268" s="147"/>
      <c r="AM1268" s="151"/>
      <c r="AN1268" s="147"/>
      <c r="AO1268" s="147"/>
      <c r="AP1268" s="147"/>
      <c r="AQ1268" s="147"/>
      <c r="AR1268" s="147"/>
      <c r="AS1268" s="147"/>
      <c r="AT1268" s="147"/>
      <c r="AU1268" s="147"/>
      <c r="AV1268" s="147"/>
      <c r="AW1268" s="147"/>
      <c r="AX1268" s="147"/>
      <c r="AY1268" s="147"/>
      <c r="AZ1268" s="147"/>
      <c r="BA1268" s="147"/>
      <c r="BB1268" s="147"/>
      <c r="BC1268" s="147"/>
      <c r="BD1268" s="147"/>
      <c r="BE1268" s="147"/>
      <c r="BF1268" s="147"/>
      <c r="BG1268" s="147"/>
      <c r="BH1268" s="147"/>
      <c r="BI1268" s="147"/>
      <c r="BJ1268" s="147"/>
      <c r="BK1268" s="147"/>
      <c r="BL1268" s="147"/>
      <c r="BM1268" s="147"/>
      <c r="BN1268" s="147"/>
      <c r="BO1268" s="147"/>
      <c r="BP1268" s="147"/>
      <c r="BQ1268" s="147"/>
      <c r="BR1268" s="147"/>
      <c r="BS1268" s="147"/>
      <c r="BT1268" s="147"/>
      <c r="BU1268" s="147"/>
      <c r="BV1268" s="147"/>
      <c r="BW1268" s="147"/>
      <c r="BX1268" s="147"/>
      <c r="BY1268" s="147"/>
      <c r="BZ1268" s="147"/>
      <c r="CA1268" s="147"/>
      <c r="CB1268" s="147"/>
      <c r="CC1268" s="147"/>
      <c r="CD1268" s="147"/>
      <c r="CE1268" s="147"/>
      <c r="CF1268" s="147"/>
      <c r="CG1268" s="147"/>
      <c r="CH1268" s="147"/>
      <c r="CI1268" s="147"/>
      <c r="CJ1268" s="147"/>
      <c r="CK1268" s="147"/>
    </row>
    <row r="1269" spans="1:89">
      <c r="A1269" s="157"/>
      <c r="F1269" s="3"/>
      <c r="G1269" s="3"/>
      <c r="L1269" s="157"/>
      <c r="M1269" s="157"/>
      <c r="O1269" s="147"/>
      <c r="P1269" s="147"/>
      <c r="Q1269" s="147"/>
      <c r="R1269" s="147"/>
      <c r="S1269" s="147"/>
      <c r="T1269" s="147"/>
      <c r="U1269" s="147"/>
      <c r="V1269" s="147"/>
      <c r="W1269" s="147"/>
      <c r="X1269" s="147"/>
      <c r="Y1269" s="147"/>
      <c r="Z1269" s="147"/>
      <c r="AA1269" s="147"/>
      <c r="AB1269" s="147"/>
      <c r="AC1269" s="147"/>
      <c r="AD1269" s="147"/>
      <c r="AE1269" s="147"/>
      <c r="AF1269" s="147"/>
      <c r="AG1269" s="147"/>
      <c r="AH1269" s="147"/>
      <c r="AI1269" s="147"/>
      <c r="AJ1269" s="147"/>
      <c r="AK1269" s="147"/>
      <c r="AL1269" s="147"/>
      <c r="AM1269" s="151"/>
      <c r="AN1269" s="147"/>
      <c r="AO1269" s="147"/>
      <c r="AP1269" s="147"/>
      <c r="AQ1269" s="147"/>
      <c r="AR1269" s="147"/>
      <c r="AS1269" s="147"/>
      <c r="AT1269" s="147"/>
      <c r="AU1269" s="147"/>
      <c r="AV1269" s="147"/>
      <c r="AW1269" s="147"/>
      <c r="AX1269" s="147"/>
      <c r="AY1269" s="147"/>
      <c r="AZ1269" s="147"/>
      <c r="BA1269" s="147"/>
      <c r="BB1269" s="147"/>
      <c r="BC1269" s="147"/>
      <c r="BD1269" s="147"/>
      <c r="BE1269" s="147"/>
      <c r="BF1269" s="147"/>
      <c r="BG1269" s="147"/>
      <c r="BH1269" s="147"/>
      <c r="BI1269" s="147"/>
      <c r="BJ1269" s="147"/>
      <c r="BK1269" s="147"/>
      <c r="BL1269" s="147"/>
      <c r="BM1269" s="147"/>
      <c r="BN1269" s="147"/>
      <c r="BO1269" s="147"/>
      <c r="BP1269" s="147"/>
      <c r="BQ1269" s="147"/>
      <c r="BR1269" s="147"/>
      <c r="BS1269" s="147"/>
      <c r="BT1269" s="147"/>
      <c r="BU1269" s="147"/>
      <c r="BV1269" s="147"/>
      <c r="BW1269" s="147"/>
      <c r="BX1269" s="147"/>
      <c r="BY1269" s="147"/>
      <c r="BZ1269" s="147"/>
      <c r="CA1269" s="147"/>
      <c r="CB1269" s="147"/>
      <c r="CC1269" s="147"/>
      <c r="CD1269" s="147"/>
      <c r="CE1269" s="147"/>
      <c r="CF1269" s="147"/>
      <c r="CG1269" s="147"/>
      <c r="CH1269" s="147"/>
      <c r="CI1269" s="147"/>
      <c r="CJ1269" s="147"/>
      <c r="CK1269" s="147"/>
    </row>
    <row r="1270" spans="1:89">
      <c r="A1270" s="157"/>
      <c r="F1270" s="3"/>
      <c r="G1270" s="3"/>
      <c r="L1270" s="157"/>
      <c r="M1270" s="157"/>
      <c r="O1270" s="147"/>
      <c r="P1270" s="147"/>
      <c r="Q1270" s="147"/>
      <c r="R1270" s="147"/>
      <c r="S1270" s="147"/>
      <c r="T1270" s="147"/>
      <c r="U1270" s="147"/>
      <c r="V1270" s="147"/>
      <c r="W1270" s="147"/>
      <c r="X1270" s="147"/>
      <c r="Y1270" s="147"/>
      <c r="Z1270" s="147"/>
      <c r="AA1270" s="147"/>
      <c r="AB1270" s="147"/>
      <c r="AC1270" s="147"/>
      <c r="AD1270" s="147"/>
      <c r="AE1270" s="147"/>
      <c r="AF1270" s="147"/>
      <c r="AG1270" s="147"/>
      <c r="AH1270" s="147"/>
      <c r="AI1270" s="147"/>
      <c r="AJ1270" s="147"/>
      <c r="AK1270" s="147"/>
      <c r="AL1270" s="147"/>
      <c r="AM1270" s="151"/>
      <c r="AN1270" s="147"/>
      <c r="AO1270" s="147"/>
      <c r="AP1270" s="147"/>
      <c r="AQ1270" s="147"/>
      <c r="AR1270" s="147"/>
      <c r="AS1270" s="147"/>
      <c r="AT1270" s="147"/>
      <c r="AU1270" s="147"/>
      <c r="AV1270" s="147"/>
      <c r="AW1270" s="147"/>
      <c r="AX1270" s="147"/>
      <c r="AY1270" s="147"/>
      <c r="AZ1270" s="147"/>
      <c r="BA1270" s="147"/>
      <c r="BB1270" s="147"/>
      <c r="BC1270" s="147"/>
      <c r="BD1270" s="147"/>
      <c r="BE1270" s="147"/>
      <c r="BF1270" s="147"/>
      <c r="BG1270" s="147"/>
      <c r="BH1270" s="147"/>
      <c r="BI1270" s="147"/>
      <c r="BJ1270" s="147"/>
      <c r="BK1270" s="147"/>
      <c r="BL1270" s="147"/>
      <c r="BM1270" s="147"/>
      <c r="BN1270" s="147"/>
      <c r="BO1270" s="147"/>
      <c r="BP1270" s="147"/>
      <c r="BQ1270" s="147"/>
      <c r="BR1270" s="147"/>
      <c r="BS1270" s="147"/>
      <c r="BT1270" s="147"/>
      <c r="BU1270" s="147"/>
      <c r="BV1270" s="147"/>
      <c r="BW1270" s="147"/>
      <c r="BX1270" s="147"/>
      <c r="BY1270" s="147"/>
      <c r="BZ1270" s="147"/>
      <c r="CA1270" s="147"/>
      <c r="CB1270" s="147"/>
      <c r="CC1270" s="147"/>
      <c r="CD1270" s="147"/>
      <c r="CE1270" s="147"/>
      <c r="CF1270" s="147"/>
      <c r="CG1270" s="147"/>
      <c r="CH1270" s="147"/>
      <c r="CI1270" s="147"/>
      <c r="CJ1270" s="147"/>
      <c r="CK1270" s="147"/>
    </row>
    <row r="1271" spans="1:89">
      <c r="A1271" s="157"/>
      <c r="F1271" s="3"/>
      <c r="G1271" s="3"/>
      <c r="L1271" s="157"/>
      <c r="M1271" s="157"/>
      <c r="O1271" s="147"/>
      <c r="P1271" s="147"/>
      <c r="Q1271" s="147"/>
      <c r="R1271" s="147"/>
      <c r="S1271" s="147"/>
      <c r="T1271" s="147"/>
      <c r="U1271" s="147"/>
      <c r="V1271" s="147"/>
      <c r="W1271" s="147"/>
      <c r="X1271" s="147"/>
      <c r="Y1271" s="147"/>
      <c r="Z1271" s="147"/>
      <c r="AA1271" s="147"/>
      <c r="AB1271" s="147"/>
      <c r="AC1271" s="147"/>
      <c r="AD1271" s="147"/>
      <c r="AE1271" s="147"/>
      <c r="AF1271" s="147"/>
      <c r="AG1271" s="147"/>
      <c r="AH1271" s="147"/>
      <c r="AI1271" s="147"/>
      <c r="AJ1271" s="147"/>
      <c r="AK1271" s="147"/>
      <c r="AL1271" s="147"/>
      <c r="AM1271" s="151"/>
      <c r="AN1271" s="147"/>
      <c r="AO1271" s="147"/>
      <c r="AP1271" s="147"/>
      <c r="AQ1271" s="147"/>
      <c r="AR1271" s="147"/>
      <c r="AS1271" s="147"/>
      <c r="AT1271" s="147"/>
      <c r="AU1271" s="147"/>
      <c r="AV1271" s="147"/>
      <c r="AW1271" s="147"/>
      <c r="AX1271" s="147"/>
      <c r="AY1271" s="147"/>
      <c r="AZ1271" s="147"/>
      <c r="BA1271" s="147"/>
      <c r="BB1271" s="147"/>
      <c r="BC1271" s="147"/>
      <c r="BD1271" s="147"/>
      <c r="BE1271" s="147"/>
      <c r="BF1271" s="147"/>
      <c r="BG1271" s="147"/>
      <c r="BH1271" s="147"/>
      <c r="BI1271" s="147"/>
      <c r="BJ1271" s="147"/>
      <c r="BK1271" s="147"/>
      <c r="BL1271" s="147"/>
      <c r="BM1271" s="147"/>
      <c r="BN1271" s="147"/>
      <c r="BO1271" s="147"/>
      <c r="BP1271" s="147"/>
      <c r="BQ1271" s="147"/>
      <c r="BR1271" s="147"/>
      <c r="BS1271" s="147"/>
      <c r="BT1271" s="147"/>
      <c r="BU1271" s="147"/>
      <c r="BV1271" s="147"/>
      <c r="BW1271" s="147"/>
      <c r="BX1271" s="147"/>
      <c r="BY1271" s="147"/>
      <c r="BZ1271" s="147"/>
      <c r="CA1271" s="147"/>
      <c r="CB1271" s="147"/>
      <c r="CC1271" s="147"/>
      <c r="CD1271" s="147"/>
      <c r="CE1271" s="147"/>
      <c r="CF1271" s="147"/>
      <c r="CG1271" s="147"/>
      <c r="CH1271" s="147"/>
      <c r="CI1271" s="147"/>
      <c r="CJ1271" s="147"/>
      <c r="CK1271" s="147"/>
    </row>
    <row r="1272" spans="1:89">
      <c r="A1272" s="157"/>
      <c r="F1272" s="3"/>
      <c r="G1272" s="3"/>
      <c r="L1272" s="157"/>
      <c r="M1272" s="157"/>
      <c r="O1272" s="147"/>
      <c r="P1272" s="147"/>
      <c r="Q1272" s="147"/>
      <c r="R1272" s="147"/>
      <c r="S1272" s="147"/>
      <c r="T1272" s="147"/>
      <c r="U1272" s="147"/>
      <c r="V1272" s="147"/>
      <c r="W1272" s="147"/>
      <c r="X1272" s="147"/>
      <c r="Y1272" s="147"/>
      <c r="Z1272" s="147"/>
      <c r="AA1272" s="147"/>
      <c r="AB1272" s="147"/>
      <c r="AC1272" s="147"/>
      <c r="AD1272" s="147"/>
      <c r="AE1272" s="147"/>
      <c r="AF1272" s="147"/>
      <c r="AG1272" s="147"/>
      <c r="AH1272" s="147"/>
      <c r="AI1272" s="147"/>
      <c r="AJ1272" s="147"/>
      <c r="AK1272" s="147"/>
      <c r="AL1272" s="147"/>
      <c r="AM1272" s="151"/>
      <c r="AN1272" s="147"/>
      <c r="AO1272" s="147"/>
      <c r="AP1272" s="147"/>
      <c r="AQ1272" s="147"/>
      <c r="AR1272" s="147"/>
      <c r="AS1272" s="147"/>
      <c r="AT1272" s="147"/>
      <c r="AU1272" s="147"/>
      <c r="AV1272" s="147"/>
      <c r="AW1272" s="147"/>
      <c r="AX1272" s="147"/>
      <c r="AY1272" s="147"/>
      <c r="AZ1272" s="147"/>
      <c r="BA1272" s="147"/>
      <c r="BB1272" s="147"/>
      <c r="BC1272" s="147"/>
      <c r="BD1272" s="147"/>
      <c r="BE1272" s="147"/>
      <c r="BF1272" s="147"/>
      <c r="BG1272" s="147"/>
      <c r="BH1272" s="147"/>
      <c r="BI1272" s="147"/>
      <c r="BJ1272" s="147"/>
      <c r="BK1272" s="147"/>
      <c r="BL1272" s="147"/>
      <c r="BM1272" s="147"/>
      <c r="BN1272" s="147"/>
      <c r="BO1272" s="147"/>
      <c r="BP1272" s="147"/>
      <c r="BQ1272" s="147"/>
      <c r="BR1272" s="147"/>
      <c r="BS1272" s="147"/>
      <c r="BT1272" s="147"/>
      <c r="BU1272" s="147"/>
      <c r="BV1272" s="147"/>
      <c r="BW1272" s="147"/>
      <c r="BX1272" s="147"/>
      <c r="BY1272" s="147"/>
      <c r="BZ1272" s="147"/>
      <c r="CA1272" s="147"/>
      <c r="CB1272" s="147"/>
      <c r="CC1272" s="147"/>
      <c r="CD1272" s="147"/>
      <c r="CE1272" s="147"/>
      <c r="CF1272" s="147"/>
      <c r="CG1272" s="147"/>
      <c r="CH1272" s="147"/>
      <c r="CI1272" s="147"/>
      <c r="CJ1272" s="147"/>
      <c r="CK1272" s="147"/>
    </row>
    <row r="1273" spans="1:89">
      <c r="A1273" s="157"/>
      <c r="F1273" s="3"/>
      <c r="G1273" s="3"/>
      <c r="L1273" s="157"/>
      <c r="M1273" s="157"/>
      <c r="O1273" s="147"/>
      <c r="P1273" s="147"/>
      <c r="Q1273" s="147"/>
      <c r="R1273" s="147"/>
      <c r="S1273" s="147"/>
      <c r="T1273" s="147"/>
      <c r="U1273" s="147"/>
      <c r="V1273" s="147"/>
      <c r="W1273" s="147"/>
      <c r="X1273" s="147"/>
      <c r="Y1273" s="147"/>
      <c r="Z1273" s="147"/>
      <c r="AA1273" s="147"/>
      <c r="AB1273" s="147"/>
      <c r="AC1273" s="147"/>
      <c r="AD1273" s="147"/>
      <c r="AE1273" s="147"/>
      <c r="AF1273" s="147"/>
      <c r="AG1273" s="147"/>
      <c r="AH1273" s="147"/>
      <c r="AI1273" s="147"/>
      <c r="AJ1273" s="147"/>
      <c r="AK1273" s="147"/>
      <c r="AL1273" s="147"/>
      <c r="AM1273" s="151"/>
      <c r="AN1273" s="147"/>
      <c r="AO1273" s="147"/>
      <c r="AP1273" s="147"/>
      <c r="AQ1273" s="147"/>
      <c r="AR1273" s="147"/>
      <c r="AS1273" s="147"/>
      <c r="AT1273" s="147"/>
      <c r="AU1273" s="147"/>
      <c r="AV1273" s="147"/>
      <c r="AW1273" s="147"/>
      <c r="AX1273" s="147"/>
      <c r="AY1273" s="147"/>
      <c r="AZ1273" s="147"/>
      <c r="BA1273" s="147"/>
      <c r="BB1273" s="147"/>
      <c r="BC1273" s="147"/>
      <c r="BD1273" s="147"/>
      <c r="BE1273" s="147"/>
      <c r="BF1273" s="147"/>
      <c r="BG1273" s="147"/>
      <c r="BH1273" s="147"/>
      <c r="BI1273" s="147"/>
      <c r="BJ1273" s="147"/>
      <c r="BK1273" s="147"/>
      <c r="BL1273" s="147"/>
      <c r="BM1273" s="147"/>
      <c r="BN1273" s="147"/>
      <c r="BO1273" s="147"/>
      <c r="BP1273" s="147"/>
      <c r="BQ1273" s="147"/>
      <c r="BR1273" s="147"/>
      <c r="BS1273" s="147"/>
      <c r="BT1273" s="147"/>
      <c r="BU1273" s="147"/>
      <c r="BV1273" s="147"/>
      <c r="BW1273" s="147"/>
      <c r="BX1273" s="147"/>
      <c r="BY1273" s="147"/>
      <c r="BZ1273" s="147"/>
      <c r="CA1273" s="147"/>
      <c r="CB1273" s="147"/>
      <c r="CC1273" s="147"/>
      <c r="CD1273" s="147"/>
      <c r="CE1273" s="147"/>
      <c r="CF1273" s="147"/>
      <c r="CG1273" s="147"/>
      <c r="CH1273" s="147"/>
      <c r="CI1273" s="147"/>
      <c r="CJ1273" s="147"/>
      <c r="CK1273" s="147"/>
    </row>
    <row r="1274" spans="1:89">
      <c r="A1274" s="157"/>
      <c r="F1274" s="3"/>
      <c r="G1274" s="3"/>
      <c r="L1274" s="157"/>
      <c r="M1274" s="157"/>
      <c r="O1274" s="147"/>
      <c r="P1274" s="147"/>
      <c r="Q1274" s="147"/>
      <c r="R1274" s="147"/>
      <c r="S1274" s="147"/>
      <c r="T1274" s="147"/>
      <c r="U1274" s="147"/>
      <c r="V1274" s="147"/>
      <c r="W1274" s="147"/>
      <c r="X1274" s="147"/>
      <c r="Y1274" s="147"/>
      <c r="Z1274" s="147"/>
      <c r="AA1274" s="147"/>
      <c r="AB1274" s="147"/>
      <c r="AC1274" s="147"/>
      <c r="AD1274" s="147"/>
      <c r="AE1274" s="147"/>
      <c r="AF1274" s="147"/>
      <c r="AG1274" s="147"/>
      <c r="AH1274" s="147"/>
      <c r="AI1274" s="147"/>
      <c r="AJ1274" s="147"/>
      <c r="AK1274" s="147"/>
      <c r="AL1274" s="147"/>
      <c r="AM1274" s="151"/>
      <c r="AN1274" s="147"/>
      <c r="AO1274" s="147"/>
      <c r="AP1274" s="147"/>
      <c r="AQ1274" s="147"/>
      <c r="AR1274" s="147"/>
      <c r="AS1274" s="147"/>
      <c r="AT1274" s="147"/>
      <c r="AU1274" s="147"/>
      <c r="AV1274" s="147"/>
      <c r="AW1274" s="147"/>
      <c r="AX1274" s="147"/>
      <c r="AY1274" s="147"/>
      <c r="AZ1274" s="147"/>
      <c r="BA1274" s="147"/>
      <c r="BB1274" s="147"/>
      <c r="BC1274" s="147"/>
      <c r="BD1274" s="147"/>
      <c r="BE1274" s="147"/>
      <c r="BF1274" s="147"/>
      <c r="BG1274" s="147"/>
      <c r="BH1274" s="147"/>
      <c r="BI1274" s="147"/>
      <c r="BJ1274" s="147"/>
      <c r="BK1274" s="147"/>
      <c r="BL1274" s="147"/>
      <c r="BM1274" s="147"/>
      <c r="BN1274" s="147"/>
      <c r="BO1274" s="147"/>
      <c r="BP1274" s="147"/>
      <c r="BQ1274" s="147"/>
      <c r="BR1274" s="147"/>
      <c r="BS1274" s="147"/>
      <c r="BT1274" s="147"/>
      <c r="BU1274" s="147"/>
      <c r="BV1274" s="147"/>
      <c r="BW1274" s="147"/>
      <c r="BX1274" s="147"/>
      <c r="BY1274" s="147"/>
      <c r="BZ1274" s="147"/>
      <c r="CA1274" s="147"/>
      <c r="CB1274" s="147"/>
      <c r="CC1274" s="147"/>
      <c r="CD1274" s="147"/>
      <c r="CE1274" s="147"/>
      <c r="CF1274" s="147"/>
      <c r="CG1274" s="147"/>
      <c r="CH1274" s="147"/>
      <c r="CI1274" s="147"/>
      <c r="CJ1274" s="147"/>
      <c r="CK1274" s="147"/>
    </row>
    <row r="1275" spans="1:89">
      <c r="A1275" s="157"/>
      <c r="F1275" s="3"/>
      <c r="G1275" s="3"/>
      <c r="L1275" s="157"/>
      <c r="M1275" s="157"/>
      <c r="O1275" s="147"/>
      <c r="P1275" s="147"/>
      <c r="Q1275" s="147"/>
      <c r="R1275" s="147"/>
      <c r="S1275" s="147"/>
      <c r="T1275" s="147"/>
      <c r="U1275" s="147"/>
      <c r="V1275" s="147"/>
      <c r="W1275" s="147"/>
      <c r="X1275" s="147"/>
      <c r="Y1275" s="147"/>
      <c r="Z1275" s="147"/>
      <c r="AA1275" s="147"/>
      <c r="AB1275" s="147"/>
      <c r="AC1275" s="147"/>
      <c r="AD1275" s="147"/>
      <c r="AE1275" s="147"/>
      <c r="AF1275" s="147"/>
      <c r="AG1275" s="147"/>
      <c r="AH1275" s="147"/>
      <c r="AI1275" s="147"/>
      <c r="AJ1275" s="147"/>
      <c r="AK1275" s="147"/>
      <c r="AL1275" s="147"/>
      <c r="AM1275" s="151"/>
      <c r="AN1275" s="147"/>
      <c r="AO1275" s="147"/>
      <c r="AP1275" s="147"/>
      <c r="AQ1275" s="147"/>
      <c r="AR1275" s="147"/>
      <c r="AS1275" s="147"/>
      <c r="AT1275" s="147"/>
      <c r="AU1275" s="147"/>
      <c r="AV1275" s="147"/>
      <c r="AW1275" s="147"/>
      <c r="AX1275" s="147"/>
      <c r="AY1275" s="147"/>
      <c r="AZ1275" s="147"/>
      <c r="BA1275" s="147"/>
      <c r="BB1275" s="147"/>
      <c r="BC1275" s="147"/>
      <c r="BD1275" s="147"/>
      <c r="BE1275" s="147"/>
      <c r="BF1275" s="147"/>
      <c r="BG1275" s="147"/>
      <c r="BH1275" s="147"/>
      <c r="BI1275" s="147"/>
      <c r="BJ1275" s="147"/>
      <c r="BK1275" s="147"/>
      <c r="BL1275" s="147"/>
      <c r="BM1275" s="147"/>
      <c r="BN1275" s="147"/>
      <c r="BO1275" s="147"/>
      <c r="BP1275" s="147"/>
      <c r="BQ1275" s="147"/>
      <c r="BR1275" s="147"/>
      <c r="BS1275" s="147"/>
      <c r="BT1275" s="147"/>
      <c r="BU1275" s="147"/>
      <c r="BV1275" s="147"/>
      <c r="BW1275" s="147"/>
      <c r="BX1275" s="147"/>
      <c r="BY1275" s="147"/>
      <c r="BZ1275" s="147"/>
      <c r="CA1275" s="147"/>
      <c r="CB1275" s="147"/>
      <c r="CC1275" s="147"/>
      <c r="CD1275" s="147"/>
      <c r="CE1275" s="147"/>
      <c r="CF1275" s="147"/>
      <c r="CG1275" s="147"/>
      <c r="CH1275" s="147"/>
      <c r="CI1275" s="147"/>
      <c r="CJ1275" s="147"/>
      <c r="CK1275" s="147"/>
    </row>
    <row r="1276" spans="1:89">
      <c r="A1276" s="157"/>
      <c r="F1276" s="3"/>
      <c r="G1276" s="3"/>
      <c r="L1276" s="157"/>
      <c r="M1276" s="157"/>
      <c r="O1276" s="147"/>
      <c r="P1276" s="147"/>
      <c r="Q1276" s="147"/>
      <c r="R1276" s="147"/>
      <c r="S1276" s="147"/>
      <c r="T1276" s="147"/>
      <c r="U1276" s="147"/>
      <c r="V1276" s="147"/>
      <c r="W1276" s="147"/>
      <c r="X1276" s="147"/>
      <c r="Y1276" s="147"/>
      <c r="Z1276" s="147"/>
      <c r="AA1276" s="147"/>
      <c r="AB1276" s="147"/>
      <c r="AC1276" s="147"/>
      <c r="AD1276" s="147"/>
      <c r="AE1276" s="147"/>
      <c r="AF1276" s="147"/>
      <c r="AG1276" s="147"/>
      <c r="AH1276" s="147"/>
      <c r="AI1276" s="147"/>
      <c r="AJ1276" s="147"/>
      <c r="AK1276" s="147"/>
      <c r="AL1276" s="147"/>
      <c r="AM1276" s="151"/>
      <c r="AN1276" s="147"/>
      <c r="AO1276" s="147"/>
      <c r="AP1276" s="147"/>
      <c r="AQ1276" s="147"/>
      <c r="AR1276" s="147"/>
      <c r="AS1276" s="147"/>
      <c r="AT1276" s="147"/>
      <c r="AU1276" s="147"/>
      <c r="AV1276" s="147"/>
      <c r="AW1276" s="147"/>
      <c r="AX1276" s="147"/>
      <c r="AY1276" s="147"/>
      <c r="AZ1276" s="147"/>
      <c r="BA1276" s="147"/>
      <c r="BB1276" s="147"/>
      <c r="BC1276" s="147"/>
      <c r="BD1276" s="147"/>
      <c r="BE1276" s="147"/>
      <c r="BF1276" s="147"/>
      <c r="BG1276" s="147"/>
      <c r="BH1276" s="147"/>
      <c r="BI1276" s="147"/>
      <c r="BJ1276" s="147"/>
      <c r="BK1276" s="147"/>
      <c r="BL1276" s="147"/>
      <c r="BM1276" s="147"/>
      <c r="BN1276" s="147"/>
      <c r="BO1276" s="147"/>
      <c r="BP1276" s="147"/>
      <c r="BQ1276" s="147"/>
      <c r="BR1276" s="147"/>
      <c r="BS1276" s="147"/>
      <c r="BT1276" s="147"/>
      <c r="BU1276" s="147"/>
      <c r="BV1276" s="147"/>
      <c r="BW1276" s="147"/>
      <c r="BX1276" s="147"/>
      <c r="BY1276" s="147"/>
      <c r="BZ1276" s="147"/>
      <c r="CA1276" s="147"/>
      <c r="CB1276" s="147"/>
      <c r="CC1276" s="147"/>
      <c r="CD1276" s="147"/>
      <c r="CE1276" s="147"/>
      <c r="CF1276" s="147"/>
      <c r="CG1276" s="147"/>
      <c r="CH1276" s="147"/>
      <c r="CI1276" s="147"/>
      <c r="CJ1276" s="147"/>
      <c r="CK1276" s="147"/>
    </row>
    <row r="1277" spans="1:89">
      <c r="A1277" s="157"/>
      <c r="F1277" s="3"/>
      <c r="G1277" s="3"/>
      <c r="L1277" s="157"/>
      <c r="M1277" s="157"/>
      <c r="O1277" s="147"/>
      <c r="P1277" s="147"/>
      <c r="Q1277" s="147"/>
      <c r="R1277" s="147"/>
      <c r="S1277" s="147"/>
      <c r="T1277" s="147"/>
      <c r="U1277" s="147"/>
      <c r="V1277" s="147"/>
      <c r="W1277" s="147"/>
      <c r="X1277" s="147"/>
      <c r="Y1277" s="147"/>
      <c r="Z1277" s="147"/>
      <c r="AA1277" s="147"/>
      <c r="AB1277" s="147"/>
      <c r="AC1277" s="147"/>
      <c r="AD1277" s="147"/>
      <c r="AE1277" s="147"/>
      <c r="AF1277" s="147"/>
      <c r="AG1277" s="147"/>
      <c r="AH1277" s="147"/>
      <c r="AI1277" s="147"/>
      <c r="AJ1277" s="147"/>
      <c r="AK1277" s="147"/>
      <c r="AL1277" s="147"/>
      <c r="AM1277" s="151"/>
      <c r="AN1277" s="147"/>
      <c r="AO1277" s="147"/>
      <c r="AP1277" s="147"/>
      <c r="AQ1277" s="147"/>
      <c r="AR1277" s="147"/>
      <c r="AS1277" s="147"/>
      <c r="AT1277" s="147"/>
      <c r="AU1277" s="147"/>
      <c r="AV1277" s="147"/>
      <c r="AW1277" s="147"/>
      <c r="AX1277" s="147"/>
      <c r="AY1277" s="147"/>
      <c r="AZ1277" s="147"/>
      <c r="BA1277" s="147"/>
      <c r="BB1277" s="147"/>
      <c r="BC1277" s="147"/>
      <c r="BD1277" s="147"/>
      <c r="BE1277" s="147"/>
      <c r="BF1277" s="147"/>
      <c r="BG1277" s="147"/>
      <c r="BH1277" s="147"/>
      <c r="BI1277" s="147"/>
      <c r="BJ1277" s="147"/>
      <c r="BK1277" s="147"/>
      <c r="BL1277" s="147"/>
      <c r="BM1277" s="147"/>
      <c r="BN1277" s="147"/>
      <c r="BO1277" s="147"/>
      <c r="BP1277" s="147"/>
      <c r="BQ1277" s="147"/>
      <c r="BR1277" s="147"/>
      <c r="BS1277" s="147"/>
      <c r="BT1277" s="147"/>
      <c r="BU1277" s="147"/>
      <c r="BV1277" s="147"/>
      <c r="BW1277" s="147"/>
      <c r="BX1277" s="147"/>
      <c r="BY1277" s="147"/>
      <c r="BZ1277" s="147"/>
      <c r="CA1277" s="147"/>
      <c r="CB1277" s="147"/>
      <c r="CC1277" s="147"/>
      <c r="CD1277" s="147"/>
      <c r="CE1277" s="147"/>
      <c r="CF1277" s="147"/>
      <c r="CG1277" s="147"/>
      <c r="CH1277" s="147"/>
      <c r="CI1277" s="147"/>
      <c r="CJ1277" s="147"/>
      <c r="CK1277" s="147"/>
    </row>
    <row r="1278" spans="1:89">
      <c r="A1278" s="157"/>
      <c r="F1278" s="3"/>
      <c r="G1278" s="3"/>
      <c r="L1278" s="157"/>
      <c r="M1278" s="157"/>
      <c r="O1278" s="147"/>
      <c r="P1278" s="147"/>
      <c r="Q1278" s="147"/>
      <c r="R1278" s="147"/>
      <c r="S1278" s="147"/>
      <c r="T1278" s="147"/>
      <c r="U1278" s="147"/>
      <c r="V1278" s="147"/>
      <c r="W1278" s="147"/>
      <c r="X1278" s="147"/>
      <c r="Y1278" s="147"/>
      <c r="Z1278" s="147"/>
      <c r="AA1278" s="147"/>
      <c r="AB1278" s="147"/>
      <c r="AC1278" s="147"/>
      <c r="AD1278" s="147"/>
      <c r="AE1278" s="147"/>
      <c r="AF1278" s="147"/>
      <c r="AG1278" s="147"/>
      <c r="AH1278" s="147"/>
      <c r="AI1278" s="147"/>
      <c r="AJ1278" s="147"/>
      <c r="AK1278" s="147"/>
      <c r="AL1278" s="147"/>
      <c r="AM1278" s="151"/>
      <c r="AN1278" s="147"/>
      <c r="AO1278" s="147"/>
      <c r="AP1278" s="147"/>
      <c r="AQ1278" s="147"/>
      <c r="AR1278" s="147"/>
      <c r="AS1278" s="147"/>
      <c r="AT1278" s="147"/>
      <c r="AU1278" s="147"/>
      <c r="AV1278" s="147"/>
      <c r="AW1278" s="147"/>
      <c r="AX1278" s="147"/>
      <c r="AY1278" s="147"/>
      <c r="AZ1278" s="147"/>
      <c r="BA1278" s="147"/>
      <c r="BB1278" s="147"/>
      <c r="BC1278" s="147"/>
      <c r="BD1278" s="147"/>
      <c r="BE1278" s="147"/>
      <c r="BF1278" s="147"/>
      <c r="BG1278" s="147"/>
      <c r="BH1278" s="147"/>
      <c r="BI1278" s="147"/>
      <c r="BJ1278" s="147"/>
      <c r="BK1278" s="147"/>
      <c r="BL1278" s="147"/>
      <c r="BM1278" s="147"/>
      <c r="BN1278" s="147"/>
      <c r="BO1278" s="147"/>
      <c r="BP1278" s="147"/>
      <c r="BQ1278" s="147"/>
      <c r="BR1278" s="147"/>
      <c r="BS1278" s="147"/>
      <c r="BT1278" s="147"/>
      <c r="BU1278" s="147"/>
      <c r="BV1278" s="147"/>
      <c r="BW1278" s="147"/>
      <c r="BX1278" s="147"/>
      <c r="BY1278" s="147"/>
      <c r="BZ1278" s="147"/>
      <c r="CA1278" s="147"/>
      <c r="CB1278" s="147"/>
      <c r="CC1278" s="147"/>
      <c r="CD1278" s="147"/>
      <c r="CE1278" s="147"/>
      <c r="CF1278" s="147"/>
      <c r="CG1278" s="147"/>
      <c r="CH1278" s="147"/>
      <c r="CI1278" s="147"/>
      <c r="CJ1278" s="147"/>
      <c r="CK1278" s="147"/>
    </row>
    <row r="1279" spans="1:89">
      <c r="A1279" s="157"/>
      <c r="F1279" s="3"/>
      <c r="G1279" s="3"/>
      <c r="L1279" s="157"/>
      <c r="M1279" s="157"/>
      <c r="O1279" s="147"/>
      <c r="P1279" s="147"/>
      <c r="Q1279" s="147"/>
      <c r="R1279" s="147"/>
      <c r="S1279" s="147"/>
      <c r="T1279" s="147"/>
      <c r="U1279" s="147"/>
      <c r="V1279" s="147"/>
      <c r="W1279" s="147"/>
      <c r="X1279" s="147"/>
      <c r="Y1279" s="147"/>
      <c r="Z1279" s="147"/>
      <c r="AA1279" s="147"/>
      <c r="AB1279" s="147"/>
      <c r="AC1279" s="147"/>
      <c r="AD1279" s="147"/>
      <c r="AE1279" s="147"/>
      <c r="AF1279" s="147"/>
      <c r="AG1279" s="147"/>
      <c r="AH1279" s="147"/>
      <c r="AI1279" s="147"/>
      <c r="AJ1279" s="147"/>
      <c r="AK1279" s="147"/>
      <c r="AL1279" s="147"/>
      <c r="AM1279" s="151"/>
      <c r="AN1279" s="147"/>
      <c r="AO1279" s="147"/>
      <c r="AP1279" s="147"/>
      <c r="AQ1279" s="147"/>
      <c r="AR1279" s="147"/>
      <c r="AS1279" s="147"/>
      <c r="AT1279" s="147"/>
      <c r="AU1279" s="147"/>
      <c r="AV1279" s="147"/>
      <c r="AW1279" s="147"/>
      <c r="AX1279" s="147"/>
      <c r="AY1279" s="147"/>
      <c r="AZ1279" s="147"/>
      <c r="BA1279" s="147"/>
      <c r="BB1279" s="147"/>
      <c r="BC1279" s="147"/>
      <c r="BD1279" s="147"/>
      <c r="BE1279" s="147"/>
      <c r="BF1279" s="147"/>
      <c r="BG1279" s="147"/>
      <c r="BH1279" s="147"/>
      <c r="BI1279" s="147"/>
      <c r="BJ1279" s="147"/>
      <c r="BK1279" s="147"/>
      <c r="BL1279" s="147"/>
      <c r="BM1279" s="147"/>
      <c r="BN1279" s="147"/>
      <c r="BO1279" s="147"/>
      <c r="BP1279" s="147"/>
      <c r="BQ1279" s="147"/>
      <c r="BR1279" s="147"/>
      <c r="BS1279" s="147"/>
      <c r="BT1279" s="147"/>
      <c r="BU1279" s="147"/>
      <c r="BV1279" s="147"/>
      <c r="BW1279" s="147"/>
      <c r="BX1279" s="147"/>
      <c r="BY1279" s="147"/>
      <c r="BZ1279" s="147"/>
      <c r="CA1279" s="147"/>
      <c r="CB1279" s="147"/>
      <c r="CC1279" s="147"/>
      <c r="CD1279" s="147"/>
      <c r="CE1279" s="147"/>
      <c r="CF1279" s="147"/>
      <c r="CG1279" s="147"/>
      <c r="CH1279" s="147"/>
      <c r="CI1279" s="147"/>
      <c r="CJ1279" s="147"/>
      <c r="CK1279" s="147"/>
    </row>
    <row r="1280" spans="1:89">
      <c r="A1280" s="157"/>
      <c r="F1280" s="3"/>
      <c r="G1280" s="3"/>
      <c r="L1280" s="157"/>
      <c r="M1280" s="157"/>
      <c r="O1280" s="147"/>
      <c r="P1280" s="147"/>
      <c r="Q1280" s="147"/>
      <c r="R1280" s="147"/>
      <c r="S1280" s="147"/>
      <c r="T1280" s="147"/>
      <c r="U1280" s="147"/>
      <c r="V1280" s="147"/>
      <c r="W1280" s="147"/>
      <c r="X1280" s="147"/>
      <c r="Y1280" s="147"/>
      <c r="Z1280" s="147"/>
      <c r="AA1280" s="147"/>
      <c r="AB1280" s="147"/>
      <c r="AC1280" s="147"/>
      <c r="AD1280" s="147"/>
      <c r="AE1280" s="147"/>
      <c r="AF1280" s="147"/>
      <c r="AG1280" s="147"/>
      <c r="AH1280" s="147"/>
      <c r="AI1280" s="147"/>
      <c r="AJ1280" s="147"/>
      <c r="AK1280" s="147"/>
      <c r="AL1280" s="147"/>
      <c r="AM1280" s="151"/>
      <c r="AN1280" s="147"/>
      <c r="AO1280" s="147"/>
      <c r="AP1280" s="147"/>
      <c r="AQ1280" s="147"/>
      <c r="AR1280" s="147"/>
      <c r="AS1280" s="147"/>
      <c r="AT1280" s="147"/>
      <c r="AU1280" s="147"/>
      <c r="AV1280" s="147"/>
      <c r="AW1280" s="147"/>
      <c r="AX1280" s="147"/>
      <c r="AY1280" s="147"/>
      <c r="AZ1280" s="147"/>
      <c r="BA1280" s="147"/>
      <c r="BB1280" s="147"/>
      <c r="BC1280" s="147"/>
      <c r="BD1280" s="147"/>
      <c r="BE1280" s="147"/>
      <c r="BF1280" s="147"/>
      <c r="BG1280" s="147"/>
      <c r="BH1280" s="147"/>
      <c r="BI1280" s="147"/>
      <c r="BJ1280" s="147"/>
      <c r="BK1280" s="147"/>
      <c r="BL1280" s="147"/>
      <c r="BM1280" s="147"/>
      <c r="BN1280" s="147"/>
      <c r="BO1280" s="147"/>
      <c r="BP1280" s="147"/>
      <c r="BQ1280" s="147"/>
      <c r="BR1280" s="147"/>
      <c r="BS1280" s="147"/>
      <c r="BT1280" s="147"/>
      <c r="BU1280" s="147"/>
      <c r="BV1280" s="147"/>
      <c r="BW1280" s="147"/>
      <c r="BX1280" s="147"/>
      <c r="BY1280" s="147"/>
      <c r="BZ1280" s="147"/>
      <c r="CA1280" s="147"/>
      <c r="CB1280" s="147"/>
      <c r="CC1280" s="147"/>
      <c r="CD1280" s="147"/>
      <c r="CE1280" s="147"/>
      <c r="CF1280" s="147"/>
      <c r="CG1280" s="147"/>
      <c r="CH1280" s="147"/>
      <c r="CI1280" s="147"/>
      <c r="CJ1280" s="147"/>
      <c r="CK1280" s="147"/>
    </row>
    <row r="1281" spans="1:89">
      <c r="A1281" s="157"/>
      <c r="F1281" s="3"/>
      <c r="G1281" s="3"/>
      <c r="L1281" s="157"/>
      <c r="M1281" s="157"/>
      <c r="O1281" s="147"/>
      <c r="P1281" s="147"/>
      <c r="Q1281" s="147"/>
      <c r="R1281" s="147"/>
      <c r="S1281" s="147"/>
      <c r="T1281" s="147"/>
      <c r="U1281" s="147"/>
      <c r="V1281" s="147"/>
      <c r="W1281" s="147"/>
      <c r="X1281" s="147"/>
      <c r="Y1281" s="147"/>
      <c r="Z1281" s="147"/>
      <c r="AA1281" s="147"/>
      <c r="AB1281" s="147"/>
      <c r="AC1281" s="147"/>
      <c r="AD1281" s="147"/>
      <c r="AE1281" s="147"/>
      <c r="AF1281" s="147"/>
      <c r="AG1281" s="147"/>
      <c r="AH1281" s="147"/>
      <c r="AI1281" s="147"/>
      <c r="AJ1281" s="147"/>
      <c r="AK1281" s="147"/>
      <c r="AL1281" s="147"/>
      <c r="AM1281" s="151"/>
      <c r="AN1281" s="147"/>
      <c r="AO1281" s="147"/>
      <c r="AP1281" s="147"/>
      <c r="AQ1281" s="147"/>
      <c r="AR1281" s="147"/>
      <c r="AS1281" s="147"/>
      <c r="AT1281" s="147"/>
      <c r="AU1281" s="147"/>
      <c r="AV1281" s="147"/>
      <c r="AW1281" s="147"/>
      <c r="AX1281" s="147"/>
      <c r="AY1281" s="147"/>
      <c r="AZ1281" s="147"/>
      <c r="BA1281" s="147"/>
      <c r="BB1281" s="147"/>
      <c r="BC1281" s="147"/>
      <c r="BD1281" s="147"/>
      <c r="BE1281" s="147"/>
      <c r="BF1281" s="147"/>
      <c r="BG1281" s="147"/>
      <c r="BH1281" s="147"/>
      <c r="BI1281" s="147"/>
      <c r="BJ1281" s="147"/>
      <c r="BK1281" s="147"/>
      <c r="BL1281" s="147"/>
      <c r="BM1281" s="147"/>
      <c r="BN1281" s="147"/>
      <c r="BO1281" s="147"/>
      <c r="BP1281" s="147"/>
      <c r="BQ1281" s="147"/>
      <c r="BR1281" s="147"/>
      <c r="BS1281" s="147"/>
      <c r="BT1281" s="147"/>
      <c r="BU1281" s="147"/>
      <c r="BV1281" s="147"/>
      <c r="BW1281" s="147"/>
      <c r="BX1281" s="147"/>
      <c r="BY1281" s="147"/>
      <c r="BZ1281" s="147"/>
      <c r="CA1281" s="147"/>
      <c r="CB1281" s="147"/>
      <c r="CC1281" s="147"/>
      <c r="CD1281" s="147"/>
      <c r="CE1281" s="147"/>
      <c r="CF1281" s="147"/>
      <c r="CG1281" s="147"/>
      <c r="CH1281" s="147"/>
      <c r="CI1281" s="147"/>
      <c r="CJ1281" s="147"/>
      <c r="CK1281" s="147"/>
    </row>
    <row r="1282" spans="1:89">
      <c r="A1282" s="157"/>
      <c r="F1282" s="3"/>
      <c r="G1282" s="3"/>
      <c r="L1282" s="157"/>
      <c r="M1282" s="157"/>
      <c r="O1282" s="147"/>
      <c r="P1282" s="147"/>
      <c r="Q1282" s="147"/>
      <c r="R1282" s="147"/>
      <c r="S1282" s="147"/>
      <c r="T1282" s="147"/>
      <c r="U1282" s="147"/>
      <c r="V1282" s="147"/>
      <c r="W1282" s="147"/>
      <c r="X1282" s="147"/>
      <c r="Y1282" s="147"/>
      <c r="Z1282" s="147"/>
      <c r="AA1282" s="147"/>
      <c r="AB1282" s="147"/>
      <c r="AC1282" s="147"/>
      <c r="AD1282" s="147"/>
      <c r="AE1282" s="147"/>
      <c r="AF1282" s="147"/>
      <c r="AG1282" s="147"/>
      <c r="AH1282" s="147"/>
      <c r="AI1282" s="147"/>
      <c r="AJ1282" s="147"/>
      <c r="AK1282" s="147"/>
      <c r="AL1282" s="147"/>
      <c r="AM1282" s="151"/>
      <c r="AN1282" s="147"/>
      <c r="AO1282" s="147"/>
      <c r="AP1282" s="147"/>
      <c r="AQ1282" s="147"/>
      <c r="AR1282" s="147"/>
      <c r="AS1282" s="147"/>
      <c r="AT1282" s="147"/>
      <c r="AU1282" s="147"/>
      <c r="AV1282" s="147"/>
      <c r="AW1282" s="147"/>
      <c r="AX1282" s="147"/>
      <c r="AY1282" s="147"/>
      <c r="AZ1282" s="147"/>
      <c r="BA1282" s="147"/>
      <c r="BB1282" s="147"/>
      <c r="BC1282" s="147"/>
      <c r="BD1282" s="147"/>
      <c r="BE1282" s="147"/>
      <c r="BF1282" s="147"/>
      <c r="BG1282" s="147"/>
      <c r="BH1282" s="147"/>
      <c r="BI1282" s="147"/>
      <c r="BJ1282" s="147"/>
      <c r="BK1282" s="147"/>
      <c r="BL1282" s="147"/>
      <c r="BM1282" s="147"/>
      <c r="BN1282" s="147"/>
      <c r="BO1282" s="147"/>
      <c r="BP1282" s="147"/>
      <c r="BQ1282" s="147"/>
      <c r="BR1282" s="147"/>
      <c r="BS1282" s="147"/>
      <c r="BT1282" s="147"/>
      <c r="BU1282" s="147"/>
      <c r="BV1282" s="147"/>
      <c r="BW1282" s="147"/>
      <c r="BX1282" s="147"/>
      <c r="BY1282" s="147"/>
      <c r="BZ1282" s="147"/>
      <c r="CA1282" s="147"/>
      <c r="CB1282" s="147"/>
      <c r="CC1282" s="147"/>
      <c r="CD1282" s="147"/>
      <c r="CE1282" s="147"/>
      <c r="CF1282" s="147"/>
      <c r="CG1282" s="147"/>
      <c r="CH1282" s="147"/>
      <c r="CI1282" s="147"/>
      <c r="CJ1282" s="147"/>
      <c r="CK1282" s="147"/>
    </row>
    <row r="1283" spans="1:89">
      <c r="A1283" s="157"/>
      <c r="F1283" s="3"/>
      <c r="G1283" s="3"/>
      <c r="L1283" s="157"/>
      <c r="M1283" s="157"/>
      <c r="O1283" s="147"/>
      <c r="P1283" s="147"/>
      <c r="Q1283" s="147"/>
      <c r="R1283" s="147"/>
      <c r="S1283" s="147"/>
      <c r="T1283" s="147"/>
      <c r="U1283" s="147"/>
      <c r="V1283" s="147"/>
      <c r="W1283" s="147"/>
      <c r="X1283" s="147"/>
      <c r="Y1283" s="147"/>
      <c r="Z1283" s="147"/>
      <c r="AA1283" s="147"/>
      <c r="AB1283" s="147"/>
      <c r="AC1283" s="147"/>
      <c r="AD1283" s="147"/>
      <c r="AE1283" s="147"/>
      <c r="AF1283" s="147"/>
      <c r="AG1283" s="147"/>
      <c r="AH1283" s="147"/>
      <c r="AI1283" s="147"/>
      <c r="AJ1283" s="147"/>
      <c r="AK1283" s="147"/>
      <c r="AL1283" s="147"/>
      <c r="AM1283" s="151"/>
      <c r="AN1283" s="147"/>
      <c r="AO1283" s="147"/>
      <c r="AP1283" s="147"/>
      <c r="AQ1283" s="147"/>
      <c r="AR1283" s="147"/>
      <c r="AS1283" s="147"/>
      <c r="AT1283" s="147"/>
      <c r="AU1283" s="147"/>
      <c r="AV1283" s="147"/>
      <c r="AW1283" s="147"/>
      <c r="AX1283" s="147"/>
      <c r="AY1283" s="147"/>
      <c r="AZ1283" s="147"/>
      <c r="BA1283" s="147"/>
      <c r="BB1283" s="147"/>
      <c r="BC1283" s="147"/>
      <c r="BD1283" s="147"/>
      <c r="BE1283" s="147"/>
      <c r="BF1283" s="147"/>
      <c r="BG1283" s="147"/>
      <c r="BH1283" s="147"/>
      <c r="BI1283" s="147"/>
      <c r="BJ1283" s="147"/>
      <c r="BK1283" s="147"/>
      <c r="BL1283" s="147"/>
      <c r="BM1283" s="147"/>
      <c r="BN1283" s="147"/>
      <c r="BO1283" s="147"/>
      <c r="BP1283" s="147"/>
      <c r="BQ1283" s="147"/>
      <c r="BR1283" s="147"/>
      <c r="BS1283" s="147"/>
      <c r="BT1283" s="147"/>
      <c r="BU1283" s="147"/>
      <c r="BV1283" s="147"/>
      <c r="BW1283" s="147"/>
      <c r="BX1283" s="147"/>
      <c r="BY1283" s="147"/>
      <c r="BZ1283" s="147"/>
      <c r="CA1283" s="147"/>
      <c r="CB1283" s="147"/>
      <c r="CC1283" s="147"/>
      <c r="CD1283" s="147"/>
      <c r="CE1283" s="147"/>
      <c r="CF1283" s="147"/>
      <c r="CG1283" s="147"/>
      <c r="CH1283" s="147"/>
      <c r="CI1283" s="147"/>
      <c r="CJ1283" s="147"/>
      <c r="CK1283" s="147"/>
    </row>
    <row r="1284" spans="1:89">
      <c r="A1284" s="157"/>
      <c r="F1284" s="3"/>
      <c r="G1284" s="3"/>
      <c r="L1284" s="157"/>
      <c r="M1284" s="157"/>
      <c r="O1284" s="147"/>
      <c r="P1284" s="147"/>
      <c r="Q1284" s="147"/>
      <c r="R1284" s="147"/>
      <c r="S1284" s="147"/>
      <c r="T1284" s="147"/>
      <c r="U1284" s="147"/>
      <c r="V1284" s="147"/>
      <c r="W1284" s="147"/>
      <c r="X1284" s="147"/>
      <c r="Y1284" s="147"/>
      <c r="Z1284" s="147"/>
      <c r="AA1284" s="147"/>
      <c r="AB1284" s="147"/>
      <c r="AC1284" s="147"/>
      <c r="AD1284" s="147"/>
      <c r="AE1284" s="147"/>
      <c r="AF1284" s="147"/>
      <c r="AG1284" s="147"/>
      <c r="AH1284" s="147"/>
      <c r="AI1284" s="147"/>
      <c r="AJ1284" s="147"/>
      <c r="AK1284" s="147"/>
      <c r="AL1284" s="147"/>
      <c r="AM1284" s="151"/>
      <c r="AN1284" s="147"/>
      <c r="AO1284" s="147"/>
      <c r="AP1284" s="147"/>
      <c r="AQ1284" s="147"/>
      <c r="AR1284" s="147"/>
      <c r="AS1284" s="147"/>
      <c r="AT1284" s="147"/>
      <c r="AU1284" s="147"/>
      <c r="AV1284" s="147"/>
      <c r="AW1284" s="147"/>
      <c r="AX1284" s="147"/>
      <c r="AY1284" s="147"/>
      <c r="AZ1284" s="147"/>
      <c r="BA1284" s="147"/>
      <c r="BB1284" s="147"/>
      <c r="BC1284" s="147"/>
      <c r="BD1284" s="147"/>
      <c r="BE1284" s="147"/>
      <c r="BF1284" s="147"/>
      <c r="BG1284" s="147"/>
      <c r="BH1284" s="147"/>
      <c r="BI1284" s="147"/>
      <c r="BJ1284" s="147"/>
      <c r="BK1284" s="147"/>
      <c r="BL1284" s="147"/>
      <c r="BM1284" s="147"/>
      <c r="BN1284" s="147"/>
      <c r="BO1284" s="147"/>
      <c r="BP1284" s="147"/>
      <c r="BQ1284" s="147"/>
      <c r="BR1284" s="147"/>
      <c r="BS1284" s="147"/>
      <c r="BT1284" s="147"/>
      <c r="BU1284" s="147"/>
      <c r="BV1284" s="147"/>
      <c r="BW1284" s="147"/>
      <c r="BX1284" s="147"/>
      <c r="BY1284" s="147"/>
      <c r="BZ1284" s="147"/>
      <c r="CA1284" s="147"/>
      <c r="CB1284" s="147"/>
      <c r="CC1284" s="147"/>
      <c r="CD1284" s="147"/>
      <c r="CE1284" s="147"/>
      <c r="CF1284" s="147"/>
      <c r="CG1284" s="147"/>
      <c r="CH1284" s="147"/>
      <c r="CI1284" s="147"/>
      <c r="CJ1284" s="147"/>
      <c r="CK1284" s="147"/>
    </row>
    <row r="1285" spans="1:89">
      <c r="A1285" s="157"/>
      <c r="F1285" s="3"/>
      <c r="G1285" s="3"/>
      <c r="L1285" s="157"/>
      <c r="M1285" s="157"/>
      <c r="O1285" s="147"/>
      <c r="P1285" s="147"/>
      <c r="Q1285" s="147"/>
      <c r="R1285" s="147"/>
      <c r="S1285" s="147"/>
      <c r="T1285" s="147"/>
      <c r="U1285" s="147"/>
      <c r="V1285" s="147"/>
      <c r="W1285" s="147"/>
      <c r="X1285" s="147"/>
      <c r="Y1285" s="147"/>
      <c r="Z1285" s="147"/>
      <c r="AA1285" s="147"/>
      <c r="AB1285" s="147"/>
      <c r="AC1285" s="147"/>
      <c r="AD1285" s="147"/>
      <c r="AE1285" s="147"/>
      <c r="AF1285" s="147"/>
      <c r="AG1285" s="147"/>
      <c r="AH1285" s="147"/>
      <c r="AI1285" s="147"/>
      <c r="AJ1285" s="147"/>
      <c r="AK1285" s="147"/>
      <c r="AL1285" s="147"/>
      <c r="AM1285" s="151"/>
      <c r="AN1285" s="147"/>
      <c r="AO1285" s="147"/>
      <c r="AP1285" s="147"/>
      <c r="AQ1285" s="147"/>
      <c r="AR1285" s="147"/>
      <c r="AS1285" s="147"/>
      <c r="AT1285" s="147"/>
      <c r="AU1285" s="147"/>
      <c r="AV1285" s="147"/>
      <c r="AW1285" s="147"/>
      <c r="AX1285" s="147"/>
      <c r="AY1285" s="147"/>
      <c r="AZ1285" s="147"/>
      <c r="BA1285" s="147"/>
      <c r="BB1285" s="147"/>
      <c r="BC1285" s="147"/>
      <c r="BD1285" s="147"/>
      <c r="BE1285" s="147"/>
      <c r="BF1285" s="147"/>
      <c r="BG1285" s="147"/>
      <c r="BH1285" s="147"/>
      <c r="BI1285" s="147"/>
      <c r="BJ1285" s="147"/>
      <c r="BK1285" s="147"/>
      <c r="BL1285" s="147"/>
      <c r="BM1285" s="147"/>
      <c r="BN1285" s="147"/>
      <c r="BO1285" s="147"/>
      <c r="BP1285" s="147"/>
      <c r="BQ1285" s="147"/>
      <c r="BR1285" s="147"/>
      <c r="BS1285" s="147"/>
      <c r="BT1285" s="147"/>
      <c r="BU1285" s="147"/>
      <c r="BV1285" s="147"/>
      <c r="BW1285" s="147"/>
      <c r="BX1285" s="147"/>
      <c r="BY1285" s="147"/>
      <c r="BZ1285" s="147"/>
      <c r="CA1285" s="147"/>
      <c r="CB1285" s="147"/>
      <c r="CC1285" s="147"/>
      <c r="CD1285" s="147"/>
      <c r="CE1285" s="147"/>
      <c r="CF1285" s="147"/>
      <c r="CG1285" s="147"/>
      <c r="CH1285" s="147"/>
      <c r="CI1285" s="147"/>
      <c r="CJ1285" s="147"/>
      <c r="CK1285" s="147"/>
    </row>
    <row r="1286" spans="1:89">
      <c r="A1286" s="157"/>
      <c r="F1286" s="3"/>
      <c r="G1286" s="3"/>
      <c r="L1286" s="157"/>
      <c r="M1286" s="157"/>
      <c r="O1286" s="147"/>
      <c r="P1286" s="147"/>
      <c r="Q1286" s="147"/>
      <c r="R1286" s="147"/>
      <c r="S1286" s="147"/>
      <c r="T1286" s="147"/>
      <c r="U1286" s="147"/>
      <c r="V1286" s="147"/>
      <c r="W1286" s="147"/>
      <c r="X1286" s="147"/>
      <c r="Y1286" s="147"/>
      <c r="Z1286" s="147"/>
      <c r="AA1286" s="147"/>
      <c r="AB1286" s="147"/>
      <c r="AC1286" s="147"/>
      <c r="AD1286" s="147"/>
      <c r="AE1286" s="147"/>
      <c r="AF1286" s="147"/>
      <c r="AG1286" s="147"/>
      <c r="AH1286" s="147"/>
      <c r="AI1286" s="147"/>
      <c r="AJ1286" s="147"/>
      <c r="AK1286" s="147"/>
      <c r="AL1286" s="147"/>
      <c r="AM1286" s="151"/>
      <c r="AN1286" s="147"/>
      <c r="AO1286" s="147"/>
      <c r="AP1286" s="147"/>
      <c r="AQ1286" s="147"/>
      <c r="AR1286" s="147"/>
      <c r="AS1286" s="147"/>
      <c r="AT1286" s="147"/>
      <c r="AU1286" s="147"/>
      <c r="AV1286" s="147"/>
      <c r="AW1286" s="147"/>
      <c r="AX1286" s="147"/>
      <c r="AY1286" s="147"/>
      <c r="AZ1286" s="147"/>
      <c r="BA1286" s="147"/>
      <c r="BB1286" s="147"/>
      <c r="BC1286" s="147"/>
      <c r="BD1286" s="147"/>
      <c r="BE1286" s="147"/>
      <c r="BF1286" s="147"/>
      <c r="BG1286" s="147"/>
      <c r="BH1286" s="147"/>
      <c r="BI1286" s="147"/>
      <c r="BJ1286" s="147"/>
      <c r="BK1286" s="147"/>
      <c r="BL1286" s="147"/>
      <c r="BM1286" s="147"/>
      <c r="BN1286" s="147"/>
      <c r="BO1286" s="147"/>
      <c r="BP1286" s="147"/>
      <c r="BQ1286" s="147"/>
      <c r="BR1286" s="147"/>
      <c r="BS1286" s="147"/>
      <c r="BT1286" s="147"/>
      <c r="BU1286" s="147"/>
      <c r="BV1286" s="147"/>
      <c r="BW1286" s="147"/>
      <c r="BX1286" s="147"/>
      <c r="BY1286" s="147"/>
      <c r="BZ1286" s="147"/>
      <c r="CA1286" s="147"/>
      <c r="CB1286" s="147"/>
      <c r="CC1286" s="147"/>
      <c r="CD1286" s="147"/>
      <c r="CE1286" s="147"/>
      <c r="CF1286" s="147"/>
      <c r="CG1286" s="147"/>
      <c r="CH1286" s="147"/>
      <c r="CI1286" s="147"/>
      <c r="CJ1286" s="147"/>
      <c r="CK1286" s="147"/>
    </row>
    <row r="1287" spans="1:89">
      <c r="A1287" s="157"/>
      <c r="F1287" s="3"/>
      <c r="G1287" s="3"/>
      <c r="L1287" s="157"/>
      <c r="M1287" s="157"/>
      <c r="O1287" s="147"/>
      <c r="P1287" s="147"/>
      <c r="Q1287" s="147"/>
      <c r="R1287" s="147"/>
      <c r="S1287" s="147"/>
      <c r="T1287" s="147"/>
      <c r="U1287" s="147"/>
      <c r="V1287" s="147"/>
      <c r="W1287" s="147"/>
      <c r="X1287" s="147"/>
      <c r="Y1287" s="147"/>
      <c r="Z1287" s="147"/>
      <c r="AA1287" s="147"/>
      <c r="AB1287" s="147"/>
      <c r="AC1287" s="147"/>
      <c r="AD1287" s="147"/>
      <c r="AE1287" s="147"/>
      <c r="AF1287" s="147"/>
      <c r="AG1287" s="147"/>
      <c r="AH1287" s="147"/>
      <c r="AI1287" s="147"/>
      <c r="AJ1287" s="147"/>
      <c r="AK1287" s="147"/>
      <c r="AL1287" s="147"/>
      <c r="AM1287" s="151"/>
      <c r="AN1287" s="147"/>
      <c r="AO1287" s="147"/>
      <c r="AP1287" s="147"/>
      <c r="AQ1287" s="147"/>
      <c r="AR1287" s="147"/>
      <c r="AS1287" s="147"/>
      <c r="AT1287" s="147"/>
      <c r="AU1287" s="147"/>
      <c r="AV1287" s="147"/>
      <c r="AW1287" s="147"/>
      <c r="AX1287" s="147"/>
      <c r="AY1287" s="147"/>
      <c r="AZ1287" s="147"/>
      <c r="BA1287" s="147"/>
      <c r="BB1287" s="147"/>
      <c r="BC1287" s="147"/>
      <c r="BD1287" s="147"/>
      <c r="BE1287" s="147"/>
      <c r="BF1287" s="147"/>
      <c r="BG1287" s="147"/>
      <c r="BH1287" s="147"/>
      <c r="BI1287" s="147"/>
      <c r="BJ1287" s="147"/>
      <c r="BK1287" s="147"/>
      <c r="BL1287" s="147"/>
      <c r="BM1287" s="147"/>
      <c r="BN1287" s="147"/>
      <c r="BO1287" s="147"/>
      <c r="BP1287" s="147"/>
      <c r="BQ1287" s="147"/>
      <c r="BR1287" s="147"/>
      <c r="BS1287" s="147"/>
      <c r="BT1287" s="147"/>
      <c r="BU1287" s="147"/>
      <c r="BV1287" s="147"/>
      <c r="BW1287" s="147"/>
      <c r="BX1287" s="147"/>
      <c r="BY1287" s="147"/>
      <c r="BZ1287" s="147"/>
      <c r="CA1287" s="147"/>
      <c r="CB1287" s="147"/>
      <c r="CC1287" s="147"/>
      <c r="CD1287" s="147"/>
      <c r="CE1287" s="147"/>
      <c r="CF1287" s="147"/>
      <c r="CG1287" s="147"/>
      <c r="CH1287" s="147"/>
      <c r="CI1287" s="147"/>
      <c r="CJ1287" s="147"/>
      <c r="CK1287" s="147"/>
    </row>
    <row r="1288" spans="1:89">
      <c r="A1288" s="157"/>
      <c r="F1288" s="3"/>
      <c r="G1288" s="3"/>
      <c r="L1288" s="157"/>
      <c r="M1288" s="157"/>
      <c r="O1288" s="147"/>
      <c r="P1288" s="147"/>
      <c r="Q1288" s="147"/>
      <c r="R1288" s="147"/>
      <c r="S1288" s="147"/>
      <c r="T1288" s="147"/>
      <c r="U1288" s="147"/>
      <c r="V1288" s="147"/>
      <c r="W1288" s="147"/>
      <c r="X1288" s="147"/>
      <c r="Y1288" s="147"/>
      <c r="Z1288" s="147"/>
      <c r="AA1288" s="147"/>
      <c r="AB1288" s="147"/>
      <c r="AC1288" s="147"/>
      <c r="AD1288" s="147"/>
      <c r="AE1288" s="147"/>
      <c r="AF1288" s="147"/>
      <c r="AG1288" s="147"/>
      <c r="AH1288" s="147"/>
      <c r="AI1288" s="147"/>
      <c r="AJ1288" s="147"/>
      <c r="AK1288" s="147"/>
      <c r="AL1288" s="147"/>
      <c r="AM1288" s="151"/>
      <c r="AN1288" s="147"/>
      <c r="AO1288" s="147"/>
      <c r="AP1288" s="147"/>
      <c r="AQ1288" s="147"/>
      <c r="AR1288" s="147"/>
      <c r="AS1288" s="147"/>
      <c r="AT1288" s="147"/>
      <c r="AU1288" s="147"/>
      <c r="AV1288" s="147"/>
      <c r="AW1288" s="147"/>
      <c r="AX1288" s="147"/>
      <c r="AY1288" s="147"/>
      <c r="AZ1288" s="147"/>
      <c r="BA1288" s="147"/>
      <c r="BB1288" s="147"/>
      <c r="BC1288" s="147"/>
      <c r="BD1288" s="147"/>
      <c r="BE1288" s="147"/>
      <c r="BF1288" s="147"/>
      <c r="BG1288" s="147"/>
      <c r="BH1288" s="147"/>
      <c r="BI1288" s="147"/>
      <c r="BJ1288" s="147"/>
      <c r="BK1288" s="147"/>
      <c r="BL1288" s="147"/>
      <c r="BM1288" s="147"/>
      <c r="BN1288" s="147"/>
      <c r="BO1288" s="147"/>
      <c r="BP1288" s="147"/>
      <c r="BQ1288" s="147"/>
      <c r="BR1288" s="147"/>
      <c r="BS1288" s="147"/>
      <c r="BT1288" s="147"/>
      <c r="BU1288" s="147"/>
      <c r="BV1288" s="147"/>
      <c r="BW1288" s="147"/>
      <c r="BX1288" s="147"/>
      <c r="BY1288" s="147"/>
      <c r="BZ1288" s="147"/>
      <c r="CA1288" s="147"/>
      <c r="CB1288" s="147"/>
      <c r="CC1288" s="147"/>
      <c r="CD1288" s="147"/>
      <c r="CE1288" s="147"/>
      <c r="CF1288" s="147"/>
      <c r="CG1288" s="147"/>
      <c r="CH1288" s="147"/>
      <c r="CI1288" s="147"/>
      <c r="CJ1288" s="147"/>
      <c r="CK1288" s="147"/>
    </row>
    <row r="1289" spans="1:89">
      <c r="A1289" s="157"/>
      <c r="F1289" s="3"/>
      <c r="G1289" s="3"/>
      <c r="L1289" s="157"/>
      <c r="M1289" s="157"/>
      <c r="O1289" s="147"/>
      <c r="P1289" s="147"/>
      <c r="Q1289" s="147"/>
      <c r="R1289" s="147"/>
      <c r="S1289" s="147"/>
      <c r="T1289" s="147"/>
      <c r="U1289" s="147"/>
      <c r="V1289" s="147"/>
      <c r="W1289" s="147"/>
      <c r="X1289" s="147"/>
      <c r="Y1289" s="147"/>
      <c r="Z1289" s="147"/>
      <c r="AA1289" s="147"/>
      <c r="AB1289" s="147"/>
      <c r="AC1289" s="147"/>
      <c r="AD1289" s="147"/>
      <c r="AE1289" s="147"/>
      <c r="AF1289" s="147"/>
      <c r="AG1289" s="147"/>
      <c r="AH1289" s="147"/>
      <c r="AI1289" s="147"/>
      <c r="AJ1289" s="147"/>
      <c r="AK1289" s="147"/>
      <c r="AL1289" s="147"/>
      <c r="AM1289" s="151"/>
      <c r="AN1289" s="147"/>
      <c r="AO1289" s="147"/>
      <c r="AP1289" s="147"/>
      <c r="AQ1289" s="147"/>
      <c r="AR1289" s="147"/>
      <c r="AS1289" s="147"/>
      <c r="AT1289" s="147"/>
      <c r="AU1289" s="147"/>
      <c r="AV1289" s="147"/>
      <c r="AW1289" s="147"/>
      <c r="AX1289" s="147"/>
      <c r="AY1289" s="147"/>
      <c r="AZ1289" s="147"/>
      <c r="BA1289" s="147"/>
      <c r="BB1289" s="147"/>
      <c r="BC1289" s="147"/>
      <c r="BD1289" s="147"/>
      <c r="BE1289" s="147"/>
      <c r="BF1289" s="147"/>
      <c r="BG1289" s="147"/>
      <c r="BH1289" s="147"/>
      <c r="BI1289" s="147"/>
      <c r="BJ1289" s="147"/>
      <c r="BK1289" s="147"/>
      <c r="BL1289" s="147"/>
      <c r="BM1289" s="147"/>
      <c r="BN1289" s="147"/>
      <c r="BO1289" s="147"/>
      <c r="BP1289" s="147"/>
      <c r="BQ1289" s="147"/>
      <c r="BR1289" s="147"/>
      <c r="BS1289" s="147"/>
      <c r="BT1289" s="147"/>
      <c r="BU1289" s="147"/>
      <c r="BV1289" s="147"/>
      <c r="BW1289" s="147"/>
      <c r="BX1289" s="147"/>
      <c r="BY1289" s="147"/>
      <c r="BZ1289" s="147"/>
      <c r="CA1289" s="147"/>
      <c r="CB1289" s="147"/>
      <c r="CC1289" s="147"/>
      <c r="CD1289" s="147"/>
      <c r="CE1289" s="147"/>
      <c r="CF1289" s="147"/>
      <c r="CG1289" s="147"/>
      <c r="CH1289" s="147"/>
      <c r="CI1289" s="147"/>
      <c r="CJ1289" s="147"/>
      <c r="CK1289" s="147"/>
    </row>
    <row r="1290" spans="1:89">
      <c r="A1290" s="157"/>
      <c r="F1290" s="3"/>
      <c r="G1290" s="3"/>
      <c r="L1290" s="157"/>
      <c r="M1290" s="157"/>
      <c r="O1290" s="147"/>
      <c r="P1290" s="147"/>
      <c r="Q1290" s="147"/>
      <c r="R1290" s="147"/>
      <c r="S1290" s="147"/>
      <c r="T1290" s="147"/>
      <c r="U1290" s="147"/>
      <c r="V1290" s="147"/>
      <c r="W1290" s="147"/>
      <c r="X1290" s="147"/>
      <c r="Y1290" s="147"/>
      <c r="Z1290" s="147"/>
      <c r="AA1290" s="147"/>
      <c r="AB1290" s="147"/>
      <c r="AC1290" s="147"/>
      <c r="AD1290" s="147"/>
      <c r="AE1290" s="147"/>
      <c r="AF1290" s="147"/>
      <c r="AG1290" s="147"/>
      <c r="AH1290" s="147"/>
      <c r="AI1290" s="147"/>
      <c r="AJ1290" s="147"/>
      <c r="AK1290" s="147"/>
      <c r="AL1290" s="147"/>
      <c r="AM1290" s="151"/>
      <c r="AN1290" s="147"/>
      <c r="AO1290" s="147"/>
      <c r="AP1290" s="147"/>
      <c r="AQ1290" s="147"/>
      <c r="AR1290" s="147"/>
      <c r="AS1290" s="147"/>
      <c r="AT1290" s="147"/>
      <c r="AU1290" s="147"/>
      <c r="AV1290" s="147"/>
      <c r="AW1290" s="147"/>
      <c r="AX1290" s="147"/>
      <c r="AY1290" s="147"/>
      <c r="AZ1290" s="147"/>
      <c r="BA1290" s="147"/>
      <c r="BB1290" s="147"/>
      <c r="BC1290" s="147"/>
      <c r="BD1290" s="147"/>
      <c r="BE1290" s="147"/>
      <c r="BF1290" s="147"/>
      <c r="BG1290" s="147"/>
      <c r="BH1290" s="147"/>
      <c r="BI1290" s="147"/>
      <c r="BJ1290" s="147"/>
      <c r="BK1290" s="147"/>
      <c r="BL1290" s="147"/>
      <c r="BM1290" s="147"/>
      <c r="BN1290" s="147"/>
      <c r="BO1290" s="147"/>
      <c r="BP1290" s="147"/>
      <c r="BQ1290" s="147"/>
      <c r="BR1290" s="147"/>
      <c r="BS1290" s="147"/>
      <c r="BT1290" s="147"/>
      <c r="BU1290" s="147"/>
      <c r="BV1290" s="147"/>
      <c r="BW1290" s="147"/>
      <c r="BX1290" s="147"/>
      <c r="BY1290" s="147"/>
      <c r="BZ1290" s="147"/>
      <c r="CA1290" s="147"/>
      <c r="CB1290" s="147"/>
      <c r="CC1290" s="147"/>
      <c r="CD1290" s="147"/>
      <c r="CE1290" s="147"/>
      <c r="CF1290" s="147"/>
      <c r="CG1290" s="147"/>
      <c r="CH1290" s="147"/>
      <c r="CI1290" s="147"/>
      <c r="CJ1290" s="147"/>
      <c r="CK1290" s="147"/>
    </row>
    <row r="1291" spans="1:89">
      <c r="A1291" s="157"/>
      <c r="F1291" s="3"/>
      <c r="G1291" s="3"/>
      <c r="L1291" s="157"/>
      <c r="M1291" s="157"/>
      <c r="O1291" s="147"/>
      <c r="P1291" s="147"/>
      <c r="Q1291" s="147"/>
      <c r="R1291" s="147"/>
      <c r="S1291" s="147"/>
      <c r="T1291" s="147"/>
      <c r="U1291" s="147"/>
      <c r="V1291" s="147"/>
      <c r="W1291" s="147"/>
      <c r="X1291" s="147"/>
      <c r="Y1291" s="147"/>
      <c r="Z1291" s="147"/>
      <c r="AA1291" s="147"/>
      <c r="AB1291" s="147"/>
      <c r="AC1291" s="147"/>
      <c r="AD1291" s="147"/>
      <c r="AE1291" s="147"/>
      <c r="AF1291" s="147"/>
      <c r="AG1291" s="147"/>
      <c r="AH1291" s="147"/>
      <c r="AI1291" s="147"/>
      <c r="AJ1291" s="147"/>
      <c r="AK1291" s="147"/>
      <c r="AL1291" s="147"/>
      <c r="AM1291" s="151"/>
      <c r="AN1291" s="147"/>
      <c r="AO1291" s="147"/>
      <c r="AP1291" s="147"/>
      <c r="AQ1291" s="147"/>
      <c r="AR1291" s="147"/>
      <c r="AS1291" s="147"/>
      <c r="AT1291" s="147"/>
      <c r="AU1291" s="147"/>
      <c r="AV1291" s="147"/>
      <c r="AW1291" s="147"/>
      <c r="AX1291" s="147"/>
      <c r="AY1291" s="147"/>
      <c r="AZ1291" s="147"/>
      <c r="BA1291" s="147"/>
      <c r="BB1291" s="147"/>
      <c r="BC1291" s="147"/>
      <c r="BD1291" s="147"/>
      <c r="BE1291" s="147"/>
      <c r="BF1291" s="147"/>
      <c r="BG1291" s="147"/>
      <c r="BH1291" s="147"/>
      <c r="BI1291" s="147"/>
      <c r="BJ1291" s="147"/>
      <c r="BK1291" s="147"/>
      <c r="BL1291" s="147"/>
      <c r="BM1291" s="147"/>
      <c r="BN1291" s="147"/>
      <c r="BO1291" s="147"/>
      <c r="BP1291" s="147"/>
      <c r="BQ1291" s="147"/>
      <c r="BR1291" s="147"/>
      <c r="BS1291" s="147"/>
      <c r="BT1291" s="147"/>
      <c r="BU1291" s="147"/>
      <c r="BV1291" s="147"/>
      <c r="BW1291" s="147"/>
      <c r="BX1291" s="147"/>
      <c r="BY1291" s="147"/>
      <c r="BZ1291" s="147"/>
      <c r="CA1291" s="147"/>
      <c r="CB1291" s="147"/>
      <c r="CC1291" s="147"/>
      <c r="CD1291" s="147"/>
      <c r="CE1291" s="147"/>
      <c r="CF1291" s="147"/>
      <c r="CG1291" s="147"/>
      <c r="CH1291" s="147"/>
      <c r="CI1291" s="147"/>
      <c r="CJ1291" s="147"/>
      <c r="CK1291" s="147"/>
    </row>
    <row r="1292" spans="1:89">
      <c r="A1292" s="157"/>
      <c r="F1292" s="3"/>
      <c r="G1292" s="3"/>
      <c r="L1292" s="157"/>
      <c r="M1292" s="157"/>
      <c r="O1292" s="147"/>
      <c r="P1292" s="147"/>
      <c r="Q1292" s="147"/>
      <c r="R1292" s="147"/>
      <c r="S1292" s="147"/>
      <c r="T1292" s="147"/>
      <c r="U1292" s="147"/>
      <c r="V1292" s="147"/>
      <c r="W1292" s="147"/>
      <c r="X1292" s="147"/>
      <c r="Y1292" s="147"/>
      <c r="Z1292" s="147"/>
      <c r="AA1292" s="147"/>
      <c r="AB1292" s="147"/>
      <c r="AC1292" s="147"/>
      <c r="AD1292" s="147"/>
      <c r="AE1292" s="147"/>
      <c r="AF1292" s="147"/>
      <c r="AG1292" s="147"/>
      <c r="AH1292" s="147"/>
      <c r="AI1292" s="147"/>
      <c r="AJ1292" s="147"/>
      <c r="AK1292" s="147"/>
      <c r="AL1292" s="147"/>
      <c r="AM1292" s="151"/>
      <c r="AN1292" s="147"/>
      <c r="AO1292" s="147"/>
      <c r="AP1292" s="147"/>
      <c r="AQ1292" s="147"/>
      <c r="AR1292" s="147"/>
      <c r="AS1292" s="147"/>
      <c r="AT1292" s="147"/>
      <c r="AU1292" s="147"/>
      <c r="AV1292" s="147"/>
      <c r="AW1292" s="147"/>
      <c r="AX1292" s="147"/>
      <c r="AY1292" s="147"/>
      <c r="AZ1292" s="147"/>
      <c r="BA1292" s="147"/>
      <c r="BB1292" s="147"/>
      <c r="BC1292" s="147"/>
      <c r="BD1292" s="147"/>
      <c r="BE1292" s="147"/>
      <c r="BF1292" s="147"/>
      <c r="BG1292" s="147"/>
      <c r="BH1292" s="147"/>
      <c r="BI1292" s="147"/>
      <c r="BJ1292" s="147"/>
      <c r="BK1292" s="147"/>
      <c r="BL1292" s="147"/>
      <c r="BM1292" s="147"/>
      <c r="BN1292" s="147"/>
      <c r="BO1292" s="147"/>
      <c r="BP1292" s="147"/>
      <c r="BQ1292" s="147"/>
      <c r="BR1292" s="147"/>
      <c r="BS1292" s="147"/>
      <c r="BT1292" s="147"/>
      <c r="BU1292" s="147"/>
      <c r="BV1292" s="147"/>
      <c r="BW1292" s="147"/>
      <c r="BX1292" s="147"/>
      <c r="BY1292" s="147"/>
      <c r="BZ1292" s="147"/>
      <c r="CA1292" s="147"/>
      <c r="CB1292" s="147"/>
      <c r="CC1292" s="147"/>
      <c r="CD1292" s="147"/>
      <c r="CE1292" s="147"/>
      <c r="CF1292" s="147"/>
      <c r="CG1292" s="147"/>
      <c r="CH1292" s="147"/>
      <c r="CI1292" s="147"/>
      <c r="CJ1292" s="147"/>
      <c r="CK1292" s="147"/>
    </row>
    <row r="1293" spans="1:89">
      <c r="A1293" s="157"/>
      <c r="F1293" s="3"/>
      <c r="G1293" s="3"/>
      <c r="L1293" s="157"/>
      <c r="M1293" s="157"/>
      <c r="O1293" s="147"/>
      <c r="P1293" s="147"/>
      <c r="Q1293" s="147"/>
      <c r="R1293" s="147"/>
      <c r="S1293" s="147"/>
      <c r="T1293" s="147"/>
      <c r="U1293" s="147"/>
      <c r="V1293" s="147"/>
      <c r="W1293" s="147"/>
      <c r="X1293" s="147"/>
      <c r="Y1293" s="147"/>
      <c r="Z1293" s="147"/>
      <c r="AA1293" s="147"/>
      <c r="AB1293" s="147"/>
      <c r="AC1293" s="147"/>
      <c r="AD1293" s="147"/>
      <c r="AE1293" s="147"/>
      <c r="AF1293" s="147"/>
      <c r="AG1293" s="147"/>
      <c r="AH1293" s="147"/>
      <c r="AI1293" s="147"/>
      <c r="AJ1293" s="147"/>
      <c r="AK1293" s="147"/>
      <c r="AL1293" s="147"/>
      <c r="AM1293" s="151"/>
      <c r="AN1293" s="147"/>
      <c r="AO1293" s="147"/>
      <c r="AP1293" s="147"/>
      <c r="AQ1293" s="147"/>
      <c r="AR1293" s="147"/>
      <c r="AS1293" s="147"/>
      <c r="AT1293" s="147"/>
      <c r="AU1293" s="147"/>
      <c r="AV1293" s="147"/>
      <c r="AW1293" s="147"/>
      <c r="AX1293" s="147"/>
      <c r="AY1293" s="147"/>
      <c r="AZ1293" s="147"/>
      <c r="BA1293" s="147"/>
      <c r="BB1293" s="147"/>
      <c r="BC1293" s="147"/>
      <c r="BD1293" s="147"/>
      <c r="BE1293" s="147"/>
      <c r="BF1293" s="147"/>
      <c r="BG1293" s="147"/>
      <c r="BH1293" s="147"/>
      <c r="BI1293" s="147"/>
      <c r="BJ1293" s="147"/>
      <c r="BK1293" s="147"/>
      <c r="BL1293" s="147"/>
      <c r="BM1293" s="147"/>
      <c r="BN1293" s="147"/>
      <c r="BO1293" s="147"/>
      <c r="BP1293" s="147"/>
      <c r="BQ1293" s="147"/>
      <c r="BR1293" s="147"/>
      <c r="BS1293" s="147"/>
      <c r="BT1293" s="147"/>
      <c r="BU1293" s="147"/>
      <c r="BV1293" s="147"/>
      <c r="BW1293" s="147"/>
      <c r="BX1293" s="147"/>
      <c r="BY1293" s="147"/>
      <c r="BZ1293" s="147"/>
      <c r="CA1293" s="147"/>
      <c r="CB1293" s="147"/>
      <c r="CC1293" s="147"/>
      <c r="CD1293" s="147"/>
      <c r="CE1293" s="147"/>
      <c r="CF1293" s="147"/>
      <c r="CG1293" s="147"/>
      <c r="CH1293" s="147"/>
      <c r="CI1293" s="147"/>
      <c r="CJ1293" s="147"/>
      <c r="CK1293" s="147"/>
    </row>
    <row r="1294" spans="1:89">
      <c r="A1294" s="157"/>
      <c r="F1294" s="3"/>
      <c r="G1294" s="3"/>
      <c r="L1294" s="157"/>
      <c r="M1294" s="157"/>
      <c r="O1294" s="147"/>
      <c r="P1294" s="147"/>
      <c r="Q1294" s="147"/>
      <c r="R1294" s="147"/>
      <c r="S1294" s="147"/>
      <c r="T1294" s="147"/>
      <c r="U1294" s="147"/>
      <c r="V1294" s="147"/>
      <c r="W1294" s="147"/>
      <c r="X1294" s="147"/>
      <c r="Y1294" s="147"/>
      <c r="Z1294" s="147"/>
      <c r="AA1294" s="147"/>
      <c r="AB1294" s="147"/>
      <c r="AC1294" s="147"/>
      <c r="AD1294" s="147"/>
      <c r="AE1294" s="147"/>
      <c r="AF1294" s="147"/>
      <c r="AG1294" s="147"/>
      <c r="AH1294" s="147"/>
      <c r="AI1294" s="147"/>
      <c r="AJ1294" s="147"/>
      <c r="AK1294" s="147"/>
      <c r="AL1294" s="147"/>
      <c r="AM1294" s="151"/>
      <c r="AN1294" s="147"/>
      <c r="AO1294" s="147"/>
      <c r="AP1294" s="147"/>
      <c r="AQ1294" s="147"/>
      <c r="AR1294" s="147"/>
      <c r="AS1294" s="147"/>
      <c r="AT1294" s="147"/>
      <c r="AU1294" s="147"/>
      <c r="AV1294" s="147"/>
      <c r="AW1294" s="147"/>
      <c r="AX1294" s="147"/>
      <c r="AY1294" s="147"/>
      <c r="AZ1294" s="147"/>
      <c r="BA1294" s="147"/>
      <c r="BB1294" s="147"/>
      <c r="BC1294" s="147"/>
      <c r="BD1294" s="147"/>
      <c r="BE1294" s="147"/>
      <c r="BF1294" s="147"/>
      <c r="BG1294" s="147"/>
      <c r="BH1294" s="147"/>
      <c r="BI1294" s="147"/>
      <c r="BJ1294" s="147"/>
      <c r="BK1294" s="147"/>
      <c r="BL1294" s="147"/>
      <c r="BM1294" s="147"/>
      <c r="BN1294" s="147"/>
      <c r="BO1294" s="147"/>
      <c r="BP1294" s="147"/>
      <c r="BQ1294" s="147"/>
      <c r="BR1294" s="147"/>
      <c r="BS1294" s="147"/>
      <c r="BT1294" s="147"/>
      <c r="BU1294" s="147"/>
      <c r="BV1294" s="147"/>
      <c r="BW1294" s="147"/>
      <c r="BX1294" s="147"/>
      <c r="BY1294" s="147"/>
      <c r="BZ1294" s="147"/>
      <c r="CA1294" s="147"/>
      <c r="CB1294" s="147"/>
      <c r="CC1294" s="147"/>
      <c r="CD1294" s="147"/>
      <c r="CE1294" s="147"/>
      <c r="CF1294" s="147"/>
      <c r="CG1294" s="147"/>
      <c r="CH1294" s="147"/>
      <c r="CI1294" s="147"/>
      <c r="CJ1294" s="147"/>
      <c r="CK1294" s="147"/>
    </row>
    <row r="1295" spans="1:89">
      <c r="A1295" s="157"/>
      <c r="F1295" s="3"/>
      <c r="G1295" s="3"/>
      <c r="L1295" s="157"/>
      <c r="M1295" s="157"/>
      <c r="O1295" s="147"/>
      <c r="P1295" s="147"/>
      <c r="Q1295" s="147"/>
      <c r="R1295" s="147"/>
      <c r="S1295" s="147"/>
      <c r="T1295" s="147"/>
      <c r="U1295" s="147"/>
      <c r="V1295" s="147"/>
      <c r="W1295" s="147"/>
      <c r="X1295" s="147"/>
      <c r="Y1295" s="147"/>
      <c r="Z1295" s="147"/>
      <c r="AA1295" s="147"/>
      <c r="AB1295" s="147"/>
      <c r="AC1295" s="147"/>
      <c r="AD1295" s="147"/>
      <c r="AE1295" s="147"/>
      <c r="AF1295" s="147"/>
      <c r="AG1295" s="147"/>
      <c r="AH1295" s="147"/>
      <c r="AI1295" s="147"/>
      <c r="AJ1295" s="147"/>
      <c r="AK1295" s="147"/>
      <c r="AL1295" s="147"/>
      <c r="AM1295" s="151"/>
      <c r="AN1295" s="147"/>
      <c r="AO1295" s="147"/>
      <c r="AP1295" s="147"/>
      <c r="AQ1295" s="147"/>
      <c r="AR1295" s="147"/>
      <c r="AS1295" s="147"/>
      <c r="AT1295" s="147"/>
      <c r="AU1295" s="147"/>
      <c r="AV1295" s="147"/>
      <c r="AW1295" s="147"/>
      <c r="AX1295" s="147"/>
      <c r="AY1295" s="147"/>
      <c r="AZ1295" s="147"/>
      <c r="BA1295" s="147"/>
      <c r="BB1295" s="147"/>
      <c r="BC1295" s="147"/>
      <c r="BD1295" s="147"/>
      <c r="BE1295" s="147"/>
      <c r="BF1295" s="147"/>
      <c r="BG1295" s="147"/>
      <c r="BH1295" s="147"/>
      <c r="BI1295" s="147"/>
      <c r="BJ1295" s="147"/>
      <c r="BK1295" s="147"/>
      <c r="BL1295" s="147"/>
      <c r="BM1295" s="147"/>
      <c r="BN1295" s="147"/>
      <c r="BO1295" s="147"/>
      <c r="BP1295" s="147"/>
      <c r="BQ1295" s="147"/>
      <c r="BR1295" s="147"/>
      <c r="BS1295" s="147"/>
      <c r="BT1295" s="147"/>
      <c r="BU1295" s="147"/>
      <c r="BV1295" s="147"/>
      <c r="BW1295" s="147"/>
      <c r="BX1295" s="147"/>
      <c r="BY1295" s="147"/>
      <c r="BZ1295" s="147"/>
      <c r="CA1295" s="147"/>
      <c r="CB1295" s="147"/>
      <c r="CC1295" s="147"/>
      <c r="CD1295" s="147"/>
      <c r="CE1295" s="147"/>
      <c r="CF1295" s="147"/>
      <c r="CG1295" s="147"/>
      <c r="CH1295" s="147"/>
      <c r="CI1295" s="147"/>
      <c r="CJ1295" s="147"/>
      <c r="CK1295" s="147"/>
    </row>
    <row r="1296" spans="1:89">
      <c r="A1296" s="157"/>
      <c r="F1296" s="3"/>
      <c r="G1296" s="3"/>
      <c r="L1296" s="157"/>
      <c r="M1296" s="157"/>
      <c r="O1296" s="147"/>
      <c r="P1296" s="147"/>
      <c r="Q1296" s="147"/>
      <c r="R1296" s="147"/>
      <c r="S1296" s="147"/>
      <c r="T1296" s="147"/>
      <c r="U1296" s="147"/>
      <c r="V1296" s="147"/>
      <c r="W1296" s="147"/>
      <c r="X1296" s="147"/>
      <c r="Y1296" s="147"/>
      <c r="Z1296" s="147"/>
      <c r="AA1296" s="147"/>
      <c r="AB1296" s="147"/>
      <c r="AC1296" s="147"/>
      <c r="AD1296" s="147"/>
      <c r="AE1296" s="147"/>
      <c r="AF1296" s="147"/>
      <c r="AG1296" s="147"/>
      <c r="AH1296" s="147"/>
      <c r="AI1296" s="147"/>
      <c r="AJ1296" s="147"/>
      <c r="AK1296" s="147"/>
      <c r="AL1296" s="147"/>
      <c r="AM1296" s="151"/>
      <c r="AN1296" s="147"/>
      <c r="AO1296" s="147"/>
      <c r="AP1296" s="147"/>
      <c r="AQ1296" s="147"/>
      <c r="AR1296" s="147"/>
      <c r="AS1296" s="147"/>
      <c r="AT1296" s="147"/>
      <c r="AU1296" s="147"/>
      <c r="AV1296" s="147"/>
      <c r="AW1296" s="147"/>
      <c r="AX1296" s="147"/>
      <c r="AY1296" s="147"/>
      <c r="AZ1296" s="147"/>
      <c r="BA1296" s="147"/>
      <c r="BB1296" s="147"/>
      <c r="BC1296" s="147"/>
      <c r="BD1296" s="147"/>
      <c r="BE1296" s="147"/>
      <c r="BF1296" s="147"/>
      <c r="BG1296" s="147"/>
      <c r="BH1296" s="147"/>
      <c r="BI1296" s="147"/>
      <c r="BJ1296" s="147"/>
      <c r="BK1296" s="147"/>
      <c r="BL1296" s="147"/>
      <c r="BM1296" s="147"/>
      <c r="BN1296" s="147"/>
      <c r="BO1296" s="147"/>
      <c r="BP1296" s="147"/>
      <c r="BQ1296" s="147"/>
      <c r="BR1296" s="147"/>
      <c r="BS1296" s="147"/>
      <c r="BT1296" s="147"/>
      <c r="BU1296" s="147"/>
      <c r="BV1296" s="147"/>
      <c r="BW1296" s="147"/>
      <c r="BX1296" s="147"/>
      <c r="BY1296" s="147"/>
      <c r="BZ1296" s="147"/>
      <c r="CA1296" s="147"/>
      <c r="CB1296" s="147"/>
      <c r="CC1296" s="147"/>
      <c r="CD1296" s="147"/>
      <c r="CE1296" s="147"/>
      <c r="CF1296" s="147"/>
      <c r="CG1296" s="147"/>
      <c r="CH1296" s="147"/>
      <c r="CI1296" s="147"/>
      <c r="CJ1296" s="147"/>
      <c r="CK1296" s="147"/>
    </row>
    <row r="1297" spans="1:89">
      <c r="A1297" s="157"/>
      <c r="F1297" s="3"/>
      <c r="G1297" s="3"/>
      <c r="L1297" s="157"/>
      <c r="M1297" s="157"/>
      <c r="O1297" s="147"/>
      <c r="P1297" s="147"/>
      <c r="Q1297" s="147"/>
      <c r="R1297" s="147"/>
      <c r="S1297" s="147"/>
      <c r="T1297" s="147"/>
      <c r="U1297" s="147"/>
      <c r="V1297" s="147"/>
      <c r="W1297" s="147"/>
      <c r="X1297" s="147"/>
      <c r="Y1297" s="147"/>
      <c r="Z1297" s="147"/>
      <c r="AA1297" s="147"/>
      <c r="AB1297" s="147"/>
      <c r="AC1297" s="147"/>
      <c r="AD1297" s="147"/>
      <c r="AE1297" s="147"/>
      <c r="AF1297" s="147"/>
      <c r="AG1297" s="147"/>
      <c r="AH1297" s="147"/>
      <c r="AI1297" s="147"/>
      <c r="AJ1297" s="147"/>
      <c r="AK1297" s="147"/>
      <c r="AL1297" s="147"/>
      <c r="AM1297" s="151"/>
      <c r="AN1297" s="147"/>
      <c r="AO1297" s="147"/>
      <c r="AP1297" s="147"/>
      <c r="AQ1297" s="147"/>
      <c r="AR1297" s="147"/>
      <c r="AS1297" s="147"/>
      <c r="AT1297" s="147"/>
      <c r="AU1297" s="147"/>
      <c r="AV1297" s="147"/>
      <c r="AW1297" s="147"/>
      <c r="AX1297" s="147"/>
      <c r="AY1297" s="147"/>
      <c r="AZ1297" s="147"/>
      <c r="BA1297" s="147"/>
      <c r="BB1297" s="147"/>
      <c r="BC1297" s="147"/>
      <c r="BD1297" s="147"/>
      <c r="BE1297" s="147"/>
      <c r="BF1297" s="147"/>
      <c r="BG1297" s="147"/>
      <c r="BH1297" s="147"/>
      <c r="BI1297" s="147"/>
      <c r="BJ1297" s="147"/>
      <c r="BK1297" s="147"/>
      <c r="BL1297" s="147"/>
      <c r="BM1297" s="147"/>
      <c r="BN1297" s="147"/>
      <c r="BO1297" s="147"/>
      <c r="BP1297" s="147"/>
      <c r="BQ1297" s="147"/>
      <c r="BR1297" s="147"/>
      <c r="BS1297" s="147"/>
      <c r="BT1297" s="147"/>
      <c r="BU1297" s="147"/>
      <c r="BV1297" s="147"/>
      <c r="BW1297" s="147"/>
      <c r="BX1297" s="147"/>
      <c r="BY1297" s="147"/>
      <c r="BZ1297" s="147"/>
      <c r="CA1297" s="147"/>
      <c r="CB1297" s="147"/>
      <c r="CC1297" s="147"/>
      <c r="CD1297" s="147"/>
      <c r="CE1297" s="147"/>
      <c r="CF1297" s="147"/>
      <c r="CG1297" s="147"/>
      <c r="CH1297" s="147"/>
      <c r="CI1297" s="147"/>
      <c r="CJ1297" s="147"/>
      <c r="CK1297" s="147"/>
    </row>
    <row r="1298" spans="1:89">
      <c r="A1298" s="157"/>
      <c r="F1298" s="3"/>
      <c r="G1298" s="3"/>
      <c r="L1298" s="157"/>
      <c r="M1298" s="157"/>
      <c r="O1298" s="147"/>
      <c r="P1298" s="147"/>
      <c r="Q1298" s="147"/>
      <c r="R1298" s="147"/>
      <c r="S1298" s="147"/>
      <c r="T1298" s="147"/>
      <c r="U1298" s="147"/>
      <c r="V1298" s="147"/>
      <c r="W1298" s="147"/>
      <c r="X1298" s="147"/>
      <c r="Y1298" s="147"/>
      <c r="Z1298" s="147"/>
      <c r="AA1298" s="147"/>
      <c r="AB1298" s="147"/>
      <c r="AC1298" s="147"/>
      <c r="AD1298" s="147"/>
      <c r="AE1298" s="147"/>
      <c r="AF1298" s="147"/>
      <c r="AG1298" s="147"/>
      <c r="AH1298" s="147"/>
      <c r="AI1298" s="147"/>
      <c r="AJ1298" s="147"/>
      <c r="AK1298" s="147"/>
      <c r="AL1298" s="147"/>
      <c r="AM1298" s="151"/>
      <c r="AN1298" s="147"/>
      <c r="AO1298" s="147"/>
      <c r="AP1298" s="147"/>
      <c r="AQ1298" s="147"/>
      <c r="AR1298" s="147"/>
      <c r="AS1298" s="147"/>
      <c r="AT1298" s="147"/>
      <c r="AU1298" s="147"/>
      <c r="AV1298" s="147"/>
      <c r="AW1298" s="147"/>
      <c r="AX1298" s="147"/>
      <c r="AY1298" s="147"/>
      <c r="AZ1298" s="147"/>
      <c r="BA1298" s="147"/>
      <c r="BB1298" s="147"/>
      <c r="BC1298" s="147"/>
      <c r="BD1298" s="147"/>
      <c r="BE1298" s="147"/>
      <c r="BF1298" s="147"/>
      <c r="BG1298" s="147"/>
      <c r="BH1298" s="147"/>
      <c r="BI1298" s="147"/>
      <c r="BJ1298" s="147"/>
      <c r="BK1298" s="147"/>
      <c r="BL1298" s="147"/>
      <c r="BM1298" s="147"/>
      <c r="BN1298" s="147"/>
      <c r="BO1298" s="147"/>
      <c r="BP1298" s="147"/>
      <c r="BQ1298" s="147"/>
      <c r="BR1298" s="147"/>
      <c r="BS1298" s="147"/>
      <c r="BT1298" s="147"/>
      <c r="BU1298" s="147"/>
      <c r="BV1298" s="147"/>
      <c r="BW1298" s="147"/>
      <c r="BX1298" s="147"/>
      <c r="BY1298" s="147"/>
      <c r="BZ1298" s="147"/>
      <c r="CA1298" s="147"/>
      <c r="CB1298" s="147"/>
      <c r="CC1298" s="147"/>
      <c r="CD1298" s="147"/>
      <c r="CE1298" s="147"/>
      <c r="CF1298" s="147"/>
      <c r="CG1298" s="147"/>
      <c r="CH1298" s="147"/>
      <c r="CI1298" s="147"/>
      <c r="CJ1298" s="147"/>
      <c r="CK1298" s="147"/>
    </row>
    <row r="1299" spans="1:89">
      <c r="A1299" s="157"/>
      <c r="F1299" s="3"/>
      <c r="G1299" s="3"/>
      <c r="L1299" s="157"/>
      <c r="M1299" s="157"/>
      <c r="O1299" s="147"/>
      <c r="P1299" s="147"/>
      <c r="Q1299" s="147"/>
      <c r="R1299" s="147"/>
      <c r="S1299" s="147"/>
      <c r="T1299" s="147"/>
      <c r="U1299" s="147"/>
      <c r="V1299" s="147"/>
      <c r="W1299" s="147"/>
      <c r="X1299" s="147"/>
      <c r="Y1299" s="147"/>
      <c r="Z1299" s="147"/>
      <c r="AA1299" s="147"/>
      <c r="AB1299" s="147"/>
      <c r="AC1299" s="147"/>
      <c r="AD1299" s="147"/>
      <c r="AE1299" s="147"/>
      <c r="AF1299" s="147"/>
      <c r="AG1299" s="147"/>
      <c r="AH1299" s="147"/>
      <c r="AI1299" s="147"/>
      <c r="AJ1299" s="147"/>
      <c r="AK1299" s="147"/>
      <c r="AL1299" s="147"/>
      <c r="AM1299" s="151"/>
      <c r="AN1299" s="147"/>
      <c r="AO1299" s="147"/>
      <c r="AP1299" s="147"/>
      <c r="AQ1299" s="147"/>
      <c r="AR1299" s="147"/>
      <c r="AS1299" s="147"/>
      <c r="AT1299" s="147"/>
      <c r="AU1299" s="147"/>
      <c r="AV1299" s="147"/>
      <c r="AW1299" s="147"/>
      <c r="AX1299" s="147"/>
      <c r="AY1299" s="147"/>
      <c r="AZ1299" s="147"/>
      <c r="BA1299" s="147"/>
      <c r="BB1299" s="147"/>
      <c r="BC1299" s="147"/>
      <c r="BD1299" s="147"/>
      <c r="BE1299" s="147"/>
      <c r="BF1299" s="147"/>
      <c r="BG1299" s="147"/>
      <c r="BH1299" s="147"/>
      <c r="BI1299" s="147"/>
      <c r="BJ1299" s="147"/>
      <c r="BK1299" s="147"/>
      <c r="BL1299" s="147"/>
      <c r="BM1299" s="147"/>
      <c r="BN1299" s="147"/>
      <c r="BO1299" s="147"/>
      <c r="BP1299" s="147"/>
      <c r="BQ1299" s="147"/>
      <c r="BR1299" s="147"/>
      <c r="BS1299" s="147"/>
      <c r="BT1299" s="147"/>
      <c r="BU1299" s="147"/>
      <c r="BV1299" s="147"/>
      <c r="BW1299" s="147"/>
      <c r="BX1299" s="147"/>
      <c r="BY1299" s="147"/>
      <c r="BZ1299" s="147"/>
      <c r="CA1299" s="147"/>
      <c r="CB1299" s="147"/>
      <c r="CC1299" s="147"/>
      <c r="CD1299" s="147"/>
      <c r="CE1299" s="147"/>
      <c r="CF1299" s="147"/>
      <c r="CG1299" s="147"/>
      <c r="CH1299" s="147"/>
      <c r="CI1299" s="147"/>
      <c r="CJ1299" s="147"/>
      <c r="CK1299" s="147"/>
    </row>
    <row r="1300" spans="1:89">
      <c r="A1300" s="157"/>
      <c r="F1300" s="3"/>
      <c r="G1300" s="3"/>
      <c r="L1300" s="157"/>
      <c r="M1300" s="157"/>
      <c r="O1300" s="147"/>
      <c r="P1300" s="147"/>
      <c r="Q1300" s="147"/>
      <c r="R1300" s="147"/>
      <c r="S1300" s="147"/>
      <c r="T1300" s="147"/>
      <c r="U1300" s="147"/>
      <c r="V1300" s="147"/>
      <c r="W1300" s="147"/>
      <c r="X1300" s="147"/>
      <c r="Y1300" s="147"/>
      <c r="Z1300" s="147"/>
      <c r="AA1300" s="147"/>
      <c r="AB1300" s="147"/>
      <c r="AC1300" s="147"/>
      <c r="AD1300" s="147"/>
      <c r="AE1300" s="147"/>
      <c r="AF1300" s="147"/>
      <c r="AG1300" s="147"/>
      <c r="AH1300" s="147"/>
      <c r="AI1300" s="147"/>
      <c r="AJ1300" s="147"/>
      <c r="AK1300" s="147"/>
      <c r="AL1300" s="147"/>
      <c r="AM1300" s="151"/>
      <c r="AN1300" s="147"/>
      <c r="AO1300" s="147"/>
      <c r="AP1300" s="147"/>
      <c r="AQ1300" s="147"/>
      <c r="AR1300" s="147"/>
      <c r="AS1300" s="147"/>
      <c r="AT1300" s="147"/>
      <c r="AU1300" s="147"/>
      <c r="AV1300" s="147"/>
      <c r="AW1300" s="147"/>
      <c r="AX1300" s="147"/>
      <c r="AY1300" s="147"/>
      <c r="AZ1300" s="147"/>
      <c r="BA1300" s="147"/>
      <c r="BB1300" s="147"/>
      <c r="BC1300" s="147"/>
      <c r="BD1300" s="147"/>
      <c r="BE1300" s="147"/>
      <c r="BF1300" s="147"/>
      <c r="BG1300" s="147"/>
      <c r="BH1300" s="147"/>
      <c r="BI1300" s="147"/>
      <c r="BJ1300" s="147"/>
      <c r="BK1300" s="147"/>
      <c r="BL1300" s="147"/>
      <c r="BM1300" s="147"/>
      <c r="BN1300" s="147"/>
      <c r="BO1300" s="147"/>
      <c r="BP1300" s="147"/>
      <c r="BQ1300" s="147"/>
      <c r="BR1300" s="147"/>
      <c r="BS1300" s="147"/>
      <c r="BT1300" s="147"/>
      <c r="BU1300" s="147"/>
      <c r="BV1300" s="147"/>
      <c r="BW1300" s="147"/>
      <c r="BX1300" s="147"/>
      <c r="BY1300" s="147"/>
      <c r="BZ1300" s="147"/>
      <c r="CA1300" s="147"/>
      <c r="CB1300" s="147"/>
      <c r="CC1300" s="147"/>
      <c r="CD1300" s="147"/>
      <c r="CE1300" s="147"/>
      <c r="CF1300" s="147"/>
      <c r="CG1300" s="147"/>
      <c r="CH1300" s="147"/>
      <c r="CI1300" s="147"/>
      <c r="CJ1300" s="147"/>
      <c r="CK1300" s="147"/>
    </row>
    <row r="1301" spans="1:89">
      <c r="A1301" s="157"/>
      <c r="F1301" s="3"/>
      <c r="G1301" s="3"/>
      <c r="L1301" s="157"/>
      <c r="M1301" s="157"/>
      <c r="O1301" s="147"/>
      <c r="P1301" s="147"/>
      <c r="Q1301" s="147"/>
      <c r="R1301" s="147"/>
      <c r="S1301" s="147"/>
      <c r="T1301" s="147"/>
      <c r="U1301" s="147"/>
      <c r="V1301" s="147"/>
      <c r="W1301" s="147"/>
      <c r="X1301" s="147"/>
      <c r="Y1301" s="147"/>
      <c r="Z1301" s="147"/>
      <c r="AA1301" s="147"/>
      <c r="AB1301" s="147"/>
      <c r="AC1301" s="147"/>
      <c r="AD1301" s="147"/>
      <c r="AE1301" s="147"/>
      <c r="AF1301" s="147"/>
      <c r="AG1301" s="147"/>
      <c r="AH1301" s="147"/>
      <c r="AI1301" s="147"/>
      <c r="AJ1301" s="147"/>
      <c r="AK1301" s="147"/>
      <c r="AL1301" s="147"/>
      <c r="AM1301" s="151"/>
      <c r="AN1301" s="147"/>
      <c r="AO1301" s="147"/>
      <c r="AP1301" s="147"/>
      <c r="AQ1301" s="147"/>
      <c r="AR1301" s="147"/>
      <c r="AS1301" s="147"/>
      <c r="AT1301" s="147"/>
      <c r="AU1301" s="147"/>
      <c r="AV1301" s="147"/>
      <c r="AW1301" s="147"/>
      <c r="AX1301" s="147"/>
      <c r="AY1301" s="147"/>
      <c r="AZ1301" s="147"/>
      <c r="BA1301" s="147"/>
      <c r="BB1301" s="147"/>
      <c r="BC1301" s="147"/>
      <c r="BD1301" s="147"/>
      <c r="BE1301" s="147"/>
      <c r="BF1301" s="147"/>
      <c r="BG1301" s="147"/>
      <c r="BH1301" s="147"/>
      <c r="BI1301" s="147"/>
      <c r="BJ1301" s="147"/>
      <c r="BK1301" s="147"/>
      <c r="BL1301" s="147"/>
      <c r="BM1301" s="147"/>
      <c r="BN1301" s="147"/>
      <c r="BO1301" s="147"/>
      <c r="BP1301" s="147"/>
      <c r="BQ1301" s="147"/>
      <c r="BR1301" s="147"/>
      <c r="BS1301" s="147"/>
      <c r="BT1301" s="147"/>
      <c r="BU1301" s="147"/>
      <c r="BV1301" s="147"/>
      <c r="BW1301" s="147"/>
      <c r="BX1301" s="147"/>
      <c r="BY1301" s="147"/>
      <c r="BZ1301" s="147"/>
      <c r="CA1301" s="147"/>
      <c r="CB1301" s="147"/>
      <c r="CC1301" s="147"/>
      <c r="CD1301" s="147"/>
      <c r="CE1301" s="147"/>
      <c r="CF1301" s="147"/>
      <c r="CG1301" s="147"/>
      <c r="CH1301" s="147"/>
      <c r="CI1301" s="147"/>
      <c r="CJ1301" s="147"/>
      <c r="CK1301" s="147"/>
    </row>
    <row r="1302" spans="1:89">
      <c r="A1302" s="157"/>
      <c r="F1302" s="3"/>
      <c r="G1302" s="3"/>
      <c r="L1302" s="157"/>
      <c r="M1302" s="157"/>
      <c r="O1302" s="147"/>
      <c r="P1302" s="147"/>
      <c r="Q1302" s="147"/>
      <c r="R1302" s="147"/>
      <c r="S1302" s="147"/>
      <c r="T1302" s="147"/>
      <c r="U1302" s="147"/>
      <c r="V1302" s="147"/>
      <c r="W1302" s="147"/>
      <c r="X1302" s="147"/>
      <c r="Y1302" s="147"/>
      <c r="Z1302" s="147"/>
      <c r="AA1302" s="147"/>
      <c r="AB1302" s="147"/>
      <c r="AC1302" s="147"/>
      <c r="AD1302" s="147"/>
      <c r="AE1302" s="147"/>
      <c r="AF1302" s="147"/>
      <c r="AG1302" s="147"/>
      <c r="AH1302" s="147"/>
      <c r="AI1302" s="147"/>
      <c r="AJ1302" s="147"/>
      <c r="AK1302" s="147"/>
      <c r="AL1302" s="147"/>
      <c r="AM1302" s="151"/>
      <c r="AN1302" s="147"/>
      <c r="AO1302" s="147"/>
      <c r="AP1302" s="147"/>
      <c r="AQ1302" s="147"/>
      <c r="AR1302" s="147"/>
      <c r="AS1302" s="147"/>
      <c r="AT1302" s="147"/>
      <c r="AU1302" s="147"/>
      <c r="AV1302" s="147"/>
      <c r="AW1302" s="147"/>
      <c r="AX1302" s="147"/>
      <c r="AY1302" s="147"/>
      <c r="AZ1302" s="147"/>
      <c r="BA1302" s="147"/>
      <c r="BB1302" s="147"/>
      <c r="BC1302" s="147"/>
      <c r="BD1302" s="147"/>
      <c r="BE1302" s="147"/>
      <c r="BF1302" s="147"/>
      <c r="BG1302" s="147"/>
      <c r="BH1302" s="147"/>
      <c r="BI1302" s="147"/>
      <c r="BJ1302" s="147"/>
      <c r="BK1302" s="147"/>
      <c r="BL1302" s="147"/>
      <c r="BM1302" s="147"/>
      <c r="BN1302" s="147"/>
      <c r="BO1302" s="147"/>
      <c r="BP1302" s="147"/>
      <c r="BQ1302" s="147"/>
      <c r="BR1302" s="147"/>
      <c r="BS1302" s="147"/>
      <c r="BT1302" s="147"/>
      <c r="BU1302" s="147"/>
      <c r="BV1302" s="147"/>
      <c r="BW1302" s="147"/>
      <c r="BX1302" s="147"/>
      <c r="BY1302" s="147"/>
      <c r="BZ1302" s="147"/>
      <c r="CA1302" s="147"/>
      <c r="CB1302" s="147"/>
      <c r="CC1302" s="147"/>
      <c r="CD1302" s="147"/>
      <c r="CE1302" s="147"/>
      <c r="CF1302" s="147"/>
      <c r="CG1302" s="147"/>
      <c r="CH1302" s="147"/>
      <c r="CI1302" s="147"/>
      <c r="CJ1302" s="147"/>
      <c r="CK1302" s="147"/>
    </row>
    <row r="1303" spans="1:89">
      <c r="A1303" s="157"/>
      <c r="F1303" s="3"/>
      <c r="G1303" s="3"/>
      <c r="L1303" s="157"/>
      <c r="M1303" s="157"/>
      <c r="O1303" s="147"/>
      <c r="P1303" s="147"/>
      <c r="Q1303" s="147"/>
      <c r="R1303" s="147"/>
      <c r="S1303" s="147"/>
      <c r="T1303" s="147"/>
      <c r="U1303" s="147"/>
      <c r="V1303" s="147"/>
      <c r="W1303" s="147"/>
      <c r="X1303" s="147"/>
      <c r="Y1303" s="147"/>
      <c r="Z1303" s="147"/>
      <c r="AA1303" s="147"/>
      <c r="AB1303" s="147"/>
      <c r="AC1303" s="147"/>
      <c r="AD1303" s="147"/>
      <c r="AE1303" s="147"/>
      <c r="AF1303" s="147"/>
      <c r="AG1303" s="147"/>
      <c r="AH1303" s="147"/>
      <c r="AI1303" s="147"/>
      <c r="AJ1303" s="147"/>
      <c r="AK1303" s="147"/>
      <c r="AL1303" s="147"/>
      <c r="AM1303" s="151"/>
      <c r="AN1303" s="147"/>
      <c r="AO1303" s="147"/>
      <c r="AP1303" s="147"/>
      <c r="AQ1303" s="147"/>
      <c r="AR1303" s="147"/>
      <c r="AS1303" s="147"/>
      <c r="AT1303" s="147"/>
      <c r="AU1303" s="147"/>
      <c r="AV1303" s="147"/>
      <c r="AW1303" s="147"/>
      <c r="AX1303" s="147"/>
      <c r="AY1303" s="147"/>
      <c r="AZ1303" s="147"/>
      <c r="BA1303" s="147"/>
      <c r="BB1303" s="147"/>
      <c r="BC1303" s="147"/>
      <c r="BD1303" s="147"/>
      <c r="BE1303" s="147"/>
      <c r="BF1303" s="147"/>
      <c r="BG1303" s="147"/>
      <c r="BH1303" s="147"/>
      <c r="BI1303" s="147"/>
      <c r="BJ1303" s="147"/>
      <c r="BK1303" s="147"/>
      <c r="BL1303" s="147"/>
      <c r="BM1303" s="147"/>
      <c r="BN1303" s="147"/>
      <c r="BO1303" s="147"/>
      <c r="BP1303" s="147"/>
      <c r="BQ1303" s="147"/>
      <c r="BR1303" s="147"/>
      <c r="BS1303" s="147"/>
      <c r="BT1303" s="147"/>
      <c r="BU1303" s="147"/>
      <c r="BV1303" s="147"/>
      <c r="BW1303" s="147"/>
      <c r="BX1303" s="147"/>
      <c r="BY1303" s="147"/>
      <c r="BZ1303" s="147"/>
      <c r="CA1303" s="147"/>
      <c r="CB1303" s="147"/>
      <c r="CC1303" s="147"/>
      <c r="CD1303" s="147"/>
      <c r="CE1303" s="147"/>
      <c r="CF1303" s="147"/>
      <c r="CG1303" s="147"/>
      <c r="CH1303" s="147"/>
      <c r="CI1303" s="147"/>
      <c r="CJ1303" s="147"/>
      <c r="CK1303" s="147"/>
    </row>
    <row r="1304" spans="1:89">
      <c r="A1304" s="157"/>
      <c r="F1304" s="3"/>
      <c r="G1304" s="3"/>
      <c r="L1304" s="157"/>
      <c r="M1304" s="157"/>
      <c r="O1304" s="147"/>
      <c r="P1304" s="147"/>
      <c r="Q1304" s="147"/>
      <c r="R1304" s="147"/>
      <c r="S1304" s="147"/>
      <c r="T1304" s="147"/>
      <c r="U1304" s="147"/>
      <c r="V1304" s="147"/>
      <c r="W1304" s="147"/>
      <c r="X1304" s="147"/>
      <c r="Y1304" s="147"/>
      <c r="Z1304" s="147"/>
      <c r="AA1304" s="147"/>
      <c r="AB1304" s="147"/>
      <c r="AC1304" s="147"/>
      <c r="AD1304" s="147"/>
      <c r="AE1304" s="147"/>
      <c r="AF1304" s="147"/>
      <c r="AG1304" s="147"/>
      <c r="AH1304" s="147"/>
      <c r="AI1304" s="147"/>
      <c r="AJ1304" s="147"/>
      <c r="AK1304" s="147"/>
      <c r="AL1304" s="147"/>
      <c r="AM1304" s="151"/>
      <c r="AN1304" s="147"/>
      <c r="AO1304" s="147"/>
      <c r="AP1304" s="147"/>
      <c r="AQ1304" s="147"/>
      <c r="AR1304" s="147"/>
      <c r="AS1304" s="147"/>
      <c r="AT1304" s="147"/>
      <c r="AU1304" s="147"/>
      <c r="AV1304" s="147"/>
      <c r="AW1304" s="147"/>
      <c r="AX1304" s="147"/>
      <c r="AY1304" s="147"/>
      <c r="AZ1304" s="147"/>
      <c r="BA1304" s="147"/>
      <c r="BB1304" s="147"/>
      <c r="BC1304" s="147"/>
      <c r="BD1304" s="147"/>
      <c r="BE1304" s="147"/>
      <c r="BF1304" s="147"/>
      <c r="BG1304" s="147"/>
      <c r="BH1304" s="147"/>
      <c r="BI1304" s="147"/>
      <c r="BJ1304" s="147"/>
      <c r="BK1304" s="147"/>
      <c r="BL1304" s="147"/>
      <c r="BM1304" s="147"/>
      <c r="BN1304" s="147"/>
      <c r="BO1304" s="147"/>
      <c r="BP1304" s="147"/>
      <c r="BQ1304" s="147"/>
      <c r="BR1304" s="147"/>
      <c r="BS1304" s="147"/>
      <c r="BT1304" s="147"/>
      <c r="BU1304" s="147"/>
      <c r="BV1304" s="147"/>
      <c r="BW1304" s="147"/>
      <c r="BX1304" s="147"/>
      <c r="BY1304" s="147"/>
      <c r="BZ1304" s="147"/>
      <c r="CA1304" s="147"/>
      <c r="CB1304" s="147"/>
      <c r="CC1304" s="147"/>
      <c r="CD1304" s="147"/>
      <c r="CE1304" s="147"/>
      <c r="CF1304" s="147"/>
      <c r="CG1304" s="147"/>
      <c r="CH1304" s="147"/>
      <c r="CI1304" s="147"/>
      <c r="CJ1304" s="147"/>
      <c r="CK1304" s="147"/>
    </row>
    <row r="1305" spans="1:89">
      <c r="A1305" s="157"/>
      <c r="F1305" s="3"/>
      <c r="G1305" s="3"/>
      <c r="L1305" s="157"/>
      <c r="M1305" s="157"/>
      <c r="O1305" s="147"/>
      <c r="P1305" s="147"/>
      <c r="Q1305" s="147"/>
      <c r="R1305" s="147"/>
      <c r="S1305" s="147"/>
      <c r="T1305" s="147"/>
      <c r="U1305" s="147"/>
      <c r="V1305" s="147"/>
      <c r="W1305" s="147"/>
      <c r="X1305" s="147"/>
      <c r="Y1305" s="147"/>
      <c r="Z1305" s="147"/>
      <c r="AA1305" s="147"/>
      <c r="AB1305" s="147"/>
      <c r="AC1305" s="147"/>
      <c r="AD1305" s="147"/>
      <c r="AE1305" s="147"/>
      <c r="AF1305" s="147"/>
      <c r="AG1305" s="147"/>
      <c r="AH1305" s="147"/>
      <c r="AI1305" s="147"/>
      <c r="AJ1305" s="147"/>
      <c r="AK1305" s="147"/>
      <c r="AL1305" s="147"/>
      <c r="AM1305" s="151"/>
      <c r="AN1305" s="147"/>
      <c r="AO1305" s="147"/>
      <c r="AP1305" s="147"/>
      <c r="AQ1305" s="147"/>
      <c r="AR1305" s="147"/>
      <c r="AS1305" s="147"/>
      <c r="AT1305" s="147"/>
      <c r="AU1305" s="147"/>
      <c r="AV1305" s="147"/>
      <c r="AW1305" s="147"/>
      <c r="AX1305" s="147"/>
      <c r="AY1305" s="147"/>
      <c r="AZ1305" s="147"/>
      <c r="BA1305" s="147"/>
      <c r="BB1305" s="147"/>
      <c r="BC1305" s="147"/>
      <c r="BD1305" s="147"/>
      <c r="BE1305" s="147"/>
      <c r="BF1305" s="147"/>
      <c r="BG1305" s="147"/>
      <c r="BH1305" s="147"/>
      <c r="BI1305" s="147"/>
      <c r="BJ1305" s="147"/>
      <c r="BK1305" s="147"/>
      <c r="BL1305" s="147"/>
      <c r="BM1305" s="147"/>
      <c r="BN1305" s="147"/>
      <c r="BO1305" s="147"/>
      <c r="BP1305" s="147"/>
      <c r="BQ1305" s="147"/>
      <c r="BR1305" s="147"/>
      <c r="BS1305" s="147"/>
      <c r="BT1305" s="147"/>
      <c r="BU1305" s="147"/>
      <c r="BV1305" s="147"/>
      <c r="BW1305" s="147"/>
      <c r="BX1305" s="147"/>
      <c r="BY1305" s="147"/>
      <c r="BZ1305" s="147"/>
      <c r="CA1305" s="147"/>
      <c r="CB1305" s="147"/>
      <c r="CC1305" s="147"/>
      <c r="CD1305" s="147"/>
      <c r="CE1305" s="147"/>
      <c r="CF1305" s="147"/>
      <c r="CG1305" s="147"/>
      <c r="CH1305" s="147"/>
      <c r="CI1305" s="147"/>
      <c r="CJ1305" s="147"/>
      <c r="CK1305" s="147"/>
    </row>
    <row r="1306" spans="1:89">
      <c r="A1306" s="157"/>
      <c r="F1306" s="3"/>
      <c r="G1306" s="3"/>
      <c r="L1306" s="157"/>
      <c r="M1306" s="157"/>
      <c r="O1306" s="147"/>
      <c r="P1306" s="147"/>
      <c r="Q1306" s="147"/>
      <c r="R1306" s="147"/>
      <c r="S1306" s="147"/>
      <c r="T1306" s="147"/>
      <c r="U1306" s="147"/>
      <c r="V1306" s="147"/>
      <c r="W1306" s="147"/>
      <c r="X1306" s="147"/>
      <c r="Y1306" s="147"/>
      <c r="Z1306" s="147"/>
      <c r="AA1306" s="147"/>
      <c r="AB1306" s="147"/>
      <c r="AC1306" s="147"/>
      <c r="AD1306" s="147"/>
      <c r="AE1306" s="147"/>
      <c r="AF1306" s="147"/>
      <c r="AG1306" s="147"/>
      <c r="AH1306" s="147"/>
      <c r="AI1306" s="147"/>
      <c r="AJ1306" s="147"/>
      <c r="AK1306" s="147"/>
      <c r="AL1306" s="147"/>
      <c r="AM1306" s="151"/>
      <c r="AN1306" s="147"/>
      <c r="AO1306" s="147"/>
      <c r="AP1306" s="147"/>
      <c r="AQ1306" s="147"/>
      <c r="AR1306" s="147"/>
      <c r="AS1306" s="147"/>
      <c r="AT1306" s="147"/>
      <c r="AU1306" s="147"/>
      <c r="AV1306" s="147"/>
      <c r="AW1306" s="147"/>
      <c r="AX1306" s="147"/>
      <c r="AY1306" s="147"/>
      <c r="AZ1306" s="147"/>
      <c r="BA1306" s="147"/>
      <c r="BB1306" s="147"/>
      <c r="BC1306" s="147"/>
      <c r="BD1306" s="147"/>
      <c r="BE1306" s="147"/>
      <c r="BF1306" s="147"/>
      <c r="BG1306" s="147"/>
      <c r="BH1306" s="147"/>
      <c r="BI1306" s="147"/>
      <c r="BJ1306" s="147"/>
      <c r="BK1306" s="147"/>
      <c r="BL1306" s="147"/>
      <c r="BM1306" s="147"/>
      <c r="BN1306" s="147"/>
      <c r="BO1306" s="147"/>
      <c r="BP1306" s="147"/>
      <c r="BQ1306" s="147"/>
      <c r="BR1306" s="147"/>
      <c r="BS1306" s="147"/>
      <c r="BT1306" s="147"/>
      <c r="BU1306" s="147"/>
      <c r="BV1306" s="147"/>
      <c r="BW1306" s="147"/>
      <c r="BX1306" s="147"/>
      <c r="BY1306" s="147"/>
      <c r="BZ1306" s="147"/>
      <c r="CA1306" s="147"/>
      <c r="CB1306" s="147"/>
      <c r="CC1306" s="147"/>
      <c r="CD1306" s="147"/>
      <c r="CE1306" s="147"/>
      <c r="CF1306" s="147"/>
      <c r="CG1306" s="147"/>
      <c r="CH1306" s="147"/>
      <c r="CI1306" s="147"/>
      <c r="CJ1306" s="147"/>
      <c r="CK1306" s="147"/>
    </row>
    <row r="1307" spans="1:89">
      <c r="A1307" s="157"/>
      <c r="F1307" s="3"/>
      <c r="G1307" s="3"/>
      <c r="L1307" s="157"/>
      <c r="M1307" s="157"/>
      <c r="O1307" s="147"/>
      <c r="P1307" s="147"/>
      <c r="Q1307" s="147"/>
      <c r="R1307" s="147"/>
      <c r="S1307" s="147"/>
      <c r="T1307" s="147"/>
      <c r="U1307" s="147"/>
      <c r="V1307" s="147"/>
      <c r="W1307" s="147"/>
      <c r="X1307" s="147"/>
      <c r="Y1307" s="147"/>
      <c r="Z1307" s="147"/>
      <c r="AA1307" s="147"/>
      <c r="AB1307" s="147"/>
      <c r="AC1307" s="147"/>
      <c r="AD1307" s="147"/>
      <c r="AE1307" s="147"/>
      <c r="AF1307" s="147"/>
      <c r="AG1307" s="147"/>
      <c r="AH1307" s="147"/>
      <c r="AI1307" s="147"/>
      <c r="AJ1307" s="147"/>
      <c r="AK1307" s="147"/>
      <c r="AL1307" s="147"/>
      <c r="AM1307" s="151"/>
      <c r="AN1307" s="147"/>
      <c r="AO1307" s="147"/>
      <c r="AP1307" s="147"/>
      <c r="AQ1307" s="147"/>
      <c r="AR1307" s="147"/>
      <c r="AS1307" s="147"/>
      <c r="AT1307" s="147"/>
      <c r="AU1307" s="147"/>
      <c r="AV1307" s="147"/>
      <c r="AW1307" s="147"/>
      <c r="AX1307" s="147"/>
      <c r="AY1307" s="147"/>
      <c r="AZ1307" s="147"/>
      <c r="BA1307" s="147"/>
      <c r="BB1307" s="147"/>
      <c r="BC1307" s="147"/>
      <c r="BD1307" s="147"/>
      <c r="BE1307" s="147"/>
      <c r="BF1307" s="147"/>
      <c r="BG1307" s="147"/>
      <c r="BH1307" s="147"/>
      <c r="BI1307" s="147"/>
      <c r="BJ1307" s="147"/>
      <c r="BK1307" s="147"/>
      <c r="BL1307" s="147"/>
      <c r="BM1307" s="147"/>
      <c r="BN1307" s="147"/>
      <c r="BO1307" s="147"/>
      <c r="BP1307" s="147"/>
      <c r="BQ1307" s="147"/>
      <c r="BR1307" s="147"/>
      <c r="BS1307" s="147"/>
      <c r="BT1307" s="147"/>
      <c r="BU1307" s="147"/>
      <c r="BV1307" s="147"/>
      <c r="BW1307" s="147"/>
      <c r="BX1307" s="147"/>
      <c r="BY1307" s="147"/>
      <c r="BZ1307" s="147"/>
      <c r="CA1307" s="147"/>
      <c r="CB1307" s="147"/>
      <c r="CC1307" s="147"/>
      <c r="CD1307" s="147"/>
      <c r="CE1307" s="147"/>
      <c r="CF1307" s="147"/>
      <c r="CG1307" s="147"/>
      <c r="CH1307" s="147"/>
      <c r="CI1307" s="147"/>
      <c r="CJ1307" s="147"/>
      <c r="CK1307" s="147"/>
    </row>
    <row r="1308" spans="1:89">
      <c r="A1308" s="157"/>
      <c r="F1308" s="3"/>
      <c r="G1308" s="3"/>
      <c r="L1308" s="157"/>
      <c r="M1308" s="157"/>
      <c r="O1308" s="147"/>
      <c r="P1308" s="147"/>
      <c r="Q1308" s="147"/>
      <c r="R1308" s="147"/>
      <c r="S1308" s="147"/>
      <c r="T1308" s="147"/>
      <c r="U1308" s="147"/>
      <c r="V1308" s="147"/>
      <c r="W1308" s="147"/>
      <c r="X1308" s="147"/>
      <c r="Y1308" s="147"/>
      <c r="Z1308" s="147"/>
      <c r="AA1308" s="147"/>
      <c r="AB1308" s="147"/>
      <c r="AC1308" s="147"/>
      <c r="AD1308" s="147"/>
      <c r="AE1308" s="147"/>
      <c r="AF1308" s="147"/>
      <c r="AG1308" s="147"/>
      <c r="AH1308" s="147"/>
      <c r="AI1308" s="147"/>
      <c r="AJ1308" s="147"/>
      <c r="AK1308" s="147"/>
      <c r="AL1308" s="147"/>
      <c r="AM1308" s="151"/>
      <c r="AN1308" s="147"/>
      <c r="AO1308" s="147"/>
      <c r="AP1308" s="147"/>
      <c r="AQ1308" s="147"/>
      <c r="AR1308" s="147"/>
      <c r="AS1308" s="147"/>
      <c r="AT1308" s="147"/>
      <c r="AU1308" s="147"/>
      <c r="AV1308" s="147"/>
      <c r="AW1308" s="147"/>
      <c r="AX1308" s="147"/>
      <c r="AY1308" s="147"/>
      <c r="AZ1308" s="147"/>
      <c r="BA1308" s="147"/>
      <c r="BB1308" s="147"/>
      <c r="BC1308" s="147"/>
      <c r="BD1308" s="147"/>
      <c r="BE1308" s="147"/>
      <c r="BF1308" s="147"/>
      <c r="BG1308" s="147"/>
      <c r="BH1308" s="147"/>
      <c r="BI1308" s="147"/>
      <c r="BJ1308" s="147"/>
      <c r="BK1308" s="147"/>
      <c r="BL1308" s="147"/>
      <c r="BM1308" s="147"/>
      <c r="BN1308" s="147"/>
      <c r="BO1308" s="147"/>
      <c r="BP1308" s="147"/>
      <c r="BQ1308" s="147"/>
      <c r="BR1308" s="147"/>
      <c r="BS1308" s="147"/>
      <c r="BT1308" s="147"/>
      <c r="BU1308" s="147"/>
      <c r="BV1308" s="147"/>
      <c r="BW1308" s="147"/>
      <c r="BX1308" s="147"/>
      <c r="BY1308" s="147"/>
      <c r="BZ1308" s="147"/>
      <c r="CA1308" s="147"/>
      <c r="CB1308" s="147"/>
      <c r="CC1308" s="147"/>
      <c r="CD1308" s="147"/>
      <c r="CE1308" s="147"/>
      <c r="CF1308" s="147"/>
      <c r="CG1308" s="147"/>
      <c r="CH1308" s="147"/>
      <c r="CI1308" s="147"/>
      <c r="CJ1308" s="147"/>
      <c r="CK1308" s="147"/>
    </row>
    <row r="1309" spans="1:89">
      <c r="A1309" s="157"/>
      <c r="F1309" s="3"/>
      <c r="G1309" s="3"/>
      <c r="L1309" s="157"/>
      <c r="M1309" s="157"/>
      <c r="O1309" s="147"/>
      <c r="P1309" s="147"/>
      <c r="Q1309" s="147"/>
      <c r="R1309" s="147"/>
      <c r="S1309" s="147"/>
      <c r="T1309" s="147"/>
      <c r="U1309" s="147"/>
      <c r="V1309" s="147"/>
      <c r="W1309" s="147"/>
      <c r="X1309" s="147"/>
      <c r="Y1309" s="147"/>
      <c r="Z1309" s="147"/>
      <c r="AA1309" s="147"/>
      <c r="AB1309" s="147"/>
      <c r="AC1309" s="147"/>
      <c r="AD1309" s="147"/>
      <c r="AE1309" s="147"/>
      <c r="AF1309" s="147"/>
      <c r="AG1309" s="147"/>
      <c r="AH1309" s="147"/>
      <c r="AI1309" s="147"/>
      <c r="AJ1309" s="147"/>
      <c r="AK1309" s="147"/>
      <c r="AL1309" s="147"/>
      <c r="AM1309" s="151"/>
      <c r="AN1309" s="147"/>
      <c r="AO1309" s="147"/>
      <c r="AP1309" s="147"/>
      <c r="AQ1309" s="147"/>
      <c r="AR1309" s="147"/>
      <c r="AS1309" s="147"/>
      <c r="AT1309" s="147"/>
      <c r="AU1309" s="147"/>
      <c r="AV1309" s="147"/>
      <c r="AW1309" s="147"/>
      <c r="AX1309" s="147"/>
      <c r="AY1309" s="147"/>
      <c r="AZ1309" s="147"/>
      <c r="BA1309" s="147"/>
      <c r="BB1309" s="147"/>
      <c r="BC1309" s="147"/>
      <c r="BD1309" s="147"/>
      <c r="BE1309" s="147"/>
      <c r="BF1309" s="147"/>
      <c r="BG1309" s="147"/>
      <c r="BH1309" s="147"/>
      <c r="BI1309" s="147"/>
      <c r="BJ1309" s="147"/>
      <c r="BK1309" s="147"/>
      <c r="BL1309" s="147"/>
      <c r="BM1309" s="147"/>
      <c r="BN1309" s="147"/>
      <c r="BO1309" s="147"/>
      <c r="BP1309" s="147"/>
      <c r="BQ1309" s="147"/>
      <c r="BR1309" s="147"/>
      <c r="BS1309" s="147"/>
      <c r="BT1309" s="147"/>
      <c r="BU1309" s="147"/>
      <c r="BV1309" s="147"/>
      <c r="BW1309" s="147"/>
      <c r="BX1309" s="147"/>
      <c r="BY1309" s="147"/>
      <c r="BZ1309" s="147"/>
      <c r="CA1309" s="147"/>
      <c r="CB1309" s="147"/>
      <c r="CC1309" s="147"/>
      <c r="CD1309" s="147"/>
      <c r="CE1309" s="147"/>
      <c r="CF1309" s="147"/>
      <c r="CG1309" s="147"/>
      <c r="CH1309" s="147"/>
      <c r="CI1309" s="147"/>
      <c r="CJ1309" s="147"/>
      <c r="CK1309" s="147"/>
    </row>
    <row r="1310" spans="1:89">
      <c r="A1310" s="157"/>
      <c r="F1310" s="3"/>
      <c r="G1310" s="3"/>
      <c r="L1310" s="157"/>
      <c r="M1310" s="157"/>
      <c r="O1310" s="147"/>
      <c r="P1310" s="147"/>
      <c r="Q1310" s="147"/>
      <c r="R1310" s="147"/>
      <c r="S1310" s="147"/>
      <c r="T1310" s="147"/>
      <c r="U1310" s="147"/>
      <c r="V1310" s="147"/>
      <c r="W1310" s="147"/>
      <c r="X1310" s="147"/>
      <c r="Y1310" s="147"/>
      <c r="Z1310" s="147"/>
      <c r="AA1310" s="147"/>
      <c r="AB1310" s="147"/>
      <c r="AC1310" s="147"/>
      <c r="AD1310" s="147"/>
      <c r="AE1310" s="147"/>
      <c r="AF1310" s="147"/>
      <c r="AG1310" s="147"/>
      <c r="AH1310" s="147"/>
      <c r="AI1310" s="147"/>
      <c r="AJ1310" s="147"/>
      <c r="AK1310" s="147"/>
      <c r="AL1310" s="147"/>
      <c r="AM1310" s="151"/>
      <c r="AN1310" s="147"/>
      <c r="AO1310" s="147"/>
      <c r="AP1310" s="147"/>
      <c r="AQ1310" s="147"/>
      <c r="AR1310" s="147"/>
      <c r="AS1310" s="147"/>
      <c r="AT1310" s="147"/>
      <c r="AU1310" s="147"/>
      <c r="AV1310" s="147"/>
      <c r="AW1310" s="147"/>
      <c r="AX1310" s="147"/>
      <c r="AY1310" s="147"/>
      <c r="AZ1310" s="147"/>
      <c r="BA1310" s="147"/>
      <c r="BB1310" s="147"/>
      <c r="BC1310" s="147"/>
      <c r="BD1310" s="147"/>
      <c r="BE1310" s="147"/>
      <c r="BF1310" s="147"/>
      <c r="BG1310" s="147"/>
      <c r="BH1310" s="147"/>
      <c r="BI1310" s="147"/>
      <c r="BJ1310" s="147"/>
      <c r="BK1310" s="147"/>
      <c r="BL1310" s="147"/>
      <c r="BM1310" s="147"/>
      <c r="BN1310" s="147"/>
      <c r="BO1310" s="147"/>
      <c r="BP1310" s="147"/>
      <c r="BQ1310" s="147"/>
      <c r="BR1310" s="147"/>
      <c r="BS1310" s="147"/>
      <c r="BT1310" s="147"/>
      <c r="BU1310" s="147"/>
      <c r="BV1310" s="147"/>
      <c r="BW1310" s="147"/>
      <c r="BX1310" s="147"/>
      <c r="BY1310" s="147"/>
      <c r="BZ1310" s="147"/>
      <c r="CA1310" s="147"/>
      <c r="CB1310" s="147"/>
      <c r="CC1310" s="147"/>
      <c r="CD1310" s="147"/>
      <c r="CE1310" s="147"/>
      <c r="CF1310" s="147"/>
      <c r="CG1310" s="147"/>
      <c r="CH1310" s="147"/>
      <c r="CI1310" s="147"/>
      <c r="CJ1310" s="147"/>
      <c r="CK1310" s="147"/>
    </row>
    <row r="1311" spans="1:89">
      <c r="A1311" s="157"/>
      <c r="F1311" s="3"/>
      <c r="G1311" s="3"/>
      <c r="L1311" s="157"/>
      <c r="M1311" s="157"/>
      <c r="O1311" s="147"/>
      <c r="P1311" s="147"/>
      <c r="Q1311" s="147"/>
      <c r="R1311" s="147"/>
      <c r="S1311" s="147"/>
      <c r="T1311" s="147"/>
      <c r="U1311" s="147"/>
      <c r="V1311" s="147"/>
      <c r="W1311" s="147"/>
      <c r="X1311" s="147"/>
      <c r="Y1311" s="147"/>
      <c r="Z1311" s="147"/>
      <c r="AA1311" s="147"/>
      <c r="AB1311" s="147"/>
      <c r="AC1311" s="147"/>
      <c r="AD1311" s="147"/>
      <c r="AE1311" s="147"/>
      <c r="AF1311" s="147"/>
      <c r="AG1311" s="147"/>
      <c r="AH1311" s="147"/>
      <c r="AI1311" s="147"/>
      <c r="AJ1311" s="147"/>
      <c r="AK1311" s="147"/>
      <c r="AL1311" s="147"/>
      <c r="AM1311" s="151"/>
      <c r="AN1311" s="147"/>
      <c r="AO1311" s="147"/>
      <c r="AP1311" s="147"/>
      <c r="AQ1311" s="147"/>
      <c r="AR1311" s="147"/>
      <c r="AS1311" s="147"/>
      <c r="AT1311" s="147"/>
      <c r="AU1311" s="147"/>
      <c r="AV1311" s="147"/>
      <c r="AW1311" s="147"/>
      <c r="AX1311" s="147"/>
      <c r="AY1311" s="147"/>
      <c r="AZ1311" s="147"/>
      <c r="BA1311" s="147"/>
      <c r="BB1311" s="147"/>
      <c r="BC1311" s="147"/>
      <c r="BD1311" s="147"/>
      <c r="BE1311" s="147"/>
      <c r="BF1311" s="147"/>
      <c r="BG1311" s="147"/>
      <c r="BH1311" s="147"/>
      <c r="BI1311" s="147"/>
      <c r="BJ1311" s="147"/>
      <c r="BK1311" s="147"/>
      <c r="BL1311" s="147"/>
      <c r="BM1311" s="147"/>
      <c r="BN1311" s="147"/>
      <c r="BO1311" s="147"/>
      <c r="BP1311" s="147"/>
      <c r="BQ1311" s="147"/>
      <c r="BR1311" s="147"/>
      <c r="BS1311" s="147"/>
      <c r="BT1311" s="147"/>
      <c r="BU1311" s="147"/>
      <c r="BV1311" s="147"/>
      <c r="BW1311" s="147"/>
      <c r="BX1311" s="147"/>
      <c r="BY1311" s="147"/>
      <c r="BZ1311" s="147"/>
      <c r="CA1311" s="147"/>
      <c r="CB1311" s="147"/>
      <c r="CC1311" s="147"/>
      <c r="CD1311" s="147"/>
      <c r="CE1311" s="147"/>
      <c r="CF1311" s="147"/>
      <c r="CG1311" s="147"/>
      <c r="CH1311" s="147"/>
      <c r="CI1311" s="147"/>
      <c r="CJ1311" s="147"/>
      <c r="CK1311" s="147"/>
    </row>
    <row r="1312" spans="1:89">
      <c r="A1312" s="157"/>
      <c r="F1312" s="3"/>
      <c r="G1312" s="3"/>
      <c r="L1312" s="157"/>
      <c r="M1312" s="157"/>
      <c r="O1312" s="147"/>
      <c r="P1312" s="147"/>
      <c r="Q1312" s="147"/>
      <c r="R1312" s="147"/>
      <c r="S1312" s="147"/>
      <c r="T1312" s="147"/>
      <c r="U1312" s="147"/>
      <c r="V1312" s="147"/>
      <c r="W1312" s="147"/>
      <c r="X1312" s="147"/>
      <c r="Y1312" s="147"/>
      <c r="Z1312" s="147"/>
      <c r="AA1312" s="147"/>
      <c r="AB1312" s="147"/>
      <c r="AC1312" s="147"/>
      <c r="AD1312" s="147"/>
      <c r="AE1312" s="147"/>
      <c r="AF1312" s="147"/>
      <c r="AG1312" s="147"/>
      <c r="AH1312" s="147"/>
      <c r="AI1312" s="147"/>
      <c r="AJ1312" s="147"/>
      <c r="AK1312" s="147"/>
      <c r="AL1312" s="147"/>
      <c r="AM1312" s="151"/>
      <c r="AN1312" s="147"/>
      <c r="AO1312" s="147"/>
      <c r="AP1312" s="147"/>
      <c r="AQ1312" s="147"/>
      <c r="AR1312" s="147"/>
      <c r="AS1312" s="147"/>
      <c r="AT1312" s="147"/>
      <c r="AU1312" s="147"/>
      <c r="AV1312" s="147"/>
      <c r="AW1312" s="147"/>
      <c r="AX1312" s="147"/>
      <c r="AY1312" s="147"/>
      <c r="AZ1312" s="147"/>
      <c r="BA1312" s="147"/>
      <c r="BB1312" s="147"/>
      <c r="BC1312" s="147"/>
      <c r="BD1312" s="147"/>
      <c r="BE1312" s="147"/>
      <c r="BF1312" s="147"/>
      <c r="BG1312" s="147"/>
      <c r="BH1312" s="147"/>
      <c r="BI1312" s="147"/>
      <c r="BJ1312" s="147"/>
      <c r="BK1312" s="147"/>
      <c r="BL1312" s="147"/>
      <c r="BM1312" s="147"/>
      <c r="BN1312" s="147"/>
      <c r="BO1312" s="147"/>
      <c r="BP1312" s="147"/>
      <c r="BQ1312" s="147"/>
      <c r="BR1312" s="147"/>
      <c r="BS1312" s="147"/>
      <c r="BT1312" s="147"/>
      <c r="BU1312" s="147"/>
      <c r="BV1312" s="147"/>
      <c r="BW1312" s="147"/>
      <c r="BX1312" s="147"/>
      <c r="BY1312" s="147"/>
      <c r="BZ1312" s="147"/>
      <c r="CA1312" s="147"/>
      <c r="CB1312" s="147"/>
      <c r="CC1312" s="147"/>
      <c r="CD1312" s="147"/>
      <c r="CE1312" s="147"/>
      <c r="CF1312" s="147"/>
      <c r="CG1312" s="147"/>
      <c r="CH1312" s="147"/>
      <c r="CI1312" s="147"/>
      <c r="CJ1312" s="147"/>
      <c r="CK1312" s="147"/>
    </row>
    <row r="1313" spans="1:89">
      <c r="A1313" s="157"/>
      <c r="F1313" s="3"/>
      <c r="G1313" s="3"/>
      <c r="L1313" s="157"/>
      <c r="M1313" s="157"/>
      <c r="O1313" s="147"/>
      <c r="P1313" s="147"/>
      <c r="Q1313" s="147"/>
      <c r="R1313" s="147"/>
      <c r="S1313" s="147"/>
      <c r="T1313" s="147"/>
      <c r="U1313" s="147"/>
      <c r="V1313" s="147"/>
      <c r="W1313" s="147"/>
      <c r="X1313" s="147"/>
      <c r="Y1313" s="147"/>
      <c r="Z1313" s="147"/>
      <c r="AA1313" s="147"/>
      <c r="AB1313" s="147"/>
      <c r="AC1313" s="147"/>
      <c r="AD1313" s="147"/>
      <c r="AE1313" s="147"/>
      <c r="AF1313" s="147"/>
      <c r="AG1313" s="147"/>
      <c r="AH1313" s="147"/>
      <c r="AI1313" s="147"/>
      <c r="AJ1313" s="147"/>
      <c r="AK1313" s="147"/>
      <c r="AL1313" s="147"/>
      <c r="AM1313" s="151"/>
      <c r="AN1313" s="147"/>
      <c r="AO1313" s="147"/>
      <c r="AP1313" s="147"/>
      <c r="AQ1313" s="147"/>
      <c r="AR1313" s="147"/>
      <c r="AS1313" s="147"/>
      <c r="AT1313" s="147"/>
      <c r="AU1313" s="147"/>
      <c r="AV1313" s="147"/>
      <c r="AW1313" s="147"/>
      <c r="AX1313" s="147"/>
      <c r="AY1313" s="147"/>
      <c r="AZ1313" s="147"/>
      <c r="BA1313" s="147"/>
      <c r="BB1313" s="147"/>
      <c r="BC1313" s="147"/>
      <c r="BD1313" s="147"/>
      <c r="BE1313" s="147"/>
      <c r="BF1313" s="147"/>
      <c r="BG1313" s="147"/>
      <c r="BH1313" s="147"/>
      <c r="BI1313" s="147"/>
      <c r="BJ1313" s="147"/>
      <c r="BK1313" s="147"/>
      <c r="BL1313" s="147"/>
      <c r="BM1313" s="147"/>
      <c r="BN1313" s="147"/>
      <c r="BO1313" s="147"/>
      <c r="BP1313" s="147"/>
      <c r="BQ1313" s="147"/>
      <c r="BR1313" s="147"/>
      <c r="BS1313" s="147"/>
      <c r="BT1313" s="147"/>
      <c r="BU1313" s="147"/>
      <c r="BV1313" s="147"/>
      <c r="BW1313" s="147"/>
      <c r="BX1313" s="147"/>
      <c r="BY1313" s="147"/>
      <c r="BZ1313" s="147"/>
      <c r="CA1313" s="147"/>
      <c r="CB1313" s="147"/>
      <c r="CC1313" s="147"/>
      <c r="CD1313" s="147"/>
      <c r="CE1313" s="147"/>
      <c r="CF1313" s="147"/>
      <c r="CG1313" s="147"/>
      <c r="CH1313" s="147"/>
      <c r="CI1313" s="147"/>
      <c r="CJ1313" s="147"/>
      <c r="CK1313" s="147"/>
    </row>
    <row r="1314" spans="1:89">
      <c r="A1314" s="157"/>
      <c r="F1314" s="3"/>
      <c r="G1314" s="3"/>
      <c r="L1314" s="157"/>
      <c r="M1314" s="157"/>
      <c r="O1314" s="147"/>
      <c r="P1314" s="147"/>
      <c r="Q1314" s="147"/>
      <c r="R1314" s="147"/>
      <c r="S1314" s="147"/>
      <c r="T1314" s="147"/>
      <c r="U1314" s="147"/>
      <c r="V1314" s="147"/>
      <c r="W1314" s="147"/>
      <c r="X1314" s="147"/>
      <c r="Y1314" s="147"/>
      <c r="Z1314" s="147"/>
      <c r="AA1314" s="147"/>
      <c r="AB1314" s="147"/>
      <c r="AC1314" s="147"/>
      <c r="AD1314" s="147"/>
      <c r="AE1314" s="147"/>
      <c r="AF1314" s="147"/>
      <c r="AG1314" s="147"/>
      <c r="AH1314" s="147"/>
      <c r="AI1314" s="147"/>
      <c r="AJ1314" s="147"/>
      <c r="AK1314" s="147"/>
      <c r="AL1314" s="147"/>
      <c r="AM1314" s="151"/>
      <c r="AN1314" s="147"/>
      <c r="AO1314" s="147"/>
      <c r="AP1314" s="147"/>
      <c r="AQ1314" s="147"/>
      <c r="AR1314" s="147"/>
      <c r="AS1314" s="147"/>
      <c r="AT1314" s="147"/>
      <c r="AU1314" s="147"/>
      <c r="AV1314" s="147"/>
      <c r="AW1314" s="147"/>
      <c r="AX1314" s="147"/>
      <c r="AY1314" s="147"/>
      <c r="AZ1314" s="147"/>
      <c r="BA1314" s="147"/>
      <c r="BB1314" s="147"/>
      <c r="BC1314" s="147"/>
      <c r="BD1314" s="147"/>
      <c r="BE1314" s="147"/>
      <c r="BF1314" s="147"/>
      <c r="BG1314" s="147"/>
      <c r="BH1314" s="147"/>
      <c r="BI1314" s="147"/>
      <c r="BJ1314" s="147"/>
      <c r="BK1314" s="147"/>
      <c r="BL1314" s="147"/>
      <c r="BM1314" s="147"/>
      <c r="BN1314" s="147"/>
      <c r="BO1314" s="147"/>
      <c r="BP1314" s="147"/>
      <c r="BQ1314" s="147"/>
      <c r="BR1314" s="147"/>
      <c r="BS1314" s="147"/>
      <c r="BT1314" s="147"/>
      <c r="BU1314" s="147"/>
      <c r="BV1314" s="147"/>
      <c r="BW1314" s="147"/>
      <c r="BX1314" s="147"/>
      <c r="BY1314" s="147"/>
      <c r="BZ1314" s="147"/>
      <c r="CA1314" s="147"/>
      <c r="CB1314" s="147"/>
      <c r="CC1314" s="147"/>
      <c r="CD1314" s="147"/>
      <c r="CE1314" s="147"/>
      <c r="CF1314" s="147"/>
      <c r="CG1314" s="147"/>
      <c r="CH1314" s="147"/>
      <c r="CI1314" s="147"/>
      <c r="CJ1314" s="147"/>
      <c r="CK1314" s="147"/>
    </row>
    <row r="1315" spans="1:89">
      <c r="A1315" s="157"/>
      <c r="F1315" s="3"/>
      <c r="G1315" s="3"/>
      <c r="L1315" s="157"/>
      <c r="M1315" s="157"/>
      <c r="O1315" s="147"/>
      <c r="P1315" s="147"/>
      <c r="Q1315" s="147"/>
      <c r="R1315" s="147"/>
      <c r="S1315" s="147"/>
      <c r="T1315" s="147"/>
      <c r="U1315" s="147"/>
      <c r="V1315" s="147"/>
      <c r="W1315" s="147"/>
      <c r="X1315" s="147"/>
      <c r="Y1315" s="147"/>
      <c r="Z1315" s="147"/>
      <c r="AA1315" s="147"/>
      <c r="AB1315" s="147"/>
      <c r="AC1315" s="147"/>
      <c r="AD1315" s="147"/>
      <c r="AE1315" s="147"/>
      <c r="AF1315" s="147"/>
      <c r="AG1315" s="147"/>
      <c r="AH1315" s="147"/>
      <c r="AI1315" s="147"/>
      <c r="AJ1315" s="147"/>
      <c r="AK1315" s="147"/>
      <c r="AL1315" s="147"/>
      <c r="AM1315" s="151"/>
      <c r="AN1315" s="147"/>
      <c r="AO1315" s="147"/>
      <c r="AP1315" s="147"/>
      <c r="AQ1315" s="147"/>
      <c r="AR1315" s="147"/>
      <c r="AS1315" s="147"/>
      <c r="AT1315" s="147"/>
      <c r="AU1315" s="147"/>
      <c r="AV1315" s="147"/>
      <c r="AW1315" s="147"/>
      <c r="AX1315" s="147"/>
      <c r="AY1315" s="147"/>
      <c r="AZ1315" s="147"/>
      <c r="BA1315" s="147"/>
      <c r="BB1315" s="147"/>
      <c r="BC1315" s="147"/>
      <c r="BD1315" s="147"/>
      <c r="BE1315" s="147"/>
      <c r="BF1315" s="147"/>
      <c r="BG1315" s="147"/>
      <c r="BH1315" s="147"/>
      <c r="BI1315" s="147"/>
      <c r="BJ1315" s="147"/>
      <c r="BK1315" s="147"/>
      <c r="BL1315" s="147"/>
      <c r="BM1315" s="147"/>
      <c r="BN1315" s="147"/>
      <c r="BO1315" s="147"/>
      <c r="BP1315" s="147"/>
      <c r="BQ1315" s="147"/>
      <c r="BR1315" s="147"/>
      <c r="BS1315" s="147"/>
      <c r="BT1315" s="147"/>
      <c r="BU1315" s="147"/>
      <c r="BV1315" s="147"/>
      <c r="BW1315" s="147"/>
      <c r="BX1315" s="147"/>
      <c r="BY1315" s="147"/>
      <c r="BZ1315" s="147"/>
      <c r="CA1315" s="147"/>
      <c r="CB1315" s="147"/>
      <c r="CC1315" s="147"/>
      <c r="CD1315" s="147"/>
      <c r="CE1315" s="147"/>
      <c r="CF1315" s="147"/>
      <c r="CG1315" s="147"/>
      <c r="CH1315" s="147"/>
      <c r="CI1315" s="147"/>
      <c r="CJ1315" s="147"/>
      <c r="CK1315" s="147"/>
    </row>
    <row r="1316" spans="1:89">
      <c r="A1316" s="157"/>
      <c r="F1316" s="3"/>
      <c r="G1316" s="3"/>
      <c r="L1316" s="157"/>
      <c r="M1316" s="157"/>
      <c r="O1316" s="147"/>
      <c r="P1316" s="147"/>
      <c r="Q1316" s="147"/>
      <c r="R1316" s="147"/>
      <c r="S1316" s="147"/>
      <c r="T1316" s="147"/>
      <c r="U1316" s="147"/>
      <c r="V1316" s="147"/>
      <c r="W1316" s="147"/>
      <c r="X1316" s="147"/>
      <c r="Y1316" s="147"/>
      <c r="Z1316" s="147"/>
      <c r="AA1316" s="147"/>
      <c r="AB1316" s="147"/>
      <c r="AC1316" s="147"/>
      <c r="AD1316" s="147"/>
      <c r="AE1316" s="147"/>
      <c r="AF1316" s="147"/>
      <c r="AG1316" s="147"/>
      <c r="AH1316" s="147"/>
      <c r="AI1316" s="147"/>
      <c r="AJ1316" s="147"/>
      <c r="AK1316" s="147"/>
      <c r="AL1316" s="147"/>
      <c r="AM1316" s="151"/>
      <c r="AN1316" s="147"/>
      <c r="AO1316" s="147"/>
      <c r="AP1316" s="147"/>
      <c r="AQ1316" s="147"/>
      <c r="AR1316" s="147"/>
      <c r="AS1316" s="147"/>
      <c r="AT1316" s="147"/>
      <c r="AU1316" s="147"/>
      <c r="AV1316" s="147"/>
      <c r="AW1316" s="147"/>
      <c r="AX1316" s="147"/>
      <c r="AY1316" s="147"/>
      <c r="AZ1316" s="147"/>
      <c r="BA1316" s="147"/>
      <c r="BB1316" s="147"/>
      <c r="BC1316" s="147"/>
      <c r="BD1316" s="147"/>
      <c r="BE1316" s="147"/>
      <c r="BF1316" s="147"/>
      <c r="BG1316" s="147"/>
      <c r="BH1316" s="147"/>
      <c r="BI1316" s="147"/>
      <c r="BJ1316" s="147"/>
      <c r="BK1316" s="147"/>
      <c r="BL1316" s="147"/>
      <c r="BM1316" s="147"/>
      <c r="BN1316" s="147"/>
      <c r="BO1316" s="147"/>
      <c r="BP1316" s="147"/>
      <c r="BQ1316" s="147"/>
      <c r="BR1316" s="147"/>
      <c r="BS1316" s="147"/>
      <c r="BT1316" s="147"/>
      <c r="BU1316" s="147"/>
      <c r="BV1316" s="147"/>
      <c r="BW1316" s="147"/>
      <c r="BX1316" s="147"/>
      <c r="BY1316" s="147"/>
      <c r="BZ1316" s="147"/>
      <c r="CA1316" s="147"/>
      <c r="CB1316" s="147"/>
      <c r="CC1316" s="147"/>
      <c r="CD1316" s="147"/>
      <c r="CE1316" s="147"/>
      <c r="CF1316" s="147"/>
      <c r="CG1316" s="147"/>
      <c r="CH1316" s="147"/>
      <c r="CI1316" s="147"/>
      <c r="CJ1316" s="147"/>
      <c r="CK1316" s="147"/>
    </row>
    <row r="1317" spans="1:89">
      <c r="A1317" s="157"/>
      <c r="F1317" s="3"/>
      <c r="G1317" s="3"/>
      <c r="L1317" s="157"/>
      <c r="M1317" s="157"/>
      <c r="O1317" s="147"/>
      <c r="P1317" s="147"/>
      <c r="Q1317" s="147"/>
      <c r="R1317" s="147"/>
      <c r="S1317" s="147"/>
      <c r="T1317" s="147"/>
      <c r="U1317" s="147"/>
      <c r="V1317" s="147"/>
      <c r="W1317" s="147"/>
      <c r="X1317" s="147"/>
      <c r="Y1317" s="147"/>
      <c r="Z1317" s="147"/>
      <c r="AA1317" s="147"/>
      <c r="AB1317" s="147"/>
      <c r="AC1317" s="147"/>
      <c r="AD1317" s="147"/>
      <c r="AE1317" s="147"/>
      <c r="AF1317" s="147"/>
      <c r="AG1317" s="147"/>
      <c r="AH1317" s="147"/>
      <c r="AI1317" s="147"/>
      <c r="AJ1317" s="147"/>
      <c r="AK1317" s="147"/>
      <c r="AL1317" s="147"/>
      <c r="AM1317" s="151"/>
      <c r="AN1317" s="147"/>
      <c r="AO1317" s="147"/>
      <c r="AP1317" s="147"/>
      <c r="AQ1317" s="147"/>
      <c r="AR1317" s="147"/>
      <c r="AS1317" s="147"/>
      <c r="AT1317" s="147"/>
      <c r="AU1317" s="147"/>
      <c r="AV1317" s="147"/>
      <c r="AW1317" s="147"/>
      <c r="AX1317" s="147"/>
      <c r="AY1317" s="147"/>
      <c r="AZ1317" s="147"/>
      <c r="BA1317" s="147"/>
      <c r="BB1317" s="147"/>
      <c r="BC1317" s="147"/>
      <c r="BD1317" s="147"/>
      <c r="BE1317" s="147"/>
      <c r="BF1317" s="147"/>
      <c r="BG1317" s="147"/>
      <c r="BH1317" s="147"/>
      <c r="BI1317" s="147"/>
      <c r="BJ1317" s="147"/>
      <c r="BK1317" s="147"/>
      <c r="BL1317" s="147"/>
      <c r="BM1317" s="147"/>
      <c r="BN1317" s="147"/>
      <c r="BO1317" s="147"/>
      <c r="BP1317" s="147"/>
      <c r="BQ1317" s="147"/>
      <c r="BR1317" s="147"/>
      <c r="BS1317" s="147"/>
      <c r="BT1317" s="147"/>
      <c r="BU1317" s="147"/>
      <c r="BV1317" s="147"/>
      <c r="BW1317" s="147"/>
      <c r="BX1317" s="147"/>
      <c r="BY1317" s="147"/>
      <c r="BZ1317" s="147"/>
      <c r="CA1317" s="147"/>
      <c r="CB1317" s="147"/>
      <c r="CC1317" s="147"/>
      <c r="CD1317" s="147"/>
      <c r="CE1317" s="147"/>
      <c r="CF1317" s="147"/>
      <c r="CG1317" s="147"/>
      <c r="CH1317" s="147"/>
      <c r="CI1317" s="147"/>
      <c r="CJ1317" s="147"/>
      <c r="CK1317" s="147"/>
    </row>
    <row r="1318" spans="1:89">
      <c r="A1318" s="157"/>
      <c r="F1318" s="3"/>
      <c r="G1318" s="3"/>
      <c r="L1318" s="157"/>
      <c r="M1318" s="157"/>
      <c r="O1318" s="147"/>
      <c r="P1318" s="147"/>
      <c r="Q1318" s="147"/>
      <c r="R1318" s="147"/>
      <c r="S1318" s="147"/>
      <c r="T1318" s="147"/>
      <c r="U1318" s="147"/>
      <c r="V1318" s="147"/>
      <c r="W1318" s="147"/>
      <c r="X1318" s="147"/>
      <c r="Y1318" s="147"/>
      <c r="Z1318" s="147"/>
      <c r="AA1318" s="147"/>
      <c r="AB1318" s="147"/>
      <c r="AC1318" s="147"/>
      <c r="AD1318" s="147"/>
      <c r="AE1318" s="147"/>
      <c r="AF1318" s="147"/>
      <c r="AG1318" s="147"/>
      <c r="AH1318" s="147"/>
      <c r="AI1318" s="147"/>
      <c r="AJ1318" s="147"/>
      <c r="AK1318" s="147"/>
      <c r="AL1318" s="147"/>
      <c r="AM1318" s="151"/>
      <c r="AN1318" s="147"/>
      <c r="AO1318" s="147"/>
      <c r="AP1318" s="147"/>
      <c r="AQ1318" s="147"/>
      <c r="AR1318" s="147"/>
      <c r="AS1318" s="147"/>
      <c r="AT1318" s="147"/>
      <c r="AU1318" s="147"/>
      <c r="AV1318" s="147"/>
      <c r="AW1318" s="147"/>
      <c r="AX1318" s="147"/>
      <c r="AY1318" s="147"/>
      <c r="AZ1318" s="147"/>
      <c r="BA1318" s="147"/>
      <c r="BB1318" s="147"/>
      <c r="BC1318" s="147"/>
      <c r="BD1318" s="147"/>
      <c r="BE1318" s="147"/>
      <c r="BF1318" s="147"/>
      <c r="BG1318" s="147"/>
      <c r="BH1318" s="147"/>
      <c r="BI1318" s="147"/>
      <c r="BJ1318" s="147"/>
      <c r="BK1318" s="147"/>
      <c r="BL1318" s="147"/>
      <c r="BM1318" s="147"/>
      <c r="BN1318" s="147"/>
      <c r="BO1318" s="147"/>
      <c r="BP1318" s="147"/>
      <c r="BQ1318" s="147"/>
      <c r="BR1318" s="147"/>
      <c r="BS1318" s="147"/>
      <c r="BT1318" s="147"/>
      <c r="BU1318" s="147"/>
      <c r="BV1318" s="147"/>
      <c r="BW1318" s="147"/>
      <c r="BX1318" s="147"/>
      <c r="BY1318" s="147"/>
      <c r="BZ1318" s="147"/>
      <c r="CA1318" s="147"/>
      <c r="CB1318" s="147"/>
      <c r="CC1318" s="147"/>
      <c r="CD1318" s="147"/>
      <c r="CE1318" s="147"/>
      <c r="CF1318" s="147"/>
      <c r="CG1318" s="147"/>
      <c r="CH1318" s="147"/>
      <c r="CI1318" s="147"/>
      <c r="CJ1318" s="147"/>
      <c r="CK1318" s="147"/>
    </row>
    <row r="1319" spans="1:89">
      <c r="A1319" s="157"/>
      <c r="F1319" s="3"/>
      <c r="G1319" s="3"/>
      <c r="L1319" s="157"/>
      <c r="M1319" s="157"/>
      <c r="O1319" s="147"/>
      <c r="P1319" s="147"/>
      <c r="Q1319" s="147"/>
      <c r="R1319" s="147"/>
      <c r="S1319" s="147"/>
      <c r="T1319" s="147"/>
      <c r="U1319" s="147"/>
      <c r="V1319" s="147"/>
      <c r="W1319" s="147"/>
      <c r="X1319" s="147"/>
      <c r="Y1319" s="147"/>
      <c r="Z1319" s="147"/>
      <c r="AA1319" s="147"/>
      <c r="AB1319" s="147"/>
      <c r="AC1319" s="147"/>
      <c r="AD1319" s="147"/>
      <c r="AE1319" s="147"/>
      <c r="AF1319" s="147"/>
      <c r="AG1319" s="147"/>
      <c r="AH1319" s="147"/>
      <c r="AI1319" s="147"/>
      <c r="AJ1319" s="147"/>
      <c r="AK1319" s="147"/>
      <c r="AL1319" s="147"/>
      <c r="AM1319" s="151"/>
      <c r="AN1319" s="147"/>
      <c r="AO1319" s="147"/>
      <c r="AP1319" s="147"/>
      <c r="AQ1319" s="147"/>
      <c r="AR1319" s="147"/>
      <c r="AS1319" s="147"/>
      <c r="AT1319" s="147"/>
      <c r="AU1319" s="147"/>
      <c r="AV1319" s="147"/>
      <c r="AW1319" s="147"/>
      <c r="AX1319" s="147"/>
      <c r="AY1319" s="147"/>
      <c r="AZ1319" s="147"/>
      <c r="BA1319" s="147"/>
      <c r="BB1319" s="147"/>
      <c r="BC1319" s="147"/>
      <c r="BD1319" s="147"/>
      <c r="BE1319" s="147"/>
      <c r="BF1319" s="147"/>
      <c r="BG1319" s="147"/>
      <c r="BH1319" s="147"/>
      <c r="BI1319" s="147"/>
      <c r="BJ1319" s="147"/>
      <c r="BK1319" s="147"/>
      <c r="BL1319" s="147"/>
      <c r="BM1319" s="147"/>
      <c r="BN1319" s="147"/>
      <c r="BO1319" s="147"/>
      <c r="BP1319" s="147"/>
      <c r="BQ1319" s="147"/>
      <c r="BR1319" s="147"/>
      <c r="BS1319" s="147"/>
      <c r="BT1319" s="147"/>
      <c r="BU1319" s="147"/>
      <c r="BV1319" s="147"/>
      <c r="BW1319" s="147"/>
      <c r="BX1319" s="147"/>
      <c r="BY1319" s="147"/>
      <c r="BZ1319" s="147"/>
      <c r="CA1319" s="147"/>
      <c r="CB1319" s="147"/>
      <c r="CC1319" s="147"/>
      <c r="CD1319" s="147"/>
      <c r="CE1319" s="147"/>
      <c r="CF1319" s="147"/>
      <c r="CG1319" s="147"/>
      <c r="CH1319" s="147"/>
      <c r="CI1319" s="147"/>
      <c r="CJ1319" s="147"/>
      <c r="CK1319" s="147"/>
    </row>
    <row r="1320" spans="1:89">
      <c r="A1320" s="157"/>
      <c r="F1320" s="3"/>
      <c r="G1320" s="3"/>
      <c r="L1320" s="157"/>
      <c r="M1320" s="157"/>
      <c r="O1320" s="147"/>
      <c r="P1320" s="147"/>
      <c r="Q1320" s="147"/>
      <c r="R1320" s="147"/>
      <c r="S1320" s="147"/>
      <c r="T1320" s="147"/>
      <c r="U1320" s="147"/>
      <c r="V1320" s="147"/>
      <c r="W1320" s="147"/>
      <c r="X1320" s="147"/>
      <c r="Y1320" s="147"/>
      <c r="Z1320" s="147"/>
      <c r="AA1320" s="147"/>
      <c r="AB1320" s="147"/>
      <c r="AC1320" s="147"/>
      <c r="AD1320" s="147"/>
      <c r="AE1320" s="147"/>
      <c r="AF1320" s="147"/>
      <c r="AG1320" s="147"/>
      <c r="AH1320" s="147"/>
      <c r="AI1320" s="147"/>
      <c r="AJ1320" s="147"/>
      <c r="AK1320" s="147"/>
      <c r="AL1320" s="147"/>
      <c r="AM1320" s="151"/>
      <c r="AN1320" s="147"/>
      <c r="AO1320" s="147"/>
      <c r="AP1320" s="147"/>
      <c r="AQ1320" s="147"/>
      <c r="AR1320" s="147"/>
      <c r="AS1320" s="147"/>
      <c r="AT1320" s="147"/>
      <c r="AU1320" s="147"/>
      <c r="AV1320" s="147"/>
      <c r="AW1320" s="147"/>
      <c r="AX1320" s="147"/>
      <c r="AY1320" s="147"/>
      <c r="AZ1320" s="147"/>
      <c r="BA1320" s="147"/>
      <c r="BB1320" s="147"/>
      <c r="BC1320" s="147"/>
      <c r="BD1320" s="147"/>
      <c r="BE1320" s="147"/>
      <c r="BF1320" s="147"/>
      <c r="BG1320" s="147"/>
      <c r="BH1320" s="147"/>
      <c r="BI1320" s="147"/>
      <c r="BJ1320" s="147"/>
      <c r="BK1320" s="147"/>
      <c r="BL1320" s="147"/>
      <c r="BM1320" s="147"/>
      <c r="BN1320" s="147"/>
      <c r="BO1320" s="147"/>
      <c r="BP1320" s="147"/>
      <c r="BQ1320" s="147"/>
      <c r="BR1320" s="147"/>
      <c r="BS1320" s="147"/>
      <c r="BT1320" s="147"/>
      <c r="BU1320" s="147"/>
      <c r="BV1320" s="147"/>
      <c r="BW1320" s="147"/>
      <c r="BX1320" s="147"/>
      <c r="BY1320" s="147"/>
      <c r="BZ1320" s="147"/>
      <c r="CA1320" s="147"/>
      <c r="CB1320" s="147"/>
      <c r="CC1320" s="147"/>
      <c r="CD1320" s="147"/>
      <c r="CE1320" s="147"/>
      <c r="CF1320" s="147"/>
      <c r="CG1320" s="147"/>
      <c r="CH1320" s="147"/>
      <c r="CI1320" s="147"/>
      <c r="CJ1320" s="147"/>
      <c r="CK1320" s="147"/>
    </row>
    <row r="1321" spans="1:89">
      <c r="A1321" s="157"/>
      <c r="F1321" s="3"/>
      <c r="G1321" s="3"/>
      <c r="L1321" s="157"/>
      <c r="M1321" s="157"/>
      <c r="O1321" s="147"/>
      <c r="P1321" s="147"/>
      <c r="Q1321" s="147"/>
      <c r="R1321" s="147"/>
      <c r="S1321" s="147"/>
      <c r="T1321" s="147"/>
      <c r="U1321" s="147"/>
      <c r="V1321" s="147"/>
      <c r="W1321" s="147"/>
      <c r="X1321" s="147"/>
      <c r="Y1321" s="147"/>
      <c r="Z1321" s="147"/>
      <c r="AA1321" s="147"/>
      <c r="AB1321" s="147"/>
      <c r="AC1321" s="147"/>
      <c r="AD1321" s="147"/>
      <c r="AE1321" s="147"/>
      <c r="AF1321" s="147"/>
      <c r="AG1321" s="147"/>
      <c r="AH1321" s="147"/>
      <c r="AI1321" s="147"/>
      <c r="AJ1321" s="147"/>
      <c r="AK1321" s="147"/>
      <c r="AL1321" s="147"/>
      <c r="AM1321" s="151"/>
      <c r="AN1321" s="147"/>
      <c r="AO1321" s="147"/>
      <c r="AP1321" s="147"/>
      <c r="AQ1321" s="147"/>
      <c r="AR1321" s="147"/>
      <c r="AS1321" s="147"/>
      <c r="AT1321" s="147"/>
      <c r="AU1321" s="147"/>
      <c r="AV1321" s="147"/>
      <c r="AW1321" s="147"/>
      <c r="AX1321" s="147"/>
      <c r="AY1321" s="147"/>
      <c r="AZ1321" s="147"/>
      <c r="BA1321" s="147"/>
      <c r="BB1321" s="147"/>
      <c r="BC1321" s="147"/>
      <c r="BD1321" s="147"/>
      <c r="BE1321" s="147"/>
      <c r="BF1321" s="147"/>
      <c r="BG1321" s="147"/>
      <c r="BH1321" s="147"/>
      <c r="BI1321" s="147"/>
      <c r="BJ1321" s="147"/>
      <c r="BK1321" s="147"/>
      <c r="BL1321" s="147"/>
      <c r="BM1321" s="147"/>
      <c r="BN1321" s="147"/>
      <c r="BO1321" s="147"/>
      <c r="BP1321" s="147"/>
      <c r="BQ1321" s="147"/>
      <c r="BR1321" s="147"/>
      <c r="BS1321" s="147"/>
      <c r="BT1321" s="147"/>
      <c r="BU1321" s="147"/>
      <c r="BV1321" s="147"/>
      <c r="BW1321" s="147"/>
      <c r="BX1321" s="147"/>
      <c r="BY1321" s="147"/>
      <c r="BZ1321" s="147"/>
      <c r="CA1321" s="147"/>
      <c r="CB1321" s="147"/>
      <c r="CC1321" s="147"/>
      <c r="CD1321" s="147"/>
      <c r="CE1321" s="147"/>
      <c r="CF1321" s="147"/>
      <c r="CG1321" s="147"/>
      <c r="CH1321" s="147"/>
      <c r="CI1321" s="147"/>
      <c r="CJ1321" s="147"/>
      <c r="CK1321" s="147"/>
    </row>
    <row r="1322" spans="1:89">
      <c r="A1322" s="157"/>
      <c r="F1322" s="3"/>
      <c r="G1322" s="3"/>
      <c r="L1322" s="157"/>
      <c r="M1322" s="157"/>
      <c r="O1322" s="147"/>
      <c r="P1322" s="147"/>
      <c r="Q1322" s="147"/>
      <c r="R1322" s="147"/>
      <c r="S1322" s="147"/>
      <c r="T1322" s="147"/>
      <c r="U1322" s="147"/>
      <c r="V1322" s="147"/>
      <c r="W1322" s="147"/>
      <c r="X1322" s="147"/>
      <c r="Y1322" s="147"/>
      <c r="Z1322" s="147"/>
      <c r="AA1322" s="147"/>
      <c r="AB1322" s="147"/>
      <c r="AC1322" s="147"/>
      <c r="AD1322" s="147"/>
      <c r="AE1322" s="147"/>
      <c r="AF1322" s="147"/>
      <c r="AG1322" s="147"/>
      <c r="AH1322" s="147"/>
      <c r="AI1322" s="147"/>
      <c r="AJ1322" s="147"/>
      <c r="AK1322" s="147"/>
      <c r="AL1322" s="147"/>
      <c r="AM1322" s="151"/>
      <c r="AN1322" s="147"/>
      <c r="AO1322" s="147"/>
      <c r="AP1322" s="147"/>
      <c r="AQ1322" s="147"/>
      <c r="AR1322" s="147"/>
      <c r="AS1322" s="147"/>
      <c r="AT1322" s="147"/>
      <c r="AU1322" s="147"/>
      <c r="AV1322" s="147"/>
      <c r="AW1322" s="147"/>
      <c r="AX1322" s="147"/>
      <c r="AY1322" s="147"/>
      <c r="AZ1322" s="147"/>
      <c r="BA1322" s="147"/>
      <c r="BB1322" s="147"/>
      <c r="BC1322" s="147"/>
      <c r="BD1322" s="147"/>
      <c r="BE1322" s="147"/>
      <c r="BF1322" s="147"/>
      <c r="BG1322" s="147"/>
      <c r="BH1322" s="147"/>
      <c r="BI1322" s="147"/>
      <c r="BJ1322" s="147"/>
      <c r="BK1322" s="147"/>
      <c r="BL1322" s="147"/>
      <c r="BM1322" s="147"/>
      <c r="BN1322" s="147"/>
      <c r="BO1322" s="147"/>
      <c r="BP1322" s="147"/>
      <c r="BQ1322" s="147"/>
      <c r="BR1322" s="147"/>
      <c r="BS1322" s="147"/>
      <c r="BT1322" s="147"/>
      <c r="BU1322" s="147"/>
      <c r="BV1322" s="147"/>
      <c r="BW1322" s="147"/>
      <c r="BX1322" s="147"/>
      <c r="BY1322" s="147"/>
      <c r="BZ1322" s="147"/>
      <c r="CA1322" s="147"/>
      <c r="CB1322" s="147"/>
      <c r="CC1322" s="147"/>
      <c r="CD1322" s="147"/>
      <c r="CE1322" s="147"/>
      <c r="CF1322" s="147"/>
      <c r="CG1322" s="147"/>
      <c r="CH1322" s="147"/>
      <c r="CI1322" s="147"/>
      <c r="CJ1322" s="147"/>
      <c r="CK1322" s="147"/>
    </row>
    <row r="1323" spans="1:89">
      <c r="A1323" s="157"/>
      <c r="F1323" s="3"/>
      <c r="G1323" s="3"/>
      <c r="L1323" s="157"/>
      <c r="M1323" s="157"/>
      <c r="O1323" s="147"/>
      <c r="P1323" s="147"/>
      <c r="Q1323" s="147"/>
      <c r="R1323" s="147"/>
      <c r="S1323" s="147"/>
      <c r="T1323" s="147"/>
      <c r="U1323" s="147"/>
      <c r="V1323" s="147"/>
      <c r="W1323" s="147"/>
      <c r="X1323" s="147"/>
      <c r="Y1323" s="147"/>
      <c r="Z1323" s="147"/>
      <c r="AA1323" s="147"/>
      <c r="AB1323" s="147"/>
      <c r="AC1323" s="147"/>
      <c r="AD1323" s="147"/>
      <c r="AE1323" s="147"/>
      <c r="AF1323" s="147"/>
      <c r="AG1323" s="147"/>
      <c r="AH1323" s="147"/>
      <c r="AI1323" s="147"/>
      <c r="AJ1323" s="147"/>
      <c r="AK1323" s="147"/>
      <c r="AL1323" s="147"/>
      <c r="AM1323" s="151"/>
      <c r="AN1323" s="147"/>
      <c r="AO1323" s="147"/>
      <c r="AP1323" s="147"/>
      <c r="AQ1323" s="147"/>
      <c r="AR1323" s="147"/>
      <c r="AS1323" s="147"/>
      <c r="AT1323" s="147"/>
      <c r="AU1323" s="147"/>
      <c r="AV1323" s="147"/>
      <c r="AW1323" s="147"/>
      <c r="AX1323" s="147"/>
      <c r="AY1323" s="147"/>
      <c r="AZ1323" s="147"/>
      <c r="BA1323" s="147"/>
      <c r="BB1323" s="147"/>
      <c r="BC1323" s="147"/>
      <c r="BD1323" s="147"/>
      <c r="BE1323" s="147"/>
      <c r="BF1323" s="147"/>
      <c r="BG1323" s="147"/>
      <c r="BH1323" s="147"/>
      <c r="BI1323" s="147"/>
      <c r="BJ1323" s="147"/>
      <c r="BK1323" s="147"/>
      <c r="BL1323" s="147"/>
      <c r="BM1323" s="147"/>
      <c r="BN1323" s="147"/>
      <c r="BO1323" s="147"/>
      <c r="BP1323" s="147"/>
      <c r="BQ1323" s="147"/>
      <c r="BR1323" s="147"/>
      <c r="BS1323" s="147"/>
      <c r="BT1323" s="147"/>
      <c r="BU1323" s="147"/>
      <c r="BV1323" s="147"/>
      <c r="BW1323" s="147"/>
      <c r="BX1323" s="147"/>
      <c r="BY1323" s="147"/>
      <c r="BZ1323" s="147"/>
      <c r="CA1323" s="147"/>
      <c r="CB1323" s="147"/>
      <c r="CC1323" s="147"/>
      <c r="CD1323" s="147"/>
      <c r="CE1323" s="147"/>
      <c r="CF1323" s="147"/>
      <c r="CG1323" s="147"/>
      <c r="CH1323" s="147"/>
      <c r="CI1323" s="147"/>
      <c r="CJ1323" s="147"/>
      <c r="CK1323" s="147"/>
    </row>
    <row r="1324" spans="1:89">
      <c r="A1324" s="157"/>
      <c r="F1324" s="3"/>
      <c r="G1324" s="3"/>
      <c r="L1324" s="157"/>
      <c r="M1324" s="157"/>
      <c r="O1324" s="147"/>
      <c r="P1324" s="147"/>
      <c r="Q1324" s="147"/>
      <c r="R1324" s="147"/>
      <c r="S1324" s="147"/>
      <c r="T1324" s="147"/>
      <c r="U1324" s="147"/>
      <c r="V1324" s="147"/>
      <c r="W1324" s="147"/>
      <c r="X1324" s="147"/>
      <c r="Y1324" s="147"/>
      <c r="Z1324" s="147"/>
      <c r="AA1324" s="147"/>
      <c r="AB1324" s="147"/>
      <c r="AC1324" s="147"/>
      <c r="AD1324" s="147"/>
      <c r="AE1324" s="147"/>
      <c r="AF1324" s="147"/>
      <c r="AG1324" s="147"/>
      <c r="AH1324" s="147"/>
      <c r="AI1324" s="147"/>
      <c r="AJ1324" s="147"/>
      <c r="AK1324" s="147"/>
      <c r="AL1324" s="147"/>
      <c r="AM1324" s="151"/>
      <c r="AN1324" s="147"/>
      <c r="AO1324" s="147"/>
      <c r="AP1324" s="147"/>
      <c r="AQ1324" s="147"/>
      <c r="AR1324" s="147"/>
      <c r="AS1324" s="147"/>
      <c r="AT1324" s="147"/>
      <c r="AU1324" s="147"/>
      <c r="AV1324" s="147"/>
      <c r="AW1324" s="147"/>
      <c r="AX1324" s="147"/>
      <c r="AY1324" s="147"/>
      <c r="AZ1324" s="147"/>
      <c r="BA1324" s="147"/>
      <c r="BB1324" s="147"/>
      <c r="BC1324" s="147"/>
      <c r="BD1324" s="147"/>
      <c r="BE1324" s="147"/>
      <c r="BF1324" s="147"/>
      <c r="BG1324" s="147"/>
      <c r="BH1324" s="147"/>
      <c r="BI1324" s="147"/>
      <c r="BJ1324" s="147"/>
      <c r="BK1324" s="147"/>
      <c r="BL1324" s="147"/>
      <c r="BM1324" s="147"/>
      <c r="BN1324" s="147"/>
      <c r="BO1324" s="147"/>
      <c r="BP1324" s="147"/>
      <c r="BQ1324" s="147"/>
      <c r="BR1324" s="147"/>
      <c r="BS1324" s="147"/>
      <c r="BT1324" s="147"/>
      <c r="BU1324" s="147"/>
      <c r="BV1324" s="147"/>
      <c r="BW1324" s="147"/>
      <c r="BX1324" s="147"/>
      <c r="BY1324" s="147"/>
      <c r="BZ1324" s="147"/>
      <c r="CA1324" s="147"/>
      <c r="CB1324" s="147"/>
      <c r="CC1324" s="147"/>
      <c r="CD1324" s="147"/>
      <c r="CE1324" s="147"/>
      <c r="CF1324" s="147"/>
      <c r="CG1324" s="147"/>
      <c r="CH1324" s="147"/>
      <c r="CI1324" s="147"/>
      <c r="CJ1324" s="147"/>
      <c r="CK1324" s="147"/>
    </row>
    <row r="1325" spans="1:89">
      <c r="A1325" s="157"/>
      <c r="F1325" s="3"/>
      <c r="G1325" s="3"/>
      <c r="L1325" s="157"/>
      <c r="M1325" s="157"/>
      <c r="O1325" s="147"/>
      <c r="P1325" s="147"/>
      <c r="Q1325" s="147"/>
      <c r="R1325" s="147"/>
      <c r="S1325" s="147"/>
      <c r="T1325" s="147"/>
      <c r="U1325" s="147"/>
      <c r="V1325" s="147"/>
      <c r="W1325" s="147"/>
      <c r="X1325" s="147"/>
      <c r="Y1325" s="147"/>
      <c r="Z1325" s="147"/>
      <c r="AA1325" s="147"/>
      <c r="AB1325" s="147"/>
      <c r="AC1325" s="147"/>
      <c r="AD1325" s="147"/>
      <c r="AE1325" s="147"/>
      <c r="AF1325" s="147"/>
      <c r="AG1325" s="147"/>
      <c r="AH1325" s="147"/>
      <c r="AI1325" s="147"/>
      <c r="AJ1325" s="147"/>
      <c r="AK1325" s="147"/>
      <c r="AL1325" s="147"/>
      <c r="AM1325" s="151"/>
      <c r="AN1325" s="147"/>
      <c r="AO1325" s="147"/>
      <c r="AP1325" s="147"/>
      <c r="AQ1325" s="147"/>
      <c r="AR1325" s="147"/>
      <c r="AS1325" s="147"/>
      <c r="AT1325" s="147"/>
      <c r="AU1325" s="147"/>
      <c r="AV1325" s="147"/>
      <c r="AW1325" s="147"/>
      <c r="AX1325" s="147"/>
      <c r="AY1325" s="147"/>
      <c r="AZ1325" s="147"/>
      <c r="BA1325" s="147"/>
      <c r="BB1325" s="147"/>
      <c r="BC1325" s="147"/>
      <c r="BD1325" s="147"/>
      <c r="BE1325" s="147"/>
      <c r="BF1325" s="147"/>
      <c r="BG1325" s="147"/>
      <c r="BH1325" s="147"/>
      <c r="BI1325" s="147"/>
      <c r="BJ1325" s="147"/>
      <c r="BK1325" s="147"/>
      <c r="BL1325" s="147"/>
      <c r="BM1325" s="147"/>
      <c r="BN1325" s="147"/>
      <c r="BO1325" s="147"/>
      <c r="BP1325" s="147"/>
      <c r="BQ1325" s="147"/>
      <c r="BR1325" s="147"/>
      <c r="BS1325" s="147"/>
      <c r="BT1325" s="147"/>
      <c r="BU1325" s="147"/>
      <c r="BV1325" s="147"/>
      <c r="BW1325" s="147"/>
      <c r="BX1325" s="147"/>
      <c r="BY1325" s="147"/>
      <c r="BZ1325" s="147"/>
      <c r="CA1325" s="147"/>
      <c r="CB1325" s="147"/>
      <c r="CC1325" s="147"/>
      <c r="CD1325" s="147"/>
      <c r="CE1325" s="147"/>
      <c r="CF1325" s="147"/>
      <c r="CG1325" s="147"/>
      <c r="CH1325" s="147"/>
      <c r="CI1325" s="147"/>
      <c r="CJ1325" s="147"/>
      <c r="CK1325" s="147"/>
    </row>
    <row r="1326" spans="1:89">
      <c r="A1326" s="157"/>
      <c r="F1326" s="3"/>
      <c r="G1326" s="3"/>
      <c r="L1326" s="157"/>
      <c r="M1326" s="157"/>
      <c r="O1326" s="147"/>
      <c r="P1326" s="147"/>
      <c r="Q1326" s="147"/>
      <c r="R1326" s="147"/>
      <c r="S1326" s="147"/>
      <c r="T1326" s="147"/>
      <c r="U1326" s="147"/>
      <c r="V1326" s="147"/>
      <c r="W1326" s="147"/>
      <c r="X1326" s="147"/>
      <c r="Y1326" s="147"/>
      <c r="Z1326" s="147"/>
      <c r="AA1326" s="147"/>
      <c r="AB1326" s="147"/>
      <c r="AC1326" s="147"/>
      <c r="AD1326" s="147"/>
      <c r="AE1326" s="147"/>
      <c r="AF1326" s="147"/>
      <c r="AG1326" s="147"/>
      <c r="AH1326" s="147"/>
      <c r="AI1326" s="147"/>
      <c r="AJ1326" s="147"/>
      <c r="AK1326" s="147"/>
      <c r="AL1326" s="147"/>
      <c r="AM1326" s="151"/>
      <c r="AN1326" s="147"/>
      <c r="AO1326" s="147"/>
      <c r="AP1326" s="147"/>
      <c r="AQ1326" s="147"/>
      <c r="AR1326" s="147"/>
      <c r="AS1326" s="147"/>
      <c r="AT1326" s="147"/>
      <c r="AU1326" s="147"/>
      <c r="AV1326" s="147"/>
      <c r="AW1326" s="147"/>
      <c r="AX1326" s="147"/>
      <c r="AY1326" s="147"/>
      <c r="AZ1326" s="147"/>
      <c r="BA1326" s="147"/>
      <c r="BB1326" s="147"/>
      <c r="BC1326" s="147"/>
      <c r="BD1326" s="147"/>
      <c r="BE1326" s="147"/>
      <c r="BF1326" s="147"/>
      <c r="BG1326" s="147"/>
      <c r="BH1326" s="147"/>
      <c r="BI1326" s="147"/>
      <c r="BJ1326" s="147"/>
      <c r="BK1326" s="147"/>
      <c r="BL1326" s="147"/>
      <c r="BM1326" s="147"/>
      <c r="BN1326" s="147"/>
      <c r="BO1326" s="147"/>
      <c r="BP1326" s="147"/>
      <c r="BQ1326" s="147"/>
      <c r="BR1326" s="147"/>
      <c r="BS1326" s="147"/>
      <c r="BT1326" s="147"/>
      <c r="BU1326" s="147"/>
      <c r="BV1326" s="147"/>
      <c r="BW1326" s="147"/>
      <c r="BX1326" s="147"/>
      <c r="BY1326" s="147"/>
      <c r="BZ1326" s="147"/>
      <c r="CA1326" s="147"/>
      <c r="CB1326" s="147"/>
      <c r="CC1326" s="147"/>
      <c r="CD1326" s="147"/>
      <c r="CE1326" s="147"/>
      <c r="CF1326" s="147"/>
      <c r="CG1326" s="147"/>
      <c r="CH1326" s="147"/>
      <c r="CI1326" s="147"/>
      <c r="CJ1326" s="147"/>
      <c r="CK1326" s="147"/>
    </row>
    <row r="1327" spans="1:89">
      <c r="A1327" s="157"/>
      <c r="F1327" s="3"/>
      <c r="G1327" s="3"/>
      <c r="L1327" s="157"/>
      <c r="M1327" s="157"/>
      <c r="O1327" s="147"/>
      <c r="P1327" s="147"/>
      <c r="Q1327" s="147"/>
      <c r="R1327" s="147"/>
      <c r="S1327" s="147"/>
      <c r="T1327" s="147"/>
      <c r="U1327" s="147"/>
      <c r="V1327" s="147"/>
      <c r="W1327" s="147"/>
      <c r="X1327" s="147"/>
      <c r="Y1327" s="147"/>
      <c r="Z1327" s="147"/>
      <c r="AA1327" s="147"/>
      <c r="AB1327" s="147"/>
      <c r="AC1327" s="147"/>
      <c r="AD1327" s="147"/>
      <c r="AE1327" s="147"/>
      <c r="AF1327" s="147"/>
      <c r="AG1327" s="147"/>
      <c r="AH1327" s="147"/>
      <c r="AI1327" s="147"/>
      <c r="AJ1327" s="147"/>
      <c r="AK1327" s="147"/>
      <c r="AL1327" s="147"/>
      <c r="AM1327" s="151"/>
      <c r="AN1327" s="147"/>
      <c r="AO1327" s="147"/>
      <c r="AP1327" s="147"/>
      <c r="AQ1327" s="147"/>
      <c r="AR1327" s="147"/>
      <c r="AS1327" s="147"/>
      <c r="AT1327" s="147"/>
      <c r="AU1327" s="147"/>
      <c r="AV1327" s="147"/>
      <c r="AW1327" s="147"/>
      <c r="AX1327" s="147"/>
      <c r="AY1327" s="147"/>
      <c r="AZ1327" s="147"/>
      <c r="BA1327" s="147"/>
      <c r="BB1327" s="147"/>
      <c r="BC1327" s="147"/>
      <c r="BD1327" s="147"/>
      <c r="BE1327" s="147"/>
      <c r="BF1327" s="147"/>
      <c r="BG1327" s="147"/>
      <c r="BH1327" s="147"/>
      <c r="BI1327" s="147"/>
      <c r="BJ1327" s="147"/>
      <c r="BK1327" s="147"/>
      <c r="BL1327" s="147"/>
      <c r="BM1327" s="147"/>
      <c r="BN1327" s="147"/>
      <c r="BO1327" s="147"/>
      <c r="BP1327" s="147"/>
      <c r="BQ1327" s="147"/>
      <c r="BR1327" s="147"/>
      <c r="BS1327" s="147"/>
      <c r="BT1327" s="147"/>
      <c r="BU1327" s="147"/>
      <c r="BV1327" s="147"/>
      <c r="BW1327" s="147"/>
      <c r="BX1327" s="147"/>
      <c r="BY1327" s="147"/>
      <c r="BZ1327" s="147"/>
      <c r="CA1327" s="147"/>
      <c r="CB1327" s="147"/>
      <c r="CC1327" s="147"/>
      <c r="CD1327" s="147"/>
      <c r="CE1327" s="147"/>
      <c r="CF1327" s="147"/>
      <c r="CG1327" s="147"/>
      <c r="CH1327" s="147"/>
      <c r="CI1327" s="147"/>
      <c r="CJ1327" s="147"/>
      <c r="CK1327" s="147"/>
    </row>
    <row r="1328" spans="1:89">
      <c r="A1328" s="157"/>
      <c r="F1328" s="3"/>
      <c r="G1328" s="3"/>
      <c r="L1328" s="157"/>
      <c r="M1328" s="157"/>
      <c r="O1328" s="147"/>
      <c r="P1328" s="147"/>
      <c r="Q1328" s="147"/>
      <c r="R1328" s="147"/>
      <c r="S1328" s="147"/>
      <c r="T1328" s="147"/>
      <c r="U1328" s="147"/>
      <c r="V1328" s="147"/>
      <c r="W1328" s="147"/>
      <c r="X1328" s="147"/>
      <c r="Y1328" s="147"/>
      <c r="Z1328" s="147"/>
      <c r="AA1328" s="147"/>
      <c r="AB1328" s="147"/>
      <c r="AC1328" s="147"/>
      <c r="AD1328" s="147"/>
      <c r="AE1328" s="147"/>
      <c r="AF1328" s="147"/>
      <c r="AG1328" s="147"/>
      <c r="AH1328" s="147"/>
      <c r="AI1328" s="147"/>
      <c r="AJ1328" s="147"/>
      <c r="AK1328" s="147"/>
      <c r="AL1328" s="147"/>
      <c r="AM1328" s="151"/>
      <c r="AN1328" s="147"/>
      <c r="AO1328" s="147"/>
      <c r="AP1328" s="147"/>
      <c r="AQ1328" s="147"/>
      <c r="AR1328" s="147"/>
      <c r="AS1328" s="147"/>
      <c r="AT1328" s="147"/>
      <c r="AU1328" s="147"/>
      <c r="AV1328" s="147"/>
      <c r="AW1328" s="147"/>
      <c r="AX1328" s="147"/>
      <c r="AY1328" s="147"/>
      <c r="AZ1328" s="147"/>
      <c r="BA1328" s="147"/>
      <c r="BB1328" s="147"/>
      <c r="BC1328" s="147"/>
      <c r="BD1328" s="147"/>
      <c r="BE1328" s="147"/>
      <c r="BF1328" s="147"/>
      <c r="BG1328" s="147"/>
      <c r="BH1328" s="147"/>
      <c r="BI1328" s="147"/>
      <c r="BJ1328" s="147"/>
      <c r="BK1328" s="147"/>
      <c r="BL1328" s="147"/>
      <c r="BM1328" s="147"/>
      <c r="BN1328" s="147"/>
      <c r="BO1328" s="147"/>
      <c r="BP1328" s="147"/>
      <c r="BQ1328" s="147"/>
      <c r="BR1328" s="147"/>
      <c r="BS1328" s="147"/>
      <c r="BT1328" s="147"/>
      <c r="BU1328" s="147"/>
      <c r="BV1328" s="147"/>
      <c r="BW1328" s="147"/>
      <c r="BX1328" s="147"/>
      <c r="BY1328" s="147"/>
      <c r="BZ1328" s="147"/>
      <c r="CA1328" s="147"/>
      <c r="CB1328" s="147"/>
      <c r="CC1328" s="147"/>
      <c r="CD1328" s="147"/>
      <c r="CE1328" s="147"/>
      <c r="CF1328" s="147"/>
      <c r="CG1328" s="147"/>
      <c r="CH1328" s="147"/>
      <c r="CI1328" s="147"/>
      <c r="CJ1328" s="147"/>
      <c r="CK1328" s="147"/>
    </row>
    <row r="1329" spans="1:89">
      <c r="A1329" s="157"/>
      <c r="F1329" s="3"/>
      <c r="G1329" s="3"/>
      <c r="L1329" s="157"/>
      <c r="M1329" s="157"/>
      <c r="O1329" s="147"/>
      <c r="P1329" s="147"/>
      <c r="Q1329" s="147"/>
      <c r="R1329" s="147"/>
      <c r="S1329" s="147"/>
      <c r="T1329" s="147"/>
      <c r="U1329" s="147"/>
      <c r="V1329" s="147"/>
      <c r="W1329" s="147"/>
      <c r="X1329" s="147"/>
      <c r="Y1329" s="147"/>
      <c r="Z1329" s="147"/>
      <c r="AA1329" s="147"/>
      <c r="AB1329" s="147"/>
      <c r="AC1329" s="147"/>
      <c r="AD1329" s="147"/>
      <c r="AE1329" s="147"/>
      <c r="AF1329" s="147"/>
      <c r="AG1329" s="147"/>
      <c r="AH1329" s="147"/>
      <c r="AI1329" s="147"/>
      <c r="AJ1329" s="147"/>
      <c r="AK1329" s="147"/>
      <c r="AL1329" s="147"/>
      <c r="AM1329" s="151"/>
      <c r="AN1329" s="147"/>
      <c r="AO1329" s="147"/>
      <c r="AP1329" s="147"/>
      <c r="AQ1329" s="147"/>
      <c r="AR1329" s="147"/>
      <c r="AS1329" s="147"/>
      <c r="AT1329" s="147"/>
      <c r="AU1329" s="147"/>
      <c r="AV1329" s="147"/>
      <c r="AW1329" s="147"/>
      <c r="AX1329" s="147"/>
      <c r="AY1329" s="147"/>
      <c r="AZ1329" s="147"/>
      <c r="BA1329" s="147"/>
      <c r="BB1329" s="147"/>
      <c r="BC1329" s="147"/>
      <c r="BD1329" s="147"/>
      <c r="BE1329" s="147"/>
      <c r="BF1329" s="147"/>
      <c r="BG1329" s="147"/>
      <c r="BH1329" s="147"/>
      <c r="BI1329" s="147"/>
      <c r="BJ1329" s="147"/>
      <c r="BK1329" s="147"/>
      <c r="BL1329" s="147"/>
      <c r="BM1329" s="147"/>
      <c r="BN1329" s="147"/>
      <c r="BO1329" s="147"/>
      <c r="BP1329" s="147"/>
      <c r="BQ1329" s="147"/>
      <c r="BR1329" s="147"/>
      <c r="BS1329" s="147"/>
      <c r="BT1329" s="147"/>
      <c r="BU1329" s="147"/>
      <c r="BV1329" s="147"/>
      <c r="BW1329" s="147"/>
      <c r="BX1329" s="147"/>
      <c r="BY1329" s="147"/>
      <c r="BZ1329" s="147"/>
      <c r="CA1329" s="147"/>
      <c r="CB1329" s="147"/>
      <c r="CC1329" s="147"/>
      <c r="CD1329" s="147"/>
      <c r="CE1329" s="147"/>
      <c r="CF1329" s="147"/>
      <c r="CG1329" s="147"/>
      <c r="CH1329" s="147"/>
      <c r="CI1329" s="147"/>
      <c r="CJ1329" s="147"/>
      <c r="CK1329" s="147"/>
    </row>
    <row r="1330" spans="1:89">
      <c r="A1330" s="157"/>
      <c r="F1330" s="3"/>
      <c r="G1330" s="3"/>
      <c r="L1330" s="157"/>
      <c r="M1330" s="157"/>
      <c r="O1330" s="147"/>
      <c r="P1330" s="147"/>
      <c r="Q1330" s="147"/>
      <c r="R1330" s="147"/>
      <c r="S1330" s="147"/>
      <c r="T1330" s="147"/>
      <c r="U1330" s="147"/>
      <c r="V1330" s="147"/>
      <c r="W1330" s="147"/>
      <c r="X1330" s="147"/>
      <c r="Y1330" s="147"/>
      <c r="Z1330" s="147"/>
      <c r="AA1330" s="147"/>
      <c r="AB1330" s="147"/>
      <c r="AC1330" s="147"/>
      <c r="AD1330" s="147"/>
      <c r="AE1330" s="147"/>
      <c r="AF1330" s="147"/>
      <c r="AG1330" s="147"/>
      <c r="AH1330" s="147"/>
      <c r="AI1330" s="147"/>
      <c r="AJ1330" s="147"/>
      <c r="AK1330" s="147"/>
      <c r="AL1330" s="147"/>
      <c r="AM1330" s="151"/>
      <c r="AN1330" s="147"/>
      <c r="AO1330" s="147"/>
      <c r="AP1330" s="147"/>
      <c r="AQ1330" s="147"/>
      <c r="AR1330" s="147"/>
      <c r="AS1330" s="147"/>
      <c r="AT1330" s="147"/>
      <c r="AU1330" s="147"/>
      <c r="AV1330" s="147"/>
      <c r="AW1330" s="147"/>
      <c r="AX1330" s="147"/>
      <c r="AY1330" s="147"/>
      <c r="AZ1330" s="147"/>
      <c r="BA1330" s="147"/>
      <c r="BB1330" s="147"/>
      <c r="BC1330" s="147"/>
      <c r="BD1330" s="147"/>
      <c r="BE1330" s="147"/>
      <c r="BF1330" s="147"/>
      <c r="BG1330" s="147"/>
      <c r="BH1330" s="147"/>
      <c r="BI1330" s="147"/>
      <c r="BJ1330" s="147"/>
      <c r="BK1330" s="147"/>
      <c r="BL1330" s="147"/>
      <c r="BM1330" s="147"/>
      <c r="BN1330" s="147"/>
      <c r="BO1330" s="147"/>
      <c r="BP1330" s="147"/>
      <c r="BQ1330" s="147"/>
      <c r="BR1330" s="147"/>
      <c r="BS1330" s="147"/>
      <c r="BT1330" s="147"/>
      <c r="BU1330" s="147"/>
      <c r="BV1330" s="147"/>
      <c r="BW1330" s="147"/>
      <c r="BX1330" s="147"/>
      <c r="BY1330" s="147"/>
      <c r="BZ1330" s="147"/>
      <c r="CA1330" s="147"/>
      <c r="CB1330" s="147"/>
      <c r="CC1330" s="147"/>
      <c r="CD1330" s="147"/>
      <c r="CE1330" s="147"/>
      <c r="CF1330" s="147"/>
      <c r="CG1330" s="147"/>
      <c r="CH1330" s="147"/>
      <c r="CI1330" s="147"/>
      <c r="CJ1330" s="147"/>
      <c r="CK1330" s="147"/>
    </row>
    <row r="1331" spans="1:89">
      <c r="A1331" s="157"/>
      <c r="F1331" s="3"/>
      <c r="G1331" s="3"/>
      <c r="L1331" s="157"/>
      <c r="M1331" s="157"/>
      <c r="O1331" s="147"/>
      <c r="P1331" s="147"/>
      <c r="Q1331" s="147"/>
      <c r="R1331" s="147"/>
      <c r="S1331" s="147"/>
      <c r="T1331" s="147"/>
      <c r="U1331" s="147"/>
      <c r="V1331" s="147"/>
      <c r="W1331" s="147"/>
      <c r="X1331" s="147"/>
      <c r="Y1331" s="147"/>
      <c r="Z1331" s="147"/>
      <c r="AA1331" s="147"/>
      <c r="AB1331" s="147"/>
      <c r="AC1331" s="147"/>
      <c r="AD1331" s="147"/>
      <c r="AE1331" s="147"/>
      <c r="AF1331" s="147"/>
      <c r="AG1331" s="147"/>
      <c r="AH1331" s="147"/>
      <c r="AI1331" s="147"/>
      <c r="AJ1331" s="147"/>
      <c r="AK1331" s="147"/>
      <c r="AL1331" s="147"/>
      <c r="AM1331" s="151"/>
      <c r="AN1331" s="147"/>
      <c r="AO1331" s="147"/>
      <c r="AP1331" s="147"/>
      <c r="AQ1331" s="147"/>
      <c r="AR1331" s="147"/>
      <c r="AS1331" s="147"/>
      <c r="AT1331" s="147"/>
      <c r="AU1331" s="147"/>
      <c r="AV1331" s="147"/>
      <c r="AW1331" s="147"/>
      <c r="AX1331" s="147"/>
      <c r="AY1331" s="147"/>
      <c r="AZ1331" s="147"/>
      <c r="BA1331" s="147"/>
      <c r="BB1331" s="147"/>
      <c r="BC1331" s="147"/>
      <c r="BD1331" s="147"/>
      <c r="BE1331" s="147"/>
      <c r="BF1331" s="147"/>
      <c r="BG1331" s="147"/>
      <c r="BH1331" s="147"/>
      <c r="BI1331" s="147"/>
      <c r="BJ1331" s="147"/>
      <c r="BK1331" s="147"/>
      <c r="BL1331" s="147"/>
      <c r="BM1331" s="147"/>
      <c r="BN1331" s="147"/>
      <c r="BO1331" s="147"/>
      <c r="BP1331" s="147"/>
      <c r="BQ1331" s="147"/>
      <c r="BR1331" s="147"/>
      <c r="BS1331" s="147"/>
      <c r="BT1331" s="147"/>
      <c r="BU1331" s="147"/>
      <c r="BV1331" s="147"/>
      <c r="BW1331" s="147"/>
      <c r="BX1331" s="147"/>
      <c r="BY1331" s="147"/>
      <c r="BZ1331" s="147"/>
      <c r="CA1331" s="147"/>
      <c r="CB1331" s="147"/>
      <c r="CC1331" s="147"/>
      <c r="CD1331" s="147"/>
      <c r="CE1331" s="147"/>
      <c r="CF1331" s="147"/>
      <c r="CG1331" s="147"/>
      <c r="CH1331" s="147"/>
      <c r="CI1331" s="147"/>
      <c r="CJ1331" s="147"/>
      <c r="CK1331" s="147"/>
    </row>
    <row r="1332" spans="1:89">
      <c r="A1332" s="157"/>
      <c r="F1332" s="3"/>
      <c r="G1332" s="3"/>
      <c r="L1332" s="157"/>
      <c r="M1332" s="157"/>
      <c r="O1332" s="147"/>
      <c r="P1332" s="147"/>
      <c r="Q1332" s="147"/>
      <c r="R1332" s="147"/>
      <c r="S1332" s="147"/>
      <c r="T1332" s="147"/>
      <c r="U1332" s="147"/>
      <c r="V1332" s="147"/>
      <c r="W1332" s="147"/>
      <c r="X1332" s="147"/>
      <c r="Y1332" s="147"/>
      <c r="Z1332" s="147"/>
      <c r="AA1332" s="147"/>
      <c r="AB1332" s="147"/>
      <c r="AC1332" s="147"/>
      <c r="AD1332" s="147"/>
      <c r="AE1332" s="147"/>
      <c r="AF1332" s="147"/>
      <c r="AG1332" s="147"/>
      <c r="AH1332" s="147"/>
      <c r="AI1332" s="147"/>
      <c r="AJ1332" s="147"/>
      <c r="AK1332" s="147"/>
      <c r="AL1332" s="147"/>
      <c r="AM1332" s="151"/>
      <c r="AN1332" s="147"/>
      <c r="AO1332" s="147"/>
      <c r="AP1332" s="147"/>
      <c r="AQ1332" s="147"/>
      <c r="AR1332" s="147"/>
      <c r="AS1332" s="147"/>
      <c r="AT1332" s="147"/>
      <c r="AU1332" s="147"/>
      <c r="AV1332" s="147"/>
      <c r="AW1332" s="147"/>
      <c r="AX1332" s="147"/>
      <c r="AY1332" s="147"/>
      <c r="AZ1332" s="147"/>
      <c r="BA1332" s="147"/>
      <c r="BB1332" s="147"/>
      <c r="BC1332" s="147"/>
      <c r="BD1332" s="147"/>
      <c r="BE1332" s="147"/>
      <c r="BF1332" s="147"/>
      <c r="BG1332" s="147"/>
      <c r="BH1332" s="147"/>
      <c r="BI1332" s="147"/>
      <c r="BJ1332" s="147"/>
      <c r="BK1332" s="147"/>
      <c r="BL1332" s="147"/>
      <c r="BM1332" s="147"/>
      <c r="BN1332" s="147"/>
      <c r="BO1332" s="147"/>
      <c r="BP1332" s="147"/>
      <c r="BQ1332" s="147"/>
      <c r="BR1332" s="147"/>
      <c r="BS1332" s="147"/>
      <c r="BT1332" s="147"/>
      <c r="BU1332" s="147"/>
      <c r="BV1332" s="147"/>
      <c r="BW1332" s="147"/>
      <c r="BX1332" s="147"/>
      <c r="BY1332" s="147"/>
      <c r="BZ1332" s="147"/>
      <c r="CA1332" s="147"/>
      <c r="CB1332" s="147"/>
      <c r="CC1332" s="147"/>
      <c r="CD1332" s="147"/>
      <c r="CE1332" s="147"/>
      <c r="CF1332" s="147"/>
      <c r="CG1332" s="147"/>
      <c r="CH1332" s="147"/>
      <c r="CI1332" s="147"/>
      <c r="CJ1332" s="147"/>
      <c r="CK1332" s="147"/>
    </row>
    <row r="1333" spans="1:89">
      <c r="A1333" s="157"/>
      <c r="F1333" s="3"/>
      <c r="G1333" s="3"/>
      <c r="L1333" s="157"/>
      <c r="M1333" s="157"/>
      <c r="O1333" s="147"/>
      <c r="P1333" s="147"/>
      <c r="Q1333" s="147"/>
      <c r="R1333" s="147"/>
      <c r="S1333" s="147"/>
      <c r="T1333" s="147"/>
      <c r="U1333" s="147"/>
      <c r="V1333" s="147"/>
      <c r="W1333" s="147"/>
      <c r="X1333" s="147"/>
      <c r="Y1333" s="147"/>
      <c r="Z1333" s="147"/>
      <c r="AA1333" s="147"/>
      <c r="AB1333" s="147"/>
      <c r="AC1333" s="147"/>
      <c r="AD1333" s="147"/>
      <c r="AE1333" s="147"/>
      <c r="AF1333" s="147"/>
      <c r="AG1333" s="147"/>
      <c r="AH1333" s="147"/>
      <c r="AI1333" s="147"/>
      <c r="AJ1333" s="147"/>
      <c r="AK1333" s="147"/>
      <c r="AL1333" s="147"/>
      <c r="AM1333" s="151"/>
      <c r="AN1333" s="147"/>
      <c r="AO1333" s="147"/>
      <c r="AP1333" s="147"/>
      <c r="AQ1333" s="147"/>
      <c r="AR1333" s="147"/>
      <c r="AS1333" s="147"/>
      <c r="AT1333" s="147"/>
      <c r="AU1333" s="147"/>
      <c r="AV1333" s="147"/>
      <c r="AW1333" s="147"/>
      <c r="AX1333" s="147"/>
      <c r="AY1333" s="147"/>
      <c r="AZ1333" s="147"/>
      <c r="BA1333" s="147"/>
      <c r="BB1333" s="147"/>
      <c r="BC1333" s="147"/>
      <c r="BD1333" s="147"/>
      <c r="BE1333" s="147"/>
      <c r="BF1333" s="147"/>
      <c r="BG1333" s="147"/>
      <c r="BH1333" s="147"/>
      <c r="BI1333" s="147"/>
      <c r="BJ1333" s="147"/>
      <c r="BK1333" s="147"/>
      <c r="BL1333" s="147"/>
      <c r="BM1333" s="147"/>
      <c r="BN1333" s="147"/>
      <c r="BO1333" s="147"/>
      <c r="BP1333" s="147"/>
      <c r="BQ1333" s="147"/>
      <c r="BR1333" s="147"/>
      <c r="BS1333" s="147"/>
      <c r="BT1333" s="147"/>
      <c r="BU1333" s="147"/>
      <c r="BV1333" s="147"/>
      <c r="BW1333" s="147"/>
      <c r="BX1333" s="147"/>
      <c r="BY1333" s="147"/>
      <c r="BZ1333" s="147"/>
      <c r="CA1333" s="147"/>
      <c r="CB1333" s="147"/>
      <c r="CC1333" s="147"/>
      <c r="CD1333" s="147"/>
      <c r="CE1333" s="147"/>
      <c r="CF1333" s="147"/>
      <c r="CG1333" s="147"/>
      <c r="CH1333" s="147"/>
      <c r="CI1333" s="147"/>
      <c r="CJ1333" s="147"/>
      <c r="CK1333" s="147"/>
    </row>
    <row r="1334" spans="1:89">
      <c r="A1334" s="157"/>
      <c r="F1334" s="3"/>
      <c r="G1334" s="3"/>
      <c r="L1334" s="157"/>
      <c r="M1334" s="157"/>
      <c r="O1334" s="147"/>
      <c r="P1334" s="147"/>
      <c r="Q1334" s="147"/>
      <c r="R1334" s="147"/>
      <c r="S1334" s="147"/>
      <c r="T1334" s="147"/>
      <c r="U1334" s="147"/>
      <c r="V1334" s="147"/>
      <c r="W1334" s="147"/>
      <c r="X1334" s="147"/>
      <c r="Y1334" s="147"/>
      <c r="Z1334" s="147"/>
      <c r="AA1334" s="147"/>
      <c r="AB1334" s="147"/>
      <c r="AC1334" s="147"/>
      <c r="AD1334" s="147"/>
      <c r="AE1334" s="147"/>
      <c r="AF1334" s="147"/>
      <c r="AG1334" s="147"/>
      <c r="AH1334" s="147"/>
      <c r="AI1334" s="147"/>
      <c r="AJ1334" s="147"/>
      <c r="AK1334" s="147"/>
      <c r="AL1334" s="147"/>
      <c r="AM1334" s="151"/>
      <c r="AN1334" s="147"/>
      <c r="AO1334" s="147"/>
      <c r="AP1334" s="147"/>
      <c r="AQ1334" s="147"/>
      <c r="AR1334" s="147"/>
      <c r="AS1334" s="147"/>
      <c r="AT1334" s="147"/>
      <c r="AU1334" s="147"/>
      <c r="AV1334" s="147"/>
      <c r="AW1334" s="147"/>
      <c r="AX1334" s="147"/>
      <c r="AY1334" s="147"/>
      <c r="AZ1334" s="147"/>
      <c r="BA1334" s="147"/>
      <c r="BB1334" s="147"/>
      <c r="BC1334" s="147"/>
      <c r="BD1334" s="147"/>
      <c r="BE1334" s="147"/>
      <c r="BF1334" s="147"/>
      <c r="BG1334" s="147"/>
      <c r="BH1334" s="147"/>
      <c r="BI1334" s="147"/>
      <c r="BJ1334" s="147"/>
      <c r="BK1334" s="147"/>
      <c r="BL1334" s="147"/>
      <c r="BM1334" s="147"/>
      <c r="BN1334" s="147"/>
      <c r="BO1334" s="147"/>
      <c r="BP1334" s="147"/>
      <c r="BQ1334" s="147"/>
      <c r="BR1334" s="147"/>
      <c r="BS1334" s="147"/>
      <c r="BT1334" s="147"/>
      <c r="BU1334" s="147"/>
      <c r="BV1334" s="147"/>
      <c r="BW1334" s="147"/>
      <c r="BX1334" s="147"/>
      <c r="BY1334" s="147"/>
      <c r="BZ1334" s="147"/>
      <c r="CA1334" s="147"/>
      <c r="CB1334" s="147"/>
      <c r="CC1334" s="147"/>
      <c r="CD1334" s="147"/>
      <c r="CE1334" s="147"/>
      <c r="CF1334" s="147"/>
      <c r="CG1334" s="147"/>
      <c r="CH1334" s="147"/>
      <c r="CI1334" s="147"/>
      <c r="CJ1334" s="147"/>
      <c r="CK1334" s="147"/>
    </row>
    <row r="1335" spans="1:89">
      <c r="A1335" s="157"/>
      <c r="F1335" s="3"/>
      <c r="G1335" s="3"/>
      <c r="L1335" s="157"/>
      <c r="M1335" s="157"/>
      <c r="O1335" s="147"/>
      <c r="P1335" s="147"/>
      <c r="Q1335" s="147"/>
      <c r="R1335" s="147"/>
      <c r="S1335" s="147"/>
      <c r="T1335" s="147"/>
      <c r="U1335" s="147"/>
      <c r="V1335" s="147"/>
      <c r="W1335" s="147"/>
      <c r="X1335" s="147"/>
      <c r="Y1335" s="147"/>
      <c r="Z1335" s="147"/>
      <c r="AA1335" s="147"/>
      <c r="AB1335" s="147"/>
      <c r="AC1335" s="147"/>
      <c r="AD1335" s="147"/>
      <c r="AE1335" s="147"/>
      <c r="AF1335" s="147"/>
      <c r="AG1335" s="147"/>
      <c r="AH1335" s="147"/>
      <c r="AI1335" s="147"/>
      <c r="AJ1335" s="147"/>
      <c r="AK1335" s="147"/>
      <c r="AL1335" s="147"/>
      <c r="AM1335" s="151"/>
      <c r="AN1335" s="147"/>
      <c r="AO1335" s="147"/>
      <c r="AP1335" s="147"/>
      <c r="AQ1335" s="147"/>
      <c r="AR1335" s="147"/>
      <c r="AS1335" s="147"/>
      <c r="AT1335" s="147"/>
      <c r="AU1335" s="147"/>
      <c r="AV1335" s="147"/>
      <c r="AW1335" s="147"/>
      <c r="AX1335" s="147"/>
      <c r="AY1335" s="147"/>
      <c r="AZ1335" s="147"/>
      <c r="BA1335" s="147"/>
      <c r="BB1335" s="147"/>
      <c r="BC1335" s="147"/>
      <c r="BD1335" s="147"/>
      <c r="BE1335" s="147"/>
      <c r="BF1335" s="147"/>
      <c r="BG1335" s="147"/>
      <c r="BH1335" s="147"/>
      <c r="BI1335" s="147"/>
      <c r="BJ1335" s="147"/>
      <c r="BK1335" s="147"/>
      <c r="BL1335" s="147"/>
      <c r="BM1335" s="147"/>
      <c r="BN1335" s="147"/>
      <c r="BO1335" s="147"/>
      <c r="BP1335" s="147"/>
      <c r="BQ1335" s="147"/>
      <c r="BR1335" s="147"/>
      <c r="BS1335" s="147"/>
      <c r="BT1335" s="147"/>
      <c r="BU1335" s="147"/>
      <c r="BV1335" s="147"/>
      <c r="BW1335" s="147"/>
      <c r="BX1335" s="147"/>
      <c r="BY1335" s="147"/>
      <c r="BZ1335" s="147"/>
      <c r="CA1335" s="147"/>
      <c r="CB1335" s="147"/>
      <c r="CC1335" s="147"/>
      <c r="CD1335" s="147"/>
      <c r="CE1335" s="147"/>
      <c r="CF1335" s="147"/>
      <c r="CG1335" s="147"/>
      <c r="CH1335" s="147"/>
      <c r="CI1335" s="147"/>
      <c r="CJ1335" s="147"/>
      <c r="CK1335" s="147"/>
    </row>
    <row r="1336" spans="1:89">
      <c r="A1336" s="157"/>
      <c r="F1336" s="3"/>
      <c r="G1336" s="3"/>
      <c r="L1336" s="157"/>
      <c r="M1336" s="157"/>
      <c r="O1336" s="147"/>
      <c r="P1336" s="147"/>
      <c r="Q1336" s="147"/>
      <c r="R1336" s="147"/>
      <c r="S1336" s="147"/>
      <c r="T1336" s="147"/>
      <c r="U1336" s="147"/>
      <c r="V1336" s="147"/>
      <c r="W1336" s="147"/>
      <c r="X1336" s="147"/>
      <c r="Y1336" s="147"/>
      <c r="Z1336" s="147"/>
      <c r="AA1336" s="147"/>
      <c r="AB1336" s="147"/>
      <c r="AC1336" s="147"/>
      <c r="AD1336" s="147"/>
      <c r="AE1336" s="147"/>
      <c r="AF1336" s="147"/>
      <c r="AG1336" s="147"/>
      <c r="AH1336" s="147"/>
      <c r="AI1336" s="147"/>
      <c r="AJ1336" s="147"/>
      <c r="AK1336" s="147"/>
      <c r="AL1336" s="147"/>
      <c r="AM1336" s="151"/>
      <c r="AN1336" s="147"/>
      <c r="AO1336" s="147"/>
      <c r="AP1336" s="147"/>
      <c r="AQ1336" s="147"/>
      <c r="AR1336" s="147"/>
      <c r="AS1336" s="147"/>
      <c r="AT1336" s="147"/>
      <c r="AU1336" s="147"/>
      <c r="AV1336" s="147"/>
      <c r="AW1336" s="147"/>
      <c r="AX1336" s="147"/>
      <c r="AY1336" s="147"/>
      <c r="AZ1336" s="147"/>
      <c r="BA1336" s="147"/>
      <c r="BB1336" s="147"/>
      <c r="BC1336" s="147"/>
      <c r="BD1336" s="147"/>
      <c r="BE1336" s="147"/>
      <c r="BF1336" s="147"/>
      <c r="BG1336" s="147"/>
      <c r="BH1336" s="147"/>
      <c r="BI1336" s="147"/>
      <c r="BJ1336" s="147"/>
      <c r="BK1336" s="147"/>
      <c r="BL1336" s="147"/>
      <c r="BM1336" s="147"/>
      <c r="BN1336" s="147"/>
      <c r="BO1336" s="147"/>
      <c r="BP1336" s="147"/>
      <c r="BQ1336" s="147"/>
      <c r="BR1336" s="147"/>
      <c r="BS1336" s="147"/>
      <c r="BT1336" s="147"/>
      <c r="BU1336" s="147"/>
      <c r="BV1336" s="147"/>
      <c r="BW1336" s="147"/>
      <c r="BX1336" s="147"/>
      <c r="BY1336" s="147"/>
      <c r="BZ1336" s="147"/>
      <c r="CA1336" s="147"/>
      <c r="CB1336" s="147"/>
      <c r="CC1336" s="147"/>
      <c r="CD1336" s="147"/>
      <c r="CE1336" s="147"/>
      <c r="CF1336" s="147"/>
      <c r="CG1336" s="147"/>
      <c r="CH1336" s="147"/>
      <c r="CI1336" s="147"/>
      <c r="CJ1336" s="147"/>
      <c r="CK1336" s="147"/>
    </row>
    <row r="1337" spans="1:89">
      <c r="A1337" s="157"/>
      <c r="F1337" s="3"/>
      <c r="G1337" s="3"/>
      <c r="L1337" s="157"/>
      <c r="M1337" s="157"/>
      <c r="O1337" s="147"/>
      <c r="P1337" s="147"/>
      <c r="Q1337" s="147"/>
      <c r="R1337" s="147"/>
      <c r="S1337" s="147"/>
      <c r="T1337" s="147"/>
      <c r="U1337" s="147"/>
      <c r="V1337" s="147"/>
      <c r="W1337" s="147"/>
      <c r="X1337" s="147"/>
      <c r="Y1337" s="147"/>
      <c r="Z1337" s="147"/>
      <c r="AA1337" s="147"/>
      <c r="AB1337" s="147"/>
      <c r="AC1337" s="147"/>
      <c r="AD1337" s="147"/>
      <c r="AE1337" s="147"/>
      <c r="AF1337" s="147"/>
      <c r="AG1337" s="147"/>
      <c r="AH1337" s="147"/>
      <c r="AI1337" s="147"/>
      <c r="AJ1337" s="147"/>
      <c r="AK1337" s="147"/>
      <c r="AL1337" s="147"/>
      <c r="AM1337" s="151"/>
      <c r="AN1337" s="147"/>
      <c r="AO1337" s="147"/>
      <c r="AP1337" s="147"/>
      <c r="AQ1337" s="147"/>
      <c r="AR1337" s="147"/>
      <c r="AS1337" s="147"/>
      <c r="AT1337" s="147"/>
      <c r="AU1337" s="147"/>
      <c r="AV1337" s="147"/>
      <c r="AW1337" s="147"/>
      <c r="AX1337" s="147"/>
      <c r="AY1337" s="147"/>
      <c r="AZ1337" s="147"/>
      <c r="BA1337" s="147"/>
      <c r="BB1337" s="147"/>
      <c r="BC1337" s="147"/>
      <c r="BD1337" s="147"/>
      <c r="BE1337" s="147"/>
      <c r="BF1337" s="147"/>
      <c r="BG1337" s="147"/>
      <c r="BH1337" s="147"/>
      <c r="BI1337" s="147"/>
      <c r="BJ1337" s="147"/>
      <c r="BK1337" s="147"/>
      <c r="BL1337" s="147"/>
      <c r="BM1337" s="147"/>
      <c r="BN1337" s="147"/>
      <c r="BO1337" s="147"/>
      <c r="BP1337" s="147"/>
      <c r="BQ1337" s="147"/>
      <c r="BR1337" s="147"/>
      <c r="BS1337" s="147"/>
      <c r="BT1337" s="147"/>
      <c r="BU1337" s="147"/>
      <c r="BV1337" s="147"/>
      <c r="BW1337" s="147"/>
      <c r="BX1337" s="147"/>
      <c r="BY1337" s="147"/>
      <c r="BZ1337" s="147"/>
      <c r="CA1337" s="147"/>
      <c r="CB1337" s="147"/>
      <c r="CC1337" s="147"/>
      <c r="CD1337" s="147"/>
      <c r="CE1337" s="147"/>
      <c r="CF1337" s="147"/>
      <c r="CG1337" s="147"/>
      <c r="CH1337" s="147"/>
      <c r="CI1337" s="147"/>
      <c r="CJ1337" s="147"/>
      <c r="CK1337" s="147"/>
    </row>
    <row r="1338" spans="1:89">
      <c r="A1338" s="157"/>
      <c r="F1338" s="3"/>
      <c r="G1338" s="3"/>
      <c r="L1338" s="157"/>
      <c r="M1338" s="157"/>
      <c r="O1338" s="147"/>
      <c r="P1338" s="147"/>
      <c r="Q1338" s="147"/>
      <c r="R1338" s="147"/>
      <c r="S1338" s="147"/>
      <c r="T1338" s="147"/>
      <c r="U1338" s="147"/>
      <c r="V1338" s="147"/>
      <c r="W1338" s="147"/>
      <c r="X1338" s="147"/>
      <c r="Y1338" s="147"/>
      <c r="Z1338" s="147"/>
      <c r="AA1338" s="147"/>
      <c r="AB1338" s="147"/>
      <c r="AC1338" s="147"/>
      <c r="AD1338" s="147"/>
      <c r="AE1338" s="147"/>
      <c r="AF1338" s="147"/>
      <c r="AG1338" s="147"/>
      <c r="AH1338" s="147"/>
      <c r="AI1338" s="147"/>
      <c r="AJ1338" s="147"/>
      <c r="AK1338" s="147"/>
      <c r="AL1338" s="147"/>
      <c r="AM1338" s="151"/>
      <c r="AN1338" s="147"/>
      <c r="AO1338" s="147"/>
      <c r="AP1338" s="147"/>
      <c r="AQ1338" s="147"/>
      <c r="AR1338" s="147"/>
      <c r="AS1338" s="147"/>
      <c r="AT1338" s="147"/>
      <c r="AU1338" s="147"/>
      <c r="AV1338" s="147"/>
      <c r="AW1338" s="147"/>
      <c r="AX1338" s="147"/>
      <c r="AY1338" s="147"/>
      <c r="AZ1338" s="147"/>
      <c r="BA1338" s="147"/>
      <c r="BB1338" s="147"/>
      <c r="BC1338" s="147"/>
      <c r="BD1338" s="147"/>
      <c r="BE1338" s="147"/>
      <c r="BF1338" s="147"/>
      <c r="BG1338" s="147"/>
      <c r="BH1338" s="147"/>
      <c r="BI1338" s="147"/>
      <c r="BJ1338" s="147"/>
      <c r="BK1338" s="147"/>
      <c r="BL1338" s="147"/>
      <c r="BM1338" s="147"/>
      <c r="BN1338" s="147"/>
      <c r="BO1338" s="147"/>
      <c r="BP1338" s="147"/>
      <c r="BQ1338" s="147"/>
      <c r="BR1338" s="147"/>
      <c r="BS1338" s="147"/>
      <c r="BT1338" s="147"/>
      <c r="BU1338" s="147"/>
      <c r="BV1338" s="147"/>
      <c r="BW1338" s="147"/>
      <c r="BX1338" s="147"/>
      <c r="BY1338" s="147"/>
      <c r="BZ1338" s="147"/>
      <c r="CA1338" s="147"/>
      <c r="CB1338" s="147"/>
      <c r="CC1338" s="147"/>
      <c r="CD1338" s="147"/>
      <c r="CE1338" s="147"/>
      <c r="CF1338" s="147"/>
      <c r="CG1338" s="147"/>
      <c r="CH1338" s="147"/>
      <c r="CI1338" s="147"/>
      <c r="CJ1338" s="147"/>
      <c r="CK1338" s="147"/>
    </row>
    <row r="1339" spans="1:89">
      <c r="A1339" s="157"/>
      <c r="F1339" s="3"/>
      <c r="G1339" s="3"/>
      <c r="L1339" s="157"/>
      <c r="M1339" s="157"/>
      <c r="O1339" s="147"/>
      <c r="P1339" s="147"/>
      <c r="Q1339" s="147"/>
      <c r="R1339" s="147"/>
      <c r="S1339" s="147"/>
      <c r="T1339" s="147"/>
      <c r="U1339" s="147"/>
      <c r="V1339" s="147"/>
      <c r="W1339" s="147"/>
      <c r="X1339" s="147"/>
      <c r="Y1339" s="147"/>
      <c r="Z1339" s="147"/>
      <c r="AA1339" s="147"/>
      <c r="AB1339" s="147"/>
      <c r="AC1339" s="147"/>
      <c r="AD1339" s="147"/>
      <c r="AE1339" s="147"/>
      <c r="AF1339" s="147"/>
      <c r="AG1339" s="147"/>
      <c r="AH1339" s="147"/>
      <c r="AI1339" s="147"/>
      <c r="AJ1339" s="147"/>
      <c r="AK1339" s="147"/>
      <c r="AL1339" s="147"/>
      <c r="AM1339" s="151"/>
      <c r="AN1339" s="147"/>
      <c r="AO1339" s="147"/>
      <c r="AP1339" s="147"/>
      <c r="AQ1339" s="147"/>
      <c r="AR1339" s="147"/>
      <c r="AS1339" s="147"/>
      <c r="AT1339" s="147"/>
      <c r="AU1339" s="147"/>
      <c r="AV1339" s="147"/>
      <c r="AW1339" s="147"/>
      <c r="AX1339" s="147"/>
      <c r="AY1339" s="147"/>
      <c r="AZ1339" s="147"/>
      <c r="BA1339" s="147"/>
      <c r="BB1339" s="147"/>
      <c r="BC1339" s="147"/>
      <c r="BD1339" s="147"/>
      <c r="BE1339" s="147"/>
      <c r="BF1339" s="147"/>
      <c r="BG1339" s="147"/>
      <c r="BH1339" s="147"/>
      <c r="BI1339" s="147"/>
      <c r="BJ1339" s="147"/>
      <c r="BK1339" s="147"/>
      <c r="BL1339" s="147"/>
      <c r="BM1339" s="147"/>
      <c r="BN1339" s="147"/>
      <c r="BO1339" s="147"/>
      <c r="BP1339" s="147"/>
      <c r="BQ1339" s="147"/>
      <c r="BR1339" s="147"/>
      <c r="BS1339" s="147"/>
      <c r="BT1339" s="147"/>
      <c r="BU1339" s="147"/>
      <c r="BV1339" s="147"/>
      <c r="BW1339" s="147"/>
      <c r="BX1339" s="147"/>
      <c r="BY1339" s="147"/>
      <c r="BZ1339" s="147"/>
      <c r="CA1339" s="147"/>
      <c r="CB1339" s="147"/>
      <c r="CC1339" s="147"/>
      <c r="CD1339" s="147"/>
      <c r="CE1339" s="147"/>
      <c r="CF1339" s="147"/>
      <c r="CG1339" s="147"/>
      <c r="CH1339" s="147"/>
      <c r="CI1339" s="147"/>
      <c r="CJ1339" s="147"/>
      <c r="CK1339" s="147"/>
    </row>
    <row r="1340" spans="1:89">
      <c r="A1340" s="157"/>
      <c r="F1340" s="3"/>
      <c r="G1340" s="3"/>
      <c r="L1340" s="157"/>
      <c r="M1340" s="157"/>
      <c r="O1340" s="147"/>
      <c r="P1340" s="147"/>
      <c r="Q1340" s="147"/>
      <c r="R1340" s="147"/>
      <c r="S1340" s="147"/>
      <c r="T1340" s="147"/>
      <c r="U1340" s="147"/>
      <c r="V1340" s="147"/>
      <c r="W1340" s="147"/>
      <c r="X1340" s="147"/>
      <c r="Y1340" s="147"/>
      <c r="Z1340" s="147"/>
      <c r="AA1340" s="147"/>
      <c r="AB1340" s="147"/>
      <c r="AC1340" s="147"/>
      <c r="AD1340" s="147"/>
      <c r="AE1340" s="147"/>
      <c r="AF1340" s="147"/>
      <c r="AG1340" s="147"/>
      <c r="AH1340" s="147"/>
      <c r="AI1340" s="147"/>
      <c r="AJ1340" s="147"/>
      <c r="AK1340" s="147"/>
      <c r="AL1340" s="147"/>
      <c r="AM1340" s="151"/>
      <c r="AN1340" s="147"/>
      <c r="AO1340" s="147"/>
      <c r="AP1340" s="147"/>
      <c r="AQ1340" s="147"/>
      <c r="AR1340" s="147"/>
      <c r="AS1340" s="147"/>
      <c r="AT1340" s="147"/>
      <c r="AU1340" s="147"/>
      <c r="AV1340" s="147"/>
      <c r="AW1340" s="147"/>
      <c r="AX1340" s="147"/>
      <c r="AY1340" s="147"/>
      <c r="AZ1340" s="147"/>
      <c r="BA1340" s="147"/>
      <c r="BB1340" s="147"/>
      <c r="BC1340" s="147"/>
      <c r="BD1340" s="147"/>
      <c r="BE1340" s="147"/>
      <c r="BF1340" s="147"/>
      <c r="BG1340" s="147"/>
      <c r="BH1340" s="147"/>
      <c r="BI1340" s="147"/>
      <c r="BJ1340" s="147"/>
      <c r="BK1340" s="147"/>
      <c r="BL1340" s="147"/>
      <c r="BM1340" s="147"/>
      <c r="BN1340" s="147"/>
      <c r="BO1340" s="147"/>
      <c r="BP1340" s="147"/>
      <c r="BQ1340" s="147"/>
      <c r="BR1340" s="147"/>
      <c r="BS1340" s="147"/>
      <c r="BT1340" s="147"/>
      <c r="BU1340" s="147"/>
      <c r="BV1340" s="147"/>
      <c r="BW1340" s="147"/>
      <c r="BX1340" s="147"/>
      <c r="BY1340" s="147"/>
      <c r="BZ1340" s="147"/>
      <c r="CA1340" s="147"/>
      <c r="CB1340" s="147"/>
      <c r="CC1340" s="147"/>
      <c r="CD1340" s="147"/>
      <c r="CE1340" s="147"/>
      <c r="CF1340" s="147"/>
      <c r="CG1340" s="147"/>
      <c r="CH1340" s="147"/>
      <c r="CI1340" s="147"/>
      <c r="CJ1340" s="147"/>
      <c r="CK1340" s="147"/>
    </row>
    <row r="1341" spans="1:89">
      <c r="A1341" s="157"/>
      <c r="F1341" s="3"/>
      <c r="G1341" s="3"/>
      <c r="L1341" s="157"/>
      <c r="M1341" s="157"/>
      <c r="O1341" s="147"/>
      <c r="P1341" s="147"/>
      <c r="Q1341" s="147"/>
      <c r="R1341" s="147"/>
      <c r="S1341" s="147"/>
      <c r="T1341" s="147"/>
      <c r="U1341" s="147"/>
      <c r="V1341" s="147"/>
      <c r="W1341" s="147"/>
      <c r="X1341" s="147"/>
      <c r="Y1341" s="147"/>
      <c r="Z1341" s="147"/>
      <c r="AA1341" s="147"/>
      <c r="AB1341" s="147"/>
      <c r="AC1341" s="147"/>
      <c r="AD1341" s="147"/>
      <c r="AE1341" s="147"/>
      <c r="AF1341" s="147"/>
      <c r="AG1341" s="147"/>
      <c r="AH1341" s="147"/>
      <c r="AI1341" s="147"/>
      <c r="AJ1341" s="147"/>
      <c r="AK1341" s="147"/>
      <c r="AL1341" s="147"/>
      <c r="AM1341" s="151"/>
      <c r="AN1341" s="147"/>
      <c r="AO1341" s="147"/>
      <c r="AP1341" s="147"/>
      <c r="AQ1341" s="147"/>
      <c r="AR1341" s="147"/>
      <c r="AS1341" s="147"/>
      <c r="AT1341" s="147"/>
      <c r="AU1341" s="147"/>
      <c r="AV1341" s="147"/>
      <c r="AW1341" s="147"/>
      <c r="AX1341" s="147"/>
      <c r="AY1341" s="147"/>
      <c r="AZ1341" s="147"/>
      <c r="BA1341" s="147"/>
      <c r="BB1341" s="147"/>
      <c r="BC1341" s="147"/>
      <c r="BD1341" s="147"/>
      <c r="BE1341" s="147"/>
      <c r="BF1341" s="147"/>
      <c r="BG1341" s="147"/>
      <c r="BH1341" s="147"/>
      <c r="BI1341" s="147"/>
      <c r="BJ1341" s="147"/>
      <c r="BK1341" s="147"/>
      <c r="BL1341" s="147"/>
      <c r="BM1341" s="147"/>
      <c r="BN1341" s="147"/>
      <c r="BO1341" s="147"/>
      <c r="BP1341" s="147"/>
      <c r="BQ1341" s="147"/>
      <c r="BR1341" s="147"/>
      <c r="BS1341" s="147"/>
      <c r="BT1341" s="147"/>
      <c r="BU1341" s="147"/>
      <c r="BV1341" s="147"/>
      <c r="BW1341" s="147"/>
      <c r="BX1341" s="147"/>
      <c r="BY1341" s="147"/>
      <c r="BZ1341" s="147"/>
      <c r="CA1341" s="147"/>
      <c r="CB1341" s="147"/>
      <c r="CC1341" s="147"/>
      <c r="CD1341" s="147"/>
      <c r="CE1341" s="147"/>
      <c r="CF1341" s="147"/>
      <c r="CG1341" s="147"/>
      <c r="CH1341" s="147"/>
      <c r="CI1341" s="147"/>
      <c r="CJ1341" s="147"/>
      <c r="CK1341" s="147"/>
    </row>
    <row r="1342" spans="1:89">
      <c r="A1342" s="157"/>
      <c r="F1342" s="3"/>
      <c r="G1342" s="3"/>
      <c r="L1342" s="157"/>
      <c r="M1342" s="157"/>
      <c r="O1342" s="147"/>
      <c r="P1342" s="147"/>
      <c r="Q1342" s="147"/>
      <c r="R1342" s="147"/>
      <c r="S1342" s="147"/>
      <c r="T1342" s="147"/>
      <c r="U1342" s="147"/>
      <c r="V1342" s="147"/>
      <c r="W1342" s="147"/>
      <c r="X1342" s="147"/>
      <c r="Y1342" s="147"/>
      <c r="Z1342" s="147"/>
      <c r="AA1342" s="147"/>
      <c r="AB1342" s="147"/>
      <c r="AC1342" s="147"/>
      <c r="AD1342" s="147"/>
      <c r="AE1342" s="147"/>
      <c r="AF1342" s="147"/>
      <c r="AG1342" s="147"/>
      <c r="AH1342" s="147"/>
      <c r="AI1342" s="147"/>
      <c r="AJ1342" s="147"/>
      <c r="AK1342" s="147"/>
      <c r="AL1342" s="147"/>
      <c r="AM1342" s="151"/>
      <c r="AN1342" s="147"/>
      <c r="AO1342" s="147"/>
      <c r="AP1342" s="147"/>
      <c r="AQ1342" s="147"/>
      <c r="AR1342" s="147"/>
      <c r="AS1342" s="147"/>
      <c r="AT1342" s="147"/>
      <c r="AU1342" s="147"/>
      <c r="AV1342" s="147"/>
      <c r="AW1342" s="147"/>
      <c r="AX1342" s="147"/>
      <c r="AY1342" s="147"/>
      <c r="AZ1342" s="147"/>
      <c r="BA1342" s="147"/>
      <c r="BB1342" s="147"/>
      <c r="BC1342" s="147"/>
      <c r="BD1342" s="147"/>
      <c r="BE1342" s="147"/>
      <c r="BF1342" s="147"/>
      <c r="BG1342" s="147"/>
      <c r="BH1342" s="147"/>
      <c r="BI1342" s="147"/>
      <c r="BJ1342" s="147"/>
      <c r="BK1342" s="147"/>
      <c r="BL1342" s="147"/>
      <c r="BM1342" s="147"/>
      <c r="BN1342" s="147"/>
      <c r="BO1342" s="147"/>
      <c r="BP1342" s="147"/>
      <c r="BQ1342" s="147"/>
      <c r="BR1342" s="147"/>
      <c r="BS1342" s="147"/>
      <c r="BT1342" s="147"/>
      <c r="BU1342" s="147"/>
      <c r="BV1342" s="147"/>
      <c r="BW1342" s="147"/>
      <c r="BX1342" s="147"/>
      <c r="BY1342" s="147"/>
      <c r="BZ1342" s="147"/>
      <c r="CA1342" s="147"/>
      <c r="CB1342" s="147"/>
      <c r="CC1342" s="147"/>
      <c r="CD1342" s="147"/>
      <c r="CE1342" s="147"/>
      <c r="CF1342" s="147"/>
      <c r="CG1342" s="147"/>
      <c r="CH1342" s="147"/>
      <c r="CI1342" s="147"/>
      <c r="CJ1342" s="147"/>
      <c r="CK1342" s="147"/>
    </row>
    <row r="1343" spans="1:89">
      <c r="A1343" s="157"/>
      <c r="F1343" s="3"/>
      <c r="G1343" s="3"/>
      <c r="L1343" s="157"/>
      <c r="M1343" s="157"/>
      <c r="O1343" s="147"/>
      <c r="P1343" s="147"/>
      <c r="Q1343" s="147"/>
      <c r="R1343" s="147"/>
      <c r="S1343" s="147"/>
      <c r="T1343" s="147"/>
      <c r="U1343" s="147"/>
      <c r="V1343" s="147"/>
      <c r="W1343" s="147"/>
      <c r="X1343" s="147"/>
      <c r="Y1343" s="147"/>
      <c r="Z1343" s="147"/>
      <c r="AA1343" s="147"/>
      <c r="AB1343" s="147"/>
      <c r="AC1343" s="147"/>
      <c r="AD1343" s="147"/>
      <c r="AE1343" s="147"/>
      <c r="AF1343" s="147"/>
      <c r="AG1343" s="147"/>
      <c r="AH1343" s="147"/>
      <c r="AI1343" s="147"/>
      <c r="AJ1343" s="147"/>
      <c r="AK1343" s="147"/>
      <c r="AL1343" s="147"/>
      <c r="AM1343" s="151"/>
      <c r="AN1343" s="147"/>
      <c r="AO1343" s="147"/>
      <c r="AP1343" s="147"/>
      <c r="AQ1343" s="147"/>
      <c r="AR1343" s="147"/>
      <c r="AS1343" s="147"/>
      <c r="AT1343" s="147"/>
      <c r="AU1343" s="147"/>
      <c r="AV1343" s="147"/>
      <c r="AW1343" s="147"/>
      <c r="AX1343" s="147"/>
      <c r="AY1343" s="147"/>
      <c r="AZ1343" s="147"/>
      <c r="BA1343" s="147"/>
      <c r="BB1343" s="147"/>
      <c r="BC1343" s="147"/>
      <c r="BD1343" s="147"/>
      <c r="BE1343" s="147"/>
      <c r="BF1343" s="147"/>
      <c r="BG1343" s="147"/>
      <c r="BH1343" s="147"/>
      <c r="BI1343" s="147"/>
      <c r="BJ1343" s="147"/>
      <c r="BK1343" s="147"/>
      <c r="BL1343" s="147"/>
      <c r="BM1343" s="147"/>
      <c r="BN1343" s="147"/>
      <c r="BO1343" s="147"/>
      <c r="BP1343" s="147"/>
      <c r="BQ1343" s="147"/>
      <c r="BR1343" s="147"/>
      <c r="BS1343" s="147"/>
      <c r="BT1343" s="147"/>
      <c r="BU1343" s="147"/>
      <c r="BV1343" s="147"/>
      <c r="BW1343" s="147"/>
      <c r="BX1343" s="147"/>
      <c r="BY1343" s="147"/>
      <c r="BZ1343" s="147"/>
      <c r="CA1343" s="147"/>
      <c r="CB1343" s="147"/>
      <c r="CC1343" s="147"/>
      <c r="CD1343" s="147"/>
      <c r="CE1343" s="147"/>
      <c r="CF1343" s="147"/>
      <c r="CG1343" s="147"/>
      <c r="CH1343" s="147"/>
      <c r="CI1343" s="147"/>
      <c r="CJ1343" s="147"/>
      <c r="CK1343" s="147"/>
    </row>
    <row r="1344" spans="1:89">
      <c r="A1344" s="157"/>
      <c r="F1344" s="3"/>
      <c r="G1344" s="3"/>
      <c r="L1344" s="157"/>
      <c r="M1344" s="157"/>
      <c r="O1344" s="147"/>
      <c r="P1344" s="147"/>
      <c r="Q1344" s="147"/>
      <c r="R1344" s="147"/>
      <c r="S1344" s="147"/>
      <c r="T1344" s="147"/>
      <c r="U1344" s="147"/>
      <c r="V1344" s="147"/>
      <c r="W1344" s="147"/>
      <c r="X1344" s="147"/>
      <c r="Y1344" s="147"/>
      <c r="Z1344" s="147"/>
      <c r="AA1344" s="147"/>
      <c r="AB1344" s="147"/>
      <c r="AC1344" s="147"/>
      <c r="AD1344" s="147"/>
      <c r="AE1344" s="147"/>
      <c r="AF1344" s="147"/>
      <c r="AG1344" s="147"/>
      <c r="AH1344" s="147"/>
      <c r="AI1344" s="147"/>
      <c r="AJ1344" s="147"/>
      <c r="AK1344" s="147"/>
      <c r="AL1344" s="147"/>
      <c r="AM1344" s="151"/>
      <c r="AN1344" s="147"/>
      <c r="AO1344" s="147"/>
      <c r="AP1344" s="147"/>
      <c r="AQ1344" s="147"/>
      <c r="AR1344" s="147"/>
      <c r="AS1344" s="147"/>
      <c r="AT1344" s="147"/>
      <c r="AU1344" s="147"/>
      <c r="AV1344" s="147"/>
      <c r="AW1344" s="147"/>
      <c r="AX1344" s="147"/>
      <c r="AY1344" s="147"/>
      <c r="AZ1344" s="147"/>
      <c r="BA1344" s="147"/>
      <c r="BB1344" s="147"/>
      <c r="BC1344" s="147"/>
      <c r="BD1344" s="147"/>
      <c r="BE1344" s="147"/>
      <c r="BF1344" s="147"/>
      <c r="BG1344" s="147"/>
      <c r="BH1344" s="147"/>
      <c r="BI1344" s="147"/>
      <c r="BJ1344" s="147"/>
      <c r="BK1344" s="147"/>
      <c r="BL1344" s="147"/>
      <c r="BM1344" s="147"/>
      <c r="BN1344" s="147"/>
      <c r="BO1344" s="147"/>
      <c r="BP1344" s="147"/>
      <c r="BQ1344" s="147"/>
      <c r="BR1344" s="147"/>
      <c r="BS1344" s="147"/>
      <c r="BT1344" s="147"/>
      <c r="BU1344" s="147"/>
      <c r="BV1344" s="147"/>
      <c r="BW1344" s="147"/>
      <c r="BX1344" s="147"/>
      <c r="BY1344" s="147"/>
      <c r="BZ1344" s="147"/>
      <c r="CA1344" s="147"/>
      <c r="CB1344" s="147"/>
      <c r="CC1344" s="147"/>
      <c r="CD1344" s="147"/>
      <c r="CE1344" s="147"/>
      <c r="CF1344" s="147"/>
      <c r="CG1344" s="147"/>
      <c r="CH1344" s="147"/>
      <c r="CI1344" s="147"/>
      <c r="CJ1344" s="147"/>
      <c r="CK1344" s="147"/>
    </row>
    <row r="1345" spans="1:89">
      <c r="A1345" s="157"/>
      <c r="F1345" s="3"/>
      <c r="G1345" s="3"/>
      <c r="L1345" s="157"/>
      <c r="M1345" s="157"/>
      <c r="O1345" s="147"/>
      <c r="P1345" s="147"/>
      <c r="Q1345" s="147"/>
      <c r="R1345" s="147"/>
      <c r="S1345" s="147"/>
      <c r="T1345" s="147"/>
      <c r="U1345" s="147"/>
      <c r="V1345" s="147"/>
      <c r="W1345" s="147"/>
      <c r="X1345" s="147"/>
      <c r="Y1345" s="147"/>
      <c r="Z1345" s="147"/>
      <c r="AA1345" s="147"/>
      <c r="AB1345" s="147"/>
      <c r="AC1345" s="147"/>
      <c r="AD1345" s="147"/>
      <c r="AE1345" s="147"/>
      <c r="AF1345" s="147"/>
      <c r="AG1345" s="147"/>
      <c r="AH1345" s="147"/>
      <c r="AI1345" s="147"/>
      <c r="AJ1345" s="147"/>
      <c r="AK1345" s="147"/>
      <c r="AL1345" s="147"/>
      <c r="AM1345" s="151"/>
      <c r="AN1345" s="147"/>
      <c r="AO1345" s="147"/>
      <c r="AP1345" s="147"/>
      <c r="AQ1345" s="147"/>
      <c r="AR1345" s="147"/>
      <c r="AS1345" s="147"/>
      <c r="AT1345" s="147"/>
      <c r="AU1345" s="147"/>
      <c r="AV1345" s="147"/>
      <c r="AW1345" s="147"/>
      <c r="AX1345" s="147"/>
      <c r="AY1345" s="147"/>
      <c r="AZ1345" s="147"/>
      <c r="BA1345" s="147"/>
      <c r="BB1345" s="147"/>
      <c r="BC1345" s="147"/>
      <c r="BD1345" s="147"/>
      <c r="BE1345" s="147"/>
      <c r="BF1345" s="147"/>
      <c r="BG1345" s="147"/>
      <c r="BH1345" s="147"/>
      <c r="BI1345" s="147"/>
      <c r="BJ1345" s="147"/>
      <c r="BK1345" s="147"/>
      <c r="BL1345" s="147"/>
      <c r="BM1345" s="147"/>
      <c r="BN1345" s="147"/>
      <c r="BO1345" s="147"/>
      <c r="BP1345" s="147"/>
      <c r="BQ1345" s="147"/>
      <c r="BR1345" s="147"/>
      <c r="BS1345" s="147"/>
      <c r="BT1345" s="147"/>
      <c r="BU1345" s="147"/>
      <c r="BV1345" s="147"/>
      <c r="BW1345" s="147"/>
      <c r="BX1345" s="147"/>
      <c r="BY1345" s="147"/>
      <c r="BZ1345" s="147"/>
      <c r="CA1345" s="147"/>
      <c r="CB1345" s="147"/>
      <c r="CC1345" s="147"/>
      <c r="CD1345" s="147"/>
      <c r="CE1345" s="147"/>
      <c r="CF1345" s="147"/>
      <c r="CG1345" s="147"/>
      <c r="CH1345" s="147"/>
      <c r="CI1345" s="147"/>
      <c r="CJ1345" s="147"/>
      <c r="CK1345" s="147"/>
    </row>
    <row r="1346" spans="1:89">
      <c r="A1346" s="157"/>
      <c r="F1346" s="3"/>
      <c r="G1346" s="3"/>
      <c r="L1346" s="157"/>
      <c r="M1346" s="157"/>
      <c r="O1346" s="147"/>
      <c r="P1346" s="147"/>
      <c r="Q1346" s="147"/>
      <c r="R1346" s="147"/>
      <c r="S1346" s="147"/>
      <c r="T1346" s="147"/>
      <c r="U1346" s="147"/>
      <c r="V1346" s="147"/>
      <c r="W1346" s="147"/>
      <c r="X1346" s="147"/>
      <c r="Y1346" s="147"/>
      <c r="Z1346" s="147"/>
      <c r="AA1346" s="147"/>
      <c r="AB1346" s="147"/>
      <c r="AC1346" s="147"/>
      <c r="AD1346" s="147"/>
      <c r="AE1346" s="147"/>
      <c r="AF1346" s="147"/>
      <c r="AG1346" s="147"/>
      <c r="AH1346" s="147"/>
      <c r="AI1346" s="147"/>
      <c r="AJ1346" s="147"/>
      <c r="AK1346" s="147"/>
      <c r="AL1346" s="147"/>
      <c r="AM1346" s="151"/>
      <c r="AN1346" s="147"/>
      <c r="AO1346" s="147"/>
      <c r="AP1346" s="147"/>
      <c r="AQ1346" s="147"/>
      <c r="AR1346" s="147"/>
      <c r="AS1346" s="147"/>
      <c r="AT1346" s="147"/>
      <c r="AU1346" s="147"/>
      <c r="AV1346" s="147"/>
      <c r="AW1346" s="147"/>
      <c r="AX1346" s="147"/>
      <c r="AY1346" s="147"/>
      <c r="AZ1346" s="147"/>
      <c r="BA1346" s="147"/>
      <c r="BB1346" s="147"/>
      <c r="BC1346" s="147"/>
      <c r="BD1346" s="147"/>
      <c r="BE1346" s="147"/>
      <c r="BF1346" s="147"/>
      <c r="BG1346" s="147"/>
      <c r="BH1346" s="147"/>
      <c r="BI1346" s="147"/>
      <c r="BJ1346" s="147"/>
      <c r="BK1346" s="147"/>
      <c r="BL1346" s="147"/>
      <c r="BM1346" s="147"/>
      <c r="BN1346" s="147"/>
      <c r="BO1346" s="147"/>
      <c r="BP1346" s="147"/>
      <c r="BQ1346" s="147"/>
      <c r="BR1346" s="147"/>
      <c r="BS1346" s="147"/>
      <c r="BT1346" s="147"/>
      <c r="BU1346" s="147"/>
      <c r="BV1346" s="147"/>
      <c r="BW1346" s="147"/>
      <c r="BX1346" s="147"/>
      <c r="BY1346" s="147"/>
      <c r="BZ1346" s="147"/>
      <c r="CA1346" s="147"/>
      <c r="CB1346" s="147"/>
      <c r="CC1346" s="147"/>
      <c r="CD1346" s="147"/>
      <c r="CE1346" s="147"/>
      <c r="CF1346" s="147"/>
      <c r="CG1346" s="147"/>
      <c r="CH1346" s="147"/>
      <c r="CI1346" s="147"/>
      <c r="CJ1346" s="147"/>
      <c r="CK1346" s="147"/>
    </row>
    <row r="1347" spans="1:89">
      <c r="A1347" s="157"/>
      <c r="F1347" s="3"/>
      <c r="G1347" s="3"/>
      <c r="L1347" s="157"/>
      <c r="M1347" s="157"/>
      <c r="O1347" s="147"/>
      <c r="P1347" s="147"/>
      <c r="Q1347" s="147"/>
      <c r="R1347" s="147"/>
      <c r="S1347" s="147"/>
      <c r="T1347" s="147"/>
      <c r="U1347" s="147"/>
      <c r="V1347" s="147"/>
      <c r="W1347" s="147"/>
      <c r="X1347" s="147"/>
      <c r="Y1347" s="147"/>
      <c r="Z1347" s="147"/>
      <c r="AA1347" s="147"/>
      <c r="AB1347" s="147"/>
      <c r="AC1347" s="147"/>
      <c r="AD1347" s="147"/>
      <c r="AE1347" s="147"/>
      <c r="AF1347" s="147"/>
      <c r="AG1347" s="147"/>
      <c r="AH1347" s="147"/>
      <c r="AI1347" s="147"/>
      <c r="AJ1347" s="147"/>
      <c r="AK1347" s="147"/>
      <c r="AL1347" s="147"/>
      <c r="AM1347" s="151"/>
      <c r="AN1347" s="147"/>
      <c r="AO1347" s="147"/>
      <c r="AP1347" s="147"/>
      <c r="AQ1347" s="147"/>
      <c r="AR1347" s="147"/>
      <c r="AS1347" s="147"/>
      <c r="AT1347" s="147"/>
      <c r="AU1347" s="147"/>
      <c r="AV1347" s="147"/>
      <c r="AW1347" s="147"/>
      <c r="AX1347" s="147"/>
      <c r="AY1347" s="147"/>
      <c r="AZ1347" s="147"/>
      <c r="BA1347" s="147"/>
      <c r="BB1347" s="147"/>
      <c r="BC1347" s="147"/>
      <c r="BD1347" s="147"/>
      <c r="BE1347" s="147"/>
      <c r="BF1347" s="147"/>
      <c r="BG1347" s="147"/>
      <c r="BH1347" s="147"/>
      <c r="BI1347" s="147"/>
      <c r="BJ1347" s="147"/>
      <c r="BK1347" s="147"/>
      <c r="BL1347" s="147"/>
      <c r="BM1347" s="147"/>
      <c r="BN1347" s="147"/>
      <c r="BO1347" s="147"/>
      <c r="BP1347" s="147"/>
      <c r="BQ1347" s="147"/>
      <c r="BR1347" s="147"/>
      <c r="BS1347" s="147"/>
      <c r="BT1347" s="147"/>
      <c r="BU1347" s="147"/>
      <c r="BV1347" s="147"/>
      <c r="BW1347" s="147"/>
      <c r="BX1347" s="147"/>
      <c r="BY1347" s="147"/>
      <c r="BZ1347" s="147"/>
      <c r="CA1347" s="147"/>
      <c r="CB1347" s="147"/>
      <c r="CC1347" s="147"/>
      <c r="CD1347" s="147"/>
      <c r="CE1347" s="147"/>
      <c r="CF1347" s="147"/>
      <c r="CG1347" s="147"/>
      <c r="CH1347" s="147"/>
      <c r="CI1347" s="147"/>
      <c r="CJ1347" s="147"/>
      <c r="CK1347" s="147"/>
    </row>
    <row r="1348" spans="1:89">
      <c r="A1348" s="157"/>
      <c r="F1348" s="3"/>
      <c r="G1348" s="3"/>
      <c r="L1348" s="157"/>
      <c r="M1348" s="157"/>
      <c r="O1348" s="147"/>
      <c r="P1348" s="147"/>
      <c r="Q1348" s="147"/>
      <c r="R1348" s="147"/>
      <c r="S1348" s="147"/>
      <c r="T1348" s="147"/>
      <c r="U1348" s="147"/>
      <c r="V1348" s="147"/>
      <c r="W1348" s="147"/>
      <c r="X1348" s="147"/>
      <c r="Y1348" s="147"/>
      <c r="Z1348" s="147"/>
      <c r="AA1348" s="147"/>
      <c r="AB1348" s="147"/>
      <c r="AC1348" s="147"/>
      <c r="AD1348" s="147"/>
      <c r="AE1348" s="147"/>
      <c r="AF1348" s="147"/>
      <c r="AG1348" s="147"/>
      <c r="AH1348" s="147"/>
      <c r="AI1348" s="147"/>
      <c r="AJ1348" s="147"/>
      <c r="AK1348" s="147"/>
      <c r="AL1348" s="147"/>
      <c r="AM1348" s="151"/>
      <c r="AN1348" s="147"/>
      <c r="AO1348" s="147"/>
      <c r="AP1348" s="147"/>
      <c r="AQ1348" s="147"/>
      <c r="AR1348" s="147"/>
      <c r="AS1348" s="147"/>
      <c r="AT1348" s="147"/>
      <c r="AU1348" s="147"/>
      <c r="AV1348" s="147"/>
      <c r="AW1348" s="147"/>
      <c r="AX1348" s="147"/>
      <c r="AY1348" s="147"/>
      <c r="AZ1348" s="147"/>
      <c r="BA1348" s="147"/>
      <c r="BB1348" s="147"/>
      <c r="BC1348" s="147"/>
      <c r="BD1348" s="147"/>
      <c r="BE1348" s="147"/>
      <c r="BF1348" s="147"/>
      <c r="BG1348" s="147"/>
      <c r="BH1348" s="147"/>
      <c r="BI1348" s="147"/>
      <c r="BJ1348" s="147"/>
      <c r="BK1348" s="147"/>
      <c r="BL1348" s="147"/>
      <c r="BM1348" s="147"/>
      <c r="BN1348" s="147"/>
      <c r="BO1348" s="147"/>
      <c r="BP1348" s="147"/>
      <c r="BQ1348" s="147"/>
      <c r="BR1348" s="147"/>
      <c r="BS1348" s="147"/>
      <c r="BT1348" s="147"/>
      <c r="BU1348" s="147"/>
      <c r="BV1348" s="147"/>
      <c r="BW1348" s="147"/>
      <c r="BX1348" s="147"/>
      <c r="BY1348" s="147"/>
      <c r="BZ1348" s="147"/>
      <c r="CA1348" s="147"/>
      <c r="CB1348" s="147"/>
      <c r="CC1348" s="147"/>
      <c r="CD1348" s="147"/>
      <c r="CE1348" s="147"/>
      <c r="CF1348" s="147"/>
      <c r="CG1348" s="147"/>
      <c r="CH1348" s="147"/>
      <c r="CI1348" s="147"/>
      <c r="CJ1348" s="147"/>
      <c r="CK1348" s="147"/>
    </row>
    <row r="1349" spans="1:89">
      <c r="A1349" s="157"/>
      <c r="F1349" s="3"/>
      <c r="G1349" s="3"/>
      <c r="L1349" s="157"/>
      <c r="M1349" s="157"/>
      <c r="O1349" s="147"/>
      <c r="P1349" s="147"/>
      <c r="Q1349" s="147"/>
      <c r="R1349" s="147"/>
      <c r="S1349" s="147"/>
      <c r="T1349" s="147"/>
      <c r="U1349" s="147"/>
      <c r="V1349" s="147"/>
      <c r="W1349" s="147"/>
      <c r="X1349" s="147"/>
      <c r="Y1349" s="147"/>
      <c r="Z1349" s="147"/>
      <c r="AA1349" s="147"/>
      <c r="AB1349" s="147"/>
      <c r="AC1349" s="147"/>
      <c r="AD1349" s="147"/>
      <c r="AE1349" s="147"/>
      <c r="AF1349" s="147"/>
      <c r="AG1349" s="147"/>
      <c r="AH1349" s="147"/>
      <c r="AI1349" s="147"/>
      <c r="AJ1349" s="147"/>
      <c r="AK1349" s="147"/>
      <c r="AL1349" s="147"/>
      <c r="AM1349" s="151"/>
      <c r="AN1349" s="147"/>
      <c r="AO1349" s="147"/>
      <c r="AP1349" s="147"/>
      <c r="AQ1349" s="147"/>
      <c r="AR1349" s="147"/>
      <c r="AS1349" s="147"/>
      <c r="AT1349" s="147"/>
      <c r="AU1349" s="147"/>
      <c r="AV1349" s="147"/>
      <c r="AW1349" s="147"/>
      <c r="AX1349" s="147"/>
      <c r="AY1349" s="147"/>
      <c r="AZ1349" s="147"/>
      <c r="BA1349" s="147"/>
      <c r="BB1349" s="147"/>
      <c r="BC1349" s="147"/>
      <c r="BD1349" s="147"/>
      <c r="BE1349" s="147"/>
      <c r="BF1349" s="147"/>
      <c r="BG1349" s="147"/>
      <c r="BH1349" s="147"/>
      <c r="BI1349" s="147"/>
      <c r="BJ1349" s="147"/>
      <c r="BK1349" s="147"/>
      <c r="BL1349" s="147"/>
      <c r="BM1349" s="147"/>
      <c r="BN1349" s="147"/>
      <c r="BO1349" s="147"/>
      <c r="BP1349" s="147"/>
      <c r="BQ1349" s="147"/>
      <c r="BR1349" s="147"/>
      <c r="BS1349" s="147"/>
      <c r="BT1349" s="147"/>
      <c r="BU1349" s="147"/>
      <c r="BV1349" s="147"/>
      <c r="BW1349" s="147"/>
      <c r="BX1349" s="147"/>
      <c r="BY1349" s="147"/>
      <c r="BZ1349" s="147"/>
      <c r="CA1349" s="147"/>
      <c r="CB1349" s="147"/>
      <c r="CC1349" s="147"/>
      <c r="CD1349" s="147"/>
      <c r="CE1349" s="147"/>
      <c r="CF1349" s="147"/>
      <c r="CG1349" s="147"/>
      <c r="CH1349" s="147"/>
      <c r="CI1349" s="147"/>
      <c r="CJ1349" s="147"/>
      <c r="CK1349" s="147"/>
    </row>
    <row r="1350" spans="1:89">
      <c r="A1350" s="157"/>
      <c r="F1350" s="3"/>
      <c r="G1350" s="3"/>
      <c r="L1350" s="157"/>
      <c r="M1350" s="157"/>
      <c r="O1350" s="147"/>
      <c r="P1350" s="147"/>
      <c r="Q1350" s="147"/>
      <c r="R1350" s="147"/>
      <c r="S1350" s="147"/>
      <c r="T1350" s="147"/>
      <c r="U1350" s="147"/>
      <c r="V1350" s="147"/>
      <c r="W1350" s="147"/>
      <c r="X1350" s="147"/>
      <c r="Y1350" s="147"/>
      <c r="Z1350" s="147"/>
      <c r="AA1350" s="147"/>
      <c r="AB1350" s="147"/>
      <c r="AC1350" s="147"/>
      <c r="AD1350" s="147"/>
      <c r="AE1350" s="147"/>
      <c r="AF1350" s="147"/>
      <c r="AG1350" s="147"/>
      <c r="AH1350" s="147"/>
      <c r="AI1350" s="147"/>
      <c r="AJ1350" s="147"/>
      <c r="AK1350" s="147"/>
      <c r="AL1350" s="147"/>
      <c r="AM1350" s="151"/>
      <c r="AN1350" s="147"/>
      <c r="AO1350" s="147"/>
      <c r="AP1350" s="147"/>
      <c r="AQ1350" s="147"/>
      <c r="AR1350" s="147"/>
      <c r="AS1350" s="147"/>
      <c r="AT1350" s="147"/>
      <c r="AU1350" s="147"/>
      <c r="AV1350" s="147"/>
      <c r="AW1350" s="147"/>
      <c r="AX1350" s="147"/>
      <c r="AY1350" s="147"/>
      <c r="AZ1350" s="147"/>
      <c r="BA1350" s="147"/>
      <c r="BB1350" s="147"/>
      <c r="BC1350" s="147"/>
      <c r="BD1350" s="147"/>
      <c r="BE1350" s="147"/>
      <c r="BF1350" s="147"/>
      <c r="BG1350" s="147"/>
      <c r="BH1350" s="147"/>
      <c r="BI1350" s="147"/>
      <c r="BJ1350" s="147"/>
      <c r="BK1350" s="147"/>
      <c r="BL1350" s="147"/>
      <c r="BM1350" s="147"/>
      <c r="BN1350" s="147"/>
      <c r="BO1350" s="147"/>
      <c r="BP1350" s="147"/>
      <c r="BQ1350" s="147"/>
      <c r="BR1350" s="147"/>
      <c r="BS1350" s="147"/>
      <c r="BT1350" s="147"/>
      <c r="BU1350" s="147"/>
      <c r="BV1350" s="147"/>
      <c r="BW1350" s="147"/>
      <c r="BX1350" s="147"/>
      <c r="BY1350" s="147"/>
      <c r="BZ1350" s="147"/>
      <c r="CA1350" s="147"/>
      <c r="CB1350" s="147"/>
      <c r="CC1350" s="147"/>
      <c r="CD1350" s="147"/>
      <c r="CE1350" s="147"/>
      <c r="CF1350" s="147"/>
      <c r="CG1350" s="147"/>
      <c r="CH1350" s="147"/>
      <c r="CI1350" s="147"/>
      <c r="CJ1350" s="147"/>
      <c r="CK1350" s="147"/>
    </row>
    <row r="1351" spans="1:89">
      <c r="A1351" s="157"/>
      <c r="F1351" s="3"/>
      <c r="G1351" s="3"/>
      <c r="L1351" s="157"/>
      <c r="M1351" s="157"/>
      <c r="O1351" s="147"/>
      <c r="P1351" s="147"/>
      <c r="Q1351" s="147"/>
      <c r="R1351" s="147"/>
      <c r="S1351" s="147"/>
      <c r="T1351" s="147"/>
      <c r="U1351" s="147"/>
      <c r="V1351" s="147"/>
      <c r="W1351" s="147"/>
      <c r="X1351" s="147"/>
      <c r="Y1351" s="147"/>
      <c r="Z1351" s="147"/>
      <c r="AA1351" s="147"/>
      <c r="AB1351" s="147"/>
      <c r="AC1351" s="147"/>
      <c r="AD1351" s="147"/>
      <c r="AE1351" s="147"/>
      <c r="AF1351" s="147"/>
      <c r="AG1351" s="147"/>
      <c r="AH1351" s="147"/>
      <c r="AI1351" s="147"/>
      <c r="AJ1351" s="147"/>
      <c r="AK1351" s="147"/>
      <c r="AL1351" s="147"/>
      <c r="AM1351" s="151"/>
      <c r="AN1351" s="147"/>
      <c r="AO1351" s="147"/>
      <c r="AP1351" s="147"/>
      <c r="AQ1351" s="147"/>
      <c r="AR1351" s="147"/>
      <c r="AS1351" s="147"/>
      <c r="AT1351" s="147"/>
      <c r="AU1351" s="147"/>
      <c r="AV1351" s="147"/>
      <c r="AW1351" s="147"/>
      <c r="AX1351" s="147"/>
      <c r="AY1351" s="147"/>
      <c r="AZ1351" s="147"/>
      <c r="BA1351" s="147"/>
      <c r="BB1351" s="147"/>
      <c r="BC1351" s="147"/>
      <c r="BD1351" s="147"/>
      <c r="BE1351" s="147"/>
      <c r="BF1351" s="147"/>
      <c r="BG1351" s="147"/>
      <c r="BH1351" s="147"/>
      <c r="BI1351" s="147"/>
      <c r="BJ1351" s="147"/>
      <c r="BK1351" s="147"/>
      <c r="BL1351" s="147"/>
      <c r="BM1351" s="147"/>
      <c r="BN1351" s="147"/>
      <c r="BO1351" s="147"/>
      <c r="BP1351" s="147"/>
      <c r="BQ1351" s="147"/>
      <c r="BR1351" s="147"/>
      <c r="BS1351" s="147"/>
      <c r="BT1351" s="147"/>
      <c r="BU1351" s="147"/>
      <c r="BV1351" s="147"/>
      <c r="BW1351" s="147"/>
      <c r="BX1351" s="147"/>
      <c r="BY1351" s="147"/>
      <c r="BZ1351" s="147"/>
      <c r="CA1351" s="147"/>
      <c r="CB1351" s="147"/>
      <c r="CC1351" s="147"/>
      <c r="CD1351" s="147"/>
      <c r="CE1351" s="147"/>
      <c r="CF1351" s="147"/>
      <c r="CG1351" s="147"/>
      <c r="CH1351" s="147"/>
      <c r="CI1351" s="147"/>
      <c r="CJ1351" s="147"/>
      <c r="CK1351" s="147"/>
    </row>
    <row r="1352" spans="1:89">
      <c r="A1352" s="157"/>
      <c r="F1352" s="3"/>
      <c r="G1352" s="3"/>
      <c r="L1352" s="157"/>
      <c r="M1352" s="157"/>
      <c r="O1352" s="147"/>
      <c r="P1352" s="147"/>
      <c r="Q1352" s="147"/>
      <c r="R1352" s="147"/>
      <c r="S1352" s="147"/>
      <c r="T1352" s="147"/>
      <c r="U1352" s="147"/>
      <c r="V1352" s="147"/>
      <c r="W1352" s="147"/>
      <c r="X1352" s="147"/>
      <c r="Y1352" s="147"/>
      <c r="Z1352" s="147"/>
      <c r="AA1352" s="147"/>
      <c r="AB1352" s="147"/>
      <c r="AC1352" s="147"/>
      <c r="AD1352" s="147"/>
      <c r="AE1352" s="147"/>
      <c r="AF1352" s="147"/>
      <c r="AG1352" s="147"/>
      <c r="AH1352" s="147"/>
      <c r="AI1352" s="147"/>
      <c r="AJ1352" s="147"/>
      <c r="AK1352" s="147"/>
      <c r="AL1352" s="147"/>
      <c r="AM1352" s="151"/>
      <c r="AN1352" s="147"/>
      <c r="AO1352" s="147"/>
      <c r="AP1352" s="147"/>
      <c r="AQ1352" s="147"/>
      <c r="AR1352" s="147"/>
      <c r="AS1352" s="147"/>
      <c r="AT1352" s="147"/>
      <c r="AU1352" s="147"/>
      <c r="AV1352" s="147"/>
      <c r="AW1352" s="147"/>
      <c r="AX1352" s="147"/>
      <c r="AY1352" s="147"/>
      <c r="AZ1352" s="147"/>
      <c r="BA1352" s="147"/>
      <c r="BB1352" s="147"/>
      <c r="BC1352" s="147"/>
      <c r="BD1352" s="147"/>
      <c r="BE1352" s="147"/>
      <c r="BF1352" s="147"/>
      <c r="BG1352" s="147"/>
      <c r="BH1352" s="147"/>
      <c r="BI1352" s="147"/>
      <c r="BJ1352" s="147"/>
      <c r="BK1352" s="147"/>
      <c r="BL1352" s="147"/>
      <c r="BM1352" s="147"/>
      <c r="BN1352" s="147"/>
      <c r="BO1352" s="147"/>
      <c r="BP1352" s="147"/>
      <c r="BQ1352" s="147"/>
      <c r="BR1352" s="147"/>
      <c r="BS1352" s="147"/>
      <c r="BT1352" s="147"/>
      <c r="BU1352" s="147"/>
      <c r="BV1352" s="147"/>
      <c r="BW1352" s="147"/>
      <c r="BX1352" s="147"/>
      <c r="BY1352" s="147"/>
      <c r="BZ1352" s="147"/>
      <c r="CA1352" s="147"/>
      <c r="CB1352" s="147"/>
      <c r="CC1352" s="147"/>
      <c r="CD1352" s="147"/>
      <c r="CE1352" s="147"/>
      <c r="CF1352" s="147"/>
      <c r="CG1352" s="147"/>
      <c r="CH1352" s="147"/>
      <c r="CI1352" s="147"/>
      <c r="CJ1352" s="147"/>
      <c r="CK1352" s="147"/>
    </row>
    <row r="1353" spans="1:89">
      <c r="A1353" s="157"/>
      <c r="F1353" s="3"/>
      <c r="G1353" s="3"/>
      <c r="L1353" s="157"/>
      <c r="M1353" s="157"/>
      <c r="O1353" s="147"/>
      <c r="P1353" s="147"/>
      <c r="Q1353" s="147"/>
      <c r="R1353" s="147"/>
      <c r="S1353" s="147"/>
      <c r="T1353" s="147"/>
      <c r="U1353" s="147"/>
      <c r="V1353" s="147"/>
      <c r="W1353" s="147"/>
      <c r="X1353" s="147"/>
      <c r="Y1353" s="147"/>
      <c r="Z1353" s="147"/>
      <c r="AA1353" s="147"/>
      <c r="AB1353" s="147"/>
      <c r="AC1353" s="147"/>
      <c r="AD1353" s="147"/>
      <c r="AE1353" s="147"/>
      <c r="AF1353" s="147"/>
      <c r="AG1353" s="147"/>
      <c r="AH1353" s="147"/>
      <c r="AI1353" s="147"/>
      <c r="AJ1353" s="147"/>
      <c r="AK1353" s="147"/>
      <c r="AL1353" s="147"/>
      <c r="AM1353" s="151"/>
      <c r="AN1353" s="147"/>
      <c r="AO1353" s="147"/>
      <c r="AP1353" s="147"/>
      <c r="AQ1353" s="147"/>
      <c r="AR1353" s="147"/>
      <c r="AS1353" s="147"/>
      <c r="AT1353" s="147"/>
      <c r="AU1353" s="147"/>
      <c r="AV1353" s="147"/>
      <c r="AW1353" s="147"/>
      <c r="AX1353" s="147"/>
      <c r="AY1353" s="147"/>
      <c r="AZ1353" s="147"/>
      <c r="BA1353" s="147"/>
      <c r="BB1353" s="147"/>
      <c r="BC1353" s="147"/>
      <c r="BD1353" s="147"/>
      <c r="BE1353" s="147"/>
      <c r="BF1353" s="147"/>
      <c r="BG1353" s="147"/>
      <c r="BH1353" s="147"/>
      <c r="BI1353" s="147"/>
      <c r="BJ1353" s="147"/>
      <c r="BK1353" s="147"/>
      <c r="BL1353" s="147"/>
      <c r="BM1353" s="147"/>
      <c r="BN1353" s="147"/>
      <c r="BO1353" s="147"/>
      <c r="BP1353" s="147"/>
      <c r="BQ1353" s="147"/>
      <c r="BR1353" s="147"/>
      <c r="BS1353" s="147"/>
      <c r="BT1353" s="147"/>
      <c r="BU1353" s="147"/>
      <c r="BV1353" s="147"/>
      <c r="BW1353" s="147"/>
      <c r="BX1353" s="147"/>
      <c r="BY1353" s="147"/>
      <c r="BZ1353" s="147"/>
      <c r="CA1353" s="147"/>
      <c r="CB1353" s="147"/>
      <c r="CC1353" s="147"/>
      <c r="CD1353" s="147"/>
      <c r="CE1353" s="147"/>
      <c r="CF1353" s="147"/>
      <c r="CG1353" s="147"/>
      <c r="CH1353" s="147"/>
      <c r="CI1353" s="147"/>
      <c r="CJ1353" s="147"/>
      <c r="CK1353" s="147"/>
    </row>
    <row r="1354" spans="1:89">
      <c r="A1354" s="157"/>
      <c r="F1354" s="3"/>
      <c r="G1354" s="3"/>
      <c r="L1354" s="157"/>
      <c r="M1354" s="157"/>
      <c r="O1354" s="147"/>
      <c r="P1354" s="147"/>
      <c r="Q1354" s="147"/>
      <c r="R1354" s="147"/>
      <c r="S1354" s="147"/>
      <c r="T1354" s="147"/>
      <c r="U1354" s="147"/>
      <c r="V1354" s="147"/>
      <c r="W1354" s="147"/>
      <c r="X1354" s="147"/>
      <c r="Y1354" s="147"/>
      <c r="Z1354" s="147"/>
      <c r="AA1354" s="147"/>
      <c r="AB1354" s="147"/>
      <c r="AC1354" s="147"/>
      <c r="AD1354" s="147"/>
      <c r="AE1354" s="147"/>
      <c r="AF1354" s="147"/>
      <c r="AG1354" s="147"/>
      <c r="AH1354" s="147"/>
      <c r="AI1354" s="147"/>
      <c r="AJ1354" s="147"/>
      <c r="AK1354" s="147"/>
      <c r="AL1354" s="147"/>
      <c r="AM1354" s="151"/>
      <c r="AN1354" s="147"/>
      <c r="AO1354" s="147"/>
      <c r="AP1354" s="147"/>
      <c r="AQ1354" s="147"/>
      <c r="AR1354" s="147"/>
      <c r="AS1354" s="147"/>
      <c r="AT1354" s="147"/>
      <c r="AU1354" s="147"/>
      <c r="AV1354" s="147"/>
      <c r="AW1354" s="147"/>
      <c r="AX1354" s="147"/>
      <c r="AY1354" s="147"/>
      <c r="AZ1354" s="147"/>
      <c r="BA1354" s="147"/>
      <c r="BB1354" s="147"/>
      <c r="BC1354" s="147"/>
      <c r="BD1354" s="147"/>
      <c r="BE1354" s="147"/>
      <c r="BF1354" s="147"/>
      <c r="BG1354" s="147"/>
      <c r="BH1354" s="147"/>
      <c r="BI1354" s="147"/>
      <c r="BJ1354" s="147"/>
      <c r="BK1354" s="147"/>
      <c r="BL1354" s="147"/>
      <c r="BM1354" s="147"/>
      <c r="BN1354" s="147"/>
      <c r="BO1354" s="147"/>
      <c r="BP1354" s="147"/>
      <c r="BQ1354" s="147"/>
      <c r="BR1354" s="147"/>
      <c r="BS1354" s="147"/>
      <c r="BT1354" s="147"/>
      <c r="BU1354" s="147"/>
      <c r="BV1354" s="147"/>
      <c r="BW1354" s="147"/>
      <c r="BX1354" s="147"/>
      <c r="BY1354" s="147"/>
      <c r="BZ1354" s="147"/>
      <c r="CA1354" s="147"/>
      <c r="CB1354" s="147"/>
      <c r="CC1354" s="147"/>
      <c r="CD1354" s="147"/>
      <c r="CE1354" s="147"/>
      <c r="CF1354" s="147"/>
      <c r="CG1354" s="147"/>
      <c r="CH1354" s="147"/>
      <c r="CI1354" s="147"/>
      <c r="CJ1354" s="147"/>
      <c r="CK1354" s="147"/>
    </row>
    <row r="1355" spans="1:89">
      <c r="A1355" s="157"/>
      <c r="F1355" s="3"/>
      <c r="G1355" s="3"/>
      <c r="L1355" s="157"/>
      <c r="M1355" s="157"/>
      <c r="O1355" s="147"/>
      <c r="P1355" s="147"/>
      <c r="Q1355" s="147"/>
      <c r="R1355" s="147"/>
      <c r="S1355" s="147"/>
      <c r="T1355" s="147"/>
      <c r="U1355" s="147"/>
      <c r="V1355" s="147"/>
      <c r="W1355" s="147"/>
      <c r="X1355" s="147"/>
      <c r="Y1355" s="147"/>
      <c r="Z1355" s="147"/>
      <c r="AA1355" s="147"/>
      <c r="AB1355" s="147"/>
      <c r="AC1355" s="147"/>
      <c r="AD1355" s="147"/>
      <c r="AE1355" s="147"/>
      <c r="AF1355" s="147"/>
      <c r="AG1355" s="147"/>
      <c r="AH1355" s="147"/>
      <c r="AI1355" s="147"/>
      <c r="AJ1355" s="147"/>
      <c r="AK1355" s="147"/>
      <c r="AL1355" s="147"/>
      <c r="AM1355" s="151"/>
      <c r="AN1355" s="147"/>
      <c r="AO1355" s="147"/>
      <c r="AP1355" s="147"/>
      <c r="AQ1355" s="147"/>
      <c r="AR1355" s="147"/>
      <c r="AS1355" s="147"/>
      <c r="AT1355" s="147"/>
      <c r="AU1355" s="147"/>
      <c r="AV1355" s="147"/>
      <c r="AW1355" s="147"/>
      <c r="AX1355" s="147"/>
      <c r="AY1355" s="147"/>
      <c r="AZ1355" s="147"/>
      <c r="BA1355" s="147"/>
      <c r="BB1355" s="147"/>
      <c r="BC1355" s="147"/>
      <c r="BD1355" s="147"/>
      <c r="BE1355" s="147"/>
      <c r="BF1355" s="147"/>
      <c r="BG1355" s="147"/>
      <c r="BH1355" s="147"/>
      <c r="BI1355" s="147"/>
      <c r="BJ1355" s="147"/>
      <c r="BK1355" s="147"/>
      <c r="BL1355" s="147"/>
      <c r="BM1355" s="147"/>
      <c r="BN1355" s="147"/>
      <c r="BO1355" s="147"/>
      <c r="BP1355" s="147"/>
      <c r="BQ1355" s="147"/>
      <c r="BR1355" s="147"/>
      <c r="BS1355" s="147"/>
      <c r="BT1355" s="147"/>
      <c r="BU1355" s="147"/>
      <c r="BV1355" s="147"/>
      <c r="BW1355" s="147"/>
      <c r="BX1355" s="147"/>
      <c r="BY1355" s="147"/>
      <c r="BZ1355" s="147"/>
      <c r="CA1355" s="147"/>
      <c r="CB1355" s="147"/>
      <c r="CC1355" s="147"/>
      <c r="CD1355" s="147"/>
      <c r="CE1355" s="147"/>
      <c r="CF1355" s="147"/>
      <c r="CG1355" s="147"/>
      <c r="CH1355" s="147"/>
      <c r="CI1355" s="147"/>
      <c r="CJ1355" s="147"/>
      <c r="CK1355" s="147"/>
    </row>
    <row r="1356" spans="1:89">
      <c r="A1356" s="157"/>
      <c r="F1356" s="3"/>
      <c r="G1356" s="3"/>
      <c r="L1356" s="157"/>
      <c r="M1356" s="157"/>
      <c r="O1356" s="147"/>
      <c r="P1356" s="147"/>
      <c r="Q1356" s="147"/>
      <c r="R1356" s="147"/>
      <c r="S1356" s="147"/>
      <c r="T1356" s="147"/>
      <c r="U1356" s="147"/>
      <c r="V1356" s="147"/>
      <c r="W1356" s="147"/>
      <c r="X1356" s="147"/>
      <c r="Y1356" s="147"/>
      <c r="Z1356" s="147"/>
      <c r="AA1356" s="147"/>
      <c r="AB1356" s="147"/>
      <c r="AC1356" s="147"/>
      <c r="AD1356" s="147"/>
      <c r="AE1356" s="147"/>
      <c r="AF1356" s="147"/>
      <c r="AG1356" s="147"/>
      <c r="AH1356" s="147"/>
      <c r="AI1356" s="147"/>
      <c r="AJ1356" s="147"/>
      <c r="AK1356" s="147"/>
      <c r="AL1356" s="147"/>
      <c r="AM1356" s="151"/>
      <c r="AN1356" s="147"/>
      <c r="AO1356" s="147"/>
      <c r="AP1356" s="147"/>
      <c r="AQ1356" s="147"/>
      <c r="AR1356" s="147"/>
      <c r="AS1356" s="147"/>
      <c r="AT1356" s="147"/>
      <c r="AU1356" s="147"/>
      <c r="AV1356" s="147"/>
      <c r="AW1356" s="147"/>
      <c r="AX1356" s="147"/>
      <c r="AY1356" s="147"/>
      <c r="AZ1356" s="147"/>
      <c r="BA1356" s="147"/>
      <c r="BB1356" s="147"/>
      <c r="BC1356" s="147"/>
      <c r="BD1356" s="147"/>
      <c r="BE1356" s="147"/>
      <c r="BF1356" s="147"/>
      <c r="BG1356" s="147"/>
      <c r="BH1356" s="147"/>
      <c r="BI1356" s="147"/>
      <c r="BJ1356" s="147"/>
      <c r="BK1356" s="147"/>
      <c r="BL1356" s="147"/>
      <c r="BM1356" s="147"/>
      <c r="BN1356" s="147"/>
      <c r="BO1356" s="147"/>
      <c r="BP1356" s="147"/>
      <c r="BQ1356" s="147"/>
      <c r="BR1356" s="147"/>
      <c r="BS1356" s="147"/>
      <c r="BT1356" s="147"/>
      <c r="BU1356" s="147"/>
      <c r="BV1356" s="147"/>
      <c r="BW1356" s="147"/>
      <c r="BX1356" s="147"/>
      <c r="BY1356" s="147"/>
      <c r="BZ1356" s="147"/>
      <c r="CA1356" s="147"/>
      <c r="CB1356" s="147"/>
      <c r="CC1356" s="147"/>
      <c r="CD1356" s="147"/>
      <c r="CE1356" s="147"/>
      <c r="CF1356" s="147"/>
      <c r="CG1356" s="147"/>
      <c r="CH1356" s="147"/>
      <c r="CI1356" s="147"/>
      <c r="CJ1356" s="147"/>
      <c r="CK1356" s="147"/>
    </row>
    <row r="1357" spans="1:89">
      <c r="A1357" s="157"/>
      <c r="F1357" s="3"/>
      <c r="G1357" s="3"/>
      <c r="L1357" s="157"/>
      <c r="M1357" s="157"/>
      <c r="O1357" s="147"/>
      <c r="P1357" s="147"/>
      <c r="Q1357" s="147"/>
      <c r="R1357" s="147"/>
      <c r="S1357" s="147"/>
      <c r="T1357" s="147"/>
      <c r="U1357" s="147"/>
      <c r="V1357" s="147"/>
      <c r="W1357" s="147"/>
      <c r="X1357" s="147"/>
      <c r="Y1357" s="147"/>
      <c r="Z1357" s="147"/>
      <c r="AA1357" s="147"/>
      <c r="AB1357" s="147"/>
      <c r="AC1357" s="147"/>
      <c r="AD1357" s="147"/>
      <c r="AE1357" s="147"/>
      <c r="AF1357" s="147"/>
      <c r="AG1357" s="147"/>
      <c r="AH1357" s="147"/>
      <c r="AI1357" s="147"/>
      <c r="AJ1357" s="147"/>
      <c r="AK1357" s="147"/>
      <c r="AL1357" s="147"/>
      <c r="AM1357" s="151"/>
      <c r="AN1357" s="147"/>
      <c r="AO1357" s="147"/>
      <c r="AP1357" s="147"/>
      <c r="AQ1357" s="147"/>
      <c r="AR1357" s="147"/>
      <c r="AS1357" s="147"/>
      <c r="AT1357" s="147"/>
      <c r="AU1357" s="147"/>
      <c r="AV1357" s="147"/>
      <c r="AW1357" s="147"/>
      <c r="AX1357" s="147"/>
      <c r="AY1357" s="147"/>
      <c r="AZ1357" s="147"/>
      <c r="BA1357" s="147"/>
      <c r="BB1357" s="147"/>
      <c r="BC1357" s="147"/>
      <c r="BD1357" s="147"/>
      <c r="BE1357" s="147"/>
      <c r="BF1357" s="147"/>
      <c r="BG1357" s="147"/>
      <c r="BH1357" s="147"/>
      <c r="BI1357" s="147"/>
      <c r="BJ1357" s="147"/>
      <c r="BK1357" s="147"/>
      <c r="BL1357" s="147"/>
      <c r="BM1357" s="147"/>
      <c r="BN1357" s="147"/>
      <c r="BO1357" s="147"/>
      <c r="BP1357" s="147"/>
      <c r="BQ1357" s="147"/>
      <c r="BR1357" s="147"/>
      <c r="BS1357" s="147"/>
      <c r="BT1357" s="147"/>
      <c r="BU1357" s="147"/>
      <c r="BV1357" s="147"/>
      <c r="BW1357" s="147"/>
      <c r="BX1357" s="147"/>
      <c r="BY1357" s="147"/>
      <c r="BZ1357" s="147"/>
      <c r="CA1357" s="147"/>
      <c r="CB1357" s="147"/>
      <c r="CC1357" s="147"/>
      <c r="CD1357" s="147"/>
      <c r="CE1357" s="147"/>
      <c r="CF1357" s="147"/>
      <c r="CG1357" s="147"/>
      <c r="CH1357" s="147"/>
      <c r="CI1357" s="147"/>
      <c r="CJ1357" s="147"/>
      <c r="CK1357" s="147"/>
    </row>
    <row r="1358" spans="1:89">
      <c r="A1358" s="157"/>
      <c r="F1358" s="3"/>
      <c r="G1358" s="3"/>
      <c r="L1358" s="157"/>
      <c r="M1358" s="157"/>
      <c r="O1358" s="147"/>
      <c r="P1358" s="147"/>
      <c r="Q1358" s="147"/>
      <c r="R1358" s="147"/>
      <c r="S1358" s="147"/>
      <c r="T1358" s="147"/>
      <c r="U1358" s="147"/>
      <c r="V1358" s="147"/>
      <c r="W1358" s="147"/>
      <c r="X1358" s="147"/>
      <c r="Y1358" s="147"/>
      <c r="Z1358" s="147"/>
      <c r="AA1358" s="147"/>
      <c r="AB1358" s="147"/>
      <c r="AC1358" s="147"/>
      <c r="AD1358" s="147"/>
      <c r="AE1358" s="147"/>
      <c r="AF1358" s="147"/>
      <c r="AG1358" s="147"/>
      <c r="AH1358" s="147"/>
      <c r="AI1358" s="147"/>
      <c r="AJ1358" s="147"/>
      <c r="AK1358" s="147"/>
      <c r="AL1358" s="147"/>
      <c r="AM1358" s="151"/>
      <c r="AN1358" s="147"/>
      <c r="AO1358" s="147"/>
      <c r="AP1358" s="147"/>
      <c r="AQ1358" s="147"/>
      <c r="AR1358" s="147"/>
      <c r="AS1358" s="147"/>
      <c r="AT1358" s="147"/>
      <c r="AU1358" s="147"/>
      <c r="AV1358" s="147"/>
      <c r="AW1358" s="147"/>
      <c r="AX1358" s="147"/>
      <c r="AY1358" s="147"/>
      <c r="AZ1358" s="147"/>
      <c r="BA1358" s="147"/>
      <c r="BB1358" s="147"/>
      <c r="BC1358" s="147"/>
      <c r="BD1358" s="147"/>
      <c r="BE1358" s="147"/>
      <c r="BF1358" s="147"/>
      <c r="BG1358" s="147"/>
      <c r="BH1358" s="147"/>
      <c r="BI1358" s="147"/>
      <c r="BJ1358" s="147"/>
      <c r="BK1358" s="147"/>
      <c r="BL1358" s="147"/>
      <c r="BM1358" s="147"/>
      <c r="BN1358" s="147"/>
      <c r="BO1358" s="147"/>
      <c r="BP1358" s="147"/>
      <c r="BQ1358" s="147"/>
      <c r="BR1358" s="147"/>
      <c r="BS1358" s="147"/>
      <c r="BT1358" s="147"/>
      <c r="BU1358" s="147"/>
      <c r="BV1358" s="147"/>
      <c r="BW1358" s="147"/>
      <c r="BX1358" s="147"/>
      <c r="BY1358" s="147"/>
      <c r="BZ1358" s="147"/>
      <c r="CA1358" s="147"/>
      <c r="CB1358" s="147"/>
      <c r="CC1358" s="147"/>
      <c r="CD1358" s="147"/>
      <c r="CE1358" s="147"/>
      <c r="CF1358" s="147"/>
      <c r="CG1358" s="147"/>
      <c r="CH1358" s="147"/>
      <c r="CI1358" s="147"/>
      <c r="CJ1358" s="147"/>
      <c r="CK1358" s="147"/>
    </row>
    <row r="1359" spans="1:89">
      <c r="A1359" s="157"/>
      <c r="F1359" s="3"/>
      <c r="G1359" s="3"/>
      <c r="L1359" s="157"/>
      <c r="M1359" s="157"/>
      <c r="O1359" s="147"/>
      <c r="P1359" s="147"/>
      <c r="Q1359" s="147"/>
      <c r="R1359" s="147"/>
      <c r="S1359" s="147"/>
      <c r="T1359" s="147"/>
      <c r="U1359" s="147"/>
      <c r="V1359" s="147"/>
      <c r="W1359" s="147"/>
      <c r="X1359" s="147"/>
      <c r="Y1359" s="147"/>
      <c r="Z1359" s="147"/>
      <c r="AA1359" s="147"/>
      <c r="AB1359" s="147"/>
      <c r="AC1359" s="147"/>
      <c r="AD1359" s="147"/>
      <c r="AE1359" s="147"/>
      <c r="AF1359" s="147"/>
      <c r="AG1359" s="147"/>
      <c r="AH1359" s="147"/>
      <c r="AI1359" s="147"/>
      <c r="AJ1359" s="147"/>
      <c r="AK1359" s="147"/>
      <c r="AL1359" s="147"/>
      <c r="AM1359" s="151"/>
      <c r="AN1359" s="147"/>
      <c r="AO1359" s="147"/>
      <c r="AP1359" s="147"/>
      <c r="AQ1359" s="147"/>
      <c r="AR1359" s="147"/>
      <c r="AS1359" s="147"/>
      <c r="AT1359" s="147"/>
      <c r="AU1359" s="147"/>
      <c r="AV1359" s="147"/>
      <c r="AW1359" s="147"/>
      <c r="AX1359" s="147"/>
      <c r="AY1359" s="147"/>
      <c r="AZ1359" s="147"/>
      <c r="BA1359" s="147"/>
      <c r="BB1359" s="147"/>
      <c r="BC1359" s="147"/>
      <c r="BD1359" s="147"/>
      <c r="BE1359" s="147"/>
      <c r="BF1359" s="147"/>
      <c r="BG1359" s="147"/>
      <c r="BH1359" s="147"/>
      <c r="BI1359" s="147"/>
      <c r="BJ1359" s="147"/>
      <c r="BK1359" s="147"/>
      <c r="BL1359" s="147"/>
      <c r="BM1359" s="147"/>
      <c r="BN1359" s="147"/>
      <c r="BO1359" s="147"/>
      <c r="BP1359" s="147"/>
      <c r="BQ1359" s="147"/>
      <c r="BR1359" s="147"/>
      <c r="BS1359" s="147"/>
      <c r="BT1359" s="147"/>
      <c r="BU1359" s="147"/>
      <c r="BV1359" s="147"/>
      <c r="BW1359" s="147"/>
      <c r="BX1359" s="147"/>
      <c r="BY1359" s="147"/>
      <c r="BZ1359" s="147"/>
      <c r="CA1359" s="147"/>
      <c r="CB1359" s="147"/>
      <c r="CC1359" s="147"/>
      <c r="CD1359" s="147"/>
      <c r="CE1359" s="147"/>
      <c r="CF1359" s="147"/>
      <c r="CG1359" s="147"/>
      <c r="CH1359" s="147"/>
      <c r="CI1359" s="147"/>
      <c r="CJ1359" s="147"/>
      <c r="CK1359" s="147"/>
    </row>
    <row r="1360" spans="1:89">
      <c r="A1360" s="157"/>
      <c r="F1360" s="3"/>
      <c r="G1360" s="3"/>
      <c r="L1360" s="157"/>
      <c r="M1360" s="157"/>
      <c r="O1360" s="147"/>
      <c r="P1360" s="147"/>
      <c r="Q1360" s="147"/>
      <c r="R1360" s="147"/>
      <c r="S1360" s="147"/>
      <c r="T1360" s="147"/>
      <c r="U1360" s="147"/>
      <c r="V1360" s="147"/>
      <c r="W1360" s="147"/>
      <c r="X1360" s="147"/>
      <c r="Y1360" s="147"/>
      <c r="Z1360" s="147"/>
      <c r="AA1360" s="147"/>
      <c r="AB1360" s="147"/>
      <c r="AC1360" s="147"/>
      <c r="AD1360" s="147"/>
      <c r="AE1360" s="147"/>
      <c r="AF1360" s="147"/>
      <c r="AG1360" s="147"/>
      <c r="AH1360" s="147"/>
      <c r="AI1360" s="147"/>
      <c r="AJ1360" s="147"/>
      <c r="AK1360" s="147"/>
      <c r="AL1360" s="147"/>
      <c r="AM1360" s="151"/>
      <c r="AN1360" s="147"/>
      <c r="AO1360" s="147"/>
      <c r="AP1360" s="147"/>
      <c r="AQ1360" s="147"/>
      <c r="AR1360" s="147"/>
      <c r="AS1360" s="147"/>
      <c r="AT1360" s="147"/>
      <c r="AU1360" s="147"/>
      <c r="AV1360" s="147"/>
      <c r="AW1360" s="147"/>
      <c r="AX1360" s="147"/>
      <c r="AY1360" s="147"/>
      <c r="AZ1360" s="147"/>
      <c r="BA1360" s="147"/>
      <c r="BB1360" s="147"/>
      <c r="BC1360" s="147"/>
      <c r="BD1360" s="147"/>
      <c r="BE1360" s="147"/>
      <c r="BF1360" s="147"/>
      <c r="BG1360" s="147"/>
      <c r="BH1360" s="147"/>
      <c r="BI1360" s="147"/>
      <c r="BJ1360" s="147"/>
      <c r="BK1360" s="147"/>
      <c r="BL1360" s="147"/>
      <c r="BM1360" s="147"/>
      <c r="BN1360" s="147"/>
      <c r="BO1360" s="147"/>
      <c r="BP1360" s="147"/>
      <c r="BQ1360" s="147"/>
      <c r="BR1360" s="147"/>
      <c r="BS1360" s="147"/>
      <c r="BT1360" s="147"/>
      <c r="BU1360" s="147"/>
      <c r="BV1360" s="147"/>
      <c r="BW1360" s="147"/>
      <c r="BX1360" s="147"/>
      <c r="BY1360" s="147"/>
      <c r="BZ1360" s="147"/>
      <c r="CA1360" s="147"/>
      <c r="CB1360" s="147"/>
      <c r="CC1360" s="147"/>
      <c r="CD1360" s="147"/>
      <c r="CE1360" s="147"/>
      <c r="CF1360" s="147"/>
      <c r="CG1360" s="147"/>
      <c r="CH1360" s="147"/>
      <c r="CI1360" s="147"/>
      <c r="CJ1360" s="147"/>
      <c r="CK1360" s="147"/>
    </row>
    <row r="1361" spans="1:89">
      <c r="A1361" s="157"/>
      <c r="F1361" s="3"/>
      <c r="G1361" s="3"/>
      <c r="L1361" s="157"/>
      <c r="M1361" s="157"/>
      <c r="O1361" s="147"/>
      <c r="P1361" s="147"/>
      <c r="Q1361" s="147"/>
      <c r="R1361" s="147"/>
      <c r="S1361" s="147"/>
      <c r="T1361" s="147"/>
      <c r="U1361" s="147"/>
      <c r="V1361" s="147"/>
      <c r="W1361" s="147"/>
      <c r="X1361" s="147"/>
      <c r="Y1361" s="147"/>
      <c r="Z1361" s="147"/>
      <c r="AA1361" s="147"/>
      <c r="AB1361" s="147"/>
      <c r="AC1361" s="147"/>
      <c r="AD1361" s="147"/>
      <c r="AE1361" s="147"/>
      <c r="AF1361" s="147"/>
      <c r="AG1361" s="147"/>
      <c r="AH1361" s="147"/>
      <c r="AI1361" s="147"/>
      <c r="AJ1361" s="147"/>
      <c r="AK1361" s="147"/>
      <c r="AL1361" s="147"/>
      <c r="AM1361" s="151"/>
      <c r="AN1361" s="147"/>
      <c r="AO1361" s="147"/>
      <c r="AP1361" s="147"/>
      <c r="AQ1361" s="147"/>
      <c r="AR1361" s="147"/>
      <c r="AS1361" s="147"/>
      <c r="AT1361" s="147"/>
      <c r="AU1361" s="147"/>
      <c r="AV1361" s="147"/>
      <c r="AW1361" s="147"/>
      <c r="AX1361" s="147"/>
      <c r="AY1361" s="147"/>
      <c r="AZ1361" s="147"/>
      <c r="BA1361" s="147"/>
      <c r="BB1361" s="147"/>
      <c r="BC1361" s="147"/>
      <c r="BD1361" s="147"/>
      <c r="BE1361" s="147"/>
      <c r="BF1361" s="147"/>
      <c r="BG1361" s="147"/>
      <c r="BH1361" s="147"/>
      <c r="BI1361" s="147"/>
      <c r="BJ1361" s="147"/>
      <c r="BK1361" s="147"/>
      <c r="BL1361" s="147"/>
      <c r="BM1361" s="147"/>
      <c r="BN1361" s="147"/>
      <c r="BO1361" s="147"/>
      <c r="BP1361" s="147"/>
      <c r="BQ1361" s="147"/>
      <c r="BR1361" s="147"/>
      <c r="BS1361" s="147"/>
      <c r="BT1361" s="147"/>
      <c r="BU1361" s="147"/>
      <c r="BV1361" s="147"/>
      <c r="BW1361" s="147"/>
      <c r="BX1361" s="147"/>
      <c r="BY1361" s="147"/>
      <c r="BZ1361" s="147"/>
      <c r="CA1361" s="147"/>
      <c r="CB1361" s="147"/>
      <c r="CC1361" s="147"/>
      <c r="CD1361" s="147"/>
      <c r="CE1361" s="147"/>
      <c r="CF1361" s="147"/>
      <c r="CG1361" s="147"/>
      <c r="CH1361" s="147"/>
      <c r="CI1361" s="147"/>
      <c r="CJ1361" s="147"/>
      <c r="CK1361" s="147"/>
    </row>
    <row r="1362" spans="1:89">
      <c r="A1362" s="157"/>
      <c r="F1362" s="3"/>
      <c r="G1362" s="3"/>
      <c r="L1362" s="157"/>
      <c r="M1362" s="157"/>
      <c r="O1362" s="147"/>
      <c r="P1362" s="147"/>
      <c r="Q1362" s="147"/>
      <c r="R1362" s="147"/>
      <c r="S1362" s="147"/>
      <c r="T1362" s="147"/>
      <c r="U1362" s="147"/>
      <c r="V1362" s="147"/>
      <c r="W1362" s="147"/>
      <c r="X1362" s="147"/>
      <c r="Y1362" s="147"/>
      <c r="Z1362" s="147"/>
      <c r="AA1362" s="147"/>
      <c r="AB1362" s="147"/>
      <c r="AC1362" s="147"/>
      <c r="AD1362" s="147"/>
      <c r="AE1362" s="147"/>
      <c r="AF1362" s="147"/>
      <c r="AG1362" s="147"/>
      <c r="AH1362" s="147"/>
      <c r="AI1362" s="147"/>
      <c r="AJ1362" s="147"/>
      <c r="AK1362" s="147"/>
      <c r="AL1362" s="147"/>
      <c r="AM1362" s="151"/>
      <c r="AN1362" s="147"/>
      <c r="AO1362" s="147"/>
      <c r="AP1362" s="147"/>
      <c r="AQ1362" s="147"/>
      <c r="AR1362" s="147"/>
      <c r="AS1362" s="147"/>
      <c r="AT1362" s="147"/>
      <c r="AU1362" s="147"/>
      <c r="AV1362" s="147"/>
      <c r="AW1362" s="147"/>
      <c r="AX1362" s="147"/>
      <c r="AY1362" s="147"/>
      <c r="AZ1362" s="147"/>
      <c r="BA1362" s="147"/>
      <c r="BB1362" s="147"/>
      <c r="BC1362" s="147"/>
      <c r="BD1362" s="147"/>
      <c r="BE1362" s="147"/>
      <c r="BF1362" s="147"/>
      <c r="BG1362" s="147"/>
      <c r="BH1362" s="147"/>
      <c r="BI1362" s="147"/>
      <c r="BJ1362" s="147"/>
      <c r="BK1362" s="147"/>
      <c r="BL1362" s="147"/>
      <c r="BM1362" s="147"/>
      <c r="BN1362" s="147"/>
      <c r="BO1362" s="147"/>
      <c r="BP1362" s="147"/>
      <c r="BQ1362" s="147"/>
      <c r="BR1362" s="147"/>
      <c r="BS1362" s="147"/>
      <c r="BT1362" s="147"/>
      <c r="BU1362" s="147"/>
      <c r="BV1362" s="147"/>
      <c r="BW1362" s="147"/>
      <c r="BX1362" s="147"/>
      <c r="BY1362" s="147"/>
      <c r="BZ1362" s="147"/>
      <c r="CA1362" s="147"/>
      <c r="CB1362" s="147"/>
      <c r="CC1362" s="147"/>
      <c r="CD1362" s="147"/>
      <c r="CE1362" s="147"/>
      <c r="CF1362" s="147"/>
      <c r="CG1362" s="147"/>
      <c r="CH1362" s="147"/>
      <c r="CI1362" s="147"/>
      <c r="CJ1362" s="147"/>
      <c r="CK1362" s="147"/>
    </row>
    <row r="1363" spans="1:89">
      <c r="A1363" s="157"/>
      <c r="F1363" s="3"/>
      <c r="G1363" s="3"/>
      <c r="L1363" s="157"/>
      <c r="M1363" s="157"/>
      <c r="O1363" s="147"/>
      <c r="P1363" s="147"/>
      <c r="Q1363" s="147"/>
      <c r="R1363" s="147"/>
      <c r="S1363" s="147"/>
      <c r="T1363" s="147"/>
      <c r="U1363" s="147"/>
      <c r="V1363" s="147"/>
      <c r="W1363" s="147"/>
      <c r="X1363" s="147"/>
      <c r="Y1363" s="147"/>
      <c r="Z1363" s="147"/>
      <c r="AA1363" s="147"/>
      <c r="AB1363" s="147"/>
      <c r="AC1363" s="147"/>
      <c r="AD1363" s="147"/>
      <c r="AE1363" s="147"/>
      <c r="AF1363" s="147"/>
      <c r="AG1363" s="147"/>
      <c r="AH1363" s="147"/>
      <c r="AI1363" s="147"/>
      <c r="AJ1363" s="147"/>
      <c r="AK1363" s="147"/>
      <c r="AL1363" s="147"/>
      <c r="AM1363" s="151"/>
      <c r="AN1363" s="147"/>
      <c r="AO1363" s="147"/>
      <c r="AP1363" s="147"/>
      <c r="AQ1363" s="147"/>
      <c r="AR1363" s="147"/>
      <c r="AS1363" s="147"/>
      <c r="AT1363" s="147"/>
      <c r="AU1363" s="147"/>
      <c r="AV1363" s="147"/>
      <c r="AW1363" s="147"/>
      <c r="AX1363" s="147"/>
      <c r="AY1363" s="147"/>
      <c r="AZ1363" s="147"/>
      <c r="BA1363" s="147"/>
      <c r="BB1363" s="147"/>
      <c r="BC1363" s="147"/>
      <c r="BD1363" s="147"/>
      <c r="BE1363" s="147"/>
      <c r="BF1363" s="147"/>
      <c r="BG1363" s="147"/>
      <c r="BH1363" s="147"/>
      <c r="BI1363" s="147"/>
      <c r="BJ1363" s="147"/>
      <c r="BK1363" s="147"/>
      <c r="BL1363" s="147"/>
      <c r="BM1363" s="147"/>
      <c r="BN1363" s="147"/>
      <c r="BO1363" s="147"/>
      <c r="BP1363" s="147"/>
      <c r="BQ1363" s="147"/>
      <c r="BR1363" s="147"/>
      <c r="BS1363" s="147"/>
      <c r="BT1363" s="147"/>
      <c r="BU1363" s="147"/>
      <c r="BV1363" s="147"/>
      <c r="BW1363" s="147"/>
      <c r="BX1363" s="147"/>
      <c r="BY1363" s="147"/>
      <c r="BZ1363" s="147"/>
      <c r="CA1363" s="147"/>
      <c r="CB1363" s="147"/>
      <c r="CC1363" s="147"/>
      <c r="CD1363" s="147"/>
      <c r="CE1363" s="147"/>
      <c r="CF1363" s="147"/>
      <c r="CG1363" s="147"/>
      <c r="CH1363" s="147"/>
      <c r="CI1363" s="147"/>
      <c r="CJ1363" s="147"/>
      <c r="CK1363" s="147"/>
    </row>
    <row r="1364" spans="1:89">
      <c r="A1364" s="157"/>
      <c r="F1364" s="3"/>
      <c r="G1364" s="3"/>
      <c r="L1364" s="157"/>
      <c r="M1364" s="157"/>
      <c r="O1364" s="147"/>
      <c r="P1364" s="147"/>
      <c r="Q1364" s="147"/>
      <c r="R1364" s="147"/>
      <c r="S1364" s="147"/>
      <c r="T1364" s="147"/>
      <c r="U1364" s="147"/>
      <c r="V1364" s="147"/>
      <c r="W1364" s="147"/>
      <c r="X1364" s="147"/>
      <c r="Y1364" s="147"/>
      <c r="Z1364" s="147"/>
      <c r="AA1364" s="147"/>
      <c r="AB1364" s="147"/>
      <c r="AC1364" s="147"/>
      <c r="AD1364" s="147"/>
      <c r="AE1364" s="147"/>
      <c r="AF1364" s="147"/>
      <c r="AG1364" s="147"/>
      <c r="AH1364" s="147"/>
      <c r="AI1364" s="147"/>
      <c r="AJ1364" s="147"/>
      <c r="AK1364" s="147"/>
      <c r="AL1364" s="147"/>
      <c r="AM1364" s="151"/>
      <c r="AN1364" s="147"/>
      <c r="AO1364" s="147"/>
      <c r="AP1364" s="147"/>
      <c r="AQ1364" s="147"/>
      <c r="AR1364" s="147"/>
      <c r="AS1364" s="147"/>
      <c r="AT1364" s="147"/>
      <c r="AU1364" s="147"/>
      <c r="AV1364" s="147"/>
      <c r="AW1364" s="147"/>
      <c r="AX1364" s="147"/>
      <c r="AY1364" s="147"/>
      <c r="AZ1364" s="147"/>
      <c r="BA1364" s="147"/>
      <c r="BB1364" s="147"/>
      <c r="BC1364" s="147"/>
      <c r="BD1364" s="147"/>
      <c r="BE1364" s="147"/>
      <c r="BF1364" s="147"/>
      <c r="BG1364" s="147"/>
      <c r="BH1364" s="147"/>
      <c r="BI1364" s="147"/>
      <c r="BJ1364" s="147"/>
      <c r="BK1364" s="147"/>
      <c r="BL1364" s="147"/>
      <c r="BM1364" s="147"/>
      <c r="BN1364" s="147"/>
      <c r="BO1364" s="147"/>
      <c r="BP1364" s="147"/>
      <c r="BQ1364" s="147"/>
      <c r="BR1364" s="147"/>
      <c r="BS1364" s="147"/>
      <c r="BT1364" s="147"/>
      <c r="BU1364" s="147"/>
      <c r="BV1364" s="147"/>
      <c r="BW1364" s="147"/>
      <c r="BX1364" s="147"/>
      <c r="BY1364" s="147"/>
      <c r="BZ1364" s="147"/>
      <c r="CA1364" s="147"/>
      <c r="CB1364" s="147"/>
      <c r="CC1364" s="147"/>
      <c r="CD1364" s="147"/>
      <c r="CE1364" s="147"/>
      <c r="CF1364" s="147"/>
      <c r="CG1364" s="147"/>
      <c r="CH1364" s="147"/>
      <c r="CI1364" s="147"/>
      <c r="CJ1364" s="147"/>
      <c r="CK1364" s="147"/>
    </row>
    <row r="1365" spans="1:89">
      <c r="A1365" s="157"/>
      <c r="F1365" s="3"/>
      <c r="G1365" s="3"/>
      <c r="L1365" s="157"/>
      <c r="M1365" s="157"/>
      <c r="O1365" s="147"/>
      <c r="P1365" s="147"/>
      <c r="Q1365" s="147"/>
      <c r="R1365" s="147"/>
      <c r="S1365" s="147"/>
      <c r="T1365" s="147"/>
      <c r="U1365" s="147"/>
      <c r="V1365" s="147"/>
      <c r="W1365" s="147"/>
      <c r="X1365" s="147"/>
      <c r="Y1365" s="147"/>
      <c r="Z1365" s="147"/>
      <c r="AA1365" s="147"/>
      <c r="AB1365" s="147"/>
      <c r="AC1365" s="147"/>
      <c r="AD1365" s="147"/>
      <c r="AE1365" s="147"/>
      <c r="AF1365" s="147"/>
      <c r="AG1365" s="147"/>
      <c r="AH1365" s="147"/>
      <c r="AI1365" s="147"/>
      <c r="AJ1365" s="147"/>
      <c r="AK1365" s="147"/>
      <c r="AL1365" s="147"/>
      <c r="AM1365" s="151"/>
      <c r="AN1365" s="147"/>
      <c r="AO1365" s="147"/>
      <c r="AP1365" s="147"/>
      <c r="AQ1365" s="147"/>
      <c r="AR1365" s="147"/>
      <c r="AS1365" s="147"/>
      <c r="AT1365" s="147"/>
      <c r="AU1365" s="147"/>
      <c r="AV1365" s="147"/>
      <c r="AW1365" s="147"/>
      <c r="AX1365" s="147"/>
      <c r="AY1365" s="147"/>
      <c r="AZ1365" s="147"/>
      <c r="BA1365" s="147"/>
      <c r="BB1365" s="147"/>
      <c r="BC1365" s="147"/>
      <c r="BD1365" s="147"/>
      <c r="BE1365" s="147"/>
      <c r="BF1365" s="147"/>
      <c r="BG1365" s="147"/>
      <c r="BH1365" s="147"/>
      <c r="BI1365" s="147"/>
      <c r="BJ1365" s="147"/>
      <c r="BK1365" s="147"/>
      <c r="BL1365" s="147"/>
      <c r="BM1365" s="147"/>
      <c r="BN1365" s="147"/>
      <c r="BO1365" s="147"/>
      <c r="BP1365" s="147"/>
      <c r="BQ1365" s="147"/>
      <c r="BR1365" s="147"/>
      <c r="BS1365" s="147"/>
      <c r="BT1365" s="147"/>
      <c r="BU1365" s="147"/>
      <c r="BV1365" s="147"/>
      <c r="BW1365" s="147"/>
      <c r="BX1365" s="147"/>
      <c r="BY1365" s="147"/>
      <c r="BZ1365" s="147"/>
      <c r="CA1365" s="147"/>
      <c r="CB1365" s="147"/>
      <c r="CC1365" s="147"/>
      <c r="CD1365" s="147"/>
      <c r="CE1365" s="147"/>
      <c r="CF1365" s="147"/>
      <c r="CG1365" s="147"/>
      <c r="CH1365" s="147"/>
      <c r="CI1365" s="147"/>
      <c r="CJ1365" s="147"/>
      <c r="CK1365" s="147"/>
    </row>
    <row r="1366" spans="1:89">
      <c r="A1366" s="157"/>
      <c r="F1366" s="3"/>
      <c r="G1366" s="3"/>
      <c r="L1366" s="157"/>
      <c r="M1366" s="157"/>
      <c r="O1366" s="147"/>
      <c r="P1366" s="147"/>
      <c r="Q1366" s="147"/>
      <c r="R1366" s="147"/>
      <c r="S1366" s="147"/>
      <c r="T1366" s="147"/>
      <c r="U1366" s="147"/>
      <c r="V1366" s="147"/>
      <c r="W1366" s="147"/>
      <c r="X1366" s="147"/>
      <c r="Y1366" s="147"/>
      <c r="Z1366" s="147"/>
      <c r="AA1366" s="147"/>
      <c r="AB1366" s="147"/>
      <c r="AC1366" s="147"/>
      <c r="AD1366" s="147"/>
      <c r="AE1366" s="147"/>
      <c r="AF1366" s="147"/>
      <c r="AG1366" s="147"/>
      <c r="AH1366" s="147"/>
      <c r="AI1366" s="147"/>
      <c r="AJ1366" s="147"/>
      <c r="AK1366" s="147"/>
      <c r="AL1366" s="147"/>
      <c r="AM1366" s="151"/>
      <c r="AN1366" s="147"/>
      <c r="AO1366" s="147"/>
      <c r="AP1366" s="147"/>
      <c r="AQ1366" s="147"/>
      <c r="AR1366" s="147"/>
      <c r="AS1366" s="147"/>
      <c r="AT1366" s="147"/>
      <c r="AU1366" s="147"/>
      <c r="AV1366" s="147"/>
      <c r="AW1366" s="147"/>
      <c r="AX1366" s="147"/>
      <c r="AY1366" s="147"/>
      <c r="AZ1366" s="147"/>
      <c r="BA1366" s="147"/>
      <c r="BB1366" s="147"/>
      <c r="BC1366" s="147"/>
      <c r="BD1366" s="147"/>
      <c r="BE1366" s="147"/>
      <c r="BF1366" s="147"/>
      <c r="BG1366" s="147"/>
      <c r="BH1366" s="147"/>
      <c r="BI1366" s="147"/>
      <c r="BJ1366" s="147"/>
      <c r="BK1366" s="147"/>
      <c r="BL1366" s="147"/>
      <c r="BM1366" s="147"/>
      <c r="BN1366" s="147"/>
      <c r="BO1366" s="147"/>
      <c r="BP1366" s="147"/>
      <c r="BQ1366" s="147"/>
      <c r="BR1366" s="147"/>
      <c r="BS1366" s="147"/>
      <c r="BT1366" s="147"/>
      <c r="BU1366" s="147"/>
      <c r="BV1366" s="147"/>
      <c r="BW1366" s="147"/>
      <c r="BX1366" s="147"/>
      <c r="BY1366" s="147"/>
      <c r="BZ1366" s="147"/>
      <c r="CA1366" s="147"/>
      <c r="CB1366" s="147"/>
      <c r="CC1366" s="147"/>
      <c r="CD1366" s="147"/>
      <c r="CE1366" s="147"/>
      <c r="CF1366" s="147"/>
      <c r="CG1366" s="147"/>
      <c r="CH1366" s="147"/>
      <c r="CI1366" s="147"/>
      <c r="CJ1366" s="147"/>
      <c r="CK1366" s="147"/>
    </row>
    <row r="1367" spans="1:89">
      <c r="A1367" s="157"/>
      <c r="F1367" s="3"/>
      <c r="G1367" s="3"/>
      <c r="L1367" s="157"/>
      <c r="M1367" s="157"/>
      <c r="O1367" s="147"/>
      <c r="P1367" s="147"/>
      <c r="Q1367" s="147"/>
      <c r="R1367" s="147"/>
      <c r="S1367" s="147"/>
      <c r="T1367" s="147"/>
      <c r="U1367" s="147"/>
      <c r="V1367" s="147"/>
      <c r="W1367" s="147"/>
      <c r="X1367" s="147"/>
      <c r="Y1367" s="147"/>
      <c r="Z1367" s="147"/>
      <c r="AA1367" s="147"/>
      <c r="AB1367" s="147"/>
      <c r="AC1367" s="147"/>
      <c r="AD1367" s="147"/>
      <c r="AE1367" s="147"/>
      <c r="AF1367" s="147"/>
      <c r="AG1367" s="147"/>
      <c r="AH1367" s="147"/>
      <c r="AI1367" s="147"/>
      <c r="AJ1367" s="147"/>
      <c r="AK1367" s="147"/>
      <c r="AL1367" s="147"/>
      <c r="AM1367" s="151"/>
      <c r="AN1367" s="147"/>
      <c r="AO1367" s="147"/>
      <c r="AP1367" s="147"/>
      <c r="AQ1367" s="147"/>
      <c r="AR1367" s="147"/>
      <c r="AS1367" s="147"/>
      <c r="AT1367" s="147"/>
      <c r="AU1367" s="147"/>
      <c r="AV1367" s="147"/>
      <c r="AW1367" s="147"/>
      <c r="AX1367" s="147"/>
      <c r="AY1367" s="147"/>
      <c r="AZ1367" s="147"/>
      <c r="BA1367" s="147"/>
      <c r="BB1367" s="147"/>
      <c r="BC1367" s="147"/>
      <c r="BD1367" s="147"/>
      <c r="BE1367" s="147"/>
      <c r="BF1367" s="147"/>
      <c r="BG1367" s="147"/>
      <c r="BH1367" s="147"/>
      <c r="BI1367" s="147"/>
      <c r="BJ1367" s="147"/>
      <c r="BK1367" s="147"/>
      <c r="BL1367" s="147"/>
      <c r="BM1367" s="147"/>
      <c r="BN1367" s="147"/>
      <c r="BO1367" s="147"/>
      <c r="BP1367" s="147"/>
      <c r="BQ1367" s="147"/>
      <c r="BR1367" s="147"/>
      <c r="BS1367" s="147"/>
      <c r="BT1367" s="147"/>
      <c r="BU1367" s="147"/>
      <c r="BV1367" s="147"/>
      <c r="BW1367" s="147"/>
      <c r="BX1367" s="147"/>
      <c r="BY1367" s="147"/>
      <c r="BZ1367" s="147"/>
      <c r="CA1367" s="147"/>
      <c r="CB1367" s="147"/>
      <c r="CC1367" s="147"/>
      <c r="CD1367" s="147"/>
      <c r="CE1367" s="147"/>
      <c r="CF1367" s="147"/>
      <c r="CG1367" s="147"/>
      <c r="CH1367" s="147"/>
      <c r="CI1367" s="147"/>
      <c r="CJ1367" s="147"/>
      <c r="CK1367" s="147"/>
    </row>
    <row r="1368" spans="1:89">
      <c r="A1368" s="157"/>
      <c r="F1368" s="3"/>
      <c r="G1368" s="3"/>
      <c r="L1368" s="157"/>
      <c r="M1368" s="157"/>
      <c r="O1368" s="147"/>
      <c r="P1368" s="147"/>
      <c r="Q1368" s="147"/>
      <c r="R1368" s="147"/>
      <c r="S1368" s="147"/>
      <c r="T1368" s="147"/>
      <c r="U1368" s="147"/>
      <c r="V1368" s="147"/>
      <c r="W1368" s="147"/>
      <c r="X1368" s="147"/>
      <c r="Y1368" s="147"/>
      <c r="Z1368" s="147"/>
      <c r="AA1368" s="147"/>
      <c r="AB1368" s="147"/>
      <c r="AC1368" s="147"/>
      <c r="AD1368" s="147"/>
      <c r="AE1368" s="147"/>
      <c r="AF1368" s="147"/>
      <c r="AG1368" s="147"/>
      <c r="AH1368" s="147"/>
      <c r="AI1368" s="147"/>
      <c r="AJ1368" s="147"/>
      <c r="AK1368" s="147"/>
      <c r="AL1368" s="147"/>
      <c r="AM1368" s="151"/>
      <c r="AN1368" s="147"/>
      <c r="AO1368" s="147"/>
      <c r="AP1368" s="147"/>
      <c r="AQ1368" s="147"/>
      <c r="AR1368" s="147"/>
      <c r="AS1368" s="147"/>
      <c r="AT1368" s="147"/>
      <c r="AU1368" s="147"/>
      <c r="AV1368" s="147"/>
      <c r="AW1368" s="147"/>
      <c r="AX1368" s="147"/>
      <c r="AY1368" s="147"/>
      <c r="AZ1368" s="147"/>
      <c r="BA1368" s="147"/>
      <c r="BB1368" s="147"/>
      <c r="BC1368" s="147"/>
      <c r="BD1368" s="147"/>
      <c r="BE1368" s="147"/>
      <c r="BF1368" s="147"/>
      <c r="BG1368" s="147"/>
      <c r="BH1368" s="147"/>
      <c r="BI1368" s="147"/>
      <c r="BJ1368" s="147"/>
      <c r="BK1368" s="147"/>
      <c r="BL1368" s="147"/>
      <c r="BM1368" s="147"/>
      <c r="BN1368" s="147"/>
      <c r="BO1368" s="147"/>
      <c r="BP1368" s="147"/>
      <c r="BQ1368" s="147"/>
      <c r="BR1368" s="147"/>
      <c r="BS1368" s="147"/>
      <c r="BT1368" s="147"/>
      <c r="BU1368" s="147"/>
      <c r="BV1368" s="147"/>
      <c r="BW1368" s="147"/>
      <c r="BX1368" s="147"/>
      <c r="BY1368" s="147"/>
      <c r="BZ1368" s="147"/>
      <c r="CA1368" s="147"/>
      <c r="CB1368" s="147"/>
      <c r="CC1368" s="147"/>
      <c r="CD1368" s="147"/>
      <c r="CE1368" s="147"/>
      <c r="CF1368" s="147"/>
      <c r="CG1368" s="147"/>
      <c r="CH1368" s="147"/>
      <c r="CI1368" s="147"/>
      <c r="CJ1368" s="147"/>
      <c r="CK1368" s="147"/>
    </row>
    <row r="1369" spans="1:89">
      <c r="A1369" s="157"/>
      <c r="F1369" s="3"/>
      <c r="G1369" s="3"/>
      <c r="L1369" s="157"/>
      <c r="M1369" s="157"/>
      <c r="O1369" s="147"/>
      <c r="P1369" s="147"/>
      <c r="Q1369" s="147"/>
      <c r="R1369" s="147"/>
      <c r="S1369" s="147"/>
      <c r="T1369" s="147"/>
      <c r="U1369" s="147"/>
      <c r="V1369" s="147"/>
      <c r="W1369" s="147"/>
      <c r="X1369" s="147"/>
      <c r="Y1369" s="147"/>
      <c r="Z1369" s="147"/>
      <c r="AA1369" s="147"/>
      <c r="AB1369" s="147"/>
      <c r="AC1369" s="147"/>
      <c r="AD1369" s="147"/>
      <c r="AE1369" s="147"/>
      <c r="AF1369" s="147"/>
      <c r="AG1369" s="147"/>
      <c r="AH1369" s="147"/>
      <c r="AI1369" s="147"/>
      <c r="AJ1369" s="147"/>
      <c r="AK1369" s="147"/>
      <c r="AL1369" s="147"/>
      <c r="AM1369" s="151"/>
      <c r="AN1369" s="147"/>
      <c r="AO1369" s="147"/>
      <c r="AP1369" s="147"/>
      <c r="AQ1369" s="147"/>
      <c r="AR1369" s="147"/>
      <c r="AS1369" s="147"/>
      <c r="AT1369" s="147"/>
      <c r="AU1369" s="147"/>
      <c r="AV1369" s="147"/>
      <c r="AW1369" s="147"/>
      <c r="AX1369" s="147"/>
      <c r="AY1369" s="147"/>
      <c r="AZ1369" s="147"/>
      <c r="BA1369" s="147"/>
      <c r="BB1369" s="147"/>
      <c r="BC1369" s="147"/>
      <c r="BD1369" s="147"/>
      <c r="BE1369" s="147"/>
      <c r="BF1369" s="147"/>
      <c r="BG1369" s="147"/>
      <c r="BH1369" s="147"/>
      <c r="BI1369" s="147"/>
      <c r="BJ1369" s="147"/>
      <c r="BK1369" s="147"/>
      <c r="BL1369" s="147"/>
      <c r="BM1369" s="147"/>
      <c r="BN1369" s="147"/>
      <c r="BO1369" s="147"/>
      <c r="BP1369" s="147"/>
      <c r="BQ1369" s="147"/>
      <c r="BR1369" s="147"/>
      <c r="BS1369" s="147"/>
      <c r="BT1369" s="147"/>
      <c r="BU1369" s="147"/>
      <c r="BV1369" s="147"/>
      <c r="BW1369" s="147"/>
      <c r="BX1369" s="147"/>
      <c r="BY1369" s="147"/>
      <c r="BZ1369" s="147"/>
      <c r="CA1369" s="147"/>
      <c r="CB1369" s="147"/>
      <c r="CC1369" s="147"/>
      <c r="CD1369" s="147"/>
      <c r="CE1369" s="147"/>
      <c r="CF1369" s="147"/>
      <c r="CG1369" s="147"/>
      <c r="CH1369" s="147"/>
      <c r="CI1369" s="147"/>
      <c r="CJ1369" s="147"/>
      <c r="CK1369" s="147"/>
    </row>
    <row r="1370" spans="1:89">
      <c r="A1370" s="157"/>
      <c r="F1370" s="3"/>
      <c r="G1370" s="3"/>
      <c r="L1370" s="157"/>
      <c r="M1370" s="157"/>
      <c r="O1370" s="147"/>
      <c r="P1370" s="147"/>
      <c r="Q1370" s="147"/>
      <c r="R1370" s="147"/>
      <c r="S1370" s="147"/>
      <c r="T1370" s="147"/>
      <c r="U1370" s="147"/>
      <c r="V1370" s="147"/>
      <c r="W1370" s="147"/>
      <c r="X1370" s="147"/>
      <c r="Y1370" s="147"/>
      <c r="Z1370" s="147"/>
      <c r="AA1370" s="147"/>
      <c r="AB1370" s="147"/>
      <c r="AC1370" s="147"/>
      <c r="AD1370" s="147"/>
      <c r="AE1370" s="147"/>
      <c r="AF1370" s="147"/>
      <c r="AG1370" s="147"/>
      <c r="AH1370" s="147"/>
      <c r="AI1370" s="147"/>
      <c r="AJ1370" s="147"/>
      <c r="AK1370" s="147"/>
      <c r="AL1370" s="147"/>
      <c r="AM1370" s="151"/>
      <c r="AN1370" s="147"/>
      <c r="AO1370" s="147"/>
      <c r="AP1370" s="147"/>
      <c r="AQ1370" s="147"/>
      <c r="AR1370" s="147"/>
      <c r="AS1370" s="147"/>
      <c r="AT1370" s="147"/>
      <c r="AU1370" s="147"/>
      <c r="AV1370" s="147"/>
      <c r="AW1370" s="147"/>
      <c r="AX1370" s="147"/>
      <c r="AY1370" s="147"/>
      <c r="AZ1370" s="147"/>
      <c r="BA1370" s="147"/>
      <c r="BB1370" s="147"/>
      <c r="BC1370" s="147"/>
      <c r="BD1370" s="147"/>
      <c r="BE1370" s="147"/>
      <c r="BF1370" s="147"/>
      <c r="BG1370" s="147"/>
      <c r="BH1370" s="147"/>
      <c r="BI1370" s="147"/>
      <c r="BJ1370" s="147"/>
      <c r="BK1370" s="147"/>
      <c r="BL1370" s="147"/>
      <c r="BM1370" s="147"/>
      <c r="BN1370" s="147"/>
      <c r="BO1370" s="147"/>
      <c r="BP1370" s="147"/>
      <c r="BQ1370" s="147"/>
      <c r="BR1370" s="147"/>
      <c r="BS1370" s="147"/>
      <c r="BT1370" s="147"/>
      <c r="BU1370" s="147"/>
      <c r="BV1370" s="147"/>
      <c r="BW1370" s="147"/>
      <c r="BX1370" s="147"/>
      <c r="BY1370" s="147"/>
      <c r="BZ1370" s="147"/>
      <c r="CA1370" s="147"/>
      <c r="CB1370" s="147"/>
      <c r="CC1370" s="147"/>
      <c r="CD1370" s="147"/>
      <c r="CE1370" s="147"/>
      <c r="CF1370" s="147"/>
      <c r="CG1370" s="147"/>
      <c r="CH1370" s="147"/>
      <c r="CI1370" s="147"/>
      <c r="CJ1370" s="147"/>
      <c r="CK1370" s="147"/>
    </row>
    <row r="1371" spans="1:89">
      <c r="A1371" s="157"/>
      <c r="F1371" s="3"/>
      <c r="G1371" s="3"/>
      <c r="L1371" s="157"/>
      <c r="M1371" s="157"/>
      <c r="O1371" s="147"/>
      <c r="P1371" s="147"/>
      <c r="Q1371" s="147"/>
      <c r="R1371" s="147"/>
      <c r="S1371" s="147"/>
      <c r="T1371" s="147"/>
      <c r="U1371" s="147"/>
      <c r="V1371" s="147"/>
      <c r="W1371" s="147"/>
      <c r="X1371" s="147"/>
      <c r="Y1371" s="147"/>
      <c r="Z1371" s="147"/>
      <c r="AA1371" s="147"/>
      <c r="AB1371" s="147"/>
      <c r="AC1371" s="147"/>
      <c r="AD1371" s="147"/>
      <c r="AE1371" s="147"/>
      <c r="AF1371" s="147"/>
      <c r="AG1371" s="147"/>
      <c r="AH1371" s="147"/>
      <c r="AI1371" s="147"/>
      <c r="AJ1371" s="147"/>
      <c r="AK1371" s="147"/>
      <c r="AL1371" s="147"/>
      <c r="AM1371" s="151"/>
      <c r="AN1371" s="147"/>
      <c r="AO1371" s="147"/>
      <c r="AP1371" s="147"/>
      <c r="AQ1371" s="147"/>
      <c r="AR1371" s="147"/>
      <c r="AS1371" s="147"/>
      <c r="AT1371" s="147"/>
      <c r="AU1371" s="147"/>
      <c r="AV1371" s="147"/>
      <c r="AW1371" s="147"/>
      <c r="AX1371" s="147"/>
      <c r="AY1371" s="147"/>
      <c r="AZ1371" s="147"/>
      <c r="BA1371" s="147"/>
      <c r="BB1371" s="147"/>
      <c r="BC1371" s="147"/>
      <c r="BD1371" s="147"/>
      <c r="BE1371" s="147"/>
      <c r="BF1371" s="147"/>
      <c r="BG1371" s="147"/>
      <c r="BH1371" s="147"/>
      <c r="BI1371" s="147"/>
      <c r="BJ1371" s="147"/>
      <c r="BK1371" s="147"/>
      <c r="BL1371" s="147"/>
      <c r="BM1371" s="147"/>
      <c r="BN1371" s="147"/>
      <c r="BO1371" s="147"/>
      <c r="BP1371" s="147"/>
      <c r="BQ1371" s="147"/>
      <c r="BR1371" s="147"/>
      <c r="BS1371" s="147"/>
      <c r="BT1371" s="147"/>
      <c r="BU1371" s="147"/>
      <c r="BV1371" s="147"/>
      <c r="BW1371" s="147"/>
      <c r="BX1371" s="147"/>
      <c r="BY1371" s="147"/>
      <c r="BZ1371" s="147"/>
      <c r="CA1371" s="147"/>
      <c r="CB1371" s="147"/>
      <c r="CC1371" s="147"/>
      <c r="CD1371" s="147"/>
      <c r="CE1371" s="147"/>
      <c r="CF1371" s="147"/>
      <c r="CG1371" s="147"/>
      <c r="CH1371" s="147"/>
      <c r="CI1371" s="147"/>
      <c r="CJ1371" s="147"/>
      <c r="CK1371" s="147"/>
    </row>
    <row r="1372" spans="1:89">
      <c r="A1372" s="157"/>
      <c r="F1372" s="3"/>
      <c r="G1372" s="3"/>
      <c r="L1372" s="157"/>
      <c r="M1372" s="157"/>
      <c r="O1372" s="147"/>
      <c r="P1372" s="147"/>
      <c r="Q1372" s="147"/>
      <c r="R1372" s="147"/>
      <c r="S1372" s="147"/>
      <c r="T1372" s="147"/>
      <c r="U1372" s="147"/>
      <c r="V1372" s="147"/>
      <c r="W1372" s="147"/>
      <c r="X1372" s="147"/>
      <c r="Y1372" s="147"/>
      <c r="Z1372" s="147"/>
      <c r="AA1372" s="147"/>
      <c r="AB1372" s="147"/>
      <c r="AC1372" s="147"/>
      <c r="AD1372" s="147"/>
      <c r="AE1372" s="147"/>
      <c r="AF1372" s="147"/>
      <c r="AG1372" s="147"/>
      <c r="AH1372" s="147"/>
      <c r="AI1372" s="147"/>
      <c r="AJ1372" s="147"/>
      <c r="AK1372" s="147"/>
      <c r="AL1372" s="147"/>
      <c r="AM1372" s="151"/>
      <c r="AN1372" s="147"/>
      <c r="AO1372" s="147"/>
      <c r="AP1372" s="147"/>
      <c r="AQ1372" s="147"/>
      <c r="AR1372" s="147"/>
      <c r="AS1372" s="147"/>
      <c r="AT1372" s="147"/>
      <c r="AU1372" s="147"/>
      <c r="AV1372" s="147"/>
      <c r="AW1372" s="147"/>
      <c r="AX1372" s="147"/>
      <c r="AY1372" s="147"/>
      <c r="AZ1372" s="147"/>
      <c r="BA1372" s="147"/>
      <c r="BB1372" s="147"/>
      <c r="BC1372" s="147"/>
      <c r="BD1372" s="147"/>
      <c r="BE1372" s="147"/>
      <c r="BF1372" s="147"/>
      <c r="BG1372" s="147"/>
      <c r="BH1372" s="147"/>
      <c r="BI1372" s="147"/>
      <c r="BJ1372" s="147"/>
      <c r="BK1372" s="147"/>
      <c r="BL1372" s="147"/>
      <c r="BM1372" s="147"/>
      <c r="BN1372" s="147"/>
      <c r="BO1372" s="147"/>
      <c r="BP1372" s="147"/>
      <c r="BQ1372" s="147"/>
      <c r="BR1372" s="147"/>
      <c r="BS1372" s="147"/>
      <c r="BT1372" s="147"/>
      <c r="BU1372" s="147"/>
      <c r="BV1372" s="147"/>
      <c r="BW1372" s="147"/>
      <c r="BX1372" s="147"/>
      <c r="BY1372" s="147"/>
      <c r="BZ1372" s="147"/>
      <c r="CA1372" s="147"/>
      <c r="CB1372" s="147"/>
      <c r="CC1372" s="147"/>
      <c r="CD1372" s="147"/>
      <c r="CE1372" s="147"/>
      <c r="CF1372" s="147"/>
      <c r="CG1372" s="147"/>
      <c r="CH1372" s="147"/>
      <c r="CI1372" s="147"/>
      <c r="CJ1372" s="147"/>
      <c r="CK1372" s="147"/>
    </row>
    <row r="1373" spans="1:89">
      <c r="A1373" s="157"/>
      <c r="F1373" s="3"/>
      <c r="G1373" s="3"/>
      <c r="L1373" s="157"/>
      <c r="M1373" s="157"/>
      <c r="O1373" s="147"/>
      <c r="P1373" s="147"/>
      <c r="Q1373" s="147"/>
      <c r="R1373" s="147"/>
      <c r="S1373" s="147"/>
      <c r="T1373" s="147"/>
      <c r="U1373" s="147"/>
      <c r="V1373" s="147"/>
      <c r="W1373" s="147"/>
      <c r="X1373" s="147"/>
      <c r="Y1373" s="147"/>
      <c r="Z1373" s="147"/>
      <c r="AA1373" s="147"/>
      <c r="AB1373" s="147"/>
      <c r="AC1373" s="147"/>
      <c r="AD1373" s="147"/>
      <c r="AE1373" s="147"/>
      <c r="AF1373" s="147"/>
      <c r="AG1373" s="147"/>
      <c r="AH1373" s="147"/>
      <c r="AI1373" s="147"/>
      <c r="AJ1373" s="147"/>
      <c r="AK1373" s="147"/>
      <c r="AL1373" s="147"/>
      <c r="AM1373" s="151"/>
      <c r="AN1373" s="147"/>
      <c r="AO1373" s="147"/>
      <c r="AP1373" s="147"/>
      <c r="AQ1373" s="147"/>
      <c r="AR1373" s="147"/>
      <c r="AS1373" s="147"/>
      <c r="AT1373" s="147"/>
      <c r="AU1373" s="147"/>
      <c r="AV1373" s="147"/>
      <c r="AW1373" s="147"/>
      <c r="AX1373" s="147"/>
      <c r="AY1373" s="147"/>
      <c r="AZ1373" s="147"/>
      <c r="BA1373" s="147"/>
      <c r="BB1373" s="147"/>
      <c r="BC1373" s="147"/>
      <c r="BD1373" s="147"/>
      <c r="BE1373" s="147"/>
      <c r="BF1373" s="147"/>
      <c r="BG1373" s="147"/>
      <c r="BH1373" s="147"/>
      <c r="BI1373" s="147"/>
      <c r="BJ1373" s="147"/>
      <c r="BK1373" s="147"/>
      <c r="BL1373" s="147"/>
      <c r="BM1373" s="147"/>
      <c r="BN1373" s="147"/>
      <c r="BO1373" s="147"/>
      <c r="BP1373" s="147"/>
      <c r="BQ1373" s="147"/>
      <c r="BR1373" s="147"/>
      <c r="BS1373" s="147"/>
      <c r="BT1373" s="147"/>
      <c r="BU1373" s="147"/>
      <c r="BV1373" s="147"/>
      <c r="BW1373" s="147"/>
      <c r="BX1373" s="147"/>
      <c r="BY1373" s="147"/>
      <c r="BZ1373" s="147"/>
      <c r="CA1373" s="147"/>
      <c r="CB1373" s="147"/>
      <c r="CC1373" s="147"/>
      <c r="CD1373" s="147"/>
      <c r="CE1373" s="147"/>
      <c r="CF1373" s="147"/>
      <c r="CG1373" s="147"/>
      <c r="CH1373" s="147"/>
      <c r="CI1373" s="147"/>
      <c r="CJ1373" s="147"/>
      <c r="CK1373" s="147"/>
    </row>
    <row r="1374" spans="1:89">
      <c r="A1374" s="157"/>
      <c r="F1374" s="3"/>
      <c r="G1374" s="3"/>
      <c r="L1374" s="157"/>
      <c r="M1374" s="157"/>
      <c r="O1374" s="147"/>
      <c r="P1374" s="147"/>
      <c r="Q1374" s="147"/>
      <c r="R1374" s="147"/>
      <c r="S1374" s="147"/>
      <c r="T1374" s="147"/>
      <c r="U1374" s="147"/>
      <c r="V1374" s="147"/>
      <c r="W1374" s="147"/>
      <c r="X1374" s="147"/>
      <c r="Y1374" s="147"/>
      <c r="Z1374" s="147"/>
      <c r="AA1374" s="147"/>
      <c r="AB1374" s="147"/>
      <c r="AC1374" s="147"/>
      <c r="AD1374" s="147"/>
      <c r="AE1374" s="147"/>
      <c r="AF1374" s="147"/>
      <c r="AG1374" s="147"/>
      <c r="AH1374" s="147"/>
      <c r="AI1374" s="147"/>
      <c r="AJ1374" s="147"/>
      <c r="AK1374" s="147"/>
      <c r="AL1374" s="147"/>
      <c r="AM1374" s="151"/>
      <c r="AN1374" s="147"/>
      <c r="AO1374" s="147"/>
      <c r="AP1374" s="147"/>
      <c r="AQ1374" s="147"/>
      <c r="AR1374" s="147"/>
      <c r="AS1374" s="147"/>
      <c r="AT1374" s="147"/>
      <c r="AU1374" s="147"/>
      <c r="AV1374" s="147"/>
      <c r="AW1374" s="147"/>
      <c r="AX1374" s="147"/>
      <c r="AY1374" s="147"/>
      <c r="AZ1374" s="147"/>
      <c r="BA1374" s="147"/>
      <c r="BB1374" s="147"/>
      <c r="BC1374" s="147"/>
      <c r="BD1374" s="147"/>
      <c r="BE1374" s="147"/>
      <c r="BF1374" s="147"/>
      <c r="BG1374" s="147"/>
      <c r="BH1374" s="147"/>
      <c r="BI1374" s="147"/>
      <c r="BJ1374" s="147"/>
      <c r="BK1374" s="147"/>
      <c r="BL1374" s="147"/>
      <c r="BM1374" s="147"/>
      <c r="BN1374" s="147"/>
      <c r="BO1374" s="147"/>
      <c r="BP1374" s="147"/>
      <c r="BQ1374" s="147"/>
      <c r="BR1374" s="147"/>
      <c r="BS1374" s="147"/>
      <c r="BT1374" s="147"/>
      <c r="BU1374" s="147"/>
      <c r="BV1374" s="147"/>
      <c r="BW1374" s="147"/>
      <c r="BX1374" s="147"/>
      <c r="BY1374" s="147"/>
      <c r="BZ1374" s="147"/>
      <c r="CA1374" s="147"/>
      <c r="CB1374" s="147"/>
      <c r="CC1374" s="147"/>
      <c r="CD1374" s="147"/>
      <c r="CE1374" s="147"/>
      <c r="CF1374" s="147"/>
      <c r="CG1374" s="147"/>
      <c r="CH1374" s="147"/>
      <c r="CI1374" s="147"/>
      <c r="CJ1374" s="147"/>
      <c r="CK1374" s="147"/>
    </row>
    <row r="1375" spans="1:89">
      <c r="A1375" s="157"/>
      <c r="F1375" s="3"/>
      <c r="G1375" s="3"/>
      <c r="L1375" s="157"/>
      <c r="M1375" s="157"/>
      <c r="O1375" s="147"/>
      <c r="P1375" s="147"/>
      <c r="Q1375" s="147"/>
      <c r="R1375" s="147"/>
      <c r="S1375" s="147"/>
      <c r="T1375" s="147"/>
      <c r="U1375" s="147"/>
      <c r="V1375" s="147"/>
      <c r="W1375" s="147"/>
      <c r="X1375" s="147"/>
      <c r="Y1375" s="147"/>
      <c r="Z1375" s="147"/>
      <c r="AA1375" s="147"/>
      <c r="AB1375" s="147"/>
      <c r="AC1375" s="147"/>
      <c r="AD1375" s="147"/>
      <c r="AE1375" s="147"/>
      <c r="AF1375" s="147"/>
      <c r="AG1375" s="147"/>
      <c r="AH1375" s="147"/>
      <c r="AI1375" s="147"/>
      <c r="AJ1375" s="147"/>
      <c r="AK1375" s="147"/>
      <c r="AL1375" s="147"/>
      <c r="AM1375" s="151"/>
      <c r="AN1375" s="147"/>
      <c r="AO1375" s="147"/>
      <c r="AP1375" s="147"/>
      <c r="AQ1375" s="147"/>
      <c r="AR1375" s="147"/>
      <c r="AS1375" s="147"/>
      <c r="AT1375" s="147"/>
      <c r="AU1375" s="147"/>
      <c r="AV1375" s="147"/>
      <c r="AW1375" s="147"/>
      <c r="AX1375" s="147"/>
      <c r="AY1375" s="147"/>
      <c r="AZ1375" s="147"/>
      <c r="BA1375" s="147"/>
      <c r="BB1375" s="147"/>
      <c r="BC1375" s="147"/>
      <c r="BD1375" s="147"/>
      <c r="BE1375" s="147"/>
      <c r="BF1375" s="147"/>
      <c r="BG1375" s="147"/>
      <c r="BH1375" s="147"/>
      <c r="BI1375" s="147"/>
      <c r="BJ1375" s="147"/>
      <c r="BK1375" s="147"/>
      <c r="BL1375" s="147"/>
      <c r="BM1375" s="147"/>
      <c r="BN1375" s="147"/>
      <c r="BO1375" s="147"/>
      <c r="BP1375" s="147"/>
      <c r="BQ1375" s="147"/>
      <c r="BR1375" s="147"/>
      <c r="BS1375" s="147"/>
      <c r="BT1375" s="147"/>
      <c r="BU1375" s="147"/>
      <c r="BV1375" s="147"/>
      <c r="BW1375" s="147"/>
      <c r="BX1375" s="147"/>
      <c r="BY1375" s="147"/>
      <c r="BZ1375" s="147"/>
      <c r="CA1375" s="147"/>
      <c r="CB1375" s="147"/>
      <c r="CC1375" s="147"/>
      <c r="CD1375" s="147"/>
      <c r="CE1375" s="147"/>
      <c r="CF1375" s="147"/>
      <c r="CG1375" s="147"/>
      <c r="CH1375" s="147"/>
      <c r="CI1375" s="147"/>
      <c r="CJ1375" s="147"/>
      <c r="CK1375" s="147"/>
    </row>
    <row r="1376" spans="1:89">
      <c r="A1376" s="157"/>
      <c r="F1376" s="3"/>
      <c r="G1376" s="3"/>
      <c r="L1376" s="157"/>
      <c r="M1376" s="157"/>
      <c r="O1376" s="147"/>
      <c r="P1376" s="147"/>
      <c r="Q1376" s="147"/>
      <c r="R1376" s="147"/>
      <c r="S1376" s="147"/>
      <c r="T1376" s="147"/>
      <c r="U1376" s="147"/>
      <c r="V1376" s="147"/>
      <c r="W1376" s="147"/>
      <c r="X1376" s="147"/>
      <c r="Y1376" s="147"/>
      <c r="Z1376" s="147"/>
      <c r="AA1376" s="147"/>
      <c r="AB1376" s="147"/>
      <c r="AC1376" s="147"/>
      <c r="AD1376" s="147"/>
      <c r="AE1376" s="147"/>
      <c r="AF1376" s="147"/>
      <c r="AG1376" s="147"/>
      <c r="AH1376" s="147"/>
      <c r="AI1376" s="147"/>
      <c r="AJ1376" s="147"/>
      <c r="AK1376" s="147"/>
      <c r="AL1376" s="147"/>
      <c r="AM1376" s="151"/>
      <c r="AN1376" s="147"/>
      <c r="AO1376" s="147"/>
      <c r="AP1376" s="147"/>
      <c r="AQ1376" s="147"/>
      <c r="AR1376" s="147"/>
      <c r="AS1376" s="147"/>
      <c r="AT1376" s="147"/>
      <c r="AU1376" s="147"/>
      <c r="AV1376" s="147"/>
      <c r="AW1376" s="147"/>
      <c r="AX1376" s="147"/>
      <c r="AY1376" s="147"/>
      <c r="AZ1376" s="147"/>
      <c r="BA1376" s="147"/>
      <c r="BB1376" s="147"/>
      <c r="BC1376" s="147"/>
      <c r="BD1376" s="147"/>
      <c r="BE1376" s="147"/>
      <c r="BF1376" s="147"/>
      <c r="BG1376" s="147"/>
      <c r="BH1376" s="147"/>
      <c r="BI1376" s="147"/>
      <c r="BJ1376" s="147"/>
      <c r="BK1376" s="147"/>
      <c r="BL1376" s="147"/>
      <c r="BM1376" s="147"/>
      <c r="BN1376" s="147"/>
      <c r="BO1376" s="147"/>
      <c r="BP1376" s="147"/>
      <c r="BQ1376" s="147"/>
      <c r="BR1376" s="147"/>
      <c r="BS1376" s="147"/>
      <c r="BT1376" s="147"/>
      <c r="BU1376" s="147"/>
      <c r="BV1376" s="147"/>
      <c r="BW1376" s="147"/>
      <c r="BX1376" s="147"/>
      <c r="BY1376" s="147"/>
      <c r="BZ1376" s="147"/>
      <c r="CA1376" s="147"/>
      <c r="CB1376" s="147"/>
      <c r="CC1376" s="147"/>
      <c r="CD1376" s="147"/>
      <c r="CE1376" s="147"/>
      <c r="CF1376" s="147"/>
      <c r="CG1376" s="147"/>
      <c r="CH1376" s="147"/>
      <c r="CI1376" s="147"/>
      <c r="CJ1376" s="147"/>
      <c r="CK1376" s="147"/>
    </row>
    <row r="1377" spans="1:89">
      <c r="A1377" s="157"/>
      <c r="F1377" s="3"/>
      <c r="G1377" s="3"/>
      <c r="L1377" s="157"/>
      <c r="M1377" s="157"/>
      <c r="O1377" s="147"/>
      <c r="P1377" s="147"/>
      <c r="Q1377" s="147"/>
      <c r="R1377" s="147"/>
      <c r="S1377" s="147"/>
      <c r="T1377" s="147"/>
      <c r="U1377" s="147"/>
      <c r="V1377" s="147"/>
      <c r="W1377" s="147"/>
      <c r="X1377" s="147"/>
      <c r="Y1377" s="147"/>
      <c r="Z1377" s="147"/>
      <c r="AA1377" s="147"/>
      <c r="AB1377" s="147"/>
      <c r="AC1377" s="147"/>
      <c r="AD1377" s="147"/>
      <c r="AE1377" s="147"/>
      <c r="AF1377" s="147"/>
      <c r="AG1377" s="147"/>
      <c r="AH1377" s="147"/>
      <c r="AI1377" s="147"/>
      <c r="AJ1377" s="147"/>
      <c r="AK1377" s="147"/>
      <c r="AL1377" s="147"/>
      <c r="AM1377" s="151"/>
      <c r="AN1377" s="147"/>
      <c r="AO1377" s="147"/>
      <c r="AP1377" s="147"/>
      <c r="AQ1377" s="147"/>
      <c r="AR1377" s="147"/>
      <c r="AS1377" s="147"/>
      <c r="AT1377" s="147"/>
      <c r="AU1377" s="147"/>
      <c r="AV1377" s="147"/>
      <c r="AW1377" s="147"/>
      <c r="AX1377" s="147"/>
      <c r="AY1377" s="147"/>
      <c r="AZ1377" s="147"/>
      <c r="BA1377" s="147"/>
      <c r="BB1377" s="147"/>
      <c r="BC1377" s="147"/>
      <c r="BD1377" s="147"/>
      <c r="BE1377" s="147"/>
      <c r="BF1377" s="147"/>
      <c r="BG1377" s="147"/>
      <c r="BH1377" s="147"/>
      <c r="BI1377" s="147"/>
      <c r="BJ1377" s="147"/>
      <c r="BK1377" s="147"/>
      <c r="BL1377" s="147"/>
      <c r="BM1377" s="147"/>
      <c r="BN1377" s="147"/>
      <c r="BO1377" s="147"/>
      <c r="BP1377" s="147"/>
      <c r="BQ1377" s="147"/>
      <c r="BR1377" s="147"/>
      <c r="BS1377" s="147"/>
      <c r="BT1377" s="147"/>
      <c r="BU1377" s="147"/>
      <c r="BV1377" s="147"/>
      <c r="BW1377" s="147"/>
      <c r="BX1377" s="147"/>
      <c r="BY1377" s="147"/>
      <c r="BZ1377" s="147"/>
      <c r="CA1377" s="147"/>
      <c r="CB1377" s="147"/>
      <c r="CC1377" s="147"/>
      <c r="CD1377" s="147"/>
      <c r="CE1377" s="147"/>
      <c r="CF1377" s="147"/>
      <c r="CG1377" s="147"/>
      <c r="CH1377" s="147"/>
      <c r="CI1377" s="147"/>
      <c r="CJ1377" s="147"/>
      <c r="CK1377" s="147"/>
    </row>
    <row r="1378" spans="1:89">
      <c r="A1378" s="157"/>
      <c r="F1378" s="3"/>
      <c r="G1378" s="3"/>
      <c r="L1378" s="157"/>
      <c r="M1378" s="157"/>
      <c r="O1378" s="147"/>
      <c r="P1378" s="147"/>
      <c r="Q1378" s="147"/>
      <c r="R1378" s="147"/>
      <c r="S1378" s="147"/>
      <c r="T1378" s="147"/>
      <c r="U1378" s="147"/>
      <c r="V1378" s="147"/>
      <c r="W1378" s="147"/>
      <c r="X1378" s="147"/>
      <c r="Y1378" s="147"/>
      <c r="Z1378" s="147"/>
      <c r="AA1378" s="147"/>
      <c r="AB1378" s="147"/>
      <c r="AC1378" s="147"/>
      <c r="AD1378" s="147"/>
      <c r="AE1378" s="147"/>
      <c r="AF1378" s="147"/>
      <c r="AG1378" s="147"/>
      <c r="AH1378" s="147"/>
      <c r="AI1378" s="147"/>
      <c r="AJ1378" s="147"/>
      <c r="AK1378" s="147"/>
      <c r="AL1378" s="147"/>
      <c r="AM1378" s="151"/>
      <c r="AN1378" s="147"/>
      <c r="AO1378" s="147"/>
      <c r="AP1378" s="147"/>
      <c r="AQ1378" s="147"/>
      <c r="AR1378" s="147"/>
      <c r="AS1378" s="147"/>
      <c r="AT1378" s="147"/>
      <c r="AU1378" s="147"/>
      <c r="AV1378" s="147"/>
      <c r="AW1378" s="147"/>
      <c r="AX1378" s="147"/>
      <c r="AY1378" s="147"/>
      <c r="AZ1378" s="147"/>
      <c r="BA1378" s="147"/>
      <c r="BB1378" s="147"/>
      <c r="BC1378" s="147"/>
      <c r="BD1378" s="147"/>
      <c r="BE1378" s="147"/>
      <c r="BF1378" s="147"/>
      <c r="BG1378" s="147"/>
      <c r="BH1378" s="147"/>
      <c r="BI1378" s="147"/>
      <c r="BJ1378" s="147"/>
      <c r="BK1378" s="147"/>
      <c r="BL1378" s="147"/>
      <c r="BM1378" s="147"/>
      <c r="BN1378" s="147"/>
      <c r="BO1378" s="147"/>
      <c r="BP1378" s="147"/>
      <c r="BQ1378" s="147"/>
      <c r="BR1378" s="147"/>
      <c r="BS1378" s="147"/>
      <c r="BT1378" s="147"/>
      <c r="BU1378" s="147"/>
      <c r="BV1378" s="147"/>
      <c r="BW1378" s="147"/>
      <c r="BX1378" s="147"/>
      <c r="BY1378" s="147"/>
      <c r="BZ1378" s="147"/>
      <c r="CA1378" s="147"/>
      <c r="CB1378" s="147"/>
      <c r="CC1378" s="147"/>
      <c r="CD1378" s="147"/>
      <c r="CE1378" s="147"/>
      <c r="CF1378" s="147"/>
      <c r="CG1378" s="147"/>
      <c r="CH1378" s="147"/>
      <c r="CI1378" s="147"/>
      <c r="CJ1378" s="147"/>
      <c r="CK1378" s="147"/>
    </row>
    <row r="1379" spans="1:89">
      <c r="A1379" s="157"/>
      <c r="F1379" s="3"/>
      <c r="G1379" s="3"/>
      <c r="L1379" s="157"/>
      <c r="M1379" s="157"/>
      <c r="O1379" s="147"/>
      <c r="P1379" s="147"/>
      <c r="Q1379" s="147"/>
      <c r="R1379" s="147"/>
      <c r="S1379" s="147"/>
      <c r="T1379" s="147"/>
      <c r="U1379" s="147"/>
      <c r="V1379" s="147"/>
      <c r="W1379" s="147"/>
      <c r="X1379" s="147"/>
      <c r="Y1379" s="147"/>
      <c r="Z1379" s="147"/>
      <c r="AA1379" s="147"/>
      <c r="AB1379" s="147"/>
      <c r="AC1379" s="147"/>
      <c r="AD1379" s="147"/>
      <c r="AE1379" s="147"/>
      <c r="AF1379" s="147"/>
      <c r="AG1379" s="147"/>
      <c r="AH1379" s="147"/>
      <c r="AI1379" s="147"/>
      <c r="AJ1379" s="147"/>
      <c r="AK1379" s="147"/>
      <c r="AL1379" s="147"/>
      <c r="AM1379" s="151"/>
      <c r="AN1379" s="147"/>
      <c r="AO1379" s="147"/>
      <c r="AP1379" s="147"/>
      <c r="AQ1379" s="147"/>
      <c r="AR1379" s="147"/>
      <c r="AS1379" s="147"/>
      <c r="AT1379" s="147"/>
      <c r="AU1379" s="147"/>
      <c r="AV1379" s="147"/>
      <c r="AW1379" s="147"/>
      <c r="AX1379" s="147"/>
      <c r="AY1379" s="147"/>
      <c r="AZ1379" s="147"/>
      <c r="BA1379" s="147"/>
      <c r="BB1379" s="147"/>
      <c r="BC1379" s="147"/>
      <c r="BD1379" s="147"/>
      <c r="BE1379" s="147"/>
      <c r="BF1379" s="147"/>
      <c r="BG1379" s="147"/>
      <c r="BH1379" s="147"/>
      <c r="BI1379" s="147"/>
      <c r="BJ1379" s="147"/>
      <c r="BK1379" s="147"/>
      <c r="BL1379" s="147"/>
      <c r="BM1379" s="147"/>
      <c r="BN1379" s="147"/>
      <c r="BO1379" s="147"/>
      <c r="BP1379" s="147"/>
      <c r="BQ1379" s="147"/>
      <c r="BR1379" s="147"/>
      <c r="BS1379" s="147"/>
      <c r="BT1379" s="147"/>
      <c r="BU1379" s="147"/>
      <c r="BV1379" s="147"/>
      <c r="BW1379" s="147"/>
      <c r="BX1379" s="147"/>
      <c r="BY1379" s="147"/>
      <c r="BZ1379" s="147"/>
      <c r="CA1379" s="147"/>
      <c r="CB1379" s="147"/>
      <c r="CC1379" s="147"/>
      <c r="CD1379" s="147"/>
      <c r="CE1379" s="147"/>
      <c r="CF1379" s="147"/>
      <c r="CG1379" s="147"/>
      <c r="CH1379" s="147"/>
      <c r="CI1379" s="147"/>
      <c r="CJ1379" s="147"/>
      <c r="CK1379" s="147"/>
    </row>
    <row r="1380" spans="1:89">
      <c r="A1380" s="157"/>
      <c r="F1380" s="3"/>
      <c r="G1380" s="3"/>
      <c r="L1380" s="157"/>
      <c r="M1380" s="157"/>
      <c r="O1380" s="147"/>
      <c r="P1380" s="147"/>
      <c r="Q1380" s="147"/>
      <c r="R1380" s="147"/>
      <c r="S1380" s="147"/>
      <c r="T1380" s="147"/>
      <c r="U1380" s="147"/>
      <c r="V1380" s="147"/>
      <c r="W1380" s="147"/>
      <c r="X1380" s="147"/>
      <c r="Y1380" s="147"/>
      <c r="Z1380" s="147"/>
      <c r="AA1380" s="147"/>
      <c r="AB1380" s="147"/>
      <c r="AC1380" s="147"/>
      <c r="AD1380" s="147"/>
      <c r="AE1380" s="147"/>
      <c r="AF1380" s="147"/>
      <c r="AG1380" s="147"/>
      <c r="AH1380" s="147"/>
      <c r="AI1380" s="147"/>
      <c r="AJ1380" s="147"/>
      <c r="AK1380" s="147"/>
      <c r="AL1380" s="147"/>
      <c r="AM1380" s="151"/>
      <c r="AN1380" s="147"/>
      <c r="AO1380" s="147"/>
      <c r="AP1380" s="147"/>
      <c r="AQ1380" s="147"/>
      <c r="AR1380" s="147"/>
      <c r="AS1380" s="147"/>
      <c r="AT1380" s="147"/>
      <c r="AU1380" s="147"/>
      <c r="AV1380" s="147"/>
      <c r="AW1380" s="147"/>
      <c r="AX1380" s="147"/>
      <c r="AY1380" s="147"/>
      <c r="AZ1380" s="147"/>
      <c r="BA1380" s="147"/>
      <c r="BB1380" s="147"/>
      <c r="BC1380" s="147"/>
      <c r="BD1380" s="147"/>
      <c r="BE1380" s="147"/>
      <c r="BF1380" s="147"/>
      <c r="BG1380" s="147"/>
      <c r="BH1380" s="147"/>
      <c r="BI1380" s="147"/>
      <c r="BJ1380" s="147"/>
      <c r="BK1380" s="147"/>
      <c r="BL1380" s="147"/>
      <c r="BM1380" s="147"/>
      <c r="BN1380" s="147"/>
      <c r="BO1380" s="147"/>
      <c r="BP1380" s="147"/>
      <c r="BQ1380" s="147"/>
      <c r="BR1380" s="147"/>
      <c r="BS1380" s="147"/>
      <c r="BT1380" s="147"/>
      <c r="BU1380" s="147"/>
      <c r="BV1380" s="147"/>
      <c r="BW1380" s="147"/>
      <c r="BX1380" s="147"/>
      <c r="BY1380" s="147"/>
      <c r="BZ1380" s="147"/>
      <c r="CA1380" s="147"/>
      <c r="CB1380" s="147"/>
      <c r="CC1380" s="147"/>
      <c r="CD1380" s="147"/>
      <c r="CE1380" s="147"/>
      <c r="CF1380" s="147"/>
      <c r="CG1380" s="147"/>
      <c r="CH1380" s="147"/>
      <c r="CI1380" s="147"/>
      <c r="CJ1380" s="147"/>
      <c r="CK1380" s="147"/>
    </row>
    <row r="1381" spans="1:89">
      <c r="A1381" s="157"/>
      <c r="F1381" s="3"/>
      <c r="G1381" s="3"/>
      <c r="L1381" s="157"/>
      <c r="M1381" s="157"/>
      <c r="O1381" s="147"/>
      <c r="P1381" s="147"/>
      <c r="Q1381" s="147"/>
      <c r="R1381" s="147"/>
      <c r="S1381" s="147"/>
      <c r="T1381" s="147"/>
      <c r="U1381" s="147"/>
      <c r="V1381" s="147"/>
      <c r="W1381" s="147"/>
      <c r="X1381" s="147"/>
      <c r="Y1381" s="147"/>
      <c r="Z1381" s="147"/>
      <c r="AA1381" s="147"/>
      <c r="AB1381" s="147"/>
      <c r="AC1381" s="147"/>
      <c r="AD1381" s="147"/>
      <c r="AE1381" s="147"/>
      <c r="AF1381" s="147"/>
      <c r="AG1381" s="147"/>
      <c r="AH1381" s="147"/>
      <c r="AI1381" s="147"/>
      <c r="AJ1381" s="147"/>
      <c r="AK1381" s="147"/>
      <c r="AL1381" s="147"/>
      <c r="AM1381" s="151"/>
      <c r="AN1381" s="147"/>
      <c r="AO1381" s="147"/>
      <c r="AP1381" s="147"/>
      <c r="AQ1381" s="147"/>
      <c r="AR1381" s="147"/>
      <c r="AS1381" s="147"/>
      <c r="AT1381" s="147"/>
      <c r="AU1381" s="147"/>
      <c r="AV1381" s="147"/>
      <c r="AW1381" s="147"/>
      <c r="AX1381" s="147"/>
      <c r="AY1381" s="147"/>
      <c r="AZ1381" s="147"/>
      <c r="BA1381" s="147"/>
      <c r="BB1381" s="147"/>
      <c r="BC1381" s="147"/>
      <c r="BD1381" s="147"/>
      <c r="BE1381" s="147"/>
      <c r="BF1381" s="147"/>
      <c r="BG1381" s="147"/>
      <c r="BH1381" s="147"/>
      <c r="BI1381" s="147"/>
      <c r="BJ1381" s="147"/>
      <c r="BK1381" s="147"/>
      <c r="BL1381" s="147"/>
      <c r="BM1381" s="147"/>
      <c r="BN1381" s="147"/>
      <c r="BO1381" s="147"/>
      <c r="BP1381" s="147"/>
      <c r="BQ1381" s="147"/>
      <c r="BR1381" s="147"/>
      <c r="BS1381" s="147"/>
      <c r="BT1381" s="147"/>
      <c r="BU1381" s="147"/>
      <c r="BV1381" s="147"/>
      <c r="BW1381" s="147"/>
      <c r="BX1381" s="147"/>
      <c r="BY1381" s="147"/>
      <c r="BZ1381" s="147"/>
      <c r="CA1381" s="147"/>
      <c r="CB1381" s="147"/>
      <c r="CC1381" s="147"/>
      <c r="CD1381" s="147"/>
      <c r="CE1381" s="147"/>
      <c r="CF1381" s="147"/>
      <c r="CG1381" s="147"/>
      <c r="CH1381" s="147"/>
      <c r="CI1381" s="147"/>
      <c r="CJ1381" s="147"/>
      <c r="CK1381" s="147"/>
    </row>
    <row r="1382" spans="1:89">
      <c r="A1382" s="157"/>
      <c r="F1382" s="3"/>
      <c r="G1382" s="3"/>
      <c r="L1382" s="157"/>
      <c r="M1382" s="157"/>
      <c r="O1382" s="147"/>
      <c r="P1382" s="147"/>
      <c r="Q1382" s="147"/>
      <c r="R1382" s="147"/>
      <c r="S1382" s="147"/>
      <c r="T1382" s="147"/>
      <c r="U1382" s="147"/>
      <c r="V1382" s="147"/>
      <c r="W1382" s="147"/>
      <c r="X1382" s="147"/>
      <c r="Y1382" s="147"/>
      <c r="Z1382" s="147"/>
      <c r="AA1382" s="147"/>
      <c r="AB1382" s="147"/>
      <c r="AC1382" s="147"/>
      <c r="AD1382" s="147"/>
      <c r="AE1382" s="147"/>
      <c r="AF1382" s="147"/>
      <c r="AG1382" s="147"/>
      <c r="AH1382" s="147"/>
      <c r="AI1382" s="147"/>
      <c r="AJ1382" s="147"/>
      <c r="AK1382" s="147"/>
      <c r="AL1382" s="147"/>
      <c r="AM1382" s="151"/>
      <c r="AN1382" s="147"/>
      <c r="AO1382" s="147"/>
      <c r="AP1382" s="147"/>
      <c r="AQ1382" s="147"/>
      <c r="AR1382" s="147"/>
      <c r="AS1382" s="147"/>
      <c r="AT1382" s="147"/>
      <c r="AU1382" s="147"/>
      <c r="AV1382" s="147"/>
      <c r="AW1382" s="147"/>
      <c r="AX1382" s="147"/>
      <c r="AY1382" s="147"/>
      <c r="AZ1382" s="147"/>
      <c r="BA1382" s="147"/>
      <c r="BB1382" s="147"/>
      <c r="BC1382" s="147"/>
      <c r="BD1382" s="147"/>
      <c r="BE1382" s="147"/>
      <c r="BF1382" s="147"/>
      <c r="BG1382" s="147"/>
      <c r="BH1382" s="147"/>
      <c r="BI1382" s="147"/>
      <c r="BJ1382" s="147"/>
      <c r="BK1382" s="147"/>
      <c r="BL1382" s="147"/>
      <c r="BM1382" s="147"/>
      <c r="BN1382" s="147"/>
      <c r="BO1382" s="147"/>
      <c r="BP1382" s="147"/>
      <c r="BQ1382" s="147"/>
      <c r="BR1382" s="147"/>
      <c r="BS1382" s="147"/>
      <c r="BT1382" s="147"/>
      <c r="BU1382" s="147"/>
      <c r="BV1382" s="147"/>
      <c r="BW1382" s="147"/>
      <c r="BX1382" s="147"/>
      <c r="BY1382" s="147"/>
      <c r="BZ1382" s="147"/>
      <c r="CA1382" s="147"/>
      <c r="CB1382" s="147"/>
      <c r="CC1382" s="147"/>
      <c r="CD1382" s="147"/>
      <c r="CE1382" s="147"/>
      <c r="CF1382" s="147"/>
      <c r="CG1382" s="147"/>
      <c r="CH1382" s="147"/>
      <c r="CI1382" s="147"/>
      <c r="CJ1382" s="147"/>
      <c r="CK1382" s="147"/>
    </row>
    <row r="1383" spans="1:89">
      <c r="A1383" s="157"/>
      <c r="F1383" s="3"/>
      <c r="G1383" s="3"/>
      <c r="L1383" s="157"/>
      <c r="M1383" s="157"/>
      <c r="O1383" s="147"/>
      <c r="P1383" s="147"/>
      <c r="Q1383" s="147"/>
      <c r="R1383" s="147"/>
      <c r="S1383" s="147"/>
      <c r="T1383" s="147"/>
      <c r="U1383" s="147"/>
      <c r="V1383" s="147"/>
      <c r="W1383" s="147"/>
      <c r="X1383" s="147"/>
      <c r="Y1383" s="147"/>
      <c r="Z1383" s="147"/>
      <c r="AA1383" s="147"/>
      <c r="AB1383" s="147"/>
      <c r="AC1383" s="147"/>
      <c r="AD1383" s="147"/>
      <c r="AE1383" s="147"/>
      <c r="AF1383" s="147"/>
      <c r="AG1383" s="147"/>
      <c r="AH1383" s="147"/>
      <c r="AI1383" s="147"/>
      <c r="AJ1383" s="147"/>
      <c r="AK1383" s="147"/>
      <c r="AL1383" s="147"/>
      <c r="AM1383" s="151"/>
      <c r="AN1383" s="147"/>
      <c r="AO1383" s="147"/>
      <c r="AP1383" s="147"/>
      <c r="AQ1383" s="147"/>
      <c r="AR1383" s="147"/>
      <c r="AS1383" s="147"/>
      <c r="AT1383" s="147"/>
      <c r="AU1383" s="147"/>
      <c r="AV1383" s="147"/>
      <c r="AW1383" s="147"/>
      <c r="AX1383" s="147"/>
      <c r="AY1383" s="147"/>
      <c r="AZ1383" s="147"/>
      <c r="BA1383" s="147"/>
      <c r="BB1383" s="147"/>
      <c r="BC1383" s="147"/>
      <c r="BD1383" s="147"/>
      <c r="BE1383" s="147"/>
      <c r="BF1383" s="147"/>
      <c r="BG1383" s="147"/>
      <c r="BH1383" s="147"/>
      <c r="BI1383" s="147"/>
      <c r="BJ1383" s="147"/>
      <c r="BK1383" s="147"/>
      <c r="BL1383" s="147"/>
      <c r="BM1383" s="147"/>
      <c r="BN1383" s="147"/>
      <c r="BO1383" s="147"/>
      <c r="BP1383" s="147"/>
      <c r="BQ1383" s="147"/>
      <c r="BR1383" s="147"/>
      <c r="BS1383" s="147"/>
      <c r="BT1383" s="147"/>
      <c r="BU1383" s="147"/>
      <c r="BV1383" s="147"/>
      <c r="BW1383" s="147"/>
      <c r="BX1383" s="147"/>
      <c r="BY1383" s="147"/>
      <c r="BZ1383" s="147"/>
      <c r="CA1383" s="147"/>
      <c r="CB1383" s="147"/>
      <c r="CC1383" s="147"/>
      <c r="CD1383" s="147"/>
      <c r="CE1383" s="147"/>
      <c r="CF1383" s="147"/>
      <c r="CG1383" s="147"/>
      <c r="CH1383" s="147"/>
      <c r="CI1383" s="147"/>
      <c r="CJ1383" s="147"/>
      <c r="CK1383" s="147"/>
    </row>
    <row r="1384" spans="1:89">
      <c r="A1384" s="157"/>
      <c r="F1384" s="3"/>
      <c r="G1384" s="3"/>
      <c r="L1384" s="157"/>
      <c r="M1384" s="157"/>
      <c r="O1384" s="147"/>
      <c r="P1384" s="147"/>
      <c r="Q1384" s="147"/>
      <c r="R1384" s="147"/>
      <c r="S1384" s="147"/>
      <c r="T1384" s="147"/>
      <c r="U1384" s="147"/>
      <c r="V1384" s="147"/>
      <c r="W1384" s="147"/>
      <c r="X1384" s="147"/>
      <c r="Y1384" s="147"/>
      <c r="Z1384" s="147"/>
      <c r="AA1384" s="147"/>
      <c r="AB1384" s="147"/>
      <c r="AC1384" s="147"/>
      <c r="AD1384" s="147"/>
      <c r="AE1384" s="147"/>
      <c r="AF1384" s="147"/>
      <c r="AG1384" s="147"/>
      <c r="AH1384" s="147"/>
      <c r="AI1384" s="147"/>
      <c r="AJ1384" s="147"/>
      <c r="AK1384" s="147"/>
      <c r="AL1384" s="147"/>
      <c r="AM1384" s="151"/>
      <c r="AN1384" s="147"/>
      <c r="AO1384" s="147"/>
      <c r="AP1384" s="147"/>
      <c r="AQ1384" s="147"/>
      <c r="AR1384" s="147"/>
      <c r="AS1384" s="147"/>
      <c r="AT1384" s="147"/>
      <c r="AU1384" s="147"/>
      <c r="AV1384" s="147"/>
      <c r="AW1384" s="147"/>
      <c r="AX1384" s="147"/>
      <c r="AY1384" s="147"/>
      <c r="AZ1384" s="147"/>
      <c r="BA1384" s="147"/>
      <c r="BB1384" s="147"/>
      <c r="BC1384" s="147"/>
      <c r="BD1384" s="147"/>
      <c r="BE1384" s="147"/>
      <c r="BF1384" s="147"/>
      <c r="BG1384" s="147"/>
      <c r="BH1384" s="147"/>
      <c r="BI1384" s="147"/>
      <c r="BJ1384" s="147"/>
      <c r="BK1384" s="147"/>
      <c r="BL1384" s="147"/>
      <c r="BM1384" s="147"/>
      <c r="BN1384" s="147"/>
      <c r="BO1384" s="147"/>
      <c r="BP1384" s="147"/>
      <c r="BQ1384" s="147"/>
      <c r="BR1384" s="147"/>
      <c r="BS1384" s="147"/>
      <c r="BT1384" s="147"/>
      <c r="BU1384" s="147"/>
      <c r="BV1384" s="147"/>
      <c r="BW1384" s="147"/>
      <c r="BX1384" s="147"/>
      <c r="BY1384" s="147"/>
      <c r="BZ1384" s="147"/>
      <c r="CA1384" s="147"/>
      <c r="CB1384" s="147"/>
      <c r="CC1384" s="147"/>
      <c r="CD1384" s="147"/>
      <c r="CE1384" s="147"/>
      <c r="CF1384" s="147"/>
      <c r="CG1384" s="147"/>
      <c r="CH1384" s="147"/>
      <c r="CI1384" s="147"/>
      <c r="CJ1384" s="147"/>
      <c r="CK1384" s="147"/>
    </row>
    <row r="1385" spans="1:89">
      <c r="A1385" s="157"/>
      <c r="F1385" s="3"/>
      <c r="G1385" s="3"/>
      <c r="L1385" s="157"/>
      <c r="M1385" s="157"/>
      <c r="O1385" s="147"/>
      <c r="P1385" s="147"/>
      <c r="Q1385" s="147"/>
      <c r="R1385" s="147"/>
      <c r="S1385" s="147"/>
      <c r="T1385" s="147"/>
      <c r="U1385" s="147"/>
      <c r="V1385" s="147"/>
      <c r="W1385" s="147"/>
      <c r="X1385" s="147"/>
      <c r="Y1385" s="147"/>
      <c r="Z1385" s="147"/>
      <c r="AA1385" s="147"/>
      <c r="AB1385" s="147"/>
      <c r="AC1385" s="147"/>
      <c r="AD1385" s="147"/>
      <c r="AE1385" s="147"/>
      <c r="AF1385" s="147"/>
      <c r="AG1385" s="147"/>
      <c r="AH1385" s="147"/>
      <c r="AI1385" s="147"/>
      <c r="AJ1385" s="147"/>
      <c r="AK1385" s="147"/>
      <c r="AL1385" s="147"/>
      <c r="AM1385" s="151"/>
      <c r="AN1385" s="147"/>
      <c r="AO1385" s="147"/>
      <c r="AP1385" s="147"/>
      <c r="AQ1385" s="147"/>
      <c r="AR1385" s="147"/>
      <c r="AS1385" s="147"/>
      <c r="AT1385" s="147"/>
      <c r="AU1385" s="147"/>
      <c r="AV1385" s="147"/>
      <c r="AW1385" s="147"/>
      <c r="AX1385" s="147"/>
      <c r="AY1385" s="147"/>
      <c r="AZ1385" s="147"/>
      <c r="BA1385" s="147"/>
      <c r="BB1385" s="147"/>
      <c r="BC1385" s="147"/>
      <c r="BD1385" s="147"/>
      <c r="BE1385" s="147"/>
      <c r="BF1385" s="147"/>
      <c r="BG1385" s="147"/>
      <c r="BH1385" s="147"/>
      <c r="BI1385" s="147"/>
      <c r="BJ1385" s="147"/>
      <c r="BK1385" s="147"/>
      <c r="BL1385" s="147"/>
      <c r="BM1385" s="147"/>
      <c r="BN1385" s="147"/>
      <c r="BO1385" s="147"/>
      <c r="BP1385" s="147"/>
      <c r="BQ1385" s="147"/>
      <c r="BR1385" s="147"/>
      <c r="BS1385" s="147"/>
      <c r="BT1385" s="147"/>
      <c r="BU1385" s="147"/>
      <c r="BV1385" s="147"/>
      <c r="BW1385" s="147"/>
      <c r="BX1385" s="147"/>
      <c r="BY1385" s="147"/>
      <c r="BZ1385" s="147"/>
      <c r="CA1385" s="147"/>
      <c r="CB1385" s="147"/>
      <c r="CC1385" s="147"/>
      <c r="CD1385" s="147"/>
      <c r="CE1385" s="147"/>
      <c r="CF1385" s="147"/>
      <c r="CG1385" s="147"/>
      <c r="CH1385" s="147"/>
      <c r="CI1385" s="147"/>
      <c r="CJ1385" s="147"/>
      <c r="CK1385" s="147"/>
    </row>
    <row r="1386" spans="1:89">
      <c r="A1386" s="157"/>
      <c r="F1386" s="3"/>
      <c r="G1386" s="3"/>
      <c r="L1386" s="157"/>
      <c r="M1386" s="157"/>
      <c r="O1386" s="147"/>
      <c r="P1386" s="147"/>
      <c r="Q1386" s="147"/>
      <c r="R1386" s="147"/>
      <c r="S1386" s="147"/>
      <c r="T1386" s="147"/>
      <c r="U1386" s="147"/>
      <c r="V1386" s="147"/>
      <c r="W1386" s="147"/>
      <c r="X1386" s="147"/>
      <c r="Y1386" s="147"/>
      <c r="Z1386" s="147"/>
      <c r="AA1386" s="147"/>
      <c r="AB1386" s="147"/>
      <c r="AC1386" s="147"/>
      <c r="AD1386" s="147"/>
      <c r="AE1386" s="147"/>
      <c r="AF1386" s="147"/>
      <c r="AG1386" s="147"/>
      <c r="AH1386" s="147"/>
      <c r="AI1386" s="147"/>
      <c r="AJ1386" s="147"/>
      <c r="AK1386" s="147"/>
      <c r="AL1386" s="147"/>
      <c r="AM1386" s="151"/>
      <c r="AN1386" s="147"/>
      <c r="AO1386" s="147"/>
      <c r="AP1386" s="147"/>
      <c r="AQ1386" s="147"/>
      <c r="AR1386" s="147"/>
      <c r="AS1386" s="147"/>
      <c r="AT1386" s="147"/>
      <c r="AU1386" s="147"/>
      <c r="AV1386" s="147"/>
      <c r="AW1386" s="147"/>
      <c r="AX1386" s="147"/>
      <c r="AY1386" s="147"/>
      <c r="AZ1386" s="147"/>
      <c r="BA1386" s="147"/>
      <c r="BB1386" s="147"/>
      <c r="BC1386" s="147"/>
      <c r="BD1386" s="147"/>
      <c r="BE1386" s="147"/>
      <c r="BF1386" s="147"/>
      <c r="BG1386" s="147"/>
      <c r="BH1386" s="147"/>
      <c r="BI1386" s="147"/>
      <c r="BJ1386" s="147"/>
      <c r="BK1386" s="147"/>
      <c r="BL1386" s="147"/>
      <c r="BM1386" s="147"/>
      <c r="BN1386" s="147"/>
      <c r="BO1386" s="147"/>
      <c r="BP1386" s="147"/>
      <c r="BQ1386" s="147"/>
      <c r="BR1386" s="147"/>
      <c r="BS1386" s="147"/>
      <c r="BT1386" s="147"/>
      <c r="BU1386" s="147"/>
      <c r="BV1386" s="147"/>
      <c r="BW1386" s="147"/>
      <c r="BX1386" s="147"/>
      <c r="BY1386" s="147"/>
      <c r="BZ1386" s="147"/>
      <c r="CA1386" s="147"/>
      <c r="CB1386" s="147"/>
      <c r="CC1386" s="147"/>
      <c r="CD1386" s="147"/>
      <c r="CE1386" s="147"/>
      <c r="CF1386" s="147"/>
      <c r="CG1386" s="147"/>
      <c r="CH1386" s="147"/>
      <c r="CI1386" s="147"/>
      <c r="CJ1386" s="147"/>
      <c r="CK1386" s="147"/>
    </row>
    <row r="1387" spans="1:89">
      <c r="A1387" s="157"/>
      <c r="F1387" s="3"/>
      <c r="G1387" s="3"/>
      <c r="L1387" s="157"/>
      <c r="M1387" s="157"/>
      <c r="O1387" s="147"/>
      <c r="P1387" s="147"/>
      <c r="Q1387" s="147"/>
      <c r="R1387" s="147"/>
      <c r="S1387" s="147"/>
      <c r="T1387" s="147"/>
      <c r="U1387" s="147"/>
      <c r="V1387" s="147"/>
      <c r="W1387" s="147"/>
      <c r="X1387" s="147"/>
      <c r="Y1387" s="147"/>
      <c r="Z1387" s="147"/>
      <c r="AA1387" s="147"/>
      <c r="AB1387" s="147"/>
      <c r="AC1387" s="147"/>
      <c r="AD1387" s="147"/>
      <c r="AE1387" s="147"/>
      <c r="AF1387" s="147"/>
      <c r="AG1387" s="147"/>
      <c r="AH1387" s="147"/>
      <c r="AI1387" s="147"/>
      <c r="AJ1387" s="147"/>
      <c r="AK1387" s="147"/>
      <c r="AL1387" s="147"/>
      <c r="AM1387" s="151"/>
      <c r="AN1387" s="147"/>
      <c r="AO1387" s="147"/>
      <c r="AP1387" s="147"/>
      <c r="AQ1387" s="147"/>
      <c r="AR1387" s="147"/>
      <c r="AS1387" s="147"/>
      <c r="AT1387" s="147"/>
      <c r="AU1387" s="147"/>
      <c r="AV1387" s="147"/>
      <c r="AW1387" s="147"/>
      <c r="AX1387" s="147"/>
      <c r="AY1387" s="147"/>
      <c r="AZ1387" s="147"/>
      <c r="BA1387" s="147"/>
      <c r="BB1387" s="147"/>
      <c r="BC1387" s="147"/>
      <c r="BD1387" s="147"/>
      <c r="BE1387" s="147"/>
      <c r="BF1387" s="147"/>
      <c r="BG1387" s="147"/>
      <c r="BH1387" s="147"/>
      <c r="BI1387" s="147"/>
      <c r="BJ1387" s="147"/>
      <c r="BK1387" s="147"/>
      <c r="BL1387" s="147"/>
      <c r="BM1387" s="147"/>
      <c r="BN1387" s="147"/>
      <c r="BO1387" s="147"/>
      <c r="BP1387" s="147"/>
      <c r="BQ1387" s="147"/>
      <c r="BR1387" s="147"/>
      <c r="BS1387" s="147"/>
      <c r="BT1387" s="147"/>
      <c r="BU1387" s="147"/>
      <c r="BV1387" s="147"/>
      <c r="BW1387" s="147"/>
      <c r="BX1387" s="147"/>
      <c r="BY1387" s="147"/>
      <c r="BZ1387" s="147"/>
      <c r="CA1387" s="147"/>
      <c r="CB1387" s="147"/>
      <c r="CC1387" s="147"/>
      <c r="CD1387" s="147"/>
      <c r="CE1387" s="147"/>
      <c r="CF1387" s="147"/>
      <c r="CG1387" s="147"/>
      <c r="CH1387" s="147"/>
      <c r="CI1387" s="147"/>
      <c r="CJ1387" s="147"/>
      <c r="CK1387" s="147"/>
    </row>
    <row r="1388" spans="1:89">
      <c r="A1388" s="157"/>
      <c r="F1388" s="3"/>
      <c r="G1388" s="3"/>
      <c r="L1388" s="157"/>
      <c r="M1388" s="157"/>
      <c r="O1388" s="147"/>
      <c r="P1388" s="147"/>
      <c r="Q1388" s="147"/>
      <c r="R1388" s="147"/>
      <c r="S1388" s="147"/>
      <c r="T1388" s="147"/>
      <c r="U1388" s="147"/>
      <c r="V1388" s="147"/>
      <c r="W1388" s="147"/>
      <c r="X1388" s="147"/>
      <c r="Y1388" s="147"/>
      <c r="Z1388" s="147"/>
      <c r="AA1388" s="147"/>
      <c r="AB1388" s="147"/>
      <c r="AC1388" s="147"/>
      <c r="AD1388" s="147"/>
      <c r="AE1388" s="147"/>
      <c r="AF1388" s="147"/>
      <c r="AG1388" s="147"/>
      <c r="AH1388" s="147"/>
      <c r="AI1388" s="147"/>
      <c r="AJ1388" s="147"/>
      <c r="AK1388" s="147"/>
      <c r="AL1388" s="147"/>
      <c r="AM1388" s="151"/>
      <c r="AN1388" s="147"/>
      <c r="AO1388" s="147"/>
      <c r="AP1388" s="147"/>
      <c r="AQ1388" s="147"/>
      <c r="AR1388" s="147"/>
      <c r="AS1388" s="147"/>
      <c r="AT1388" s="147"/>
      <c r="AU1388" s="147"/>
      <c r="AV1388" s="147"/>
      <c r="AW1388" s="147"/>
      <c r="AX1388" s="147"/>
      <c r="AY1388" s="147"/>
      <c r="AZ1388" s="147"/>
      <c r="BA1388" s="147"/>
      <c r="BB1388" s="147"/>
      <c r="BC1388" s="147"/>
      <c r="BD1388" s="147"/>
      <c r="BE1388" s="147"/>
      <c r="BF1388" s="147"/>
      <c r="BG1388" s="147"/>
      <c r="BH1388" s="147"/>
      <c r="BI1388" s="147"/>
      <c r="BJ1388" s="147"/>
      <c r="BK1388" s="147"/>
      <c r="BL1388" s="147"/>
      <c r="BM1388" s="147"/>
      <c r="BN1388" s="147"/>
      <c r="BO1388" s="147"/>
      <c r="BP1388" s="147"/>
      <c r="BQ1388" s="147"/>
      <c r="BR1388" s="147"/>
      <c r="BS1388" s="147"/>
      <c r="BT1388" s="147"/>
      <c r="BU1388" s="147"/>
      <c r="BV1388" s="147"/>
      <c r="BW1388" s="147"/>
      <c r="BX1388" s="147"/>
      <c r="BY1388" s="147"/>
      <c r="BZ1388" s="147"/>
      <c r="CA1388" s="147"/>
      <c r="CB1388" s="147"/>
      <c r="CC1388" s="147"/>
      <c r="CD1388" s="147"/>
      <c r="CE1388" s="147"/>
      <c r="CF1388" s="147"/>
      <c r="CG1388" s="147"/>
      <c r="CH1388" s="147"/>
      <c r="CI1388" s="147"/>
      <c r="CJ1388" s="147"/>
      <c r="CK1388" s="147"/>
    </row>
    <row r="1389" spans="1:89">
      <c r="A1389" s="157"/>
      <c r="F1389" s="3"/>
      <c r="G1389" s="3"/>
      <c r="L1389" s="157"/>
      <c r="M1389" s="157"/>
      <c r="O1389" s="147"/>
      <c r="P1389" s="147"/>
      <c r="Q1389" s="147"/>
      <c r="R1389" s="147"/>
      <c r="S1389" s="147"/>
      <c r="T1389" s="147"/>
      <c r="U1389" s="147"/>
      <c r="V1389" s="147"/>
      <c r="W1389" s="147"/>
      <c r="X1389" s="147"/>
      <c r="Y1389" s="147"/>
      <c r="Z1389" s="147"/>
      <c r="AA1389" s="147"/>
      <c r="AB1389" s="147"/>
      <c r="AC1389" s="147"/>
      <c r="AD1389" s="147"/>
      <c r="AE1389" s="147"/>
      <c r="AF1389" s="147"/>
      <c r="AG1389" s="147"/>
      <c r="AH1389" s="147"/>
      <c r="AI1389" s="147"/>
      <c r="AJ1389" s="147"/>
      <c r="AK1389" s="147"/>
      <c r="AL1389" s="147"/>
      <c r="AM1389" s="151"/>
      <c r="AN1389" s="147"/>
      <c r="AO1389" s="147"/>
      <c r="AP1389" s="147"/>
      <c r="AQ1389" s="147"/>
      <c r="AR1389" s="147"/>
      <c r="AS1389" s="147"/>
      <c r="AT1389" s="147"/>
      <c r="AU1389" s="147"/>
      <c r="AV1389" s="147"/>
      <c r="AW1389" s="147"/>
      <c r="AX1389" s="147"/>
      <c r="AY1389" s="147"/>
      <c r="AZ1389" s="147"/>
      <c r="BA1389" s="147"/>
      <c r="BB1389" s="147"/>
      <c r="BC1389" s="147"/>
      <c r="BD1389" s="147"/>
      <c r="BE1389" s="147"/>
      <c r="BF1389" s="147"/>
      <c r="BG1389" s="147"/>
      <c r="BH1389" s="147"/>
      <c r="BI1389" s="147"/>
      <c r="BJ1389" s="147"/>
      <c r="BK1389" s="147"/>
      <c r="BL1389" s="147"/>
      <c r="BM1389" s="147"/>
      <c r="BN1389" s="147"/>
      <c r="BO1389" s="147"/>
      <c r="BP1389" s="147"/>
      <c r="BQ1389" s="147"/>
      <c r="BR1389" s="147"/>
      <c r="BS1389" s="147"/>
      <c r="BT1389" s="147"/>
      <c r="BU1389" s="147"/>
      <c r="BV1389" s="147"/>
      <c r="BW1389" s="147"/>
      <c r="BX1389" s="147"/>
      <c r="BY1389" s="147"/>
      <c r="BZ1389" s="147"/>
      <c r="CA1389" s="147"/>
      <c r="CB1389" s="147"/>
      <c r="CC1389" s="147"/>
      <c r="CD1389" s="147"/>
      <c r="CE1389" s="147"/>
      <c r="CF1389" s="147"/>
      <c r="CG1389" s="147"/>
      <c r="CH1389" s="147"/>
      <c r="CI1389" s="147"/>
      <c r="CJ1389" s="147"/>
      <c r="CK1389" s="147"/>
    </row>
    <row r="1390" spans="1:89">
      <c r="A1390" s="157"/>
      <c r="F1390" s="3"/>
      <c r="G1390" s="3"/>
      <c r="L1390" s="157"/>
      <c r="M1390" s="157"/>
      <c r="O1390" s="147"/>
      <c r="P1390" s="147"/>
      <c r="Q1390" s="147"/>
      <c r="R1390" s="147"/>
      <c r="S1390" s="147"/>
      <c r="T1390" s="147"/>
      <c r="U1390" s="147"/>
      <c r="V1390" s="147"/>
      <c r="W1390" s="147"/>
      <c r="X1390" s="147"/>
      <c r="Y1390" s="147"/>
      <c r="Z1390" s="147"/>
      <c r="AA1390" s="147"/>
      <c r="AB1390" s="147"/>
      <c r="AC1390" s="147"/>
      <c r="AD1390" s="147"/>
      <c r="AE1390" s="147"/>
      <c r="AF1390" s="147"/>
      <c r="AG1390" s="147"/>
      <c r="AH1390" s="147"/>
      <c r="AI1390" s="147"/>
      <c r="AJ1390" s="147"/>
      <c r="AK1390" s="147"/>
      <c r="AL1390" s="147"/>
      <c r="AM1390" s="151"/>
      <c r="AN1390" s="147"/>
      <c r="AO1390" s="147"/>
      <c r="AP1390" s="147"/>
      <c r="AQ1390" s="147"/>
      <c r="AR1390" s="147"/>
      <c r="AS1390" s="147"/>
      <c r="AT1390" s="147"/>
      <c r="AU1390" s="147"/>
      <c r="AV1390" s="147"/>
      <c r="AW1390" s="147"/>
      <c r="AX1390" s="147"/>
      <c r="AY1390" s="147"/>
      <c r="AZ1390" s="147"/>
      <c r="BA1390" s="147"/>
      <c r="BB1390" s="147"/>
      <c r="BC1390" s="147"/>
      <c r="BD1390" s="147"/>
      <c r="BE1390" s="147"/>
      <c r="BF1390" s="147"/>
      <c r="BG1390" s="147"/>
      <c r="BH1390" s="147"/>
      <c r="BI1390" s="147"/>
      <c r="BJ1390" s="147"/>
      <c r="BK1390" s="147"/>
      <c r="BL1390" s="147"/>
      <c r="BM1390" s="147"/>
      <c r="BN1390" s="147"/>
      <c r="BO1390" s="147"/>
      <c r="BP1390" s="147"/>
      <c r="BQ1390" s="147"/>
      <c r="BR1390" s="147"/>
      <c r="BS1390" s="147"/>
      <c r="BT1390" s="147"/>
      <c r="BU1390" s="147"/>
      <c r="BV1390" s="147"/>
      <c r="BW1390" s="147"/>
      <c r="BX1390" s="147"/>
      <c r="BY1390" s="147"/>
      <c r="BZ1390" s="147"/>
      <c r="CA1390" s="147"/>
      <c r="CB1390" s="147"/>
      <c r="CC1390" s="147"/>
      <c r="CD1390" s="147"/>
      <c r="CE1390" s="147"/>
      <c r="CF1390" s="147"/>
      <c r="CG1390" s="147"/>
      <c r="CH1390" s="147"/>
      <c r="CI1390" s="147"/>
      <c r="CJ1390" s="147"/>
      <c r="CK1390" s="147"/>
    </row>
    <row r="1391" spans="1:89">
      <c r="A1391" s="157"/>
      <c r="F1391" s="3"/>
      <c r="G1391" s="3"/>
      <c r="L1391" s="157"/>
      <c r="M1391" s="157"/>
      <c r="O1391" s="147"/>
      <c r="P1391" s="147"/>
      <c r="Q1391" s="147"/>
      <c r="R1391" s="147"/>
      <c r="S1391" s="147"/>
      <c r="T1391" s="147"/>
      <c r="U1391" s="147"/>
      <c r="V1391" s="147"/>
      <c r="W1391" s="147"/>
      <c r="X1391" s="147"/>
      <c r="Y1391" s="147"/>
      <c r="Z1391" s="147"/>
      <c r="AA1391" s="147"/>
      <c r="AB1391" s="147"/>
      <c r="AC1391" s="147"/>
      <c r="AD1391" s="147"/>
      <c r="AE1391" s="147"/>
      <c r="AF1391" s="147"/>
      <c r="AG1391" s="147"/>
      <c r="AH1391" s="147"/>
      <c r="AI1391" s="147"/>
      <c r="AJ1391" s="147"/>
      <c r="AK1391" s="147"/>
      <c r="AL1391" s="147"/>
      <c r="AM1391" s="151"/>
      <c r="AN1391" s="147"/>
      <c r="AO1391" s="147"/>
      <c r="AP1391" s="147"/>
      <c r="AQ1391" s="147"/>
      <c r="AR1391" s="147"/>
      <c r="AS1391" s="147"/>
      <c r="AT1391" s="147"/>
      <c r="AU1391" s="147"/>
      <c r="AV1391" s="147"/>
      <c r="AW1391" s="147"/>
      <c r="AX1391" s="147"/>
      <c r="AY1391" s="147"/>
      <c r="AZ1391" s="147"/>
      <c r="BA1391" s="147"/>
      <c r="BB1391" s="147"/>
      <c r="BC1391" s="147"/>
      <c r="BD1391" s="147"/>
      <c r="BE1391" s="147"/>
      <c r="BF1391" s="147"/>
      <c r="BG1391" s="147"/>
      <c r="BH1391" s="147"/>
      <c r="BI1391" s="147"/>
      <c r="BJ1391" s="147"/>
      <c r="BK1391" s="147"/>
      <c r="BL1391" s="147"/>
      <c r="BM1391" s="147"/>
      <c r="BN1391" s="147"/>
      <c r="BO1391" s="147"/>
      <c r="BP1391" s="147"/>
      <c r="BQ1391" s="147"/>
      <c r="BR1391" s="147"/>
      <c r="BS1391" s="147"/>
      <c r="BT1391" s="147"/>
      <c r="BU1391" s="147"/>
      <c r="BV1391" s="147"/>
      <c r="BW1391" s="147"/>
      <c r="BX1391" s="147"/>
      <c r="BY1391" s="147"/>
      <c r="BZ1391" s="147"/>
      <c r="CA1391" s="147"/>
      <c r="CB1391" s="147"/>
      <c r="CC1391" s="147"/>
      <c r="CD1391" s="147"/>
      <c r="CE1391" s="147"/>
      <c r="CF1391" s="147"/>
      <c r="CG1391" s="147"/>
      <c r="CH1391" s="147"/>
      <c r="CI1391" s="147"/>
      <c r="CJ1391" s="147"/>
      <c r="CK1391" s="147"/>
    </row>
    <row r="1392" spans="1:89">
      <c r="A1392" s="157"/>
      <c r="F1392" s="3"/>
      <c r="G1392" s="3"/>
      <c r="L1392" s="157"/>
      <c r="M1392" s="157"/>
      <c r="O1392" s="147"/>
      <c r="P1392" s="147"/>
      <c r="Q1392" s="147"/>
      <c r="R1392" s="147"/>
      <c r="S1392" s="147"/>
      <c r="T1392" s="147"/>
      <c r="U1392" s="147"/>
      <c r="V1392" s="147"/>
      <c r="W1392" s="147"/>
      <c r="X1392" s="147"/>
      <c r="Y1392" s="147"/>
      <c r="Z1392" s="147"/>
      <c r="AA1392" s="147"/>
      <c r="AB1392" s="147"/>
      <c r="AC1392" s="147"/>
      <c r="AD1392" s="147"/>
      <c r="AE1392" s="147"/>
      <c r="AF1392" s="147"/>
      <c r="AG1392" s="147"/>
      <c r="AH1392" s="147"/>
      <c r="AI1392" s="147"/>
      <c r="AJ1392" s="147"/>
      <c r="AK1392" s="147"/>
      <c r="AL1392" s="147"/>
      <c r="AM1392" s="151"/>
      <c r="AN1392" s="147"/>
      <c r="AO1392" s="147"/>
      <c r="AP1392" s="147"/>
      <c r="AQ1392" s="147"/>
      <c r="AR1392" s="147"/>
      <c r="AS1392" s="147"/>
      <c r="AT1392" s="147"/>
      <c r="AU1392" s="147"/>
      <c r="AV1392" s="147"/>
      <c r="AW1392" s="147"/>
      <c r="AX1392" s="147"/>
      <c r="AY1392" s="147"/>
      <c r="AZ1392" s="147"/>
      <c r="BA1392" s="147"/>
      <c r="BB1392" s="147"/>
      <c r="BC1392" s="147"/>
      <c r="BD1392" s="147"/>
      <c r="BE1392" s="147"/>
      <c r="BF1392" s="147"/>
      <c r="BG1392" s="147"/>
      <c r="BH1392" s="147"/>
      <c r="BI1392" s="147"/>
      <c r="BJ1392" s="147"/>
      <c r="BK1392" s="147"/>
      <c r="BL1392" s="147"/>
      <c r="BM1392" s="147"/>
      <c r="BN1392" s="147"/>
      <c r="BO1392" s="147"/>
      <c r="BP1392" s="147"/>
      <c r="BQ1392" s="147"/>
      <c r="BR1392" s="147"/>
      <c r="BS1392" s="147"/>
      <c r="BT1392" s="147"/>
      <c r="BU1392" s="147"/>
      <c r="BV1392" s="147"/>
      <c r="BW1392" s="147"/>
      <c r="BX1392" s="147"/>
      <c r="BY1392" s="147"/>
      <c r="BZ1392" s="147"/>
      <c r="CA1392" s="147"/>
      <c r="CB1392" s="147"/>
      <c r="CC1392" s="147"/>
      <c r="CD1392" s="147"/>
      <c r="CE1392" s="147"/>
      <c r="CF1392" s="147"/>
      <c r="CG1392" s="147"/>
      <c r="CH1392" s="147"/>
      <c r="CI1392" s="147"/>
      <c r="CJ1392" s="147"/>
      <c r="CK1392" s="147"/>
    </row>
    <row r="1393" spans="1:89">
      <c r="A1393" s="157"/>
      <c r="F1393" s="3"/>
      <c r="G1393" s="3"/>
      <c r="L1393" s="157"/>
      <c r="M1393" s="157"/>
      <c r="O1393" s="147"/>
      <c r="P1393" s="147"/>
      <c r="Q1393" s="147"/>
      <c r="R1393" s="147"/>
      <c r="S1393" s="147"/>
      <c r="T1393" s="147"/>
      <c r="U1393" s="147"/>
      <c r="V1393" s="147"/>
      <c r="W1393" s="147"/>
      <c r="X1393" s="147"/>
      <c r="Y1393" s="147"/>
      <c r="Z1393" s="147"/>
      <c r="AA1393" s="147"/>
      <c r="AB1393" s="147"/>
      <c r="AC1393" s="147"/>
      <c r="AD1393" s="147"/>
      <c r="AE1393" s="147"/>
      <c r="AF1393" s="147"/>
      <c r="AG1393" s="147"/>
      <c r="AH1393" s="147"/>
      <c r="AI1393" s="147"/>
      <c r="AJ1393" s="147"/>
      <c r="AK1393" s="147"/>
      <c r="AL1393" s="147"/>
      <c r="AM1393" s="151"/>
      <c r="AN1393" s="147"/>
      <c r="AO1393" s="147"/>
      <c r="AP1393" s="147"/>
      <c r="AQ1393" s="147"/>
      <c r="AR1393" s="147"/>
      <c r="AS1393" s="147"/>
      <c r="AT1393" s="147"/>
      <c r="AU1393" s="147"/>
      <c r="AV1393" s="147"/>
      <c r="AW1393" s="147"/>
      <c r="AX1393" s="147"/>
      <c r="AY1393" s="147"/>
      <c r="AZ1393" s="147"/>
      <c r="BA1393" s="147"/>
      <c r="BB1393" s="147"/>
      <c r="BC1393" s="147"/>
      <c r="BD1393" s="147"/>
      <c r="BE1393" s="147"/>
      <c r="BF1393" s="147"/>
      <c r="BG1393" s="147"/>
      <c r="BH1393" s="147"/>
      <c r="BI1393" s="147"/>
      <c r="BJ1393" s="147"/>
      <c r="BK1393" s="147"/>
      <c r="BL1393" s="147"/>
      <c r="BM1393" s="147"/>
      <c r="BN1393" s="147"/>
      <c r="BO1393" s="147"/>
      <c r="BP1393" s="147"/>
      <c r="BQ1393" s="147"/>
      <c r="BR1393" s="147"/>
      <c r="BS1393" s="147"/>
      <c r="BT1393" s="147"/>
      <c r="BU1393" s="147"/>
      <c r="BV1393" s="147"/>
      <c r="BW1393" s="147"/>
      <c r="BX1393" s="147"/>
      <c r="BY1393" s="147"/>
      <c r="BZ1393" s="147"/>
      <c r="CA1393" s="147"/>
      <c r="CB1393" s="147"/>
      <c r="CC1393" s="147"/>
      <c r="CD1393" s="147"/>
      <c r="CE1393" s="147"/>
      <c r="CF1393" s="147"/>
      <c r="CG1393" s="147"/>
      <c r="CH1393" s="147"/>
      <c r="CI1393" s="147"/>
      <c r="CJ1393" s="147"/>
      <c r="CK1393" s="147"/>
    </row>
    <row r="1394" spans="1:89">
      <c r="A1394" s="157"/>
      <c r="F1394" s="3"/>
      <c r="G1394" s="3"/>
      <c r="L1394" s="157"/>
      <c r="M1394" s="157"/>
      <c r="O1394" s="147"/>
      <c r="P1394" s="147"/>
      <c r="Q1394" s="147"/>
      <c r="R1394" s="147"/>
      <c r="S1394" s="147"/>
      <c r="T1394" s="147"/>
      <c r="U1394" s="147"/>
      <c r="V1394" s="147"/>
      <c r="W1394" s="147"/>
      <c r="X1394" s="147"/>
      <c r="Y1394" s="147"/>
      <c r="Z1394" s="147"/>
      <c r="AA1394" s="147"/>
      <c r="AB1394" s="147"/>
      <c r="AC1394" s="147"/>
      <c r="AD1394" s="147"/>
      <c r="AE1394" s="147"/>
      <c r="AF1394" s="147"/>
      <c r="AG1394" s="147"/>
      <c r="AH1394" s="147"/>
      <c r="AI1394" s="147"/>
      <c r="AJ1394" s="147"/>
      <c r="AK1394" s="147"/>
      <c r="AL1394" s="147"/>
      <c r="AM1394" s="151"/>
      <c r="AN1394" s="147"/>
      <c r="AO1394" s="147"/>
      <c r="AP1394" s="147"/>
      <c r="AQ1394" s="147"/>
      <c r="AR1394" s="147"/>
      <c r="AS1394" s="147"/>
      <c r="AT1394" s="147"/>
      <c r="AU1394" s="147"/>
      <c r="AV1394" s="147"/>
      <c r="AW1394" s="147"/>
      <c r="AX1394" s="147"/>
      <c r="AY1394" s="147"/>
      <c r="AZ1394" s="147"/>
      <c r="BA1394" s="147"/>
      <c r="BB1394" s="147"/>
      <c r="BC1394" s="147"/>
      <c r="BD1394" s="147"/>
      <c r="BE1394" s="147"/>
      <c r="BF1394" s="147"/>
      <c r="BG1394" s="147"/>
      <c r="BH1394" s="147"/>
      <c r="BI1394" s="147"/>
      <c r="BJ1394" s="147"/>
      <c r="BK1394" s="147"/>
      <c r="BL1394" s="147"/>
      <c r="BM1394" s="147"/>
      <c r="BN1394" s="147"/>
      <c r="BO1394" s="147"/>
      <c r="BP1394" s="147"/>
      <c r="BQ1394" s="147"/>
      <c r="BR1394" s="147"/>
      <c r="BS1394" s="147"/>
      <c r="BT1394" s="147"/>
      <c r="BU1394" s="147"/>
      <c r="BV1394" s="147"/>
      <c r="BW1394" s="147"/>
      <c r="BX1394" s="147"/>
      <c r="BY1394" s="147"/>
      <c r="BZ1394" s="147"/>
      <c r="CA1394" s="147"/>
      <c r="CB1394" s="147"/>
      <c r="CC1394" s="147"/>
      <c r="CD1394" s="147"/>
      <c r="CE1394" s="147"/>
      <c r="CF1394" s="147"/>
      <c r="CG1394" s="147"/>
      <c r="CH1394" s="147"/>
      <c r="CI1394" s="147"/>
      <c r="CJ1394" s="147"/>
      <c r="CK1394" s="147"/>
    </row>
    <row r="1395" spans="1:89">
      <c r="A1395" s="157"/>
      <c r="F1395" s="3"/>
      <c r="G1395" s="3"/>
      <c r="L1395" s="157"/>
      <c r="M1395" s="157"/>
      <c r="O1395" s="147"/>
      <c r="P1395" s="147"/>
      <c r="Q1395" s="147"/>
      <c r="R1395" s="147"/>
      <c r="S1395" s="147"/>
      <c r="T1395" s="147"/>
      <c r="U1395" s="147"/>
      <c r="V1395" s="147"/>
      <c r="W1395" s="147"/>
      <c r="X1395" s="147"/>
      <c r="Y1395" s="147"/>
      <c r="Z1395" s="147"/>
      <c r="AA1395" s="147"/>
      <c r="AB1395" s="147"/>
      <c r="AC1395" s="147"/>
      <c r="AD1395" s="147"/>
      <c r="AE1395" s="147"/>
      <c r="AF1395" s="147"/>
      <c r="AG1395" s="147"/>
      <c r="AH1395" s="147"/>
      <c r="AI1395" s="147"/>
      <c r="AJ1395" s="147"/>
      <c r="AK1395" s="147"/>
      <c r="AL1395" s="147"/>
      <c r="AM1395" s="151"/>
      <c r="AN1395" s="147"/>
      <c r="AO1395" s="147"/>
      <c r="AP1395" s="147"/>
      <c r="AQ1395" s="147"/>
      <c r="AR1395" s="147"/>
      <c r="AS1395" s="147"/>
      <c r="AT1395" s="147"/>
      <c r="AU1395" s="147"/>
      <c r="AV1395" s="147"/>
      <c r="AW1395" s="147"/>
      <c r="AX1395" s="147"/>
      <c r="AY1395" s="147"/>
      <c r="AZ1395" s="147"/>
      <c r="BA1395" s="147"/>
      <c r="BB1395" s="147"/>
      <c r="BC1395" s="147"/>
      <c r="BD1395" s="147"/>
      <c r="BE1395" s="147"/>
      <c r="BF1395" s="147"/>
      <c r="BG1395" s="147"/>
      <c r="BH1395" s="147"/>
      <c r="BI1395" s="147"/>
      <c r="BJ1395" s="147"/>
      <c r="BK1395" s="147"/>
      <c r="BL1395" s="147"/>
      <c r="BM1395" s="147"/>
      <c r="BN1395" s="147"/>
      <c r="BO1395" s="147"/>
      <c r="BP1395" s="147"/>
      <c r="BQ1395" s="147"/>
      <c r="BR1395" s="147"/>
      <c r="BS1395" s="147"/>
      <c r="BT1395" s="147"/>
      <c r="BU1395" s="147"/>
      <c r="BV1395" s="147"/>
      <c r="BW1395" s="147"/>
      <c r="BX1395" s="147"/>
      <c r="BY1395" s="147"/>
      <c r="BZ1395" s="147"/>
      <c r="CA1395" s="147"/>
      <c r="CB1395" s="147"/>
      <c r="CC1395" s="147"/>
      <c r="CD1395" s="147"/>
      <c r="CE1395" s="147"/>
      <c r="CF1395" s="147"/>
      <c r="CG1395" s="147"/>
      <c r="CH1395" s="147"/>
      <c r="CI1395" s="147"/>
      <c r="CJ1395" s="147"/>
      <c r="CK1395" s="147"/>
    </row>
    <row r="1396" spans="1:89">
      <c r="A1396" s="157"/>
      <c r="F1396" s="3"/>
      <c r="G1396" s="3"/>
      <c r="L1396" s="157"/>
      <c r="M1396" s="157"/>
      <c r="O1396" s="147"/>
      <c r="P1396" s="147"/>
      <c r="Q1396" s="147"/>
      <c r="R1396" s="147"/>
      <c r="S1396" s="147"/>
      <c r="T1396" s="147"/>
      <c r="U1396" s="147"/>
      <c r="V1396" s="147"/>
      <c r="W1396" s="147"/>
      <c r="X1396" s="147"/>
      <c r="Y1396" s="147"/>
      <c r="Z1396" s="147"/>
      <c r="AA1396" s="147"/>
      <c r="AB1396" s="147"/>
      <c r="AC1396" s="147"/>
      <c r="AD1396" s="147"/>
      <c r="AE1396" s="147"/>
      <c r="AF1396" s="147"/>
      <c r="AG1396" s="147"/>
      <c r="AH1396" s="147"/>
      <c r="AI1396" s="147"/>
      <c r="AJ1396" s="147"/>
      <c r="AK1396" s="147"/>
      <c r="AL1396" s="147"/>
      <c r="AM1396" s="151"/>
      <c r="AN1396" s="147"/>
      <c r="AO1396" s="147"/>
      <c r="AP1396" s="147"/>
      <c r="AQ1396" s="147"/>
      <c r="AR1396" s="147"/>
      <c r="AS1396" s="147"/>
      <c r="AT1396" s="147"/>
      <c r="AU1396" s="147"/>
      <c r="AV1396" s="147"/>
      <c r="AW1396" s="147"/>
      <c r="AX1396" s="147"/>
      <c r="AY1396" s="147"/>
      <c r="AZ1396" s="147"/>
      <c r="BA1396" s="147"/>
      <c r="BB1396" s="147"/>
      <c r="BC1396" s="147"/>
      <c r="BD1396" s="147"/>
      <c r="BE1396" s="147"/>
      <c r="BF1396" s="147"/>
      <c r="BG1396" s="147"/>
      <c r="BH1396" s="147"/>
      <c r="BI1396" s="147"/>
      <c r="BJ1396" s="147"/>
      <c r="BK1396" s="147"/>
      <c r="BL1396" s="147"/>
      <c r="BM1396" s="147"/>
      <c r="BN1396" s="147"/>
      <c r="BO1396" s="147"/>
      <c r="BP1396" s="147"/>
      <c r="BQ1396" s="147"/>
      <c r="BR1396" s="147"/>
      <c r="BS1396" s="147"/>
      <c r="BT1396" s="147"/>
      <c r="BU1396" s="147"/>
      <c r="BV1396" s="147"/>
      <c r="BW1396" s="147"/>
      <c r="BX1396" s="147"/>
      <c r="BY1396" s="147"/>
      <c r="BZ1396" s="147"/>
      <c r="CA1396" s="147"/>
      <c r="CB1396" s="147"/>
      <c r="CC1396" s="147"/>
      <c r="CD1396" s="147"/>
      <c r="CE1396" s="147"/>
      <c r="CF1396" s="147"/>
      <c r="CG1396" s="147"/>
      <c r="CH1396" s="147"/>
      <c r="CI1396" s="147"/>
      <c r="CJ1396" s="147"/>
      <c r="CK1396" s="147"/>
    </row>
    <row r="1397" spans="1:89">
      <c r="A1397" s="157"/>
      <c r="F1397" s="3"/>
      <c r="G1397" s="3"/>
      <c r="L1397" s="157"/>
      <c r="M1397" s="157"/>
      <c r="O1397" s="147"/>
      <c r="P1397" s="147"/>
      <c r="Q1397" s="147"/>
      <c r="R1397" s="147"/>
      <c r="S1397" s="147"/>
      <c r="T1397" s="147"/>
      <c r="U1397" s="147"/>
      <c r="V1397" s="147"/>
      <c r="W1397" s="147"/>
      <c r="X1397" s="147"/>
      <c r="Y1397" s="147"/>
      <c r="Z1397" s="147"/>
      <c r="AA1397" s="147"/>
      <c r="AB1397" s="147"/>
      <c r="AC1397" s="147"/>
      <c r="AD1397" s="147"/>
      <c r="AE1397" s="147"/>
      <c r="AF1397" s="147"/>
      <c r="AG1397" s="147"/>
      <c r="AH1397" s="147"/>
      <c r="AI1397" s="147"/>
      <c r="AJ1397" s="147"/>
      <c r="AK1397" s="147"/>
      <c r="AL1397" s="147"/>
      <c r="AM1397" s="151"/>
      <c r="AN1397" s="147"/>
      <c r="AO1397" s="147"/>
      <c r="AP1397" s="147"/>
      <c r="AQ1397" s="147"/>
      <c r="AR1397" s="147"/>
      <c r="AS1397" s="147"/>
      <c r="AT1397" s="147"/>
      <c r="AU1397" s="147"/>
      <c r="AV1397" s="147"/>
      <c r="AW1397" s="147"/>
      <c r="AX1397" s="147"/>
      <c r="AY1397" s="147"/>
      <c r="AZ1397" s="147"/>
      <c r="BA1397" s="147"/>
      <c r="BB1397" s="147"/>
      <c r="BC1397" s="147"/>
      <c r="BD1397" s="147"/>
      <c r="BE1397" s="147"/>
      <c r="BF1397" s="147"/>
      <c r="BG1397" s="147"/>
      <c r="BH1397" s="147"/>
      <c r="BI1397" s="147"/>
      <c r="BJ1397" s="147"/>
      <c r="BK1397" s="147"/>
      <c r="BL1397" s="147"/>
      <c r="BM1397" s="147"/>
      <c r="BN1397" s="147"/>
      <c r="BO1397" s="147"/>
      <c r="BP1397" s="147"/>
      <c r="BQ1397" s="147"/>
      <c r="BR1397" s="147"/>
      <c r="BS1397" s="147"/>
      <c r="BT1397" s="147"/>
      <c r="BU1397" s="147"/>
      <c r="BV1397" s="147"/>
      <c r="BW1397" s="147"/>
      <c r="BX1397" s="147"/>
      <c r="BY1397" s="147"/>
      <c r="BZ1397" s="147"/>
      <c r="CA1397" s="147"/>
      <c r="CB1397" s="147"/>
      <c r="CC1397" s="147"/>
      <c r="CD1397" s="147"/>
      <c r="CE1397" s="147"/>
      <c r="CF1397" s="147"/>
      <c r="CG1397" s="147"/>
      <c r="CH1397" s="147"/>
      <c r="CI1397" s="147"/>
      <c r="CJ1397" s="147"/>
      <c r="CK1397" s="147"/>
    </row>
    <row r="1398" spans="1:89">
      <c r="A1398" s="157"/>
      <c r="F1398" s="3"/>
      <c r="G1398" s="3"/>
      <c r="L1398" s="157"/>
      <c r="M1398" s="157"/>
      <c r="O1398" s="147"/>
      <c r="P1398" s="147"/>
      <c r="Q1398" s="147"/>
      <c r="R1398" s="147"/>
      <c r="S1398" s="147"/>
      <c r="T1398" s="147"/>
      <c r="U1398" s="147"/>
      <c r="V1398" s="147"/>
      <c r="W1398" s="147"/>
      <c r="X1398" s="147"/>
      <c r="Y1398" s="147"/>
      <c r="Z1398" s="147"/>
      <c r="AA1398" s="147"/>
      <c r="AB1398" s="147"/>
      <c r="AC1398" s="147"/>
      <c r="AD1398" s="147"/>
      <c r="AE1398" s="147"/>
      <c r="AF1398" s="147"/>
      <c r="AG1398" s="147"/>
      <c r="AH1398" s="147"/>
      <c r="AI1398" s="147"/>
      <c r="AJ1398" s="147"/>
      <c r="AK1398" s="147"/>
      <c r="AL1398" s="147"/>
      <c r="AM1398" s="151"/>
      <c r="AN1398" s="147"/>
      <c r="AO1398" s="147"/>
      <c r="AP1398" s="147"/>
      <c r="AQ1398" s="147"/>
      <c r="AR1398" s="147"/>
      <c r="AS1398" s="147"/>
      <c r="AT1398" s="147"/>
      <c r="AU1398" s="147"/>
      <c r="AV1398" s="147"/>
      <c r="AW1398" s="147"/>
      <c r="AX1398" s="147"/>
      <c r="AY1398" s="147"/>
      <c r="AZ1398" s="147"/>
      <c r="BA1398" s="147"/>
      <c r="BB1398" s="147"/>
      <c r="BC1398" s="147"/>
      <c r="BD1398" s="147"/>
      <c r="BE1398" s="147"/>
      <c r="BF1398" s="147"/>
      <c r="BG1398" s="147"/>
      <c r="BH1398" s="147"/>
      <c r="BI1398" s="147"/>
      <c r="BJ1398" s="147"/>
      <c r="BK1398" s="147"/>
      <c r="BL1398" s="147"/>
      <c r="BM1398" s="147"/>
      <c r="BN1398" s="147"/>
      <c r="BO1398" s="147"/>
      <c r="BP1398" s="147"/>
      <c r="BQ1398" s="147"/>
      <c r="BR1398" s="147"/>
      <c r="BS1398" s="147"/>
      <c r="BT1398" s="147"/>
      <c r="BU1398" s="147"/>
      <c r="BV1398" s="147"/>
      <c r="BW1398" s="147"/>
      <c r="BX1398" s="147"/>
      <c r="BY1398" s="147"/>
      <c r="BZ1398" s="147"/>
      <c r="CA1398" s="147"/>
      <c r="CB1398" s="147"/>
      <c r="CC1398" s="147"/>
      <c r="CD1398" s="147"/>
      <c r="CE1398" s="147"/>
      <c r="CF1398" s="147"/>
      <c r="CG1398" s="147"/>
      <c r="CH1398" s="147"/>
      <c r="CI1398" s="147"/>
      <c r="CJ1398" s="147"/>
      <c r="CK1398" s="147"/>
    </row>
    <row r="1399" spans="1:89">
      <c r="A1399" s="157"/>
      <c r="F1399" s="3"/>
      <c r="G1399" s="3"/>
      <c r="L1399" s="157"/>
      <c r="M1399" s="157"/>
      <c r="O1399" s="147"/>
      <c r="P1399" s="147"/>
      <c r="Q1399" s="147"/>
      <c r="R1399" s="147"/>
      <c r="S1399" s="147"/>
      <c r="T1399" s="147"/>
      <c r="U1399" s="147"/>
      <c r="V1399" s="147"/>
      <c r="W1399" s="147"/>
      <c r="X1399" s="147"/>
      <c r="Y1399" s="147"/>
      <c r="Z1399" s="147"/>
      <c r="AA1399" s="147"/>
      <c r="AB1399" s="147"/>
      <c r="AC1399" s="147"/>
      <c r="AD1399" s="147"/>
      <c r="AE1399" s="147"/>
      <c r="AF1399" s="147"/>
      <c r="AG1399" s="147"/>
      <c r="AH1399" s="147"/>
      <c r="AI1399" s="147"/>
      <c r="AJ1399" s="147"/>
      <c r="AK1399" s="147"/>
      <c r="AL1399" s="147"/>
      <c r="AM1399" s="151"/>
      <c r="AN1399" s="147"/>
      <c r="AO1399" s="147"/>
      <c r="AP1399" s="147"/>
      <c r="AQ1399" s="147"/>
      <c r="AR1399" s="147"/>
      <c r="AS1399" s="147"/>
      <c r="AT1399" s="147"/>
      <c r="AU1399" s="147"/>
      <c r="AV1399" s="147"/>
      <c r="AW1399" s="147"/>
      <c r="AX1399" s="147"/>
      <c r="AY1399" s="147"/>
      <c r="AZ1399" s="147"/>
      <c r="BA1399" s="147"/>
      <c r="BB1399" s="147"/>
      <c r="BC1399" s="147"/>
      <c r="BD1399" s="147"/>
      <c r="BE1399" s="147"/>
      <c r="BF1399" s="147"/>
      <c r="BG1399" s="147"/>
      <c r="BH1399" s="147"/>
      <c r="BI1399" s="147"/>
      <c r="BJ1399" s="147"/>
      <c r="BK1399" s="147"/>
      <c r="BL1399" s="147"/>
      <c r="BM1399" s="147"/>
      <c r="BN1399" s="147"/>
      <c r="BO1399" s="147"/>
      <c r="BP1399" s="147"/>
      <c r="BQ1399" s="147"/>
      <c r="BR1399" s="147"/>
      <c r="BS1399" s="147"/>
      <c r="BT1399" s="147"/>
      <c r="BU1399" s="147"/>
      <c r="BV1399" s="147"/>
      <c r="BW1399" s="147"/>
      <c r="BX1399" s="147"/>
      <c r="BY1399" s="147"/>
      <c r="BZ1399" s="147"/>
      <c r="CA1399" s="147"/>
      <c r="CB1399" s="147"/>
      <c r="CC1399" s="147"/>
      <c r="CD1399" s="147"/>
      <c r="CE1399" s="147"/>
      <c r="CF1399" s="147"/>
      <c r="CG1399" s="147"/>
      <c r="CH1399" s="147"/>
      <c r="CI1399" s="147"/>
      <c r="CJ1399" s="147"/>
      <c r="CK1399" s="147"/>
    </row>
    <row r="1400" spans="1:89">
      <c r="A1400" s="157"/>
      <c r="F1400" s="3"/>
      <c r="G1400" s="3"/>
      <c r="L1400" s="157"/>
      <c r="M1400" s="157"/>
      <c r="O1400" s="147"/>
      <c r="P1400" s="147"/>
      <c r="Q1400" s="147"/>
      <c r="R1400" s="147"/>
      <c r="S1400" s="147"/>
      <c r="T1400" s="147"/>
      <c r="U1400" s="147"/>
      <c r="V1400" s="147"/>
      <c r="W1400" s="147"/>
      <c r="X1400" s="147"/>
      <c r="Y1400" s="147"/>
      <c r="Z1400" s="147"/>
      <c r="AA1400" s="147"/>
      <c r="AB1400" s="147"/>
      <c r="AC1400" s="147"/>
      <c r="AD1400" s="147"/>
      <c r="AE1400" s="147"/>
      <c r="AF1400" s="147"/>
      <c r="AG1400" s="147"/>
      <c r="AH1400" s="147"/>
      <c r="AI1400" s="147"/>
      <c r="AJ1400" s="147"/>
      <c r="AK1400" s="147"/>
      <c r="AL1400" s="147"/>
      <c r="AM1400" s="151"/>
      <c r="AN1400" s="147"/>
      <c r="AO1400" s="147"/>
      <c r="AP1400" s="147"/>
      <c r="AQ1400" s="147"/>
      <c r="AR1400" s="147"/>
      <c r="AS1400" s="147"/>
      <c r="AT1400" s="147"/>
      <c r="AU1400" s="147"/>
      <c r="AV1400" s="147"/>
      <c r="AW1400" s="147"/>
      <c r="AX1400" s="147"/>
      <c r="AY1400" s="147"/>
      <c r="AZ1400" s="147"/>
      <c r="BA1400" s="147"/>
      <c r="BB1400" s="147"/>
      <c r="BC1400" s="147"/>
      <c r="BD1400" s="147"/>
      <c r="BE1400" s="147"/>
      <c r="BF1400" s="147"/>
      <c r="BG1400" s="147"/>
      <c r="BH1400" s="147"/>
      <c r="BI1400" s="147"/>
      <c r="BJ1400" s="147"/>
      <c r="BK1400" s="147"/>
      <c r="BL1400" s="147"/>
      <c r="BM1400" s="147"/>
      <c r="BN1400" s="147"/>
      <c r="BO1400" s="147"/>
      <c r="BP1400" s="147"/>
      <c r="BQ1400" s="147"/>
      <c r="BR1400" s="147"/>
      <c r="BS1400" s="147"/>
      <c r="BT1400" s="147"/>
      <c r="BU1400" s="147"/>
      <c r="BV1400" s="147"/>
      <c r="BW1400" s="147"/>
      <c r="BX1400" s="147"/>
      <c r="BY1400" s="147"/>
      <c r="BZ1400" s="147"/>
      <c r="CA1400" s="147"/>
      <c r="CB1400" s="147"/>
      <c r="CC1400" s="147"/>
      <c r="CD1400" s="147"/>
      <c r="CE1400" s="147"/>
      <c r="CF1400" s="147"/>
      <c r="CG1400" s="147"/>
      <c r="CH1400" s="147"/>
      <c r="CI1400" s="147"/>
      <c r="CJ1400" s="147"/>
      <c r="CK1400" s="147"/>
    </row>
    <row r="1401" spans="1:89">
      <c r="A1401" s="157"/>
      <c r="F1401" s="3"/>
      <c r="G1401" s="3"/>
      <c r="L1401" s="157"/>
      <c r="M1401" s="157"/>
      <c r="O1401" s="147"/>
      <c r="P1401" s="147"/>
      <c r="Q1401" s="147"/>
      <c r="R1401" s="147"/>
      <c r="S1401" s="147"/>
      <c r="T1401" s="147"/>
      <c r="U1401" s="147"/>
      <c r="V1401" s="147"/>
      <c r="W1401" s="147"/>
      <c r="X1401" s="147"/>
      <c r="Y1401" s="147"/>
      <c r="Z1401" s="147"/>
      <c r="AA1401" s="147"/>
      <c r="AB1401" s="147"/>
      <c r="AC1401" s="147"/>
      <c r="AD1401" s="147"/>
      <c r="AE1401" s="147"/>
      <c r="AF1401" s="147"/>
      <c r="AG1401" s="147"/>
      <c r="AH1401" s="147"/>
      <c r="AI1401" s="147"/>
      <c r="AJ1401" s="147"/>
      <c r="AK1401" s="147"/>
      <c r="AL1401" s="147"/>
      <c r="AM1401" s="151"/>
      <c r="AN1401" s="147"/>
      <c r="AO1401" s="147"/>
      <c r="AP1401" s="147"/>
      <c r="AQ1401" s="147"/>
      <c r="AR1401" s="147"/>
      <c r="AS1401" s="147"/>
      <c r="AT1401" s="147"/>
      <c r="AU1401" s="147"/>
      <c r="AV1401" s="147"/>
      <c r="AW1401" s="147"/>
      <c r="AX1401" s="147"/>
      <c r="AY1401" s="147"/>
      <c r="AZ1401" s="147"/>
      <c r="BA1401" s="147"/>
      <c r="BB1401" s="147"/>
      <c r="BC1401" s="147"/>
      <c r="BD1401" s="147"/>
      <c r="BE1401" s="147"/>
      <c r="BF1401" s="147"/>
      <c r="BG1401" s="147"/>
      <c r="BH1401" s="147"/>
      <c r="BI1401" s="147"/>
      <c r="BJ1401" s="147"/>
      <c r="BK1401" s="147"/>
      <c r="BL1401" s="147"/>
      <c r="BM1401" s="147"/>
      <c r="BN1401" s="147"/>
      <c r="BO1401" s="147"/>
      <c r="BP1401" s="147"/>
      <c r="BQ1401" s="147"/>
      <c r="BR1401" s="147"/>
      <c r="BS1401" s="147"/>
      <c r="BT1401" s="147"/>
      <c r="BU1401" s="147"/>
      <c r="BV1401" s="147"/>
      <c r="BW1401" s="147"/>
      <c r="BX1401" s="147"/>
      <c r="BY1401" s="147"/>
      <c r="BZ1401" s="147"/>
      <c r="CA1401" s="147"/>
      <c r="CB1401" s="147"/>
      <c r="CC1401" s="147"/>
      <c r="CD1401" s="147"/>
      <c r="CE1401" s="147"/>
      <c r="CF1401" s="147"/>
      <c r="CG1401" s="147"/>
      <c r="CH1401" s="147"/>
      <c r="CI1401" s="147"/>
      <c r="CJ1401" s="147"/>
      <c r="CK1401" s="147"/>
    </row>
    <row r="1402" spans="1:89">
      <c r="A1402" s="157"/>
      <c r="F1402" s="3"/>
      <c r="G1402" s="3"/>
      <c r="L1402" s="157"/>
      <c r="M1402" s="157"/>
      <c r="O1402" s="147"/>
      <c r="P1402" s="147"/>
      <c r="Q1402" s="147"/>
      <c r="R1402" s="147"/>
      <c r="S1402" s="147"/>
      <c r="T1402" s="147"/>
      <c r="U1402" s="147"/>
      <c r="V1402" s="147"/>
      <c r="W1402" s="147"/>
      <c r="X1402" s="147"/>
      <c r="Y1402" s="147"/>
      <c r="Z1402" s="147"/>
      <c r="AA1402" s="147"/>
      <c r="AB1402" s="147"/>
      <c r="AC1402" s="147"/>
      <c r="AD1402" s="147"/>
      <c r="AE1402" s="147"/>
      <c r="AF1402" s="147"/>
      <c r="AG1402" s="147"/>
      <c r="AH1402" s="147"/>
      <c r="AI1402" s="147"/>
      <c r="AJ1402" s="147"/>
      <c r="AK1402" s="147"/>
      <c r="AL1402" s="147"/>
      <c r="AM1402" s="151"/>
      <c r="AN1402" s="147"/>
      <c r="AO1402" s="147"/>
      <c r="AP1402" s="147"/>
      <c r="AQ1402" s="147"/>
      <c r="AR1402" s="147"/>
      <c r="AS1402" s="147"/>
      <c r="AT1402" s="147"/>
      <c r="AU1402" s="147"/>
      <c r="AV1402" s="147"/>
      <c r="AW1402" s="147"/>
      <c r="AX1402" s="147"/>
      <c r="AY1402" s="147"/>
      <c r="AZ1402" s="147"/>
      <c r="BA1402" s="147"/>
      <c r="BB1402" s="147"/>
      <c r="BC1402" s="147"/>
      <c r="BD1402" s="147"/>
      <c r="BE1402" s="147"/>
      <c r="BF1402" s="147"/>
      <c r="BG1402" s="147"/>
      <c r="BH1402" s="147"/>
      <c r="BI1402" s="147"/>
      <c r="BJ1402" s="147"/>
      <c r="BK1402" s="147"/>
      <c r="BL1402" s="147"/>
      <c r="BM1402" s="147"/>
      <c r="BN1402" s="147"/>
      <c r="BO1402" s="147"/>
      <c r="BP1402" s="147"/>
      <c r="BQ1402" s="147"/>
      <c r="BR1402" s="147"/>
      <c r="BS1402" s="147"/>
      <c r="BT1402" s="147"/>
      <c r="BU1402" s="147"/>
      <c r="BV1402" s="147"/>
      <c r="BW1402" s="147"/>
      <c r="BX1402" s="147"/>
      <c r="BY1402" s="147"/>
      <c r="BZ1402" s="147"/>
      <c r="CA1402" s="147"/>
      <c r="CB1402" s="147"/>
      <c r="CC1402" s="147"/>
      <c r="CD1402" s="147"/>
      <c r="CE1402" s="147"/>
      <c r="CF1402" s="147"/>
      <c r="CG1402" s="147"/>
      <c r="CH1402" s="147"/>
      <c r="CI1402" s="147"/>
      <c r="CJ1402" s="147"/>
      <c r="CK1402" s="147"/>
    </row>
    <row r="1403" spans="1:89">
      <c r="A1403" s="157"/>
      <c r="F1403" s="3"/>
      <c r="G1403" s="3"/>
      <c r="L1403" s="157"/>
      <c r="M1403" s="157"/>
      <c r="O1403" s="147"/>
      <c r="P1403" s="147"/>
      <c r="Q1403" s="147"/>
      <c r="R1403" s="147"/>
      <c r="S1403" s="147"/>
      <c r="T1403" s="147"/>
      <c r="U1403" s="147"/>
      <c r="V1403" s="147"/>
      <c r="W1403" s="147"/>
      <c r="X1403" s="147"/>
      <c r="Y1403" s="147"/>
      <c r="Z1403" s="147"/>
      <c r="AA1403" s="147"/>
      <c r="AB1403" s="147"/>
      <c r="AC1403" s="147"/>
      <c r="AD1403" s="147"/>
      <c r="AE1403" s="147"/>
      <c r="AF1403" s="147"/>
      <c r="AG1403" s="147"/>
      <c r="AH1403" s="147"/>
      <c r="AI1403" s="147"/>
      <c r="AJ1403" s="147"/>
      <c r="AK1403" s="147"/>
      <c r="AL1403" s="147"/>
      <c r="AM1403" s="151"/>
      <c r="AN1403" s="147"/>
      <c r="AO1403" s="147"/>
      <c r="AP1403" s="147"/>
      <c r="AQ1403" s="147"/>
      <c r="AR1403" s="147"/>
      <c r="AS1403" s="147"/>
      <c r="AT1403" s="147"/>
      <c r="AU1403" s="147"/>
      <c r="AV1403" s="147"/>
      <c r="AW1403" s="147"/>
      <c r="AX1403" s="147"/>
      <c r="AY1403" s="147"/>
      <c r="AZ1403" s="147"/>
      <c r="BA1403" s="147"/>
      <c r="BB1403" s="147"/>
      <c r="BC1403" s="147"/>
      <c r="BD1403" s="147"/>
      <c r="BE1403" s="147"/>
      <c r="BF1403" s="147"/>
      <c r="BG1403" s="147"/>
      <c r="BH1403" s="147"/>
      <c r="BI1403" s="147"/>
      <c r="BJ1403" s="147"/>
      <c r="BK1403" s="147"/>
      <c r="BL1403" s="147"/>
      <c r="BM1403" s="147"/>
      <c r="BN1403" s="147"/>
      <c r="BO1403" s="147"/>
      <c r="BP1403" s="147"/>
      <c r="BQ1403" s="147"/>
      <c r="BR1403" s="147"/>
      <c r="BS1403" s="147"/>
      <c r="BT1403" s="147"/>
      <c r="BU1403" s="147"/>
      <c r="BV1403" s="147"/>
      <c r="BW1403" s="147"/>
      <c r="BX1403" s="147"/>
      <c r="BY1403" s="147"/>
      <c r="BZ1403" s="147"/>
      <c r="CA1403" s="147"/>
      <c r="CB1403" s="147"/>
      <c r="CC1403" s="147"/>
      <c r="CD1403" s="147"/>
      <c r="CE1403" s="147"/>
      <c r="CF1403" s="147"/>
      <c r="CG1403" s="147"/>
      <c r="CH1403" s="147"/>
      <c r="CI1403" s="147"/>
      <c r="CJ1403" s="147"/>
      <c r="CK1403" s="147"/>
    </row>
    <row r="1404" spans="1:89">
      <c r="A1404" s="157"/>
      <c r="F1404" s="3"/>
      <c r="G1404" s="3"/>
      <c r="L1404" s="157"/>
      <c r="M1404" s="157"/>
      <c r="O1404" s="147"/>
      <c r="P1404" s="147"/>
      <c r="Q1404" s="147"/>
      <c r="R1404" s="147"/>
      <c r="S1404" s="147"/>
      <c r="T1404" s="147"/>
      <c r="U1404" s="147"/>
      <c r="V1404" s="147"/>
      <c r="W1404" s="147"/>
      <c r="X1404" s="147"/>
      <c r="Y1404" s="147"/>
      <c r="Z1404" s="147"/>
      <c r="AA1404" s="147"/>
      <c r="AB1404" s="147"/>
      <c r="AC1404" s="147"/>
      <c r="AD1404" s="147"/>
      <c r="AE1404" s="147"/>
      <c r="AF1404" s="147"/>
      <c r="AG1404" s="147"/>
      <c r="AH1404" s="147"/>
      <c r="AI1404" s="147"/>
      <c r="AJ1404" s="147"/>
      <c r="AK1404" s="147"/>
      <c r="AL1404" s="147"/>
      <c r="AM1404" s="151"/>
      <c r="AN1404" s="147"/>
      <c r="AO1404" s="147"/>
      <c r="AP1404" s="147"/>
      <c r="AQ1404" s="147"/>
      <c r="AR1404" s="147"/>
      <c r="AS1404" s="147"/>
      <c r="AT1404" s="147"/>
      <c r="AU1404" s="147"/>
      <c r="AV1404" s="147"/>
      <c r="AW1404" s="147"/>
      <c r="AX1404" s="147"/>
      <c r="AY1404" s="147"/>
      <c r="AZ1404" s="147"/>
      <c r="BA1404" s="147"/>
      <c r="BB1404" s="147"/>
      <c r="BC1404" s="147"/>
      <c r="BD1404" s="147"/>
      <c r="BE1404" s="147"/>
      <c r="BF1404" s="147"/>
      <c r="BG1404" s="147"/>
      <c r="BH1404" s="147"/>
      <c r="BI1404" s="147"/>
      <c r="BJ1404" s="147"/>
      <c r="BK1404" s="147"/>
      <c r="BL1404" s="147"/>
      <c r="BM1404" s="147"/>
      <c r="BN1404" s="147"/>
      <c r="BO1404" s="147"/>
      <c r="BP1404" s="147"/>
      <c r="BQ1404" s="147"/>
      <c r="BR1404" s="147"/>
      <c r="BS1404" s="147"/>
      <c r="BT1404" s="147"/>
      <c r="BU1404" s="147"/>
      <c r="BV1404" s="147"/>
      <c r="BW1404" s="147"/>
      <c r="BX1404" s="147"/>
      <c r="BY1404" s="147"/>
      <c r="BZ1404" s="147"/>
      <c r="CA1404" s="147"/>
      <c r="CB1404" s="147"/>
      <c r="CC1404" s="147"/>
      <c r="CD1404" s="147"/>
      <c r="CE1404" s="147"/>
      <c r="CF1404" s="147"/>
      <c r="CG1404" s="147"/>
      <c r="CH1404" s="147"/>
      <c r="CI1404" s="147"/>
      <c r="CJ1404" s="147"/>
      <c r="CK1404" s="147"/>
    </row>
    <row r="1405" spans="1:89">
      <c r="A1405" s="157"/>
      <c r="F1405" s="3"/>
      <c r="G1405" s="3"/>
      <c r="L1405" s="157"/>
      <c r="M1405" s="157"/>
      <c r="O1405" s="147"/>
      <c r="P1405" s="147"/>
      <c r="Q1405" s="147"/>
      <c r="R1405" s="147"/>
      <c r="S1405" s="147"/>
      <c r="T1405" s="147"/>
      <c r="U1405" s="147"/>
      <c r="V1405" s="147"/>
      <c r="W1405" s="147"/>
      <c r="X1405" s="147"/>
      <c r="Y1405" s="147"/>
      <c r="Z1405" s="147"/>
      <c r="AA1405" s="147"/>
      <c r="AB1405" s="147"/>
      <c r="AC1405" s="147"/>
      <c r="AD1405" s="147"/>
      <c r="AE1405" s="147"/>
      <c r="AF1405" s="147"/>
      <c r="AG1405" s="147"/>
      <c r="AH1405" s="147"/>
      <c r="AI1405" s="147"/>
      <c r="AJ1405" s="147"/>
      <c r="AK1405" s="147"/>
      <c r="AL1405" s="147"/>
      <c r="AM1405" s="151"/>
      <c r="AN1405" s="147"/>
      <c r="AO1405" s="147"/>
      <c r="AP1405" s="147"/>
      <c r="AQ1405" s="147"/>
      <c r="AR1405" s="147"/>
      <c r="AS1405" s="147"/>
      <c r="AT1405" s="147"/>
      <c r="AU1405" s="147"/>
      <c r="AV1405" s="147"/>
      <c r="AW1405" s="147"/>
      <c r="AX1405" s="147"/>
      <c r="AY1405" s="147"/>
      <c r="AZ1405" s="147"/>
      <c r="BA1405" s="147"/>
      <c r="BB1405" s="147"/>
      <c r="BC1405" s="147"/>
      <c r="BD1405" s="147"/>
      <c r="BE1405" s="147"/>
      <c r="BF1405" s="147"/>
      <c r="BG1405" s="147"/>
      <c r="BH1405" s="147"/>
      <c r="BI1405" s="147"/>
      <c r="BJ1405" s="147"/>
      <c r="BK1405" s="147"/>
      <c r="BL1405" s="147"/>
      <c r="BM1405" s="147"/>
      <c r="BN1405" s="147"/>
      <c r="BO1405" s="147"/>
      <c r="BP1405" s="147"/>
      <c r="BQ1405" s="147"/>
      <c r="BR1405" s="147"/>
      <c r="BS1405" s="147"/>
      <c r="BT1405" s="147"/>
      <c r="BU1405" s="147"/>
      <c r="BV1405" s="147"/>
      <c r="BW1405" s="147"/>
      <c r="BX1405" s="147"/>
      <c r="BY1405" s="147"/>
      <c r="BZ1405" s="147"/>
      <c r="CA1405" s="147"/>
      <c r="CB1405" s="147"/>
      <c r="CC1405" s="147"/>
      <c r="CD1405" s="147"/>
      <c r="CE1405" s="147"/>
      <c r="CF1405" s="147"/>
      <c r="CG1405" s="147"/>
      <c r="CH1405" s="147"/>
      <c r="CI1405" s="147"/>
      <c r="CJ1405" s="147"/>
      <c r="CK1405" s="147"/>
    </row>
    <row r="1406" spans="1:89">
      <c r="A1406" s="157"/>
      <c r="F1406" s="3"/>
      <c r="G1406" s="3"/>
      <c r="L1406" s="157"/>
      <c r="M1406" s="157"/>
      <c r="O1406" s="147"/>
      <c r="P1406" s="147"/>
      <c r="Q1406" s="147"/>
      <c r="R1406" s="147"/>
      <c r="S1406" s="147"/>
      <c r="T1406" s="147"/>
      <c r="U1406" s="147"/>
      <c r="V1406" s="147"/>
      <c r="W1406" s="147"/>
      <c r="X1406" s="147"/>
      <c r="Y1406" s="147"/>
      <c r="Z1406" s="147"/>
      <c r="AA1406" s="147"/>
      <c r="AB1406" s="147"/>
      <c r="AC1406" s="147"/>
      <c r="AD1406" s="147"/>
      <c r="AE1406" s="147"/>
      <c r="AF1406" s="147"/>
      <c r="AG1406" s="147"/>
      <c r="AH1406" s="147"/>
      <c r="AI1406" s="147"/>
      <c r="AJ1406" s="147"/>
      <c r="AK1406" s="147"/>
      <c r="AL1406" s="147"/>
      <c r="AM1406" s="151"/>
      <c r="AN1406" s="147"/>
      <c r="AO1406" s="147"/>
      <c r="AP1406" s="147"/>
      <c r="AQ1406" s="147"/>
      <c r="AR1406" s="147"/>
      <c r="AS1406" s="147"/>
      <c r="AT1406" s="147"/>
      <c r="AU1406" s="147"/>
      <c r="AV1406" s="147"/>
      <c r="AW1406" s="147"/>
      <c r="AX1406" s="147"/>
      <c r="AY1406" s="147"/>
      <c r="AZ1406" s="147"/>
      <c r="BA1406" s="147"/>
      <c r="BB1406" s="147"/>
      <c r="BC1406" s="147"/>
      <c r="BD1406" s="147"/>
      <c r="BE1406" s="147"/>
      <c r="BF1406" s="147"/>
      <c r="BG1406" s="147"/>
      <c r="BH1406" s="147"/>
      <c r="BI1406" s="147"/>
      <c r="BJ1406" s="147"/>
      <c r="BK1406" s="147"/>
      <c r="BL1406" s="147"/>
      <c r="BM1406" s="147"/>
      <c r="BN1406" s="147"/>
      <c r="BO1406" s="147"/>
      <c r="BP1406" s="147"/>
      <c r="BQ1406" s="147"/>
      <c r="BR1406" s="147"/>
      <c r="BS1406" s="147"/>
      <c r="BT1406" s="147"/>
      <c r="BU1406" s="147"/>
      <c r="BV1406" s="147"/>
      <c r="BW1406" s="147"/>
      <c r="BX1406" s="147"/>
      <c r="BY1406" s="147"/>
      <c r="BZ1406" s="147"/>
      <c r="CA1406" s="147"/>
      <c r="CB1406" s="147"/>
      <c r="CC1406" s="147"/>
      <c r="CD1406" s="147"/>
      <c r="CE1406" s="147"/>
      <c r="CF1406" s="147"/>
      <c r="CG1406" s="147"/>
      <c r="CH1406" s="147"/>
      <c r="CI1406" s="147"/>
      <c r="CJ1406" s="147"/>
      <c r="CK1406" s="147"/>
    </row>
    <row r="1407" spans="1:89">
      <c r="A1407" s="157"/>
      <c r="F1407" s="3"/>
      <c r="G1407" s="3"/>
      <c r="L1407" s="157"/>
      <c r="M1407" s="157"/>
      <c r="O1407" s="147"/>
      <c r="P1407" s="147"/>
      <c r="Q1407" s="147"/>
      <c r="R1407" s="147"/>
      <c r="S1407" s="147"/>
      <c r="T1407" s="147"/>
      <c r="U1407" s="147"/>
      <c r="V1407" s="147"/>
      <c r="W1407" s="147"/>
      <c r="X1407" s="147"/>
      <c r="Y1407" s="147"/>
      <c r="Z1407" s="147"/>
      <c r="AA1407" s="147"/>
      <c r="AB1407" s="147"/>
      <c r="AC1407" s="147"/>
      <c r="AD1407" s="147"/>
      <c r="AE1407" s="147"/>
      <c r="AF1407" s="147"/>
      <c r="AG1407" s="147"/>
      <c r="AH1407" s="147"/>
      <c r="AI1407" s="147"/>
      <c r="AJ1407" s="147"/>
      <c r="AK1407" s="147"/>
      <c r="AL1407" s="147"/>
      <c r="AM1407" s="151"/>
      <c r="AN1407" s="147"/>
      <c r="AO1407" s="147"/>
      <c r="AP1407" s="147"/>
      <c r="AQ1407" s="147"/>
      <c r="AR1407" s="147"/>
      <c r="AS1407" s="147"/>
      <c r="AT1407" s="147"/>
      <c r="AU1407" s="147"/>
      <c r="AV1407" s="147"/>
      <c r="AW1407" s="147"/>
      <c r="AX1407" s="147"/>
      <c r="AY1407" s="147"/>
      <c r="AZ1407" s="147"/>
      <c r="BA1407" s="147"/>
      <c r="BB1407" s="147"/>
      <c r="BC1407" s="147"/>
      <c r="BD1407" s="147"/>
      <c r="BE1407" s="147"/>
      <c r="BF1407" s="147"/>
      <c r="BG1407" s="147"/>
      <c r="BH1407" s="147"/>
      <c r="BI1407" s="147"/>
      <c r="BJ1407" s="147"/>
      <c r="BK1407" s="147"/>
      <c r="BL1407" s="147"/>
      <c r="BM1407" s="147"/>
      <c r="BN1407" s="147"/>
      <c r="BO1407" s="147"/>
      <c r="BP1407" s="147"/>
      <c r="BQ1407" s="147"/>
      <c r="BR1407" s="147"/>
      <c r="BS1407" s="147"/>
      <c r="BT1407" s="147"/>
      <c r="BU1407" s="147"/>
      <c r="BV1407" s="147"/>
      <c r="BW1407" s="147"/>
      <c r="BX1407" s="147"/>
      <c r="BY1407" s="147"/>
      <c r="BZ1407" s="147"/>
      <c r="CA1407" s="147"/>
      <c r="CB1407" s="147"/>
      <c r="CC1407" s="147"/>
      <c r="CD1407" s="147"/>
      <c r="CE1407" s="147"/>
      <c r="CF1407" s="147"/>
      <c r="CG1407" s="147"/>
      <c r="CH1407" s="147"/>
      <c r="CI1407" s="147"/>
      <c r="CJ1407" s="147"/>
      <c r="CK1407" s="147"/>
    </row>
    <row r="1408" spans="1:89">
      <c r="A1408" s="157"/>
      <c r="F1408" s="3"/>
      <c r="G1408" s="3"/>
      <c r="L1408" s="157"/>
      <c r="M1408" s="157"/>
      <c r="O1408" s="147"/>
      <c r="P1408" s="147"/>
      <c r="Q1408" s="147"/>
      <c r="R1408" s="147"/>
      <c r="S1408" s="147"/>
      <c r="T1408" s="147"/>
      <c r="U1408" s="147"/>
      <c r="V1408" s="147"/>
      <c r="W1408" s="147"/>
      <c r="X1408" s="147"/>
      <c r="Y1408" s="147"/>
      <c r="Z1408" s="147"/>
      <c r="AA1408" s="147"/>
      <c r="AB1408" s="147"/>
      <c r="AC1408" s="147"/>
      <c r="AD1408" s="147"/>
      <c r="AE1408" s="147"/>
      <c r="AF1408" s="147"/>
      <c r="AG1408" s="147"/>
      <c r="AH1408" s="147"/>
      <c r="AI1408" s="147"/>
      <c r="AJ1408" s="147"/>
      <c r="AK1408" s="147"/>
      <c r="AL1408" s="147"/>
      <c r="AM1408" s="151"/>
      <c r="AN1408" s="147"/>
      <c r="AO1408" s="147"/>
      <c r="AP1408" s="147"/>
      <c r="AQ1408" s="147"/>
      <c r="AR1408" s="147"/>
      <c r="AS1408" s="147"/>
      <c r="AT1408" s="147"/>
      <c r="AU1408" s="147"/>
      <c r="AV1408" s="147"/>
      <c r="AW1408" s="147"/>
      <c r="AX1408" s="147"/>
      <c r="AY1408" s="147"/>
      <c r="AZ1408" s="147"/>
      <c r="BA1408" s="147"/>
      <c r="BB1408" s="147"/>
      <c r="BC1408" s="147"/>
      <c r="BD1408" s="147"/>
      <c r="BE1408" s="147"/>
      <c r="BF1408" s="147"/>
      <c r="BG1408" s="147"/>
      <c r="BH1408" s="147"/>
      <c r="BI1408" s="147"/>
      <c r="BJ1408" s="147"/>
      <c r="BK1408" s="147"/>
      <c r="BL1408" s="147"/>
      <c r="BM1408" s="147"/>
      <c r="BN1408" s="147"/>
      <c r="BO1408" s="147"/>
      <c r="BP1408" s="147"/>
      <c r="BQ1408" s="147"/>
      <c r="BR1408" s="147"/>
      <c r="BS1408" s="147"/>
      <c r="BT1408" s="147"/>
      <c r="BU1408" s="147"/>
      <c r="BV1408" s="147"/>
      <c r="BW1408" s="147"/>
      <c r="BX1408" s="147"/>
      <c r="BY1408" s="147"/>
      <c r="BZ1408" s="147"/>
      <c r="CA1408" s="147"/>
      <c r="CB1408" s="147"/>
      <c r="CC1408" s="147"/>
      <c r="CD1408" s="147"/>
      <c r="CE1408" s="147"/>
      <c r="CF1408" s="147"/>
      <c r="CG1408" s="147"/>
      <c r="CH1408" s="147"/>
      <c r="CI1408" s="147"/>
      <c r="CJ1408" s="147"/>
      <c r="CK1408" s="147"/>
    </row>
    <row r="1409" spans="1:89">
      <c r="A1409" s="157"/>
      <c r="F1409" s="3"/>
      <c r="G1409" s="3"/>
      <c r="L1409" s="157"/>
      <c r="M1409" s="157"/>
      <c r="O1409" s="147"/>
      <c r="P1409" s="147"/>
      <c r="Q1409" s="147"/>
      <c r="R1409" s="147"/>
      <c r="S1409" s="147"/>
      <c r="T1409" s="147"/>
      <c r="U1409" s="147"/>
      <c r="V1409" s="147"/>
      <c r="W1409" s="147"/>
      <c r="X1409" s="147"/>
      <c r="Y1409" s="147"/>
      <c r="Z1409" s="147"/>
      <c r="AA1409" s="147"/>
      <c r="AB1409" s="147"/>
      <c r="AC1409" s="147"/>
      <c r="AD1409" s="147"/>
      <c r="AE1409" s="147"/>
      <c r="AF1409" s="147"/>
      <c r="AG1409" s="147"/>
      <c r="AH1409" s="147"/>
      <c r="AI1409" s="147"/>
      <c r="AJ1409" s="147"/>
      <c r="AK1409" s="147"/>
      <c r="AL1409" s="147"/>
      <c r="AM1409" s="151"/>
      <c r="AN1409" s="147"/>
      <c r="AO1409" s="147"/>
      <c r="AP1409" s="147"/>
      <c r="AQ1409" s="147"/>
      <c r="AR1409" s="147"/>
      <c r="AS1409" s="147"/>
      <c r="AT1409" s="147"/>
      <c r="AU1409" s="147"/>
      <c r="AV1409" s="147"/>
      <c r="AW1409" s="147"/>
      <c r="AX1409" s="147"/>
      <c r="AY1409" s="147"/>
      <c r="AZ1409" s="147"/>
      <c r="BA1409" s="147"/>
      <c r="BB1409" s="147"/>
      <c r="BC1409" s="147"/>
      <c r="BD1409" s="147"/>
      <c r="BE1409" s="147"/>
      <c r="BF1409" s="147"/>
      <c r="BG1409" s="147"/>
      <c r="BH1409" s="147"/>
      <c r="BI1409" s="147"/>
      <c r="BJ1409" s="147"/>
      <c r="BK1409" s="147"/>
      <c r="BL1409" s="147"/>
      <c r="BM1409" s="147"/>
      <c r="BN1409" s="147"/>
      <c r="BO1409" s="147"/>
      <c r="BP1409" s="147"/>
      <c r="BQ1409" s="147"/>
      <c r="BR1409" s="147"/>
      <c r="BS1409" s="147"/>
      <c r="BT1409" s="147"/>
      <c r="BU1409" s="147"/>
      <c r="BV1409" s="147"/>
      <c r="BW1409" s="147"/>
      <c r="BX1409" s="147"/>
      <c r="BY1409" s="147"/>
      <c r="BZ1409" s="147"/>
      <c r="CA1409" s="147"/>
      <c r="CB1409" s="147"/>
      <c r="CC1409" s="147"/>
      <c r="CD1409" s="147"/>
      <c r="CE1409" s="147"/>
      <c r="CF1409" s="147"/>
      <c r="CG1409" s="147"/>
      <c r="CH1409" s="147"/>
      <c r="CI1409" s="147"/>
      <c r="CJ1409" s="147"/>
      <c r="CK1409" s="147"/>
    </row>
    <row r="1410" spans="1:89">
      <c r="A1410" s="157"/>
      <c r="F1410" s="3"/>
      <c r="G1410" s="3"/>
      <c r="L1410" s="157"/>
      <c r="M1410" s="157"/>
      <c r="O1410" s="147"/>
      <c r="P1410" s="147"/>
      <c r="Q1410" s="147"/>
      <c r="R1410" s="147"/>
      <c r="S1410" s="147"/>
      <c r="T1410" s="147"/>
      <c r="U1410" s="147"/>
      <c r="V1410" s="147"/>
      <c r="W1410" s="147"/>
      <c r="X1410" s="147"/>
      <c r="Y1410" s="147"/>
      <c r="Z1410" s="147"/>
      <c r="AA1410" s="147"/>
      <c r="AB1410" s="147"/>
      <c r="AC1410" s="147"/>
      <c r="AD1410" s="147"/>
      <c r="AE1410" s="147"/>
      <c r="AF1410" s="147"/>
      <c r="AG1410" s="147"/>
      <c r="AH1410" s="147"/>
      <c r="AI1410" s="147"/>
      <c r="AJ1410" s="147"/>
      <c r="AK1410" s="147"/>
      <c r="AL1410" s="147"/>
      <c r="AM1410" s="151"/>
      <c r="AN1410" s="147"/>
      <c r="AO1410" s="147"/>
      <c r="AP1410" s="147"/>
      <c r="AQ1410" s="147"/>
      <c r="AR1410" s="147"/>
      <c r="AS1410" s="147"/>
      <c r="AT1410" s="147"/>
      <c r="AU1410" s="147"/>
      <c r="AV1410" s="147"/>
      <c r="AW1410" s="147"/>
      <c r="AX1410" s="147"/>
      <c r="AY1410" s="147"/>
      <c r="AZ1410" s="147"/>
      <c r="BA1410" s="147"/>
      <c r="BB1410" s="147"/>
      <c r="BC1410" s="147"/>
      <c r="BD1410" s="147"/>
      <c r="BE1410" s="147"/>
      <c r="BF1410" s="147"/>
      <c r="BG1410" s="147"/>
      <c r="BH1410" s="147"/>
      <c r="BI1410" s="147"/>
      <c r="BJ1410" s="147"/>
      <c r="BK1410" s="147"/>
      <c r="BL1410" s="147"/>
      <c r="BM1410" s="147"/>
      <c r="BN1410" s="147"/>
      <c r="BO1410" s="147"/>
      <c r="BP1410" s="147"/>
      <c r="BQ1410" s="147"/>
      <c r="BR1410" s="147"/>
      <c r="BS1410" s="147"/>
      <c r="BT1410" s="147"/>
      <c r="BU1410" s="147"/>
      <c r="BV1410" s="147"/>
      <c r="BW1410" s="147"/>
      <c r="BX1410" s="147"/>
      <c r="BY1410" s="147"/>
      <c r="BZ1410" s="147"/>
      <c r="CA1410" s="147"/>
      <c r="CB1410" s="147"/>
      <c r="CC1410" s="147"/>
      <c r="CD1410" s="147"/>
      <c r="CE1410" s="147"/>
      <c r="CF1410" s="147"/>
      <c r="CG1410" s="147"/>
      <c r="CH1410" s="147"/>
      <c r="CI1410" s="147"/>
      <c r="CJ1410" s="147"/>
      <c r="CK1410" s="147"/>
    </row>
    <row r="1411" spans="1:89">
      <c r="A1411" s="157"/>
      <c r="F1411" s="3"/>
      <c r="G1411" s="3"/>
      <c r="L1411" s="157"/>
      <c r="M1411" s="157"/>
      <c r="O1411" s="147"/>
      <c r="P1411" s="147"/>
      <c r="Q1411" s="147"/>
      <c r="R1411" s="147"/>
      <c r="S1411" s="147"/>
      <c r="T1411" s="147"/>
      <c r="U1411" s="147"/>
      <c r="V1411" s="147"/>
      <c r="W1411" s="147"/>
      <c r="X1411" s="147"/>
      <c r="Y1411" s="147"/>
      <c r="Z1411" s="147"/>
      <c r="AA1411" s="147"/>
      <c r="AB1411" s="147"/>
      <c r="AC1411" s="147"/>
      <c r="AD1411" s="147"/>
      <c r="AE1411" s="147"/>
      <c r="AF1411" s="147"/>
      <c r="AG1411" s="147"/>
      <c r="AH1411" s="147"/>
      <c r="AI1411" s="147"/>
      <c r="AJ1411" s="147"/>
      <c r="AK1411" s="147"/>
      <c r="AL1411" s="147"/>
      <c r="AM1411" s="151"/>
      <c r="AN1411" s="147"/>
      <c r="AO1411" s="147"/>
      <c r="AP1411" s="147"/>
      <c r="AQ1411" s="147"/>
      <c r="AR1411" s="147"/>
      <c r="AS1411" s="147"/>
      <c r="AT1411" s="147"/>
      <c r="AU1411" s="147"/>
      <c r="AV1411" s="147"/>
      <c r="AW1411" s="147"/>
      <c r="AX1411" s="147"/>
      <c r="AY1411" s="147"/>
      <c r="AZ1411" s="147"/>
      <c r="BA1411" s="147"/>
      <c r="BB1411" s="147"/>
      <c r="BC1411" s="147"/>
      <c r="BD1411" s="147"/>
      <c r="BE1411" s="147"/>
      <c r="BF1411" s="147"/>
      <c r="BG1411" s="147"/>
      <c r="BH1411" s="147"/>
      <c r="BI1411" s="147"/>
      <c r="BJ1411" s="147"/>
      <c r="BK1411" s="147"/>
      <c r="BL1411" s="147"/>
      <c r="BM1411" s="147"/>
      <c r="BN1411" s="147"/>
      <c r="BO1411" s="147"/>
      <c r="BP1411" s="147"/>
      <c r="BQ1411" s="147"/>
      <c r="BR1411" s="147"/>
      <c r="BS1411" s="147"/>
      <c r="BT1411" s="147"/>
      <c r="BU1411" s="147"/>
      <c r="BV1411" s="147"/>
      <c r="BW1411" s="147"/>
      <c r="BX1411" s="147"/>
      <c r="BY1411" s="147"/>
      <c r="BZ1411" s="147"/>
      <c r="CA1411" s="147"/>
      <c r="CB1411" s="147"/>
      <c r="CC1411" s="147"/>
      <c r="CD1411" s="147"/>
      <c r="CE1411" s="147"/>
      <c r="CF1411" s="147"/>
      <c r="CG1411" s="147"/>
      <c r="CH1411" s="147"/>
      <c r="CI1411" s="147"/>
      <c r="CJ1411" s="147"/>
      <c r="CK1411" s="147"/>
    </row>
    <row r="1412" spans="1:89">
      <c r="A1412" s="157"/>
      <c r="F1412" s="3"/>
      <c r="G1412" s="3"/>
      <c r="L1412" s="157"/>
      <c r="M1412" s="157"/>
      <c r="O1412" s="147"/>
      <c r="P1412" s="147"/>
      <c r="Q1412" s="147"/>
      <c r="R1412" s="147"/>
      <c r="S1412" s="147"/>
      <c r="T1412" s="147"/>
      <c r="U1412" s="147"/>
      <c r="V1412" s="147"/>
      <c r="W1412" s="147"/>
      <c r="X1412" s="147"/>
      <c r="Y1412" s="147"/>
      <c r="Z1412" s="147"/>
      <c r="AA1412" s="147"/>
      <c r="AB1412" s="147"/>
      <c r="AC1412" s="147"/>
      <c r="AD1412" s="147"/>
      <c r="AE1412" s="147"/>
      <c r="AF1412" s="147"/>
      <c r="AG1412" s="147"/>
      <c r="AH1412" s="147"/>
      <c r="AI1412" s="147"/>
      <c r="AJ1412" s="147"/>
      <c r="AK1412" s="147"/>
      <c r="AL1412" s="147"/>
      <c r="AM1412" s="151"/>
      <c r="AN1412" s="147"/>
      <c r="AO1412" s="147"/>
      <c r="AP1412" s="147"/>
      <c r="AQ1412" s="147"/>
      <c r="AR1412" s="147"/>
      <c r="AS1412" s="147"/>
      <c r="AT1412" s="147"/>
      <c r="AU1412" s="147"/>
      <c r="AV1412" s="147"/>
      <c r="AW1412" s="147"/>
      <c r="AX1412" s="147"/>
      <c r="AY1412" s="147"/>
      <c r="AZ1412" s="147"/>
      <c r="BA1412" s="147"/>
      <c r="BB1412" s="147"/>
      <c r="BC1412" s="147"/>
      <c r="BD1412" s="147"/>
      <c r="BE1412" s="147"/>
      <c r="BF1412" s="147"/>
      <c r="BG1412" s="147"/>
      <c r="BH1412" s="147"/>
      <c r="BI1412" s="147"/>
      <c r="BJ1412" s="147"/>
      <c r="BK1412" s="147"/>
      <c r="BL1412" s="147"/>
      <c r="BM1412" s="147"/>
      <c r="BN1412" s="147"/>
      <c r="BO1412" s="147"/>
      <c r="BP1412" s="147"/>
      <c r="BQ1412" s="147"/>
      <c r="BR1412" s="147"/>
      <c r="BS1412" s="147"/>
      <c r="BT1412" s="147"/>
      <c r="BU1412" s="147"/>
      <c r="BV1412" s="147"/>
      <c r="BW1412" s="147"/>
      <c r="BX1412" s="147"/>
      <c r="BY1412" s="147"/>
      <c r="BZ1412" s="147"/>
      <c r="CA1412" s="147"/>
      <c r="CB1412" s="147"/>
      <c r="CC1412" s="147"/>
      <c r="CD1412" s="147"/>
      <c r="CE1412" s="147"/>
      <c r="CF1412" s="147"/>
      <c r="CG1412" s="147"/>
      <c r="CH1412" s="147"/>
      <c r="CI1412" s="147"/>
      <c r="CJ1412" s="147"/>
      <c r="CK1412" s="147"/>
    </row>
    <row r="1413" spans="1:89">
      <c r="A1413" s="157"/>
      <c r="F1413" s="3"/>
      <c r="G1413" s="3"/>
      <c r="L1413" s="157"/>
      <c r="M1413" s="157"/>
      <c r="O1413" s="147"/>
      <c r="P1413" s="147"/>
      <c r="Q1413" s="147"/>
      <c r="R1413" s="147"/>
      <c r="S1413" s="147"/>
      <c r="T1413" s="147"/>
      <c r="U1413" s="147"/>
      <c r="V1413" s="147"/>
      <c r="W1413" s="147"/>
      <c r="X1413" s="147"/>
      <c r="Y1413" s="147"/>
      <c r="Z1413" s="147"/>
      <c r="AA1413" s="147"/>
      <c r="AB1413" s="147"/>
      <c r="AC1413" s="147"/>
      <c r="AD1413" s="147"/>
      <c r="AE1413" s="147"/>
      <c r="AF1413" s="147"/>
      <c r="AG1413" s="147"/>
      <c r="AH1413" s="147"/>
      <c r="AI1413" s="147"/>
      <c r="AJ1413" s="147"/>
      <c r="AK1413" s="147"/>
      <c r="AL1413" s="147"/>
      <c r="AM1413" s="151"/>
      <c r="AN1413" s="147"/>
      <c r="AO1413" s="147"/>
      <c r="AP1413" s="147"/>
      <c r="AQ1413" s="147"/>
      <c r="AR1413" s="147"/>
      <c r="AS1413" s="147"/>
      <c r="AT1413" s="147"/>
      <c r="AU1413" s="147"/>
      <c r="AV1413" s="147"/>
      <c r="AW1413" s="147"/>
      <c r="AX1413" s="147"/>
      <c r="AY1413" s="147"/>
      <c r="AZ1413" s="147"/>
      <c r="BA1413" s="147"/>
      <c r="BB1413" s="147"/>
      <c r="BC1413" s="147"/>
      <c r="BD1413" s="147"/>
      <c r="BE1413" s="147"/>
      <c r="BF1413" s="147"/>
      <c r="BG1413" s="147"/>
      <c r="BH1413" s="147"/>
      <c r="BI1413" s="147"/>
      <c r="BJ1413" s="147"/>
      <c r="BK1413" s="147"/>
      <c r="BL1413" s="147"/>
      <c r="BM1413" s="147"/>
      <c r="BN1413" s="147"/>
      <c r="BO1413" s="147"/>
      <c r="BP1413" s="147"/>
      <c r="BQ1413" s="147"/>
      <c r="BR1413" s="147"/>
      <c r="BS1413" s="147"/>
      <c r="BT1413" s="147"/>
      <c r="BU1413" s="147"/>
      <c r="BV1413" s="147"/>
      <c r="BW1413" s="147"/>
      <c r="BX1413" s="147"/>
      <c r="BY1413" s="147"/>
      <c r="BZ1413" s="147"/>
      <c r="CA1413" s="147"/>
      <c r="CB1413" s="147"/>
      <c r="CC1413" s="147"/>
      <c r="CD1413" s="147"/>
      <c r="CE1413" s="147"/>
      <c r="CF1413" s="147"/>
      <c r="CG1413" s="147"/>
      <c r="CH1413" s="147"/>
      <c r="CI1413" s="147"/>
      <c r="CJ1413" s="147"/>
      <c r="CK1413" s="147"/>
    </row>
    <row r="1414" spans="1:89">
      <c r="A1414" s="157"/>
      <c r="F1414" s="3"/>
      <c r="G1414" s="3"/>
      <c r="L1414" s="157"/>
      <c r="M1414" s="157"/>
      <c r="O1414" s="147"/>
      <c r="P1414" s="147"/>
      <c r="Q1414" s="147"/>
      <c r="R1414" s="147"/>
      <c r="S1414" s="147"/>
      <c r="T1414" s="147"/>
      <c r="U1414" s="147"/>
      <c r="V1414" s="147"/>
      <c r="W1414" s="147"/>
      <c r="X1414" s="147"/>
      <c r="Y1414" s="147"/>
      <c r="Z1414" s="147"/>
      <c r="AA1414" s="147"/>
      <c r="AB1414" s="147"/>
      <c r="AC1414" s="147"/>
      <c r="AD1414" s="147"/>
      <c r="AE1414" s="147"/>
      <c r="AF1414" s="147"/>
      <c r="AG1414" s="147"/>
      <c r="AH1414" s="147"/>
      <c r="AI1414" s="147"/>
      <c r="AJ1414" s="147"/>
      <c r="AK1414" s="147"/>
      <c r="AL1414" s="147"/>
      <c r="AM1414" s="151"/>
      <c r="AN1414" s="147"/>
      <c r="AO1414" s="147"/>
      <c r="AP1414" s="147"/>
      <c r="AQ1414" s="147"/>
      <c r="AR1414" s="147"/>
      <c r="AS1414" s="147"/>
      <c r="AT1414" s="147"/>
      <c r="AU1414" s="147"/>
      <c r="AV1414" s="147"/>
      <c r="AW1414" s="147"/>
      <c r="AX1414" s="147"/>
      <c r="AY1414" s="147"/>
      <c r="AZ1414" s="147"/>
      <c r="BA1414" s="147"/>
      <c r="BB1414" s="147"/>
      <c r="BC1414" s="147"/>
      <c r="BD1414" s="147"/>
      <c r="BE1414" s="147"/>
      <c r="BF1414" s="147"/>
      <c r="BG1414" s="147"/>
      <c r="BH1414" s="147"/>
      <c r="BI1414" s="147"/>
      <c r="BJ1414" s="147"/>
      <c r="BK1414" s="147"/>
      <c r="BL1414" s="147"/>
      <c r="BM1414" s="147"/>
      <c r="BN1414" s="147"/>
      <c r="BO1414" s="147"/>
      <c r="BP1414" s="147"/>
      <c r="BQ1414" s="147"/>
      <c r="BR1414" s="147"/>
      <c r="BS1414" s="147"/>
      <c r="BT1414" s="147"/>
      <c r="BU1414" s="147"/>
      <c r="BV1414" s="147"/>
      <c r="BW1414" s="147"/>
      <c r="BX1414" s="147"/>
      <c r="BY1414" s="147"/>
      <c r="BZ1414" s="147"/>
      <c r="CA1414" s="147"/>
      <c r="CB1414" s="147"/>
      <c r="CC1414" s="147"/>
      <c r="CD1414" s="147"/>
      <c r="CE1414" s="147"/>
      <c r="CF1414" s="147"/>
      <c r="CG1414" s="147"/>
      <c r="CH1414" s="147"/>
      <c r="CI1414" s="147"/>
      <c r="CJ1414" s="147"/>
      <c r="CK1414" s="147"/>
    </row>
    <row r="1415" spans="1:89">
      <c r="A1415" s="157"/>
      <c r="F1415" s="3"/>
      <c r="G1415" s="3"/>
      <c r="L1415" s="157"/>
      <c r="M1415" s="157"/>
      <c r="O1415" s="147"/>
      <c r="P1415" s="147"/>
      <c r="Q1415" s="147"/>
      <c r="R1415" s="147"/>
      <c r="S1415" s="147"/>
      <c r="T1415" s="147"/>
      <c r="U1415" s="147"/>
      <c r="V1415" s="147"/>
      <c r="W1415" s="147"/>
      <c r="X1415" s="147"/>
      <c r="Y1415" s="147"/>
      <c r="Z1415" s="147"/>
      <c r="AA1415" s="147"/>
      <c r="AB1415" s="147"/>
      <c r="AC1415" s="147"/>
      <c r="AD1415" s="147"/>
      <c r="AE1415" s="147"/>
      <c r="AF1415" s="147"/>
      <c r="AG1415" s="147"/>
      <c r="AH1415" s="147"/>
      <c r="AI1415" s="147"/>
      <c r="AJ1415" s="147"/>
      <c r="AK1415" s="147"/>
      <c r="AL1415" s="147"/>
      <c r="AM1415" s="151"/>
      <c r="AN1415" s="147"/>
      <c r="AO1415" s="147"/>
      <c r="AP1415" s="147"/>
      <c r="AQ1415" s="147"/>
      <c r="AR1415" s="147"/>
      <c r="AS1415" s="147"/>
      <c r="AT1415" s="147"/>
      <c r="AU1415" s="147"/>
      <c r="AV1415" s="147"/>
      <c r="AW1415" s="147"/>
      <c r="AX1415" s="147"/>
      <c r="AY1415" s="147"/>
      <c r="AZ1415" s="147"/>
      <c r="BA1415" s="147"/>
      <c r="BB1415" s="147"/>
      <c r="BC1415" s="147"/>
      <c r="BD1415" s="147"/>
      <c r="BE1415" s="147"/>
      <c r="BF1415" s="147"/>
      <c r="BG1415" s="147"/>
      <c r="BH1415" s="147"/>
      <c r="BI1415" s="147"/>
      <c r="BJ1415" s="147"/>
      <c r="BK1415" s="147"/>
      <c r="BL1415" s="147"/>
      <c r="BM1415" s="147"/>
      <c r="BN1415" s="147"/>
      <c r="BO1415" s="147"/>
      <c r="BP1415" s="147"/>
      <c r="BQ1415" s="147"/>
      <c r="BR1415" s="147"/>
      <c r="BS1415" s="147"/>
      <c r="BT1415" s="147"/>
      <c r="BU1415" s="147"/>
      <c r="BV1415" s="147"/>
      <c r="BW1415" s="147"/>
      <c r="BX1415" s="147"/>
      <c r="BY1415" s="147"/>
      <c r="BZ1415" s="147"/>
      <c r="CA1415" s="147"/>
      <c r="CB1415" s="147"/>
      <c r="CC1415" s="147"/>
      <c r="CD1415" s="147"/>
      <c r="CE1415" s="147"/>
      <c r="CF1415" s="147"/>
      <c r="CG1415" s="147"/>
      <c r="CH1415" s="147"/>
      <c r="CI1415" s="147"/>
      <c r="CJ1415" s="147"/>
      <c r="CK1415" s="147"/>
    </row>
    <row r="1416" spans="1:89">
      <c r="A1416" s="157"/>
      <c r="F1416" s="3"/>
      <c r="G1416" s="3"/>
      <c r="L1416" s="157"/>
      <c r="M1416" s="157"/>
      <c r="O1416" s="147"/>
      <c r="P1416" s="147"/>
      <c r="Q1416" s="147"/>
      <c r="R1416" s="147"/>
      <c r="S1416" s="147"/>
      <c r="T1416" s="147"/>
      <c r="U1416" s="147"/>
      <c r="V1416" s="147"/>
      <c r="W1416" s="147"/>
      <c r="X1416" s="147"/>
      <c r="Y1416" s="147"/>
      <c r="Z1416" s="147"/>
      <c r="AA1416" s="147"/>
      <c r="AB1416" s="147"/>
      <c r="AC1416" s="147"/>
      <c r="AD1416" s="147"/>
      <c r="AE1416" s="147"/>
      <c r="AF1416" s="147"/>
      <c r="AG1416" s="147"/>
      <c r="AH1416" s="147"/>
      <c r="AI1416" s="147"/>
      <c r="AJ1416" s="147"/>
      <c r="AK1416" s="147"/>
      <c r="AL1416" s="147"/>
      <c r="AM1416" s="151"/>
      <c r="AN1416" s="147"/>
      <c r="AO1416" s="147"/>
      <c r="AP1416" s="147"/>
      <c r="AQ1416" s="147"/>
      <c r="AR1416" s="147"/>
      <c r="AS1416" s="147"/>
      <c r="AT1416" s="147"/>
      <c r="AU1416" s="147"/>
      <c r="AV1416" s="147"/>
      <c r="AW1416" s="147"/>
      <c r="AX1416" s="147"/>
      <c r="AY1416" s="147"/>
      <c r="AZ1416" s="147"/>
      <c r="BA1416" s="147"/>
      <c r="BB1416" s="147"/>
      <c r="BC1416" s="147"/>
      <c r="BD1416" s="147"/>
      <c r="BE1416" s="147"/>
      <c r="BF1416" s="147"/>
      <c r="BG1416" s="147"/>
      <c r="BH1416" s="147"/>
      <c r="BI1416" s="147"/>
      <c r="BJ1416" s="147"/>
      <c r="BK1416" s="147"/>
      <c r="BL1416" s="147"/>
      <c r="BM1416" s="147"/>
      <c r="BN1416" s="147"/>
      <c r="BO1416" s="147"/>
      <c r="BP1416" s="147"/>
      <c r="BQ1416" s="147"/>
      <c r="BR1416" s="147"/>
      <c r="BS1416" s="147"/>
      <c r="BT1416" s="147"/>
      <c r="BU1416" s="147"/>
      <c r="BV1416" s="147"/>
      <c r="BW1416" s="147"/>
      <c r="BX1416" s="147"/>
      <c r="BY1416" s="147"/>
      <c r="BZ1416" s="147"/>
      <c r="CA1416" s="147"/>
      <c r="CB1416" s="147"/>
      <c r="CC1416" s="147"/>
      <c r="CD1416" s="147"/>
      <c r="CE1416" s="147"/>
      <c r="CF1416" s="147"/>
      <c r="CG1416" s="147"/>
      <c r="CH1416" s="147"/>
      <c r="CI1416" s="147"/>
      <c r="CJ1416" s="147"/>
      <c r="CK1416" s="147"/>
    </row>
    <row r="1417" spans="1:89">
      <c r="A1417" s="157"/>
      <c r="F1417" s="3"/>
      <c r="G1417" s="3"/>
      <c r="L1417" s="157"/>
      <c r="M1417" s="157"/>
      <c r="O1417" s="147"/>
      <c r="P1417" s="147"/>
      <c r="Q1417" s="147"/>
      <c r="R1417" s="147"/>
      <c r="S1417" s="147"/>
      <c r="T1417" s="147"/>
      <c r="U1417" s="147"/>
      <c r="V1417" s="147"/>
      <c r="W1417" s="147"/>
      <c r="X1417" s="147"/>
      <c r="Y1417" s="147"/>
      <c r="Z1417" s="147"/>
      <c r="AA1417" s="147"/>
      <c r="AB1417" s="147"/>
      <c r="AC1417" s="147"/>
      <c r="AD1417" s="147"/>
      <c r="AE1417" s="147"/>
      <c r="AF1417" s="147"/>
      <c r="AG1417" s="147"/>
      <c r="AH1417" s="147"/>
      <c r="AI1417" s="147"/>
      <c r="AJ1417" s="147"/>
      <c r="AK1417" s="147"/>
      <c r="AL1417" s="147"/>
      <c r="AM1417" s="151"/>
      <c r="AN1417" s="147"/>
      <c r="AO1417" s="147"/>
      <c r="AP1417" s="147"/>
      <c r="AQ1417" s="147"/>
      <c r="AR1417" s="147"/>
      <c r="AS1417" s="147"/>
      <c r="AT1417" s="147"/>
      <c r="AU1417" s="147"/>
      <c r="AV1417" s="147"/>
      <c r="AW1417" s="147"/>
      <c r="AX1417" s="147"/>
      <c r="AY1417" s="147"/>
      <c r="AZ1417" s="147"/>
      <c r="BA1417" s="147"/>
      <c r="BB1417" s="147"/>
      <c r="BC1417" s="147"/>
      <c r="BD1417" s="147"/>
      <c r="BE1417" s="147"/>
      <c r="BF1417" s="147"/>
      <c r="BG1417" s="147"/>
      <c r="BH1417" s="147"/>
      <c r="BI1417" s="147"/>
      <c r="BJ1417" s="147"/>
      <c r="BK1417" s="147"/>
      <c r="BL1417" s="147"/>
      <c r="BM1417" s="147"/>
      <c r="BN1417" s="147"/>
      <c r="BO1417" s="147"/>
      <c r="BP1417" s="147"/>
      <c r="BQ1417" s="147"/>
      <c r="BR1417" s="147"/>
      <c r="BS1417" s="147"/>
      <c r="BT1417" s="147"/>
      <c r="BU1417" s="147"/>
      <c r="BV1417" s="147"/>
      <c r="BW1417" s="147"/>
      <c r="BX1417" s="147"/>
      <c r="BY1417" s="147"/>
      <c r="BZ1417" s="147"/>
      <c r="CA1417" s="147"/>
      <c r="CB1417" s="147"/>
      <c r="CC1417" s="147"/>
      <c r="CD1417" s="147"/>
      <c r="CE1417" s="147"/>
      <c r="CF1417" s="147"/>
      <c r="CG1417" s="147"/>
      <c r="CH1417" s="147"/>
      <c r="CI1417" s="147"/>
      <c r="CJ1417" s="147"/>
      <c r="CK1417" s="147"/>
    </row>
    <row r="1418" spans="1:89">
      <c r="A1418" s="157"/>
      <c r="F1418" s="3"/>
      <c r="G1418" s="3"/>
      <c r="L1418" s="157"/>
      <c r="M1418" s="157"/>
      <c r="O1418" s="147"/>
      <c r="P1418" s="147"/>
      <c r="Q1418" s="147"/>
      <c r="R1418" s="147"/>
      <c r="S1418" s="147"/>
      <c r="T1418" s="147"/>
      <c r="U1418" s="147"/>
      <c r="V1418" s="147"/>
      <c r="W1418" s="147"/>
      <c r="X1418" s="147"/>
      <c r="Y1418" s="147"/>
      <c r="Z1418" s="147"/>
      <c r="AA1418" s="147"/>
      <c r="AB1418" s="147"/>
      <c r="AC1418" s="147"/>
      <c r="AD1418" s="147"/>
      <c r="AE1418" s="147"/>
      <c r="AF1418" s="147"/>
      <c r="AG1418" s="147"/>
      <c r="AH1418" s="147"/>
      <c r="AI1418" s="147"/>
      <c r="AJ1418" s="147"/>
      <c r="AK1418" s="147"/>
      <c r="AL1418" s="147"/>
      <c r="AM1418" s="151"/>
      <c r="AN1418" s="147"/>
      <c r="AO1418" s="147"/>
      <c r="AP1418" s="147"/>
      <c r="AQ1418" s="147"/>
      <c r="AR1418" s="147"/>
      <c r="AS1418" s="147"/>
      <c r="AT1418" s="147"/>
      <c r="AU1418" s="147"/>
      <c r="AV1418" s="147"/>
      <c r="AW1418" s="147"/>
      <c r="AX1418" s="147"/>
      <c r="AY1418" s="147"/>
      <c r="AZ1418" s="147"/>
      <c r="BA1418" s="147"/>
      <c r="BB1418" s="147"/>
      <c r="BC1418" s="147"/>
      <c r="BD1418" s="147"/>
      <c r="BE1418" s="147"/>
      <c r="BF1418" s="147"/>
      <c r="BG1418" s="147"/>
      <c r="BH1418" s="147"/>
      <c r="BI1418" s="147"/>
      <c r="BJ1418" s="147"/>
      <c r="BK1418" s="147"/>
      <c r="BL1418" s="147"/>
      <c r="BM1418" s="147"/>
      <c r="BN1418" s="147"/>
      <c r="BO1418" s="147"/>
      <c r="BP1418" s="147"/>
      <c r="BQ1418" s="147"/>
      <c r="BR1418" s="147"/>
      <c r="BS1418" s="147"/>
      <c r="BT1418" s="147"/>
      <c r="BU1418" s="147"/>
      <c r="BV1418" s="147"/>
      <c r="BW1418" s="147"/>
      <c r="BX1418" s="147"/>
      <c r="BY1418" s="147"/>
      <c r="BZ1418" s="147"/>
      <c r="CA1418" s="147"/>
      <c r="CB1418" s="147"/>
      <c r="CC1418" s="147"/>
      <c r="CD1418" s="147"/>
      <c r="CE1418" s="147"/>
      <c r="CF1418" s="147"/>
      <c r="CG1418" s="147"/>
      <c r="CH1418" s="147"/>
      <c r="CI1418" s="147"/>
      <c r="CJ1418" s="147"/>
      <c r="CK1418" s="147"/>
    </row>
    <row r="1419" spans="1:89">
      <c r="A1419" s="157"/>
      <c r="F1419" s="3"/>
      <c r="G1419" s="3"/>
      <c r="L1419" s="157"/>
      <c r="M1419" s="157"/>
      <c r="O1419" s="147"/>
      <c r="P1419" s="147"/>
      <c r="Q1419" s="147"/>
      <c r="R1419" s="147"/>
      <c r="S1419" s="147"/>
      <c r="T1419" s="147"/>
      <c r="U1419" s="147"/>
      <c r="V1419" s="147"/>
      <c r="W1419" s="147"/>
      <c r="X1419" s="147"/>
      <c r="Y1419" s="147"/>
      <c r="Z1419" s="147"/>
      <c r="AA1419" s="147"/>
      <c r="AB1419" s="147"/>
      <c r="AC1419" s="147"/>
      <c r="AD1419" s="147"/>
      <c r="AE1419" s="147"/>
      <c r="AF1419" s="147"/>
      <c r="AG1419" s="147"/>
      <c r="AH1419" s="147"/>
      <c r="AI1419" s="147"/>
      <c r="AJ1419" s="147"/>
      <c r="AK1419" s="147"/>
      <c r="AL1419" s="147"/>
      <c r="AM1419" s="151"/>
      <c r="AN1419" s="147"/>
      <c r="AO1419" s="147"/>
      <c r="AP1419" s="147"/>
      <c r="AQ1419" s="147"/>
      <c r="AR1419" s="147"/>
      <c r="AS1419" s="147"/>
      <c r="AT1419" s="147"/>
      <c r="AU1419" s="147"/>
      <c r="AV1419" s="147"/>
      <c r="AW1419" s="147"/>
      <c r="AX1419" s="147"/>
      <c r="AY1419" s="147"/>
      <c r="AZ1419" s="147"/>
      <c r="BA1419" s="147"/>
      <c r="BB1419" s="147"/>
      <c r="BC1419" s="147"/>
      <c r="BD1419" s="147"/>
      <c r="BE1419" s="147"/>
      <c r="BF1419" s="147"/>
      <c r="BG1419" s="147"/>
      <c r="BH1419" s="147"/>
      <c r="BI1419" s="147"/>
      <c r="BJ1419" s="147"/>
      <c r="BK1419" s="147"/>
      <c r="BL1419" s="147"/>
      <c r="BM1419" s="147"/>
      <c r="BN1419" s="147"/>
      <c r="BO1419" s="147"/>
      <c r="BP1419" s="147"/>
      <c r="BQ1419" s="147"/>
      <c r="BR1419" s="147"/>
      <c r="BS1419" s="147"/>
      <c r="BT1419" s="147"/>
      <c r="BU1419" s="147"/>
      <c r="BV1419" s="147"/>
      <c r="BW1419" s="147"/>
      <c r="BX1419" s="147"/>
      <c r="BY1419" s="147"/>
      <c r="BZ1419" s="147"/>
      <c r="CA1419" s="147"/>
      <c r="CB1419" s="147"/>
      <c r="CC1419" s="147"/>
      <c r="CD1419" s="147"/>
      <c r="CE1419" s="147"/>
      <c r="CF1419" s="147"/>
      <c r="CG1419" s="147"/>
      <c r="CH1419" s="147"/>
      <c r="CI1419" s="147"/>
      <c r="CJ1419" s="147"/>
      <c r="CK1419" s="147"/>
    </row>
    <row r="1420" spans="1:89">
      <c r="A1420" s="157"/>
      <c r="F1420" s="3"/>
      <c r="G1420" s="3"/>
      <c r="L1420" s="157"/>
      <c r="M1420" s="157"/>
      <c r="O1420" s="147"/>
      <c r="P1420" s="147"/>
      <c r="Q1420" s="147"/>
      <c r="R1420" s="147"/>
      <c r="S1420" s="147"/>
      <c r="T1420" s="147"/>
      <c r="U1420" s="147"/>
      <c r="V1420" s="147"/>
      <c r="W1420" s="147"/>
      <c r="X1420" s="147"/>
      <c r="Y1420" s="147"/>
      <c r="Z1420" s="147"/>
      <c r="AA1420" s="147"/>
      <c r="AB1420" s="147"/>
      <c r="AC1420" s="147"/>
      <c r="AD1420" s="147"/>
      <c r="AE1420" s="147"/>
      <c r="AF1420" s="147"/>
      <c r="AG1420" s="147"/>
      <c r="AH1420" s="147"/>
      <c r="AI1420" s="147"/>
      <c r="AJ1420" s="147"/>
      <c r="AK1420" s="147"/>
      <c r="AL1420" s="147"/>
      <c r="AM1420" s="151"/>
      <c r="AN1420" s="147"/>
      <c r="AO1420" s="147"/>
      <c r="AP1420" s="147"/>
      <c r="AQ1420" s="147"/>
      <c r="AR1420" s="147"/>
      <c r="AS1420" s="147"/>
      <c r="AT1420" s="147"/>
      <c r="AU1420" s="147"/>
      <c r="AV1420" s="147"/>
      <c r="AW1420" s="147"/>
      <c r="AX1420" s="147"/>
      <c r="AY1420" s="147"/>
      <c r="AZ1420" s="147"/>
      <c r="BA1420" s="147"/>
      <c r="BB1420" s="147"/>
      <c r="BC1420" s="147"/>
      <c r="BD1420" s="147"/>
      <c r="BE1420" s="147"/>
      <c r="BF1420" s="147"/>
      <c r="BG1420" s="147"/>
      <c r="BH1420" s="147"/>
      <c r="BI1420" s="147"/>
      <c r="BJ1420" s="147"/>
      <c r="BK1420" s="147"/>
      <c r="BL1420" s="147"/>
      <c r="BM1420" s="147"/>
      <c r="BN1420" s="147"/>
      <c r="BO1420" s="147"/>
      <c r="BP1420" s="147"/>
      <c r="BQ1420" s="147"/>
      <c r="BR1420" s="147"/>
      <c r="BS1420" s="147"/>
      <c r="BT1420" s="147"/>
      <c r="BU1420" s="147"/>
      <c r="BV1420" s="147"/>
      <c r="BW1420" s="147"/>
      <c r="BX1420" s="147"/>
      <c r="BY1420" s="147"/>
      <c r="BZ1420" s="147"/>
      <c r="CA1420" s="147"/>
      <c r="CB1420" s="147"/>
      <c r="CC1420" s="147"/>
      <c r="CD1420" s="147"/>
      <c r="CE1420" s="147"/>
      <c r="CF1420" s="147"/>
      <c r="CG1420" s="147"/>
      <c r="CH1420" s="147"/>
      <c r="CI1420" s="147"/>
      <c r="CJ1420" s="147"/>
      <c r="CK1420" s="147"/>
    </row>
    <row r="1421" spans="1:89">
      <c r="A1421" s="157"/>
      <c r="F1421" s="3"/>
      <c r="G1421" s="3"/>
      <c r="L1421" s="157"/>
      <c r="M1421" s="157"/>
      <c r="O1421" s="147"/>
      <c r="P1421" s="147"/>
      <c r="Q1421" s="147"/>
      <c r="R1421" s="147"/>
      <c r="S1421" s="147"/>
      <c r="T1421" s="147"/>
      <c r="U1421" s="147"/>
      <c r="V1421" s="147"/>
      <c r="W1421" s="147"/>
      <c r="X1421" s="147"/>
      <c r="Y1421" s="147"/>
      <c r="Z1421" s="147"/>
      <c r="AA1421" s="147"/>
      <c r="AB1421" s="147"/>
      <c r="AC1421" s="147"/>
      <c r="AD1421" s="147"/>
      <c r="AE1421" s="147"/>
      <c r="AF1421" s="147"/>
      <c r="AG1421" s="147"/>
      <c r="AH1421" s="147"/>
      <c r="AI1421" s="147"/>
      <c r="AJ1421" s="147"/>
      <c r="AK1421" s="147"/>
      <c r="AL1421" s="147"/>
      <c r="AM1421" s="151"/>
      <c r="AN1421" s="147"/>
      <c r="AO1421" s="147"/>
      <c r="AP1421" s="147"/>
      <c r="AQ1421" s="147"/>
      <c r="AR1421" s="147"/>
      <c r="AS1421" s="147"/>
      <c r="AT1421" s="147"/>
      <c r="AU1421" s="147"/>
      <c r="AV1421" s="147"/>
      <c r="AW1421" s="147"/>
      <c r="AX1421" s="147"/>
      <c r="AY1421" s="147"/>
      <c r="AZ1421" s="147"/>
      <c r="BA1421" s="147"/>
      <c r="BB1421" s="147"/>
      <c r="BC1421" s="147"/>
      <c r="BD1421" s="147"/>
      <c r="BE1421" s="147"/>
      <c r="BF1421" s="147"/>
      <c r="BG1421" s="147"/>
      <c r="BH1421" s="147"/>
      <c r="BI1421" s="147"/>
      <c r="BJ1421" s="147"/>
      <c r="BK1421" s="147"/>
      <c r="BL1421" s="147"/>
      <c r="BM1421" s="147"/>
      <c r="BN1421" s="147"/>
      <c r="BO1421" s="147"/>
      <c r="BP1421" s="147"/>
      <c r="BQ1421" s="147"/>
      <c r="BR1421" s="147"/>
      <c r="BS1421" s="147"/>
      <c r="BT1421" s="147"/>
      <c r="BU1421" s="147"/>
      <c r="BV1421" s="147"/>
      <c r="BW1421" s="147"/>
      <c r="BX1421" s="147"/>
      <c r="BY1421" s="147"/>
      <c r="BZ1421" s="147"/>
      <c r="CA1421" s="147"/>
      <c r="CB1421" s="147"/>
      <c r="CC1421" s="147"/>
      <c r="CD1421" s="147"/>
      <c r="CE1421" s="147"/>
      <c r="CF1421" s="147"/>
      <c r="CG1421" s="147"/>
      <c r="CH1421" s="147"/>
      <c r="CI1421" s="147"/>
      <c r="CJ1421" s="147"/>
      <c r="CK1421" s="147"/>
    </row>
    <row r="1422" spans="1:89">
      <c r="A1422" s="157"/>
      <c r="F1422" s="3"/>
      <c r="G1422" s="3"/>
      <c r="L1422" s="157"/>
      <c r="M1422" s="157"/>
      <c r="O1422" s="147"/>
      <c r="P1422" s="147"/>
      <c r="Q1422" s="147"/>
      <c r="R1422" s="147"/>
      <c r="S1422" s="147"/>
      <c r="T1422" s="147"/>
      <c r="U1422" s="147"/>
      <c r="V1422" s="147"/>
      <c r="W1422" s="147"/>
      <c r="X1422" s="147"/>
      <c r="Y1422" s="147"/>
      <c r="Z1422" s="147"/>
      <c r="AA1422" s="147"/>
      <c r="AB1422" s="147"/>
      <c r="AC1422" s="147"/>
      <c r="AD1422" s="147"/>
      <c r="AE1422" s="147"/>
      <c r="AF1422" s="147"/>
      <c r="AG1422" s="147"/>
      <c r="AH1422" s="147"/>
      <c r="AI1422" s="147"/>
      <c r="AJ1422" s="147"/>
      <c r="AK1422" s="147"/>
      <c r="AL1422" s="147"/>
      <c r="AM1422" s="151"/>
      <c r="AN1422" s="147"/>
      <c r="AO1422" s="147"/>
      <c r="AP1422" s="147"/>
      <c r="AQ1422" s="147"/>
      <c r="AR1422" s="147"/>
      <c r="AS1422" s="147"/>
      <c r="AT1422" s="147"/>
      <c r="AU1422" s="147"/>
      <c r="AV1422" s="147"/>
      <c r="AW1422" s="147"/>
      <c r="AX1422" s="147"/>
      <c r="AY1422" s="147"/>
      <c r="AZ1422" s="147"/>
      <c r="BA1422" s="147"/>
      <c r="BB1422" s="147"/>
      <c r="BC1422" s="147"/>
      <c r="BD1422" s="147"/>
      <c r="BE1422" s="147"/>
      <c r="BF1422" s="147"/>
      <c r="BG1422" s="147"/>
      <c r="BH1422" s="147"/>
      <c r="BI1422" s="147"/>
      <c r="BJ1422" s="147"/>
      <c r="BK1422" s="147"/>
      <c r="BL1422" s="147"/>
      <c r="BM1422" s="147"/>
      <c r="BN1422" s="147"/>
      <c r="BO1422" s="147"/>
      <c r="BP1422" s="147"/>
      <c r="BQ1422" s="147"/>
      <c r="BR1422" s="147"/>
      <c r="BS1422" s="147"/>
      <c r="BT1422" s="147"/>
      <c r="BU1422" s="147"/>
      <c r="BV1422" s="147"/>
      <c r="BW1422" s="147"/>
      <c r="BX1422" s="147"/>
      <c r="BY1422" s="147"/>
      <c r="BZ1422" s="147"/>
      <c r="CA1422" s="147"/>
      <c r="CB1422" s="147"/>
      <c r="CC1422" s="147"/>
      <c r="CD1422" s="147"/>
      <c r="CE1422" s="147"/>
      <c r="CF1422" s="147"/>
      <c r="CG1422" s="147"/>
      <c r="CH1422" s="147"/>
      <c r="CI1422" s="147"/>
      <c r="CJ1422" s="147"/>
      <c r="CK1422" s="147"/>
    </row>
    <row r="1423" spans="1:89">
      <c r="A1423" s="157"/>
      <c r="F1423" s="3"/>
      <c r="G1423" s="3"/>
      <c r="L1423" s="157"/>
      <c r="M1423" s="157"/>
      <c r="O1423" s="147"/>
      <c r="P1423" s="147"/>
      <c r="Q1423" s="147"/>
      <c r="R1423" s="147"/>
      <c r="S1423" s="147"/>
      <c r="T1423" s="147"/>
      <c r="U1423" s="147"/>
      <c r="V1423" s="147"/>
      <c r="W1423" s="147"/>
      <c r="X1423" s="147"/>
      <c r="Y1423" s="147"/>
      <c r="Z1423" s="147"/>
      <c r="AA1423" s="147"/>
      <c r="AB1423" s="147"/>
      <c r="AC1423" s="147"/>
      <c r="AD1423" s="147"/>
      <c r="AE1423" s="147"/>
      <c r="AF1423" s="147"/>
      <c r="AG1423" s="147"/>
      <c r="AH1423" s="147"/>
      <c r="AI1423" s="147"/>
      <c r="AJ1423" s="147"/>
      <c r="AK1423" s="147"/>
      <c r="AL1423" s="147"/>
      <c r="AM1423" s="151"/>
      <c r="AN1423" s="147"/>
      <c r="AO1423" s="147"/>
      <c r="AP1423" s="147"/>
      <c r="AQ1423" s="147"/>
      <c r="AR1423" s="147"/>
      <c r="AS1423" s="147"/>
      <c r="AT1423" s="147"/>
      <c r="AU1423" s="147"/>
      <c r="AV1423" s="147"/>
      <c r="AW1423" s="147"/>
      <c r="AX1423" s="147"/>
      <c r="AY1423" s="147"/>
      <c r="AZ1423" s="147"/>
      <c r="BA1423" s="147"/>
      <c r="BB1423" s="147"/>
      <c r="BC1423" s="147"/>
      <c r="BD1423" s="147"/>
      <c r="BE1423" s="147"/>
      <c r="BF1423" s="147"/>
      <c r="BG1423" s="147"/>
      <c r="BH1423" s="147"/>
      <c r="BI1423" s="147"/>
      <c r="BJ1423" s="147"/>
      <c r="BK1423" s="147"/>
      <c r="BL1423" s="147"/>
      <c r="BM1423" s="147"/>
      <c r="BN1423" s="147"/>
      <c r="BO1423" s="147"/>
      <c r="BP1423" s="147"/>
      <c r="BQ1423" s="147"/>
      <c r="BR1423" s="147"/>
      <c r="BS1423" s="147"/>
      <c r="BT1423" s="147"/>
      <c r="BU1423" s="147"/>
      <c r="BV1423" s="147"/>
      <c r="BW1423" s="147"/>
      <c r="BX1423" s="147"/>
      <c r="BY1423" s="147"/>
      <c r="BZ1423" s="147"/>
      <c r="CA1423" s="147"/>
      <c r="CB1423" s="147"/>
      <c r="CC1423" s="147"/>
      <c r="CD1423" s="147"/>
      <c r="CE1423" s="147"/>
      <c r="CF1423" s="147"/>
      <c r="CG1423" s="147"/>
      <c r="CH1423" s="147"/>
      <c r="CI1423" s="147"/>
      <c r="CJ1423" s="147"/>
      <c r="CK1423" s="147"/>
    </row>
    <row r="1424" spans="1:89">
      <c r="A1424" s="157"/>
      <c r="F1424" s="3"/>
      <c r="G1424" s="3"/>
      <c r="L1424" s="157"/>
      <c r="M1424" s="157"/>
      <c r="O1424" s="147"/>
      <c r="P1424" s="147"/>
      <c r="Q1424" s="147"/>
      <c r="R1424" s="147"/>
      <c r="S1424" s="147"/>
      <c r="T1424" s="147"/>
      <c r="U1424" s="147"/>
      <c r="V1424" s="147"/>
      <c r="W1424" s="147"/>
      <c r="X1424" s="147"/>
      <c r="Y1424" s="147"/>
      <c r="Z1424" s="147"/>
      <c r="AA1424" s="147"/>
      <c r="AB1424" s="147"/>
      <c r="AC1424" s="147"/>
      <c r="AD1424" s="147"/>
      <c r="AE1424" s="147"/>
      <c r="AF1424" s="147"/>
      <c r="AG1424" s="147"/>
      <c r="AH1424" s="147"/>
      <c r="AI1424" s="147"/>
      <c r="AJ1424" s="147"/>
      <c r="AK1424" s="147"/>
      <c r="AL1424" s="147"/>
      <c r="AM1424" s="151"/>
      <c r="AN1424" s="147"/>
      <c r="AO1424" s="147"/>
      <c r="AP1424" s="147"/>
      <c r="AQ1424" s="147"/>
      <c r="AR1424" s="147"/>
      <c r="AS1424" s="147"/>
      <c r="AT1424" s="147"/>
      <c r="AU1424" s="147"/>
      <c r="AV1424" s="147"/>
      <c r="AW1424" s="147"/>
      <c r="AX1424" s="147"/>
      <c r="AY1424" s="147"/>
      <c r="AZ1424" s="147"/>
      <c r="BA1424" s="147"/>
      <c r="BB1424" s="147"/>
      <c r="BC1424" s="147"/>
      <c r="BD1424" s="147"/>
      <c r="BE1424" s="147"/>
      <c r="BF1424" s="147"/>
      <c r="BG1424" s="147"/>
      <c r="BH1424" s="147"/>
      <c r="BI1424" s="147"/>
      <c r="BJ1424" s="147"/>
      <c r="BK1424" s="147"/>
      <c r="BL1424" s="147"/>
      <c r="BM1424" s="147"/>
      <c r="BN1424" s="147"/>
      <c r="BO1424" s="147"/>
      <c r="BP1424" s="147"/>
      <c r="BQ1424" s="147"/>
      <c r="BR1424" s="147"/>
      <c r="BS1424" s="147"/>
      <c r="BT1424" s="147"/>
      <c r="BU1424" s="147"/>
      <c r="BV1424" s="147"/>
      <c r="BW1424" s="147"/>
      <c r="BX1424" s="147"/>
      <c r="BY1424" s="147"/>
      <c r="BZ1424" s="147"/>
      <c r="CA1424" s="147"/>
      <c r="CB1424" s="147"/>
      <c r="CC1424" s="147"/>
      <c r="CD1424" s="147"/>
      <c r="CE1424" s="147"/>
      <c r="CF1424" s="147"/>
      <c r="CG1424" s="147"/>
      <c r="CH1424" s="147"/>
      <c r="CI1424" s="147"/>
      <c r="CJ1424" s="147"/>
      <c r="CK1424" s="147"/>
    </row>
    <row r="1425" spans="1:89">
      <c r="A1425" s="157"/>
      <c r="F1425" s="3"/>
      <c r="G1425" s="3"/>
      <c r="L1425" s="157"/>
      <c r="M1425" s="157"/>
      <c r="O1425" s="147"/>
      <c r="P1425" s="147"/>
      <c r="Q1425" s="147"/>
      <c r="R1425" s="147"/>
      <c r="S1425" s="147"/>
      <c r="T1425" s="147"/>
      <c r="U1425" s="147"/>
      <c r="V1425" s="147"/>
      <c r="W1425" s="147"/>
      <c r="X1425" s="147"/>
      <c r="Y1425" s="147"/>
      <c r="Z1425" s="147"/>
      <c r="AA1425" s="147"/>
      <c r="AB1425" s="147"/>
      <c r="AC1425" s="147"/>
      <c r="AD1425" s="147"/>
      <c r="AE1425" s="147"/>
      <c r="AF1425" s="147"/>
      <c r="AG1425" s="147"/>
      <c r="AH1425" s="147"/>
      <c r="AI1425" s="147"/>
      <c r="AJ1425" s="147"/>
      <c r="AK1425" s="147"/>
      <c r="AL1425" s="147"/>
      <c r="AM1425" s="151"/>
      <c r="AN1425" s="147"/>
      <c r="AO1425" s="147"/>
      <c r="AP1425" s="147"/>
      <c r="AQ1425" s="147"/>
      <c r="AR1425" s="147"/>
      <c r="AS1425" s="147"/>
      <c r="AT1425" s="147"/>
      <c r="AU1425" s="147"/>
      <c r="AV1425" s="147"/>
      <c r="AW1425" s="147"/>
      <c r="AX1425" s="147"/>
      <c r="AY1425" s="147"/>
      <c r="AZ1425" s="147"/>
      <c r="BA1425" s="147"/>
      <c r="BB1425" s="147"/>
      <c r="BC1425" s="147"/>
      <c r="BD1425" s="147"/>
      <c r="BE1425" s="147"/>
      <c r="BF1425" s="147"/>
      <c r="BG1425" s="147"/>
      <c r="BH1425" s="147"/>
      <c r="BI1425" s="147"/>
      <c r="BJ1425" s="147"/>
      <c r="BK1425" s="147"/>
      <c r="BL1425" s="147"/>
      <c r="BM1425" s="147"/>
      <c r="BN1425" s="147"/>
      <c r="BO1425" s="147"/>
      <c r="BP1425" s="147"/>
      <c r="BQ1425" s="147"/>
      <c r="BR1425" s="147"/>
      <c r="BS1425" s="147"/>
      <c r="BT1425" s="147"/>
      <c r="BU1425" s="147"/>
      <c r="BV1425" s="147"/>
      <c r="BW1425" s="147"/>
      <c r="BX1425" s="147"/>
      <c r="BY1425" s="147"/>
      <c r="BZ1425" s="147"/>
      <c r="CA1425" s="147"/>
      <c r="CB1425" s="147"/>
      <c r="CC1425" s="147"/>
      <c r="CD1425" s="147"/>
      <c r="CE1425" s="147"/>
      <c r="CF1425" s="147"/>
      <c r="CG1425" s="147"/>
      <c r="CH1425" s="147"/>
      <c r="CI1425" s="147"/>
      <c r="CJ1425" s="147"/>
      <c r="CK1425" s="147"/>
    </row>
    <row r="1426" spans="1:89">
      <c r="A1426" s="157"/>
      <c r="F1426" s="3"/>
      <c r="G1426" s="3"/>
      <c r="L1426" s="157"/>
      <c r="M1426" s="157"/>
      <c r="O1426" s="147"/>
      <c r="P1426" s="147"/>
      <c r="Q1426" s="147"/>
      <c r="R1426" s="147"/>
      <c r="S1426" s="147"/>
      <c r="T1426" s="147"/>
      <c r="U1426" s="147"/>
      <c r="V1426" s="147"/>
      <c r="W1426" s="147"/>
      <c r="X1426" s="147"/>
      <c r="Y1426" s="147"/>
      <c r="Z1426" s="147"/>
      <c r="AA1426" s="147"/>
      <c r="AB1426" s="147"/>
      <c r="AC1426" s="147"/>
      <c r="AD1426" s="147"/>
      <c r="AE1426" s="147"/>
      <c r="AF1426" s="147"/>
      <c r="AG1426" s="147"/>
      <c r="AH1426" s="147"/>
      <c r="AI1426" s="147"/>
      <c r="AJ1426" s="147"/>
      <c r="AK1426" s="147"/>
      <c r="AL1426" s="147"/>
      <c r="AM1426" s="151"/>
      <c r="AN1426" s="147"/>
      <c r="AO1426" s="147"/>
      <c r="AP1426" s="147"/>
      <c r="AQ1426" s="147"/>
      <c r="AR1426" s="147"/>
      <c r="AS1426" s="147"/>
      <c r="AT1426" s="147"/>
      <c r="AU1426" s="147"/>
      <c r="AV1426" s="147"/>
      <c r="AW1426" s="147"/>
      <c r="AX1426" s="147"/>
      <c r="AY1426" s="147"/>
      <c r="AZ1426" s="147"/>
      <c r="BA1426" s="147"/>
      <c r="BB1426" s="147"/>
      <c r="BC1426" s="147"/>
      <c r="BD1426" s="147"/>
      <c r="BE1426" s="147"/>
      <c r="BF1426" s="147"/>
      <c r="BG1426" s="147"/>
      <c r="BH1426" s="147"/>
      <c r="BI1426" s="147"/>
      <c r="BJ1426" s="147"/>
      <c r="BK1426" s="147"/>
      <c r="BL1426" s="147"/>
      <c r="BM1426" s="147"/>
      <c r="BN1426" s="147"/>
      <c r="BO1426" s="147"/>
      <c r="BP1426" s="147"/>
      <c r="BQ1426" s="147"/>
      <c r="BR1426" s="147"/>
      <c r="BS1426" s="147"/>
      <c r="BT1426" s="147"/>
      <c r="BU1426" s="147"/>
      <c r="BV1426" s="147"/>
      <c r="BW1426" s="147"/>
      <c r="BX1426" s="147"/>
      <c r="BY1426" s="147"/>
      <c r="BZ1426" s="147"/>
      <c r="CA1426" s="147"/>
      <c r="CB1426" s="147"/>
      <c r="CC1426" s="147"/>
      <c r="CD1426" s="147"/>
      <c r="CE1426" s="147"/>
      <c r="CF1426" s="147"/>
      <c r="CG1426" s="147"/>
      <c r="CH1426" s="147"/>
      <c r="CI1426" s="147"/>
      <c r="CJ1426" s="147"/>
      <c r="CK1426" s="147"/>
    </row>
    <row r="1427" spans="1:89">
      <c r="A1427" s="157"/>
      <c r="F1427" s="3"/>
      <c r="G1427" s="3"/>
      <c r="L1427" s="157"/>
      <c r="M1427" s="157"/>
      <c r="O1427" s="147"/>
      <c r="P1427" s="147"/>
      <c r="Q1427" s="147"/>
      <c r="R1427" s="147"/>
      <c r="S1427" s="147"/>
      <c r="T1427" s="147"/>
      <c r="U1427" s="147"/>
      <c r="V1427" s="147"/>
      <c r="W1427" s="147"/>
      <c r="X1427" s="147"/>
      <c r="Y1427" s="147"/>
      <c r="Z1427" s="147"/>
      <c r="AA1427" s="147"/>
      <c r="AB1427" s="147"/>
      <c r="AC1427" s="147"/>
      <c r="AD1427" s="147"/>
      <c r="AE1427" s="147"/>
      <c r="AF1427" s="147"/>
      <c r="AG1427" s="147"/>
      <c r="AH1427" s="147"/>
      <c r="AI1427" s="147"/>
      <c r="AJ1427" s="147"/>
      <c r="AK1427" s="147"/>
      <c r="AL1427" s="147"/>
      <c r="AM1427" s="151"/>
      <c r="AN1427" s="147"/>
      <c r="AO1427" s="147"/>
      <c r="AP1427" s="147"/>
      <c r="AQ1427" s="147"/>
      <c r="AR1427" s="147"/>
      <c r="AS1427" s="147"/>
      <c r="AT1427" s="147"/>
      <c r="AU1427" s="147"/>
      <c r="AV1427" s="147"/>
      <c r="AW1427" s="147"/>
      <c r="AX1427" s="147"/>
      <c r="AY1427" s="147"/>
      <c r="AZ1427" s="147"/>
      <c r="BA1427" s="147"/>
      <c r="BB1427" s="147"/>
      <c r="BC1427" s="147"/>
      <c r="BD1427" s="147"/>
      <c r="BE1427" s="147"/>
      <c r="BF1427" s="147"/>
      <c r="BG1427" s="147"/>
      <c r="BH1427" s="147"/>
      <c r="BI1427" s="147"/>
      <c r="BJ1427" s="147"/>
      <c r="BK1427" s="147"/>
      <c r="BL1427" s="147"/>
      <c r="BM1427" s="147"/>
      <c r="BN1427" s="147"/>
      <c r="BO1427" s="147"/>
      <c r="BP1427" s="147"/>
      <c r="BQ1427" s="147"/>
      <c r="BR1427" s="147"/>
      <c r="BS1427" s="147"/>
      <c r="BT1427" s="147"/>
      <c r="BU1427" s="147"/>
      <c r="BV1427" s="147"/>
      <c r="BW1427" s="147"/>
      <c r="BX1427" s="147"/>
      <c r="BY1427" s="147"/>
      <c r="BZ1427" s="147"/>
      <c r="CA1427" s="147"/>
      <c r="CB1427" s="147"/>
      <c r="CC1427" s="147"/>
      <c r="CD1427" s="147"/>
      <c r="CE1427" s="147"/>
      <c r="CF1427" s="147"/>
      <c r="CG1427" s="147"/>
      <c r="CH1427" s="147"/>
      <c r="CI1427" s="147"/>
      <c r="CJ1427" s="147"/>
      <c r="CK1427" s="147"/>
    </row>
    <row r="1428" spans="1:89">
      <c r="A1428" s="157"/>
      <c r="F1428" s="3"/>
      <c r="G1428" s="3"/>
      <c r="L1428" s="157"/>
      <c r="M1428" s="157"/>
      <c r="O1428" s="147"/>
      <c r="P1428" s="147"/>
      <c r="Q1428" s="147"/>
      <c r="R1428" s="147"/>
      <c r="S1428" s="147"/>
      <c r="T1428" s="147"/>
      <c r="U1428" s="147"/>
      <c r="V1428" s="147"/>
      <c r="W1428" s="147"/>
      <c r="X1428" s="147"/>
      <c r="Y1428" s="147"/>
      <c r="Z1428" s="147"/>
      <c r="AA1428" s="147"/>
      <c r="AB1428" s="147"/>
      <c r="AC1428" s="147"/>
      <c r="AD1428" s="147"/>
      <c r="AE1428" s="147"/>
      <c r="AF1428" s="147"/>
      <c r="AG1428" s="147"/>
      <c r="AH1428" s="147"/>
      <c r="AI1428" s="147"/>
      <c r="AJ1428" s="147"/>
      <c r="AK1428" s="147"/>
      <c r="AL1428" s="147"/>
      <c r="AM1428" s="151"/>
      <c r="AN1428" s="147"/>
      <c r="AO1428" s="147"/>
      <c r="AP1428" s="147"/>
      <c r="AQ1428" s="147"/>
      <c r="AR1428" s="147"/>
      <c r="AS1428" s="147"/>
      <c r="AT1428" s="147"/>
      <c r="AU1428" s="147"/>
      <c r="AV1428" s="147"/>
      <c r="AW1428" s="147"/>
      <c r="AX1428" s="147"/>
      <c r="AY1428" s="147"/>
      <c r="AZ1428" s="147"/>
      <c r="BA1428" s="147"/>
      <c r="BB1428" s="147"/>
      <c r="BC1428" s="147"/>
      <c r="BD1428" s="147"/>
      <c r="BE1428" s="147"/>
      <c r="BF1428" s="147"/>
      <c r="BG1428" s="147"/>
      <c r="BH1428" s="147"/>
      <c r="BI1428" s="147"/>
      <c r="BJ1428" s="147"/>
      <c r="BK1428" s="147"/>
      <c r="BL1428" s="147"/>
      <c r="BM1428" s="147"/>
      <c r="BN1428" s="147"/>
      <c r="BO1428" s="147"/>
      <c r="BP1428" s="147"/>
      <c r="BQ1428" s="147"/>
      <c r="BR1428" s="147"/>
      <c r="BS1428" s="147"/>
      <c r="BT1428" s="147"/>
      <c r="BU1428" s="147"/>
      <c r="BV1428" s="147"/>
      <c r="BW1428" s="147"/>
      <c r="BX1428" s="147"/>
      <c r="BY1428" s="147"/>
      <c r="BZ1428" s="147"/>
      <c r="CA1428" s="147"/>
      <c r="CB1428" s="147"/>
      <c r="CC1428" s="147"/>
      <c r="CD1428" s="147"/>
      <c r="CE1428" s="147"/>
      <c r="CF1428" s="147"/>
      <c r="CG1428" s="147"/>
      <c r="CH1428" s="147"/>
      <c r="CI1428" s="147"/>
      <c r="CJ1428" s="147"/>
      <c r="CK1428" s="147"/>
    </row>
    <row r="1429" spans="1:89">
      <c r="A1429" s="157"/>
      <c r="F1429" s="3"/>
      <c r="G1429" s="3"/>
      <c r="L1429" s="157"/>
      <c r="M1429" s="157"/>
      <c r="O1429" s="147"/>
      <c r="P1429" s="147"/>
      <c r="Q1429" s="147"/>
      <c r="R1429" s="147"/>
      <c r="S1429" s="147"/>
      <c r="T1429" s="147"/>
      <c r="U1429" s="147"/>
      <c r="V1429" s="147"/>
      <c r="W1429" s="147"/>
      <c r="X1429" s="147"/>
      <c r="Y1429" s="147"/>
      <c r="Z1429" s="147"/>
      <c r="AA1429" s="147"/>
      <c r="AB1429" s="147"/>
      <c r="AC1429" s="147"/>
      <c r="AD1429" s="147"/>
      <c r="AE1429" s="147"/>
      <c r="AF1429" s="147"/>
      <c r="AG1429" s="147"/>
      <c r="AH1429" s="147"/>
      <c r="AI1429" s="147"/>
      <c r="AJ1429" s="147"/>
      <c r="AK1429" s="147"/>
      <c r="AL1429" s="147"/>
      <c r="AM1429" s="151"/>
      <c r="AN1429" s="147"/>
      <c r="AO1429" s="147"/>
      <c r="AP1429" s="147"/>
      <c r="AQ1429" s="147"/>
      <c r="AR1429" s="147"/>
      <c r="AS1429" s="147"/>
      <c r="AT1429" s="147"/>
      <c r="AU1429" s="147"/>
      <c r="AV1429" s="147"/>
      <c r="AW1429" s="147"/>
      <c r="AX1429" s="147"/>
      <c r="AY1429" s="147"/>
      <c r="AZ1429" s="147"/>
      <c r="BA1429" s="147"/>
      <c r="BB1429" s="147"/>
      <c r="BC1429" s="147"/>
      <c r="BD1429" s="147"/>
      <c r="BE1429" s="147"/>
      <c r="BF1429" s="147"/>
      <c r="BG1429" s="147"/>
      <c r="BH1429" s="147"/>
      <c r="BI1429" s="147"/>
      <c r="BJ1429" s="147"/>
      <c r="BK1429" s="147"/>
      <c r="BL1429" s="147"/>
      <c r="BM1429" s="147"/>
      <c r="BN1429" s="147"/>
      <c r="BO1429" s="147"/>
      <c r="BP1429" s="147"/>
      <c r="BQ1429" s="147"/>
      <c r="BR1429" s="147"/>
      <c r="BS1429" s="147"/>
      <c r="BT1429" s="147"/>
      <c r="BU1429" s="147"/>
      <c r="BV1429" s="147"/>
      <c r="BW1429" s="147"/>
      <c r="BX1429" s="147"/>
      <c r="BY1429" s="147"/>
      <c r="BZ1429" s="147"/>
      <c r="CA1429" s="147"/>
      <c r="CB1429" s="147"/>
      <c r="CC1429" s="147"/>
      <c r="CD1429" s="147"/>
      <c r="CE1429" s="147"/>
      <c r="CF1429" s="147"/>
      <c r="CG1429" s="147"/>
      <c r="CH1429" s="147"/>
      <c r="CI1429" s="147"/>
      <c r="CJ1429" s="147"/>
      <c r="CK1429" s="147"/>
    </row>
    <row r="1430" spans="1:89">
      <c r="A1430" s="157"/>
      <c r="F1430" s="3"/>
      <c r="G1430" s="3"/>
      <c r="L1430" s="157"/>
      <c r="M1430" s="157"/>
      <c r="O1430" s="147"/>
      <c r="P1430" s="147"/>
      <c r="Q1430" s="147"/>
      <c r="R1430" s="147"/>
      <c r="S1430" s="147"/>
      <c r="T1430" s="147"/>
      <c r="U1430" s="147"/>
      <c r="V1430" s="147"/>
      <c r="W1430" s="147"/>
      <c r="X1430" s="147"/>
      <c r="Y1430" s="147"/>
      <c r="Z1430" s="147"/>
      <c r="AA1430" s="147"/>
      <c r="AB1430" s="147"/>
      <c r="AC1430" s="147"/>
      <c r="AD1430" s="147"/>
      <c r="AE1430" s="147"/>
      <c r="AF1430" s="147"/>
      <c r="AG1430" s="147"/>
      <c r="AH1430" s="147"/>
      <c r="AI1430" s="147"/>
      <c r="AJ1430" s="147"/>
      <c r="AK1430" s="147"/>
      <c r="AL1430" s="147"/>
      <c r="AM1430" s="151"/>
      <c r="AN1430" s="147"/>
      <c r="AO1430" s="147"/>
      <c r="AP1430" s="147"/>
      <c r="AQ1430" s="147"/>
      <c r="AR1430" s="147"/>
      <c r="AS1430" s="147"/>
      <c r="AT1430" s="147"/>
      <c r="AU1430" s="147"/>
      <c r="AV1430" s="147"/>
      <c r="AW1430" s="147"/>
      <c r="AX1430" s="147"/>
      <c r="AY1430" s="147"/>
      <c r="AZ1430" s="147"/>
      <c r="BA1430" s="147"/>
      <c r="BB1430" s="147"/>
      <c r="BC1430" s="147"/>
      <c r="BD1430" s="147"/>
      <c r="BE1430" s="147"/>
      <c r="BF1430" s="147"/>
      <c r="BG1430" s="147"/>
      <c r="BH1430" s="147"/>
      <c r="BI1430" s="147"/>
      <c r="BJ1430" s="147"/>
      <c r="BK1430" s="147"/>
      <c r="BL1430" s="147"/>
      <c r="BM1430" s="147"/>
      <c r="BN1430" s="147"/>
      <c r="BO1430" s="147"/>
      <c r="BP1430" s="147"/>
      <c r="BQ1430" s="147"/>
      <c r="BR1430" s="147"/>
      <c r="BS1430" s="147"/>
      <c r="BT1430" s="147"/>
      <c r="BU1430" s="147"/>
      <c r="BV1430" s="147"/>
      <c r="BW1430" s="147"/>
      <c r="BX1430" s="147"/>
      <c r="BY1430" s="147"/>
      <c r="BZ1430" s="147"/>
      <c r="CA1430" s="147"/>
      <c r="CB1430" s="147"/>
      <c r="CC1430" s="147"/>
      <c r="CD1430" s="147"/>
      <c r="CE1430" s="147"/>
      <c r="CF1430" s="147"/>
      <c r="CG1430" s="147"/>
      <c r="CH1430" s="147"/>
      <c r="CI1430" s="147"/>
      <c r="CJ1430" s="147"/>
      <c r="CK1430" s="147"/>
    </row>
    <row r="1431" spans="1:89">
      <c r="A1431" s="157"/>
      <c r="F1431" s="3"/>
      <c r="G1431" s="3"/>
      <c r="L1431" s="157"/>
      <c r="M1431" s="157"/>
      <c r="O1431" s="147"/>
      <c r="P1431" s="147"/>
      <c r="Q1431" s="147"/>
      <c r="R1431" s="147"/>
      <c r="S1431" s="147"/>
      <c r="T1431" s="147"/>
      <c r="U1431" s="147"/>
      <c r="V1431" s="147"/>
      <c r="W1431" s="147"/>
      <c r="X1431" s="147"/>
      <c r="Y1431" s="147"/>
      <c r="Z1431" s="147"/>
      <c r="AA1431" s="147"/>
      <c r="AB1431" s="147"/>
      <c r="AC1431" s="147"/>
      <c r="AD1431" s="147"/>
      <c r="AE1431" s="147"/>
      <c r="AF1431" s="147"/>
      <c r="AG1431" s="147"/>
      <c r="AH1431" s="147"/>
      <c r="AI1431" s="147"/>
      <c r="AJ1431" s="147"/>
      <c r="AK1431" s="147"/>
      <c r="AL1431" s="147"/>
      <c r="AM1431" s="151"/>
      <c r="AN1431" s="147"/>
      <c r="AO1431" s="147"/>
      <c r="AP1431" s="147"/>
      <c r="AQ1431" s="147"/>
      <c r="AR1431" s="147"/>
      <c r="AS1431" s="147"/>
      <c r="AT1431" s="147"/>
      <c r="AU1431" s="147"/>
      <c r="AV1431" s="147"/>
      <c r="AW1431" s="147"/>
      <c r="AX1431" s="147"/>
      <c r="AY1431" s="147"/>
      <c r="AZ1431" s="147"/>
      <c r="BA1431" s="147"/>
      <c r="BB1431" s="147"/>
      <c r="BC1431" s="147"/>
      <c r="BD1431" s="147"/>
      <c r="BE1431" s="147"/>
      <c r="BF1431" s="147"/>
      <c r="BG1431" s="147"/>
      <c r="BH1431" s="147"/>
      <c r="BI1431" s="147"/>
      <c r="BJ1431" s="147"/>
      <c r="BK1431" s="147"/>
      <c r="BL1431" s="147"/>
      <c r="BM1431" s="147"/>
      <c r="BN1431" s="147"/>
      <c r="BO1431" s="147"/>
      <c r="BP1431" s="147"/>
      <c r="BQ1431" s="147"/>
      <c r="BR1431" s="147"/>
      <c r="BS1431" s="147"/>
      <c r="BT1431" s="147"/>
      <c r="BU1431" s="147"/>
      <c r="BV1431" s="147"/>
      <c r="BW1431" s="147"/>
      <c r="BX1431" s="147"/>
      <c r="BY1431" s="147"/>
      <c r="BZ1431" s="147"/>
      <c r="CA1431" s="147"/>
      <c r="CB1431" s="147"/>
      <c r="CC1431" s="147"/>
      <c r="CD1431" s="147"/>
      <c r="CE1431" s="147"/>
      <c r="CF1431" s="147"/>
      <c r="CG1431" s="147"/>
      <c r="CH1431" s="147"/>
      <c r="CI1431" s="147"/>
      <c r="CJ1431" s="147"/>
      <c r="CK1431" s="147"/>
    </row>
    <row r="1432" spans="1:89">
      <c r="A1432" s="157"/>
      <c r="F1432" s="3"/>
      <c r="G1432" s="3"/>
      <c r="L1432" s="157"/>
      <c r="M1432" s="157"/>
      <c r="O1432" s="147"/>
      <c r="P1432" s="147"/>
      <c r="Q1432" s="147"/>
      <c r="R1432" s="147"/>
      <c r="S1432" s="147"/>
      <c r="T1432" s="147"/>
      <c r="U1432" s="147"/>
      <c r="V1432" s="147"/>
      <c r="W1432" s="147"/>
      <c r="X1432" s="147"/>
      <c r="Y1432" s="147"/>
      <c r="Z1432" s="147"/>
      <c r="AA1432" s="147"/>
      <c r="AB1432" s="147"/>
      <c r="AC1432" s="147"/>
      <c r="AD1432" s="147"/>
      <c r="AE1432" s="147"/>
      <c r="AF1432" s="147"/>
      <c r="AG1432" s="147"/>
      <c r="AH1432" s="147"/>
      <c r="AI1432" s="147"/>
      <c r="AJ1432" s="147"/>
      <c r="AK1432" s="147"/>
      <c r="AL1432" s="147"/>
      <c r="AM1432" s="151"/>
      <c r="AN1432" s="147"/>
      <c r="AO1432" s="147"/>
      <c r="AP1432" s="147"/>
      <c r="AQ1432" s="147"/>
      <c r="AR1432" s="147"/>
      <c r="AS1432" s="147"/>
      <c r="AT1432" s="147"/>
      <c r="AU1432" s="147"/>
      <c r="AV1432" s="147"/>
      <c r="AW1432" s="147"/>
      <c r="AX1432" s="147"/>
      <c r="AY1432" s="147"/>
      <c r="AZ1432" s="147"/>
      <c r="BA1432" s="147"/>
      <c r="BB1432" s="147"/>
      <c r="BC1432" s="147"/>
      <c r="BD1432" s="147"/>
      <c r="BE1432" s="147"/>
      <c r="BF1432" s="147"/>
      <c r="BG1432" s="147"/>
      <c r="BH1432" s="147"/>
      <c r="BI1432" s="147"/>
      <c r="BJ1432" s="147"/>
      <c r="BK1432" s="147"/>
      <c r="BL1432" s="147"/>
      <c r="BM1432" s="147"/>
      <c r="BN1432" s="147"/>
      <c r="BO1432" s="147"/>
      <c r="BP1432" s="147"/>
      <c r="BQ1432" s="147"/>
      <c r="BR1432" s="147"/>
      <c r="BS1432" s="147"/>
      <c r="BT1432" s="147"/>
      <c r="BU1432" s="147"/>
      <c r="BV1432" s="147"/>
      <c r="BW1432" s="147"/>
      <c r="BX1432" s="147"/>
      <c r="BY1432" s="147"/>
      <c r="BZ1432" s="147"/>
      <c r="CA1432" s="147"/>
      <c r="CB1432" s="147"/>
      <c r="CC1432" s="147"/>
      <c r="CD1432" s="147"/>
      <c r="CE1432" s="147"/>
      <c r="CF1432" s="147"/>
      <c r="CG1432" s="147"/>
      <c r="CH1432" s="147"/>
      <c r="CI1432" s="147"/>
      <c r="CJ1432" s="147"/>
      <c r="CK1432" s="147"/>
    </row>
    <row r="1433" spans="1:89">
      <c r="A1433" s="157"/>
      <c r="F1433" s="3"/>
      <c r="G1433" s="3"/>
      <c r="L1433" s="157"/>
      <c r="M1433" s="157"/>
      <c r="O1433" s="147"/>
      <c r="P1433" s="147"/>
      <c r="Q1433" s="147"/>
      <c r="R1433" s="147"/>
      <c r="S1433" s="147"/>
      <c r="T1433" s="147"/>
      <c r="U1433" s="147"/>
      <c r="V1433" s="147"/>
      <c r="W1433" s="147"/>
      <c r="X1433" s="147"/>
      <c r="Y1433" s="147"/>
      <c r="Z1433" s="147"/>
      <c r="AA1433" s="147"/>
      <c r="AB1433" s="147"/>
      <c r="AC1433" s="147"/>
      <c r="AD1433" s="147"/>
      <c r="AE1433" s="147"/>
      <c r="AF1433" s="147"/>
      <c r="AG1433" s="147"/>
      <c r="AH1433" s="147"/>
      <c r="AI1433" s="147"/>
      <c r="AJ1433" s="147"/>
      <c r="AK1433" s="147"/>
      <c r="AL1433" s="147"/>
      <c r="AM1433" s="151"/>
      <c r="AN1433" s="147"/>
      <c r="AO1433" s="147"/>
      <c r="AP1433" s="147"/>
      <c r="AQ1433" s="147"/>
      <c r="AR1433" s="147"/>
      <c r="AS1433" s="147"/>
      <c r="AT1433" s="147"/>
      <c r="AU1433" s="147"/>
      <c r="AV1433" s="147"/>
      <c r="AW1433" s="147"/>
      <c r="AX1433" s="147"/>
      <c r="AY1433" s="147"/>
      <c r="AZ1433" s="147"/>
      <c r="BA1433" s="147"/>
      <c r="BB1433" s="147"/>
      <c r="BC1433" s="147"/>
      <c r="BD1433" s="147"/>
      <c r="BE1433" s="147"/>
      <c r="BF1433" s="147"/>
      <c r="BG1433" s="147"/>
      <c r="BH1433" s="147"/>
      <c r="BI1433" s="147"/>
      <c r="BJ1433" s="147"/>
      <c r="BK1433" s="147"/>
      <c r="BL1433" s="147"/>
      <c r="BM1433" s="147"/>
      <c r="BN1433" s="147"/>
      <c r="BO1433" s="147"/>
      <c r="BP1433" s="147"/>
      <c r="BQ1433" s="147"/>
      <c r="BR1433" s="147"/>
      <c r="BS1433" s="147"/>
      <c r="BT1433" s="147"/>
      <c r="BU1433" s="147"/>
      <c r="BV1433" s="147"/>
      <c r="BW1433" s="147"/>
      <c r="BX1433" s="147"/>
      <c r="BY1433" s="147"/>
      <c r="BZ1433" s="147"/>
      <c r="CA1433" s="147"/>
      <c r="CB1433" s="147"/>
      <c r="CC1433" s="147"/>
      <c r="CD1433" s="147"/>
      <c r="CE1433" s="147"/>
      <c r="CF1433" s="147"/>
      <c r="CG1433" s="147"/>
      <c r="CH1433" s="147"/>
      <c r="CI1433" s="147"/>
      <c r="CJ1433" s="147"/>
      <c r="CK1433" s="147"/>
    </row>
    <row r="1434" spans="1:89">
      <c r="A1434" s="157"/>
      <c r="F1434" s="3"/>
      <c r="G1434" s="3"/>
      <c r="L1434" s="157"/>
      <c r="M1434" s="157"/>
      <c r="O1434" s="147"/>
      <c r="P1434" s="147"/>
      <c r="Q1434" s="147"/>
      <c r="R1434" s="147"/>
      <c r="S1434" s="147"/>
      <c r="T1434" s="147"/>
      <c r="U1434" s="147"/>
      <c r="V1434" s="147"/>
      <c r="W1434" s="147"/>
      <c r="X1434" s="147"/>
      <c r="Y1434" s="147"/>
      <c r="Z1434" s="147"/>
      <c r="AA1434" s="147"/>
      <c r="AB1434" s="147"/>
      <c r="AC1434" s="147"/>
      <c r="AD1434" s="147"/>
      <c r="AE1434" s="147"/>
      <c r="AF1434" s="147"/>
      <c r="AG1434" s="147"/>
      <c r="AH1434" s="147"/>
      <c r="AI1434" s="147"/>
      <c r="AJ1434" s="147"/>
      <c r="AK1434" s="147"/>
      <c r="AL1434" s="147"/>
      <c r="AM1434" s="151"/>
      <c r="AN1434" s="147"/>
      <c r="AO1434" s="147"/>
      <c r="AP1434" s="147"/>
      <c r="AQ1434" s="147"/>
      <c r="AR1434" s="147"/>
      <c r="AS1434" s="147"/>
      <c r="AT1434" s="147"/>
      <c r="AU1434" s="147"/>
      <c r="AV1434" s="147"/>
      <c r="AW1434" s="147"/>
      <c r="AX1434" s="147"/>
      <c r="AY1434" s="147"/>
      <c r="AZ1434" s="147"/>
      <c r="BA1434" s="147"/>
      <c r="BB1434" s="147"/>
      <c r="BC1434" s="147"/>
      <c r="BD1434" s="147"/>
      <c r="BE1434" s="147"/>
      <c r="BF1434" s="147"/>
      <c r="BG1434" s="147"/>
      <c r="BH1434" s="147"/>
      <c r="BI1434" s="147"/>
      <c r="BJ1434" s="147"/>
      <c r="BK1434" s="147"/>
      <c r="BL1434" s="147"/>
      <c r="BM1434" s="147"/>
      <c r="BN1434" s="147"/>
      <c r="BO1434" s="147"/>
      <c r="BP1434" s="147"/>
      <c r="BQ1434" s="147"/>
      <c r="BR1434" s="147"/>
      <c r="BS1434" s="147"/>
      <c r="BT1434" s="147"/>
      <c r="BU1434" s="147"/>
      <c r="BV1434" s="147"/>
      <c r="BW1434" s="147"/>
      <c r="BX1434" s="147"/>
      <c r="BY1434" s="147"/>
      <c r="BZ1434" s="147"/>
      <c r="CA1434" s="147"/>
      <c r="CB1434" s="147"/>
      <c r="CC1434" s="147"/>
      <c r="CD1434" s="147"/>
      <c r="CE1434" s="147"/>
      <c r="CF1434" s="147"/>
      <c r="CG1434" s="147"/>
      <c r="CH1434" s="147"/>
      <c r="CI1434" s="147"/>
      <c r="CJ1434" s="147"/>
      <c r="CK1434" s="147"/>
    </row>
    <row r="1435" spans="1:89">
      <c r="A1435" s="157"/>
      <c r="F1435" s="3"/>
      <c r="G1435" s="3"/>
      <c r="L1435" s="157"/>
      <c r="M1435" s="157"/>
      <c r="O1435" s="147"/>
      <c r="P1435" s="147"/>
      <c r="Q1435" s="147"/>
      <c r="R1435" s="147"/>
      <c r="S1435" s="147"/>
      <c r="T1435" s="147"/>
      <c r="U1435" s="147"/>
      <c r="V1435" s="147"/>
      <c r="W1435" s="147"/>
      <c r="X1435" s="147"/>
      <c r="Y1435" s="147"/>
      <c r="Z1435" s="147"/>
      <c r="AA1435" s="147"/>
      <c r="AB1435" s="147"/>
      <c r="AC1435" s="147"/>
      <c r="AD1435" s="147"/>
      <c r="AE1435" s="147"/>
      <c r="AF1435" s="147"/>
      <c r="AG1435" s="147"/>
      <c r="AH1435" s="147"/>
      <c r="AI1435" s="147"/>
      <c r="AJ1435" s="147"/>
      <c r="AK1435" s="147"/>
      <c r="AL1435" s="147"/>
      <c r="AM1435" s="151"/>
      <c r="AN1435" s="147"/>
      <c r="AO1435" s="147"/>
      <c r="AP1435" s="147"/>
      <c r="AQ1435" s="147"/>
      <c r="AR1435" s="147"/>
      <c r="AS1435" s="147"/>
      <c r="AT1435" s="147"/>
      <c r="AU1435" s="147"/>
      <c r="AV1435" s="147"/>
      <c r="AW1435" s="147"/>
      <c r="AX1435" s="147"/>
      <c r="AY1435" s="147"/>
      <c r="AZ1435" s="147"/>
      <c r="BA1435" s="147"/>
      <c r="BB1435" s="147"/>
      <c r="BC1435" s="147"/>
      <c r="BD1435" s="147"/>
      <c r="BE1435" s="147"/>
      <c r="BF1435" s="147"/>
      <c r="BG1435" s="147"/>
      <c r="BH1435" s="147"/>
      <c r="BI1435" s="147"/>
      <c r="BJ1435" s="147"/>
      <c r="BK1435" s="147"/>
      <c r="BL1435" s="147"/>
      <c r="BM1435" s="147"/>
      <c r="BN1435" s="147"/>
      <c r="BO1435" s="147"/>
      <c r="BP1435" s="147"/>
      <c r="BQ1435" s="147"/>
      <c r="BR1435" s="147"/>
      <c r="BS1435" s="147"/>
      <c r="BT1435" s="147"/>
      <c r="BU1435" s="147"/>
      <c r="BV1435" s="147"/>
      <c r="BW1435" s="147"/>
      <c r="BX1435" s="147"/>
      <c r="BY1435" s="147"/>
      <c r="BZ1435" s="147"/>
      <c r="CA1435" s="147"/>
      <c r="CB1435" s="147"/>
      <c r="CC1435" s="147"/>
      <c r="CD1435" s="147"/>
      <c r="CE1435" s="147"/>
      <c r="CF1435" s="147"/>
      <c r="CG1435" s="147"/>
      <c r="CH1435" s="147"/>
      <c r="CI1435" s="147"/>
      <c r="CJ1435" s="147"/>
      <c r="CK1435" s="147"/>
    </row>
    <row r="1436" spans="1:89">
      <c r="A1436" s="157"/>
      <c r="F1436" s="3"/>
      <c r="G1436" s="3"/>
      <c r="L1436" s="157"/>
      <c r="M1436" s="157"/>
      <c r="O1436" s="147"/>
      <c r="P1436" s="147"/>
      <c r="Q1436" s="147"/>
      <c r="R1436" s="147"/>
      <c r="S1436" s="147"/>
      <c r="T1436" s="147"/>
      <c r="U1436" s="147"/>
      <c r="V1436" s="147"/>
      <c r="W1436" s="147"/>
      <c r="X1436" s="147"/>
      <c r="Y1436" s="147"/>
      <c r="Z1436" s="147"/>
      <c r="AA1436" s="147"/>
      <c r="AB1436" s="147"/>
      <c r="AC1436" s="147"/>
      <c r="AD1436" s="147"/>
      <c r="AE1436" s="147"/>
      <c r="AF1436" s="147"/>
      <c r="AG1436" s="147"/>
      <c r="AH1436" s="147"/>
      <c r="AI1436" s="147"/>
      <c r="AJ1436" s="147"/>
      <c r="AK1436" s="147"/>
      <c r="AL1436" s="147"/>
      <c r="AM1436" s="151"/>
      <c r="AN1436" s="147"/>
      <c r="AO1436" s="147"/>
      <c r="AP1436" s="147"/>
      <c r="AQ1436" s="147"/>
      <c r="AR1436" s="147"/>
      <c r="AS1436" s="147"/>
      <c r="AT1436" s="147"/>
      <c r="AU1436" s="147"/>
      <c r="AV1436" s="147"/>
      <c r="AW1436" s="147"/>
      <c r="AX1436" s="147"/>
      <c r="AY1436" s="147"/>
      <c r="AZ1436" s="147"/>
      <c r="BA1436" s="147"/>
      <c r="BB1436" s="147"/>
      <c r="BC1436" s="147"/>
      <c r="BD1436" s="147"/>
      <c r="BE1436" s="147"/>
      <c r="BF1436" s="147"/>
      <c r="BG1436" s="147"/>
      <c r="BH1436" s="147"/>
      <c r="BI1436" s="147"/>
      <c r="BJ1436" s="147"/>
      <c r="BK1436" s="147"/>
      <c r="BL1436" s="147"/>
      <c r="BM1436" s="147"/>
      <c r="BN1436" s="147"/>
      <c r="BO1436" s="147"/>
      <c r="BP1436" s="147"/>
      <c r="BQ1436" s="147"/>
      <c r="BR1436" s="147"/>
      <c r="BS1436" s="147"/>
      <c r="BT1436" s="147"/>
      <c r="BU1436" s="147"/>
      <c r="BV1436" s="147"/>
      <c r="BW1436" s="147"/>
      <c r="BX1436" s="147"/>
      <c r="BY1436" s="147"/>
      <c r="BZ1436" s="147"/>
      <c r="CA1436" s="147"/>
      <c r="CB1436" s="147"/>
      <c r="CC1436" s="147"/>
      <c r="CD1436" s="147"/>
      <c r="CE1436" s="147"/>
      <c r="CF1436" s="147"/>
      <c r="CG1436" s="147"/>
      <c r="CH1436" s="147"/>
      <c r="CI1436" s="147"/>
      <c r="CJ1436" s="147"/>
      <c r="CK1436" s="147"/>
    </row>
    <row r="1437" spans="1:89">
      <c r="A1437" s="157"/>
      <c r="F1437" s="3"/>
      <c r="G1437" s="3"/>
      <c r="L1437" s="157"/>
      <c r="M1437" s="157"/>
      <c r="O1437" s="147"/>
      <c r="P1437" s="147"/>
      <c r="Q1437" s="147"/>
      <c r="R1437" s="147"/>
      <c r="S1437" s="147"/>
      <c r="T1437" s="147"/>
      <c r="U1437" s="147"/>
      <c r="V1437" s="147"/>
      <c r="W1437" s="147"/>
      <c r="X1437" s="147"/>
      <c r="Y1437" s="147"/>
      <c r="Z1437" s="147"/>
      <c r="AA1437" s="147"/>
      <c r="AB1437" s="147"/>
      <c r="AC1437" s="147"/>
      <c r="AD1437" s="147"/>
      <c r="AE1437" s="147"/>
      <c r="AF1437" s="147"/>
      <c r="AG1437" s="147"/>
      <c r="AH1437" s="147"/>
      <c r="AI1437" s="147"/>
      <c r="AJ1437" s="147"/>
      <c r="AK1437" s="147"/>
      <c r="AL1437" s="147"/>
      <c r="AM1437" s="151"/>
      <c r="AN1437" s="147"/>
      <c r="AO1437" s="147"/>
      <c r="AP1437" s="147"/>
      <c r="AQ1437" s="147"/>
      <c r="AR1437" s="147"/>
      <c r="AS1437" s="147"/>
      <c r="AT1437" s="147"/>
      <c r="AU1437" s="147"/>
      <c r="AV1437" s="147"/>
      <c r="AW1437" s="147"/>
      <c r="AX1437" s="147"/>
      <c r="AY1437" s="147"/>
      <c r="AZ1437" s="147"/>
      <c r="BA1437" s="147"/>
      <c r="BB1437" s="147"/>
      <c r="BC1437" s="147"/>
      <c r="BD1437" s="147"/>
      <c r="BE1437" s="147"/>
      <c r="BF1437" s="147"/>
      <c r="BG1437" s="147"/>
      <c r="BH1437" s="147"/>
      <c r="BI1437" s="147"/>
      <c r="BJ1437" s="147"/>
      <c r="BK1437" s="147"/>
      <c r="BL1437" s="147"/>
      <c r="BM1437" s="147"/>
      <c r="BN1437" s="147"/>
      <c r="BO1437" s="147"/>
      <c r="BP1437" s="147"/>
      <c r="BQ1437" s="147"/>
      <c r="BR1437" s="147"/>
      <c r="BS1437" s="147"/>
      <c r="BT1437" s="147"/>
      <c r="BU1437" s="147"/>
      <c r="BV1437" s="147"/>
      <c r="BW1437" s="147"/>
      <c r="BX1437" s="147"/>
      <c r="BY1437" s="147"/>
      <c r="BZ1437" s="147"/>
      <c r="CA1437" s="147"/>
      <c r="CB1437" s="147"/>
      <c r="CC1437" s="147"/>
      <c r="CD1437" s="147"/>
      <c r="CE1437" s="147"/>
      <c r="CF1437" s="147"/>
      <c r="CG1437" s="147"/>
      <c r="CH1437" s="147"/>
      <c r="CI1437" s="147"/>
      <c r="CJ1437" s="147"/>
      <c r="CK1437" s="147"/>
    </row>
    <row r="1438" spans="1:89">
      <c r="A1438" s="157"/>
      <c r="F1438" s="3"/>
      <c r="G1438" s="3"/>
      <c r="L1438" s="157"/>
      <c r="M1438" s="157"/>
      <c r="O1438" s="147"/>
      <c r="P1438" s="147"/>
      <c r="Q1438" s="147"/>
      <c r="R1438" s="147"/>
      <c r="S1438" s="147"/>
      <c r="T1438" s="147"/>
      <c r="U1438" s="147"/>
      <c r="V1438" s="147"/>
      <c r="W1438" s="147"/>
      <c r="X1438" s="147"/>
      <c r="Y1438" s="147"/>
      <c r="Z1438" s="147"/>
      <c r="AA1438" s="147"/>
      <c r="AB1438" s="147"/>
      <c r="AC1438" s="147"/>
      <c r="AD1438" s="147"/>
      <c r="AE1438" s="147"/>
      <c r="AF1438" s="147"/>
      <c r="AG1438" s="147"/>
      <c r="AH1438" s="147"/>
      <c r="AI1438" s="147"/>
      <c r="AJ1438" s="147"/>
      <c r="AK1438" s="147"/>
      <c r="AL1438" s="147"/>
      <c r="AM1438" s="151"/>
      <c r="AN1438" s="147"/>
      <c r="AO1438" s="147"/>
      <c r="AP1438" s="147"/>
      <c r="AQ1438" s="147"/>
      <c r="AR1438" s="147"/>
      <c r="AS1438" s="147"/>
      <c r="AT1438" s="147"/>
      <c r="AU1438" s="147"/>
      <c r="AV1438" s="147"/>
      <c r="AW1438" s="147"/>
      <c r="AX1438" s="147"/>
      <c r="AY1438" s="147"/>
      <c r="AZ1438" s="147"/>
      <c r="BA1438" s="147"/>
      <c r="BB1438" s="147"/>
      <c r="BC1438" s="147"/>
      <c r="BD1438" s="147"/>
      <c r="BE1438" s="147"/>
      <c r="BF1438" s="147"/>
      <c r="BG1438" s="147"/>
      <c r="BH1438" s="147"/>
      <c r="BI1438" s="147"/>
      <c r="BJ1438" s="147"/>
      <c r="BK1438" s="147"/>
      <c r="BL1438" s="147"/>
      <c r="BM1438" s="147"/>
      <c r="BN1438" s="147"/>
      <c r="BO1438" s="147"/>
      <c r="BP1438" s="147"/>
      <c r="BQ1438" s="147"/>
      <c r="BR1438" s="147"/>
      <c r="BS1438" s="147"/>
      <c r="BT1438" s="147"/>
      <c r="BU1438" s="147"/>
      <c r="BV1438" s="147"/>
      <c r="BW1438" s="147"/>
      <c r="BX1438" s="147"/>
      <c r="BY1438" s="147"/>
      <c r="BZ1438" s="147"/>
      <c r="CA1438" s="147"/>
      <c r="CB1438" s="147"/>
      <c r="CC1438" s="147"/>
      <c r="CD1438" s="147"/>
      <c r="CE1438" s="147"/>
      <c r="CF1438" s="147"/>
      <c r="CG1438" s="147"/>
      <c r="CH1438" s="147"/>
      <c r="CI1438" s="147"/>
      <c r="CJ1438" s="147"/>
      <c r="CK1438" s="147"/>
    </row>
    <row r="1439" spans="1:89">
      <c r="A1439" s="157"/>
      <c r="F1439" s="3"/>
      <c r="G1439" s="3"/>
      <c r="L1439" s="157"/>
      <c r="M1439" s="157"/>
      <c r="O1439" s="147"/>
      <c r="P1439" s="147"/>
      <c r="Q1439" s="147"/>
      <c r="R1439" s="147"/>
      <c r="S1439" s="147"/>
      <c r="T1439" s="147"/>
      <c r="U1439" s="147"/>
      <c r="V1439" s="147"/>
      <c r="W1439" s="147"/>
      <c r="X1439" s="147"/>
      <c r="Y1439" s="147"/>
      <c r="Z1439" s="147"/>
      <c r="AA1439" s="147"/>
      <c r="AB1439" s="147"/>
      <c r="AC1439" s="147"/>
      <c r="AD1439" s="147"/>
      <c r="AE1439" s="147"/>
      <c r="AF1439" s="147"/>
      <c r="AG1439" s="147"/>
      <c r="AH1439" s="147"/>
      <c r="AI1439" s="147"/>
      <c r="AJ1439" s="147"/>
      <c r="AK1439" s="147"/>
      <c r="AL1439" s="147"/>
      <c r="AM1439" s="151"/>
      <c r="AN1439" s="147"/>
      <c r="AO1439" s="147"/>
      <c r="AP1439" s="147"/>
      <c r="AQ1439" s="147"/>
      <c r="AR1439" s="147"/>
      <c r="AS1439" s="147"/>
      <c r="AT1439" s="147"/>
      <c r="AU1439" s="147"/>
      <c r="AV1439" s="147"/>
      <c r="AW1439" s="147"/>
      <c r="AX1439" s="147"/>
      <c r="AY1439" s="147"/>
      <c r="AZ1439" s="147"/>
      <c r="BA1439" s="147"/>
      <c r="BB1439" s="147"/>
      <c r="BC1439" s="147"/>
      <c r="BD1439" s="147"/>
      <c r="BE1439" s="147"/>
      <c r="BF1439" s="147"/>
      <c r="BG1439" s="147"/>
      <c r="BH1439" s="147"/>
      <c r="BI1439" s="147"/>
      <c r="BJ1439" s="147"/>
      <c r="BK1439" s="147"/>
      <c r="BL1439" s="147"/>
      <c r="BM1439" s="147"/>
      <c r="BN1439" s="147"/>
      <c r="BO1439" s="147"/>
      <c r="BP1439" s="147"/>
      <c r="BQ1439" s="147"/>
      <c r="BR1439" s="147"/>
      <c r="BS1439" s="147"/>
      <c r="BT1439" s="147"/>
      <c r="BU1439" s="147"/>
      <c r="BV1439" s="147"/>
      <c r="BW1439" s="147"/>
      <c r="BX1439" s="147"/>
      <c r="BY1439" s="147"/>
      <c r="BZ1439" s="147"/>
      <c r="CA1439" s="147"/>
      <c r="CB1439" s="147"/>
      <c r="CC1439" s="147"/>
      <c r="CD1439" s="147"/>
      <c r="CE1439" s="147"/>
      <c r="CF1439" s="147"/>
      <c r="CG1439" s="147"/>
      <c r="CH1439" s="147"/>
      <c r="CI1439" s="147"/>
      <c r="CJ1439" s="147"/>
      <c r="CK1439" s="147"/>
    </row>
    <row r="1440" spans="1:89">
      <c r="A1440" s="157"/>
      <c r="F1440" s="3"/>
      <c r="G1440" s="3"/>
      <c r="L1440" s="157"/>
      <c r="M1440" s="157"/>
      <c r="O1440" s="147"/>
      <c r="P1440" s="147"/>
      <c r="Q1440" s="147"/>
      <c r="R1440" s="147"/>
      <c r="S1440" s="147"/>
      <c r="T1440" s="147"/>
      <c r="U1440" s="147"/>
      <c r="V1440" s="147"/>
      <c r="W1440" s="147"/>
      <c r="X1440" s="147"/>
      <c r="Y1440" s="147"/>
      <c r="Z1440" s="147"/>
      <c r="AA1440" s="147"/>
      <c r="AB1440" s="147"/>
      <c r="AC1440" s="147"/>
      <c r="AD1440" s="147"/>
      <c r="AE1440" s="147"/>
      <c r="AF1440" s="147"/>
      <c r="AG1440" s="147"/>
      <c r="AH1440" s="147"/>
      <c r="AI1440" s="147"/>
      <c r="AJ1440" s="147"/>
      <c r="AK1440" s="147"/>
      <c r="AL1440" s="147"/>
      <c r="AM1440" s="151"/>
      <c r="AN1440" s="147"/>
      <c r="AO1440" s="147"/>
      <c r="AP1440" s="147"/>
      <c r="AQ1440" s="147"/>
      <c r="AR1440" s="147"/>
      <c r="AS1440" s="147"/>
      <c r="AT1440" s="147"/>
      <c r="AU1440" s="147"/>
      <c r="AV1440" s="147"/>
      <c r="AW1440" s="147"/>
      <c r="AX1440" s="147"/>
      <c r="AY1440" s="147"/>
      <c r="AZ1440" s="147"/>
      <c r="BA1440" s="147"/>
      <c r="BB1440" s="147"/>
      <c r="BC1440" s="147"/>
      <c r="BD1440" s="147"/>
      <c r="BE1440" s="147"/>
      <c r="BF1440" s="147"/>
      <c r="BG1440" s="147"/>
      <c r="BH1440" s="147"/>
      <c r="BI1440" s="147"/>
      <c r="BJ1440" s="147"/>
      <c r="BK1440" s="147"/>
      <c r="BL1440" s="147"/>
      <c r="BM1440" s="147"/>
      <c r="BN1440" s="147"/>
      <c r="BO1440" s="147"/>
      <c r="BP1440" s="147"/>
      <c r="BQ1440" s="147"/>
      <c r="BR1440" s="147"/>
      <c r="BS1440" s="147"/>
      <c r="BT1440" s="147"/>
      <c r="BU1440" s="147"/>
      <c r="BV1440" s="147"/>
      <c r="BW1440" s="147"/>
      <c r="BX1440" s="147"/>
      <c r="BY1440" s="147"/>
      <c r="BZ1440" s="147"/>
      <c r="CA1440" s="147"/>
      <c r="CB1440" s="147"/>
      <c r="CC1440" s="147"/>
      <c r="CD1440" s="147"/>
      <c r="CE1440" s="147"/>
      <c r="CF1440" s="147"/>
      <c r="CG1440" s="147"/>
      <c r="CH1440" s="147"/>
      <c r="CI1440" s="147"/>
      <c r="CJ1440" s="147"/>
      <c r="CK1440" s="147"/>
    </row>
    <row r="1441" spans="1:89">
      <c r="A1441" s="157"/>
      <c r="F1441" s="3"/>
      <c r="G1441" s="3"/>
      <c r="L1441" s="157"/>
      <c r="M1441" s="157"/>
      <c r="O1441" s="147"/>
      <c r="P1441" s="147"/>
      <c r="Q1441" s="147"/>
      <c r="R1441" s="147"/>
      <c r="S1441" s="147"/>
      <c r="T1441" s="147"/>
      <c r="U1441" s="147"/>
      <c r="V1441" s="147"/>
      <c r="W1441" s="147"/>
      <c r="X1441" s="147"/>
      <c r="Y1441" s="147"/>
      <c r="Z1441" s="147"/>
      <c r="AA1441" s="147"/>
      <c r="AB1441" s="147"/>
      <c r="AC1441" s="147"/>
      <c r="AD1441" s="147"/>
      <c r="AE1441" s="147"/>
      <c r="AF1441" s="147"/>
      <c r="AG1441" s="147"/>
      <c r="AH1441" s="147"/>
      <c r="AI1441" s="147"/>
      <c r="AJ1441" s="147"/>
      <c r="AK1441" s="147"/>
      <c r="AL1441" s="147"/>
      <c r="AM1441" s="151"/>
      <c r="AN1441" s="147"/>
      <c r="AO1441" s="147"/>
      <c r="AP1441" s="147"/>
      <c r="AQ1441" s="147"/>
      <c r="AR1441" s="147"/>
      <c r="AS1441" s="147"/>
      <c r="AT1441" s="147"/>
      <c r="AU1441" s="147"/>
      <c r="AV1441" s="147"/>
      <c r="AW1441" s="147"/>
      <c r="AX1441" s="147"/>
      <c r="AY1441" s="147"/>
      <c r="AZ1441" s="147"/>
      <c r="BA1441" s="147"/>
      <c r="BB1441" s="147"/>
      <c r="BC1441" s="147"/>
      <c r="BD1441" s="147"/>
      <c r="BE1441" s="147"/>
      <c r="BF1441" s="147"/>
      <c r="BG1441" s="147"/>
      <c r="BH1441" s="147"/>
      <c r="BI1441" s="147"/>
      <c r="BJ1441" s="147"/>
      <c r="BK1441" s="147"/>
      <c r="BL1441" s="147"/>
      <c r="BM1441" s="147"/>
      <c r="BN1441" s="147"/>
      <c r="BO1441" s="147"/>
      <c r="BP1441" s="147"/>
      <c r="BQ1441" s="147"/>
      <c r="BR1441" s="147"/>
      <c r="BS1441" s="147"/>
      <c r="BT1441" s="147"/>
      <c r="BU1441" s="147"/>
      <c r="BV1441" s="147"/>
      <c r="BW1441" s="147"/>
      <c r="BX1441" s="147"/>
      <c r="BY1441" s="147"/>
      <c r="BZ1441" s="147"/>
      <c r="CA1441" s="147"/>
      <c r="CB1441" s="147"/>
      <c r="CC1441" s="147"/>
      <c r="CD1441" s="147"/>
      <c r="CE1441" s="147"/>
      <c r="CF1441" s="147"/>
      <c r="CG1441" s="147"/>
      <c r="CH1441" s="147"/>
      <c r="CI1441" s="147"/>
      <c r="CJ1441" s="147"/>
      <c r="CK1441" s="147"/>
    </row>
    <row r="1442" spans="1:89">
      <c r="A1442" s="157"/>
      <c r="F1442" s="3"/>
      <c r="G1442" s="3"/>
      <c r="L1442" s="157"/>
      <c r="M1442" s="157"/>
      <c r="O1442" s="147"/>
      <c r="P1442" s="147"/>
      <c r="Q1442" s="147"/>
      <c r="R1442" s="147"/>
      <c r="S1442" s="147"/>
      <c r="T1442" s="147"/>
      <c r="U1442" s="147"/>
      <c r="V1442" s="147"/>
      <c r="W1442" s="147"/>
      <c r="X1442" s="147"/>
      <c r="Y1442" s="147"/>
      <c r="Z1442" s="147"/>
      <c r="AA1442" s="147"/>
      <c r="AB1442" s="147"/>
      <c r="AC1442" s="147"/>
      <c r="AD1442" s="147"/>
      <c r="AE1442" s="147"/>
      <c r="AF1442" s="147"/>
      <c r="AG1442" s="147"/>
      <c r="AH1442" s="147"/>
      <c r="AI1442" s="147"/>
      <c r="AJ1442" s="147"/>
      <c r="AK1442" s="147"/>
      <c r="AL1442" s="147"/>
      <c r="AM1442" s="151"/>
      <c r="AN1442" s="147"/>
      <c r="AO1442" s="147"/>
      <c r="AP1442" s="147"/>
      <c r="AQ1442" s="147"/>
      <c r="AR1442" s="147"/>
      <c r="AS1442" s="147"/>
      <c r="AT1442" s="147"/>
      <c r="AU1442" s="147"/>
      <c r="AV1442" s="147"/>
      <c r="AW1442" s="147"/>
      <c r="AX1442" s="147"/>
      <c r="AY1442" s="147"/>
      <c r="AZ1442" s="147"/>
      <c r="BA1442" s="147"/>
      <c r="BB1442" s="147"/>
      <c r="BC1442" s="147"/>
      <c r="BD1442" s="147"/>
      <c r="BE1442" s="147"/>
      <c r="BF1442" s="147"/>
      <c r="BG1442" s="147"/>
      <c r="BH1442" s="147"/>
      <c r="BI1442" s="147"/>
      <c r="BJ1442" s="147"/>
      <c r="BK1442" s="147"/>
      <c r="BL1442" s="147"/>
      <c r="BM1442" s="147"/>
      <c r="BN1442" s="147"/>
      <c r="BO1442" s="147"/>
      <c r="BP1442" s="147"/>
      <c r="BQ1442" s="147"/>
      <c r="BR1442" s="147"/>
      <c r="BS1442" s="147"/>
      <c r="BT1442" s="147"/>
      <c r="BU1442" s="147"/>
      <c r="BV1442" s="147"/>
      <c r="BW1442" s="147"/>
      <c r="BX1442" s="147"/>
      <c r="BY1442" s="147"/>
      <c r="BZ1442" s="147"/>
      <c r="CA1442" s="147"/>
      <c r="CB1442" s="147"/>
      <c r="CC1442" s="147"/>
      <c r="CD1442" s="147"/>
      <c r="CE1442" s="147"/>
      <c r="CF1442" s="147"/>
      <c r="CG1442" s="147"/>
      <c r="CH1442" s="147"/>
      <c r="CI1442" s="147"/>
      <c r="CJ1442" s="147"/>
      <c r="CK1442" s="147"/>
    </row>
    <row r="1443" spans="1:89">
      <c r="A1443" s="157"/>
      <c r="F1443" s="3"/>
      <c r="G1443" s="3"/>
      <c r="L1443" s="157"/>
      <c r="M1443" s="157"/>
      <c r="O1443" s="147"/>
      <c r="P1443" s="147"/>
      <c r="Q1443" s="147"/>
      <c r="R1443" s="147"/>
      <c r="S1443" s="147"/>
      <c r="T1443" s="147"/>
      <c r="U1443" s="147"/>
      <c r="V1443" s="147"/>
      <c r="W1443" s="147"/>
      <c r="X1443" s="147"/>
      <c r="Y1443" s="147"/>
      <c r="Z1443" s="147"/>
      <c r="AA1443" s="147"/>
      <c r="AB1443" s="147"/>
      <c r="AC1443" s="147"/>
      <c r="AD1443" s="147"/>
      <c r="AE1443" s="147"/>
      <c r="AF1443" s="147"/>
      <c r="AG1443" s="147"/>
      <c r="AH1443" s="147"/>
      <c r="AI1443" s="147"/>
      <c r="AJ1443" s="147"/>
      <c r="AK1443" s="147"/>
      <c r="AL1443" s="147"/>
      <c r="AM1443" s="151"/>
      <c r="AN1443" s="147"/>
      <c r="AO1443" s="147"/>
      <c r="AP1443" s="147"/>
      <c r="AQ1443" s="147"/>
      <c r="AR1443" s="147"/>
      <c r="AS1443" s="147"/>
      <c r="AT1443" s="147"/>
      <c r="AU1443" s="147"/>
      <c r="AV1443" s="147"/>
      <c r="AW1443" s="147"/>
      <c r="AX1443" s="147"/>
      <c r="AY1443" s="147"/>
      <c r="AZ1443" s="147"/>
      <c r="BA1443" s="147"/>
      <c r="BB1443" s="147"/>
      <c r="BC1443" s="147"/>
      <c r="BD1443" s="147"/>
      <c r="BE1443" s="147"/>
      <c r="BF1443" s="147"/>
      <c r="BG1443" s="147"/>
      <c r="BH1443" s="147"/>
      <c r="BI1443" s="147"/>
      <c r="BJ1443" s="147"/>
      <c r="BK1443" s="147"/>
      <c r="BL1443" s="147"/>
      <c r="BM1443" s="147"/>
      <c r="BN1443" s="147"/>
      <c r="BO1443" s="147"/>
      <c r="BP1443" s="147"/>
      <c r="BQ1443" s="147"/>
      <c r="BR1443" s="147"/>
      <c r="BS1443" s="147"/>
      <c r="BT1443" s="147"/>
      <c r="BU1443" s="147"/>
      <c r="BV1443" s="147"/>
      <c r="BW1443" s="147"/>
      <c r="BX1443" s="147"/>
      <c r="BY1443" s="147"/>
      <c r="BZ1443" s="147"/>
      <c r="CA1443" s="147"/>
      <c r="CB1443" s="147"/>
      <c r="CC1443" s="147"/>
      <c r="CD1443" s="147"/>
      <c r="CE1443" s="147"/>
      <c r="CF1443" s="147"/>
      <c r="CG1443" s="147"/>
      <c r="CH1443" s="147"/>
      <c r="CI1443" s="147"/>
      <c r="CJ1443" s="147"/>
      <c r="CK1443" s="147"/>
    </row>
    <row r="1444" spans="1:89">
      <c r="A1444" s="157"/>
      <c r="F1444" s="3"/>
      <c r="G1444" s="3"/>
      <c r="L1444" s="157"/>
      <c r="M1444" s="157"/>
      <c r="O1444" s="147"/>
      <c r="P1444" s="147"/>
      <c r="Q1444" s="147"/>
      <c r="R1444" s="147"/>
      <c r="S1444" s="147"/>
      <c r="T1444" s="147"/>
      <c r="U1444" s="147"/>
      <c r="V1444" s="147"/>
      <c r="W1444" s="147"/>
      <c r="X1444" s="147"/>
      <c r="Y1444" s="147"/>
      <c r="Z1444" s="147"/>
      <c r="AA1444" s="147"/>
      <c r="AB1444" s="147"/>
      <c r="AC1444" s="147"/>
      <c r="AD1444" s="147"/>
      <c r="AE1444" s="147"/>
      <c r="AF1444" s="147"/>
      <c r="AG1444" s="147"/>
      <c r="AH1444" s="147"/>
      <c r="AI1444" s="147"/>
      <c r="AJ1444" s="147"/>
      <c r="AK1444" s="147"/>
      <c r="AL1444" s="147"/>
      <c r="AM1444" s="151"/>
      <c r="AN1444" s="147"/>
      <c r="AO1444" s="147"/>
      <c r="AP1444" s="147"/>
      <c r="AQ1444" s="147"/>
      <c r="AR1444" s="147"/>
      <c r="AS1444" s="147"/>
      <c r="AT1444" s="147"/>
      <c r="AU1444" s="147"/>
      <c r="AV1444" s="147"/>
      <c r="AW1444" s="147"/>
      <c r="AX1444" s="147"/>
      <c r="AY1444" s="147"/>
      <c r="AZ1444" s="147"/>
      <c r="BA1444" s="147"/>
      <c r="BB1444" s="147"/>
      <c r="BC1444" s="147"/>
      <c r="BD1444" s="147"/>
      <c r="BE1444" s="147"/>
      <c r="BF1444" s="147"/>
      <c r="BG1444" s="147"/>
      <c r="BH1444" s="147"/>
      <c r="BI1444" s="147"/>
      <c r="BJ1444" s="147"/>
      <c r="BK1444" s="147"/>
      <c r="BL1444" s="147"/>
      <c r="BM1444" s="147"/>
      <c r="BN1444" s="147"/>
      <c r="BO1444" s="147"/>
      <c r="BP1444" s="147"/>
      <c r="BQ1444" s="147"/>
      <c r="BR1444" s="147"/>
      <c r="BS1444" s="147"/>
      <c r="BT1444" s="147"/>
      <c r="BU1444" s="147"/>
      <c r="BV1444" s="147"/>
      <c r="BW1444" s="147"/>
      <c r="BX1444" s="147"/>
      <c r="BY1444" s="147"/>
      <c r="BZ1444" s="147"/>
      <c r="CA1444" s="147"/>
      <c r="CB1444" s="147"/>
      <c r="CC1444" s="147"/>
      <c r="CD1444" s="147"/>
      <c r="CE1444" s="147"/>
      <c r="CF1444" s="147"/>
      <c r="CG1444" s="147"/>
      <c r="CH1444" s="147"/>
      <c r="CI1444" s="147"/>
      <c r="CJ1444" s="147"/>
      <c r="CK1444" s="147"/>
    </row>
    <row r="1445" spans="1:89">
      <c r="A1445" s="157"/>
      <c r="F1445" s="3"/>
      <c r="G1445" s="3"/>
      <c r="L1445" s="157"/>
      <c r="M1445" s="157"/>
      <c r="O1445" s="147"/>
      <c r="P1445" s="147"/>
      <c r="Q1445" s="147"/>
      <c r="R1445" s="147"/>
      <c r="S1445" s="147"/>
      <c r="T1445" s="147"/>
      <c r="U1445" s="147"/>
      <c r="V1445" s="147"/>
      <c r="W1445" s="147"/>
      <c r="X1445" s="147"/>
      <c r="Y1445" s="147"/>
      <c r="Z1445" s="147"/>
      <c r="AA1445" s="147"/>
      <c r="AB1445" s="147"/>
      <c r="AC1445" s="147"/>
      <c r="AD1445" s="147"/>
      <c r="AE1445" s="147"/>
      <c r="AF1445" s="147"/>
      <c r="AG1445" s="147"/>
      <c r="AH1445" s="147"/>
      <c r="AI1445" s="147"/>
      <c r="AJ1445" s="147"/>
      <c r="AK1445" s="147"/>
      <c r="AL1445" s="147"/>
      <c r="AM1445" s="151"/>
      <c r="AN1445" s="147"/>
      <c r="AO1445" s="147"/>
      <c r="AP1445" s="147"/>
      <c r="AQ1445" s="147"/>
      <c r="AR1445" s="147"/>
      <c r="AS1445" s="147"/>
      <c r="AT1445" s="147"/>
      <c r="AU1445" s="147"/>
      <c r="AV1445" s="147"/>
      <c r="AW1445" s="147"/>
      <c r="AX1445" s="147"/>
      <c r="AY1445" s="147"/>
      <c r="AZ1445" s="147"/>
      <c r="BA1445" s="147"/>
      <c r="BB1445" s="147"/>
      <c r="BC1445" s="147"/>
      <c r="BD1445" s="147"/>
      <c r="BE1445" s="147"/>
      <c r="BF1445" s="147"/>
      <c r="BG1445" s="147"/>
      <c r="BH1445" s="147"/>
      <c r="BI1445" s="147"/>
      <c r="BJ1445" s="147"/>
      <c r="BK1445" s="147"/>
      <c r="BL1445" s="147"/>
      <c r="BM1445" s="147"/>
      <c r="BN1445" s="147"/>
      <c r="BO1445" s="147"/>
      <c r="BP1445" s="147"/>
      <c r="BQ1445" s="147"/>
      <c r="BR1445" s="147"/>
      <c r="BS1445" s="147"/>
      <c r="BT1445" s="147"/>
      <c r="BU1445" s="147"/>
      <c r="BV1445" s="147"/>
      <c r="BW1445" s="147"/>
      <c r="BX1445" s="147"/>
      <c r="BY1445" s="147"/>
      <c r="BZ1445" s="147"/>
      <c r="CA1445" s="147"/>
      <c r="CB1445" s="147"/>
      <c r="CC1445" s="147"/>
      <c r="CD1445" s="147"/>
      <c r="CE1445" s="147"/>
      <c r="CF1445" s="147"/>
      <c r="CG1445" s="147"/>
      <c r="CH1445" s="147"/>
      <c r="CI1445" s="147"/>
      <c r="CJ1445" s="147"/>
      <c r="CK1445" s="147"/>
    </row>
    <row r="1446" spans="1:89">
      <c r="A1446" s="157"/>
      <c r="F1446" s="3"/>
      <c r="G1446" s="3"/>
      <c r="L1446" s="157"/>
      <c r="M1446" s="157"/>
      <c r="O1446" s="147"/>
      <c r="P1446" s="147"/>
      <c r="Q1446" s="147"/>
      <c r="R1446" s="147"/>
      <c r="S1446" s="147"/>
      <c r="T1446" s="147"/>
      <c r="U1446" s="147"/>
      <c r="V1446" s="147"/>
      <c r="W1446" s="147"/>
      <c r="X1446" s="147"/>
      <c r="Y1446" s="147"/>
      <c r="Z1446" s="147"/>
      <c r="AA1446" s="147"/>
      <c r="AB1446" s="147"/>
      <c r="AC1446" s="147"/>
      <c r="AD1446" s="147"/>
      <c r="AE1446" s="147"/>
      <c r="AF1446" s="147"/>
      <c r="AG1446" s="147"/>
      <c r="AH1446" s="147"/>
      <c r="AI1446" s="147"/>
      <c r="AJ1446" s="147"/>
      <c r="AK1446" s="147"/>
      <c r="AL1446" s="147"/>
      <c r="AM1446" s="151"/>
      <c r="AN1446" s="147"/>
      <c r="AO1446" s="147"/>
      <c r="AP1446" s="147"/>
      <c r="AQ1446" s="147"/>
      <c r="AR1446" s="147"/>
      <c r="AS1446" s="147"/>
      <c r="AT1446" s="147"/>
      <c r="AU1446" s="147"/>
      <c r="AV1446" s="147"/>
      <c r="AW1446" s="147"/>
      <c r="AX1446" s="147"/>
      <c r="AY1446" s="147"/>
      <c r="AZ1446" s="147"/>
      <c r="BA1446" s="147"/>
      <c r="BB1446" s="147"/>
      <c r="BC1446" s="147"/>
      <c r="BD1446" s="147"/>
      <c r="BE1446" s="147"/>
      <c r="BF1446" s="147"/>
      <c r="BG1446" s="147"/>
      <c r="BH1446" s="147"/>
      <c r="BI1446" s="147"/>
      <c r="BJ1446" s="147"/>
      <c r="BK1446" s="147"/>
      <c r="BL1446" s="147"/>
      <c r="BM1446" s="147"/>
      <c r="BN1446" s="147"/>
      <c r="BO1446" s="147"/>
      <c r="BP1446" s="147"/>
      <c r="BQ1446" s="147"/>
      <c r="BR1446" s="147"/>
      <c r="BS1446" s="147"/>
      <c r="BT1446" s="147"/>
      <c r="BU1446" s="147"/>
      <c r="BV1446" s="147"/>
      <c r="BW1446" s="147"/>
      <c r="BX1446" s="147"/>
      <c r="BY1446" s="147"/>
      <c r="BZ1446" s="147"/>
      <c r="CA1446" s="147"/>
      <c r="CB1446" s="147"/>
      <c r="CC1446" s="147"/>
      <c r="CD1446" s="147"/>
      <c r="CE1446" s="147"/>
      <c r="CF1446" s="147"/>
      <c r="CG1446" s="147"/>
      <c r="CH1446" s="147"/>
      <c r="CI1446" s="147"/>
      <c r="CJ1446" s="147"/>
      <c r="CK1446" s="147"/>
    </row>
    <row r="1447" spans="1:89">
      <c r="A1447" s="157"/>
      <c r="F1447" s="3"/>
      <c r="G1447" s="3"/>
      <c r="L1447" s="157"/>
      <c r="M1447" s="157"/>
      <c r="O1447" s="147"/>
      <c r="P1447" s="147"/>
      <c r="Q1447" s="147"/>
      <c r="R1447" s="147"/>
      <c r="S1447" s="147"/>
      <c r="T1447" s="147"/>
      <c r="U1447" s="147"/>
      <c r="V1447" s="147"/>
      <c r="W1447" s="147"/>
      <c r="X1447" s="147"/>
      <c r="Y1447" s="147"/>
      <c r="Z1447" s="147"/>
      <c r="AA1447" s="147"/>
      <c r="AB1447" s="147"/>
      <c r="AC1447" s="147"/>
      <c r="AD1447" s="147"/>
      <c r="AE1447" s="147"/>
      <c r="AF1447" s="147"/>
      <c r="AG1447" s="147"/>
      <c r="AH1447" s="147"/>
      <c r="AI1447" s="147"/>
      <c r="AJ1447" s="147"/>
      <c r="AK1447" s="147"/>
      <c r="AL1447" s="147"/>
      <c r="AM1447" s="151"/>
      <c r="AN1447" s="147"/>
      <c r="AO1447" s="147"/>
      <c r="AP1447" s="147"/>
      <c r="AQ1447" s="147"/>
      <c r="AR1447" s="147"/>
      <c r="AS1447" s="147"/>
      <c r="AT1447" s="147"/>
      <c r="AU1447" s="147"/>
      <c r="AV1447" s="147"/>
      <c r="AW1447" s="147"/>
      <c r="AX1447" s="147"/>
      <c r="AY1447" s="147"/>
      <c r="AZ1447" s="147"/>
      <c r="BA1447" s="147"/>
      <c r="BB1447" s="147"/>
      <c r="BC1447" s="147"/>
      <c r="BD1447" s="147"/>
      <c r="BE1447" s="147"/>
      <c r="BF1447" s="147"/>
      <c r="BG1447" s="147"/>
      <c r="BH1447" s="147"/>
      <c r="BI1447" s="147"/>
      <c r="BJ1447" s="147"/>
      <c r="BK1447" s="147"/>
      <c r="BL1447" s="147"/>
      <c r="BM1447" s="147"/>
      <c r="BN1447" s="147"/>
      <c r="BO1447" s="147"/>
      <c r="BP1447" s="147"/>
      <c r="BQ1447" s="147"/>
      <c r="BR1447" s="147"/>
      <c r="BS1447" s="147"/>
      <c r="BT1447" s="147"/>
      <c r="BU1447" s="147"/>
      <c r="BV1447" s="147"/>
      <c r="BW1447" s="147"/>
      <c r="BX1447" s="147"/>
      <c r="BY1447" s="147"/>
      <c r="BZ1447" s="147"/>
      <c r="CA1447" s="147"/>
      <c r="CB1447" s="147"/>
      <c r="CC1447" s="147"/>
      <c r="CD1447" s="147"/>
      <c r="CE1447" s="147"/>
      <c r="CF1447" s="147"/>
      <c r="CG1447" s="147"/>
      <c r="CH1447" s="147"/>
      <c r="CI1447" s="147"/>
      <c r="CJ1447" s="147"/>
      <c r="CK1447" s="147"/>
    </row>
    <row r="1448" spans="1:89">
      <c r="A1448" s="157"/>
      <c r="F1448" s="3"/>
      <c r="G1448" s="3"/>
      <c r="L1448" s="157"/>
      <c r="M1448" s="157"/>
      <c r="O1448" s="147"/>
      <c r="P1448" s="147"/>
      <c r="Q1448" s="147"/>
      <c r="R1448" s="147"/>
      <c r="S1448" s="147"/>
      <c r="T1448" s="147"/>
      <c r="U1448" s="147"/>
      <c r="V1448" s="147"/>
      <c r="W1448" s="147"/>
      <c r="X1448" s="147"/>
      <c r="Y1448" s="147"/>
      <c r="Z1448" s="147"/>
      <c r="AA1448" s="147"/>
      <c r="AB1448" s="147"/>
      <c r="AC1448" s="147"/>
      <c r="AD1448" s="147"/>
      <c r="AE1448" s="147"/>
      <c r="AF1448" s="147"/>
      <c r="AG1448" s="147"/>
      <c r="AH1448" s="147"/>
      <c r="AI1448" s="147"/>
      <c r="AJ1448" s="147"/>
      <c r="AK1448" s="147"/>
      <c r="AL1448" s="147"/>
      <c r="AM1448" s="151"/>
      <c r="AN1448" s="147"/>
      <c r="AO1448" s="147"/>
      <c r="AP1448" s="147"/>
      <c r="AQ1448" s="147"/>
      <c r="AR1448" s="147"/>
      <c r="AS1448" s="147"/>
      <c r="AT1448" s="147"/>
      <c r="AU1448" s="147"/>
      <c r="AV1448" s="147"/>
      <c r="AW1448" s="147"/>
      <c r="AX1448" s="147"/>
      <c r="AY1448" s="147"/>
      <c r="AZ1448" s="147"/>
      <c r="BA1448" s="147"/>
      <c r="BB1448" s="147"/>
      <c r="BC1448" s="147"/>
      <c r="BD1448" s="147"/>
      <c r="BE1448" s="147"/>
      <c r="BF1448" s="147"/>
      <c r="BG1448" s="147"/>
      <c r="BH1448" s="147"/>
      <c r="BI1448" s="147"/>
      <c r="BJ1448" s="147"/>
      <c r="BK1448" s="147"/>
      <c r="BL1448" s="147"/>
      <c r="BM1448" s="147"/>
      <c r="BN1448" s="147"/>
      <c r="BO1448" s="147"/>
      <c r="BP1448" s="147"/>
      <c r="BQ1448" s="147"/>
      <c r="BR1448" s="147"/>
      <c r="BS1448" s="147"/>
      <c r="BT1448" s="147"/>
      <c r="BU1448" s="147"/>
      <c r="BV1448" s="147"/>
      <c r="BW1448" s="147"/>
      <c r="BX1448" s="147"/>
      <c r="BY1448" s="147"/>
      <c r="BZ1448" s="147"/>
      <c r="CA1448" s="147"/>
      <c r="CB1448" s="147"/>
      <c r="CC1448" s="147"/>
      <c r="CD1448" s="147"/>
      <c r="CE1448" s="147"/>
      <c r="CF1448" s="147"/>
      <c r="CG1448" s="147"/>
      <c r="CH1448" s="147"/>
      <c r="CI1448" s="147"/>
      <c r="CJ1448" s="147"/>
      <c r="CK1448" s="147"/>
    </row>
    <row r="1449" spans="1:89">
      <c r="A1449" s="157"/>
      <c r="F1449" s="3"/>
      <c r="G1449" s="3"/>
      <c r="L1449" s="157"/>
      <c r="M1449" s="157"/>
      <c r="O1449" s="147"/>
      <c r="P1449" s="147"/>
      <c r="Q1449" s="147"/>
      <c r="R1449" s="147"/>
      <c r="S1449" s="147"/>
      <c r="T1449" s="147"/>
      <c r="U1449" s="147"/>
      <c r="V1449" s="147"/>
      <c r="W1449" s="147"/>
      <c r="X1449" s="147"/>
      <c r="Y1449" s="147"/>
      <c r="Z1449" s="147"/>
      <c r="AA1449" s="147"/>
      <c r="AB1449" s="147"/>
      <c r="AC1449" s="147"/>
      <c r="AD1449" s="147"/>
      <c r="AE1449" s="147"/>
      <c r="AF1449" s="147"/>
      <c r="AG1449" s="147"/>
      <c r="AH1449" s="147"/>
      <c r="AI1449" s="147"/>
      <c r="AJ1449" s="147"/>
      <c r="AK1449" s="147"/>
      <c r="AL1449" s="147"/>
      <c r="AM1449" s="151"/>
      <c r="AN1449" s="147"/>
      <c r="AO1449" s="147"/>
      <c r="AP1449" s="147"/>
      <c r="AQ1449" s="147"/>
      <c r="AR1449" s="147"/>
      <c r="AS1449" s="147"/>
      <c r="AT1449" s="147"/>
      <c r="AU1449" s="147"/>
      <c r="AV1449" s="147"/>
      <c r="AW1449" s="147"/>
      <c r="AX1449" s="147"/>
      <c r="AY1449" s="147"/>
      <c r="AZ1449" s="147"/>
      <c r="BA1449" s="147"/>
      <c r="BB1449" s="147"/>
      <c r="BC1449" s="147"/>
      <c r="BD1449" s="147"/>
      <c r="BE1449" s="147"/>
      <c r="BF1449" s="147"/>
      <c r="BG1449" s="147"/>
      <c r="BH1449" s="147"/>
      <c r="BI1449" s="147"/>
      <c r="BJ1449" s="147"/>
      <c r="BK1449" s="147"/>
      <c r="BL1449" s="147"/>
      <c r="BM1449" s="147"/>
      <c r="BN1449" s="147"/>
      <c r="BO1449" s="147"/>
      <c r="BP1449" s="147"/>
      <c r="BQ1449" s="147"/>
      <c r="BR1449" s="147"/>
      <c r="BS1449" s="147"/>
      <c r="BT1449" s="147"/>
      <c r="BU1449" s="147"/>
      <c r="BV1449" s="147"/>
      <c r="BW1449" s="147"/>
      <c r="BX1449" s="147"/>
      <c r="BY1449" s="147"/>
      <c r="BZ1449" s="147"/>
      <c r="CA1449" s="147"/>
      <c r="CB1449" s="147"/>
      <c r="CC1449" s="147"/>
      <c r="CD1449" s="147"/>
      <c r="CE1449" s="147"/>
      <c r="CF1449" s="147"/>
      <c r="CG1449" s="147"/>
      <c r="CH1449" s="147"/>
      <c r="CI1449" s="147"/>
      <c r="CJ1449" s="147"/>
      <c r="CK1449" s="147"/>
    </row>
    <row r="1450" spans="1:89">
      <c r="A1450" s="157"/>
      <c r="F1450" s="3"/>
      <c r="G1450" s="3"/>
      <c r="L1450" s="157"/>
      <c r="M1450" s="157"/>
      <c r="O1450" s="147"/>
      <c r="P1450" s="147"/>
      <c r="Q1450" s="147"/>
      <c r="R1450" s="147"/>
      <c r="S1450" s="147"/>
      <c r="T1450" s="147"/>
      <c r="U1450" s="147"/>
      <c r="V1450" s="147"/>
      <c r="W1450" s="147"/>
      <c r="X1450" s="147"/>
      <c r="Y1450" s="147"/>
      <c r="Z1450" s="147"/>
      <c r="AA1450" s="147"/>
      <c r="AB1450" s="147"/>
      <c r="AC1450" s="147"/>
      <c r="AD1450" s="147"/>
      <c r="AE1450" s="147"/>
      <c r="AF1450" s="147"/>
      <c r="AG1450" s="147"/>
      <c r="AH1450" s="147"/>
      <c r="AI1450" s="147"/>
      <c r="AJ1450" s="147"/>
      <c r="AK1450" s="147"/>
      <c r="AL1450" s="147"/>
      <c r="AM1450" s="151"/>
      <c r="AN1450" s="147"/>
      <c r="AO1450" s="147"/>
      <c r="AP1450" s="147"/>
      <c r="AQ1450" s="147"/>
      <c r="AR1450" s="147"/>
      <c r="AS1450" s="147"/>
      <c r="AT1450" s="147"/>
      <c r="AU1450" s="147"/>
      <c r="AV1450" s="147"/>
      <c r="AW1450" s="147"/>
      <c r="AX1450" s="147"/>
      <c r="AY1450" s="147"/>
      <c r="AZ1450" s="147"/>
      <c r="BA1450" s="147"/>
      <c r="BB1450" s="147"/>
      <c r="BC1450" s="147"/>
      <c r="BD1450" s="147"/>
      <c r="BE1450" s="147"/>
      <c r="BF1450" s="147"/>
      <c r="BG1450" s="147"/>
      <c r="BH1450" s="147"/>
      <c r="BI1450" s="147"/>
      <c r="BJ1450" s="147"/>
      <c r="BK1450" s="147"/>
      <c r="BL1450" s="147"/>
      <c r="BM1450" s="147"/>
      <c r="BN1450" s="147"/>
      <c r="BO1450" s="147"/>
      <c r="BP1450" s="147"/>
      <c r="BQ1450" s="147"/>
      <c r="BR1450" s="147"/>
      <c r="BS1450" s="147"/>
      <c r="BT1450" s="147"/>
      <c r="BU1450" s="147"/>
      <c r="BV1450" s="147"/>
      <c r="BW1450" s="147"/>
      <c r="BX1450" s="147"/>
      <c r="BY1450" s="147"/>
      <c r="BZ1450" s="147"/>
      <c r="CA1450" s="147"/>
      <c r="CB1450" s="147"/>
      <c r="CC1450" s="147"/>
      <c r="CD1450" s="147"/>
      <c r="CE1450" s="147"/>
      <c r="CF1450" s="147"/>
      <c r="CG1450" s="147"/>
      <c r="CH1450" s="147"/>
      <c r="CI1450" s="147"/>
      <c r="CJ1450" s="147"/>
      <c r="CK1450" s="147"/>
    </row>
    <row r="1451" spans="1:89">
      <c r="A1451" s="157"/>
      <c r="F1451" s="3"/>
      <c r="G1451" s="3"/>
      <c r="L1451" s="157"/>
      <c r="M1451" s="157"/>
      <c r="O1451" s="147"/>
      <c r="P1451" s="147"/>
      <c r="Q1451" s="147"/>
      <c r="R1451" s="147"/>
      <c r="S1451" s="147"/>
      <c r="T1451" s="147"/>
      <c r="U1451" s="147"/>
      <c r="V1451" s="147"/>
      <c r="W1451" s="147"/>
      <c r="X1451" s="147"/>
      <c r="Y1451" s="147"/>
      <c r="Z1451" s="147"/>
      <c r="AA1451" s="147"/>
      <c r="AB1451" s="147"/>
      <c r="AC1451" s="147"/>
      <c r="AD1451" s="147"/>
      <c r="AE1451" s="147"/>
      <c r="AF1451" s="147"/>
      <c r="AG1451" s="147"/>
      <c r="AH1451" s="147"/>
      <c r="AI1451" s="147"/>
      <c r="AJ1451" s="147"/>
      <c r="AK1451" s="147"/>
      <c r="AL1451" s="147"/>
      <c r="AM1451" s="151"/>
      <c r="AN1451" s="147"/>
      <c r="AO1451" s="147"/>
      <c r="AP1451" s="147"/>
      <c r="AQ1451" s="147"/>
      <c r="AR1451" s="147"/>
      <c r="AS1451" s="147"/>
      <c r="AT1451" s="147"/>
      <c r="AU1451" s="147"/>
      <c r="AV1451" s="147"/>
      <c r="AW1451" s="147"/>
      <c r="AX1451" s="147"/>
      <c r="AY1451" s="147"/>
      <c r="AZ1451" s="147"/>
      <c r="BA1451" s="147"/>
      <c r="BB1451" s="147"/>
      <c r="BC1451" s="147"/>
      <c r="BD1451" s="147"/>
      <c r="BE1451" s="147"/>
      <c r="BF1451" s="147"/>
      <c r="BG1451" s="147"/>
      <c r="BH1451" s="147"/>
      <c r="BI1451" s="147"/>
      <c r="BJ1451" s="147"/>
      <c r="BK1451" s="147"/>
      <c r="BL1451" s="147"/>
      <c r="BM1451" s="147"/>
      <c r="BN1451" s="147"/>
      <c r="BO1451" s="147"/>
      <c r="BP1451" s="147"/>
      <c r="BQ1451" s="147"/>
      <c r="BR1451" s="147"/>
      <c r="BS1451" s="147"/>
      <c r="BT1451" s="147"/>
      <c r="BU1451" s="147"/>
      <c r="BV1451" s="147"/>
      <c r="BW1451" s="147"/>
      <c r="BX1451" s="147"/>
      <c r="BY1451" s="147"/>
      <c r="BZ1451" s="147"/>
      <c r="CA1451" s="147"/>
      <c r="CB1451" s="147"/>
      <c r="CC1451" s="147"/>
      <c r="CD1451" s="147"/>
      <c r="CE1451" s="147"/>
      <c r="CF1451" s="147"/>
      <c r="CG1451" s="147"/>
      <c r="CH1451" s="147"/>
      <c r="CI1451" s="147"/>
      <c r="CJ1451" s="147"/>
      <c r="CK1451" s="147"/>
    </row>
    <row r="1452" spans="1:89">
      <c r="A1452" s="157"/>
      <c r="F1452" s="3"/>
      <c r="G1452" s="3"/>
      <c r="L1452" s="157"/>
      <c r="M1452" s="157"/>
      <c r="O1452" s="147"/>
      <c r="P1452" s="147"/>
      <c r="Q1452" s="147"/>
      <c r="R1452" s="147"/>
      <c r="S1452" s="147"/>
      <c r="T1452" s="147"/>
      <c r="U1452" s="147"/>
      <c r="V1452" s="147"/>
      <c r="W1452" s="147"/>
      <c r="X1452" s="147"/>
      <c r="Y1452" s="147"/>
      <c r="Z1452" s="147"/>
      <c r="AA1452" s="147"/>
      <c r="AB1452" s="147"/>
      <c r="AC1452" s="147"/>
      <c r="AD1452" s="147"/>
      <c r="AE1452" s="147"/>
      <c r="AF1452" s="147"/>
      <c r="AG1452" s="147"/>
      <c r="AH1452" s="147"/>
      <c r="AI1452" s="147"/>
      <c r="AJ1452" s="147"/>
      <c r="AK1452" s="147"/>
      <c r="AL1452" s="147"/>
      <c r="AM1452" s="151"/>
      <c r="AN1452" s="147"/>
      <c r="AO1452" s="147"/>
      <c r="AP1452" s="147"/>
      <c r="AQ1452" s="147"/>
      <c r="AR1452" s="147"/>
      <c r="AS1452" s="147"/>
      <c r="AT1452" s="147"/>
      <c r="AU1452" s="147"/>
      <c r="AV1452" s="147"/>
      <c r="AW1452" s="147"/>
      <c r="AX1452" s="147"/>
      <c r="AY1452" s="147"/>
      <c r="AZ1452" s="147"/>
      <c r="BA1452" s="147"/>
      <c r="BB1452" s="147"/>
      <c r="BC1452" s="147"/>
      <c r="BD1452" s="147"/>
      <c r="BE1452" s="147"/>
      <c r="BF1452" s="147"/>
      <c r="BG1452" s="147"/>
      <c r="BH1452" s="147"/>
      <c r="BI1452" s="147"/>
      <c r="BJ1452" s="147"/>
      <c r="BK1452" s="147"/>
      <c r="BL1452" s="147"/>
      <c r="BM1452" s="147"/>
      <c r="BN1452" s="147"/>
      <c r="BO1452" s="147"/>
      <c r="BP1452" s="147"/>
      <c r="BQ1452" s="147"/>
      <c r="BR1452" s="147"/>
      <c r="BS1452" s="147"/>
      <c r="BT1452" s="147"/>
      <c r="BU1452" s="147"/>
      <c r="BV1452" s="147"/>
      <c r="BW1452" s="147"/>
      <c r="BX1452" s="147"/>
      <c r="BY1452" s="147"/>
      <c r="BZ1452" s="147"/>
      <c r="CA1452" s="147"/>
      <c r="CB1452" s="147"/>
      <c r="CC1452" s="147"/>
      <c r="CD1452" s="147"/>
      <c r="CE1452" s="147"/>
      <c r="CF1452" s="147"/>
      <c r="CG1452" s="147"/>
      <c r="CH1452" s="147"/>
      <c r="CI1452" s="147"/>
      <c r="CJ1452" s="147"/>
      <c r="CK1452" s="147"/>
    </row>
    <row r="1453" spans="1:89">
      <c r="A1453" s="157"/>
      <c r="F1453" s="3"/>
      <c r="G1453" s="3"/>
      <c r="L1453" s="157"/>
      <c r="M1453" s="157"/>
      <c r="O1453" s="147"/>
      <c r="P1453" s="147"/>
      <c r="Q1453" s="147"/>
      <c r="R1453" s="147"/>
      <c r="S1453" s="147"/>
      <c r="T1453" s="147"/>
      <c r="U1453" s="147"/>
      <c r="V1453" s="147"/>
      <c r="W1453" s="147"/>
      <c r="X1453" s="147"/>
      <c r="Y1453" s="147"/>
      <c r="Z1453" s="147"/>
      <c r="AA1453" s="147"/>
      <c r="AB1453" s="147"/>
      <c r="AC1453" s="147"/>
      <c r="AD1453" s="147"/>
      <c r="AE1453" s="147"/>
      <c r="AF1453" s="147"/>
      <c r="AG1453" s="147"/>
      <c r="AH1453" s="147"/>
      <c r="AI1453" s="147"/>
      <c r="AJ1453" s="147"/>
      <c r="AK1453" s="147"/>
      <c r="AL1453" s="147"/>
      <c r="AM1453" s="151"/>
      <c r="AN1453" s="147"/>
      <c r="AO1453" s="147"/>
      <c r="AP1453" s="147"/>
      <c r="AQ1453" s="147"/>
      <c r="AR1453" s="147"/>
      <c r="AS1453" s="147"/>
      <c r="AT1453" s="147"/>
      <c r="AU1453" s="147"/>
      <c r="AV1453" s="147"/>
      <c r="AW1453" s="147"/>
      <c r="AX1453" s="147"/>
      <c r="AY1453" s="147"/>
      <c r="AZ1453" s="147"/>
      <c r="BA1453" s="147"/>
      <c r="BB1453" s="147"/>
      <c r="BC1453" s="147"/>
      <c r="BD1453" s="147"/>
      <c r="BE1453" s="147"/>
      <c r="BF1453" s="147"/>
      <c r="BG1453" s="147"/>
      <c r="BH1453" s="147"/>
      <c r="BI1453" s="147"/>
      <c r="BJ1453" s="147"/>
      <c r="BK1453" s="147"/>
      <c r="BL1453" s="147"/>
      <c r="BM1453" s="147"/>
      <c r="BN1453" s="147"/>
      <c r="BO1453" s="147"/>
      <c r="BP1453" s="147"/>
      <c r="BQ1453" s="147"/>
      <c r="BR1453" s="147"/>
      <c r="BS1453" s="147"/>
      <c r="BT1453" s="147"/>
      <c r="BU1453" s="147"/>
      <c r="BV1453" s="147"/>
      <c r="BW1453" s="147"/>
      <c r="BX1453" s="147"/>
      <c r="BY1453" s="147"/>
      <c r="BZ1453" s="147"/>
      <c r="CA1453" s="147"/>
      <c r="CB1453" s="147"/>
      <c r="CC1453" s="147"/>
      <c r="CD1453" s="147"/>
      <c r="CE1453" s="147"/>
      <c r="CF1453" s="147"/>
      <c r="CG1453" s="147"/>
      <c r="CH1453" s="147"/>
      <c r="CI1453" s="147"/>
      <c r="CJ1453" s="147"/>
      <c r="CK1453" s="147"/>
    </row>
    <row r="1454" spans="1:89">
      <c r="A1454" s="157"/>
      <c r="F1454" s="3"/>
      <c r="G1454" s="3"/>
      <c r="L1454" s="157"/>
      <c r="M1454" s="157"/>
      <c r="O1454" s="147"/>
      <c r="P1454" s="147"/>
      <c r="Q1454" s="147"/>
      <c r="R1454" s="147"/>
      <c r="S1454" s="147"/>
      <c r="T1454" s="147"/>
      <c r="U1454" s="147"/>
      <c r="V1454" s="147"/>
      <c r="W1454" s="147"/>
      <c r="X1454" s="147"/>
      <c r="Y1454" s="147"/>
      <c r="Z1454" s="147"/>
      <c r="AA1454" s="147"/>
      <c r="AB1454" s="147"/>
      <c r="AC1454" s="147"/>
      <c r="AD1454" s="147"/>
      <c r="AE1454" s="147"/>
      <c r="AF1454" s="147"/>
      <c r="AG1454" s="147"/>
      <c r="AH1454" s="147"/>
      <c r="AI1454" s="147"/>
      <c r="AJ1454" s="147"/>
      <c r="AK1454" s="147"/>
      <c r="AL1454" s="147"/>
      <c r="AM1454" s="151"/>
      <c r="AN1454" s="147"/>
      <c r="AO1454" s="147"/>
      <c r="AP1454" s="147"/>
      <c r="AQ1454" s="147"/>
      <c r="AR1454" s="147"/>
      <c r="AS1454" s="147"/>
      <c r="AT1454" s="147"/>
      <c r="AU1454" s="147"/>
      <c r="AV1454" s="147"/>
      <c r="AW1454" s="147"/>
      <c r="AX1454" s="147"/>
      <c r="AY1454" s="147"/>
      <c r="AZ1454" s="147"/>
      <c r="BA1454" s="147"/>
      <c r="BB1454" s="147"/>
      <c r="BC1454" s="147"/>
      <c r="BD1454" s="147"/>
      <c r="BE1454" s="147"/>
      <c r="BF1454" s="147"/>
      <c r="BG1454" s="147"/>
      <c r="BH1454" s="147"/>
      <c r="BI1454" s="147"/>
      <c r="BJ1454" s="147"/>
      <c r="BK1454" s="147"/>
      <c r="BL1454" s="147"/>
      <c r="BM1454" s="147"/>
      <c r="BN1454" s="147"/>
      <c r="BO1454" s="147"/>
      <c r="BP1454" s="147"/>
      <c r="BQ1454" s="147"/>
      <c r="BR1454" s="147"/>
      <c r="BS1454" s="147"/>
      <c r="BT1454" s="147"/>
      <c r="BU1454" s="147"/>
      <c r="BV1454" s="147"/>
      <c r="BW1454" s="147"/>
      <c r="BX1454" s="147"/>
      <c r="BY1454" s="147"/>
      <c r="BZ1454" s="147"/>
      <c r="CA1454" s="147"/>
      <c r="CB1454" s="147"/>
      <c r="CC1454" s="147"/>
      <c r="CD1454" s="147"/>
      <c r="CE1454" s="147"/>
      <c r="CF1454" s="147"/>
      <c r="CG1454" s="147"/>
      <c r="CH1454" s="147"/>
      <c r="CI1454" s="147"/>
      <c r="CJ1454" s="147"/>
      <c r="CK1454" s="147"/>
    </row>
    <row r="1455" spans="1:89">
      <c r="A1455" s="157"/>
      <c r="F1455" s="3"/>
      <c r="G1455" s="3"/>
      <c r="L1455" s="157"/>
      <c r="M1455" s="157"/>
      <c r="O1455" s="147"/>
      <c r="P1455" s="147"/>
      <c r="Q1455" s="147"/>
      <c r="R1455" s="147"/>
      <c r="S1455" s="147"/>
      <c r="T1455" s="147"/>
      <c r="U1455" s="147"/>
      <c r="V1455" s="147"/>
      <c r="W1455" s="147"/>
      <c r="X1455" s="147"/>
      <c r="Y1455" s="147"/>
      <c r="Z1455" s="147"/>
      <c r="AA1455" s="147"/>
      <c r="AB1455" s="147"/>
      <c r="AC1455" s="147"/>
      <c r="AD1455" s="147"/>
      <c r="AE1455" s="147"/>
      <c r="AF1455" s="147"/>
      <c r="AG1455" s="147"/>
      <c r="AH1455" s="147"/>
      <c r="AI1455" s="147"/>
      <c r="AJ1455" s="147"/>
      <c r="AK1455" s="147"/>
      <c r="AL1455" s="147"/>
      <c r="AM1455" s="151"/>
      <c r="AN1455" s="147"/>
      <c r="AO1455" s="147"/>
      <c r="AP1455" s="147"/>
      <c r="AQ1455" s="147"/>
      <c r="AR1455" s="147"/>
      <c r="AS1455" s="147"/>
      <c r="AT1455" s="147"/>
      <c r="AU1455" s="147"/>
      <c r="AV1455" s="147"/>
      <c r="AW1455" s="147"/>
      <c r="AX1455" s="147"/>
      <c r="AY1455" s="147"/>
      <c r="AZ1455" s="147"/>
      <c r="BA1455" s="147"/>
      <c r="BB1455" s="147"/>
      <c r="BC1455" s="147"/>
      <c r="BD1455" s="147"/>
      <c r="BE1455" s="147"/>
      <c r="BF1455" s="147"/>
      <c r="BG1455" s="147"/>
      <c r="BH1455" s="147"/>
      <c r="BI1455" s="147"/>
      <c r="BJ1455" s="147"/>
      <c r="BK1455" s="147"/>
      <c r="BL1455" s="147"/>
      <c r="BM1455" s="147"/>
      <c r="BN1455" s="147"/>
      <c r="BO1455" s="147"/>
      <c r="BP1455" s="147"/>
      <c r="BQ1455" s="147"/>
      <c r="BR1455" s="147"/>
      <c r="BS1455" s="147"/>
      <c r="BT1455" s="147"/>
      <c r="BU1455" s="147"/>
      <c r="BV1455" s="147"/>
      <c r="BW1455" s="147"/>
      <c r="BX1455" s="147"/>
      <c r="BY1455" s="147"/>
      <c r="BZ1455" s="147"/>
      <c r="CA1455" s="147"/>
      <c r="CB1455" s="147"/>
      <c r="CC1455" s="147"/>
      <c r="CD1455" s="147"/>
      <c r="CE1455" s="147"/>
      <c r="CF1455" s="147"/>
      <c r="CG1455" s="147"/>
      <c r="CH1455" s="147"/>
      <c r="CI1455" s="147"/>
      <c r="CJ1455" s="147"/>
      <c r="CK1455" s="147"/>
    </row>
    <row r="1456" spans="1:89">
      <c r="A1456" s="157"/>
      <c r="F1456" s="3"/>
      <c r="G1456" s="3"/>
      <c r="L1456" s="157"/>
      <c r="M1456" s="157"/>
      <c r="O1456" s="147"/>
      <c r="P1456" s="147"/>
      <c r="Q1456" s="147"/>
      <c r="R1456" s="147"/>
      <c r="S1456" s="147"/>
      <c r="T1456" s="147"/>
      <c r="U1456" s="147"/>
      <c r="V1456" s="147"/>
      <c r="W1456" s="147"/>
      <c r="X1456" s="147"/>
      <c r="Y1456" s="147"/>
      <c r="Z1456" s="147"/>
      <c r="AA1456" s="147"/>
      <c r="AB1456" s="147"/>
      <c r="AC1456" s="147"/>
      <c r="AD1456" s="147"/>
      <c r="AE1456" s="147"/>
      <c r="AF1456" s="147"/>
      <c r="AG1456" s="147"/>
      <c r="AH1456" s="147"/>
      <c r="AI1456" s="147"/>
      <c r="AJ1456" s="147"/>
      <c r="AK1456" s="147"/>
      <c r="AL1456" s="147"/>
      <c r="AM1456" s="151"/>
      <c r="AN1456" s="147"/>
      <c r="AO1456" s="147"/>
      <c r="AP1456" s="147"/>
      <c r="AQ1456" s="147"/>
      <c r="AR1456" s="147"/>
      <c r="AS1456" s="147"/>
      <c r="AT1456" s="147"/>
      <c r="AU1456" s="147"/>
      <c r="AV1456" s="147"/>
      <c r="AW1456" s="147"/>
      <c r="AX1456" s="147"/>
      <c r="AY1456" s="147"/>
      <c r="AZ1456" s="147"/>
      <c r="BA1456" s="147"/>
      <c r="BB1456" s="147"/>
      <c r="BC1456" s="147"/>
      <c r="BD1456" s="147"/>
      <c r="BE1456" s="147"/>
      <c r="BF1456" s="147"/>
      <c r="BG1456" s="147"/>
      <c r="BH1456" s="147"/>
      <c r="BI1456" s="147"/>
      <c r="BJ1456" s="147"/>
      <c r="BK1456" s="147"/>
      <c r="BL1456" s="147"/>
      <c r="BM1456" s="147"/>
      <c r="BN1456" s="147"/>
      <c r="BO1456" s="147"/>
      <c r="BP1456" s="147"/>
      <c r="BQ1456" s="147"/>
      <c r="BR1456" s="147"/>
      <c r="BS1456" s="147"/>
      <c r="BT1456" s="147"/>
      <c r="BU1456" s="147"/>
      <c r="BV1456" s="147"/>
      <c r="BW1456" s="147"/>
      <c r="BX1456" s="147"/>
      <c r="BY1456" s="147"/>
      <c r="BZ1456" s="147"/>
      <c r="CA1456" s="147"/>
      <c r="CB1456" s="147"/>
      <c r="CC1456" s="147"/>
      <c r="CD1456" s="147"/>
      <c r="CE1456" s="147"/>
      <c r="CF1456" s="147"/>
      <c r="CG1456" s="147"/>
      <c r="CH1456" s="147"/>
      <c r="CI1456" s="147"/>
      <c r="CJ1456" s="147"/>
      <c r="CK1456" s="147"/>
    </row>
    <row r="1457" spans="1:89">
      <c r="A1457" s="157"/>
      <c r="F1457" s="3"/>
      <c r="G1457" s="3"/>
      <c r="L1457" s="157"/>
      <c r="M1457" s="157"/>
      <c r="O1457" s="147"/>
      <c r="P1457" s="147"/>
      <c r="Q1457" s="147"/>
      <c r="R1457" s="147"/>
      <c r="S1457" s="147"/>
      <c r="T1457" s="147"/>
      <c r="U1457" s="147"/>
      <c r="V1457" s="147"/>
      <c r="W1457" s="147"/>
      <c r="X1457" s="147"/>
      <c r="Y1457" s="147"/>
      <c r="Z1457" s="147"/>
      <c r="AA1457" s="147"/>
      <c r="AB1457" s="147"/>
      <c r="AC1457" s="147"/>
      <c r="AD1457" s="147"/>
      <c r="AE1457" s="147"/>
      <c r="AF1457" s="147"/>
      <c r="AG1457" s="147"/>
      <c r="AH1457" s="147"/>
      <c r="AI1457" s="147"/>
      <c r="AJ1457" s="147"/>
      <c r="AK1457" s="147"/>
      <c r="AL1457" s="147"/>
      <c r="AM1457" s="151"/>
      <c r="AN1457" s="147"/>
      <c r="AO1457" s="147"/>
      <c r="AP1457" s="147"/>
      <c r="AQ1457" s="147"/>
      <c r="AR1457" s="147"/>
      <c r="AS1457" s="147"/>
      <c r="AT1457" s="147"/>
      <c r="AU1457" s="147"/>
      <c r="AV1457" s="147"/>
      <c r="AW1457" s="147"/>
      <c r="AX1457" s="147"/>
      <c r="AY1457" s="147"/>
      <c r="AZ1457" s="147"/>
      <c r="BA1457" s="147"/>
      <c r="BB1457" s="147"/>
      <c r="BC1457" s="147"/>
      <c r="BD1457" s="147"/>
      <c r="BE1457" s="147"/>
      <c r="BF1457" s="147"/>
      <c r="BG1457" s="147"/>
      <c r="BH1457" s="147"/>
      <c r="BI1457" s="147"/>
      <c r="BJ1457" s="147"/>
      <c r="BK1457" s="147"/>
      <c r="BL1457" s="147"/>
      <c r="BM1457" s="147"/>
      <c r="BN1457" s="147"/>
      <c r="BO1457" s="147"/>
      <c r="BP1457" s="147"/>
      <c r="BQ1457" s="147"/>
      <c r="BR1457" s="147"/>
      <c r="BS1457" s="147"/>
      <c r="BT1457" s="147"/>
      <c r="BU1457" s="147"/>
      <c r="BV1457" s="147"/>
      <c r="BW1457" s="147"/>
      <c r="BX1457" s="147"/>
      <c r="BY1457" s="147"/>
      <c r="BZ1457" s="147"/>
      <c r="CA1457" s="147"/>
      <c r="CB1457" s="147"/>
      <c r="CC1457" s="147"/>
      <c r="CD1457" s="147"/>
      <c r="CE1457" s="147"/>
      <c r="CF1457" s="147"/>
      <c r="CG1457" s="147"/>
      <c r="CH1457" s="147"/>
      <c r="CI1457" s="147"/>
      <c r="CJ1457" s="147"/>
      <c r="CK1457" s="147"/>
    </row>
    <row r="1458" spans="1:89">
      <c r="A1458" s="157"/>
      <c r="F1458" s="3"/>
      <c r="G1458" s="3"/>
      <c r="L1458" s="157"/>
      <c r="M1458" s="157"/>
      <c r="O1458" s="147"/>
      <c r="P1458" s="147"/>
      <c r="Q1458" s="147"/>
      <c r="R1458" s="147"/>
      <c r="S1458" s="147"/>
      <c r="T1458" s="147"/>
      <c r="U1458" s="147"/>
      <c r="V1458" s="147"/>
      <c r="W1458" s="147"/>
      <c r="X1458" s="147"/>
      <c r="Y1458" s="147"/>
      <c r="Z1458" s="147"/>
      <c r="AA1458" s="147"/>
      <c r="AB1458" s="147"/>
      <c r="AC1458" s="147"/>
      <c r="AD1458" s="147"/>
      <c r="AE1458" s="147"/>
      <c r="AF1458" s="147"/>
      <c r="AG1458" s="147"/>
      <c r="AH1458" s="147"/>
      <c r="AI1458" s="147"/>
      <c r="AJ1458" s="147"/>
      <c r="AK1458" s="147"/>
      <c r="AL1458" s="147"/>
      <c r="AM1458" s="151"/>
      <c r="AN1458" s="147"/>
      <c r="AO1458" s="147"/>
      <c r="AP1458" s="147"/>
      <c r="AQ1458" s="147"/>
      <c r="AR1458" s="147"/>
      <c r="AS1458" s="147"/>
      <c r="AT1458" s="147"/>
      <c r="AU1458" s="147"/>
      <c r="AV1458" s="147"/>
      <c r="AW1458" s="147"/>
      <c r="AX1458" s="147"/>
      <c r="AY1458" s="147"/>
      <c r="AZ1458" s="147"/>
      <c r="BA1458" s="147"/>
      <c r="BB1458" s="147"/>
      <c r="BC1458" s="147"/>
      <c r="BD1458" s="147"/>
      <c r="BE1458" s="147"/>
      <c r="BF1458" s="147"/>
      <c r="BG1458" s="147"/>
      <c r="BH1458" s="147"/>
      <c r="BI1458" s="147"/>
      <c r="BJ1458" s="147"/>
      <c r="BK1458" s="147"/>
      <c r="BL1458" s="147"/>
      <c r="BM1458" s="147"/>
      <c r="BN1458" s="147"/>
      <c r="BO1458" s="147"/>
      <c r="BP1458" s="147"/>
      <c r="BQ1458" s="147"/>
      <c r="BR1458" s="147"/>
      <c r="BS1458" s="147"/>
      <c r="BT1458" s="147"/>
      <c r="BU1458" s="147"/>
      <c r="BV1458" s="147"/>
      <c r="BW1458" s="147"/>
      <c r="BX1458" s="147"/>
      <c r="BY1458" s="147"/>
      <c r="BZ1458" s="147"/>
      <c r="CA1458" s="147"/>
      <c r="CB1458" s="147"/>
      <c r="CC1458" s="147"/>
      <c r="CD1458" s="147"/>
      <c r="CE1458" s="147"/>
      <c r="CF1458" s="147"/>
      <c r="CG1458" s="147"/>
      <c r="CH1458" s="147"/>
      <c r="CI1458" s="147"/>
      <c r="CJ1458" s="147"/>
      <c r="CK1458" s="147"/>
    </row>
    <row r="1459" spans="1:89">
      <c r="A1459" s="157"/>
      <c r="F1459" s="3"/>
      <c r="G1459" s="3"/>
      <c r="L1459" s="157"/>
      <c r="M1459" s="157"/>
      <c r="O1459" s="147"/>
      <c r="P1459" s="147"/>
      <c r="Q1459" s="147"/>
      <c r="R1459" s="147"/>
      <c r="S1459" s="147"/>
      <c r="T1459" s="147"/>
      <c r="U1459" s="147"/>
      <c r="V1459" s="147"/>
      <c r="W1459" s="147"/>
      <c r="X1459" s="147"/>
      <c r="Y1459" s="147"/>
      <c r="Z1459" s="147"/>
      <c r="AA1459" s="147"/>
      <c r="AB1459" s="147"/>
      <c r="AC1459" s="147"/>
      <c r="AD1459" s="147"/>
      <c r="AE1459" s="147"/>
      <c r="AF1459" s="147"/>
      <c r="AG1459" s="147"/>
      <c r="AH1459" s="147"/>
      <c r="AI1459" s="147"/>
      <c r="AJ1459" s="147"/>
      <c r="AK1459" s="147"/>
      <c r="AL1459" s="147"/>
      <c r="AM1459" s="151"/>
      <c r="AN1459" s="147"/>
      <c r="AO1459" s="147"/>
      <c r="AP1459" s="147"/>
      <c r="AQ1459" s="147"/>
      <c r="AR1459" s="147"/>
      <c r="AS1459" s="147"/>
      <c r="AT1459" s="147"/>
      <c r="AU1459" s="147"/>
      <c r="AV1459" s="147"/>
      <c r="AW1459" s="147"/>
      <c r="AX1459" s="147"/>
      <c r="AY1459" s="147"/>
      <c r="AZ1459" s="147"/>
      <c r="BA1459" s="147"/>
      <c r="BB1459" s="147"/>
      <c r="BC1459" s="147"/>
      <c r="BD1459" s="147"/>
      <c r="BE1459" s="147"/>
      <c r="BF1459" s="147"/>
      <c r="BG1459" s="147"/>
      <c r="BH1459" s="147"/>
      <c r="BI1459" s="147"/>
      <c r="BJ1459" s="147"/>
      <c r="BK1459" s="147"/>
      <c r="BL1459" s="147"/>
      <c r="BM1459" s="147"/>
      <c r="BN1459" s="147"/>
      <c r="BO1459" s="147"/>
      <c r="BP1459" s="147"/>
      <c r="BQ1459" s="147"/>
      <c r="BR1459" s="147"/>
      <c r="BS1459" s="147"/>
      <c r="BT1459" s="147"/>
      <c r="BU1459" s="147"/>
      <c r="BV1459" s="147"/>
      <c r="BW1459" s="147"/>
      <c r="BX1459" s="147"/>
      <c r="BY1459" s="147"/>
      <c r="BZ1459" s="147"/>
      <c r="CA1459" s="147"/>
      <c r="CB1459" s="147"/>
      <c r="CC1459" s="147"/>
      <c r="CD1459" s="147"/>
      <c r="CE1459" s="147"/>
      <c r="CF1459" s="147"/>
      <c r="CG1459" s="147"/>
      <c r="CH1459" s="147"/>
      <c r="CI1459" s="147"/>
      <c r="CJ1459" s="147"/>
      <c r="CK1459" s="147"/>
    </row>
    <row r="1460" spans="1:89">
      <c r="A1460" s="157"/>
      <c r="F1460" s="3"/>
      <c r="G1460" s="3"/>
      <c r="L1460" s="157"/>
      <c r="M1460" s="157"/>
      <c r="O1460" s="147"/>
      <c r="P1460" s="147"/>
      <c r="Q1460" s="147"/>
      <c r="R1460" s="147"/>
      <c r="S1460" s="147"/>
      <c r="T1460" s="147"/>
      <c r="U1460" s="147"/>
      <c r="V1460" s="147"/>
      <c r="W1460" s="147"/>
      <c r="X1460" s="147"/>
      <c r="Y1460" s="147"/>
      <c r="Z1460" s="147"/>
      <c r="AA1460" s="147"/>
      <c r="AB1460" s="147"/>
      <c r="AC1460" s="147"/>
      <c r="AD1460" s="147"/>
      <c r="AE1460" s="147"/>
      <c r="AF1460" s="147"/>
      <c r="AG1460" s="147"/>
      <c r="AH1460" s="147"/>
      <c r="AI1460" s="147"/>
      <c r="AJ1460" s="147"/>
      <c r="AK1460" s="147"/>
      <c r="AL1460" s="147"/>
      <c r="AM1460" s="151"/>
      <c r="AN1460" s="147"/>
      <c r="AO1460" s="147"/>
      <c r="AP1460" s="147"/>
      <c r="AQ1460" s="147"/>
      <c r="AR1460" s="147"/>
      <c r="AS1460" s="147"/>
      <c r="AT1460" s="147"/>
      <c r="AU1460" s="147"/>
      <c r="AV1460" s="147"/>
      <c r="AW1460" s="147"/>
      <c r="AX1460" s="147"/>
      <c r="AY1460" s="147"/>
      <c r="AZ1460" s="147"/>
      <c r="BA1460" s="147"/>
      <c r="BB1460" s="147"/>
      <c r="BC1460" s="147"/>
      <c r="BD1460" s="147"/>
      <c r="BE1460" s="147"/>
      <c r="BF1460" s="147"/>
      <c r="BG1460" s="147"/>
      <c r="BH1460" s="147"/>
      <c r="BI1460" s="147"/>
      <c r="BJ1460" s="147"/>
      <c r="BK1460" s="147"/>
      <c r="BL1460" s="147"/>
      <c r="BM1460" s="147"/>
      <c r="BN1460" s="147"/>
      <c r="BO1460" s="147"/>
      <c r="BP1460" s="147"/>
      <c r="BQ1460" s="147"/>
      <c r="BR1460" s="147"/>
      <c r="BS1460" s="147"/>
      <c r="BT1460" s="147"/>
      <c r="BU1460" s="147"/>
      <c r="BV1460" s="147"/>
      <c r="BW1460" s="147"/>
      <c r="BX1460" s="147"/>
      <c r="BY1460" s="147"/>
      <c r="BZ1460" s="147"/>
      <c r="CA1460" s="147"/>
      <c r="CB1460" s="147"/>
      <c r="CC1460" s="147"/>
      <c r="CD1460" s="147"/>
      <c r="CE1460" s="147"/>
      <c r="CF1460" s="147"/>
      <c r="CG1460" s="147"/>
      <c r="CH1460" s="147"/>
      <c r="CI1460" s="147"/>
      <c r="CJ1460" s="147"/>
      <c r="CK1460" s="147"/>
    </row>
    <row r="1461" spans="1:89">
      <c r="A1461" s="157"/>
      <c r="F1461" s="3"/>
      <c r="G1461" s="3"/>
      <c r="L1461" s="157"/>
      <c r="M1461" s="157"/>
      <c r="O1461" s="147"/>
      <c r="P1461" s="147"/>
      <c r="Q1461" s="147"/>
      <c r="R1461" s="147"/>
      <c r="S1461" s="147"/>
      <c r="T1461" s="147"/>
      <c r="U1461" s="147"/>
      <c r="V1461" s="147"/>
      <c r="W1461" s="147"/>
      <c r="X1461" s="147"/>
      <c r="Y1461" s="147"/>
      <c r="Z1461" s="147"/>
      <c r="AA1461" s="147"/>
      <c r="AB1461" s="147"/>
      <c r="AC1461" s="147"/>
      <c r="AD1461" s="147"/>
      <c r="AE1461" s="147"/>
      <c r="AF1461" s="147"/>
      <c r="AG1461" s="147"/>
      <c r="AH1461" s="147"/>
      <c r="AI1461" s="147"/>
      <c r="AJ1461" s="147"/>
      <c r="AK1461" s="147"/>
      <c r="AL1461" s="147"/>
      <c r="AM1461" s="151"/>
      <c r="AN1461" s="147"/>
      <c r="AO1461" s="147"/>
      <c r="AP1461" s="147"/>
      <c r="AQ1461" s="147"/>
      <c r="AR1461" s="147"/>
      <c r="AS1461" s="147"/>
      <c r="AT1461" s="147"/>
      <c r="AU1461" s="147"/>
      <c r="AV1461" s="147"/>
      <c r="AW1461" s="147"/>
      <c r="AX1461" s="147"/>
      <c r="AY1461" s="147"/>
      <c r="AZ1461" s="147"/>
      <c r="BA1461" s="147"/>
      <c r="BB1461" s="147"/>
      <c r="BC1461" s="147"/>
      <c r="BD1461" s="147"/>
      <c r="BE1461" s="147"/>
      <c r="BF1461" s="147"/>
      <c r="BG1461" s="147"/>
      <c r="BH1461" s="147"/>
      <c r="BI1461" s="147"/>
      <c r="BJ1461" s="147"/>
      <c r="BK1461" s="147"/>
      <c r="BL1461" s="147"/>
      <c r="BM1461" s="147"/>
      <c r="BN1461" s="147"/>
      <c r="BO1461" s="147"/>
      <c r="BP1461" s="147"/>
      <c r="BQ1461" s="147"/>
      <c r="BR1461" s="147"/>
      <c r="BS1461" s="147"/>
      <c r="BT1461" s="147"/>
      <c r="BU1461" s="147"/>
      <c r="BV1461" s="147"/>
      <c r="BW1461" s="147"/>
      <c r="BX1461" s="147"/>
      <c r="BY1461" s="147"/>
      <c r="BZ1461" s="147"/>
      <c r="CA1461" s="147"/>
      <c r="CB1461" s="147"/>
      <c r="CC1461" s="147"/>
      <c r="CD1461" s="147"/>
      <c r="CE1461" s="147"/>
      <c r="CF1461" s="147"/>
      <c r="CG1461" s="147"/>
      <c r="CH1461" s="147"/>
      <c r="CI1461" s="147"/>
      <c r="CJ1461" s="147"/>
      <c r="CK1461" s="147"/>
    </row>
    <row r="1462" spans="1:89">
      <c r="A1462" s="157"/>
      <c r="F1462" s="3"/>
      <c r="G1462" s="3"/>
      <c r="L1462" s="157"/>
      <c r="M1462" s="157"/>
      <c r="O1462" s="147"/>
      <c r="P1462" s="147"/>
      <c r="Q1462" s="147"/>
      <c r="R1462" s="147"/>
      <c r="S1462" s="147"/>
      <c r="T1462" s="147"/>
      <c r="U1462" s="147"/>
      <c r="V1462" s="147"/>
      <c r="W1462" s="147"/>
      <c r="X1462" s="147"/>
      <c r="Y1462" s="147"/>
      <c r="Z1462" s="147"/>
      <c r="AA1462" s="147"/>
      <c r="AB1462" s="147"/>
      <c r="AC1462" s="147"/>
      <c r="AD1462" s="147"/>
      <c r="AE1462" s="147"/>
      <c r="AF1462" s="147"/>
      <c r="AG1462" s="147"/>
      <c r="AH1462" s="147"/>
      <c r="AI1462" s="147"/>
      <c r="AJ1462" s="147"/>
      <c r="AK1462" s="147"/>
      <c r="AL1462" s="147"/>
      <c r="AM1462" s="151"/>
      <c r="AN1462" s="147"/>
      <c r="AO1462" s="147"/>
      <c r="AP1462" s="147"/>
      <c r="AQ1462" s="147"/>
      <c r="AR1462" s="147"/>
      <c r="AS1462" s="147"/>
      <c r="AT1462" s="147"/>
      <c r="AU1462" s="147"/>
      <c r="AV1462" s="147"/>
      <c r="AW1462" s="147"/>
      <c r="AX1462" s="147"/>
      <c r="AY1462" s="147"/>
      <c r="AZ1462" s="147"/>
      <c r="BA1462" s="147"/>
      <c r="BB1462" s="147"/>
      <c r="BC1462" s="147"/>
      <c r="BD1462" s="147"/>
      <c r="BE1462" s="147"/>
      <c r="BF1462" s="147"/>
      <c r="BG1462" s="147"/>
      <c r="BH1462" s="147"/>
      <c r="BI1462" s="147"/>
      <c r="BJ1462" s="147"/>
      <c r="BK1462" s="147"/>
      <c r="BL1462" s="147"/>
      <c r="BM1462" s="147"/>
      <c r="BN1462" s="147"/>
      <c r="BO1462" s="147"/>
      <c r="BP1462" s="147"/>
      <c r="BQ1462" s="147"/>
      <c r="BR1462" s="147"/>
      <c r="BS1462" s="147"/>
      <c r="BT1462" s="147"/>
      <c r="BU1462" s="147"/>
      <c r="BV1462" s="147"/>
      <c r="BW1462" s="147"/>
      <c r="BX1462" s="147"/>
      <c r="BY1462" s="147"/>
      <c r="BZ1462" s="147"/>
      <c r="CA1462" s="147"/>
      <c r="CB1462" s="147"/>
      <c r="CC1462" s="147"/>
      <c r="CD1462" s="147"/>
      <c r="CE1462" s="147"/>
      <c r="CF1462" s="147"/>
      <c r="CG1462" s="147"/>
      <c r="CH1462" s="147"/>
      <c r="CI1462" s="147"/>
      <c r="CJ1462" s="147"/>
      <c r="CK1462" s="147"/>
    </row>
    <row r="1463" spans="1:89">
      <c r="A1463" s="157"/>
      <c r="F1463" s="3"/>
      <c r="G1463" s="3"/>
      <c r="L1463" s="157"/>
      <c r="M1463" s="157"/>
      <c r="O1463" s="147"/>
      <c r="P1463" s="147"/>
      <c r="Q1463" s="147"/>
      <c r="R1463" s="147"/>
      <c r="S1463" s="147"/>
      <c r="T1463" s="147"/>
      <c r="U1463" s="147"/>
      <c r="V1463" s="147"/>
      <c r="W1463" s="147"/>
      <c r="X1463" s="147"/>
      <c r="Y1463" s="147"/>
      <c r="Z1463" s="147"/>
      <c r="AA1463" s="147"/>
      <c r="AB1463" s="147"/>
      <c r="AC1463" s="147"/>
      <c r="AD1463" s="147"/>
      <c r="AE1463" s="147"/>
      <c r="AF1463" s="147"/>
      <c r="AG1463" s="147"/>
      <c r="AH1463" s="147"/>
      <c r="AI1463" s="147"/>
      <c r="AJ1463" s="147"/>
      <c r="AK1463" s="147"/>
      <c r="AL1463" s="147"/>
      <c r="AM1463" s="151"/>
      <c r="AN1463" s="147"/>
      <c r="AO1463" s="147"/>
      <c r="AP1463" s="147"/>
      <c r="AQ1463" s="147"/>
      <c r="AR1463" s="147"/>
      <c r="AS1463" s="147"/>
      <c r="AT1463" s="147"/>
      <c r="AU1463" s="147"/>
      <c r="AV1463" s="147"/>
      <c r="AW1463" s="147"/>
      <c r="AX1463" s="147"/>
      <c r="AY1463" s="147"/>
      <c r="AZ1463" s="147"/>
      <c r="BA1463" s="147"/>
      <c r="BB1463" s="147"/>
      <c r="BC1463" s="147"/>
      <c r="BD1463" s="147"/>
      <c r="BE1463" s="147"/>
      <c r="BF1463" s="147"/>
      <c r="BG1463" s="147"/>
      <c r="BH1463" s="147"/>
      <c r="BI1463" s="147"/>
      <c r="BJ1463" s="147"/>
      <c r="BK1463" s="147"/>
      <c r="BL1463" s="147"/>
      <c r="BM1463" s="147"/>
      <c r="BN1463" s="147"/>
      <c r="BO1463" s="147"/>
      <c r="BP1463" s="147"/>
      <c r="BQ1463" s="147"/>
      <c r="BR1463" s="147"/>
      <c r="BS1463" s="147"/>
      <c r="BT1463" s="147"/>
      <c r="BU1463" s="147"/>
      <c r="BV1463" s="147"/>
      <c r="BW1463" s="147"/>
      <c r="BX1463" s="147"/>
      <c r="BY1463" s="147"/>
      <c r="BZ1463" s="147"/>
      <c r="CA1463" s="147"/>
      <c r="CB1463" s="147"/>
      <c r="CC1463" s="147"/>
      <c r="CD1463" s="147"/>
      <c r="CE1463" s="147"/>
      <c r="CF1463" s="147"/>
      <c r="CG1463" s="147"/>
      <c r="CH1463" s="147"/>
      <c r="CI1463" s="147"/>
      <c r="CJ1463" s="147"/>
      <c r="CK1463" s="147"/>
    </row>
    <row r="1464" spans="1:89">
      <c r="A1464" s="157"/>
      <c r="F1464" s="3"/>
      <c r="G1464" s="3"/>
      <c r="L1464" s="157"/>
      <c r="M1464" s="157"/>
      <c r="O1464" s="147"/>
      <c r="P1464" s="147"/>
      <c r="Q1464" s="147"/>
      <c r="R1464" s="147"/>
      <c r="S1464" s="147"/>
      <c r="T1464" s="147"/>
      <c r="U1464" s="147"/>
      <c r="V1464" s="147"/>
      <c r="W1464" s="147"/>
      <c r="X1464" s="147"/>
      <c r="Y1464" s="147"/>
      <c r="Z1464" s="147"/>
      <c r="AA1464" s="147"/>
      <c r="AB1464" s="147"/>
      <c r="AC1464" s="147"/>
      <c r="AD1464" s="147"/>
      <c r="AE1464" s="147"/>
      <c r="AF1464" s="147"/>
      <c r="AG1464" s="147"/>
      <c r="AH1464" s="147"/>
      <c r="AI1464" s="147"/>
      <c r="AJ1464" s="147"/>
      <c r="AK1464" s="147"/>
      <c r="AL1464" s="147"/>
      <c r="AM1464" s="151"/>
      <c r="AN1464" s="147"/>
      <c r="AO1464" s="147"/>
      <c r="AP1464" s="147"/>
      <c r="AQ1464" s="147"/>
      <c r="AR1464" s="147"/>
      <c r="AS1464" s="147"/>
      <c r="AT1464" s="147"/>
      <c r="AU1464" s="147"/>
      <c r="AV1464" s="147"/>
      <c r="AW1464" s="147"/>
      <c r="AX1464" s="147"/>
      <c r="AY1464" s="147"/>
      <c r="AZ1464" s="147"/>
      <c r="BA1464" s="147"/>
      <c r="BB1464" s="147"/>
      <c r="BC1464" s="147"/>
      <c r="BD1464" s="147"/>
      <c r="BE1464" s="147"/>
      <c r="BF1464" s="147"/>
      <c r="BG1464" s="147"/>
      <c r="BH1464" s="147"/>
      <c r="BI1464" s="147"/>
      <c r="BJ1464" s="147"/>
      <c r="BK1464" s="147"/>
      <c r="BL1464" s="147"/>
      <c r="BM1464" s="147"/>
      <c r="BN1464" s="147"/>
      <c r="BO1464" s="147"/>
      <c r="BP1464" s="147"/>
      <c r="BQ1464" s="147"/>
      <c r="BR1464" s="147"/>
      <c r="BS1464" s="147"/>
      <c r="BT1464" s="147"/>
      <c r="BU1464" s="147"/>
      <c r="BV1464" s="147"/>
      <c r="BW1464" s="147"/>
      <c r="BX1464" s="147"/>
      <c r="BY1464" s="147"/>
      <c r="BZ1464" s="147"/>
      <c r="CA1464" s="147"/>
      <c r="CB1464" s="147"/>
      <c r="CC1464" s="147"/>
      <c r="CD1464" s="147"/>
      <c r="CE1464" s="147"/>
      <c r="CF1464" s="147"/>
      <c r="CG1464" s="147"/>
      <c r="CH1464" s="147"/>
      <c r="CI1464" s="147"/>
      <c r="CJ1464" s="147"/>
      <c r="CK1464" s="147"/>
    </row>
    <row r="1465" spans="1:89">
      <c r="A1465" s="157"/>
      <c r="F1465" s="3"/>
      <c r="G1465" s="3"/>
      <c r="L1465" s="157"/>
      <c r="M1465" s="157"/>
      <c r="O1465" s="147"/>
      <c r="P1465" s="147"/>
      <c r="Q1465" s="147"/>
      <c r="R1465" s="147"/>
      <c r="S1465" s="147"/>
      <c r="T1465" s="147"/>
      <c r="U1465" s="147"/>
      <c r="V1465" s="147"/>
      <c r="W1465" s="147"/>
      <c r="X1465" s="147"/>
      <c r="Y1465" s="147"/>
      <c r="Z1465" s="147"/>
      <c r="AA1465" s="147"/>
      <c r="AB1465" s="147"/>
      <c r="AC1465" s="147"/>
      <c r="AD1465" s="147"/>
      <c r="AE1465" s="147"/>
      <c r="AF1465" s="147"/>
      <c r="AG1465" s="147"/>
      <c r="AH1465" s="147"/>
      <c r="AI1465" s="147"/>
      <c r="AJ1465" s="147"/>
      <c r="AK1465" s="147"/>
      <c r="AL1465" s="147"/>
      <c r="AM1465" s="151"/>
      <c r="AN1465" s="147"/>
      <c r="AO1465" s="147"/>
      <c r="AP1465" s="147"/>
      <c r="AQ1465" s="147"/>
      <c r="AR1465" s="147"/>
      <c r="AS1465" s="147"/>
      <c r="AT1465" s="147"/>
      <c r="AU1465" s="147"/>
      <c r="AV1465" s="147"/>
      <c r="AW1465" s="147"/>
      <c r="AX1465" s="147"/>
      <c r="AY1465" s="147"/>
      <c r="AZ1465" s="147"/>
      <c r="BA1465" s="147"/>
      <c r="BB1465" s="147"/>
      <c r="BC1465" s="147"/>
      <c r="BD1465" s="147"/>
      <c r="BE1465" s="147"/>
      <c r="BF1465" s="147"/>
      <c r="BG1465" s="147"/>
      <c r="BH1465" s="147"/>
      <c r="BI1465" s="147"/>
      <c r="BJ1465" s="147"/>
      <c r="BK1465" s="147"/>
      <c r="BL1465" s="147"/>
      <c r="BM1465" s="147"/>
      <c r="BN1465" s="147"/>
      <c r="BO1465" s="147"/>
      <c r="BP1465" s="147"/>
      <c r="BQ1465" s="147"/>
      <c r="BR1465" s="147"/>
      <c r="BS1465" s="147"/>
      <c r="BT1465" s="147"/>
      <c r="BU1465" s="147"/>
      <c r="BV1465" s="147"/>
      <c r="BW1465" s="147"/>
      <c r="BX1465" s="147"/>
      <c r="BY1465" s="147"/>
      <c r="BZ1465" s="147"/>
      <c r="CA1465" s="147"/>
      <c r="CB1465" s="147"/>
      <c r="CC1465" s="147"/>
      <c r="CD1465" s="147"/>
      <c r="CE1465" s="147"/>
      <c r="CF1465" s="147"/>
      <c r="CG1465" s="147"/>
      <c r="CH1465" s="147"/>
      <c r="CI1465" s="147"/>
      <c r="CJ1465" s="147"/>
      <c r="CK1465" s="147"/>
    </row>
    <row r="1466" spans="1:89">
      <c r="A1466" s="157"/>
      <c r="F1466" s="3"/>
      <c r="G1466" s="3"/>
      <c r="L1466" s="157"/>
      <c r="M1466" s="157"/>
      <c r="O1466" s="147"/>
      <c r="P1466" s="147"/>
      <c r="Q1466" s="147"/>
      <c r="R1466" s="147"/>
      <c r="S1466" s="147"/>
      <c r="T1466" s="147"/>
      <c r="U1466" s="147"/>
      <c r="V1466" s="147"/>
      <c r="W1466" s="147"/>
      <c r="X1466" s="147"/>
      <c r="Y1466" s="147"/>
      <c r="Z1466" s="147"/>
      <c r="AA1466" s="147"/>
      <c r="AB1466" s="147"/>
      <c r="AC1466" s="147"/>
      <c r="AD1466" s="147"/>
      <c r="AE1466" s="147"/>
      <c r="AF1466" s="147"/>
      <c r="AG1466" s="147"/>
      <c r="AH1466" s="147"/>
      <c r="AI1466" s="147"/>
      <c r="AJ1466" s="147"/>
      <c r="AK1466" s="147"/>
      <c r="AL1466" s="147"/>
      <c r="AM1466" s="151"/>
      <c r="AN1466" s="147"/>
      <c r="AO1466" s="147"/>
      <c r="AP1466" s="147"/>
      <c r="AQ1466" s="147"/>
      <c r="AR1466" s="147"/>
      <c r="AS1466" s="147"/>
      <c r="AT1466" s="147"/>
      <c r="AU1466" s="147"/>
      <c r="AV1466" s="147"/>
      <c r="AW1466" s="147"/>
      <c r="AX1466" s="147"/>
      <c r="AY1466" s="147"/>
      <c r="AZ1466" s="147"/>
      <c r="BA1466" s="147"/>
      <c r="BB1466" s="147"/>
      <c r="BC1466" s="147"/>
      <c r="BD1466" s="147"/>
      <c r="BE1466" s="147"/>
      <c r="BF1466" s="147"/>
      <c r="BG1466" s="147"/>
      <c r="BH1466" s="147"/>
      <c r="BI1466" s="147"/>
      <c r="BJ1466" s="147"/>
      <c r="BK1466" s="147"/>
      <c r="BL1466" s="147"/>
      <c r="BM1466" s="147"/>
      <c r="BN1466" s="147"/>
      <c r="BO1466" s="147"/>
      <c r="BP1466" s="147"/>
      <c r="BQ1466" s="147"/>
      <c r="BR1466" s="147"/>
      <c r="BS1466" s="147"/>
      <c r="BT1466" s="147"/>
      <c r="BU1466" s="147"/>
      <c r="BV1466" s="147"/>
      <c r="BW1466" s="147"/>
      <c r="BX1466" s="147"/>
      <c r="BY1466" s="147"/>
      <c r="BZ1466" s="147"/>
      <c r="CA1466" s="147"/>
      <c r="CB1466" s="147"/>
      <c r="CC1466" s="147"/>
      <c r="CD1466" s="147"/>
      <c r="CE1466" s="147"/>
      <c r="CF1466" s="147"/>
      <c r="CG1466" s="147"/>
      <c r="CH1466" s="147"/>
      <c r="CI1466" s="147"/>
      <c r="CJ1466" s="147"/>
      <c r="CK1466" s="147"/>
    </row>
    <row r="1467" spans="1:89">
      <c r="A1467" s="157"/>
      <c r="F1467" s="3"/>
      <c r="G1467" s="3"/>
      <c r="L1467" s="157"/>
      <c r="M1467" s="157"/>
      <c r="O1467" s="147"/>
      <c r="P1467" s="147"/>
      <c r="Q1467" s="147"/>
      <c r="R1467" s="147"/>
      <c r="S1467" s="147"/>
      <c r="T1467" s="147"/>
      <c r="U1467" s="147"/>
      <c r="V1467" s="147"/>
      <c r="W1467" s="147"/>
      <c r="X1467" s="147"/>
      <c r="Y1467" s="147"/>
      <c r="Z1467" s="147"/>
      <c r="AA1467" s="147"/>
      <c r="AB1467" s="147"/>
      <c r="AC1467" s="147"/>
      <c r="AD1467" s="147"/>
      <c r="AE1467" s="147"/>
      <c r="AF1467" s="147"/>
      <c r="AG1467" s="147"/>
      <c r="AH1467" s="147"/>
      <c r="AI1467" s="147"/>
      <c r="AJ1467" s="147"/>
      <c r="AK1467" s="147"/>
      <c r="AL1467" s="147"/>
      <c r="AM1467" s="151"/>
      <c r="AN1467" s="147"/>
      <c r="AO1467" s="147"/>
      <c r="AP1467" s="147"/>
      <c r="AQ1467" s="147"/>
      <c r="AR1467" s="147"/>
      <c r="AS1467" s="147"/>
      <c r="AT1467" s="147"/>
      <c r="AU1467" s="147"/>
      <c r="AV1467" s="147"/>
      <c r="AW1467" s="147"/>
      <c r="AX1467" s="147"/>
      <c r="AY1467" s="147"/>
      <c r="AZ1467" s="147"/>
      <c r="BA1467" s="147"/>
      <c r="BB1467" s="147"/>
      <c r="BC1467" s="147"/>
      <c r="BD1467" s="147"/>
      <c r="BE1467" s="147"/>
      <c r="BF1467" s="147"/>
      <c r="BG1467" s="147"/>
      <c r="BH1467" s="147"/>
      <c r="BI1467" s="147"/>
      <c r="BJ1467" s="147"/>
      <c r="BK1467" s="147"/>
      <c r="BL1467" s="147"/>
      <c r="BM1467" s="147"/>
      <c r="BN1467" s="147"/>
      <c r="BO1467" s="147"/>
      <c r="BP1467" s="147"/>
      <c r="BQ1467" s="147"/>
      <c r="BR1467" s="147"/>
      <c r="BS1467" s="147"/>
      <c r="BT1467" s="147"/>
      <c r="BU1467" s="147"/>
      <c r="BV1467" s="147"/>
      <c r="BW1467" s="147"/>
      <c r="BX1467" s="147"/>
      <c r="BY1467" s="147"/>
      <c r="BZ1467" s="147"/>
      <c r="CA1467" s="147"/>
      <c r="CB1467" s="147"/>
      <c r="CC1467" s="147"/>
      <c r="CD1467" s="147"/>
      <c r="CE1467" s="147"/>
      <c r="CF1467" s="147"/>
      <c r="CG1467" s="147"/>
      <c r="CH1467" s="147"/>
      <c r="CI1467" s="147"/>
      <c r="CJ1467" s="147"/>
      <c r="CK1467" s="147"/>
    </row>
    <row r="1468" spans="1:89">
      <c r="A1468" s="157"/>
      <c r="F1468" s="3"/>
      <c r="G1468" s="3"/>
      <c r="L1468" s="157"/>
      <c r="M1468" s="157"/>
      <c r="O1468" s="147"/>
      <c r="P1468" s="147"/>
      <c r="Q1468" s="147"/>
      <c r="R1468" s="147"/>
      <c r="S1468" s="147"/>
      <c r="T1468" s="147"/>
      <c r="U1468" s="147"/>
      <c r="V1468" s="147"/>
      <c r="W1468" s="147"/>
      <c r="X1468" s="147"/>
      <c r="Y1468" s="147"/>
      <c r="Z1468" s="147"/>
      <c r="AA1468" s="147"/>
      <c r="AB1468" s="147"/>
      <c r="AC1468" s="147"/>
      <c r="AD1468" s="147"/>
      <c r="AE1468" s="147"/>
      <c r="AF1468" s="147"/>
      <c r="AG1468" s="147"/>
      <c r="AH1468" s="147"/>
      <c r="AI1468" s="147"/>
      <c r="AJ1468" s="147"/>
      <c r="AK1468" s="147"/>
      <c r="AL1468" s="147"/>
      <c r="AM1468" s="151"/>
      <c r="AN1468" s="147"/>
      <c r="AO1468" s="147"/>
      <c r="AP1468" s="147"/>
      <c r="AQ1468" s="147"/>
      <c r="AR1468" s="147"/>
      <c r="AS1468" s="147"/>
      <c r="AT1468" s="147"/>
      <c r="AU1468" s="147"/>
      <c r="AV1468" s="147"/>
      <c r="AW1468" s="147"/>
      <c r="AX1468" s="147"/>
      <c r="AY1468" s="147"/>
      <c r="AZ1468" s="147"/>
      <c r="BA1468" s="147"/>
      <c r="BB1468" s="147"/>
      <c r="BC1468" s="147"/>
      <c r="BD1468" s="147"/>
      <c r="BE1468" s="147"/>
      <c r="BF1468" s="147"/>
      <c r="BG1468" s="147"/>
      <c r="BH1468" s="147"/>
      <c r="BI1468" s="147"/>
      <c r="BJ1468" s="147"/>
      <c r="BK1468" s="147"/>
      <c r="BL1468" s="147"/>
      <c r="BM1468" s="147"/>
      <c r="BN1468" s="147"/>
      <c r="BO1468" s="147"/>
      <c r="BP1468" s="147"/>
      <c r="BQ1468" s="147"/>
      <c r="BR1468" s="147"/>
      <c r="BS1468" s="147"/>
      <c r="BT1468" s="147"/>
      <c r="BU1468" s="147"/>
      <c r="BV1468" s="147"/>
      <c r="BW1468" s="147"/>
      <c r="BX1468" s="147"/>
      <c r="BY1468" s="147"/>
      <c r="BZ1468" s="147"/>
      <c r="CA1468" s="147"/>
      <c r="CB1468" s="147"/>
      <c r="CC1468" s="147"/>
      <c r="CD1468" s="147"/>
      <c r="CE1468" s="147"/>
      <c r="CF1468" s="147"/>
      <c r="CG1468" s="147"/>
      <c r="CH1468" s="147"/>
      <c r="CI1468" s="147"/>
      <c r="CJ1468" s="147"/>
      <c r="CK1468" s="147"/>
    </row>
    <row r="1469" spans="1:89">
      <c r="A1469" s="157"/>
      <c r="F1469" s="3"/>
      <c r="G1469" s="3"/>
      <c r="L1469" s="157"/>
      <c r="M1469" s="157"/>
      <c r="O1469" s="147"/>
      <c r="P1469" s="147"/>
      <c r="Q1469" s="147"/>
      <c r="R1469" s="147"/>
      <c r="S1469" s="147"/>
      <c r="T1469" s="147"/>
      <c r="U1469" s="147"/>
      <c r="V1469" s="147"/>
      <c r="W1469" s="147"/>
      <c r="X1469" s="147"/>
      <c r="Y1469" s="147"/>
      <c r="Z1469" s="147"/>
      <c r="AA1469" s="147"/>
      <c r="AB1469" s="147"/>
      <c r="AC1469" s="147"/>
      <c r="AD1469" s="147"/>
      <c r="AE1469" s="147"/>
      <c r="AF1469" s="147"/>
      <c r="AG1469" s="147"/>
      <c r="AH1469" s="147"/>
      <c r="AI1469" s="147"/>
      <c r="AJ1469" s="147"/>
      <c r="AK1469" s="147"/>
      <c r="AL1469" s="147"/>
      <c r="AM1469" s="151"/>
      <c r="AN1469" s="147"/>
      <c r="AO1469" s="147"/>
      <c r="AP1469" s="147"/>
      <c r="AQ1469" s="147"/>
      <c r="AR1469" s="147"/>
      <c r="AS1469" s="147"/>
      <c r="AT1469" s="147"/>
      <c r="AU1469" s="147"/>
      <c r="AV1469" s="147"/>
      <c r="AW1469" s="147"/>
      <c r="AX1469" s="147"/>
      <c r="AY1469" s="147"/>
      <c r="AZ1469" s="147"/>
      <c r="BA1469" s="147"/>
      <c r="BB1469" s="147"/>
      <c r="BC1469" s="147"/>
      <c r="BD1469" s="147"/>
      <c r="BE1469" s="147"/>
      <c r="BF1469" s="147"/>
      <c r="BG1469" s="147"/>
      <c r="BH1469" s="147"/>
      <c r="BI1469" s="147"/>
      <c r="BJ1469" s="147"/>
      <c r="BK1469" s="147"/>
      <c r="BL1469" s="147"/>
      <c r="BM1469" s="147"/>
      <c r="BN1469" s="147"/>
      <c r="BO1469" s="147"/>
      <c r="BP1469" s="147"/>
      <c r="BQ1469" s="147"/>
      <c r="BR1469" s="147"/>
      <c r="BS1469" s="147"/>
      <c r="BT1469" s="147"/>
      <c r="BU1469" s="147"/>
      <c r="BV1469" s="147"/>
      <c r="BW1469" s="147"/>
      <c r="BX1469" s="147"/>
      <c r="BY1469" s="147"/>
      <c r="BZ1469" s="147"/>
      <c r="CA1469" s="147"/>
      <c r="CB1469" s="147"/>
      <c r="CC1469" s="147"/>
      <c r="CD1469" s="147"/>
      <c r="CE1469" s="147"/>
      <c r="CF1469" s="147"/>
      <c r="CG1469" s="147"/>
      <c r="CH1469" s="147"/>
      <c r="CI1469" s="147"/>
      <c r="CJ1469" s="147"/>
      <c r="CK1469" s="147"/>
    </row>
    <row r="1470" spans="1:89">
      <c r="A1470" s="157"/>
      <c r="F1470" s="3"/>
      <c r="G1470" s="3"/>
      <c r="L1470" s="157"/>
      <c r="M1470" s="157"/>
      <c r="O1470" s="147"/>
      <c r="P1470" s="147"/>
      <c r="Q1470" s="147"/>
      <c r="R1470" s="147"/>
      <c r="S1470" s="147"/>
      <c r="T1470" s="147"/>
      <c r="U1470" s="147"/>
      <c r="V1470" s="147"/>
      <c r="W1470" s="147"/>
      <c r="X1470" s="147"/>
      <c r="Y1470" s="147"/>
      <c r="Z1470" s="147"/>
      <c r="AA1470" s="147"/>
      <c r="AB1470" s="147"/>
      <c r="AC1470" s="147"/>
      <c r="AD1470" s="147"/>
      <c r="AE1470" s="147"/>
      <c r="AF1470" s="147"/>
      <c r="AG1470" s="147"/>
      <c r="AH1470" s="147"/>
      <c r="AI1470" s="147"/>
      <c r="AJ1470" s="147"/>
      <c r="AK1470" s="147"/>
      <c r="AL1470" s="147"/>
      <c r="AM1470" s="151"/>
      <c r="AN1470" s="147"/>
      <c r="AO1470" s="147"/>
      <c r="AP1470" s="147"/>
      <c r="AQ1470" s="147"/>
      <c r="AR1470" s="147"/>
      <c r="AS1470" s="147"/>
      <c r="AT1470" s="147"/>
      <c r="AU1470" s="147"/>
      <c r="AV1470" s="147"/>
      <c r="AW1470" s="147"/>
      <c r="AX1470" s="147"/>
      <c r="AY1470" s="147"/>
      <c r="AZ1470" s="147"/>
      <c r="BA1470" s="147"/>
      <c r="BB1470" s="147"/>
      <c r="BC1470" s="147"/>
      <c r="BD1470" s="147"/>
      <c r="BE1470" s="147"/>
      <c r="BF1470" s="147"/>
      <c r="BG1470" s="147"/>
      <c r="BH1470" s="147"/>
      <c r="BI1470" s="147"/>
      <c r="BJ1470" s="147"/>
      <c r="BK1470" s="147"/>
      <c r="BL1470" s="147"/>
      <c r="BM1470" s="147"/>
      <c r="BN1470" s="147"/>
      <c r="BO1470" s="147"/>
      <c r="BP1470" s="147"/>
      <c r="BQ1470" s="147"/>
      <c r="BR1470" s="147"/>
      <c r="BS1470" s="147"/>
      <c r="BT1470" s="147"/>
      <c r="BU1470" s="147"/>
      <c r="BV1470" s="147"/>
      <c r="BW1470" s="147"/>
      <c r="BX1470" s="147"/>
      <c r="BY1470" s="147"/>
      <c r="BZ1470" s="147"/>
      <c r="CA1470" s="147"/>
      <c r="CB1470" s="147"/>
      <c r="CC1470" s="147"/>
      <c r="CD1470" s="147"/>
      <c r="CE1470" s="147"/>
      <c r="CF1470" s="147"/>
      <c r="CG1470" s="147"/>
      <c r="CH1470" s="147"/>
      <c r="CI1470" s="147"/>
      <c r="CJ1470" s="147"/>
      <c r="CK1470" s="147"/>
    </row>
    <row r="1471" spans="1:89">
      <c r="A1471" s="157"/>
      <c r="F1471" s="3"/>
      <c r="G1471" s="3"/>
      <c r="L1471" s="157"/>
      <c r="M1471" s="157"/>
      <c r="O1471" s="147"/>
      <c r="P1471" s="147"/>
      <c r="Q1471" s="147"/>
      <c r="R1471" s="147"/>
      <c r="S1471" s="147"/>
      <c r="T1471" s="147"/>
      <c r="U1471" s="147"/>
      <c r="V1471" s="147"/>
      <c r="W1471" s="147"/>
      <c r="X1471" s="147"/>
      <c r="Y1471" s="147"/>
      <c r="Z1471" s="147"/>
      <c r="AA1471" s="147"/>
      <c r="AB1471" s="147"/>
      <c r="AC1471" s="147"/>
      <c r="AD1471" s="147"/>
      <c r="AE1471" s="147"/>
      <c r="AF1471" s="147"/>
      <c r="AG1471" s="147"/>
      <c r="AH1471" s="147"/>
      <c r="AI1471" s="147"/>
      <c r="AJ1471" s="147"/>
      <c r="AK1471" s="147"/>
      <c r="AL1471" s="147"/>
      <c r="AM1471" s="151"/>
      <c r="AN1471" s="147"/>
      <c r="AO1471" s="147"/>
      <c r="AP1471" s="147"/>
      <c r="AQ1471" s="147"/>
      <c r="AR1471" s="147"/>
      <c r="AS1471" s="147"/>
      <c r="AT1471" s="147"/>
      <c r="AU1471" s="147"/>
      <c r="AV1471" s="147"/>
      <c r="AW1471" s="147"/>
      <c r="AX1471" s="147"/>
      <c r="AY1471" s="147"/>
      <c r="AZ1471" s="147"/>
      <c r="BA1471" s="147"/>
      <c r="BB1471" s="147"/>
      <c r="BC1471" s="147"/>
      <c r="BD1471" s="147"/>
      <c r="BE1471" s="147"/>
      <c r="BF1471" s="147"/>
      <c r="BG1471" s="147"/>
      <c r="BH1471" s="147"/>
      <c r="BI1471" s="147"/>
      <c r="BJ1471" s="147"/>
      <c r="BK1471" s="147"/>
      <c r="BL1471" s="147"/>
      <c r="BM1471" s="147"/>
      <c r="BN1471" s="147"/>
      <c r="BO1471" s="147"/>
      <c r="BP1471" s="147"/>
      <c r="BQ1471" s="147"/>
      <c r="BR1471" s="147"/>
      <c r="BS1471" s="147"/>
      <c r="BT1471" s="147"/>
      <c r="BU1471" s="147"/>
      <c r="BV1471" s="147"/>
      <c r="BW1471" s="147"/>
      <c r="BX1471" s="147"/>
      <c r="BY1471" s="147"/>
      <c r="BZ1471" s="147"/>
      <c r="CA1471" s="147"/>
      <c r="CB1471" s="147"/>
      <c r="CC1471" s="147"/>
      <c r="CD1471" s="147"/>
      <c r="CE1471" s="147"/>
      <c r="CF1471" s="147"/>
      <c r="CG1471" s="147"/>
      <c r="CH1471" s="147"/>
      <c r="CI1471" s="147"/>
      <c r="CJ1471" s="147"/>
      <c r="CK1471" s="147"/>
    </row>
    <row r="1472" spans="1:89">
      <c r="A1472" s="157"/>
      <c r="F1472" s="3"/>
      <c r="G1472" s="3"/>
      <c r="L1472" s="157"/>
      <c r="M1472" s="157"/>
      <c r="O1472" s="147"/>
      <c r="P1472" s="147"/>
      <c r="Q1472" s="147"/>
      <c r="R1472" s="147"/>
      <c r="S1472" s="147"/>
      <c r="T1472" s="147"/>
      <c r="U1472" s="147"/>
      <c r="V1472" s="147"/>
      <c r="W1472" s="147"/>
      <c r="X1472" s="147"/>
      <c r="Y1472" s="147"/>
      <c r="Z1472" s="147"/>
      <c r="AA1472" s="147"/>
      <c r="AB1472" s="147"/>
      <c r="AC1472" s="147"/>
      <c r="AD1472" s="147"/>
      <c r="AE1472" s="147"/>
      <c r="AF1472" s="147"/>
      <c r="AG1472" s="147"/>
      <c r="AH1472" s="147"/>
      <c r="AI1472" s="147"/>
      <c r="AJ1472" s="147"/>
      <c r="AK1472" s="147"/>
      <c r="AL1472" s="147"/>
      <c r="AM1472" s="151"/>
      <c r="AN1472" s="147"/>
      <c r="AO1472" s="147"/>
      <c r="AP1472" s="147"/>
      <c r="AQ1472" s="147"/>
      <c r="AR1472" s="147"/>
      <c r="AS1472" s="147"/>
      <c r="AT1472" s="147"/>
      <c r="AU1472" s="147"/>
      <c r="AV1472" s="147"/>
      <c r="AW1472" s="147"/>
      <c r="AX1472" s="147"/>
      <c r="AY1472" s="147"/>
      <c r="AZ1472" s="147"/>
      <c r="BA1472" s="147"/>
      <c r="BB1472" s="147"/>
      <c r="BC1472" s="147"/>
      <c r="BD1472" s="147"/>
      <c r="BE1472" s="147"/>
      <c r="BF1472" s="147"/>
      <c r="BG1472" s="147"/>
      <c r="BH1472" s="147"/>
      <c r="BI1472" s="147"/>
      <c r="BJ1472" s="147"/>
      <c r="BK1472" s="147"/>
      <c r="BL1472" s="147"/>
      <c r="BM1472" s="147"/>
      <c r="BN1472" s="147"/>
      <c r="BO1472" s="147"/>
      <c r="BP1472" s="147"/>
      <c r="BQ1472" s="147"/>
      <c r="BR1472" s="147"/>
      <c r="BS1472" s="147"/>
      <c r="BT1472" s="147"/>
      <c r="BU1472" s="147"/>
      <c r="BV1472" s="147"/>
      <c r="BW1472" s="147"/>
      <c r="BX1472" s="147"/>
      <c r="BY1472" s="147"/>
      <c r="BZ1472" s="147"/>
      <c r="CA1472" s="147"/>
      <c r="CB1472" s="147"/>
      <c r="CC1472" s="147"/>
      <c r="CD1472" s="147"/>
      <c r="CE1472" s="147"/>
      <c r="CF1472" s="147"/>
      <c r="CG1472" s="147"/>
      <c r="CH1472" s="147"/>
      <c r="CI1472" s="147"/>
      <c r="CJ1472" s="147"/>
      <c r="CK1472" s="147"/>
    </row>
    <row r="1473" spans="1:89">
      <c r="A1473" s="157"/>
      <c r="F1473" s="3"/>
      <c r="G1473" s="3"/>
      <c r="L1473" s="157"/>
      <c r="M1473" s="157"/>
      <c r="O1473" s="147"/>
      <c r="P1473" s="147"/>
      <c r="Q1473" s="147"/>
      <c r="R1473" s="147"/>
      <c r="S1473" s="147"/>
      <c r="T1473" s="147"/>
      <c r="U1473" s="147"/>
      <c r="V1473" s="147"/>
      <c r="W1473" s="147"/>
      <c r="X1473" s="147"/>
      <c r="Y1473" s="147"/>
      <c r="Z1473" s="147"/>
      <c r="AA1473" s="147"/>
      <c r="AB1473" s="147"/>
      <c r="AC1473" s="147"/>
      <c r="AD1473" s="147"/>
      <c r="AE1473" s="147"/>
      <c r="AF1473" s="147"/>
      <c r="AG1473" s="147"/>
      <c r="AH1473" s="147"/>
      <c r="AI1473" s="147"/>
      <c r="AJ1473" s="147"/>
      <c r="AK1473" s="147"/>
      <c r="AL1473" s="147"/>
      <c r="AM1473" s="151"/>
      <c r="AN1473" s="147"/>
      <c r="AO1473" s="147"/>
      <c r="AP1473" s="147"/>
      <c r="AQ1473" s="147"/>
      <c r="AR1473" s="147"/>
      <c r="AS1473" s="147"/>
      <c r="AT1473" s="147"/>
      <c r="AU1473" s="147"/>
      <c r="AV1473" s="147"/>
      <c r="AW1473" s="147"/>
      <c r="AX1473" s="147"/>
      <c r="AY1473" s="147"/>
      <c r="AZ1473" s="147"/>
      <c r="BA1473" s="147"/>
      <c r="BB1473" s="147"/>
      <c r="BC1473" s="147"/>
      <c r="BD1473" s="147"/>
      <c r="BE1473" s="147"/>
      <c r="BF1473" s="147"/>
      <c r="BG1473" s="147"/>
      <c r="BH1473" s="147"/>
      <c r="BI1473" s="147"/>
      <c r="BJ1473" s="147"/>
      <c r="BK1473" s="147"/>
      <c r="BL1473" s="147"/>
      <c r="BM1473" s="147"/>
      <c r="BN1473" s="147"/>
      <c r="BO1473" s="147"/>
      <c r="BP1473" s="147"/>
      <c r="BQ1473" s="147"/>
      <c r="BR1473" s="147"/>
      <c r="BS1473" s="147"/>
      <c r="BT1473" s="147"/>
      <c r="BU1473" s="147"/>
      <c r="BV1473" s="147"/>
      <c r="BW1473" s="147"/>
      <c r="BX1473" s="147"/>
      <c r="BY1473" s="147"/>
      <c r="BZ1473" s="147"/>
      <c r="CA1473" s="147"/>
      <c r="CB1473" s="147"/>
      <c r="CC1473" s="147"/>
      <c r="CD1473" s="147"/>
      <c r="CE1473" s="147"/>
      <c r="CF1473" s="147"/>
      <c r="CG1473" s="147"/>
      <c r="CH1473" s="147"/>
      <c r="CI1473" s="147"/>
      <c r="CJ1473" s="147"/>
      <c r="CK1473" s="147"/>
    </row>
    <row r="1474" spans="1:89">
      <c r="A1474" s="157"/>
      <c r="F1474" s="3"/>
      <c r="G1474" s="3"/>
      <c r="L1474" s="157"/>
      <c r="M1474" s="157"/>
      <c r="O1474" s="147"/>
      <c r="P1474" s="147"/>
      <c r="Q1474" s="147"/>
      <c r="R1474" s="147"/>
      <c r="S1474" s="147"/>
      <c r="T1474" s="147"/>
      <c r="U1474" s="147"/>
      <c r="V1474" s="147"/>
      <c r="W1474" s="147"/>
      <c r="X1474" s="147"/>
      <c r="Y1474" s="147"/>
      <c r="Z1474" s="147"/>
      <c r="AA1474" s="147"/>
      <c r="AB1474" s="147"/>
      <c r="AC1474" s="147"/>
      <c r="AD1474" s="147"/>
      <c r="AE1474" s="147"/>
      <c r="AF1474" s="147"/>
      <c r="AG1474" s="147"/>
      <c r="AH1474" s="147"/>
      <c r="AI1474" s="147"/>
      <c r="AJ1474" s="147"/>
      <c r="AK1474" s="147"/>
      <c r="AL1474" s="147"/>
      <c r="AM1474" s="151"/>
      <c r="AN1474" s="147"/>
      <c r="AO1474" s="147"/>
      <c r="AP1474" s="147"/>
      <c r="AQ1474" s="147"/>
      <c r="AR1474" s="147"/>
      <c r="AS1474" s="147"/>
      <c r="AT1474" s="147"/>
      <c r="AU1474" s="147"/>
      <c r="AV1474" s="147"/>
      <c r="AW1474" s="147"/>
      <c r="AX1474" s="147"/>
      <c r="AY1474" s="147"/>
      <c r="AZ1474" s="147"/>
      <c r="BA1474" s="147"/>
      <c r="BB1474" s="147"/>
      <c r="BC1474" s="147"/>
      <c r="BD1474" s="147"/>
      <c r="BE1474" s="147"/>
      <c r="BF1474" s="147"/>
      <c r="BG1474" s="147"/>
      <c r="BH1474" s="147"/>
      <c r="BI1474" s="147"/>
      <c r="BJ1474" s="147"/>
      <c r="BK1474" s="147"/>
      <c r="BL1474" s="147"/>
      <c r="BM1474" s="147"/>
      <c r="BN1474" s="147"/>
      <c r="BO1474" s="147"/>
      <c r="BP1474" s="147"/>
      <c r="BQ1474" s="147"/>
      <c r="BR1474" s="147"/>
      <c r="BS1474" s="147"/>
      <c r="BT1474" s="147"/>
      <c r="BU1474" s="147"/>
      <c r="BV1474" s="147"/>
      <c r="BW1474" s="147"/>
      <c r="BX1474" s="147"/>
      <c r="BY1474" s="147"/>
      <c r="BZ1474" s="147"/>
      <c r="CA1474" s="147"/>
      <c r="CB1474" s="147"/>
      <c r="CC1474" s="147"/>
      <c r="CD1474" s="147"/>
      <c r="CE1474" s="147"/>
      <c r="CF1474" s="147"/>
      <c r="CG1474" s="147"/>
      <c r="CH1474" s="147"/>
      <c r="CI1474" s="147"/>
      <c r="CJ1474" s="147"/>
      <c r="CK1474" s="147"/>
    </row>
    <row r="1475" spans="1:89">
      <c r="A1475" s="157"/>
      <c r="F1475" s="3"/>
      <c r="G1475" s="3"/>
      <c r="L1475" s="157"/>
      <c r="M1475" s="157"/>
      <c r="O1475" s="147"/>
      <c r="P1475" s="147"/>
      <c r="Q1475" s="147"/>
      <c r="R1475" s="147"/>
      <c r="S1475" s="147"/>
      <c r="T1475" s="147"/>
      <c r="U1475" s="147"/>
      <c r="V1475" s="147"/>
      <c r="W1475" s="147"/>
      <c r="X1475" s="147"/>
      <c r="Y1475" s="147"/>
      <c r="Z1475" s="147"/>
      <c r="AA1475" s="147"/>
      <c r="AB1475" s="147"/>
      <c r="AC1475" s="147"/>
      <c r="AD1475" s="147"/>
      <c r="AE1475" s="147"/>
      <c r="AF1475" s="147"/>
      <c r="AG1475" s="147"/>
      <c r="AH1475" s="147"/>
      <c r="AI1475" s="147"/>
      <c r="AJ1475" s="147"/>
      <c r="AK1475" s="147"/>
      <c r="AL1475" s="147"/>
      <c r="AM1475" s="151"/>
      <c r="AN1475" s="147"/>
      <c r="AO1475" s="147"/>
      <c r="AP1475" s="147"/>
      <c r="AQ1475" s="147"/>
      <c r="AR1475" s="147"/>
      <c r="AS1475" s="147"/>
      <c r="AT1475" s="147"/>
      <c r="AU1475" s="147"/>
      <c r="AV1475" s="147"/>
      <c r="AW1475" s="147"/>
      <c r="AX1475" s="147"/>
      <c r="AY1475" s="147"/>
      <c r="AZ1475" s="147"/>
      <c r="BA1475" s="147"/>
      <c r="BB1475" s="147"/>
      <c r="BC1475" s="147"/>
      <c r="BD1475" s="147"/>
      <c r="BE1475" s="147"/>
      <c r="BF1475" s="147"/>
      <c r="BG1475" s="147"/>
      <c r="BH1475" s="147"/>
      <c r="BI1475" s="147"/>
      <c r="BJ1475" s="147"/>
      <c r="BK1475" s="147"/>
      <c r="BL1475" s="147"/>
      <c r="BM1475" s="147"/>
      <c r="BN1475" s="147"/>
      <c r="BO1475" s="147"/>
      <c r="BP1475" s="147"/>
      <c r="BQ1475" s="147"/>
      <c r="BR1475" s="147"/>
      <c r="BS1475" s="147"/>
      <c r="BT1475" s="147"/>
      <c r="BU1475" s="147"/>
      <c r="BV1475" s="147"/>
      <c r="BW1475" s="147"/>
      <c r="BX1475" s="147"/>
      <c r="BY1475" s="147"/>
      <c r="BZ1475" s="147"/>
      <c r="CA1475" s="147"/>
      <c r="CB1475" s="147"/>
      <c r="CC1475" s="147"/>
      <c r="CD1475" s="147"/>
      <c r="CE1475" s="147"/>
      <c r="CF1475" s="147"/>
      <c r="CG1475" s="147"/>
      <c r="CH1475" s="147"/>
      <c r="CI1475" s="147"/>
      <c r="CJ1475" s="147"/>
      <c r="CK1475" s="147"/>
    </row>
    <row r="1476" spans="1:89">
      <c r="A1476" s="157"/>
      <c r="F1476" s="3"/>
      <c r="G1476" s="3"/>
      <c r="L1476" s="157"/>
      <c r="M1476" s="157"/>
      <c r="O1476" s="147"/>
      <c r="P1476" s="147"/>
      <c r="Q1476" s="147"/>
      <c r="R1476" s="147"/>
      <c r="S1476" s="147"/>
      <c r="T1476" s="147"/>
      <c r="U1476" s="147"/>
      <c r="V1476" s="147"/>
      <c r="W1476" s="147"/>
      <c r="X1476" s="147"/>
      <c r="Y1476" s="147"/>
      <c r="Z1476" s="147"/>
      <c r="AA1476" s="147"/>
      <c r="AB1476" s="147"/>
      <c r="AC1476" s="147"/>
      <c r="AD1476" s="147"/>
      <c r="AE1476" s="147"/>
      <c r="AF1476" s="147"/>
      <c r="AG1476" s="147"/>
      <c r="AH1476" s="147"/>
      <c r="AI1476" s="147"/>
      <c r="AJ1476" s="147"/>
      <c r="AK1476" s="147"/>
      <c r="AL1476" s="147"/>
      <c r="AM1476" s="151"/>
      <c r="AN1476" s="147"/>
      <c r="AO1476" s="147"/>
      <c r="AP1476" s="147"/>
      <c r="AQ1476" s="147"/>
      <c r="AR1476" s="147"/>
      <c r="AS1476" s="147"/>
      <c r="AT1476" s="147"/>
      <c r="AU1476" s="147"/>
      <c r="AV1476" s="147"/>
      <c r="AW1476" s="147"/>
      <c r="AX1476" s="147"/>
      <c r="AY1476" s="147"/>
      <c r="AZ1476" s="147"/>
      <c r="BA1476" s="147"/>
      <c r="BB1476" s="147"/>
      <c r="BC1476" s="147"/>
      <c r="BD1476" s="147"/>
      <c r="BE1476" s="147"/>
      <c r="BF1476" s="147"/>
      <c r="BG1476" s="147"/>
      <c r="BH1476" s="147"/>
      <c r="BI1476" s="147"/>
      <c r="BJ1476" s="147"/>
      <c r="BK1476" s="147"/>
      <c r="BL1476" s="147"/>
      <c r="BM1476" s="147"/>
      <c r="BN1476" s="147"/>
      <c r="BO1476" s="147"/>
      <c r="BP1476" s="147"/>
      <c r="BQ1476" s="147"/>
      <c r="BR1476" s="147"/>
      <c r="BS1476" s="147"/>
      <c r="BT1476" s="147"/>
      <c r="BU1476" s="147"/>
      <c r="BV1476" s="147"/>
      <c r="BW1476" s="147"/>
      <c r="BX1476" s="147"/>
      <c r="BY1476" s="147"/>
      <c r="BZ1476" s="147"/>
      <c r="CA1476" s="147"/>
      <c r="CB1476" s="147"/>
      <c r="CC1476" s="147"/>
      <c r="CD1476" s="147"/>
      <c r="CE1476" s="147"/>
      <c r="CF1476" s="147"/>
      <c r="CG1476" s="147"/>
      <c r="CH1476" s="147"/>
      <c r="CI1476" s="147"/>
      <c r="CJ1476" s="147"/>
      <c r="CK1476" s="147"/>
    </row>
    <row r="1477" spans="1:89">
      <c r="A1477" s="157"/>
      <c r="F1477" s="3"/>
      <c r="G1477" s="3"/>
      <c r="L1477" s="157"/>
      <c r="M1477" s="157"/>
      <c r="O1477" s="147"/>
      <c r="P1477" s="147"/>
      <c r="Q1477" s="147"/>
      <c r="R1477" s="147"/>
      <c r="S1477" s="147"/>
      <c r="T1477" s="147"/>
      <c r="U1477" s="147"/>
      <c r="V1477" s="147"/>
      <c r="W1477" s="147"/>
      <c r="X1477" s="147"/>
      <c r="Y1477" s="147"/>
      <c r="Z1477" s="147"/>
      <c r="AA1477" s="147"/>
      <c r="AB1477" s="147"/>
      <c r="AC1477" s="147"/>
      <c r="AD1477" s="147"/>
      <c r="AE1477" s="147"/>
      <c r="AF1477" s="147"/>
      <c r="AG1477" s="147"/>
      <c r="AH1477" s="147"/>
      <c r="AI1477" s="147"/>
      <c r="AJ1477" s="147"/>
      <c r="AK1477" s="147"/>
      <c r="AL1477" s="147"/>
      <c r="AM1477" s="151"/>
      <c r="AN1477" s="147"/>
      <c r="AO1477" s="147"/>
      <c r="AP1477" s="147"/>
      <c r="AQ1477" s="147"/>
      <c r="AR1477" s="147"/>
      <c r="AS1477" s="147"/>
      <c r="AT1477" s="147"/>
      <c r="AU1477" s="147"/>
      <c r="AV1477" s="147"/>
      <c r="AW1477" s="147"/>
      <c r="AX1477" s="147"/>
      <c r="AY1477" s="147"/>
      <c r="AZ1477" s="147"/>
      <c r="BA1477" s="147"/>
      <c r="BB1477" s="147"/>
      <c r="BC1477" s="147"/>
      <c r="BD1477" s="147"/>
      <c r="BE1477" s="147"/>
      <c r="BF1477" s="147"/>
      <c r="BG1477" s="147"/>
      <c r="BH1477" s="147"/>
      <c r="BI1477" s="147"/>
      <c r="BJ1477" s="147"/>
      <c r="BK1477" s="147"/>
      <c r="BL1477" s="147"/>
      <c r="BM1477" s="147"/>
      <c r="BN1477" s="147"/>
      <c r="BO1477" s="147"/>
      <c r="BP1477" s="147"/>
      <c r="BQ1477" s="147"/>
      <c r="BR1477" s="147"/>
      <c r="BS1477" s="147"/>
      <c r="BT1477" s="147"/>
      <c r="BU1477" s="147"/>
      <c r="BV1477" s="147"/>
      <c r="BW1477" s="147"/>
      <c r="BX1477" s="147"/>
      <c r="BY1477" s="147"/>
      <c r="BZ1477" s="147"/>
      <c r="CA1477" s="147"/>
      <c r="CB1477" s="147"/>
      <c r="CC1477" s="147"/>
      <c r="CD1477" s="147"/>
      <c r="CE1477" s="147"/>
      <c r="CF1477" s="147"/>
      <c r="CG1477" s="147"/>
      <c r="CH1477" s="147"/>
      <c r="CI1477" s="147"/>
      <c r="CJ1477" s="147"/>
      <c r="CK1477" s="147"/>
    </row>
    <row r="1478" spans="1:89">
      <c r="A1478" s="157"/>
      <c r="F1478" s="3"/>
      <c r="G1478" s="3"/>
      <c r="L1478" s="157"/>
      <c r="M1478" s="157"/>
      <c r="O1478" s="147"/>
      <c r="P1478" s="147"/>
      <c r="Q1478" s="147"/>
      <c r="R1478" s="147"/>
      <c r="S1478" s="147"/>
      <c r="T1478" s="147"/>
      <c r="U1478" s="147"/>
      <c r="V1478" s="147"/>
      <c r="W1478" s="147"/>
      <c r="X1478" s="147"/>
      <c r="Y1478" s="147"/>
      <c r="Z1478" s="147"/>
      <c r="AA1478" s="147"/>
      <c r="AB1478" s="147"/>
      <c r="AC1478" s="147"/>
      <c r="AD1478" s="147"/>
      <c r="AE1478" s="147"/>
      <c r="AF1478" s="147"/>
      <c r="AG1478" s="147"/>
      <c r="AH1478" s="147"/>
      <c r="AI1478" s="147"/>
      <c r="AJ1478" s="147"/>
      <c r="AK1478" s="147"/>
      <c r="AL1478" s="147"/>
      <c r="AM1478" s="151"/>
      <c r="AN1478" s="147"/>
      <c r="AO1478" s="147"/>
      <c r="AP1478" s="147"/>
      <c r="AQ1478" s="147"/>
      <c r="AR1478" s="147"/>
      <c r="AS1478" s="147"/>
      <c r="AT1478" s="147"/>
      <c r="AU1478" s="147"/>
      <c r="AV1478" s="147"/>
      <c r="AW1478" s="147"/>
      <c r="AX1478" s="147"/>
      <c r="AY1478" s="147"/>
      <c r="AZ1478" s="147"/>
      <c r="BA1478" s="147"/>
      <c r="BB1478" s="147"/>
      <c r="BC1478" s="147"/>
      <c r="BD1478" s="147"/>
      <c r="BE1478" s="147"/>
      <c r="BF1478" s="147"/>
      <c r="BG1478" s="147"/>
      <c r="BH1478" s="147"/>
      <c r="BI1478" s="147"/>
      <c r="BJ1478" s="147"/>
      <c r="BK1478" s="147"/>
      <c r="BL1478" s="147"/>
      <c r="BM1478" s="147"/>
      <c r="BN1478" s="147"/>
      <c r="BO1478" s="147"/>
      <c r="BP1478" s="147"/>
      <c r="BQ1478" s="147"/>
      <c r="BR1478" s="147"/>
      <c r="BS1478" s="147"/>
      <c r="BT1478" s="147"/>
      <c r="BU1478" s="147"/>
      <c r="BV1478" s="147"/>
      <c r="BW1478" s="147"/>
      <c r="BX1478" s="147"/>
      <c r="BY1478" s="147"/>
      <c r="BZ1478" s="147"/>
      <c r="CA1478" s="147"/>
      <c r="CB1478" s="147"/>
      <c r="CC1478" s="147"/>
      <c r="CD1478" s="147"/>
      <c r="CE1478" s="147"/>
      <c r="CF1478" s="147"/>
      <c r="CG1478" s="147"/>
      <c r="CH1478" s="147"/>
      <c r="CI1478" s="147"/>
      <c r="CJ1478" s="147"/>
      <c r="CK1478" s="147"/>
    </row>
    <row r="1479" spans="1:89">
      <c r="A1479" s="157"/>
      <c r="F1479" s="3"/>
      <c r="G1479" s="3"/>
      <c r="L1479" s="157"/>
      <c r="M1479" s="157"/>
      <c r="O1479" s="147"/>
      <c r="P1479" s="147"/>
      <c r="Q1479" s="147"/>
      <c r="R1479" s="147"/>
      <c r="S1479" s="147"/>
      <c r="T1479" s="147"/>
      <c r="U1479" s="147"/>
      <c r="V1479" s="147"/>
      <c r="W1479" s="147"/>
      <c r="X1479" s="147"/>
      <c r="Y1479" s="147"/>
      <c r="Z1479" s="147"/>
      <c r="AA1479" s="147"/>
      <c r="AB1479" s="147"/>
      <c r="AC1479" s="147"/>
      <c r="AD1479" s="147"/>
      <c r="AE1479" s="147"/>
      <c r="AF1479" s="147"/>
      <c r="AG1479" s="147"/>
      <c r="AH1479" s="147"/>
      <c r="AI1479" s="147"/>
      <c r="AJ1479" s="147"/>
      <c r="AK1479" s="147"/>
      <c r="AL1479" s="147"/>
      <c r="AM1479" s="151"/>
      <c r="AN1479" s="147"/>
      <c r="AO1479" s="147"/>
      <c r="AP1479" s="147"/>
      <c r="AQ1479" s="147"/>
      <c r="AR1479" s="147"/>
      <c r="AS1479" s="147"/>
      <c r="AT1479" s="147"/>
      <c r="AU1479" s="147"/>
      <c r="AV1479" s="147"/>
      <c r="AW1479" s="147"/>
      <c r="AX1479" s="147"/>
      <c r="AY1479" s="147"/>
      <c r="AZ1479" s="147"/>
      <c r="BA1479" s="147"/>
      <c r="BB1479" s="147"/>
      <c r="BC1479" s="147"/>
      <c r="BD1479" s="147"/>
      <c r="BE1479" s="147"/>
      <c r="BF1479" s="147"/>
      <c r="BG1479" s="147"/>
      <c r="BH1479" s="147"/>
      <c r="BI1479" s="147"/>
      <c r="BJ1479" s="147"/>
      <c r="BK1479" s="147"/>
      <c r="BL1479" s="147"/>
      <c r="BM1479" s="147"/>
      <c r="BN1479" s="147"/>
      <c r="BO1479" s="147"/>
      <c r="BP1479" s="147"/>
      <c r="BQ1479" s="147"/>
      <c r="BR1479" s="147"/>
      <c r="BS1479" s="147"/>
      <c r="BT1479" s="147"/>
      <c r="BU1479" s="147"/>
      <c r="BV1479" s="147"/>
      <c r="BW1479" s="147"/>
      <c r="BX1479" s="147"/>
      <c r="BY1479" s="147"/>
      <c r="BZ1479" s="147"/>
      <c r="CA1479" s="147"/>
      <c r="CB1479" s="147"/>
      <c r="CC1479" s="147"/>
      <c r="CD1479" s="147"/>
      <c r="CE1479" s="147"/>
      <c r="CF1479" s="147"/>
      <c r="CG1479" s="147"/>
      <c r="CH1479" s="147"/>
      <c r="CI1479" s="147"/>
      <c r="CJ1479" s="147"/>
      <c r="CK1479" s="147"/>
    </row>
    <row r="1480" spans="1:89">
      <c r="A1480" s="157"/>
      <c r="F1480" s="3"/>
      <c r="G1480" s="3"/>
      <c r="L1480" s="157"/>
      <c r="M1480" s="157"/>
      <c r="O1480" s="147"/>
      <c r="P1480" s="147"/>
      <c r="Q1480" s="147"/>
      <c r="R1480" s="147"/>
      <c r="S1480" s="147"/>
      <c r="T1480" s="147"/>
      <c r="U1480" s="147"/>
      <c r="V1480" s="147"/>
      <c r="W1480" s="147"/>
      <c r="X1480" s="147"/>
      <c r="Y1480" s="147"/>
      <c r="Z1480" s="147"/>
      <c r="AA1480" s="147"/>
      <c r="AB1480" s="147"/>
      <c r="AC1480" s="147"/>
      <c r="AD1480" s="147"/>
      <c r="AE1480" s="147"/>
      <c r="AF1480" s="147"/>
      <c r="AG1480" s="147"/>
      <c r="AH1480" s="147"/>
      <c r="AI1480" s="147"/>
      <c r="AJ1480" s="147"/>
      <c r="AK1480" s="147"/>
      <c r="AL1480" s="147"/>
      <c r="AM1480" s="151"/>
      <c r="AN1480" s="147"/>
      <c r="AO1480" s="147"/>
      <c r="AP1480" s="147"/>
      <c r="AQ1480" s="147"/>
      <c r="AR1480" s="147"/>
      <c r="AS1480" s="147"/>
      <c r="AT1480" s="147"/>
      <c r="AU1480" s="147"/>
      <c r="AV1480" s="147"/>
      <c r="AW1480" s="147"/>
      <c r="AX1480" s="147"/>
      <c r="AY1480" s="147"/>
      <c r="AZ1480" s="147"/>
      <c r="BA1480" s="147"/>
      <c r="BB1480" s="147"/>
      <c r="BC1480" s="147"/>
      <c r="BD1480" s="147"/>
      <c r="BE1480" s="147"/>
      <c r="BF1480" s="147"/>
      <c r="BG1480" s="147"/>
      <c r="BH1480" s="147"/>
      <c r="BI1480" s="147"/>
      <c r="BJ1480" s="147"/>
      <c r="BK1480" s="147"/>
      <c r="BL1480" s="147"/>
      <c r="BM1480" s="147"/>
      <c r="BN1480" s="147"/>
      <c r="BO1480" s="147"/>
      <c r="BP1480" s="147"/>
      <c r="BQ1480" s="147"/>
      <c r="BR1480" s="147"/>
      <c r="BS1480" s="147"/>
      <c r="BT1480" s="147"/>
      <c r="BU1480" s="147"/>
      <c r="BV1480" s="147"/>
      <c r="BW1480" s="147"/>
      <c r="BX1480" s="147"/>
      <c r="BY1480" s="147"/>
      <c r="BZ1480" s="147"/>
      <c r="CA1480" s="147"/>
      <c r="CB1480" s="147"/>
      <c r="CC1480" s="147"/>
      <c r="CD1480" s="147"/>
      <c r="CE1480" s="147"/>
      <c r="CF1480" s="147"/>
      <c r="CG1480" s="147"/>
      <c r="CH1480" s="147"/>
      <c r="CI1480" s="147"/>
      <c r="CJ1480" s="147"/>
      <c r="CK1480" s="147"/>
    </row>
    <row r="1481" spans="1:89">
      <c r="A1481" s="157"/>
      <c r="F1481" s="3"/>
      <c r="G1481" s="3"/>
      <c r="L1481" s="157"/>
      <c r="M1481" s="157"/>
      <c r="O1481" s="147"/>
      <c r="P1481" s="147"/>
      <c r="Q1481" s="147"/>
      <c r="R1481" s="147"/>
      <c r="S1481" s="147"/>
      <c r="T1481" s="147"/>
      <c r="U1481" s="147"/>
      <c r="V1481" s="147"/>
      <c r="W1481" s="147"/>
      <c r="X1481" s="147"/>
      <c r="Y1481" s="147"/>
      <c r="Z1481" s="147"/>
      <c r="AA1481" s="147"/>
      <c r="AB1481" s="147"/>
      <c r="AC1481" s="147"/>
      <c r="AD1481" s="147"/>
      <c r="AE1481" s="147"/>
      <c r="AF1481" s="147"/>
      <c r="AG1481" s="147"/>
      <c r="AH1481" s="147"/>
      <c r="AI1481" s="147"/>
      <c r="AJ1481" s="147"/>
      <c r="AK1481" s="147"/>
      <c r="AL1481" s="147"/>
      <c r="AM1481" s="151"/>
      <c r="AN1481" s="147"/>
      <c r="AO1481" s="147"/>
      <c r="AP1481" s="147"/>
      <c r="AQ1481" s="147"/>
      <c r="AR1481" s="147"/>
      <c r="AS1481" s="147"/>
      <c r="AT1481" s="147"/>
      <c r="AU1481" s="147"/>
      <c r="AV1481" s="147"/>
      <c r="AW1481" s="147"/>
      <c r="AX1481" s="147"/>
      <c r="AY1481" s="147"/>
      <c r="AZ1481" s="147"/>
      <c r="BA1481" s="147"/>
      <c r="BB1481" s="147"/>
      <c r="BC1481" s="147"/>
      <c r="BD1481" s="147"/>
      <c r="BE1481" s="147"/>
      <c r="BF1481" s="147"/>
      <c r="BG1481" s="147"/>
      <c r="BH1481" s="147"/>
      <c r="BI1481" s="147"/>
      <c r="BJ1481" s="147"/>
      <c r="BK1481" s="147"/>
      <c r="BL1481" s="147"/>
      <c r="BM1481" s="147"/>
      <c r="BN1481" s="147"/>
      <c r="BO1481" s="147"/>
      <c r="BP1481" s="147"/>
      <c r="BQ1481" s="147"/>
      <c r="BR1481" s="147"/>
      <c r="BS1481" s="147"/>
      <c r="BT1481" s="147"/>
      <c r="BU1481" s="147"/>
      <c r="BV1481" s="147"/>
      <c r="BW1481" s="147"/>
      <c r="BX1481" s="147"/>
      <c r="BY1481" s="147"/>
      <c r="BZ1481" s="147"/>
      <c r="CA1481" s="147"/>
      <c r="CB1481" s="147"/>
      <c r="CC1481" s="147"/>
      <c r="CD1481" s="147"/>
      <c r="CE1481" s="147"/>
      <c r="CF1481" s="147"/>
      <c r="CG1481" s="147"/>
      <c r="CH1481" s="147"/>
      <c r="CI1481" s="147"/>
      <c r="CJ1481" s="147"/>
      <c r="CK1481" s="147"/>
    </row>
    <row r="1482" spans="1:89">
      <c r="A1482" s="157"/>
      <c r="F1482" s="3"/>
      <c r="G1482" s="3"/>
      <c r="L1482" s="157"/>
      <c r="M1482" s="157"/>
      <c r="O1482" s="147"/>
      <c r="P1482" s="147"/>
      <c r="Q1482" s="147"/>
      <c r="R1482" s="147"/>
      <c r="S1482" s="147"/>
      <c r="T1482" s="147"/>
      <c r="U1482" s="147"/>
      <c r="V1482" s="147"/>
      <c r="W1482" s="147"/>
      <c r="X1482" s="147"/>
      <c r="Y1482" s="147"/>
      <c r="Z1482" s="147"/>
      <c r="AA1482" s="147"/>
      <c r="AB1482" s="147"/>
      <c r="AC1482" s="147"/>
      <c r="AD1482" s="147"/>
      <c r="AE1482" s="147"/>
      <c r="AF1482" s="147"/>
      <c r="AG1482" s="147"/>
      <c r="AH1482" s="147"/>
      <c r="AI1482" s="147"/>
      <c r="AJ1482" s="147"/>
      <c r="AK1482" s="147"/>
      <c r="AL1482" s="147"/>
      <c r="AM1482" s="151"/>
      <c r="AN1482" s="147"/>
      <c r="AO1482" s="147"/>
      <c r="AP1482" s="147"/>
      <c r="AQ1482" s="147"/>
      <c r="AR1482" s="147"/>
      <c r="AS1482" s="147"/>
      <c r="AT1482" s="147"/>
      <c r="AU1482" s="147"/>
      <c r="AV1482" s="147"/>
      <c r="AW1482" s="147"/>
      <c r="AX1482" s="147"/>
      <c r="AY1482" s="147"/>
      <c r="AZ1482" s="147"/>
      <c r="BA1482" s="147"/>
      <c r="BB1482" s="147"/>
      <c r="BC1482" s="147"/>
      <c r="BD1482" s="147"/>
      <c r="BE1482" s="147"/>
      <c r="BF1482" s="147"/>
      <c r="BG1482" s="147"/>
      <c r="BH1482" s="147"/>
      <c r="BI1482" s="147"/>
      <c r="BJ1482" s="147"/>
      <c r="BK1482" s="147"/>
      <c r="BL1482" s="147"/>
      <c r="BM1482" s="147"/>
      <c r="BN1482" s="147"/>
      <c r="BO1482" s="147"/>
      <c r="BP1482" s="147"/>
      <c r="BQ1482" s="147"/>
      <c r="BR1482" s="147"/>
      <c r="BS1482" s="147"/>
      <c r="BT1482" s="147"/>
      <c r="BU1482" s="147"/>
      <c r="BV1482" s="147"/>
      <c r="BW1482" s="147"/>
      <c r="BX1482" s="147"/>
      <c r="BY1482" s="147"/>
      <c r="BZ1482" s="147"/>
      <c r="CA1482" s="147"/>
      <c r="CB1482" s="147"/>
      <c r="CC1482" s="147"/>
      <c r="CD1482" s="147"/>
      <c r="CE1482" s="147"/>
      <c r="CF1482" s="147"/>
      <c r="CG1482" s="147"/>
      <c r="CH1482" s="147"/>
      <c r="CI1482" s="147"/>
      <c r="CJ1482" s="147"/>
      <c r="CK1482" s="147"/>
    </row>
    <row r="1483" spans="1:89">
      <c r="A1483" s="157"/>
      <c r="F1483" s="3"/>
      <c r="G1483" s="3"/>
      <c r="L1483" s="157"/>
      <c r="M1483" s="157"/>
      <c r="O1483" s="147"/>
      <c r="P1483" s="147"/>
      <c r="Q1483" s="147"/>
      <c r="R1483" s="147"/>
      <c r="S1483" s="147"/>
      <c r="T1483" s="147"/>
      <c r="U1483" s="147"/>
      <c r="V1483" s="147"/>
      <c r="W1483" s="147"/>
      <c r="X1483" s="147"/>
      <c r="Y1483" s="147"/>
      <c r="Z1483" s="147"/>
      <c r="AA1483" s="147"/>
      <c r="AB1483" s="147"/>
      <c r="AC1483" s="147"/>
      <c r="AD1483" s="147"/>
      <c r="AE1483" s="147"/>
      <c r="AF1483" s="147"/>
      <c r="AG1483" s="147"/>
      <c r="AH1483" s="147"/>
      <c r="AI1483" s="147"/>
      <c r="AJ1483" s="147"/>
      <c r="AK1483" s="147"/>
      <c r="AL1483" s="147"/>
      <c r="AM1483" s="151"/>
      <c r="AN1483" s="147"/>
      <c r="AO1483" s="147"/>
      <c r="AP1483" s="147"/>
      <c r="AQ1483" s="147"/>
      <c r="AR1483" s="147"/>
      <c r="AS1483" s="147"/>
      <c r="AT1483" s="147"/>
      <c r="AU1483" s="147"/>
      <c r="AV1483" s="147"/>
      <c r="AW1483" s="147"/>
      <c r="AX1483" s="147"/>
      <c r="AY1483" s="147"/>
      <c r="AZ1483" s="147"/>
      <c r="BA1483" s="147"/>
      <c r="BB1483" s="147"/>
      <c r="BC1483" s="147"/>
      <c r="BD1483" s="147"/>
      <c r="BE1483" s="147"/>
      <c r="BF1483" s="147"/>
      <c r="BG1483" s="147"/>
      <c r="BH1483" s="147"/>
      <c r="BI1483" s="147"/>
      <c r="BJ1483" s="147"/>
      <c r="BK1483" s="147"/>
      <c r="BL1483" s="147"/>
      <c r="BM1483" s="147"/>
      <c r="BN1483" s="147"/>
      <c r="BO1483" s="147"/>
      <c r="BP1483" s="147"/>
      <c r="BQ1483" s="147"/>
      <c r="BR1483" s="147"/>
      <c r="BS1483" s="147"/>
      <c r="BT1483" s="147"/>
      <c r="BU1483" s="147"/>
      <c r="BV1483" s="147"/>
      <c r="BW1483" s="147"/>
      <c r="BX1483" s="147"/>
      <c r="BY1483" s="147"/>
      <c r="BZ1483" s="147"/>
      <c r="CA1483" s="147"/>
      <c r="CB1483" s="147"/>
      <c r="CC1483" s="147"/>
      <c r="CD1483" s="147"/>
      <c r="CE1483" s="147"/>
      <c r="CF1483" s="147"/>
      <c r="CG1483" s="147"/>
      <c r="CH1483" s="147"/>
      <c r="CI1483" s="147"/>
      <c r="CJ1483" s="147"/>
      <c r="CK1483" s="147"/>
    </row>
    <row r="1484" spans="1:89">
      <c r="A1484" s="157"/>
      <c r="F1484" s="3"/>
      <c r="G1484" s="3"/>
      <c r="L1484" s="157"/>
      <c r="M1484" s="157"/>
      <c r="O1484" s="147"/>
      <c r="P1484" s="147"/>
      <c r="Q1484" s="147"/>
      <c r="R1484" s="147"/>
      <c r="S1484" s="147"/>
      <c r="T1484" s="147"/>
      <c r="U1484" s="147"/>
      <c r="V1484" s="147"/>
      <c r="W1484" s="147"/>
      <c r="X1484" s="147"/>
      <c r="Y1484" s="147"/>
      <c r="Z1484" s="147"/>
      <c r="AA1484" s="147"/>
      <c r="AB1484" s="147"/>
      <c r="AC1484" s="147"/>
      <c r="AD1484" s="147"/>
      <c r="AE1484" s="147"/>
      <c r="AF1484" s="147"/>
      <c r="AG1484" s="147"/>
      <c r="AH1484" s="147"/>
      <c r="AI1484" s="147"/>
      <c r="AJ1484" s="147"/>
      <c r="AK1484" s="147"/>
      <c r="AL1484" s="147"/>
      <c r="AM1484" s="151"/>
      <c r="AN1484" s="147"/>
      <c r="AO1484" s="147"/>
      <c r="AP1484" s="147"/>
      <c r="AQ1484" s="147"/>
      <c r="AR1484" s="147"/>
      <c r="AS1484" s="147"/>
      <c r="AT1484" s="147"/>
      <c r="AU1484" s="147"/>
      <c r="AV1484" s="147"/>
      <c r="AW1484" s="147"/>
      <c r="AX1484" s="147"/>
      <c r="AY1484" s="147"/>
      <c r="AZ1484" s="147"/>
      <c r="BA1484" s="147"/>
      <c r="BB1484" s="147"/>
      <c r="BC1484" s="147"/>
      <c r="BD1484" s="147"/>
      <c r="BE1484" s="147"/>
      <c r="BF1484" s="147"/>
      <c r="BG1484" s="147"/>
      <c r="BH1484" s="147"/>
      <c r="BI1484" s="147"/>
      <c r="BJ1484" s="147"/>
      <c r="BK1484" s="147"/>
      <c r="BL1484" s="147"/>
      <c r="BM1484" s="147"/>
      <c r="BN1484" s="147"/>
      <c r="BO1484" s="147"/>
      <c r="BP1484" s="147"/>
      <c r="BQ1484" s="147"/>
      <c r="BR1484" s="147"/>
      <c r="BS1484" s="147"/>
      <c r="BT1484" s="147"/>
      <c r="BU1484" s="147"/>
      <c r="BV1484" s="147"/>
      <c r="BW1484" s="147"/>
      <c r="BX1484" s="147"/>
      <c r="BY1484" s="147"/>
      <c r="BZ1484" s="147"/>
      <c r="CA1484" s="147"/>
      <c r="CB1484" s="147"/>
      <c r="CC1484" s="147"/>
      <c r="CD1484" s="147"/>
      <c r="CE1484" s="147"/>
      <c r="CF1484" s="147"/>
      <c r="CG1484" s="147"/>
      <c r="CH1484" s="147"/>
      <c r="CI1484" s="147"/>
      <c r="CJ1484" s="147"/>
      <c r="CK1484" s="147"/>
    </row>
    <row r="1485" spans="1:89">
      <c r="A1485" s="157"/>
      <c r="F1485" s="3"/>
      <c r="G1485" s="3"/>
      <c r="L1485" s="157"/>
      <c r="M1485" s="157"/>
      <c r="O1485" s="147"/>
      <c r="P1485" s="147"/>
      <c r="Q1485" s="147"/>
      <c r="R1485" s="147"/>
      <c r="S1485" s="147"/>
      <c r="T1485" s="147"/>
      <c r="U1485" s="147"/>
      <c r="V1485" s="147"/>
      <c r="W1485" s="147"/>
      <c r="X1485" s="147"/>
      <c r="Y1485" s="147"/>
      <c r="Z1485" s="147"/>
      <c r="AA1485" s="147"/>
      <c r="AB1485" s="147"/>
      <c r="AC1485" s="147"/>
      <c r="AD1485" s="147"/>
      <c r="AE1485" s="147"/>
      <c r="AF1485" s="147"/>
      <c r="AG1485" s="147"/>
      <c r="AH1485" s="147"/>
      <c r="AI1485" s="147"/>
      <c r="AJ1485" s="147"/>
      <c r="AK1485" s="147"/>
      <c r="AL1485" s="147"/>
      <c r="AM1485" s="151"/>
      <c r="AN1485" s="147"/>
      <c r="AO1485" s="147"/>
      <c r="AP1485" s="147"/>
      <c r="AQ1485" s="147"/>
      <c r="AR1485" s="147"/>
      <c r="AS1485" s="147"/>
      <c r="AT1485" s="147"/>
      <c r="AU1485" s="147"/>
      <c r="AV1485" s="147"/>
      <c r="AW1485" s="147"/>
      <c r="AX1485" s="147"/>
      <c r="AY1485" s="147"/>
      <c r="AZ1485" s="147"/>
      <c r="BA1485" s="147"/>
      <c r="BB1485" s="147"/>
      <c r="BC1485" s="147"/>
      <c r="BD1485" s="147"/>
      <c r="BE1485" s="147"/>
      <c r="BF1485" s="147"/>
      <c r="BG1485" s="147"/>
      <c r="BH1485" s="147"/>
      <c r="BI1485" s="147"/>
      <c r="BJ1485" s="147"/>
      <c r="BK1485" s="147"/>
      <c r="BL1485" s="147"/>
      <c r="BM1485" s="147"/>
      <c r="BN1485" s="147"/>
      <c r="BO1485" s="147"/>
      <c r="BP1485" s="147"/>
      <c r="BQ1485" s="147"/>
      <c r="BR1485" s="147"/>
      <c r="BS1485" s="147"/>
      <c r="BT1485" s="147"/>
      <c r="BU1485" s="147"/>
      <c r="BV1485" s="147"/>
      <c r="BW1485" s="147"/>
      <c r="BX1485" s="147"/>
      <c r="BY1485" s="147"/>
      <c r="BZ1485" s="147"/>
      <c r="CA1485" s="147"/>
      <c r="CB1485" s="147"/>
      <c r="CC1485" s="147"/>
      <c r="CD1485" s="147"/>
      <c r="CE1485" s="147"/>
      <c r="CF1485" s="147"/>
      <c r="CG1485" s="147"/>
      <c r="CH1485" s="147"/>
      <c r="CI1485" s="147"/>
      <c r="CJ1485" s="147"/>
      <c r="CK1485" s="147"/>
    </row>
    <row r="1486" spans="1:89">
      <c r="A1486" s="157"/>
      <c r="F1486" s="3"/>
      <c r="G1486" s="3"/>
      <c r="L1486" s="157"/>
      <c r="M1486" s="157"/>
      <c r="O1486" s="147"/>
      <c r="P1486" s="147"/>
      <c r="Q1486" s="147"/>
      <c r="R1486" s="147"/>
      <c r="S1486" s="147"/>
      <c r="T1486" s="147"/>
      <c r="U1486" s="147"/>
      <c r="V1486" s="147"/>
      <c r="W1486" s="147"/>
      <c r="X1486" s="147"/>
      <c r="Y1486" s="147"/>
      <c r="Z1486" s="147"/>
      <c r="AA1486" s="147"/>
      <c r="AB1486" s="147"/>
      <c r="AC1486" s="147"/>
      <c r="AD1486" s="147"/>
      <c r="AE1486" s="147"/>
      <c r="AF1486" s="147"/>
      <c r="AG1486" s="147"/>
      <c r="AH1486" s="147"/>
      <c r="AI1486" s="147"/>
      <c r="AJ1486" s="147"/>
      <c r="AK1486" s="147"/>
      <c r="AL1486" s="147"/>
      <c r="AM1486" s="151"/>
      <c r="AN1486" s="147"/>
      <c r="AO1486" s="147"/>
      <c r="AP1486" s="147"/>
      <c r="AQ1486" s="147"/>
      <c r="AR1486" s="147"/>
      <c r="AS1486" s="147"/>
      <c r="AT1486" s="147"/>
      <c r="AU1486" s="147"/>
      <c r="AV1486" s="147"/>
      <c r="AW1486" s="147"/>
      <c r="AX1486" s="147"/>
      <c r="AY1486" s="147"/>
      <c r="AZ1486" s="147"/>
      <c r="BA1486" s="147"/>
      <c r="BB1486" s="147"/>
      <c r="BC1486" s="147"/>
      <c r="BD1486" s="147"/>
      <c r="BE1486" s="147"/>
      <c r="BF1486" s="147"/>
      <c r="BG1486" s="147"/>
      <c r="BH1486" s="147"/>
      <c r="BI1486" s="147"/>
      <c r="BJ1486" s="147"/>
      <c r="BK1486" s="147"/>
      <c r="BL1486" s="147"/>
      <c r="BM1486" s="147"/>
      <c r="BN1486" s="147"/>
      <c r="BO1486" s="147"/>
      <c r="BP1486" s="147"/>
      <c r="BQ1486" s="147"/>
      <c r="BR1486" s="147"/>
      <c r="BS1486" s="147"/>
      <c r="BT1486" s="147"/>
      <c r="BU1486" s="147"/>
      <c r="BV1486" s="147"/>
      <c r="BW1486" s="147"/>
      <c r="BX1486" s="147"/>
      <c r="BY1486" s="147"/>
      <c r="BZ1486" s="147"/>
      <c r="CA1486" s="147"/>
      <c r="CB1486" s="147"/>
      <c r="CC1486" s="147"/>
      <c r="CD1486" s="147"/>
      <c r="CE1486" s="147"/>
      <c r="CF1486" s="147"/>
      <c r="CG1486" s="147"/>
      <c r="CH1486" s="147"/>
      <c r="CI1486" s="147"/>
      <c r="CJ1486" s="147"/>
      <c r="CK1486" s="147"/>
    </row>
    <row r="1487" spans="1:89">
      <c r="A1487" s="157"/>
      <c r="F1487" s="3"/>
      <c r="G1487" s="3"/>
      <c r="L1487" s="157"/>
      <c r="M1487" s="157"/>
      <c r="O1487" s="147"/>
      <c r="P1487" s="147"/>
      <c r="Q1487" s="147"/>
      <c r="R1487" s="147"/>
      <c r="S1487" s="147"/>
      <c r="T1487" s="147"/>
      <c r="U1487" s="147"/>
      <c r="V1487" s="147"/>
      <c r="W1487" s="147"/>
      <c r="X1487" s="147"/>
      <c r="Y1487" s="147"/>
      <c r="Z1487" s="147"/>
      <c r="AA1487" s="147"/>
      <c r="AB1487" s="147"/>
      <c r="AC1487" s="147"/>
      <c r="AD1487" s="147"/>
      <c r="AE1487" s="147"/>
      <c r="AF1487" s="147"/>
      <c r="AG1487" s="147"/>
      <c r="AH1487" s="147"/>
      <c r="AI1487" s="147"/>
      <c r="AJ1487" s="147"/>
      <c r="AK1487" s="147"/>
      <c r="AL1487" s="147"/>
      <c r="AM1487" s="151"/>
      <c r="AN1487" s="147"/>
      <c r="AO1487" s="147"/>
      <c r="AP1487" s="147"/>
      <c r="AQ1487" s="147"/>
      <c r="AR1487" s="147"/>
      <c r="AS1487" s="147"/>
      <c r="AT1487" s="147"/>
      <c r="AU1487" s="147"/>
      <c r="AV1487" s="147"/>
      <c r="AW1487" s="147"/>
      <c r="AX1487" s="147"/>
      <c r="AY1487" s="147"/>
      <c r="AZ1487" s="147"/>
      <c r="BA1487" s="147"/>
      <c r="BB1487" s="147"/>
      <c r="BC1487" s="147"/>
      <c r="BD1487" s="147"/>
      <c r="BE1487" s="147"/>
      <c r="BF1487" s="147"/>
      <c r="BG1487" s="147"/>
      <c r="BH1487" s="147"/>
      <c r="BI1487" s="147"/>
      <c r="BJ1487" s="147"/>
      <c r="BK1487" s="147"/>
      <c r="BL1487" s="147"/>
      <c r="BM1487" s="147"/>
      <c r="BN1487" s="147"/>
      <c r="BO1487" s="147"/>
      <c r="BP1487" s="147"/>
      <c r="BQ1487" s="147"/>
      <c r="BR1487" s="147"/>
      <c r="BS1487" s="147"/>
      <c r="BT1487" s="147"/>
      <c r="BU1487" s="147"/>
      <c r="BV1487" s="147"/>
      <c r="BW1487" s="147"/>
      <c r="BX1487" s="147"/>
      <c r="BY1487" s="147"/>
      <c r="BZ1487" s="147"/>
      <c r="CA1487" s="147"/>
      <c r="CB1487" s="147"/>
      <c r="CC1487" s="147"/>
      <c r="CD1487" s="147"/>
      <c r="CE1487" s="147"/>
      <c r="CF1487" s="147"/>
      <c r="CG1487" s="147"/>
      <c r="CH1487" s="147"/>
      <c r="CI1487" s="147"/>
      <c r="CJ1487" s="147"/>
      <c r="CK1487" s="147"/>
    </row>
    <row r="1488" spans="1:89">
      <c r="A1488" s="157"/>
      <c r="F1488" s="3"/>
      <c r="G1488" s="3"/>
      <c r="L1488" s="157"/>
      <c r="M1488" s="157"/>
      <c r="O1488" s="147"/>
      <c r="P1488" s="147"/>
      <c r="Q1488" s="147"/>
      <c r="R1488" s="147"/>
      <c r="S1488" s="147"/>
      <c r="T1488" s="147"/>
      <c r="U1488" s="147"/>
      <c r="V1488" s="147"/>
      <c r="W1488" s="147"/>
      <c r="X1488" s="147"/>
      <c r="Y1488" s="147"/>
      <c r="Z1488" s="147"/>
      <c r="AA1488" s="147"/>
      <c r="AB1488" s="147"/>
      <c r="AC1488" s="147"/>
      <c r="AD1488" s="147"/>
      <c r="AE1488" s="147"/>
      <c r="AF1488" s="147"/>
      <c r="AG1488" s="147"/>
      <c r="AH1488" s="147"/>
      <c r="AI1488" s="147"/>
      <c r="AJ1488" s="147"/>
      <c r="AK1488" s="147"/>
      <c r="AL1488" s="147"/>
      <c r="AM1488" s="151"/>
      <c r="AN1488" s="147"/>
      <c r="AO1488" s="147"/>
      <c r="AP1488" s="147"/>
      <c r="AQ1488" s="147"/>
      <c r="AR1488" s="147"/>
      <c r="AS1488" s="147"/>
      <c r="AT1488" s="147"/>
      <c r="AU1488" s="147"/>
      <c r="AV1488" s="147"/>
      <c r="AW1488" s="147"/>
      <c r="AX1488" s="147"/>
      <c r="AY1488" s="147"/>
      <c r="AZ1488" s="147"/>
      <c r="BA1488" s="147"/>
      <c r="BB1488" s="147"/>
      <c r="BC1488" s="147"/>
      <c r="BD1488" s="147"/>
      <c r="BE1488" s="147"/>
      <c r="BF1488" s="147"/>
      <c r="BG1488" s="147"/>
      <c r="BH1488" s="147"/>
      <c r="BI1488" s="147"/>
      <c r="BJ1488" s="147"/>
      <c r="BK1488" s="147"/>
      <c r="BL1488" s="147"/>
      <c r="BM1488" s="147"/>
      <c r="BN1488" s="147"/>
      <c r="BO1488" s="147"/>
      <c r="BP1488" s="147"/>
      <c r="BQ1488" s="147"/>
      <c r="BR1488" s="147"/>
      <c r="BS1488" s="147"/>
      <c r="BT1488" s="147"/>
      <c r="BU1488" s="147"/>
      <c r="BV1488" s="147"/>
      <c r="BW1488" s="147"/>
      <c r="BX1488" s="147"/>
      <c r="BY1488" s="147"/>
      <c r="BZ1488" s="147"/>
      <c r="CA1488" s="147"/>
      <c r="CB1488" s="147"/>
      <c r="CC1488" s="147"/>
      <c r="CD1488" s="147"/>
      <c r="CE1488" s="147"/>
      <c r="CF1488" s="147"/>
      <c r="CG1488" s="147"/>
      <c r="CH1488" s="147"/>
      <c r="CI1488" s="147"/>
      <c r="CJ1488" s="147"/>
      <c r="CK1488" s="147"/>
    </row>
    <row r="1489" spans="1:89">
      <c r="A1489" s="157"/>
      <c r="F1489" s="3"/>
      <c r="G1489" s="3"/>
      <c r="L1489" s="157"/>
      <c r="M1489" s="157"/>
      <c r="O1489" s="147"/>
      <c r="P1489" s="147"/>
      <c r="Q1489" s="147"/>
      <c r="R1489" s="147"/>
      <c r="S1489" s="147"/>
      <c r="T1489" s="147"/>
      <c r="U1489" s="147"/>
      <c r="V1489" s="147"/>
      <c r="W1489" s="147"/>
      <c r="X1489" s="147"/>
      <c r="Y1489" s="147"/>
      <c r="Z1489" s="147"/>
      <c r="AA1489" s="147"/>
      <c r="AB1489" s="147"/>
      <c r="AC1489" s="147"/>
      <c r="AD1489" s="147"/>
      <c r="AE1489" s="147"/>
      <c r="AF1489" s="147"/>
      <c r="AG1489" s="147"/>
      <c r="AH1489" s="147"/>
      <c r="AI1489" s="147"/>
      <c r="AJ1489" s="147"/>
      <c r="AK1489" s="147"/>
      <c r="AL1489" s="147"/>
      <c r="AM1489" s="151"/>
      <c r="AN1489" s="147"/>
      <c r="AO1489" s="147"/>
      <c r="AP1489" s="147"/>
      <c r="AQ1489" s="147"/>
      <c r="AR1489" s="147"/>
      <c r="AS1489" s="147"/>
      <c r="AT1489" s="147"/>
      <c r="AU1489" s="147"/>
      <c r="AV1489" s="147"/>
      <c r="AW1489" s="147"/>
      <c r="AX1489" s="147"/>
      <c r="AY1489" s="147"/>
      <c r="AZ1489" s="147"/>
      <c r="BA1489" s="147"/>
      <c r="BB1489" s="147"/>
      <c r="BC1489" s="147"/>
      <c r="BD1489" s="147"/>
      <c r="BE1489" s="147"/>
      <c r="BF1489" s="147"/>
      <c r="BG1489" s="147"/>
      <c r="BH1489" s="147"/>
      <c r="BI1489" s="147"/>
      <c r="BJ1489" s="147"/>
      <c r="BK1489" s="147"/>
      <c r="BL1489" s="147"/>
      <c r="BM1489" s="147"/>
      <c r="BN1489" s="147"/>
      <c r="BO1489" s="147"/>
      <c r="BP1489" s="147"/>
      <c r="BQ1489" s="147"/>
      <c r="BR1489" s="147"/>
      <c r="BS1489" s="147"/>
      <c r="BT1489" s="147"/>
      <c r="BU1489" s="147"/>
      <c r="BV1489" s="147"/>
      <c r="BW1489" s="147"/>
      <c r="BX1489" s="147"/>
      <c r="BY1489" s="147"/>
      <c r="BZ1489" s="147"/>
      <c r="CA1489" s="147"/>
      <c r="CB1489" s="147"/>
      <c r="CC1489" s="147"/>
      <c r="CD1489" s="147"/>
      <c r="CE1489" s="147"/>
      <c r="CF1489" s="147"/>
      <c r="CG1489" s="147"/>
      <c r="CH1489" s="147"/>
      <c r="CI1489" s="147"/>
      <c r="CJ1489" s="147"/>
      <c r="CK1489" s="147"/>
    </row>
    <row r="1490" spans="1:89">
      <c r="A1490" s="157"/>
      <c r="F1490" s="3"/>
      <c r="G1490" s="3"/>
      <c r="L1490" s="157"/>
      <c r="M1490" s="157"/>
      <c r="O1490" s="147"/>
      <c r="P1490" s="147"/>
      <c r="Q1490" s="147"/>
      <c r="R1490" s="147"/>
      <c r="S1490" s="147"/>
      <c r="T1490" s="147"/>
      <c r="U1490" s="147"/>
      <c r="V1490" s="147"/>
      <c r="W1490" s="147"/>
      <c r="X1490" s="147"/>
      <c r="Y1490" s="147"/>
      <c r="Z1490" s="147"/>
      <c r="AA1490" s="147"/>
      <c r="AB1490" s="147"/>
      <c r="AC1490" s="147"/>
      <c r="AD1490" s="147"/>
      <c r="AE1490" s="147"/>
      <c r="AF1490" s="147"/>
      <c r="AG1490" s="147"/>
      <c r="AH1490" s="147"/>
      <c r="AI1490" s="147"/>
      <c r="AJ1490" s="147"/>
      <c r="AK1490" s="147"/>
      <c r="AL1490" s="147"/>
      <c r="AM1490" s="151"/>
      <c r="AN1490" s="147"/>
      <c r="AO1490" s="147"/>
      <c r="AP1490" s="147"/>
      <c r="AQ1490" s="147"/>
      <c r="AR1490" s="147"/>
      <c r="AS1490" s="147"/>
      <c r="AT1490" s="147"/>
      <c r="AU1490" s="147"/>
      <c r="AV1490" s="147"/>
      <c r="AW1490" s="147"/>
      <c r="AX1490" s="147"/>
      <c r="AY1490" s="147"/>
      <c r="AZ1490" s="147"/>
      <c r="BA1490" s="147"/>
      <c r="BB1490" s="147"/>
      <c r="BC1490" s="147"/>
      <c r="BD1490" s="147"/>
      <c r="BE1490" s="147"/>
      <c r="BF1490" s="147"/>
      <c r="BG1490" s="147"/>
      <c r="BH1490" s="147"/>
      <c r="BI1490" s="147"/>
      <c r="BJ1490" s="147"/>
      <c r="BK1490" s="147"/>
      <c r="BL1490" s="147"/>
      <c r="BM1490" s="147"/>
      <c r="BN1490" s="147"/>
      <c r="BO1490" s="147"/>
      <c r="BP1490" s="147"/>
      <c r="BQ1490" s="147"/>
      <c r="BR1490" s="147"/>
      <c r="BS1490" s="147"/>
      <c r="BT1490" s="147"/>
      <c r="BU1490" s="147"/>
      <c r="BV1490" s="147"/>
      <c r="BW1490" s="147"/>
      <c r="BX1490" s="147"/>
      <c r="BY1490" s="147"/>
      <c r="BZ1490" s="147"/>
      <c r="CA1490" s="147"/>
      <c r="CB1490" s="147"/>
      <c r="CC1490" s="147"/>
      <c r="CD1490" s="147"/>
      <c r="CE1490" s="147"/>
      <c r="CF1490" s="147"/>
      <c r="CG1490" s="147"/>
      <c r="CH1490" s="147"/>
      <c r="CI1490" s="147"/>
      <c r="CJ1490" s="147"/>
      <c r="CK1490" s="147"/>
    </row>
    <row r="1491" spans="1:89">
      <c r="A1491" s="157"/>
      <c r="F1491" s="3"/>
      <c r="G1491" s="3"/>
      <c r="L1491" s="157"/>
      <c r="M1491" s="157"/>
      <c r="O1491" s="147"/>
      <c r="P1491" s="147"/>
      <c r="Q1491" s="147"/>
      <c r="R1491" s="147"/>
      <c r="S1491" s="147"/>
      <c r="T1491" s="147"/>
      <c r="U1491" s="147"/>
      <c r="V1491" s="147"/>
      <c r="W1491" s="147"/>
      <c r="X1491" s="147"/>
      <c r="Y1491" s="147"/>
      <c r="Z1491" s="147"/>
      <c r="AA1491" s="147"/>
      <c r="AB1491" s="147"/>
      <c r="AC1491" s="147"/>
      <c r="AD1491" s="147"/>
      <c r="AE1491" s="147"/>
      <c r="AF1491" s="147"/>
      <c r="AG1491" s="147"/>
      <c r="AH1491" s="147"/>
      <c r="AI1491" s="147"/>
      <c r="AJ1491" s="147"/>
      <c r="AK1491" s="147"/>
      <c r="AL1491" s="147"/>
      <c r="AM1491" s="151"/>
      <c r="AN1491" s="147"/>
      <c r="AO1491" s="147"/>
      <c r="AP1491" s="147"/>
      <c r="AQ1491" s="147"/>
      <c r="AR1491" s="147"/>
      <c r="AS1491" s="147"/>
      <c r="AT1491" s="147"/>
      <c r="AU1491" s="147"/>
      <c r="AV1491" s="147"/>
      <c r="AW1491" s="147"/>
      <c r="AX1491" s="147"/>
      <c r="AY1491" s="147"/>
      <c r="AZ1491" s="147"/>
      <c r="BA1491" s="147"/>
      <c r="BB1491" s="147"/>
      <c r="BC1491" s="147"/>
      <c r="BD1491" s="147"/>
      <c r="BE1491" s="147"/>
      <c r="BF1491" s="147"/>
      <c r="BG1491" s="147"/>
      <c r="BH1491" s="147"/>
      <c r="BI1491" s="147"/>
      <c r="BJ1491" s="147"/>
      <c r="BK1491" s="147"/>
      <c r="BL1491" s="147"/>
      <c r="BM1491" s="147"/>
      <c r="BN1491" s="147"/>
      <c r="BO1491" s="147"/>
      <c r="BP1491" s="147"/>
      <c r="BQ1491" s="147"/>
      <c r="BR1491" s="147"/>
      <c r="BS1491" s="147"/>
      <c r="BT1491" s="147"/>
      <c r="BU1491" s="147"/>
      <c r="BV1491" s="147"/>
      <c r="BW1491" s="147"/>
      <c r="BX1491" s="147"/>
      <c r="BY1491" s="147"/>
      <c r="BZ1491" s="147"/>
      <c r="CA1491" s="147"/>
      <c r="CB1491" s="147"/>
      <c r="CC1491" s="147"/>
      <c r="CD1491" s="147"/>
      <c r="CE1491" s="147"/>
      <c r="CF1491" s="147"/>
      <c r="CG1491" s="147"/>
      <c r="CH1491" s="147"/>
      <c r="CI1491" s="147"/>
      <c r="CJ1491" s="147"/>
      <c r="CK1491" s="147"/>
    </row>
    <row r="1492" spans="1:89">
      <c r="A1492" s="157"/>
      <c r="F1492" s="3"/>
      <c r="G1492" s="3"/>
      <c r="L1492" s="157"/>
      <c r="M1492" s="157"/>
      <c r="O1492" s="147"/>
      <c r="P1492" s="147"/>
      <c r="Q1492" s="147"/>
      <c r="R1492" s="147"/>
      <c r="S1492" s="147"/>
      <c r="T1492" s="147"/>
      <c r="U1492" s="147"/>
      <c r="V1492" s="147"/>
      <c r="W1492" s="147"/>
      <c r="X1492" s="147"/>
      <c r="Y1492" s="147"/>
      <c r="Z1492" s="147"/>
      <c r="AA1492" s="147"/>
      <c r="AB1492" s="147"/>
      <c r="AC1492" s="147"/>
      <c r="AD1492" s="147"/>
      <c r="AE1492" s="147"/>
      <c r="AF1492" s="147"/>
      <c r="AG1492" s="147"/>
      <c r="AH1492" s="147"/>
      <c r="AI1492" s="147"/>
      <c r="AJ1492" s="147"/>
      <c r="AK1492" s="147"/>
      <c r="AL1492" s="147"/>
      <c r="AM1492" s="151"/>
      <c r="AN1492" s="147"/>
      <c r="AO1492" s="147"/>
      <c r="AP1492" s="147"/>
      <c r="AQ1492" s="147"/>
      <c r="AR1492" s="147"/>
      <c r="AS1492" s="147"/>
      <c r="AT1492" s="147"/>
      <c r="AU1492" s="147"/>
      <c r="AV1492" s="147"/>
      <c r="AW1492" s="147"/>
      <c r="AX1492" s="147"/>
      <c r="AY1492" s="147"/>
      <c r="AZ1492" s="147"/>
      <c r="BA1492" s="147"/>
      <c r="BB1492" s="147"/>
      <c r="BC1492" s="147"/>
      <c r="BD1492" s="147"/>
      <c r="BE1492" s="147"/>
      <c r="BF1492" s="147"/>
      <c r="BG1492" s="147"/>
      <c r="BH1492" s="147"/>
      <c r="BI1492" s="147"/>
      <c r="BJ1492" s="147"/>
      <c r="BK1492" s="147"/>
      <c r="BL1492" s="147"/>
      <c r="BM1492" s="147"/>
      <c r="BN1492" s="147"/>
      <c r="BO1492" s="147"/>
      <c r="BP1492" s="147"/>
      <c r="BQ1492" s="147"/>
      <c r="BR1492" s="147"/>
      <c r="BS1492" s="147"/>
      <c r="BT1492" s="147"/>
      <c r="BU1492" s="147"/>
      <c r="BV1492" s="147"/>
      <c r="BW1492" s="147"/>
      <c r="BX1492" s="147"/>
      <c r="BY1492" s="147"/>
      <c r="BZ1492" s="147"/>
      <c r="CA1492" s="147"/>
      <c r="CB1492" s="147"/>
      <c r="CC1492" s="147"/>
      <c r="CD1492" s="147"/>
      <c r="CE1492" s="147"/>
      <c r="CF1492" s="147"/>
      <c r="CG1492" s="147"/>
      <c r="CH1492" s="147"/>
      <c r="CI1492" s="147"/>
      <c r="CJ1492" s="147"/>
      <c r="CK1492" s="147"/>
    </row>
    <row r="1493" spans="1:89">
      <c r="A1493" s="157"/>
      <c r="F1493" s="3"/>
      <c r="G1493" s="3"/>
      <c r="L1493" s="157"/>
      <c r="M1493" s="157"/>
      <c r="O1493" s="147"/>
      <c r="P1493" s="147"/>
      <c r="Q1493" s="147"/>
      <c r="R1493" s="147"/>
      <c r="S1493" s="147"/>
      <c r="T1493" s="147"/>
      <c r="U1493" s="147"/>
      <c r="V1493" s="147"/>
      <c r="W1493" s="147"/>
      <c r="X1493" s="147"/>
      <c r="Y1493" s="147"/>
      <c r="Z1493" s="147"/>
      <c r="AA1493" s="147"/>
      <c r="AB1493" s="147"/>
      <c r="AC1493" s="147"/>
      <c r="AD1493" s="147"/>
      <c r="AE1493" s="147"/>
      <c r="AF1493" s="147"/>
      <c r="AG1493" s="147"/>
      <c r="AH1493" s="147"/>
      <c r="AI1493" s="147"/>
      <c r="AJ1493" s="147"/>
      <c r="AK1493" s="147"/>
      <c r="AL1493" s="147"/>
      <c r="AM1493" s="151"/>
      <c r="AN1493" s="147"/>
      <c r="AO1493" s="147"/>
      <c r="AP1493" s="147"/>
      <c r="AQ1493" s="147"/>
      <c r="AR1493" s="147"/>
      <c r="AS1493" s="147"/>
      <c r="AT1493" s="147"/>
      <c r="AU1493" s="147"/>
      <c r="AV1493" s="147"/>
      <c r="AW1493" s="147"/>
      <c r="AX1493" s="147"/>
      <c r="AY1493" s="147"/>
      <c r="AZ1493" s="147"/>
      <c r="BA1493" s="147"/>
      <c r="BB1493" s="147"/>
      <c r="BC1493" s="147"/>
      <c r="BD1493" s="147"/>
      <c r="BE1493" s="147"/>
      <c r="BF1493" s="147"/>
      <c r="BG1493" s="147"/>
      <c r="BH1493" s="147"/>
      <c r="BI1493" s="147"/>
      <c r="BJ1493" s="147"/>
      <c r="BK1493" s="147"/>
      <c r="BL1493" s="147"/>
      <c r="BM1493" s="147"/>
      <c r="BN1493" s="147"/>
      <c r="BO1493" s="147"/>
      <c r="BP1493" s="147"/>
      <c r="BQ1493" s="147"/>
      <c r="BR1493" s="147"/>
      <c r="BS1493" s="147"/>
      <c r="BT1493" s="147"/>
      <c r="BU1493" s="147"/>
      <c r="BV1493" s="147"/>
      <c r="BW1493" s="147"/>
      <c r="BX1493" s="147"/>
      <c r="BY1493" s="147"/>
      <c r="BZ1493" s="147"/>
      <c r="CA1493" s="147"/>
      <c r="CB1493" s="147"/>
      <c r="CC1493" s="147"/>
      <c r="CD1493" s="147"/>
      <c r="CE1493" s="147"/>
      <c r="CF1493" s="147"/>
      <c r="CG1493" s="147"/>
      <c r="CH1493" s="147"/>
      <c r="CI1493" s="147"/>
      <c r="CJ1493" s="147"/>
      <c r="CK1493" s="147"/>
    </row>
    <row r="1494" spans="1:89">
      <c r="A1494" s="157"/>
      <c r="F1494" s="3"/>
      <c r="G1494" s="3"/>
      <c r="L1494" s="157"/>
      <c r="M1494" s="157"/>
      <c r="O1494" s="147"/>
      <c r="P1494" s="147"/>
      <c r="Q1494" s="147"/>
      <c r="R1494" s="147"/>
      <c r="S1494" s="147"/>
      <c r="T1494" s="147"/>
      <c r="U1494" s="147"/>
      <c r="V1494" s="147"/>
      <c r="W1494" s="147"/>
      <c r="X1494" s="147"/>
      <c r="Y1494" s="147"/>
      <c r="Z1494" s="147"/>
      <c r="AA1494" s="147"/>
      <c r="AB1494" s="147"/>
      <c r="AC1494" s="147"/>
      <c r="AD1494" s="147"/>
      <c r="AE1494" s="147"/>
      <c r="AF1494" s="147"/>
      <c r="AG1494" s="147"/>
      <c r="AH1494" s="147"/>
      <c r="AI1494" s="147"/>
      <c r="AJ1494" s="147"/>
      <c r="AK1494" s="147"/>
      <c r="AL1494" s="147"/>
      <c r="AM1494" s="151"/>
      <c r="AN1494" s="147"/>
      <c r="AO1494" s="147"/>
      <c r="AP1494" s="147"/>
      <c r="AQ1494" s="147"/>
      <c r="AR1494" s="147"/>
      <c r="AS1494" s="147"/>
      <c r="AT1494" s="147"/>
      <c r="AU1494" s="147"/>
      <c r="AV1494" s="147"/>
      <c r="AW1494" s="147"/>
      <c r="AX1494" s="147"/>
      <c r="AY1494" s="147"/>
      <c r="AZ1494" s="147"/>
      <c r="BA1494" s="147"/>
      <c r="BB1494" s="147"/>
      <c r="BC1494" s="147"/>
      <c r="BD1494" s="147"/>
      <c r="BE1494" s="147"/>
      <c r="BF1494" s="147"/>
      <c r="BG1494" s="147"/>
      <c r="BH1494" s="147"/>
      <c r="BI1494" s="147"/>
      <c r="BJ1494" s="147"/>
      <c r="BK1494" s="147"/>
      <c r="BL1494" s="147"/>
      <c r="BM1494" s="147"/>
      <c r="BN1494" s="147"/>
      <c r="BO1494" s="147"/>
      <c r="BP1494" s="147"/>
      <c r="BQ1494" s="147"/>
      <c r="BR1494" s="147"/>
      <c r="BS1494" s="147"/>
      <c r="BT1494" s="147"/>
      <c r="BU1494" s="147"/>
      <c r="BV1494" s="147"/>
      <c r="BW1494" s="147"/>
      <c r="BX1494" s="147"/>
      <c r="BY1494" s="147"/>
      <c r="BZ1494" s="147"/>
      <c r="CA1494" s="147"/>
      <c r="CB1494" s="147"/>
      <c r="CC1494" s="147"/>
      <c r="CD1494" s="147"/>
      <c r="CE1494" s="147"/>
      <c r="CF1494" s="147"/>
      <c r="CG1494" s="147"/>
      <c r="CH1494" s="147"/>
      <c r="CI1494" s="147"/>
      <c r="CJ1494" s="147"/>
      <c r="CK1494" s="147"/>
    </row>
    <row r="1495" spans="1:89">
      <c r="A1495" s="157"/>
      <c r="F1495" s="3"/>
      <c r="G1495" s="3"/>
      <c r="L1495" s="157"/>
      <c r="M1495" s="157"/>
      <c r="O1495" s="147"/>
      <c r="P1495" s="147"/>
      <c r="Q1495" s="147"/>
      <c r="R1495" s="147"/>
      <c r="S1495" s="147"/>
      <c r="T1495" s="147"/>
      <c r="U1495" s="147"/>
      <c r="V1495" s="147"/>
      <c r="W1495" s="147"/>
      <c r="X1495" s="147"/>
      <c r="Y1495" s="147"/>
      <c r="Z1495" s="147"/>
      <c r="AA1495" s="147"/>
      <c r="AB1495" s="147"/>
      <c r="AC1495" s="147"/>
      <c r="AD1495" s="147"/>
      <c r="AE1495" s="147"/>
      <c r="AF1495" s="147"/>
      <c r="AG1495" s="147"/>
      <c r="AH1495" s="147"/>
      <c r="AI1495" s="147"/>
      <c r="AJ1495" s="147"/>
      <c r="AK1495" s="147"/>
      <c r="AL1495" s="147"/>
      <c r="AM1495" s="151"/>
      <c r="AN1495" s="147"/>
      <c r="AO1495" s="147"/>
      <c r="AP1495" s="147"/>
      <c r="AQ1495" s="147"/>
      <c r="AR1495" s="147"/>
      <c r="AS1495" s="147"/>
      <c r="AT1495" s="147"/>
      <c r="AU1495" s="147"/>
      <c r="AV1495" s="147"/>
      <c r="AW1495" s="147"/>
      <c r="AX1495" s="147"/>
      <c r="AY1495" s="147"/>
      <c r="AZ1495" s="147"/>
      <c r="BA1495" s="147"/>
      <c r="BB1495" s="147"/>
      <c r="BC1495" s="147"/>
      <c r="BD1495" s="147"/>
      <c r="BE1495" s="147"/>
      <c r="BF1495" s="147"/>
      <c r="BG1495" s="147"/>
      <c r="BH1495" s="147"/>
      <c r="BI1495" s="147"/>
      <c r="BJ1495" s="147"/>
      <c r="BK1495" s="147"/>
      <c r="BL1495" s="147"/>
      <c r="BM1495" s="147"/>
      <c r="BN1495" s="147"/>
      <c r="BO1495" s="147"/>
      <c r="BP1495" s="147"/>
      <c r="BQ1495" s="147"/>
      <c r="BR1495" s="147"/>
      <c r="BS1495" s="147"/>
      <c r="BT1495" s="147"/>
      <c r="BU1495" s="147"/>
      <c r="BV1495" s="147"/>
      <c r="BW1495" s="147"/>
      <c r="BX1495" s="147"/>
      <c r="BY1495" s="147"/>
      <c r="BZ1495" s="147"/>
      <c r="CA1495" s="147"/>
      <c r="CB1495" s="147"/>
      <c r="CC1495" s="147"/>
      <c r="CD1495" s="147"/>
      <c r="CE1495" s="147"/>
      <c r="CF1495" s="147"/>
      <c r="CG1495" s="147"/>
      <c r="CH1495" s="147"/>
      <c r="CI1495" s="147"/>
      <c r="CJ1495" s="147"/>
      <c r="CK1495" s="147"/>
    </row>
    <row r="1496" spans="1:89">
      <c r="A1496" s="157"/>
      <c r="F1496" s="3"/>
      <c r="G1496" s="3"/>
      <c r="L1496" s="157"/>
      <c r="M1496" s="157"/>
      <c r="O1496" s="147"/>
      <c r="P1496" s="147"/>
      <c r="Q1496" s="147"/>
      <c r="R1496" s="147"/>
      <c r="S1496" s="147"/>
      <c r="T1496" s="147"/>
      <c r="U1496" s="147"/>
      <c r="V1496" s="147"/>
      <c r="W1496" s="147"/>
      <c r="X1496" s="147"/>
      <c r="Y1496" s="147"/>
      <c r="Z1496" s="147"/>
      <c r="AA1496" s="147"/>
      <c r="AB1496" s="147"/>
      <c r="AC1496" s="147"/>
      <c r="AD1496" s="147"/>
      <c r="AE1496" s="147"/>
      <c r="AF1496" s="147"/>
      <c r="AG1496" s="147"/>
      <c r="AH1496" s="147"/>
      <c r="AI1496" s="147"/>
      <c r="AJ1496" s="147"/>
      <c r="AK1496" s="147"/>
      <c r="AL1496" s="147"/>
      <c r="AM1496" s="151"/>
      <c r="AN1496" s="147"/>
      <c r="AO1496" s="147"/>
      <c r="AP1496" s="147"/>
      <c r="AQ1496" s="147"/>
      <c r="AR1496" s="147"/>
      <c r="AS1496" s="147"/>
      <c r="AT1496" s="147"/>
      <c r="AU1496" s="147"/>
      <c r="AV1496" s="147"/>
      <c r="AW1496" s="147"/>
      <c r="AX1496" s="147"/>
      <c r="AY1496" s="147"/>
      <c r="AZ1496" s="147"/>
      <c r="BA1496" s="147"/>
      <c r="BB1496" s="147"/>
      <c r="BC1496" s="147"/>
      <c r="BD1496" s="147"/>
      <c r="BE1496" s="147"/>
      <c r="BF1496" s="147"/>
      <c r="BG1496" s="147"/>
      <c r="BH1496" s="147"/>
      <c r="BI1496" s="147"/>
      <c r="BJ1496" s="147"/>
      <c r="BK1496" s="147"/>
      <c r="BL1496" s="147"/>
      <c r="BM1496" s="147"/>
      <c r="BN1496" s="147"/>
      <c r="BO1496" s="147"/>
      <c r="BP1496" s="147"/>
      <c r="BQ1496" s="147"/>
      <c r="BR1496" s="147"/>
      <c r="BS1496" s="147"/>
      <c r="BT1496" s="147"/>
      <c r="BU1496" s="147"/>
      <c r="BV1496" s="147"/>
      <c r="BW1496" s="147"/>
      <c r="BX1496" s="147"/>
      <c r="BY1496" s="147"/>
      <c r="BZ1496" s="147"/>
      <c r="CA1496" s="147"/>
      <c r="CB1496" s="147"/>
      <c r="CC1496" s="147"/>
      <c r="CD1496" s="147"/>
      <c r="CE1496" s="147"/>
      <c r="CF1496" s="147"/>
      <c r="CG1496" s="147"/>
      <c r="CH1496" s="147"/>
      <c r="CI1496" s="147"/>
      <c r="CJ1496" s="147"/>
      <c r="CK1496" s="147"/>
    </row>
    <row r="1497" spans="1:89">
      <c r="A1497" s="157"/>
      <c r="F1497" s="3"/>
      <c r="G1497" s="3"/>
      <c r="L1497" s="157"/>
      <c r="M1497" s="157"/>
      <c r="O1497" s="147"/>
      <c r="P1497" s="147"/>
      <c r="Q1497" s="147"/>
      <c r="R1497" s="147"/>
      <c r="S1497" s="147"/>
      <c r="T1497" s="147"/>
      <c r="U1497" s="147"/>
      <c r="V1497" s="147"/>
      <c r="W1497" s="147"/>
      <c r="X1497" s="147"/>
      <c r="Y1497" s="147"/>
      <c r="Z1497" s="147"/>
      <c r="AA1497" s="147"/>
      <c r="AB1497" s="147"/>
      <c r="AC1497" s="147"/>
      <c r="AD1497" s="147"/>
      <c r="AE1497" s="147"/>
      <c r="AF1497" s="147"/>
      <c r="AG1497" s="147"/>
      <c r="AH1497" s="147"/>
      <c r="AI1497" s="147"/>
      <c r="AJ1497" s="147"/>
      <c r="AK1497" s="147"/>
      <c r="AL1497" s="147"/>
      <c r="AM1497" s="151"/>
      <c r="AN1497" s="147"/>
      <c r="AO1497" s="147"/>
      <c r="AP1497" s="147"/>
      <c r="AQ1497" s="147"/>
      <c r="AR1497" s="147"/>
      <c r="AS1497" s="147"/>
      <c r="AT1497" s="147"/>
      <c r="AU1497" s="147"/>
      <c r="AV1497" s="147"/>
      <c r="AW1497" s="147"/>
      <c r="AX1497" s="147"/>
      <c r="AY1497" s="147"/>
      <c r="AZ1497" s="147"/>
      <c r="BA1497" s="147"/>
      <c r="BB1497" s="147"/>
      <c r="BC1497" s="147"/>
      <c r="BD1497" s="147"/>
      <c r="BE1497" s="147"/>
      <c r="BF1497" s="147"/>
      <c r="BG1497" s="147"/>
      <c r="BH1497" s="147"/>
      <c r="BI1497" s="147"/>
      <c r="BJ1497" s="147"/>
      <c r="BK1497" s="147"/>
      <c r="BL1497" s="147"/>
      <c r="BM1497" s="147"/>
      <c r="BN1497" s="147"/>
      <c r="BO1497" s="147"/>
      <c r="BP1497" s="147"/>
      <c r="BQ1497" s="147"/>
      <c r="BR1497" s="147"/>
      <c r="BS1497" s="147"/>
      <c r="BT1497" s="147"/>
      <c r="BU1497" s="147"/>
      <c r="BV1497" s="147"/>
      <c r="BW1497" s="147"/>
      <c r="BX1497" s="147"/>
      <c r="BY1497" s="147"/>
      <c r="BZ1497" s="147"/>
      <c r="CA1497" s="147"/>
      <c r="CB1497" s="147"/>
      <c r="CC1497" s="147"/>
      <c r="CD1497" s="147"/>
      <c r="CE1497" s="147"/>
      <c r="CF1497" s="147"/>
      <c r="CG1497" s="147"/>
      <c r="CH1497" s="147"/>
      <c r="CI1497" s="147"/>
      <c r="CJ1497" s="147"/>
      <c r="CK1497" s="147"/>
    </row>
    <row r="1498" spans="1:89">
      <c r="A1498" s="157"/>
      <c r="F1498" s="3"/>
      <c r="G1498" s="3"/>
      <c r="L1498" s="157"/>
      <c r="M1498" s="157"/>
      <c r="O1498" s="147"/>
      <c r="P1498" s="147"/>
      <c r="Q1498" s="147"/>
      <c r="R1498" s="147"/>
      <c r="S1498" s="147"/>
      <c r="T1498" s="147"/>
      <c r="U1498" s="147"/>
      <c r="V1498" s="147"/>
      <c r="W1498" s="147"/>
      <c r="X1498" s="147"/>
      <c r="Y1498" s="147"/>
      <c r="Z1498" s="147"/>
      <c r="AA1498" s="147"/>
      <c r="AB1498" s="147"/>
      <c r="AC1498" s="147"/>
      <c r="AD1498" s="147"/>
      <c r="AE1498" s="147"/>
      <c r="AF1498" s="147"/>
      <c r="AG1498" s="147"/>
      <c r="AH1498" s="147"/>
      <c r="AI1498" s="147"/>
      <c r="AJ1498" s="147"/>
      <c r="AK1498" s="147"/>
      <c r="AL1498" s="147"/>
      <c r="AM1498" s="151"/>
      <c r="AN1498" s="147"/>
      <c r="AO1498" s="147"/>
      <c r="AP1498" s="147"/>
      <c r="AQ1498" s="147"/>
      <c r="AR1498" s="147"/>
      <c r="AS1498" s="147"/>
      <c r="AT1498" s="147"/>
      <c r="AU1498" s="147"/>
      <c r="AV1498" s="147"/>
      <c r="AW1498" s="147"/>
      <c r="AX1498" s="147"/>
      <c r="AY1498" s="147"/>
      <c r="AZ1498" s="147"/>
      <c r="BA1498" s="147"/>
      <c r="BB1498" s="147"/>
      <c r="BC1498" s="147"/>
      <c r="BD1498" s="147"/>
      <c r="BE1498" s="147"/>
      <c r="BF1498" s="147"/>
      <c r="BG1498" s="147"/>
      <c r="BH1498" s="147"/>
      <c r="BI1498" s="147"/>
      <c r="BJ1498" s="147"/>
      <c r="BK1498" s="147"/>
      <c r="BL1498" s="147"/>
      <c r="BM1498" s="147"/>
      <c r="BN1498" s="147"/>
      <c r="BO1498" s="147"/>
      <c r="BP1498" s="147"/>
      <c r="BQ1498" s="147"/>
      <c r="BR1498" s="147"/>
      <c r="BS1498" s="147"/>
      <c r="BT1498" s="147"/>
      <c r="BU1498" s="147"/>
      <c r="BV1498" s="147"/>
      <c r="BW1498" s="147"/>
      <c r="BX1498" s="147"/>
      <c r="BY1498" s="147"/>
      <c r="BZ1498" s="147"/>
      <c r="CA1498" s="147"/>
      <c r="CB1498" s="147"/>
      <c r="CC1498" s="147"/>
      <c r="CD1498" s="147"/>
      <c r="CE1498" s="147"/>
      <c r="CF1498" s="147"/>
      <c r="CG1498" s="147"/>
      <c r="CH1498" s="147"/>
      <c r="CI1498" s="147"/>
      <c r="CJ1498" s="147"/>
      <c r="CK1498" s="147"/>
    </row>
    <row r="1499" spans="1:89">
      <c r="A1499" s="157"/>
      <c r="F1499" s="3"/>
      <c r="G1499" s="3"/>
      <c r="L1499" s="157"/>
      <c r="M1499" s="157"/>
      <c r="O1499" s="147"/>
      <c r="P1499" s="147"/>
      <c r="Q1499" s="147"/>
      <c r="R1499" s="147"/>
      <c r="S1499" s="147"/>
      <c r="T1499" s="147"/>
      <c r="U1499" s="147"/>
      <c r="V1499" s="147"/>
      <c r="W1499" s="147"/>
      <c r="X1499" s="147"/>
      <c r="Y1499" s="147"/>
      <c r="Z1499" s="147"/>
      <c r="AA1499" s="147"/>
      <c r="AB1499" s="147"/>
      <c r="AC1499" s="147"/>
      <c r="AD1499" s="147"/>
      <c r="AE1499" s="147"/>
      <c r="AF1499" s="147"/>
      <c r="AG1499" s="147"/>
      <c r="AH1499" s="147"/>
      <c r="AI1499" s="147"/>
      <c r="AJ1499" s="147"/>
      <c r="AK1499" s="147"/>
      <c r="AL1499" s="147"/>
      <c r="AM1499" s="151"/>
      <c r="AN1499" s="147"/>
      <c r="AO1499" s="147"/>
      <c r="AP1499" s="147"/>
      <c r="AQ1499" s="147"/>
      <c r="AR1499" s="147"/>
      <c r="AS1499" s="147"/>
      <c r="AT1499" s="147"/>
      <c r="AU1499" s="147"/>
      <c r="AV1499" s="147"/>
      <c r="AW1499" s="147"/>
      <c r="AX1499" s="147"/>
      <c r="AY1499" s="147"/>
      <c r="AZ1499" s="147"/>
      <c r="BA1499" s="147"/>
      <c r="BB1499" s="147"/>
      <c r="BC1499" s="147"/>
      <c r="BD1499" s="147"/>
      <c r="BE1499" s="147"/>
      <c r="BF1499" s="147"/>
      <c r="BG1499" s="147"/>
      <c r="BH1499" s="147"/>
      <c r="BI1499" s="147"/>
      <c r="BJ1499" s="147"/>
      <c r="BK1499" s="147"/>
      <c r="BL1499" s="147"/>
      <c r="BM1499" s="147"/>
      <c r="BN1499" s="147"/>
      <c r="BO1499" s="147"/>
      <c r="BP1499" s="147"/>
      <c r="BQ1499" s="147"/>
      <c r="BR1499" s="147"/>
      <c r="BS1499" s="147"/>
      <c r="BT1499" s="147"/>
      <c r="BU1499" s="147"/>
      <c r="BV1499" s="147"/>
      <c r="BW1499" s="147"/>
      <c r="BX1499" s="147"/>
      <c r="BY1499" s="147"/>
      <c r="BZ1499" s="147"/>
      <c r="CA1499" s="147"/>
      <c r="CB1499" s="147"/>
      <c r="CC1499" s="147"/>
      <c r="CD1499" s="147"/>
      <c r="CE1499" s="147"/>
      <c r="CF1499" s="147"/>
      <c r="CG1499" s="147"/>
      <c r="CH1499" s="147"/>
      <c r="CI1499" s="147"/>
      <c r="CJ1499" s="147"/>
      <c r="CK1499" s="147"/>
    </row>
    <row r="1500" spans="1:89">
      <c r="A1500" s="157"/>
      <c r="F1500" s="3"/>
      <c r="G1500" s="3"/>
      <c r="L1500" s="157"/>
      <c r="M1500" s="157"/>
      <c r="O1500" s="147"/>
      <c r="P1500" s="147"/>
      <c r="Q1500" s="147"/>
      <c r="R1500" s="147"/>
      <c r="S1500" s="147"/>
      <c r="T1500" s="147"/>
      <c r="U1500" s="147"/>
      <c r="V1500" s="147"/>
      <c r="W1500" s="147"/>
      <c r="X1500" s="147"/>
      <c r="Y1500" s="147"/>
      <c r="Z1500" s="147"/>
      <c r="AA1500" s="147"/>
      <c r="AB1500" s="147"/>
      <c r="AC1500" s="147"/>
      <c r="AD1500" s="147"/>
      <c r="AE1500" s="147"/>
      <c r="AF1500" s="147"/>
      <c r="AG1500" s="147"/>
      <c r="AH1500" s="147"/>
      <c r="AI1500" s="147"/>
      <c r="AJ1500" s="147"/>
      <c r="AK1500" s="147"/>
      <c r="AL1500" s="147"/>
      <c r="AM1500" s="151"/>
      <c r="AN1500" s="147"/>
      <c r="AO1500" s="147"/>
      <c r="AP1500" s="147"/>
      <c r="AQ1500" s="147"/>
      <c r="AR1500" s="147"/>
      <c r="AS1500" s="147"/>
      <c r="AT1500" s="147"/>
      <c r="AU1500" s="147"/>
      <c r="AV1500" s="147"/>
      <c r="AW1500" s="147"/>
      <c r="AX1500" s="147"/>
      <c r="AY1500" s="147"/>
      <c r="AZ1500" s="147"/>
      <c r="BA1500" s="147"/>
      <c r="BB1500" s="147"/>
      <c r="BC1500" s="147"/>
      <c r="BD1500" s="147"/>
      <c r="BE1500" s="147"/>
      <c r="BF1500" s="147"/>
      <c r="BG1500" s="147"/>
      <c r="BH1500" s="147"/>
      <c r="BI1500" s="147"/>
      <c r="BJ1500" s="147"/>
      <c r="BK1500" s="147"/>
      <c r="BL1500" s="147"/>
      <c r="BM1500" s="147"/>
      <c r="BN1500" s="147"/>
      <c r="BO1500" s="147"/>
      <c r="BP1500" s="147"/>
      <c r="BQ1500" s="147"/>
      <c r="BR1500" s="147"/>
      <c r="BS1500" s="147"/>
      <c r="BT1500" s="147"/>
      <c r="BU1500" s="147"/>
      <c r="BV1500" s="147"/>
      <c r="BW1500" s="147"/>
      <c r="BX1500" s="147"/>
      <c r="BY1500" s="147"/>
      <c r="BZ1500" s="147"/>
      <c r="CA1500" s="147"/>
      <c r="CB1500" s="147"/>
      <c r="CC1500" s="147"/>
      <c r="CD1500" s="147"/>
      <c r="CE1500" s="147"/>
      <c r="CF1500" s="147"/>
      <c r="CG1500" s="147"/>
      <c r="CH1500" s="147"/>
      <c r="CI1500" s="147"/>
      <c r="CJ1500" s="147"/>
      <c r="CK1500" s="147"/>
    </row>
    <row r="1501" spans="1:89">
      <c r="A1501" s="157"/>
      <c r="F1501" s="3"/>
      <c r="G1501" s="3"/>
      <c r="L1501" s="157"/>
      <c r="M1501" s="157"/>
      <c r="O1501" s="147"/>
      <c r="P1501" s="147"/>
      <c r="Q1501" s="147"/>
      <c r="R1501" s="147"/>
      <c r="S1501" s="147"/>
      <c r="T1501" s="147"/>
      <c r="U1501" s="147"/>
      <c r="V1501" s="147"/>
      <c r="W1501" s="147"/>
      <c r="X1501" s="147"/>
      <c r="Y1501" s="147"/>
      <c r="Z1501" s="147"/>
      <c r="AA1501" s="147"/>
      <c r="AB1501" s="147"/>
      <c r="AC1501" s="147"/>
      <c r="AD1501" s="147"/>
      <c r="AE1501" s="147"/>
      <c r="AF1501" s="147"/>
      <c r="AG1501" s="147"/>
      <c r="AH1501" s="147"/>
      <c r="AI1501" s="147"/>
      <c r="AJ1501" s="147"/>
      <c r="AK1501" s="147"/>
      <c r="AL1501" s="147"/>
      <c r="AM1501" s="151"/>
      <c r="AN1501" s="147"/>
      <c r="AO1501" s="147"/>
      <c r="AP1501" s="147"/>
      <c r="AQ1501" s="147"/>
      <c r="AR1501" s="147"/>
      <c r="AS1501" s="147"/>
      <c r="AT1501" s="147"/>
      <c r="AU1501" s="147"/>
      <c r="AV1501" s="147"/>
      <c r="AW1501" s="147"/>
      <c r="AX1501" s="147"/>
      <c r="AY1501" s="147"/>
      <c r="AZ1501" s="147"/>
      <c r="BA1501" s="147"/>
      <c r="BB1501" s="147"/>
      <c r="BC1501" s="147"/>
      <c r="BD1501" s="147"/>
      <c r="BE1501" s="147"/>
      <c r="BF1501" s="147"/>
      <c r="BG1501" s="147"/>
      <c r="BH1501" s="147"/>
      <c r="BI1501" s="147"/>
      <c r="BJ1501" s="147"/>
      <c r="BK1501" s="147"/>
      <c r="BL1501" s="147"/>
      <c r="BM1501" s="147"/>
      <c r="BN1501" s="147"/>
      <c r="BO1501" s="147"/>
      <c r="BP1501" s="147"/>
      <c r="BQ1501" s="147"/>
      <c r="BR1501" s="147"/>
      <c r="BS1501" s="147"/>
      <c r="BT1501" s="147"/>
      <c r="BU1501" s="147"/>
      <c r="BV1501" s="147"/>
      <c r="BW1501" s="147"/>
      <c r="BX1501" s="147"/>
      <c r="BY1501" s="147"/>
      <c r="BZ1501" s="147"/>
      <c r="CA1501" s="147"/>
      <c r="CB1501" s="147"/>
      <c r="CC1501" s="147"/>
      <c r="CD1501" s="147"/>
      <c r="CE1501" s="147"/>
      <c r="CF1501" s="147"/>
      <c r="CG1501" s="147"/>
      <c r="CH1501" s="147"/>
      <c r="CI1501" s="147"/>
      <c r="CJ1501" s="147"/>
      <c r="CK1501" s="147"/>
    </row>
    <row r="1502" spans="1:89">
      <c r="A1502" s="157"/>
      <c r="F1502" s="3"/>
      <c r="G1502" s="3"/>
      <c r="L1502" s="157"/>
      <c r="M1502" s="157"/>
      <c r="O1502" s="147"/>
      <c r="P1502" s="147"/>
      <c r="Q1502" s="147"/>
      <c r="R1502" s="147"/>
      <c r="S1502" s="147"/>
      <c r="T1502" s="147"/>
      <c r="U1502" s="147"/>
      <c r="V1502" s="147"/>
      <c r="W1502" s="147"/>
      <c r="X1502" s="147"/>
      <c r="Y1502" s="147"/>
      <c r="Z1502" s="147"/>
      <c r="AA1502" s="147"/>
      <c r="AB1502" s="147"/>
      <c r="AC1502" s="147"/>
      <c r="AD1502" s="147"/>
      <c r="AE1502" s="147"/>
      <c r="AF1502" s="147"/>
      <c r="AG1502" s="147"/>
      <c r="AH1502" s="147"/>
      <c r="AI1502" s="147"/>
      <c r="AJ1502" s="147"/>
      <c r="AK1502" s="147"/>
      <c r="AL1502" s="147"/>
      <c r="AM1502" s="151"/>
      <c r="AN1502" s="147"/>
      <c r="AO1502" s="147"/>
      <c r="AP1502" s="147"/>
      <c r="AQ1502" s="147"/>
      <c r="AR1502" s="147"/>
      <c r="AS1502" s="147"/>
      <c r="AT1502" s="147"/>
      <c r="AU1502" s="147"/>
      <c r="AV1502" s="147"/>
      <c r="AW1502" s="147"/>
      <c r="AX1502" s="147"/>
      <c r="AY1502" s="147"/>
      <c r="AZ1502" s="147"/>
      <c r="BA1502" s="147"/>
      <c r="BB1502" s="147"/>
      <c r="BC1502" s="147"/>
      <c r="BD1502" s="147"/>
      <c r="BE1502" s="147"/>
      <c r="BF1502" s="147"/>
      <c r="BG1502" s="147"/>
      <c r="BH1502" s="147"/>
      <c r="BI1502" s="147"/>
      <c r="BJ1502" s="147"/>
      <c r="BK1502" s="147"/>
      <c r="BL1502" s="147"/>
      <c r="BM1502" s="147"/>
      <c r="BN1502" s="147"/>
      <c r="BO1502" s="147"/>
      <c r="BP1502" s="147"/>
      <c r="BQ1502" s="147"/>
      <c r="BR1502" s="147"/>
      <c r="BS1502" s="147"/>
      <c r="BT1502" s="147"/>
      <c r="BU1502" s="147"/>
      <c r="BV1502" s="147"/>
      <c r="BW1502" s="147"/>
      <c r="BX1502" s="147"/>
      <c r="BY1502" s="147"/>
      <c r="BZ1502" s="147"/>
      <c r="CA1502" s="147"/>
      <c r="CB1502" s="147"/>
      <c r="CC1502" s="147"/>
      <c r="CD1502" s="147"/>
      <c r="CE1502" s="147"/>
      <c r="CF1502" s="147"/>
      <c r="CG1502" s="147"/>
      <c r="CH1502" s="147"/>
      <c r="CI1502" s="147"/>
      <c r="CJ1502" s="147"/>
      <c r="CK1502" s="147"/>
    </row>
    <row r="1503" spans="1:89">
      <c r="A1503" s="157"/>
      <c r="F1503" s="3"/>
      <c r="G1503" s="3"/>
      <c r="L1503" s="157"/>
      <c r="M1503" s="157"/>
      <c r="O1503" s="147"/>
      <c r="P1503" s="147"/>
      <c r="Q1503" s="147"/>
      <c r="R1503" s="147"/>
      <c r="S1503" s="147"/>
      <c r="T1503" s="147"/>
      <c r="U1503" s="147"/>
      <c r="V1503" s="147"/>
      <c r="W1503" s="147"/>
      <c r="X1503" s="147"/>
      <c r="Y1503" s="147"/>
      <c r="Z1503" s="147"/>
      <c r="AA1503" s="147"/>
      <c r="AB1503" s="147"/>
      <c r="AC1503" s="147"/>
      <c r="AD1503" s="147"/>
      <c r="AE1503" s="147"/>
      <c r="AF1503" s="147"/>
      <c r="AG1503" s="147"/>
      <c r="AH1503" s="147"/>
      <c r="AI1503" s="147"/>
      <c r="AJ1503" s="147"/>
      <c r="AK1503" s="147"/>
      <c r="AL1503" s="147"/>
      <c r="AM1503" s="151"/>
      <c r="AN1503" s="147"/>
      <c r="AO1503" s="147"/>
      <c r="AP1503" s="147"/>
      <c r="AQ1503" s="147"/>
      <c r="AR1503" s="147"/>
      <c r="AS1503" s="147"/>
      <c r="AT1503" s="147"/>
      <c r="AU1503" s="147"/>
      <c r="AV1503" s="147"/>
      <c r="AW1503" s="147"/>
      <c r="AX1503" s="147"/>
      <c r="AY1503" s="147"/>
      <c r="AZ1503" s="147"/>
      <c r="BA1503" s="147"/>
      <c r="BB1503" s="147"/>
      <c r="BC1503" s="147"/>
      <c r="BD1503" s="147"/>
      <c r="BE1503" s="147"/>
      <c r="BF1503" s="147"/>
      <c r="BG1503" s="147"/>
      <c r="BH1503" s="147"/>
      <c r="BI1503" s="147"/>
      <c r="BJ1503" s="147"/>
      <c r="BK1503" s="147"/>
      <c r="BL1503" s="147"/>
      <c r="BM1503" s="147"/>
      <c r="BN1503" s="147"/>
      <c r="BO1503" s="147"/>
      <c r="BP1503" s="147"/>
      <c r="BQ1503" s="147"/>
      <c r="BR1503" s="147"/>
      <c r="BS1503" s="147"/>
      <c r="BT1503" s="147"/>
      <c r="BU1503" s="147"/>
      <c r="BV1503" s="147"/>
      <c r="BW1503" s="147"/>
      <c r="BX1503" s="147"/>
      <c r="BY1503" s="147"/>
      <c r="BZ1503" s="147"/>
      <c r="CA1503" s="147"/>
      <c r="CB1503" s="147"/>
      <c r="CC1503" s="147"/>
      <c r="CD1503" s="147"/>
      <c r="CE1503" s="147"/>
      <c r="CF1503" s="147"/>
      <c r="CG1503" s="147"/>
      <c r="CH1503" s="147"/>
      <c r="CI1503" s="147"/>
      <c r="CJ1503" s="147"/>
      <c r="CK1503" s="147"/>
    </row>
    <row r="1504" spans="1:89">
      <c r="A1504" s="157"/>
      <c r="F1504" s="3"/>
      <c r="G1504" s="3"/>
      <c r="L1504" s="157"/>
      <c r="M1504" s="157"/>
      <c r="O1504" s="147"/>
      <c r="P1504" s="147"/>
      <c r="Q1504" s="147"/>
      <c r="R1504" s="147"/>
      <c r="S1504" s="147"/>
      <c r="T1504" s="147"/>
      <c r="U1504" s="147"/>
      <c r="V1504" s="147"/>
      <c r="W1504" s="147"/>
      <c r="X1504" s="147"/>
      <c r="Y1504" s="147"/>
      <c r="Z1504" s="147"/>
      <c r="AA1504" s="147"/>
      <c r="AB1504" s="147"/>
      <c r="AC1504" s="147"/>
      <c r="AD1504" s="147"/>
      <c r="AE1504" s="147"/>
      <c r="AF1504" s="147"/>
      <c r="AG1504" s="147"/>
      <c r="AH1504" s="147"/>
      <c r="AI1504" s="147"/>
      <c r="AJ1504" s="147"/>
      <c r="AK1504" s="147"/>
      <c r="AL1504" s="147"/>
      <c r="AM1504" s="151"/>
      <c r="AN1504" s="147"/>
      <c r="AO1504" s="147"/>
      <c r="AP1504" s="147"/>
      <c r="AQ1504" s="147"/>
      <c r="AR1504" s="147"/>
      <c r="AS1504" s="147"/>
      <c r="AT1504" s="147"/>
      <c r="AU1504" s="147"/>
      <c r="AV1504" s="147"/>
      <c r="AW1504" s="147"/>
      <c r="AX1504" s="147"/>
      <c r="AY1504" s="147"/>
      <c r="AZ1504" s="147"/>
      <c r="BA1504" s="147"/>
      <c r="BB1504" s="147"/>
      <c r="BC1504" s="147"/>
      <c r="BD1504" s="147"/>
      <c r="BE1504" s="147"/>
      <c r="BF1504" s="147"/>
      <c r="BG1504" s="147"/>
      <c r="BH1504" s="147"/>
      <c r="BI1504" s="147"/>
      <c r="BJ1504" s="147"/>
      <c r="BK1504" s="147"/>
      <c r="BL1504" s="147"/>
      <c r="BM1504" s="147"/>
      <c r="BN1504" s="147"/>
      <c r="BO1504" s="147"/>
      <c r="BP1504" s="147"/>
      <c r="BQ1504" s="147"/>
      <c r="BR1504" s="147"/>
      <c r="BS1504" s="147"/>
      <c r="BT1504" s="147"/>
      <c r="BU1504" s="147"/>
      <c r="BV1504" s="147"/>
      <c r="BW1504" s="147"/>
      <c r="BX1504" s="147"/>
      <c r="BY1504" s="147"/>
      <c r="BZ1504" s="147"/>
      <c r="CA1504" s="147"/>
      <c r="CB1504" s="147"/>
      <c r="CC1504" s="147"/>
      <c r="CD1504" s="147"/>
      <c r="CE1504" s="147"/>
      <c r="CF1504" s="147"/>
      <c r="CG1504" s="147"/>
      <c r="CH1504" s="147"/>
      <c r="CI1504" s="147"/>
      <c r="CJ1504" s="147"/>
      <c r="CK1504" s="147"/>
    </row>
    <row r="1505" spans="1:89">
      <c r="A1505" s="157"/>
      <c r="F1505" s="3"/>
      <c r="G1505" s="3"/>
      <c r="L1505" s="157"/>
      <c r="M1505" s="157"/>
      <c r="O1505" s="147"/>
      <c r="P1505" s="147"/>
      <c r="Q1505" s="147"/>
      <c r="R1505" s="147"/>
      <c r="S1505" s="147"/>
      <c r="T1505" s="147"/>
      <c r="U1505" s="147"/>
      <c r="V1505" s="147"/>
      <c r="W1505" s="147"/>
      <c r="X1505" s="147"/>
      <c r="Y1505" s="147"/>
      <c r="Z1505" s="147"/>
      <c r="AA1505" s="147"/>
      <c r="AB1505" s="147"/>
      <c r="AC1505" s="147"/>
      <c r="AD1505" s="147"/>
      <c r="AE1505" s="147"/>
      <c r="AF1505" s="147"/>
      <c r="AG1505" s="147"/>
      <c r="AH1505" s="147"/>
      <c r="AI1505" s="147"/>
      <c r="AJ1505" s="147"/>
      <c r="AK1505" s="147"/>
      <c r="AL1505" s="147"/>
      <c r="AM1505" s="151"/>
      <c r="AN1505" s="147"/>
      <c r="AO1505" s="147"/>
      <c r="AP1505" s="147"/>
      <c r="AQ1505" s="147"/>
      <c r="AR1505" s="147"/>
      <c r="AS1505" s="147"/>
      <c r="AT1505" s="147"/>
      <c r="AU1505" s="147"/>
      <c r="AV1505" s="147"/>
      <c r="AW1505" s="147"/>
      <c r="AX1505" s="147"/>
      <c r="AY1505" s="147"/>
      <c r="AZ1505" s="147"/>
      <c r="BA1505" s="147"/>
      <c r="BB1505" s="147"/>
      <c r="BC1505" s="147"/>
      <c r="BD1505" s="147"/>
      <c r="BE1505" s="147"/>
      <c r="BF1505" s="147"/>
      <c r="BG1505" s="147"/>
      <c r="BH1505" s="147"/>
      <c r="BI1505" s="147"/>
      <c r="BJ1505" s="147"/>
      <c r="BK1505" s="147"/>
      <c r="BL1505" s="147"/>
      <c r="BM1505" s="147"/>
      <c r="BN1505" s="147"/>
      <c r="BO1505" s="147"/>
      <c r="BP1505" s="147"/>
      <c r="BQ1505" s="147"/>
      <c r="BR1505" s="147"/>
      <c r="BS1505" s="147"/>
      <c r="BT1505" s="147"/>
      <c r="BU1505" s="147"/>
      <c r="BV1505" s="147"/>
      <c r="BW1505" s="147"/>
      <c r="BX1505" s="147"/>
      <c r="BY1505" s="147"/>
      <c r="BZ1505" s="147"/>
      <c r="CA1505" s="147"/>
      <c r="CB1505" s="147"/>
      <c r="CC1505" s="147"/>
      <c r="CD1505" s="147"/>
      <c r="CE1505" s="147"/>
      <c r="CF1505" s="147"/>
      <c r="CG1505" s="147"/>
      <c r="CH1505" s="147"/>
      <c r="CI1505" s="147"/>
      <c r="CJ1505" s="147"/>
      <c r="CK1505" s="147"/>
    </row>
    <row r="1506" spans="1:89">
      <c r="A1506" s="157"/>
      <c r="F1506" s="3"/>
      <c r="G1506" s="3"/>
      <c r="L1506" s="157"/>
      <c r="M1506" s="157"/>
      <c r="O1506" s="147"/>
      <c r="P1506" s="147"/>
      <c r="Q1506" s="147"/>
      <c r="R1506" s="147"/>
      <c r="S1506" s="147"/>
      <c r="T1506" s="147"/>
      <c r="U1506" s="147"/>
      <c r="V1506" s="147"/>
      <c r="W1506" s="147"/>
      <c r="X1506" s="147"/>
      <c r="Y1506" s="147"/>
      <c r="Z1506" s="147"/>
      <c r="AA1506" s="147"/>
      <c r="AB1506" s="147"/>
      <c r="AC1506" s="147"/>
      <c r="AD1506" s="147"/>
      <c r="AE1506" s="147"/>
      <c r="AF1506" s="147"/>
      <c r="AG1506" s="147"/>
      <c r="AH1506" s="147"/>
      <c r="AI1506" s="147"/>
      <c r="AJ1506" s="147"/>
      <c r="AK1506" s="147"/>
      <c r="AL1506" s="147"/>
      <c r="AM1506" s="151"/>
      <c r="AN1506" s="147"/>
      <c r="AO1506" s="147"/>
      <c r="AP1506" s="147"/>
      <c r="AQ1506" s="147"/>
      <c r="AR1506" s="147"/>
      <c r="AS1506" s="147"/>
      <c r="AT1506" s="147"/>
      <c r="AU1506" s="147"/>
      <c r="AV1506" s="147"/>
      <c r="AW1506" s="147"/>
      <c r="AX1506" s="147"/>
      <c r="AY1506" s="147"/>
      <c r="AZ1506" s="147"/>
      <c r="BA1506" s="147"/>
      <c r="BB1506" s="147"/>
      <c r="BC1506" s="147"/>
      <c r="BD1506" s="147"/>
      <c r="BE1506" s="147"/>
      <c r="BF1506" s="147"/>
      <c r="BG1506" s="147"/>
      <c r="BH1506" s="147"/>
      <c r="BI1506" s="147"/>
      <c r="BJ1506" s="147"/>
      <c r="BK1506" s="147"/>
      <c r="BL1506" s="147"/>
      <c r="BM1506" s="147"/>
      <c r="BN1506" s="147"/>
      <c r="BO1506" s="147"/>
      <c r="BP1506" s="147"/>
      <c r="BQ1506" s="147"/>
      <c r="BR1506" s="147"/>
      <c r="BS1506" s="147"/>
      <c r="BT1506" s="147"/>
      <c r="BU1506" s="147"/>
      <c r="BV1506" s="147"/>
      <c r="BW1506" s="147"/>
      <c r="BX1506" s="147"/>
      <c r="BY1506" s="147"/>
      <c r="BZ1506" s="147"/>
      <c r="CA1506" s="147"/>
      <c r="CB1506" s="147"/>
      <c r="CC1506" s="147"/>
      <c r="CD1506" s="147"/>
      <c r="CE1506" s="147"/>
      <c r="CF1506" s="147"/>
      <c r="CG1506" s="147"/>
      <c r="CH1506" s="147"/>
      <c r="CI1506" s="147"/>
      <c r="CJ1506" s="147"/>
      <c r="CK1506" s="147"/>
    </row>
    <row r="1507" spans="1:89">
      <c r="A1507" s="157"/>
      <c r="F1507" s="3"/>
      <c r="G1507" s="3"/>
      <c r="L1507" s="157"/>
      <c r="M1507" s="157"/>
      <c r="O1507" s="147"/>
      <c r="P1507" s="147"/>
      <c r="Q1507" s="147"/>
      <c r="R1507" s="147"/>
      <c r="S1507" s="147"/>
      <c r="T1507" s="147"/>
      <c r="U1507" s="147"/>
      <c r="V1507" s="147"/>
      <c r="W1507" s="147"/>
      <c r="X1507" s="147"/>
      <c r="Y1507" s="147"/>
      <c r="Z1507" s="147"/>
      <c r="AA1507" s="147"/>
      <c r="AB1507" s="147"/>
      <c r="AC1507" s="147"/>
      <c r="AD1507" s="147"/>
      <c r="AE1507" s="147"/>
      <c r="AF1507" s="147"/>
      <c r="AG1507" s="147"/>
      <c r="AH1507" s="147"/>
      <c r="AI1507" s="147"/>
      <c r="AJ1507" s="147"/>
      <c r="AK1507" s="147"/>
      <c r="AL1507" s="147"/>
      <c r="AM1507" s="151"/>
      <c r="AN1507" s="147"/>
      <c r="AO1507" s="147"/>
      <c r="AP1507" s="147"/>
      <c r="AQ1507" s="147"/>
      <c r="AR1507" s="147"/>
      <c r="AS1507" s="147"/>
      <c r="AT1507" s="147"/>
      <c r="AU1507" s="147"/>
      <c r="AV1507" s="147"/>
      <c r="AW1507" s="147"/>
      <c r="AX1507" s="147"/>
      <c r="AY1507" s="147"/>
      <c r="AZ1507" s="147"/>
      <c r="BA1507" s="147"/>
      <c r="BB1507" s="147"/>
      <c r="BC1507" s="147"/>
      <c r="BD1507" s="147"/>
      <c r="BE1507" s="147"/>
      <c r="BF1507" s="147"/>
      <c r="BG1507" s="147"/>
      <c r="BH1507" s="147"/>
      <c r="BI1507" s="147"/>
      <c r="BJ1507" s="147"/>
      <c r="BK1507" s="147"/>
      <c r="BL1507" s="147"/>
      <c r="BM1507" s="147"/>
      <c r="BN1507" s="147"/>
      <c r="BO1507" s="147"/>
      <c r="BP1507" s="147"/>
      <c r="BQ1507" s="147"/>
      <c r="BR1507" s="147"/>
      <c r="BS1507" s="147"/>
      <c r="BT1507" s="147"/>
      <c r="BU1507" s="147"/>
      <c r="BV1507" s="147"/>
      <c r="BW1507" s="147"/>
      <c r="BX1507" s="147"/>
      <c r="BY1507" s="147"/>
      <c r="BZ1507" s="147"/>
      <c r="CA1507" s="147"/>
      <c r="CB1507" s="147"/>
      <c r="CC1507" s="147"/>
      <c r="CD1507" s="147"/>
      <c r="CE1507" s="147"/>
      <c r="CF1507" s="147"/>
      <c r="CG1507" s="147"/>
      <c r="CH1507" s="147"/>
      <c r="CI1507" s="147"/>
      <c r="CJ1507" s="147"/>
      <c r="CK1507" s="147"/>
    </row>
    <row r="1508" spans="1:89">
      <c r="A1508" s="157"/>
      <c r="F1508" s="3"/>
      <c r="G1508" s="3"/>
      <c r="L1508" s="157"/>
      <c r="M1508" s="157"/>
      <c r="O1508" s="147"/>
      <c r="P1508" s="147"/>
      <c r="Q1508" s="147"/>
      <c r="R1508" s="147"/>
      <c r="S1508" s="147"/>
      <c r="T1508" s="147"/>
      <c r="U1508" s="147"/>
      <c r="V1508" s="147"/>
      <c r="W1508" s="147"/>
      <c r="X1508" s="147"/>
      <c r="Y1508" s="147"/>
      <c r="Z1508" s="147"/>
      <c r="AA1508" s="147"/>
      <c r="AB1508" s="147"/>
      <c r="AC1508" s="147"/>
      <c r="AD1508" s="147"/>
      <c r="AE1508" s="147"/>
      <c r="AF1508" s="147"/>
      <c r="AG1508" s="147"/>
      <c r="AH1508" s="147"/>
      <c r="AI1508" s="147"/>
      <c r="AJ1508" s="147"/>
      <c r="AK1508" s="147"/>
      <c r="AL1508" s="147"/>
      <c r="AM1508" s="151"/>
      <c r="AN1508" s="147"/>
      <c r="AO1508" s="147"/>
      <c r="AP1508" s="147"/>
      <c r="AQ1508" s="147"/>
      <c r="AR1508" s="147"/>
      <c r="AS1508" s="147"/>
      <c r="AT1508" s="147"/>
      <c r="AU1508" s="147"/>
      <c r="AV1508" s="147"/>
      <c r="AW1508" s="147"/>
      <c r="AX1508" s="147"/>
      <c r="AY1508" s="147"/>
      <c r="AZ1508" s="147"/>
      <c r="BA1508" s="147"/>
      <c r="BB1508" s="147"/>
      <c r="BC1508" s="147"/>
      <c r="BD1508" s="147"/>
      <c r="BE1508" s="147"/>
      <c r="BF1508" s="147"/>
      <c r="BG1508" s="147"/>
      <c r="BH1508" s="147"/>
      <c r="BI1508" s="147"/>
      <c r="BJ1508" s="147"/>
      <c r="BK1508" s="147"/>
      <c r="BL1508" s="147"/>
      <c r="BM1508" s="147"/>
      <c r="BN1508" s="147"/>
      <c r="BO1508" s="147"/>
      <c r="BP1508" s="147"/>
      <c r="BQ1508" s="147"/>
      <c r="BR1508" s="147"/>
      <c r="BS1508" s="147"/>
      <c r="BT1508" s="147"/>
      <c r="BU1508" s="147"/>
      <c r="BV1508" s="147"/>
      <c r="BW1508" s="147"/>
      <c r="BX1508" s="147"/>
      <c r="BY1508" s="147"/>
      <c r="BZ1508" s="147"/>
      <c r="CA1508" s="147"/>
      <c r="CB1508" s="147"/>
      <c r="CC1508" s="147"/>
      <c r="CD1508" s="147"/>
      <c r="CE1508" s="147"/>
      <c r="CF1508" s="147"/>
      <c r="CG1508" s="147"/>
      <c r="CH1508" s="147"/>
      <c r="CI1508" s="147"/>
      <c r="CJ1508" s="147"/>
      <c r="CK1508" s="147"/>
    </row>
    <row r="1509" spans="1:89">
      <c r="A1509" s="157"/>
      <c r="F1509" s="3"/>
      <c r="G1509" s="3"/>
      <c r="L1509" s="157"/>
      <c r="M1509" s="157"/>
      <c r="O1509" s="147"/>
      <c r="P1509" s="147"/>
      <c r="Q1509" s="147"/>
      <c r="R1509" s="147"/>
      <c r="S1509" s="147"/>
      <c r="T1509" s="147"/>
      <c r="U1509" s="147"/>
      <c r="V1509" s="147"/>
      <c r="W1509" s="147"/>
      <c r="X1509" s="147"/>
      <c r="Y1509" s="147"/>
      <c r="Z1509" s="147"/>
      <c r="AA1509" s="147"/>
      <c r="AB1509" s="147"/>
      <c r="AC1509" s="147"/>
      <c r="AD1509" s="147"/>
      <c r="AE1509" s="147"/>
      <c r="AF1509" s="147"/>
      <c r="AG1509" s="147"/>
      <c r="AH1509" s="147"/>
      <c r="AI1509" s="147"/>
      <c r="AJ1509" s="147"/>
      <c r="AK1509" s="147"/>
      <c r="AL1509" s="147"/>
      <c r="AM1509" s="151"/>
      <c r="AN1509" s="147"/>
      <c r="AO1509" s="147"/>
      <c r="AP1509" s="147"/>
      <c r="AQ1509" s="147"/>
      <c r="AR1509" s="147"/>
      <c r="AS1509" s="147"/>
      <c r="AT1509" s="147"/>
      <c r="AU1509" s="147"/>
      <c r="AV1509" s="147"/>
      <c r="AW1509" s="147"/>
      <c r="AX1509" s="147"/>
      <c r="AY1509" s="147"/>
      <c r="AZ1509" s="147"/>
      <c r="BA1509" s="147"/>
      <c r="BB1509" s="147"/>
      <c r="BC1509" s="147"/>
      <c r="BD1509" s="147"/>
      <c r="BE1509" s="147"/>
      <c r="BF1509" s="147"/>
      <c r="BG1509" s="147"/>
      <c r="BH1509" s="147"/>
      <c r="BI1509" s="147"/>
      <c r="BJ1509" s="147"/>
      <c r="BK1509" s="147"/>
      <c r="BL1509" s="147"/>
      <c r="BM1509" s="147"/>
      <c r="BN1509" s="147"/>
      <c r="BO1509" s="147"/>
      <c r="BP1509" s="147"/>
      <c r="BQ1509" s="147"/>
      <c r="BR1509" s="147"/>
      <c r="BS1509" s="147"/>
      <c r="BT1509" s="147"/>
      <c r="BU1509" s="147"/>
      <c r="BV1509" s="147"/>
      <c r="BW1509" s="147"/>
      <c r="BX1509" s="147"/>
      <c r="BY1509" s="147"/>
      <c r="BZ1509" s="147"/>
      <c r="CA1509" s="147"/>
      <c r="CB1509" s="147"/>
      <c r="CC1509" s="147"/>
      <c r="CD1509" s="147"/>
      <c r="CE1509" s="147"/>
      <c r="CF1509" s="147"/>
      <c r="CG1509" s="147"/>
      <c r="CH1509" s="147"/>
      <c r="CI1509" s="147"/>
      <c r="CJ1509" s="147"/>
      <c r="CK1509" s="147"/>
    </row>
    <row r="1510" spans="1:89">
      <c r="A1510" s="157"/>
      <c r="F1510" s="3"/>
      <c r="G1510" s="3"/>
      <c r="L1510" s="157"/>
      <c r="M1510" s="157"/>
      <c r="O1510" s="147"/>
      <c r="P1510" s="147"/>
      <c r="Q1510" s="147"/>
      <c r="R1510" s="147"/>
      <c r="S1510" s="147"/>
      <c r="T1510" s="147"/>
      <c r="U1510" s="147"/>
      <c r="V1510" s="147"/>
      <c r="W1510" s="147"/>
      <c r="X1510" s="147"/>
      <c r="Y1510" s="147"/>
      <c r="Z1510" s="147"/>
      <c r="AA1510" s="147"/>
      <c r="AB1510" s="147"/>
      <c r="AC1510" s="147"/>
      <c r="AD1510" s="147"/>
      <c r="AE1510" s="147"/>
      <c r="AF1510" s="147"/>
      <c r="AG1510" s="147"/>
      <c r="AH1510" s="147"/>
      <c r="AI1510" s="147"/>
      <c r="AJ1510" s="147"/>
      <c r="AK1510" s="147"/>
      <c r="AL1510" s="147"/>
      <c r="AM1510" s="151"/>
      <c r="AN1510" s="147"/>
      <c r="AO1510" s="147"/>
      <c r="AP1510" s="147"/>
      <c r="AQ1510" s="147"/>
      <c r="AR1510" s="147"/>
      <c r="AS1510" s="147"/>
      <c r="AT1510" s="147"/>
      <c r="AU1510" s="147"/>
      <c r="AV1510" s="147"/>
      <c r="AW1510" s="147"/>
      <c r="AX1510" s="147"/>
      <c r="AY1510" s="147"/>
      <c r="AZ1510" s="147"/>
      <c r="BA1510" s="147"/>
      <c r="BB1510" s="147"/>
      <c r="BC1510" s="147"/>
      <c r="BD1510" s="147"/>
      <c r="BE1510" s="147"/>
      <c r="BF1510" s="147"/>
      <c r="BG1510" s="147"/>
      <c r="BH1510" s="147"/>
      <c r="BI1510" s="147"/>
      <c r="BJ1510" s="147"/>
      <c r="BK1510" s="147"/>
      <c r="BL1510" s="147"/>
      <c r="BM1510" s="147"/>
      <c r="BN1510" s="147"/>
      <c r="BO1510" s="147"/>
      <c r="BP1510" s="147"/>
      <c r="BQ1510" s="147"/>
      <c r="BR1510" s="147"/>
      <c r="BS1510" s="147"/>
      <c r="BT1510" s="147"/>
      <c r="BU1510" s="147"/>
      <c r="BV1510" s="147"/>
      <c r="BW1510" s="147"/>
      <c r="BX1510" s="147"/>
      <c r="BY1510" s="147"/>
      <c r="BZ1510" s="147"/>
      <c r="CA1510" s="147"/>
      <c r="CB1510" s="147"/>
      <c r="CC1510" s="147"/>
      <c r="CD1510" s="147"/>
      <c r="CE1510" s="147"/>
      <c r="CF1510" s="147"/>
      <c r="CG1510" s="147"/>
      <c r="CH1510" s="147"/>
      <c r="CI1510" s="147"/>
      <c r="CJ1510" s="147"/>
      <c r="CK1510" s="147"/>
    </row>
    <row r="1511" spans="1:89">
      <c r="A1511" s="157"/>
      <c r="F1511" s="3"/>
      <c r="G1511" s="3"/>
      <c r="L1511" s="157"/>
      <c r="M1511" s="157"/>
      <c r="O1511" s="147"/>
      <c r="P1511" s="147"/>
      <c r="Q1511" s="147"/>
      <c r="R1511" s="147"/>
      <c r="S1511" s="147"/>
      <c r="T1511" s="147"/>
      <c r="U1511" s="147"/>
      <c r="V1511" s="147"/>
      <c r="W1511" s="147"/>
      <c r="X1511" s="147"/>
      <c r="Y1511" s="147"/>
      <c r="Z1511" s="147"/>
      <c r="AA1511" s="147"/>
      <c r="AB1511" s="147"/>
      <c r="AC1511" s="147"/>
      <c r="AD1511" s="147"/>
      <c r="AE1511" s="147"/>
      <c r="AF1511" s="147"/>
      <c r="AG1511" s="147"/>
      <c r="AH1511" s="147"/>
      <c r="AI1511" s="147"/>
      <c r="AJ1511" s="147"/>
      <c r="AK1511" s="147"/>
      <c r="AL1511" s="147"/>
      <c r="AM1511" s="151"/>
      <c r="AN1511" s="147"/>
      <c r="AO1511" s="147"/>
      <c r="AP1511" s="147"/>
      <c r="AQ1511" s="147"/>
      <c r="AR1511" s="147"/>
      <c r="AS1511" s="147"/>
      <c r="AT1511" s="147"/>
      <c r="AU1511" s="147"/>
      <c r="AV1511" s="147"/>
      <c r="AW1511" s="147"/>
      <c r="AX1511" s="147"/>
      <c r="AY1511" s="147"/>
      <c r="AZ1511" s="147"/>
      <c r="BA1511" s="147"/>
      <c r="BB1511" s="147"/>
      <c r="BC1511" s="147"/>
      <c r="BD1511" s="147"/>
      <c r="BE1511" s="147"/>
      <c r="BF1511" s="147"/>
      <c r="BG1511" s="147"/>
      <c r="BH1511" s="147"/>
      <c r="BI1511" s="147"/>
      <c r="BJ1511" s="147"/>
      <c r="BK1511" s="147"/>
      <c r="BL1511" s="147"/>
      <c r="BM1511" s="147"/>
      <c r="BN1511" s="147"/>
      <c r="BO1511" s="147"/>
      <c r="BP1511" s="147"/>
      <c r="BQ1511" s="147"/>
      <c r="BR1511" s="147"/>
      <c r="BS1511" s="147"/>
      <c r="BT1511" s="147"/>
      <c r="BU1511" s="147"/>
      <c r="BV1511" s="147"/>
      <c r="BW1511" s="147"/>
      <c r="BX1511" s="147"/>
      <c r="BY1511" s="147"/>
      <c r="BZ1511" s="147"/>
      <c r="CA1511" s="147"/>
      <c r="CB1511" s="147"/>
      <c r="CC1511" s="147"/>
      <c r="CD1511" s="147"/>
      <c r="CE1511" s="147"/>
      <c r="CF1511" s="147"/>
      <c r="CG1511" s="147"/>
      <c r="CH1511" s="147"/>
      <c r="CI1511" s="147"/>
      <c r="CJ1511" s="147"/>
      <c r="CK1511" s="147"/>
    </row>
    <row r="1512" spans="1:89">
      <c r="A1512" s="157"/>
      <c r="F1512" s="3"/>
      <c r="G1512" s="3"/>
      <c r="L1512" s="157"/>
      <c r="M1512" s="157"/>
      <c r="O1512" s="147"/>
      <c r="P1512" s="147"/>
      <c r="Q1512" s="147"/>
      <c r="R1512" s="147"/>
      <c r="S1512" s="147"/>
      <c r="T1512" s="147"/>
      <c r="U1512" s="147"/>
      <c r="V1512" s="147"/>
      <c r="W1512" s="147"/>
      <c r="X1512" s="147"/>
      <c r="Y1512" s="147"/>
      <c r="Z1512" s="147"/>
      <c r="AA1512" s="147"/>
      <c r="AB1512" s="147"/>
      <c r="AC1512" s="147"/>
      <c r="AD1512" s="147"/>
      <c r="AE1512" s="147"/>
      <c r="AF1512" s="147"/>
      <c r="AG1512" s="147"/>
      <c r="AH1512" s="147"/>
      <c r="AI1512" s="147"/>
      <c r="AJ1512" s="147"/>
      <c r="AK1512" s="147"/>
      <c r="AL1512" s="147"/>
      <c r="AM1512" s="151"/>
      <c r="AN1512" s="147"/>
      <c r="AO1512" s="147"/>
      <c r="AP1512" s="147"/>
      <c r="AQ1512" s="147"/>
      <c r="AR1512" s="147"/>
      <c r="AS1512" s="147"/>
      <c r="AT1512" s="147"/>
      <c r="AU1512" s="147"/>
      <c r="AV1512" s="147"/>
      <c r="AW1512" s="147"/>
      <c r="AX1512" s="147"/>
      <c r="AY1512" s="147"/>
      <c r="AZ1512" s="147"/>
      <c r="BA1512" s="147"/>
      <c r="BB1512" s="147"/>
      <c r="BC1512" s="147"/>
      <c r="BD1512" s="147"/>
      <c r="BE1512" s="147"/>
      <c r="BF1512" s="147"/>
      <c r="BG1512" s="147"/>
      <c r="BH1512" s="147"/>
      <c r="BI1512" s="147"/>
      <c r="BJ1512" s="147"/>
      <c r="BK1512" s="147"/>
      <c r="BL1512" s="147"/>
      <c r="BM1512" s="147"/>
      <c r="BN1512" s="147"/>
      <c r="BO1512" s="147"/>
      <c r="BP1512" s="147"/>
      <c r="BQ1512" s="147"/>
      <c r="BR1512" s="147"/>
      <c r="BS1512" s="147"/>
      <c r="BT1512" s="147"/>
      <c r="BU1512" s="147"/>
      <c r="BV1512" s="147"/>
      <c r="BW1512" s="147"/>
      <c r="BX1512" s="147"/>
      <c r="BY1512" s="147"/>
      <c r="BZ1512" s="147"/>
      <c r="CA1512" s="147"/>
      <c r="CB1512" s="147"/>
      <c r="CC1512" s="147"/>
      <c r="CD1512" s="147"/>
      <c r="CE1512" s="147"/>
      <c r="CF1512" s="147"/>
      <c r="CG1512" s="147"/>
      <c r="CH1512" s="147"/>
      <c r="CI1512" s="147"/>
      <c r="CJ1512" s="147"/>
      <c r="CK1512" s="147"/>
    </row>
    <row r="1513" spans="1:89">
      <c r="A1513" s="157"/>
      <c r="F1513" s="3"/>
      <c r="G1513" s="3"/>
      <c r="L1513" s="157"/>
      <c r="M1513" s="157"/>
      <c r="O1513" s="147"/>
      <c r="P1513" s="147"/>
      <c r="Q1513" s="147"/>
      <c r="R1513" s="147"/>
      <c r="S1513" s="147"/>
      <c r="T1513" s="147"/>
      <c r="U1513" s="147"/>
      <c r="V1513" s="147"/>
      <c r="W1513" s="147"/>
      <c r="X1513" s="147"/>
      <c r="Y1513" s="147"/>
      <c r="Z1513" s="147"/>
      <c r="AA1513" s="147"/>
      <c r="AB1513" s="147"/>
      <c r="AC1513" s="147"/>
      <c r="AD1513" s="147"/>
      <c r="AE1513" s="147"/>
      <c r="AF1513" s="147"/>
      <c r="AG1513" s="147"/>
      <c r="AH1513" s="147"/>
      <c r="AI1513" s="147"/>
      <c r="AJ1513" s="147"/>
      <c r="AK1513" s="147"/>
      <c r="AL1513" s="147"/>
      <c r="AM1513" s="151"/>
      <c r="AN1513" s="147"/>
      <c r="AO1513" s="147"/>
      <c r="AP1513" s="147"/>
      <c r="AQ1513" s="147"/>
      <c r="AR1513" s="147"/>
      <c r="AS1513" s="147"/>
      <c r="AT1513" s="147"/>
      <c r="AU1513" s="147"/>
      <c r="AV1513" s="147"/>
      <c r="AW1513" s="147"/>
      <c r="AX1513" s="147"/>
      <c r="AY1513" s="147"/>
      <c r="AZ1513" s="147"/>
      <c r="BA1513" s="147"/>
      <c r="BB1513" s="147"/>
      <c r="BC1513" s="147"/>
      <c r="BD1513" s="147"/>
      <c r="BE1513" s="147"/>
      <c r="BF1513" s="147"/>
      <c r="BG1513" s="147"/>
      <c r="BH1513" s="147"/>
      <c r="BI1513" s="147"/>
      <c r="BJ1513" s="147"/>
      <c r="BK1513" s="147"/>
      <c r="BL1513" s="147"/>
      <c r="BM1513" s="147"/>
      <c r="BN1513" s="147"/>
      <c r="BO1513" s="147"/>
      <c r="BP1513" s="147"/>
      <c r="BQ1513" s="147"/>
      <c r="BR1513" s="147"/>
      <c r="BS1513" s="147"/>
      <c r="BT1513" s="147"/>
      <c r="BU1513" s="147"/>
      <c r="BV1513" s="147"/>
      <c r="BW1513" s="147"/>
      <c r="BX1513" s="147"/>
      <c r="BY1513" s="147"/>
      <c r="BZ1513" s="147"/>
      <c r="CA1513" s="147"/>
      <c r="CB1513" s="147"/>
      <c r="CC1513" s="147"/>
      <c r="CD1513" s="147"/>
      <c r="CE1513" s="147"/>
      <c r="CF1513" s="147"/>
      <c r="CG1513" s="147"/>
      <c r="CH1513" s="147"/>
      <c r="CI1513" s="147"/>
      <c r="CJ1513" s="147"/>
      <c r="CK1513" s="147"/>
    </row>
    <row r="1514" spans="1:89">
      <c r="A1514" s="157"/>
      <c r="F1514" s="3"/>
      <c r="G1514" s="3"/>
      <c r="L1514" s="157"/>
      <c r="M1514" s="157"/>
      <c r="O1514" s="147"/>
      <c r="P1514" s="147"/>
      <c r="Q1514" s="147"/>
      <c r="R1514" s="147"/>
      <c r="S1514" s="147"/>
      <c r="T1514" s="147"/>
      <c r="U1514" s="147"/>
      <c r="V1514" s="147"/>
      <c r="W1514" s="147"/>
      <c r="X1514" s="147"/>
      <c r="Y1514" s="147"/>
      <c r="Z1514" s="147"/>
      <c r="AA1514" s="147"/>
      <c r="AB1514" s="147"/>
      <c r="AC1514" s="147"/>
      <c r="AD1514" s="147"/>
      <c r="AE1514" s="147"/>
      <c r="AF1514" s="147"/>
      <c r="AG1514" s="147"/>
      <c r="AH1514" s="147"/>
      <c r="AI1514" s="147"/>
      <c r="AJ1514" s="147"/>
      <c r="AK1514" s="147"/>
      <c r="AL1514" s="147"/>
      <c r="AM1514" s="151"/>
      <c r="AN1514" s="147"/>
      <c r="AO1514" s="147"/>
      <c r="AP1514" s="147"/>
      <c r="AQ1514" s="147"/>
      <c r="AR1514" s="147"/>
      <c r="AS1514" s="147"/>
      <c r="AT1514" s="147"/>
      <c r="AU1514" s="147"/>
      <c r="AV1514" s="147"/>
      <c r="AW1514" s="147"/>
      <c r="AX1514" s="147"/>
      <c r="AY1514" s="147"/>
      <c r="AZ1514" s="147"/>
      <c r="BA1514" s="147"/>
      <c r="BB1514" s="147"/>
      <c r="BC1514" s="147"/>
      <c r="BD1514" s="147"/>
      <c r="BE1514" s="147"/>
      <c r="BF1514" s="147"/>
      <c r="BG1514" s="147"/>
      <c r="BH1514" s="147"/>
      <c r="BI1514" s="147"/>
      <c r="BJ1514" s="147"/>
      <c r="BK1514" s="147"/>
      <c r="BL1514" s="147"/>
      <c r="BM1514" s="147"/>
      <c r="BN1514" s="147"/>
      <c r="BO1514" s="147"/>
      <c r="BP1514" s="147"/>
      <c r="BQ1514" s="147"/>
      <c r="BR1514" s="147"/>
      <c r="BS1514" s="147"/>
      <c r="BT1514" s="147"/>
      <c r="BU1514" s="147"/>
      <c r="BV1514" s="147"/>
      <c r="BW1514" s="147"/>
      <c r="BX1514" s="147"/>
      <c r="BY1514" s="147"/>
      <c r="BZ1514" s="147"/>
      <c r="CA1514" s="147"/>
      <c r="CB1514" s="147"/>
      <c r="CC1514" s="147"/>
      <c r="CD1514" s="147"/>
      <c r="CE1514" s="147"/>
      <c r="CF1514" s="147"/>
      <c r="CG1514" s="147"/>
      <c r="CH1514" s="147"/>
      <c r="CI1514" s="147"/>
      <c r="CJ1514" s="147"/>
      <c r="CK1514" s="147"/>
    </row>
    <row r="1515" spans="1:89">
      <c r="A1515" s="157"/>
      <c r="F1515" s="3"/>
      <c r="G1515" s="3"/>
      <c r="L1515" s="157"/>
      <c r="M1515" s="157"/>
      <c r="O1515" s="147"/>
      <c r="P1515" s="147"/>
      <c r="Q1515" s="147"/>
      <c r="R1515" s="147"/>
      <c r="S1515" s="147"/>
      <c r="T1515" s="147"/>
      <c r="U1515" s="147"/>
      <c r="V1515" s="147"/>
      <c r="W1515" s="147"/>
      <c r="X1515" s="147"/>
      <c r="Y1515" s="147"/>
      <c r="Z1515" s="147"/>
      <c r="AA1515" s="147"/>
      <c r="AB1515" s="147"/>
      <c r="AC1515" s="147"/>
      <c r="AD1515" s="147"/>
      <c r="AE1515" s="147"/>
      <c r="AF1515" s="147"/>
      <c r="AG1515" s="147"/>
      <c r="AH1515" s="147"/>
      <c r="AI1515" s="147"/>
      <c r="AJ1515" s="147"/>
      <c r="AK1515" s="147"/>
      <c r="AL1515" s="147"/>
      <c r="AM1515" s="151"/>
      <c r="AN1515" s="147"/>
      <c r="AO1515" s="147"/>
      <c r="AP1515" s="147"/>
      <c r="AQ1515" s="147"/>
      <c r="AR1515" s="147"/>
      <c r="AS1515" s="147"/>
      <c r="AT1515" s="147"/>
      <c r="AU1515" s="147"/>
      <c r="AV1515" s="147"/>
      <c r="AW1515" s="147"/>
      <c r="AX1515" s="147"/>
      <c r="AY1515" s="147"/>
      <c r="AZ1515" s="147"/>
      <c r="BA1515" s="147"/>
      <c r="BB1515" s="147"/>
      <c r="BC1515" s="147"/>
      <c r="BD1515" s="147"/>
      <c r="BE1515" s="147"/>
      <c r="BF1515" s="147"/>
      <c r="BG1515" s="147"/>
      <c r="BH1515" s="147"/>
      <c r="BI1515" s="147"/>
      <c r="BJ1515" s="147"/>
      <c r="BK1515" s="147"/>
      <c r="BL1515" s="147"/>
      <c r="BM1515" s="147"/>
      <c r="BN1515" s="147"/>
      <c r="BO1515" s="147"/>
      <c r="BP1515" s="147"/>
      <c r="BQ1515" s="147"/>
      <c r="BR1515" s="147"/>
      <c r="BS1515" s="147"/>
      <c r="BT1515" s="147"/>
      <c r="BU1515" s="147"/>
      <c r="BV1515" s="147"/>
      <c r="BW1515" s="147"/>
      <c r="BX1515" s="147"/>
      <c r="BY1515" s="147"/>
      <c r="BZ1515" s="147"/>
      <c r="CA1515" s="147"/>
      <c r="CB1515" s="147"/>
      <c r="CC1515" s="147"/>
      <c r="CD1515" s="147"/>
      <c r="CE1515" s="147"/>
      <c r="CF1515" s="147"/>
      <c r="CG1515" s="147"/>
      <c r="CH1515" s="147"/>
      <c r="CI1515" s="147"/>
      <c r="CJ1515" s="147"/>
      <c r="CK1515" s="147"/>
    </row>
    <row r="1516" spans="1:89">
      <c r="A1516" s="157"/>
      <c r="F1516" s="3"/>
      <c r="G1516" s="3"/>
      <c r="L1516" s="157"/>
      <c r="M1516" s="157"/>
      <c r="O1516" s="147"/>
      <c r="P1516" s="147"/>
      <c r="Q1516" s="147"/>
      <c r="R1516" s="147"/>
      <c r="S1516" s="147"/>
      <c r="T1516" s="147"/>
      <c r="U1516" s="147"/>
      <c r="V1516" s="147"/>
      <c r="W1516" s="147"/>
      <c r="X1516" s="147"/>
      <c r="Y1516" s="147"/>
      <c r="Z1516" s="147"/>
      <c r="AA1516" s="147"/>
      <c r="AB1516" s="147"/>
      <c r="AC1516" s="147"/>
      <c r="AD1516" s="147"/>
      <c r="AE1516" s="147"/>
      <c r="AF1516" s="147"/>
      <c r="AG1516" s="147"/>
      <c r="AH1516" s="147"/>
      <c r="AI1516" s="147"/>
      <c r="AJ1516" s="147"/>
      <c r="AK1516" s="147"/>
      <c r="AL1516" s="147"/>
      <c r="AM1516" s="151"/>
      <c r="AN1516" s="147"/>
      <c r="AO1516" s="147"/>
      <c r="AP1516" s="147"/>
      <c r="AQ1516" s="147"/>
      <c r="AR1516" s="147"/>
      <c r="AS1516" s="147"/>
      <c r="AT1516" s="147"/>
      <c r="AU1516" s="147"/>
      <c r="AV1516" s="147"/>
      <c r="AW1516" s="147"/>
      <c r="AX1516" s="147"/>
      <c r="AY1516" s="147"/>
      <c r="AZ1516" s="147"/>
      <c r="BA1516" s="147"/>
      <c r="BB1516" s="147"/>
      <c r="BC1516" s="147"/>
      <c r="BD1516" s="147"/>
      <c r="BE1516" s="147"/>
      <c r="BF1516" s="147"/>
      <c r="BG1516" s="147"/>
      <c r="BH1516" s="147"/>
      <c r="BI1516" s="147"/>
      <c r="BJ1516" s="147"/>
      <c r="BK1516" s="147"/>
      <c r="BL1516" s="147"/>
      <c r="BM1516" s="147"/>
      <c r="BN1516" s="147"/>
      <c r="BO1516" s="147"/>
      <c r="BP1516" s="147"/>
      <c r="BQ1516" s="147"/>
      <c r="BR1516" s="147"/>
      <c r="BS1516" s="147"/>
      <c r="BT1516" s="147"/>
      <c r="BU1516" s="147"/>
      <c r="BV1516" s="147"/>
      <c r="BW1516" s="147"/>
      <c r="BX1516" s="147"/>
      <c r="BY1516" s="147"/>
      <c r="BZ1516" s="147"/>
      <c r="CA1516" s="147"/>
      <c r="CB1516" s="147"/>
      <c r="CC1516" s="147"/>
      <c r="CD1516" s="147"/>
      <c r="CE1516" s="147"/>
      <c r="CF1516" s="147"/>
      <c r="CG1516" s="147"/>
      <c r="CH1516" s="147"/>
      <c r="CI1516" s="147"/>
      <c r="CJ1516" s="147"/>
      <c r="CK1516" s="147"/>
    </row>
    <row r="1517" spans="1:89">
      <c r="A1517" s="157"/>
      <c r="F1517" s="3"/>
      <c r="G1517" s="3"/>
      <c r="L1517" s="157"/>
      <c r="M1517" s="157"/>
      <c r="O1517" s="147"/>
      <c r="P1517" s="147"/>
      <c r="Q1517" s="147"/>
      <c r="R1517" s="147"/>
      <c r="S1517" s="147"/>
      <c r="T1517" s="147"/>
      <c r="U1517" s="147"/>
      <c r="V1517" s="147"/>
      <c r="W1517" s="147"/>
      <c r="X1517" s="147"/>
      <c r="Y1517" s="147"/>
      <c r="Z1517" s="147"/>
      <c r="AA1517" s="147"/>
      <c r="AB1517" s="147"/>
      <c r="AC1517" s="147"/>
      <c r="AD1517" s="147"/>
      <c r="AE1517" s="147"/>
      <c r="AF1517" s="147"/>
      <c r="AG1517" s="147"/>
      <c r="AH1517" s="147"/>
      <c r="AI1517" s="147"/>
      <c r="AJ1517" s="147"/>
      <c r="AK1517" s="147"/>
      <c r="AL1517" s="147"/>
      <c r="AM1517" s="151"/>
      <c r="AN1517" s="147"/>
      <c r="AO1517" s="147"/>
      <c r="AP1517" s="147"/>
      <c r="AQ1517" s="147"/>
      <c r="AR1517" s="147"/>
      <c r="AS1517" s="147"/>
      <c r="AT1517" s="147"/>
      <c r="AU1517" s="147"/>
      <c r="AV1517" s="147"/>
      <c r="AW1517" s="147"/>
      <c r="AX1517" s="147"/>
      <c r="AY1517" s="147"/>
      <c r="AZ1517" s="147"/>
      <c r="BA1517" s="147"/>
      <c r="BB1517" s="147"/>
      <c r="BC1517" s="147"/>
      <c r="BD1517" s="147"/>
      <c r="BE1517" s="147"/>
      <c r="BF1517" s="147"/>
      <c r="BG1517" s="147"/>
      <c r="BH1517" s="147"/>
      <c r="BI1517" s="147"/>
      <c r="BJ1517" s="147"/>
      <c r="BK1517" s="147"/>
      <c r="BL1517" s="147"/>
      <c r="BM1517" s="147"/>
      <c r="BN1517" s="147"/>
      <c r="BO1517" s="147"/>
      <c r="BP1517" s="147"/>
      <c r="BQ1517" s="147"/>
      <c r="BR1517" s="147"/>
      <c r="BS1517" s="147"/>
      <c r="BT1517" s="147"/>
      <c r="BU1517" s="147"/>
      <c r="BV1517" s="147"/>
      <c r="BW1517" s="147"/>
      <c r="BX1517" s="147"/>
      <c r="BY1517" s="147"/>
      <c r="BZ1517" s="147"/>
      <c r="CA1517" s="147"/>
      <c r="CB1517" s="147"/>
      <c r="CC1517" s="147"/>
      <c r="CD1517" s="147"/>
      <c r="CE1517" s="147"/>
      <c r="CF1517" s="147"/>
      <c r="CG1517" s="147"/>
      <c r="CH1517" s="147"/>
      <c r="CI1517" s="147"/>
      <c r="CJ1517" s="147"/>
      <c r="CK1517" s="147"/>
    </row>
    <row r="1518" spans="1:89">
      <c r="A1518" s="157"/>
      <c r="F1518" s="3"/>
      <c r="G1518" s="3"/>
      <c r="L1518" s="157"/>
      <c r="M1518" s="157"/>
      <c r="O1518" s="147"/>
      <c r="P1518" s="147"/>
      <c r="Q1518" s="147"/>
      <c r="R1518" s="147"/>
      <c r="S1518" s="147"/>
      <c r="T1518" s="147"/>
      <c r="U1518" s="147"/>
      <c r="V1518" s="147"/>
      <c r="W1518" s="147"/>
      <c r="X1518" s="147"/>
      <c r="Y1518" s="147"/>
      <c r="Z1518" s="147"/>
      <c r="AA1518" s="147"/>
      <c r="AB1518" s="147"/>
      <c r="AC1518" s="147"/>
      <c r="AD1518" s="147"/>
      <c r="AE1518" s="147"/>
      <c r="AF1518" s="147"/>
      <c r="AG1518" s="147"/>
      <c r="AH1518" s="147"/>
      <c r="AI1518" s="147"/>
      <c r="AJ1518" s="147"/>
      <c r="AK1518" s="147"/>
      <c r="AL1518" s="147"/>
      <c r="AM1518" s="151"/>
      <c r="AN1518" s="147"/>
      <c r="AO1518" s="147"/>
      <c r="AP1518" s="147"/>
      <c r="AQ1518" s="147"/>
      <c r="AR1518" s="147"/>
      <c r="AS1518" s="147"/>
      <c r="AT1518" s="147"/>
      <c r="AU1518" s="147"/>
      <c r="AV1518" s="147"/>
      <c r="AW1518" s="147"/>
      <c r="AX1518" s="147"/>
      <c r="AY1518" s="147"/>
      <c r="AZ1518" s="147"/>
      <c r="BA1518" s="147"/>
      <c r="BB1518" s="147"/>
      <c r="BC1518" s="147"/>
      <c r="BD1518" s="147"/>
      <c r="BE1518" s="147"/>
      <c r="BF1518" s="147"/>
      <c r="BG1518" s="147"/>
      <c r="BH1518" s="147"/>
      <c r="BI1518" s="147"/>
      <c r="BJ1518" s="147"/>
      <c r="BK1518" s="147"/>
      <c r="BL1518" s="147"/>
      <c r="BM1518" s="147"/>
      <c r="BN1518" s="147"/>
      <c r="BO1518" s="147"/>
      <c r="BP1518" s="147"/>
      <c r="BQ1518" s="147"/>
      <c r="BR1518" s="147"/>
      <c r="BS1518" s="147"/>
      <c r="BT1518" s="147"/>
      <c r="BU1518" s="147"/>
      <c r="BV1518" s="147"/>
      <c r="BW1518" s="147"/>
      <c r="BX1518" s="147"/>
      <c r="BY1518" s="147"/>
      <c r="BZ1518" s="147"/>
      <c r="CA1518" s="147"/>
      <c r="CB1518" s="147"/>
      <c r="CC1518" s="147"/>
      <c r="CD1518" s="147"/>
      <c r="CE1518" s="147"/>
      <c r="CF1518" s="147"/>
      <c r="CG1518" s="147"/>
      <c r="CH1518" s="147"/>
      <c r="CI1518" s="147"/>
      <c r="CJ1518" s="147"/>
      <c r="CK1518" s="147"/>
    </row>
    <row r="1519" spans="1:89">
      <c r="A1519" s="157"/>
      <c r="F1519" s="3"/>
      <c r="G1519" s="3"/>
      <c r="L1519" s="157"/>
      <c r="M1519" s="157"/>
      <c r="O1519" s="147"/>
      <c r="P1519" s="147"/>
      <c r="Q1519" s="147"/>
      <c r="R1519" s="147"/>
      <c r="S1519" s="147"/>
      <c r="T1519" s="147"/>
      <c r="U1519" s="147"/>
      <c r="V1519" s="147"/>
      <c r="W1519" s="147"/>
      <c r="X1519" s="147"/>
      <c r="Y1519" s="147"/>
      <c r="Z1519" s="147"/>
      <c r="AA1519" s="147"/>
      <c r="AB1519" s="147"/>
      <c r="AC1519" s="147"/>
      <c r="AD1519" s="147"/>
      <c r="AE1519" s="147"/>
      <c r="AF1519" s="147"/>
      <c r="AG1519" s="147"/>
      <c r="AH1519" s="147"/>
      <c r="AI1519" s="147"/>
      <c r="AJ1519" s="147"/>
      <c r="AK1519" s="147"/>
      <c r="AL1519" s="147"/>
      <c r="AM1519" s="151"/>
      <c r="AN1519" s="147"/>
      <c r="AO1519" s="147"/>
      <c r="AP1519" s="147"/>
      <c r="AQ1519" s="147"/>
      <c r="AR1519" s="147"/>
      <c r="AS1519" s="147"/>
      <c r="AT1519" s="147"/>
      <c r="AU1519" s="147"/>
      <c r="AV1519" s="147"/>
      <c r="AW1519" s="147"/>
      <c r="AX1519" s="147"/>
      <c r="AY1519" s="147"/>
      <c r="AZ1519" s="147"/>
      <c r="BA1519" s="147"/>
      <c r="BB1519" s="147"/>
      <c r="BC1519" s="147"/>
      <c r="BD1519" s="147"/>
      <c r="BE1519" s="147"/>
      <c r="BF1519" s="147"/>
      <c r="BG1519" s="147"/>
      <c r="BH1519" s="147"/>
      <c r="BI1519" s="147"/>
      <c r="BJ1519" s="147"/>
      <c r="BK1519" s="147"/>
      <c r="BL1519" s="147"/>
      <c r="BM1519" s="147"/>
      <c r="BN1519" s="147"/>
      <c r="BO1519" s="147"/>
      <c r="BP1519" s="147"/>
      <c r="BQ1519" s="147"/>
      <c r="BR1519" s="147"/>
      <c r="BS1519" s="147"/>
      <c r="BT1519" s="147"/>
      <c r="BU1519" s="147"/>
      <c r="BV1519" s="147"/>
      <c r="BW1519" s="147"/>
      <c r="BX1519" s="147"/>
      <c r="BY1519" s="147"/>
      <c r="BZ1519" s="147"/>
      <c r="CA1519" s="147"/>
      <c r="CB1519" s="147"/>
      <c r="CC1519" s="147"/>
      <c r="CD1519" s="147"/>
      <c r="CE1519" s="147"/>
      <c r="CF1519" s="147"/>
      <c r="CG1519" s="147"/>
      <c r="CH1519" s="147"/>
      <c r="CI1519" s="147"/>
      <c r="CJ1519" s="147"/>
      <c r="CK1519" s="147"/>
    </row>
    <row r="1520" spans="1:89">
      <c r="A1520" s="157"/>
      <c r="F1520" s="3"/>
      <c r="G1520" s="3"/>
      <c r="L1520" s="157"/>
      <c r="M1520" s="157"/>
      <c r="O1520" s="147"/>
      <c r="P1520" s="147"/>
      <c r="Q1520" s="147"/>
      <c r="R1520" s="147"/>
      <c r="S1520" s="147"/>
      <c r="T1520" s="147"/>
      <c r="U1520" s="147"/>
      <c r="V1520" s="147"/>
      <c r="W1520" s="147"/>
      <c r="X1520" s="147"/>
      <c r="Y1520" s="147"/>
      <c r="Z1520" s="147"/>
      <c r="AA1520" s="147"/>
      <c r="AB1520" s="147"/>
      <c r="AC1520" s="147"/>
      <c r="AD1520" s="147"/>
      <c r="AE1520" s="147"/>
      <c r="AF1520" s="147"/>
      <c r="AG1520" s="147"/>
      <c r="AH1520" s="147"/>
      <c r="AI1520" s="147"/>
      <c r="AJ1520" s="147"/>
      <c r="AK1520" s="147"/>
      <c r="AL1520" s="147"/>
      <c r="AM1520" s="151"/>
      <c r="AN1520" s="147"/>
      <c r="AO1520" s="147"/>
      <c r="AP1520" s="147"/>
      <c r="AQ1520" s="147"/>
      <c r="AR1520" s="147"/>
      <c r="AS1520" s="147"/>
      <c r="AT1520" s="147"/>
      <c r="AU1520" s="147"/>
      <c r="AV1520" s="147"/>
      <c r="AW1520" s="147"/>
      <c r="AX1520" s="147"/>
      <c r="AY1520" s="147"/>
      <c r="AZ1520" s="147"/>
      <c r="BA1520" s="147"/>
      <c r="BB1520" s="147"/>
      <c r="BC1520" s="147"/>
      <c r="BD1520" s="147"/>
      <c r="BE1520" s="147"/>
      <c r="BF1520" s="147"/>
      <c r="BG1520" s="147"/>
      <c r="BH1520" s="147"/>
      <c r="BI1520" s="147"/>
      <c r="BJ1520" s="147"/>
      <c r="BK1520" s="147"/>
      <c r="BL1520" s="147"/>
      <c r="BM1520" s="147"/>
      <c r="BN1520" s="147"/>
      <c r="BO1520" s="147"/>
      <c r="BP1520" s="147"/>
      <c r="BQ1520" s="147"/>
      <c r="BR1520" s="147"/>
      <c r="BS1520" s="147"/>
      <c r="BT1520" s="147"/>
      <c r="BU1520" s="147"/>
      <c r="BV1520" s="147"/>
      <c r="BW1520" s="147"/>
      <c r="BX1520" s="147"/>
      <c r="BY1520" s="147"/>
      <c r="BZ1520" s="147"/>
      <c r="CA1520" s="147"/>
      <c r="CB1520" s="147"/>
      <c r="CC1520" s="147"/>
      <c r="CD1520" s="147"/>
      <c r="CE1520" s="147"/>
      <c r="CF1520" s="147"/>
      <c r="CG1520" s="147"/>
      <c r="CH1520" s="147"/>
      <c r="CI1520" s="147"/>
      <c r="CJ1520" s="147"/>
      <c r="CK1520" s="147"/>
    </row>
    <row r="1521" spans="1:89">
      <c r="A1521" s="157"/>
      <c r="F1521" s="3"/>
      <c r="G1521" s="3"/>
      <c r="L1521" s="157"/>
      <c r="M1521" s="157"/>
      <c r="O1521" s="147"/>
      <c r="P1521" s="147"/>
      <c r="Q1521" s="147"/>
      <c r="R1521" s="147"/>
      <c r="S1521" s="147"/>
      <c r="T1521" s="147"/>
      <c r="U1521" s="147"/>
      <c r="V1521" s="147"/>
      <c r="W1521" s="147"/>
      <c r="X1521" s="147"/>
      <c r="Y1521" s="147"/>
      <c r="Z1521" s="147"/>
      <c r="AA1521" s="147"/>
      <c r="AB1521" s="147"/>
      <c r="AC1521" s="147"/>
      <c r="AD1521" s="147"/>
      <c r="AE1521" s="147"/>
      <c r="AF1521" s="147"/>
      <c r="AG1521" s="147"/>
      <c r="AH1521" s="147"/>
      <c r="AI1521" s="147"/>
      <c r="AJ1521" s="147"/>
      <c r="AK1521" s="147"/>
      <c r="AL1521" s="147"/>
      <c r="AM1521" s="151"/>
      <c r="AN1521" s="147"/>
      <c r="AO1521" s="147"/>
      <c r="AP1521" s="147"/>
      <c r="AQ1521" s="147"/>
      <c r="AR1521" s="147"/>
      <c r="AS1521" s="147"/>
      <c r="AT1521" s="147"/>
      <c r="AU1521" s="147"/>
      <c r="AV1521" s="147"/>
      <c r="AW1521" s="147"/>
      <c r="AX1521" s="147"/>
      <c r="AY1521" s="147"/>
      <c r="AZ1521" s="147"/>
      <c r="BA1521" s="147"/>
      <c r="BB1521" s="147"/>
      <c r="BC1521" s="147"/>
      <c r="BD1521" s="147"/>
      <c r="BE1521" s="147"/>
      <c r="BF1521" s="147"/>
      <c r="BG1521" s="147"/>
      <c r="BH1521" s="147"/>
      <c r="BI1521" s="147"/>
      <c r="BJ1521" s="147"/>
      <c r="BK1521" s="147"/>
      <c r="BL1521" s="147"/>
      <c r="BM1521" s="147"/>
      <c r="BN1521" s="147"/>
      <c r="BO1521" s="147"/>
      <c r="BP1521" s="147"/>
      <c r="BQ1521" s="147"/>
      <c r="BR1521" s="147"/>
      <c r="BS1521" s="147"/>
      <c r="BT1521" s="147"/>
      <c r="BU1521" s="147"/>
      <c r="BV1521" s="147"/>
      <c r="BW1521" s="147"/>
      <c r="BX1521" s="147"/>
      <c r="BY1521" s="147"/>
      <c r="BZ1521" s="147"/>
      <c r="CA1521" s="147"/>
      <c r="CB1521" s="147"/>
      <c r="CC1521" s="147"/>
      <c r="CD1521" s="147"/>
      <c r="CE1521" s="147"/>
      <c r="CF1521" s="147"/>
      <c r="CG1521" s="147"/>
      <c r="CH1521" s="147"/>
      <c r="CI1521" s="147"/>
      <c r="CJ1521" s="147"/>
      <c r="CK1521" s="147"/>
    </row>
    <row r="1522" spans="1:89">
      <c r="A1522" s="157"/>
      <c r="F1522" s="3"/>
      <c r="G1522" s="3"/>
      <c r="L1522" s="157"/>
      <c r="M1522" s="157"/>
      <c r="O1522" s="147"/>
      <c r="P1522" s="147"/>
      <c r="Q1522" s="147"/>
      <c r="R1522" s="147"/>
      <c r="S1522" s="147"/>
      <c r="T1522" s="147"/>
      <c r="U1522" s="147"/>
      <c r="V1522" s="147"/>
      <c r="W1522" s="147"/>
      <c r="X1522" s="147"/>
      <c r="Y1522" s="147"/>
      <c r="Z1522" s="147"/>
      <c r="AA1522" s="147"/>
      <c r="AB1522" s="147"/>
      <c r="AC1522" s="147"/>
      <c r="AD1522" s="147"/>
      <c r="AE1522" s="147"/>
      <c r="AF1522" s="147"/>
      <c r="AG1522" s="147"/>
      <c r="AH1522" s="147"/>
      <c r="AI1522" s="147"/>
      <c r="AJ1522" s="147"/>
      <c r="AK1522" s="147"/>
      <c r="AL1522" s="147"/>
      <c r="AM1522" s="151"/>
      <c r="AN1522" s="147"/>
      <c r="AO1522" s="147"/>
      <c r="AP1522" s="147"/>
      <c r="AQ1522" s="147"/>
      <c r="AR1522" s="147"/>
      <c r="AS1522" s="147"/>
      <c r="AT1522" s="147"/>
      <c r="AU1522" s="147"/>
      <c r="AV1522" s="147"/>
      <c r="AW1522" s="147"/>
      <c r="AX1522" s="147"/>
      <c r="AY1522" s="147"/>
      <c r="AZ1522" s="147"/>
      <c r="BA1522" s="147"/>
      <c r="BB1522" s="147"/>
      <c r="BC1522" s="147"/>
      <c r="BD1522" s="147"/>
      <c r="BE1522" s="147"/>
      <c r="BF1522" s="147"/>
      <c r="BG1522" s="147"/>
      <c r="BH1522" s="147"/>
      <c r="BI1522" s="147"/>
      <c r="BJ1522" s="147"/>
      <c r="BK1522" s="147"/>
      <c r="BL1522" s="147"/>
      <c r="BM1522" s="147"/>
      <c r="BN1522" s="147"/>
      <c r="BO1522" s="147"/>
      <c r="BP1522" s="147"/>
      <c r="BQ1522" s="147"/>
      <c r="BR1522" s="147"/>
      <c r="BS1522" s="147"/>
      <c r="BT1522" s="147"/>
      <c r="BU1522" s="147"/>
      <c r="BV1522" s="147"/>
      <c r="BW1522" s="147"/>
      <c r="BX1522" s="147"/>
      <c r="BY1522" s="147"/>
      <c r="BZ1522" s="147"/>
      <c r="CA1522" s="147"/>
      <c r="CB1522" s="147"/>
      <c r="CC1522" s="147"/>
      <c r="CD1522" s="147"/>
      <c r="CE1522" s="147"/>
      <c r="CF1522" s="147"/>
      <c r="CG1522" s="147"/>
      <c r="CH1522" s="147"/>
      <c r="CI1522" s="147"/>
      <c r="CJ1522" s="147"/>
      <c r="CK1522" s="147"/>
    </row>
    <row r="1523" spans="1:89">
      <c r="A1523" s="157"/>
      <c r="F1523" s="3"/>
      <c r="G1523" s="3"/>
      <c r="L1523" s="157"/>
      <c r="M1523" s="157"/>
      <c r="O1523" s="147"/>
      <c r="P1523" s="147"/>
      <c r="Q1523" s="147"/>
      <c r="R1523" s="147"/>
      <c r="S1523" s="147"/>
      <c r="T1523" s="147"/>
      <c r="U1523" s="147"/>
      <c r="V1523" s="147"/>
      <c r="W1523" s="147"/>
      <c r="X1523" s="147"/>
      <c r="Y1523" s="147"/>
      <c r="Z1523" s="147"/>
      <c r="AA1523" s="147"/>
      <c r="AB1523" s="147"/>
      <c r="AC1523" s="147"/>
      <c r="AD1523" s="147"/>
      <c r="AE1523" s="147"/>
      <c r="AF1523" s="147"/>
      <c r="AG1523" s="147"/>
      <c r="AH1523" s="147"/>
      <c r="AI1523" s="147"/>
      <c r="AJ1523" s="147"/>
      <c r="AK1523" s="147"/>
      <c r="AL1523" s="147"/>
      <c r="AM1523" s="151"/>
      <c r="AN1523" s="147"/>
      <c r="AO1523" s="147"/>
      <c r="AP1523" s="147"/>
      <c r="AQ1523" s="147"/>
      <c r="AR1523" s="147"/>
      <c r="AS1523" s="147"/>
      <c r="AT1523" s="147"/>
      <c r="AU1523" s="147"/>
      <c r="AV1523" s="147"/>
      <c r="AW1523" s="147"/>
      <c r="AX1523" s="147"/>
      <c r="AY1523" s="147"/>
      <c r="AZ1523" s="147"/>
      <c r="BA1523" s="147"/>
      <c r="BB1523" s="147"/>
      <c r="BC1523" s="147"/>
      <c r="BD1523" s="147"/>
      <c r="BE1523" s="147"/>
      <c r="BF1523" s="147"/>
      <c r="BG1523" s="147"/>
      <c r="BH1523" s="147"/>
      <c r="BI1523" s="147"/>
      <c r="BJ1523" s="147"/>
      <c r="BK1523" s="147"/>
      <c r="BL1523" s="147"/>
      <c r="BM1523" s="147"/>
      <c r="BN1523" s="147"/>
      <c r="BO1523" s="147"/>
      <c r="BP1523" s="147"/>
      <c r="BQ1523" s="147"/>
      <c r="BR1523" s="147"/>
      <c r="BS1523" s="147"/>
      <c r="BT1523" s="147"/>
      <c r="BU1523" s="147"/>
      <c r="BV1523" s="147"/>
      <c r="BW1523" s="147"/>
      <c r="BX1523" s="147"/>
      <c r="BY1523" s="147"/>
      <c r="BZ1523" s="147"/>
      <c r="CA1523" s="147"/>
      <c r="CB1523" s="147"/>
      <c r="CC1523" s="147"/>
      <c r="CD1523" s="147"/>
      <c r="CE1523" s="147"/>
      <c r="CF1523" s="147"/>
      <c r="CG1523" s="147"/>
      <c r="CH1523" s="147"/>
      <c r="CI1523" s="147"/>
      <c r="CJ1523" s="147"/>
      <c r="CK1523" s="147"/>
    </row>
    <row r="1524" spans="1:89">
      <c r="A1524" s="157"/>
      <c r="F1524" s="3"/>
      <c r="G1524" s="3"/>
      <c r="L1524" s="157"/>
      <c r="M1524" s="157"/>
      <c r="O1524" s="147"/>
      <c r="P1524" s="147"/>
      <c r="Q1524" s="147"/>
      <c r="R1524" s="147"/>
      <c r="S1524" s="147"/>
      <c r="T1524" s="147"/>
      <c r="U1524" s="147"/>
      <c r="V1524" s="147"/>
      <c r="W1524" s="147"/>
      <c r="X1524" s="147"/>
      <c r="Y1524" s="147"/>
      <c r="Z1524" s="147"/>
      <c r="AA1524" s="147"/>
      <c r="AB1524" s="147"/>
      <c r="AC1524" s="147"/>
      <c r="AD1524" s="147"/>
      <c r="AE1524" s="147"/>
      <c r="AF1524" s="147"/>
      <c r="AG1524" s="147"/>
      <c r="AH1524" s="147"/>
      <c r="AI1524" s="147"/>
      <c r="AJ1524" s="147"/>
      <c r="AK1524" s="147"/>
      <c r="AL1524" s="147"/>
      <c r="AM1524" s="151"/>
      <c r="AN1524" s="147"/>
      <c r="AO1524" s="147"/>
      <c r="AP1524" s="147"/>
      <c r="AQ1524" s="147"/>
      <c r="AR1524" s="147"/>
      <c r="AS1524" s="147"/>
      <c r="AT1524" s="147"/>
      <c r="AU1524" s="147"/>
      <c r="AV1524" s="147"/>
      <c r="AW1524" s="147"/>
      <c r="AX1524" s="147"/>
      <c r="AY1524" s="147"/>
      <c r="AZ1524" s="147"/>
      <c r="BA1524" s="147"/>
      <c r="BB1524" s="147"/>
      <c r="BC1524" s="147"/>
      <c r="BD1524" s="147"/>
      <c r="BE1524" s="147"/>
      <c r="BF1524" s="147"/>
      <c r="BG1524" s="147"/>
      <c r="BH1524" s="147"/>
      <c r="BI1524" s="147"/>
      <c r="BJ1524" s="147"/>
      <c r="BK1524" s="147"/>
      <c r="BL1524" s="147"/>
      <c r="BM1524" s="147"/>
      <c r="BN1524" s="147"/>
      <c r="BO1524" s="147"/>
      <c r="BP1524" s="147"/>
      <c r="BQ1524" s="147"/>
      <c r="BR1524" s="147"/>
      <c r="BS1524" s="147"/>
      <c r="BT1524" s="147"/>
      <c r="BU1524" s="147"/>
      <c r="BV1524" s="147"/>
      <c r="BW1524" s="147"/>
      <c r="BX1524" s="147"/>
      <c r="BY1524" s="147"/>
      <c r="BZ1524" s="147"/>
      <c r="CA1524" s="147"/>
      <c r="CB1524" s="147"/>
      <c r="CC1524" s="147"/>
      <c r="CD1524" s="147"/>
      <c r="CE1524" s="147"/>
      <c r="CF1524" s="147"/>
      <c r="CG1524" s="147"/>
      <c r="CH1524" s="147"/>
      <c r="CI1524" s="147"/>
      <c r="CJ1524" s="147"/>
      <c r="CK1524" s="147"/>
    </row>
    <row r="1525" spans="1:89">
      <c r="A1525" s="157"/>
      <c r="F1525" s="3"/>
      <c r="G1525" s="3"/>
      <c r="L1525" s="157"/>
      <c r="M1525" s="157"/>
      <c r="O1525" s="147"/>
      <c r="P1525" s="147"/>
      <c r="Q1525" s="147"/>
      <c r="R1525" s="147"/>
      <c r="S1525" s="147"/>
      <c r="T1525" s="147"/>
      <c r="U1525" s="147"/>
      <c r="V1525" s="147"/>
      <c r="W1525" s="147"/>
      <c r="X1525" s="147"/>
      <c r="Y1525" s="147"/>
      <c r="Z1525" s="147"/>
      <c r="AA1525" s="147"/>
      <c r="AB1525" s="147"/>
      <c r="AC1525" s="147"/>
      <c r="AD1525" s="147"/>
      <c r="AE1525" s="147"/>
      <c r="AF1525" s="147"/>
      <c r="AG1525" s="147"/>
      <c r="AH1525" s="147"/>
      <c r="AI1525" s="147"/>
      <c r="AJ1525" s="147"/>
      <c r="AK1525" s="147"/>
      <c r="AL1525" s="147"/>
      <c r="AM1525" s="151"/>
      <c r="AN1525" s="147"/>
      <c r="AO1525" s="147"/>
      <c r="AP1525" s="147"/>
      <c r="AQ1525" s="147"/>
      <c r="AR1525" s="147"/>
      <c r="AS1525" s="147"/>
      <c r="AT1525" s="147"/>
      <c r="AU1525" s="147"/>
      <c r="AV1525" s="147"/>
      <c r="AW1525" s="147"/>
      <c r="AX1525" s="147"/>
      <c r="AY1525" s="147"/>
      <c r="AZ1525" s="147"/>
      <c r="BA1525" s="147"/>
      <c r="BB1525" s="147"/>
      <c r="BC1525" s="147"/>
      <c r="BD1525" s="147"/>
      <c r="BE1525" s="147"/>
      <c r="BF1525" s="147"/>
      <c r="BG1525" s="147"/>
      <c r="BH1525" s="147"/>
      <c r="BI1525" s="147"/>
      <c r="BJ1525" s="147"/>
      <c r="BK1525" s="147"/>
      <c r="BL1525" s="147"/>
      <c r="BM1525" s="147"/>
      <c r="BN1525" s="147"/>
      <c r="BO1525" s="147"/>
      <c r="BP1525" s="147"/>
      <c r="BQ1525" s="147"/>
      <c r="BR1525" s="147"/>
      <c r="BS1525" s="147"/>
      <c r="BT1525" s="147"/>
      <c r="BU1525" s="147"/>
      <c r="BV1525" s="147"/>
      <c r="BW1525" s="147"/>
      <c r="BX1525" s="147"/>
      <c r="BY1525" s="147"/>
      <c r="BZ1525" s="147"/>
      <c r="CA1525" s="147"/>
      <c r="CB1525" s="147"/>
      <c r="CC1525" s="147"/>
      <c r="CD1525" s="147"/>
      <c r="CE1525" s="147"/>
      <c r="CF1525" s="147"/>
      <c r="CG1525" s="147"/>
      <c r="CH1525" s="147"/>
      <c r="CI1525" s="147"/>
      <c r="CJ1525" s="147"/>
      <c r="CK1525" s="147"/>
    </row>
    <row r="1526" spans="1:89">
      <c r="A1526" s="157"/>
      <c r="F1526" s="3"/>
      <c r="G1526" s="3"/>
      <c r="L1526" s="157"/>
      <c r="M1526" s="157"/>
      <c r="O1526" s="147"/>
      <c r="P1526" s="147"/>
      <c r="Q1526" s="147"/>
      <c r="R1526" s="147"/>
      <c r="S1526" s="147"/>
      <c r="T1526" s="147"/>
      <c r="U1526" s="147"/>
      <c r="V1526" s="147"/>
      <c r="W1526" s="147"/>
      <c r="X1526" s="147"/>
      <c r="Y1526" s="147"/>
      <c r="Z1526" s="147"/>
      <c r="AA1526" s="147"/>
      <c r="AB1526" s="147"/>
      <c r="AC1526" s="147"/>
      <c r="AD1526" s="147"/>
      <c r="AE1526" s="147"/>
      <c r="AF1526" s="147"/>
      <c r="AG1526" s="147"/>
      <c r="AH1526" s="147"/>
      <c r="AI1526" s="147"/>
      <c r="AJ1526" s="147"/>
      <c r="AK1526" s="147"/>
      <c r="AL1526" s="147"/>
      <c r="AM1526" s="151"/>
      <c r="AN1526" s="147"/>
      <c r="AO1526" s="147"/>
      <c r="AP1526" s="147"/>
      <c r="AQ1526" s="147"/>
      <c r="AR1526" s="147"/>
      <c r="AS1526" s="147"/>
      <c r="AT1526" s="147"/>
      <c r="AU1526" s="147"/>
      <c r="AV1526" s="147"/>
      <c r="AW1526" s="147"/>
      <c r="AX1526" s="147"/>
      <c r="AY1526" s="147"/>
      <c r="AZ1526" s="147"/>
      <c r="BA1526" s="147"/>
      <c r="BB1526" s="147"/>
      <c r="BC1526" s="147"/>
      <c r="BD1526" s="147"/>
      <c r="BE1526" s="147"/>
      <c r="BF1526" s="147"/>
      <c r="BG1526" s="147"/>
      <c r="BH1526" s="147"/>
      <c r="BI1526" s="147"/>
      <c r="BJ1526" s="147"/>
      <c r="BK1526" s="147"/>
      <c r="BL1526" s="147"/>
      <c r="BM1526" s="147"/>
      <c r="BN1526" s="147"/>
      <c r="BO1526" s="147"/>
      <c r="BP1526" s="147"/>
      <c r="BQ1526" s="147"/>
      <c r="BR1526" s="147"/>
      <c r="BS1526" s="147"/>
      <c r="BT1526" s="147"/>
      <c r="BU1526" s="147"/>
      <c r="BV1526" s="147"/>
      <c r="BW1526" s="147"/>
      <c r="BX1526" s="147"/>
      <c r="BY1526" s="147"/>
      <c r="BZ1526" s="147"/>
      <c r="CA1526" s="147"/>
      <c r="CB1526" s="147"/>
      <c r="CC1526" s="147"/>
      <c r="CD1526" s="147"/>
      <c r="CE1526" s="147"/>
      <c r="CF1526" s="147"/>
      <c r="CG1526" s="147"/>
      <c r="CH1526" s="147"/>
      <c r="CI1526" s="147"/>
      <c r="CJ1526" s="147"/>
      <c r="CK1526" s="147"/>
    </row>
    <row r="1527" spans="1:89">
      <c r="A1527" s="157"/>
      <c r="F1527" s="3"/>
      <c r="G1527" s="3"/>
      <c r="L1527" s="157"/>
      <c r="M1527" s="157"/>
      <c r="O1527" s="147"/>
      <c r="P1527" s="147"/>
      <c r="Q1527" s="147"/>
      <c r="R1527" s="147"/>
      <c r="S1527" s="147"/>
      <c r="T1527" s="147"/>
      <c r="U1527" s="147"/>
      <c r="V1527" s="147"/>
      <c r="W1527" s="147"/>
      <c r="X1527" s="147"/>
      <c r="Y1527" s="147"/>
      <c r="Z1527" s="147"/>
      <c r="AA1527" s="147"/>
      <c r="AB1527" s="147"/>
      <c r="AC1527" s="147"/>
      <c r="AD1527" s="147"/>
      <c r="AE1527" s="147"/>
      <c r="AF1527" s="147"/>
      <c r="AG1527" s="147"/>
      <c r="AH1527" s="147"/>
      <c r="AI1527" s="147"/>
      <c r="AJ1527" s="147"/>
      <c r="AK1527" s="147"/>
      <c r="AL1527" s="147"/>
      <c r="AM1527" s="151"/>
      <c r="AN1527" s="147"/>
      <c r="AO1527" s="147"/>
      <c r="AP1527" s="147"/>
      <c r="AQ1527" s="147"/>
      <c r="AR1527" s="147"/>
      <c r="AS1527" s="147"/>
      <c r="AT1527" s="147"/>
      <c r="AU1527" s="147"/>
      <c r="AV1527" s="147"/>
      <c r="AW1527" s="147"/>
      <c r="AX1527" s="147"/>
      <c r="AY1527" s="147"/>
      <c r="AZ1527" s="147"/>
      <c r="BA1527" s="147"/>
      <c r="BB1527" s="147"/>
      <c r="BC1527" s="147"/>
      <c r="BD1527" s="147"/>
      <c r="BE1527" s="147"/>
      <c r="BF1527" s="147"/>
      <c r="BG1527" s="147"/>
      <c r="BH1527" s="147"/>
      <c r="BI1527" s="147"/>
      <c r="BJ1527" s="147"/>
      <c r="BK1527" s="147"/>
      <c r="BL1527" s="147"/>
      <c r="BM1527" s="147"/>
      <c r="BN1527" s="147"/>
      <c r="BO1527" s="147"/>
      <c r="BP1527" s="147"/>
      <c r="BQ1527" s="147"/>
      <c r="BR1527" s="147"/>
      <c r="BS1527" s="147"/>
      <c r="BT1527" s="147"/>
      <c r="BU1527" s="147"/>
      <c r="BV1527" s="147"/>
      <c r="BW1527" s="147"/>
      <c r="BX1527" s="147"/>
      <c r="BY1527" s="147"/>
      <c r="BZ1527" s="147"/>
      <c r="CA1527" s="147"/>
      <c r="CB1527" s="147"/>
      <c r="CC1527" s="147"/>
      <c r="CD1527" s="147"/>
      <c r="CE1527" s="147"/>
      <c r="CF1527" s="147"/>
      <c r="CG1527" s="147"/>
      <c r="CH1527" s="147"/>
      <c r="CI1527" s="147"/>
      <c r="CJ1527" s="147"/>
      <c r="CK1527" s="147"/>
    </row>
    <row r="1528" spans="1:89">
      <c r="A1528" s="157"/>
      <c r="F1528" s="3"/>
      <c r="G1528" s="3"/>
      <c r="L1528" s="157"/>
      <c r="M1528" s="157"/>
      <c r="O1528" s="147"/>
      <c r="P1528" s="147"/>
      <c r="Q1528" s="147"/>
      <c r="R1528" s="147"/>
      <c r="S1528" s="147"/>
      <c r="T1528" s="147"/>
      <c r="U1528" s="147"/>
      <c r="V1528" s="147"/>
      <c r="W1528" s="147"/>
      <c r="X1528" s="147"/>
      <c r="Y1528" s="147"/>
      <c r="Z1528" s="147"/>
      <c r="AA1528" s="147"/>
      <c r="AB1528" s="147"/>
      <c r="AC1528" s="147"/>
      <c r="AD1528" s="147"/>
      <c r="AE1528" s="147"/>
      <c r="AF1528" s="147"/>
      <c r="AG1528" s="147"/>
      <c r="AH1528" s="147"/>
      <c r="AI1528" s="147"/>
      <c r="AJ1528" s="147"/>
      <c r="AK1528" s="147"/>
      <c r="AL1528" s="147"/>
      <c r="AM1528" s="151"/>
      <c r="AN1528" s="147"/>
      <c r="AO1528" s="147"/>
      <c r="AP1528" s="147"/>
      <c r="AQ1528" s="147"/>
      <c r="AR1528" s="147"/>
      <c r="AS1528" s="147"/>
      <c r="AT1528" s="147"/>
      <c r="AU1528" s="147"/>
      <c r="AV1528" s="147"/>
      <c r="AW1528" s="147"/>
      <c r="AX1528" s="147"/>
      <c r="AY1528" s="147"/>
      <c r="AZ1528" s="147"/>
      <c r="BA1528" s="147"/>
      <c r="BB1528" s="147"/>
      <c r="BC1528" s="147"/>
      <c r="BD1528" s="147"/>
      <c r="BE1528" s="147"/>
      <c r="BF1528" s="147"/>
      <c r="BG1528" s="147"/>
      <c r="BH1528" s="147"/>
      <c r="BI1528" s="147"/>
      <c r="BJ1528" s="147"/>
      <c r="BK1528" s="147"/>
      <c r="BL1528" s="147"/>
      <c r="BM1528" s="147"/>
      <c r="BN1528" s="147"/>
      <c r="BO1528" s="147"/>
      <c r="BP1528" s="147"/>
      <c r="BQ1528" s="147"/>
      <c r="BR1528" s="147"/>
      <c r="BS1528" s="147"/>
      <c r="BT1528" s="147"/>
      <c r="BU1528" s="147"/>
      <c r="BV1528" s="147"/>
      <c r="BW1528" s="147"/>
      <c r="BX1528" s="147"/>
      <c r="BY1528" s="147"/>
      <c r="BZ1528" s="147"/>
      <c r="CA1528" s="147"/>
      <c r="CB1528" s="147"/>
      <c r="CC1528" s="147"/>
      <c r="CD1528" s="147"/>
      <c r="CE1528" s="147"/>
      <c r="CF1528" s="147"/>
      <c r="CG1528" s="147"/>
      <c r="CH1528" s="147"/>
      <c r="CI1528" s="147"/>
      <c r="CJ1528" s="147"/>
      <c r="CK1528" s="147"/>
    </row>
    <row r="1529" spans="1:89">
      <c r="A1529" s="157"/>
      <c r="F1529" s="3"/>
      <c r="G1529" s="3"/>
      <c r="L1529" s="157"/>
      <c r="M1529" s="157"/>
      <c r="O1529" s="147"/>
      <c r="P1529" s="147"/>
      <c r="Q1529" s="147"/>
      <c r="R1529" s="147"/>
      <c r="S1529" s="147"/>
      <c r="T1529" s="147"/>
      <c r="U1529" s="147"/>
      <c r="V1529" s="147"/>
      <c r="W1529" s="147"/>
      <c r="X1529" s="147"/>
      <c r="Y1529" s="147"/>
      <c r="Z1529" s="147"/>
      <c r="AA1529" s="147"/>
      <c r="AB1529" s="147"/>
      <c r="AC1529" s="147"/>
      <c r="AD1529" s="147"/>
      <c r="AE1529" s="147"/>
      <c r="AF1529" s="147"/>
      <c r="AG1529" s="147"/>
      <c r="AH1529" s="147"/>
      <c r="AI1529" s="147"/>
      <c r="AJ1529" s="147"/>
      <c r="AK1529" s="147"/>
      <c r="AL1529" s="147"/>
      <c r="AM1529" s="151"/>
      <c r="AN1529" s="147"/>
      <c r="AO1529" s="147"/>
      <c r="AP1529" s="147"/>
      <c r="AQ1529" s="147"/>
      <c r="AR1529" s="147"/>
      <c r="AS1529" s="147"/>
      <c r="AT1529" s="147"/>
      <c r="AU1529" s="147"/>
      <c r="AV1529" s="147"/>
      <c r="AW1529" s="147"/>
      <c r="AX1529" s="147"/>
      <c r="AY1529" s="147"/>
      <c r="AZ1529" s="147"/>
      <c r="BA1529" s="147"/>
      <c r="BB1529" s="147"/>
      <c r="BC1529" s="147"/>
      <c r="BD1529" s="147"/>
      <c r="BE1529" s="147"/>
      <c r="BF1529" s="147"/>
      <c r="BG1529" s="147"/>
      <c r="BH1529" s="147"/>
      <c r="BI1529" s="147"/>
      <c r="BJ1529" s="147"/>
      <c r="BK1529" s="147"/>
      <c r="BL1529" s="147"/>
      <c r="BM1529" s="147"/>
      <c r="BN1529" s="147"/>
      <c r="BO1529" s="147"/>
      <c r="BP1529" s="147"/>
      <c r="BQ1529" s="147"/>
      <c r="BR1529" s="147"/>
      <c r="BS1529" s="147"/>
      <c r="BT1529" s="147"/>
      <c r="BU1529" s="147"/>
      <c r="BV1529" s="147"/>
      <c r="BW1529" s="147"/>
      <c r="BX1529" s="147"/>
      <c r="BY1529" s="147"/>
      <c r="BZ1529" s="147"/>
      <c r="CA1529" s="147"/>
      <c r="CB1529" s="147"/>
      <c r="CC1529" s="147"/>
      <c r="CD1529" s="147"/>
      <c r="CE1529" s="147"/>
      <c r="CF1529" s="147"/>
      <c r="CG1529" s="147"/>
      <c r="CH1529" s="147"/>
      <c r="CI1529" s="147"/>
      <c r="CJ1529" s="147"/>
      <c r="CK1529" s="147"/>
    </row>
    <row r="1530" spans="1:89">
      <c r="A1530" s="157"/>
      <c r="F1530" s="3"/>
      <c r="G1530" s="3"/>
      <c r="L1530" s="157"/>
      <c r="M1530" s="157"/>
      <c r="O1530" s="147"/>
      <c r="P1530" s="147"/>
      <c r="Q1530" s="147"/>
      <c r="R1530" s="147"/>
      <c r="S1530" s="147"/>
      <c r="T1530" s="147"/>
      <c r="U1530" s="147"/>
      <c r="V1530" s="147"/>
      <c r="W1530" s="147"/>
      <c r="X1530" s="147"/>
      <c r="Y1530" s="147"/>
      <c r="Z1530" s="147"/>
      <c r="AA1530" s="147"/>
      <c r="AB1530" s="147"/>
      <c r="AC1530" s="147"/>
      <c r="AD1530" s="147"/>
      <c r="AE1530" s="147"/>
      <c r="AF1530" s="147"/>
      <c r="AG1530" s="147"/>
      <c r="AH1530" s="147"/>
      <c r="AI1530" s="147"/>
      <c r="AJ1530" s="147"/>
      <c r="AK1530" s="147"/>
      <c r="AL1530" s="147"/>
      <c r="AM1530" s="151"/>
      <c r="AN1530" s="147"/>
      <c r="AO1530" s="147"/>
      <c r="AP1530" s="147"/>
      <c r="AQ1530" s="147"/>
      <c r="AR1530" s="147"/>
      <c r="AS1530" s="147"/>
      <c r="AT1530" s="147"/>
      <c r="AU1530" s="147"/>
      <c r="AV1530" s="147"/>
      <c r="AW1530" s="147"/>
      <c r="AX1530" s="147"/>
      <c r="AY1530" s="147"/>
      <c r="AZ1530" s="147"/>
      <c r="BA1530" s="147"/>
      <c r="BB1530" s="147"/>
      <c r="BC1530" s="147"/>
      <c r="BD1530" s="147"/>
      <c r="BE1530" s="147"/>
      <c r="BF1530" s="147"/>
      <c r="BG1530" s="147"/>
      <c r="BH1530" s="147"/>
      <c r="BI1530" s="147"/>
      <c r="BJ1530" s="147"/>
      <c r="BK1530" s="147"/>
      <c r="BL1530" s="147"/>
      <c r="BM1530" s="147"/>
      <c r="BN1530" s="147"/>
      <c r="BO1530" s="147"/>
      <c r="BP1530" s="147"/>
      <c r="BQ1530" s="147"/>
      <c r="BR1530" s="147"/>
      <c r="BS1530" s="147"/>
      <c r="BT1530" s="147"/>
      <c r="BU1530" s="147"/>
      <c r="BV1530" s="147"/>
      <c r="BW1530" s="147"/>
      <c r="BX1530" s="147"/>
      <c r="BY1530" s="147"/>
      <c r="BZ1530" s="147"/>
      <c r="CA1530" s="147"/>
      <c r="CB1530" s="147"/>
      <c r="CC1530" s="147"/>
      <c r="CD1530" s="147"/>
      <c r="CE1530" s="147"/>
      <c r="CF1530" s="147"/>
      <c r="CG1530" s="147"/>
      <c r="CH1530" s="147"/>
      <c r="CI1530" s="147"/>
      <c r="CJ1530" s="147"/>
      <c r="CK1530" s="147"/>
    </row>
    <row r="1531" spans="1:89">
      <c r="A1531" s="157"/>
      <c r="F1531" s="3"/>
      <c r="G1531" s="3"/>
      <c r="L1531" s="157"/>
      <c r="M1531" s="157"/>
      <c r="O1531" s="147"/>
      <c r="P1531" s="147"/>
      <c r="Q1531" s="147"/>
      <c r="R1531" s="147"/>
      <c r="S1531" s="147"/>
      <c r="T1531" s="147"/>
      <c r="U1531" s="147"/>
      <c r="V1531" s="147"/>
      <c r="W1531" s="147"/>
      <c r="X1531" s="147"/>
      <c r="Y1531" s="147"/>
      <c r="Z1531" s="147"/>
      <c r="AA1531" s="147"/>
      <c r="AB1531" s="147"/>
      <c r="AC1531" s="147"/>
      <c r="AD1531" s="147"/>
      <c r="AE1531" s="147"/>
      <c r="AF1531" s="147"/>
      <c r="AG1531" s="147"/>
      <c r="AH1531" s="147"/>
      <c r="AI1531" s="147"/>
      <c r="AJ1531" s="147"/>
      <c r="AK1531" s="147"/>
      <c r="AL1531" s="147"/>
      <c r="AM1531" s="151"/>
      <c r="AN1531" s="147"/>
      <c r="AO1531" s="147"/>
      <c r="AP1531" s="147"/>
      <c r="AQ1531" s="147"/>
      <c r="AR1531" s="147"/>
      <c r="AS1531" s="147"/>
      <c r="AT1531" s="147"/>
      <c r="AU1531" s="147"/>
      <c r="AV1531" s="147"/>
      <c r="AW1531" s="147"/>
      <c r="AX1531" s="147"/>
      <c r="AY1531" s="147"/>
      <c r="AZ1531" s="147"/>
      <c r="BA1531" s="147"/>
      <c r="BB1531" s="147"/>
      <c r="BC1531" s="147"/>
      <c r="BD1531" s="147"/>
      <c r="BE1531" s="147"/>
      <c r="BF1531" s="147"/>
      <c r="BG1531" s="147"/>
      <c r="BH1531" s="147"/>
      <c r="BI1531" s="147"/>
      <c r="BJ1531" s="147"/>
      <c r="BK1531" s="147"/>
      <c r="BL1531" s="147"/>
      <c r="BM1531" s="147"/>
      <c r="BN1531" s="147"/>
      <c r="BO1531" s="147"/>
      <c r="BP1531" s="147"/>
      <c r="BQ1531" s="147"/>
      <c r="BR1531" s="147"/>
      <c r="BS1531" s="147"/>
      <c r="BT1531" s="147"/>
      <c r="BU1531" s="147"/>
      <c r="BV1531" s="147"/>
      <c r="BW1531" s="147"/>
      <c r="BX1531" s="147"/>
      <c r="BY1531" s="147"/>
      <c r="BZ1531" s="147"/>
      <c r="CA1531" s="147"/>
      <c r="CB1531" s="147"/>
      <c r="CC1531" s="147"/>
      <c r="CD1531" s="147"/>
      <c r="CE1531" s="147"/>
      <c r="CF1531" s="147"/>
      <c r="CG1531" s="147"/>
      <c r="CH1531" s="147"/>
      <c r="CI1531" s="147"/>
      <c r="CJ1531" s="147"/>
      <c r="CK1531" s="147"/>
    </row>
    <row r="1532" spans="1:89">
      <c r="A1532" s="157"/>
      <c r="F1532" s="3"/>
      <c r="G1532" s="3"/>
      <c r="L1532" s="157"/>
      <c r="M1532" s="157"/>
      <c r="O1532" s="147"/>
      <c r="P1532" s="147"/>
      <c r="Q1532" s="147"/>
      <c r="R1532" s="147"/>
      <c r="S1532" s="147"/>
      <c r="T1532" s="147"/>
      <c r="U1532" s="147"/>
      <c r="V1532" s="147"/>
      <c r="W1532" s="147"/>
      <c r="X1532" s="147"/>
      <c r="Y1532" s="147"/>
      <c r="Z1532" s="147"/>
      <c r="AA1532" s="147"/>
      <c r="AB1532" s="147"/>
      <c r="AC1532" s="147"/>
      <c r="AD1532" s="147"/>
      <c r="AE1532" s="147"/>
      <c r="AF1532" s="147"/>
      <c r="AG1532" s="147"/>
      <c r="AH1532" s="147"/>
      <c r="AI1532" s="147"/>
      <c r="AJ1532" s="147"/>
      <c r="AK1532" s="147"/>
      <c r="AL1532" s="147"/>
      <c r="AM1532" s="151"/>
      <c r="AN1532" s="147"/>
      <c r="AO1532" s="147"/>
      <c r="AP1532" s="147"/>
      <c r="AQ1532" s="147"/>
      <c r="AR1532" s="147"/>
      <c r="AS1532" s="147"/>
      <c r="AT1532" s="147"/>
      <c r="AU1532" s="147"/>
      <c r="AV1532" s="147"/>
      <c r="AW1532" s="147"/>
      <c r="AX1532" s="147"/>
      <c r="AY1532" s="147"/>
      <c r="AZ1532" s="147"/>
      <c r="BA1532" s="147"/>
      <c r="BB1532" s="147"/>
      <c r="BC1532" s="147"/>
      <c r="BD1532" s="147"/>
      <c r="BE1532" s="147"/>
      <c r="BF1532" s="147"/>
      <c r="BG1532" s="147"/>
      <c r="BH1532" s="147"/>
      <c r="BI1532" s="147"/>
      <c r="BJ1532" s="147"/>
      <c r="BK1532" s="147"/>
      <c r="BL1532" s="147"/>
      <c r="BM1532" s="147"/>
      <c r="BN1532" s="147"/>
      <c r="BO1532" s="147"/>
      <c r="BP1532" s="147"/>
      <c r="BQ1532" s="147"/>
      <c r="BR1532" s="147"/>
      <c r="BS1532" s="147"/>
      <c r="BT1532" s="147"/>
      <c r="BU1532" s="147"/>
      <c r="BV1532" s="147"/>
      <c r="BW1532" s="147"/>
      <c r="BX1532" s="147"/>
      <c r="BY1532" s="147"/>
      <c r="BZ1532" s="147"/>
      <c r="CA1532" s="147"/>
      <c r="CB1532" s="147"/>
      <c r="CC1532" s="147"/>
      <c r="CD1532" s="147"/>
      <c r="CE1532" s="147"/>
      <c r="CF1532" s="147"/>
      <c r="CG1532" s="147"/>
      <c r="CH1532" s="147"/>
      <c r="CI1532" s="147"/>
      <c r="CJ1532" s="147"/>
      <c r="CK1532" s="147"/>
    </row>
    <row r="1533" spans="1:89">
      <c r="A1533" s="157"/>
      <c r="F1533" s="3"/>
      <c r="G1533" s="3"/>
      <c r="L1533" s="157"/>
      <c r="M1533" s="157"/>
      <c r="O1533" s="147"/>
      <c r="P1533" s="147"/>
      <c r="Q1533" s="147"/>
      <c r="R1533" s="147"/>
      <c r="S1533" s="147"/>
      <c r="T1533" s="147"/>
      <c r="U1533" s="147"/>
      <c r="V1533" s="147"/>
      <c r="W1533" s="147"/>
      <c r="X1533" s="147"/>
      <c r="Y1533" s="147"/>
      <c r="Z1533" s="147"/>
      <c r="AA1533" s="147"/>
      <c r="AB1533" s="147"/>
      <c r="AC1533" s="147"/>
      <c r="AD1533" s="147"/>
      <c r="AE1533" s="147"/>
      <c r="AF1533" s="147"/>
      <c r="AG1533" s="147"/>
      <c r="AH1533" s="147"/>
      <c r="AI1533" s="147"/>
      <c r="AJ1533" s="147"/>
      <c r="AK1533" s="147"/>
      <c r="AL1533" s="147"/>
      <c r="AM1533" s="151"/>
      <c r="AN1533" s="147"/>
      <c r="AO1533" s="147"/>
      <c r="AP1533" s="147"/>
      <c r="AQ1533" s="147"/>
      <c r="AR1533" s="147"/>
      <c r="AS1533" s="147"/>
      <c r="AT1533" s="147"/>
      <c r="AU1533" s="147"/>
      <c r="AV1533" s="147"/>
      <c r="AW1533" s="147"/>
      <c r="AX1533" s="147"/>
      <c r="AY1533" s="147"/>
      <c r="AZ1533" s="147"/>
      <c r="BA1533" s="147"/>
      <c r="BB1533" s="147"/>
      <c r="BC1533" s="147"/>
      <c r="BD1533" s="147"/>
      <c r="BE1533" s="147"/>
      <c r="BF1533" s="147"/>
      <c r="BG1533" s="147"/>
      <c r="BH1533" s="147"/>
      <c r="BI1533" s="147"/>
      <c r="BJ1533" s="147"/>
      <c r="BK1533" s="147"/>
      <c r="BL1533" s="147"/>
      <c r="BM1533" s="147"/>
      <c r="BN1533" s="147"/>
      <c r="BO1533" s="147"/>
      <c r="BP1533" s="147"/>
      <c r="BQ1533" s="147"/>
      <c r="BR1533" s="147"/>
      <c r="BS1533" s="147"/>
      <c r="BT1533" s="147"/>
      <c r="BU1533" s="147"/>
      <c r="BV1533" s="147"/>
      <c r="BW1533" s="147"/>
      <c r="BX1533" s="147"/>
      <c r="BY1533" s="147"/>
      <c r="BZ1533" s="147"/>
      <c r="CA1533" s="147"/>
      <c r="CB1533" s="147"/>
      <c r="CC1533" s="147"/>
      <c r="CD1533" s="147"/>
      <c r="CE1533" s="147"/>
      <c r="CF1533" s="147"/>
      <c r="CG1533" s="147"/>
      <c r="CH1533" s="147"/>
      <c r="CI1533" s="147"/>
      <c r="CJ1533" s="147"/>
      <c r="CK1533" s="147"/>
    </row>
    <row r="1534" spans="1:89">
      <c r="A1534" s="157"/>
      <c r="F1534" s="3"/>
      <c r="G1534" s="3"/>
      <c r="L1534" s="157"/>
      <c r="M1534" s="157"/>
      <c r="O1534" s="147"/>
      <c r="P1534" s="147"/>
      <c r="Q1534" s="147"/>
      <c r="R1534" s="147"/>
      <c r="S1534" s="147"/>
      <c r="T1534" s="147"/>
      <c r="U1534" s="147"/>
      <c r="V1534" s="147"/>
      <c r="W1534" s="147"/>
      <c r="X1534" s="147"/>
      <c r="Y1534" s="147"/>
      <c r="Z1534" s="147"/>
      <c r="AA1534" s="147"/>
      <c r="AB1534" s="147"/>
      <c r="AC1534" s="147"/>
      <c r="AD1534" s="147"/>
      <c r="AE1534" s="147"/>
      <c r="AF1534" s="147"/>
      <c r="AG1534" s="147"/>
      <c r="AH1534" s="147"/>
      <c r="AI1534" s="147"/>
      <c r="AJ1534" s="147"/>
      <c r="AK1534" s="147"/>
      <c r="AL1534" s="147"/>
      <c r="AM1534" s="151"/>
      <c r="AN1534" s="147"/>
      <c r="AO1534" s="147"/>
      <c r="AP1534" s="147"/>
      <c r="AQ1534" s="147"/>
      <c r="AR1534" s="147"/>
      <c r="AS1534" s="147"/>
      <c r="AT1534" s="147"/>
      <c r="AU1534" s="147"/>
      <c r="AV1534" s="147"/>
      <c r="AW1534" s="147"/>
      <c r="AX1534" s="147"/>
      <c r="AY1534" s="147"/>
      <c r="AZ1534" s="147"/>
      <c r="BA1534" s="147"/>
      <c r="BB1534" s="147"/>
      <c r="BC1534" s="147"/>
      <c r="BD1534" s="147"/>
      <c r="BE1534" s="147"/>
      <c r="BF1534" s="147"/>
      <c r="BG1534" s="147"/>
      <c r="BH1534" s="147"/>
      <c r="BI1534" s="147"/>
      <c r="BJ1534" s="147"/>
      <c r="BK1534" s="147"/>
      <c r="BL1534" s="147"/>
      <c r="BM1534" s="147"/>
      <c r="BN1534" s="147"/>
      <c r="BO1534" s="147"/>
      <c r="BP1534" s="147"/>
      <c r="BQ1534" s="147"/>
      <c r="BR1534" s="147"/>
      <c r="BS1534" s="147"/>
      <c r="BT1534" s="147"/>
      <c r="BU1534" s="147"/>
      <c r="BV1534" s="147"/>
      <c r="BW1534" s="147"/>
      <c r="BX1534" s="147"/>
      <c r="BY1534" s="147"/>
      <c r="BZ1534" s="147"/>
      <c r="CA1534" s="147"/>
      <c r="CB1534" s="147"/>
      <c r="CC1534" s="147"/>
      <c r="CD1534" s="147"/>
      <c r="CE1534" s="147"/>
      <c r="CF1534" s="147"/>
      <c r="CG1534" s="147"/>
      <c r="CH1534" s="147"/>
      <c r="CI1534" s="147"/>
      <c r="CJ1534" s="147"/>
      <c r="CK1534" s="147"/>
    </row>
    <row r="1535" spans="1:89">
      <c r="A1535" s="157"/>
      <c r="F1535" s="3"/>
      <c r="G1535" s="3"/>
      <c r="L1535" s="157"/>
      <c r="M1535" s="157"/>
      <c r="O1535" s="147"/>
      <c r="P1535" s="147"/>
      <c r="Q1535" s="147"/>
      <c r="R1535" s="147"/>
      <c r="S1535" s="147"/>
      <c r="T1535" s="147"/>
      <c r="U1535" s="147"/>
      <c r="V1535" s="147"/>
      <c r="W1535" s="147"/>
      <c r="X1535" s="147"/>
      <c r="Y1535" s="147"/>
      <c r="Z1535" s="147"/>
      <c r="AA1535" s="147"/>
      <c r="AB1535" s="147"/>
      <c r="AC1535" s="147"/>
      <c r="AD1535" s="147"/>
      <c r="AE1535" s="147"/>
      <c r="AF1535" s="147"/>
      <c r="AG1535" s="147"/>
      <c r="AH1535" s="147"/>
      <c r="AI1535" s="147"/>
      <c r="AJ1535" s="147"/>
      <c r="AK1535" s="147"/>
      <c r="AL1535" s="147"/>
      <c r="AM1535" s="151"/>
      <c r="AN1535" s="147"/>
      <c r="AO1535" s="147"/>
      <c r="AP1535" s="147"/>
      <c r="AQ1535" s="147"/>
      <c r="AR1535" s="147"/>
      <c r="AS1535" s="147"/>
      <c r="AT1535" s="147"/>
      <c r="AU1535" s="147"/>
      <c r="AV1535" s="147"/>
      <c r="AW1535" s="147"/>
      <c r="AX1535" s="147"/>
      <c r="AY1535" s="147"/>
      <c r="AZ1535" s="147"/>
      <c r="BA1535" s="147"/>
      <c r="BB1535" s="147"/>
      <c r="BC1535" s="147"/>
      <c r="BD1535" s="147"/>
      <c r="BE1535" s="147"/>
      <c r="BF1535" s="147"/>
      <c r="BG1535" s="147"/>
      <c r="BH1535" s="147"/>
      <c r="BI1535" s="147"/>
      <c r="BJ1535" s="147"/>
      <c r="BK1535" s="147"/>
      <c r="BL1535" s="147"/>
      <c r="BM1535" s="147"/>
      <c r="BN1535" s="147"/>
      <c r="BO1535" s="147"/>
      <c r="BP1535" s="147"/>
      <c r="BQ1535" s="147"/>
      <c r="BR1535" s="147"/>
      <c r="BS1535" s="147"/>
      <c r="BT1535" s="147"/>
      <c r="BU1535" s="147"/>
      <c r="BV1535" s="147"/>
      <c r="BW1535" s="147"/>
      <c r="BX1535" s="147"/>
      <c r="BY1535" s="147"/>
      <c r="BZ1535" s="147"/>
      <c r="CA1535" s="147"/>
      <c r="CB1535" s="147"/>
      <c r="CC1535" s="147"/>
      <c r="CD1535" s="147"/>
      <c r="CE1535" s="147"/>
      <c r="CF1535" s="147"/>
      <c r="CG1535" s="147"/>
      <c r="CH1535" s="147"/>
      <c r="CI1535" s="147"/>
      <c r="CJ1535" s="147"/>
      <c r="CK1535" s="147"/>
    </row>
    <row r="1536" spans="1:89">
      <c r="A1536" s="157"/>
      <c r="F1536" s="3"/>
      <c r="G1536" s="3"/>
      <c r="L1536" s="157"/>
      <c r="M1536" s="157"/>
      <c r="O1536" s="147"/>
      <c r="P1536" s="147"/>
      <c r="Q1536" s="147"/>
      <c r="R1536" s="147"/>
      <c r="S1536" s="147"/>
      <c r="T1536" s="147"/>
      <c r="U1536" s="147"/>
      <c r="V1536" s="147"/>
      <c r="W1536" s="147"/>
      <c r="X1536" s="147"/>
      <c r="Y1536" s="147"/>
      <c r="Z1536" s="147"/>
      <c r="AA1536" s="147"/>
      <c r="AB1536" s="147"/>
      <c r="AC1536" s="147"/>
      <c r="AD1536" s="147"/>
      <c r="AE1536" s="147"/>
      <c r="AF1536" s="147"/>
      <c r="AG1536" s="147"/>
      <c r="AH1536" s="147"/>
      <c r="AI1536" s="147"/>
      <c r="AJ1536" s="147"/>
      <c r="AK1536" s="147"/>
      <c r="AL1536" s="147"/>
      <c r="AM1536" s="151"/>
      <c r="AN1536" s="147"/>
      <c r="AO1536" s="147"/>
      <c r="AP1536" s="147"/>
      <c r="AQ1536" s="147"/>
      <c r="AR1536" s="147"/>
      <c r="AS1536" s="147"/>
      <c r="AT1536" s="147"/>
      <c r="AU1536" s="147"/>
      <c r="AV1536" s="147"/>
      <c r="AW1536" s="147"/>
      <c r="AX1536" s="147"/>
      <c r="AY1536" s="147"/>
      <c r="AZ1536" s="147"/>
      <c r="BA1536" s="147"/>
      <c r="BB1536" s="147"/>
      <c r="BC1536" s="147"/>
      <c r="BD1536" s="147"/>
      <c r="BE1536" s="147"/>
      <c r="BF1536" s="147"/>
      <c r="BG1536" s="147"/>
      <c r="BH1536" s="147"/>
      <c r="BI1536" s="147"/>
      <c r="BJ1536" s="147"/>
      <c r="BK1536" s="147"/>
      <c r="BL1536" s="147"/>
      <c r="BM1536" s="147"/>
      <c r="BN1536" s="147"/>
      <c r="BO1536" s="147"/>
      <c r="BP1536" s="147"/>
      <c r="BQ1536" s="147"/>
      <c r="BR1536" s="147"/>
      <c r="BS1536" s="147"/>
      <c r="BT1536" s="147"/>
      <c r="BU1536" s="147"/>
      <c r="BV1536" s="147"/>
      <c r="BW1536" s="147"/>
      <c r="BX1536" s="147"/>
      <c r="BY1536" s="147"/>
      <c r="BZ1536" s="147"/>
      <c r="CA1536" s="147"/>
      <c r="CB1536" s="147"/>
      <c r="CC1536" s="147"/>
      <c r="CD1536" s="147"/>
      <c r="CE1536" s="147"/>
      <c r="CF1536" s="147"/>
      <c r="CG1536" s="147"/>
      <c r="CH1536" s="147"/>
      <c r="CI1536" s="147"/>
      <c r="CJ1536" s="147"/>
      <c r="CK1536" s="147"/>
    </row>
    <row r="1537" spans="1:89">
      <c r="A1537" s="157"/>
      <c r="F1537" s="3"/>
      <c r="G1537" s="3"/>
      <c r="L1537" s="157"/>
      <c r="M1537" s="157"/>
      <c r="O1537" s="147"/>
      <c r="P1537" s="147"/>
      <c r="Q1537" s="147"/>
      <c r="R1537" s="147"/>
      <c r="S1537" s="147"/>
      <c r="T1537" s="147"/>
      <c r="U1537" s="147"/>
      <c r="V1537" s="147"/>
      <c r="W1537" s="147"/>
      <c r="X1537" s="147"/>
      <c r="Y1537" s="147"/>
      <c r="Z1537" s="147"/>
      <c r="AA1537" s="147"/>
      <c r="AB1537" s="147"/>
      <c r="AC1537" s="147"/>
      <c r="AD1537" s="147"/>
      <c r="AE1537" s="147"/>
      <c r="AF1537" s="147"/>
      <c r="AG1537" s="147"/>
      <c r="AH1537" s="147"/>
      <c r="AI1537" s="147"/>
      <c r="AJ1537" s="147"/>
      <c r="AK1537" s="147"/>
      <c r="AL1537" s="147"/>
      <c r="AM1537" s="151"/>
      <c r="AN1537" s="147"/>
      <c r="AO1537" s="147"/>
      <c r="AP1537" s="147"/>
      <c r="AQ1537" s="147"/>
      <c r="AR1537" s="147"/>
      <c r="AS1537" s="147"/>
      <c r="AT1537" s="147"/>
      <c r="AU1537" s="147"/>
      <c r="AV1537" s="147"/>
      <c r="AW1537" s="147"/>
      <c r="AX1537" s="147"/>
      <c r="AY1537" s="147"/>
      <c r="AZ1537" s="147"/>
      <c r="BA1537" s="147"/>
      <c r="BB1537" s="147"/>
      <c r="BC1537" s="147"/>
      <c r="BD1537" s="147"/>
      <c r="BE1537" s="147"/>
      <c r="BF1537" s="147"/>
      <c r="BG1537" s="147"/>
      <c r="BH1537" s="147"/>
      <c r="BI1537" s="147"/>
      <c r="BJ1537" s="147"/>
      <c r="BK1537" s="147"/>
      <c r="BL1537" s="147"/>
      <c r="BM1537" s="147"/>
      <c r="BN1537" s="147"/>
      <c r="BO1537" s="147"/>
      <c r="BP1537" s="147"/>
      <c r="BQ1537" s="147"/>
      <c r="BR1537" s="147"/>
      <c r="BS1537" s="147"/>
      <c r="BT1537" s="147"/>
      <c r="BU1537" s="147"/>
      <c r="BV1537" s="147"/>
      <c r="BW1537" s="147"/>
      <c r="BX1537" s="147"/>
      <c r="BY1537" s="147"/>
      <c r="BZ1537" s="147"/>
      <c r="CA1537" s="147"/>
      <c r="CB1537" s="147"/>
      <c r="CC1537" s="147"/>
      <c r="CD1537" s="147"/>
      <c r="CE1537" s="147"/>
      <c r="CF1537" s="147"/>
      <c r="CG1537" s="147"/>
      <c r="CH1537" s="147"/>
      <c r="CI1537" s="147"/>
      <c r="CJ1537" s="147"/>
      <c r="CK1537" s="147"/>
    </row>
    <row r="1538" spans="1:89">
      <c r="A1538" s="157"/>
      <c r="F1538" s="3"/>
      <c r="G1538" s="3"/>
      <c r="L1538" s="157"/>
      <c r="M1538" s="157"/>
      <c r="O1538" s="147"/>
      <c r="P1538" s="147"/>
      <c r="Q1538" s="147"/>
      <c r="R1538" s="147"/>
      <c r="S1538" s="147"/>
      <c r="T1538" s="147"/>
      <c r="U1538" s="147"/>
      <c r="V1538" s="147"/>
      <c r="W1538" s="147"/>
      <c r="X1538" s="147"/>
      <c r="Y1538" s="147"/>
      <c r="Z1538" s="147"/>
      <c r="AA1538" s="147"/>
      <c r="AB1538" s="147"/>
      <c r="AC1538" s="147"/>
      <c r="AD1538" s="147"/>
      <c r="AE1538" s="147"/>
      <c r="AF1538" s="147"/>
      <c r="AG1538" s="147"/>
      <c r="AH1538" s="147"/>
      <c r="AI1538" s="147"/>
      <c r="AJ1538" s="147"/>
      <c r="AK1538" s="147"/>
      <c r="AL1538" s="147"/>
      <c r="AM1538" s="151"/>
      <c r="AN1538" s="147"/>
      <c r="AO1538" s="147"/>
      <c r="AP1538" s="147"/>
      <c r="AQ1538" s="147"/>
      <c r="AR1538" s="147"/>
      <c r="AS1538" s="147"/>
      <c r="AT1538" s="147"/>
      <c r="AU1538" s="147"/>
      <c r="AV1538" s="147"/>
      <c r="AW1538" s="147"/>
      <c r="AX1538" s="147"/>
      <c r="AY1538" s="147"/>
      <c r="AZ1538" s="147"/>
      <c r="BA1538" s="147"/>
      <c r="BB1538" s="147"/>
      <c r="BC1538" s="147"/>
      <c r="BD1538" s="147"/>
      <c r="BE1538" s="147"/>
      <c r="BF1538" s="147"/>
      <c r="BG1538" s="147"/>
      <c r="BH1538" s="147"/>
      <c r="BI1538" s="147"/>
      <c r="BJ1538" s="147"/>
      <c r="BK1538" s="147"/>
      <c r="BL1538" s="147"/>
      <c r="BM1538" s="147"/>
      <c r="BN1538" s="147"/>
      <c r="BO1538" s="147"/>
      <c r="BP1538" s="147"/>
      <c r="BQ1538" s="147"/>
      <c r="BR1538" s="147"/>
      <c r="BS1538" s="147"/>
      <c r="BT1538" s="147"/>
      <c r="BU1538" s="147"/>
      <c r="BV1538" s="147"/>
      <c r="BW1538" s="147"/>
      <c r="BX1538" s="147"/>
      <c r="BY1538" s="147"/>
      <c r="BZ1538" s="147"/>
      <c r="CA1538" s="147"/>
      <c r="CB1538" s="147"/>
      <c r="CC1538" s="147"/>
      <c r="CD1538" s="147"/>
      <c r="CE1538" s="147"/>
      <c r="CF1538" s="147"/>
      <c r="CG1538" s="147"/>
      <c r="CH1538" s="147"/>
      <c r="CI1538" s="147"/>
      <c r="CJ1538" s="147"/>
      <c r="CK1538" s="147"/>
    </row>
    <row r="1539" spans="1:89">
      <c r="A1539" s="157"/>
      <c r="F1539" s="3"/>
      <c r="G1539" s="3"/>
      <c r="L1539" s="157"/>
      <c r="M1539" s="157"/>
      <c r="O1539" s="147"/>
      <c r="P1539" s="147"/>
      <c r="Q1539" s="147"/>
      <c r="R1539" s="147"/>
      <c r="S1539" s="147"/>
      <c r="T1539" s="147"/>
      <c r="U1539" s="147"/>
      <c r="V1539" s="147"/>
      <c r="W1539" s="147"/>
      <c r="X1539" s="147"/>
      <c r="Y1539" s="147"/>
      <c r="Z1539" s="147"/>
      <c r="AA1539" s="147"/>
      <c r="AB1539" s="147"/>
      <c r="AC1539" s="147"/>
      <c r="AD1539" s="147"/>
      <c r="AE1539" s="147"/>
      <c r="AF1539" s="147"/>
      <c r="AG1539" s="147"/>
      <c r="AH1539" s="147"/>
      <c r="AI1539" s="147"/>
      <c r="AJ1539" s="147"/>
      <c r="AK1539" s="147"/>
      <c r="AL1539" s="147"/>
      <c r="AM1539" s="151"/>
      <c r="AN1539" s="147"/>
      <c r="AO1539" s="147"/>
      <c r="AP1539" s="147"/>
      <c r="AQ1539" s="147"/>
      <c r="AR1539" s="147"/>
      <c r="AS1539" s="147"/>
      <c r="AT1539" s="147"/>
      <c r="AU1539" s="147"/>
      <c r="AV1539" s="147"/>
      <c r="AW1539" s="147"/>
      <c r="AX1539" s="147"/>
      <c r="AY1539" s="147"/>
      <c r="AZ1539" s="147"/>
      <c r="BA1539" s="147"/>
      <c r="BB1539" s="147"/>
      <c r="BC1539" s="147"/>
      <c r="BD1539" s="147"/>
      <c r="BE1539" s="147"/>
      <c r="BF1539" s="147"/>
      <c r="BG1539" s="147"/>
      <c r="BH1539" s="147"/>
      <c r="BI1539" s="147"/>
      <c r="BJ1539" s="147"/>
      <c r="BK1539" s="147"/>
      <c r="BL1539" s="147"/>
      <c r="BM1539" s="147"/>
      <c r="BN1539" s="147"/>
      <c r="BO1539" s="147"/>
      <c r="BP1539" s="147"/>
      <c r="BQ1539" s="147"/>
      <c r="BR1539" s="147"/>
      <c r="BS1539" s="147"/>
      <c r="BT1539" s="147"/>
      <c r="BU1539" s="147"/>
      <c r="BV1539" s="147"/>
      <c r="BW1539" s="147"/>
      <c r="BX1539" s="147"/>
      <c r="BY1539" s="147"/>
      <c r="BZ1539" s="147"/>
      <c r="CA1539" s="147"/>
      <c r="CB1539" s="147"/>
      <c r="CC1539" s="147"/>
      <c r="CD1539" s="147"/>
      <c r="CE1539" s="147"/>
      <c r="CF1539" s="147"/>
      <c r="CG1539" s="147"/>
      <c r="CH1539" s="147"/>
      <c r="CI1539" s="147"/>
      <c r="CJ1539" s="147"/>
      <c r="CK1539" s="147"/>
    </row>
    <row r="1540" spans="1:89">
      <c r="A1540" s="157"/>
      <c r="F1540" s="3"/>
      <c r="G1540" s="3"/>
      <c r="L1540" s="157"/>
      <c r="M1540" s="157"/>
      <c r="O1540" s="147"/>
      <c r="P1540" s="147"/>
      <c r="Q1540" s="147"/>
      <c r="R1540" s="147"/>
      <c r="S1540" s="147"/>
      <c r="T1540" s="147"/>
      <c r="U1540" s="147"/>
      <c r="V1540" s="147"/>
      <c r="W1540" s="147"/>
      <c r="X1540" s="147"/>
      <c r="Y1540" s="147"/>
      <c r="Z1540" s="147"/>
      <c r="AA1540" s="147"/>
      <c r="AB1540" s="147"/>
      <c r="AC1540" s="147"/>
      <c r="AD1540" s="147"/>
      <c r="AE1540" s="147"/>
      <c r="AF1540" s="147"/>
      <c r="AG1540" s="147"/>
      <c r="AH1540" s="147"/>
      <c r="AI1540" s="147"/>
      <c r="AJ1540" s="147"/>
      <c r="AK1540" s="147"/>
      <c r="AL1540" s="147"/>
      <c r="AM1540" s="151"/>
      <c r="AN1540" s="147"/>
      <c r="AO1540" s="147"/>
      <c r="AP1540" s="147"/>
      <c r="AQ1540" s="147"/>
      <c r="AR1540" s="147"/>
      <c r="AS1540" s="147"/>
      <c r="AT1540" s="147"/>
      <c r="AU1540" s="147"/>
      <c r="AV1540" s="147"/>
      <c r="AW1540" s="147"/>
      <c r="AX1540" s="147"/>
      <c r="AY1540" s="147"/>
      <c r="AZ1540" s="147"/>
      <c r="BA1540" s="147"/>
      <c r="BB1540" s="147"/>
      <c r="BC1540" s="147"/>
      <c r="BD1540" s="147"/>
      <c r="BE1540" s="147"/>
      <c r="BF1540" s="147"/>
      <c r="BG1540" s="147"/>
      <c r="BH1540" s="147"/>
      <c r="BI1540" s="147"/>
      <c r="BJ1540" s="147"/>
      <c r="BK1540" s="147"/>
      <c r="BL1540" s="147"/>
      <c r="BM1540" s="147"/>
      <c r="BN1540" s="147"/>
      <c r="BO1540" s="147"/>
      <c r="BP1540" s="147"/>
      <c r="BQ1540" s="147"/>
      <c r="BR1540" s="147"/>
      <c r="BS1540" s="147"/>
      <c r="BT1540" s="147"/>
      <c r="BU1540" s="147"/>
      <c r="BV1540" s="147"/>
      <c r="BW1540" s="147"/>
      <c r="BX1540" s="147"/>
      <c r="BY1540" s="147"/>
      <c r="BZ1540" s="147"/>
      <c r="CA1540" s="147"/>
      <c r="CB1540" s="147"/>
      <c r="CC1540" s="147"/>
      <c r="CD1540" s="147"/>
      <c r="CE1540" s="147"/>
      <c r="CF1540" s="147"/>
      <c r="CG1540" s="147"/>
      <c r="CH1540" s="147"/>
      <c r="CI1540" s="147"/>
      <c r="CJ1540" s="147"/>
      <c r="CK1540" s="147"/>
    </row>
    <row r="1541" spans="1:89">
      <c r="A1541" s="157"/>
      <c r="F1541" s="3"/>
      <c r="G1541" s="3"/>
      <c r="L1541" s="157"/>
      <c r="M1541" s="157"/>
      <c r="O1541" s="147"/>
      <c r="P1541" s="147"/>
      <c r="Q1541" s="147"/>
      <c r="R1541" s="147"/>
      <c r="S1541" s="147"/>
      <c r="T1541" s="147"/>
      <c r="U1541" s="147"/>
      <c r="V1541" s="147"/>
      <c r="W1541" s="147"/>
      <c r="X1541" s="147"/>
      <c r="Y1541" s="147"/>
      <c r="Z1541" s="147"/>
      <c r="AA1541" s="147"/>
      <c r="AB1541" s="147"/>
      <c r="AC1541" s="147"/>
      <c r="AD1541" s="147"/>
      <c r="AE1541" s="147"/>
      <c r="AF1541" s="147"/>
      <c r="AG1541" s="147"/>
      <c r="AH1541" s="147"/>
      <c r="AI1541" s="147"/>
      <c r="AJ1541" s="147"/>
      <c r="AK1541" s="147"/>
      <c r="AL1541" s="147"/>
      <c r="AM1541" s="151"/>
      <c r="AN1541" s="147"/>
      <c r="AO1541" s="147"/>
      <c r="AP1541" s="147"/>
      <c r="AQ1541" s="147"/>
      <c r="AR1541" s="147"/>
      <c r="AS1541" s="147"/>
      <c r="AT1541" s="147"/>
      <c r="AU1541" s="147"/>
      <c r="AV1541" s="147"/>
      <c r="AW1541" s="147"/>
      <c r="AX1541" s="147"/>
      <c r="AY1541" s="147"/>
      <c r="AZ1541" s="147"/>
      <c r="BA1541" s="147"/>
      <c r="BB1541" s="147"/>
      <c r="BC1541" s="147"/>
      <c r="BD1541" s="147"/>
      <c r="BE1541" s="147"/>
      <c r="BF1541" s="147"/>
      <c r="BG1541" s="147"/>
      <c r="BH1541" s="147"/>
      <c r="BI1541" s="147"/>
      <c r="BJ1541" s="147"/>
      <c r="BK1541" s="147"/>
      <c r="BL1541" s="147"/>
      <c r="BM1541" s="147"/>
      <c r="BN1541" s="147"/>
      <c r="BO1541" s="147"/>
      <c r="BP1541" s="147"/>
      <c r="BQ1541" s="147"/>
      <c r="BR1541" s="147"/>
      <c r="BS1541" s="147"/>
      <c r="BT1541" s="147"/>
      <c r="BU1541" s="147"/>
      <c r="BV1541" s="147"/>
      <c r="BW1541" s="147"/>
      <c r="BX1541" s="147"/>
      <c r="BY1541" s="147"/>
      <c r="BZ1541" s="147"/>
      <c r="CA1541" s="147"/>
      <c r="CB1541" s="147"/>
      <c r="CC1541" s="147"/>
      <c r="CD1541" s="147"/>
      <c r="CE1541" s="147"/>
      <c r="CF1541" s="147"/>
      <c r="CG1541" s="147"/>
      <c r="CH1541" s="147"/>
      <c r="CI1541" s="147"/>
      <c r="CJ1541" s="147"/>
      <c r="CK1541" s="147"/>
    </row>
    <row r="1542" spans="1:89">
      <c r="A1542" s="157"/>
      <c r="F1542" s="3"/>
      <c r="G1542" s="3"/>
      <c r="L1542" s="157"/>
      <c r="M1542" s="157"/>
      <c r="O1542" s="147"/>
      <c r="P1542" s="147"/>
      <c r="Q1542" s="147"/>
      <c r="R1542" s="147"/>
      <c r="S1542" s="147"/>
      <c r="T1542" s="147"/>
      <c r="U1542" s="147"/>
      <c r="V1542" s="147"/>
      <c r="W1542" s="147"/>
      <c r="X1542" s="147"/>
      <c r="Y1542" s="147"/>
      <c r="Z1542" s="147"/>
      <c r="AA1542" s="147"/>
      <c r="AB1542" s="147"/>
      <c r="AC1542" s="147"/>
      <c r="AD1542" s="147"/>
      <c r="AE1542" s="147"/>
      <c r="AF1542" s="147"/>
      <c r="AG1542" s="147"/>
      <c r="AH1542" s="147"/>
      <c r="AI1542" s="147"/>
      <c r="AJ1542" s="147"/>
      <c r="AK1542" s="147"/>
      <c r="AL1542" s="147"/>
      <c r="AM1542" s="151"/>
      <c r="AN1542" s="147"/>
      <c r="AO1542" s="147"/>
      <c r="AP1542" s="147"/>
      <c r="AQ1542" s="147"/>
      <c r="AR1542" s="147"/>
      <c r="AS1542" s="147"/>
      <c r="AT1542" s="147"/>
      <c r="AU1542" s="147"/>
      <c r="AV1542" s="147"/>
      <c r="AW1542" s="147"/>
      <c r="AX1542" s="147"/>
      <c r="AY1542" s="147"/>
      <c r="AZ1542" s="147"/>
      <c r="BA1542" s="147"/>
      <c r="BB1542" s="147"/>
      <c r="BC1542" s="147"/>
      <c r="BD1542" s="147"/>
      <c r="BE1542" s="147"/>
      <c r="BF1542" s="147"/>
      <c r="BG1542" s="147"/>
      <c r="BH1542" s="147"/>
      <c r="BI1542" s="147"/>
      <c r="BJ1542" s="147"/>
      <c r="BK1542" s="147"/>
      <c r="BL1542" s="147"/>
      <c r="BM1542" s="147"/>
      <c r="BN1542" s="147"/>
      <c r="BO1542" s="147"/>
      <c r="BP1542" s="147"/>
      <c r="BQ1542" s="147"/>
      <c r="BR1542" s="147"/>
      <c r="BS1542" s="147"/>
      <c r="BT1542" s="147"/>
      <c r="BU1542" s="147"/>
      <c r="BV1542" s="147"/>
      <c r="BW1542" s="147"/>
      <c r="BX1542" s="147"/>
      <c r="BY1542" s="147"/>
      <c r="BZ1542" s="147"/>
      <c r="CA1542" s="147"/>
      <c r="CB1542" s="147"/>
      <c r="CC1542" s="147"/>
      <c r="CD1542" s="147"/>
      <c r="CE1542" s="147"/>
      <c r="CF1542" s="147"/>
      <c r="CG1542" s="147"/>
      <c r="CH1542" s="147"/>
      <c r="CI1542" s="147"/>
      <c r="CJ1542" s="147"/>
      <c r="CK1542" s="147"/>
    </row>
    <row r="1543" spans="1:89">
      <c r="A1543" s="157"/>
      <c r="F1543" s="3"/>
      <c r="G1543" s="3"/>
      <c r="L1543" s="157"/>
      <c r="M1543" s="157"/>
      <c r="O1543" s="147"/>
      <c r="P1543" s="147"/>
      <c r="Q1543" s="147"/>
      <c r="R1543" s="147"/>
      <c r="S1543" s="147"/>
      <c r="T1543" s="147"/>
      <c r="U1543" s="147"/>
      <c r="V1543" s="147"/>
      <c r="W1543" s="147"/>
      <c r="X1543" s="147"/>
      <c r="Y1543" s="147"/>
      <c r="Z1543" s="147"/>
      <c r="AA1543" s="147"/>
      <c r="AB1543" s="147"/>
      <c r="AC1543" s="147"/>
      <c r="AD1543" s="147"/>
      <c r="AE1543" s="147"/>
      <c r="AF1543" s="147"/>
      <c r="AG1543" s="147"/>
      <c r="AH1543" s="147"/>
      <c r="AI1543" s="147"/>
      <c r="AJ1543" s="147"/>
      <c r="AK1543" s="147"/>
      <c r="AL1543" s="147"/>
      <c r="AM1543" s="151"/>
      <c r="AN1543" s="147"/>
      <c r="AO1543" s="147"/>
      <c r="AP1543" s="147"/>
      <c r="AQ1543" s="147"/>
      <c r="AR1543" s="147"/>
      <c r="AS1543" s="147"/>
      <c r="AT1543" s="147"/>
      <c r="AU1543" s="147"/>
      <c r="AV1543" s="147"/>
      <c r="AW1543" s="147"/>
      <c r="AX1543" s="147"/>
      <c r="AY1543" s="147"/>
      <c r="AZ1543" s="147"/>
      <c r="BA1543" s="147"/>
      <c r="BB1543" s="147"/>
      <c r="BC1543" s="147"/>
      <c r="BD1543" s="147"/>
      <c r="BE1543" s="147"/>
      <c r="BF1543" s="147"/>
      <c r="BG1543" s="147"/>
      <c r="BH1543" s="147"/>
      <c r="BI1543" s="147"/>
      <c r="BJ1543" s="147"/>
      <c r="BK1543" s="147"/>
      <c r="BL1543" s="147"/>
      <c r="BM1543" s="147"/>
      <c r="BN1543" s="147"/>
      <c r="BO1543" s="147"/>
      <c r="BP1543" s="147"/>
      <c r="BQ1543" s="147"/>
      <c r="BR1543" s="147"/>
      <c r="BS1543" s="147"/>
      <c r="BT1543" s="147"/>
      <c r="BU1543" s="147"/>
      <c r="BV1543" s="147"/>
      <c r="BW1543" s="147"/>
      <c r="BX1543" s="147"/>
      <c r="BY1543" s="147"/>
      <c r="BZ1543" s="147"/>
      <c r="CA1543" s="147"/>
      <c r="CB1543" s="147"/>
      <c r="CC1543" s="147"/>
      <c r="CD1543" s="147"/>
      <c r="CE1543" s="147"/>
      <c r="CF1543" s="147"/>
      <c r="CG1543" s="147"/>
      <c r="CH1543" s="147"/>
      <c r="CI1543" s="147"/>
      <c r="CJ1543" s="147"/>
      <c r="CK1543" s="147"/>
    </row>
    <row r="1544" spans="1:89">
      <c r="A1544" s="157"/>
      <c r="F1544" s="3"/>
      <c r="G1544" s="3"/>
      <c r="L1544" s="157"/>
      <c r="M1544" s="157"/>
      <c r="O1544" s="147"/>
      <c r="P1544" s="147"/>
      <c r="Q1544" s="147"/>
      <c r="R1544" s="147"/>
      <c r="S1544" s="147"/>
      <c r="T1544" s="147"/>
      <c r="U1544" s="147"/>
      <c r="V1544" s="147"/>
      <c r="W1544" s="147"/>
      <c r="X1544" s="147"/>
      <c r="Y1544" s="147"/>
      <c r="Z1544" s="147"/>
      <c r="AA1544" s="147"/>
      <c r="AB1544" s="147"/>
      <c r="AC1544" s="147"/>
      <c r="AD1544" s="147"/>
      <c r="AE1544" s="147"/>
      <c r="AF1544" s="147"/>
      <c r="AG1544" s="147"/>
      <c r="AH1544" s="147"/>
      <c r="AI1544" s="147"/>
      <c r="AJ1544" s="147"/>
      <c r="AK1544" s="147"/>
      <c r="AL1544" s="147"/>
      <c r="AM1544" s="151"/>
      <c r="AN1544" s="147"/>
      <c r="AO1544" s="147"/>
      <c r="AP1544" s="147"/>
      <c r="AQ1544" s="147"/>
      <c r="AR1544" s="147"/>
      <c r="AS1544" s="147"/>
      <c r="AT1544" s="147"/>
      <c r="AU1544" s="147"/>
      <c r="AV1544" s="147"/>
      <c r="AW1544" s="147"/>
      <c r="AX1544" s="147"/>
      <c r="AY1544" s="147"/>
      <c r="AZ1544" s="147"/>
      <c r="BA1544" s="147"/>
      <c r="BB1544" s="147"/>
      <c r="BC1544" s="147"/>
      <c r="BD1544" s="147"/>
      <c r="BE1544" s="147"/>
      <c r="BF1544" s="147"/>
      <c r="BG1544" s="147"/>
      <c r="BH1544" s="147"/>
      <c r="BI1544" s="147"/>
      <c r="BJ1544" s="147"/>
      <c r="BK1544" s="147"/>
      <c r="BL1544" s="147"/>
      <c r="BM1544" s="147"/>
      <c r="BN1544" s="147"/>
      <c r="BO1544" s="147"/>
      <c r="BP1544" s="147"/>
      <c r="BQ1544" s="147"/>
      <c r="BR1544" s="147"/>
      <c r="BS1544" s="147"/>
      <c r="BT1544" s="147"/>
      <c r="BU1544" s="147"/>
      <c r="BV1544" s="147"/>
      <c r="BW1544" s="147"/>
      <c r="BX1544" s="147"/>
      <c r="BY1544" s="147"/>
      <c r="BZ1544" s="147"/>
      <c r="CA1544" s="147"/>
      <c r="CB1544" s="147"/>
      <c r="CC1544" s="147"/>
      <c r="CD1544" s="147"/>
      <c r="CE1544" s="147"/>
      <c r="CF1544" s="147"/>
      <c r="CG1544" s="147"/>
      <c r="CH1544" s="147"/>
      <c r="CI1544" s="147"/>
      <c r="CJ1544" s="147"/>
      <c r="CK1544" s="147"/>
    </row>
    <row r="1545" spans="1:89">
      <c r="A1545" s="157"/>
      <c r="F1545" s="3"/>
      <c r="G1545" s="3"/>
      <c r="L1545" s="157"/>
      <c r="M1545" s="157"/>
      <c r="O1545" s="147"/>
      <c r="P1545" s="147"/>
      <c r="Q1545" s="147"/>
      <c r="R1545" s="147"/>
      <c r="S1545" s="147"/>
      <c r="T1545" s="147"/>
      <c r="U1545" s="147"/>
      <c r="V1545" s="147"/>
      <c r="W1545" s="147"/>
      <c r="X1545" s="147"/>
      <c r="Y1545" s="147"/>
      <c r="Z1545" s="147"/>
      <c r="AA1545" s="147"/>
      <c r="AB1545" s="147"/>
      <c r="AC1545" s="147"/>
      <c r="AD1545" s="147"/>
      <c r="AE1545" s="147"/>
      <c r="AF1545" s="147"/>
      <c r="AG1545" s="147"/>
      <c r="AH1545" s="147"/>
      <c r="AI1545" s="147"/>
      <c r="AJ1545" s="147"/>
      <c r="AK1545" s="147"/>
      <c r="AL1545" s="147"/>
      <c r="AM1545" s="151"/>
      <c r="AN1545" s="147"/>
      <c r="AO1545" s="147"/>
      <c r="AP1545" s="147"/>
      <c r="AQ1545" s="147"/>
      <c r="AR1545" s="147"/>
      <c r="AS1545" s="147"/>
      <c r="AT1545" s="147"/>
      <c r="AU1545" s="147"/>
      <c r="AV1545" s="147"/>
      <c r="AW1545" s="147"/>
      <c r="AX1545" s="147"/>
      <c r="AY1545" s="147"/>
      <c r="AZ1545" s="147"/>
      <c r="BA1545" s="147"/>
      <c r="BB1545" s="147"/>
      <c r="BC1545" s="147"/>
      <c r="BD1545" s="147"/>
      <c r="BE1545" s="147"/>
      <c r="BF1545" s="147"/>
      <c r="BG1545" s="147"/>
      <c r="BH1545" s="147"/>
      <c r="BI1545" s="147"/>
      <c r="BJ1545" s="147"/>
      <c r="BK1545" s="147"/>
      <c r="BL1545" s="147"/>
      <c r="BM1545" s="147"/>
      <c r="BN1545" s="147"/>
      <c r="BO1545" s="147"/>
      <c r="BP1545" s="147"/>
      <c r="BQ1545" s="147"/>
      <c r="BR1545" s="147"/>
      <c r="BS1545" s="147"/>
      <c r="BT1545" s="147"/>
      <c r="BU1545" s="147"/>
      <c r="BV1545" s="147"/>
      <c r="BW1545" s="147"/>
      <c r="BX1545" s="147"/>
      <c r="BY1545" s="147"/>
      <c r="BZ1545" s="147"/>
      <c r="CA1545" s="147"/>
      <c r="CB1545" s="147"/>
      <c r="CC1545" s="147"/>
      <c r="CD1545" s="147"/>
      <c r="CE1545" s="147"/>
      <c r="CF1545" s="147"/>
      <c r="CG1545" s="147"/>
      <c r="CH1545" s="147"/>
      <c r="CI1545" s="147"/>
      <c r="CJ1545" s="147"/>
      <c r="CK1545" s="147"/>
    </row>
    <row r="1546" spans="1:89">
      <c r="A1546" s="157"/>
      <c r="F1546" s="3"/>
      <c r="G1546" s="3"/>
      <c r="L1546" s="157"/>
      <c r="M1546" s="157"/>
      <c r="O1546" s="147"/>
      <c r="P1546" s="147"/>
      <c r="Q1546" s="147"/>
      <c r="R1546" s="147"/>
      <c r="S1546" s="147"/>
      <c r="T1546" s="147"/>
      <c r="U1546" s="147"/>
      <c r="V1546" s="147"/>
      <c r="W1546" s="147"/>
      <c r="X1546" s="147"/>
      <c r="Y1546" s="147"/>
      <c r="Z1546" s="147"/>
      <c r="AA1546" s="147"/>
      <c r="AB1546" s="147"/>
      <c r="AC1546" s="147"/>
      <c r="AD1546" s="147"/>
      <c r="AE1546" s="147"/>
      <c r="AF1546" s="147"/>
      <c r="AG1546" s="147"/>
      <c r="AH1546" s="147"/>
      <c r="AI1546" s="147"/>
      <c r="AJ1546" s="147"/>
      <c r="AK1546" s="147"/>
      <c r="AL1546" s="147"/>
      <c r="AM1546" s="151"/>
      <c r="AN1546" s="147"/>
      <c r="AO1546" s="147"/>
      <c r="AP1546" s="147"/>
      <c r="AQ1546" s="147"/>
      <c r="AR1546" s="147"/>
      <c r="AS1546" s="147"/>
      <c r="AT1546" s="147"/>
      <c r="AU1546" s="147"/>
      <c r="AV1546" s="147"/>
      <c r="AW1546" s="147"/>
      <c r="AX1546" s="147"/>
      <c r="AY1546" s="147"/>
      <c r="AZ1546" s="147"/>
      <c r="BA1546" s="147"/>
      <c r="BB1546" s="147"/>
      <c r="BC1546" s="147"/>
      <c r="BD1546" s="147"/>
      <c r="BE1546" s="147"/>
      <c r="BF1546" s="147"/>
      <c r="BG1546" s="147"/>
      <c r="BH1546" s="147"/>
      <c r="BI1546" s="147"/>
      <c r="BJ1546" s="147"/>
      <c r="BK1546" s="147"/>
      <c r="BL1546" s="147"/>
      <c r="BM1546" s="147"/>
      <c r="BN1546" s="147"/>
      <c r="BO1546" s="147"/>
      <c r="BP1546" s="147"/>
      <c r="BQ1546" s="147"/>
      <c r="BR1546" s="147"/>
      <c r="BS1546" s="147"/>
      <c r="BT1546" s="147"/>
      <c r="BU1546" s="147"/>
      <c r="BV1546" s="147"/>
      <c r="BW1546" s="147"/>
      <c r="BX1546" s="147"/>
      <c r="BY1546" s="147"/>
      <c r="BZ1546" s="147"/>
      <c r="CA1546" s="147"/>
      <c r="CB1546" s="147"/>
      <c r="CC1546" s="147"/>
      <c r="CD1546" s="147"/>
      <c r="CE1546" s="147"/>
      <c r="CF1546" s="147"/>
      <c r="CG1546" s="147"/>
      <c r="CH1546" s="147"/>
      <c r="CI1546" s="147"/>
      <c r="CJ1546" s="147"/>
      <c r="CK1546" s="147"/>
    </row>
    <row r="1547" spans="1:89">
      <c r="A1547" s="157"/>
      <c r="F1547" s="3"/>
      <c r="G1547" s="3"/>
      <c r="L1547" s="157"/>
      <c r="M1547" s="157"/>
      <c r="O1547" s="147"/>
      <c r="P1547" s="147"/>
      <c r="Q1547" s="147"/>
      <c r="R1547" s="147"/>
      <c r="S1547" s="147"/>
      <c r="T1547" s="147"/>
      <c r="U1547" s="147"/>
      <c r="V1547" s="147"/>
      <c r="W1547" s="147"/>
      <c r="X1547" s="147"/>
      <c r="Y1547" s="147"/>
      <c r="Z1547" s="147"/>
      <c r="AA1547" s="147"/>
      <c r="AB1547" s="147"/>
      <c r="AC1547" s="147"/>
      <c r="AD1547" s="147"/>
      <c r="AE1547" s="147"/>
      <c r="AF1547" s="147"/>
      <c r="AG1547" s="147"/>
      <c r="AH1547" s="147"/>
      <c r="AI1547" s="147"/>
      <c r="AJ1547" s="147"/>
      <c r="AK1547" s="147"/>
      <c r="AL1547" s="147"/>
      <c r="AM1547" s="151"/>
      <c r="AN1547" s="147"/>
      <c r="AO1547" s="147"/>
      <c r="AP1547" s="147"/>
      <c r="AQ1547" s="147"/>
      <c r="AR1547" s="147"/>
      <c r="AS1547" s="147"/>
      <c r="AT1547" s="147"/>
      <c r="AU1547" s="147"/>
      <c r="AV1547" s="147"/>
      <c r="AW1547" s="147"/>
      <c r="AX1547" s="147"/>
      <c r="AY1547" s="147"/>
      <c r="AZ1547" s="147"/>
      <c r="BA1547" s="147"/>
      <c r="BB1547" s="147"/>
      <c r="BC1547" s="147"/>
      <c r="BD1547" s="147"/>
      <c r="BE1547" s="147"/>
      <c r="BF1547" s="147"/>
      <c r="BG1547" s="147"/>
      <c r="BH1547" s="147"/>
      <c r="BI1547" s="147"/>
      <c r="BJ1547" s="147"/>
      <c r="BK1547" s="147"/>
      <c r="BL1547" s="147"/>
      <c r="BM1547" s="147"/>
      <c r="BN1547" s="147"/>
      <c r="BO1547" s="147"/>
      <c r="BP1547" s="147"/>
      <c r="BQ1547" s="147"/>
      <c r="BR1547" s="147"/>
      <c r="BS1547" s="147"/>
      <c r="BT1547" s="147"/>
      <c r="BU1547" s="147"/>
      <c r="BV1547" s="147"/>
      <c r="BW1547" s="147"/>
      <c r="BX1547" s="147"/>
      <c r="BY1547" s="147"/>
      <c r="BZ1547" s="147"/>
      <c r="CA1547" s="147"/>
      <c r="CB1547" s="147"/>
      <c r="CC1547" s="147"/>
      <c r="CD1547" s="147"/>
      <c r="CE1547" s="147"/>
      <c r="CF1547" s="147"/>
      <c r="CG1547" s="147"/>
      <c r="CH1547" s="147"/>
      <c r="CI1547" s="147"/>
      <c r="CJ1547" s="147"/>
      <c r="CK1547" s="147"/>
    </row>
    <row r="1548" spans="1:89">
      <c r="A1548" s="157"/>
      <c r="F1548" s="3"/>
      <c r="G1548" s="3"/>
      <c r="L1548" s="157"/>
      <c r="M1548" s="157"/>
      <c r="O1548" s="147"/>
      <c r="P1548" s="147"/>
      <c r="Q1548" s="147"/>
      <c r="R1548" s="147"/>
      <c r="S1548" s="147"/>
      <c r="T1548" s="147"/>
      <c r="U1548" s="147"/>
      <c r="V1548" s="147"/>
      <c r="W1548" s="147"/>
      <c r="X1548" s="147"/>
      <c r="Y1548" s="147"/>
      <c r="Z1548" s="147"/>
      <c r="AA1548" s="147"/>
      <c r="AB1548" s="147"/>
      <c r="AC1548" s="147"/>
      <c r="AD1548" s="147"/>
      <c r="AE1548" s="147"/>
      <c r="AF1548" s="147"/>
      <c r="AG1548" s="147"/>
      <c r="AH1548" s="147"/>
      <c r="AI1548" s="147"/>
      <c r="AJ1548" s="147"/>
      <c r="AK1548" s="147"/>
      <c r="AL1548" s="147"/>
      <c r="AM1548" s="151"/>
      <c r="AN1548" s="147"/>
      <c r="AO1548" s="147"/>
      <c r="AP1548" s="147"/>
      <c r="AQ1548" s="147"/>
      <c r="AR1548" s="147"/>
      <c r="AS1548" s="147"/>
      <c r="AT1548" s="147"/>
      <c r="AU1548" s="147"/>
      <c r="AV1548" s="147"/>
      <c r="AW1548" s="147"/>
      <c r="AX1548" s="147"/>
      <c r="AY1548" s="147"/>
      <c r="AZ1548" s="147"/>
      <c r="BA1548" s="147"/>
      <c r="BB1548" s="147"/>
      <c r="BC1548" s="147"/>
      <c r="BD1548" s="147"/>
      <c r="BE1548" s="147"/>
      <c r="BF1548" s="147"/>
      <c r="BG1548" s="147"/>
      <c r="BH1548" s="147"/>
      <c r="BI1548" s="147"/>
      <c r="BJ1548" s="147"/>
      <c r="BK1548" s="147"/>
      <c r="BL1548" s="147"/>
      <c r="BM1548" s="147"/>
      <c r="BN1548" s="147"/>
      <c r="BO1548" s="147"/>
      <c r="BP1548" s="147"/>
      <c r="BQ1548" s="147"/>
      <c r="BR1548" s="147"/>
      <c r="BS1548" s="147"/>
      <c r="BT1548" s="147"/>
      <c r="BU1548" s="147"/>
      <c r="BV1548" s="147"/>
      <c r="BW1548" s="147"/>
      <c r="BX1548" s="147"/>
      <c r="BY1548" s="147"/>
      <c r="BZ1548" s="147"/>
      <c r="CA1548" s="147"/>
      <c r="CB1548" s="147"/>
      <c r="CC1548" s="147"/>
      <c r="CD1548" s="147"/>
      <c r="CE1548" s="147"/>
      <c r="CF1548" s="147"/>
      <c r="CG1548" s="147"/>
      <c r="CH1548" s="147"/>
      <c r="CI1548" s="147"/>
      <c r="CJ1548" s="147"/>
      <c r="CK1548" s="147"/>
    </row>
    <row r="1549" spans="1:89">
      <c r="A1549" s="157"/>
      <c r="F1549" s="3"/>
      <c r="G1549" s="3"/>
      <c r="L1549" s="157"/>
      <c r="M1549" s="157"/>
      <c r="O1549" s="147"/>
      <c r="P1549" s="147"/>
      <c r="Q1549" s="147"/>
      <c r="R1549" s="147"/>
      <c r="S1549" s="147"/>
      <c r="T1549" s="147"/>
      <c r="U1549" s="147"/>
      <c r="V1549" s="147"/>
      <c r="W1549" s="147"/>
      <c r="X1549" s="147"/>
      <c r="Y1549" s="147"/>
      <c r="Z1549" s="147"/>
      <c r="AA1549" s="147"/>
      <c r="AB1549" s="147"/>
      <c r="AC1549" s="147"/>
      <c r="AD1549" s="147"/>
      <c r="AE1549" s="147"/>
      <c r="AF1549" s="147"/>
      <c r="AG1549" s="147"/>
      <c r="AH1549" s="147"/>
      <c r="AI1549" s="147"/>
      <c r="AJ1549" s="147"/>
      <c r="AK1549" s="147"/>
      <c r="AL1549" s="147"/>
      <c r="AM1549" s="151"/>
      <c r="AN1549" s="147"/>
      <c r="AO1549" s="147"/>
      <c r="AP1549" s="147"/>
      <c r="AQ1549" s="147"/>
      <c r="AR1549" s="147"/>
      <c r="AS1549" s="147"/>
      <c r="AT1549" s="147"/>
      <c r="AU1549" s="147"/>
      <c r="AV1549" s="147"/>
      <c r="AW1549" s="147"/>
      <c r="AX1549" s="147"/>
      <c r="AY1549" s="147"/>
      <c r="AZ1549" s="147"/>
      <c r="BA1549" s="147"/>
      <c r="BB1549" s="147"/>
      <c r="BC1549" s="147"/>
      <c r="BD1549" s="147"/>
      <c r="BE1549" s="147"/>
      <c r="BF1549" s="147"/>
      <c r="BG1549" s="147"/>
      <c r="BH1549" s="147"/>
      <c r="BI1549" s="147"/>
      <c r="BJ1549" s="147"/>
      <c r="BK1549" s="147"/>
      <c r="BL1549" s="147"/>
      <c r="BM1549" s="147"/>
      <c r="BN1549" s="147"/>
      <c r="BO1549" s="147"/>
      <c r="BP1549" s="147"/>
      <c r="BQ1549" s="147"/>
      <c r="BR1549" s="147"/>
      <c r="BS1549" s="147"/>
      <c r="BT1549" s="147"/>
      <c r="BU1549" s="147"/>
      <c r="BV1549" s="147"/>
      <c r="BW1549" s="147"/>
      <c r="BX1549" s="147"/>
      <c r="BY1549" s="147"/>
      <c r="BZ1549" s="147"/>
      <c r="CA1549" s="147"/>
      <c r="CB1549" s="147"/>
      <c r="CC1549" s="147"/>
      <c r="CD1549" s="147"/>
      <c r="CE1549" s="147"/>
      <c r="CF1549" s="147"/>
      <c r="CG1549" s="147"/>
      <c r="CH1549" s="147"/>
      <c r="CI1549" s="147"/>
      <c r="CJ1549" s="147"/>
      <c r="CK1549" s="147"/>
    </row>
    <row r="1550" spans="1:89">
      <c r="A1550" s="157"/>
      <c r="F1550" s="3"/>
      <c r="G1550" s="3"/>
      <c r="L1550" s="157"/>
      <c r="M1550" s="157"/>
      <c r="O1550" s="147"/>
      <c r="P1550" s="147"/>
      <c r="Q1550" s="147"/>
      <c r="R1550" s="147"/>
      <c r="S1550" s="147"/>
      <c r="T1550" s="147"/>
      <c r="U1550" s="147"/>
      <c r="V1550" s="147"/>
      <c r="W1550" s="147"/>
      <c r="X1550" s="147"/>
      <c r="Y1550" s="147"/>
      <c r="Z1550" s="147"/>
      <c r="AA1550" s="147"/>
      <c r="AB1550" s="147"/>
      <c r="AC1550" s="147"/>
      <c r="AD1550" s="147"/>
      <c r="AE1550" s="147"/>
      <c r="AF1550" s="147"/>
      <c r="AG1550" s="147"/>
      <c r="AH1550" s="147"/>
      <c r="AI1550" s="147"/>
      <c r="AJ1550" s="147"/>
      <c r="AK1550" s="147"/>
      <c r="AL1550" s="147"/>
      <c r="AM1550" s="151"/>
      <c r="AN1550" s="147"/>
      <c r="AO1550" s="147"/>
      <c r="AP1550" s="147"/>
      <c r="AQ1550" s="147"/>
      <c r="AR1550" s="147"/>
      <c r="AS1550" s="147"/>
      <c r="AT1550" s="147"/>
      <c r="AU1550" s="147"/>
      <c r="AV1550" s="147"/>
      <c r="AW1550" s="147"/>
      <c r="AX1550" s="147"/>
      <c r="AY1550" s="147"/>
      <c r="AZ1550" s="147"/>
      <c r="BA1550" s="147"/>
      <c r="BB1550" s="147"/>
      <c r="BC1550" s="147"/>
      <c r="BD1550" s="147"/>
      <c r="BE1550" s="147"/>
      <c r="BF1550" s="147"/>
      <c r="BG1550" s="147"/>
      <c r="BH1550" s="147"/>
      <c r="BI1550" s="147"/>
      <c r="BJ1550" s="147"/>
      <c r="BK1550" s="147"/>
      <c r="BL1550" s="147"/>
      <c r="BM1550" s="147"/>
      <c r="BN1550" s="147"/>
      <c r="BO1550" s="147"/>
      <c r="BP1550" s="147"/>
      <c r="BQ1550" s="147"/>
      <c r="BR1550" s="147"/>
      <c r="BS1550" s="147"/>
      <c r="BT1550" s="147"/>
      <c r="BU1550" s="147"/>
      <c r="BV1550" s="147"/>
      <c r="BW1550" s="147"/>
      <c r="BX1550" s="147"/>
      <c r="BY1550" s="147"/>
      <c r="BZ1550" s="147"/>
      <c r="CA1550" s="147"/>
      <c r="CB1550" s="147"/>
      <c r="CC1550" s="147"/>
      <c r="CD1550" s="147"/>
      <c r="CE1550" s="147"/>
      <c r="CF1550" s="147"/>
      <c r="CG1550" s="147"/>
      <c r="CH1550" s="147"/>
      <c r="CI1550" s="147"/>
      <c r="CJ1550" s="147"/>
      <c r="CK1550" s="147"/>
    </row>
    <row r="1551" spans="1:89">
      <c r="A1551" s="157"/>
      <c r="F1551" s="3"/>
      <c r="G1551" s="3"/>
      <c r="L1551" s="157"/>
      <c r="M1551" s="157"/>
      <c r="O1551" s="147"/>
      <c r="P1551" s="147"/>
      <c r="Q1551" s="147"/>
      <c r="R1551" s="147"/>
      <c r="S1551" s="147"/>
      <c r="T1551" s="147"/>
      <c r="U1551" s="147"/>
      <c r="V1551" s="147"/>
      <c r="W1551" s="147"/>
      <c r="X1551" s="147"/>
      <c r="Y1551" s="147"/>
      <c r="Z1551" s="147"/>
      <c r="AA1551" s="147"/>
      <c r="AB1551" s="147"/>
      <c r="AC1551" s="147"/>
      <c r="AD1551" s="147"/>
      <c r="AE1551" s="147"/>
      <c r="AF1551" s="147"/>
      <c r="AG1551" s="147"/>
      <c r="AH1551" s="147"/>
      <c r="AI1551" s="147"/>
      <c r="AJ1551" s="147"/>
      <c r="AK1551" s="147"/>
      <c r="AL1551" s="147"/>
      <c r="AM1551" s="151"/>
      <c r="AN1551" s="147"/>
      <c r="AO1551" s="147"/>
      <c r="AP1551" s="147"/>
      <c r="AQ1551" s="147"/>
      <c r="AR1551" s="147"/>
      <c r="AS1551" s="147"/>
      <c r="AT1551" s="147"/>
      <c r="AU1551" s="147"/>
      <c r="AV1551" s="147"/>
      <c r="AW1551" s="147"/>
      <c r="AX1551" s="147"/>
      <c r="AY1551" s="147"/>
      <c r="AZ1551" s="147"/>
      <c r="BA1551" s="147"/>
      <c r="BB1551" s="147"/>
      <c r="BC1551" s="147"/>
      <c r="BD1551" s="147"/>
      <c r="BE1551" s="147"/>
      <c r="BF1551" s="147"/>
      <c r="BG1551" s="147"/>
      <c r="BH1551" s="147"/>
      <c r="BI1551" s="147"/>
      <c r="BJ1551" s="147"/>
      <c r="BK1551" s="147"/>
      <c r="BL1551" s="147"/>
      <c r="BM1551" s="147"/>
      <c r="BN1551" s="147"/>
      <c r="BO1551" s="147"/>
      <c r="BP1551" s="147"/>
      <c r="BQ1551" s="147"/>
      <c r="BR1551" s="147"/>
      <c r="BS1551" s="147"/>
      <c r="BT1551" s="147"/>
      <c r="BU1551" s="147"/>
      <c r="BV1551" s="147"/>
      <c r="BW1551" s="147"/>
      <c r="BX1551" s="147"/>
      <c r="BY1551" s="147"/>
      <c r="BZ1551" s="147"/>
      <c r="CA1551" s="147"/>
      <c r="CB1551" s="147"/>
      <c r="CC1551" s="147"/>
      <c r="CD1551" s="147"/>
      <c r="CE1551" s="147"/>
      <c r="CF1551" s="147"/>
      <c r="CG1551" s="147"/>
      <c r="CH1551" s="147"/>
      <c r="CI1551" s="147"/>
      <c r="CJ1551" s="147"/>
      <c r="CK1551" s="147"/>
    </row>
    <row r="1552" spans="1:89">
      <c r="A1552" s="157"/>
      <c r="F1552" s="3"/>
      <c r="G1552" s="3"/>
      <c r="L1552" s="157"/>
      <c r="M1552" s="157"/>
      <c r="O1552" s="147"/>
      <c r="P1552" s="147"/>
      <c r="Q1552" s="147"/>
      <c r="R1552" s="147"/>
      <c r="S1552" s="147"/>
      <c r="T1552" s="147"/>
      <c r="U1552" s="147"/>
      <c r="V1552" s="147"/>
      <c r="W1552" s="147"/>
      <c r="X1552" s="147"/>
      <c r="Y1552" s="147"/>
      <c r="Z1552" s="147"/>
      <c r="AA1552" s="147"/>
      <c r="AB1552" s="147"/>
      <c r="AC1552" s="147"/>
      <c r="AD1552" s="147"/>
      <c r="AE1552" s="147"/>
      <c r="AF1552" s="147"/>
      <c r="AG1552" s="147"/>
      <c r="AH1552" s="147"/>
      <c r="AI1552" s="147"/>
      <c r="AJ1552" s="147"/>
      <c r="AK1552" s="147"/>
      <c r="AL1552" s="147"/>
      <c r="AM1552" s="151"/>
      <c r="AN1552" s="147"/>
      <c r="AO1552" s="147"/>
      <c r="AP1552" s="147"/>
      <c r="AQ1552" s="147"/>
      <c r="AR1552" s="147"/>
      <c r="AS1552" s="147"/>
      <c r="AT1552" s="147"/>
      <c r="AU1552" s="147"/>
      <c r="AV1552" s="147"/>
      <c r="AW1552" s="147"/>
      <c r="AX1552" s="147"/>
      <c r="AY1552" s="147"/>
      <c r="AZ1552" s="147"/>
      <c r="BA1552" s="147"/>
      <c r="BB1552" s="147"/>
      <c r="BC1552" s="147"/>
      <c r="BD1552" s="147"/>
      <c r="BE1552" s="147"/>
      <c r="BF1552" s="147"/>
      <c r="BG1552" s="147"/>
      <c r="BH1552" s="147"/>
      <c r="BI1552" s="147"/>
      <c r="BJ1552" s="147"/>
      <c r="BK1552" s="147"/>
      <c r="BL1552" s="147"/>
      <c r="BM1552" s="147"/>
      <c r="BN1552" s="147"/>
      <c r="BO1552" s="147"/>
      <c r="BP1552" s="147"/>
      <c r="BQ1552" s="147"/>
      <c r="BR1552" s="147"/>
      <c r="BS1552" s="147"/>
      <c r="BT1552" s="147"/>
      <c r="BU1552" s="147"/>
      <c r="BV1552" s="147"/>
      <c r="BW1552" s="147"/>
      <c r="BX1552" s="147"/>
      <c r="BY1552" s="147"/>
      <c r="BZ1552" s="147"/>
      <c r="CA1552" s="147"/>
      <c r="CB1552" s="147"/>
      <c r="CC1552" s="147"/>
      <c r="CD1552" s="147"/>
      <c r="CE1552" s="147"/>
      <c r="CF1552" s="147"/>
      <c r="CG1552" s="147"/>
      <c r="CH1552" s="147"/>
      <c r="CI1552" s="147"/>
      <c r="CJ1552" s="147"/>
      <c r="CK1552" s="147"/>
    </row>
    <row r="1553" spans="1:89">
      <c r="A1553" s="157"/>
      <c r="F1553" s="3"/>
      <c r="G1553" s="3"/>
      <c r="L1553" s="157"/>
      <c r="M1553" s="157"/>
      <c r="O1553" s="147"/>
      <c r="P1553" s="147"/>
      <c r="Q1553" s="147"/>
      <c r="R1553" s="147"/>
      <c r="S1553" s="147"/>
      <c r="T1553" s="147"/>
      <c r="U1553" s="147"/>
      <c r="V1553" s="147"/>
      <c r="W1553" s="147"/>
      <c r="X1553" s="147"/>
      <c r="Y1553" s="147"/>
      <c r="Z1553" s="147"/>
      <c r="AA1553" s="147"/>
      <c r="AB1553" s="147"/>
      <c r="AC1553" s="147"/>
      <c r="AD1553" s="147"/>
      <c r="AE1553" s="147"/>
      <c r="AF1553" s="147"/>
      <c r="AG1553" s="147"/>
      <c r="AH1553" s="147"/>
      <c r="AI1553" s="147"/>
      <c r="AJ1553" s="147"/>
      <c r="AK1553" s="147"/>
      <c r="AL1553" s="147"/>
      <c r="AM1553" s="151"/>
      <c r="AN1553" s="147"/>
      <c r="AO1553" s="147"/>
      <c r="AP1553" s="147"/>
      <c r="AQ1553" s="147"/>
      <c r="AR1553" s="147"/>
      <c r="AS1553" s="147"/>
      <c r="AT1553" s="147"/>
      <c r="AU1553" s="147"/>
      <c r="AV1553" s="147"/>
      <c r="AW1553" s="147"/>
      <c r="AX1553" s="147"/>
      <c r="AY1553" s="147"/>
      <c r="AZ1553" s="147"/>
      <c r="BA1553" s="147"/>
      <c r="BB1553" s="147"/>
      <c r="BC1553" s="147"/>
      <c r="BD1553" s="147"/>
      <c r="BE1553" s="147"/>
      <c r="BF1553" s="147"/>
      <c r="BG1553" s="147"/>
      <c r="BH1553" s="147"/>
      <c r="BI1553" s="147"/>
      <c r="BJ1553" s="147"/>
      <c r="BK1553" s="147"/>
      <c r="BL1553" s="147"/>
      <c r="BM1553" s="147"/>
      <c r="BN1553" s="147"/>
      <c r="BO1553" s="147"/>
      <c r="BP1553" s="147"/>
      <c r="BQ1553" s="147"/>
      <c r="BR1553" s="147"/>
      <c r="BS1553" s="147"/>
      <c r="BT1553" s="147"/>
      <c r="BU1553" s="147"/>
      <c r="BV1553" s="147"/>
      <c r="BW1553" s="147"/>
      <c r="BX1553" s="147"/>
      <c r="BY1553" s="147"/>
      <c r="BZ1553" s="147"/>
      <c r="CA1553" s="147"/>
      <c r="CB1553" s="147"/>
      <c r="CC1553" s="147"/>
      <c r="CD1553" s="147"/>
      <c r="CE1553" s="147"/>
      <c r="CF1553" s="147"/>
      <c r="CG1553" s="147"/>
      <c r="CH1553" s="147"/>
      <c r="CI1553" s="147"/>
      <c r="CJ1553" s="147"/>
      <c r="CK1553" s="147"/>
    </row>
    <row r="1554" spans="1:89">
      <c r="A1554" s="157"/>
      <c r="F1554" s="3"/>
      <c r="G1554" s="3"/>
      <c r="L1554" s="157"/>
      <c r="M1554" s="157"/>
      <c r="O1554" s="147"/>
      <c r="P1554" s="147"/>
      <c r="Q1554" s="147"/>
      <c r="R1554" s="147"/>
      <c r="S1554" s="147"/>
      <c r="T1554" s="147"/>
      <c r="U1554" s="147"/>
      <c r="V1554" s="147"/>
      <c r="W1554" s="147"/>
      <c r="X1554" s="147"/>
      <c r="Y1554" s="147"/>
      <c r="Z1554" s="147"/>
      <c r="AA1554" s="147"/>
      <c r="AB1554" s="147"/>
      <c r="AC1554" s="147"/>
      <c r="AD1554" s="147"/>
      <c r="AE1554" s="147"/>
      <c r="AF1554" s="147"/>
      <c r="AG1554" s="147"/>
      <c r="AH1554" s="147"/>
      <c r="AI1554" s="147"/>
      <c r="AJ1554" s="147"/>
      <c r="AK1554" s="147"/>
      <c r="AL1554" s="147"/>
      <c r="AM1554" s="151"/>
      <c r="AN1554" s="147"/>
      <c r="AO1554" s="147"/>
      <c r="AP1554" s="147"/>
      <c r="AQ1554" s="147"/>
      <c r="AR1554" s="147"/>
      <c r="AS1554" s="147"/>
      <c r="AT1554" s="147"/>
      <c r="AU1554" s="147"/>
      <c r="AV1554" s="147"/>
      <c r="AW1554" s="147"/>
      <c r="AX1554" s="147"/>
      <c r="AY1554" s="147"/>
      <c r="AZ1554" s="147"/>
      <c r="BA1554" s="147"/>
      <c r="BB1554" s="147"/>
      <c r="BC1554" s="147"/>
      <c r="BD1554" s="147"/>
      <c r="BE1554" s="147"/>
      <c r="BF1554" s="147"/>
      <c r="BG1554" s="147"/>
      <c r="BH1554" s="147"/>
      <c r="BI1554" s="147"/>
      <c r="BJ1554" s="147"/>
      <c r="BK1554" s="147"/>
      <c r="BL1554" s="147"/>
      <c r="BM1554" s="147"/>
      <c r="BN1554" s="147"/>
      <c r="BO1554" s="147"/>
      <c r="BP1554" s="147"/>
      <c r="BQ1554" s="147"/>
      <c r="BR1554" s="147"/>
      <c r="BS1554" s="147"/>
      <c r="BT1554" s="147"/>
      <c r="BU1554" s="147"/>
      <c r="BV1554" s="147"/>
      <c r="BW1554" s="147"/>
      <c r="BX1554" s="147"/>
      <c r="BY1554" s="147"/>
      <c r="BZ1554" s="147"/>
      <c r="CA1554" s="147"/>
      <c r="CB1554" s="147"/>
      <c r="CC1554" s="147"/>
      <c r="CD1554" s="147"/>
      <c r="CE1554" s="147"/>
      <c r="CF1554" s="147"/>
      <c r="CG1554" s="147"/>
      <c r="CH1554" s="147"/>
      <c r="CI1554" s="147"/>
      <c r="CJ1554" s="147"/>
      <c r="CK1554" s="147"/>
    </row>
    <row r="1555" spans="1:89">
      <c r="A1555" s="157"/>
      <c r="F1555" s="3"/>
      <c r="G1555" s="3"/>
      <c r="L1555" s="157"/>
      <c r="M1555" s="157"/>
      <c r="O1555" s="147"/>
      <c r="P1555" s="147"/>
      <c r="Q1555" s="147"/>
      <c r="R1555" s="147"/>
      <c r="S1555" s="147"/>
      <c r="T1555" s="147"/>
      <c r="U1555" s="147"/>
      <c r="V1555" s="147"/>
      <c r="W1555" s="147"/>
      <c r="X1555" s="147"/>
      <c r="Y1555" s="147"/>
      <c r="Z1555" s="147"/>
      <c r="AA1555" s="147"/>
      <c r="AB1555" s="147"/>
      <c r="AC1555" s="147"/>
      <c r="AD1555" s="147"/>
      <c r="AE1555" s="147"/>
      <c r="AF1555" s="147"/>
      <c r="AG1555" s="147"/>
      <c r="AH1555" s="147"/>
      <c r="AI1555" s="147"/>
      <c r="AJ1555" s="147"/>
      <c r="AK1555" s="147"/>
      <c r="AL1555" s="147"/>
      <c r="AM1555" s="151"/>
      <c r="AN1555" s="147"/>
      <c r="AO1555" s="147"/>
      <c r="AP1555" s="147"/>
      <c r="AQ1555" s="147"/>
      <c r="AR1555" s="147"/>
      <c r="AS1555" s="147"/>
      <c r="AT1555" s="147"/>
      <c r="AU1555" s="147"/>
      <c r="AV1555" s="147"/>
      <c r="AW1555" s="147"/>
      <c r="AX1555" s="147"/>
      <c r="AY1555" s="147"/>
      <c r="AZ1555" s="147"/>
      <c r="BA1555" s="147"/>
      <c r="BB1555" s="147"/>
      <c r="BC1555" s="147"/>
      <c r="BD1555" s="147"/>
      <c r="BE1555" s="147"/>
      <c r="BF1555" s="147"/>
      <c r="BG1555" s="147"/>
      <c r="BH1555" s="147"/>
      <c r="BI1555" s="147"/>
      <c r="BJ1555" s="147"/>
      <c r="BK1555" s="147"/>
      <c r="BL1555" s="147"/>
      <c r="BM1555" s="147"/>
      <c r="BN1555" s="147"/>
      <c r="BO1555" s="147"/>
      <c r="BP1555" s="147"/>
      <c r="BQ1555" s="147"/>
      <c r="BR1555" s="147"/>
      <c r="BS1555" s="147"/>
      <c r="BT1555" s="147"/>
      <c r="BU1555" s="147"/>
      <c r="BV1555" s="147"/>
      <c r="BW1555" s="147"/>
      <c r="BX1555" s="147"/>
      <c r="BY1555" s="147"/>
      <c r="BZ1555" s="147"/>
      <c r="CA1555" s="147"/>
      <c r="CB1555" s="147"/>
      <c r="CC1555" s="147"/>
      <c r="CD1555" s="147"/>
      <c r="CE1555" s="147"/>
      <c r="CF1555" s="147"/>
      <c r="CG1555" s="147"/>
      <c r="CH1555" s="147"/>
      <c r="CI1555" s="147"/>
      <c r="CJ1555" s="147"/>
      <c r="CK1555" s="147"/>
    </row>
    <row r="1556" spans="1:89">
      <c r="A1556" s="157"/>
      <c r="F1556" s="3"/>
      <c r="G1556" s="3"/>
      <c r="L1556" s="157"/>
      <c r="M1556" s="157"/>
      <c r="O1556" s="147"/>
      <c r="P1556" s="147"/>
      <c r="Q1556" s="147"/>
      <c r="R1556" s="147"/>
      <c r="S1556" s="147"/>
      <c r="T1556" s="147"/>
      <c r="U1556" s="147"/>
      <c r="V1556" s="147"/>
      <c r="W1556" s="147"/>
      <c r="X1556" s="147"/>
      <c r="Y1556" s="147"/>
      <c r="Z1556" s="147"/>
      <c r="AA1556" s="147"/>
      <c r="AB1556" s="147"/>
      <c r="AC1556" s="147"/>
      <c r="AD1556" s="147"/>
      <c r="AE1556" s="147"/>
      <c r="AF1556" s="147"/>
      <c r="AG1556" s="147"/>
      <c r="AH1556" s="147"/>
      <c r="AI1556" s="147"/>
      <c r="AJ1556" s="147"/>
      <c r="AK1556" s="147"/>
      <c r="AL1556" s="147"/>
      <c r="AM1556" s="151"/>
      <c r="AN1556" s="147"/>
      <c r="AO1556" s="147"/>
      <c r="AP1556" s="147"/>
      <c r="AQ1556" s="147"/>
      <c r="AR1556" s="147"/>
      <c r="AS1556" s="147"/>
      <c r="AT1556" s="147"/>
      <c r="AU1556" s="147"/>
      <c r="AV1556" s="147"/>
      <c r="AW1556" s="147"/>
      <c r="AX1556" s="147"/>
      <c r="AY1556" s="147"/>
      <c r="AZ1556" s="147"/>
      <c r="BA1556" s="147"/>
      <c r="BB1556" s="147"/>
      <c r="BC1556" s="147"/>
      <c r="BD1556" s="147"/>
      <c r="BE1556" s="147"/>
      <c r="BF1556" s="147"/>
      <c r="BG1556" s="147"/>
      <c r="BH1556" s="147"/>
      <c r="BI1556" s="147"/>
      <c r="BJ1556" s="147"/>
      <c r="BK1556" s="147"/>
      <c r="BL1556" s="147"/>
      <c r="BM1556" s="147"/>
      <c r="BN1556" s="147"/>
      <c r="BO1556" s="147"/>
      <c r="BP1556" s="147"/>
      <c r="BQ1556" s="147"/>
      <c r="BR1556" s="147"/>
      <c r="BS1556" s="147"/>
      <c r="BT1556" s="147"/>
      <c r="BU1556" s="147"/>
      <c r="BV1556" s="147"/>
      <c r="BW1556" s="147"/>
      <c r="BX1556" s="147"/>
      <c r="BY1556" s="147"/>
      <c r="BZ1556" s="147"/>
      <c r="CA1556" s="147"/>
      <c r="CB1556" s="147"/>
      <c r="CC1556" s="147"/>
      <c r="CD1556" s="147"/>
      <c r="CE1556" s="147"/>
      <c r="CF1556" s="147"/>
      <c r="CG1556" s="147"/>
      <c r="CH1556" s="147"/>
      <c r="CI1556" s="147"/>
      <c r="CJ1556" s="147"/>
      <c r="CK1556" s="147"/>
    </row>
    <row r="1557" spans="1:89">
      <c r="A1557" s="157"/>
      <c r="F1557" s="3"/>
      <c r="G1557" s="3"/>
      <c r="L1557" s="157"/>
      <c r="M1557" s="157"/>
      <c r="O1557" s="147"/>
      <c r="P1557" s="147"/>
      <c r="Q1557" s="147"/>
      <c r="R1557" s="147"/>
      <c r="S1557" s="147"/>
      <c r="T1557" s="147"/>
      <c r="U1557" s="147"/>
      <c r="V1557" s="147"/>
      <c r="W1557" s="147"/>
      <c r="X1557" s="147"/>
      <c r="Y1557" s="147"/>
      <c r="Z1557" s="147"/>
      <c r="AA1557" s="147"/>
      <c r="AB1557" s="147"/>
      <c r="AC1557" s="147"/>
      <c r="AD1557" s="147"/>
      <c r="AE1557" s="147"/>
      <c r="AF1557" s="147"/>
      <c r="AG1557" s="147"/>
      <c r="AH1557" s="147"/>
      <c r="AI1557" s="147"/>
      <c r="AJ1557" s="147"/>
      <c r="AK1557" s="147"/>
      <c r="AL1557" s="147"/>
      <c r="AM1557" s="151"/>
      <c r="AN1557" s="147"/>
      <c r="AO1557" s="147"/>
      <c r="AP1557" s="147"/>
      <c r="AQ1557" s="147"/>
      <c r="AR1557" s="147"/>
      <c r="AS1557" s="147"/>
      <c r="AT1557" s="147"/>
      <c r="AU1557" s="147"/>
      <c r="AV1557" s="147"/>
      <c r="AW1557" s="147"/>
      <c r="AX1557" s="147"/>
      <c r="AY1557" s="147"/>
      <c r="AZ1557" s="147"/>
      <c r="BA1557" s="147"/>
      <c r="BB1557" s="147"/>
      <c r="BC1557" s="147"/>
      <c r="BD1557" s="147"/>
      <c r="BE1557" s="147"/>
      <c r="BF1557" s="147"/>
      <c r="BG1557" s="147"/>
      <c r="BH1557" s="147"/>
      <c r="BI1557" s="147"/>
      <c r="BJ1557" s="147"/>
      <c r="BK1557" s="147"/>
      <c r="BL1557" s="147"/>
      <c r="BM1557" s="147"/>
      <c r="BN1557" s="147"/>
      <c r="BO1557" s="147"/>
      <c r="BP1557" s="147"/>
      <c r="BQ1557" s="147"/>
      <c r="BR1557" s="147"/>
      <c r="BS1557" s="147"/>
      <c r="BT1557" s="147"/>
      <c r="BU1557" s="147"/>
      <c r="BV1557" s="147"/>
      <c r="BW1557" s="147"/>
      <c r="BX1557" s="147"/>
      <c r="BY1557" s="147"/>
      <c r="BZ1557" s="147"/>
      <c r="CA1557" s="147"/>
      <c r="CB1557" s="147"/>
      <c r="CC1557" s="147"/>
      <c r="CD1557" s="147"/>
      <c r="CE1557" s="147"/>
      <c r="CF1557" s="147"/>
      <c r="CG1557" s="147"/>
      <c r="CH1557" s="147"/>
      <c r="CI1557" s="147"/>
      <c r="CJ1557" s="147"/>
      <c r="CK1557" s="147"/>
    </row>
    <row r="1558" spans="1:89">
      <c r="A1558" s="157"/>
      <c r="F1558" s="3"/>
      <c r="G1558" s="3"/>
      <c r="L1558" s="157"/>
      <c r="M1558" s="157"/>
      <c r="O1558" s="147"/>
      <c r="P1558" s="147"/>
      <c r="Q1558" s="147"/>
      <c r="R1558" s="147"/>
      <c r="S1558" s="147"/>
      <c r="T1558" s="147"/>
      <c r="U1558" s="147"/>
      <c r="V1558" s="147"/>
      <c r="W1558" s="147"/>
      <c r="X1558" s="147"/>
      <c r="Y1558" s="147"/>
      <c r="Z1558" s="147"/>
      <c r="AA1558" s="147"/>
      <c r="AB1558" s="147"/>
      <c r="AC1558" s="147"/>
      <c r="AD1558" s="147"/>
      <c r="AE1558" s="147"/>
      <c r="AF1558" s="147"/>
      <c r="AG1558" s="147"/>
      <c r="AH1558" s="147"/>
      <c r="AI1558" s="147"/>
      <c r="AJ1558" s="147"/>
      <c r="AK1558" s="147"/>
      <c r="AL1558" s="147"/>
      <c r="AM1558" s="151"/>
      <c r="AN1558" s="147"/>
      <c r="AO1558" s="147"/>
      <c r="AP1558" s="147"/>
      <c r="AQ1558" s="147"/>
      <c r="AR1558" s="147"/>
      <c r="AS1558" s="147"/>
      <c r="AT1558" s="147"/>
      <c r="AU1558" s="147"/>
      <c r="AV1558" s="147"/>
      <c r="AW1558" s="147"/>
      <c r="AX1558" s="147"/>
      <c r="AY1558" s="147"/>
      <c r="AZ1558" s="147"/>
      <c r="BA1558" s="147"/>
      <c r="BB1558" s="147"/>
      <c r="BC1558" s="147"/>
      <c r="BD1558" s="147"/>
      <c r="BE1558" s="147"/>
      <c r="BF1558" s="147"/>
      <c r="BG1558" s="147"/>
      <c r="BH1558" s="147"/>
      <c r="BI1558" s="147"/>
      <c r="BJ1558" s="147"/>
      <c r="BK1558" s="147"/>
      <c r="BL1558" s="147"/>
      <c r="BM1558" s="147"/>
      <c r="BN1558" s="147"/>
      <c r="BO1558" s="147"/>
      <c r="BP1558" s="147"/>
      <c r="BQ1558" s="147"/>
      <c r="BR1558" s="147"/>
      <c r="BS1558" s="147"/>
      <c r="BT1558" s="147"/>
      <c r="BU1558" s="147"/>
      <c r="BV1558" s="147"/>
      <c r="BW1558" s="147"/>
      <c r="BX1558" s="147"/>
      <c r="BY1558" s="147"/>
      <c r="BZ1558" s="147"/>
      <c r="CA1558" s="147"/>
      <c r="CB1558" s="147"/>
      <c r="CC1558" s="147"/>
      <c r="CD1558" s="147"/>
      <c r="CE1558" s="147"/>
      <c r="CF1558" s="147"/>
      <c r="CG1558" s="147"/>
      <c r="CH1558" s="147"/>
      <c r="CI1558" s="147"/>
      <c r="CJ1558" s="147"/>
      <c r="CK1558" s="147"/>
    </row>
    <row r="1559" spans="1:89">
      <c r="A1559" s="157"/>
      <c r="F1559" s="3"/>
      <c r="G1559" s="3"/>
      <c r="L1559" s="157"/>
      <c r="M1559" s="157"/>
      <c r="O1559" s="147"/>
      <c r="P1559" s="147"/>
      <c r="Q1559" s="147"/>
      <c r="R1559" s="147"/>
      <c r="S1559" s="147"/>
      <c r="T1559" s="147"/>
      <c r="U1559" s="147"/>
      <c r="V1559" s="147"/>
      <c r="W1559" s="147"/>
      <c r="X1559" s="147"/>
      <c r="Y1559" s="147"/>
      <c r="Z1559" s="147"/>
      <c r="AA1559" s="147"/>
      <c r="AB1559" s="147"/>
      <c r="AC1559" s="147"/>
      <c r="AD1559" s="147"/>
      <c r="AE1559" s="147"/>
      <c r="AF1559" s="147"/>
      <c r="AG1559" s="147"/>
      <c r="AH1559" s="147"/>
      <c r="AI1559" s="147"/>
      <c r="AJ1559" s="147"/>
      <c r="AK1559" s="147"/>
      <c r="AL1559" s="147"/>
      <c r="AM1559" s="151"/>
      <c r="AN1559" s="147"/>
      <c r="AO1559" s="147"/>
      <c r="AP1559" s="147"/>
      <c r="AQ1559" s="147"/>
      <c r="AR1559" s="147"/>
      <c r="AS1559" s="147"/>
      <c r="AT1559" s="147"/>
      <c r="AU1559" s="147"/>
      <c r="AV1559" s="147"/>
      <c r="AW1559" s="147"/>
      <c r="AX1559" s="147"/>
      <c r="AY1559" s="147"/>
      <c r="AZ1559" s="147"/>
      <c r="BA1559" s="147"/>
      <c r="BB1559" s="147"/>
      <c r="BC1559" s="147"/>
      <c r="BD1559" s="147"/>
      <c r="BE1559" s="147"/>
      <c r="BF1559" s="147"/>
      <c r="BG1559" s="147"/>
      <c r="BH1559" s="147"/>
      <c r="BI1559" s="147"/>
      <c r="BJ1559" s="147"/>
      <c r="BK1559" s="147"/>
      <c r="BL1559" s="147"/>
      <c r="BM1559" s="147"/>
      <c r="BN1559" s="147"/>
      <c r="BO1559" s="147"/>
      <c r="BP1559" s="147"/>
      <c r="BQ1559" s="147"/>
      <c r="BR1559" s="147"/>
      <c r="BS1559" s="147"/>
      <c r="BT1559" s="147"/>
      <c r="BU1559" s="147"/>
      <c r="BV1559" s="147"/>
      <c r="BW1559" s="147"/>
      <c r="BX1559" s="147"/>
      <c r="BY1559" s="147"/>
      <c r="BZ1559" s="147"/>
      <c r="CA1559" s="147"/>
      <c r="CB1559" s="147"/>
      <c r="CC1559" s="147"/>
      <c r="CD1559" s="147"/>
      <c r="CE1559" s="147"/>
      <c r="CF1559" s="147"/>
      <c r="CG1559" s="147"/>
      <c r="CH1559" s="147"/>
      <c r="CI1559" s="147"/>
      <c r="CJ1559" s="147"/>
      <c r="CK1559" s="147"/>
    </row>
    <row r="1560" spans="1:89">
      <c r="A1560" s="157"/>
      <c r="F1560" s="3"/>
      <c r="G1560" s="3"/>
      <c r="L1560" s="157"/>
      <c r="M1560" s="157"/>
      <c r="O1560" s="147"/>
      <c r="P1560" s="147"/>
      <c r="Q1560" s="147"/>
      <c r="R1560" s="147"/>
      <c r="S1560" s="147"/>
      <c r="T1560" s="147"/>
      <c r="U1560" s="147"/>
      <c r="V1560" s="147"/>
      <c r="W1560" s="147"/>
      <c r="X1560" s="147"/>
      <c r="Y1560" s="147"/>
      <c r="Z1560" s="147"/>
      <c r="AA1560" s="147"/>
      <c r="AB1560" s="147"/>
      <c r="AC1560" s="147"/>
      <c r="AD1560" s="147"/>
      <c r="AE1560" s="147"/>
      <c r="AF1560" s="147"/>
      <c r="AG1560" s="147"/>
      <c r="AH1560" s="147"/>
      <c r="AI1560" s="147"/>
      <c r="AJ1560" s="147"/>
      <c r="AK1560" s="147"/>
      <c r="AL1560" s="147"/>
      <c r="AM1560" s="151"/>
      <c r="AN1560" s="147"/>
      <c r="AO1560" s="147"/>
      <c r="AP1560" s="147"/>
      <c r="AQ1560" s="147"/>
      <c r="AR1560" s="147"/>
      <c r="AS1560" s="147"/>
      <c r="AT1560" s="147"/>
      <c r="AU1560" s="147"/>
      <c r="AV1560" s="147"/>
      <c r="AW1560" s="147"/>
      <c r="AX1560" s="147"/>
      <c r="AY1560" s="147"/>
      <c r="AZ1560" s="147"/>
      <c r="BA1560" s="147"/>
      <c r="BB1560" s="147"/>
      <c r="BC1560" s="147"/>
      <c r="BD1560" s="147"/>
      <c r="BE1560" s="147"/>
      <c r="BF1560" s="147"/>
      <c r="BG1560" s="147"/>
      <c r="BH1560" s="147"/>
      <c r="BI1560" s="147"/>
      <c r="BJ1560" s="147"/>
      <c r="BK1560" s="147"/>
      <c r="BL1560" s="147"/>
      <c r="BM1560" s="147"/>
      <c r="BN1560" s="147"/>
      <c r="BO1560" s="147"/>
      <c r="BP1560" s="147"/>
      <c r="BQ1560" s="147"/>
      <c r="BR1560" s="147"/>
      <c r="BS1560" s="147"/>
      <c r="BT1560" s="147"/>
      <c r="BU1560" s="147"/>
      <c r="BV1560" s="147"/>
      <c r="BW1560" s="147"/>
      <c r="BX1560" s="147"/>
      <c r="BY1560" s="147"/>
      <c r="BZ1560" s="147"/>
      <c r="CA1560" s="147"/>
      <c r="CB1560" s="147"/>
      <c r="CC1560" s="147"/>
      <c r="CD1560" s="147"/>
      <c r="CE1560" s="147"/>
      <c r="CF1560" s="147"/>
      <c r="CG1560" s="147"/>
      <c r="CH1560" s="147"/>
      <c r="CI1560" s="147"/>
      <c r="CJ1560" s="147"/>
      <c r="CK1560" s="147"/>
    </row>
    <row r="1561" spans="1:89">
      <c r="A1561" s="157"/>
      <c r="F1561" s="3"/>
      <c r="G1561" s="3"/>
      <c r="L1561" s="157"/>
      <c r="M1561" s="157"/>
      <c r="O1561" s="147"/>
      <c r="P1561" s="147"/>
      <c r="Q1561" s="147"/>
      <c r="R1561" s="147"/>
      <c r="S1561" s="147"/>
      <c r="T1561" s="147"/>
      <c r="U1561" s="147"/>
      <c r="V1561" s="147"/>
      <c r="W1561" s="147"/>
      <c r="X1561" s="147"/>
      <c r="Y1561" s="147"/>
      <c r="Z1561" s="147"/>
      <c r="AA1561" s="147"/>
      <c r="AB1561" s="147"/>
      <c r="AC1561" s="147"/>
      <c r="AD1561" s="147"/>
      <c r="AE1561" s="147"/>
      <c r="AF1561" s="147"/>
      <c r="AG1561" s="147"/>
      <c r="AH1561" s="147"/>
      <c r="AI1561" s="147"/>
      <c r="AJ1561" s="147"/>
      <c r="AK1561" s="147"/>
      <c r="AL1561" s="147"/>
      <c r="AM1561" s="151"/>
      <c r="AN1561" s="147"/>
      <c r="AO1561" s="147"/>
      <c r="AP1561" s="147"/>
      <c r="AQ1561" s="147"/>
      <c r="AR1561" s="147"/>
      <c r="AS1561" s="147"/>
      <c r="AT1561" s="147"/>
      <c r="AU1561" s="147"/>
      <c r="AV1561" s="147"/>
      <c r="AW1561" s="147"/>
      <c r="AX1561" s="147"/>
      <c r="AY1561" s="147"/>
      <c r="AZ1561" s="147"/>
      <c r="BA1561" s="147"/>
      <c r="BB1561" s="147"/>
      <c r="BC1561" s="147"/>
      <c r="BD1561" s="147"/>
      <c r="BE1561" s="147"/>
      <c r="BF1561" s="147"/>
      <c r="BG1561" s="147"/>
      <c r="BH1561" s="147"/>
      <c r="BI1561" s="147"/>
      <c r="BJ1561" s="147"/>
      <c r="BK1561" s="147"/>
      <c r="BL1561" s="147"/>
      <c r="BM1561" s="147"/>
      <c r="BN1561" s="147"/>
      <c r="BO1561" s="147"/>
      <c r="BP1561" s="147"/>
      <c r="BQ1561" s="147"/>
      <c r="BR1561" s="147"/>
      <c r="BS1561" s="147"/>
      <c r="BT1561" s="147"/>
      <c r="BU1561" s="147"/>
      <c r="BV1561" s="147"/>
      <c r="BW1561" s="147"/>
      <c r="BX1561" s="147"/>
      <c r="BY1561" s="147"/>
      <c r="BZ1561" s="147"/>
      <c r="CA1561" s="147"/>
      <c r="CB1561" s="147"/>
      <c r="CC1561" s="147"/>
      <c r="CD1561" s="147"/>
      <c r="CE1561" s="147"/>
      <c r="CF1561" s="147"/>
      <c r="CG1561" s="147"/>
      <c r="CH1561" s="147"/>
      <c r="CI1561" s="147"/>
      <c r="CJ1561" s="147"/>
      <c r="CK1561" s="147"/>
    </row>
    <row r="1562" spans="1:89">
      <c r="A1562" s="157"/>
      <c r="F1562" s="3"/>
      <c r="G1562" s="3"/>
      <c r="L1562" s="157"/>
      <c r="M1562" s="157"/>
      <c r="O1562" s="147"/>
      <c r="P1562" s="147"/>
      <c r="Q1562" s="147"/>
      <c r="R1562" s="147"/>
      <c r="S1562" s="147"/>
      <c r="T1562" s="147"/>
      <c r="U1562" s="147"/>
      <c r="V1562" s="147"/>
      <c r="W1562" s="147"/>
      <c r="X1562" s="147"/>
      <c r="Y1562" s="147"/>
      <c r="Z1562" s="147"/>
      <c r="AA1562" s="147"/>
      <c r="AB1562" s="147"/>
      <c r="AC1562" s="147"/>
      <c r="AD1562" s="147"/>
      <c r="AE1562" s="147"/>
      <c r="AF1562" s="147"/>
      <c r="AG1562" s="147"/>
      <c r="AH1562" s="147"/>
      <c r="AI1562" s="147"/>
      <c r="AJ1562" s="147"/>
      <c r="AK1562" s="147"/>
      <c r="AL1562" s="147"/>
      <c r="AM1562" s="151"/>
      <c r="AN1562" s="147"/>
      <c r="AO1562" s="147"/>
      <c r="AP1562" s="147"/>
      <c r="AQ1562" s="147"/>
      <c r="AR1562" s="147"/>
      <c r="AS1562" s="147"/>
      <c r="AT1562" s="147"/>
      <c r="AU1562" s="147"/>
      <c r="AV1562" s="147"/>
      <c r="AW1562" s="147"/>
      <c r="AX1562" s="147"/>
      <c r="AY1562" s="147"/>
      <c r="AZ1562" s="147"/>
      <c r="BA1562" s="147"/>
      <c r="BB1562" s="147"/>
      <c r="BC1562" s="147"/>
      <c r="BD1562" s="147"/>
      <c r="BE1562" s="147"/>
      <c r="BF1562" s="147"/>
      <c r="BG1562" s="147"/>
      <c r="BH1562" s="147"/>
      <c r="BI1562" s="147"/>
      <c r="BJ1562" s="147"/>
      <c r="BK1562" s="147"/>
      <c r="BL1562" s="147"/>
      <c r="BM1562" s="147"/>
      <c r="BN1562" s="147"/>
      <c r="BO1562" s="147"/>
      <c r="BP1562" s="147"/>
      <c r="BQ1562" s="147"/>
      <c r="BR1562" s="147"/>
      <c r="BS1562" s="147"/>
      <c r="BT1562" s="147"/>
      <c r="BU1562" s="147"/>
      <c r="BV1562" s="147"/>
      <c r="BW1562" s="147"/>
      <c r="BX1562" s="147"/>
      <c r="BY1562" s="147"/>
      <c r="BZ1562" s="147"/>
      <c r="CA1562" s="147"/>
      <c r="CB1562" s="147"/>
      <c r="CC1562" s="147"/>
      <c r="CD1562" s="147"/>
      <c r="CE1562" s="147"/>
      <c r="CF1562" s="147"/>
      <c r="CG1562" s="147"/>
      <c r="CH1562" s="147"/>
      <c r="CI1562" s="147"/>
      <c r="CJ1562" s="147"/>
      <c r="CK1562" s="147"/>
    </row>
    <row r="1563" spans="1:89">
      <c r="A1563" s="157"/>
      <c r="F1563" s="3"/>
      <c r="G1563" s="3"/>
      <c r="L1563" s="157"/>
      <c r="M1563" s="157"/>
      <c r="O1563" s="147"/>
      <c r="P1563" s="147"/>
      <c r="Q1563" s="147"/>
      <c r="R1563" s="147"/>
      <c r="S1563" s="147"/>
      <c r="T1563" s="147"/>
      <c r="U1563" s="147"/>
      <c r="V1563" s="147"/>
      <c r="W1563" s="147"/>
      <c r="X1563" s="147"/>
      <c r="Y1563" s="147"/>
      <c r="Z1563" s="147"/>
      <c r="AA1563" s="147"/>
      <c r="AB1563" s="147"/>
      <c r="AC1563" s="147"/>
      <c r="AD1563" s="147"/>
      <c r="AE1563" s="147"/>
      <c r="AF1563" s="147"/>
      <c r="AG1563" s="147"/>
      <c r="AH1563" s="147"/>
      <c r="AI1563" s="147"/>
      <c r="AJ1563" s="147"/>
      <c r="AK1563" s="147"/>
      <c r="AL1563" s="147"/>
      <c r="AM1563" s="151"/>
      <c r="AN1563" s="147"/>
      <c r="AO1563" s="147"/>
      <c r="AP1563" s="147"/>
      <c r="AQ1563" s="147"/>
      <c r="AR1563" s="147"/>
      <c r="AS1563" s="147"/>
      <c r="AT1563" s="147"/>
      <c r="AU1563" s="147"/>
      <c r="AV1563" s="147"/>
      <c r="AW1563" s="147"/>
      <c r="AX1563" s="147"/>
      <c r="AY1563" s="147"/>
      <c r="AZ1563" s="147"/>
      <c r="BA1563" s="147"/>
      <c r="BB1563" s="147"/>
      <c r="BC1563" s="147"/>
      <c r="BD1563" s="147"/>
      <c r="BE1563" s="147"/>
      <c r="BF1563" s="147"/>
      <c r="BG1563" s="147"/>
      <c r="BH1563" s="147"/>
      <c r="BI1563" s="147"/>
      <c r="BJ1563" s="147"/>
      <c r="BK1563" s="147"/>
      <c r="BL1563" s="147"/>
      <c r="BM1563" s="147"/>
      <c r="BN1563" s="147"/>
      <c r="BO1563" s="147"/>
      <c r="BP1563" s="147"/>
      <c r="BQ1563" s="147"/>
      <c r="BR1563" s="147"/>
      <c r="BS1563" s="147"/>
      <c r="BT1563" s="147"/>
      <c r="BU1563" s="147"/>
      <c r="BV1563" s="147"/>
      <c r="BW1563" s="147"/>
      <c r="BX1563" s="147"/>
      <c r="BY1563" s="147"/>
      <c r="BZ1563" s="147"/>
      <c r="CA1563" s="147"/>
      <c r="CB1563" s="147"/>
      <c r="CC1563" s="147"/>
      <c r="CD1563" s="147"/>
      <c r="CE1563" s="147"/>
      <c r="CF1563" s="147"/>
      <c r="CG1563" s="147"/>
      <c r="CH1563" s="147"/>
      <c r="CI1563" s="147"/>
      <c r="CJ1563" s="147"/>
      <c r="CK1563" s="147"/>
    </row>
    <row r="1564" spans="1:89">
      <c r="A1564" s="157"/>
      <c r="F1564" s="3"/>
      <c r="G1564" s="3"/>
      <c r="L1564" s="157"/>
      <c r="M1564" s="157"/>
      <c r="O1564" s="147"/>
      <c r="P1564" s="147"/>
      <c r="Q1564" s="147"/>
      <c r="R1564" s="147"/>
      <c r="S1564" s="147"/>
      <c r="T1564" s="147"/>
      <c r="U1564" s="147"/>
      <c r="V1564" s="147"/>
      <c r="W1564" s="147"/>
      <c r="X1564" s="147"/>
      <c r="Y1564" s="147"/>
      <c r="Z1564" s="147"/>
      <c r="AA1564" s="147"/>
      <c r="AB1564" s="147"/>
      <c r="AC1564" s="147"/>
      <c r="AD1564" s="147"/>
      <c r="AE1564" s="147"/>
      <c r="AF1564" s="147"/>
      <c r="AG1564" s="147"/>
      <c r="AH1564" s="147"/>
      <c r="AI1564" s="147"/>
      <c r="AJ1564" s="147"/>
      <c r="AK1564" s="147"/>
      <c r="AL1564" s="147"/>
      <c r="AM1564" s="151"/>
      <c r="AN1564" s="147"/>
      <c r="AO1564" s="147"/>
      <c r="AP1564" s="147"/>
      <c r="AQ1564" s="147"/>
      <c r="AR1564" s="147"/>
      <c r="AS1564" s="147"/>
      <c r="AT1564" s="147"/>
      <c r="AU1564" s="147"/>
      <c r="AV1564" s="147"/>
      <c r="AW1564" s="147"/>
      <c r="AX1564" s="147"/>
      <c r="AY1564" s="147"/>
      <c r="AZ1564" s="147"/>
      <c r="BA1564" s="147"/>
      <c r="BB1564" s="147"/>
      <c r="BC1564" s="147"/>
      <c r="BD1564" s="147"/>
      <c r="BE1564" s="147"/>
      <c r="BF1564" s="147"/>
      <c r="BG1564" s="147"/>
      <c r="BH1564" s="147"/>
      <c r="BI1564" s="147"/>
      <c r="BJ1564" s="147"/>
      <c r="BK1564" s="147"/>
      <c r="BL1564" s="147"/>
      <c r="BM1564" s="147"/>
      <c r="BN1564" s="147"/>
      <c r="BO1564" s="147"/>
      <c r="BP1564" s="147"/>
      <c r="BQ1564" s="147"/>
      <c r="BR1564" s="147"/>
      <c r="BS1564" s="147"/>
      <c r="BT1564" s="147"/>
      <c r="BU1564" s="147"/>
      <c r="BV1564" s="147"/>
      <c r="BW1564" s="147"/>
      <c r="BX1564" s="147"/>
      <c r="BY1564" s="147"/>
      <c r="BZ1564" s="147"/>
      <c r="CA1564" s="147"/>
      <c r="CB1564" s="147"/>
      <c r="CC1564" s="147"/>
      <c r="CD1564" s="147"/>
      <c r="CE1564" s="147"/>
      <c r="CF1564" s="147"/>
      <c r="CG1564" s="147"/>
      <c r="CH1564" s="147"/>
      <c r="CI1564" s="147"/>
      <c r="CJ1564" s="147"/>
      <c r="CK1564" s="147"/>
    </row>
    <row r="1565" spans="1:89">
      <c r="A1565" s="157"/>
      <c r="F1565" s="3"/>
      <c r="G1565" s="3"/>
      <c r="L1565" s="157"/>
      <c r="M1565" s="157"/>
      <c r="O1565" s="147"/>
      <c r="P1565" s="147"/>
      <c r="Q1565" s="147"/>
      <c r="R1565" s="147"/>
      <c r="S1565" s="147"/>
      <c r="T1565" s="147"/>
      <c r="U1565" s="147"/>
      <c r="V1565" s="147"/>
      <c r="W1565" s="147"/>
      <c r="X1565" s="147"/>
      <c r="Y1565" s="147"/>
      <c r="Z1565" s="147"/>
      <c r="AA1565" s="147"/>
      <c r="AB1565" s="147"/>
      <c r="AC1565" s="147"/>
      <c r="AD1565" s="147"/>
      <c r="AE1565" s="147"/>
      <c r="AF1565" s="147"/>
      <c r="AG1565" s="147"/>
      <c r="AH1565" s="147"/>
      <c r="AI1565" s="147"/>
      <c r="AJ1565" s="147"/>
      <c r="AK1565" s="147"/>
      <c r="AL1565" s="147"/>
      <c r="AM1565" s="151"/>
      <c r="AN1565" s="147"/>
      <c r="AO1565" s="147"/>
      <c r="AP1565" s="147"/>
      <c r="AQ1565" s="147"/>
      <c r="AR1565" s="147"/>
      <c r="AS1565" s="147"/>
      <c r="AT1565" s="147"/>
      <c r="AU1565" s="147"/>
      <c r="AV1565" s="147"/>
      <c r="AW1565" s="147"/>
      <c r="AX1565" s="147"/>
      <c r="AY1565" s="147"/>
      <c r="AZ1565" s="147"/>
      <c r="BA1565" s="147"/>
      <c r="BB1565" s="147"/>
      <c r="BC1565" s="147"/>
      <c r="BD1565" s="147"/>
      <c r="BE1565" s="147"/>
      <c r="BF1565" s="147"/>
      <c r="BG1565" s="147"/>
      <c r="BH1565" s="147"/>
      <c r="BI1565" s="147"/>
      <c r="BJ1565" s="147"/>
      <c r="BK1565" s="147"/>
      <c r="BL1565" s="147"/>
      <c r="BM1565" s="147"/>
      <c r="BN1565" s="147"/>
      <c r="BO1565" s="147"/>
      <c r="BP1565" s="147"/>
      <c r="BQ1565" s="147"/>
      <c r="BR1565" s="147"/>
      <c r="BS1565" s="147"/>
      <c r="BT1565" s="147"/>
      <c r="BU1565" s="147"/>
      <c r="BV1565" s="147"/>
      <c r="BW1565" s="147"/>
      <c r="BX1565" s="147"/>
      <c r="BY1565" s="147"/>
      <c r="BZ1565" s="147"/>
      <c r="CA1565" s="147"/>
      <c r="CB1565" s="147"/>
      <c r="CC1565" s="147"/>
      <c r="CD1565" s="147"/>
      <c r="CE1565" s="147"/>
      <c r="CF1565" s="147"/>
      <c r="CG1565" s="147"/>
      <c r="CH1565" s="147"/>
      <c r="CI1565" s="147"/>
      <c r="CJ1565" s="147"/>
      <c r="CK1565" s="147"/>
    </row>
    <row r="1566" spans="1:89">
      <c r="A1566" s="157"/>
      <c r="F1566" s="3"/>
      <c r="G1566" s="3"/>
      <c r="L1566" s="157"/>
      <c r="M1566" s="157"/>
      <c r="O1566" s="147"/>
      <c r="P1566" s="147"/>
      <c r="Q1566" s="147"/>
      <c r="R1566" s="147"/>
      <c r="S1566" s="147"/>
      <c r="T1566" s="147"/>
      <c r="U1566" s="147"/>
      <c r="V1566" s="147"/>
      <c r="W1566" s="147"/>
      <c r="X1566" s="147"/>
      <c r="Y1566" s="147"/>
      <c r="Z1566" s="147"/>
      <c r="AA1566" s="147"/>
      <c r="AB1566" s="147"/>
      <c r="AC1566" s="147"/>
      <c r="AD1566" s="147"/>
      <c r="AE1566" s="147"/>
      <c r="AF1566" s="147"/>
      <c r="AG1566" s="147"/>
      <c r="AH1566" s="147"/>
      <c r="AI1566" s="147"/>
      <c r="AJ1566" s="147"/>
      <c r="AK1566" s="147"/>
      <c r="AL1566" s="147"/>
      <c r="AM1566" s="151"/>
      <c r="AN1566" s="147"/>
      <c r="AO1566" s="147"/>
      <c r="AP1566" s="147"/>
      <c r="AQ1566" s="147"/>
      <c r="AR1566" s="147"/>
      <c r="AS1566" s="147"/>
      <c r="AT1566" s="147"/>
      <c r="AU1566" s="147"/>
      <c r="AV1566" s="147"/>
      <c r="AW1566" s="147"/>
      <c r="AX1566" s="147"/>
      <c r="AY1566" s="147"/>
      <c r="AZ1566" s="147"/>
      <c r="BA1566" s="147"/>
      <c r="BB1566" s="147"/>
      <c r="BC1566" s="147"/>
      <c r="BD1566" s="147"/>
      <c r="BE1566" s="147"/>
      <c r="BF1566" s="147"/>
      <c r="BG1566" s="147"/>
      <c r="BH1566" s="147"/>
      <c r="BI1566" s="147"/>
      <c r="BJ1566" s="147"/>
      <c r="BK1566" s="147"/>
      <c r="BL1566" s="147"/>
      <c r="BM1566" s="147"/>
      <c r="BN1566" s="147"/>
      <c r="BO1566" s="147"/>
      <c r="BP1566" s="147"/>
      <c r="BQ1566" s="147"/>
      <c r="BR1566" s="147"/>
      <c r="BS1566" s="147"/>
      <c r="BT1566" s="147"/>
      <c r="BU1566" s="147"/>
      <c r="BV1566" s="147"/>
      <c r="BW1566" s="147"/>
      <c r="BX1566" s="147"/>
      <c r="BY1566" s="147"/>
      <c r="BZ1566" s="147"/>
      <c r="CA1566" s="147"/>
      <c r="CB1566" s="147"/>
      <c r="CC1566" s="147"/>
      <c r="CD1566" s="147"/>
      <c r="CE1566" s="147"/>
      <c r="CF1566" s="147"/>
      <c r="CG1566" s="147"/>
      <c r="CH1566" s="147"/>
      <c r="CI1566" s="147"/>
      <c r="CJ1566" s="147"/>
      <c r="CK1566" s="147"/>
    </row>
    <row r="1567" spans="1:89">
      <c r="A1567" s="157"/>
      <c r="F1567" s="3"/>
      <c r="G1567" s="3"/>
      <c r="L1567" s="157"/>
      <c r="M1567" s="157"/>
      <c r="O1567" s="147"/>
      <c r="P1567" s="147"/>
      <c r="Q1567" s="147"/>
      <c r="R1567" s="147"/>
      <c r="S1567" s="147"/>
      <c r="T1567" s="147"/>
      <c r="U1567" s="147"/>
      <c r="V1567" s="147"/>
      <c r="W1567" s="147"/>
      <c r="X1567" s="147"/>
      <c r="Y1567" s="147"/>
      <c r="Z1567" s="147"/>
      <c r="AA1567" s="147"/>
      <c r="AB1567" s="147"/>
      <c r="AC1567" s="147"/>
      <c r="AD1567" s="147"/>
      <c r="AE1567" s="147"/>
      <c r="AF1567" s="147"/>
      <c r="AG1567" s="147"/>
      <c r="AH1567" s="147"/>
      <c r="AI1567" s="147"/>
      <c r="AJ1567" s="147"/>
      <c r="AK1567" s="147"/>
      <c r="AL1567" s="147"/>
      <c r="AM1567" s="151"/>
      <c r="AN1567" s="147"/>
      <c r="AO1567" s="147"/>
      <c r="AP1567" s="147"/>
      <c r="AQ1567" s="147"/>
      <c r="AR1567" s="147"/>
      <c r="AS1567" s="147"/>
      <c r="AT1567" s="147"/>
      <c r="AU1567" s="147"/>
      <c r="AV1567" s="147"/>
      <c r="AW1567" s="147"/>
      <c r="AX1567" s="147"/>
      <c r="AY1567" s="147"/>
      <c r="AZ1567" s="147"/>
      <c r="BA1567" s="147"/>
      <c r="BB1567" s="147"/>
      <c r="BC1567" s="147"/>
      <c r="BD1567" s="147"/>
      <c r="BE1567" s="147"/>
      <c r="BF1567" s="147"/>
      <c r="BG1567" s="147"/>
      <c r="BH1567" s="147"/>
      <c r="BI1567" s="147"/>
      <c r="BJ1567" s="147"/>
      <c r="BK1567" s="147"/>
      <c r="BL1567" s="147"/>
      <c r="BM1567" s="147"/>
      <c r="BN1567" s="147"/>
      <c r="BO1567" s="147"/>
      <c r="BP1567" s="147"/>
      <c r="BQ1567" s="147"/>
      <c r="BR1567" s="147"/>
      <c r="BS1567" s="147"/>
      <c r="BT1567" s="147"/>
      <c r="BU1567" s="147"/>
      <c r="BV1567" s="147"/>
      <c r="BW1567" s="147"/>
      <c r="BX1567" s="147"/>
      <c r="BY1567" s="147"/>
      <c r="BZ1567" s="147"/>
      <c r="CA1567" s="147"/>
      <c r="CB1567" s="147"/>
      <c r="CC1567" s="147"/>
      <c r="CD1567" s="147"/>
      <c r="CE1567" s="147"/>
      <c r="CF1567" s="147"/>
      <c r="CG1567" s="147"/>
      <c r="CH1567" s="147"/>
      <c r="CI1567" s="147"/>
      <c r="CJ1567" s="147"/>
      <c r="CK1567" s="147"/>
    </row>
    <row r="1568" spans="1:89">
      <c r="A1568" s="157"/>
      <c r="F1568" s="3"/>
      <c r="G1568" s="3"/>
      <c r="L1568" s="157"/>
      <c r="M1568" s="157"/>
      <c r="O1568" s="147"/>
      <c r="P1568" s="147"/>
      <c r="Q1568" s="147"/>
      <c r="R1568" s="147"/>
      <c r="S1568" s="147"/>
      <c r="T1568" s="147"/>
      <c r="U1568" s="147"/>
      <c r="V1568" s="147"/>
      <c r="W1568" s="147"/>
      <c r="X1568" s="147"/>
      <c r="Y1568" s="147"/>
      <c r="Z1568" s="147"/>
      <c r="AA1568" s="147"/>
      <c r="AB1568" s="147"/>
      <c r="AC1568" s="147"/>
      <c r="AD1568" s="147"/>
      <c r="AE1568" s="147"/>
      <c r="AF1568" s="147"/>
      <c r="AG1568" s="147"/>
      <c r="AH1568" s="147"/>
      <c r="AI1568" s="147"/>
      <c r="AJ1568" s="147"/>
      <c r="AK1568" s="147"/>
      <c r="AL1568" s="147"/>
      <c r="AM1568" s="151"/>
      <c r="AN1568" s="147"/>
      <c r="AO1568" s="147"/>
      <c r="AP1568" s="147"/>
      <c r="AQ1568" s="147"/>
      <c r="AR1568" s="147"/>
      <c r="AS1568" s="147"/>
      <c r="AT1568" s="147"/>
      <c r="AU1568" s="147"/>
      <c r="AV1568" s="147"/>
      <c r="AW1568" s="147"/>
      <c r="AX1568" s="147"/>
      <c r="AY1568" s="147"/>
      <c r="AZ1568" s="147"/>
      <c r="BA1568" s="147"/>
      <c r="BB1568" s="147"/>
      <c r="BC1568" s="147"/>
      <c r="BD1568" s="147"/>
      <c r="BE1568" s="147"/>
      <c r="BF1568" s="147"/>
      <c r="BG1568" s="147"/>
      <c r="BH1568" s="147"/>
      <c r="BI1568" s="147"/>
      <c r="BJ1568" s="147"/>
      <c r="BK1568" s="147"/>
      <c r="BL1568" s="147"/>
      <c r="BM1568" s="147"/>
      <c r="BN1568" s="147"/>
      <c r="BO1568" s="147"/>
      <c r="BP1568" s="147"/>
      <c r="BQ1568" s="147"/>
      <c r="BR1568" s="147"/>
      <c r="BS1568" s="147"/>
      <c r="BT1568" s="147"/>
      <c r="BU1568" s="147"/>
      <c r="BV1568" s="147"/>
      <c r="BW1568" s="147"/>
      <c r="BX1568" s="147"/>
      <c r="BY1568" s="147"/>
      <c r="BZ1568" s="147"/>
      <c r="CA1568" s="147"/>
      <c r="CB1568" s="147"/>
      <c r="CC1568" s="147"/>
      <c r="CD1568" s="147"/>
      <c r="CE1568" s="147"/>
      <c r="CF1568" s="147"/>
      <c r="CG1568" s="147"/>
      <c r="CH1568" s="147"/>
      <c r="CI1568" s="147"/>
      <c r="CJ1568" s="147"/>
      <c r="CK1568" s="147"/>
    </row>
    <row r="1569" spans="1:89">
      <c r="A1569" s="157"/>
      <c r="F1569" s="3"/>
      <c r="G1569" s="3"/>
      <c r="L1569" s="157"/>
      <c r="M1569" s="157"/>
      <c r="O1569" s="147"/>
      <c r="P1569" s="147"/>
      <c r="Q1569" s="147"/>
      <c r="R1569" s="147"/>
      <c r="S1569" s="147"/>
      <c r="T1569" s="147"/>
      <c r="U1569" s="147"/>
      <c r="V1569" s="147"/>
      <c r="W1569" s="147"/>
      <c r="X1569" s="147"/>
      <c r="Y1569" s="147"/>
      <c r="Z1569" s="147"/>
      <c r="AA1569" s="147"/>
      <c r="AB1569" s="147"/>
      <c r="AC1569" s="147"/>
      <c r="AD1569" s="147"/>
      <c r="AE1569" s="147"/>
      <c r="AF1569" s="147"/>
      <c r="AG1569" s="147"/>
      <c r="AH1569" s="147"/>
      <c r="AI1569" s="147"/>
      <c r="AJ1569" s="147"/>
      <c r="AK1569" s="147"/>
      <c r="AL1569" s="147"/>
      <c r="AM1569" s="151"/>
      <c r="AN1569" s="147"/>
      <c r="AO1569" s="147"/>
      <c r="AP1569" s="147"/>
      <c r="AQ1569" s="147"/>
      <c r="AR1569" s="147"/>
      <c r="AS1569" s="147"/>
      <c r="AT1569" s="147"/>
      <c r="AU1569" s="147"/>
      <c r="AV1569" s="147"/>
      <c r="AW1569" s="147"/>
      <c r="AX1569" s="147"/>
      <c r="AY1569" s="147"/>
      <c r="AZ1569" s="147"/>
      <c r="BA1569" s="147"/>
      <c r="BB1569" s="147"/>
      <c r="BC1569" s="147"/>
      <c r="BD1569" s="147"/>
      <c r="BE1569" s="147"/>
      <c r="BF1569" s="147"/>
      <c r="BG1569" s="147"/>
      <c r="BH1569" s="147"/>
      <c r="BI1569" s="147"/>
      <c r="BJ1569" s="147"/>
      <c r="BK1569" s="147"/>
      <c r="BL1569" s="147"/>
      <c r="BM1569" s="147"/>
      <c r="BN1569" s="147"/>
      <c r="BO1569" s="147"/>
      <c r="BP1569" s="147"/>
      <c r="BQ1569" s="147"/>
      <c r="BR1569" s="147"/>
      <c r="BS1569" s="147"/>
      <c r="BT1569" s="147"/>
      <c r="BU1569" s="147"/>
      <c r="BV1569" s="147"/>
      <c r="BW1569" s="147"/>
      <c r="BX1569" s="147"/>
      <c r="BY1569" s="147"/>
      <c r="BZ1569" s="147"/>
      <c r="CA1569" s="147"/>
      <c r="CB1569" s="147"/>
      <c r="CC1569" s="147"/>
      <c r="CD1569" s="147"/>
      <c r="CE1569" s="147"/>
      <c r="CF1569" s="147"/>
      <c r="CG1569" s="147"/>
      <c r="CH1569" s="147"/>
      <c r="CI1569" s="147"/>
      <c r="CJ1569" s="147"/>
      <c r="CK1569" s="147"/>
    </row>
    <row r="1570" spans="1:89">
      <c r="A1570" s="157"/>
      <c r="F1570" s="3"/>
      <c r="G1570" s="3"/>
      <c r="L1570" s="157"/>
      <c r="M1570" s="157"/>
      <c r="O1570" s="147"/>
      <c r="P1570" s="147"/>
      <c r="Q1570" s="147"/>
      <c r="R1570" s="147"/>
      <c r="S1570" s="147"/>
      <c r="T1570" s="147"/>
      <c r="U1570" s="147"/>
      <c r="V1570" s="147"/>
      <c r="W1570" s="147"/>
      <c r="X1570" s="147"/>
      <c r="Y1570" s="147"/>
      <c r="Z1570" s="147"/>
      <c r="AA1570" s="147"/>
      <c r="AB1570" s="147"/>
      <c r="AC1570" s="147"/>
      <c r="AD1570" s="147"/>
      <c r="AE1570" s="147"/>
      <c r="AF1570" s="147"/>
      <c r="AG1570" s="147"/>
      <c r="AH1570" s="147"/>
      <c r="AI1570" s="147"/>
      <c r="AJ1570" s="147"/>
      <c r="AK1570" s="147"/>
      <c r="AL1570" s="147"/>
      <c r="AM1570" s="151"/>
      <c r="AN1570" s="147"/>
      <c r="AO1570" s="147"/>
      <c r="AP1570" s="147"/>
      <c r="AQ1570" s="147"/>
      <c r="AR1570" s="147"/>
      <c r="AS1570" s="147"/>
      <c r="AT1570" s="147"/>
      <c r="AU1570" s="147"/>
      <c r="AV1570" s="147"/>
      <c r="AW1570" s="147"/>
      <c r="AX1570" s="147"/>
      <c r="AY1570" s="147"/>
      <c r="AZ1570" s="147"/>
      <c r="BA1570" s="147"/>
      <c r="BB1570" s="147"/>
      <c r="BC1570" s="147"/>
      <c r="BD1570" s="147"/>
      <c r="BE1570" s="147"/>
      <c r="BF1570" s="147"/>
      <c r="BG1570" s="147"/>
      <c r="BH1570" s="147"/>
      <c r="BI1570" s="147"/>
      <c r="BJ1570" s="147"/>
      <c r="BK1570" s="147"/>
      <c r="BL1570" s="147"/>
      <c r="BM1570" s="147"/>
      <c r="BN1570" s="147"/>
      <c r="BO1570" s="147"/>
      <c r="BP1570" s="147"/>
      <c r="BQ1570" s="147"/>
      <c r="BR1570" s="147"/>
      <c r="BS1570" s="147"/>
      <c r="BT1570" s="147"/>
      <c r="BU1570" s="147"/>
      <c r="BV1570" s="147"/>
      <c r="BW1570" s="147"/>
      <c r="BX1570" s="147"/>
      <c r="BY1570" s="147"/>
      <c r="BZ1570" s="147"/>
      <c r="CA1570" s="147"/>
      <c r="CB1570" s="147"/>
      <c r="CC1570" s="147"/>
      <c r="CD1570" s="147"/>
      <c r="CE1570" s="147"/>
      <c r="CF1570" s="147"/>
      <c r="CG1570" s="147"/>
      <c r="CH1570" s="147"/>
      <c r="CI1570" s="147"/>
      <c r="CJ1570" s="147"/>
      <c r="CK1570" s="147"/>
    </row>
    <row r="1571" spans="1:89">
      <c r="A1571" s="157"/>
      <c r="F1571" s="3"/>
      <c r="G1571" s="3"/>
      <c r="L1571" s="157"/>
      <c r="M1571" s="157"/>
      <c r="O1571" s="147"/>
      <c r="P1571" s="147"/>
      <c r="Q1571" s="147"/>
      <c r="R1571" s="147"/>
      <c r="S1571" s="147"/>
      <c r="T1571" s="147"/>
      <c r="U1571" s="147"/>
      <c r="V1571" s="147"/>
      <c r="W1571" s="147"/>
      <c r="X1571" s="147"/>
      <c r="Y1571" s="147"/>
      <c r="Z1571" s="147"/>
      <c r="AA1571" s="147"/>
      <c r="AB1571" s="147"/>
      <c r="AC1571" s="147"/>
      <c r="AD1571" s="147"/>
      <c r="AE1571" s="147"/>
      <c r="AF1571" s="147"/>
      <c r="AG1571" s="147"/>
      <c r="AH1571" s="147"/>
      <c r="AI1571" s="147"/>
      <c r="AJ1571" s="147"/>
      <c r="AK1571" s="147"/>
      <c r="AL1571" s="147"/>
      <c r="AM1571" s="151"/>
      <c r="AN1571" s="147"/>
      <c r="AO1571" s="147"/>
      <c r="AP1571" s="147"/>
      <c r="AQ1571" s="147"/>
      <c r="AR1571" s="147"/>
      <c r="AS1571" s="147"/>
      <c r="AT1571" s="147"/>
      <c r="AU1571" s="147"/>
      <c r="AV1571" s="147"/>
      <c r="AW1571" s="147"/>
      <c r="AX1571" s="147"/>
      <c r="AY1571" s="147"/>
      <c r="AZ1571" s="147"/>
      <c r="BA1571" s="147"/>
      <c r="BB1571" s="147"/>
      <c r="BC1571" s="147"/>
      <c r="BD1571" s="147"/>
      <c r="BE1571" s="147"/>
      <c r="BF1571" s="147"/>
      <c r="BG1571" s="147"/>
      <c r="BH1571" s="147"/>
      <c r="BI1571" s="147"/>
      <c r="BJ1571" s="147"/>
      <c r="BK1571" s="147"/>
      <c r="BL1571" s="147"/>
      <c r="BM1571" s="147"/>
      <c r="BN1571" s="147"/>
      <c r="BO1571" s="147"/>
      <c r="BP1571" s="147"/>
      <c r="BQ1571" s="147"/>
      <c r="BR1571" s="147"/>
      <c r="BS1571" s="147"/>
      <c r="BT1571" s="147"/>
      <c r="BU1571" s="147"/>
      <c r="BV1571" s="147"/>
      <c r="BW1571" s="147"/>
      <c r="BX1571" s="147"/>
      <c r="BY1571" s="147"/>
      <c r="BZ1571" s="147"/>
      <c r="CA1571" s="147"/>
      <c r="CB1571" s="147"/>
      <c r="CC1571" s="147"/>
      <c r="CD1571" s="147"/>
      <c r="CE1571" s="147"/>
      <c r="CF1571" s="147"/>
      <c r="CG1571" s="147"/>
      <c r="CH1571" s="147"/>
      <c r="CI1571" s="147"/>
      <c r="CJ1571" s="147"/>
      <c r="CK1571" s="147"/>
    </row>
    <row r="1572" spans="1:89">
      <c r="A1572" s="157"/>
      <c r="F1572" s="3"/>
      <c r="G1572" s="3"/>
      <c r="L1572" s="157"/>
      <c r="M1572" s="157"/>
      <c r="O1572" s="147"/>
      <c r="P1572" s="147"/>
      <c r="Q1572" s="147"/>
      <c r="R1572" s="147"/>
      <c r="S1572" s="147"/>
      <c r="T1572" s="147"/>
      <c r="U1572" s="147"/>
      <c r="V1572" s="147"/>
      <c r="W1572" s="147"/>
      <c r="X1572" s="147"/>
      <c r="Y1572" s="147"/>
      <c r="Z1572" s="147"/>
      <c r="AA1572" s="147"/>
      <c r="AB1572" s="147"/>
      <c r="AC1572" s="147"/>
      <c r="AD1572" s="147"/>
      <c r="AE1572" s="147"/>
      <c r="AF1572" s="147"/>
      <c r="AG1572" s="147"/>
      <c r="AH1572" s="147"/>
      <c r="AI1572" s="147"/>
      <c r="AJ1572" s="147"/>
      <c r="AK1572" s="147"/>
      <c r="AL1572" s="147"/>
      <c r="AM1572" s="151"/>
      <c r="AN1572" s="147"/>
      <c r="AO1572" s="147"/>
      <c r="AP1572" s="147"/>
      <c r="AQ1572" s="147"/>
      <c r="AR1572" s="147"/>
      <c r="AS1572" s="147"/>
      <c r="AT1572" s="147"/>
      <c r="AU1572" s="147"/>
      <c r="AV1572" s="147"/>
      <c r="AW1572" s="147"/>
      <c r="AX1572" s="147"/>
      <c r="AY1572" s="147"/>
      <c r="AZ1572" s="147"/>
      <c r="BA1572" s="147"/>
      <c r="BB1572" s="147"/>
      <c r="BC1572" s="147"/>
      <c r="BD1572" s="147"/>
      <c r="BE1572" s="147"/>
      <c r="BF1572" s="147"/>
      <c r="BG1572" s="147"/>
      <c r="BH1572" s="147"/>
      <c r="BI1572" s="147"/>
      <c r="BJ1572" s="147"/>
      <c r="BK1572" s="147"/>
      <c r="BL1572" s="147"/>
      <c r="BM1572" s="147"/>
      <c r="BN1572" s="147"/>
      <c r="BO1572" s="147"/>
      <c r="BP1572" s="147"/>
      <c r="BQ1572" s="147"/>
      <c r="BR1572" s="147"/>
      <c r="BS1572" s="147"/>
      <c r="BT1572" s="147"/>
      <c r="BU1572" s="147"/>
      <c r="BV1572" s="147"/>
      <c r="BW1572" s="147"/>
      <c r="BX1572" s="147"/>
      <c r="BY1572" s="147"/>
      <c r="BZ1572" s="147"/>
      <c r="CA1572" s="147"/>
      <c r="CB1572" s="147"/>
      <c r="CC1572" s="147"/>
      <c r="CD1572" s="147"/>
      <c r="CE1572" s="147"/>
      <c r="CF1572" s="147"/>
      <c r="CG1572" s="147"/>
      <c r="CH1572" s="147"/>
      <c r="CI1572" s="147"/>
      <c r="CJ1572" s="147"/>
      <c r="CK1572" s="147"/>
    </row>
    <row r="1573" spans="1:89">
      <c r="A1573" s="157"/>
      <c r="F1573" s="3"/>
      <c r="G1573" s="3"/>
      <c r="L1573" s="157"/>
      <c r="M1573" s="157"/>
      <c r="O1573" s="147"/>
      <c r="P1573" s="147"/>
      <c r="Q1573" s="147"/>
      <c r="R1573" s="147"/>
      <c r="S1573" s="147"/>
      <c r="T1573" s="147"/>
      <c r="U1573" s="147"/>
      <c r="V1573" s="147"/>
      <c r="W1573" s="147"/>
      <c r="X1573" s="147"/>
      <c r="Y1573" s="147"/>
      <c r="Z1573" s="147"/>
      <c r="AA1573" s="147"/>
      <c r="AB1573" s="147"/>
      <c r="AC1573" s="147"/>
      <c r="AD1573" s="147"/>
      <c r="AE1573" s="147"/>
      <c r="AF1573" s="147"/>
      <c r="AG1573" s="147"/>
      <c r="AH1573" s="147"/>
      <c r="AI1573" s="147"/>
      <c r="AJ1573" s="147"/>
      <c r="AK1573" s="147"/>
      <c r="AL1573" s="147"/>
      <c r="AM1573" s="151"/>
      <c r="AN1573" s="147"/>
      <c r="AO1573" s="147"/>
      <c r="AP1573" s="147"/>
      <c r="AQ1573" s="147"/>
      <c r="AR1573" s="147"/>
      <c r="AS1573" s="147"/>
      <c r="AT1573" s="147"/>
      <c r="AU1573" s="147"/>
      <c r="AV1573" s="147"/>
      <c r="AW1573" s="147"/>
      <c r="AX1573" s="147"/>
      <c r="AY1573" s="147"/>
      <c r="AZ1573" s="147"/>
      <c r="BA1573" s="147"/>
      <c r="BB1573" s="147"/>
      <c r="BC1573" s="147"/>
      <c r="BD1573" s="147"/>
      <c r="BE1573" s="147"/>
      <c r="BF1573" s="147"/>
      <c r="BG1573" s="147"/>
      <c r="BH1573" s="147"/>
      <c r="BI1573" s="147"/>
      <c r="BJ1573" s="147"/>
      <c r="BK1573" s="147"/>
      <c r="BL1573" s="147"/>
      <c r="BM1573" s="147"/>
      <c r="BN1573" s="147"/>
      <c r="BO1573" s="147"/>
      <c r="BP1573" s="147"/>
      <c r="BQ1573" s="147"/>
      <c r="BR1573" s="147"/>
      <c r="BS1573" s="147"/>
      <c r="BT1573" s="147"/>
      <c r="BU1573" s="147"/>
      <c r="BV1573" s="147"/>
      <c r="BW1573" s="147"/>
      <c r="BX1573" s="147"/>
      <c r="BY1573" s="147"/>
      <c r="BZ1573" s="147"/>
      <c r="CA1573" s="147"/>
      <c r="CB1573" s="147"/>
      <c r="CC1573" s="147"/>
      <c r="CD1573" s="147"/>
      <c r="CE1573" s="147"/>
      <c r="CF1573" s="147"/>
      <c r="CG1573" s="147"/>
      <c r="CH1573" s="147"/>
      <c r="CI1573" s="147"/>
      <c r="CJ1573" s="147"/>
      <c r="CK1573" s="147"/>
    </row>
    <row r="1574" spans="1:89">
      <c r="A1574" s="157"/>
      <c r="F1574" s="3"/>
      <c r="G1574" s="3"/>
      <c r="L1574" s="157"/>
      <c r="M1574" s="157"/>
      <c r="O1574" s="147"/>
      <c r="P1574" s="147"/>
      <c r="Q1574" s="147"/>
      <c r="R1574" s="147"/>
      <c r="S1574" s="147"/>
      <c r="T1574" s="147"/>
      <c r="U1574" s="147"/>
      <c r="V1574" s="147"/>
      <c r="W1574" s="147"/>
      <c r="X1574" s="147"/>
      <c r="Y1574" s="147"/>
      <c r="Z1574" s="147"/>
      <c r="AA1574" s="147"/>
      <c r="AB1574" s="147"/>
      <c r="AC1574" s="147"/>
      <c r="AD1574" s="147"/>
      <c r="AE1574" s="147"/>
      <c r="AF1574" s="147"/>
      <c r="AG1574" s="147"/>
      <c r="AH1574" s="147"/>
      <c r="AI1574" s="147"/>
      <c r="AJ1574" s="147"/>
      <c r="AK1574" s="147"/>
      <c r="AL1574" s="147"/>
      <c r="AM1574" s="151"/>
      <c r="AN1574" s="147"/>
      <c r="AO1574" s="147"/>
      <c r="AP1574" s="147"/>
      <c r="AQ1574" s="147"/>
      <c r="AR1574" s="147"/>
      <c r="AS1574" s="147"/>
      <c r="AT1574" s="147"/>
      <c r="AU1574" s="147"/>
      <c r="AV1574" s="147"/>
      <c r="AW1574" s="147"/>
      <c r="AX1574" s="147"/>
      <c r="AY1574" s="147"/>
      <c r="AZ1574" s="147"/>
      <c r="BA1574" s="147"/>
      <c r="BB1574" s="147"/>
      <c r="BC1574" s="147"/>
      <c r="BD1574" s="147"/>
      <c r="BE1574" s="147"/>
      <c r="BF1574" s="147"/>
      <c r="BG1574" s="147"/>
      <c r="BH1574" s="147"/>
      <c r="BI1574" s="147"/>
      <c r="BJ1574" s="147"/>
      <c r="BK1574" s="147"/>
      <c r="BL1574" s="147"/>
      <c r="BM1574" s="147"/>
      <c r="BN1574" s="147"/>
      <c r="BO1574" s="147"/>
      <c r="BP1574" s="147"/>
      <c r="BQ1574" s="147"/>
      <c r="BR1574" s="147"/>
      <c r="BS1574" s="147"/>
      <c r="BT1574" s="147"/>
      <c r="BU1574" s="147"/>
      <c r="BV1574" s="147"/>
      <c r="BW1574" s="147"/>
      <c r="BX1574" s="147"/>
      <c r="BY1574" s="147"/>
      <c r="BZ1574" s="147"/>
      <c r="CA1574" s="147"/>
      <c r="CB1574" s="147"/>
      <c r="CC1574" s="147"/>
      <c r="CD1574" s="147"/>
      <c r="CE1574" s="147"/>
      <c r="CF1574" s="147"/>
      <c r="CG1574" s="147"/>
      <c r="CH1574" s="147"/>
      <c r="CI1574" s="147"/>
      <c r="CJ1574" s="147"/>
      <c r="CK1574" s="147"/>
    </row>
    <row r="1575" spans="1:89">
      <c r="A1575" s="157"/>
      <c r="F1575" s="3"/>
      <c r="G1575" s="3"/>
      <c r="L1575" s="157"/>
      <c r="M1575" s="157"/>
      <c r="O1575" s="147"/>
      <c r="P1575" s="147"/>
      <c r="Q1575" s="147"/>
      <c r="R1575" s="147"/>
      <c r="S1575" s="147"/>
      <c r="T1575" s="147"/>
      <c r="U1575" s="147"/>
      <c r="V1575" s="147"/>
      <c r="W1575" s="147"/>
      <c r="X1575" s="147"/>
      <c r="Y1575" s="147"/>
      <c r="Z1575" s="147"/>
      <c r="AA1575" s="147"/>
      <c r="AB1575" s="147"/>
      <c r="AC1575" s="147"/>
      <c r="AD1575" s="147"/>
      <c r="AE1575" s="147"/>
      <c r="AF1575" s="147"/>
      <c r="AG1575" s="147"/>
      <c r="AH1575" s="147"/>
      <c r="AI1575" s="147"/>
      <c r="AJ1575" s="147"/>
      <c r="AK1575" s="147"/>
      <c r="AL1575" s="147"/>
      <c r="AM1575" s="151"/>
      <c r="AN1575" s="147"/>
      <c r="AO1575" s="147"/>
      <c r="AP1575" s="147"/>
      <c r="AQ1575" s="147"/>
      <c r="AR1575" s="147"/>
      <c r="AS1575" s="147"/>
      <c r="AT1575" s="147"/>
      <c r="AU1575" s="147"/>
      <c r="AV1575" s="147"/>
      <c r="AW1575" s="147"/>
      <c r="AX1575" s="147"/>
      <c r="AY1575" s="147"/>
      <c r="AZ1575" s="147"/>
      <c r="BA1575" s="147"/>
      <c r="BB1575" s="147"/>
      <c r="BC1575" s="147"/>
      <c r="BD1575" s="147"/>
      <c r="BE1575" s="147"/>
      <c r="BF1575" s="147"/>
      <c r="BG1575" s="147"/>
      <c r="BH1575" s="147"/>
      <c r="BI1575" s="147"/>
      <c r="BJ1575" s="147"/>
      <c r="BK1575" s="147"/>
      <c r="BL1575" s="147"/>
      <c r="BM1575" s="147"/>
      <c r="BN1575" s="147"/>
      <c r="BO1575" s="147"/>
      <c r="BP1575" s="147"/>
      <c r="BQ1575" s="147"/>
      <c r="BR1575" s="147"/>
      <c r="BS1575" s="147"/>
      <c r="BT1575" s="147"/>
      <c r="BU1575" s="147"/>
      <c r="BV1575" s="147"/>
      <c r="BW1575" s="147"/>
      <c r="BX1575" s="147"/>
      <c r="BY1575" s="147"/>
      <c r="BZ1575" s="147"/>
      <c r="CA1575" s="147"/>
      <c r="CB1575" s="147"/>
      <c r="CC1575" s="147"/>
      <c r="CD1575" s="147"/>
      <c r="CE1575" s="147"/>
      <c r="CF1575" s="147"/>
      <c r="CG1575" s="147"/>
      <c r="CH1575" s="147"/>
      <c r="CI1575" s="147"/>
      <c r="CJ1575" s="147"/>
      <c r="CK1575" s="147"/>
    </row>
    <row r="1576" spans="1:89">
      <c r="A1576" s="157"/>
      <c r="F1576" s="3"/>
      <c r="G1576" s="3"/>
      <c r="L1576" s="157"/>
      <c r="M1576" s="157"/>
      <c r="O1576" s="147"/>
      <c r="P1576" s="147"/>
      <c r="Q1576" s="147"/>
      <c r="R1576" s="147"/>
      <c r="S1576" s="147"/>
      <c r="T1576" s="147"/>
      <c r="U1576" s="147"/>
      <c r="V1576" s="147"/>
      <c r="W1576" s="147"/>
      <c r="X1576" s="147"/>
      <c r="Y1576" s="147"/>
      <c r="Z1576" s="147"/>
      <c r="AA1576" s="147"/>
      <c r="AB1576" s="147"/>
      <c r="AC1576" s="147"/>
      <c r="AD1576" s="147"/>
      <c r="AE1576" s="147"/>
      <c r="AF1576" s="147"/>
      <c r="AG1576" s="147"/>
      <c r="AH1576" s="147"/>
      <c r="AI1576" s="147"/>
      <c r="AJ1576" s="147"/>
      <c r="AK1576" s="147"/>
      <c r="AL1576" s="147"/>
      <c r="AM1576" s="151"/>
      <c r="AN1576" s="147"/>
      <c r="AO1576" s="147"/>
      <c r="AP1576" s="147"/>
      <c r="AQ1576" s="147"/>
      <c r="AR1576" s="147"/>
      <c r="AS1576" s="147"/>
      <c r="AT1576" s="147"/>
      <c r="AU1576" s="147"/>
      <c r="AV1576" s="147"/>
      <c r="AW1576" s="147"/>
      <c r="AX1576" s="147"/>
      <c r="AY1576" s="147"/>
      <c r="AZ1576" s="147"/>
      <c r="BA1576" s="147"/>
      <c r="BB1576" s="147"/>
      <c r="BC1576" s="147"/>
      <c r="BD1576" s="147"/>
      <c r="BE1576" s="147"/>
      <c r="BF1576" s="147"/>
      <c r="BG1576" s="147"/>
      <c r="BH1576" s="147"/>
      <c r="BI1576" s="147"/>
      <c r="BJ1576" s="147"/>
      <c r="BK1576" s="147"/>
      <c r="BL1576" s="147"/>
      <c r="BM1576" s="147"/>
      <c r="BN1576" s="147"/>
      <c r="BO1576" s="147"/>
      <c r="BP1576" s="147"/>
      <c r="BQ1576" s="147"/>
      <c r="BR1576" s="147"/>
      <c r="BS1576" s="147"/>
      <c r="BT1576" s="147"/>
      <c r="BU1576" s="147"/>
      <c r="BV1576" s="147"/>
      <c r="BW1576" s="147"/>
      <c r="BX1576" s="147"/>
      <c r="BY1576" s="147"/>
      <c r="BZ1576" s="147"/>
      <c r="CA1576" s="147"/>
      <c r="CB1576" s="147"/>
      <c r="CC1576" s="147"/>
      <c r="CD1576" s="147"/>
      <c r="CE1576" s="147"/>
      <c r="CF1576" s="147"/>
      <c r="CG1576" s="147"/>
      <c r="CH1576" s="147"/>
      <c r="CI1576" s="147"/>
      <c r="CJ1576" s="147"/>
      <c r="CK1576" s="147"/>
    </row>
    <row r="1577" spans="1:89">
      <c r="A1577" s="157"/>
      <c r="F1577" s="3"/>
      <c r="G1577" s="3"/>
      <c r="L1577" s="157"/>
      <c r="M1577" s="157"/>
      <c r="O1577" s="147"/>
      <c r="P1577" s="147"/>
      <c r="Q1577" s="147"/>
      <c r="R1577" s="147"/>
      <c r="S1577" s="147"/>
      <c r="T1577" s="147"/>
      <c r="U1577" s="147"/>
      <c r="V1577" s="147"/>
      <c r="W1577" s="147"/>
      <c r="X1577" s="147"/>
      <c r="Y1577" s="147"/>
      <c r="Z1577" s="147"/>
      <c r="AA1577" s="147"/>
      <c r="AB1577" s="147"/>
      <c r="AC1577" s="147"/>
      <c r="AD1577" s="147"/>
      <c r="AE1577" s="147"/>
      <c r="AF1577" s="147"/>
      <c r="AG1577" s="147"/>
      <c r="AH1577" s="147"/>
      <c r="AI1577" s="147"/>
      <c r="AJ1577" s="147"/>
      <c r="AK1577" s="147"/>
      <c r="AL1577" s="147"/>
      <c r="AM1577" s="151"/>
      <c r="AN1577" s="147"/>
      <c r="AO1577" s="147"/>
      <c r="AP1577" s="147"/>
      <c r="AQ1577" s="147"/>
      <c r="AR1577" s="147"/>
      <c r="AS1577" s="147"/>
      <c r="AT1577" s="147"/>
      <c r="AU1577" s="147"/>
      <c r="AV1577" s="147"/>
      <c r="AW1577" s="147"/>
      <c r="AX1577" s="147"/>
      <c r="AY1577" s="147"/>
      <c r="AZ1577" s="147"/>
      <c r="BA1577" s="147"/>
      <c r="BB1577" s="147"/>
      <c r="BC1577" s="147"/>
      <c r="BD1577" s="147"/>
      <c r="BE1577" s="147"/>
      <c r="BF1577" s="147"/>
      <c r="BG1577" s="147"/>
      <c r="BH1577" s="147"/>
      <c r="BI1577" s="147"/>
      <c r="BJ1577" s="147"/>
      <c r="BK1577" s="147"/>
      <c r="BL1577" s="147"/>
      <c r="BM1577" s="147"/>
      <c r="BN1577" s="147"/>
      <c r="BO1577" s="147"/>
      <c r="BP1577" s="147"/>
      <c r="BQ1577" s="147"/>
      <c r="BR1577" s="147"/>
      <c r="BS1577" s="147"/>
      <c r="BT1577" s="147"/>
      <c r="BU1577" s="147"/>
      <c r="BV1577" s="147"/>
      <c r="BW1577" s="147"/>
      <c r="BX1577" s="147"/>
      <c r="BY1577" s="147"/>
      <c r="BZ1577" s="147"/>
      <c r="CA1577" s="147"/>
      <c r="CB1577" s="147"/>
      <c r="CC1577" s="147"/>
      <c r="CD1577" s="147"/>
      <c r="CE1577" s="147"/>
      <c r="CF1577" s="147"/>
      <c r="CG1577" s="147"/>
      <c r="CH1577" s="147"/>
      <c r="CI1577" s="147"/>
      <c r="CJ1577" s="147"/>
      <c r="CK1577" s="147"/>
    </row>
    <row r="1578" spans="1:89">
      <c r="A1578" s="157"/>
      <c r="F1578" s="3"/>
      <c r="G1578" s="3"/>
      <c r="L1578" s="157"/>
      <c r="M1578" s="157"/>
      <c r="O1578" s="147"/>
      <c r="P1578" s="147"/>
      <c r="Q1578" s="147"/>
      <c r="R1578" s="147"/>
      <c r="S1578" s="147"/>
      <c r="T1578" s="147"/>
      <c r="U1578" s="147"/>
      <c r="V1578" s="147"/>
      <c r="W1578" s="147"/>
      <c r="X1578" s="147"/>
      <c r="Y1578" s="147"/>
      <c r="Z1578" s="147"/>
      <c r="AA1578" s="147"/>
      <c r="AB1578" s="147"/>
      <c r="AC1578" s="147"/>
      <c r="AD1578" s="147"/>
      <c r="AE1578" s="147"/>
      <c r="AF1578" s="147"/>
      <c r="AG1578" s="147"/>
      <c r="AH1578" s="147"/>
      <c r="AI1578" s="147"/>
      <c r="AJ1578" s="147"/>
      <c r="AK1578" s="147"/>
      <c r="AL1578" s="147"/>
      <c r="AM1578" s="151"/>
      <c r="AN1578" s="147"/>
      <c r="AO1578" s="147"/>
      <c r="AP1578" s="147"/>
      <c r="AQ1578" s="147"/>
      <c r="AR1578" s="147"/>
      <c r="AS1578" s="147"/>
      <c r="AT1578" s="147"/>
      <c r="AU1578" s="147"/>
      <c r="AV1578" s="147"/>
      <c r="AW1578" s="147"/>
      <c r="AX1578" s="147"/>
      <c r="AY1578" s="147"/>
      <c r="AZ1578" s="147"/>
      <c r="BA1578" s="147"/>
      <c r="BB1578" s="147"/>
      <c r="BC1578" s="147"/>
      <c r="BD1578" s="147"/>
      <c r="BE1578" s="147"/>
      <c r="BF1578" s="147"/>
      <c r="BG1578" s="147"/>
      <c r="BH1578" s="147"/>
      <c r="BI1578" s="147"/>
      <c r="BJ1578" s="147"/>
      <c r="BK1578" s="147"/>
      <c r="BL1578" s="147"/>
      <c r="BM1578" s="147"/>
      <c r="BN1578" s="147"/>
      <c r="BO1578" s="147"/>
      <c r="BP1578" s="147"/>
      <c r="BQ1578" s="147"/>
      <c r="BR1578" s="147"/>
      <c r="BS1578" s="147"/>
      <c r="BT1578" s="147"/>
      <c r="BU1578" s="147"/>
      <c r="BV1578" s="147"/>
      <c r="BW1578" s="147"/>
      <c r="BX1578" s="147"/>
      <c r="BY1578" s="147"/>
      <c r="BZ1578" s="147"/>
      <c r="CA1578" s="147"/>
      <c r="CB1578" s="147"/>
      <c r="CC1578" s="147"/>
      <c r="CD1578" s="147"/>
      <c r="CE1578" s="147"/>
      <c r="CF1578" s="147"/>
      <c r="CG1578" s="147"/>
      <c r="CH1578" s="147"/>
      <c r="CI1578" s="147"/>
      <c r="CJ1578" s="147"/>
      <c r="CK1578" s="147"/>
    </row>
    <row r="1579" spans="1:89">
      <c r="A1579" s="157"/>
      <c r="F1579" s="3"/>
      <c r="G1579" s="3"/>
      <c r="L1579" s="157"/>
      <c r="M1579" s="157"/>
      <c r="O1579" s="147"/>
      <c r="P1579" s="147"/>
      <c r="Q1579" s="147"/>
      <c r="R1579" s="147"/>
      <c r="S1579" s="147"/>
      <c r="T1579" s="147"/>
      <c r="U1579" s="147"/>
      <c r="V1579" s="147"/>
      <c r="W1579" s="147"/>
      <c r="X1579" s="147"/>
      <c r="Y1579" s="147"/>
      <c r="Z1579" s="147"/>
      <c r="AA1579" s="147"/>
      <c r="AB1579" s="147"/>
      <c r="AC1579" s="147"/>
      <c r="AD1579" s="147"/>
      <c r="AE1579" s="147"/>
      <c r="AF1579" s="147"/>
      <c r="AG1579" s="147"/>
      <c r="AH1579" s="147"/>
      <c r="AI1579" s="147"/>
      <c r="AJ1579" s="147"/>
      <c r="AK1579" s="147"/>
      <c r="AL1579" s="147"/>
      <c r="AM1579" s="151"/>
      <c r="AN1579" s="147"/>
      <c r="AO1579" s="147"/>
      <c r="AP1579" s="147"/>
      <c r="AQ1579" s="147"/>
      <c r="AR1579" s="147"/>
      <c r="AS1579" s="147"/>
      <c r="AT1579" s="147"/>
      <c r="AU1579" s="147"/>
      <c r="AV1579" s="147"/>
      <c r="AW1579" s="147"/>
      <c r="AX1579" s="147"/>
      <c r="AY1579" s="147"/>
      <c r="AZ1579" s="147"/>
      <c r="BA1579" s="147"/>
      <c r="BB1579" s="147"/>
      <c r="BC1579" s="147"/>
      <c r="BD1579" s="147"/>
      <c r="BE1579" s="147"/>
      <c r="BF1579" s="147"/>
      <c r="BG1579" s="147"/>
      <c r="BH1579" s="147"/>
      <c r="BI1579" s="147"/>
      <c r="BJ1579" s="147"/>
      <c r="BK1579" s="147"/>
      <c r="BL1579" s="147"/>
      <c r="BM1579" s="147"/>
      <c r="BN1579" s="147"/>
      <c r="BO1579" s="147"/>
      <c r="BP1579" s="147"/>
      <c r="BQ1579" s="147"/>
      <c r="BR1579" s="147"/>
      <c r="BS1579" s="147"/>
      <c r="BT1579" s="147"/>
      <c r="BU1579" s="147"/>
      <c r="BV1579" s="147"/>
      <c r="BW1579" s="147"/>
      <c r="BX1579" s="147"/>
      <c r="BY1579" s="147"/>
      <c r="BZ1579" s="147"/>
      <c r="CA1579" s="147"/>
      <c r="CB1579" s="147"/>
      <c r="CC1579" s="147"/>
      <c r="CD1579" s="147"/>
      <c r="CE1579" s="147"/>
      <c r="CF1579" s="147"/>
      <c r="CG1579" s="147"/>
      <c r="CH1579" s="147"/>
      <c r="CI1579" s="147"/>
      <c r="CJ1579" s="147"/>
      <c r="CK1579" s="147"/>
    </row>
    <row r="1580" spans="1:89">
      <c r="A1580" s="157"/>
      <c r="F1580" s="3"/>
      <c r="G1580" s="3"/>
      <c r="L1580" s="157"/>
      <c r="M1580" s="157"/>
      <c r="O1580" s="147"/>
      <c r="P1580" s="147"/>
      <c r="Q1580" s="147"/>
      <c r="R1580" s="147"/>
      <c r="S1580" s="147"/>
      <c r="T1580" s="147"/>
      <c r="U1580" s="147"/>
      <c r="V1580" s="147"/>
      <c r="W1580" s="147"/>
      <c r="X1580" s="147"/>
      <c r="Y1580" s="147"/>
      <c r="Z1580" s="147"/>
      <c r="AA1580" s="147"/>
      <c r="AB1580" s="147"/>
      <c r="AC1580" s="147"/>
      <c r="AD1580" s="147"/>
      <c r="AE1580" s="147"/>
      <c r="AF1580" s="147"/>
      <c r="AG1580" s="147"/>
      <c r="AH1580" s="147"/>
      <c r="AI1580" s="147"/>
      <c r="AJ1580" s="147"/>
      <c r="AK1580" s="147"/>
      <c r="AL1580" s="147"/>
      <c r="AM1580" s="151"/>
      <c r="AN1580" s="147"/>
      <c r="AO1580" s="147"/>
      <c r="AP1580" s="147"/>
      <c r="AQ1580" s="147"/>
      <c r="AR1580" s="147"/>
      <c r="AS1580" s="147"/>
      <c r="AT1580" s="147"/>
      <c r="AU1580" s="147"/>
      <c r="AV1580" s="147"/>
      <c r="AW1580" s="147"/>
      <c r="AX1580" s="147"/>
      <c r="AY1580" s="147"/>
      <c r="AZ1580" s="147"/>
      <c r="BA1580" s="147"/>
      <c r="BB1580" s="147"/>
      <c r="BC1580" s="147"/>
      <c r="BD1580" s="147"/>
      <c r="BE1580" s="147"/>
      <c r="BF1580" s="147"/>
      <c r="BG1580" s="147"/>
      <c r="BH1580" s="147"/>
      <c r="BI1580" s="147"/>
      <c r="BJ1580" s="147"/>
      <c r="BK1580" s="147"/>
      <c r="BL1580" s="147"/>
      <c r="BM1580" s="147"/>
      <c r="BN1580" s="147"/>
      <c r="BO1580" s="147"/>
      <c r="BP1580" s="147"/>
      <c r="BQ1580" s="147"/>
      <c r="BR1580" s="147"/>
      <c r="BS1580" s="147"/>
      <c r="BT1580" s="147"/>
      <c r="BU1580" s="147"/>
      <c r="BV1580" s="147"/>
      <c r="BW1580" s="147"/>
      <c r="BX1580" s="147"/>
      <c r="BY1580" s="147"/>
      <c r="BZ1580" s="147"/>
      <c r="CA1580" s="147"/>
      <c r="CB1580" s="147"/>
      <c r="CC1580" s="147"/>
      <c r="CD1580" s="147"/>
      <c r="CE1580" s="147"/>
      <c r="CF1580" s="147"/>
      <c r="CG1580" s="147"/>
      <c r="CH1580" s="147"/>
      <c r="CI1580" s="147"/>
      <c r="CJ1580" s="147"/>
      <c r="CK1580" s="147"/>
    </row>
    <row r="1581" spans="1:89">
      <c r="A1581" s="157"/>
      <c r="F1581" s="3"/>
      <c r="G1581" s="3"/>
      <c r="L1581" s="157"/>
      <c r="M1581" s="157"/>
      <c r="O1581" s="147"/>
      <c r="P1581" s="147"/>
      <c r="Q1581" s="147"/>
      <c r="R1581" s="147"/>
      <c r="S1581" s="147"/>
      <c r="T1581" s="147"/>
      <c r="U1581" s="147"/>
      <c r="V1581" s="147"/>
      <c r="W1581" s="147"/>
      <c r="X1581" s="147"/>
      <c r="Y1581" s="147"/>
      <c r="Z1581" s="147"/>
      <c r="AA1581" s="147"/>
      <c r="AB1581" s="147"/>
      <c r="AC1581" s="147"/>
      <c r="AD1581" s="147"/>
      <c r="AE1581" s="147"/>
      <c r="AF1581" s="147"/>
      <c r="AG1581" s="147"/>
      <c r="AH1581" s="147"/>
      <c r="AI1581" s="147"/>
      <c r="AJ1581" s="147"/>
      <c r="AK1581" s="147"/>
      <c r="AL1581" s="147"/>
      <c r="AM1581" s="151"/>
      <c r="AN1581" s="147"/>
      <c r="AO1581" s="147"/>
      <c r="AP1581" s="147"/>
      <c r="AQ1581" s="147"/>
      <c r="AR1581" s="147"/>
      <c r="AS1581" s="147"/>
      <c r="AT1581" s="147"/>
      <c r="AU1581" s="147"/>
      <c r="AV1581" s="147"/>
      <c r="AW1581" s="147"/>
      <c r="AX1581" s="147"/>
      <c r="AY1581" s="147"/>
      <c r="AZ1581" s="147"/>
      <c r="BA1581" s="147"/>
      <c r="BB1581" s="147"/>
      <c r="BC1581" s="147"/>
      <c r="BD1581" s="147"/>
      <c r="BE1581" s="147"/>
      <c r="BF1581" s="147"/>
      <c r="BG1581" s="147"/>
      <c r="BH1581" s="147"/>
      <c r="BI1581" s="147"/>
      <c r="BJ1581" s="147"/>
      <c r="BK1581" s="147"/>
      <c r="BL1581" s="147"/>
      <c r="BM1581" s="147"/>
      <c r="BN1581" s="147"/>
      <c r="BO1581" s="147"/>
      <c r="BP1581" s="147"/>
      <c r="BQ1581" s="147"/>
      <c r="BR1581" s="147"/>
      <c r="BS1581" s="147"/>
      <c r="BT1581" s="147"/>
      <c r="BU1581" s="147"/>
      <c r="BV1581" s="147"/>
      <c r="BW1581" s="147"/>
      <c r="BX1581" s="147"/>
      <c r="BY1581" s="147"/>
      <c r="BZ1581" s="147"/>
      <c r="CA1581" s="147"/>
      <c r="CB1581" s="147"/>
      <c r="CC1581" s="147"/>
      <c r="CD1581" s="147"/>
      <c r="CE1581" s="147"/>
      <c r="CF1581" s="147"/>
      <c r="CG1581" s="147"/>
      <c r="CH1581" s="147"/>
      <c r="CI1581" s="147"/>
      <c r="CJ1581" s="147"/>
      <c r="CK1581" s="147"/>
    </row>
    <row r="1582" spans="1:89">
      <c r="A1582" s="157"/>
      <c r="F1582" s="3"/>
      <c r="G1582" s="3"/>
      <c r="L1582" s="157"/>
      <c r="M1582" s="157"/>
      <c r="O1582" s="147"/>
      <c r="P1582" s="147"/>
      <c r="Q1582" s="147"/>
      <c r="R1582" s="147"/>
      <c r="S1582" s="147"/>
      <c r="T1582" s="147"/>
      <c r="U1582" s="147"/>
      <c r="V1582" s="147"/>
      <c r="W1582" s="147"/>
      <c r="X1582" s="147"/>
      <c r="Y1582" s="147"/>
      <c r="Z1582" s="147"/>
      <c r="AA1582" s="147"/>
      <c r="AB1582" s="147"/>
      <c r="AC1582" s="147"/>
      <c r="AD1582" s="147"/>
      <c r="AE1582" s="147"/>
      <c r="AF1582" s="147"/>
      <c r="AG1582" s="147"/>
      <c r="AH1582" s="147"/>
      <c r="AI1582" s="147"/>
      <c r="AJ1582" s="147"/>
      <c r="AK1582" s="147"/>
      <c r="AL1582" s="147"/>
      <c r="AM1582" s="151"/>
      <c r="AN1582" s="147"/>
      <c r="AO1582" s="147"/>
      <c r="AP1582" s="147"/>
      <c r="AQ1582" s="147"/>
      <c r="AR1582" s="147"/>
      <c r="AS1582" s="147"/>
      <c r="AT1582" s="147"/>
      <c r="AU1582" s="147"/>
      <c r="AV1582" s="147"/>
      <c r="AW1582" s="147"/>
      <c r="AX1582" s="147"/>
      <c r="AY1582" s="147"/>
      <c r="AZ1582" s="147"/>
      <c r="BA1582" s="147"/>
      <c r="BB1582" s="147"/>
      <c r="BC1582" s="147"/>
      <c r="BD1582" s="147"/>
      <c r="BE1582" s="147"/>
      <c r="BF1582" s="147"/>
      <c r="BG1582" s="147"/>
      <c r="BH1582" s="147"/>
      <c r="BI1582" s="147"/>
      <c r="BJ1582" s="147"/>
      <c r="BK1582" s="147"/>
      <c r="BL1582" s="147"/>
      <c r="BM1582" s="147"/>
      <c r="BN1582" s="147"/>
      <c r="BO1582" s="147"/>
      <c r="BP1582" s="147"/>
      <c r="BQ1582" s="147"/>
      <c r="BR1582" s="147"/>
      <c r="BS1582" s="147"/>
      <c r="BT1582" s="147"/>
      <c r="BU1582" s="147"/>
      <c r="BV1582" s="147"/>
      <c r="BW1582" s="147"/>
      <c r="BX1582" s="147"/>
      <c r="BY1582" s="147"/>
      <c r="BZ1582" s="147"/>
      <c r="CA1582" s="147"/>
      <c r="CB1582" s="147"/>
      <c r="CC1582" s="147"/>
      <c r="CD1582" s="147"/>
      <c r="CE1582" s="147"/>
      <c r="CF1582" s="147"/>
      <c r="CG1582" s="147"/>
      <c r="CH1582" s="147"/>
      <c r="CI1582" s="147"/>
      <c r="CJ1582" s="147"/>
      <c r="CK1582" s="147"/>
    </row>
    <row r="1583" spans="1:89">
      <c r="A1583" s="157"/>
      <c r="F1583" s="3"/>
      <c r="G1583" s="3"/>
      <c r="L1583" s="157"/>
      <c r="M1583" s="157"/>
      <c r="O1583" s="147"/>
      <c r="P1583" s="147"/>
      <c r="Q1583" s="147"/>
      <c r="R1583" s="147"/>
      <c r="S1583" s="147"/>
      <c r="T1583" s="147"/>
      <c r="U1583" s="147"/>
      <c r="V1583" s="147"/>
      <c r="W1583" s="147"/>
      <c r="X1583" s="147"/>
      <c r="Y1583" s="147"/>
      <c r="Z1583" s="147"/>
      <c r="AA1583" s="147"/>
      <c r="AB1583" s="147"/>
      <c r="AC1583" s="147"/>
      <c r="AD1583" s="147"/>
      <c r="AE1583" s="147"/>
      <c r="AF1583" s="147"/>
      <c r="AG1583" s="147"/>
      <c r="AH1583" s="147"/>
      <c r="AI1583" s="147"/>
      <c r="AJ1583" s="147"/>
      <c r="AK1583" s="147"/>
      <c r="AL1583" s="147"/>
      <c r="AM1583" s="151"/>
      <c r="AN1583" s="147"/>
      <c r="AO1583" s="147"/>
      <c r="AP1583" s="147"/>
      <c r="AQ1583" s="147"/>
      <c r="AR1583" s="147"/>
      <c r="AS1583" s="147"/>
      <c r="AT1583" s="147"/>
      <c r="AU1583" s="147"/>
      <c r="AV1583" s="147"/>
      <c r="AW1583" s="147"/>
      <c r="AX1583" s="147"/>
      <c r="AY1583" s="147"/>
      <c r="AZ1583" s="147"/>
      <c r="BA1583" s="147"/>
      <c r="BB1583" s="147"/>
      <c r="BC1583" s="147"/>
      <c r="BD1583" s="147"/>
      <c r="BE1583" s="147"/>
      <c r="BF1583" s="147"/>
      <c r="BG1583" s="147"/>
      <c r="BH1583" s="147"/>
      <c r="BI1583" s="147"/>
      <c r="BJ1583" s="147"/>
      <c r="BK1583" s="147"/>
      <c r="BL1583" s="147"/>
      <c r="BM1583" s="147"/>
      <c r="BN1583" s="147"/>
      <c r="BO1583" s="147"/>
      <c r="BP1583" s="147"/>
      <c r="BQ1583" s="147"/>
      <c r="BR1583" s="147"/>
      <c r="BS1583" s="147"/>
      <c r="BT1583" s="147"/>
      <c r="BU1583" s="147"/>
      <c r="BV1583" s="147"/>
      <c r="BW1583" s="147"/>
      <c r="BX1583" s="147"/>
      <c r="BY1583" s="147"/>
      <c r="BZ1583" s="147"/>
      <c r="CA1583" s="147"/>
      <c r="CB1583" s="147"/>
      <c r="CC1583" s="147"/>
      <c r="CD1583" s="147"/>
      <c r="CE1583" s="147"/>
      <c r="CF1583" s="147"/>
      <c r="CG1583" s="147"/>
      <c r="CH1583" s="147"/>
      <c r="CI1583" s="147"/>
      <c r="CJ1583" s="147"/>
      <c r="CK1583" s="147"/>
    </row>
    <row r="1584" spans="1:89">
      <c r="A1584" s="157"/>
      <c r="F1584" s="3"/>
      <c r="G1584" s="3"/>
      <c r="L1584" s="157"/>
      <c r="M1584" s="157"/>
      <c r="O1584" s="147"/>
      <c r="P1584" s="147"/>
      <c r="Q1584" s="147"/>
      <c r="R1584" s="147"/>
      <c r="S1584" s="147"/>
      <c r="T1584" s="147"/>
      <c r="U1584" s="147"/>
      <c r="V1584" s="147"/>
      <c r="W1584" s="147"/>
      <c r="X1584" s="147"/>
      <c r="Y1584" s="147"/>
      <c r="Z1584" s="147"/>
      <c r="AA1584" s="147"/>
      <c r="AB1584" s="147"/>
      <c r="AC1584" s="147"/>
      <c r="AD1584" s="147"/>
      <c r="AE1584" s="147"/>
      <c r="AF1584" s="147"/>
      <c r="AG1584" s="147"/>
      <c r="AH1584" s="147"/>
      <c r="AI1584" s="147"/>
      <c r="AJ1584" s="147"/>
      <c r="AK1584" s="147"/>
      <c r="AL1584" s="147"/>
      <c r="AM1584" s="151"/>
      <c r="AN1584" s="147"/>
      <c r="AO1584" s="147"/>
      <c r="AP1584" s="147"/>
      <c r="AQ1584" s="147"/>
      <c r="AR1584" s="147"/>
      <c r="AS1584" s="147"/>
      <c r="AT1584" s="147"/>
      <c r="AU1584" s="147"/>
      <c r="AV1584" s="147"/>
      <c r="AW1584" s="147"/>
      <c r="AX1584" s="147"/>
      <c r="AY1584" s="147"/>
      <c r="AZ1584" s="147"/>
      <c r="BA1584" s="147"/>
      <c r="BB1584" s="147"/>
      <c r="BC1584" s="147"/>
      <c r="BD1584" s="147"/>
      <c r="BE1584" s="147"/>
      <c r="BF1584" s="147"/>
      <c r="BG1584" s="147"/>
      <c r="BH1584" s="147"/>
      <c r="BI1584" s="147"/>
      <c r="BJ1584" s="147"/>
      <c r="BK1584" s="147"/>
      <c r="BL1584" s="147"/>
      <c r="BM1584" s="147"/>
      <c r="BN1584" s="147"/>
      <c r="BO1584" s="147"/>
      <c r="BP1584" s="147"/>
      <c r="BQ1584" s="147"/>
      <c r="BR1584" s="147"/>
      <c r="BS1584" s="147"/>
      <c r="BT1584" s="147"/>
      <c r="BU1584" s="147"/>
      <c r="BV1584" s="147"/>
      <c r="BW1584" s="147"/>
      <c r="BX1584" s="147"/>
      <c r="BY1584" s="147"/>
      <c r="BZ1584" s="147"/>
      <c r="CA1584" s="147"/>
      <c r="CB1584" s="147"/>
      <c r="CC1584" s="147"/>
      <c r="CD1584" s="147"/>
      <c r="CE1584" s="147"/>
      <c r="CF1584" s="147"/>
      <c r="CG1584" s="147"/>
      <c r="CH1584" s="147"/>
      <c r="CI1584" s="147"/>
      <c r="CJ1584" s="147"/>
      <c r="CK1584" s="147"/>
    </row>
    <row r="1585" spans="1:89">
      <c r="A1585" s="157"/>
      <c r="F1585" s="3"/>
      <c r="G1585" s="3"/>
      <c r="L1585" s="157"/>
      <c r="M1585" s="157"/>
      <c r="O1585" s="147"/>
      <c r="P1585" s="147"/>
      <c r="Q1585" s="147"/>
      <c r="R1585" s="147"/>
      <c r="S1585" s="147"/>
      <c r="T1585" s="147"/>
      <c r="U1585" s="147"/>
      <c r="V1585" s="147"/>
      <c r="W1585" s="147"/>
      <c r="X1585" s="147"/>
      <c r="Y1585" s="147"/>
      <c r="Z1585" s="147"/>
      <c r="AA1585" s="147"/>
      <c r="AB1585" s="147"/>
      <c r="AC1585" s="147"/>
      <c r="AD1585" s="147"/>
      <c r="AE1585" s="147"/>
      <c r="AF1585" s="147"/>
      <c r="AG1585" s="147"/>
      <c r="AH1585" s="147"/>
      <c r="AI1585" s="147"/>
      <c r="AJ1585" s="147"/>
      <c r="AK1585" s="147"/>
      <c r="AL1585" s="147"/>
      <c r="AM1585" s="151"/>
      <c r="AN1585" s="147"/>
      <c r="AO1585" s="147"/>
      <c r="AP1585" s="147"/>
      <c r="AQ1585" s="147"/>
      <c r="AR1585" s="147"/>
      <c r="AS1585" s="147"/>
      <c r="AT1585" s="147"/>
      <c r="AU1585" s="147"/>
      <c r="AV1585" s="147"/>
      <c r="AW1585" s="147"/>
      <c r="AX1585" s="147"/>
      <c r="AY1585" s="147"/>
      <c r="AZ1585" s="147"/>
      <c r="BA1585" s="147"/>
      <c r="BB1585" s="147"/>
      <c r="BC1585" s="147"/>
      <c r="BD1585" s="147"/>
      <c r="BE1585" s="147"/>
      <c r="BF1585" s="147"/>
      <c r="BG1585" s="147"/>
      <c r="BH1585" s="147"/>
      <c r="BI1585" s="147"/>
      <c r="BJ1585" s="147"/>
      <c r="BK1585" s="147"/>
      <c r="BL1585" s="147"/>
      <c r="BM1585" s="147"/>
      <c r="BN1585" s="147"/>
      <c r="BO1585" s="147"/>
      <c r="BP1585" s="147"/>
      <c r="BQ1585" s="147"/>
      <c r="BR1585" s="147"/>
      <c r="BS1585" s="147"/>
      <c r="BT1585" s="147"/>
      <c r="BU1585" s="147"/>
      <c r="BV1585" s="147"/>
      <c r="BW1585" s="147"/>
      <c r="BX1585" s="147"/>
      <c r="BY1585" s="147"/>
      <c r="BZ1585" s="147"/>
      <c r="CA1585" s="147"/>
      <c r="CB1585" s="147"/>
      <c r="CC1585" s="147"/>
      <c r="CD1585" s="147"/>
      <c r="CE1585" s="147"/>
      <c r="CF1585" s="147"/>
      <c r="CG1585" s="147"/>
      <c r="CH1585" s="147"/>
      <c r="CI1585" s="147"/>
      <c r="CJ1585" s="147"/>
      <c r="CK1585" s="147"/>
    </row>
    <row r="1586" spans="1:89">
      <c r="A1586" s="157"/>
      <c r="F1586" s="3"/>
      <c r="G1586" s="3"/>
      <c r="L1586" s="157"/>
      <c r="M1586" s="157"/>
      <c r="O1586" s="147"/>
      <c r="P1586" s="147"/>
      <c r="Q1586" s="147"/>
      <c r="R1586" s="147"/>
      <c r="S1586" s="147"/>
      <c r="T1586" s="147"/>
      <c r="U1586" s="147"/>
      <c r="V1586" s="147"/>
      <c r="W1586" s="147"/>
      <c r="X1586" s="147"/>
      <c r="Y1586" s="147"/>
      <c r="Z1586" s="147"/>
      <c r="AA1586" s="147"/>
      <c r="AB1586" s="147"/>
      <c r="AC1586" s="147"/>
      <c r="AD1586" s="147"/>
      <c r="AE1586" s="147"/>
      <c r="AF1586" s="147"/>
      <c r="AG1586" s="147"/>
      <c r="AH1586" s="147"/>
      <c r="AI1586" s="147"/>
      <c r="AJ1586" s="147"/>
      <c r="AK1586" s="147"/>
      <c r="AL1586" s="147"/>
      <c r="AM1586" s="151"/>
      <c r="AN1586" s="147"/>
      <c r="AO1586" s="147"/>
      <c r="AP1586" s="147"/>
      <c r="AQ1586" s="147"/>
      <c r="AR1586" s="147"/>
      <c r="AS1586" s="147"/>
      <c r="AT1586" s="147"/>
      <c r="AU1586" s="147"/>
      <c r="AV1586" s="147"/>
      <c r="AW1586" s="147"/>
      <c r="AX1586" s="147"/>
      <c r="AY1586" s="147"/>
      <c r="AZ1586" s="147"/>
      <c r="BA1586" s="147"/>
      <c r="BB1586" s="147"/>
      <c r="BC1586" s="147"/>
      <c r="BD1586" s="147"/>
      <c r="BE1586" s="147"/>
      <c r="BF1586" s="147"/>
      <c r="BG1586" s="147"/>
      <c r="BH1586" s="147"/>
      <c r="BI1586" s="147"/>
      <c r="BJ1586" s="147"/>
      <c r="BK1586" s="147"/>
      <c r="BL1586" s="147"/>
      <c r="BM1586" s="147"/>
      <c r="BN1586" s="147"/>
      <c r="BO1586" s="147"/>
      <c r="BP1586" s="147"/>
      <c r="BQ1586" s="147"/>
      <c r="BR1586" s="147"/>
      <c r="BS1586" s="147"/>
      <c r="BT1586" s="147"/>
      <c r="BU1586" s="147"/>
      <c r="BV1586" s="147"/>
      <c r="BW1586" s="147"/>
      <c r="BX1586" s="147"/>
      <c r="BY1586" s="147"/>
      <c r="BZ1586" s="147"/>
      <c r="CA1586" s="147"/>
      <c r="CB1586" s="147"/>
      <c r="CC1586" s="147"/>
      <c r="CD1586" s="147"/>
      <c r="CE1586" s="147"/>
      <c r="CF1586" s="147"/>
      <c r="CG1586" s="147"/>
      <c r="CH1586" s="147"/>
      <c r="CI1586" s="147"/>
      <c r="CJ1586" s="147"/>
      <c r="CK1586" s="147"/>
    </row>
    <row r="1587" spans="1:89">
      <c r="A1587" s="157"/>
      <c r="F1587" s="3"/>
      <c r="G1587" s="3"/>
      <c r="L1587" s="157"/>
      <c r="M1587" s="157"/>
      <c r="O1587" s="147"/>
      <c r="P1587" s="147"/>
      <c r="Q1587" s="147"/>
      <c r="R1587" s="147"/>
      <c r="S1587" s="147"/>
      <c r="T1587" s="147"/>
      <c r="U1587" s="147"/>
      <c r="V1587" s="147"/>
      <c r="W1587" s="147"/>
      <c r="X1587" s="147"/>
      <c r="Y1587" s="147"/>
      <c r="Z1587" s="147"/>
      <c r="AA1587" s="147"/>
      <c r="AB1587" s="147"/>
      <c r="AC1587" s="147"/>
      <c r="AD1587" s="147"/>
      <c r="AE1587" s="147"/>
      <c r="AF1587" s="147"/>
      <c r="AG1587" s="147"/>
      <c r="AH1587" s="147"/>
      <c r="AI1587" s="147"/>
      <c r="AJ1587" s="147"/>
      <c r="AK1587" s="147"/>
      <c r="AL1587" s="147"/>
      <c r="AM1587" s="151"/>
      <c r="AN1587" s="147"/>
      <c r="AO1587" s="147"/>
      <c r="AP1587" s="147"/>
      <c r="AQ1587" s="147"/>
      <c r="AR1587" s="147"/>
      <c r="AS1587" s="147"/>
      <c r="AT1587" s="147"/>
      <c r="AU1587" s="147"/>
      <c r="AV1587" s="147"/>
      <c r="AW1587" s="147"/>
      <c r="AX1587" s="147"/>
      <c r="AY1587" s="147"/>
      <c r="AZ1587" s="147"/>
      <c r="BA1587" s="147"/>
      <c r="BB1587" s="147"/>
      <c r="BC1587" s="147"/>
      <c r="BD1587" s="147"/>
      <c r="BE1587" s="147"/>
      <c r="BF1587" s="147"/>
      <c r="BG1587" s="147"/>
      <c r="BH1587" s="147"/>
      <c r="BI1587" s="147"/>
      <c r="BJ1587" s="147"/>
      <c r="BK1587" s="147"/>
      <c r="BL1587" s="147"/>
      <c r="BM1587" s="147"/>
      <c r="BN1587" s="147"/>
      <c r="BO1587" s="147"/>
      <c r="BP1587" s="147"/>
      <c r="BQ1587" s="147"/>
      <c r="BR1587" s="147"/>
      <c r="BS1587" s="147"/>
      <c r="BT1587" s="147"/>
      <c r="BU1587" s="147"/>
      <c r="BV1587" s="147"/>
      <c r="BW1587" s="147"/>
      <c r="BX1587" s="147"/>
      <c r="BY1587" s="147"/>
      <c r="BZ1587" s="147"/>
      <c r="CA1587" s="147"/>
      <c r="CB1587" s="147"/>
      <c r="CC1587" s="147"/>
      <c r="CD1587" s="147"/>
      <c r="CE1587" s="147"/>
      <c r="CF1587" s="147"/>
      <c r="CG1587" s="147"/>
      <c r="CH1587" s="147"/>
      <c r="CI1587" s="147"/>
      <c r="CJ1587" s="147"/>
      <c r="CK1587" s="147"/>
    </row>
    <row r="1588" spans="1:89">
      <c r="A1588" s="157"/>
      <c r="F1588" s="3"/>
      <c r="G1588" s="3"/>
      <c r="L1588" s="157"/>
      <c r="M1588" s="157"/>
      <c r="O1588" s="147"/>
      <c r="P1588" s="147"/>
      <c r="Q1588" s="147"/>
      <c r="R1588" s="147"/>
      <c r="S1588" s="147"/>
      <c r="T1588" s="147"/>
      <c r="U1588" s="147"/>
      <c r="V1588" s="147"/>
      <c r="W1588" s="147"/>
      <c r="X1588" s="147"/>
      <c r="Y1588" s="147"/>
      <c r="Z1588" s="147"/>
      <c r="AA1588" s="147"/>
      <c r="AB1588" s="147"/>
      <c r="AC1588" s="147"/>
      <c r="AD1588" s="147"/>
      <c r="AE1588" s="147"/>
      <c r="AF1588" s="147"/>
      <c r="AG1588" s="147"/>
      <c r="AH1588" s="147"/>
      <c r="AI1588" s="147"/>
      <c r="AJ1588" s="147"/>
      <c r="AK1588" s="147"/>
      <c r="AL1588" s="147"/>
      <c r="AM1588" s="151"/>
      <c r="AN1588" s="147"/>
      <c r="AO1588" s="147"/>
      <c r="AP1588" s="147"/>
      <c r="AQ1588" s="147"/>
      <c r="AR1588" s="147"/>
      <c r="AS1588" s="147"/>
      <c r="AT1588" s="147"/>
      <c r="AU1588" s="147"/>
      <c r="AV1588" s="147"/>
      <c r="AW1588" s="147"/>
      <c r="AX1588" s="147"/>
      <c r="AY1588" s="147"/>
      <c r="AZ1588" s="147"/>
      <c r="BA1588" s="147"/>
      <c r="BB1588" s="147"/>
      <c r="BC1588" s="147"/>
      <c r="BD1588" s="147"/>
      <c r="BE1588" s="147"/>
      <c r="BF1588" s="147"/>
      <c r="BG1588" s="147"/>
      <c r="BH1588" s="147"/>
      <c r="BI1588" s="147"/>
      <c r="BJ1588" s="147"/>
      <c r="BK1588" s="147"/>
      <c r="BL1588" s="147"/>
      <c r="BM1588" s="147"/>
      <c r="BN1588" s="147"/>
      <c r="BO1588" s="147"/>
      <c r="BP1588" s="147"/>
      <c r="BQ1588" s="147"/>
      <c r="BR1588" s="147"/>
      <c r="BS1588" s="147"/>
      <c r="BT1588" s="147"/>
      <c r="BU1588" s="147"/>
      <c r="BV1588" s="147"/>
      <c r="BW1588" s="147"/>
      <c r="BX1588" s="147"/>
      <c r="BY1588" s="147"/>
      <c r="BZ1588" s="147"/>
      <c r="CA1588" s="147"/>
      <c r="CB1588" s="147"/>
      <c r="CC1588" s="147"/>
      <c r="CD1588" s="147"/>
      <c r="CE1588" s="147"/>
      <c r="CF1588" s="147"/>
      <c r="CG1588" s="147"/>
      <c r="CH1588" s="147"/>
      <c r="CI1588" s="147"/>
      <c r="CJ1588" s="147"/>
      <c r="CK1588" s="147"/>
    </row>
    <row r="1589" spans="1:89">
      <c r="A1589" s="157"/>
      <c r="F1589" s="3"/>
      <c r="G1589" s="3"/>
      <c r="L1589" s="157"/>
      <c r="M1589" s="157"/>
      <c r="O1589" s="147"/>
      <c r="P1589" s="147"/>
      <c r="Q1589" s="147"/>
      <c r="R1589" s="147"/>
      <c r="S1589" s="147"/>
      <c r="T1589" s="147"/>
      <c r="U1589" s="147"/>
      <c r="V1589" s="147"/>
      <c r="W1589" s="147"/>
      <c r="X1589" s="147"/>
      <c r="Y1589" s="147"/>
      <c r="Z1589" s="147"/>
      <c r="AA1589" s="147"/>
      <c r="AB1589" s="147"/>
      <c r="AC1589" s="147"/>
      <c r="AD1589" s="147"/>
      <c r="AE1589" s="147"/>
      <c r="AF1589" s="147"/>
      <c r="AG1589" s="147"/>
      <c r="AH1589" s="147"/>
      <c r="AI1589" s="147"/>
      <c r="AJ1589" s="147"/>
      <c r="AK1589" s="147"/>
      <c r="AL1589" s="147"/>
      <c r="AM1589" s="151"/>
      <c r="AN1589" s="147"/>
      <c r="AO1589" s="147"/>
      <c r="AP1589" s="147"/>
      <c r="AQ1589" s="147"/>
      <c r="AR1589" s="147"/>
      <c r="AS1589" s="147"/>
      <c r="AT1589" s="147"/>
      <c r="AU1589" s="147"/>
      <c r="AV1589" s="147"/>
      <c r="AW1589" s="147"/>
      <c r="AX1589" s="147"/>
      <c r="AY1589" s="147"/>
      <c r="AZ1589" s="147"/>
      <c r="BA1589" s="147"/>
      <c r="BB1589" s="147"/>
      <c r="BC1589" s="147"/>
      <c r="BD1589" s="147"/>
      <c r="BE1589" s="147"/>
      <c r="BF1589" s="147"/>
      <c r="BG1589" s="147"/>
      <c r="BH1589" s="147"/>
      <c r="BI1589" s="147"/>
      <c r="BJ1589" s="147"/>
      <c r="BK1589" s="147"/>
      <c r="BL1589" s="147"/>
      <c r="BM1589" s="147"/>
      <c r="BN1589" s="147"/>
      <c r="BO1589" s="147"/>
      <c r="BP1589" s="147"/>
      <c r="BQ1589" s="147"/>
      <c r="BR1589" s="147"/>
      <c r="BS1589" s="147"/>
      <c r="BT1589" s="147"/>
      <c r="BU1589" s="147"/>
      <c r="BV1589" s="147"/>
      <c r="BW1589" s="147"/>
      <c r="BX1589" s="147"/>
      <c r="BY1589" s="147"/>
      <c r="BZ1589" s="147"/>
      <c r="CA1589" s="147"/>
      <c r="CB1589" s="147"/>
      <c r="CC1589" s="147"/>
      <c r="CD1589" s="147"/>
      <c r="CE1589" s="147"/>
      <c r="CF1589" s="147"/>
      <c r="CG1589" s="147"/>
      <c r="CH1589" s="147"/>
      <c r="CI1589" s="147"/>
      <c r="CJ1589" s="147"/>
      <c r="CK1589" s="147"/>
    </row>
    <row r="1590" spans="1:89">
      <c r="A1590" s="157"/>
      <c r="F1590" s="3"/>
      <c r="G1590" s="3"/>
      <c r="L1590" s="157"/>
      <c r="M1590" s="157"/>
      <c r="O1590" s="147"/>
      <c r="P1590" s="147"/>
      <c r="Q1590" s="147"/>
      <c r="R1590" s="147"/>
      <c r="S1590" s="147"/>
      <c r="T1590" s="147"/>
      <c r="U1590" s="147"/>
      <c r="V1590" s="147"/>
      <c r="W1590" s="147"/>
      <c r="X1590" s="147"/>
      <c r="Y1590" s="147"/>
      <c r="Z1590" s="147"/>
      <c r="AA1590" s="147"/>
      <c r="AB1590" s="147"/>
      <c r="AC1590" s="147"/>
      <c r="AD1590" s="147"/>
      <c r="AE1590" s="147"/>
      <c r="AF1590" s="147"/>
      <c r="AG1590" s="147"/>
      <c r="AH1590" s="147"/>
      <c r="AI1590" s="147"/>
      <c r="AJ1590" s="147"/>
      <c r="AK1590" s="147"/>
      <c r="AL1590" s="147"/>
      <c r="AM1590" s="151"/>
      <c r="AN1590" s="147"/>
      <c r="AO1590" s="147"/>
      <c r="AP1590" s="147"/>
      <c r="AQ1590" s="147"/>
      <c r="AR1590" s="147"/>
      <c r="AS1590" s="147"/>
      <c r="AT1590" s="147"/>
      <c r="AU1590" s="147"/>
      <c r="AV1590" s="147"/>
      <c r="AW1590" s="147"/>
      <c r="AX1590" s="147"/>
      <c r="AY1590" s="147"/>
      <c r="AZ1590" s="147"/>
      <c r="BA1590" s="147"/>
      <c r="BB1590" s="147"/>
      <c r="BC1590" s="147"/>
      <c r="BD1590" s="147"/>
      <c r="BE1590" s="147"/>
      <c r="BF1590" s="147"/>
      <c r="BG1590" s="147"/>
      <c r="BH1590" s="147"/>
      <c r="BI1590" s="147"/>
      <c r="BJ1590" s="147"/>
      <c r="BK1590" s="147"/>
      <c r="BL1590" s="147"/>
      <c r="BM1590" s="147"/>
      <c r="BN1590" s="147"/>
      <c r="BO1590" s="147"/>
      <c r="BP1590" s="147"/>
      <c r="BQ1590" s="147"/>
      <c r="BR1590" s="147"/>
      <c r="BS1590" s="147"/>
      <c r="BT1590" s="147"/>
      <c r="BU1590" s="147"/>
      <c r="BV1590" s="147"/>
      <c r="BW1590" s="147"/>
      <c r="BX1590" s="147"/>
      <c r="BY1590" s="147"/>
      <c r="BZ1590" s="147"/>
      <c r="CA1590" s="147"/>
      <c r="CB1590" s="147"/>
      <c r="CC1590" s="147"/>
      <c r="CD1590" s="147"/>
      <c r="CE1590" s="147"/>
      <c r="CF1590" s="147"/>
      <c r="CG1590" s="147"/>
      <c r="CH1590" s="147"/>
      <c r="CI1590" s="147"/>
      <c r="CJ1590" s="147"/>
      <c r="CK1590" s="147"/>
    </row>
    <row r="1591" spans="1:89">
      <c r="A1591" s="157"/>
      <c r="F1591" s="3"/>
      <c r="G1591" s="3"/>
      <c r="L1591" s="157"/>
      <c r="M1591" s="157"/>
      <c r="O1591" s="147"/>
      <c r="P1591" s="147"/>
      <c r="Q1591" s="147"/>
      <c r="R1591" s="147"/>
      <c r="S1591" s="147"/>
      <c r="T1591" s="147"/>
      <c r="U1591" s="147"/>
      <c r="V1591" s="147"/>
      <c r="W1591" s="147"/>
      <c r="X1591" s="147"/>
      <c r="Y1591" s="147"/>
      <c r="Z1591" s="147"/>
      <c r="AA1591" s="147"/>
      <c r="AB1591" s="147"/>
      <c r="AC1591" s="147"/>
      <c r="AD1591" s="147"/>
      <c r="AE1591" s="147"/>
      <c r="AF1591" s="147"/>
      <c r="AG1591" s="147"/>
      <c r="AH1591" s="147"/>
      <c r="AI1591" s="147"/>
      <c r="AJ1591" s="147"/>
      <c r="AK1591" s="147"/>
      <c r="AL1591" s="147"/>
      <c r="AM1591" s="151"/>
      <c r="AN1591" s="147"/>
      <c r="AO1591" s="147"/>
      <c r="AP1591" s="147"/>
      <c r="AQ1591" s="147"/>
      <c r="AR1591" s="147"/>
      <c r="AS1591" s="147"/>
      <c r="AT1591" s="147"/>
      <c r="AU1591" s="147"/>
      <c r="AV1591" s="147"/>
      <c r="AW1591" s="147"/>
      <c r="AX1591" s="147"/>
      <c r="AY1591" s="147"/>
      <c r="AZ1591" s="147"/>
      <c r="BA1591" s="147"/>
      <c r="BB1591" s="147"/>
      <c r="BC1591" s="147"/>
      <c r="BD1591" s="147"/>
      <c r="BE1591" s="147"/>
      <c r="BF1591" s="147"/>
      <c r="BG1591" s="147"/>
      <c r="BH1591" s="147"/>
      <c r="BI1591" s="147"/>
      <c r="BJ1591" s="147"/>
      <c r="BK1591" s="147"/>
      <c r="BL1591" s="147"/>
      <c r="BM1591" s="147"/>
      <c r="BN1591" s="147"/>
      <c r="BO1591" s="147"/>
      <c r="BP1591" s="147"/>
      <c r="BQ1591" s="147"/>
      <c r="BR1591" s="147"/>
      <c r="BS1591" s="147"/>
      <c r="BT1591" s="147"/>
      <c r="BU1591" s="147"/>
      <c r="BV1591" s="147"/>
      <c r="BW1591" s="147"/>
      <c r="BX1591" s="147"/>
      <c r="BY1591" s="147"/>
      <c r="BZ1591" s="147"/>
      <c r="CA1591" s="147"/>
      <c r="CB1591" s="147"/>
      <c r="CC1591" s="147"/>
      <c r="CD1591" s="147"/>
      <c r="CE1591" s="147"/>
      <c r="CF1591" s="147"/>
      <c r="CG1591" s="147"/>
      <c r="CH1591" s="147"/>
      <c r="CI1591" s="147"/>
      <c r="CJ1591" s="147"/>
      <c r="CK1591" s="147"/>
    </row>
    <row r="1592" spans="1:89">
      <c r="A1592" s="157"/>
      <c r="F1592" s="3"/>
      <c r="G1592" s="3"/>
      <c r="L1592" s="157"/>
      <c r="M1592" s="157"/>
      <c r="O1592" s="147"/>
      <c r="P1592" s="147"/>
      <c r="Q1592" s="147"/>
      <c r="R1592" s="147"/>
      <c r="S1592" s="147"/>
      <c r="T1592" s="147"/>
      <c r="U1592" s="147"/>
      <c r="V1592" s="147"/>
      <c r="W1592" s="147"/>
      <c r="X1592" s="147"/>
      <c r="Y1592" s="147"/>
      <c r="Z1592" s="147"/>
      <c r="AA1592" s="147"/>
      <c r="AB1592" s="147"/>
      <c r="AC1592" s="147"/>
      <c r="AD1592" s="147"/>
      <c r="AE1592" s="147"/>
      <c r="AF1592" s="147"/>
      <c r="AG1592" s="147"/>
      <c r="AH1592" s="147"/>
      <c r="AI1592" s="147"/>
      <c r="AJ1592" s="147"/>
      <c r="AK1592" s="147"/>
      <c r="AL1592" s="147"/>
      <c r="AM1592" s="151"/>
      <c r="AN1592" s="147"/>
      <c r="AO1592" s="147"/>
      <c r="AP1592" s="147"/>
      <c r="AQ1592" s="147"/>
      <c r="AR1592" s="147"/>
      <c r="AS1592" s="147"/>
      <c r="AT1592" s="147"/>
      <c r="AU1592" s="147"/>
      <c r="AV1592" s="147"/>
      <c r="AW1592" s="147"/>
      <c r="AX1592" s="147"/>
      <c r="AY1592" s="147"/>
      <c r="AZ1592" s="147"/>
      <c r="BA1592" s="147"/>
      <c r="BB1592" s="147"/>
      <c r="BC1592" s="147"/>
      <c r="BD1592" s="147"/>
      <c r="BE1592" s="147"/>
      <c r="BF1592" s="147"/>
      <c r="BG1592" s="147"/>
      <c r="BH1592" s="147"/>
      <c r="BI1592" s="147"/>
      <c r="BJ1592" s="147"/>
      <c r="BK1592" s="147"/>
      <c r="BL1592" s="147"/>
      <c r="BM1592" s="147"/>
      <c r="BN1592" s="147"/>
      <c r="BO1592" s="147"/>
      <c r="BP1592" s="147"/>
      <c r="BQ1592" s="147"/>
      <c r="BR1592" s="147"/>
      <c r="BS1592" s="147"/>
      <c r="BT1592" s="147"/>
      <c r="BU1592" s="147"/>
      <c r="BV1592" s="147"/>
      <c r="BW1592" s="147"/>
      <c r="BX1592" s="147"/>
      <c r="BY1592" s="147"/>
      <c r="BZ1592" s="147"/>
      <c r="CA1592" s="147"/>
      <c r="CB1592" s="147"/>
      <c r="CC1592" s="147"/>
      <c r="CD1592" s="147"/>
      <c r="CE1592" s="147"/>
      <c r="CF1592" s="147"/>
      <c r="CG1592" s="147"/>
      <c r="CH1592" s="147"/>
      <c r="CI1592" s="147"/>
      <c r="CJ1592" s="147"/>
      <c r="CK1592" s="147"/>
    </row>
    <row r="1593" spans="1:89">
      <c r="A1593" s="157"/>
      <c r="F1593" s="3"/>
      <c r="G1593" s="3"/>
      <c r="L1593" s="157"/>
      <c r="M1593" s="157"/>
      <c r="O1593" s="147"/>
      <c r="P1593" s="147"/>
      <c r="Q1593" s="147"/>
      <c r="R1593" s="147"/>
      <c r="S1593" s="147"/>
      <c r="T1593" s="147"/>
      <c r="U1593" s="147"/>
      <c r="V1593" s="147"/>
      <c r="W1593" s="147"/>
      <c r="X1593" s="147"/>
      <c r="Y1593" s="147"/>
      <c r="Z1593" s="147"/>
      <c r="AA1593" s="147"/>
      <c r="AB1593" s="147"/>
      <c r="AC1593" s="147"/>
      <c r="AD1593" s="147"/>
      <c r="AE1593" s="147"/>
      <c r="AF1593" s="147"/>
      <c r="AG1593" s="147"/>
      <c r="AH1593" s="147"/>
      <c r="AI1593" s="147"/>
      <c r="AJ1593" s="147"/>
      <c r="AK1593" s="147"/>
      <c r="AL1593" s="147"/>
      <c r="AM1593" s="151"/>
      <c r="AN1593" s="147"/>
      <c r="AO1593" s="147"/>
      <c r="AP1593" s="147"/>
      <c r="AQ1593" s="147"/>
      <c r="AR1593" s="147"/>
      <c r="AS1593" s="147"/>
      <c r="AT1593" s="147"/>
      <c r="AU1593" s="147"/>
      <c r="AV1593" s="147"/>
      <c r="AW1593" s="147"/>
      <c r="AX1593" s="147"/>
      <c r="AY1593" s="147"/>
      <c r="AZ1593" s="147"/>
      <c r="BA1593" s="147"/>
      <c r="BB1593" s="147"/>
      <c r="BC1593" s="147"/>
      <c r="BD1593" s="147"/>
      <c r="BE1593" s="147"/>
      <c r="BF1593" s="147"/>
      <c r="BG1593" s="147"/>
      <c r="BH1593" s="147"/>
      <c r="BI1593" s="147"/>
      <c r="BJ1593" s="147"/>
      <c r="BK1593" s="147"/>
      <c r="BL1593" s="147"/>
      <c r="BM1593" s="147"/>
      <c r="BN1593" s="147"/>
      <c r="BO1593" s="147"/>
      <c r="BP1593" s="147"/>
      <c r="BQ1593" s="147"/>
      <c r="BR1593" s="147"/>
      <c r="BS1593" s="147"/>
      <c r="BT1593" s="147"/>
      <c r="BU1593" s="147"/>
      <c r="BV1593" s="147"/>
      <c r="BW1593" s="147"/>
      <c r="BX1593" s="147"/>
      <c r="BY1593" s="147"/>
      <c r="BZ1593" s="147"/>
      <c r="CA1593" s="147"/>
      <c r="CB1593" s="147"/>
      <c r="CC1593" s="147"/>
      <c r="CD1593" s="147"/>
      <c r="CE1593" s="147"/>
      <c r="CF1593" s="147"/>
      <c r="CG1593" s="147"/>
      <c r="CH1593" s="147"/>
      <c r="CI1593" s="147"/>
      <c r="CJ1593" s="147"/>
      <c r="CK1593" s="147"/>
    </row>
    <row r="1594" spans="1:89">
      <c r="A1594" s="157"/>
      <c r="F1594" s="3"/>
      <c r="G1594" s="3"/>
      <c r="L1594" s="157"/>
      <c r="M1594" s="157"/>
      <c r="O1594" s="147"/>
      <c r="P1594" s="147"/>
      <c r="Q1594" s="147"/>
      <c r="R1594" s="147"/>
      <c r="S1594" s="147"/>
      <c r="T1594" s="147"/>
      <c r="U1594" s="147"/>
      <c r="V1594" s="147"/>
      <c r="W1594" s="147"/>
      <c r="X1594" s="147"/>
      <c r="Y1594" s="147"/>
      <c r="Z1594" s="147"/>
      <c r="AA1594" s="147"/>
      <c r="AB1594" s="147"/>
      <c r="AC1594" s="147"/>
      <c r="AD1594" s="147"/>
      <c r="AE1594" s="147"/>
      <c r="AF1594" s="147"/>
      <c r="AG1594" s="147"/>
      <c r="AH1594" s="147"/>
      <c r="AI1594" s="147"/>
      <c r="AJ1594" s="147"/>
      <c r="AK1594" s="147"/>
      <c r="AL1594" s="147"/>
      <c r="AM1594" s="151"/>
      <c r="AN1594" s="147"/>
      <c r="AO1594" s="147"/>
      <c r="AP1594" s="147"/>
      <c r="AQ1594" s="147"/>
      <c r="AR1594" s="147"/>
      <c r="AS1594" s="147"/>
      <c r="AT1594" s="147"/>
      <c r="AU1594" s="147"/>
      <c r="AV1594" s="147"/>
      <c r="AW1594" s="147"/>
      <c r="AX1594" s="147"/>
      <c r="AY1594" s="147"/>
      <c r="AZ1594" s="147"/>
      <c r="BA1594" s="147"/>
      <c r="BB1594" s="147"/>
      <c r="BC1594" s="147"/>
      <c r="BD1594" s="147"/>
      <c r="BE1594" s="147"/>
      <c r="BF1594" s="147"/>
      <c r="BG1594" s="147"/>
      <c r="BH1594" s="147"/>
      <c r="BI1594" s="147"/>
      <c r="BJ1594" s="147"/>
      <c r="BK1594" s="147"/>
      <c r="BL1594" s="147"/>
      <c r="BM1594" s="147"/>
      <c r="BN1594" s="147"/>
      <c r="BO1594" s="147"/>
      <c r="BP1594" s="147"/>
      <c r="BQ1594" s="147"/>
      <c r="BR1594" s="147"/>
      <c r="BS1594" s="147"/>
      <c r="BT1594" s="147"/>
      <c r="BU1594" s="147"/>
      <c r="BV1594" s="147"/>
      <c r="BW1594" s="147"/>
      <c r="BX1594" s="147"/>
      <c r="BY1594" s="147"/>
      <c r="BZ1594" s="147"/>
      <c r="CA1594" s="147"/>
      <c r="CB1594" s="147"/>
      <c r="CC1594" s="147"/>
      <c r="CD1594" s="147"/>
      <c r="CE1594" s="147"/>
      <c r="CF1594" s="147"/>
      <c r="CG1594" s="147"/>
      <c r="CH1594" s="147"/>
      <c r="CI1594" s="147"/>
      <c r="CJ1594" s="147"/>
      <c r="CK1594" s="147"/>
    </row>
    <row r="1595" spans="1:89">
      <c r="A1595" s="157"/>
      <c r="F1595" s="3"/>
      <c r="G1595" s="3"/>
      <c r="L1595" s="157"/>
      <c r="M1595" s="157"/>
      <c r="O1595" s="147"/>
      <c r="P1595" s="147"/>
      <c r="Q1595" s="147"/>
      <c r="R1595" s="147"/>
      <c r="S1595" s="147"/>
      <c r="T1595" s="147"/>
      <c r="U1595" s="147"/>
      <c r="V1595" s="147"/>
      <c r="W1595" s="147"/>
      <c r="X1595" s="147"/>
      <c r="Y1595" s="147"/>
      <c r="Z1595" s="147"/>
      <c r="AA1595" s="147"/>
      <c r="AB1595" s="147"/>
      <c r="AC1595" s="147"/>
      <c r="AD1595" s="147"/>
      <c r="AE1595" s="147"/>
      <c r="AF1595" s="147"/>
      <c r="AG1595" s="147"/>
      <c r="AH1595" s="147"/>
      <c r="AI1595" s="147"/>
      <c r="AJ1595" s="147"/>
      <c r="AK1595" s="147"/>
      <c r="AL1595" s="147"/>
      <c r="AM1595" s="151"/>
      <c r="AN1595" s="147"/>
      <c r="AO1595" s="147"/>
      <c r="AP1595" s="147"/>
      <c r="AQ1595" s="147"/>
      <c r="AR1595" s="147"/>
      <c r="AS1595" s="147"/>
      <c r="AT1595" s="147"/>
      <c r="AU1595" s="147"/>
      <c r="AV1595" s="147"/>
      <c r="AW1595" s="147"/>
      <c r="AX1595" s="147"/>
      <c r="AY1595" s="147"/>
      <c r="AZ1595" s="147"/>
      <c r="BA1595" s="147"/>
      <c r="BB1595" s="147"/>
      <c r="BC1595" s="147"/>
      <c r="BD1595" s="147"/>
      <c r="BE1595" s="147"/>
      <c r="BF1595" s="147"/>
      <c r="BG1595" s="147"/>
      <c r="BH1595" s="147"/>
      <c r="BI1595" s="147"/>
      <c r="BJ1595" s="147"/>
      <c r="BK1595" s="147"/>
      <c r="BL1595" s="147"/>
      <c r="BM1595" s="147"/>
      <c r="BN1595" s="147"/>
      <c r="BO1595" s="147"/>
      <c r="BP1595" s="147"/>
      <c r="BQ1595" s="147"/>
      <c r="BR1595" s="147"/>
      <c r="BS1595" s="147"/>
      <c r="BT1595" s="147"/>
      <c r="BU1595" s="147"/>
      <c r="BV1595" s="147"/>
      <c r="BW1595" s="147"/>
      <c r="BX1595" s="147"/>
      <c r="BY1595" s="147"/>
      <c r="BZ1595" s="147"/>
      <c r="CA1595" s="147"/>
      <c r="CB1595" s="147"/>
      <c r="CC1595" s="147"/>
      <c r="CD1595" s="147"/>
      <c r="CE1595" s="147"/>
      <c r="CF1595" s="147"/>
      <c r="CG1595" s="147"/>
      <c r="CH1595" s="147"/>
      <c r="CI1595" s="147"/>
      <c r="CJ1595" s="147"/>
      <c r="CK1595" s="147"/>
    </row>
    <row r="1596" spans="1:89">
      <c r="A1596" s="157"/>
      <c r="F1596" s="3"/>
      <c r="G1596" s="3"/>
      <c r="L1596" s="157"/>
      <c r="M1596" s="157"/>
      <c r="O1596" s="147"/>
      <c r="P1596" s="147"/>
      <c r="Q1596" s="147"/>
      <c r="R1596" s="147"/>
      <c r="S1596" s="147"/>
      <c r="T1596" s="147"/>
      <c r="U1596" s="147"/>
      <c r="V1596" s="147"/>
      <c r="W1596" s="147"/>
      <c r="X1596" s="147"/>
      <c r="Y1596" s="147"/>
      <c r="Z1596" s="147"/>
      <c r="AA1596" s="147"/>
      <c r="AB1596" s="147"/>
      <c r="AC1596" s="147"/>
      <c r="AD1596" s="147"/>
      <c r="AE1596" s="147"/>
      <c r="AF1596" s="147"/>
      <c r="AG1596" s="147"/>
      <c r="AH1596" s="147"/>
      <c r="AI1596" s="147"/>
      <c r="AJ1596" s="147"/>
      <c r="AK1596" s="147"/>
      <c r="AL1596" s="147"/>
      <c r="AM1596" s="151"/>
      <c r="AN1596" s="147"/>
      <c r="AO1596" s="147"/>
      <c r="AP1596" s="147"/>
      <c r="AQ1596" s="147"/>
      <c r="AR1596" s="147"/>
      <c r="AS1596" s="147"/>
      <c r="AT1596" s="147"/>
      <c r="AU1596" s="147"/>
      <c r="AV1596" s="147"/>
      <c r="AW1596" s="147"/>
      <c r="AX1596" s="147"/>
      <c r="AY1596" s="147"/>
      <c r="AZ1596" s="147"/>
      <c r="BA1596" s="147"/>
      <c r="BB1596" s="147"/>
      <c r="BC1596" s="147"/>
      <c r="BD1596" s="147"/>
      <c r="BE1596" s="147"/>
      <c r="BF1596" s="147"/>
      <c r="BG1596" s="147"/>
      <c r="BH1596" s="147"/>
      <c r="BI1596" s="147"/>
      <c r="BJ1596" s="147"/>
      <c r="BK1596" s="147"/>
      <c r="BL1596" s="147"/>
      <c r="BM1596" s="147"/>
      <c r="BN1596" s="147"/>
      <c r="BO1596" s="147"/>
      <c r="BP1596" s="147"/>
      <c r="BQ1596" s="147"/>
      <c r="BR1596" s="147"/>
      <c r="BS1596" s="147"/>
      <c r="BT1596" s="147"/>
      <c r="BU1596" s="147"/>
      <c r="BV1596" s="147"/>
      <c r="BW1596" s="147"/>
      <c r="BX1596" s="147"/>
      <c r="BY1596" s="147"/>
      <c r="BZ1596" s="147"/>
      <c r="CA1596" s="147"/>
      <c r="CB1596" s="147"/>
      <c r="CC1596" s="147"/>
      <c r="CD1596" s="147"/>
      <c r="CE1596" s="147"/>
      <c r="CF1596" s="147"/>
      <c r="CG1596" s="147"/>
      <c r="CH1596" s="147"/>
      <c r="CI1596" s="147"/>
      <c r="CJ1596" s="147"/>
      <c r="CK1596" s="147"/>
    </row>
    <row r="1597" spans="1:89">
      <c r="A1597" s="157"/>
      <c r="F1597" s="3"/>
      <c r="G1597" s="3"/>
      <c r="L1597" s="157"/>
      <c r="M1597" s="157"/>
      <c r="O1597" s="147"/>
      <c r="P1597" s="147"/>
      <c r="Q1597" s="147"/>
      <c r="R1597" s="147"/>
      <c r="S1597" s="147"/>
      <c r="T1597" s="147"/>
      <c r="U1597" s="147"/>
      <c r="V1597" s="147"/>
      <c r="W1597" s="147"/>
      <c r="X1597" s="147"/>
      <c r="Y1597" s="147"/>
      <c r="Z1597" s="147"/>
      <c r="AA1597" s="147"/>
      <c r="AB1597" s="147"/>
      <c r="AC1597" s="147"/>
      <c r="AD1597" s="147"/>
      <c r="AE1597" s="147"/>
      <c r="AF1597" s="147"/>
      <c r="AG1597" s="147"/>
      <c r="AH1597" s="147"/>
      <c r="AI1597" s="147"/>
      <c r="AJ1597" s="147"/>
      <c r="AK1597" s="147"/>
      <c r="AL1597" s="147"/>
      <c r="AM1597" s="151"/>
      <c r="AN1597" s="147"/>
      <c r="AO1597" s="147"/>
      <c r="AP1597" s="147"/>
      <c r="AQ1597" s="147"/>
      <c r="AR1597" s="147"/>
      <c r="AS1597" s="147"/>
      <c r="AT1597" s="147"/>
      <c r="AU1597" s="147"/>
      <c r="AV1597" s="147"/>
      <c r="AW1597" s="147"/>
      <c r="AX1597" s="147"/>
      <c r="AY1597" s="147"/>
      <c r="AZ1597" s="147"/>
      <c r="BA1597" s="147"/>
      <c r="BB1597" s="147"/>
      <c r="BC1597" s="147"/>
      <c r="BD1597" s="147"/>
      <c r="BE1597" s="147"/>
      <c r="BF1597" s="147"/>
      <c r="BG1597" s="147"/>
      <c r="BH1597" s="147"/>
      <c r="BI1597" s="147"/>
      <c r="BJ1597" s="147"/>
      <c r="BK1597" s="147"/>
      <c r="BL1597" s="147"/>
      <c r="BM1597" s="147"/>
      <c r="BN1597" s="147"/>
      <c r="BO1597" s="147"/>
      <c r="BP1597" s="147"/>
      <c r="BQ1597" s="147"/>
      <c r="BR1597" s="147"/>
      <c r="BS1597" s="147"/>
      <c r="BT1597" s="147"/>
      <c r="BU1597" s="147"/>
      <c r="BV1597" s="147"/>
      <c r="BW1597" s="147"/>
      <c r="BX1597" s="147"/>
      <c r="BY1597" s="147"/>
      <c r="BZ1597" s="147"/>
      <c r="CA1597" s="147"/>
      <c r="CB1597" s="147"/>
      <c r="CC1597" s="147"/>
      <c r="CD1597" s="147"/>
      <c r="CE1597" s="147"/>
      <c r="CF1597" s="147"/>
      <c r="CG1597" s="147"/>
      <c r="CH1597" s="147"/>
      <c r="CI1597" s="147"/>
      <c r="CJ1597" s="147"/>
      <c r="CK1597" s="147"/>
    </row>
    <row r="1598" spans="1:89">
      <c r="A1598" s="157"/>
      <c r="F1598" s="3"/>
      <c r="G1598" s="3"/>
      <c r="L1598" s="157"/>
      <c r="M1598" s="157"/>
      <c r="O1598" s="147"/>
      <c r="P1598" s="147"/>
      <c r="Q1598" s="147"/>
      <c r="R1598" s="147"/>
      <c r="S1598" s="147"/>
      <c r="T1598" s="147"/>
      <c r="U1598" s="147"/>
      <c r="V1598" s="147"/>
      <c r="W1598" s="147"/>
      <c r="X1598" s="147"/>
      <c r="Y1598" s="147"/>
      <c r="Z1598" s="147"/>
      <c r="AA1598" s="147"/>
      <c r="AB1598" s="147"/>
      <c r="AC1598" s="147"/>
      <c r="AD1598" s="147"/>
      <c r="AE1598" s="147"/>
      <c r="AF1598" s="147"/>
      <c r="AG1598" s="147"/>
      <c r="AH1598" s="147"/>
      <c r="AI1598" s="147"/>
      <c r="AJ1598" s="147"/>
      <c r="AK1598" s="147"/>
      <c r="AL1598" s="147"/>
      <c r="AM1598" s="151"/>
      <c r="AN1598" s="147"/>
      <c r="AO1598" s="147"/>
      <c r="AP1598" s="147"/>
      <c r="AQ1598" s="147"/>
      <c r="AR1598" s="147"/>
      <c r="AS1598" s="147"/>
      <c r="AT1598" s="147"/>
      <c r="AU1598" s="147"/>
      <c r="AV1598" s="147"/>
      <c r="AW1598" s="147"/>
      <c r="AX1598" s="147"/>
      <c r="AY1598" s="147"/>
      <c r="AZ1598" s="147"/>
      <c r="BA1598" s="147"/>
      <c r="BB1598" s="147"/>
      <c r="BC1598" s="147"/>
      <c r="BD1598" s="147"/>
      <c r="BE1598" s="147"/>
      <c r="BF1598" s="147"/>
      <c r="BG1598" s="147"/>
      <c r="BH1598" s="147"/>
      <c r="BI1598" s="147"/>
      <c r="BJ1598" s="147"/>
      <c r="BK1598" s="147"/>
      <c r="BL1598" s="147"/>
      <c r="BM1598" s="147"/>
      <c r="BN1598" s="147"/>
      <c r="BO1598" s="147"/>
      <c r="BP1598" s="147"/>
      <c r="BQ1598" s="147"/>
      <c r="BR1598" s="147"/>
      <c r="BS1598" s="147"/>
      <c r="BT1598" s="147"/>
      <c r="BU1598" s="147"/>
      <c r="BV1598" s="147"/>
      <c r="BW1598" s="147"/>
      <c r="BX1598" s="147"/>
      <c r="BY1598" s="147"/>
      <c r="BZ1598" s="147"/>
      <c r="CA1598" s="147"/>
      <c r="CB1598" s="147"/>
      <c r="CC1598" s="147"/>
      <c r="CD1598" s="147"/>
      <c r="CE1598" s="147"/>
      <c r="CF1598" s="147"/>
      <c r="CG1598" s="147"/>
      <c r="CH1598" s="147"/>
      <c r="CI1598" s="147"/>
      <c r="CJ1598" s="147"/>
      <c r="CK1598" s="147"/>
    </row>
    <row r="1599" spans="1:89">
      <c r="A1599" s="157"/>
      <c r="F1599" s="3"/>
      <c r="G1599" s="3"/>
      <c r="L1599" s="157"/>
      <c r="M1599" s="157"/>
      <c r="O1599" s="147"/>
      <c r="P1599" s="147"/>
      <c r="Q1599" s="147"/>
      <c r="R1599" s="147"/>
      <c r="S1599" s="147"/>
      <c r="T1599" s="147"/>
      <c r="U1599" s="147"/>
      <c r="V1599" s="147"/>
      <c r="W1599" s="147"/>
      <c r="X1599" s="147"/>
      <c r="Y1599" s="147"/>
      <c r="Z1599" s="147"/>
      <c r="AA1599" s="147"/>
      <c r="AB1599" s="147"/>
      <c r="AC1599" s="147"/>
      <c r="AD1599" s="147"/>
      <c r="AE1599" s="147"/>
      <c r="AF1599" s="147"/>
      <c r="AG1599" s="147"/>
      <c r="AH1599" s="147"/>
      <c r="AI1599" s="147"/>
      <c r="AJ1599" s="147"/>
      <c r="AK1599" s="147"/>
      <c r="AL1599" s="147"/>
      <c r="AM1599" s="151"/>
      <c r="AN1599" s="147"/>
      <c r="AO1599" s="147"/>
      <c r="AP1599" s="147"/>
      <c r="AQ1599" s="147"/>
      <c r="AR1599" s="147"/>
      <c r="AS1599" s="147"/>
      <c r="AT1599" s="147"/>
      <c r="AU1599" s="147"/>
      <c r="AV1599" s="147"/>
      <c r="AW1599" s="147"/>
      <c r="AX1599" s="147"/>
      <c r="AY1599" s="147"/>
      <c r="AZ1599" s="147"/>
      <c r="BA1599" s="147"/>
      <c r="BB1599" s="147"/>
      <c r="BC1599" s="147"/>
      <c r="BD1599" s="147"/>
      <c r="BE1599" s="147"/>
      <c r="BF1599" s="147"/>
      <c r="BG1599" s="147"/>
      <c r="BH1599" s="147"/>
      <c r="BI1599" s="147"/>
      <c r="BJ1599" s="147"/>
      <c r="BK1599" s="147"/>
      <c r="BL1599" s="147"/>
      <c r="BM1599" s="147"/>
      <c r="BN1599" s="147"/>
      <c r="BO1599" s="147"/>
      <c r="BP1599" s="147"/>
      <c r="BQ1599" s="147"/>
      <c r="BR1599" s="147"/>
      <c r="BS1599" s="147"/>
      <c r="BT1599" s="147"/>
      <c r="BU1599" s="147"/>
      <c r="BV1599" s="147"/>
      <c r="BW1599" s="147"/>
      <c r="BX1599" s="147"/>
      <c r="BY1599" s="147"/>
      <c r="BZ1599" s="147"/>
      <c r="CA1599" s="147"/>
      <c r="CB1599" s="147"/>
      <c r="CC1599" s="147"/>
      <c r="CD1599" s="147"/>
      <c r="CE1599" s="147"/>
      <c r="CF1599" s="147"/>
      <c r="CG1599" s="147"/>
      <c r="CH1599" s="147"/>
      <c r="CI1599" s="147"/>
      <c r="CJ1599" s="147"/>
      <c r="CK1599" s="147"/>
    </row>
  </sheetData>
  <autoFilter ref="A1:M544" xr:uid="{00000000-0009-0000-0000-000008000000}"/>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LEVEL_HELPER!$A$2:$A$15</xm:f>
          </x14:formula1>
          <xm:sqref>F2:G1599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V1599"/>
  <sheetViews>
    <sheetView workbookViewId="0"/>
  </sheetViews>
  <sheetFormatPr defaultColWidth="14.42578125" defaultRowHeight="15" customHeight="1"/>
  <cols>
    <col min="2" max="2" width="31.140625" customWidth="1"/>
    <col min="5" max="5" width="23.140625" customWidth="1"/>
    <col min="6" max="6" width="23.28515625" customWidth="1"/>
    <col min="7" max="7" width="24.85546875" customWidth="1"/>
    <col min="13" max="13" width="22.5703125" customWidth="1"/>
    <col min="17" max="17" width="12.28515625" customWidth="1"/>
    <col min="18" max="18" width="11.140625" customWidth="1"/>
    <col min="19" max="19" width="10" customWidth="1"/>
    <col min="20" max="22" width="18.85546875" customWidth="1"/>
  </cols>
  <sheetData>
    <row r="1" spans="1:22" ht="45">
      <c r="A1" s="139" t="s">
        <v>123</v>
      </c>
      <c r="B1" s="138" t="s">
        <v>124</v>
      </c>
      <c r="C1" s="138" t="s">
        <v>44</v>
      </c>
      <c r="D1" s="138" t="s">
        <v>45</v>
      </c>
      <c r="E1" s="138" t="s">
        <v>14</v>
      </c>
      <c r="F1" s="138" t="s">
        <v>128</v>
      </c>
      <c r="G1" s="138" t="s">
        <v>894</v>
      </c>
      <c r="H1" s="138" t="s">
        <v>964</v>
      </c>
      <c r="I1" s="138" t="s">
        <v>897</v>
      </c>
      <c r="J1" s="138" t="s">
        <v>898</v>
      </c>
      <c r="K1" s="138" t="s">
        <v>965</v>
      </c>
      <c r="L1" s="138" t="s">
        <v>966</v>
      </c>
      <c r="M1" s="138" t="s">
        <v>967</v>
      </c>
      <c r="N1" s="138" t="s">
        <v>899</v>
      </c>
      <c r="O1" s="138" t="s">
        <v>125</v>
      </c>
      <c r="P1" s="138" t="s">
        <v>900</v>
      </c>
      <c r="Q1" s="138" t="s">
        <v>901</v>
      </c>
      <c r="R1" s="138" t="s">
        <v>902</v>
      </c>
      <c r="S1" s="138" t="s">
        <v>903</v>
      </c>
      <c r="T1" s="138"/>
      <c r="U1" s="145"/>
      <c r="V1" s="145"/>
    </row>
    <row r="2" spans="1:22">
      <c r="A2" s="176" t="s">
        <v>721</v>
      </c>
      <c r="B2" s="154" t="s">
        <v>722</v>
      </c>
      <c r="C2" s="155" t="s">
        <v>51</v>
      </c>
      <c r="D2" s="155" t="s">
        <v>844</v>
      </c>
      <c r="E2" s="154" t="s">
        <v>21</v>
      </c>
      <c r="F2" s="3" t="s">
        <v>916</v>
      </c>
      <c r="G2" s="3" t="s">
        <v>917</v>
      </c>
      <c r="H2" s="156" t="str">
        <f ca="1">IFERROR(
  _xludf.MINIFS(ATTENDANCE_LOG!$F:$F,
         ATTENDANCE_LOG!$A:$A, C2,
         ATTENDANCE_LOG!$B:$B, E2),
"")</f>
        <v/>
      </c>
      <c r="I2" s="3">
        <f>IFERROR(VLOOKUP(F2, LEVEL_HELPER!$A:$B, 2, 0), "")</f>
        <v>2.5</v>
      </c>
      <c r="J2" s="3">
        <f>IFERROR(VLOOKUP(G2, LEVEL_HELPER!$A:$B, 2, 0), "")</f>
        <v>3</v>
      </c>
      <c r="K2" s="3">
        <f t="shared" ref="K2:L2" si="0">IF(OR(I2="", I2=0), "",
  IF(I2&lt;=2,   1,
  IF(I2&lt;=4,   2,
  IF(I2&lt;=5.5, 3, 4))))</f>
        <v>2</v>
      </c>
      <c r="L2" s="3">
        <f t="shared" si="0"/>
        <v>2</v>
      </c>
      <c r="M2" s="3" t="str">
        <f t="shared" ref="M2:M256" si="1">IF(OR(K2="", L2=""), "No Data",
  IF(L2&lt;K2,    "Regressed",
  IF(L2=K2,
    IF(J2&gt;I2,  "Progress within level",
               "No Progress"),
  IF(L2-K2=1, "Lv"&amp;K2&amp;" → Lv"&amp;L2,
  "Lv"&amp;K2&amp;" → Lv"&amp;L2&amp;" (+"&amp;(L2-K2)&amp;")"))))</f>
        <v>Progress within level</v>
      </c>
      <c r="N2" s="157" t="s">
        <v>918</v>
      </c>
      <c r="O2" s="157" t="s">
        <v>919</v>
      </c>
      <c r="P2" s="3" t="str">
        <f t="shared" ref="P2:P256" ca="1" si="2">IFERROR(_xludf.MINIFS($I:$I, $A:$A, A2, $I:$I, "&gt;"&amp;0), "")</f>
        <v/>
      </c>
      <c r="Q2" s="147" t="str">
        <f t="shared" ref="Q2:Q256" ca="1" si="3">IFERROR(_xludf.MAXIFS($J:$J, $A:$A, A2), "")</f>
        <v/>
      </c>
      <c r="R2" s="147" t="str">
        <f t="shared" ref="R2:S2" ca="1" si="4">IF(OR(P2="", P2=0), "",
  IF(P2&lt;=2,   1,
  IF(P2&lt;=4,   2,
  IF(P2&lt;=5.5, 3, 4))))</f>
        <v/>
      </c>
      <c r="S2" s="147" t="str">
        <f t="shared" ca="1" si="4"/>
        <v/>
      </c>
      <c r="T2" s="147" t="str">
        <f t="shared" ref="T2:T256" ca="1" si="5">IF(OR(R2="", S2=""), "No Data",
  IF(S2&lt;R2, "Regressed",
  IF(S2=R2,
    IF(Q2&gt;P2, "Progress within level",
              "No Progress"),
  IF(S2-R2=1, "Lv"&amp;R2&amp;" → Lv"&amp;S2,
  "Lv"&amp;R2&amp;" → Lv"&amp;S2&amp;" (multi)"))))</f>
        <v>No Data</v>
      </c>
      <c r="U2" s="147">
        <f t="shared" ref="U2:U256" si="6">IF(COUNTIF($A$2:A2, A2)=1, 1, 0)</f>
        <v>1</v>
      </c>
      <c r="V2" s="147" t="str">
        <f t="array" ref="V2">IFERROR(
  VLOOKUP(C2&amp;"|"&amp;E2,
    CLASS_DATES!$A$2:$A$100&amp;"|"&amp;CLASS_DATES!$B$2:$B$100,
    CLASS_DATES!$C$2:$C$100,
    0),
"")</f>
        <v/>
      </c>
    </row>
    <row r="3" spans="1:22">
      <c r="A3" s="157" t="s">
        <v>296</v>
      </c>
      <c r="B3" s="3" t="s">
        <v>297</v>
      </c>
      <c r="C3" s="160" t="s">
        <v>51</v>
      </c>
      <c r="D3" s="160" t="s">
        <v>844</v>
      </c>
      <c r="E3" s="3" t="s">
        <v>21</v>
      </c>
      <c r="F3" s="3" t="s">
        <v>926</v>
      </c>
      <c r="G3" s="3" t="s">
        <v>917</v>
      </c>
      <c r="H3" s="156" t="str">
        <f ca="1">IFERROR(
  _xludf.MINIFS(ATTENDANCE_LOG!$F:$F,
         ATTENDANCE_LOG!$A:$A, C3,
         ATTENDANCE_LOG!$B:$B, E3),
"")</f>
        <v/>
      </c>
      <c r="I3" s="3">
        <f>IFERROR(VLOOKUP(F3, LEVEL_HELPER!$A:$B, 2, 0), "")</f>
        <v>1</v>
      </c>
      <c r="J3" s="3">
        <f>IFERROR(VLOOKUP(G3, LEVEL_HELPER!$A:$B, 2, 0), "")</f>
        <v>3</v>
      </c>
      <c r="K3" s="3">
        <f t="shared" ref="K3:L3" si="7">IF(OR(I3="", I3=0), "",
  IF(I3&lt;=2,   1,
  IF(I3&lt;=4,   2,
  IF(I3&lt;=5.5, 3, 4))))</f>
        <v>1</v>
      </c>
      <c r="L3" s="3">
        <f t="shared" si="7"/>
        <v>2</v>
      </c>
      <c r="M3" s="3" t="str">
        <f t="shared" si="1"/>
        <v>Lv1 → Lv2</v>
      </c>
      <c r="N3" s="157" t="s">
        <v>918</v>
      </c>
      <c r="O3" s="157" t="s">
        <v>919</v>
      </c>
      <c r="P3" s="3" t="str">
        <f t="shared" ca="1" si="2"/>
        <v/>
      </c>
      <c r="Q3" s="147" t="str">
        <f t="shared" ca="1" si="3"/>
        <v/>
      </c>
      <c r="R3" s="147" t="str">
        <f t="shared" ref="R3:S3" ca="1" si="8">IF(OR(P3="", P3=0), "",
  IF(P3&lt;=2,   1,
  IF(P3&lt;=4,   2,
  IF(P3&lt;=5.5, 3, 4))))</f>
        <v/>
      </c>
      <c r="S3" s="147" t="str">
        <f t="shared" ca="1" si="8"/>
        <v/>
      </c>
      <c r="T3" s="147" t="str">
        <f t="shared" ca="1" si="5"/>
        <v>No Data</v>
      </c>
      <c r="U3" s="147">
        <f t="shared" si="6"/>
        <v>1</v>
      </c>
      <c r="V3" s="147"/>
    </row>
    <row r="4" spans="1:22">
      <c r="A4" s="157" t="s">
        <v>319</v>
      </c>
      <c r="B4" s="3" t="s">
        <v>320</v>
      </c>
      <c r="C4" s="160" t="s">
        <v>51</v>
      </c>
      <c r="D4" s="160" t="s">
        <v>844</v>
      </c>
      <c r="E4" s="3" t="s">
        <v>21</v>
      </c>
      <c r="F4" s="3" t="s">
        <v>926</v>
      </c>
      <c r="G4" s="3" t="s">
        <v>928</v>
      </c>
      <c r="H4" s="156" t="str">
        <f ca="1">IFERROR(
  _xludf.MINIFS(ATTENDANCE_LOG!$F:$F,
         ATTENDANCE_LOG!$A:$A, C4,
         ATTENDANCE_LOG!$B:$B, E4),
"")</f>
        <v/>
      </c>
      <c r="I4" s="3">
        <f>IFERROR(VLOOKUP(F4, LEVEL_HELPER!$A:$B, 2, 0), "")</f>
        <v>1</v>
      </c>
      <c r="J4" s="3">
        <f>IFERROR(VLOOKUP(G4, LEVEL_HELPER!$A:$B, 2, 0), "")</f>
        <v>1.5</v>
      </c>
      <c r="K4" s="3">
        <f t="shared" ref="K4:L4" si="9">IF(OR(I4="", I4=0), "",
  IF(I4&lt;=2,   1,
  IF(I4&lt;=4,   2,
  IF(I4&lt;=5.5, 3, 4))))</f>
        <v>1</v>
      </c>
      <c r="L4" s="3">
        <f t="shared" si="9"/>
        <v>1</v>
      </c>
      <c r="M4" s="3" t="str">
        <f t="shared" si="1"/>
        <v>Progress within level</v>
      </c>
      <c r="N4" s="157" t="s">
        <v>918</v>
      </c>
      <c r="O4" s="157" t="s">
        <v>919</v>
      </c>
      <c r="P4" s="3" t="str">
        <f t="shared" ca="1" si="2"/>
        <v/>
      </c>
      <c r="Q4" s="147" t="str">
        <f t="shared" ca="1" si="3"/>
        <v/>
      </c>
      <c r="R4" s="147" t="str">
        <f t="shared" ref="R4:S4" ca="1" si="10">IF(OR(P4="", P4=0), "",
  IF(P4&lt;=2,   1,
  IF(P4&lt;=4,   2,
  IF(P4&lt;=5.5, 3, 4))))</f>
        <v/>
      </c>
      <c r="S4" s="147" t="str">
        <f t="shared" ca="1" si="10"/>
        <v/>
      </c>
      <c r="T4" s="147" t="str">
        <f t="shared" ca="1" si="5"/>
        <v>No Data</v>
      </c>
      <c r="U4" s="147">
        <f t="shared" si="6"/>
        <v>1</v>
      </c>
      <c r="V4" s="147"/>
    </row>
    <row r="5" spans="1:22">
      <c r="A5" s="157" t="s">
        <v>474</v>
      </c>
      <c r="B5" s="3" t="s">
        <v>475</v>
      </c>
      <c r="C5" s="160" t="s">
        <v>51</v>
      </c>
      <c r="D5" s="160" t="s">
        <v>844</v>
      </c>
      <c r="E5" s="3" t="s">
        <v>21</v>
      </c>
      <c r="F5" s="3" t="s">
        <v>926</v>
      </c>
      <c r="G5" s="3" t="s">
        <v>917</v>
      </c>
      <c r="H5" s="156" t="str">
        <f ca="1">IFERROR(
  _xludf.MINIFS(ATTENDANCE_LOG!$F:$F,
         ATTENDANCE_LOG!$A:$A, C5,
         ATTENDANCE_LOG!$B:$B, E5),
"")</f>
        <v/>
      </c>
      <c r="I5" s="3">
        <f>IFERROR(VLOOKUP(F5, LEVEL_HELPER!$A:$B, 2, 0), "")</f>
        <v>1</v>
      </c>
      <c r="J5" s="3">
        <f>IFERROR(VLOOKUP(G5, LEVEL_HELPER!$A:$B, 2, 0), "")</f>
        <v>3</v>
      </c>
      <c r="K5" s="3">
        <f t="shared" ref="K5:L5" si="11">IF(OR(I5="", I5=0), "",
  IF(I5&lt;=2,   1,
  IF(I5&lt;=4,   2,
  IF(I5&lt;=5.5, 3, 4))))</f>
        <v>1</v>
      </c>
      <c r="L5" s="3">
        <f t="shared" si="11"/>
        <v>2</v>
      </c>
      <c r="M5" s="3" t="str">
        <f t="shared" si="1"/>
        <v>Lv1 → Lv2</v>
      </c>
      <c r="N5" s="157" t="s">
        <v>918</v>
      </c>
      <c r="O5" s="157" t="s">
        <v>919</v>
      </c>
      <c r="P5" s="3" t="str">
        <f t="shared" ca="1" si="2"/>
        <v/>
      </c>
      <c r="Q5" s="147" t="str">
        <f t="shared" ca="1" si="3"/>
        <v/>
      </c>
      <c r="R5" s="147" t="str">
        <f t="shared" ref="R5:S5" ca="1" si="12">IF(OR(P5="", P5=0), "",
  IF(P5&lt;=2,   1,
  IF(P5&lt;=4,   2,
  IF(P5&lt;=5.5, 3, 4))))</f>
        <v/>
      </c>
      <c r="S5" s="147" t="str">
        <f t="shared" ca="1" si="12"/>
        <v/>
      </c>
      <c r="T5" s="147" t="str">
        <f t="shared" ca="1" si="5"/>
        <v>No Data</v>
      </c>
      <c r="U5" s="147">
        <f t="shared" si="6"/>
        <v>1</v>
      </c>
      <c r="V5" s="147"/>
    </row>
    <row r="6" spans="1:22">
      <c r="A6" s="157" t="s">
        <v>657</v>
      </c>
      <c r="B6" s="3" t="s">
        <v>658</v>
      </c>
      <c r="C6" s="160" t="s">
        <v>51</v>
      </c>
      <c r="D6" s="160" t="s">
        <v>844</v>
      </c>
      <c r="E6" s="3" t="s">
        <v>21</v>
      </c>
      <c r="F6" s="3" t="s">
        <v>931</v>
      </c>
      <c r="G6" s="3" t="s">
        <v>931</v>
      </c>
      <c r="H6" s="156" t="str">
        <f ca="1">IFERROR(
  _xludf.MINIFS(ATTENDANCE_LOG!$F:$F,
         ATTENDANCE_LOG!$A:$A, C6,
         ATTENDANCE_LOG!$B:$B, E6),
"")</f>
        <v/>
      </c>
      <c r="I6" s="3">
        <f>IFERROR(VLOOKUP(F6, LEVEL_HELPER!$A:$B, 2, 0), "")</f>
        <v>4.5</v>
      </c>
      <c r="J6" s="3">
        <f>IFERROR(VLOOKUP(G6, LEVEL_HELPER!$A:$B, 2, 0), "")</f>
        <v>4.5</v>
      </c>
      <c r="K6" s="3">
        <f t="shared" ref="K6:L6" si="13">IF(OR(I6="", I6=0), "",
  IF(I6&lt;=2,   1,
  IF(I6&lt;=4,   2,
  IF(I6&lt;=5.5, 3, 4))))</f>
        <v>3</v>
      </c>
      <c r="L6" s="3">
        <f t="shared" si="13"/>
        <v>3</v>
      </c>
      <c r="M6" s="3" t="str">
        <f t="shared" si="1"/>
        <v>No Progress</v>
      </c>
      <c r="N6" s="157" t="s">
        <v>918</v>
      </c>
      <c r="O6" s="157" t="s">
        <v>919</v>
      </c>
      <c r="P6" s="3" t="str">
        <f t="shared" ca="1" si="2"/>
        <v/>
      </c>
      <c r="Q6" s="147" t="str">
        <f t="shared" ca="1" si="3"/>
        <v/>
      </c>
      <c r="R6" s="147" t="str">
        <f t="shared" ref="R6:S6" ca="1" si="14">IF(OR(P6="", P6=0), "",
  IF(P6&lt;=2,   1,
  IF(P6&lt;=4,   2,
  IF(P6&lt;=5.5, 3, 4))))</f>
        <v/>
      </c>
      <c r="S6" s="147" t="str">
        <f t="shared" ca="1" si="14"/>
        <v/>
      </c>
      <c r="T6" s="147" t="str">
        <f t="shared" ca="1" si="5"/>
        <v>No Data</v>
      </c>
      <c r="U6" s="147">
        <f t="shared" si="6"/>
        <v>1</v>
      </c>
      <c r="V6" s="147"/>
    </row>
    <row r="7" spans="1:22">
      <c r="A7" s="157" t="s">
        <v>659</v>
      </c>
      <c r="B7" s="3" t="s">
        <v>660</v>
      </c>
      <c r="C7" s="160" t="s">
        <v>51</v>
      </c>
      <c r="D7" s="160" t="s">
        <v>844</v>
      </c>
      <c r="E7" s="3" t="s">
        <v>21</v>
      </c>
      <c r="F7" s="3" t="s">
        <v>926</v>
      </c>
      <c r="G7" s="3" t="s">
        <v>934</v>
      </c>
      <c r="H7" s="156" t="str">
        <f ca="1">IFERROR(
  _xludf.MINIFS(ATTENDANCE_LOG!$F:$F,
         ATTENDANCE_LOG!$A:$A, C7,
         ATTENDANCE_LOG!$B:$B, E7),
"")</f>
        <v/>
      </c>
      <c r="I7" s="3">
        <f>IFERROR(VLOOKUP(F7, LEVEL_HELPER!$A:$B, 2, 0), "")</f>
        <v>1</v>
      </c>
      <c r="J7" s="3">
        <f>IFERROR(VLOOKUP(G7, LEVEL_HELPER!$A:$B, 2, 0), "")</f>
        <v>3.5</v>
      </c>
      <c r="K7" s="3">
        <f t="shared" ref="K7:L7" si="15">IF(OR(I7="", I7=0), "",
  IF(I7&lt;=2,   1,
  IF(I7&lt;=4,   2,
  IF(I7&lt;=5.5, 3, 4))))</f>
        <v>1</v>
      </c>
      <c r="L7" s="3">
        <f t="shared" si="15"/>
        <v>2</v>
      </c>
      <c r="M7" s="3" t="str">
        <f t="shared" si="1"/>
        <v>Lv1 → Lv2</v>
      </c>
      <c r="N7" s="157" t="s">
        <v>918</v>
      </c>
      <c r="O7" s="157" t="s">
        <v>919</v>
      </c>
      <c r="P7" s="3" t="str">
        <f t="shared" ca="1" si="2"/>
        <v/>
      </c>
      <c r="Q7" s="147" t="str">
        <f t="shared" ca="1" si="3"/>
        <v/>
      </c>
      <c r="R7" s="147" t="str">
        <f t="shared" ref="R7:S7" ca="1" si="16">IF(OR(P7="", P7=0), "",
  IF(P7&lt;=2,   1,
  IF(P7&lt;=4,   2,
  IF(P7&lt;=5.5, 3, 4))))</f>
        <v/>
      </c>
      <c r="S7" s="147" t="str">
        <f t="shared" ca="1" si="16"/>
        <v/>
      </c>
      <c r="T7" s="147" t="str">
        <f t="shared" ca="1" si="5"/>
        <v>No Data</v>
      </c>
      <c r="U7" s="147">
        <f t="shared" si="6"/>
        <v>1</v>
      </c>
      <c r="V7" s="147"/>
    </row>
    <row r="8" spans="1:22">
      <c r="A8" s="176" t="s">
        <v>721</v>
      </c>
      <c r="B8" s="154" t="s">
        <v>722</v>
      </c>
      <c r="C8" s="155" t="s">
        <v>51</v>
      </c>
      <c r="D8" s="155" t="s">
        <v>844</v>
      </c>
      <c r="E8" s="154" t="s">
        <v>22</v>
      </c>
      <c r="F8" s="3" t="s">
        <v>917</v>
      </c>
      <c r="G8" s="3" t="s">
        <v>934</v>
      </c>
      <c r="H8" s="156" t="str">
        <f ca="1">IFERROR(
  _xludf.MINIFS(ATTENDANCE_LOG!$F:$F,
         ATTENDANCE_LOG!$A:$A, C8,
         ATTENDANCE_LOG!$B:$B, E8),
"")</f>
        <v/>
      </c>
      <c r="I8" s="3">
        <f>IFERROR(VLOOKUP(F8, LEVEL_HELPER!$A:$B, 2, 0), "")</f>
        <v>3</v>
      </c>
      <c r="J8" s="3">
        <f>IFERROR(VLOOKUP(G8, LEVEL_HELPER!$A:$B, 2, 0), "")</f>
        <v>3.5</v>
      </c>
      <c r="K8" s="3">
        <f t="shared" ref="K8:L8" si="17">IF(OR(I8="", I8=0), "",
  IF(I8&lt;=2,   1,
  IF(I8&lt;=4,   2,
  IF(I8&lt;=5.5, 3, 4))))</f>
        <v>2</v>
      </c>
      <c r="L8" s="3">
        <f t="shared" si="17"/>
        <v>2</v>
      </c>
      <c r="M8" s="3" t="str">
        <f t="shared" si="1"/>
        <v>Progress within level</v>
      </c>
      <c r="N8" s="157" t="s">
        <v>918</v>
      </c>
      <c r="O8" s="157" t="s">
        <v>919</v>
      </c>
      <c r="P8" s="3" t="str">
        <f t="shared" ca="1" si="2"/>
        <v/>
      </c>
      <c r="Q8" s="147" t="str">
        <f t="shared" ca="1" si="3"/>
        <v/>
      </c>
      <c r="R8" s="147" t="str">
        <f t="shared" ref="R8:S8" ca="1" si="18">IF(OR(P8="", P8=0), "",
  IF(P8&lt;=2,   1,
  IF(P8&lt;=4,   2,
  IF(P8&lt;=5.5, 3, 4))))</f>
        <v/>
      </c>
      <c r="S8" s="147" t="str">
        <f t="shared" ca="1" si="18"/>
        <v/>
      </c>
      <c r="T8" s="147" t="str">
        <f t="shared" ca="1" si="5"/>
        <v>No Data</v>
      </c>
      <c r="U8" s="147">
        <f t="shared" si="6"/>
        <v>0</v>
      </c>
      <c r="V8" s="147"/>
    </row>
    <row r="9" spans="1:22">
      <c r="A9" s="157" t="s">
        <v>296</v>
      </c>
      <c r="B9" s="3" t="s">
        <v>297</v>
      </c>
      <c r="C9" s="160" t="s">
        <v>51</v>
      </c>
      <c r="D9" s="160" t="s">
        <v>844</v>
      </c>
      <c r="E9" s="3" t="s">
        <v>22</v>
      </c>
      <c r="F9" s="3" t="s">
        <v>917</v>
      </c>
      <c r="G9" s="3" t="s">
        <v>934</v>
      </c>
      <c r="H9" s="156" t="str">
        <f ca="1">IFERROR(
  _xludf.MINIFS(ATTENDANCE_LOG!$F:$F,
         ATTENDANCE_LOG!$A:$A, C9,
         ATTENDANCE_LOG!$B:$B, E9),
"")</f>
        <v/>
      </c>
      <c r="I9" s="3">
        <f>IFERROR(VLOOKUP(F9, LEVEL_HELPER!$A:$B, 2, 0), "")</f>
        <v>3</v>
      </c>
      <c r="J9" s="3">
        <f>IFERROR(VLOOKUP(G9, LEVEL_HELPER!$A:$B, 2, 0), "")</f>
        <v>3.5</v>
      </c>
      <c r="K9" s="3">
        <f t="shared" ref="K9:L9" si="19">IF(OR(I9="", I9=0), "",
  IF(I9&lt;=2,   1,
  IF(I9&lt;=4,   2,
  IF(I9&lt;=5.5, 3, 4))))</f>
        <v>2</v>
      </c>
      <c r="L9" s="3">
        <f t="shared" si="19"/>
        <v>2</v>
      </c>
      <c r="M9" s="3" t="str">
        <f t="shared" si="1"/>
        <v>Progress within level</v>
      </c>
      <c r="N9" s="157" t="s">
        <v>918</v>
      </c>
      <c r="O9" s="157" t="s">
        <v>919</v>
      </c>
      <c r="P9" s="3" t="str">
        <f t="shared" ca="1" si="2"/>
        <v/>
      </c>
      <c r="Q9" s="147" t="str">
        <f t="shared" ca="1" si="3"/>
        <v/>
      </c>
      <c r="R9" s="147" t="str">
        <f t="shared" ref="R9:S9" ca="1" si="20">IF(OR(P9="", P9=0), "",
  IF(P9&lt;=2,   1,
  IF(P9&lt;=4,   2,
  IF(P9&lt;=5.5, 3, 4))))</f>
        <v/>
      </c>
      <c r="S9" s="147" t="str">
        <f t="shared" ca="1" si="20"/>
        <v/>
      </c>
      <c r="T9" s="147" t="str">
        <f t="shared" ca="1" si="5"/>
        <v>No Data</v>
      </c>
      <c r="U9" s="147">
        <f t="shared" si="6"/>
        <v>0</v>
      </c>
      <c r="V9" s="147"/>
    </row>
    <row r="10" spans="1:22">
      <c r="A10" s="157" t="s">
        <v>319</v>
      </c>
      <c r="B10" s="3" t="s">
        <v>320</v>
      </c>
      <c r="C10" s="160" t="s">
        <v>51</v>
      </c>
      <c r="D10" s="160" t="s">
        <v>844</v>
      </c>
      <c r="E10" s="3" t="s">
        <v>22</v>
      </c>
      <c r="F10" s="3" t="s">
        <v>928</v>
      </c>
      <c r="G10" s="3" t="s">
        <v>936</v>
      </c>
      <c r="H10" s="156" t="str">
        <f ca="1">IFERROR(
  _xludf.MINIFS(ATTENDANCE_LOG!$F:$F,
         ATTENDANCE_LOG!$A:$A, C10,
         ATTENDANCE_LOG!$B:$B, E10),
"")</f>
        <v/>
      </c>
      <c r="I10" s="3">
        <f>IFERROR(VLOOKUP(F10, LEVEL_HELPER!$A:$B, 2, 0), "")</f>
        <v>1.5</v>
      </c>
      <c r="J10" s="3">
        <f>IFERROR(VLOOKUP(G10, LEVEL_HELPER!$A:$B, 2, 0), "")</f>
        <v>2</v>
      </c>
      <c r="K10" s="3">
        <f t="shared" ref="K10:L10" si="21">IF(OR(I10="", I10=0), "",
  IF(I10&lt;=2,   1,
  IF(I10&lt;=4,   2,
  IF(I10&lt;=5.5, 3, 4))))</f>
        <v>1</v>
      </c>
      <c r="L10" s="3">
        <f t="shared" si="21"/>
        <v>1</v>
      </c>
      <c r="M10" s="3" t="str">
        <f t="shared" si="1"/>
        <v>Progress within level</v>
      </c>
      <c r="N10" s="157" t="s">
        <v>918</v>
      </c>
      <c r="O10" s="157" t="s">
        <v>919</v>
      </c>
      <c r="P10" s="3" t="str">
        <f t="shared" ca="1" si="2"/>
        <v/>
      </c>
      <c r="Q10" s="147" t="str">
        <f t="shared" ca="1" si="3"/>
        <v/>
      </c>
      <c r="R10" s="147" t="str">
        <f t="shared" ref="R10:S10" ca="1" si="22">IF(OR(P10="", P10=0), "",
  IF(P10&lt;=2,   1,
  IF(P10&lt;=4,   2,
  IF(P10&lt;=5.5, 3, 4))))</f>
        <v/>
      </c>
      <c r="S10" s="147" t="str">
        <f t="shared" ca="1" si="22"/>
        <v/>
      </c>
      <c r="T10" s="147" t="str">
        <f t="shared" ca="1" si="5"/>
        <v>No Data</v>
      </c>
      <c r="U10" s="147">
        <f t="shared" si="6"/>
        <v>0</v>
      </c>
      <c r="V10" s="147"/>
    </row>
    <row r="11" spans="1:22">
      <c r="A11" s="157" t="s">
        <v>474</v>
      </c>
      <c r="B11" s="3" t="s">
        <v>475</v>
      </c>
      <c r="C11" s="160" t="s">
        <v>51</v>
      </c>
      <c r="D11" s="160" t="s">
        <v>844</v>
      </c>
      <c r="E11" s="3" t="s">
        <v>22</v>
      </c>
      <c r="F11" s="3" t="s">
        <v>917</v>
      </c>
      <c r="G11" s="3" t="s">
        <v>934</v>
      </c>
      <c r="H11" s="156" t="str">
        <f ca="1">IFERROR(
  _xludf.MINIFS(ATTENDANCE_LOG!$F:$F,
         ATTENDANCE_LOG!$A:$A, C11,
         ATTENDANCE_LOG!$B:$B, E11),
"")</f>
        <v/>
      </c>
      <c r="I11" s="3">
        <f>IFERROR(VLOOKUP(F11, LEVEL_HELPER!$A:$B, 2, 0), "")</f>
        <v>3</v>
      </c>
      <c r="J11" s="3">
        <f>IFERROR(VLOOKUP(G11, LEVEL_HELPER!$A:$B, 2, 0), "")</f>
        <v>3.5</v>
      </c>
      <c r="K11" s="3">
        <f t="shared" ref="K11:L11" si="23">IF(OR(I11="", I11=0), "",
  IF(I11&lt;=2,   1,
  IF(I11&lt;=4,   2,
  IF(I11&lt;=5.5, 3, 4))))</f>
        <v>2</v>
      </c>
      <c r="L11" s="3">
        <f t="shared" si="23"/>
        <v>2</v>
      </c>
      <c r="M11" s="3" t="str">
        <f t="shared" si="1"/>
        <v>Progress within level</v>
      </c>
      <c r="N11" s="157" t="s">
        <v>918</v>
      </c>
      <c r="O11" s="157" t="s">
        <v>919</v>
      </c>
      <c r="P11" s="3" t="str">
        <f t="shared" ca="1" si="2"/>
        <v/>
      </c>
      <c r="Q11" s="147" t="str">
        <f t="shared" ca="1" si="3"/>
        <v/>
      </c>
      <c r="R11" s="147" t="str">
        <f t="shared" ref="R11:S11" ca="1" si="24">IF(OR(P11="", P11=0), "",
  IF(P11&lt;=2,   1,
  IF(P11&lt;=4,   2,
  IF(P11&lt;=5.5, 3, 4))))</f>
        <v/>
      </c>
      <c r="S11" s="147" t="str">
        <f t="shared" ca="1" si="24"/>
        <v/>
      </c>
      <c r="T11" s="147" t="str">
        <f t="shared" ca="1" si="5"/>
        <v>No Data</v>
      </c>
      <c r="U11" s="147">
        <f t="shared" si="6"/>
        <v>0</v>
      </c>
      <c r="V11" s="147"/>
    </row>
    <row r="12" spans="1:22">
      <c r="A12" s="157" t="s">
        <v>657</v>
      </c>
      <c r="B12" s="3" t="s">
        <v>658</v>
      </c>
      <c r="C12" s="160" t="s">
        <v>51</v>
      </c>
      <c r="D12" s="160" t="s">
        <v>844</v>
      </c>
      <c r="E12" s="3" t="s">
        <v>22</v>
      </c>
      <c r="F12" s="3" t="s">
        <v>931</v>
      </c>
      <c r="G12" s="3" t="s">
        <v>937</v>
      </c>
      <c r="H12" s="156" t="str">
        <f ca="1">IFERROR(
  _xludf.MINIFS(ATTENDANCE_LOG!$F:$F,
         ATTENDANCE_LOG!$A:$A, C12,
         ATTENDANCE_LOG!$B:$B, E12),
"")</f>
        <v/>
      </c>
      <c r="I12" s="3">
        <f>IFERROR(VLOOKUP(F12, LEVEL_HELPER!$A:$B, 2, 0), "")</f>
        <v>4.5</v>
      </c>
      <c r="J12" s="3">
        <f>IFERROR(VLOOKUP(G12, LEVEL_HELPER!$A:$B, 2, 0), "")</f>
        <v>5.5</v>
      </c>
      <c r="K12" s="3">
        <f t="shared" ref="K12:L12" si="25">IF(OR(I12="", I12=0), "",
  IF(I12&lt;=2,   1,
  IF(I12&lt;=4,   2,
  IF(I12&lt;=5.5, 3, 4))))</f>
        <v>3</v>
      </c>
      <c r="L12" s="3">
        <f t="shared" si="25"/>
        <v>3</v>
      </c>
      <c r="M12" s="3" t="str">
        <f t="shared" si="1"/>
        <v>Progress within level</v>
      </c>
      <c r="N12" s="157" t="s">
        <v>918</v>
      </c>
      <c r="O12" s="157" t="s">
        <v>919</v>
      </c>
      <c r="P12" s="3" t="str">
        <f t="shared" ca="1" si="2"/>
        <v/>
      </c>
      <c r="Q12" s="147" t="str">
        <f t="shared" ca="1" si="3"/>
        <v/>
      </c>
      <c r="R12" s="147" t="str">
        <f t="shared" ref="R12:S12" ca="1" si="26">IF(OR(P12="", P12=0), "",
  IF(P12&lt;=2,   1,
  IF(P12&lt;=4,   2,
  IF(P12&lt;=5.5, 3, 4))))</f>
        <v/>
      </c>
      <c r="S12" s="147" t="str">
        <f t="shared" ca="1" si="26"/>
        <v/>
      </c>
      <c r="T12" s="147" t="str">
        <f t="shared" ca="1" si="5"/>
        <v>No Data</v>
      </c>
      <c r="U12" s="147">
        <f t="shared" si="6"/>
        <v>0</v>
      </c>
      <c r="V12" s="147"/>
    </row>
    <row r="13" spans="1:22">
      <c r="A13" s="157" t="s">
        <v>659</v>
      </c>
      <c r="B13" s="3" t="s">
        <v>660</v>
      </c>
      <c r="C13" s="160" t="s">
        <v>51</v>
      </c>
      <c r="D13" s="160" t="s">
        <v>844</v>
      </c>
      <c r="E13" s="3" t="s">
        <v>22</v>
      </c>
      <c r="F13" s="3" t="s">
        <v>934</v>
      </c>
      <c r="G13" s="3" t="s">
        <v>940</v>
      </c>
      <c r="H13" s="156" t="str">
        <f ca="1">IFERROR(
  _xludf.MINIFS(ATTENDANCE_LOG!$F:$F,
         ATTENDANCE_LOG!$A:$A, C13,
         ATTENDANCE_LOG!$B:$B, E13),
"")</f>
        <v/>
      </c>
      <c r="I13" s="3">
        <f>IFERROR(VLOOKUP(F13, LEVEL_HELPER!$A:$B, 2, 0), "")</f>
        <v>3.5</v>
      </c>
      <c r="J13" s="3">
        <f>IFERROR(VLOOKUP(G13, LEVEL_HELPER!$A:$B, 2, 0), "")</f>
        <v>5</v>
      </c>
      <c r="K13" s="3">
        <f t="shared" ref="K13:L13" si="27">IF(OR(I13="", I13=0), "",
  IF(I13&lt;=2,   1,
  IF(I13&lt;=4,   2,
  IF(I13&lt;=5.5, 3, 4))))</f>
        <v>2</v>
      </c>
      <c r="L13" s="3">
        <f t="shared" si="27"/>
        <v>3</v>
      </c>
      <c r="M13" s="3" t="str">
        <f t="shared" si="1"/>
        <v>Lv2 → Lv3</v>
      </c>
      <c r="N13" s="157" t="s">
        <v>918</v>
      </c>
      <c r="O13" s="157" t="s">
        <v>919</v>
      </c>
      <c r="P13" s="3" t="str">
        <f t="shared" ca="1" si="2"/>
        <v/>
      </c>
      <c r="Q13" s="147" t="str">
        <f t="shared" ca="1" si="3"/>
        <v/>
      </c>
      <c r="R13" s="147" t="str">
        <f t="shared" ref="R13:S13" ca="1" si="28">IF(OR(P13="", P13=0), "",
  IF(P13&lt;=2,   1,
  IF(P13&lt;=4,   2,
  IF(P13&lt;=5.5, 3, 4))))</f>
        <v/>
      </c>
      <c r="S13" s="147" t="str">
        <f t="shared" ca="1" si="28"/>
        <v/>
      </c>
      <c r="T13" s="147" t="str">
        <f t="shared" ca="1" si="5"/>
        <v>No Data</v>
      </c>
      <c r="U13" s="147">
        <f t="shared" si="6"/>
        <v>0</v>
      </c>
      <c r="V13" s="147"/>
    </row>
    <row r="14" spans="1:22">
      <c r="A14" s="176" t="s">
        <v>721</v>
      </c>
      <c r="B14" s="154" t="s">
        <v>722</v>
      </c>
      <c r="C14" s="155" t="s">
        <v>51</v>
      </c>
      <c r="D14" s="155" t="s">
        <v>844</v>
      </c>
      <c r="E14" s="154" t="s">
        <v>24</v>
      </c>
      <c r="F14" s="3"/>
      <c r="G14" s="3"/>
      <c r="H14" s="156" t="str">
        <f ca="1">IFERROR(
  _xludf.MINIFS(ATTENDANCE_LOG!$F:$F,
         ATTENDANCE_LOG!$A:$A, C14,
         ATTENDANCE_LOG!$B:$B, E14),
"")</f>
        <v/>
      </c>
      <c r="I14" s="3" t="str">
        <f>IFERROR(VLOOKUP(F14, LEVEL_HELPER!$A:$B, 2, 0), "")</f>
        <v/>
      </c>
      <c r="J14" s="3" t="str">
        <f>IFERROR(VLOOKUP(G14, LEVEL_HELPER!$A:$B, 2, 0), "")</f>
        <v/>
      </c>
      <c r="K14" s="3" t="str">
        <f t="shared" ref="K14:L14" si="29">IF(OR(I14="", I14=0), "",
  IF(I14&lt;=2,   1,
  IF(I14&lt;=4,   2,
  IF(I14&lt;=5.5, 3, 4))))</f>
        <v/>
      </c>
      <c r="L14" s="3" t="str">
        <f t="shared" si="29"/>
        <v/>
      </c>
      <c r="M14" s="3" t="str">
        <f t="shared" si="1"/>
        <v>No Data</v>
      </c>
      <c r="N14" s="157" t="s">
        <v>918</v>
      </c>
      <c r="O14" s="157" t="s">
        <v>919</v>
      </c>
      <c r="P14" s="3" t="str">
        <f t="shared" ca="1" si="2"/>
        <v/>
      </c>
      <c r="Q14" s="147" t="str">
        <f t="shared" ca="1" si="3"/>
        <v/>
      </c>
      <c r="R14" s="147" t="str">
        <f t="shared" ref="R14:S14" ca="1" si="30">IF(OR(P14="", P14=0), "",
  IF(P14&lt;=2,   1,
  IF(P14&lt;=4,   2,
  IF(P14&lt;=5.5, 3, 4))))</f>
        <v/>
      </c>
      <c r="S14" s="147" t="str">
        <f t="shared" ca="1" si="30"/>
        <v/>
      </c>
      <c r="T14" s="147" t="str">
        <f t="shared" ca="1" si="5"/>
        <v>No Data</v>
      </c>
      <c r="U14" s="147">
        <f t="shared" si="6"/>
        <v>0</v>
      </c>
      <c r="V14" s="147"/>
    </row>
    <row r="15" spans="1:22">
      <c r="A15" s="157" t="s">
        <v>657</v>
      </c>
      <c r="B15" s="3" t="s">
        <v>658</v>
      </c>
      <c r="C15" s="160" t="s">
        <v>51</v>
      </c>
      <c r="D15" s="160" t="s">
        <v>844</v>
      </c>
      <c r="E15" s="3" t="s">
        <v>24</v>
      </c>
      <c r="F15" s="3"/>
      <c r="G15" s="3"/>
      <c r="H15" s="156" t="str">
        <f ca="1">IFERROR(
  _xludf.MINIFS(ATTENDANCE_LOG!$F:$F,
         ATTENDANCE_LOG!$A:$A, C15,
         ATTENDANCE_LOG!$B:$B, E15),
"")</f>
        <v/>
      </c>
      <c r="I15" s="3" t="str">
        <f>IFERROR(VLOOKUP(F15, LEVEL_HELPER!$A:$B, 2, 0), "")</f>
        <v/>
      </c>
      <c r="J15" s="3" t="str">
        <f>IFERROR(VLOOKUP(G15, LEVEL_HELPER!$A:$B, 2, 0), "")</f>
        <v/>
      </c>
      <c r="K15" s="3" t="str">
        <f t="shared" ref="K15:L15" si="31">IF(OR(I15="", I15=0), "",
  IF(I15&lt;=2,   1,
  IF(I15&lt;=4,   2,
  IF(I15&lt;=5.5, 3, 4))))</f>
        <v/>
      </c>
      <c r="L15" s="3" t="str">
        <f t="shared" si="31"/>
        <v/>
      </c>
      <c r="M15" s="3" t="str">
        <f t="shared" si="1"/>
        <v>No Data</v>
      </c>
      <c r="N15" s="157" t="s">
        <v>918</v>
      </c>
      <c r="O15" s="157" t="s">
        <v>919</v>
      </c>
      <c r="P15" s="3" t="str">
        <f t="shared" ca="1" si="2"/>
        <v/>
      </c>
      <c r="Q15" s="147" t="str">
        <f t="shared" ca="1" si="3"/>
        <v/>
      </c>
      <c r="R15" s="147" t="str">
        <f t="shared" ref="R15:S15" ca="1" si="32">IF(OR(P15="", P15=0), "",
  IF(P15&lt;=2,   1,
  IF(P15&lt;=4,   2,
  IF(P15&lt;=5.5, 3, 4))))</f>
        <v/>
      </c>
      <c r="S15" s="147" t="str">
        <f t="shared" ca="1" si="32"/>
        <v/>
      </c>
      <c r="T15" s="147" t="str">
        <f t="shared" ca="1" si="5"/>
        <v>No Data</v>
      </c>
      <c r="U15" s="147">
        <f t="shared" si="6"/>
        <v>0</v>
      </c>
      <c r="V15" s="147"/>
    </row>
    <row r="16" spans="1:22">
      <c r="A16" s="157" t="s">
        <v>659</v>
      </c>
      <c r="B16" s="3" t="s">
        <v>660</v>
      </c>
      <c r="C16" s="160" t="s">
        <v>51</v>
      </c>
      <c r="D16" s="160" t="s">
        <v>844</v>
      </c>
      <c r="E16" s="3" t="s">
        <v>24</v>
      </c>
      <c r="F16" s="3"/>
      <c r="G16" s="3"/>
      <c r="H16" s="156" t="str">
        <f ca="1">IFERROR(
  _xludf.MINIFS(ATTENDANCE_LOG!$F:$F,
         ATTENDANCE_LOG!$A:$A, C16,
         ATTENDANCE_LOG!$B:$B, E16),
"")</f>
        <v/>
      </c>
      <c r="I16" s="3" t="str">
        <f>IFERROR(VLOOKUP(F16, LEVEL_HELPER!$A:$B, 2, 0), "")</f>
        <v/>
      </c>
      <c r="J16" s="3" t="str">
        <f>IFERROR(VLOOKUP(G16, LEVEL_HELPER!$A:$B, 2, 0), "")</f>
        <v/>
      </c>
      <c r="K16" s="3" t="str">
        <f t="shared" ref="K16:L16" si="33">IF(OR(I16="", I16=0), "",
  IF(I16&lt;=2,   1,
  IF(I16&lt;=4,   2,
  IF(I16&lt;=5.5, 3, 4))))</f>
        <v/>
      </c>
      <c r="L16" s="3" t="str">
        <f t="shared" si="33"/>
        <v/>
      </c>
      <c r="M16" s="3" t="str">
        <f t="shared" si="1"/>
        <v>No Data</v>
      </c>
      <c r="N16" s="157" t="s">
        <v>918</v>
      </c>
      <c r="O16" s="157" t="s">
        <v>919</v>
      </c>
      <c r="P16" s="3" t="str">
        <f t="shared" ca="1" si="2"/>
        <v/>
      </c>
      <c r="Q16" s="147" t="str">
        <f t="shared" ca="1" si="3"/>
        <v/>
      </c>
      <c r="R16" s="147" t="str">
        <f t="shared" ref="R16:S16" ca="1" si="34">IF(OR(P16="", P16=0), "",
  IF(P16&lt;=2,   1,
  IF(P16&lt;=4,   2,
  IF(P16&lt;=5.5, 3, 4))))</f>
        <v/>
      </c>
      <c r="S16" s="147" t="str">
        <f t="shared" ca="1" si="34"/>
        <v/>
      </c>
      <c r="T16" s="147" t="str">
        <f t="shared" ca="1" si="5"/>
        <v>No Data</v>
      </c>
      <c r="U16" s="147">
        <f t="shared" si="6"/>
        <v>0</v>
      </c>
      <c r="V16" s="147"/>
    </row>
    <row r="17" spans="1:22">
      <c r="A17" s="176" t="s">
        <v>170</v>
      </c>
      <c r="B17" s="154" t="s">
        <v>171</v>
      </c>
      <c r="C17" s="155" t="s">
        <v>52</v>
      </c>
      <c r="D17" s="155" t="s">
        <v>846</v>
      </c>
      <c r="E17" s="154" t="s">
        <v>21</v>
      </c>
      <c r="F17" s="3" t="s">
        <v>916</v>
      </c>
      <c r="G17" s="3"/>
      <c r="H17" s="156" t="str">
        <f ca="1">IFERROR(
  _xludf.MINIFS(ATTENDANCE_LOG!$F:$F,
         ATTENDANCE_LOG!$A:$A, C17,
         ATTENDANCE_LOG!$B:$B, E17),
"")</f>
        <v/>
      </c>
      <c r="I17" s="3">
        <f>IFERROR(VLOOKUP(F17, LEVEL_HELPER!$A:$B, 2, 0), "")</f>
        <v>2.5</v>
      </c>
      <c r="J17" s="3" t="str">
        <f>IFERROR(VLOOKUP(G17, LEVEL_HELPER!$A:$B, 2, 0), "")</f>
        <v/>
      </c>
      <c r="K17" s="3">
        <f t="shared" ref="K17:L17" si="35">IF(OR(I17="", I17=0), "",
  IF(I17&lt;=2,   1,
  IF(I17&lt;=4,   2,
  IF(I17&lt;=5.5, 3, 4))))</f>
        <v>2</v>
      </c>
      <c r="L17" s="3" t="str">
        <f t="shared" si="35"/>
        <v/>
      </c>
      <c r="M17" s="3" t="str">
        <f t="shared" si="1"/>
        <v>No Data</v>
      </c>
      <c r="N17" s="157" t="s">
        <v>941</v>
      </c>
      <c r="O17" s="157" t="s">
        <v>921</v>
      </c>
      <c r="P17" s="3" t="str">
        <f t="shared" ca="1" si="2"/>
        <v/>
      </c>
      <c r="Q17" s="147" t="str">
        <f t="shared" ca="1" si="3"/>
        <v/>
      </c>
      <c r="R17" s="147" t="str">
        <f t="shared" ref="R17:S17" ca="1" si="36">IF(OR(P17="", P17=0), "",
  IF(P17&lt;=2,   1,
  IF(P17&lt;=4,   2,
  IF(P17&lt;=5.5, 3, 4))))</f>
        <v/>
      </c>
      <c r="S17" s="147" t="str">
        <f t="shared" ca="1" si="36"/>
        <v/>
      </c>
      <c r="T17" s="147" t="str">
        <f t="shared" ca="1" si="5"/>
        <v>No Data</v>
      </c>
      <c r="U17" s="147">
        <f t="shared" si="6"/>
        <v>1</v>
      </c>
      <c r="V17" s="147"/>
    </row>
    <row r="18" spans="1:22">
      <c r="A18" s="157" t="s">
        <v>196</v>
      </c>
      <c r="B18" s="3" t="s">
        <v>197</v>
      </c>
      <c r="C18" s="160" t="s">
        <v>52</v>
      </c>
      <c r="D18" s="160" t="s">
        <v>846</v>
      </c>
      <c r="E18" s="3" t="s">
        <v>21</v>
      </c>
      <c r="F18" s="3" t="s">
        <v>926</v>
      </c>
      <c r="G18" s="3" t="s">
        <v>931</v>
      </c>
      <c r="H18" s="156" t="str">
        <f ca="1">IFERROR(
  _xludf.MINIFS(ATTENDANCE_LOG!$F:$F,
         ATTENDANCE_LOG!$A:$A, C18,
         ATTENDANCE_LOG!$B:$B, E18),
"")</f>
        <v/>
      </c>
      <c r="I18" s="3">
        <f>IFERROR(VLOOKUP(F18, LEVEL_HELPER!$A:$B, 2, 0), "")</f>
        <v>1</v>
      </c>
      <c r="J18" s="3">
        <f>IFERROR(VLOOKUP(G18, LEVEL_HELPER!$A:$B, 2, 0), "")</f>
        <v>4.5</v>
      </c>
      <c r="K18" s="3">
        <f t="shared" ref="K18:L18" si="37">IF(OR(I18="", I18=0), "",
  IF(I18&lt;=2,   1,
  IF(I18&lt;=4,   2,
  IF(I18&lt;=5.5, 3, 4))))</f>
        <v>1</v>
      </c>
      <c r="L18" s="3">
        <f t="shared" si="37"/>
        <v>3</v>
      </c>
      <c r="M18" s="3" t="str">
        <f t="shared" si="1"/>
        <v>Lv1 → Lv3 (+2)</v>
      </c>
      <c r="N18" s="157" t="s">
        <v>942</v>
      </c>
      <c r="O18" s="157" t="s">
        <v>921</v>
      </c>
      <c r="P18" s="3" t="str">
        <f t="shared" ca="1" si="2"/>
        <v/>
      </c>
      <c r="Q18" s="147" t="str">
        <f t="shared" ca="1" si="3"/>
        <v/>
      </c>
      <c r="R18" s="147" t="str">
        <f t="shared" ref="R18:S18" ca="1" si="38">IF(OR(P18="", P18=0), "",
  IF(P18&lt;=2,   1,
  IF(P18&lt;=4,   2,
  IF(P18&lt;=5.5, 3, 4))))</f>
        <v/>
      </c>
      <c r="S18" s="147" t="str">
        <f t="shared" ca="1" si="38"/>
        <v/>
      </c>
      <c r="T18" s="147" t="str">
        <f t="shared" ca="1" si="5"/>
        <v>No Data</v>
      </c>
      <c r="U18" s="147">
        <f t="shared" si="6"/>
        <v>1</v>
      </c>
      <c r="V18" s="147"/>
    </row>
    <row r="19" spans="1:22">
      <c r="A19" s="157" t="s">
        <v>328</v>
      </c>
      <c r="B19" s="3" t="s">
        <v>329</v>
      </c>
      <c r="C19" s="160" t="s">
        <v>52</v>
      </c>
      <c r="D19" s="160" t="s">
        <v>846</v>
      </c>
      <c r="E19" s="3" t="s">
        <v>21</v>
      </c>
      <c r="F19" s="3" t="s">
        <v>926</v>
      </c>
      <c r="G19" s="3" t="s">
        <v>917</v>
      </c>
      <c r="H19" s="156" t="str">
        <f ca="1">IFERROR(
  _xludf.MINIFS(ATTENDANCE_LOG!$F:$F,
         ATTENDANCE_LOG!$A:$A, C19,
         ATTENDANCE_LOG!$B:$B, E19),
"")</f>
        <v/>
      </c>
      <c r="I19" s="3">
        <f>IFERROR(VLOOKUP(F19, LEVEL_HELPER!$A:$B, 2, 0), "")</f>
        <v>1</v>
      </c>
      <c r="J19" s="3">
        <f>IFERROR(VLOOKUP(G19, LEVEL_HELPER!$A:$B, 2, 0), "")</f>
        <v>3</v>
      </c>
      <c r="K19" s="3">
        <f t="shared" ref="K19:L19" si="39">IF(OR(I19="", I19=0), "",
  IF(I19&lt;=2,   1,
  IF(I19&lt;=4,   2,
  IF(I19&lt;=5.5, 3, 4))))</f>
        <v>1</v>
      </c>
      <c r="L19" s="3">
        <f t="shared" si="39"/>
        <v>2</v>
      </c>
      <c r="M19" s="3" t="str">
        <f t="shared" si="1"/>
        <v>Lv1 → Lv2</v>
      </c>
      <c r="N19" s="157" t="s">
        <v>942</v>
      </c>
      <c r="O19" s="157" t="s">
        <v>921</v>
      </c>
      <c r="P19" s="3" t="str">
        <f t="shared" ca="1" si="2"/>
        <v/>
      </c>
      <c r="Q19" s="147" t="str">
        <f t="shared" ca="1" si="3"/>
        <v/>
      </c>
      <c r="R19" s="147" t="str">
        <f t="shared" ref="R19:S19" ca="1" si="40">IF(OR(P19="", P19=0), "",
  IF(P19&lt;=2,   1,
  IF(P19&lt;=4,   2,
  IF(P19&lt;=5.5, 3, 4))))</f>
        <v/>
      </c>
      <c r="S19" s="147" t="str">
        <f t="shared" ca="1" si="40"/>
        <v/>
      </c>
      <c r="T19" s="147" t="str">
        <f t="shared" ca="1" si="5"/>
        <v>No Data</v>
      </c>
      <c r="U19" s="147">
        <f t="shared" si="6"/>
        <v>1</v>
      </c>
      <c r="V19" s="147"/>
    </row>
    <row r="20" spans="1:22">
      <c r="A20" s="157" t="s">
        <v>506</v>
      </c>
      <c r="B20" s="3" t="s">
        <v>507</v>
      </c>
      <c r="C20" s="160" t="s">
        <v>52</v>
      </c>
      <c r="D20" s="160" t="s">
        <v>846</v>
      </c>
      <c r="E20" s="3" t="s">
        <v>21</v>
      </c>
      <c r="F20" s="3" t="s">
        <v>926</v>
      </c>
      <c r="G20" s="3"/>
      <c r="H20" s="156" t="str">
        <f ca="1">IFERROR(
  _xludf.MINIFS(ATTENDANCE_LOG!$F:$F,
         ATTENDANCE_LOG!$A:$A, C20,
         ATTENDANCE_LOG!$B:$B, E20),
"")</f>
        <v/>
      </c>
      <c r="I20" s="3">
        <f>IFERROR(VLOOKUP(F20, LEVEL_HELPER!$A:$B, 2, 0), "")</f>
        <v>1</v>
      </c>
      <c r="J20" s="3" t="str">
        <f>IFERROR(VLOOKUP(G20, LEVEL_HELPER!$A:$B, 2, 0), "")</f>
        <v/>
      </c>
      <c r="K20" s="3">
        <f t="shared" ref="K20:L20" si="41">IF(OR(I20="", I20=0), "",
  IF(I20&lt;=2,   1,
  IF(I20&lt;=4,   2,
  IF(I20&lt;=5.5, 3, 4))))</f>
        <v>1</v>
      </c>
      <c r="L20" s="3" t="str">
        <f t="shared" si="41"/>
        <v/>
      </c>
      <c r="M20" s="3" t="str">
        <f t="shared" si="1"/>
        <v>No Data</v>
      </c>
      <c r="N20" s="157" t="s">
        <v>943</v>
      </c>
      <c r="O20" s="157" t="s">
        <v>921</v>
      </c>
      <c r="P20" s="3" t="str">
        <f t="shared" ca="1" si="2"/>
        <v/>
      </c>
      <c r="Q20" s="147" t="str">
        <f t="shared" ca="1" si="3"/>
        <v/>
      </c>
      <c r="R20" s="147" t="str">
        <f t="shared" ref="R20:S20" ca="1" si="42">IF(OR(P20="", P20=0), "",
  IF(P20&lt;=2,   1,
  IF(P20&lt;=4,   2,
  IF(P20&lt;=5.5, 3, 4))))</f>
        <v/>
      </c>
      <c r="S20" s="147" t="str">
        <f t="shared" ca="1" si="42"/>
        <v/>
      </c>
      <c r="T20" s="147" t="str">
        <f t="shared" ca="1" si="5"/>
        <v>No Data</v>
      </c>
      <c r="U20" s="147">
        <f t="shared" si="6"/>
        <v>1</v>
      </c>
      <c r="V20" s="147"/>
    </row>
    <row r="21" spans="1:22">
      <c r="A21" s="157" t="s">
        <v>605</v>
      </c>
      <c r="B21" s="3" t="s">
        <v>606</v>
      </c>
      <c r="C21" s="160" t="s">
        <v>52</v>
      </c>
      <c r="D21" s="160" t="s">
        <v>846</v>
      </c>
      <c r="E21" s="3" t="s">
        <v>21</v>
      </c>
      <c r="F21" s="3" t="s">
        <v>926</v>
      </c>
      <c r="G21" s="3"/>
      <c r="H21" s="156" t="str">
        <f ca="1">IFERROR(
  _xludf.MINIFS(ATTENDANCE_LOG!$F:$F,
         ATTENDANCE_LOG!$A:$A, C21,
         ATTENDANCE_LOG!$B:$B, E21),
"")</f>
        <v/>
      </c>
      <c r="I21" s="3">
        <f>IFERROR(VLOOKUP(F21, LEVEL_HELPER!$A:$B, 2, 0), "")</f>
        <v>1</v>
      </c>
      <c r="J21" s="3" t="str">
        <f>IFERROR(VLOOKUP(G21, LEVEL_HELPER!$A:$B, 2, 0), "")</f>
        <v/>
      </c>
      <c r="K21" s="3">
        <f t="shared" ref="K21:L21" si="43">IF(OR(I21="", I21=0), "",
  IF(I21&lt;=2,   1,
  IF(I21&lt;=4,   2,
  IF(I21&lt;=5.5, 3, 4))))</f>
        <v>1</v>
      </c>
      <c r="L21" s="3" t="str">
        <f t="shared" si="43"/>
        <v/>
      </c>
      <c r="M21" s="3" t="str">
        <f t="shared" si="1"/>
        <v>No Data</v>
      </c>
      <c r="N21" s="157" t="s">
        <v>942</v>
      </c>
      <c r="O21" s="157" t="s">
        <v>922</v>
      </c>
      <c r="P21" s="3" t="str">
        <f t="shared" ca="1" si="2"/>
        <v/>
      </c>
      <c r="Q21" s="147" t="str">
        <f t="shared" ca="1" si="3"/>
        <v/>
      </c>
      <c r="R21" s="147" t="str">
        <f t="shared" ref="R21:S21" ca="1" si="44">IF(OR(P21="", P21=0), "",
  IF(P21&lt;=2,   1,
  IF(P21&lt;=4,   2,
  IF(P21&lt;=5.5, 3, 4))))</f>
        <v/>
      </c>
      <c r="S21" s="147" t="str">
        <f t="shared" ca="1" si="44"/>
        <v/>
      </c>
      <c r="T21" s="147" t="str">
        <f t="shared" ca="1" si="5"/>
        <v>No Data</v>
      </c>
      <c r="U21" s="147">
        <f t="shared" si="6"/>
        <v>1</v>
      </c>
      <c r="V21" s="147"/>
    </row>
    <row r="22" spans="1:22">
      <c r="A22" s="157" t="s">
        <v>677</v>
      </c>
      <c r="B22" s="3" t="s">
        <v>678</v>
      </c>
      <c r="C22" s="160" t="s">
        <v>52</v>
      </c>
      <c r="D22" s="160" t="s">
        <v>846</v>
      </c>
      <c r="E22" s="3" t="s">
        <v>21</v>
      </c>
      <c r="F22" s="3" t="s">
        <v>926</v>
      </c>
      <c r="G22" s="3" t="s">
        <v>917</v>
      </c>
      <c r="H22" s="156" t="str">
        <f ca="1">IFERROR(
  _xludf.MINIFS(ATTENDANCE_LOG!$F:$F,
         ATTENDANCE_LOG!$A:$A, C22,
         ATTENDANCE_LOG!$B:$B, E22),
"")</f>
        <v/>
      </c>
      <c r="I22" s="3">
        <f>IFERROR(VLOOKUP(F22, LEVEL_HELPER!$A:$B, 2, 0), "")</f>
        <v>1</v>
      </c>
      <c r="J22" s="3">
        <f>IFERROR(VLOOKUP(G22, LEVEL_HELPER!$A:$B, 2, 0), "")</f>
        <v>3</v>
      </c>
      <c r="K22" s="3">
        <f t="shared" ref="K22:L22" si="45">IF(OR(I22="", I22=0), "",
  IF(I22&lt;=2,   1,
  IF(I22&lt;=4,   2,
  IF(I22&lt;=5.5, 3, 4))))</f>
        <v>1</v>
      </c>
      <c r="L22" s="3">
        <f t="shared" si="45"/>
        <v>2</v>
      </c>
      <c r="M22" s="3" t="str">
        <f t="shared" si="1"/>
        <v>Lv1 → Lv2</v>
      </c>
      <c r="N22" s="157" t="s">
        <v>942</v>
      </c>
      <c r="O22" s="157" t="s">
        <v>921</v>
      </c>
      <c r="P22" s="3" t="str">
        <f t="shared" ca="1" si="2"/>
        <v/>
      </c>
      <c r="Q22" s="147" t="str">
        <f t="shared" ca="1" si="3"/>
        <v/>
      </c>
      <c r="R22" s="147" t="str">
        <f t="shared" ref="R22:S22" ca="1" si="46">IF(OR(P22="", P22=0), "",
  IF(P22&lt;=2,   1,
  IF(P22&lt;=4,   2,
  IF(P22&lt;=5.5, 3, 4))))</f>
        <v/>
      </c>
      <c r="S22" s="147" t="str">
        <f t="shared" ca="1" si="46"/>
        <v/>
      </c>
      <c r="T22" s="147" t="str">
        <f t="shared" ca="1" si="5"/>
        <v>No Data</v>
      </c>
      <c r="U22" s="147">
        <f t="shared" si="6"/>
        <v>1</v>
      </c>
      <c r="V22" s="147"/>
    </row>
    <row r="23" spans="1:22">
      <c r="A23" s="157" t="s">
        <v>687</v>
      </c>
      <c r="B23" s="3" t="s">
        <v>688</v>
      </c>
      <c r="C23" s="160" t="s">
        <v>52</v>
      </c>
      <c r="D23" s="160" t="s">
        <v>846</v>
      </c>
      <c r="E23" s="3" t="s">
        <v>21</v>
      </c>
      <c r="F23" s="3" t="s">
        <v>926</v>
      </c>
      <c r="G23" s="3" t="s">
        <v>917</v>
      </c>
      <c r="H23" s="156" t="str">
        <f ca="1">IFERROR(
  _xludf.MINIFS(ATTENDANCE_LOG!$F:$F,
         ATTENDANCE_LOG!$A:$A, C23,
         ATTENDANCE_LOG!$B:$B, E23),
"")</f>
        <v/>
      </c>
      <c r="I23" s="3">
        <f>IFERROR(VLOOKUP(F23, LEVEL_HELPER!$A:$B, 2, 0), "")</f>
        <v>1</v>
      </c>
      <c r="J23" s="3">
        <f>IFERROR(VLOOKUP(G23, LEVEL_HELPER!$A:$B, 2, 0), "")</f>
        <v>3</v>
      </c>
      <c r="K23" s="3">
        <f t="shared" ref="K23:L23" si="47">IF(OR(I23="", I23=0), "",
  IF(I23&lt;=2,   1,
  IF(I23&lt;=4,   2,
  IF(I23&lt;=5.5, 3, 4))))</f>
        <v>1</v>
      </c>
      <c r="L23" s="3">
        <f t="shared" si="47"/>
        <v>2</v>
      </c>
      <c r="M23" s="3" t="str">
        <f t="shared" si="1"/>
        <v>Lv1 → Lv2</v>
      </c>
      <c r="N23" s="157" t="s">
        <v>942</v>
      </c>
      <c r="O23" s="157" t="s">
        <v>921</v>
      </c>
      <c r="P23" s="3" t="str">
        <f t="shared" ca="1" si="2"/>
        <v/>
      </c>
      <c r="Q23" s="147" t="str">
        <f t="shared" ca="1" si="3"/>
        <v/>
      </c>
      <c r="R23" s="147" t="str">
        <f t="shared" ref="R23:S23" ca="1" si="48">IF(OR(P23="", P23=0), "",
  IF(P23&lt;=2,   1,
  IF(P23&lt;=4,   2,
  IF(P23&lt;=5.5, 3, 4))))</f>
        <v/>
      </c>
      <c r="S23" s="147" t="str">
        <f t="shared" ca="1" si="48"/>
        <v/>
      </c>
      <c r="T23" s="147" t="str">
        <f t="shared" ca="1" si="5"/>
        <v>No Data</v>
      </c>
      <c r="U23" s="147">
        <f t="shared" si="6"/>
        <v>1</v>
      </c>
      <c r="V23" s="147"/>
    </row>
    <row r="24" spans="1:22">
      <c r="A24" s="157" t="s">
        <v>701</v>
      </c>
      <c r="B24" s="3" t="s">
        <v>702</v>
      </c>
      <c r="C24" s="160" t="s">
        <v>52</v>
      </c>
      <c r="D24" s="160" t="s">
        <v>846</v>
      </c>
      <c r="E24" s="3" t="s">
        <v>21</v>
      </c>
      <c r="F24" s="3" t="s">
        <v>926</v>
      </c>
      <c r="G24" s="3" t="s">
        <v>934</v>
      </c>
      <c r="H24" s="156" t="str">
        <f ca="1">IFERROR(
  _xludf.MINIFS(ATTENDANCE_LOG!$F:$F,
         ATTENDANCE_LOG!$A:$A, C24,
         ATTENDANCE_LOG!$B:$B, E24),
"")</f>
        <v/>
      </c>
      <c r="I24" s="3">
        <f>IFERROR(VLOOKUP(F24, LEVEL_HELPER!$A:$B, 2, 0), "")</f>
        <v>1</v>
      </c>
      <c r="J24" s="3">
        <f>IFERROR(VLOOKUP(G24, LEVEL_HELPER!$A:$B, 2, 0), "")</f>
        <v>3.5</v>
      </c>
      <c r="K24" s="3">
        <f t="shared" ref="K24:L24" si="49">IF(OR(I24="", I24=0), "",
  IF(I24&lt;=2,   1,
  IF(I24&lt;=4,   2,
  IF(I24&lt;=5.5, 3, 4))))</f>
        <v>1</v>
      </c>
      <c r="L24" s="3">
        <f t="shared" si="49"/>
        <v>2</v>
      </c>
      <c r="M24" s="3" t="str">
        <f t="shared" si="1"/>
        <v>Lv1 → Lv2</v>
      </c>
      <c r="N24" s="157" t="s">
        <v>942</v>
      </c>
      <c r="O24" s="157" t="s">
        <v>921</v>
      </c>
      <c r="P24" s="3" t="str">
        <f t="shared" ca="1" si="2"/>
        <v/>
      </c>
      <c r="Q24" s="147" t="str">
        <f t="shared" ca="1" si="3"/>
        <v/>
      </c>
      <c r="R24" s="147" t="str">
        <f t="shared" ref="R24:S24" ca="1" si="50">IF(OR(P24="", P24=0), "",
  IF(P24&lt;=2,   1,
  IF(P24&lt;=4,   2,
  IF(P24&lt;=5.5, 3, 4))))</f>
        <v/>
      </c>
      <c r="S24" s="147" t="str">
        <f t="shared" ca="1" si="50"/>
        <v/>
      </c>
      <c r="T24" s="147" t="str">
        <f t="shared" ca="1" si="5"/>
        <v>No Data</v>
      </c>
      <c r="U24" s="147">
        <f t="shared" si="6"/>
        <v>1</v>
      </c>
      <c r="V24" s="147"/>
    </row>
    <row r="25" spans="1:22">
      <c r="A25" s="176" t="s">
        <v>534</v>
      </c>
      <c r="B25" s="154" t="s">
        <v>535</v>
      </c>
      <c r="C25" s="155" t="s">
        <v>53</v>
      </c>
      <c r="D25" s="155" t="s">
        <v>847</v>
      </c>
      <c r="E25" s="154" t="s">
        <v>21</v>
      </c>
      <c r="F25" s="3" t="s">
        <v>926</v>
      </c>
      <c r="G25" s="3" t="s">
        <v>917</v>
      </c>
      <c r="H25" s="156" t="str">
        <f ca="1">IFERROR(
  _xludf.MINIFS(ATTENDANCE_LOG!$F:$F,
         ATTENDANCE_LOG!$A:$A, C25,
         ATTENDANCE_LOG!$B:$B, E25),
"")</f>
        <v/>
      </c>
      <c r="I25" s="3">
        <f>IFERROR(VLOOKUP(F25, LEVEL_HELPER!$A:$B, 2, 0), "")</f>
        <v>1</v>
      </c>
      <c r="J25" s="3">
        <f>IFERROR(VLOOKUP(G25, LEVEL_HELPER!$A:$B, 2, 0), "")</f>
        <v>3</v>
      </c>
      <c r="K25" s="3">
        <f t="shared" ref="K25:L25" si="51">IF(OR(I25="", I25=0), "",
  IF(I25&lt;=2,   1,
  IF(I25&lt;=4,   2,
  IF(I25&lt;=5.5, 3, 4))))</f>
        <v>1</v>
      </c>
      <c r="L25" s="3">
        <f t="shared" si="51"/>
        <v>2</v>
      </c>
      <c r="M25" s="3" t="str">
        <f t="shared" si="1"/>
        <v>Lv1 → Lv2</v>
      </c>
      <c r="N25" s="157" t="s">
        <v>918</v>
      </c>
      <c r="O25" s="157" t="s">
        <v>922</v>
      </c>
      <c r="P25" s="3" t="str">
        <f t="shared" ca="1" si="2"/>
        <v/>
      </c>
      <c r="Q25" s="147" t="str">
        <f t="shared" ca="1" si="3"/>
        <v/>
      </c>
      <c r="R25" s="147" t="str">
        <f t="shared" ref="R25:S25" ca="1" si="52">IF(OR(P25="", P25=0), "",
  IF(P25&lt;=2,   1,
  IF(P25&lt;=4,   2,
  IF(P25&lt;=5.5, 3, 4))))</f>
        <v/>
      </c>
      <c r="S25" s="147" t="str">
        <f t="shared" ca="1" si="52"/>
        <v/>
      </c>
      <c r="T25" s="147" t="str">
        <f t="shared" ca="1" si="5"/>
        <v>No Data</v>
      </c>
      <c r="U25" s="147">
        <f t="shared" si="6"/>
        <v>1</v>
      </c>
      <c r="V25" s="147"/>
    </row>
    <row r="26" spans="1:22">
      <c r="A26" s="157" t="s">
        <v>325</v>
      </c>
      <c r="B26" s="3" t="s">
        <v>326</v>
      </c>
      <c r="C26" s="160" t="s">
        <v>53</v>
      </c>
      <c r="D26" s="160" t="s">
        <v>847</v>
      </c>
      <c r="E26" s="3" t="s">
        <v>21</v>
      </c>
      <c r="F26" s="3" t="s">
        <v>926</v>
      </c>
      <c r="G26" s="3" t="s">
        <v>926</v>
      </c>
      <c r="H26" s="156" t="str">
        <f ca="1">IFERROR(
  _xludf.MINIFS(ATTENDANCE_LOG!$F:$F,
         ATTENDANCE_LOG!$A:$A, C26,
         ATTENDANCE_LOG!$B:$B, E26),
"")</f>
        <v/>
      </c>
      <c r="I26" s="3">
        <f>IFERROR(VLOOKUP(F26, LEVEL_HELPER!$A:$B, 2, 0), "")</f>
        <v>1</v>
      </c>
      <c r="J26" s="3">
        <f>IFERROR(VLOOKUP(G26, LEVEL_HELPER!$A:$B, 2, 0), "")</f>
        <v>1</v>
      </c>
      <c r="K26" s="3">
        <f t="shared" ref="K26:L26" si="53">IF(OR(I26="", I26=0), "",
  IF(I26&lt;=2,   1,
  IF(I26&lt;=4,   2,
  IF(I26&lt;=5.5, 3, 4))))</f>
        <v>1</v>
      </c>
      <c r="L26" s="3">
        <f t="shared" si="53"/>
        <v>1</v>
      </c>
      <c r="M26" s="3" t="str">
        <f t="shared" si="1"/>
        <v>No Progress</v>
      </c>
      <c r="N26" s="157" t="s">
        <v>944</v>
      </c>
      <c r="O26" s="157" t="s">
        <v>921</v>
      </c>
      <c r="P26" s="3" t="str">
        <f t="shared" ca="1" si="2"/>
        <v/>
      </c>
      <c r="Q26" s="147" t="str">
        <f t="shared" ca="1" si="3"/>
        <v/>
      </c>
      <c r="R26" s="147" t="str">
        <f t="shared" ref="R26:S26" ca="1" si="54">IF(OR(P26="", P26=0), "",
  IF(P26&lt;=2,   1,
  IF(P26&lt;=4,   2,
  IF(P26&lt;=5.5, 3, 4))))</f>
        <v/>
      </c>
      <c r="S26" s="147" t="str">
        <f t="shared" ca="1" si="54"/>
        <v/>
      </c>
      <c r="T26" s="147" t="str">
        <f t="shared" ca="1" si="5"/>
        <v>No Data</v>
      </c>
      <c r="U26" s="147">
        <f t="shared" si="6"/>
        <v>1</v>
      </c>
      <c r="V26" s="147"/>
    </row>
    <row r="27" spans="1:22">
      <c r="A27" s="157" t="s">
        <v>415</v>
      </c>
      <c r="B27" s="3" t="s">
        <v>416</v>
      </c>
      <c r="C27" s="160" t="s">
        <v>53</v>
      </c>
      <c r="D27" s="160" t="s">
        <v>847</v>
      </c>
      <c r="E27" s="3" t="s">
        <v>21</v>
      </c>
      <c r="F27" s="3" t="s">
        <v>926</v>
      </c>
      <c r="G27" s="3" t="s">
        <v>926</v>
      </c>
      <c r="H27" s="156" t="str">
        <f ca="1">IFERROR(
  _xludf.MINIFS(ATTENDANCE_LOG!$F:$F,
         ATTENDANCE_LOG!$A:$A, C27,
         ATTENDANCE_LOG!$B:$B, E27),
"")</f>
        <v/>
      </c>
      <c r="I27" s="3">
        <f>IFERROR(VLOOKUP(F27, LEVEL_HELPER!$A:$B, 2, 0), "")</f>
        <v>1</v>
      </c>
      <c r="J27" s="3">
        <f>IFERROR(VLOOKUP(G27, LEVEL_HELPER!$A:$B, 2, 0), "")</f>
        <v>1</v>
      </c>
      <c r="K27" s="3">
        <f t="shared" ref="K27:L27" si="55">IF(OR(I27="", I27=0), "",
  IF(I27&lt;=2,   1,
  IF(I27&lt;=4,   2,
  IF(I27&lt;=5.5, 3, 4))))</f>
        <v>1</v>
      </c>
      <c r="L27" s="3">
        <f t="shared" si="55"/>
        <v>1</v>
      </c>
      <c r="M27" s="3" t="str">
        <f t="shared" si="1"/>
        <v>No Progress</v>
      </c>
      <c r="N27" s="157" t="s">
        <v>918</v>
      </c>
      <c r="O27" s="157" t="s">
        <v>921</v>
      </c>
      <c r="P27" s="3" t="str">
        <f t="shared" ca="1" si="2"/>
        <v/>
      </c>
      <c r="Q27" s="147" t="str">
        <f t="shared" ca="1" si="3"/>
        <v/>
      </c>
      <c r="R27" s="147" t="str">
        <f t="shared" ref="R27:S27" ca="1" si="56">IF(OR(P27="", P27=0), "",
  IF(P27&lt;=2,   1,
  IF(P27&lt;=4,   2,
  IF(P27&lt;=5.5, 3, 4))))</f>
        <v/>
      </c>
      <c r="S27" s="147" t="str">
        <f t="shared" ca="1" si="56"/>
        <v/>
      </c>
      <c r="T27" s="147" t="str">
        <f t="shared" ca="1" si="5"/>
        <v>No Data</v>
      </c>
      <c r="U27" s="147">
        <f t="shared" si="6"/>
        <v>1</v>
      </c>
      <c r="V27" s="147"/>
    </row>
    <row r="28" spans="1:22">
      <c r="A28" s="157" t="s">
        <v>461</v>
      </c>
      <c r="B28" s="3" t="s">
        <v>462</v>
      </c>
      <c r="C28" s="160" t="s">
        <v>53</v>
      </c>
      <c r="D28" s="160" t="s">
        <v>847</v>
      </c>
      <c r="E28" s="3" t="s">
        <v>21</v>
      </c>
      <c r="F28" s="3" t="s">
        <v>926</v>
      </c>
      <c r="G28" s="3" t="s">
        <v>926</v>
      </c>
      <c r="H28" s="156" t="str">
        <f ca="1">IFERROR(
  _xludf.MINIFS(ATTENDANCE_LOG!$F:$F,
         ATTENDANCE_LOG!$A:$A, C28,
         ATTENDANCE_LOG!$B:$B, E28),
"")</f>
        <v/>
      </c>
      <c r="I28" s="3">
        <f>IFERROR(VLOOKUP(F28, LEVEL_HELPER!$A:$B, 2, 0), "")</f>
        <v>1</v>
      </c>
      <c r="J28" s="3">
        <f>IFERROR(VLOOKUP(G28, LEVEL_HELPER!$A:$B, 2, 0), "")</f>
        <v>1</v>
      </c>
      <c r="K28" s="3">
        <f t="shared" ref="K28:L28" si="57">IF(OR(I28="", I28=0), "",
  IF(I28&lt;=2,   1,
  IF(I28&lt;=4,   2,
  IF(I28&lt;=5.5, 3, 4))))</f>
        <v>1</v>
      </c>
      <c r="L28" s="3">
        <f t="shared" si="57"/>
        <v>1</v>
      </c>
      <c r="M28" s="3" t="str">
        <f t="shared" si="1"/>
        <v>No Progress</v>
      </c>
      <c r="N28" s="157" t="s">
        <v>918</v>
      </c>
      <c r="O28" s="157" t="s">
        <v>922</v>
      </c>
      <c r="P28" s="3" t="str">
        <f t="shared" ca="1" si="2"/>
        <v/>
      </c>
      <c r="Q28" s="147" t="str">
        <f t="shared" ca="1" si="3"/>
        <v/>
      </c>
      <c r="R28" s="147" t="str">
        <f t="shared" ref="R28:S28" ca="1" si="58">IF(OR(P28="", P28=0), "",
  IF(P28&lt;=2,   1,
  IF(P28&lt;=4,   2,
  IF(P28&lt;=5.5, 3, 4))))</f>
        <v/>
      </c>
      <c r="S28" s="147" t="str">
        <f t="shared" ca="1" si="58"/>
        <v/>
      </c>
      <c r="T28" s="147" t="str">
        <f t="shared" ca="1" si="5"/>
        <v>No Data</v>
      </c>
      <c r="U28" s="147">
        <f t="shared" si="6"/>
        <v>1</v>
      </c>
      <c r="V28" s="147"/>
    </row>
    <row r="29" spans="1:22">
      <c r="A29" s="157" t="s">
        <v>560</v>
      </c>
      <c r="B29" s="3" t="s">
        <v>561</v>
      </c>
      <c r="C29" s="160" t="s">
        <v>53</v>
      </c>
      <c r="D29" s="160" t="s">
        <v>847</v>
      </c>
      <c r="E29" s="3" t="s">
        <v>21</v>
      </c>
      <c r="F29" s="3" t="s">
        <v>926</v>
      </c>
      <c r="G29" s="3" t="s">
        <v>926</v>
      </c>
      <c r="H29" s="156" t="str">
        <f ca="1">IFERROR(
  _xludf.MINIFS(ATTENDANCE_LOG!$F:$F,
         ATTENDANCE_LOG!$A:$A, C29,
         ATTENDANCE_LOG!$B:$B, E29),
"")</f>
        <v/>
      </c>
      <c r="I29" s="3">
        <f>IFERROR(VLOOKUP(F29, LEVEL_HELPER!$A:$B, 2, 0), "")</f>
        <v>1</v>
      </c>
      <c r="J29" s="3">
        <f>IFERROR(VLOOKUP(G29, LEVEL_HELPER!$A:$B, 2, 0), "")</f>
        <v>1</v>
      </c>
      <c r="K29" s="3">
        <f t="shared" ref="K29:L29" si="59">IF(OR(I29="", I29=0), "",
  IF(I29&lt;=2,   1,
  IF(I29&lt;=4,   2,
  IF(I29&lt;=5.5, 3, 4))))</f>
        <v>1</v>
      </c>
      <c r="L29" s="3">
        <f t="shared" si="59"/>
        <v>1</v>
      </c>
      <c r="M29" s="3" t="str">
        <f t="shared" si="1"/>
        <v>No Progress</v>
      </c>
      <c r="N29" s="157" t="s">
        <v>918</v>
      </c>
      <c r="O29" s="157" t="s">
        <v>921</v>
      </c>
      <c r="P29" s="3" t="str">
        <f t="shared" ca="1" si="2"/>
        <v/>
      </c>
      <c r="Q29" s="147" t="str">
        <f t="shared" ca="1" si="3"/>
        <v/>
      </c>
      <c r="R29" s="147" t="str">
        <f t="shared" ref="R29:S29" ca="1" si="60">IF(OR(P29="", P29=0), "",
  IF(P29&lt;=2,   1,
  IF(P29&lt;=4,   2,
  IF(P29&lt;=5.5, 3, 4))))</f>
        <v/>
      </c>
      <c r="S29" s="147" t="str">
        <f t="shared" ca="1" si="60"/>
        <v/>
      </c>
      <c r="T29" s="147" t="str">
        <f t="shared" ca="1" si="5"/>
        <v>No Data</v>
      </c>
      <c r="U29" s="147">
        <f t="shared" si="6"/>
        <v>1</v>
      </c>
      <c r="V29" s="147"/>
    </row>
    <row r="30" spans="1:22">
      <c r="A30" s="157">
        <v>247298</v>
      </c>
      <c r="B30" s="3" t="s">
        <v>400</v>
      </c>
      <c r="C30" s="160" t="s">
        <v>53</v>
      </c>
      <c r="D30" s="160" t="s">
        <v>847</v>
      </c>
      <c r="E30" s="3" t="s">
        <v>21</v>
      </c>
      <c r="F30" s="3" t="s">
        <v>916</v>
      </c>
      <c r="G30" s="3" t="s">
        <v>934</v>
      </c>
      <c r="H30" s="156" t="str">
        <f ca="1">IFERROR(
  _xludf.MINIFS(ATTENDANCE_LOG!$F:$F,
         ATTENDANCE_LOG!$A:$A, C30,
         ATTENDANCE_LOG!$B:$B, E30),
"")</f>
        <v/>
      </c>
      <c r="I30" s="3">
        <f>IFERROR(VLOOKUP(F30, LEVEL_HELPER!$A:$B, 2, 0), "")</f>
        <v>2.5</v>
      </c>
      <c r="J30" s="3">
        <f>IFERROR(VLOOKUP(G30, LEVEL_HELPER!$A:$B, 2, 0), "")</f>
        <v>3.5</v>
      </c>
      <c r="K30" s="3">
        <f t="shared" ref="K30:L30" si="61">IF(OR(I30="", I30=0), "",
  IF(I30&lt;=2,   1,
  IF(I30&lt;=4,   2,
  IF(I30&lt;=5.5, 3, 4))))</f>
        <v>2</v>
      </c>
      <c r="L30" s="3">
        <f t="shared" si="61"/>
        <v>2</v>
      </c>
      <c r="M30" s="3" t="str">
        <f t="shared" si="1"/>
        <v>Progress within level</v>
      </c>
      <c r="N30" s="157" t="s">
        <v>944</v>
      </c>
      <c r="O30" s="157" t="s">
        <v>922</v>
      </c>
      <c r="P30" s="3" t="str">
        <f t="shared" ca="1" si="2"/>
        <v/>
      </c>
      <c r="Q30" s="147" t="str">
        <f t="shared" ca="1" si="3"/>
        <v/>
      </c>
      <c r="R30" s="147" t="str">
        <f t="shared" ref="R30:S30" ca="1" si="62">IF(OR(P30="", P30=0), "",
  IF(P30&lt;=2,   1,
  IF(P30&lt;=4,   2,
  IF(P30&lt;=5.5, 3, 4))))</f>
        <v/>
      </c>
      <c r="S30" s="147" t="str">
        <f t="shared" ca="1" si="62"/>
        <v/>
      </c>
      <c r="T30" s="147" t="str">
        <f t="shared" ca="1" si="5"/>
        <v>No Data</v>
      </c>
      <c r="U30" s="147">
        <f t="shared" si="6"/>
        <v>1</v>
      </c>
      <c r="V30" s="147"/>
    </row>
    <row r="31" spans="1:22">
      <c r="A31" s="176" t="s">
        <v>510</v>
      </c>
      <c r="B31" s="154" t="s">
        <v>511</v>
      </c>
      <c r="C31" s="155" t="s">
        <v>54</v>
      </c>
      <c r="D31" s="155" t="s">
        <v>848</v>
      </c>
      <c r="E31" s="154" t="s">
        <v>21</v>
      </c>
      <c r="F31" s="3" t="s">
        <v>916</v>
      </c>
      <c r="G31" s="3" t="s">
        <v>934</v>
      </c>
      <c r="H31" s="156" t="str">
        <f ca="1">IFERROR(
  _xludf.MINIFS(ATTENDANCE_LOG!$F:$F,
         ATTENDANCE_LOG!$A:$A, C31,
         ATTENDANCE_LOG!$B:$B, E31),
"")</f>
        <v/>
      </c>
      <c r="I31" s="3">
        <f>IFERROR(VLOOKUP(F31, LEVEL_HELPER!$A:$B, 2, 0), "")</f>
        <v>2.5</v>
      </c>
      <c r="J31" s="3">
        <f>IFERROR(VLOOKUP(G31, LEVEL_HELPER!$A:$B, 2, 0), "")</f>
        <v>3.5</v>
      </c>
      <c r="K31" s="3">
        <f t="shared" ref="K31:L31" si="63">IF(OR(I31="", I31=0), "",
  IF(I31&lt;=2,   1,
  IF(I31&lt;=4,   2,
  IF(I31&lt;=5.5, 3, 4))))</f>
        <v>2</v>
      </c>
      <c r="L31" s="3">
        <f t="shared" si="63"/>
        <v>2</v>
      </c>
      <c r="M31" s="3" t="str">
        <f t="shared" si="1"/>
        <v>Progress within level</v>
      </c>
      <c r="N31" s="157" t="s">
        <v>942</v>
      </c>
      <c r="O31" s="157" t="s">
        <v>924</v>
      </c>
      <c r="P31" s="3" t="str">
        <f t="shared" ca="1" si="2"/>
        <v/>
      </c>
      <c r="Q31" s="147" t="str">
        <f t="shared" ca="1" si="3"/>
        <v/>
      </c>
      <c r="R31" s="147" t="str">
        <f t="shared" ref="R31:S31" ca="1" si="64">IF(OR(P31="", P31=0), "",
  IF(P31&lt;=2,   1,
  IF(P31&lt;=4,   2,
  IF(P31&lt;=5.5, 3, 4))))</f>
        <v/>
      </c>
      <c r="S31" s="147" t="str">
        <f t="shared" ca="1" si="64"/>
        <v/>
      </c>
      <c r="T31" s="147" t="str">
        <f t="shared" ca="1" si="5"/>
        <v>No Data</v>
      </c>
      <c r="U31" s="147">
        <f t="shared" si="6"/>
        <v>1</v>
      </c>
      <c r="V31" s="147"/>
    </row>
    <row r="32" spans="1:22">
      <c r="A32" s="157" t="s">
        <v>144</v>
      </c>
      <c r="B32" s="3" t="s">
        <v>145</v>
      </c>
      <c r="C32" s="160" t="s">
        <v>54</v>
      </c>
      <c r="D32" s="160" t="s">
        <v>848</v>
      </c>
      <c r="E32" s="3" t="s">
        <v>21</v>
      </c>
      <c r="F32" s="3" t="s">
        <v>926</v>
      </c>
      <c r="G32" s="3" t="s">
        <v>926</v>
      </c>
      <c r="H32" s="156" t="str">
        <f ca="1">IFERROR(
  _xludf.MINIFS(ATTENDANCE_LOG!$F:$F,
         ATTENDANCE_LOG!$A:$A, C32,
         ATTENDANCE_LOG!$B:$B, E32),
"")</f>
        <v/>
      </c>
      <c r="I32" s="3">
        <f>IFERROR(VLOOKUP(F32, LEVEL_HELPER!$A:$B, 2, 0), "")</f>
        <v>1</v>
      </c>
      <c r="J32" s="3">
        <f>IFERROR(VLOOKUP(G32, LEVEL_HELPER!$A:$B, 2, 0), "")</f>
        <v>1</v>
      </c>
      <c r="K32" s="3">
        <f t="shared" ref="K32:L32" si="65">IF(OR(I32="", I32=0), "",
  IF(I32&lt;=2,   1,
  IF(I32&lt;=4,   2,
  IF(I32&lt;=5.5, 3, 4))))</f>
        <v>1</v>
      </c>
      <c r="L32" s="3">
        <f t="shared" si="65"/>
        <v>1</v>
      </c>
      <c r="M32" s="3" t="str">
        <f t="shared" si="1"/>
        <v>No Progress</v>
      </c>
      <c r="N32" s="157" t="s">
        <v>942</v>
      </c>
      <c r="O32" s="157" t="s">
        <v>924</v>
      </c>
      <c r="P32" s="3" t="str">
        <f t="shared" ca="1" si="2"/>
        <v/>
      </c>
      <c r="Q32" s="147" t="str">
        <f t="shared" ca="1" si="3"/>
        <v/>
      </c>
      <c r="R32" s="147" t="str">
        <f t="shared" ref="R32:S32" ca="1" si="66">IF(OR(P32="", P32=0), "",
  IF(P32&lt;=2,   1,
  IF(P32&lt;=4,   2,
  IF(P32&lt;=5.5, 3, 4))))</f>
        <v/>
      </c>
      <c r="S32" s="147" t="str">
        <f t="shared" ca="1" si="66"/>
        <v/>
      </c>
      <c r="T32" s="147" t="str">
        <f t="shared" ca="1" si="5"/>
        <v>No Data</v>
      </c>
      <c r="U32" s="147">
        <f t="shared" si="6"/>
        <v>1</v>
      </c>
      <c r="V32" s="147"/>
    </row>
    <row r="33" spans="1:22">
      <c r="A33" s="157" t="s">
        <v>155</v>
      </c>
      <c r="B33" s="3" t="s">
        <v>156</v>
      </c>
      <c r="C33" s="160" t="s">
        <v>54</v>
      </c>
      <c r="D33" s="160" t="s">
        <v>848</v>
      </c>
      <c r="E33" s="3" t="s">
        <v>21</v>
      </c>
      <c r="F33" s="3" t="s">
        <v>926</v>
      </c>
      <c r="G33" s="3" t="s">
        <v>940</v>
      </c>
      <c r="H33" s="156" t="str">
        <f ca="1">IFERROR(
  _xludf.MINIFS(ATTENDANCE_LOG!$F:$F,
         ATTENDANCE_LOG!$A:$A, C33,
         ATTENDANCE_LOG!$B:$B, E33),
"")</f>
        <v/>
      </c>
      <c r="I33" s="3">
        <f>IFERROR(VLOOKUP(F33, LEVEL_HELPER!$A:$B, 2, 0), "")</f>
        <v>1</v>
      </c>
      <c r="J33" s="3">
        <f>IFERROR(VLOOKUP(G33, LEVEL_HELPER!$A:$B, 2, 0), "")</f>
        <v>5</v>
      </c>
      <c r="K33" s="3">
        <f t="shared" ref="K33:L33" si="67">IF(OR(I33="", I33=0), "",
  IF(I33&lt;=2,   1,
  IF(I33&lt;=4,   2,
  IF(I33&lt;=5.5, 3, 4))))</f>
        <v>1</v>
      </c>
      <c r="L33" s="3">
        <f t="shared" si="67"/>
        <v>3</v>
      </c>
      <c r="M33" s="3" t="str">
        <f t="shared" si="1"/>
        <v>Lv1 → Lv3 (+2)</v>
      </c>
      <c r="N33" s="157" t="s">
        <v>942</v>
      </c>
      <c r="O33" s="157" t="s">
        <v>924</v>
      </c>
      <c r="P33" s="3" t="str">
        <f t="shared" ca="1" si="2"/>
        <v/>
      </c>
      <c r="Q33" s="147" t="str">
        <f t="shared" ca="1" si="3"/>
        <v/>
      </c>
      <c r="R33" s="147" t="str">
        <f t="shared" ref="R33:S33" ca="1" si="68">IF(OR(P33="", P33=0), "",
  IF(P33&lt;=2,   1,
  IF(P33&lt;=4,   2,
  IF(P33&lt;=5.5, 3, 4))))</f>
        <v/>
      </c>
      <c r="S33" s="147" t="str">
        <f t="shared" ca="1" si="68"/>
        <v/>
      </c>
      <c r="T33" s="147" t="str">
        <f t="shared" ca="1" si="5"/>
        <v>No Data</v>
      </c>
      <c r="U33" s="147">
        <f t="shared" si="6"/>
        <v>1</v>
      </c>
      <c r="V33" s="147"/>
    </row>
    <row r="34" spans="1:22">
      <c r="A34" s="157" t="s">
        <v>226</v>
      </c>
      <c r="B34" s="3" t="s">
        <v>227</v>
      </c>
      <c r="C34" s="160" t="s">
        <v>54</v>
      </c>
      <c r="D34" s="160" t="s">
        <v>848</v>
      </c>
      <c r="E34" s="3" t="s">
        <v>21</v>
      </c>
      <c r="F34" s="3" t="s">
        <v>926</v>
      </c>
      <c r="G34" s="3" t="s">
        <v>928</v>
      </c>
      <c r="H34" s="156" t="str">
        <f ca="1">IFERROR(
  _xludf.MINIFS(ATTENDANCE_LOG!$F:$F,
         ATTENDANCE_LOG!$A:$A, C34,
         ATTENDANCE_LOG!$B:$B, E34),
"")</f>
        <v/>
      </c>
      <c r="I34" s="3">
        <f>IFERROR(VLOOKUP(F34, LEVEL_HELPER!$A:$B, 2, 0), "")</f>
        <v>1</v>
      </c>
      <c r="J34" s="3">
        <f>IFERROR(VLOOKUP(G34, LEVEL_HELPER!$A:$B, 2, 0), "")</f>
        <v>1.5</v>
      </c>
      <c r="K34" s="3">
        <f t="shared" ref="K34:L34" si="69">IF(OR(I34="", I34=0), "",
  IF(I34&lt;=2,   1,
  IF(I34&lt;=4,   2,
  IF(I34&lt;=5.5, 3, 4))))</f>
        <v>1</v>
      </c>
      <c r="L34" s="3">
        <f t="shared" si="69"/>
        <v>1</v>
      </c>
      <c r="M34" s="3" t="str">
        <f t="shared" si="1"/>
        <v>Progress within level</v>
      </c>
      <c r="N34" s="157" t="s">
        <v>942</v>
      </c>
      <c r="O34" s="157" t="s">
        <v>924</v>
      </c>
      <c r="P34" s="3" t="str">
        <f t="shared" ca="1" si="2"/>
        <v/>
      </c>
      <c r="Q34" s="147" t="str">
        <f t="shared" ca="1" si="3"/>
        <v/>
      </c>
      <c r="R34" s="147" t="str">
        <f t="shared" ref="R34:S34" ca="1" si="70">IF(OR(P34="", P34=0), "",
  IF(P34&lt;=2,   1,
  IF(P34&lt;=4,   2,
  IF(P34&lt;=5.5, 3, 4))))</f>
        <v/>
      </c>
      <c r="S34" s="147" t="str">
        <f t="shared" ca="1" si="70"/>
        <v/>
      </c>
      <c r="T34" s="147" t="str">
        <f t="shared" ca="1" si="5"/>
        <v>No Data</v>
      </c>
      <c r="U34" s="147">
        <f t="shared" si="6"/>
        <v>1</v>
      </c>
      <c r="V34" s="147"/>
    </row>
    <row r="35" spans="1:22">
      <c r="A35" s="157" t="s">
        <v>245</v>
      </c>
      <c r="B35" s="3" t="s">
        <v>246</v>
      </c>
      <c r="C35" s="160" t="s">
        <v>54</v>
      </c>
      <c r="D35" s="160" t="s">
        <v>848</v>
      </c>
      <c r="E35" s="3" t="s">
        <v>21</v>
      </c>
      <c r="F35" s="3" t="s">
        <v>926</v>
      </c>
      <c r="G35" s="3" t="s">
        <v>926</v>
      </c>
      <c r="H35" s="156" t="str">
        <f ca="1">IFERROR(
  _xludf.MINIFS(ATTENDANCE_LOG!$F:$F,
         ATTENDANCE_LOG!$A:$A, C35,
         ATTENDANCE_LOG!$B:$B, E35),
"")</f>
        <v/>
      </c>
      <c r="I35" s="3">
        <f>IFERROR(VLOOKUP(F35, LEVEL_HELPER!$A:$B, 2, 0), "")</f>
        <v>1</v>
      </c>
      <c r="J35" s="3">
        <f>IFERROR(VLOOKUP(G35, LEVEL_HELPER!$A:$B, 2, 0), "")</f>
        <v>1</v>
      </c>
      <c r="K35" s="3">
        <f t="shared" ref="K35:L35" si="71">IF(OR(I35="", I35=0), "",
  IF(I35&lt;=2,   1,
  IF(I35&lt;=4,   2,
  IF(I35&lt;=5.5, 3, 4))))</f>
        <v>1</v>
      </c>
      <c r="L35" s="3">
        <f t="shared" si="71"/>
        <v>1</v>
      </c>
      <c r="M35" s="3" t="str">
        <f t="shared" si="1"/>
        <v>No Progress</v>
      </c>
      <c r="N35" s="157" t="s">
        <v>942</v>
      </c>
      <c r="O35" s="157" t="s">
        <v>924</v>
      </c>
      <c r="P35" s="3" t="str">
        <f t="shared" ca="1" si="2"/>
        <v/>
      </c>
      <c r="Q35" s="147" t="str">
        <f t="shared" ca="1" si="3"/>
        <v/>
      </c>
      <c r="R35" s="147" t="str">
        <f t="shared" ref="R35:S35" ca="1" si="72">IF(OR(P35="", P35=0), "",
  IF(P35&lt;=2,   1,
  IF(P35&lt;=4,   2,
  IF(P35&lt;=5.5, 3, 4))))</f>
        <v/>
      </c>
      <c r="S35" s="147" t="str">
        <f t="shared" ca="1" si="72"/>
        <v/>
      </c>
      <c r="T35" s="147" t="str">
        <f t="shared" ca="1" si="5"/>
        <v>No Data</v>
      </c>
      <c r="U35" s="147">
        <f t="shared" si="6"/>
        <v>1</v>
      </c>
      <c r="V35" s="147"/>
    </row>
    <row r="36" spans="1:22">
      <c r="A36" s="157" t="s">
        <v>352</v>
      </c>
      <c r="B36" s="3" t="s">
        <v>353</v>
      </c>
      <c r="C36" s="160" t="s">
        <v>54</v>
      </c>
      <c r="D36" s="160" t="s">
        <v>848</v>
      </c>
      <c r="E36" s="3" t="s">
        <v>21</v>
      </c>
      <c r="F36" s="3" t="s">
        <v>926</v>
      </c>
      <c r="G36" s="3" t="s">
        <v>928</v>
      </c>
      <c r="H36" s="156" t="str">
        <f ca="1">IFERROR(
  _xludf.MINIFS(ATTENDANCE_LOG!$F:$F,
         ATTENDANCE_LOG!$A:$A, C36,
         ATTENDANCE_LOG!$B:$B, E36),
"")</f>
        <v/>
      </c>
      <c r="I36" s="3">
        <f>IFERROR(VLOOKUP(F36, LEVEL_HELPER!$A:$B, 2, 0), "")</f>
        <v>1</v>
      </c>
      <c r="J36" s="3">
        <f>IFERROR(VLOOKUP(G36, LEVEL_HELPER!$A:$B, 2, 0), "")</f>
        <v>1.5</v>
      </c>
      <c r="K36" s="3">
        <f t="shared" ref="K36:L36" si="73">IF(OR(I36="", I36=0), "",
  IF(I36&lt;=2,   1,
  IF(I36&lt;=4,   2,
  IF(I36&lt;=5.5, 3, 4))))</f>
        <v>1</v>
      </c>
      <c r="L36" s="3">
        <f t="shared" si="73"/>
        <v>1</v>
      </c>
      <c r="M36" s="3" t="str">
        <f t="shared" si="1"/>
        <v>Progress within level</v>
      </c>
      <c r="N36" s="157" t="s">
        <v>942</v>
      </c>
      <c r="O36" s="157" t="s">
        <v>924</v>
      </c>
      <c r="P36" s="3" t="str">
        <f t="shared" ca="1" si="2"/>
        <v/>
      </c>
      <c r="Q36" s="147" t="str">
        <f t="shared" ca="1" si="3"/>
        <v/>
      </c>
      <c r="R36" s="147" t="str">
        <f t="shared" ref="R36:S36" ca="1" si="74">IF(OR(P36="", P36=0), "",
  IF(P36&lt;=2,   1,
  IF(P36&lt;=4,   2,
  IF(P36&lt;=5.5, 3, 4))))</f>
        <v/>
      </c>
      <c r="S36" s="147" t="str">
        <f t="shared" ca="1" si="74"/>
        <v/>
      </c>
      <c r="T36" s="147" t="str">
        <f t="shared" ca="1" si="5"/>
        <v>No Data</v>
      </c>
      <c r="U36" s="147">
        <f t="shared" si="6"/>
        <v>1</v>
      </c>
      <c r="V36" s="147"/>
    </row>
    <row r="37" spans="1:22">
      <c r="A37" s="157" t="s">
        <v>553</v>
      </c>
      <c r="B37" s="3" t="s">
        <v>554</v>
      </c>
      <c r="C37" s="160" t="s">
        <v>54</v>
      </c>
      <c r="D37" s="160" t="s">
        <v>848</v>
      </c>
      <c r="E37" s="3" t="s">
        <v>21</v>
      </c>
      <c r="F37" s="3" t="s">
        <v>926</v>
      </c>
      <c r="G37" s="3" t="s">
        <v>934</v>
      </c>
      <c r="H37" s="156" t="str">
        <f ca="1">IFERROR(
  _xludf.MINIFS(ATTENDANCE_LOG!$F:$F,
         ATTENDANCE_LOG!$A:$A, C37,
         ATTENDANCE_LOG!$B:$B, E37),
"")</f>
        <v/>
      </c>
      <c r="I37" s="3">
        <f>IFERROR(VLOOKUP(F37, LEVEL_HELPER!$A:$B, 2, 0), "")</f>
        <v>1</v>
      </c>
      <c r="J37" s="3">
        <f>IFERROR(VLOOKUP(G37, LEVEL_HELPER!$A:$B, 2, 0), "")</f>
        <v>3.5</v>
      </c>
      <c r="K37" s="3">
        <f t="shared" ref="K37:L37" si="75">IF(OR(I37="", I37=0), "",
  IF(I37&lt;=2,   1,
  IF(I37&lt;=4,   2,
  IF(I37&lt;=5.5, 3, 4))))</f>
        <v>1</v>
      </c>
      <c r="L37" s="3">
        <f t="shared" si="75"/>
        <v>2</v>
      </c>
      <c r="M37" s="3" t="str">
        <f t="shared" si="1"/>
        <v>Lv1 → Lv2</v>
      </c>
      <c r="N37" s="157" t="s">
        <v>942</v>
      </c>
      <c r="O37" s="157" t="s">
        <v>924</v>
      </c>
      <c r="P37" s="3" t="str">
        <f t="shared" ca="1" si="2"/>
        <v/>
      </c>
      <c r="Q37" s="147" t="str">
        <f t="shared" ca="1" si="3"/>
        <v/>
      </c>
      <c r="R37" s="147" t="str">
        <f t="shared" ref="R37:S37" ca="1" si="76">IF(OR(P37="", P37=0), "",
  IF(P37&lt;=2,   1,
  IF(P37&lt;=4,   2,
  IF(P37&lt;=5.5, 3, 4))))</f>
        <v/>
      </c>
      <c r="S37" s="147" t="str">
        <f t="shared" ca="1" si="76"/>
        <v/>
      </c>
      <c r="T37" s="147" t="str">
        <f t="shared" ca="1" si="5"/>
        <v>No Data</v>
      </c>
      <c r="U37" s="147">
        <f t="shared" si="6"/>
        <v>1</v>
      </c>
      <c r="V37" s="147"/>
    </row>
    <row r="38" spans="1:22">
      <c r="A38" s="157" t="s">
        <v>617</v>
      </c>
      <c r="B38" s="3" t="s">
        <v>618</v>
      </c>
      <c r="C38" s="160" t="s">
        <v>54</v>
      </c>
      <c r="D38" s="160" t="s">
        <v>848</v>
      </c>
      <c r="E38" s="3" t="s">
        <v>21</v>
      </c>
      <c r="F38" s="3" t="s">
        <v>926</v>
      </c>
      <c r="G38" s="3" t="s">
        <v>917</v>
      </c>
      <c r="H38" s="156" t="str">
        <f ca="1">IFERROR(
  _xludf.MINIFS(ATTENDANCE_LOG!$F:$F,
         ATTENDANCE_LOG!$A:$A, C38,
         ATTENDANCE_LOG!$B:$B, E38),
"")</f>
        <v/>
      </c>
      <c r="I38" s="3">
        <f>IFERROR(VLOOKUP(F38, LEVEL_HELPER!$A:$B, 2, 0), "")</f>
        <v>1</v>
      </c>
      <c r="J38" s="3">
        <f>IFERROR(VLOOKUP(G38, LEVEL_HELPER!$A:$B, 2, 0), "")</f>
        <v>3</v>
      </c>
      <c r="K38" s="3">
        <f t="shared" ref="K38:L38" si="77">IF(OR(I38="", I38=0), "",
  IF(I38&lt;=2,   1,
  IF(I38&lt;=4,   2,
  IF(I38&lt;=5.5, 3, 4))))</f>
        <v>1</v>
      </c>
      <c r="L38" s="3">
        <f t="shared" si="77"/>
        <v>2</v>
      </c>
      <c r="M38" s="3" t="str">
        <f t="shared" si="1"/>
        <v>Lv1 → Lv2</v>
      </c>
      <c r="N38" s="157" t="s">
        <v>942</v>
      </c>
      <c r="O38" s="157" t="s">
        <v>924</v>
      </c>
      <c r="P38" s="3" t="str">
        <f t="shared" ca="1" si="2"/>
        <v/>
      </c>
      <c r="Q38" s="147" t="str">
        <f t="shared" ca="1" si="3"/>
        <v/>
      </c>
      <c r="R38" s="147" t="str">
        <f t="shared" ref="R38:S38" ca="1" si="78">IF(OR(P38="", P38=0), "",
  IF(P38&lt;=2,   1,
  IF(P38&lt;=4,   2,
  IF(P38&lt;=5.5, 3, 4))))</f>
        <v/>
      </c>
      <c r="S38" s="147" t="str">
        <f t="shared" ca="1" si="78"/>
        <v/>
      </c>
      <c r="T38" s="147" t="str">
        <f t="shared" ca="1" si="5"/>
        <v>No Data</v>
      </c>
      <c r="U38" s="147">
        <f t="shared" si="6"/>
        <v>1</v>
      </c>
      <c r="V38" s="147"/>
    </row>
    <row r="39" spans="1:22">
      <c r="A39" s="157" t="s">
        <v>695</v>
      </c>
      <c r="B39" s="3" t="s">
        <v>696</v>
      </c>
      <c r="C39" s="160" t="s">
        <v>54</v>
      </c>
      <c r="D39" s="160" t="s">
        <v>848</v>
      </c>
      <c r="E39" s="3" t="s">
        <v>21</v>
      </c>
      <c r="F39" s="3"/>
      <c r="G39" s="3"/>
      <c r="H39" s="156" t="str">
        <f ca="1">IFERROR(
  _xludf.MINIFS(ATTENDANCE_LOG!$F:$F,
         ATTENDANCE_LOG!$A:$A, C39,
         ATTENDANCE_LOG!$B:$B, E39),
"")</f>
        <v/>
      </c>
      <c r="I39" s="3" t="str">
        <f>IFERROR(VLOOKUP(F39, LEVEL_HELPER!$A:$B, 2, 0), "")</f>
        <v/>
      </c>
      <c r="J39" s="3" t="str">
        <f>IFERROR(VLOOKUP(G39, LEVEL_HELPER!$A:$B, 2, 0), "")</f>
        <v/>
      </c>
      <c r="K39" s="3" t="str">
        <f t="shared" ref="K39:L39" si="79">IF(OR(I39="", I39=0), "",
  IF(I39&lt;=2,   1,
  IF(I39&lt;=4,   2,
  IF(I39&lt;=5.5, 3, 4))))</f>
        <v/>
      </c>
      <c r="L39" s="3" t="str">
        <f t="shared" si="79"/>
        <v/>
      </c>
      <c r="M39" s="3" t="str">
        <f t="shared" si="1"/>
        <v>No Data</v>
      </c>
      <c r="N39" s="157" t="s">
        <v>942</v>
      </c>
      <c r="O39" s="157" t="s">
        <v>924</v>
      </c>
      <c r="P39" s="3" t="str">
        <f t="shared" ca="1" si="2"/>
        <v/>
      </c>
      <c r="Q39" s="147" t="str">
        <f t="shared" ca="1" si="3"/>
        <v/>
      </c>
      <c r="R39" s="147" t="str">
        <f t="shared" ref="R39:S39" ca="1" si="80">IF(OR(P39="", P39=0), "",
  IF(P39&lt;=2,   1,
  IF(P39&lt;=4,   2,
  IF(P39&lt;=5.5, 3, 4))))</f>
        <v/>
      </c>
      <c r="S39" s="147" t="str">
        <f t="shared" ca="1" si="80"/>
        <v/>
      </c>
      <c r="T39" s="147" t="str">
        <f t="shared" ca="1" si="5"/>
        <v>No Data</v>
      </c>
      <c r="U39" s="147">
        <f t="shared" si="6"/>
        <v>1</v>
      </c>
      <c r="V39" s="147"/>
    </row>
    <row r="40" spans="1:22">
      <c r="A40" s="176" t="s">
        <v>510</v>
      </c>
      <c r="B40" s="154" t="s">
        <v>511</v>
      </c>
      <c r="C40" s="155" t="s">
        <v>54</v>
      </c>
      <c r="D40" s="155" t="s">
        <v>848</v>
      </c>
      <c r="E40" s="154" t="s">
        <v>22</v>
      </c>
      <c r="F40" s="3" t="s">
        <v>934</v>
      </c>
      <c r="G40" s="3" t="s">
        <v>940</v>
      </c>
      <c r="H40" s="156" t="str">
        <f ca="1">IFERROR(
  _xludf.MINIFS(ATTENDANCE_LOG!$F:$F,
         ATTENDANCE_LOG!$A:$A, C40,
         ATTENDANCE_LOG!$B:$B, E40),
"")</f>
        <v/>
      </c>
      <c r="I40" s="3">
        <f>IFERROR(VLOOKUP(F40, LEVEL_HELPER!$A:$B, 2, 0), "")</f>
        <v>3.5</v>
      </c>
      <c r="J40" s="3">
        <f>IFERROR(VLOOKUP(G40, LEVEL_HELPER!$A:$B, 2, 0), "")</f>
        <v>5</v>
      </c>
      <c r="K40" s="3">
        <f t="shared" ref="K40:L40" si="81">IF(OR(I40="", I40=0), "",
  IF(I40&lt;=2,   1,
  IF(I40&lt;=4,   2,
  IF(I40&lt;=5.5, 3, 4))))</f>
        <v>2</v>
      </c>
      <c r="L40" s="3">
        <f t="shared" si="81"/>
        <v>3</v>
      </c>
      <c r="M40" s="3" t="str">
        <f t="shared" si="1"/>
        <v>Lv2 → Lv3</v>
      </c>
      <c r="N40" s="157" t="s">
        <v>942</v>
      </c>
      <c r="O40" s="157" t="s">
        <v>924</v>
      </c>
      <c r="P40" s="3" t="str">
        <f t="shared" ca="1" si="2"/>
        <v/>
      </c>
      <c r="Q40" s="147" t="str">
        <f t="shared" ca="1" si="3"/>
        <v/>
      </c>
      <c r="R40" s="147" t="str">
        <f t="shared" ref="R40:S40" ca="1" si="82">IF(OR(P40="", P40=0), "",
  IF(P40&lt;=2,   1,
  IF(P40&lt;=4,   2,
  IF(P40&lt;=5.5, 3, 4))))</f>
        <v/>
      </c>
      <c r="S40" s="147" t="str">
        <f t="shared" ca="1" si="82"/>
        <v/>
      </c>
      <c r="T40" s="147" t="str">
        <f t="shared" ca="1" si="5"/>
        <v>No Data</v>
      </c>
      <c r="U40" s="147">
        <f t="shared" si="6"/>
        <v>0</v>
      </c>
      <c r="V40" s="147"/>
    </row>
    <row r="41" spans="1:22">
      <c r="A41" s="157" t="s">
        <v>144</v>
      </c>
      <c r="B41" s="3" t="s">
        <v>145</v>
      </c>
      <c r="C41" s="160" t="s">
        <v>54</v>
      </c>
      <c r="D41" s="160" t="s">
        <v>848</v>
      </c>
      <c r="E41" s="3" t="s">
        <v>22</v>
      </c>
      <c r="F41" s="3" t="s">
        <v>926</v>
      </c>
      <c r="G41" s="3" t="s">
        <v>934</v>
      </c>
      <c r="H41" s="156" t="str">
        <f ca="1">IFERROR(
  _xludf.MINIFS(ATTENDANCE_LOG!$F:$F,
         ATTENDANCE_LOG!$A:$A, C41,
         ATTENDANCE_LOG!$B:$B, E41),
"")</f>
        <v/>
      </c>
      <c r="I41" s="3">
        <f>IFERROR(VLOOKUP(F41, LEVEL_HELPER!$A:$B, 2, 0), "")</f>
        <v>1</v>
      </c>
      <c r="J41" s="3">
        <f>IFERROR(VLOOKUP(G41, LEVEL_HELPER!$A:$B, 2, 0), "")</f>
        <v>3.5</v>
      </c>
      <c r="K41" s="3">
        <f t="shared" ref="K41:L41" si="83">IF(OR(I41="", I41=0), "",
  IF(I41&lt;=2,   1,
  IF(I41&lt;=4,   2,
  IF(I41&lt;=5.5, 3, 4))))</f>
        <v>1</v>
      </c>
      <c r="L41" s="3">
        <f t="shared" si="83"/>
        <v>2</v>
      </c>
      <c r="M41" s="3" t="str">
        <f t="shared" si="1"/>
        <v>Lv1 → Lv2</v>
      </c>
      <c r="N41" s="157" t="s">
        <v>942</v>
      </c>
      <c r="O41" s="157" t="s">
        <v>924</v>
      </c>
      <c r="P41" s="3" t="str">
        <f t="shared" ca="1" si="2"/>
        <v/>
      </c>
      <c r="Q41" s="147" t="str">
        <f t="shared" ca="1" si="3"/>
        <v/>
      </c>
      <c r="R41" s="147" t="str">
        <f t="shared" ref="R41:S41" ca="1" si="84">IF(OR(P41="", P41=0), "",
  IF(P41&lt;=2,   1,
  IF(P41&lt;=4,   2,
  IF(P41&lt;=5.5, 3, 4))))</f>
        <v/>
      </c>
      <c r="S41" s="147" t="str">
        <f t="shared" ca="1" si="84"/>
        <v/>
      </c>
      <c r="T41" s="147" t="str">
        <f t="shared" ca="1" si="5"/>
        <v>No Data</v>
      </c>
      <c r="U41" s="147">
        <f t="shared" si="6"/>
        <v>0</v>
      </c>
      <c r="V41" s="147"/>
    </row>
    <row r="42" spans="1:22">
      <c r="A42" s="157" t="s">
        <v>155</v>
      </c>
      <c r="B42" s="3" t="s">
        <v>156</v>
      </c>
      <c r="C42" s="160" t="s">
        <v>54</v>
      </c>
      <c r="D42" s="160" t="s">
        <v>848</v>
      </c>
      <c r="E42" s="3" t="s">
        <v>22</v>
      </c>
      <c r="F42" s="3" t="s">
        <v>917</v>
      </c>
      <c r="G42" s="3" t="s">
        <v>917</v>
      </c>
      <c r="H42" s="156" t="str">
        <f ca="1">IFERROR(
  _xludf.MINIFS(ATTENDANCE_LOG!$F:$F,
         ATTENDANCE_LOG!$A:$A, C42,
         ATTENDANCE_LOG!$B:$B, E42),
"")</f>
        <v/>
      </c>
      <c r="I42" s="3">
        <f>IFERROR(VLOOKUP(F42, LEVEL_HELPER!$A:$B, 2, 0), "")</f>
        <v>3</v>
      </c>
      <c r="J42" s="3">
        <f>IFERROR(VLOOKUP(G42, LEVEL_HELPER!$A:$B, 2, 0), "")</f>
        <v>3</v>
      </c>
      <c r="K42" s="3">
        <f t="shared" ref="K42:L42" si="85">IF(OR(I42="", I42=0), "",
  IF(I42&lt;=2,   1,
  IF(I42&lt;=4,   2,
  IF(I42&lt;=5.5, 3, 4))))</f>
        <v>2</v>
      </c>
      <c r="L42" s="3">
        <f t="shared" si="85"/>
        <v>2</v>
      </c>
      <c r="M42" s="3" t="str">
        <f t="shared" si="1"/>
        <v>No Progress</v>
      </c>
      <c r="N42" s="157" t="s">
        <v>942</v>
      </c>
      <c r="O42" s="157" t="s">
        <v>924</v>
      </c>
      <c r="P42" s="3" t="str">
        <f t="shared" ca="1" si="2"/>
        <v/>
      </c>
      <c r="Q42" s="147" t="str">
        <f t="shared" ca="1" si="3"/>
        <v/>
      </c>
      <c r="R42" s="147" t="str">
        <f t="shared" ref="R42:S42" ca="1" si="86">IF(OR(P42="", P42=0), "",
  IF(P42&lt;=2,   1,
  IF(P42&lt;=4,   2,
  IF(P42&lt;=5.5, 3, 4))))</f>
        <v/>
      </c>
      <c r="S42" s="147" t="str">
        <f t="shared" ca="1" si="86"/>
        <v/>
      </c>
      <c r="T42" s="147" t="str">
        <f t="shared" ca="1" si="5"/>
        <v>No Data</v>
      </c>
      <c r="U42" s="147">
        <f t="shared" si="6"/>
        <v>0</v>
      </c>
      <c r="V42" s="147"/>
    </row>
    <row r="43" spans="1:22">
      <c r="A43" s="157" t="s">
        <v>226</v>
      </c>
      <c r="B43" s="3" t="s">
        <v>227</v>
      </c>
      <c r="C43" s="160" t="s">
        <v>54</v>
      </c>
      <c r="D43" s="160" t="s">
        <v>848</v>
      </c>
      <c r="E43" s="3" t="s">
        <v>22</v>
      </c>
      <c r="F43" s="3" t="s">
        <v>928</v>
      </c>
      <c r="G43" s="3" t="s">
        <v>934</v>
      </c>
      <c r="H43" s="156" t="str">
        <f ca="1">IFERROR(
  _xludf.MINIFS(ATTENDANCE_LOG!$F:$F,
         ATTENDANCE_LOG!$A:$A, C43,
         ATTENDANCE_LOG!$B:$B, E43),
"")</f>
        <v/>
      </c>
      <c r="I43" s="3">
        <f>IFERROR(VLOOKUP(F43, LEVEL_HELPER!$A:$B, 2, 0), "")</f>
        <v>1.5</v>
      </c>
      <c r="J43" s="3">
        <f>IFERROR(VLOOKUP(G43, LEVEL_HELPER!$A:$B, 2, 0), "")</f>
        <v>3.5</v>
      </c>
      <c r="K43" s="3">
        <f t="shared" ref="K43:L43" si="87">IF(OR(I43="", I43=0), "",
  IF(I43&lt;=2,   1,
  IF(I43&lt;=4,   2,
  IF(I43&lt;=5.5, 3, 4))))</f>
        <v>1</v>
      </c>
      <c r="L43" s="3">
        <f t="shared" si="87"/>
        <v>2</v>
      </c>
      <c r="M43" s="3" t="str">
        <f t="shared" si="1"/>
        <v>Lv1 → Lv2</v>
      </c>
      <c r="N43" s="157" t="s">
        <v>942</v>
      </c>
      <c r="O43" s="157" t="s">
        <v>924</v>
      </c>
      <c r="P43" s="3" t="str">
        <f t="shared" ca="1" si="2"/>
        <v/>
      </c>
      <c r="Q43" s="147" t="str">
        <f t="shared" ca="1" si="3"/>
        <v/>
      </c>
      <c r="R43" s="147" t="str">
        <f t="shared" ref="R43:S43" ca="1" si="88">IF(OR(P43="", P43=0), "",
  IF(P43&lt;=2,   1,
  IF(P43&lt;=4,   2,
  IF(P43&lt;=5.5, 3, 4))))</f>
        <v/>
      </c>
      <c r="S43" s="147" t="str">
        <f t="shared" ca="1" si="88"/>
        <v/>
      </c>
      <c r="T43" s="147" t="str">
        <f t="shared" ca="1" si="5"/>
        <v>No Data</v>
      </c>
      <c r="U43" s="147">
        <f t="shared" si="6"/>
        <v>0</v>
      </c>
      <c r="V43" s="147"/>
    </row>
    <row r="44" spans="1:22">
      <c r="A44" s="157" t="s">
        <v>245</v>
      </c>
      <c r="B44" s="3" t="s">
        <v>246</v>
      </c>
      <c r="C44" s="160" t="s">
        <v>54</v>
      </c>
      <c r="D44" s="160" t="s">
        <v>848</v>
      </c>
      <c r="E44" s="3" t="s">
        <v>22</v>
      </c>
      <c r="F44" s="3" t="s">
        <v>926</v>
      </c>
      <c r="G44" s="3" t="s">
        <v>917</v>
      </c>
      <c r="H44" s="156" t="str">
        <f ca="1">IFERROR(
  _xludf.MINIFS(ATTENDANCE_LOG!$F:$F,
         ATTENDANCE_LOG!$A:$A, C44,
         ATTENDANCE_LOG!$B:$B, E44),
"")</f>
        <v/>
      </c>
      <c r="I44" s="3">
        <f>IFERROR(VLOOKUP(F44, LEVEL_HELPER!$A:$B, 2, 0), "")</f>
        <v>1</v>
      </c>
      <c r="J44" s="3">
        <f>IFERROR(VLOOKUP(G44, LEVEL_HELPER!$A:$B, 2, 0), "")</f>
        <v>3</v>
      </c>
      <c r="K44" s="3">
        <f t="shared" ref="K44:L44" si="89">IF(OR(I44="", I44=0), "",
  IF(I44&lt;=2,   1,
  IF(I44&lt;=4,   2,
  IF(I44&lt;=5.5, 3, 4))))</f>
        <v>1</v>
      </c>
      <c r="L44" s="3">
        <f t="shared" si="89"/>
        <v>2</v>
      </c>
      <c r="M44" s="3" t="str">
        <f t="shared" si="1"/>
        <v>Lv1 → Lv2</v>
      </c>
      <c r="N44" s="157" t="s">
        <v>942</v>
      </c>
      <c r="O44" s="157" t="s">
        <v>924</v>
      </c>
      <c r="P44" s="3" t="str">
        <f t="shared" ca="1" si="2"/>
        <v/>
      </c>
      <c r="Q44" s="147" t="str">
        <f t="shared" ca="1" si="3"/>
        <v/>
      </c>
      <c r="R44" s="147" t="str">
        <f t="shared" ref="R44:S44" ca="1" si="90">IF(OR(P44="", P44=0), "",
  IF(P44&lt;=2,   1,
  IF(P44&lt;=4,   2,
  IF(P44&lt;=5.5, 3, 4))))</f>
        <v/>
      </c>
      <c r="S44" s="147" t="str">
        <f t="shared" ca="1" si="90"/>
        <v/>
      </c>
      <c r="T44" s="147" t="str">
        <f t="shared" ca="1" si="5"/>
        <v>No Data</v>
      </c>
      <c r="U44" s="147">
        <f t="shared" si="6"/>
        <v>0</v>
      </c>
      <c r="V44" s="147"/>
    </row>
    <row r="45" spans="1:22">
      <c r="A45" s="157" t="s">
        <v>352</v>
      </c>
      <c r="B45" s="3" t="s">
        <v>353</v>
      </c>
      <c r="C45" s="160" t="s">
        <v>54</v>
      </c>
      <c r="D45" s="160" t="s">
        <v>848</v>
      </c>
      <c r="E45" s="3" t="s">
        <v>22</v>
      </c>
      <c r="F45" s="3" t="s">
        <v>928</v>
      </c>
      <c r="G45" s="3" t="s">
        <v>917</v>
      </c>
      <c r="H45" s="156" t="str">
        <f ca="1">IFERROR(
  _xludf.MINIFS(ATTENDANCE_LOG!$F:$F,
         ATTENDANCE_LOG!$A:$A, C45,
         ATTENDANCE_LOG!$B:$B, E45),
"")</f>
        <v/>
      </c>
      <c r="I45" s="3">
        <f>IFERROR(VLOOKUP(F45, LEVEL_HELPER!$A:$B, 2, 0), "")</f>
        <v>1.5</v>
      </c>
      <c r="J45" s="3">
        <f>IFERROR(VLOOKUP(G45, LEVEL_HELPER!$A:$B, 2, 0), "")</f>
        <v>3</v>
      </c>
      <c r="K45" s="3">
        <f t="shared" ref="K45:L45" si="91">IF(OR(I45="", I45=0), "",
  IF(I45&lt;=2,   1,
  IF(I45&lt;=4,   2,
  IF(I45&lt;=5.5, 3, 4))))</f>
        <v>1</v>
      </c>
      <c r="L45" s="3">
        <f t="shared" si="91"/>
        <v>2</v>
      </c>
      <c r="M45" s="3" t="str">
        <f t="shared" si="1"/>
        <v>Lv1 → Lv2</v>
      </c>
      <c r="N45" s="157" t="s">
        <v>942</v>
      </c>
      <c r="O45" s="157" t="s">
        <v>924</v>
      </c>
      <c r="P45" s="3" t="str">
        <f t="shared" ca="1" si="2"/>
        <v/>
      </c>
      <c r="Q45" s="147" t="str">
        <f t="shared" ca="1" si="3"/>
        <v/>
      </c>
      <c r="R45" s="147" t="str">
        <f t="shared" ref="R45:S45" ca="1" si="92">IF(OR(P45="", P45=0), "",
  IF(P45&lt;=2,   1,
  IF(P45&lt;=4,   2,
  IF(P45&lt;=5.5, 3, 4))))</f>
        <v/>
      </c>
      <c r="S45" s="147" t="str">
        <f t="shared" ca="1" si="92"/>
        <v/>
      </c>
      <c r="T45" s="147" t="str">
        <f t="shared" ca="1" si="5"/>
        <v>No Data</v>
      </c>
      <c r="U45" s="147">
        <f t="shared" si="6"/>
        <v>0</v>
      </c>
      <c r="V45" s="147"/>
    </row>
    <row r="46" spans="1:22">
      <c r="A46" s="157" t="s">
        <v>553</v>
      </c>
      <c r="B46" s="3" t="s">
        <v>554</v>
      </c>
      <c r="C46" s="160" t="s">
        <v>54</v>
      </c>
      <c r="D46" s="160" t="s">
        <v>848</v>
      </c>
      <c r="E46" s="3" t="s">
        <v>22</v>
      </c>
      <c r="F46" s="3" t="s">
        <v>934</v>
      </c>
      <c r="G46" s="3" t="s">
        <v>940</v>
      </c>
      <c r="H46" s="156" t="str">
        <f ca="1">IFERROR(
  _xludf.MINIFS(ATTENDANCE_LOG!$F:$F,
         ATTENDANCE_LOG!$A:$A, C46,
         ATTENDANCE_LOG!$B:$B, E46),
"")</f>
        <v/>
      </c>
      <c r="I46" s="3">
        <f>IFERROR(VLOOKUP(F46, LEVEL_HELPER!$A:$B, 2, 0), "")</f>
        <v>3.5</v>
      </c>
      <c r="J46" s="3">
        <f>IFERROR(VLOOKUP(G46, LEVEL_HELPER!$A:$B, 2, 0), "")</f>
        <v>5</v>
      </c>
      <c r="K46" s="3">
        <f t="shared" ref="K46:L46" si="93">IF(OR(I46="", I46=0), "",
  IF(I46&lt;=2,   1,
  IF(I46&lt;=4,   2,
  IF(I46&lt;=5.5, 3, 4))))</f>
        <v>2</v>
      </c>
      <c r="L46" s="3">
        <f t="shared" si="93"/>
        <v>3</v>
      </c>
      <c r="M46" s="3" t="str">
        <f t="shared" si="1"/>
        <v>Lv2 → Lv3</v>
      </c>
      <c r="N46" s="157" t="s">
        <v>942</v>
      </c>
      <c r="O46" s="157" t="s">
        <v>924</v>
      </c>
      <c r="P46" s="3" t="str">
        <f t="shared" ca="1" si="2"/>
        <v/>
      </c>
      <c r="Q46" s="147" t="str">
        <f t="shared" ca="1" si="3"/>
        <v/>
      </c>
      <c r="R46" s="147" t="str">
        <f t="shared" ref="R46:S46" ca="1" si="94">IF(OR(P46="", P46=0), "",
  IF(P46&lt;=2,   1,
  IF(P46&lt;=4,   2,
  IF(P46&lt;=5.5, 3, 4))))</f>
        <v/>
      </c>
      <c r="S46" s="147" t="str">
        <f t="shared" ca="1" si="94"/>
        <v/>
      </c>
      <c r="T46" s="147" t="str">
        <f t="shared" ca="1" si="5"/>
        <v>No Data</v>
      </c>
      <c r="U46" s="147">
        <f t="shared" si="6"/>
        <v>0</v>
      </c>
      <c r="V46" s="147"/>
    </row>
    <row r="47" spans="1:22">
      <c r="A47" s="157" t="s">
        <v>617</v>
      </c>
      <c r="B47" s="3" t="s">
        <v>618</v>
      </c>
      <c r="C47" s="160" t="s">
        <v>54</v>
      </c>
      <c r="D47" s="160" t="s">
        <v>848</v>
      </c>
      <c r="E47" s="3" t="s">
        <v>22</v>
      </c>
      <c r="F47" s="3" t="s">
        <v>917</v>
      </c>
      <c r="G47" s="3" t="s">
        <v>934</v>
      </c>
      <c r="H47" s="156" t="str">
        <f ca="1">IFERROR(
  _xludf.MINIFS(ATTENDANCE_LOG!$F:$F,
         ATTENDANCE_LOG!$A:$A, C47,
         ATTENDANCE_LOG!$B:$B, E47),
"")</f>
        <v/>
      </c>
      <c r="I47" s="3">
        <f>IFERROR(VLOOKUP(F47, LEVEL_HELPER!$A:$B, 2, 0), "")</f>
        <v>3</v>
      </c>
      <c r="J47" s="3">
        <f>IFERROR(VLOOKUP(G47, LEVEL_HELPER!$A:$B, 2, 0), "")</f>
        <v>3.5</v>
      </c>
      <c r="K47" s="3">
        <f t="shared" ref="K47:L47" si="95">IF(OR(I47="", I47=0), "",
  IF(I47&lt;=2,   1,
  IF(I47&lt;=4,   2,
  IF(I47&lt;=5.5, 3, 4))))</f>
        <v>2</v>
      </c>
      <c r="L47" s="3">
        <f t="shared" si="95"/>
        <v>2</v>
      </c>
      <c r="M47" s="3" t="str">
        <f t="shared" si="1"/>
        <v>Progress within level</v>
      </c>
      <c r="N47" s="157" t="s">
        <v>942</v>
      </c>
      <c r="O47" s="157" t="s">
        <v>924</v>
      </c>
      <c r="P47" s="3" t="str">
        <f t="shared" ca="1" si="2"/>
        <v/>
      </c>
      <c r="Q47" s="147" t="str">
        <f t="shared" ca="1" si="3"/>
        <v/>
      </c>
      <c r="R47" s="147" t="str">
        <f t="shared" ref="R47:S47" ca="1" si="96">IF(OR(P47="", P47=0), "",
  IF(P47&lt;=2,   1,
  IF(P47&lt;=4,   2,
  IF(P47&lt;=5.5, 3, 4))))</f>
        <v/>
      </c>
      <c r="S47" s="147" t="str">
        <f t="shared" ca="1" si="96"/>
        <v/>
      </c>
      <c r="T47" s="147" t="str">
        <f t="shared" ca="1" si="5"/>
        <v>No Data</v>
      </c>
      <c r="U47" s="147">
        <f t="shared" si="6"/>
        <v>0</v>
      </c>
      <c r="V47" s="147"/>
    </row>
    <row r="48" spans="1:22">
      <c r="A48" s="157" t="s">
        <v>695</v>
      </c>
      <c r="B48" s="3" t="s">
        <v>696</v>
      </c>
      <c r="C48" s="160" t="s">
        <v>54</v>
      </c>
      <c r="D48" s="160" t="s">
        <v>848</v>
      </c>
      <c r="E48" s="3" t="s">
        <v>22</v>
      </c>
      <c r="F48" s="3"/>
      <c r="G48" s="3"/>
      <c r="H48" s="156" t="str">
        <f ca="1">IFERROR(
  _xludf.MINIFS(ATTENDANCE_LOG!$F:$F,
         ATTENDANCE_LOG!$A:$A, C48,
         ATTENDANCE_LOG!$B:$B, E48),
"")</f>
        <v/>
      </c>
      <c r="I48" s="3" t="str">
        <f>IFERROR(VLOOKUP(F48, LEVEL_HELPER!$A:$B, 2, 0), "")</f>
        <v/>
      </c>
      <c r="J48" s="3" t="str">
        <f>IFERROR(VLOOKUP(G48, LEVEL_HELPER!$A:$B, 2, 0), "")</f>
        <v/>
      </c>
      <c r="K48" s="3" t="str">
        <f t="shared" ref="K48:L48" si="97">IF(OR(I48="", I48=0), "",
  IF(I48&lt;=2,   1,
  IF(I48&lt;=4,   2,
  IF(I48&lt;=5.5, 3, 4))))</f>
        <v/>
      </c>
      <c r="L48" s="3" t="str">
        <f t="shared" si="97"/>
        <v/>
      </c>
      <c r="M48" s="3" t="str">
        <f t="shared" si="1"/>
        <v>No Data</v>
      </c>
      <c r="N48" s="157" t="s">
        <v>942</v>
      </c>
      <c r="O48" s="157" t="s">
        <v>924</v>
      </c>
      <c r="P48" s="3" t="str">
        <f t="shared" ca="1" si="2"/>
        <v/>
      </c>
      <c r="Q48" s="147" t="str">
        <f t="shared" ca="1" si="3"/>
        <v/>
      </c>
      <c r="R48" s="147" t="str">
        <f t="shared" ref="R48:S48" ca="1" si="98">IF(OR(P48="", P48=0), "",
  IF(P48&lt;=2,   1,
  IF(P48&lt;=4,   2,
  IF(P48&lt;=5.5, 3, 4))))</f>
        <v/>
      </c>
      <c r="S48" s="147" t="str">
        <f t="shared" ca="1" si="98"/>
        <v/>
      </c>
      <c r="T48" s="147" t="str">
        <f t="shared" ca="1" si="5"/>
        <v>No Data</v>
      </c>
      <c r="U48" s="147">
        <f t="shared" si="6"/>
        <v>0</v>
      </c>
      <c r="V48" s="147"/>
    </row>
    <row r="49" spans="1:22">
      <c r="A49" s="176" t="s">
        <v>330</v>
      </c>
      <c r="B49" s="154" t="s">
        <v>331</v>
      </c>
      <c r="C49" s="155" t="s">
        <v>55</v>
      </c>
      <c r="D49" s="155" t="s">
        <v>849</v>
      </c>
      <c r="E49" s="154" t="s">
        <v>21</v>
      </c>
      <c r="F49" s="3" t="s">
        <v>916</v>
      </c>
      <c r="G49" s="3" t="s">
        <v>931</v>
      </c>
      <c r="H49" s="156" t="str">
        <f ca="1">IFERROR(
  _xludf.MINIFS(ATTENDANCE_LOG!$F:$F,
         ATTENDANCE_LOG!$A:$A, C49,
         ATTENDANCE_LOG!$B:$B, E49),
"")</f>
        <v/>
      </c>
      <c r="I49" s="3">
        <f>IFERROR(VLOOKUP(F49, LEVEL_HELPER!$A:$B, 2, 0), "")</f>
        <v>2.5</v>
      </c>
      <c r="J49" s="3">
        <f>IFERROR(VLOOKUP(G49, LEVEL_HELPER!$A:$B, 2, 0), "")</f>
        <v>4.5</v>
      </c>
      <c r="K49" s="3">
        <f t="shared" ref="K49:L49" si="99">IF(OR(I49="", I49=0), "",
  IF(I49&lt;=2,   1,
  IF(I49&lt;=4,   2,
  IF(I49&lt;=5.5, 3, 4))))</f>
        <v>2</v>
      </c>
      <c r="L49" s="3">
        <f t="shared" si="99"/>
        <v>3</v>
      </c>
      <c r="M49" s="3" t="str">
        <f t="shared" si="1"/>
        <v>Lv2 → Lv3</v>
      </c>
      <c r="N49" s="157" t="s">
        <v>942</v>
      </c>
      <c r="O49" s="157" t="s">
        <v>922</v>
      </c>
      <c r="P49" s="3" t="str">
        <f t="shared" ca="1" si="2"/>
        <v/>
      </c>
      <c r="Q49" s="147" t="str">
        <f t="shared" ca="1" si="3"/>
        <v/>
      </c>
      <c r="R49" s="147" t="str">
        <f t="shared" ref="R49:S49" ca="1" si="100">IF(OR(P49="", P49=0), "",
  IF(P49&lt;=2,   1,
  IF(P49&lt;=4,   2,
  IF(P49&lt;=5.5, 3, 4))))</f>
        <v/>
      </c>
      <c r="S49" s="147" t="str">
        <f t="shared" ca="1" si="100"/>
        <v/>
      </c>
      <c r="T49" s="147" t="str">
        <f t="shared" ca="1" si="5"/>
        <v>No Data</v>
      </c>
      <c r="U49" s="147">
        <f t="shared" si="6"/>
        <v>1</v>
      </c>
      <c r="V49" s="147"/>
    </row>
    <row r="50" spans="1:22">
      <c r="A50" s="157" t="s">
        <v>294</v>
      </c>
      <c r="B50" s="3" t="s">
        <v>295</v>
      </c>
      <c r="C50" s="160" t="s">
        <v>55</v>
      </c>
      <c r="D50" s="160" t="s">
        <v>849</v>
      </c>
      <c r="E50" s="3" t="s">
        <v>21</v>
      </c>
      <c r="F50" s="3" t="s">
        <v>926</v>
      </c>
      <c r="G50" s="3" t="s">
        <v>928</v>
      </c>
      <c r="H50" s="156" t="str">
        <f ca="1">IFERROR(
  _xludf.MINIFS(ATTENDANCE_LOG!$F:$F,
         ATTENDANCE_LOG!$A:$A, C50,
         ATTENDANCE_LOG!$B:$B, E50),
"")</f>
        <v/>
      </c>
      <c r="I50" s="3">
        <f>IFERROR(VLOOKUP(F50, LEVEL_HELPER!$A:$B, 2, 0), "")</f>
        <v>1</v>
      </c>
      <c r="J50" s="3">
        <f>IFERROR(VLOOKUP(G50, LEVEL_HELPER!$A:$B, 2, 0), "")</f>
        <v>1.5</v>
      </c>
      <c r="K50" s="3">
        <f t="shared" ref="K50:L50" si="101">IF(OR(I50="", I50=0), "",
  IF(I50&lt;=2,   1,
  IF(I50&lt;=4,   2,
  IF(I50&lt;=5.5, 3, 4))))</f>
        <v>1</v>
      </c>
      <c r="L50" s="3">
        <f t="shared" si="101"/>
        <v>1</v>
      </c>
      <c r="M50" s="3" t="str">
        <f t="shared" si="1"/>
        <v>Progress within level</v>
      </c>
      <c r="N50" s="157" t="s">
        <v>930</v>
      </c>
      <c r="O50" s="157" t="s">
        <v>922</v>
      </c>
      <c r="P50" s="3" t="str">
        <f t="shared" ca="1" si="2"/>
        <v/>
      </c>
      <c r="Q50" s="147" t="str">
        <f t="shared" ca="1" si="3"/>
        <v/>
      </c>
      <c r="R50" s="147" t="str">
        <f t="shared" ref="R50:S50" ca="1" si="102">IF(OR(P50="", P50=0), "",
  IF(P50&lt;=2,   1,
  IF(P50&lt;=4,   2,
  IF(P50&lt;=5.5, 3, 4))))</f>
        <v/>
      </c>
      <c r="S50" s="147" t="str">
        <f t="shared" ca="1" si="102"/>
        <v/>
      </c>
      <c r="T50" s="147" t="str">
        <f t="shared" ca="1" si="5"/>
        <v>No Data</v>
      </c>
      <c r="U50" s="147">
        <f t="shared" si="6"/>
        <v>1</v>
      </c>
      <c r="V50" s="147"/>
    </row>
    <row r="51" spans="1:22">
      <c r="A51" s="157" t="s">
        <v>411</v>
      </c>
      <c r="B51" s="3" t="s">
        <v>412</v>
      </c>
      <c r="C51" s="160" t="s">
        <v>55</v>
      </c>
      <c r="D51" s="160" t="s">
        <v>849</v>
      </c>
      <c r="E51" s="3" t="s">
        <v>21</v>
      </c>
      <c r="F51" s="3" t="s">
        <v>916</v>
      </c>
      <c r="G51" s="3" t="s">
        <v>928</v>
      </c>
      <c r="H51" s="156" t="str">
        <f ca="1">IFERROR(
  _xludf.MINIFS(ATTENDANCE_LOG!$F:$F,
         ATTENDANCE_LOG!$A:$A, C51,
         ATTENDANCE_LOG!$B:$B, E51),
"")</f>
        <v/>
      </c>
      <c r="I51" s="3">
        <f>IFERROR(VLOOKUP(F51, LEVEL_HELPER!$A:$B, 2, 0), "")</f>
        <v>2.5</v>
      </c>
      <c r="J51" s="3">
        <f>IFERROR(VLOOKUP(G51, LEVEL_HELPER!$A:$B, 2, 0), "")</f>
        <v>1.5</v>
      </c>
      <c r="K51" s="3">
        <f t="shared" ref="K51:L51" si="103">IF(OR(I51="", I51=0), "",
  IF(I51&lt;=2,   1,
  IF(I51&lt;=4,   2,
  IF(I51&lt;=5.5, 3, 4))))</f>
        <v>2</v>
      </c>
      <c r="L51" s="3">
        <f t="shared" si="103"/>
        <v>1</v>
      </c>
      <c r="M51" s="3" t="str">
        <f t="shared" si="1"/>
        <v>Regressed</v>
      </c>
      <c r="N51" s="157" t="s">
        <v>930</v>
      </c>
      <c r="O51" s="157" t="s">
        <v>922</v>
      </c>
      <c r="P51" s="3" t="str">
        <f t="shared" ca="1" si="2"/>
        <v/>
      </c>
      <c r="Q51" s="147" t="str">
        <f t="shared" ca="1" si="3"/>
        <v/>
      </c>
      <c r="R51" s="147" t="str">
        <f t="shared" ref="R51:S51" ca="1" si="104">IF(OR(P51="", P51=0), "",
  IF(P51&lt;=2,   1,
  IF(P51&lt;=4,   2,
  IF(P51&lt;=5.5, 3, 4))))</f>
        <v/>
      </c>
      <c r="S51" s="147" t="str">
        <f t="shared" ca="1" si="104"/>
        <v/>
      </c>
      <c r="T51" s="147" t="str">
        <f t="shared" ca="1" si="5"/>
        <v>No Data</v>
      </c>
      <c r="U51" s="147">
        <f t="shared" si="6"/>
        <v>1</v>
      </c>
      <c r="V51" s="147"/>
    </row>
    <row r="52" spans="1:22">
      <c r="A52" s="157" t="s">
        <v>496</v>
      </c>
      <c r="B52" s="3" t="s">
        <v>497</v>
      </c>
      <c r="C52" s="160" t="s">
        <v>55</v>
      </c>
      <c r="D52" s="160" t="s">
        <v>849</v>
      </c>
      <c r="E52" s="3" t="s">
        <v>21</v>
      </c>
      <c r="F52" s="3"/>
      <c r="G52" s="3"/>
      <c r="H52" s="156" t="str">
        <f ca="1">IFERROR(
  _xludf.MINIFS(ATTENDANCE_LOG!$F:$F,
         ATTENDANCE_LOG!$A:$A, C52,
         ATTENDANCE_LOG!$B:$B, E52),
"")</f>
        <v/>
      </c>
      <c r="I52" s="3" t="str">
        <f>IFERROR(VLOOKUP(F52, LEVEL_HELPER!$A:$B, 2, 0), "")</f>
        <v/>
      </c>
      <c r="J52" s="3" t="str">
        <f>IFERROR(VLOOKUP(G52, LEVEL_HELPER!$A:$B, 2, 0), "")</f>
        <v/>
      </c>
      <c r="K52" s="3" t="str">
        <f t="shared" ref="K52:L52" si="105">IF(OR(I52="", I52=0), "",
  IF(I52&lt;=2,   1,
  IF(I52&lt;=4,   2,
  IF(I52&lt;=5.5, 3, 4))))</f>
        <v/>
      </c>
      <c r="L52" s="3" t="str">
        <f t="shared" si="105"/>
        <v/>
      </c>
      <c r="M52" s="3" t="str">
        <f t="shared" si="1"/>
        <v>No Data</v>
      </c>
      <c r="N52" s="157" t="s">
        <v>930</v>
      </c>
      <c r="O52" s="157" t="s">
        <v>924</v>
      </c>
      <c r="P52" s="3" t="str">
        <f t="shared" ca="1" si="2"/>
        <v/>
      </c>
      <c r="Q52" s="147" t="str">
        <f t="shared" ca="1" si="3"/>
        <v/>
      </c>
      <c r="R52" s="147" t="str">
        <f t="shared" ref="R52:S52" ca="1" si="106">IF(OR(P52="", P52=0), "",
  IF(P52&lt;=2,   1,
  IF(P52&lt;=4,   2,
  IF(P52&lt;=5.5, 3, 4))))</f>
        <v/>
      </c>
      <c r="S52" s="147" t="str">
        <f t="shared" ca="1" si="106"/>
        <v/>
      </c>
      <c r="T52" s="147" t="str">
        <f t="shared" ca="1" si="5"/>
        <v>No Data</v>
      </c>
      <c r="U52" s="147">
        <f t="shared" si="6"/>
        <v>1</v>
      </c>
      <c r="V52" s="147"/>
    </row>
    <row r="53" spans="1:22">
      <c r="A53" s="157" t="s">
        <v>547</v>
      </c>
      <c r="B53" s="3" t="s">
        <v>548</v>
      </c>
      <c r="C53" s="160" t="s">
        <v>55</v>
      </c>
      <c r="D53" s="160" t="s">
        <v>849</v>
      </c>
      <c r="E53" s="3" t="s">
        <v>21</v>
      </c>
      <c r="F53" s="3" t="s">
        <v>931</v>
      </c>
      <c r="G53" s="3" t="s">
        <v>931</v>
      </c>
      <c r="H53" s="156" t="str">
        <f ca="1">IFERROR(
  _xludf.MINIFS(ATTENDANCE_LOG!$F:$F,
         ATTENDANCE_LOG!$A:$A, C53,
         ATTENDANCE_LOG!$B:$B, E53),
"")</f>
        <v/>
      </c>
      <c r="I53" s="3">
        <f>IFERROR(VLOOKUP(F53, LEVEL_HELPER!$A:$B, 2, 0), "")</f>
        <v>4.5</v>
      </c>
      <c r="J53" s="3">
        <f>IFERROR(VLOOKUP(G53, LEVEL_HELPER!$A:$B, 2, 0), "")</f>
        <v>4.5</v>
      </c>
      <c r="K53" s="3">
        <f t="shared" ref="K53:L53" si="107">IF(OR(I53="", I53=0), "",
  IF(I53&lt;=2,   1,
  IF(I53&lt;=4,   2,
  IF(I53&lt;=5.5, 3, 4))))</f>
        <v>3</v>
      </c>
      <c r="L53" s="3">
        <f t="shared" si="107"/>
        <v>3</v>
      </c>
      <c r="M53" s="3" t="str">
        <f t="shared" si="1"/>
        <v>No Progress</v>
      </c>
      <c r="N53" s="157" t="s">
        <v>930</v>
      </c>
      <c r="O53" s="157" t="s">
        <v>922</v>
      </c>
      <c r="P53" s="3" t="str">
        <f t="shared" ca="1" si="2"/>
        <v/>
      </c>
      <c r="Q53" s="147" t="str">
        <f t="shared" ca="1" si="3"/>
        <v/>
      </c>
      <c r="R53" s="147" t="str">
        <f t="shared" ref="R53:S53" ca="1" si="108">IF(OR(P53="", P53=0), "",
  IF(P53&lt;=2,   1,
  IF(P53&lt;=4,   2,
  IF(P53&lt;=5.5, 3, 4))))</f>
        <v/>
      </c>
      <c r="S53" s="147" t="str">
        <f t="shared" ca="1" si="108"/>
        <v/>
      </c>
      <c r="T53" s="147" t="str">
        <f t="shared" ca="1" si="5"/>
        <v>No Data</v>
      </c>
      <c r="U53" s="147">
        <f t="shared" si="6"/>
        <v>1</v>
      </c>
      <c r="V53" s="147"/>
    </row>
    <row r="54" spans="1:22">
      <c r="A54" s="176" t="s">
        <v>445</v>
      </c>
      <c r="B54" s="154" t="s">
        <v>446</v>
      </c>
      <c r="C54" s="155" t="s">
        <v>56</v>
      </c>
      <c r="D54" s="155" t="s">
        <v>850</v>
      </c>
      <c r="E54" s="154" t="s">
        <v>21</v>
      </c>
      <c r="F54" s="3" t="s">
        <v>931</v>
      </c>
      <c r="G54" s="3" t="s">
        <v>931</v>
      </c>
      <c r="H54" s="156" t="str">
        <f ca="1">IFERROR(
  _xludf.MINIFS(ATTENDANCE_LOG!$F:$F,
         ATTENDANCE_LOG!$A:$A, C54,
         ATTENDANCE_LOG!$B:$B, E54),
"")</f>
        <v/>
      </c>
      <c r="I54" s="3">
        <f>IFERROR(VLOOKUP(F54, LEVEL_HELPER!$A:$B, 2, 0), "")</f>
        <v>4.5</v>
      </c>
      <c r="J54" s="3">
        <f>IFERROR(VLOOKUP(G54, LEVEL_HELPER!$A:$B, 2, 0), "")</f>
        <v>4.5</v>
      </c>
      <c r="K54" s="3">
        <f t="shared" ref="K54:L54" si="109">IF(OR(I54="", I54=0), "",
  IF(I54&lt;=2,   1,
  IF(I54&lt;=4,   2,
  IF(I54&lt;=5.5, 3, 4))))</f>
        <v>3</v>
      </c>
      <c r="L54" s="3">
        <f t="shared" si="109"/>
        <v>3</v>
      </c>
      <c r="M54" s="3" t="str">
        <f t="shared" si="1"/>
        <v>No Progress</v>
      </c>
      <c r="N54" s="157" t="s">
        <v>942</v>
      </c>
      <c r="O54" s="157" t="s">
        <v>922</v>
      </c>
      <c r="P54" s="3" t="str">
        <f t="shared" ca="1" si="2"/>
        <v/>
      </c>
      <c r="Q54" s="147" t="str">
        <f t="shared" ca="1" si="3"/>
        <v/>
      </c>
      <c r="R54" s="147" t="str">
        <f t="shared" ref="R54:S54" ca="1" si="110">IF(OR(P54="", P54=0), "",
  IF(P54&lt;=2,   1,
  IF(P54&lt;=4,   2,
  IF(P54&lt;=5.5, 3, 4))))</f>
        <v/>
      </c>
      <c r="S54" s="147" t="str">
        <f t="shared" ca="1" si="110"/>
        <v/>
      </c>
      <c r="T54" s="147" t="str">
        <f t="shared" ca="1" si="5"/>
        <v>No Data</v>
      </c>
      <c r="U54" s="147">
        <f t="shared" si="6"/>
        <v>1</v>
      </c>
      <c r="V54" s="147"/>
    </row>
    <row r="55" spans="1:22">
      <c r="A55" s="157" t="s">
        <v>176</v>
      </c>
      <c r="B55" s="3" t="s">
        <v>177</v>
      </c>
      <c r="C55" s="160" t="s">
        <v>56</v>
      </c>
      <c r="D55" s="160" t="s">
        <v>850</v>
      </c>
      <c r="E55" s="3" t="s">
        <v>21</v>
      </c>
      <c r="F55" s="3" t="s">
        <v>916</v>
      </c>
      <c r="G55" s="3" t="s">
        <v>931</v>
      </c>
      <c r="H55" s="156" t="str">
        <f ca="1">IFERROR(
  _xludf.MINIFS(ATTENDANCE_LOG!$F:$F,
         ATTENDANCE_LOG!$A:$A, C55,
         ATTENDANCE_LOG!$B:$B, E55),
"")</f>
        <v/>
      </c>
      <c r="I55" s="3">
        <f>IFERROR(VLOOKUP(F55, LEVEL_HELPER!$A:$B, 2, 0), "")</f>
        <v>2.5</v>
      </c>
      <c r="J55" s="3">
        <f>IFERROR(VLOOKUP(G55, LEVEL_HELPER!$A:$B, 2, 0), "")</f>
        <v>4.5</v>
      </c>
      <c r="K55" s="3">
        <f t="shared" ref="K55:L55" si="111">IF(OR(I55="", I55=0), "",
  IF(I55&lt;=2,   1,
  IF(I55&lt;=4,   2,
  IF(I55&lt;=5.5, 3, 4))))</f>
        <v>2</v>
      </c>
      <c r="L55" s="3">
        <f t="shared" si="111"/>
        <v>3</v>
      </c>
      <c r="M55" s="3" t="str">
        <f t="shared" si="1"/>
        <v>Lv2 → Lv3</v>
      </c>
      <c r="N55" s="157" t="s">
        <v>930</v>
      </c>
      <c r="O55" s="157" t="s">
        <v>922</v>
      </c>
      <c r="P55" s="3" t="str">
        <f t="shared" ca="1" si="2"/>
        <v/>
      </c>
      <c r="Q55" s="147" t="str">
        <f t="shared" ca="1" si="3"/>
        <v/>
      </c>
      <c r="R55" s="147" t="str">
        <f t="shared" ref="R55:S55" ca="1" si="112">IF(OR(P55="", P55=0), "",
  IF(P55&lt;=2,   1,
  IF(P55&lt;=4,   2,
  IF(P55&lt;=5.5, 3, 4))))</f>
        <v/>
      </c>
      <c r="S55" s="147" t="str">
        <f t="shared" ca="1" si="112"/>
        <v/>
      </c>
      <c r="T55" s="147" t="str">
        <f t="shared" ca="1" si="5"/>
        <v>No Data</v>
      </c>
      <c r="U55" s="147">
        <f t="shared" si="6"/>
        <v>1</v>
      </c>
      <c r="V55" s="147"/>
    </row>
    <row r="56" spans="1:22">
      <c r="A56" s="157" t="s">
        <v>228</v>
      </c>
      <c r="B56" s="3" t="s">
        <v>229</v>
      </c>
      <c r="C56" s="160" t="s">
        <v>56</v>
      </c>
      <c r="D56" s="160" t="s">
        <v>850</v>
      </c>
      <c r="E56" s="3" t="s">
        <v>21</v>
      </c>
      <c r="F56" s="3" t="s">
        <v>926</v>
      </c>
      <c r="G56" s="3" t="s">
        <v>917</v>
      </c>
      <c r="H56" s="156" t="str">
        <f ca="1">IFERROR(
  _xludf.MINIFS(ATTENDANCE_LOG!$F:$F,
         ATTENDANCE_LOG!$A:$A, C56,
         ATTENDANCE_LOG!$B:$B, E56),
"")</f>
        <v/>
      </c>
      <c r="I56" s="3">
        <f>IFERROR(VLOOKUP(F56, LEVEL_HELPER!$A:$B, 2, 0), "")</f>
        <v>1</v>
      </c>
      <c r="J56" s="3">
        <f>IFERROR(VLOOKUP(G56, LEVEL_HELPER!$A:$B, 2, 0), "")</f>
        <v>3</v>
      </c>
      <c r="K56" s="3">
        <f t="shared" ref="K56:L56" si="113">IF(OR(I56="", I56=0), "",
  IF(I56&lt;=2,   1,
  IF(I56&lt;=4,   2,
  IF(I56&lt;=5.5, 3, 4))))</f>
        <v>1</v>
      </c>
      <c r="L56" s="3">
        <f t="shared" si="113"/>
        <v>2</v>
      </c>
      <c r="M56" s="3" t="str">
        <f t="shared" si="1"/>
        <v>Lv1 → Lv2</v>
      </c>
      <c r="N56" s="157" t="s">
        <v>942</v>
      </c>
      <c r="O56" s="157" t="s">
        <v>922</v>
      </c>
      <c r="P56" s="3" t="str">
        <f t="shared" ca="1" si="2"/>
        <v/>
      </c>
      <c r="Q56" s="147" t="str">
        <f t="shared" ca="1" si="3"/>
        <v/>
      </c>
      <c r="R56" s="147" t="str">
        <f t="shared" ref="R56:S56" ca="1" si="114">IF(OR(P56="", P56=0), "",
  IF(P56&lt;=2,   1,
  IF(P56&lt;=4,   2,
  IF(P56&lt;=5.5, 3, 4))))</f>
        <v/>
      </c>
      <c r="S56" s="147" t="str">
        <f t="shared" ca="1" si="114"/>
        <v/>
      </c>
      <c r="T56" s="147" t="str">
        <f t="shared" ca="1" si="5"/>
        <v>No Data</v>
      </c>
      <c r="U56" s="147">
        <f t="shared" si="6"/>
        <v>1</v>
      </c>
      <c r="V56" s="147"/>
    </row>
    <row r="57" spans="1:22">
      <c r="A57" s="157" t="s">
        <v>482</v>
      </c>
      <c r="B57" s="3" t="s">
        <v>483</v>
      </c>
      <c r="C57" s="160" t="s">
        <v>56</v>
      </c>
      <c r="D57" s="160" t="s">
        <v>850</v>
      </c>
      <c r="E57" s="3" t="s">
        <v>21</v>
      </c>
      <c r="F57" s="3" t="s">
        <v>916</v>
      </c>
      <c r="G57" s="3" t="s">
        <v>934</v>
      </c>
      <c r="H57" s="156" t="str">
        <f ca="1">IFERROR(
  _xludf.MINIFS(ATTENDANCE_LOG!$F:$F,
         ATTENDANCE_LOG!$A:$A, C57,
         ATTENDANCE_LOG!$B:$B, E57),
"")</f>
        <v/>
      </c>
      <c r="I57" s="3">
        <f>IFERROR(VLOOKUP(F57, LEVEL_HELPER!$A:$B, 2, 0), "")</f>
        <v>2.5</v>
      </c>
      <c r="J57" s="3">
        <f>IFERROR(VLOOKUP(G57, LEVEL_HELPER!$A:$B, 2, 0), "")</f>
        <v>3.5</v>
      </c>
      <c r="K57" s="3">
        <f t="shared" ref="K57:L57" si="115">IF(OR(I57="", I57=0), "",
  IF(I57&lt;=2,   1,
  IF(I57&lt;=4,   2,
  IF(I57&lt;=5.5, 3, 4))))</f>
        <v>2</v>
      </c>
      <c r="L57" s="3">
        <f t="shared" si="115"/>
        <v>2</v>
      </c>
      <c r="M57" s="3" t="str">
        <f t="shared" si="1"/>
        <v>Progress within level</v>
      </c>
      <c r="N57" s="157" t="s">
        <v>918</v>
      </c>
      <c r="O57" s="157" t="s">
        <v>925</v>
      </c>
      <c r="P57" s="3" t="str">
        <f t="shared" ca="1" si="2"/>
        <v/>
      </c>
      <c r="Q57" s="147" t="str">
        <f t="shared" ca="1" si="3"/>
        <v/>
      </c>
      <c r="R57" s="147" t="str">
        <f t="shared" ref="R57:S57" ca="1" si="116">IF(OR(P57="", P57=0), "",
  IF(P57&lt;=2,   1,
  IF(P57&lt;=4,   2,
  IF(P57&lt;=5.5, 3, 4))))</f>
        <v/>
      </c>
      <c r="S57" s="147" t="str">
        <f t="shared" ca="1" si="116"/>
        <v/>
      </c>
      <c r="T57" s="147" t="str">
        <f t="shared" ca="1" si="5"/>
        <v>No Data</v>
      </c>
      <c r="U57" s="147">
        <f t="shared" si="6"/>
        <v>1</v>
      </c>
      <c r="V57" s="147"/>
    </row>
    <row r="58" spans="1:22">
      <c r="A58" s="176" t="s">
        <v>357</v>
      </c>
      <c r="B58" s="154" t="s">
        <v>358</v>
      </c>
      <c r="C58" s="155" t="s">
        <v>57</v>
      </c>
      <c r="D58" s="155" t="s">
        <v>851</v>
      </c>
      <c r="E58" s="154" t="s">
        <v>21</v>
      </c>
      <c r="F58" s="3" t="s">
        <v>916</v>
      </c>
      <c r="G58" s="3" t="s">
        <v>934</v>
      </c>
      <c r="H58" s="156" t="str">
        <f ca="1">IFERROR(
  _xludf.MINIFS(ATTENDANCE_LOG!$F:$F,
         ATTENDANCE_LOG!$A:$A, C58,
         ATTENDANCE_LOG!$B:$B, E58),
"")</f>
        <v/>
      </c>
      <c r="I58" s="3">
        <f>IFERROR(VLOOKUP(F58, LEVEL_HELPER!$A:$B, 2, 0), "")</f>
        <v>2.5</v>
      </c>
      <c r="J58" s="3">
        <f>IFERROR(VLOOKUP(G58, LEVEL_HELPER!$A:$B, 2, 0), "")</f>
        <v>3.5</v>
      </c>
      <c r="K58" s="3">
        <f t="shared" ref="K58:L58" si="117">IF(OR(I58="", I58=0), "",
  IF(I58&lt;=2,   1,
  IF(I58&lt;=4,   2,
  IF(I58&lt;=5.5, 3, 4))))</f>
        <v>2</v>
      </c>
      <c r="L58" s="3">
        <f t="shared" si="117"/>
        <v>2</v>
      </c>
      <c r="M58" s="3" t="str">
        <f t="shared" si="1"/>
        <v>Progress within level</v>
      </c>
      <c r="N58" s="157" t="s">
        <v>942</v>
      </c>
      <c r="O58" s="157" t="s">
        <v>921</v>
      </c>
      <c r="P58" s="3" t="str">
        <f t="shared" ca="1" si="2"/>
        <v/>
      </c>
      <c r="Q58" s="147" t="str">
        <f t="shared" ca="1" si="3"/>
        <v/>
      </c>
      <c r="R58" s="147" t="str">
        <f t="shared" ref="R58:S58" ca="1" si="118">IF(OR(P58="", P58=0), "",
  IF(P58&lt;=2,   1,
  IF(P58&lt;=4,   2,
  IF(P58&lt;=5.5, 3, 4))))</f>
        <v/>
      </c>
      <c r="S58" s="147" t="str">
        <f t="shared" ca="1" si="118"/>
        <v/>
      </c>
      <c r="T58" s="147" t="str">
        <f t="shared" ca="1" si="5"/>
        <v>No Data</v>
      </c>
      <c r="U58" s="147">
        <f t="shared" si="6"/>
        <v>1</v>
      </c>
      <c r="V58" s="147"/>
    </row>
    <row r="59" spans="1:22">
      <c r="A59" s="157" t="s">
        <v>230</v>
      </c>
      <c r="B59" s="3" t="s">
        <v>231</v>
      </c>
      <c r="C59" s="160" t="s">
        <v>57</v>
      </c>
      <c r="D59" s="160" t="s">
        <v>851</v>
      </c>
      <c r="E59" s="3" t="s">
        <v>21</v>
      </c>
      <c r="F59" s="3" t="s">
        <v>926</v>
      </c>
      <c r="G59" s="3" t="s">
        <v>917</v>
      </c>
      <c r="H59" s="156" t="str">
        <f ca="1">IFERROR(
  _xludf.MINIFS(ATTENDANCE_LOG!$F:$F,
         ATTENDANCE_LOG!$A:$A, C59,
         ATTENDANCE_LOG!$B:$B, E59),
"")</f>
        <v/>
      </c>
      <c r="I59" s="3">
        <f>IFERROR(VLOOKUP(F59, LEVEL_HELPER!$A:$B, 2, 0), "")</f>
        <v>1</v>
      </c>
      <c r="J59" s="3">
        <f>IFERROR(VLOOKUP(G59, LEVEL_HELPER!$A:$B, 2, 0), "")</f>
        <v>3</v>
      </c>
      <c r="K59" s="3">
        <f t="shared" ref="K59:L59" si="119">IF(OR(I59="", I59=0), "",
  IF(I59&lt;=2,   1,
  IF(I59&lt;=4,   2,
  IF(I59&lt;=5.5, 3, 4))))</f>
        <v>1</v>
      </c>
      <c r="L59" s="3">
        <f t="shared" si="119"/>
        <v>2</v>
      </c>
      <c r="M59" s="3" t="str">
        <f t="shared" si="1"/>
        <v>Lv1 → Lv2</v>
      </c>
      <c r="N59" s="157" t="s">
        <v>942</v>
      </c>
      <c r="O59" s="157" t="s">
        <v>921</v>
      </c>
      <c r="P59" s="3" t="str">
        <f t="shared" ca="1" si="2"/>
        <v/>
      </c>
      <c r="Q59" s="147" t="str">
        <f t="shared" ca="1" si="3"/>
        <v/>
      </c>
      <c r="R59" s="147" t="str">
        <f t="shared" ref="R59:S59" ca="1" si="120">IF(OR(P59="", P59=0), "",
  IF(P59&lt;=2,   1,
  IF(P59&lt;=4,   2,
  IF(P59&lt;=5.5, 3, 4))))</f>
        <v/>
      </c>
      <c r="S59" s="147" t="str">
        <f t="shared" ca="1" si="120"/>
        <v/>
      </c>
      <c r="T59" s="147" t="str">
        <f t="shared" ca="1" si="5"/>
        <v>No Data</v>
      </c>
      <c r="U59" s="147">
        <f t="shared" si="6"/>
        <v>1</v>
      </c>
      <c r="V59" s="147"/>
    </row>
    <row r="60" spans="1:22">
      <c r="A60" s="157" t="s">
        <v>568</v>
      </c>
      <c r="B60" s="3" t="s">
        <v>569</v>
      </c>
      <c r="C60" s="160" t="s">
        <v>57</v>
      </c>
      <c r="D60" s="160" t="s">
        <v>851</v>
      </c>
      <c r="E60" s="3" t="s">
        <v>21</v>
      </c>
      <c r="F60" s="3" t="s">
        <v>926</v>
      </c>
      <c r="G60" s="3" t="s">
        <v>917</v>
      </c>
      <c r="H60" s="156" t="str">
        <f ca="1">IFERROR(
  _xludf.MINIFS(ATTENDANCE_LOG!$F:$F,
         ATTENDANCE_LOG!$A:$A, C60,
         ATTENDANCE_LOG!$B:$B, E60),
"")</f>
        <v/>
      </c>
      <c r="I60" s="3">
        <f>IFERROR(VLOOKUP(F60, LEVEL_HELPER!$A:$B, 2, 0), "")</f>
        <v>1</v>
      </c>
      <c r="J60" s="3">
        <f>IFERROR(VLOOKUP(G60, LEVEL_HELPER!$A:$B, 2, 0), "")</f>
        <v>3</v>
      </c>
      <c r="K60" s="3">
        <f t="shared" ref="K60:L60" si="121">IF(OR(I60="", I60=0), "",
  IF(I60&lt;=2,   1,
  IF(I60&lt;=4,   2,
  IF(I60&lt;=5.5, 3, 4))))</f>
        <v>1</v>
      </c>
      <c r="L60" s="3">
        <f t="shared" si="121"/>
        <v>2</v>
      </c>
      <c r="M60" s="3" t="str">
        <f t="shared" si="1"/>
        <v>Lv1 → Lv2</v>
      </c>
      <c r="N60" s="157" t="s">
        <v>942</v>
      </c>
      <c r="O60" s="157" t="s">
        <v>922</v>
      </c>
      <c r="P60" s="3" t="str">
        <f t="shared" ca="1" si="2"/>
        <v/>
      </c>
      <c r="Q60" s="147" t="str">
        <f t="shared" ca="1" si="3"/>
        <v/>
      </c>
      <c r="R60" s="147" t="str">
        <f t="shared" ref="R60:S60" ca="1" si="122">IF(OR(P60="", P60=0), "",
  IF(P60&lt;=2,   1,
  IF(P60&lt;=4,   2,
  IF(P60&lt;=5.5, 3, 4))))</f>
        <v/>
      </c>
      <c r="S60" s="147" t="str">
        <f t="shared" ca="1" si="122"/>
        <v/>
      </c>
      <c r="T60" s="147" t="str">
        <f t="shared" ca="1" si="5"/>
        <v>No Data</v>
      </c>
      <c r="U60" s="147">
        <f t="shared" si="6"/>
        <v>1</v>
      </c>
      <c r="V60" s="147"/>
    </row>
    <row r="61" spans="1:22">
      <c r="A61" s="157" t="s">
        <v>625</v>
      </c>
      <c r="B61" s="3" t="s">
        <v>626</v>
      </c>
      <c r="C61" s="160" t="s">
        <v>57</v>
      </c>
      <c r="D61" s="160" t="s">
        <v>851</v>
      </c>
      <c r="E61" s="3" t="s">
        <v>21</v>
      </c>
      <c r="F61" s="3" t="s">
        <v>926</v>
      </c>
      <c r="G61" s="3" t="s">
        <v>917</v>
      </c>
      <c r="H61" s="156" t="str">
        <f ca="1">IFERROR(
  _xludf.MINIFS(ATTENDANCE_LOG!$F:$F,
         ATTENDANCE_LOG!$A:$A, C61,
         ATTENDANCE_LOG!$B:$B, E61),
"")</f>
        <v/>
      </c>
      <c r="I61" s="3">
        <f>IFERROR(VLOOKUP(F61, LEVEL_HELPER!$A:$B, 2, 0), "")</f>
        <v>1</v>
      </c>
      <c r="J61" s="3">
        <f>IFERROR(VLOOKUP(G61, LEVEL_HELPER!$A:$B, 2, 0), "")</f>
        <v>3</v>
      </c>
      <c r="K61" s="3">
        <f t="shared" ref="K61:L61" si="123">IF(OR(I61="", I61=0), "",
  IF(I61&lt;=2,   1,
  IF(I61&lt;=4,   2,
  IF(I61&lt;=5.5, 3, 4))))</f>
        <v>1</v>
      </c>
      <c r="L61" s="3">
        <f t="shared" si="123"/>
        <v>2</v>
      </c>
      <c r="M61" s="3" t="str">
        <f t="shared" si="1"/>
        <v>Lv1 → Lv2</v>
      </c>
      <c r="N61" s="157" t="s">
        <v>942</v>
      </c>
      <c r="O61" s="157" t="s">
        <v>921</v>
      </c>
      <c r="P61" s="3" t="str">
        <f t="shared" ca="1" si="2"/>
        <v/>
      </c>
      <c r="Q61" s="147" t="str">
        <f t="shared" ca="1" si="3"/>
        <v/>
      </c>
      <c r="R61" s="147" t="str">
        <f t="shared" ref="R61:S61" ca="1" si="124">IF(OR(P61="", P61=0), "",
  IF(P61&lt;=2,   1,
  IF(P61&lt;=4,   2,
  IF(P61&lt;=5.5, 3, 4))))</f>
        <v/>
      </c>
      <c r="S61" s="147" t="str">
        <f t="shared" ca="1" si="124"/>
        <v/>
      </c>
      <c r="T61" s="147" t="str">
        <f t="shared" ca="1" si="5"/>
        <v>No Data</v>
      </c>
      <c r="U61" s="147">
        <f t="shared" si="6"/>
        <v>1</v>
      </c>
      <c r="V61" s="147"/>
    </row>
    <row r="62" spans="1:22">
      <c r="A62" s="157" t="s">
        <v>675</v>
      </c>
      <c r="B62" s="3" t="s">
        <v>676</v>
      </c>
      <c r="C62" s="160" t="s">
        <v>57</v>
      </c>
      <c r="D62" s="160" t="s">
        <v>851</v>
      </c>
      <c r="E62" s="3" t="s">
        <v>21</v>
      </c>
      <c r="F62" s="3" t="s">
        <v>916</v>
      </c>
      <c r="G62" s="3" t="s">
        <v>917</v>
      </c>
      <c r="H62" s="156" t="str">
        <f ca="1">IFERROR(
  _xludf.MINIFS(ATTENDANCE_LOG!$F:$F,
         ATTENDANCE_LOG!$A:$A, C62,
         ATTENDANCE_LOG!$B:$B, E62),
"")</f>
        <v/>
      </c>
      <c r="I62" s="3">
        <f>IFERROR(VLOOKUP(F62, LEVEL_HELPER!$A:$B, 2, 0), "")</f>
        <v>2.5</v>
      </c>
      <c r="J62" s="3">
        <f>IFERROR(VLOOKUP(G62, LEVEL_HELPER!$A:$B, 2, 0), "")</f>
        <v>3</v>
      </c>
      <c r="K62" s="3">
        <f t="shared" ref="K62:L62" si="125">IF(OR(I62="", I62=0), "",
  IF(I62&lt;=2,   1,
  IF(I62&lt;=4,   2,
  IF(I62&lt;=5.5, 3, 4))))</f>
        <v>2</v>
      </c>
      <c r="L62" s="3">
        <f t="shared" si="125"/>
        <v>2</v>
      </c>
      <c r="M62" s="3" t="str">
        <f t="shared" si="1"/>
        <v>Progress within level</v>
      </c>
      <c r="N62" s="157" t="s">
        <v>918</v>
      </c>
      <c r="O62" s="157" t="s">
        <v>923</v>
      </c>
      <c r="P62" s="3" t="str">
        <f t="shared" ca="1" si="2"/>
        <v/>
      </c>
      <c r="Q62" s="147" t="str">
        <f t="shared" ca="1" si="3"/>
        <v/>
      </c>
      <c r="R62" s="147" t="str">
        <f t="shared" ref="R62:S62" ca="1" si="126">IF(OR(P62="", P62=0), "",
  IF(P62&lt;=2,   1,
  IF(P62&lt;=4,   2,
  IF(P62&lt;=5.5, 3, 4))))</f>
        <v/>
      </c>
      <c r="S62" s="147" t="str">
        <f t="shared" ca="1" si="126"/>
        <v/>
      </c>
      <c r="T62" s="147" t="str">
        <f t="shared" ca="1" si="5"/>
        <v>No Data</v>
      </c>
      <c r="U62" s="147">
        <f t="shared" si="6"/>
        <v>1</v>
      </c>
      <c r="V62" s="147"/>
    </row>
    <row r="63" spans="1:22">
      <c r="A63" s="176" t="s">
        <v>357</v>
      </c>
      <c r="B63" s="154" t="s">
        <v>358</v>
      </c>
      <c r="C63" s="155" t="s">
        <v>57</v>
      </c>
      <c r="D63" s="155" t="s">
        <v>851</v>
      </c>
      <c r="E63" s="154" t="s">
        <v>22</v>
      </c>
      <c r="F63" s="3" t="s">
        <v>934</v>
      </c>
      <c r="G63" s="3"/>
      <c r="H63" s="156" t="str">
        <f ca="1">IFERROR(
  _xludf.MINIFS(ATTENDANCE_LOG!$F:$F,
         ATTENDANCE_LOG!$A:$A, C63,
         ATTENDANCE_LOG!$B:$B, E63),
"")</f>
        <v/>
      </c>
      <c r="I63" s="3">
        <f>IFERROR(VLOOKUP(F63, LEVEL_HELPER!$A:$B, 2, 0), "")</f>
        <v>3.5</v>
      </c>
      <c r="J63" s="3" t="str">
        <f>IFERROR(VLOOKUP(G63, LEVEL_HELPER!$A:$B, 2, 0), "")</f>
        <v/>
      </c>
      <c r="K63" s="3">
        <f t="shared" ref="K63:L63" si="127">IF(OR(I63="", I63=0), "",
  IF(I63&lt;=2,   1,
  IF(I63&lt;=4,   2,
  IF(I63&lt;=5.5, 3, 4))))</f>
        <v>2</v>
      </c>
      <c r="L63" s="3" t="str">
        <f t="shared" si="127"/>
        <v/>
      </c>
      <c r="M63" s="3" t="str">
        <f t="shared" si="1"/>
        <v>No Data</v>
      </c>
      <c r="N63" s="157" t="s">
        <v>942</v>
      </c>
      <c r="O63" s="157" t="s">
        <v>921</v>
      </c>
      <c r="P63" s="3" t="str">
        <f t="shared" ca="1" si="2"/>
        <v/>
      </c>
      <c r="Q63" s="147" t="str">
        <f t="shared" ca="1" si="3"/>
        <v/>
      </c>
      <c r="R63" s="147" t="str">
        <f t="shared" ref="R63:S63" ca="1" si="128">IF(OR(P63="", P63=0), "",
  IF(P63&lt;=2,   1,
  IF(P63&lt;=4,   2,
  IF(P63&lt;=5.5, 3, 4))))</f>
        <v/>
      </c>
      <c r="S63" s="147" t="str">
        <f t="shared" ca="1" si="128"/>
        <v/>
      </c>
      <c r="T63" s="147" t="str">
        <f t="shared" ca="1" si="5"/>
        <v>No Data</v>
      </c>
      <c r="U63" s="147">
        <f t="shared" si="6"/>
        <v>0</v>
      </c>
      <c r="V63" s="147"/>
    </row>
    <row r="64" spans="1:22">
      <c r="A64" s="157" t="s">
        <v>167</v>
      </c>
      <c r="B64" s="3" t="s">
        <v>168</v>
      </c>
      <c r="C64" s="160" t="s">
        <v>57</v>
      </c>
      <c r="D64" s="160" t="s">
        <v>851</v>
      </c>
      <c r="E64" s="3" t="s">
        <v>22</v>
      </c>
      <c r="F64" s="3"/>
      <c r="G64" s="3"/>
      <c r="H64" s="156" t="str">
        <f ca="1">IFERROR(
  _xludf.MINIFS(ATTENDANCE_LOG!$F:$F,
         ATTENDANCE_LOG!$A:$A, C64,
         ATTENDANCE_LOG!$B:$B, E64),
"")</f>
        <v/>
      </c>
      <c r="I64" s="3" t="str">
        <f>IFERROR(VLOOKUP(F64, LEVEL_HELPER!$A:$B, 2, 0), "")</f>
        <v/>
      </c>
      <c r="J64" s="3" t="str">
        <f>IFERROR(VLOOKUP(G64, LEVEL_HELPER!$A:$B, 2, 0), "")</f>
        <v/>
      </c>
      <c r="K64" s="3" t="str">
        <f t="shared" ref="K64:L64" si="129">IF(OR(I64="", I64=0), "",
  IF(I64&lt;=2,   1,
  IF(I64&lt;=4,   2,
  IF(I64&lt;=5.5, 3, 4))))</f>
        <v/>
      </c>
      <c r="L64" s="3" t="str">
        <f t="shared" si="129"/>
        <v/>
      </c>
      <c r="M64" s="3" t="str">
        <f t="shared" si="1"/>
        <v>No Data</v>
      </c>
      <c r="N64" s="157" t="s">
        <v>918</v>
      </c>
      <c r="O64" s="157" t="s">
        <v>922</v>
      </c>
      <c r="P64" s="3" t="str">
        <f t="shared" ca="1" si="2"/>
        <v/>
      </c>
      <c r="Q64" s="147" t="str">
        <f t="shared" ca="1" si="3"/>
        <v/>
      </c>
      <c r="R64" s="147" t="str">
        <f t="shared" ref="R64:S64" ca="1" si="130">IF(OR(P64="", P64=0), "",
  IF(P64&lt;=2,   1,
  IF(P64&lt;=4,   2,
  IF(P64&lt;=5.5, 3, 4))))</f>
        <v/>
      </c>
      <c r="S64" s="147" t="str">
        <f t="shared" ca="1" si="130"/>
        <v/>
      </c>
      <c r="T64" s="147" t="str">
        <f t="shared" ca="1" si="5"/>
        <v>No Data</v>
      </c>
      <c r="U64" s="147">
        <f t="shared" si="6"/>
        <v>1</v>
      </c>
      <c r="V64" s="147"/>
    </row>
    <row r="65" spans="1:22">
      <c r="A65" s="157" t="s">
        <v>184</v>
      </c>
      <c r="B65" s="3" t="s">
        <v>185</v>
      </c>
      <c r="C65" s="160" t="s">
        <v>57</v>
      </c>
      <c r="D65" s="160" t="s">
        <v>851</v>
      </c>
      <c r="E65" s="3" t="s">
        <v>22</v>
      </c>
      <c r="F65" s="3"/>
      <c r="G65" s="3"/>
      <c r="H65" s="156" t="str">
        <f ca="1">IFERROR(
  _xludf.MINIFS(ATTENDANCE_LOG!$F:$F,
         ATTENDANCE_LOG!$A:$A, C65,
         ATTENDANCE_LOG!$B:$B, E65),
"")</f>
        <v/>
      </c>
      <c r="I65" s="3" t="str">
        <f>IFERROR(VLOOKUP(F65, LEVEL_HELPER!$A:$B, 2, 0), "")</f>
        <v/>
      </c>
      <c r="J65" s="3" t="str">
        <f>IFERROR(VLOOKUP(G65, LEVEL_HELPER!$A:$B, 2, 0), "")</f>
        <v/>
      </c>
      <c r="K65" s="3" t="str">
        <f t="shared" ref="K65:L65" si="131">IF(OR(I65="", I65=0), "",
  IF(I65&lt;=2,   1,
  IF(I65&lt;=4,   2,
  IF(I65&lt;=5.5, 3, 4))))</f>
        <v/>
      </c>
      <c r="L65" s="3" t="str">
        <f t="shared" si="131"/>
        <v/>
      </c>
      <c r="M65" s="3" t="str">
        <f t="shared" si="1"/>
        <v>No Data</v>
      </c>
      <c r="N65" s="157" t="s">
        <v>942</v>
      </c>
      <c r="O65" s="157" t="s">
        <v>925</v>
      </c>
      <c r="P65" s="3" t="str">
        <f t="shared" ca="1" si="2"/>
        <v/>
      </c>
      <c r="Q65" s="147" t="str">
        <f t="shared" ca="1" si="3"/>
        <v/>
      </c>
      <c r="R65" s="147" t="str">
        <f t="shared" ref="R65:S65" ca="1" si="132">IF(OR(P65="", P65=0), "",
  IF(P65&lt;=2,   1,
  IF(P65&lt;=4,   2,
  IF(P65&lt;=5.5, 3, 4))))</f>
        <v/>
      </c>
      <c r="S65" s="147" t="str">
        <f t="shared" ca="1" si="132"/>
        <v/>
      </c>
      <c r="T65" s="147" t="str">
        <f t="shared" ca="1" si="5"/>
        <v>No Data</v>
      </c>
      <c r="U65" s="147">
        <f t="shared" si="6"/>
        <v>1</v>
      </c>
      <c r="V65" s="147"/>
    </row>
    <row r="66" spans="1:22">
      <c r="A66" s="157" t="s">
        <v>188</v>
      </c>
      <c r="B66" s="3" t="s">
        <v>189</v>
      </c>
      <c r="C66" s="160" t="s">
        <v>57</v>
      </c>
      <c r="D66" s="160" t="s">
        <v>851</v>
      </c>
      <c r="E66" s="3" t="s">
        <v>22</v>
      </c>
      <c r="F66" s="3"/>
      <c r="G66" s="3"/>
      <c r="H66" s="156" t="str">
        <f ca="1">IFERROR(
  _xludf.MINIFS(ATTENDANCE_LOG!$F:$F,
         ATTENDANCE_LOG!$A:$A, C66,
         ATTENDANCE_LOG!$B:$B, E66),
"")</f>
        <v/>
      </c>
      <c r="I66" s="3" t="str">
        <f>IFERROR(VLOOKUP(F66, LEVEL_HELPER!$A:$B, 2, 0), "")</f>
        <v/>
      </c>
      <c r="J66" s="3" t="str">
        <f>IFERROR(VLOOKUP(G66, LEVEL_HELPER!$A:$B, 2, 0), "")</f>
        <v/>
      </c>
      <c r="K66" s="3" t="str">
        <f t="shared" ref="K66:L66" si="133">IF(OR(I66="", I66=0), "",
  IF(I66&lt;=2,   1,
  IF(I66&lt;=4,   2,
  IF(I66&lt;=5.5, 3, 4))))</f>
        <v/>
      </c>
      <c r="L66" s="3" t="str">
        <f t="shared" si="133"/>
        <v/>
      </c>
      <c r="M66" s="3" t="str">
        <f t="shared" si="1"/>
        <v>No Data</v>
      </c>
      <c r="N66" s="157" t="s">
        <v>918</v>
      </c>
      <c r="O66" s="157" t="s">
        <v>922</v>
      </c>
      <c r="P66" s="3" t="str">
        <f t="shared" ca="1" si="2"/>
        <v/>
      </c>
      <c r="Q66" s="147" t="str">
        <f t="shared" ca="1" si="3"/>
        <v/>
      </c>
      <c r="R66" s="147" t="str">
        <f t="shared" ref="R66:S66" ca="1" si="134">IF(OR(P66="", P66=0), "",
  IF(P66&lt;=2,   1,
  IF(P66&lt;=4,   2,
  IF(P66&lt;=5.5, 3, 4))))</f>
        <v/>
      </c>
      <c r="S66" s="147" t="str">
        <f t="shared" ca="1" si="134"/>
        <v/>
      </c>
      <c r="T66" s="147" t="str">
        <f t="shared" ca="1" si="5"/>
        <v>No Data</v>
      </c>
      <c r="U66" s="147">
        <f t="shared" si="6"/>
        <v>1</v>
      </c>
      <c r="V66" s="147"/>
    </row>
    <row r="67" spans="1:22">
      <c r="A67" s="157" t="s">
        <v>230</v>
      </c>
      <c r="B67" s="3" t="s">
        <v>231</v>
      </c>
      <c r="C67" s="160" t="s">
        <v>57</v>
      </c>
      <c r="D67" s="160" t="s">
        <v>851</v>
      </c>
      <c r="E67" s="3" t="s">
        <v>22</v>
      </c>
      <c r="F67" s="3" t="s">
        <v>917</v>
      </c>
      <c r="G67" s="3"/>
      <c r="H67" s="156" t="str">
        <f ca="1">IFERROR(
  _xludf.MINIFS(ATTENDANCE_LOG!$F:$F,
         ATTENDANCE_LOG!$A:$A, C67,
         ATTENDANCE_LOG!$B:$B, E67),
"")</f>
        <v/>
      </c>
      <c r="I67" s="3">
        <f>IFERROR(VLOOKUP(F67, LEVEL_HELPER!$A:$B, 2, 0), "")</f>
        <v>3</v>
      </c>
      <c r="J67" s="3" t="str">
        <f>IFERROR(VLOOKUP(G67, LEVEL_HELPER!$A:$B, 2, 0), "")</f>
        <v/>
      </c>
      <c r="K67" s="3">
        <f t="shared" ref="K67:L67" si="135">IF(OR(I67="", I67=0), "",
  IF(I67&lt;=2,   1,
  IF(I67&lt;=4,   2,
  IF(I67&lt;=5.5, 3, 4))))</f>
        <v>2</v>
      </c>
      <c r="L67" s="3" t="str">
        <f t="shared" si="135"/>
        <v/>
      </c>
      <c r="M67" s="3" t="str">
        <f t="shared" si="1"/>
        <v>No Data</v>
      </c>
      <c r="N67" s="157" t="s">
        <v>942</v>
      </c>
      <c r="O67" s="157" t="s">
        <v>921</v>
      </c>
      <c r="P67" s="3" t="str">
        <f t="shared" ca="1" si="2"/>
        <v/>
      </c>
      <c r="Q67" s="147" t="str">
        <f t="shared" ca="1" si="3"/>
        <v/>
      </c>
      <c r="R67" s="147" t="str">
        <f t="shared" ref="R67:S67" ca="1" si="136">IF(OR(P67="", P67=0), "",
  IF(P67&lt;=2,   1,
  IF(P67&lt;=4,   2,
  IF(P67&lt;=5.5, 3, 4))))</f>
        <v/>
      </c>
      <c r="S67" s="147" t="str">
        <f t="shared" ca="1" si="136"/>
        <v/>
      </c>
      <c r="T67" s="147" t="str">
        <f t="shared" ca="1" si="5"/>
        <v>No Data</v>
      </c>
      <c r="U67" s="147">
        <f t="shared" si="6"/>
        <v>0</v>
      </c>
      <c r="V67" s="147"/>
    </row>
    <row r="68" spans="1:22">
      <c r="A68" s="157" t="s">
        <v>568</v>
      </c>
      <c r="B68" s="3" t="s">
        <v>569</v>
      </c>
      <c r="C68" s="160" t="s">
        <v>57</v>
      </c>
      <c r="D68" s="160" t="s">
        <v>851</v>
      </c>
      <c r="E68" s="3" t="s">
        <v>22</v>
      </c>
      <c r="F68" s="3" t="s">
        <v>917</v>
      </c>
      <c r="G68" s="3" t="s">
        <v>940</v>
      </c>
      <c r="H68" s="156" t="str">
        <f ca="1">IFERROR(
  _xludf.MINIFS(ATTENDANCE_LOG!$F:$F,
         ATTENDANCE_LOG!$A:$A, C68,
         ATTENDANCE_LOG!$B:$B, E68),
"")</f>
        <v/>
      </c>
      <c r="I68" s="3">
        <f>IFERROR(VLOOKUP(F68, LEVEL_HELPER!$A:$B, 2, 0), "")</f>
        <v>3</v>
      </c>
      <c r="J68" s="3">
        <f>IFERROR(VLOOKUP(G68, LEVEL_HELPER!$A:$B, 2, 0), "")</f>
        <v>5</v>
      </c>
      <c r="K68" s="3">
        <f t="shared" ref="K68:L68" si="137">IF(OR(I68="", I68=0), "",
  IF(I68&lt;=2,   1,
  IF(I68&lt;=4,   2,
  IF(I68&lt;=5.5, 3, 4))))</f>
        <v>2</v>
      </c>
      <c r="L68" s="3">
        <f t="shared" si="137"/>
        <v>3</v>
      </c>
      <c r="M68" s="3" t="str">
        <f t="shared" si="1"/>
        <v>Lv2 → Lv3</v>
      </c>
      <c r="N68" s="157" t="s">
        <v>942</v>
      </c>
      <c r="O68" s="157" t="s">
        <v>922</v>
      </c>
      <c r="P68" s="3" t="str">
        <f t="shared" ca="1" si="2"/>
        <v/>
      </c>
      <c r="Q68" s="147" t="str">
        <f t="shared" ca="1" si="3"/>
        <v/>
      </c>
      <c r="R68" s="147" t="str">
        <f t="shared" ref="R68:S68" ca="1" si="138">IF(OR(P68="", P68=0), "",
  IF(P68&lt;=2,   1,
  IF(P68&lt;=4,   2,
  IF(P68&lt;=5.5, 3, 4))))</f>
        <v/>
      </c>
      <c r="S68" s="147" t="str">
        <f t="shared" ca="1" si="138"/>
        <v/>
      </c>
      <c r="T68" s="147" t="str">
        <f t="shared" ca="1" si="5"/>
        <v>No Data</v>
      </c>
      <c r="U68" s="147">
        <f t="shared" si="6"/>
        <v>0</v>
      </c>
      <c r="V68" s="147"/>
    </row>
    <row r="69" spans="1:22">
      <c r="A69" s="157" t="s">
        <v>625</v>
      </c>
      <c r="B69" s="3" t="s">
        <v>626</v>
      </c>
      <c r="C69" s="160" t="s">
        <v>57</v>
      </c>
      <c r="D69" s="160" t="s">
        <v>851</v>
      </c>
      <c r="E69" s="3" t="s">
        <v>22</v>
      </c>
      <c r="F69" s="3" t="s">
        <v>917</v>
      </c>
      <c r="G69" s="3"/>
      <c r="H69" s="156" t="str">
        <f ca="1">IFERROR(
  _xludf.MINIFS(ATTENDANCE_LOG!$F:$F,
         ATTENDANCE_LOG!$A:$A, C69,
         ATTENDANCE_LOG!$B:$B, E69),
"")</f>
        <v/>
      </c>
      <c r="I69" s="3">
        <f>IFERROR(VLOOKUP(F69, LEVEL_HELPER!$A:$B, 2, 0), "")</f>
        <v>3</v>
      </c>
      <c r="J69" s="3" t="str">
        <f>IFERROR(VLOOKUP(G69, LEVEL_HELPER!$A:$B, 2, 0), "")</f>
        <v/>
      </c>
      <c r="K69" s="3">
        <f t="shared" ref="K69:L69" si="139">IF(OR(I69="", I69=0), "",
  IF(I69&lt;=2,   1,
  IF(I69&lt;=4,   2,
  IF(I69&lt;=5.5, 3, 4))))</f>
        <v>2</v>
      </c>
      <c r="L69" s="3" t="str">
        <f t="shared" si="139"/>
        <v/>
      </c>
      <c r="M69" s="3" t="str">
        <f t="shared" si="1"/>
        <v>No Data</v>
      </c>
      <c r="N69" s="157" t="s">
        <v>942</v>
      </c>
      <c r="O69" s="157" t="s">
        <v>921</v>
      </c>
      <c r="P69" s="3" t="str">
        <f t="shared" ca="1" si="2"/>
        <v/>
      </c>
      <c r="Q69" s="147" t="str">
        <f t="shared" ca="1" si="3"/>
        <v/>
      </c>
      <c r="R69" s="147" t="str">
        <f t="shared" ref="R69:S69" ca="1" si="140">IF(OR(P69="", P69=0), "",
  IF(P69&lt;=2,   1,
  IF(P69&lt;=4,   2,
  IF(P69&lt;=5.5, 3, 4))))</f>
        <v/>
      </c>
      <c r="S69" s="147" t="str">
        <f t="shared" ca="1" si="140"/>
        <v/>
      </c>
      <c r="T69" s="147" t="str">
        <f t="shared" ca="1" si="5"/>
        <v>No Data</v>
      </c>
      <c r="U69" s="147">
        <f t="shared" si="6"/>
        <v>0</v>
      </c>
      <c r="V69" s="147"/>
    </row>
    <row r="70" spans="1:22">
      <c r="A70" s="157" t="s">
        <v>697</v>
      </c>
      <c r="B70" s="3" t="s">
        <v>698</v>
      </c>
      <c r="C70" s="160" t="s">
        <v>57</v>
      </c>
      <c r="D70" s="160" t="s">
        <v>851</v>
      </c>
      <c r="E70" s="3" t="s">
        <v>22</v>
      </c>
      <c r="F70" s="3"/>
      <c r="G70" s="3"/>
      <c r="H70" s="156" t="str">
        <f ca="1">IFERROR(
  _xludf.MINIFS(ATTENDANCE_LOG!$F:$F,
         ATTENDANCE_LOG!$A:$A, C70,
         ATTENDANCE_LOG!$B:$B, E70),
"")</f>
        <v/>
      </c>
      <c r="I70" s="3" t="str">
        <f>IFERROR(VLOOKUP(F70, LEVEL_HELPER!$A:$B, 2, 0), "")</f>
        <v/>
      </c>
      <c r="J70" s="3" t="str">
        <f>IFERROR(VLOOKUP(G70, LEVEL_HELPER!$A:$B, 2, 0), "")</f>
        <v/>
      </c>
      <c r="K70" s="3" t="str">
        <f t="shared" ref="K70:L70" si="141">IF(OR(I70="", I70=0), "",
  IF(I70&lt;=2,   1,
  IF(I70&lt;=4,   2,
  IF(I70&lt;=5.5, 3, 4))))</f>
        <v/>
      </c>
      <c r="L70" s="3" t="str">
        <f t="shared" si="141"/>
        <v/>
      </c>
      <c r="M70" s="3" t="str">
        <f t="shared" si="1"/>
        <v>No Data</v>
      </c>
      <c r="N70" s="157" t="s">
        <v>942</v>
      </c>
      <c r="O70" s="157" t="s">
        <v>925</v>
      </c>
      <c r="P70" s="3" t="str">
        <f t="shared" ca="1" si="2"/>
        <v/>
      </c>
      <c r="Q70" s="147" t="str">
        <f t="shared" ca="1" si="3"/>
        <v/>
      </c>
      <c r="R70" s="147" t="str">
        <f t="shared" ref="R70:S70" ca="1" si="142">IF(OR(P70="", P70=0), "",
  IF(P70&lt;=2,   1,
  IF(P70&lt;=4,   2,
  IF(P70&lt;=5.5, 3, 4))))</f>
        <v/>
      </c>
      <c r="S70" s="147" t="str">
        <f t="shared" ca="1" si="142"/>
        <v/>
      </c>
      <c r="T70" s="147" t="str">
        <f t="shared" ca="1" si="5"/>
        <v>No Data</v>
      </c>
      <c r="U70" s="147">
        <f t="shared" si="6"/>
        <v>1</v>
      </c>
      <c r="V70" s="147"/>
    </row>
    <row r="71" spans="1:22">
      <c r="A71" s="176" t="s">
        <v>603</v>
      </c>
      <c r="B71" s="154" t="s">
        <v>604</v>
      </c>
      <c r="C71" s="155" t="s">
        <v>58</v>
      </c>
      <c r="D71" s="155" t="s">
        <v>852</v>
      </c>
      <c r="E71" s="154" t="s">
        <v>24</v>
      </c>
      <c r="F71" s="3"/>
      <c r="G71" s="3"/>
      <c r="H71" s="156" t="str">
        <f ca="1">IFERROR(
  _xludf.MINIFS(ATTENDANCE_LOG!$F:$F,
         ATTENDANCE_LOG!$A:$A, C71,
         ATTENDANCE_LOG!$B:$B, E71),
"")</f>
        <v/>
      </c>
      <c r="I71" s="3" t="str">
        <f>IFERROR(VLOOKUP(F71, LEVEL_HELPER!$A:$B, 2, 0), "")</f>
        <v/>
      </c>
      <c r="J71" s="3" t="str">
        <f>IFERROR(VLOOKUP(G71, LEVEL_HELPER!$A:$B, 2, 0), "")</f>
        <v/>
      </c>
      <c r="K71" s="3" t="str">
        <f t="shared" ref="K71:L71" si="143">IF(OR(I71="", I71=0), "",
  IF(I71&lt;=2,   1,
  IF(I71&lt;=4,   2,
  IF(I71&lt;=5.5, 3, 4))))</f>
        <v/>
      </c>
      <c r="L71" s="3" t="str">
        <f t="shared" si="143"/>
        <v/>
      </c>
      <c r="M71" s="3" t="str">
        <f t="shared" si="1"/>
        <v>No Data</v>
      </c>
      <c r="N71" s="157" t="s">
        <v>942</v>
      </c>
      <c r="O71" s="157" t="s">
        <v>925</v>
      </c>
      <c r="P71" s="3" t="str">
        <f t="shared" ca="1" si="2"/>
        <v/>
      </c>
      <c r="Q71" s="147" t="str">
        <f t="shared" ca="1" si="3"/>
        <v/>
      </c>
      <c r="R71" s="147" t="str">
        <f t="shared" ref="R71:S71" ca="1" si="144">IF(OR(P71="", P71=0), "",
  IF(P71&lt;=2,   1,
  IF(P71&lt;=4,   2,
  IF(P71&lt;=5.5, 3, 4))))</f>
        <v/>
      </c>
      <c r="S71" s="147" t="str">
        <f t="shared" ca="1" si="144"/>
        <v/>
      </c>
      <c r="T71" s="147" t="str">
        <f t="shared" ca="1" si="5"/>
        <v>No Data</v>
      </c>
      <c r="U71" s="147">
        <f t="shared" si="6"/>
        <v>1</v>
      </c>
      <c r="V71" s="147"/>
    </row>
    <row r="72" spans="1:22">
      <c r="A72" s="157" t="s">
        <v>239</v>
      </c>
      <c r="B72" s="3" t="s">
        <v>240</v>
      </c>
      <c r="C72" s="160" t="s">
        <v>58</v>
      </c>
      <c r="D72" s="160" t="s">
        <v>852</v>
      </c>
      <c r="E72" s="3" t="s">
        <v>24</v>
      </c>
      <c r="F72" s="3"/>
      <c r="G72" s="3"/>
      <c r="H72" s="156" t="str">
        <f ca="1">IFERROR(
  _xludf.MINIFS(ATTENDANCE_LOG!$F:$F,
         ATTENDANCE_LOG!$A:$A, C72,
         ATTENDANCE_LOG!$B:$B, E72),
"")</f>
        <v/>
      </c>
      <c r="I72" s="3" t="str">
        <f>IFERROR(VLOOKUP(F72, LEVEL_HELPER!$A:$B, 2, 0), "")</f>
        <v/>
      </c>
      <c r="J72" s="3" t="str">
        <f>IFERROR(VLOOKUP(G72, LEVEL_HELPER!$A:$B, 2, 0), "")</f>
        <v/>
      </c>
      <c r="K72" s="3" t="str">
        <f t="shared" ref="K72:L72" si="145">IF(OR(I72="", I72=0), "",
  IF(I72&lt;=2,   1,
  IF(I72&lt;=4,   2,
  IF(I72&lt;=5.5, 3, 4))))</f>
        <v/>
      </c>
      <c r="L72" s="3" t="str">
        <f t="shared" si="145"/>
        <v/>
      </c>
      <c r="M72" s="3" t="str">
        <f t="shared" si="1"/>
        <v>No Data</v>
      </c>
      <c r="N72" s="157" t="s">
        <v>942</v>
      </c>
      <c r="O72" s="157" t="s">
        <v>925</v>
      </c>
      <c r="P72" s="3" t="str">
        <f t="shared" ca="1" si="2"/>
        <v/>
      </c>
      <c r="Q72" s="147" t="str">
        <f t="shared" ca="1" si="3"/>
        <v/>
      </c>
      <c r="R72" s="147" t="str">
        <f t="shared" ref="R72:S72" ca="1" si="146">IF(OR(P72="", P72=0), "",
  IF(P72&lt;=2,   1,
  IF(P72&lt;=4,   2,
  IF(P72&lt;=5.5, 3, 4))))</f>
        <v/>
      </c>
      <c r="S72" s="147" t="str">
        <f t="shared" ca="1" si="146"/>
        <v/>
      </c>
      <c r="T72" s="147" t="str">
        <f t="shared" ca="1" si="5"/>
        <v>No Data</v>
      </c>
      <c r="U72" s="147">
        <f t="shared" si="6"/>
        <v>1</v>
      </c>
      <c r="V72" s="147"/>
    </row>
    <row r="73" spans="1:22">
      <c r="A73" s="157" t="s">
        <v>263</v>
      </c>
      <c r="B73" s="3" t="s">
        <v>264</v>
      </c>
      <c r="C73" s="160" t="s">
        <v>58</v>
      </c>
      <c r="D73" s="160" t="s">
        <v>852</v>
      </c>
      <c r="E73" s="3" t="s">
        <v>24</v>
      </c>
      <c r="F73" s="3"/>
      <c r="G73" s="3"/>
      <c r="H73" s="156" t="str">
        <f ca="1">IFERROR(
  _xludf.MINIFS(ATTENDANCE_LOG!$F:$F,
         ATTENDANCE_LOG!$A:$A, C73,
         ATTENDANCE_LOG!$B:$B, E73),
"")</f>
        <v/>
      </c>
      <c r="I73" s="3" t="str">
        <f>IFERROR(VLOOKUP(F73, LEVEL_HELPER!$A:$B, 2, 0), "")</f>
        <v/>
      </c>
      <c r="J73" s="3" t="str">
        <f>IFERROR(VLOOKUP(G73, LEVEL_HELPER!$A:$B, 2, 0), "")</f>
        <v/>
      </c>
      <c r="K73" s="3" t="str">
        <f t="shared" ref="K73:L73" si="147">IF(OR(I73="", I73=0), "",
  IF(I73&lt;=2,   1,
  IF(I73&lt;=4,   2,
  IF(I73&lt;=5.5, 3, 4))))</f>
        <v/>
      </c>
      <c r="L73" s="3" t="str">
        <f t="shared" si="147"/>
        <v/>
      </c>
      <c r="M73" s="3" t="str">
        <f t="shared" si="1"/>
        <v>No Data</v>
      </c>
      <c r="N73" s="157" t="s">
        <v>918</v>
      </c>
      <c r="O73" s="157" t="s">
        <v>925</v>
      </c>
      <c r="P73" s="3" t="str">
        <f t="shared" ca="1" si="2"/>
        <v/>
      </c>
      <c r="Q73" s="147" t="str">
        <f t="shared" ca="1" si="3"/>
        <v/>
      </c>
      <c r="R73" s="147" t="str">
        <f t="shared" ref="R73:S73" ca="1" si="148">IF(OR(P73="", P73=0), "",
  IF(P73&lt;=2,   1,
  IF(P73&lt;=4,   2,
  IF(P73&lt;=5.5, 3, 4))))</f>
        <v/>
      </c>
      <c r="S73" s="147" t="str">
        <f t="shared" ca="1" si="148"/>
        <v/>
      </c>
      <c r="T73" s="147" t="str">
        <f t="shared" ca="1" si="5"/>
        <v>No Data</v>
      </c>
      <c r="U73" s="147">
        <f t="shared" si="6"/>
        <v>1</v>
      </c>
      <c r="V73" s="147"/>
    </row>
    <row r="74" spans="1:22">
      <c r="A74" s="157" t="s">
        <v>383</v>
      </c>
      <c r="B74" s="3" t="s">
        <v>384</v>
      </c>
      <c r="C74" s="160" t="s">
        <v>58</v>
      </c>
      <c r="D74" s="160" t="s">
        <v>852</v>
      </c>
      <c r="E74" s="3" t="s">
        <v>24</v>
      </c>
      <c r="F74" s="3"/>
      <c r="G74" s="3"/>
      <c r="H74" s="156" t="str">
        <f ca="1">IFERROR(
  _xludf.MINIFS(ATTENDANCE_LOG!$F:$F,
         ATTENDANCE_LOG!$A:$A, C74,
         ATTENDANCE_LOG!$B:$B, E74),
"")</f>
        <v/>
      </c>
      <c r="I74" s="3" t="str">
        <f>IFERROR(VLOOKUP(F74, LEVEL_HELPER!$A:$B, 2, 0), "")</f>
        <v/>
      </c>
      <c r="J74" s="3" t="str">
        <f>IFERROR(VLOOKUP(G74, LEVEL_HELPER!$A:$B, 2, 0), "")</f>
        <v/>
      </c>
      <c r="K74" s="3" t="str">
        <f t="shared" ref="K74:L74" si="149">IF(OR(I74="", I74=0), "",
  IF(I74&lt;=2,   1,
  IF(I74&lt;=4,   2,
  IF(I74&lt;=5.5, 3, 4))))</f>
        <v/>
      </c>
      <c r="L74" s="3" t="str">
        <f t="shared" si="149"/>
        <v/>
      </c>
      <c r="M74" s="3" t="str">
        <f t="shared" si="1"/>
        <v>No Data</v>
      </c>
      <c r="N74" s="157" t="s">
        <v>941</v>
      </c>
      <c r="O74" s="157" t="s">
        <v>925</v>
      </c>
      <c r="P74" s="3" t="str">
        <f t="shared" ca="1" si="2"/>
        <v/>
      </c>
      <c r="Q74" s="147" t="str">
        <f t="shared" ca="1" si="3"/>
        <v/>
      </c>
      <c r="R74" s="147" t="str">
        <f t="shared" ref="R74:S74" ca="1" si="150">IF(OR(P74="", P74=0), "",
  IF(P74&lt;=2,   1,
  IF(P74&lt;=4,   2,
  IF(P74&lt;=5.5, 3, 4))))</f>
        <v/>
      </c>
      <c r="S74" s="147" t="str">
        <f t="shared" ca="1" si="150"/>
        <v/>
      </c>
      <c r="T74" s="147" t="str">
        <f t="shared" ca="1" si="5"/>
        <v>No Data</v>
      </c>
      <c r="U74" s="147">
        <f t="shared" si="6"/>
        <v>1</v>
      </c>
      <c r="V74" s="147"/>
    </row>
    <row r="75" spans="1:22">
      <c r="A75" s="157" t="s">
        <v>528</v>
      </c>
      <c r="B75" s="3" t="s">
        <v>529</v>
      </c>
      <c r="C75" s="160" t="s">
        <v>58</v>
      </c>
      <c r="D75" s="160" t="s">
        <v>852</v>
      </c>
      <c r="E75" s="3" t="s">
        <v>24</v>
      </c>
      <c r="F75" s="3"/>
      <c r="G75" s="3"/>
      <c r="H75" s="156" t="str">
        <f ca="1">IFERROR(
  _xludf.MINIFS(ATTENDANCE_LOG!$F:$F,
         ATTENDANCE_LOG!$A:$A, C75,
         ATTENDANCE_LOG!$B:$B, E75),
"")</f>
        <v/>
      </c>
      <c r="I75" s="3" t="str">
        <f>IFERROR(VLOOKUP(F75, LEVEL_HELPER!$A:$B, 2, 0), "")</f>
        <v/>
      </c>
      <c r="J75" s="3" t="str">
        <f>IFERROR(VLOOKUP(G75, LEVEL_HELPER!$A:$B, 2, 0), "")</f>
        <v/>
      </c>
      <c r="K75" s="3" t="str">
        <f t="shared" ref="K75:L75" si="151">IF(OR(I75="", I75=0), "",
  IF(I75&lt;=2,   1,
  IF(I75&lt;=4,   2,
  IF(I75&lt;=5.5, 3, 4))))</f>
        <v/>
      </c>
      <c r="L75" s="3" t="str">
        <f t="shared" si="151"/>
        <v/>
      </c>
      <c r="M75" s="3" t="str">
        <f t="shared" si="1"/>
        <v>No Data</v>
      </c>
      <c r="N75" s="157" t="s">
        <v>942</v>
      </c>
      <c r="O75" s="157" t="s">
        <v>925</v>
      </c>
      <c r="P75" s="3" t="str">
        <f t="shared" ca="1" si="2"/>
        <v/>
      </c>
      <c r="Q75" s="147" t="str">
        <f t="shared" ca="1" si="3"/>
        <v/>
      </c>
      <c r="R75" s="147" t="str">
        <f t="shared" ref="R75:S75" ca="1" si="152">IF(OR(P75="", P75=0), "",
  IF(P75&lt;=2,   1,
  IF(P75&lt;=4,   2,
  IF(P75&lt;=5.5, 3, 4))))</f>
        <v/>
      </c>
      <c r="S75" s="147" t="str">
        <f t="shared" ca="1" si="152"/>
        <v/>
      </c>
      <c r="T75" s="147" t="str">
        <f t="shared" ca="1" si="5"/>
        <v>No Data</v>
      </c>
      <c r="U75" s="147">
        <f t="shared" si="6"/>
        <v>1</v>
      </c>
      <c r="V75" s="147"/>
    </row>
    <row r="76" spans="1:22">
      <c r="A76" s="157" t="s">
        <v>665</v>
      </c>
      <c r="B76" s="3" t="s">
        <v>666</v>
      </c>
      <c r="C76" s="160" t="s">
        <v>58</v>
      </c>
      <c r="D76" s="160" t="s">
        <v>852</v>
      </c>
      <c r="E76" s="3" t="s">
        <v>24</v>
      </c>
      <c r="F76" s="3"/>
      <c r="G76" s="3"/>
      <c r="H76" s="156" t="str">
        <f ca="1">IFERROR(
  _xludf.MINIFS(ATTENDANCE_LOG!$F:$F,
         ATTENDANCE_LOG!$A:$A, C76,
         ATTENDANCE_LOG!$B:$B, E76),
"")</f>
        <v/>
      </c>
      <c r="I76" s="3" t="str">
        <f>IFERROR(VLOOKUP(F76, LEVEL_HELPER!$A:$B, 2, 0), "")</f>
        <v/>
      </c>
      <c r="J76" s="3" t="str">
        <f>IFERROR(VLOOKUP(G76, LEVEL_HELPER!$A:$B, 2, 0), "")</f>
        <v/>
      </c>
      <c r="K76" s="3" t="str">
        <f t="shared" ref="K76:L76" si="153">IF(OR(I76="", I76=0), "",
  IF(I76&lt;=2,   1,
  IF(I76&lt;=4,   2,
  IF(I76&lt;=5.5, 3, 4))))</f>
        <v/>
      </c>
      <c r="L76" s="3" t="str">
        <f t="shared" si="153"/>
        <v/>
      </c>
      <c r="M76" s="3" t="str">
        <f t="shared" si="1"/>
        <v>No Data</v>
      </c>
      <c r="N76" s="157" t="s">
        <v>942</v>
      </c>
      <c r="O76" s="157" t="s">
        <v>925</v>
      </c>
      <c r="P76" s="3" t="str">
        <f t="shared" ca="1" si="2"/>
        <v/>
      </c>
      <c r="Q76" s="147" t="str">
        <f t="shared" ca="1" si="3"/>
        <v/>
      </c>
      <c r="R76" s="147" t="str">
        <f t="shared" ref="R76:S76" ca="1" si="154">IF(OR(P76="", P76=0), "",
  IF(P76&lt;=2,   1,
  IF(P76&lt;=4,   2,
  IF(P76&lt;=5.5, 3, 4))))</f>
        <v/>
      </c>
      <c r="S76" s="147" t="str">
        <f t="shared" ca="1" si="154"/>
        <v/>
      </c>
      <c r="T76" s="147" t="str">
        <f t="shared" ca="1" si="5"/>
        <v>No Data</v>
      </c>
      <c r="U76" s="147">
        <f t="shared" si="6"/>
        <v>1</v>
      </c>
      <c r="V76" s="147"/>
    </row>
    <row r="77" spans="1:22">
      <c r="A77" s="176" t="s">
        <v>603</v>
      </c>
      <c r="B77" s="154" t="s">
        <v>604</v>
      </c>
      <c r="C77" s="155" t="s">
        <v>58</v>
      </c>
      <c r="D77" s="155" t="s">
        <v>852</v>
      </c>
      <c r="E77" s="154" t="s">
        <v>21</v>
      </c>
      <c r="F77" s="3" t="s">
        <v>926</v>
      </c>
      <c r="G77" s="3" t="s">
        <v>917</v>
      </c>
      <c r="H77" s="156" t="str">
        <f ca="1">IFERROR(
  _xludf.MINIFS(ATTENDANCE_LOG!$F:$F,
         ATTENDANCE_LOG!$A:$A, C77,
         ATTENDANCE_LOG!$B:$B, E77),
"")</f>
        <v/>
      </c>
      <c r="I77" s="3">
        <f>IFERROR(VLOOKUP(F77, LEVEL_HELPER!$A:$B, 2, 0), "")</f>
        <v>1</v>
      </c>
      <c r="J77" s="3">
        <f>IFERROR(VLOOKUP(G77, LEVEL_HELPER!$A:$B, 2, 0), "")</f>
        <v>3</v>
      </c>
      <c r="K77" s="3">
        <f t="shared" ref="K77:L77" si="155">IF(OR(I77="", I77=0), "",
  IF(I77&lt;=2,   1,
  IF(I77&lt;=4,   2,
  IF(I77&lt;=5.5, 3, 4))))</f>
        <v>1</v>
      </c>
      <c r="L77" s="3">
        <f t="shared" si="155"/>
        <v>2</v>
      </c>
      <c r="M77" s="3" t="str">
        <f t="shared" si="1"/>
        <v>Lv1 → Lv2</v>
      </c>
      <c r="N77" s="157" t="s">
        <v>942</v>
      </c>
      <c r="O77" s="157" t="s">
        <v>925</v>
      </c>
      <c r="P77" s="3" t="str">
        <f t="shared" ca="1" si="2"/>
        <v/>
      </c>
      <c r="Q77" s="147" t="str">
        <f t="shared" ca="1" si="3"/>
        <v/>
      </c>
      <c r="R77" s="147" t="str">
        <f t="shared" ref="R77:S77" ca="1" si="156">IF(OR(P77="", P77=0), "",
  IF(P77&lt;=2,   1,
  IF(P77&lt;=4,   2,
  IF(P77&lt;=5.5, 3, 4))))</f>
        <v/>
      </c>
      <c r="S77" s="147" t="str">
        <f t="shared" ca="1" si="156"/>
        <v/>
      </c>
      <c r="T77" s="147" t="str">
        <f t="shared" ca="1" si="5"/>
        <v>No Data</v>
      </c>
      <c r="U77" s="147">
        <f t="shared" si="6"/>
        <v>0</v>
      </c>
      <c r="V77" s="147"/>
    </row>
    <row r="78" spans="1:22">
      <c r="A78" s="157" t="s">
        <v>239</v>
      </c>
      <c r="B78" s="3" t="s">
        <v>240</v>
      </c>
      <c r="C78" s="160" t="s">
        <v>58</v>
      </c>
      <c r="D78" s="160" t="s">
        <v>852</v>
      </c>
      <c r="E78" s="3" t="s">
        <v>21</v>
      </c>
      <c r="F78" s="3" t="s">
        <v>926</v>
      </c>
      <c r="G78" s="3" t="s">
        <v>928</v>
      </c>
      <c r="H78" s="156" t="str">
        <f ca="1">IFERROR(
  _xludf.MINIFS(ATTENDANCE_LOG!$F:$F,
         ATTENDANCE_LOG!$A:$A, C78,
         ATTENDANCE_LOG!$B:$B, E78),
"")</f>
        <v/>
      </c>
      <c r="I78" s="3">
        <f>IFERROR(VLOOKUP(F78, LEVEL_HELPER!$A:$B, 2, 0), "")</f>
        <v>1</v>
      </c>
      <c r="J78" s="3">
        <f>IFERROR(VLOOKUP(G78, LEVEL_HELPER!$A:$B, 2, 0), "")</f>
        <v>1.5</v>
      </c>
      <c r="K78" s="3">
        <f t="shared" ref="K78:L78" si="157">IF(OR(I78="", I78=0), "",
  IF(I78&lt;=2,   1,
  IF(I78&lt;=4,   2,
  IF(I78&lt;=5.5, 3, 4))))</f>
        <v>1</v>
      </c>
      <c r="L78" s="3">
        <f t="shared" si="157"/>
        <v>1</v>
      </c>
      <c r="M78" s="3" t="str">
        <f t="shared" si="1"/>
        <v>Progress within level</v>
      </c>
      <c r="N78" s="157" t="s">
        <v>942</v>
      </c>
      <c r="O78" s="157" t="s">
        <v>925</v>
      </c>
      <c r="P78" s="3" t="str">
        <f t="shared" ca="1" si="2"/>
        <v/>
      </c>
      <c r="Q78" s="147" t="str">
        <f t="shared" ca="1" si="3"/>
        <v/>
      </c>
      <c r="R78" s="147" t="str">
        <f t="shared" ref="R78:S78" ca="1" si="158">IF(OR(P78="", P78=0), "",
  IF(P78&lt;=2,   1,
  IF(P78&lt;=4,   2,
  IF(P78&lt;=5.5, 3, 4))))</f>
        <v/>
      </c>
      <c r="S78" s="147" t="str">
        <f t="shared" ca="1" si="158"/>
        <v/>
      </c>
      <c r="T78" s="147" t="str">
        <f t="shared" ca="1" si="5"/>
        <v>No Data</v>
      </c>
      <c r="U78" s="147">
        <f t="shared" si="6"/>
        <v>0</v>
      </c>
      <c r="V78" s="147"/>
    </row>
    <row r="79" spans="1:22">
      <c r="A79" s="157" t="s">
        <v>263</v>
      </c>
      <c r="B79" s="3" t="s">
        <v>264</v>
      </c>
      <c r="C79" s="160" t="s">
        <v>58</v>
      </c>
      <c r="D79" s="160" t="s">
        <v>852</v>
      </c>
      <c r="E79" s="3" t="s">
        <v>21</v>
      </c>
      <c r="F79" s="3" t="s">
        <v>926</v>
      </c>
      <c r="G79" s="3" t="s">
        <v>917</v>
      </c>
      <c r="H79" s="156" t="str">
        <f ca="1">IFERROR(
  _xludf.MINIFS(ATTENDANCE_LOG!$F:$F,
         ATTENDANCE_LOG!$A:$A, C79,
         ATTENDANCE_LOG!$B:$B, E79),
"")</f>
        <v/>
      </c>
      <c r="I79" s="3">
        <f>IFERROR(VLOOKUP(F79, LEVEL_HELPER!$A:$B, 2, 0), "")</f>
        <v>1</v>
      </c>
      <c r="J79" s="3">
        <f>IFERROR(VLOOKUP(G79, LEVEL_HELPER!$A:$B, 2, 0), "")</f>
        <v>3</v>
      </c>
      <c r="K79" s="3">
        <f t="shared" ref="K79:L79" si="159">IF(OR(I79="", I79=0), "",
  IF(I79&lt;=2,   1,
  IF(I79&lt;=4,   2,
  IF(I79&lt;=5.5, 3, 4))))</f>
        <v>1</v>
      </c>
      <c r="L79" s="3">
        <f t="shared" si="159"/>
        <v>2</v>
      </c>
      <c r="M79" s="3" t="str">
        <f t="shared" si="1"/>
        <v>Lv1 → Lv2</v>
      </c>
      <c r="N79" s="157" t="s">
        <v>918</v>
      </c>
      <c r="O79" s="157" t="s">
        <v>925</v>
      </c>
      <c r="P79" s="3" t="str">
        <f t="shared" ca="1" si="2"/>
        <v/>
      </c>
      <c r="Q79" s="147" t="str">
        <f t="shared" ca="1" si="3"/>
        <v/>
      </c>
      <c r="R79" s="147" t="str">
        <f t="shared" ref="R79:S79" ca="1" si="160">IF(OR(P79="", P79=0), "",
  IF(P79&lt;=2,   1,
  IF(P79&lt;=4,   2,
  IF(P79&lt;=5.5, 3, 4))))</f>
        <v/>
      </c>
      <c r="S79" s="147" t="str">
        <f t="shared" ca="1" si="160"/>
        <v/>
      </c>
      <c r="T79" s="147" t="str">
        <f t="shared" ca="1" si="5"/>
        <v>No Data</v>
      </c>
      <c r="U79" s="147">
        <f t="shared" si="6"/>
        <v>0</v>
      </c>
      <c r="V79" s="147"/>
    </row>
    <row r="80" spans="1:22">
      <c r="A80" s="157" t="s">
        <v>528</v>
      </c>
      <c r="B80" s="3" t="s">
        <v>529</v>
      </c>
      <c r="C80" s="160" t="s">
        <v>58</v>
      </c>
      <c r="D80" s="160" t="s">
        <v>852</v>
      </c>
      <c r="E80" s="3" t="s">
        <v>21</v>
      </c>
      <c r="F80" s="3" t="s">
        <v>926</v>
      </c>
      <c r="G80" s="3" t="s">
        <v>928</v>
      </c>
      <c r="H80" s="156" t="str">
        <f ca="1">IFERROR(
  _xludf.MINIFS(ATTENDANCE_LOG!$F:$F,
         ATTENDANCE_LOG!$A:$A, C80,
         ATTENDANCE_LOG!$B:$B, E80),
"")</f>
        <v/>
      </c>
      <c r="I80" s="3">
        <f>IFERROR(VLOOKUP(F80, LEVEL_HELPER!$A:$B, 2, 0), "")</f>
        <v>1</v>
      </c>
      <c r="J80" s="3">
        <f>IFERROR(VLOOKUP(G80, LEVEL_HELPER!$A:$B, 2, 0), "")</f>
        <v>1.5</v>
      </c>
      <c r="K80" s="3">
        <f t="shared" ref="K80:L80" si="161">IF(OR(I80="", I80=0), "",
  IF(I80&lt;=2,   1,
  IF(I80&lt;=4,   2,
  IF(I80&lt;=5.5, 3, 4))))</f>
        <v>1</v>
      </c>
      <c r="L80" s="3">
        <f t="shared" si="161"/>
        <v>1</v>
      </c>
      <c r="M80" s="3" t="str">
        <f t="shared" si="1"/>
        <v>Progress within level</v>
      </c>
      <c r="N80" s="157" t="s">
        <v>942</v>
      </c>
      <c r="O80" s="157" t="s">
        <v>925</v>
      </c>
      <c r="P80" s="3" t="str">
        <f t="shared" ca="1" si="2"/>
        <v/>
      </c>
      <c r="Q80" s="147" t="str">
        <f t="shared" ca="1" si="3"/>
        <v/>
      </c>
      <c r="R80" s="147" t="str">
        <f t="shared" ref="R80:S80" ca="1" si="162">IF(OR(P80="", P80=0), "",
  IF(P80&lt;=2,   1,
  IF(P80&lt;=4,   2,
  IF(P80&lt;=5.5, 3, 4))))</f>
        <v/>
      </c>
      <c r="S80" s="147" t="str">
        <f t="shared" ca="1" si="162"/>
        <v/>
      </c>
      <c r="T80" s="147" t="str">
        <f t="shared" ca="1" si="5"/>
        <v>No Data</v>
      </c>
      <c r="U80" s="147">
        <f t="shared" si="6"/>
        <v>0</v>
      </c>
      <c r="V80" s="147"/>
    </row>
    <row r="81" spans="1:22">
      <c r="A81" s="157" t="s">
        <v>665</v>
      </c>
      <c r="B81" s="3" t="s">
        <v>666</v>
      </c>
      <c r="C81" s="160" t="s">
        <v>58</v>
      </c>
      <c r="D81" s="160" t="s">
        <v>852</v>
      </c>
      <c r="E81" s="3" t="s">
        <v>21</v>
      </c>
      <c r="F81" s="3" t="s">
        <v>926</v>
      </c>
      <c r="G81" s="3" t="s">
        <v>934</v>
      </c>
      <c r="H81" s="156" t="str">
        <f ca="1">IFERROR(
  _xludf.MINIFS(ATTENDANCE_LOG!$F:$F,
         ATTENDANCE_LOG!$A:$A, C81,
         ATTENDANCE_LOG!$B:$B, E81),
"")</f>
        <v/>
      </c>
      <c r="I81" s="3">
        <f>IFERROR(VLOOKUP(F81, LEVEL_HELPER!$A:$B, 2, 0), "")</f>
        <v>1</v>
      </c>
      <c r="J81" s="3">
        <f>IFERROR(VLOOKUP(G81, LEVEL_HELPER!$A:$B, 2, 0), "")</f>
        <v>3.5</v>
      </c>
      <c r="K81" s="3">
        <f t="shared" ref="K81:L81" si="163">IF(OR(I81="", I81=0), "",
  IF(I81&lt;=2,   1,
  IF(I81&lt;=4,   2,
  IF(I81&lt;=5.5, 3, 4))))</f>
        <v>1</v>
      </c>
      <c r="L81" s="3">
        <f t="shared" si="163"/>
        <v>2</v>
      </c>
      <c r="M81" s="3" t="str">
        <f t="shared" si="1"/>
        <v>Lv1 → Lv2</v>
      </c>
      <c r="N81" s="157" t="s">
        <v>942</v>
      </c>
      <c r="O81" s="157" t="s">
        <v>925</v>
      </c>
      <c r="P81" s="3" t="str">
        <f t="shared" ca="1" si="2"/>
        <v/>
      </c>
      <c r="Q81" s="147" t="str">
        <f t="shared" ca="1" si="3"/>
        <v/>
      </c>
      <c r="R81" s="147" t="str">
        <f t="shared" ref="R81:S81" ca="1" si="164">IF(OR(P81="", P81=0), "",
  IF(P81&lt;=2,   1,
  IF(P81&lt;=4,   2,
  IF(P81&lt;=5.5, 3, 4))))</f>
        <v/>
      </c>
      <c r="S81" s="147" t="str">
        <f t="shared" ca="1" si="164"/>
        <v/>
      </c>
      <c r="T81" s="147" t="str">
        <f t="shared" ca="1" si="5"/>
        <v>No Data</v>
      </c>
      <c r="U81" s="147">
        <f t="shared" si="6"/>
        <v>0</v>
      </c>
      <c r="V81" s="147"/>
    </row>
    <row r="82" spans="1:22">
      <c r="A82" s="176" t="s">
        <v>603</v>
      </c>
      <c r="B82" s="154" t="s">
        <v>604</v>
      </c>
      <c r="C82" s="155" t="s">
        <v>58</v>
      </c>
      <c r="D82" s="155" t="s">
        <v>852</v>
      </c>
      <c r="E82" s="154" t="s">
        <v>22</v>
      </c>
      <c r="F82" s="3" t="s">
        <v>917</v>
      </c>
      <c r="G82" s="3" t="s">
        <v>940</v>
      </c>
      <c r="H82" s="156" t="str">
        <f ca="1">IFERROR(
  _xludf.MINIFS(ATTENDANCE_LOG!$F:$F,
         ATTENDANCE_LOG!$A:$A, C82,
         ATTENDANCE_LOG!$B:$B, E82),
"")</f>
        <v/>
      </c>
      <c r="I82" s="3">
        <f>IFERROR(VLOOKUP(F82, LEVEL_HELPER!$A:$B, 2, 0), "")</f>
        <v>3</v>
      </c>
      <c r="J82" s="3">
        <f>IFERROR(VLOOKUP(G82, LEVEL_HELPER!$A:$B, 2, 0), "")</f>
        <v>5</v>
      </c>
      <c r="K82" s="3">
        <f t="shared" ref="K82:L82" si="165">IF(OR(I82="", I82=0), "",
  IF(I82&lt;=2,   1,
  IF(I82&lt;=4,   2,
  IF(I82&lt;=5.5, 3, 4))))</f>
        <v>2</v>
      </c>
      <c r="L82" s="3">
        <f t="shared" si="165"/>
        <v>3</v>
      </c>
      <c r="M82" s="3" t="str">
        <f t="shared" si="1"/>
        <v>Lv2 → Lv3</v>
      </c>
      <c r="N82" s="157" t="s">
        <v>942</v>
      </c>
      <c r="O82" s="157" t="s">
        <v>925</v>
      </c>
      <c r="P82" s="3" t="str">
        <f t="shared" ca="1" si="2"/>
        <v/>
      </c>
      <c r="Q82" s="147" t="str">
        <f t="shared" ca="1" si="3"/>
        <v/>
      </c>
      <c r="R82" s="147" t="str">
        <f t="shared" ref="R82:S82" ca="1" si="166">IF(OR(P82="", P82=0), "",
  IF(P82&lt;=2,   1,
  IF(P82&lt;=4,   2,
  IF(P82&lt;=5.5, 3, 4))))</f>
        <v/>
      </c>
      <c r="S82" s="147" t="str">
        <f t="shared" ca="1" si="166"/>
        <v/>
      </c>
      <c r="T82" s="147" t="str">
        <f t="shared" ca="1" si="5"/>
        <v>No Data</v>
      </c>
      <c r="U82" s="147">
        <f t="shared" si="6"/>
        <v>0</v>
      </c>
      <c r="V82" s="147"/>
    </row>
    <row r="83" spans="1:22">
      <c r="A83" s="157" t="s">
        <v>239</v>
      </c>
      <c r="B83" s="3" t="s">
        <v>240</v>
      </c>
      <c r="C83" s="160" t="s">
        <v>58</v>
      </c>
      <c r="D83" s="160" t="s">
        <v>852</v>
      </c>
      <c r="E83" s="3" t="s">
        <v>22</v>
      </c>
      <c r="F83" s="3" t="s">
        <v>928</v>
      </c>
      <c r="G83" s="3" t="s">
        <v>940</v>
      </c>
      <c r="H83" s="156" t="str">
        <f ca="1">IFERROR(
  _xludf.MINIFS(ATTENDANCE_LOG!$F:$F,
         ATTENDANCE_LOG!$A:$A, C83,
         ATTENDANCE_LOG!$B:$B, E83),
"")</f>
        <v/>
      </c>
      <c r="I83" s="3">
        <f>IFERROR(VLOOKUP(F83, LEVEL_HELPER!$A:$B, 2, 0), "")</f>
        <v>1.5</v>
      </c>
      <c r="J83" s="3">
        <f>IFERROR(VLOOKUP(G83, LEVEL_HELPER!$A:$B, 2, 0), "")</f>
        <v>5</v>
      </c>
      <c r="K83" s="3">
        <f t="shared" ref="K83:L83" si="167">IF(OR(I83="", I83=0), "",
  IF(I83&lt;=2,   1,
  IF(I83&lt;=4,   2,
  IF(I83&lt;=5.5, 3, 4))))</f>
        <v>1</v>
      </c>
      <c r="L83" s="3">
        <f t="shared" si="167"/>
        <v>3</v>
      </c>
      <c r="M83" s="3" t="str">
        <f t="shared" si="1"/>
        <v>Lv1 → Lv3 (+2)</v>
      </c>
      <c r="N83" s="157" t="s">
        <v>942</v>
      </c>
      <c r="O83" s="157" t="s">
        <v>925</v>
      </c>
      <c r="P83" s="3" t="str">
        <f t="shared" ca="1" si="2"/>
        <v/>
      </c>
      <c r="Q83" s="147" t="str">
        <f t="shared" ca="1" si="3"/>
        <v/>
      </c>
      <c r="R83" s="147" t="str">
        <f t="shared" ref="R83:S83" ca="1" si="168">IF(OR(P83="", P83=0), "",
  IF(P83&lt;=2,   1,
  IF(P83&lt;=4,   2,
  IF(P83&lt;=5.5, 3, 4))))</f>
        <v/>
      </c>
      <c r="S83" s="147" t="str">
        <f t="shared" ca="1" si="168"/>
        <v/>
      </c>
      <c r="T83" s="147" t="str">
        <f t="shared" ca="1" si="5"/>
        <v>No Data</v>
      </c>
      <c r="U83" s="147">
        <f t="shared" si="6"/>
        <v>0</v>
      </c>
      <c r="V83" s="147"/>
    </row>
    <row r="84" spans="1:22">
      <c r="A84" s="157" t="s">
        <v>263</v>
      </c>
      <c r="B84" s="3" t="s">
        <v>264</v>
      </c>
      <c r="C84" s="160" t="s">
        <v>58</v>
      </c>
      <c r="D84" s="160" t="s">
        <v>852</v>
      </c>
      <c r="E84" s="3" t="s">
        <v>22</v>
      </c>
      <c r="F84" s="3" t="s">
        <v>917</v>
      </c>
      <c r="G84" s="3" t="s">
        <v>931</v>
      </c>
      <c r="H84" s="156" t="str">
        <f ca="1">IFERROR(
  _xludf.MINIFS(ATTENDANCE_LOG!$F:$F,
         ATTENDANCE_LOG!$A:$A, C84,
         ATTENDANCE_LOG!$B:$B, E84),
"")</f>
        <v/>
      </c>
      <c r="I84" s="3">
        <f>IFERROR(VLOOKUP(F84, LEVEL_HELPER!$A:$B, 2, 0), "")</f>
        <v>3</v>
      </c>
      <c r="J84" s="3">
        <f>IFERROR(VLOOKUP(G84, LEVEL_HELPER!$A:$B, 2, 0), "")</f>
        <v>4.5</v>
      </c>
      <c r="K84" s="3">
        <f t="shared" ref="K84:L84" si="169">IF(OR(I84="", I84=0), "",
  IF(I84&lt;=2,   1,
  IF(I84&lt;=4,   2,
  IF(I84&lt;=5.5, 3, 4))))</f>
        <v>2</v>
      </c>
      <c r="L84" s="3">
        <f t="shared" si="169"/>
        <v>3</v>
      </c>
      <c r="M84" s="3" t="str">
        <f t="shared" si="1"/>
        <v>Lv2 → Lv3</v>
      </c>
      <c r="N84" s="157" t="s">
        <v>918</v>
      </c>
      <c r="O84" s="157" t="s">
        <v>925</v>
      </c>
      <c r="P84" s="3" t="str">
        <f t="shared" ca="1" si="2"/>
        <v/>
      </c>
      <c r="Q84" s="147" t="str">
        <f t="shared" ca="1" si="3"/>
        <v/>
      </c>
      <c r="R84" s="147" t="str">
        <f t="shared" ref="R84:S84" ca="1" si="170">IF(OR(P84="", P84=0), "",
  IF(P84&lt;=2,   1,
  IF(P84&lt;=4,   2,
  IF(P84&lt;=5.5, 3, 4))))</f>
        <v/>
      </c>
      <c r="S84" s="147" t="str">
        <f t="shared" ca="1" si="170"/>
        <v/>
      </c>
      <c r="T84" s="147" t="str">
        <f t="shared" ca="1" si="5"/>
        <v>No Data</v>
      </c>
      <c r="U84" s="147">
        <f t="shared" si="6"/>
        <v>0</v>
      </c>
      <c r="V84" s="147"/>
    </row>
    <row r="85" spans="1:22">
      <c r="A85" s="157" t="s">
        <v>528</v>
      </c>
      <c r="B85" s="3" t="s">
        <v>529</v>
      </c>
      <c r="C85" s="160" t="s">
        <v>58</v>
      </c>
      <c r="D85" s="160" t="s">
        <v>852</v>
      </c>
      <c r="E85" s="3" t="s">
        <v>22</v>
      </c>
      <c r="F85" s="3" t="s">
        <v>928</v>
      </c>
      <c r="G85" s="3" t="s">
        <v>940</v>
      </c>
      <c r="H85" s="156" t="str">
        <f ca="1">IFERROR(
  _xludf.MINIFS(ATTENDANCE_LOG!$F:$F,
         ATTENDANCE_LOG!$A:$A, C85,
         ATTENDANCE_LOG!$B:$B, E85),
"")</f>
        <v/>
      </c>
      <c r="I85" s="3">
        <f>IFERROR(VLOOKUP(F85, LEVEL_HELPER!$A:$B, 2, 0), "")</f>
        <v>1.5</v>
      </c>
      <c r="J85" s="3">
        <f>IFERROR(VLOOKUP(G85, LEVEL_HELPER!$A:$B, 2, 0), "")</f>
        <v>5</v>
      </c>
      <c r="K85" s="3">
        <f t="shared" ref="K85:L85" si="171">IF(OR(I85="", I85=0), "",
  IF(I85&lt;=2,   1,
  IF(I85&lt;=4,   2,
  IF(I85&lt;=5.5, 3, 4))))</f>
        <v>1</v>
      </c>
      <c r="L85" s="3">
        <f t="shared" si="171"/>
        <v>3</v>
      </c>
      <c r="M85" s="3" t="str">
        <f t="shared" si="1"/>
        <v>Lv1 → Lv3 (+2)</v>
      </c>
      <c r="N85" s="157" t="s">
        <v>942</v>
      </c>
      <c r="O85" s="157" t="s">
        <v>925</v>
      </c>
      <c r="P85" s="3" t="str">
        <f t="shared" ca="1" si="2"/>
        <v/>
      </c>
      <c r="Q85" s="147" t="str">
        <f t="shared" ca="1" si="3"/>
        <v/>
      </c>
      <c r="R85" s="147" t="str">
        <f t="shared" ref="R85:S85" ca="1" si="172">IF(OR(P85="", P85=0), "",
  IF(P85&lt;=2,   1,
  IF(P85&lt;=4,   2,
  IF(P85&lt;=5.5, 3, 4))))</f>
        <v/>
      </c>
      <c r="S85" s="147" t="str">
        <f t="shared" ca="1" si="172"/>
        <v/>
      </c>
      <c r="T85" s="147" t="str">
        <f t="shared" ca="1" si="5"/>
        <v>No Data</v>
      </c>
      <c r="U85" s="147">
        <f t="shared" si="6"/>
        <v>0</v>
      </c>
      <c r="V85" s="147"/>
    </row>
    <row r="86" spans="1:22">
      <c r="A86" s="157" t="s">
        <v>665</v>
      </c>
      <c r="B86" s="3" t="s">
        <v>666</v>
      </c>
      <c r="C86" s="160" t="s">
        <v>58</v>
      </c>
      <c r="D86" s="160" t="s">
        <v>852</v>
      </c>
      <c r="E86" s="3" t="s">
        <v>22</v>
      </c>
      <c r="F86" s="3" t="s">
        <v>934</v>
      </c>
      <c r="G86" s="3" t="s">
        <v>940</v>
      </c>
      <c r="H86" s="156" t="str">
        <f ca="1">IFERROR(
  _xludf.MINIFS(ATTENDANCE_LOG!$F:$F,
         ATTENDANCE_LOG!$A:$A, C86,
         ATTENDANCE_LOG!$B:$B, E86),
"")</f>
        <v/>
      </c>
      <c r="I86" s="3">
        <f>IFERROR(VLOOKUP(F86, LEVEL_HELPER!$A:$B, 2, 0), "")</f>
        <v>3.5</v>
      </c>
      <c r="J86" s="3">
        <f>IFERROR(VLOOKUP(G86, LEVEL_HELPER!$A:$B, 2, 0), "")</f>
        <v>5</v>
      </c>
      <c r="K86" s="3">
        <f t="shared" ref="K86:L86" si="173">IF(OR(I86="", I86=0), "",
  IF(I86&lt;=2,   1,
  IF(I86&lt;=4,   2,
  IF(I86&lt;=5.5, 3, 4))))</f>
        <v>2</v>
      </c>
      <c r="L86" s="3">
        <f t="shared" si="173"/>
        <v>3</v>
      </c>
      <c r="M86" s="3" t="str">
        <f t="shared" si="1"/>
        <v>Lv2 → Lv3</v>
      </c>
      <c r="N86" s="157" t="s">
        <v>942</v>
      </c>
      <c r="O86" s="157" t="s">
        <v>925</v>
      </c>
      <c r="P86" s="3" t="str">
        <f t="shared" ca="1" si="2"/>
        <v/>
      </c>
      <c r="Q86" s="147" t="str">
        <f t="shared" ca="1" si="3"/>
        <v/>
      </c>
      <c r="R86" s="147" t="str">
        <f t="shared" ref="R86:S86" ca="1" si="174">IF(OR(P86="", P86=0), "",
  IF(P86&lt;=2,   1,
  IF(P86&lt;=4,   2,
  IF(P86&lt;=5.5, 3, 4))))</f>
        <v/>
      </c>
      <c r="S86" s="147" t="str">
        <f t="shared" ca="1" si="174"/>
        <v/>
      </c>
      <c r="T86" s="147" t="str">
        <f t="shared" ca="1" si="5"/>
        <v>No Data</v>
      </c>
      <c r="U86" s="147">
        <f t="shared" si="6"/>
        <v>0</v>
      </c>
      <c r="V86" s="147"/>
    </row>
    <row r="87" spans="1:22">
      <c r="A87" s="176" t="s">
        <v>484</v>
      </c>
      <c r="B87" s="154" t="s">
        <v>485</v>
      </c>
      <c r="C87" s="155" t="s">
        <v>59</v>
      </c>
      <c r="D87" s="155" t="s">
        <v>853</v>
      </c>
      <c r="E87" s="154" t="s">
        <v>21</v>
      </c>
      <c r="F87" s="3" t="s">
        <v>916</v>
      </c>
      <c r="G87" s="3" t="s">
        <v>934</v>
      </c>
      <c r="H87" s="156" t="str">
        <f ca="1">IFERROR(
  _xludf.MINIFS(ATTENDANCE_LOG!$F:$F,
         ATTENDANCE_LOG!$A:$A, C87,
         ATTENDANCE_LOG!$B:$B, E87),
"")</f>
        <v/>
      </c>
      <c r="I87" s="3">
        <f>IFERROR(VLOOKUP(F87, LEVEL_HELPER!$A:$B, 2, 0), "")</f>
        <v>2.5</v>
      </c>
      <c r="J87" s="3">
        <f>IFERROR(VLOOKUP(G87, LEVEL_HELPER!$A:$B, 2, 0), "")</f>
        <v>3.5</v>
      </c>
      <c r="K87" s="3">
        <f t="shared" ref="K87:L87" si="175">IF(OR(I87="", I87=0), "",
  IF(I87&lt;=2,   1,
  IF(I87&lt;=4,   2,
  IF(I87&lt;=5.5, 3, 4))))</f>
        <v>2</v>
      </c>
      <c r="L87" s="3">
        <f t="shared" si="175"/>
        <v>2</v>
      </c>
      <c r="M87" s="3" t="str">
        <f t="shared" si="1"/>
        <v>Progress within level</v>
      </c>
      <c r="N87" s="157" t="s">
        <v>930</v>
      </c>
      <c r="O87" s="157" t="s">
        <v>924</v>
      </c>
      <c r="P87" s="3" t="str">
        <f t="shared" ca="1" si="2"/>
        <v/>
      </c>
      <c r="Q87" s="147" t="str">
        <f t="shared" ca="1" si="3"/>
        <v/>
      </c>
      <c r="R87" s="147" t="str">
        <f t="shared" ref="R87:S87" ca="1" si="176">IF(OR(P87="", P87=0), "",
  IF(P87&lt;=2,   1,
  IF(P87&lt;=4,   2,
  IF(P87&lt;=5.5, 3, 4))))</f>
        <v/>
      </c>
      <c r="S87" s="147" t="str">
        <f t="shared" ca="1" si="176"/>
        <v/>
      </c>
      <c r="T87" s="147" t="str">
        <f t="shared" ca="1" si="5"/>
        <v>No Data</v>
      </c>
      <c r="U87" s="147">
        <f t="shared" si="6"/>
        <v>1</v>
      </c>
      <c r="V87" s="147"/>
    </row>
    <row r="88" spans="1:22">
      <c r="A88" s="157" t="s">
        <v>159</v>
      </c>
      <c r="B88" s="3" t="s">
        <v>160</v>
      </c>
      <c r="C88" s="160" t="s">
        <v>59</v>
      </c>
      <c r="D88" s="160" t="s">
        <v>853</v>
      </c>
      <c r="E88" s="3" t="s">
        <v>21</v>
      </c>
      <c r="F88" s="3"/>
      <c r="G88" s="3"/>
      <c r="H88" s="156" t="str">
        <f ca="1">IFERROR(
  _xludf.MINIFS(ATTENDANCE_LOG!$F:$F,
         ATTENDANCE_LOG!$A:$A, C88,
         ATTENDANCE_LOG!$B:$B, E88),
"")</f>
        <v/>
      </c>
      <c r="I88" s="3" t="str">
        <f>IFERROR(VLOOKUP(F88, LEVEL_HELPER!$A:$B, 2, 0), "")</f>
        <v/>
      </c>
      <c r="J88" s="3" t="str">
        <f>IFERROR(VLOOKUP(G88, LEVEL_HELPER!$A:$B, 2, 0), "")</f>
        <v/>
      </c>
      <c r="K88" s="3" t="str">
        <f t="shared" ref="K88:L88" si="177">IF(OR(I88="", I88=0), "",
  IF(I88&lt;=2,   1,
  IF(I88&lt;=4,   2,
  IF(I88&lt;=5.5, 3, 4))))</f>
        <v/>
      </c>
      <c r="L88" s="3" t="str">
        <f t="shared" si="177"/>
        <v/>
      </c>
      <c r="M88" s="3" t="str">
        <f t="shared" si="1"/>
        <v>No Data</v>
      </c>
      <c r="N88" s="157" t="s">
        <v>930</v>
      </c>
      <c r="O88" s="157" t="s">
        <v>922</v>
      </c>
      <c r="P88" s="3" t="str">
        <f t="shared" ca="1" si="2"/>
        <v/>
      </c>
      <c r="Q88" s="147" t="str">
        <f t="shared" ca="1" si="3"/>
        <v/>
      </c>
      <c r="R88" s="147" t="str">
        <f t="shared" ref="R88:S88" ca="1" si="178">IF(OR(P88="", P88=0), "",
  IF(P88&lt;=2,   1,
  IF(P88&lt;=4,   2,
  IF(P88&lt;=5.5, 3, 4))))</f>
        <v/>
      </c>
      <c r="S88" s="147" t="str">
        <f t="shared" ca="1" si="178"/>
        <v/>
      </c>
      <c r="T88" s="147" t="str">
        <f t="shared" ca="1" si="5"/>
        <v>No Data</v>
      </c>
      <c r="U88" s="147">
        <f t="shared" si="6"/>
        <v>1</v>
      </c>
      <c r="V88" s="147"/>
    </row>
    <row r="89" spans="1:22">
      <c r="A89" s="157" t="s">
        <v>313</v>
      </c>
      <c r="B89" s="3" t="s">
        <v>314</v>
      </c>
      <c r="C89" s="160" t="s">
        <v>59</v>
      </c>
      <c r="D89" s="160" t="s">
        <v>853</v>
      </c>
      <c r="E89" s="3" t="s">
        <v>21</v>
      </c>
      <c r="F89" s="3" t="s">
        <v>926</v>
      </c>
      <c r="G89" s="3" t="s">
        <v>917</v>
      </c>
      <c r="H89" s="156" t="str">
        <f ca="1">IFERROR(
  _xludf.MINIFS(ATTENDANCE_LOG!$F:$F,
         ATTENDANCE_LOG!$A:$A, C89,
         ATTENDANCE_LOG!$B:$B, E89),
"")</f>
        <v/>
      </c>
      <c r="I89" s="3">
        <f>IFERROR(VLOOKUP(F89, LEVEL_HELPER!$A:$B, 2, 0), "")</f>
        <v>1</v>
      </c>
      <c r="J89" s="3">
        <f>IFERROR(VLOOKUP(G89, LEVEL_HELPER!$A:$B, 2, 0), "")</f>
        <v>3</v>
      </c>
      <c r="K89" s="3">
        <f t="shared" ref="K89:L89" si="179">IF(OR(I89="", I89=0), "",
  IF(I89&lt;=2,   1,
  IF(I89&lt;=4,   2,
  IF(I89&lt;=5.5, 3, 4))))</f>
        <v>1</v>
      </c>
      <c r="L89" s="3">
        <f t="shared" si="179"/>
        <v>2</v>
      </c>
      <c r="M89" s="3" t="str">
        <f t="shared" si="1"/>
        <v>Lv1 → Lv2</v>
      </c>
      <c r="N89" s="157" t="s">
        <v>930</v>
      </c>
      <c r="O89" s="157" t="s">
        <v>922</v>
      </c>
      <c r="P89" s="3" t="str">
        <f t="shared" ca="1" si="2"/>
        <v/>
      </c>
      <c r="Q89" s="147" t="str">
        <f t="shared" ca="1" si="3"/>
        <v/>
      </c>
      <c r="R89" s="147" t="str">
        <f t="shared" ref="R89:S89" ca="1" si="180">IF(OR(P89="", P89=0), "",
  IF(P89&lt;=2,   1,
  IF(P89&lt;=4,   2,
  IF(P89&lt;=5.5, 3, 4))))</f>
        <v/>
      </c>
      <c r="S89" s="147" t="str">
        <f t="shared" ca="1" si="180"/>
        <v/>
      </c>
      <c r="T89" s="147" t="str">
        <f t="shared" ca="1" si="5"/>
        <v>No Data</v>
      </c>
      <c r="U89" s="147">
        <f t="shared" si="6"/>
        <v>1</v>
      </c>
      <c r="V89" s="147"/>
    </row>
    <row r="90" spans="1:22">
      <c r="A90" s="157" t="s">
        <v>433</v>
      </c>
      <c r="B90" s="3" t="s">
        <v>432</v>
      </c>
      <c r="C90" s="160" t="s">
        <v>59</v>
      </c>
      <c r="D90" s="160" t="s">
        <v>853</v>
      </c>
      <c r="E90" s="3" t="s">
        <v>21</v>
      </c>
      <c r="F90" s="3" t="s">
        <v>916</v>
      </c>
      <c r="G90" s="3" t="s">
        <v>917</v>
      </c>
      <c r="H90" s="156" t="str">
        <f ca="1">IFERROR(
  _xludf.MINIFS(ATTENDANCE_LOG!$F:$F,
         ATTENDANCE_LOG!$A:$A, C90,
         ATTENDANCE_LOG!$B:$B, E90),
"")</f>
        <v/>
      </c>
      <c r="I90" s="3">
        <f>IFERROR(VLOOKUP(F90, LEVEL_HELPER!$A:$B, 2, 0), "")</f>
        <v>2.5</v>
      </c>
      <c r="J90" s="3">
        <f>IFERROR(VLOOKUP(G90, LEVEL_HELPER!$A:$B, 2, 0), "")</f>
        <v>3</v>
      </c>
      <c r="K90" s="3">
        <f t="shared" ref="K90:L90" si="181">IF(OR(I90="", I90=0), "",
  IF(I90&lt;=2,   1,
  IF(I90&lt;=4,   2,
  IF(I90&lt;=5.5, 3, 4))))</f>
        <v>2</v>
      </c>
      <c r="L90" s="3">
        <f t="shared" si="181"/>
        <v>2</v>
      </c>
      <c r="M90" s="3" t="str">
        <f t="shared" si="1"/>
        <v>Progress within level</v>
      </c>
      <c r="N90" s="157" t="s">
        <v>930</v>
      </c>
      <c r="O90" s="157" t="s">
        <v>922</v>
      </c>
      <c r="P90" s="3" t="str">
        <f t="shared" ca="1" si="2"/>
        <v/>
      </c>
      <c r="Q90" s="147" t="str">
        <f t="shared" ca="1" si="3"/>
        <v/>
      </c>
      <c r="R90" s="147" t="str">
        <f t="shared" ref="R90:S90" ca="1" si="182">IF(OR(P90="", P90=0), "",
  IF(P90&lt;=2,   1,
  IF(P90&lt;=4,   2,
  IF(P90&lt;=5.5, 3, 4))))</f>
        <v/>
      </c>
      <c r="S90" s="147" t="str">
        <f t="shared" ca="1" si="182"/>
        <v/>
      </c>
      <c r="T90" s="147" t="str">
        <f t="shared" ca="1" si="5"/>
        <v>No Data</v>
      </c>
      <c r="U90" s="147">
        <f t="shared" si="6"/>
        <v>1</v>
      </c>
      <c r="V90" s="147"/>
    </row>
    <row r="91" spans="1:22">
      <c r="A91" s="157" t="s">
        <v>451</v>
      </c>
      <c r="B91" s="3" t="s">
        <v>452</v>
      </c>
      <c r="C91" s="160" t="s">
        <v>59</v>
      </c>
      <c r="D91" s="160" t="s">
        <v>853</v>
      </c>
      <c r="E91" s="3" t="s">
        <v>21</v>
      </c>
      <c r="F91" s="3" t="s">
        <v>926</v>
      </c>
      <c r="G91" s="3" t="s">
        <v>934</v>
      </c>
      <c r="H91" s="156" t="str">
        <f ca="1">IFERROR(
  _xludf.MINIFS(ATTENDANCE_LOG!$F:$F,
         ATTENDANCE_LOG!$A:$A, C91,
         ATTENDANCE_LOG!$B:$B, E91),
"")</f>
        <v/>
      </c>
      <c r="I91" s="3">
        <f>IFERROR(VLOOKUP(F91, LEVEL_HELPER!$A:$B, 2, 0), "")</f>
        <v>1</v>
      </c>
      <c r="J91" s="3">
        <f>IFERROR(VLOOKUP(G91, LEVEL_HELPER!$A:$B, 2, 0), "")</f>
        <v>3.5</v>
      </c>
      <c r="K91" s="3">
        <f t="shared" ref="K91:L91" si="183">IF(OR(I91="", I91=0), "",
  IF(I91&lt;=2,   1,
  IF(I91&lt;=4,   2,
  IF(I91&lt;=5.5, 3, 4))))</f>
        <v>1</v>
      </c>
      <c r="L91" s="3">
        <f t="shared" si="183"/>
        <v>2</v>
      </c>
      <c r="M91" s="3" t="str">
        <f t="shared" si="1"/>
        <v>Lv1 → Lv2</v>
      </c>
      <c r="N91" s="157" t="s">
        <v>930</v>
      </c>
      <c r="O91" s="157" t="s">
        <v>922</v>
      </c>
      <c r="P91" s="3" t="str">
        <f t="shared" ca="1" si="2"/>
        <v/>
      </c>
      <c r="Q91" s="147" t="str">
        <f t="shared" ca="1" si="3"/>
        <v/>
      </c>
      <c r="R91" s="147" t="str">
        <f t="shared" ref="R91:S91" ca="1" si="184">IF(OR(P91="", P91=0), "",
  IF(P91&lt;=2,   1,
  IF(P91&lt;=4,   2,
  IF(P91&lt;=5.5, 3, 4))))</f>
        <v/>
      </c>
      <c r="S91" s="147" t="str">
        <f t="shared" ca="1" si="184"/>
        <v/>
      </c>
      <c r="T91" s="147" t="str">
        <f t="shared" ca="1" si="5"/>
        <v>No Data</v>
      </c>
      <c r="U91" s="147">
        <f t="shared" si="6"/>
        <v>1</v>
      </c>
      <c r="V91" s="147"/>
    </row>
    <row r="92" spans="1:22">
      <c r="A92" s="157" t="s">
        <v>466</v>
      </c>
      <c r="B92" s="3" t="s">
        <v>467</v>
      </c>
      <c r="C92" s="160" t="s">
        <v>59</v>
      </c>
      <c r="D92" s="160" t="s">
        <v>853</v>
      </c>
      <c r="E92" s="3" t="s">
        <v>21</v>
      </c>
      <c r="F92" s="3" t="s">
        <v>926</v>
      </c>
      <c r="G92" s="3" t="s">
        <v>928</v>
      </c>
      <c r="H92" s="156" t="str">
        <f ca="1">IFERROR(
  _xludf.MINIFS(ATTENDANCE_LOG!$F:$F,
         ATTENDANCE_LOG!$A:$A, C92,
         ATTENDANCE_LOG!$B:$B, E92),
"")</f>
        <v/>
      </c>
      <c r="I92" s="3">
        <f>IFERROR(VLOOKUP(F92, LEVEL_HELPER!$A:$B, 2, 0), "")</f>
        <v>1</v>
      </c>
      <c r="J92" s="3">
        <f>IFERROR(VLOOKUP(G92, LEVEL_HELPER!$A:$B, 2, 0), "")</f>
        <v>1.5</v>
      </c>
      <c r="K92" s="3">
        <f t="shared" ref="K92:L92" si="185">IF(OR(I92="", I92=0), "",
  IF(I92&lt;=2,   1,
  IF(I92&lt;=4,   2,
  IF(I92&lt;=5.5, 3, 4))))</f>
        <v>1</v>
      </c>
      <c r="L92" s="3">
        <f t="shared" si="185"/>
        <v>1</v>
      </c>
      <c r="M92" s="3" t="str">
        <f t="shared" si="1"/>
        <v>Progress within level</v>
      </c>
      <c r="N92" s="157" t="s">
        <v>930</v>
      </c>
      <c r="O92" s="157" t="s">
        <v>922</v>
      </c>
      <c r="P92" s="3" t="str">
        <f t="shared" ca="1" si="2"/>
        <v/>
      </c>
      <c r="Q92" s="147" t="str">
        <f t="shared" ca="1" si="3"/>
        <v/>
      </c>
      <c r="R92" s="147" t="str">
        <f t="shared" ref="R92:S92" ca="1" si="186">IF(OR(P92="", P92=0), "",
  IF(P92&lt;=2,   1,
  IF(P92&lt;=4,   2,
  IF(P92&lt;=5.5, 3, 4))))</f>
        <v/>
      </c>
      <c r="S92" s="147" t="str">
        <f t="shared" ca="1" si="186"/>
        <v/>
      </c>
      <c r="T92" s="147" t="str">
        <f t="shared" ca="1" si="5"/>
        <v>No Data</v>
      </c>
      <c r="U92" s="147">
        <f t="shared" si="6"/>
        <v>1</v>
      </c>
      <c r="V92" s="147"/>
    </row>
    <row r="93" spans="1:22">
      <c r="A93" s="176" t="s">
        <v>330</v>
      </c>
      <c r="B93" s="154" t="s">
        <v>331</v>
      </c>
      <c r="C93" s="155" t="s">
        <v>59</v>
      </c>
      <c r="D93" s="155" t="s">
        <v>853</v>
      </c>
      <c r="E93" s="154" t="s">
        <v>22</v>
      </c>
      <c r="F93" s="3" t="s">
        <v>931</v>
      </c>
      <c r="G93" s="3" t="s">
        <v>937</v>
      </c>
      <c r="H93" s="156" t="str">
        <f ca="1">IFERROR(
  _xludf.MINIFS(ATTENDANCE_LOG!$F:$F,
         ATTENDANCE_LOG!$A:$A, C93,
         ATTENDANCE_LOG!$B:$B, E93),
"")</f>
        <v/>
      </c>
      <c r="I93" s="3">
        <f>IFERROR(VLOOKUP(F93, LEVEL_HELPER!$A:$B, 2, 0), "")</f>
        <v>4.5</v>
      </c>
      <c r="J93" s="3">
        <f>IFERROR(VLOOKUP(G93, LEVEL_HELPER!$A:$B, 2, 0), "")</f>
        <v>5.5</v>
      </c>
      <c r="K93" s="3">
        <f t="shared" ref="K93:L93" si="187">IF(OR(I93="", I93=0), "",
  IF(I93&lt;=2,   1,
  IF(I93&lt;=4,   2,
  IF(I93&lt;=5.5, 3, 4))))</f>
        <v>3</v>
      </c>
      <c r="L93" s="3">
        <f t="shared" si="187"/>
        <v>3</v>
      </c>
      <c r="M93" s="3" t="str">
        <f t="shared" si="1"/>
        <v>Progress within level</v>
      </c>
      <c r="N93" s="157" t="s">
        <v>942</v>
      </c>
      <c r="O93" s="157" t="s">
        <v>922</v>
      </c>
      <c r="P93" s="3" t="str">
        <f t="shared" ca="1" si="2"/>
        <v/>
      </c>
      <c r="Q93" s="147" t="str">
        <f t="shared" ca="1" si="3"/>
        <v/>
      </c>
      <c r="R93" s="147" t="str">
        <f t="shared" ref="R93:S93" ca="1" si="188">IF(OR(P93="", P93=0), "",
  IF(P93&lt;=2,   1,
  IF(P93&lt;=4,   2,
  IF(P93&lt;=5.5, 3, 4))))</f>
        <v/>
      </c>
      <c r="S93" s="147" t="str">
        <f t="shared" ca="1" si="188"/>
        <v/>
      </c>
      <c r="T93" s="147" t="str">
        <f t="shared" ca="1" si="5"/>
        <v>No Data</v>
      </c>
      <c r="U93" s="147">
        <f t="shared" si="6"/>
        <v>0</v>
      </c>
      <c r="V93" s="147"/>
    </row>
    <row r="94" spans="1:22">
      <c r="A94" s="157" t="s">
        <v>247</v>
      </c>
      <c r="B94" s="3" t="s">
        <v>248</v>
      </c>
      <c r="C94" s="160" t="s">
        <v>59</v>
      </c>
      <c r="D94" s="160" t="s">
        <v>853</v>
      </c>
      <c r="E94" s="3" t="s">
        <v>22</v>
      </c>
      <c r="F94" s="3" t="s">
        <v>928</v>
      </c>
      <c r="G94" s="3" t="s">
        <v>928</v>
      </c>
      <c r="H94" s="156" t="str">
        <f ca="1">IFERROR(
  _xludf.MINIFS(ATTENDANCE_LOG!$F:$F,
         ATTENDANCE_LOG!$A:$A, C94,
         ATTENDANCE_LOG!$B:$B, E94),
"")</f>
        <v/>
      </c>
      <c r="I94" s="3">
        <f>IFERROR(VLOOKUP(F94, LEVEL_HELPER!$A:$B, 2, 0), "")</f>
        <v>1.5</v>
      </c>
      <c r="J94" s="3">
        <f>IFERROR(VLOOKUP(G94, LEVEL_HELPER!$A:$B, 2, 0), "")</f>
        <v>1.5</v>
      </c>
      <c r="K94" s="3">
        <f t="shared" ref="K94:L94" si="189">IF(OR(I94="", I94=0), "",
  IF(I94&lt;=2,   1,
  IF(I94&lt;=4,   2,
  IF(I94&lt;=5.5, 3, 4))))</f>
        <v>1</v>
      </c>
      <c r="L94" s="3">
        <f t="shared" si="189"/>
        <v>1</v>
      </c>
      <c r="M94" s="3" t="str">
        <f t="shared" si="1"/>
        <v>No Progress</v>
      </c>
      <c r="N94" s="157" t="s">
        <v>930</v>
      </c>
      <c r="O94" s="157" t="s">
        <v>922</v>
      </c>
      <c r="P94" s="3" t="str">
        <f t="shared" ca="1" si="2"/>
        <v/>
      </c>
      <c r="Q94" s="147" t="str">
        <f t="shared" ca="1" si="3"/>
        <v/>
      </c>
      <c r="R94" s="147" t="str">
        <f t="shared" ref="R94:S94" ca="1" si="190">IF(OR(P94="", P94=0), "",
  IF(P94&lt;=2,   1,
  IF(P94&lt;=4,   2,
  IF(P94&lt;=5.5, 3, 4))))</f>
        <v/>
      </c>
      <c r="S94" s="147" t="str">
        <f t="shared" ca="1" si="190"/>
        <v/>
      </c>
      <c r="T94" s="147" t="str">
        <f t="shared" ca="1" si="5"/>
        <v>No Data</v>
      </c>
      <c r="U94" s="147">
        <f t="shared" si="6"/>
        <v>1</v>
      </c>
      <c r="V94" s="147"/>
    </row>
    <row r="95" spans="1:22">
      <c r="A95" s="157" t="s">
        <v>294</v>
      </c>
      <c r="B95" s="3" t="s">
        <v>295</v>
      </c>
      <c r="C95" s="160" t="s">
        <v>59</v>
      </c>
      <c r="D95" s="160" t="s">
        <v>853</v>
      </c>
      <c r="E95" s="3" t="s">
        <v>22</v>
      </c>
      <c r="F95" s="3" t="s">
        <v>928</v>
      </c>
      <c r="G95" s="3" t="s">
        <v>917</v>
      </c>
      <c r="H95" s="156" t="str">
        <f ca="1">IFERROR(
  _xludf.MINIFS(ATTENDANCE_LOG!$F:$F,
         ATTENDANCE_LOG!$A:$A, C95,
         ATTENDANCE_LOG!$B:$B, E95),
"")</f>
        <v/>
      </c>
      <c r="I95" s="3">
        <f>IFERROR(VLOOKUP(F95, LEVEL_HELPER!$A:$B, 2, 0), "")</f>
        <v>1.5</v>
      </c>
      <c r="J95" s="3">
        <f>IFERROR(VLOOKUP(G95, LEVEL_HELPER!$A:$B, 2, 0), "")</f>
        <v>3</v>
      </c>
      <c r="K95" s="3">
        <f t="shared" ref="K95:L95" si="191">IF(OR(I95="", I95=0), "",
  IF(I95&lt;=2,   1,
  IF(I95&lt;=4,   2,
  IF(I95&lt;=5.5, 3, 4))))</f>
        <v>1</v>
      </c>
      <c r="L95" s="3">
        <f t="shared" si="191"/>
        <v>2</v>
      </c>
      <c r="M95" s="3" t="str">
        <f t="shared" si="1"/>
        <v>Lv1 → Lv2</v>
      </c>
      <c r="N95" s="157" t="s">
        <v>930</v>
      </c>
      <c r="O95" s="157" t="s">
        <v>922</v>
      </c>
      <c r="P95" s="3" t="str">
        <f t="shared" ca="1" si="2"/>
        <v/>
      </c>
      <c r="Q95" s="147" t="str">
        <f t="shared" ca="1" si="3"/>
        <v/>
      </c>
      <c r="R95" s="147" t="str">
        <f t="shared" ref="R95:S95" ca="1" si="192">IF(OR(P95="", P95=0), "",
  IF(P95&lt;=2,   1,
  IF(P95&lt;=4,   2,
  IF(P95&lt;=5.5, 3, 4))))</f>
        <v/>
      </c>
      <c r="S95" s="147" t="str">
        <f t="shared" ca="1" si="192"/>
        <v/>
      </c>
      <c r="T95" s="147" t="str">
        <f t="shared" ca="1" si="5"/>
        <v>No Data</v>
      </c>
      <c r="U95" s="147">
        <f t="shared" si="6"/>
        <v>0</v>
      </c>
      <c r="V95" s="147"/>
    </row>
    <row r="96" spans="1:22">
      <c r="A96" s="157" t="s">
        <v>313</v>
      </c>
      <c r="B96" s="3" t="s">
        <v>314</v>
      </c>
      <c r="C96" s="160" t="s">
        <v>59</v>
      </c>
      <c r="D96" s="160" t="s">
        <v>853</v>
      </c>
      <c r="E96" s="3" t="s">
        <v>22</v>
      </c>
      <c r="F96" s="3" t="s">
        <v>917</v>
      </c>
      <c r="G96" s="3" t="s">
        <v>940</v>
      </c>
      <c r="H96" s="156" t="str">
        <f ca="1">IFERROR(
  _xludf.MINIFS(ATTENDANCE_LOG!$F:$F,
         ATTENDANCE_LOG!$A:$A, C96,
         ATTENDANCE_LOG!$B:$B, E96),
"")</f>
        <v/>
      </c>
      <c r="I96" s="3">
        <f>IFERROR(VLOOKUP(F96, LEVEL_HELPER!$A:$B, 2, 0), "")</f>
        <v>3</v>
      </c>
      <c r="J96" s="3">
        <f>IFERROR(VLOOKUP(G96, LEVEL_HELPER!$A:$B, 2, 0), "")</f>
        <v>5</v>
      </c>
      <c r="K96" s="3">
        <f t="shared" ref="K96:L96" si="193">IF(OR(I96="", I96=0), "",
  IF(I96&lt;=2,   1,
  IF(I96&lt;=4,   2,
  IF(I96&lt;=5.5, 3, 4))))</f>
        <v>2</v>
      </c>
      <c r="L96" s="3">
        <f t="shared" si="193"/>
        <v>3</v>
      </c>
      <c r="M96" s="3" t="str">
        <f t="shared" si="1"/>
        <v>Lv2 → Lv3</v>
      </c>
      <c r="N96" s="157" t="s">
        <v>930</v>
      </c>
      <c r="O96" s="157" t="s">
        <v>922</v>
      </c>
      <c r="P96" s="3" t="str">
        <f t="shared" ca="1" si="2"/>
        <v/>
      </c>
      <c r="Q96" s="147" t="str">
        <f t="shared" ca="1" si="3"/>
        <v/>
      </c>
      <c r="R96" s="147" t="str">
        <f t="shared" ref="R96:S96" ca="1" si="194">IF(OR(P96="", P96=0), "",
  IF(P96&lt;=2,   1,
  IF(P96&lt;=4,   2,
  IF(P96&lt;=5.5, 3, 4))))</f>
        <v/>
      </c>
      <c r="S96" s="147" t="str">
        <f t="shared" ca="1" si="194"/>
        <v/>
      </c>
      <c r="T96" s="147" t="str">
        <f t="shared" ca="1" si="5"/>
        <v>No Data</v>
      </c>
      <c r="U96" s="147">
        <f t="shared" si="6"/>
        <v>0</v>
      </c>
      <c r="V96" s="147"/>
    </row>
    <row r="97" spans="1:22">
      <c r="A97" s="157" t="s">
        <v>411</v>
      </c>
      <c r="B97" s="3" t="s">
        <v>412</v>
      </c>
      <c r="C97" s="160" t="s">
        <v>59</v>
      </c>
      <c r="D97" s="160" t="s">
        <v>853</v>
      </c>
      <c r="E97" s="3" t="s">
        <v>22</v>
      </c>
      <c r="F97" s="3" t="s">
        <v>928</v>
      </c>
      <c r="G97" s="3" t="s">
        <v>940</v>
      </c>
      <c r="H97" s="156" t="str">
        <f ca="1">IFERROR(
  _xludf.MINIFS(ATTENDANCE_LOG!$F:$F,
         ATTENDANCE_LOG!$A:$A, C97,
         ATTENDANCE_LOG!$B:$B, E97),
"")</f>
        <v/>
      </c>
      <c r="I97" s="3">
        <f>IFERROR(VLOOKUP(F97, LEVEL_HELPER!$A:$B, 2, 0), "")</f>
        <v>1.5</v>
      </c>
      <c r="J97" s="3">
        <f>IFERROR(VLOOKUP(G97, LEVEL_HELPER!$A:$B, 2, 0), "")</f>
        <v>5</v>
      </c>
      <c r="K97" s="3">
        <f t="shared" ref="K97:L97" si="195">IF(OR(I97="", I97=0), "",
  IF(I97&lt;=2,   1,
  IF(I97&lt;=4,   2,
  IF(I97&lt;=5.5, 3, 4))))</f>
        <v>1</v>
      </c>
      <c r="L97" s="3">
        <f t="shared" si="195"/>
        <v>3</v>
      </c>
      <c r="M97" s="3" t="str">
        <f t="shared" si="1"/>
        <v>Lv1 → Lv3 (+2)</v>
      </c>
      <c r="N97" s="157" t="s">
        <v>930</v>
      </c>
      <c r="O97" s="157" t="s">
        <v>922</v>
      </c>
      <c r="P97" s="3" t="str">
        <f t="shared" ca="1" si="2"/>
        <v/>
      </c>
      <c r="Q97" s="147" t="str">
        <f t="shared" ca="1" si="3"/>
        <v/>
      </c>
      <c r="R97" s="147" t="str">
        <f t="shared" ref="R97:S97" ca="1" si="196">IF(OR(P97="", P97=0), "",
  IF(P97&lt;=2,   1,
  IF(P97&lt;=4,   2,
  IF(P97&lt;=5.5, 3, 4))))</f>
        <v/>
      </c>
      <c r="S97" s="147" t="str">
        <f t="shared" ca="1" si="196"/>
        <v/>
      </c>
      <c r="T97" s="147" t="str">
        <f t="shared" ca="1" si="5"/>
        <v>No Data</v>
      </c>
      <c r="U97" s="147">
        <f t="shared" si="6"/>
        <v>0</v>
      </c>
      <c r="V97" s="147"/>
    </row>
    <row r="98" spans="1:22">
      <c r="A98" s="157" t="s">
        <v>451</v>
      </c>
      <c r="B98" s="3" t="s">
        <v>452</v>
      </c>
      <c r="C98" s="160" t="s">
        <v>59</v>
      </c>
      <c r="D98" s="160" t="s">
        <v>853</v>
      </c>
      <c r="E98" s="3" t="s">
        <v>22</v>
      </c>
      <c r="F98" s="3" t="s">
        <v>934</v>
      </c>
      <c r="G98" s="3" t="s">
        <v>937</v>
      </c>
      <c r="H98" s="156" t="str">
        <f ca="1">IFERROR(
  _xludf.MINIFS(ATTENDANCE_LOG!$F:$F,
         ATTENDANCE_LOG!$A:$A, C98,
         ATTENDANCE_LOG!$B:$B, E98),
"")</f>
        <v/>
      </c>
      <c r="I98" s="3">
        <f>IFERROR(VLOOKUP(F98, LEVEL_HELPER!$A:$B, 2, 0), "")</f>
        <v>3.5</v>
      </c>
      <c r="J98" s="3">
        <f>IFERROR(VLOOKUP(G98, LEVEL_HELPER!$A:$B, 2, 0), "")</f>
        <v>5.5</v>
      </c>
      <c r="K98" s="3">
        <f t="shared" ref="K98:L98" si="197">IF(OR(I98="", I98=0), "",
  IF(I98&lt;=2,   1,
  IF(I98&lt;=4,   2,
  IF(I98&lt;=5.5, 3, 4))))</f>
        <v>2</v>
      </c>
      <c r="L98" s="3">
        <f t="shared" si="197"/>
        <v>3</v>
      </c>
      <c r="M98" s="3" t="str">
        <f t="shared" si="1"/>
        <v>Lv2 → Lv3</v>
      </c>
      <c r="N98" s="157" t="s">
        <v>930</v>
      </c>
      <c r="O98" s="157" t="s">
        <v>922</v>
      </c>
      <c r="P98" s="3" t="str">
        <f t="shared" ca="1" si="2"/>
        <v/>
      </c>
      <c r="Q98" s="147" t="str">
        <f t="shared" ca="1" si="3"/>
        <v/>
      </c>
      <c r="R98" s="147" t="str">
        <f t="shared" ref="R98:S98" ca="1" si="198">IF(OR(P98="", P98=0), "",
  IF(P98&lt;=2,   1,
  IF(P98&lt;=4,   2,
  IF(P98&lt;=5.5, 3, 4))))</f>
        <v/>
      </c>
      <c r="S98" s="147" t="str">
        <f t="shared" ca="1" si="198"/>
        <v/>
      </c>
      <c r="T98" s="147" t="str">
        <f t="shared" ca="1" si="5"/>
        <v>No Data</v>
      </c>
      <c r="U98" s="147">
        <f t="shared" si="6"/>
        <v>0</v>
      </c>
      <c r="V98" s="147"/>
    </row>
    <row r="99" spans="1:22">
      <c r="A99" s="157" t="s">
        <v>466</v>
      </c>
      <c r="B99" s="3" t="s">
        <v>467</v>
      </c>
      <c r="C99" s="160" t="s">
        <v>59</v>
      </c>
      <c r="D99" s="160" t="s">
        <v>853</v>
      </c>
      <c r="E99" s="3" t="s">
        <v>22</v>
      </c>
      <c r="F99" s="3" t="s">
        <v>928</v>
      </c>
      <c r="G99" s="3" t="s">
        <v>917</v>
      </c>
      <c r="H99" s="156" t="str">
        <f ca="1">IFERROR(
  _xludf.MINIFS(ATTENDANCE_LOG!$F:$F,
         ATTENDANCE_LOG!$A:$A, C99,
         ATTENDANCE_LOG!$B:$B, E99),
"")</f>
        <v/>
      </c>
      <c r="I99" s="3">
        <f>IFERROR(VLOOKUP(F99, LEVEL_HELPER!$A:$B, 2, 0), "")</f>
        <v>1.5</v>
      </c>
      <c r="J99" s="3">
        <f>IFERROR(VLOOKUP(G99, LEVEL_HELPER!$A:$B, 2, 0), "")</f>
        <v>3</v>
      </c>
      <c r="K99" s="3">
        <f t="shared" ref="K99:L99" si="199">IF(OR(I99="", I99=0), "",
  IF(I99&lt;=2,   1,
  IF(I99&lt;=4,   2,
  IF(I99&lt;=5.5, 3, 4))))</f>
        <v>1</v>
      </c>
      <c r="L99" s="3">
        <f t="shared" si="199"/>
        <v>2</v>
      </c>
      <c r="M99" s="3" t="str">
        <f t="shared" si="1"/>
        <v>Lv1 → Lv2</v>
      </c>
      <c r="N99" s="157" t="s">
        <v>930</v>
      </c>
      <c r="O99" s="157" t="s">
        <v>922</v>
      </c>
      <c r="P99" s="3" t="str">
        <f t="shared" ca="1" si="2"/>
        <v/>
      </c>
      <c r="Q99" s="147" t="str">
        <f t="shared" ca="1" si="3"/>
        <v/>
      </c>
      <c r="R99" s="147" t="str">
        <f t="shared" ref="R99:S99" ca="1" si="200">IF(OR(P99="", P99=0), "",
  IF(P99&lt;=2,   1,
  IF(P99&lt;=4,   2,
  IF(P99&lt;=5.5, 3, 4))))</f>
        <v/>
      </c>
      <c r="S99" s="147" t="str">
        <f t="shared" ca="1" si="200"/>
        <v/>
      </c>
      <c r="T99" s="147" t="str">
        <f t="shared" ca="1" si="5"/>
        <v>No Data</v>
      </c>
      <c r="U99" s="147">
        <f t="shared" si="6"/>
        <v>0</v>
      </c>
      <c r="V99" s="147"/>
    </row>
    <row r="100" spans="1:22">
      <c r="A100" s="157" t="s">
        <v>484</v>
      </c>
      <c r="B100" s="3" t="s">
        <v>485</v>
      </c>
      <c r="C100" s="160" t="s">
        <v>59</v>
      </c>
      <c r="D100" s="160" t="s">
        <v>853</v>
      </c>
      <c r="E100" s="3" t="s">
        <v>22</v>
      </c>
      <c r="F100" s="3" t="s">
        <v>934</v>
      </c>
      <c r="G100" s="3" t="s">
        <v>934</v>
      </c>
      <c r="H100" s="156" t="str">
        <f ca="1">IFERROR(
  _xludf.MINIFS(ATTENDANCE_LOG!$F:$F,
         ATTENDANCE_LOG!$A:$A, C100,
         ATTENDANCE_LOG!$B:$B, E100),
"")</f>
        <v/>
      </c>
      <c r="I100" s="3">
        <f>IFERROR(VLOOKUP(F100, LEVEL_HELPER!$A:$B, 2, 0), "")</f>
        <v>3.5</v>
      </c>
      <c r="J100" s="3">
        <f>IFERROR(VLOOKUP(G100, LEVEL_HELPER!$A:$B, 2, 0), "")</f>
        <v>3.5</v>
      </c>
      <c r="K100" s="3">
        <f t="shared" ref="K100:L100" si="201">IF(OR(I100="", I100=0), "",
  IF(I100&lt;=2,   1,
  IF(I100&lt;=4,   2,
  IF(I100&lt;=5.5, 3, 4))))</f>
        <v>2</v>
      </c>
      <c r="L100" s="3">
        <f t="shared" si="201"/>
        <v>2</v>
      </c>
      <c r="M100" s="3" t="str">
        <f t="shared" si="1"/>
        <v>No Progress</v>
      </c>
      <c r="N100" s="157" t="s">
        <v>930</v>
      </c>
      <c r="O100" s="157" t="s">
        <v>924</v>
      </c>
      <c r="P100" s="3" t="str">
        <f t="shared" ca="1" si="2"/>
        <v/>
      </c>
      <c r="Q100" s="147" t="str">
        <f t="shared" ca="1" si="3"/>
        <v/>
      </c>
      <c r="R100" s="147" t="str">
        <f t="shared" ref="R100:S100" ca="1" si="202">IF(OR(P100="", P100=0), "",
  IF(P100&lt;=2,   1,
  IF(P100&lt;=4,   2,
  IF(P100&lt;=5.5, 3, 4))))</f>
        <v/>
      </c>
      <c r="S100" s="147" t="str">
        <f t="shared" ca="1" si="202"/>
        <v/>
      </c>
      <c r="T100" s="147" t="str">
        <f t="shared" ca="1" si="5"/>
        <v>No Data</v>
      </c>
      <c r="U100" s="147">
        <f t="shared" si="6"/>
        <v>0</v>
      </c>
      <c r="V100" s="147"/>
    </row>
    <row r="101" spans="1:22">
      <c r="A101" s="157" t="s">
        <v>547</v>
      </c>
      <c r="B101" s="3" t="s">
        <v>548</v>
      </c>
      <c r="C101" s="160" t="s">
        <v>59</v>
      </c>
      <c r="D101" s="160" t="s">
        <v>853</v>
      </c>
      <c r="E101" s="3" t="s">
        <v>22</v>
      </c>
      <c r="F101" s="3" t="s">
        <v>931</v>
      </c>
      <c r="G101" s="3" t="s">
        <v>940</v>
      </c>
      <c r="H101" s="156" t="str">
        <f ca="1">IFERROR(
  _xludf.MINIFS(ATTENDANCE_LOG!$F:$F,
         ATTENDANCE_LOG!$A:$A, C101,
         ATTENDANCE_LOG!$B:$B, E101),
"")</f>
        <v/>
      </c>
      <c r="I101" s="3">
        <f>IFERROR(VLOOKUP(F101, LEVEL_HELPER!$A:$B, 2, 0), "")</f>
        <v>4.5</v>
      </c>
      <c r="J101" s="3">
        <f>IFERROR(VLOOKUP(G101, LEVEL_HELPER!$A:$B, 2, 0), "")</f>
        <v>5</v>
      </c>
      <c r="K101" s="3">
        <f t="shared" ref="K101:L101" si="203">IF(OR(I101="", I101=0), "",
  IF(I101&lt;=2,   1,
  IF(I101&lt;=4,   2,
  IF(I101&lt;=5.5, 3, 4))))</f>
        <v>3</v>
      </c>
      <c r="L101" s="3">
        <f t="shared" si="203"/>
        <v>3</v>
      </c>
      <c r="M101" s="3" t="str">
        <f t="shared" si="1"/>
        <v>Progress within level</v>
      </c>
      <c r="N101" s="157" t="s">
        <v>930</v>
      </c>
      <c r="O101" s="157" t="s">
        <v>922</v>
      </c>
      <c r="P101" s="3" t="str">
        <f t="shared" ca="1" si="2"/>
        <v/>
      </c>
      <c r="Q101" s="147" t="str">
        <f t="shared" ca="1" si="3"/>
        <v/>
      </c>
      <c r="R101" s="147" t="str">
        <f t="shared" ref="R101:S101" ca="1" si="204">IF(OR(P101="", P101=0), "",
  IF(P101&lt;=2,   1,
  IF(P101&lt;=4,   2,
  IF(P101&lt;=5.5, 3, 4))))</f>
        <v/>
      </c>
      <c r="S101" s="147" t="str">
        <f t="shared" ca="1" si="204"/>
        <v/>
      </c>
      <c r="T101" s="147" t="str">
        <f t="shared" ca="1" si="5"/>
        <v>No Data</v>
      </c>
      <c r="U101" s="147">
        <f t="shared" si="6"/>
        <v>0</v>
      </c>
      <c r="V101" s="147"/>
    </row>
    <row r="102" spans="1:22">
      <c r="A102" s="176" t="s">
        <v>627</v>
      </c>
      <c r="B102" s="154" t="s">
        <v>628</v>
      </c>
      <c r="C102" s="155" t="s">
        <v>60</v>
      </c>
      <c r="D102" s="155" t="s">
        <v>854</v>
      </c>
      <c r="E102" s="154" t="s">
        <v>21</v>
      </c>
      <c r="F102" s="3" t="s">
        <v>926</v>
      </c>
      <c r="G102" s="3" t="s">
        <v>916</v>
      </c>
      <c r="H102" s="156" t="str">
        <f ca="1">IFERROR(
  _xludf.MINIFS(ATTENDANCE_LOG!$F:$F,
         ATTENDANCE_LOG!$A:$A, C102,
         ATTENDANCE_LOG!$B:$B, E102),
"")</f>
        <v/>
      </c>
      <c r="I102" s="3">
        <f>IFERROR(VLOOKUP(F102, LEVEL_HELPER!$A:$B, 2, 0), "")</f>
        <v>1</v>
      </c>
      <c r="J102" s="3">
        <f>IFERROR(VLOOKUP(G102, LEVEL_HELPER!$A:$B, 2, 0), "")</f>
        <v>2.5</v>
      </c>
      <c r="K102" s="3">
        <f t="shared" ref="K102:L102" si="205">IF(OR(I102="", I102=0), "",
  IF(I102&lt;=2,   1,
  IF(I102&lt;=4,   2,
  IF(I102&lt;=5.5, 3, 4))))</f>
        <v>1</v>
      </c>
      <c r="L102" s="3">
        <f t="shared" si="205"/>
        <v>2</v>
      </c>
      <c r="M102" s="3" t="str">
        <f t="shared" si="1"/>
        <v>Lv1 → Lv2</v>
      </c>
      <c r="N102" s="157" t="s">
        <v>944</v>
      </c>
      <c r="O102" s="157" t="s">
        <v>921</v>
      </c>
      <c r="P102" s="3" t="str">
        <f t="shared" ca="1" si="2"/>
        <v/>
      </c>
      <c r="Q102" s="147" t="str">
        <f t="shared" ca="1" si="3"/>
        <v/>
      </c>
      <c r="R102" s="147" t="str">
        <f t="shared" ref="R102:S102" ca="1" si="206">IF(OR(P102="", P102=0), "",
  IF(P102&lt;=2,   1,
  IF(P102&lt;=4,   2,
  IF(P102&lt;=5.5, 3, 4))))</f>
        <v/>
      </c>
      <c r="S102" s="147" t="str">
        <f t="shared" ca="1" si="206"/>
        <v/>
      </c>
      <c r="T102" s="147" t="str">
        <f t="shared" ca="1" si="5"/>
        <v>No Data</v>
      </c>
      <c r="U102" s="147">
        <f t="shared" si="6"/>
        <v>1</v>
      </c>
      <c r="V102" s="147"/>
    </row>
    <row r="103" spans="1:22">
      <c r="A103" s="157" t="s">
        <v>216</v>
      </c>
      <c r="B103" s="3" t="s">
        <v>217</v>
      </c>
      <c r="C103" s="160" t="s">
        <v>60</v>
      </c>
      <c r="D103" s="160" t="s">
        <v>854</v>
      </c>
      <c r="E103" s="3" t="s">
        <v>21</v>
      </c>
      <c r="F103" s="3" t="s">
        <v>916</v>
      </c>
      <c r="G103" s="3" t="s">
        <v>916</v>
      </c>
      <c r="H103" s="156" t="str">
        <f ca="1">IFERROR(
  _xludf.MINIFS(ATTENDANCE_LOG!$F:$F,
         ATTENDANCE_LOG!$A:$A, C103,
         ATTENDANCE_LOG!$B:$B, E103),
"")</f>
        <v/>
      </c>
      <c r="I103" s="3">
        <f>IFERROR(VLOOKUP(F103, LEVEL_HELPER!$A:$B, 2, 0), "")</f>
        <v>2.5</v>
      </c>
      <c r="J103" s="3">
        <f>IFERROR(VLOOKUP(G103, LEVEL_HELPER!$A:$B, 2, 0), "")</f>
        <v>2.5</v>
      </c>
      <c r="K103" s="3">
        <f t="shared" ref="K103:L103" si="207">IF(OR(I103="", I103=0), "",
  IF(I103&lt;=2,   1,
  IF(I103&lt;=4,   2,
  IF(I103&lt;=5.5, 3, 4))))</f>
        <v>2</v>
      </c>
      <c r="L103" s="3">
        <f t="shared" si="207"/>
        <v>2</v>
      </c>
      <c r="M103" s="3" t="str">
        <f t="shared" si="1"/>
        <v>No Progress</v>
      </c>
      <c r="N103" s="157" t="s">
        <v>942</v>
      </c>
      <c r="O103" s="157" t="s">
        <v>921</v>
      </c>
      <c r="P103" s="3" t="str">
        <f t="shared" ca="1" si="2"/>
        <v/>
      </c>
      <c r="Q103" s="147" t="str">
        <f t="shared" ca="1" si="3"/>
        <v/>
      </c>
      <c r="R103" s="147" t="str">
        <f t="shared" ref="R103:S103" ca="1" si="208">IF(OR(P103="", P103=0), "",
  IF(P103&lt;=2,   1,
  IF(P103&lt;=4,   2,
  IF(P103&lt;=5.5, 3, 4))))</f>
        <v/>
      </c>
      <c r="S103" s="147" t="str">
        <f t="shared" ca="1" si="208"/>
        <v/>
      </c>
      <c r="T103" s="147" t="str">
        <f t="shared" ca="1" si="5"/>
        <v>No Data</v>
      </c>
      <c r="U103" s="147">
        <f t="shared" si="6"/>
        <v>1</v>
      </c>
      <c r="V103" s="147"/>
    </row>
    <row r="104" spans="1:22">
      <c r="A104" s="157" t="s">
        <v>232</v>
      </c>
      <c r="B104" s="3" t="s">
        <v>233</v>
      </c>
      <c r="C104" s="160" t="s">
        <v>60</v>
      </c>
      <c r="D104" s="160" t="s">
        <v>854</v>
      </c>
      <c r="E104" s="3" t="s">
        <v>21</v>
      </c>
      <c r="F104" s="3" t="s">
        <v>926</v>
      </c>
      <c r="G104" s="3" t="s">
        <v>916</v>
      </c>
      <c r="H104" s="156" t="str">
        <f ca="1">IFERROR(
  _xludf.MINIFS(ATTENDANCE_LOG!$F:$F,
         ATTENDANCE_LOG!$A:$A, C104,
         ATTENDANCE_LOG!$B:$B, E104),
"")</f>
        <v/>
      </c>
      <c r="I104" s="3">
        <f>IFERROR(VLOOKUP(F104, LEVEL_HELPER!$A:$B, 2, 0), "")</f>
        <v>1</v>
      </c>
      <c r="J104" s="3">
        <f>IFERROR(VLOOKUP(G104, LEVEL_HELPER!$A:$B, 2, 0), "")</f>
        <v>2.5</v>
      </c>
      <c r="K104" s="3">
        <f t="shared" ref="K104:L104" si="209">IF(OR(I104="", I104=0), "",
  IF(I104&lt;=2,   1,
  IF(I104&lt;=4,   2,
  IF(I104&lt;=5.5, 3, 4))))</f>
        <v>1</v>
      </c>
      <c r="L104" s="3">
        <f t="shared" si="209"/>
        <v>2</v>
      </c>
      <c r="M104" s="3" t="str">
        <f t="shared" si="1"/>
        <v>Lv1 → Lv2</v>
      </c>
      <c r="N104" s="157" t="s">
        <v>942</v>
      </c>
      <c r="O104" s="157" t="s">
        <v>921</v>
      </c>
      <c r="P104" s="3" t="str">
        <f t="shared" ca="1" si="2"/>
        <v/>
      </c>
      <c r="Q104" s="147" t="str">
        <f t="shared" ca="1" si="3"/>
        <v/>
      </c>
      <c r="R104" s="147" t="str">
        <f t="shared" ref="R104:S104" ca="1" si="210">IF(OR(P104="", P104=0), "",
  IF(P104&lt;=2,   1,
  IF(P104&lt;=4,   2,
  IF(P104&lt;=5.5, 3, 4))))</f>
        <v/>
      </c>
      <c r="S104" s="147" t="str">
        <f t="shared" ca="1" si="210"/>
        <v/>
      </c>
      <c r="T104" s="147" t="str">
        <f t="shared" ca="1" si="5"/>
        <v>No Data</v>
      </c>
      <c r="U104" s="147">
        <f t="shared" si="6"/>
        <v>1</v>
      </c>
      <c r="V104" s="147"/>
    </row>
    <row r="105" spans="1:22">
      <c r="A105" s="157" t="s">
        <v>321</v>
      </c>
      <c r="B105" s="3" t="s">
        <v>322</v>
      </c>
      <c r="C105" s="160" t="s">
        <v>60</v>
      </c>
      <c r="D105" s="160" t="s">
        <v>854</v>
      </c>
      <c r="E105" s="3" t="s">
        <v>21</v>
      </c>
      <c r="F105" s="3" t="s">
        <v>926</v>
      </c>
      <c r="G105" s="3" t="s">
        <v>916</v>
      </c>
      <c r="H105" s="156" t="str">
        <f ca="1">IFERROR(
  _xludf.MINIFS(ATTENDANCE_LOG!$F:$F,
         ATTENDANCE_LOG!$A:$A, C105,
         ATTENDANCE_LOG!$B:$B, E105),
"")</f>
        <v/>
      </c>
      <c r="I105" s="3">
        <f>IFERROR(VLOOKUP(F105, LEVEL_HELPER!$A:$B, 2, 0), "")</f>
        <v>1</v>
      </c>
      <c r="J105" s="3">
        <f>IFERROR(VLOOKUP(G105, LEVEL_HELPER!$A:$B, 2, 0), "")</f>
        <v>2.5</v>
      </c>
      <c r="K105" s="3">
        <f t="shared" ref="K105:L105" si="211">IF(OR(I105="", I105=0), "",
  IF(I105&lt;=2,   1,
  IF(I105&lt;=4,   2,
  IF(I105&lt;=5.5, 3, 4))))</f>
        <v>1</v>
      </c>
      <c r="L105" s="3">
        <f t="shared" si="211"/>
        <v>2</v>
      </c>
      <c r="M105" s="3" t="str">
        <f t="shared" si="1"/>
        <v>Lv1 → Lv2</v>
      </c>
      <c r="N105" s="157" t="s">
        <v>918</v>
      </c>
      <c r="O105" s="157" t="s">
        <v>921</v>
      </c>
      <c r="P105" s="3" t="str">
        <f t="shared" ca="1" si="2"/>
        <v/>
      </c>
      <c r="Q105" s="147" t="str">
        <f t="shared" ca="1" si="3"/>
        <v/>
      </c>
      <c r="R105" s="147" t="str">
        <f t="shared" ref="R105:S105" ca="1" si="212">IF(OR(P105="", P105=0), "",
  IF(P105&lt;=2,   1,
  IF(P105&lt;=4,   2,
  IF(P105&lt;=5.5, 3, 4))))</f>
        <v/>
      </c>
      <c r="S105" s="147" t="str">
        <f t="shared" ca="1" si="212"/>
        <v/>
      </c>
      <c r="T105" s="147" t="str">
        <f t="shared" ca="1" si="5"/>
        <v>No Data</v>
      </c>
      <c r="U105" s="147">
        <f t="shared" si="6"/>
        <v>1</v>
      </c>
      <c r="V105" s="147"/>
    </row>
    <row r="106" spans="1:22">
      <c r="A106" s="157" t="s">
        <v>689</v>
      </c>
      <c r="B106" s="3" t="s">
        <v>690</v>
      </c>
      <c r="C106" s="160" t="s">
        <v>60</v>
      </c>
      <c r="D106" s="160" t="s">
        <v>854</v>
      </c>
      <c r="E106" s="3" t="s">
        <v>21</v>
      </c>
      <c r="F106" s="3" t="s">
        <v>926</v>
      </c>
      <c r="G106" s="3" t="s">
        <v>916</v>
      </c>
      <c r="H106" s="156" t="str">
        <f ca="1">IFERROR(
  _xludf.MINIFS(ATTENDANCE_LOG!$F:$F,
         ATTENDANCE_LOG!$A:$A, C106,
         ATTENDANCE_LOG!$B:$B, E106),
"")</f>
        <v/>
      </c>
      <c r="I106" s="3">
        <f>IFERROR(VLOOKUP(F106, LEVEL_HELPER!$A:$B, 2, 0), "")</f>
        <v>1</v>
      </c>
      <c r="J106" s="3">
        <f>IFERROR(VLOOKUP(G106, LEVEL_HELPER!$A:$B, 2, 0), "")</f>
        <v>2.5</v>
      </c>
      <c r="K106" s="3">
        <f t="shared" ref="K106:L106" si="213">IF(OR(I106="", I106=0), "",
  IF(I106&lt;=2,   1,
  IF(I106&lt;=4,   2,
  IF(I106&lt;=5.5, 3, 4))))</f>
        <v>1</v>
      </c>
      <c r="L106" s="3">
        <f t="shared" si="213"/>
        <v>2</v>
      </c>
      <c r="M106" s="3" t="str">
        <f t="shared" si="1"/>
        <v>Lv1 → Lv2</v>
      </c>
      <c r="N106" s="157" t="s">
        <v>943</v>
      </c>
      <c r="O106" s="157" t="s">
        <v>921</v>
      </c>
      <c r="P106" s="3" t="str">
        <f t="shared" ca="1" si="2"/>
        <v/>
      </c>
      <c r="Q106" s="147" t="str">
        <f t="shared" ca="1" si="3"/>
        <v/>
      </c>
      <c r="R106" s="147" t="str">
        <f t="shared" ref="R106:S106" ca="1" si="214">IF(OR(P106="", P106=0), "",
  IF(P106&lt;=2,   1,
  IF(P106&lt;=4,   2,
  IF(P106&lt;=5.5, 3, 4))))</f>
        <v/>
      </c>
      <c r="S106" s="147" t="str">
        <f t="shared" ca="1" si="214"/>
        <v/>
      </c>
      <c r="T106" s="147" t="str">
        <f t="shared" ca="1" si="5"/>
        <v>No Data</v>
      </c>
      <c r="U106" s="147">
        <f t="shared" si="6"/>
        <v>1</v>
      </c>
      <c r="V106" s="147"/>
    </row>
    <row r="107" spans="1:22">
      <c r="A107" s="176" t="s">
        <v>504</v>
      </c>
      <c r="B107" s="154" t="s">
        <v>505</v>
      </c>
      <c r="C107" s="155" t="s">
        <v>60</v>
      </c>
      <c r="D107" s="155" t="s">
        <v>854</v>
      </c>
      <c r="E107" s="154" t="s">
        <v>22</v>
      </c>
      <c r="F107" s="3" t="s">
        <v>926</v>
      </c>
      <c r="G107" s="3"/>
      <c r="H107" s="156" t="str">
        <f ca="1">IFERROR(
  _xludf.MINIFS(ATTENDANCE_LOG!$F:$F,
         ATTENDANCE_LOG!$A:$A, C107,
         ATTENDANCE_LOG!$B:$B, E107),
"")</f>
        <v/>
      </c>
      <c r="I107" s="3">
        <f>IFERROR(VLOOKUP(F107, LEVEL_HELPER!$A:$B, 2, 0), "")</f>
        <v>1</v>
      </c>
      <c r="J107" s="3" t="str">
        <f>IFERROR(VLOOKUP(G107, LEVEL_HELPER!$A:$B, 2, 0), "")</f>
        <v/>
      </c>
      <c r="K107" s="3">
        <f t="shared" ref="K107:L107" si="215">IF(OR(I107="", I107=0), "",
  IF(I107&lt;=2,   1,
  IF(I107&lt;=4,   2,
  IF(I107&lt;=5.5, 3, 4))))</f>
        <v>1</v>
      </c>
      <c r="L107" s="3" t="str">
        <f t="shared" si="215"/>
        <v/>
      </c>
      <c r="M107" s="3" t="str">
        <f t="shared" si="1"/>
        <v>No Data</v>
      </c>
      <c r="N107" s="157" t="s">
        <v>942</v>
      </c>
      <c r="O107" s="157" t="s">
        <v>921</v>
      </c>
      <c r="P107" s="3" t="str">
        <f t="shared" ca="1" si="2"/>
        <v/>
      </c>
      <c r="Q107" s="147" t="str">
        <f t="shared" ca="1" si="3"/>
        <v/>
      </c>
      <c r="R107" s="147" t="str">
        <f t="shared" ref="R107:S107" ca="1" si="216">IF(OR(P107="", P107=0), "",
  IF(P107&lt;=2,   1,
  IF(P107&lt;=4,   2,
  IF(P107&lt;=5.5, 3, 4))))</f>
        <v/>
      </c>
      <c r="S107" s="147" t="str">
        <f t="shared" ca="1" si="216"/>
        <v/>
      </c>
      <c r="T107" s="147" t="str">
        <f t="shared" ca="1" si="5"/>
        <v>No Data</v>
      </c>
      <c r="U107" s="147">
        <f t="shared" si="6"/>
        <v>1</v>
      </c>
      <c r="V107" s="147"/>
    </row>
    <row r="108" spans="1:22">
      <c r="A108" s="157" t="s">
        <v>140</v>
      </c>
      <c r="B108" s="3" t="s">
        <v>141</v>
      </c>
      <c r="C108" s="160" t="s">
        <v>60</v>
      </c>
      <c r="D108" s="160" t="s">
        <v>854</v>
      </c>
      <c r="E108" s="3" t="s">
        <v>22</v>
      </c>
      <c r="F108" s="3" t="s">
        <v>916</v>
      </c>
      <c r="G108" s="3"/>
      <c r="H108" s="156" t="str">
        <f ca="1">IFERROR(
  _xludf.MINIFS(ATTENDANCE_LOG!$F:$F,
         ATTENDANCE_LOG!$A:$A, C108,
         ATTENDANCE_LOG!$B:$B, E108),
"")</f>
        <v/>
      </c>
      <c r="I108" s="3">
        <f>IFERROR(VLOOKUP(F108, LEVEL_HELPER!$A:$B, 2, 0), "")</f>
        <v>2.5</v>
      </c>
      <c r="J108" s="3" t="str">
        <f>IFERROR(VLOOKUP(G108, LEVEL_HELPER!$A:$B, 2, 0), "")</f>
        <v/>
      </c>
      <c r="K108" s="3">
        <f t="shared" ref="K108:L108" si="217">IF(OR(I108="", I108=0), "",
  IF(I108&lt;=2,   1,
  IF(I108&lt;=4,   2,
  IF(I108&lt;=5.5, 3, 4))))</f>
        <v>2</v>
      </c>
      <c r="L108" s="3" t="str">
        <f t="shared" si="217"/>
        <v/>
      </c>
      <c r="M108" s="3" t="str">
        <f t="shared" si="1"/>
        <v>No Data</v>
      </c>
      <c r="N108" s="157" t="s">
        <v>942</v>
      </c>
      <c r="O108" s="157" t="s">
        <v>921</v>
      </c>
      <c r="P108" s="3" t="str">
        <f t="shared" ca="1" si="2"/>
        <v/>
      </c>
      <c r="Q108" s="147" t="str">
        <f t="shared" ca="1" si="3"/>
        <v/>
      </c>
      <c r="R108" s="147" t="str">
        <f t="shared" ref="R108:S108" ca="1" si="218">IF(OR(P108="", P108=0), "",
  IF(P108&lt;=2,   1,
  IF(P108&lt;=4,   2,
  IF(P108&lt;=5.5, 3, 4))))</f>
        <v/>
      </c>
      <c r="S108" s="147" t="str">
        <f t="shared" ca="1" si="218"/>
        <v/>
      </c>
      <c r="T108" s="147" t="str">
        <f t="shared" ca="1" si="5"/>
        <v>No Data</v>
      </c>
      <c r="U108" s="147">
        <f t="shared" si="6"/>
        <v>1</v>
      </c>
      <c r="V108" s="147"/>
    </row>
    <row r="109" spans="1:22">
      <c r="A109" s="157" t="s">
        <v>216</v>
      </c>
      <c r="B109" s="3" t="s">
        <v>217</v>
      </c>
      <c r="C109" s="160" t="s">
        <v>60</v>
      </c>
      <c r="D109" s="160" t="s">
        <v>854</v>
      </c>
      <c r="E109" s="3" t="s">
        <v>22</v>
      </c>
      <c r="F109" s="3" t="s">
        <v>916</v>
      </c>
      <c r="G109" s="3"/>
      <c r="H109" s="156" t="str">
        <f ca="1">IFERROR(
  _xludf.MINIFS(ATTENDANCE_LOG!$F:$F,
         ATTENDANCE_LOG!$A:$A, C109,
         ATTENDANCE_LOG!$B:$B, E109),
"")</f>
        <v/>
      </c>
      <c r="I109" s="3">
        <f>IFERROR(VLOOKUP(F109, LEVEL_HELPER!$A:$B, 2, 0), "")</f>
        <v>2.5</v>
      </c>
      <c r="J109" s="3" t="str">
        <f>IFERROR(VLOOKUP(G109, LEVEL_HELPER!$A:$B, 2, 0), "")</f>
        <v/>
      </c>
      <c r="K109" s="3">
        <f t="shared" ref="K109:L109" si="219">IF(OR(I109="", I109=0), "",
  IF(I109&lt;=2,   1,
  IF(I109&lt;=4,   2,
  IF(I109&lt;=5.5, 3, 4))))</f>
        <v>2</v>
      </c>
      <c r="L109" s="3" t="str">
        <f t="shared" si="219"/>
        <v/>
      </c>
      <c r="M109" s="3" t="str">
        <f t="shared" si="1"/>
        <v>No Data</v>
      </c>
      <c r="N109" s="157" t="s">
        <v>942</v>
      </c>
      <c r="O109" s="157" t="s">
        <v>921</v>
      </c>
      <c r="P109" s="3" t="str">
        <f t="shared" ca="1" si="2"/>
        <v/>
      </c>
      <c r="Q109" s="147" t="str">
        <f t="shared" ca="1" si="3"/>
        <v/>
      </c>
      <c r="R109" s="147" t="str">
        <f t="shared" ref="R109:S109" ca="1" si="220">IF(OR(P109="", P109=0), "",
  IF(P109&lt;=2,   1,
  IF(P109&lt;=4,   2,
  IF(P109&lt;=5.5, 3, 4))))</f>
        <v/>
      </c>
      <c r="S109" s="147" t="str">
        <f t="shared" ca="1" si="220"/>
        <v/>
      </c>
      <c r="T109" s="147" t="str">
        <f t="shared" ca="1" si="5"/>
        <v>No Data</v>
      </c>
      <c r="U109" s="147">
        <f t="shared" si="6"/>
        <v>0</v>
      </c>
      <c r="V109" s="147"/>
    </row>
    <row r="110" spans="1:22">
      <c r="A110" s="157" t="s">
        <v>232</v>
      </c>
      <c r="B110" s="3" t="s">
        <v>233</v>
      </c>
      <c r="C110" s="160" t="s">
        <v>60</v>
      </c>
      <c r="D110" s="160" t="s">
        <v>854</v>
      </c>
      <c r="E110" s="3" t="s">
        <v>22</v>
      </c>
      <c r="F110" s="3" t="s">
        <v>916</v>
      </c>
      <c r="G110" s="3"/>
      <c r="H110" s="156" t="str">
        <f ca="1">IFERROR(
  _xludf.MINIFS(ATTENDANCE_LOG!$F:$F,
         ATTENDANCE_LOG!$A:$A, C110,
         ATTENDANCE_LOG!$B:$B, E110),
"")</f>
        <v/>
      </c>
      <c r="I110" s="3">
        <f>IFERROR(VLOOKUP(F110, LEVEL_HELPER!$A:$B, 2, 0), "")</f>
        <v>2.5</v>
      </c>
      <c r="J110" s="3" t="str">
        <f>IFERROR(VLOOKUP(G110, LEVEL_HELPER!$A:$B, 2, 0), "")</f>
        <v/>
      </c>
      <c r="K110" s="3">
        <f t="shared" ref="K110:L110" si="221">IF(OR(I110="", I110=0), "",
  IF(I110&lt;=2,   1,
  IF(I110&lt;=4,   2,
  IF(I110&lt;=5.5, 3, 4))))</f>
        <v>2</v>
      </c>
      <c r="L110" s="3" t="str">
        <f t="shared" si="221"/>
        <v/>
      </c>
      <c r="M110" s="3" t="str">
        <f t="shared" si="1"/>
        <v>No Data</v>
      </c>
      <c r="N110" s="157" t="s">
        <v>942</v>
      </c>
      <c r="O110" s="157" t="s">
        <v>921</v>
      </c>
      <c r="P110" s="3" t="str">
        <f t="shared" ca="1" si="2"/>
        <v/>
      </c>
      <c r="Q110" s="147" t="str">
        <f t="shared" ca="1" si="3"/>
        <v/>
      </c>
      <c r="R110" s="147" t="str">
        <f t="shared" ref="R110:S110" ca="1" si="222">IF(OR(P110="", P110=0), "",
  IF(P110&lt;=2,   1,
  IF(P110&lt;=4,   2,
  IF(P110&lt;=5.5, 3, 4))))</f>
        <v/>
      </c>
      <c r="S110" s="147" t="str">
        <f t="shared" ca="1" si="222"/>
        <v/>
      </c>
      <c r="T110" s="147" t="str">
        <f t="shared" ca="1" si="5"/>
        <v>No Data</v>
      </c>
      <c r="U110" s="147">
        <f t="shared" si="6"/>
        <v>0</v>
      </c>
      <c r="V110" s="147"/>
    </row>
    <row r="111" spans="1:22">
      <c r="A111" s="157" t="s">
        <v>321</v>
      </c>
      <c r="B111" s="3" t="s">
        <v>322</v>
      </c>
      <c r="C111" s="160" t="s">
        <v>60</v>
      </c>
      <c r="D111" s="160" t="s">
        <v>854</v>
      </c>
      <c r="E111" s="3" t="s">
        <v>22</v>
      </c>
      <c r="F111" s="3" t="s">
        <v>916</v>
      </c>
      <c r="G111" s="3"/>
      <c r="H111" s="156" t="str">
        <f ca="1">IFERROR(
  _xludf.MINIFS(ATTENDANCE_LOG!$F:$F,
         ATTENDANCE_LOG!$A:$A, C111,
         ATTENDANCE_LOG!$B:$B, E111),
"")</f>
        <v/>
      </c>
      <c r="I111" s="3">
        <f>IFERROR(VLOOKUP(F111, LEVEL_HELPER!$A:$B, 2, 0), "")</f>
        <v>2.5</v>
      </c>
      <c r="J111" s="3" t="str">
        <f>IFERROR(VLOOKUP(G111, LEVEL_HELPER!$A:$B, 2, 0), "")</f>
        <v/>
      </c>
      <c r="K111" s="3">
        <f t="shared" ref="K111:L111" si="223">IF(OR(I111="", I111=0), "",
  IF(I111&lt;=2,   1,
  IF(I111&lt;=4,   2,
  IF(I111&lt;=5.5, 3, 4))))</f>
        <v>2</v>
      </c>
      <c r="L111" s="3" t="str">
        <f t="shared" si="223"/>
        <v/>
      </c>
      <c r="M111" s="3" t="str">
        <f t="shared" si="1"/>
        <v>No Data</v>
      </c>
      <c r="N111" s="157" t="s">
        <v>918</v>
      </c>
      <c r="O111" s="157" t="s">
        <v>921</v>
      </c>
      <c r="P111" s="3" t="str">
        <f t="shared" ca="1" si="2"/>
        <v/>
      </c>
      <c r="Q111" s="147" t="str">
        <f t="shared" ca="1" si="3"/>
        <v/>
      </c>
      <c r="R111" s="147" t="str">
        <f t="shared" ref="R111:S111" ca="1" si="224">IF(OR(P111="", P111=0), "",
  IF(P111&lt;=2,   1,
  IF(P111&lt;=4,   2,
  IF(P111&lt;=5.5, 3, 4))))</f>
        <v/>
      </c>
      <c r="S111" s="147" t="str">
        <f t="shared" ca="1" si="224"/>
        <v/>
      </c>
      <c r="T111" s="147" t="str">
        <f t="shared" ca="1" si="5"/>
        <v>No Data</v>
      </c>
      <c r="U111" s="147">
        <f t="shared" si="6"/>
        <v>0</v>
      </c>
      <c r="V111" s="147"/>
    </row>
    <row r="112" spans="1:22">
      <c r="A112" s="157" t="s">
        <v>340</v>
      </c>
      <c r="B112" s="3" t="s">
        <v>341</v>
      </c>
      <c r="C112" s="160" t="s">
        <v>60</v>
      </c>
      <c r="D112" s="160" t="s">
        <v>854</v>
      </c>
      <c r="E112" s="3" t="s">
        <v>22</v>
      </c>
      <c r="F112" s="3" t="s">
        <v>916</v>
      </c>
      <c r="G112" s="3"/>
      <c r="H112" s="156" t="str">
        <f ca="1">IFERROR(
  _xludf.MINIFS(ATTENDANCE_LOG!$F:$F,
         ATTENDANCE_LOG!$A:$A, C112,
         ATTENDANCE_LOG!$B:$B, E112),
"")</f>
        <v/>
      </c>
      <c r="I112" s="3">
        <f>IFERROR(VLOOKUP(F112, LEVEL_HELPER!$A:$B, 2, 0), "")</f>
        <v>2.5</v>
      </c>
      <c r="J112" s="3" t="str">
        <f>IFERROR(VLOOKUP(G112, LEVEL_HELPER!$A:$B, 2, 0), "")</f>
        <v/>
      </c>
      <c r="K112" s="3">
        <f t="shared" ref="K112:L112" si="225">IF(OR(I112="", I112=0), "",
  IF(I112&lt;=2,   1,
  IF(I112&lt;=4,   2,
  IF(I112&lt;=5.5, 3, 4))))</f>
        <v>2</v>
      </c>
      <c r="L112" s="3" t="str">
        <f t="shared" si="225"/>
        <v/>
      </c>
      <c r="M112" s="3" t="str">
        <f t="shared" si="1"/>
        <v>No Data</v>
      </c>
      <c r="N112" s="157" t="s">
        <v>942</v>
      </c>
      <c r="O112" s="157" t="s">
        <v>921</v>
      </c>
      <c r="P112" s="3" t="str">
        <f t="shared" ca="1" si="2"/>
        <v/>
      </c>
      <c r="Q112" s="147" t="str">
        <f t="shared" ca="1" si="3"/>
        <v/>
      </c>
      <c r="R112" s="147" t="str">
        <f t="shared" ref="R112:S112" ca="1" si="226">IF(OR(P112="", P112=0), "",
  IF(P112&lt;=2,   1,
  IF(P112&lt;=4,   2,
  IF(P112&lt;=5.5, 3, 4))))</f>
        <v/>
      </c>
      <c r="S112" s="147" t="str">
        <f t="shared" ca="1" si="226"/>
        <v/>
      </c>
      <c r="T112" s="147" t="str">
        <f t="shared" ca="1" si="5"/>
        <v>No Data</v>
      </c>
      <c r="U112" s="147">
        <f t="shared" si="6"/>
        <v>1</v>
      </c>
      <c r="V112" s="147"/>
    </row>
    <row r="113" spans="1:22">
      <c r="A113" s="157" t="s">
        <v>395</v>
      </c>
      <c r="B113" s="3" t="s">
        <v>396</v>
      </c>
      <c r="C113" s="160" t="s">
        <v>60</v>
      </c>
      <c r="D113" s="160" t="s">
        <v>854</v>
      </c>
      <c r="E113" s="3" t="s">
        <v>22</v>
      </c>
      <c r="F113" s="3" t="s">
        <v>916</v>
      </c>
      <c r="G113" s="3"/>
      <c r="H113" s="156" t="str">
        <f ca="1">IFERROR(
  _xludf.MINIFS(ATTENDANCE_LOG!$F:$F,
         ATTENDANCE_LOG!$A:$A, C113,
         ATTENDANCE_LOG!$B:$B, E113),
"")</f>
        <v/>
      </c>
      <c r="I113" s="3">
        <f>IFERROR(VLOOKUP(F113, LEVEL_HELPER!$A:$B, 2, 0), "")</f>
        <v>2.5</v>
      </c>
      <c r="J113" s="3" t="str">
        <f>IFERROR(VLOOKUP(G113, LEVEL_HELPER!$A:$B, 2, 0), "")</f>
        <v/>
      </c>
      <c r="K113" s="3">
        <f t="shared" ref="K113:L113" si="227">IF(OR(I113="", I113=0), "",
  IF(I113&lt;=2,   1,
  IF(I113&lt;=4,   2,
  IF(I113&lt;=5.5, 3, 4))))</f>
        <v>2</v>
      </c>
      <c r="L113" s="3" t="str">
        <f t="shared" si="227"/>
        <v/>
      </c>
      <c r="M113" s="3" t="str">
        <f t="shared" si="1"/>
        <v>No Data</v>
      </c>
      <c r="N113" s="157" t="s">
        <v>918</v>
      </c>
      <c r="O113" s="157" t="s">
        <v>921</v>
      </c>
      <c r="P113" s="3" t="str">
        <f t="shared" ca="1" si="2"/>
        <v/>
      </c>
      <c r="Q113" s="147" t="str">
        <f t="shared" ca="1" si="3"/>
        <v/>
      </c>
      <c r="R113" s="147" t="str">
        <f t="shared" ref="R113:S113" ca="1" si="228">IF(OR(P113="", P113=0), "",
  IF(P113&lt;=2,   1,
  IF(P113&lt;=4,   2,
  IF(P113&lt;=5.5, 3, 4))))</f>
        <v/>
      </c>
      <c r="S113" s="147" t="str">
        <f t="shared" ca="1" si="228"/>
        <v/>
      </c>
      <c r="T113" s="147" t="str">
        <f t="shared" ca="1" si="5"/>
        <v>No Data</v>
      </c>
      <c r="U113" s="147">
        <f t="shared" si="6"/>
        <v>1</v>
      </c>
      <c r="V113" s="147"/>
    </row>
    <row r="114" spans="1:22">
      <c r="A114" s="157" t="s">
        <v>583</v>
      </c>
      <c r="B114" s="3" t="s">
        <v>584</v>
      </c>
      <c r="C114" s="160" t="s">
        <v>60</v>
      </c>
      <c r="D114" s="160" t="s">
        <v>854</v>
      </c>
      <c r="E114" s="3" t="s">
        <v>22</v>
      </c>
      <c r="F114" s="3" t="s">
        <v>931</v>
      </c>
      <c r="G114" s="3"/>
      <c r="H114" s="156" t="str">
        <f ca="1">IFERROR(
  _xludf.MINIFS(ATTENDANCE_LOG!$F:$F,
         ATTENDANCE_LOG!$A:$A, C114,
         ATTENDANCE_LOG!$B:$B, E114),
"")</f>
        <v/>
      </c>
      <c r="I114" s="3">
        <f>IFERROR(VLOOKUP(F114, LEVEL_HELPER!$A:$B, 2, 0), "")</f>
        <v>4.5</v>
      </c>
      <c r="J114" s="3" t="str">
        <f>IFERROR(VLOOKUP(G114, LEVEL_HELPER!$A:$B, 2, 0), "")</f>
        <v/>
      </c>
      <c r="K114" s="3">
        <f t="shared" ref="K114:L114" si="229">IF(OR(I114="", I114=0), "",
  IF(I114&lt;=2,   1,
  IF(I114&lt;=4,   2,
  IF(I114&lt;=5.5, 3, 4))))</f>
        <v>3</v>
      </c>
      <c r="L114" s="3" t="str">
        <f t="shared" si="229"/>
        <v/>
      </c>
      <c r="M114" s="3" t="str">
        <f t="shared" si="1"/>
        <v>No Data</v>
      </c>
      <c r="N114" s="157" t="s">
        <v>942</v>
      </c>
      <c r="O114" s="157" t="s">
        <v>921</v>
      </c>
      <c r="P114" s="3" t="str">
        <f t="shared" ca="1" si="2"/>
        <v/>
      </c>
      <c r="Q114" s="147" t="str">
        <f t="shared" ca="1" si="3"/>
        <v/>
      </c>
      <c r="R114" s="147" t="str">
        <f t="shared" ref="R114:S114" ca="1" si="230">IF(OR(P114="", P114=0), "",
  IF(P114&lt;=2,   1,
  IF(P114&lt;=4,   2,
  IF(P114&lt;=5.5, 3, 4))))</f>
        <v/>
      </c>
      <c r="S114" s="147" t="str">
        <f t="shared" ca="1" si="230"/>
        <v/>
      </c>
      <c r="T114" s="147" t="str">
        <f t="shared" ca="1" si="5"/>
        <v>No Data</v>
      </c>
      <c r="U114" s="147">
        <f t="shared" si="6"/>
        <v>1</v>
      </c>
      <c r="V114" s="147"/>
    </row>
    <row r="115" spans="1:22">
      <c r="A115" s="176" t="s">
        <v>395</v>
      </c>
      <c r="B115" s="154" t="s">
        <v>396</v>
      </c>
      <c r="C115" s="155" t="s">
        <v>61</v>
      </c>
      <c r="D115" s="155" t="s">
        <v>855</v>
      </c>
      <c r="E115" s="154" t="s">
        <v>21</v>
      </c>
      <c r="F115" s="3" t="s">
        <v>916</v>
      </c>
      <c r="G115" s="3" t="s">
        <v>916</v>
      </c>
      <c r="H115" s="156" t="str">
        <f ca="1">IFERROR(
  _xludf.MINIFS(ATTENDANCE_LOG!$F:$F,
         ATTENDANCE_LOG!$A:$A, C115,
         ATTENDANCE_LOG!$B:$B, E115),
"")</f>
        <v/>
      </c>
      <c r="I115" s="3">
        <f>IFERROR(VLOOKUP(F115, LEVEL_HELPER!$A:$B, 2, 0), "")</f>
        <v>2.5</v>
      </c>
      <c r="J115" s="3">
        <f>IFERROR(VLOOKUP(G115, LEVEL_HELPER!$A:$B, 2, 0), "")</f>
        <v>2.5</v>
      </c>
      <c r="K115" s="3">
        <f t="shared" ref="K115:L115" si="231">IF(OR(I115="", I115=0), "",
  IF(I115&lt;=2,   1,
  IF(I115&lt;=4,   2,
  IF(I115&lt;=5.5, 3, 4))))</f>
        <v>2</v>
      </c>
      <c r="L115" s="3">
        <f t="shared" si="231"/>
        <v>2</v>
      </c>
      <c r="M115" s="3" t="str">
        <f t="shared" si="1"/>
        <v>No Progress</v>
      </c>
      <c r="N115" s="157" t="s">
        <v>918</v>
      </c>
      <c r="O115" s="157" t="s">
        <v>921</v>
      </c>
      <c r="P115" s="3" t="str">
        <f t="shared" ca="1" si="2"/>
        <v/>
      </c>
      <c r="Q115" s="147" t="str">
        <f t="shared" ca="1" si="3"/>
        <v/>
      </c>
      <c r="R115" s="147" t="str">
        <f t="shared" ref="R115:S115" ca="1" si="232">IF(OR(P115="", P115=0), "",
  IF(P115&lt;=2,   1,
  IF(P115&lt;=4,   2,
  IF(P115&lt;=5.5, 3, 4))))</f>
        <v/>
      </c>
      <c r="S115" s="147" t="str">
        <f t="shared" ca="1" si="232"/>
        <v/>
      </c>
      <c r="T115" s="147" t="str">
        <f t="shared" ca="1" si="5"/>
        <v>No Data</v>
      </c>
      <c r="U115" s="147">
        <f t="shared" si="6"/>
        <v>0</v>
      </c>
      <c r="V115" s="147"/>
    </row>
    <row r="116" spans="1:22">
      <c r="A116" s="157" t="s">
        <v>140</v>
      </c>
      <c r="B116" s="3" t="s">
        <v>141</v>
      </c>
      <c r="C116" s="160" t="s">
        <v>61</v>
      </c>
      <c r="D116" s="160" t="s">
        <v>855</v>
      </c>
      <c r="E116" s="3" t="s">
        <v>21</v>
      </c>
      <c r="F116" s="3" t="s">
        <v>926</v>
      </c>
      <c r="G116" s="3" t="s">
        <v>916</v>
      </c>
      <c r="H116" s="156" t="str">
        <f ca="1">IFERROR(
  _xludf.MINIFS(ATTENDANCE_LOG!$F:$F,
         ATTENDANCE_LOG!$A:$A, C116,
         ATTENDANCE_LOG!$B:$B, E116),
"")</f>
        <v/>
      </c>
      <c r="I116" s="3">
        <f>IFERROR(VLOOKUP(F116, LEVEL_HELPER!$A:$B, 2, 0), "")</f>
        <v>1</v>
      </c>
      <c r="J116" s="3">
        <f>IFERROR(VLOOKUP(G116, LEVEL_HELPER!$A:$B, 2, 0), "")</f>
        <v>2.5</v>
      </c>
      <c r="K116" s="3">
        <f t="shared" ref="K116:L116" si="233">IF(OR(I116="", I116=0), "",
  IF(I116&lt;=2,   1,
  IF(I116&lt;=4,   2,
  IF(I116&lt;=5.5, 3, 4))))</f>
        <v>1</v>
      </c>
      <c r="L116" s="3">
        <f t="shared" si="233"/>
        <v>2</v>
      </c>
      <c r="M116" s="3" t="str">
        <f t="shared" si="1"/>
        <v>Lv1 → Lv2</v>
      </c>
      <c r="N116" s="157" t="s">
        <v>942</v>
      </c>
      <c r="O116" s="157" t="s">
        <v>921</v>
      </c>
      <c r="P116" s="3" t="str">
        <f t="shared" ca="1" si="2"/>
        <v/>
      </c>
      <c r="Q116" s="147" t="str">
        <f t="shared" ca="1" si="3"/>
        <v/>
      </c>
      <c r="R116" s="147" t="str">
        <f t="shared" ref="R116:S116" ca="1" si="234">IF(OR(P116="", P116=0), "",
  IF(P116&lt;=2,   1,
  IF(P116&lt;=4,   2,
  IF(P116&lt;=5.5, 3, 4))))</f>
        <v/>
      </c>
      <c r="S116" s="147" t="str">
        <f t="shared" ca="1" si="234"/>
        <v/>
      </c>
      <c r="T116" s="147" t="str">
        <f t="shared" ca="1" si="5"/>
        <v>No Data</v>
      </c>
      <c r="U116" s="147">
        <f t="shared" si="6"/>
        <v>0</v>
      </c>
      <c r="V116" s="147"/>
    </row>
    <row r="117" spans="1:22">
      <c r="A117" s="157" t="s">
        <v>340</v>
      </c>
      <c r="B117" s="3" t="s">
        <v>341</v>
      </c>
      <c r="C117" s="160" t="s">
        <v>61</v>
      </c>
      <c r="D117" s="160" t="s">
        <v>855</v>
      </c>
      <c r="E117" s="3" t="s">
        <v>21</v>
      </c>
      <c r="F117" s="3" t="s">
        <v>926</v>
      </c>
      <c r="G117" s="3" t="s">
        <v>916</v>
      </c>
      <c r="H117" s="156" t="str">
        <f ca="1">IFERROR(
  _xludf.MINIFS(ATTENDANCE_LOG!$F:$F,
         ATTENDANCE_LOG!$A:$A, C117,
         ATTENDANCE_LOG!$B:$B, E117),
"")</f>
        <v/>
      </c>
      <c r="I117" s="3">
        <f>IFERROR(VLOOKUP(F117, LEVEL_HELPER!$A:$B, 2, 0), "")</f>
        <v>1</v>
      </c>
      <c r="J117" s="3">
        <f>IFERROR(VLOOKUP(G117, LEVEL_HELPER!$A:$B, 2, 0), "")</f>
        <v>2.5</v>
      </c>
      <c r="K117" s="3">
        <f t="shared" ref="K117:L117" si="235">IF(OR(I117="", I117=0), "",
  IF(I117&lt;=2,   1,
  IF(I117&lt;=4,   2,
  IF(I117&lt;=5.5, 3, 4))))</f>
        <v>1</v>
      </c>
      <c r="L117" s="3">
        <f t="shared" si="235"/>
        <v>2</v>
      </c>
      <c r="M117" s="3" t="str">
        <f t="shared" si="1"/>
        <v>Lv1 → Lv2</v>
      </c>
      <c r="N117" s="157" t="s">
        <v>942</v>
      </c>
      <c r="O117" s="157" t="s">
        <v>921</v>
      </c>
      <c r="P117" s="3" t="str">
        <f t="shared" ca="1" si="2"/>
        <v/>
      </c>
      <c r="Q117" s="147" t="str">
        <f t="shared" ca="1" si="3"/>
        <v/>
      </c>
      <c r="R117" s="147" t="str">
        <f t="shared" ref="R117:S117" ca="1" si="236">IF(OR(P117="", P117=0), "",
  IF(P117&lt;=2,   1,
  IF(P117&lt;=4,   2,
  IF(P117&lt;=5.5, 3, 4))))</f>
        <v/>
      </c>
      <c r="S117" s="147" t="str">
        <f t="shared" ca="1" si="236"/>
        <v/>
      </c>
      <c r="T117" s="147" t="str">
        <f t="shared" ca="1" si="5"/>
        <v>No Data</v>
      </c>
      <c r="U117" s="147">
        <f t="shared" si="6"/>
        <v>0</v>
      </c>
      <c r="V117" s="147"/>
    </row>
    <row r="118" spans="1:22">
      <c r="A118" s="157" t="s">
        <v>504</v>
      </c>
      <c r="B118" s="3" t="s">
        <v>505</v>
      </c>
      <c r="C118" s="160" t="s">
        <v>61</v>
      </c>
      <c r="D118" s="160" t="s">
        <v>855</v>
      </c>
      <c r="E118" s="3" t="s">
        <v>21</v>
      </c>
      <c r="F118" s="3" t="s">
        <v>926</v>
      </c>
      <c r="G118" s="3" t="s">
        <v>926</v>
      </c>
      <c r="H118" s="156" t="str">
        <f ca="1">IFERROR(
  _xludf.MINIFS(ATTENDANCE_LOG!$F:$F,
         ATTENDANCE_LOG!$A:$A, C118,
         ATTENDANCE_LOG!$B:$B, E118),
"")</f>
        <v/>
      </c>
      <c r="I118" s="3">
        <f>IFERROR(VLOOKUP(F118, LEVEL_HELPER!$A:$B, 2, 0), "")</f>
        <v>1</v>
      </c>
      <c r="J118" s="3">
        <f>IFERROR(VLOOKUP(G118, LEVEL_HELPER!$A:$B, 2, 0), "")</f>
        <v>1</v>
      </c>
      <c r="K118" s="3">
        <f t="shared" ref="K118:L118" si="237">IF(OR(I118="", I118=0), "",
  IF(I118&lt;=2,   1,
  IF(I118&lt;=4,   2,
  IF(I118&lt;=5.5, 3, 4))))</f>
        <v>1</v>
      </c>
      <c r="L118" s="3">
        <f t="shared" si="237"/>
        <v>1</v>
      </c>
      <c r="M118" s="3" t="str">
        <f t="shared" si="1"/>
        <v>No Progress</v>
      </c>
      <c r="N118" s="157" t="s">
        <v>942</v>
      </c>
      <c r="O118" s="157" t="s">
        <v>921</v>
      </c>
      <c r="P118" s="3" t="str">
        <f t="shared" ca="1" si="2"/>
        <v/>
      </c>
      <c r="Q118" s="147" t="str">
        <f t="shared" ca="1" si="3"/>
        <v/>
      </c>
      <c r="R118" s="147" t="str">
        <f t="shared" ref="R118:S118" ca="1" si="238">IF(OR(P118="", P118=0), "",
  IF(P118&lt;=2,   1,
  IF(P118&lt;=4,   2,
  IF(P118&lt;=5.5, 3, 4))))</f>
        <v/>
      </c>
      <c r="S118" s="147" t="str">
        <f t="shared" ca="1" si="238"/>
        <v/>
      </c>
      <c r="T118" s="147" t="str">
        <f t="shared" ca="1" si="5"/>
        <v>No Data</v>
      </c>
      <c r="U118" s="147">
        <f t="shared" si="6"/>
        <v>0</v>
      </c>
      <c r="V118" s="147"/>
    </row>
    <row r="119" spans="1:22">
      <c r="A119" s="157" t="s">
        <v>583</v>
      </c>
      <c r="B119" s="3" t="s">
        <v>584</v>
      </c>
      <c r="C119" s="160" t="s">
        <v>61</v>
      </c>
      <c r="D119" s="160" t="s">
        <v>855</v>
      </c>
      <c r="E119" s="3" t="s">
        <v>21</v>
      </c>
      <c r="F119" s="3" t="s">
        <v>916</v>
      </c>
      <c r="G119" s="3" t="s">
        <v>931</v>
      </c>
      <c r="H119" s="156" t="str">
        <f ca="1">IFERROR(
  _xludf.MINIFS(ATTENDANCE_LOG!$F:$F,
         ATTENDANCE_LOG!$A:$A, C119,
         ATTENDANCE_LOG!$B:$B, E119),
"")</f>
        <v/>
      </c>
      <c r="I119" s="3">
        <f>IFERROR(VLOOKUP(F119, LEVEL_HELPER!$A:$B, 2, 0), "")</f>
        <v>2.5</v>
      </c>
      <c r="J119" s="3">
        <f>IFERROR(VLOOKUP(G119, LEVEL_HELPER!$A:$B, 2, 0), "")</f>
        <v>4.5</v>
      </c>
      <c r="K119" s="3">
        <f t="shared" ref="K119:L119" si="239">IF(OR(I119="", I119=0), "",
  IF(I119&lt;=2,   1,
  IF(I119&lt;=4,   2,
  IF(I119&lt;=5.5, 3, 4))))</f>
        <v>2</v>
      </c>
      <c r="L119" s="3">
        <f t="shared" si="239"/>
        <v>3</v>
      </c>
      <c r="M119" s="3" t="str">
        <f t="shared" si="1"/>
        <v>Lv2 → Lv3</v>
      </c>
      <c r="N119" s="157" t="s">
        <v>942</v>
      </c>
      <c r="O119" s="157" t="s">
        <v>921</v>
      </c>
      <c r="P119" s="3" t="str">
        <f t="shared" ca="1" si="2"/>
        <v/>
      </c>
      <c r="Q119" s="147" t="str">
        <f t="shared" ca="1" si="3"/>
        <v/>
      </c>
      <c r="R119" s="147" t="str">
        <f t="shared" ref="R119:S119" ca="1" si="240">IF(OR(P119="", P119=0), "",
  IF(P119&lt;=2,   1,
  IF(P119&lt;=4,   2,
  IF(P119&lt;=5.5, 3, 4))))</f>
        <v/>
      </c>
      <c r="S119" s="147" t="str">
        <f t="shared" ca="1" si="240"/>
        <v/>
      </c>
      <c r="T119" s="147" t="str">
        <f t="shared" ca="1" si="5"/>
        <v>No Data</v>
      </c>
      <c r="U119" s="147">
        <f t="shared" si="6"/>
        <v>0</v>
      </c>
      <c r="V119" s="147"/>
    </row>
    <row r="120" spans="1:22">
      <c r="A120" s="176" t="s">
        <v>307</v>
      </c>
      <c r="B120" s="154" t="s">
        <v>308</v>
      </c>
      <c r="C120" s="155" t="s">
        <v>62</v>
      </c>
      <c r="D120" s="155" t="s">
        <v>856</v>
      </c>
      <c r="E120" s="154" t="s">
        <v>21</v>
      </c>
      <c r="F120" s="3" t="s">
        <v>916</v>
      </c>
      <c r="G120" s="3" t="s">
        <v>934</v>
      </c>
      <c r="H120" s="156" t="str">
        <f ca="1">IFERROR(
  _xludf.MINIFS(ATTENDANCE_LOG!$F:$F,
         ATTENDANCE_LOG!$A:$A, C120,
         ATTENDANCE_LOG!$B:$B, E120),
"")</f>
        <v/>
      </c>
      <c r="I120" s="3">
        <f>IFERROR(VLOOKUP(F120, LEVEL_HELPER!$A:$B, 2, 0), "")</f>
        <v>2.5</v>
      </c>
      <c r="J120" s="3">
        <f>IFERROR(VLOOKUP(G120, LEVEL_HELPER!$A:$B, 2, 0), "")</f>
        <v>3.5</v>
      </c>
      <c r="K120" s="3">
        <f t="shared" ref="K120:L120" si="241">IF(OR(I120="", I120=0), "",
  IF(I120&lt;=2,   1,
  IF(I120&lt;=4,   2,
  IF(I120&lt;=5.5, 3, 4))))</f>
        <v>2</v>
      </c>
      <c r="L120" s="3">
        <f t="shared" si="241"/>
        <v>2</v>
      </c>
      <c r="M120" s="3" t="str">
        <f t="shared" si="1"/>
        <v>Progress within level</v>
      </c>
      <c r="N120" s="157" t="s">
        <v>942</v>
      </c>
      <c r="O120" s="157" t="s">
        <v>921</v>
      </c>
      <c r="P120" s="3" t="str">
        <f t="shared" ca="1" si="2"/>
        <v/>
      </c>
      <c r="Q120" s="147" t="str">
        <f t="shared" ca="1" si="3"/>
        <v/>
      </c>
      <c r="R120" s="147" t="str">
        <f t="shared" ref="R120:S120" ca="1" si="242">IF(OR(P120="", P120=0), "",
  IF(P120&lt;=2,   1,
  IF(P120&lt;=4,   2,
  IF(P120&lt;=5.5, 3, 4))))</f>
        <v/>
      </c>
      <c r="S120" s="147" t="str">
        <f t="shared" ca="1" si="242"/>
        <v/>
      </c>
      <c r="T120" s="147" t="str">
        <f t="shared" ca="1" si="5"/>
        <v>No Data</v>
      </c>
      <c r="U120" s="147">
        <f t="shared" si="6"/>
        <v>1</v>
      </c>
      <c r="V120" s="147"/>
    </row>
    <row r="121" spans="1:22">
      <c r="A121" s="157" t="s">
        <v>190</v>
      </c>
      <c r="B121" s="3" t="s">
        <v>191</v>
      </c>
      <c r="C121" s="160" t="s">
        <v>62</v>
      </c>
      <c r="D121" s="160" t="s">
        <v>856</v>
      </c>
      <c r="E121" s="3" t="s">
        <v>21</v>
      </c>
      <c r="F121" s="3" t="s">
        <v>926</v>
      </c>
      <c r="G121" s="3"/>
      <c r="H121" s="156" t="str">
        <f ca="1">IFERROR(
  _xludf.MINIFS(ATTENDANCE_LOG!$F:$F,
         ATTENDANCE_LOG!$A:$A, C121,
         ATTENDANCE_LOG!$B:$B, E121),
"")</f>
        <v/>
      </c>
      <c r="I121" s="3">
        <f>IFERROR(VLOOKUP(F121, LEVEL_HELPER!$A:$B, 2, 0), "")</f>
        <v>1</v>
      </c>
      <c r="J121" s="3" t="str">
        <f>IFERROR(VLOOKUP(G121, LEVEL_HELPER!$A:$B, 2, 0), "")</f>
        <v/>
      </c>
      <c r="K121" s="3">
        <f t="shared" ref="K121:L121" si="243">IF(OR(I121="", I121=0), "",
  IF(I121&lt;=2,   1,
  IF(I121&lt;=4,   2,
  IF(I121&lt;=5.5, 3, 4))))</f>
        <v>1</v>
      </c>
      <c r="L121" s="3" t="str">
        <f t="shared" si="243"/>
        <v/>
      </c>
      <c r="M121" s="3" t="str">
        <f t="shared" si="1"/>
        <v>No Data</v>
      </c>
      <c r="N121" s="157" t="s">
        <v>943</v>
      </c>
      <c r="O121" s="157" t="s">
        <v>921</v>
      </c>
      <c r="P121" s="3" t="str">
        <f t="shared" ca="1" si="2"/>
        <v/>
      </c>
      <c r="Q121" s="147" t="str">
        <f t="shared" ca="1" si="3"/>
        <v/>
      </c>
      <c r="R121" s="147" t="str">
        <f t="shared" ref="R121:S121" ca="1" si="244">IF(OR(P121="", P121=0), "",
  IF(P121&lt;=2,   1,
  IF(P121&lt;=4,   2,
  IF(P121&lt;=5.5, 3, 4))))</f>
        <v/>
      </c>
      <c r="S121" s="147" t="str">
        <f t="shared" ca="1" si="244"/>
        <v/>
      </c>
      <c r="T121" s="147" t="str">
        <f t="shared" ca="1" si="5"/>
        <v>No Data</v>
      </c>
      <c r="U121" s="147">
        <f t="shared" si="6"/>
        <v>1</v>
      </c>
      <c r="V121" s="147"/>
    </row>
    <row r="122" spans="1:22">
      <c r="A122" s="157" t="s">
        <v>198</v>
      </c>
      <c r="B122" s="3" t="s">
        <v>199</v>
      </c>
      <c r="C122" s="160" t="s">
        <v>62</v>
      </c>
      <c r="D122" s="160" t="s">
        <v>856</v>
      </c>
      <c r="E122" s="3" t="s">
        <v>21</v>
      </c>
      <c r="F122" s="3" t="s">
        <v>916</v>
      </c>
      <c r="G122" s="3"/>
      <c r="H122" s="156" t="str">
        <f ca="1">IFERROR(
  _xludf.MINIFS(ATTENDANCE_LOG!$F:$F,
         ATTENDANCE_LOG!$A:$A, C122,
         ATTENDANCE_LOG!$B:$B, E122),
"")</f>
        <v/>
      </c>
      <c r="I122" s="3">
        <f>IFERROR(VLOOKUP(F122, LEVEL_HELPER!$A:$B, 2, 0), "")</f>
        <v>2.5</v>
      </c>
      <c r="J122" s="3" t="str">
        <f>IFERROR(VLOOKUP(G122, LEVEL_HELPER!$A:$B, 2, 0), "")</f>
        <v/>
      </c>
      <c r="K122" s="3">
        <f t="shared" ref="K122:L122" si="245">IF(OR(I122="", I122=0), "",
  IF(I122&lt;=2,   1,
  IF(I122&lt;=4,   2,
  IF(I122&lt;=5.5, 3, 4))))</f>
        <v>2</v>
      </c>
      <c r="L122" s="3" t="str">
        <f t="shared" si="245"/>
        <v/>
      </c>
      <c r="M122" s="3" t="str">
        <f t="shared" si="1"/>
        <v>No Data</v>
      </c>
      <c r="N122" s="157" t="s">
        <v>942</v>
      </c>
      <c r="O122" s="157" t="s">
        <v>925</v>
      </c>
      <c r="P122" s="3" t="str">
        <f t="shared" ca="1" si="2"/>
        <v/>
      </c>
      <c r="Q122" s="147" t="str">
        <f t="shared" ca="1" si="3"/>
        <v/>
      </c>
      <c r="R122" s="147" t="str">
        <f t="shared" ref="R122:S122" ca="1" si="246">IF(OR(P122="", P122=0), "",
  IF(P122&lt;=2,   1,
  IF(P122&lt;=4,   2,
  IF(P122&lt;=5.5, 3, 4))))</f>
        <v/>
      </c>
      <c r="S122" s="147" t="str">
        <f t="shared" ca="1" si="246"/>
        <v/>
      </c>
      <c r="T122" s="147" t="str">
        <f t="shared" ca="1" si="5"/>
        <v>No Data</v>
      </c>
      <c r="U122" s="147">
        <f t="shared" si="6"/>
        <v>1</v>
      </c>
      <c r="V122" s="147"/>
    </row>
    <row r="123" spans="1:22">
      <c r="A123" s="157" t="s">
        <v>237</v>
      </c>
      <c r="B123" s="3" t="s">
        <v>238</v>
      </c>
      <c r="C123" s="160" t="s">
        <v>62</v>
      </c>
      <c r="D123" s="160" t="s">
        <v>856</v>
      </c>
      <c r="E123" s="3" t="s">
        <v>21</v>
      </c>
      <c r="F123" s="3" t="s">
        <v>916</v>
      </c>
      <c r="G123" s="3"/>
      <c r="H123" s="156" t="str">
        <f ca="1">IFERROR(
  _xludf.MINIFS(ATTENDANCE_LOG!$F:$F,
         ATTENDANCE_LOG!$A:$A, C123,
         ATTENDANCE_LOG!$B:$B, E123),
"")</f>
        <v/>
      </c>
      <c r="I123" s="3">
        <f>IFERROR(VLOOKUP(F123, LEVEL_HELPER!$A:$B, 2, 0), "")</f>
        <v>2.5</v>
      </c>
      <c r="J123" s="3" t="str">
        <f>IFERROR(VLOOKUP(G123, LEVEL_HELPER!$A:$B, 2, 0), "")</f>
        <v/>
      </c>
      <c r="K123" s="3">
        <f t="shared" ref="K123:L123" si="247">IF(OR(I123="", I123=0), "",
  IF(I123&lt;=2,   1,
  IF(I123&lt;=4,   2,
  IF(I123&lt;=5.5, 3, 4))))</f>
        <v>2</v>
      </c>
      <c r="L123" s="3" t="str">
        <f t="shared" si="247"/>
        <v/>
      </c>
      <c r="M123" s="3" t="str">
        <f t="shared" si="1"/>
        <v>No Data</v>
      </c>
      <c r="N123" s="157" t="s">
        <v>918</v>
      </c>
      <c r="O123" s="157" t="s">
        <v>921</v>
      </c>
      <c r="P123" s="3" t="str">
        <f t="shared" ca="1" si="2"/>
        <v/>
      </c>
      <c r="Q123" s="147" t="str">
        <f t="shared" ca="1" si="3"/>
        <v/>
      </c>
      <c r="R123" s="147" t="str">
        <f t="shared" ref="R123:S123" ca="1" si="248">IF(OR(P123="", P123=0), "",
  IF(P123&lt;=2,   1,
  IF(P123&lt;=4,   2,
  IF(P123&lt;=5.5, 3, 4))))</f>
        <v/>
      </c>
      <c r="S123" s="147" t="str">
        <f t="shared" ca="1" si="248"/>
        <v/>
      </c>
      <c r="T123" s="147" t="str">
        <f t="shared" ca="1" si="5"/>
        <v>No Data</v>
      </c>
      <c r="U123" s="147">
        <f t="shared" si="6"/>
        <v>1</v>
      </c>
      <c r="V123" s="147"/>
    </row>
    <row r="124" spans="1:22">
      <c r="A124" s="157" t="s">
        <v>249</v>
      </c>
      <c r="B124" s="3" t="s">
        <v>250</v>
      </c>
      <c r="C124" s="160" t="s">
        <v>62</v>
      </c>
      <c r="D124" s="160" t="s">
        <v>856</v>
      </c>
      <c r="E124" s="3" t="s">
        <v>21</v>
      </c>
      <c r="F124" s="3" t="s">
        <v>926</v>
      </c>
      <c r="G124" s="3"/>
      <c r="H124" s="156" t="str">
        <f ca="1">IFERROR(
  _xludf.MINIFS(ATTENDANCE_LOG!$F:$F,
         ATTENDANCE_LOG!$A:$A, C124,
         ATTENDANCE_LOG!$B:$B, E124),
"")</f>
        <v/>
      </c>
      <c r="I124" s="3">
        <f>IFERROR(VLOOKUP(F124, LEVEL_HELPER!$A:$B, 2, 0), "")</f>
        <v>1</v>
      </c>
      <c r="J124" s="3" t="str">
        <f>IFERROR(VLOOKUP(G124, LEVEL_HELPER!$A:$B, 2, 0), "")</f>
        <v/>
      </c>
      <c r="K124" s="3">
        <f t="shared" ref="K124:L124" si="249">IF(OR(I124="", I124=0), "",
  IF(I124&lt;=2,   1,
  IF(I124&lt;=4,   2,
  IF(I124&lt;=5.5, 3, 4))))</f>
        <v>1</v>
      </c>
      <c r="L124" s="3" t="str">
        <f t="shared" si="249"/>
        <v/>
      </c>
      <c r="M124" s="3" t="str">
        <f t="shared" si="1"/>
        <v>No Data</v>
      </c>
      <c r="N124" s="157" t="s">
        <v>942</v>
      </c>
      <c r="O124" s="157" t="s">
        <v>921</v>
      </c>
      <c r="P124" s="3" t="str">
        <f t="shared" ca="1" si="2"/>
        <v/>
      </c>
      <c r="Q124" s="147" t="str">
        <f t="shared" ca="1" si="3"/>
        <v/>
      </c>
      <c r="R124" s="147" t="str">
        <f t="shared" ref="R124:S124" ca="1" si="250">IF(OR(P124="", P124=0), "",
  IF(P124&lt;=2,   1,
  IF(P124&lt;=4,   2,
  IF(P124&lt;=5.5, 3, 4))))</f>
        <v/>
      </c>
      <c r="S124" s="147" t="str">
        <f t="shared" ca="1" si="250"/>
        <v/>
      </c>
      <c r="T124" s="147" t="str">
        <f t="shared" ca="1" si="5"/>
        <v>No Data</v>
      </c>
      <c r="U124" s="147">
        <f t="shared" si="6"/>
        <v>1</v>
      </c>
      <c r="V124" s="147"/>
    </row>
    <row r="125" spans="1:22">
      <c r="A125" s="157" t="s">
        <v>376</v>
      </c>
      <c r="B125" s="3" t="s">
        <v>377</v>
      </c>
      <c r="C125" s="160" t="s">
        <v>62</v>
      </c>
      <c r="D125" s="160" t="s">
        <v>856</v>
      </c>
      <c r="E125" s="3" t="s">
        <v>21</v>
      </c>
      <c r="F125" s="3" t="s">
        <v>926</v>
      </c>
      <c r="G125" s="3"/>
      <c r="H125" s="156" t="str">
        <f ca="1">IFERROR(
  _xludf.MINIFS(ATTENDANCE_LOG!$F:$F,
         ATTENDANCE_LOG!$A:$A, C125,
         ATTENDANCE_LOG!$B:$B, E125),
"")</f>
        <v/>
      </c>
      <c r="I125" s="3">
        <f>IFERROR(VLOOKUP(F125, LEVEL_HELPER!$A:$B, 2, 0), "")</f>
        <v>1</v>
      </c>
      <c r="J125" s="3" t="str">
        <f>IFERROR(VLOOKUP(G125, LEVEL_HELPER!$A:$B, 2, 0), "")</f>
        <v/>
      </c>
      <c r="K125" s="3">
        <f t="shared" ref="K125:L125" si="251">IF(OR(I125="", I125=0), "",
  IF(I125&lt;=2,   1,
  IF(I125&lt;=4,   2,
  IF(I125&lt;=5.5, 3, 4))))</f>
        <v>1</v>
      </c>
      <c r="L125" s="3" t="str">
        <f t="shared" si="251"/>
        <v/>
      </c>
      <c r="M125" s="3" t="str">
        <f t="shared" si="1"/>
        <v>No Data</v>
      </c>
      <c r="N125" s="157" t="s">
        <v>918</v>
      </c>
      <c r="O125" s="157" t="s">
        <v>921</v>
      </c>
      <c r="P125" s="3" t="str">
        <f t="shared" ca="1" si="2"/>
        <v/>
      </c>
      <c r="Q125" s="147" t="str">
        <f t="shared" ca="1" si="3"/>
        <v/>
      </c>
      <c r="R125" s="147" t="str">
        <f t="shared" ref="R125:S125" ca="1" si="252">IF(OR(P125="", P125=0), "",
  IF(P125&lt;=2,   1,
  IF(P125&lt;=4,   2,
  IF(P125&lt;=5.5, 3, 4))))</f>
        <v/>
      </c>
      <c r="S125" s="147" t="str">
        <f t="shared" ca="1" si="252"/>
        <v/>
      </c>
      <c r="T125" s="147" t="str">
        <f t="shared" ca="1" si="5"/>
        <v>No Data</v>
      </c>
      <c r="U125" s="147">
        <f t="shared" si="6"/>
        <v>1</v>
      </c>
      <c r="V125" s="147"/>
    </row>
    <row r="126" spans="1:22">
      <c r="A126" s="157" t="s">
        <v>387</v>
      </c>
      <c r="B126" s="3" t="s">
        <v>388</v>
      </c>
      <c r="C126" s="160" t="s">
        <v>62</v>
      </c>
      <c r="D126" s="160" t="s">
        <v>856</v>
      </c>
      <c r="E126" s="3" t="s">
        <v>21</v>
      </c>
      <c r="F126" s="3" t="s">
        <v>926</v>
      </c>
      <c r="G126" s="3" t="s">
        <v>928</v>
      </c>
      <c r="H126" s="156" t="str">
        <f ca="1">IFERROR(
  _xludf.MINIFS(ATTENDANCE_LOG!$F:$F,
         ATTENDANCE_LOG!$A:$A, C126,
         ATTENDANCE_LOG!$B:$B, E126),
"")</f>
        <v/>
      </c>
      <c r="I126" s="3">
        <f>IFERROR(VLOOKUP(F126, LEVEL_HELPER!$A:$B, 2, 0), "")</f>
        <v>1</v>
      </c>
      <c r="J126" s="3">
        <f>IFERROR(VLOOKUP(G126, LEVEL_HELPER!$A:$B, 2, 0), "")</f>
        <v>1.5</v>
      </c>
      <c r="K126" s="3">
        <f t="shared" ref="K126:L126" si="253">IF(OR(I126="", I126=0), "",
  IF(I126&lt;=2,   1,
  IF(I126&lt;=4,   2,
  IF(I126&lt;=5.5, 3, 4))))</f>
        <v>1</v>
      </c>
      <c r="L126" s="3">
        <f t="shared" si="253"/>
        <v>1</v>
      </c>
      <c r="M126" s="3" t="str">
        <f t="shared" si="1"/>
        <v>Progress within level</v>
      </c>
      <c r="N126" s="157" t="s">
        <v>942</v>
      </c>
      <c r="O126" s="157" t="s">
        <v>921</v>
      </c>
      <c r="P126" s="3" t="str">
        <f t="shared" ca="1" si="2"/>
        <v/>
      </c>
      <c r="Q126" s="147" t="str">
        <f t="shared" ca="1" si="3"/>
        <v/>
      </c>
      <c r="R126" s="147" t="str">
        <f t="shared" ref="R126:S126" ca="1" si="254">IF(OR(P126="", P126=0), "",
  IF(P126&lt;=2,   1,
  IF(P126&lt;=4,   2,
  IF(P126&lt;=5.5, 3, 4))))</f>
        <v/>
      </c>
      <c r="S126" s="147" t="str">
        <f t="shared" ca="1" si="254"/>
        <v/>
      </c>
      <c r="T126" s="147" t="str">
        <f t="shared" ca="1" si="5"/>
        <v>No Data</v>
      </c>
      <c r="U126" s="147">
        <f t="shared" si="6"/>
        <v>1</v>
      </c>
      <c r="V126" s="147"/>
    </row>
    <row r="127" spans="1:22">
      <c r="A127" s="176" t="s">
        <v>298</v>
      </c>
      <c r="B127" s="154" t="s">
        <v>299</v>
      </c>
      <c r="C127" s="155" t="s">
        <v>63</v>
      </c>
      <c r="D127" s="155" t="s">
        <v>857</v>
      </c>
      <c r="E127" s="154" t="s">
        <v>21</v>
      </c>
      <c r="F127" s="3" t="s">
        <v>926</v>
      </c>
      <c r="G127" s="3" t="s">
        <v>917</v>
      </c>
      <c r="H127" s="156" t="str">
        <f ca="1">IFERROR(
  _xludf.MINIFS(ATTENDANCE_LOG!$F:$F,
         ATTENDANCE_LOG!$A:$A, C127,
         ATTENDANCE_LOG!$B:$B, E127),
"")</f>
        <v/>
      </c>
      <c r="I127" s="3">
        <f>IFERROR(VLOOKUP(F127, LEVEL_HELPER!$A:$B, 2, 0), "")</f>
        <v>1</v>
      </c>
      <c r="J127" s="3">
        <f>IFERROR(VLOOKUP(G127, LEVEL_HELPER!$A:$B, 2, 0), "")</f>
        <v>3</v>
      </c>
      <c r="K127" s="3">
        <f t="shared" ref="K127:L127" si="255">IF(OR(I127="", I127=0), "",
  IF(I127&lt;=2,   1,
  IF(I127&lt;=4,   2,
  IF(I127&lt;=5.5, 3, 4))))</f>
        <v>1</v>
      </c>
      <c r="L127" s="3">
        <f t="shared" si="255"/>
        <v>2</v>
      </c>
      <c r="M127" s="3" t="str">
        <f t="shared" si="1"/>
        <v>Lv1 → Lv2</v>
      </c>
      <c r="N127" s="157" t="s">
        <v>942</v>
      </c>
      <c r="O127" s="157" t="s">
        <v>924</v>
      </c>
      <c r="P127" s="3" t="str">
        <f t="shared" ca="1" si="2"/>
        <v/>
      </c>
      <c r="Q127" s="147" t="str">
        <f t="shared" ca="1" si="3"/>
        <v/>
      </c>
      <c r="R127" s="147" t="str">
        <f t="shared" ref="R127:S127" ca="1" si="256">IF(OR(P127="", P127=0), "",
  IF(P127&lt;=2,   1,
  IF(P127&lt;=4,   2,
  IF(P127&lt;=5.5, 3, 4))))</f>
        <v/>
      </c>
      <c r="S127" s="147" t="str">
        <f t="shared" ca="1" si="256"/>
        <v/>
      </c>
      <c r="T127" s="147" t="str">
        <f t="shared" ca="1" si="5"/>
        <v>No Data</v>
      </c>
      <c r="U127" s="147">
        <f t="shared" si="6"/>
        <v>1</v>
      </c>
      <c r="V127" s="147"/>
    </row>
    <row r="128" spans="1:22">
      <c r="A128" s="157" t="s">
        <v>220</v>
      </c>
      <c r="B128" s="3" t="s">
        <v>221</v>
      </c>
      <c r="C128" s="160" t="s">
        <v>63</v>
      </c>
      <c r="D128" s="160" t="s">
        <v>857</v>
      </c>
      <c r="E128" s="3" t="s">
        <v>21</v>
      </c>
      <c r="F128" s="3" t="s">
        <v>926</v>
      </c>
      <c r="G128" s="3" t="s">
        <v>928</v>
      </c>
      <c r="H128" s="156" t="str">
        <f ca="1">IFERROR(
  _xludf.MINIFS(ATTENDANCE_LOG!$F:$F,
         ATTENDANCE_LOG!$A:$A, C128,
         ATTENDANCE_LOG!$B:$B, E128),
"")</f>
        <v/>
      </c>
      <c r="I128" s="3">
        <f>IFERROR(VLOOKUP(F128, LEVEL_HELPER!$A:$B, 2, 0), "")</f>
        <v>1</v>
      </c>
      <c r="J128" s="3">
        <f>IFERROR(VLOOKUP(G128, LEVEL_HELPER!$A:$B, 2, 0), "")</f>
        <v>1.5</v>
      </c>
      <c r="K128" s="3">
        <f t="shared" ref="K128:L128" si="257">IF(OR(I128="", I128=0), "",
  IF(I128&lt;=2,   1,
  IF(I128&lt;=4,   2,
  IF(I128&lt;=5.5, 3, 4))))</f>
        <v>1</v>
      </c>
      <c r="L128" s="3">
        <f t="shared" si="257"/>
        <v>1</v>
      </c>
      <c r="M128" s="3" t="str">
        <f t="shared" si="1"/>
        <v>Progress within level</v>
      </c>
      <c r="N128" s="157" t="s">
        <v>942</v>
      </c>
      <c r="O128" s="157" t="s">
        <v>924</v>
      </c>
      <c r="P128" s="3" t="str">
        <f t="shared" ca="1" si="2"/>
        <v/>
      </c>
      <c r="Q128" s="147" t="str">
        <f t="shared" ca="1" si="3"/>
        <v/>
      </c>
      <c r="R128" s="147" t="str">
        <f t="shared" ref="R128:S128" ca="1" si="258">IF(OR(P128="", P128=0), "",
  IF(P128&lt;=2,   1,
  IF(P128&lt;=4,   2,
  IF(P128&lt;=5.5, 3, 4))))</f>
        <v/>
      </c>
      <c r="S128" s="147" t="str">
        <f t="shared" ca="1" si="258"/>
        <v/>
      </c>
      <c r="T128" s="147" t="str">
        <f t="shared" ca="1" si="5"/>
        <v>No Data</v>
      </c>
      <c r="U128" s="147">
        <f t="shared" si="6"/>
        <v>1</v>
      </c>
      <c r="V128" s="147"/>
    </row>
    <row r="129" spans="1:22">
      <c r="A129" s="157" t="s">
        <v>234</v>
      </c>
      <c r="B129" s="3" t="s">
        <v>235</v>
      </c>
      <c r="C129" s="160" t="s">
        <v>63</v>
      </c>
      <c r="D129" s="160" t="s">
        <v>857</v>
      </c>
      <c r="E129" s="3" t="s">
        <v>21</v>
      </c>
      <c r="F129" s="3" t="s">
        <v>916</v>
      </c>
      <c r="G129" s="3" t="s">
        <v>917</v>
      </c>
      <c r="H129" s="156" t="str">
        <f ca="1">IFERROR(
  _xludf.MINIFS(ATTENDANCE_LOG!$F:$F,
         ATTENDANCE_LOG!$A:$A, C129,
         ATTENDANCE_LOG!$B:$B, E129),
"")</f>
        <v/>
      </c>
      <c r="I129" s="3">
        <f>IFERROR(VLOOKUP(F129, LEVEL_HELPER!$A:$B, 2, 0), "")</f>
        <v>2.5</v>
      </c>
      <c r="J129" s="3">
        <f>IFERROR(VLOOKUP(G129, LEVEL_HELPER!$A:$B, 2, 0), "")</f>
        <v>3</v>
      </c>
      <c r="K129" s="3">
        <f t="shared" ref="K129:L129" si="259">IF(OR(I129="", I129=0), "",
  IF(I129&lt;=2,   1,
  IF(I129&lt;=4,   2,
  IF(I129&lt;=5.5, 3, 4))))</f>
        <v>2</v>
      </c>
      <c r="L129" s="3">
        <f t="shared" si="259"/>
        <v>2</v>
      </c>
      <c r="M129" s="3" t="str">
        <f t="shared" si="1"/>
        <v>Progress within level</v>
      </c>
      <c r="N129" s="157" t="s">
        <v>942</v>
      </c>
      <c r="O129" s="157" t="s">
        <v>924</v>
      </c>
      <c r="P129" s="3" t="str">
        <f t="shared" ca="1" si="2"/>
        <v/>
      </c>
      <c r="Q129" s="147" t="str">
        <f t="shared" ca="1" si="3"/>
        <v/>
      </c>
      <c r="R129" s="147" t="str">
        <f t="shared" ref="R129:S129" ca="1" si="260">IF(OR(P129="", P129=0), "",
  IF(P129&lt;=2,   1,
  IF(P129&lt;=4,   2,
  IF(P129&lt;=5.5, 3, 4))))</f>
        <v/>
      </c>
      <c r="S129" s="147" t="str">
        <f t="shared" ca="1" si="260"/>
        <v/>
      </c>
      <c r="T129" s="147" t="str">
        <f t="shared" ca="1" si="5"/>
        <v>No Data</v>
      </c>
      <c r="U129" s="147">
        <f t="shared" si="6"/>
        <v>1</v>
      </c>
      <c r="V129" s="147"/>
    </row>
    <row r="130" spans="1:22">
      <c r="A130" s="157" t="s">
        <v>438</v>
      </c>
      <c r="B130" s="3" t="s">
        <v>439</v>
      </c>
      <c r="C130" s="160" t="s">
        <v>63</v>
      </c>
      <c r="D130" s="160" t="s">
        <v>857</v>
      </c>
      <c r="E130" s="3" t="s">
        <v>21</v>
      </c>
      <c r="F130" s="3" t="s">
        <v>926</v>
      </c>
      <c r="G130" s="3" t="s">
        <v>928</v>
      </c>
      <c r="H130" s="156" t="str">
        <f ca="1">IFERROR(
  _xludf.MINIFS(ATTENDANCE_LOG!$F:$F,
         ATTENDANCE_LOG!$A:$A, C130,
         ATTENDANCE_LOG!$B:$B, E130),
"")</f>
        <v/>
      </c>
      <c r="I130" s="3">
        <f>IFERROR(VLOOKUP(F130, LEVEL_HELPER!$A:$B, 2, 0), "")</f>
        <v>1</v>
      </c>
      <c r="J130" s="3">
        <f>IFERROR(VLOOKUP(G130, LEVEL_HELPER!$A:$B, 2, 0), "")</f>
        <v>1.5</v>
      </c>
      <c r="K130" s="3">
        <f t="shared" ref="K130:L130" si="261">IF(OR(I130="", I130=0), "",
  IF(I130&lt;=2,   1,
  IF(I130&lt;=4,   2,
  IF(I130&lt;=5.5, 3, 4))))</f>
        <v>1</v>
      </c>
      <c r="L130" s="3">
        <f t="shared" si="261"/>
        <v>1</v>
      </c>
      <c r="M130" s="3" t="str">
        <f t="shared" si="1"/>
        <v>Progress within level</v>
      </c>
      <c r="N130" s="157" t="s">
        <v>942</v>
      </c>
      <c r="O130" s="157" t="s">
        <v>924</v>
      </c>
      <c r="P130" s="3" t="str">
        <f t="shared" ca="1" si="2"/>
        <v/>
      </c>
      <c r="Q130" s="147" t="str">
        <f t="shared" ca="1" si="3"/>
        <v/>
      </c>
      <c r="R130" s="147" t="str">
        <f t="shared" ref="R130:S130" ca="1" si="262">IF(OR(P130="", P130=0), "",
  IF(P130&lt;=2,   1,
  IF(P130&lt;=4,   2,
  IF(P130&lt;=5.5, 3, 4))))</f>
        <v/>
      </c>
      <c r="S130" s="147" t="str">
        <f t="shared" ca="1" si="262"/>
        <v/>
      </c>
      <c r="T130" s="147" t="str">
        <f t="shared" ca="1" si="5"/>
        <v>No Data</v>
      </c>
      <c r="U130" s="147">
        <f t="shared" si="6"/>
        <v>1</v>
      </c>
      <c r="V130" s="147"/>
    </row>
    <row r="131" spans="1:22">
      <c r="A131" s="157" t="s">
        <v>599</v>
      </c>
      <c r="B131" s="3" t="s">
        <v>600</v>
      </c>
      <c r="C131" s="160" t="s">
        <v>63</v>
      </c>
      <c r="D131" s="160" t="s">
        <v>857</v>
      </c>
      <c r="E131" s="3" t="s">
        <v>21</v>
      </c>
      <c r="F131" s="3" t="s">
        <v>916</v>
      </c>
      <c r="G131" s="3" t="s">
        <v>934</v>
      </c>
      <c r="H131" s="156" t="str">
        <f ca="1">IFERROR(
  _xludf.MINIFS(ATTENDANCE_LOG!$F:$F,
         ATTENDANCE_LOG!$A:$A, C131,
         ATTENDANCE_LOG!$B:$B, E131),
"")</f>
        <v/>
      </c>
      <c r="I131" s="3">
        <f>IFERROR(VLOOKUP(F131, LEVEL_HELPER!$A:$B, 2, 0), "")</f>
        <v>2.5</v>
      </c>
      <c r="J131" s="3">
        <f>IFERROR(VLOOKUP(G131, LEVEL_HELPER!$A:$B, 2, 0), "")</f>
        <v>3.5</v>
      </c>
      <c r="K131" s="3">
        <f t="shared" ref="K131:L131" si="263">IF(OR(I131="", I131=0), "",
  IF(I131&lt;=2,   1,
  IF(I131&lt;=4,   2,
  IF(I131&lt;=5.5, 3, 4))))</f>
        <v>2</v>
      </c>
      <c r="L131" s="3">
        <f t="shared" si="263"/>
        <v>2</v>
      </c>
      <c r="M131" s="3" t="str">
        <f t="shared" si="1"/>
        <v>Progress within level</v>
      </c>
      <c r="N131" s="157" t="s">
        <v>942</v>
      </c>
      <c r="O131" s="157" t="s">
        <v>924</v>
      </c>
      <c r="P131" s="3" t="str">
        <f t="shared" ca="1" si="2"/>
        <v/>
      </c>
      <c r="Q131" s="147" t="str">
        <f t="shared" ca="1" si="3"/>
        <v/>
      </c>
      <c r="R131" s="147" t="str">
        <f t="shared" ref="R131:S131" ca="1" si="264">IF(OR(P131="", P131=0), "",
  IF(P131&lt;=2,   1,
  IF(P131&lt;=4,   2,
  IF(P131&lt;=5.5, 3, 4))))</f>
        <v/>
      </c>
      <c r="S131" s="147" t="str">
        <f t="shared" ca="1" si="264"/>
        <v/>
      </c>
      <c r="T131" s="147" t="str">
        <f t="shared" ca="1" si="5"/>
        <v>No Data</v>
      </c>
      <c r="U131" s="147">
        <f t="shared" si="6"/>
        <v>1</v>
      </c>
      <c r="V131" s="147"/>
    </row>
    <row r="132" spans="1:22">
      <c r="A132" s="157" t="s">
        <v>611</v>
      </c>
      <c r="B132" s="3" t="s">
        <v>612</v>
      </c>
      <c r="C132" s="160" t="s">
        <v>63</v>
      </c>
      <c r="D132" s="160" t="s">
        <v>857</v>
      </c>
      <c r="E132" s="3" t="s">
        <v>21</v>
      </c>
      <c r="F132" s="3" t="s">
        <v>926</v>
      </c>
      <c r="G132" s="3" t="s">
        <v>934</v>
      </c>
      <c r="H132" s="156" t="str">
        <f ca="1">IFERROR(
  _xludf.MINIFS(ATTENDANCE_LOG!$F:$F,
         ATTENDANCE_LOG!$A:$A, C132,
         ATTENDANCE_LOG!$B:$B, E132),
"")</f>
        <v/>
      </c>
      <c r="I132" s="3">
        <f>IFERROR(VLOOKUP(F132, LEVEL_HELPER!$A:$B, 2, 0), "")</f>
        <v>1</v>
      </c>
      <c r="J132" s="3">
        <f>IFERROR(VLOOKUP(G132, LEVEL_HELPER!$A:$B, 2, 0), "")</f>
        <v>3.5</v>
      </c>
      <c r="K132" s="3">
        <f t="shared" ref="K132:L132" si="265">IF(OR(I132="", I132=0), "",
  IF(I132&lt;=2,   1,
  IF(I132&lt;=4,   2,
  IF(I132&lt;=5.5, 3, 4))))</f>
        <v>1</v>
      </c>
      <c r="L132" s="3">
        <f t="shared" si="265"/>
        <v>2</v>
      </c>
      <c r="M132" s="3" t="str">
        <f t="shared" si="1"/>
        <v>Lv1 → Lv2</v>
      </c>
      <c r="N132" s="157" t="s">
        <v>918</v>
      </c>
      <c r="O132" s="157" t="s">
        <v>922</v>
      </c>
      <c r="P132" s="3" t="str">
        <f t="shared" ca="1" si="2"/>
        <v/>
      </c>
      <c r="Q132" s="147" t="str">
        <f t="shared" ca="1" si="3"/>
        <v/>
      </c>
      <c r="R132" s="147" t="str">
        <f t="shared" ref="R132:S132" ca="1" si="266">IF(OR(P132="", P132=0), "",
  IF(P132&lt;=2,   1,
  IF(P132&lt;=4,   2,
  IF(P132&lt;=5.5, 3, 4))))</f>
        <v/>
      </c>
      <c r="S132" s="147" t="str">
        <f t="shared" ca="1" si="266"/>
        <v/>
      </c>
      <c r="T132" s="147" t="str">
        <f t="shared" ca="1" si="5"/>
        <v>No Data</v>
      </c>
      <c r="U132" s="147">
        <f t="shared" si="6"/>
        <v>1</v>
      </c>
      <c r="V132" s="147"/>
    </row>
    <row r="133" spans="1:22">
      <c r="A133" s="176" t="s">
        <v>298</v>
      </c>
      <c r="B133" s="154" t="s">
        <v>299</v>
      </c>
      <c r="C133" s="155" t="s">
        <v>63</v>
      </c>
      <c r="D133" s="155" t="s">
        <v>857</v>
      </c>
      <c r="E133" s="154" t="s">
        <v>22</v>
      </c>
      <c r="F133" s="3" t="s">
        <v>917</v>
      </c>
      <c r="G133" s="3" t="s">
        <v>934</v>
      </c>
      <c r="H133" s="156" t="str">
        <f ca="1">IFERROR(
  _xludf.MINIFS(ATTENDANCE_LOG!$F:$F,
         ATTENDANCE_LOG!$A:$A, C133,
         ATTENDANCE_LOG!$B:$B, E133),
"")</f>
        <v/>
      </c>
      <c r="I133" s="3">
        <f>IFERROR(VLOOKUP(F133, LEVEL_HELPER!$A:$B, 2, 0), "")</f>
        <v>3</v>
      </c>
      <c r="J133" s="3">
        <f>IFERROR(VLOOKUP(G133, LEVEL_HELPER!$A:$B, 2, 0), "")</f>
        <v>3.5</v>
      </c>
      <c r="K133" s="3">
        <f t="shared" ref="K133:L133" si="267">IF(OR(I133="", I133=0), "",
  IF(I133&lt;=2,   1,
  IF(I133&lt;=4,   2,
  IF(I133&lt;=5.5, 3, 4))))</f>
        <v>2</v>
      </c>
      <c r="L133" s="3">
        <f t="shared" si="267"/>
        <v>2</v>
      </c>
      <c r="M133" s="3" t="str">
        <f t="shared" si="1"/>
        <v>Progress within level</v>
      </c>
      <c r="N133" s="157" t="s">
        <v>942</v>
      </c>
      <c r="O133" s="157" t="s">
        <v>924</v>
      </c>
      <c r="P133" s="3" t="str">
        <f t="shared" ca="1" si="2"/>
        <v/>
      </c>
      <c r="Q133" s="147" t="str">
        <f t="shared" ca="1" si="3"/>
        <v/>
      </c>
      <c r="R133" s="147" t="str">
        <f t="shared" ref="R133:S133" ca="1" si="268">IF(OR(P133="", P133=0), "",
  IF(P133&lt;=2,   1,
  IF(P133&lt;=4,   2,
  IF(P133&lt;=5.5, 3, 4))))</f>
        <v/>
      </c>
      <c r="S133" s="147" t="str">
        <f t="shared" ca="1" si="268"/>
        <v/>
      </c>
      <c r="T133" s="147" t="str">
        <f t="shared" ca="1" si="5"/>
        <v>No Data</v>
      </c>
      <c r="U133" s="147">
        <f t="shared" si="6"/>
        <v>0</v>
      </c>
      <c r="V133" s="147"/>
    </row>
    <row r="134" spans="1:22">
      <c r="A134" s="157" t="s">
        <v>220</v>
      </c>
      <c r="B134" s="3" t="s">
        <v>221</v>
      </c>
      <c r="C134" s="160" t="s">
        <v>63</v>
      </c>
      <c r="D134" s="160" t="s">
        <v>857</v>
      </c>
      <c r="E134" s="3" t="s">
        <v>22</v>
      </c>
      <c r="F134" s="3" t="s">
        <v>928</v>
      </c>
      <c r="G134" s="3" t="s">
        <v>917</v>
      </c>
      <c r="H134" s="156" t="str">
        <f ca="1">IFERROR(
  _xludf.MINIFS(ATTENDANCE_LOG!$F:$F,
         ATTENDANCE_LOG!$A:$A, C134,
         ATTENDANCE_LOG!$B:$B, E134),
"")</f>
        <v/>
      </c>
      <c r="I134" s="3">
        <f>IFERROR(VLOOKUP(F134, LEVEL_HELPER!$A:$B, 2, 0), "")</f>
        <v>1.5</v>
      </c>
      <c r="J134" s="3">
        <f>IFERROR(VLOOKUP(G134, LEVEL_HELPER!$A:$B, 2, 0), "")</f>
        <v>3</v>
      </c>
      <c r="K134" s="3">
        <f t="shared" ref="K134:L134" si="269">IF(OR(I134="", I134=0), "",
  IF(I134&lt;=2,   1,
  IF(I134&lt;=4,   2,
  IF(I134&lt;=5.5, 3, 4))))</f>
        <v>1</v>
      </c>
      <c r="L134" s="3">
        <f t="shared" si="269"/>
        <v>2</v>
      </c>
      <c r="M134" s="3" t="str">
        <f t="shared" si="1"/>
        <v>Lv1 → Lv2</v>
      </c>
      <c r="N134" s="157" t="s">
        <v>942</v>
      </c>
      <c r="O134" s="157" t="s">
        <v>924</v>
      </c>
      <c r="P134" s="3" t="str">
        <f t="shared" ca="1" si="2"/>
        <v/>
      </c>
      <c r="Q134" s="147" t="str">
        <f t="shared" ca="1" si="3"/>
        <v/>
      </c>
      <c r="R134" s="147" t="str">
        <f t="shared" ref="R134:S134" ca="1" si="270">IF(OR(P134="", P134=0), "",
  IF(P134&lt;=2,   1,
  IF(P134&lt;=4,   2,
  IF(P134&lt;=5.5, 3, 4))))</f>
        <v/>
      </c>
      <c r="S134" s="147" t="str">
        <f t="shared" ca="1" si="270"/>
        <v/>
      </c>
      <c r="T134" s="147" t="str">
        <f t="shared" ca="1" si="5"/>
        <v>No Data</v>
      </c>
      <c r="U134" s="147">
        <f t="shared" si="6"/>
        <v>0</v>
      </c>
      <c r="V134" s="147"/>
    </row>
    <row r="135" spans="1:22">
      <c r="A135" s="157" t="s">
        <v>234</v>
      </c>
      <c r="B135" s="3" t="s">
        <v>235</v>
      </c>
      <c r="C135" s="160" t="s">
        <v>63</v>
      </c>
      <c r="D135" s="160" t="s">
        <v>857</v>
      </c>
      <c r="E135" s="3" t="s">
        <v>22</v>
      </c>
      <c r="F135" s="3" t="s">
        <v>917</v>
      </c>
      <c r="G135" s="3" t="s">
        <v>934</v>
      </c>
      <c r="H135" s="156" t="str">
        <f ca="1">IFERROR(
  _xludf.MINIFS(ATTENDANCE_LOG!$F:$F,
         ATTENDANCE_LOG!$A:$A, C135,
         ATTENDANCE_LOG!$B:$B, E135),
"")</f>
        <v/>
      </c>
      <c r="I135" s="3">
        <f>IFERROR(VLOOKUP(F135, LEVEL_HELPER!$A:$B, 2, 0), "")</f>
        <v>3</v>
      </c>
      <c r="J135" s="3">
        <f>IFERROR(VLOOKUP(G135, LEVEL_HELPER!$A:$B, 2, 0), "")</f>
        <v>3.5</v>
      </c>
      <c r="K135" s="3">
        <f t="shared" ref="K135:L135" si="271">IF(OR(I135="", I135=0), "",
  IF(I135&lt;=2,   1,
  IF(I135&lt;=4,   2,
  IF(I135&lt;=5.5, 3, 4))))</f>
        <v>2</v>
      </c>
      <c r="L135" s="3">
        <f t="shared" si="271"/>
        <v>2</v>
      </c>
      <c r="M135" s="3" t="str">
        <f t="shared" si="1"/>
        <v>Progress within level</v>
      </c>
      <c r="N135" s="157" t="s">
        <v>942</v>
      </c>
      <c r="O135" s="157" t="s">
        <v>924</v>
      </c>
      <c r="P135" s="3" t="str">
        <f t="shared" ca="1" si="2"/>
        <v/>
      </c>
      <c r="Q135" s="147" t="str">
        <f t="shared" ca="1" si="3"/>
        <v/>
      </c>
      <c r="R135" s="147" t="str">
        <f t="shared" ref="R135:S135" ca="1" si="272">IF(OR(P135="", P135=0), "",
  IF(P135&lt;=2,   1,
  IF(P135&lt;=4,   2,
  IF(P135&lt;=5.5, 3, 4))))</f>
        <v/>
      </c>
      <c r="S135" s="147" t="str">
        <f t="shared" ca="1" si="272"/>
        <v/>
      </c>
      <c r="T135" s="147" t="str">
        <f t="shared" ca="1" si="5"/>
        <v>No Data</v>
      </c>
      <c r="U135" s="147">
        <f t="shared" si="6"/>
        <v>0</v>
      </c>
      <c r="V135" s="147"/>
    </row>
    <row r="136" spans="1:22">
      <c r="A136" s="157" t="s">
        <v>438</v>
      </c>
      <c r="B136" s="3" t="s">
        <v>439</v>
      </c>
      <c r="C136" s="160" t="s">
        <v>63</v>
      </c>
      <c r="D136" s="160" t="s">
        <v>857</v>
      </c>
      <c r="E136" s="3" t="s">
        <v>22</v>
      </c>
      <c r="F136" s="3" t="s">
        <v>928</v>
      </c>
      <c r="G136" s="3"/>
      <c r="H136" s="156" t="str">
        <f ca="1">IFERROR(
  _xludf.MINIFS(ATTENDANCE_LOG!$F:$F,
         ATTENDANCE_LOG!$A:$A, C136,
         ATTENDANCE_LOG!$B:$B, E136),
"")</f>
        <v/>
      </c>
      <c r="I136" s="3">
        <f>IFERROR(VLOOKUP(F136, LEVEL_HELPER!$A:$B, 2, 0), "")</f>
        <v>1.5</v>
      </c>
      <c r="J136" s="3" t="str">
        <f>IFERROR(VLOOKUP(G136, LEVEL_HELPER!$A:$B, 2, 0), "")</f>
        <v/>
      </c>
      <c r="K136" s="3">
        <f t="shared" ref="K136:L136" si="273">IF(OR(I136="", I136=0), "",
  IF(I136&lt;=2,   1,
  IF(I136&lt;=4,   2,
  IF(I136&lt;=5.5, 3, 4))))</f>
        <v>1</v>
      </c>
      <c r="L136" s="3" t="str">
        <f t="shared" si="273"/>
        <v/>
      </c>
      <c r="M136" s="3" t="str">
        <f t="shared" si="1"/>
        <v>No Data</v>
      </c>
      <c r="N136" s="157" t="s">
        <v>942</v>
      </c>
      <c r="O136" s="157" t="s">
        <v>924</v>
      </c>
      <c r="P136" s="3" t="str">
        <f t="shared" ca="1" si="2"/>
        <v/>
      </c>
      <c r="Q136" s="147" t="str">
        <f t="shared" ca="1" si="3"/>
        <v/>
      </c>
      <c r="R136" s="147" t="str">
        <f t="shared" ref="R136:S136" ca="1" si="274">IF(OR(P136="", P136=0), "",
  IF(P136&lt;=2,   1,
  IF(P136&lt;=4,   2,
  IF(P136&lt;=5.5, 3, 4))))</f>
        <v/>
      </c>
      <c r="S136" s="147" t="str">
        <f t="shared" ca="1" si="274"/>
        <v/>
      </c>
      <c r="T136" s="147" t="str">
        <f t="shared" ca="1" si="5"/>
        <v>No Data</v>
      </c>
      <c r="U136" s="147">
        <f t="shared" si="6"/>
        <v>0</v>
      </c>
      <c r="V136" s="147"/>
    </row>
    <row r="137" spans="1:22">
      <c r="A137" s="157" t="s">
        <v>599</v>
      </c>
      <c r="B137" s="3" t="s">
        <v>600</v>
      </c>
      <c r="C137" s="160" t="s">
        <v>63</v>
      </c>
      <c r="D137" s="160" t="s">
        <v>857</v>
      </c>
      <c r="E137" s="3" t="s">
        <v>22</v>
      </c>
      <c r="F137" s="3" t="s">
        <v>934</v>
      </c>
      <c r="G137" s="3" t="s">
        <v>934</v>
      </c>
      <c r="H137" s="156" t="str">
        <f ca="1">IFERROR(
  _xludf.MINIFS(ATTENDANCE_LOG!$F:$F,
         ATTENDANCE_LOG!$A:$A, C137,
         ATTENDANCE_LOG!$B:$B, E137),
"")</f>
        <v/>
      </c>
      <c r="I137" s="3">
        <f>IFERROR(VLOOKUP(F137, LEVEL_HELPER!$A:$B, 2, 0), "")</f>
        <v>3.5</v>
      </c>
      <c r="J137" s="3">
        <f>IFERROR(VLOOKUP(G137, LEVEL_HELPER!$A:$B, 2, 0), "")</f>
        <v>3.5</v>
      </c>
      <c r="K137" s="3">
        <f t="shared" ref="K137:L137" si="275">IF(OR(I137="", I137=0), "",
  IF(I137&lt;=2,   1,
  IF(I137&lt;=4,   2,
  IF(I137&lt;=5.5, 3, 4))))</f>
        <v>2</v>
      </c>
      <c r="L137" s="3">
        <f t="shared" si="275"/>
        <v>2</v>
      </c>
      <c r="M137" s="3" t="str">
        <f t="shared" si="1"/>
        <v>No Progress</v>
      </c>
      <c r="N137" s="157" t="s">
        <v>942</v>
      </c>
      <c r="O137" s="157" t="s">
        <v>924</v>
      </c>
      <c r="P137" s="3" t="str">
        <f t="shared" ca="1" si="2"/>
        <v/>
      </c>
      <c r="Q137" s="147" t="str">
        <f t="shared" ca="1" si="3"/>
        <v/>
      </c>
      <c r="R137" s="147" t="str">
        <f t="shared" ref="R137:S137" ca="1" si="276">IF(OR(P137="", P137=0), "",
  IF(P137&lt;=2,   1,
  IF(P137&lt;=4,   2,
  IF(P137&lt;=5.5, 3, 4))))</f>
        <v/>
      </c>
      <c r="S137" s="147" t="str">
        <f t="shared" ca="1" si="276"/>
        <v/>
      </c>
      <c r="T137" s="147" t="str">
        <f t="shared" ca="1" si="5"/>
        <v>No Data</v>
      </c>
      <c r="U137" s="147">
        <f t="shared" si="6"/>
        <v>0</v>
      </c>
      <c r="V137" s="147"/>
    </row>
    <row r="138" spans="1:22">
      <c r="A138" s="157" t="s">
        <v>611</v>
      </c>
      <c r="B138" s="3" t="s">
        <v>612</v>
      </c>
      <c r="C138" s="160" t="s">
        <v>63</v>
      </c>
      <c r="D138" s="160" t="s">
        <v>857</v>
      </c>
      <c r="E138" s="3" t="s">
        <v>22</v>
      </c>
      <c r="F138" s="3" t="s">
        <v>934</v>
      </c>
      <c r="G138" s="3" t="s">
        <v>940</v>
      </c>
      <c r="H138" s="156" t="str">
        <f ca="1">IFERROR(
  _xludf.MINIFS(ATTENDANCE_LOG!$F:$F,
         ATTENDANCE_LOG!$A:$A, C138,
         ATTENDANCE_LOG!$B:$B, E138),
"")</f>
        <v/>
      </c>
      <c r="I138" s="3">
        <f>IFERROR(VLOOKUP(F138, LEVEL_HELPER!$A:$B, 2, 0), "")</f>
        <v>3.5</v>
      </c>
      <c r="J138" s="3">
        <f>IFERROR(VLOOKUP(G138, LEVEL_HELPER!$A:$B, 2, 0), "")</f>
        <v>5</v>
      </c>
      <c r="K138" s="3">
        <f t="shared" ref="K138:L138" si="277">IF(OR(I138="", I138=0), "",
  IF(I138&lt;=2,   1,
  IF(I138&lt;=4,   2,
  IF(I138&lt;=5.5, 3, 4))))</f>
        <v>2</v>
      </c>
      <c r="L138" s="3">
        <f t="shared" si="277"/>
        <v>3</v>
      </c>
      <c r="M138" s="3" t="str">
        <f t="shared" si="1"/>
        <v>Lv2 → Lv3</v>
      </c>
      <c r="N138" s="157" t="s">
        <v>918</v>
      </c>
      <c r="O138" s="157" t="s">
        <v>922</v>
      </c>
      <c r="P138" s="3" t="str">
        <f t="shared" ca="1" si="2"/>
        <v/>
      </c>
      <c r="Q138" s="147" t="str">
        <f t="shared" ca="1" si="3"/>
        <v/>
      </c>
      <c r="R138" s="147" t="str">
        <f t="shared" ref="R138:S138" ca="1" si="278">IF(OR(P138="", P138=0), "",
  IF(P138&lt;=2,   1,
  IF(P138&lt;=4,   2,
  IF(P138&lt;=5.5, 3, 4))))</f>
        <v/>
      </c>
      <c r="S138" s="147" t="str">
        <f t="shared" ca="1" si="278"/>
        <v/>
      </c>
      <c r="T138" s="147" t="str">
        <f t="shared" ca="1" si="5"/>
        <v>No Data</v>
      </c>
      <c r="U138" s="147">
        <f t="shared" si="6"/>
        <v>0</v>
      </c>
      <c r="V138" s="147"/>
    </row>
    <row r="139" spans="1:22">
      <c r="A139" s="176" t="s">
        <v>298</v>
      </c>
      <c r="B139" s="154" t="s">
        <v>299</v>
      </c>
      <c r="C139" s="155" t="s">
        <v>63</v>
      </c>
      <c r="D139" s="155" t="s">
        <v>857</v>
      </c>
      <c r="E139" s="154" t="s">
        <v>23</v>
      </c>
      <c r="F139" s="3"/>
      <c r="G139" s="3"/>
      <c r="H139" s="156" t="str">
        <f ca="1">IFERROR(
  _xludf.MINIFS(ATTENDANCE_LOG!$F:$F,
         ATTENDANCE_LOG!$A:$A, C139,
         ATTENDANCE_LOG!$B:$B, E139),
"")</f>
        <v/>
      </c>
      <c r="I139" s="3" t="str">
        <f>IFERROR(VLOOKUP(F139, LEVEL_HELPER!$A:$B, 2, 0), "")</f>
        <v/>
      </c>
      <c r="J139" s="3" t="str">
        <f>IFERROR(VLOOKUP(G139, LEVEL_HELPER!$A:$B, 2, 0), "")</f>
        <v/>
      </c>
      <c r="K139" s="3" t="str">
        <f t="shared" ref="K139:L139" si="279">IF(OR(I139="", I139=0), "",
  IF(I139&lt;=2,   1,
  IF(I139&lt;=4,   2,
  IF(I139&lt;=5.5, 3, 4))))</f>
        <v/>
      </c>
      <c r="L139" s="3" t="str">
        <f t="shared" si="279"/>
        <v/>
      </c>
      <c r="M139" s="3" t="str">
        <f t="shared" si="1"/>
        <v>No Data</v>
      </c>
      <c r="N139" s="157" t="s">
        <v>942</v>
      </c>
      <c r="O139" s="157" t="s">
        <v>924</v>
      </c>
      <c r="P139" s="3" t="str">
        <f t="shared" ca="1" si="2"/>
        <v/>
      </c>
      <c r="Q139" s="147" t="str">
        <f t="shared" ca="1" si="3"/>
        <v/>
      </c>
      <c r="R139" s="147" t="str">
        <f t="shared" ref="R139:S139" ca="1" si="280">IF(OR(P139="", P139=0), "",
  IF(P139&lt;=2,   1,
  IF(P139&lt;=4,   2,
  IF(P139&lt;=5.5, 3, 4))))</f>
        <v/>
      </c>
      <c r="S139" s="147" t="str">
        <f t="shared" ca="1" si="280"/>
        <v/>
      </c>
      <c r="T139" s="147" t="str">
        <f t="shared" ca="1" si="5"/>
        <v>No Data</v>
      </c>
      <c r="U139" s="147">
        <f t="shared" si="6"/>
        <v>0</v>
      </c>
      <c r="V139" s="147"/>
    </row>
    <row r="140" spans="1:22">
      <c r="A140" s="157" t="s">
        <v>220</v>
      </c>
      <c r="B140" s="3" t="s">
        <v>221</v>
      </c>
      <c r="C140" s="160" t="s">
        <v>63</v>
      </c>
      <c r="D140" s="160" t="s">
        <v>857</v>
      </c>
      <c r="E140" s="3" t="s">
        <v>23</v>
      </c>
      <c r="F140" s="3"/>
      <c r="G140" s="3"/>
      <c r="H140" s="156" t="str">
        <f ca="1">IFERROR(
  _xludf.MINIFS(ATTENDANCE_LOG!$F:$F,
         ATTENDANCE_LOG!$A:$A, C140,
         ATTENDANCE_LOG!$B:$B, E140),
"")</f>
        <v/>
      </c>
      <c r="I140" s="3" t="str">
        <f>IFERROR(VLOOKUP(F140, LEVEL_HELPER!$A:$B, 2, 0), "")</f>
        <v/>
      </c>
      <c r="J140" s="3" t="str">
        <f>IFERROR(VLOOKUP(G140, LEVEL_HELPER!$A:$B, 2, 0), "")</f>
        <v/>
      </c>
      <c r="K140" s="3" t="str">
        <f t="shared" ref="K140:L140" si="281">IF(OR(I140="", I140=0), "",
  IF(I140&lt;=2,   1,
  IF(I140&lt;=4,   2,
  IF(I140&lt;=5.5, 3, 4))))</f>
        <v/>
      </c>
      <c r="L140" s="3" t="str">
        <f t="shared" si="281"/>
        <v/>
      </c>
      <c r="M140" s="3" t="str">
        <f t="shared" si="1"/>
        <v>No Data</v>
      </c>
      <c r="N140" s="157" t="s">
        <v>942</v>
      </c>
      <c r="O140" s="157" t="s">
        <v>924</v>
      </c>
      <c r="P140" s="3" t="str">
        <f t="shared" ca="1" si="2"/>
        <v/>
      </c>
      <c r="Q140" s="147" t="str">
        <f t="shared" ca="1" si="3"/>
        <v/>
      </c>
      <c r="R140" s="147" t="str">
        <f t="shared" ref="R140:S140" ca="1" si="282">IF(OR(P140="", P140=0), "",
  IF(P140&lt;=2,   1,
  IF(P140&lt;=4,   2,
  IF(P140&lt;=5.5, 3, 4))))</f>
        <v/>
      </c>
      <c r="S140" s="147" t="str">
        <f t="shared" ca="1" si="282"/>
        <v/>
      </c>
      <c r="T140" s="147" t="str">
        <f t="shared" ca="1" si="5"/>
        <v>No Data</v>
      </c>
      <c r="U140" s="147">
        <f t="shared" si="6"/>
        <v>0</v>
      </c>
      <c r="V140" s="147"/>
    </row>
    <row r="141" spans="1:22">
      <c r="A141" s="157" t="s">
        <v>234</v>
      </c>
      <c r="B141" s="3" t="s">
        <v>235</v>
      </c>
      <c r="C141" s="160" t="s">
        <v>63</v>
      </c>
      <c r="D141" s="160" t="s">
        <v>857</v>
      </c>
      <c r="E141" s="3" t="s">
        <v>23</v>
      </c>
      <c r="F141" s="3"/>
      <c r="G141" s="3"/>
      <c r="H141" s="156" t="str">
        <f ca="1">IFERROR(
  _xludf.MINIFS(ATTENDANCE_LOG!$F:$F,
         ATTENDANCE_LOG!$A:$A, C141,
         ATTENDANCE_LOG!$B:$B, E141),
"")</f>
        <v/>
      </c>
      <c r="I141" s="3" t="str">
        <f>IFERROR(VLOOKUP(F141, LEVEL_HELPER!$A:$B, 2, 0), "")</f>
        <v/>
      </c>
      <c r="J141" s="3" t="str">
        <f>IFERROR(VLOOKUP(G141, LEVEL_HELPER!$A:$B, 2, 0), "")</f>
        <v/>
      </c>
      <c r="K141" s="3" t="str">
        <f t="shared" ref="K141:L141" si="283">IF(OR(I141="", I141=0), "",
  IF(I141&lt;=2,   1,
  IF(I141&lt;=4,   2,
  IF(I141&lt;=5.5, 3, 4))))</f>
        <v/>
      </c>
      <c r="L141" s="3" t="str">
        <f t="shared" si="283"/>
        <v/>
      </c>
      <c r="M141" s="3" t="str">
        <f t="shared" si="1"/>
        <v>No Data</v>
      </c>
      <c r="N141" s="157" t="s">
        <v>942</v>
      </c>
      <c r="O141" s="157" t="s">
        <v>924</v>
      </c>
      <c r="P141" s="3" t="str">
        <f t="shared" ca="1" si="2"/>
        <v/>
      </c>
      <c r="Q141" s="147" t="str">
        <f t="shared" ca="1" si="3"/>
        <v/>
      </c>
      <c r="R141" s="147" t="str">
        <f t="shared" ref="R141:S141" ca="1" si="284">IF(OR(P141="", P141=0), "",
  IF(P141&lt;=2,   1,
  IF(P141&lt;=4,   2,
  IF(P141&lt;=5.5, 3, 4))))</f>
        <v/>
      </c>
      <c r="S141" s="147" t="str">
        <f t="shared" ca="1" si="284"/>
        <v/>
      </c>
      <c r="T141" s="147" t="str">
        <f t="shared" ca="1" si="5"/>
        <v>No Data</v>
      </c>
      <c r="U141" s="147">
        <f t="shared" si="6"/>
        <v>0</v>
      </c>
      <c r="V141" s="147"/>
    </row>
    <row r="142" spans="1:22">
      <c r="A142" s="157" t="s">
        <v>553</v>
      </c>
      <c r="B142" s="3" t="s">
        <v>554</v>
      </c>
      <c r="C142" s="160" t="s">
        <v>63</v>
      </c>
      <c r="D142" s="160" t="s">
        <v>857</v>
      </c>
      <c r="E142" s="3" t="s">
        <v>23</v>
      </c>
      <c r="F142" s="3"/>
      <c r="G142" s="3"/>
      <c r="H142" s="156" t="str">
        <f ca="1">IFERROR(
  _xludf.MINIFS(ATTENDANCE_LOG!$F:$F,
         ATTENDANCE_LOG!$A:$A, C142,
         ATTENDANCE_LOG!$B:$B, E142),
"")</f>
        <v/>
      </c>
      <c r="I142" s="3" t="str">
        <f>IFERROR(VLOOKUP(F142, LEVEL_HELPER!$A:$B, 2, 0), "")</f>
        <v/>
      </c>
      <c r="J142" s="3" t="str">
        <f>IFERROR(VLOOKUP(G142, LEVEL_HELPER!$A:$B, 2, 0), "")</f>
        <v/>
      </c>
      <c r="K142" s="3" t="str">
        <f t="shared" ref="K142:L142" si="285">IF(OR(I142="", I142=0), "",
  IF(I142&lt;=2,   1,
  IF(I142&lt;=4,   2,
  IF(I142&lt;=5.5, 3, 4))))</f>
        <v/>
      </c>
      <c r="L142" s="3" t="str">
        <f t="shared" si="285"/>
        <v/>
      </c>
      <c r="M142" s="3" t="str">
        <f t="shared" si="1"/>
        <v>No Data</v>
      </c>
      <c r="N142" s="157" t="s">
        <v>942</v>
      </c>
      <c r="O142" s="157" t="s">
        <v>924</v>
      </c>
      <c r="P142" s="3" t="str">
        <f t="shared" ca="1" si="2"/>
        <v/>
      </c>
      <c r="Q142" s="147" t="str">
        <f t="shared" ca="1" si="3"/>
        <v/>
      </c>
      <c r="R142" s="147" t="str">
        <f t="shared" ref="R142:S142" ca="1" si="286">IF(OR(P142="", P142=0), "",
  IF(P142&lt;=2,   1,
  IF(P142&lt;=4,   2,
  IF(P142&lt;=5.5, 3, 4))))</f>
        <v/>
      </c>
      <c r="S142" s="147" t="str">
        <f t="shared" ca="1" si="286"/>
        <v/>
      </c>
      <c r="T142" s="147" t="str">
        <f t="shared" ca="1" si="5"/>
        <v>No Data</v>
      </c>
      <c r="U142" s="147">
        <f t="shared" si="6"/>
        <v>0</v>
      </c>
      <c r="V142" s="147"/>
    </row>
    <row r="143" spans="1:22">
      <c r="A143" s="157" t="s">
        <v>599</v>
      </c>
      <c r="B143" s="3" t="s">
        <v>600</v>
      </c>
      <c r="C143" s="160" t="s">
        <v>63</v>
      </c>
      <c r="D143" s="160" t="s">
        <v>857</v>
      </c>
      <c r="E143" s="3" t="s">
        <v>23</v>
      </c>
      <c r="F143" s="3"/>
      <c r="G143" s="3"/>
      <c r="H143" s="156" t="str">
        <f ca="1">IFERROR(
  _xludf.MINIFS(ATTENDANCE_LOG!$F:$F,
         ATTENDANCE_LOG!$A:$A, C143,
         ATTENDANCE_LOG!$B:$B, E143),
"")</f>
        <v/>
      </c>
      <c r="I143" s="3" t="str">
        <f>IFERROR(VLOOKUP(F143, LEVEL_HELPER!$A:$B, 2, 0), "")</f>
        <v/>
      </c>
      <c r="J143" s="3" t="str">
        <f>IFERROR(VLOOKUP(G143, LEVEL_HELPER!$A:$B, 2, 0), "")</f>
        <v/>
      </c>
      <c r="K143" s="3" t="str">
        <f t="shared" ref="K143:L143" si="287">IF(OR(I143="", I143=0), "",
  IF(I143&lt;=2,   1,
  IF(I143&lt;=4,   2,
  IF(I143&lt;=5.5, 3, 4))))</f>
        <v/>
      </c>
      <c r="L143" s="3" t="str">
        <f t="shared" si="287"/>
        <v/>
      </c>
      <c r="M143" s="3" t="str">
        <f t="shared" si="1"/>
        <v>No Data</v>
      </c>
      <c r="N143" s="157" t="s">
        <v>942</v>
      </c>
      <c r="O143" s="157" t="s">
        <v>924</v>
      </c>
      <c r="P143" s="3" t="str">
        <f t="shared" ca="1" si="2"/>
        <v/>
      </c>
      <c r="Q143" s="147" t="str">
        <f t="shared" ca="1" si="3"/>
        <v/>
      </c>
      <c r="R143" s="147" t="str">
        <f t="shared" ref="R143:S143" ca="1" si="288">IF(OR(P143="", P143=0), "",
  IF(P143&lt;=2,   1,
  IF(P143&lt;=4,   2,
  IF(P143&lt;=5.5, 3, 4))))</f>
        <v/>
      </c>
      <c r="S143" s="147" t="str">
        <f t="shared" ca="1" si="288"/>
        <v/>
      </c>
      <c r="T143" s="147" t="str">
        <f t="shared" ca="1" si="5"/>
        <v>No Data</v>
      </c>
      <c r="U143" s="147">
        <f t="shared" si="6"/>
        <v>0</v>
      </c>
      <c r="V143" s="147"/>
    </row>
    <row r="144" spans="1:22">
      <c r="A144" s="157" t="s">
        <v>611</v>
      </c>
      <c r="B144" s="3" t="s">
        <v>612</v>
      </c>
      <c r="C144" s="160" t="s">
        <v>63</v>
      </c>
      <c r="D144" s="160" t="s">
        <v>857</v>
      </c>
      <c r="E144" s="3" t="s">
        <v>23</v>
      </c>
      <c r="F144" s="3"/>
      <c r="G144" s="3"/>
      <c r="H144" s="156" t="str">
        <f ca="1">IFERROR(
  _xludf.MINIFS(ATTENDANCE_LOG!$F:$F,
         ATTENDANCE_LOG!$A:$A, C144,
         ATTENDANCE_LOG!$B:$B, E144),
"")</f>
        <v/>
      </c>
      <c r="I144" s="3" t="str">
        <f>IFERROR(VLOOKUP(F144, LEVEL_HELPER!$A:$B, 2, 0), "")</f>
        <v/>
      </c>
      <c r="J144" s="3" t="str">
        <f>IFERROR(VLOOKUP(G144, LEVEL_HELPER!$A:$B, 2, 0), "")</f>
        <v/>
      </c>
      <c r="K144" s="3" t="str">
        <f t="shared" ref="K144:L144" si="289">IF(OR(I144="", I144=0), "",
  IF(I144&lt;=2,   1,
  IF(I144&lt;=4,   2,
  IF(I144&lt;=5.5, 3, 4))))</f>
        <v/>
      </c>
      <c r="L144" s="3" t="str">
        <f t="shared" si="289"/>
        <v/>
      </c>
      <c r="M144" s="3" t="str">
        <f t="shared" si="1"/>
        <v>No Data</v>
      </c>
      <c r="N144" s="157" t="s">
        <v>918</v>
      </c>
      <c r="O144" s="157" t="s">
        <v>922</v>
      </c>
      <c r="P144" s="3" t="str">
        <f t="shared" ca="1" si="2"/>
        <v/>
      </c>
      <c r="Q144" s="147" t="str">
        <f t="shared" ca="1" si="3"/>
        <v/>
      </c>
      <c r="R144" s="147" t="str">
        <f t="shared" ref="R144:S144" ca="1" si="290">IF(OR(P144="", P144=0), "",
  IF(P144&lt;=2,   1,
  IF(P144&lt;=4,   2,
  IF(P144&lt;=5.5, 3, 4))))</f>
        <v/>
      </c>
      <c r="S144" s="147" t="str">
        <f t="shared" ca="1" si="290"/>
        <v/>
      </c>
      <c r="T144" s="147" t="str">
        <f t="shared" ca="1" si="5"/>
        <v>No Data</v>
      </c>
      <c r="U144" s="147">
        <f t="shared" si="6"/>
        <v>0</v>
      </c>
      <c r="V144" s="147"/>
    </row>
    <row r="145" spans="1:22">
      <c r="A145" s="176">
        <v>213820</v>
      </c>
      <c r="B145" s="154" t="s">
        <v>723</v>
      </c>
      <c r="C145" s="155" t="s">
        <v>64</v>
      </c>
      <c r="D145" s="155" t="s">
        <v>829</v>
      </c>
      <c r="E145" s="154" t="s">
        <v>21</v>
      </c>
      <c r="F145" s="3" t="s">
        <v>926</v>
      </c>
      <c r="G145" s="3" t="s">
        <v>926</v>
      </c>
      <c r="H145" s="156" t="str">
        <f ca="1">IFERROR(
  _xludf.MINIFS(ATTENDANCE_LOG!$F:$F,
         ATTENDANCE_LOG!$A:$A, C145,
         ATTENDANCE_LOG!$B:$B, E145),
"")</f>
        <v/>
      </c>
      <c r="I145" s="3">
        <f>IFERROR(VLOOKUP(F145, LEVEL_HELPER!$A:$B, 2, 0), "")</f>
        <v>1</v>
      </c>
      <c r="J145" s="3">
        <f>IFERROR(VLOOKUP(G145, LEVEL_HELPER!$A:$B, 2, 0), "")</f>
        <v>1</v>
      </c>
      <c r="K145" s="3">
        <f t="shared" ref="K145:L145" si="291">IF(OR(I145="", I145=0), "",
  IF(I145&lt;=2,   1,
  IF(I145&lt;=4,   2,
  IF(I145&lt;=5.5, 3, 4))))</f>
        <v>1</v>
      </c>
      <c r="L145" s="3">
        <f t="shared" si="291"/>
        <v>1</v>
      </c>
      <c r="M145" s="3" t="str">
        <f t="shared" si="1"/>
        <v>No Progress</v>
      </c>
      <c r="N145" s="157" t="s">
        <v>918</v>
      </c>
      <c r="O145" s="157" t="s">
        <v>922</v>
      </c>
      <c r="P145" s="3" t="str">
        <f t="shared" ca="1" si="2"/>
        <v/>
      </c>
      <c r="Q145" s="147" t="str">
        <f t="shared" ca="1" si="3"/>
        <v/>
      </c>
      <c r="R145" s="147" t="str">
        <f t="shared" ref="R145:S145" ca="1" si="292">IF(OR(P145="", P145=0), "",
  IF(P145&lt;=2,   1,
  IF(P145&lt;=4,   2,
  IF(P145&lt;=5.5, 3, 4))))</f>
        <v/>
      </c>
      <c r="S145" s="147" t="str">
        <f t="shared" ca="1" si="292"/>
        <v/>
      </c>
      <c r="T145" s="147" t="str">
        <f t="shared" ca="1" si="5"/>
        <v>No Data</v>
      </c>
      <c r="U145" s="147">
        <f t="shared" si="6"/>
        <v>1</v>
      </c>
      <c r="V145" s="147"/>
    </row>
    <row r="146" spans="1:22">
      <c r="A146" s="157" t="s">
        <v>317</v>
      </c>
      <c r="B146" s="3" t="s">
        <v>318</v>
      </c>
      <c r="C146" s="160" t="s">
        <v>64</v>
      </c>
      <c r="D146" s="160" t="s">
        <v>829</v>
      </c>
      <c r="E146" s="3" t="s">
        <v>21</v>
      </c>
      <c r="F146" s="3" t="s">
        <v>926</v>
      </c>
      <c r="G146" s="3" t="s">
        <v>926</v>
      </c>
      <c r="H146" s="156" t="str">
        <f ca="1">IFERROR(
  _xludf.MINIFS(ATTENDANCE_LOG!$F:$F,
         ATTENDANCE_LOG!$A:$A, C146,
         ATTENDANCE_LOG!$B:$B, E146),
"")</f>
        <v/>
      </c>
      <c r="I146" s="3">
        <f>IFERROR(VLOOKUP(F146, LEVEL_HELPER!$A:$B, 2, 0), "")</f>
        <v>1</v>
      </c>
      <c r="J146" s="3">
        <f>IFERROR(VLOOKUP(G146, LEVEL_HELPER!$A:$B, 2, 0), "")</f>
        <v>1</v>
      </c>
      <c r="K146" s="3">
        <f t="shared" ref="K146:L146" si="293">IF(OR(I146="", I146=0), "",
  IF(I146&lt;=2,   1,
  IF(I146&lt;=4,   2,
  IF(I146&lt;=5.5, 3, 4))))</f>
        <v>1</v>
      </c>
      <c r="L146" s="3">
        <f t="shared" si="293"/>
        <v>1</v>
      </c>
      <c r="M146" s="3" t="str">
        <f t="shared" si="1"/>
        <v>No Progress</v>
      </c>
      <c r="N146" s="157" t="s">
        <v>918</v>
      </c>
      <c r="O146" s="157" t="s">
        <v>924</v>
      </c>
      <c r="P146" s="3" t="str">
        <f t="shared" ca="1" si="2"/>
        <v/>
      </c>
      <c r="Q146" s="147" t="str">
        <f t="shared" ca="1" si="3"/>
        <v/>
      </c>
      <c r="R146" s="147" t="str">
        <f t="shared" ref="R146:S146" ca="1" si="294">IF(OR(P146="", P146=0), "",
  IF(P146&lt;=2,   1,
  IF(P146&lt;=4,   2,
  IF(P146&lt;=5.5, 3, 4))))</f>
        <v/>
      </c>
      <c r="S146" s="147" t="str">
        <f t="shared" ca="1" si="294"/>
        <v/>
      </c>
      <c r="T146" s="147" t="str">
        <f t="shared" ca="1" si="5"/>
        <v>No Data</v>
      </c>
      <c r="U146" s="147">
        <f t="shared" si="6"/>
        <v>1</v>
      </c>
      <c r="V146" s="147"/>
    </row>
    <row r="147" spans="1:22">
      <c r="A147" s="157" t="s">
        <v>342</v>
      </c>
      <c r="B147" s="3" t="s">
        <v>343</v>
      </c>
      <c r="C147" s="160" t="s">
        <v>64</v>
      </c>
      <c r="D147" s="160" t="s">
        <v>829</v>
      </c>
      <c r="E147" s="3" t="s">
        <v>21</v>
      </c>
      <c r="F147" s="3" t="s">
        <v>926</v>
      </c>
      <c r="G147" s="3" t="s">
        <v>926</v>
      </c>
      <c r="H147" s="156" t="str">
        <f ca="1">IFERROR(
  _xludf.MINIFS(ATTENDANCE_LOG!$F:$F,
         ATTENDANCE_LOG!$A:$A, C147,
         ATTENDANCE_LOG!$B:$B, E147),
"")</f>
        <v/>
      </c>
      <c r="I147" s="3">
        <f>IFERROR(VLOOKUP(F147, LEVEL_HELPER!$A:$B, 2, 0), "")</f>
        <v>1</v>
      </c>
      <c r="J147" s="3">
        <f>IFERROR(VLOOKUP(G147, LEVEL_HELPER!$A:$B, 2, 0), "")</f>
        <v>1</v>
      </c>
      <c r="K147" s="3">
        <f t="shared" ref="K147:L147" si="295">IF(OR(I147="", I147=0), "",
  IF(I147&lt;=2,   1,
  IF(I147&lt;=4,   2,
  IF(I147&lt;=5.5, 3, 4))))</f>
        <v>1</v>
      </c>
      <c r="L147" s="3">
        <f t="shared" si="295"/>
        <v>1</v>
      </c>
      <c r="M147" s="3" t="str">
        <f t="shared" si="1"/>
        <v>No Progress</v>
      </c>
      <c r="N147" s="157" t="s">
        <v>918</v>
      </c>
      <c r="O147" s="157" t="s">
        <v>923</v>
      </c>
      <c r="P147" s="3" t="str">
        <f t="shared" ca="1" si="2"/>
        <v/>
      </c>
      <c r="Q147" s="147" t="str">
        <f t="shared" ca="1" si="3"/>
        <v/>
      </c>
      <c r="R147" s="147" t="str">
        <f t="shared" ref="R147:S147" ca="1" si="296">IF(OR(P147="", P147=0), "",
  IF(P147&lt;=2,   1,
  IF(P147&lt;=4,   2,
  IF(P147&lt;=5.5, 3, 4))))</f>
        <v/>
      </c>
      <c r="S147" s="147" t="str">
        <f t="shared" ca="1" si="296"/>
        <v/>
      </c>
      <c r="T147" s="147" t="str">
        <f t="shared" ca="1" si="5"/>
        <v>No Data</v>
      </c>
      <c r="U147" s="147">
        <f t="shared" si="6"/>
        <v>1</v>
      </c>
      <c r="V147" s="147"/>
    </row>
    <row r="148" spans="1:22">
      <c r="A148" s="157" t="s">
        <v>370</v>
      </c>
      <c r="B148" s="3" t="s">
        <v>371</v>
      </c>
      <c r="C148" s="160" t="s">
        <v>64</v>
      </c>
      <c r="D148" s="160" t="s">
        <v>829</v>
      </c>
      <c r="E148" s="3" t="s">
        <v>21</v>
      </c>
      <c r="F148" s="3" t="s">
        <v>926</v>
      </c>
      <c r="G148" s="3" t="s">
        <v>926</v>
      </c>
      <c r="H148" s="156" t="str">
        <f ca="1">IFERROR(
  _xludf.MINIFS(ATTENDANCE_LOG!$F:$F,
         ATTENDANCE_LOG!$A:$A, C148,
         ATTENDANCE_LOG!$B:$B, E148),
"")</f>
        <v/>
      </c>
      <c r="I148" s="3">
        <f>IFERROR(VLOOKUP(F148, LEVEL_HELPER!$A:$B, 2, 0), "")</f>
        <v>1</v>
      </c>
      <c r="J148" s="3">
        <f>IFERROR(VLOOKUP(G148, LEVEL_HELPER!$A:$B, 2, 0), "")</f>
        <v>1</v>
      </c>
      <c r="K148" s="3">
        <f t="shared" ref="K148:L148" si="297">IF(OR(I148="", I148=0), "",
  IF(I148&lt;=2,   1,
  IF(I148&lt;=4,   2,
  IF(I148&lt;=5.5, 3, 4))))</f>
        <v>1</v>
      </c>
      <c r="L148" s="3">
        <f t="shared" si="297"/>
        <v>1</v>
      </c>
      <c r="M148" s="3" t="str">
        <f t="shared" si="1"/>
        <v>No Progress</v>
      </c>
      <c r="N148" s="157" t="s">
        <v>918</v>
      </c>
      <c r="O148" s="157" t="s">
        <v>924</v>
      </c>
      <c r="P148" s="3" t="str">
        <f t="shared" ca="1" si="2"/>
        <v/>
      </c>
      <c r="Q148" s="147" t="str">
        <f t="shared" ca="1" si="3"/>
        <v/>
      </c>
      <c r="R148" s="147" t="str">
        <f t="shared" ref="R148:S148" ca="1" si="298">IF(OR(P148="", P148=0), "",
  IF(P148&lt;=2,   1,
  IF(P148&lt;=4,   2,
  IF(P148&lt;=5.5, 3, 4))))</f>
        <v/>
      </c>
      <c r="S148" s="147" t="str">
        <f t="shared" ca="1" si="298"/>
        <v/>
      </c>
      <c r="T148" s="147" t="str">
        <f t="shared" ca="1" si="5"/>
        <v>No Data</v>
      </c>
      <c r="U148" s="147">
        <f t="shared" si="6"/>
        <v>1</v>
      </c>
      <c r="V148" s="147"/>
    </row>
    <row r="149" spans="1:22">
      <c r="A149" s="157" t="s">
        <v>717</v>
      </c>
      <c r="B149" s="3" t="s">
        <v>718</v>
      </c>
      <c r="C149" s="160" t="s">
        <v>64</v>
      </c>
      <c r="D149" s="160" t="s">
        <v>829</v>
      </c>
      <c r="E149" s="3" t="s">
        <v>21</v>
      </c>
      <c r="F149" s="3" t="s">
        <v>931</v>
      </c>
      <c r="G149" s="3" t="s">
        <v>916</v>
      </c>
      <c r="H149" s="156" t="str">
        <f ca="1">IFERROR(
  _xludf.MINIFS(ATTENDANCE_LOG!$F:$F,
         ATTENDANCE_LOG!$A:$A, C149,
         ATTENDANCE_LOG!$B:$B, E149),
"")</f>
        <v/>
      </c>
      <c r="I149" s="3">
        <f>IFERROR(VLOOKUP(F149, LEVEL_HELPER!$A:$B, 2, 0), "")</f>
        <v>4.5</v>
      </c>
      <c r="J149" s="3">
        <f>IFERROR(VLOOKUP(G149, LEVEL_HELPER!$A:$B, 2, 0), "")</f>
        <v>2.5</v>
      </c>
      <c r="K149" s="3">
        <f t="shared" ref="K149:L149" si="299">IF(OR(I149="", I149=0), "",
  IF(I149&lt;=2,   1,
  IF(I149&lt;=4,   2,
  IF(I149&lt;=5.5, 3, 4))))</f>
        <v>3</v>
      </c>
      <c r="L149" s="3">
        <f t="shared" si="299"/>
        <v>2</v>
      </c>
      <c r="M149" s="3" t="str">
        <f t="shared" si="1"/>
        <v>Regressed</v>
      </c>
      <c r="N149" s="157" t="s">
        <v>918</v>
      </c>
      <c r="O149" s="157" t="s">
        <v>924</v>
      </c>
      <c r="P149" s="3" t="str">
        <f t="shared" ca="1" si="2"/>
        <v/>
      </c>
      <c r="Q149" s="147" t="str">
        <f t="shared" ca="1" si="3"/>
        <v/>
      </c>
      <c r="R149" s="147" t="str">
        <f t="shared" ref="R149:S149" ca="1" si="300">IF(OR(P149="", P149=0), "",
  IF(P149&lt;=2,   1,
  IF(P149&lt;=4,   2,
  IF(P149&lt;=5.5, 3, 4))))</f>
        <v/>
      </c>
      <c r="S149" s="147" t="str">
        <f t="shared" ca="1" si="300"/>
        <v/>
      </c>
      <c r="T149" s="147" t="str">
        <f t="shared" ca="1" si="5"/>
        <v>No Data</v>
      </c>
      <c r="U149" s="147">
        <f t="shared" si="6"/>
        <v>1</v>
      </c>
      <c r="V149" s="147"/>
    </row>
    <row r="150" spans="1:22">
      <c r="A150" s="176" t="s">
        <v>149</v>
      </c>
      <c r="B150" s="154" t="s">
        <v>150</v>
      </c>
      <c r="C150" s="155" t="s">
        <v>65</v>
      </c>
      <c r="D150" s="155" t="s">
        <v>858</v>
      </c>
      <c r="E150" s="154" t="s">
        <v>21</v>
      </c>
      <c r="F150" s="3" t="s">
        <v>926</v>
      </c>
      <c r="G150" s="3" t="s">
        <v>916</v>
      </c>
      <c r="H150" s="156" t="str">
        <f ca="1">IFERROR(
  _xludf.MINIFS(ATTENDANCE_LOG!$F:$F,
         ATTENDANCE_LOG!$A:$A, C150,
         ATTENDANCE_LOG!$B:$B, E150),
"")</f>
        <v/>
      </c>
      <c r="I150" s="3">
        <f>IFERROR(VLOOKUP(F150, LEVEL_HELPER!$A:$B, 2, 0), "")</f>
        <v>1</v>
      </c>
      <c r="J150" s="3">
        <f>IFERROR(VLOOKUP(G150, LEVEL_HELPER!$A:$B, 2, 0), "")</f>
        <v>2.5</v>
      </c>
      <c r="K150" s="3">
        <f t="shared" ref="K150:L150" si="301">IF(OR(I150="", I150=0), "",
  IF(I150&lt;=2,   1,
  IF(I150&lt;=4,   2,
  IF(I150&lt;=5.5, 3, 4))))</f>
        <v>1</v>
      </c>
      <c r="L150" s="3">
        <f t="shared" si="301"/>
        <v>2</v>
      </c>
      <c r="M150" s="3" t="str">
        <f t="shared" si="1"/>
        <v>Lv1 → Lv2</v>
      </c>
      <c r="N150" s="157" t="s">
        <v>918</v>
      </c>
      <c r="O150" s="157" t="s">
        <v>924</v>
      </c>
      <c r="P150" s="3" t="str">
        <f t="shared" ca="1" si="2"/>
        <v/>
      </c>
      <c r="Q150" s="147" t="str">
        <f t="shared" ca="1" si="3"/>
        <v/>
      </c>
      <c r="R150" s="147" t="str">
        <f t="shared" ref="R150:S150" ca="1" si="302">IF(OR(P150="", P150=0), "",
  IF(P150&lt;=2,   1,
  IF(P150&lt;=4,   2,
  IF(P150&lt;=5.5, 3, 4))))</f>
        <v/>
      </c>
      <c r="S150" s="147" t="str">
        <f t="shared" ca="1" si="302"/>
        <v/>
      </c>
      <c r="T150" s="147" t="str">
        <f t="shared" ca="1" si="5"/>
        <v>No Data</v>
      </c>
      <c r="U150" s="147">
        <f t="shared" si="6"/>
        <v>1</v>
      </c>
      <c r="V150" s="147"/>
    </row>
    <row r="151" spans="1:22">
      <c r="A151" s="157" t="s">
        <v>212</v>
      </c>
      <c r="B151" s="3" t="s">
        <v>213</v>
      </c>
      <c r="C151" s="160" t="s">
        <v>65</v>
      </c>
      <c r="D151" s="160" t="s">
        <v>858</v>
      </c>
      <c r="E151" s="3" t="s">
        <v>21</v>
      </c>
      <c r="F151" s="3" t="s">
        <v>926</v>
      </c>
      <c r="G151" s="3" t="s">
        <v>916</v>
      </c>
      <c r="H151" s="156" t="str">
        <f ca="1">IFERROR(
  _xludf.MINIFS(ATTENDANCE_LOG!$F:$F,
         ATTENDANCE_LOG!$A:$A, C151,
         ATTENDANCE_LOG!$B:$B, E151),
"")</f>
        <v/>
      </c>
      <c r="I151" s="3">
        <f>IFERROR(VLOOKUP(F151, LEVEL_HELPER!$A:$B, 2, 0), "")</f>
        <v>1</v>
      </c>
      <c r="J151" s="3">
        <f>IFERROR(VLOOKUP(G151, LEVEL_HELPER!$A:$B, 2, 0), "")</f>
        <v>2.5</v>
      </c>
      <c r="K151" s="3">
        <f t="shared" ref="K151:L151" si="303">IF(OR(I151="", I151=0), "",
  IF(I151&lt;=2,   1,
  IF(I151&lt;=4,   2,
  IF(I151&lt;=5.5, 3, 4))))</f>
        <v>1</v>
      </c>
      <c r="L151" s="3">
        <f t="shared" si="303"/>
        <v>2</v>
      </c>
      <c r="M151" s="3" t="str">
        <f t="shared" si="1"/>
        <v>Lv1 → Lv2</v>
      </c>
      <c r="N151" s="157" t="s">
        <v>918</v>
      </c>
      <c r="O151" s="157" t="s">
        <v>924</v>
      </c>
      <c r="P151" s="3" t="str">
        <f t="shared" ca="1" si="2"/>
        <v/>
      </c>
      <c r="Q151" s="147" t="str">
        <f t="shared" ca="1" si="3"/>
        <v/>
      </c>
      <c r="R151" s="147" t="str">
        <f t="shared" ref="R151:S151" ca="1" si="304">IF(OR(P151="", P151=0), "",
  IF(P151&lt;=2,   1,
  IF(P151&lt;=4,   2,
  IF(P151&lt;=5.5, 3, 4))))</f>
        <v/>
      </c>
      <c r="S151" s="147" t="str">
        <f t="shared" ca="1" si="304"/>
        <v/>
      </c>
      <c r="T151" s="147" t="str">
        <f t="shared" ca="1" si="5"/>
        <v>No Data</v>
      </c>
      <c r="U151" s="147">
        <f t="shared" si="6"/>
        <v>1</v>
      </c>
      <c r="V151" s="147"/>
    </row>
    <row r="152" spans="1:22">
      <c r="A152" s="157" t="s">
        <v>267</v>
      </c>
      <c r="B152" s="3" t="s">
        <v>268</v>
      </c>
      <c r="C152" s="160" t="s">
        <v>65</v>
      </c>
      <c r="D152" s="160" t="s">
        <v>858</v>
      </c>
      <c r="E152" s="3" t="s">
        <v>21</v>
      </c>
      <c r="F152" s="3" t="s">
        <v>926</v>
      </c>
      <c r="G152" s="3" t="s">
        <v>916</v>
      </c>
      <c r="H152" s="156" t="str">
        <f ca="1">IFERROR(
  _xludf.MINIFS(ATTENDANCE_LOG!$F:$F,
         ATTENDANCE_LOG!$A:$A, C152,
         ATTENDANCE_LOG!$B:$B, E152),
"")</f>
        <v/>
      </c>
      <c r="I152" s="3">
        <f>IFERROR(VLOOKUP(F152, LEVEL_HELPER!$A:$B, 2, 0), "")</f>
        <v>1</v>
      </c>
      <c r="J152" s="3">
        <f>IFERROR(VLOOKUP(G152, LEVEL_HELPER!$A:$B, 2, 0), "")</f>
        <v>2.5</v>
      </c>
      <c r="K152" s="3">
        <f t="shared" ref="K152:L152" si="305">IF(OR(I152="", I152=0), "",
  IF(I152&lt;=2,   1,
  IF(I152&lt;=4,   2,
  IF(I152&lt;=5.5, 3, 4))))</f>
        <v>1</v>
      </c>
      <c r="L152" s="3">
        <f t="shared" si="305"/>
        <v>2</v>
      </c>
      <c r="M152" s="3" t="str">
        <f t="shared" si="1"/>
        <v>Lv1 → Lv2</v>
      </c>
      <c r="N152" s="157" t="s">
        <v>918</v>
      </c>
      <c r="O152" s="157" t="s">
        <v>924</v>
      </c>
      <c r="P152" s="3" t="str">
        <f t="shared" ca="1" si="2"/>
        <v/>
      </c>
      <c r="Q152" s="147" t="str">
        <f t="shared" ca="1" si="3"/>
        <v/>
      </c>
      <c r="R152" s="147" t="str">
        <f t="shared" ref="R152:S152" ca="1" si="306">IF(OR(P152="", P152=0), "",
  IF(P152&lt;=2,   1,
  IF(P152&lt;=4,   2,
  IF(P152&lt;=5.5, 3, 4))))</f>
        <v/>
      </c>
      <c r="S152" s="147" t="str">
        <f t="shared" ca="1" si="306"/>
        <v/>
      </c>
      <c r="T152" s="147" t="str">
        <f t="shared" ca="1" si="5"/>
        <v>No Data</v>
      </c>
      <c r="U152" s="147">
        <f t="shared" si="6"/>
        <v>1</v>
      </c>
      <c r="V152" s="147"/>
    </row>
    <row r="153" spans="1:22">
      <c r="A153" s="157" t="s">
        <v>413</v>
      </c>
      <c r="B153" s="3" t="s">
        <v>414</v>
      </c>
      <c r="C153" s="160" t="s">
        <v>65</v>
      </c>
      <c r="D153" s="160" t="s">
        <v>858</v>
      </c>
      <c r="E153" s="3" t="s">
        <v>21</v>
      </c>
      <c r="F153" s="3" t="s">
        <v>926</v>
      </c>
      <c r="G153" s="3" t="s">
        <v>916</v>
      </c>
      <c r="H153" s="156" t="str">
        <f ca="1">IFERROR(
  _xludf.MINIFS(ATTENDANCE_LOG!$F:$F,
         ATTENDANCE_LOG!$A:$A, C153,
         ATTENDANCE_LOG!$B:$B, E153),
"")</f>
        <v/>
      </c>
      <c r="I153" s="3">
        <f>IFERROR(VLOOKUP(F153, LEVEL_HELPER!$A:$B, 2, 0), "")</f>
        <v>1</v>
      </c>
      <c r="J153" s="3">
        <f>IFERROR(VLOOKUP(G153, LEVEL_HELPER!$A:$B, 2, 0), "")</f>
        <v>2.5</v>
      </c>
      <c r="K153" s="3">
        <f t="shared" ref="K153:L153" si="307">IF(OR(I153="", I153=0), "",
  IF(I153&lt;=2,   1,
  IF(I153&lt;=4,   2,
  IF(I153&lt;=5.5, 3, 4))))</f>
        <v>1</v>
      </c>
      <c r="L153" s="3">
        <f t="shared" si="307"/>
        <v>2</v>
      </c>
      <c r="M153" s="3" t="str">
        <f t="shared" si="1"/>
        <v>Lv1 → Lv2</v>
      </c>
      <c r="N153" s="157" t="s">
        <v>918</v>
      </c>
      <c r="O153" s="157" t="s">
        <v>924</v>
      </c>
      <c r="P153" s="3" t="str">
        <f t="shared" ca="1" si="2"/>
        <v/>
      </c>
      <c r="Q153" s="147" t="str">
        <f t="shared" ca="1" si="3"/>
        <v/>
      </c>
      <c r="R153" s="147" t="str">
        <f t="shared" ref="R153:S153" ca="1" si="308">IF(OR(P153="", P153=0), "",
  IF(P153&lt;=2,   1,
  IF(P153&lt;=4,   2,
  IF(P153&lt;=5.5, 3, 4))))</f>
        <v/>
      </c>
      <c r="S153" s="147" t="str">
        <f t="shared" ca="1" si="308"/>
        <v/>
      </c>
      <c r="T153" s="147" t="str">
        <f t="shared" ca="1" si="5"/>
        <v>No Data</v>
      </c>
      <c r="U153" s="147">
        <f t="shared" si="6"/>
        <v>1</v>
      </c>
      <c r="V153" s="147"/>
    </row>
    <row r="154" spans="1:22">
      <c r="A154" s="157" t="s">
        <v>601</v>
      </c>
      <c r="B154" s="3" t="s">
        <v>602</v>
      </c>
      <c r="C154" s="160" t="s">
        <v>65</v>
      </c>
      <c r="D154" s="160" t="s">
        <v>858</v>
      </c>
      <c r="E154" s="3" t="s">
        <v>21</v>
      </c>
      <c r="F154" s="3" t="s">
        <v>931</v>
      </c>
      <c r="G154" s="3"/>
      <c r="H154" s="156" t="str">
        <f ca="1">IFERROR(
  _xludf.MINIFS(ATTENDANCE_LOG!$F:$F,
         ATTENDANCE_LOG!$A:$A, C154,
         ATTENDANCE_LOG!$B:$B, E154),
"")</f>
        <v/>
      </c>
      <c r="I154" s="3">
        <f>IFERROR(VLOOKUP(F154, LEVEL_HELPER!$A:$B, 2, 0), "")</f>
        <v>4.5</v>
      </c>
      <c r="J154" s="3" t="str">
        <f>IFERROR(VLOOKUP(G154, LEVEL_HELPER!$A:$B, 2, 0), "")</f>
        <v/>
      </c>
      <c r="K154" s="3">
        <f t="shared" ref="K154:L154" si="309">IF(OR(I154="", I154=0), "",
  IF(I154&lt;=2,   1,
  IF(I154&lt;=4,   2,
  IF(I154&lt;=5.5, 3, 4))))</f>
        <v>3</v>
      </c>
      <c r="L154" s="3" t="str">
        <f t="shared" si="309"/>
        <v/>
      </c>
      <c r="M154" s="3" t="str">
        <f t="shared" si="1"/>
        <v>No Data</v>
      </c>
      <c r="N154" s="157" t="s">
        <v>918</v>
      </c>
      <c r="O154" s="157" t="s">
        <v>922</v>
      </c>
      <c r="P154" s="3" t="str">
        <f t="shared" ca="1" si="2"/>
        <v/>
      </c>
      <c r="Q154" s="147" t="str">
        <f t="shared" ca="1" si="3"/>
        <v/>
      </c>
      <c r="R154" s="147" t="str">
        <f t="shared" ref="R154:S154" ca="1" si="310">IF(OR(P154="", P154=0), "",
  IF(P154&lt;=2,   1,
  IF(P154&lt;=4,   2,
  IF(P154&lt;=5.5, 3, 4))))</f>
        <v/>
      </c>
      <c r="S154" s="147" t="str">
        <f t="shared" ca="1" si="310"/>
        <v/>
      </c>
      <c r="T154" s="147" t="str">
        <f t="shared" ca="1" si="5"/>
        <v>No Data</v>
      </c>
      <c r="U154" s="147">
        <f t="shared" si="6"/>
        <v>1</v>
      </c>
      <c r="V154" s="147"/>
    </row>
    <row r="155" spans="1:22">
      <c r="A155" s="157" t="s">
        <v>699</v>
      </c>
      <c r="B155" s="3" t="s">
        <v>700</v>
      </c>
      <c r="C155" s="160" t="s">
        <v>65</v>
      </c>
      <c r="D155" s="160" t="s">
        <v>858</v>
      </c>
      <c r="E155" s="3" t="s">
        <v>21</v>
      </c>
      <c r="F155" s="3" t="s">
        <v>916</v>
      </c>
      <c r="G155" s="3" t="s">
        <v>931</v>
      </c>
      <c r="H155" s="156" t="str">
        <f ca="1">IFERROR(
  _xludf.MINIFS(ATTENDANCE_LOG!$F:$F,
         ATTENDANCE_LOG!$A:$A, C155,
         ATTENDANCE_LOG!$B:$B, E155),
"")</f>
        <v/>
      </c>
      <c r="I155" s="3">
        <f>IFERROR(VLOOKUP(F155, LEVEL_HELPER!$A:$B, 2, 0), "")</f>
        <v>2.5</v>
      </c>
      <c r="J155" s="3">
        <f>IFERROR(VLOOKUP(G155, LEVEL_HELPER!$A:$B, 2, 0), "")</f>
        <v>4.5</v>
      </c>
      <c r="K155" s="3">
        <f t="shared" ref="K155:L155" si="311">IF(OR(I155="", I155=0), "",
  IF(I155&lt;=2,   1,
  IF(I155&lt;=4,   2,
  IF(I155&lt;=5.5, 3, 4))))</f>
        <v>2</v>
      </c>
      <c r="L155" s="3">
        <f t="shared" si="311"/>
        <v>3</v>
      </c>
      <c r="M155" s="3" t="str">
        <f t="shared" si="1"/>
        <v>Lv2 → Lv3</v>
      </c>
      <c r="N155" s="157" t="s">
        <v>918</v>
      </c>
      <c r="O155" s="157" t="s">
        <v>922</v>
      </c>
      <c r="P155" s="3" t="str">
        <f t="shared" ca="1" si="2"/>
        <v/>
      </c>
      <c r="Q155" s="147" t="str">
        <f t="shared" ca="1" si="3"/>
        <v/>
      </c>
      <c r="R155" s="147" t="str">
        <f t="shared" ref="R155:S155" ca="1" si="312">IF(OR(P155="", P155=0), "",
  IF(P155&lt;=2,   1,
  IF(P155&lt;=4,   2,
  IF(P155&lt;=5.5, 3, 4))))</f>
        <v/>
      </c>
      <c r="S155" s="147" t="str">
        <f t="shared" ca="1" si="312"/>
        <v/>
      </c>
      <c r="T155" s="147" t="str">
        <f t="shared" ca="1" si="5"/>
        <v>No Data</v>
      </c>
      <c r="U155" s="147">
        <f t="shared" si="6"/>
        <v>1</v>
      </c>
      <c r="V155" s="147"/>
    </row>
    <row r="156" spans="1:22">
      <c r="A156" s="176" t="s">
        <v>413</v>
      </c>
      <c r="B156" s="154" t="s">
        <v>414</v>
      </c>
      <c r="C156" s="155" t="s">
        <v>65</v>
      </c>
      <c r="D156" s="155" t="s">
        <v>858</v>
      </c>
      <c r="E156" s="154" t="s">
        <v>22</v>
      </c>
      <c r="F156" s="3" t="s">
        <v>916</v>
      </c>
      <c r="G156" s="3" t="s">
        <v>916</v>
      </c>
      <c r="H156" s="156" t="str">
        <f ca="1">IFERROR(
  _xludf.MINIFS(ATTENDANCE_LOG!$F:$F,
         ATTENDANCE_LOG!$A:$A, C156,
         ATTENDANCE_LOG!$B:$B, E156),
"")</f>
        <v/>
      </c>
      <c r="I156" s="3">
        <f>IFERROR(VLOOKUP(F156, LEVEL_HELPER!$A:$B, 2, 0), "")</f>
        <v>2.5</v>
      </c>
      <c r="J156" s="3">
        <f>IFERROR(VLOOKUP(G156, LEVEL_HELPER!$A:$B, 2, 0), "")</f>
        <v>2.5</v>
      </c>
      <c r="K156" s="3">
        <f t="shared" ref="K156:L156" si="313">IF(OR(I156="", I156=0), "",
  IF(I156&lt;=2,   1,
  IF(I156&lt;=4,   2,
  IF(I156&lt;=5.5, 3, 4))))</f>
        <v>2</v>
      </c>
      <c r="L156" s="3">
        <f t="shared" si="313"/>
        <v>2</v>
      </c>
      <c r="M156" s="3" t="str">
        <f t="shared" si="1"/>
        <v>No Progress</v>
      </c>
      <c r="N156" s="157" t="s">
        <v>918</v>
      </c>
      <c r="O156" s="157" t="s">
        <v>924</v>
      </c>
      <c r="P156" s="3" t="str">
        <f t="shared" ca="1" si="2"/>
        <v/>
      </c>
      <c r="Q156" s="147" t="str">
        <f t="shared" ca="1" si="3"/>
        <v/>
      </c>
      <c r="R156" s="147" t="str">
        <f t="shared" ref="R156:S156" ca="1" si="314">IF(OR(P156="", P156=0), "",
  IF(P156&lt;=2,   1,
  IF(P156&lt;=4,   2,
  IF(P156&lt;=5.5, 3, 4))))</f>
        <v/>
      </c>
      <c r="S156" s="147" t="str">
        <f t="shared" ca="1" si="314"/>
        <v/>
      </c>
      <c r="T156" s="147" t="str">
        <f t="shared" ca="1" si="5"/>
        <v>No Data</v>
      </c>
      <c r="U156" s="147">
        <f t="shared" si="6"/>
        <v>0</v>
      </c>
      <c r="V156" s="147"/>
    </row>
    <row r="157" spans="1:22">
      <c r="A157" s="157" t="s">
        <v>212</v>
      </c>
      <c r="B157" s="3" t="s">
        <v>213</v>
      </c>
      <c r="C157" s="160" t="s">
        <v>65</v>
      </c>
      <c r="D157" s="160" t="s">
        <v>858</v>
      </c>
      <c r="E157" s="3" t="s">
        <v>22</v>
      </c>
      <c r="F157" s="3" t="s">
        <v>916</v>
      </c>
      <c r="G157" s="3" t="s">
        <v>916</v>
      </c>
      <c r="H157" s="156" t="str">
        <f ca="1">IFERROR(
  _xludf.MINIFS(ATTENDANCE_LOG!$F:$F,
         ATTENDANCE_LOG!$A:$A, C157,
         ATTENDANCE_LOG!$B:$B, E157),
"")</f>
        <v/>
      </c>
      <c r="I157" s="3">
        <f>IFERROR(VLOOKUP(F157, LEVEL_HELPER!$A:$B, 2, 0), "")</f>
        <v>2.5</v>
      </c>
      <c r="J157" s="3">
        <f>IFERROR(VLOOKUP(G157, LEVEL_HELPER!$A:$B, 2, 0), "")</f>
        <v>2.5</v>
      </c>
      <c r="K157" s="3">
        <f t="shared" ref="K157:L157" si="315">IF(OR(I157="", I157=0), "",
  IF(I157&lt;=2,   1,
  IF(I157&lt;=4,   2,
  IF(I157&lt;=5.5, 3, 4))))</f>
        <v>2</v>
      </c>
      <c r="L157" s="3">
        <f t="shared" si="315"/>
        <v>2</v>
      </c>
      <c r="M157" s="3" t="str">
        <f t="shared" si="1"/>
        <v>No Progress</v>
      </c>
      <c r="N157" s="157" t="s">
        <v>918</v>
      </c>
      <c r="O157" s="157" t="s">
        <v>924</v>
      </c>
      <c r="P157" s="3" t="str">
        <f t="shared" ca="1" si="2"/>
        <v/>
      </c>
      <c r="Q157" s="147" t="str">
        <f t="shared" ca="1" si="3"/>
        <v/>
      </c>
      <c r="R157" s="147" t="str">
        <f t="shared" ref="R157:S157" ca="1" si="316">IF(OR(P157="", P157=0), "",
  IF(P157&lt;=2,   1,
  IF(P157&lt;=4,   2,
  IF(P157&lt;=5.5, 3, 4))))</f>
        <v/>
      </c>
      <c r="S157" s="147" t="str">
        <f t="shared" ca="1" si="316"/>
        <v/>
      </c>
      <c r="T157" s="147" t="str">
        <f t="shared" ca="1" si="5"/>
        <v>No Data</v>
      </c>
      <c r="U157" s="147">
        <f t="shared" si="6"/>
        <v>0</v>
      </c>
      <c r="V157" s="147"/>
    </row>
    <row r="158" spans="1:22">
      <c r="A158" s="157" t="s">
        <v>267</v>
      </c>
      <c r="B158" s="3" t="s">
        <v>268</v>
      </c>
      <c r="C158" s="160" t="s">
        <v>65</v>
      </c>
      <c r="D158" s="160" t="s">
        <v>858</v>
      </c>
      <c r="E158" s="3" t="s">
        <v>22</v>
      </c>
      <c r="F158" s="3" t="s">
        <v>916</v>
      </c>
      <c r="G158" s="3" t="s">
        <v>916</v>
      </c>
      <c r="H158" s="156" t="str">
        <f ca="1">IFERROR(
  _xludf.MINIFS(ATTENDANCE_LOG!$F:$F,
         ATTENDANCE_LOG!$A:$A, C158,
         ATTENDANCE_LOG!$B:$B, E158),
"")</f>
        <v/>
      </c>
      <c r="I158" s="3">
        <f>IFERROR(VLOOKUP(F158, LEVEL_HELPER!$A:$B, 2, 0), "")</f>
        <v>2.5</v>
      </c>
      <c r="J158" s="3">
        <f>IFERROR(VLOOKUP(G158, LEVEL_HELPER!$A:$B, 2, 0), "")</f>
        <v>2.5</v>
      </c>
      <c r="K158" s="3">
        <f t="shared" ref="K158:L158" si="317">IF(OR(I158="", I158=0), "",
  IF(I158&lt;=2,   1,
  IF(I158&lt;=4,   2,
  IF(I158&lt;=5.5, 3, 4))))</f>
        <v>2</v>
      </c>
      <c r="L158" s="3">
        <f t="shared" si="317"/>
        <v>2</v>
      </c>
      <c r="M158" s="3" t="str">
        <f t="shared" si="1"/>
        <v>No Progress</v>
      </c>
      <c r="N158" s="157" t="s">
        <v>918</v>
      </c>
      <c r="O158" s="157" t="s">
        <v>924</v>
      </c>
      <c r="P158" s="3" t="str">
        <f t="shared" ca="1" si="2"/>
        <v/>
      </c>
      <c r="Q158" s="147" t="str">
        <f t="shared" ca="1" si="3"/>
        <v/>
      </c>
      <c r="R158" s="147" t="str">
        <f t="shared" ref="R158:S158" ca="1" si="318">IF(OR(P158="", P158=0), "",
  IF(P158&lt;=2,   1,
  IF(P158&lt;=4,   2,
  IF(P158&lt;=5.5, 3, 4))))</f>
        <v/>
      </c>
      <c r="S158" s="147" t="str">
        <f t="shared" ca="1" si="318"/>
        <v/>
      </c>
      <c r="T158" s="147" t="str">
        <f t="shared" ca="1" si="5"/>
        <v>No Data</v>
      </c>
      <c r="U158" s="147">
        <f t="shared" si="6"/>
        <v>0</v>
      </c>
      <c r="V158" s="147"/>
    </row>
    <row r="159" spans="1:22">
      <c r="A159" s="157" t="s">
        <v>699</v>
      </c>
      <c r="B159" s="3" t="s">
        <v>700</v>
      </c>
      <c r="C159" s="160" t="s">
        <v>65</v>
      </c>
      <c r="D159" s="160" t="s">
        <v>858</v>
      </c>
      <c r="E159" s="3" t="s">
        <v>22</v>
      </c>
      <c r="F159" s="3" t="s">
        <v>931</v>
      </c>
      <c r="G159" s="3" t="s">
        <v>931</v>
      </c>
      <c r="H159" s="156" t="str">
        <f ca="1">IFERROR(
  _xludf.MINIFS(ATTENDANCE_LOG!$F:$F,
         ATTENDANCE_LOG!$A:$A, C159,
         ATTENDANCE_LOG!$B:$B, E159),
"")</f>
        <v/>
      </c>
      <c r="I159" s="3">
        <f>IFERROR(VLOOKUP(F159, LEVEL_HELPER!$A:$B, 2, 0), "")</f>
        <v>4.5</v>
      </c>
      <c r="J159" s="3">
        <f>IFERROR(VLOOKUP(G159, LEVEL_HELPER!$A:$B, 2, 0), "")</f>
        <v>4.5</v>
      </c>
      <c r="K159" s="3">
        <f t="shared" ref="K159:L159" si="319">IF(OR(I159="", I159=0), "",
  IF(I159&lt;=2,   1,
  IF(I159&lt;=4,   2,
  IF(I159&lt;=5.5, 3, 4))))</f>
        <v>3</v>
      </c>
      <c r="L159" s="3">
        <f t="shared" si="319"/>
        <v>3</v>
      </c>
      <c r="M159" s="3" t="str">
        <f t="shared" si="1"/>
        <v>No Progress</v>
      </c>
      <c r="N159" s="157" t="s">
        <v>918</v>
      </c>
      <c r="O159" s="157" t="s">
        <v>922</v>
      </c>
      <c r="P159" s="3" t="str">
        <f t="shared" ca="1" si="2"/>
        <v/>
      </c>
      <c r="Q159" s="147" t="str">
        <f t="shared" ca="1" si="3"/>
        <v/>
      </c>
      <c r="R159" s="147" t="str">
        <f t="shared" ref="R159:S159" ca="1" si="320">IF(OR(P159="", P159=0), "",
  IF(P159&lt;=2,   1,
  IF(P159&lt;=4,   2,
  IF(P159&lt;=5.5, 3, 4))))</f>
        <v/>
      </c>
      <c r="S159" s="147" t="str">
        <f t="shared" ca="1" si="320"/>
        <v/>
      </c>
      <c r="T159" s="147" t="str">
        <f t="shared" ca="1" si="5"/>
        <v>No Data</v>
      </c>
      <c r="U159" s="147">
        <f t="shared" si="6"/>
        <v>0</v>
      </c>
      <c r="V159" s="147"/>
    </row>
    <row r="160" spans="1:22">
      <c r="A160" s="176" t="s">
        <v>346</v>
      </c>
      <c r="B160" s="154" t="s">
        <v>347</v>
      </c>
      <c r="C160" s="155" t="s">
        <v>66</v>
      </c>
      <c r="D160" s="155" t="s">
        <v>859</v>
      </c>
      <c r="E160" s="154" t="s">
        <v>21</v>
      </c>
      <c r="F160" s="3"/>
      <c r="G160" s="3"/>
      <c r="H160" s="156" t="str">
        <f ca="1">IFERROR(
  _xludf.MINIFS(ATTENDANCE_LOG!$F:$F,
         ATTENDANCE_LOG!$A:$A, C160,
         ATTENDANCE_LOG!$B:$B, E160),
"")</f>
        <v/>
      </c>
      <c r="I160" s="3" t="str">
        <f>IFERROR(VLOOKUP(F160, LEVEL_HELPER!$A:$B, 2, 0), "")</f>
        <v/>
      </c>
      <c r="J160" s="3" t="str">
        <f>IFERROR(VLOOKUP(G160, LEVEL_HELPER!$A:$B, 2, 0), "")</f>
        <v/>
      </c>
      <c r="K160" s="3" t="str">
        <f t="shared" ref="K160:L160" si="321">IF(OR(I160="", I160=0), "",
  IF(I160&lt;=2,   1,
  IF(I160&lt;=4,   2,
  IF(I160&lt;=5.5, 3, 4))))</f>
        <v/>
      </c>
      <c r="L160" s="3" t="str">
        <f t="shared" si="321"/>
        <v/>
      </c>
      <c r="M160" s="3" t="str">
        <f t="shared" si="1"/>
        <v>No Data</v>
      </c>
      <c r="N160" s="157" t="s">
        <v>946</v>
      </c>
      <c r="O160" s="157" t="s">
        <v>925</v>
      </c>
      <c r="P160" s="3" t="str">
        <f t="shared" ca="1" si="2"/>
        <v/>
      </c>
      <c r="Q160" s="147" t="str">
        <f t="shared" ca="1" si="3"/>
        <v/>
      </c>
      <c r="R160" s="147" t="str">
        <f t="shared" ref="R160:S160" ca="1" si="322">IF(OR(P160="", P160=0), "",
  IF(P160&lt;=2,   1,
  IF(P160&lt;=4,   2,
  IF(P160&lt;=5.5, 3, 4))))</f>
        <v/>
      </c>
      <c r="S160" s="147" t="str">
        <f t="shared" ca="1" si="322"/>
        <v/>
      </c>
      <c r="T160" s="147" t="str">
        <f t="shared" ca="1" si="5"/>
        <v>No Data</v>
      </c>
      <c r="U160" s="147">
        <f t="shared" si="6"/>
        <v>1</v>
      </c>
      <c r="V160" s="147"/>
    </row>
    <row r="161" spans="1:22">
      <c r="A161" s="157" t="s">
        <v>514</v>
      </c>
      <c r="B161" s="3" t="s">
        <v>515</v>
      </c>
      <c r="C161" s="160" t="s">
        <v>66</v>
      </c>
      <c r="D161" s="160" t="s">
        <v>859</v>
      </c>
      <c r="E161" s="3" t="s">
        <v>21</v>
      </c>
      <c r="F161" s="3"/>
      <c r="G161" s="3"/>
      <c r="H161" s="156" t="str">
        <f ca="1">IFERROR(
  _xludf.MINIFS(ATTENDANCE_LOG!$F:$F,
         ATTENDANCE_LOG!$A:$A, C161,
         ATTENDANCE_LOG!$B:$B, E161),
"")</f>
        <v/>
      </c>
      <c r="I161" s="3" t="str">
        <f>IFERROR(VLOOKUP(F161, LEVEL_HELPER!$A:$B, 2, 0), "")</f>
        <v/>
      </c>
      <c r="J161" s="3" t="str">
        <f>IFERROR(VLOOKUP(G161, LEVEL_HELPER!$A:$B, 2, 0), "")</f>
        <v/>
      </c>
      <c r="K161" s="3" t="str">
        <f t="shared" ref="K161:L161" si="323">IF(OR(I161="", I161=0), "",
  IF(I161&lt;=2,   1,
  IF(I161&lt;=4,   2,
  IF(I161&lt;=5.5, 3, 4))))</f>
        <v/>
      </c>
      <c r="L161" s="3" t="str">
        <f t="shared" si="323"/>
        <v/>
      </c>
      <c r="M161" s="3" t="str">
        <f t="shared" si="1"/>
        <v>No Data</v>
      </c>
      <c r="N161" s="157" t="s">
        <v>942</v>
      </c>
      <c r="O161" s="157" t="s">
        <v>925</v>
      </c>
      <c r="P161" s="3" t="str">
        <f t="shared" ca="1" si="2"/>
        <v/>
      </c>
      <c r="Q161" s="147" t="str">
        <f t="shared" ca="1" si="3"/>
        <v/>
      </c>
      <c r="R161" s="147" t="str">
        <f t="shared" ref="R161:S161" ca="1" si="324">IF(OR(P161="", P161=0), "",
  IF(P161&lt;=2,   1,
  IF(P161&lt;=4,   2,
  IF(P161&lt;=5.5, 3, 4))))</f>
        <v/>
      </c>
      <c r="S161" s="147" t="str">
        <f t="shared" ca="1" si="324"/>
        <v/>
      </c>
      <c r="T161" s="147" t="str">
        <f t="shared" ca="1" si="5"/>
        <v>No Data</v>
      </c>
      <c r="U161" s="147">
        <f t="shared" si="6"/>
        <v>1</v>
      </c>
      <c r="V161" s="147"/>
    </row>
    <row r="162" spans="1:22">
      <c r="A162" s="157" t="s">
        <v>518</v>
      </c>
      <c r="B162" s="3" t="s">
        <v>519</v>
      </c>
      <c r="C162" s="160" t="s">
        <v>66</v>
      </c>
      <c r="D162" s="160" t="s">
        <v>859</v>
      </c>
      <c r="E162" s="3" t="s">
        <v>21</v>
      </c>
      <c r="F162" s="3"/>
      <c r="G162" s="3"/>
      <c r="H162" s="156" t="str">
        <f ca="1">IFERROR(
  _xludf.MINIFS(ATTENDANCE_LOG!$F:$F,
         ATTENDANCE_LOG!$A:$A, C162,
         ATTENDANCE_LOG!$B:$B, E162),
"")</f>
        <v/>
      </c>
      <c r="I162" s="3" t="str">
        <f>IFERROR(VLOOKUP(F162, LEVEL_HELPER!$A:$B, 2, 0), "")</f>
        <v/>
      </c>
      <c r="J162" s="3" t="str">
        <f>IFERROR(VLOOKUP(G162, LEVEL_HELPER!$A:$B, 2, 0), "")</f>
        <v/>
      </c>
      <c r="K162" s="3" t="str">
        <f t="shared" ref="K162:L162" si="325">IF(OR(I162="", I162=0), "",
  IF(I162&lt;=2,   1,
  IF(I162&lt;=4,   2,
  IF(I162&lt;=5.5, 3, 4))))</f>
        <v/>
      </c>
      <c r="L162" s="3" t="str">
        <f t="shared" si="325"/>
        <v/>
      </c>
      <c r="M162" s="3" t="str">
        <f t="shared" si="1"/>
        <v>No Data</v>
      </c>
      <c r="N162" s="157" t="s">
        <v>942</v>
      </c>
      <c r="O162" s="157" t="s">
        <v>925</v>
      </c>
      <c r="P162" s="3" t="str">
        <f t="shared" ca="1" si="2"/>
        <v/>
      </c>
      <c r="Q162" s="147" t="str">
        <f t="shared" ca="1" si="3"/>
        <v/>
      </c>
      <c r="R162" s="147" t="str">
        <f t="shared" ref="R162:S162" ca="1" si="326">IF(OR(P162="", P162=0), "",
  IF(P162&lt;=2,   1,
  IF(P162&lt;=4,   2,
  IF(P162&lt;=5.5, 3, 4))))</f>
        <v/>
      </c>
      <c r="S162" s="147" t="str">
        <f t="shared" ca="1" si="326"/>
        <v/>
      </c>
      <c r="T162" s="147" t="str">
        <f t="shared" ca="1" si="5"/>
        <v>No Data</v>
      </c>
      <c r="U162" s="147">
        <f t="shared" si="6"/>
        <v>1</v>
      </c>
      <c r="V162" s="147"/>
    </row>
    <row r="163" spans="1:22">
      <c r="A163" s="157" t="s">
        <v>522</v>
      </c>
      <c r="B163" s="3" t="s">
        <v>523</v>
      </c>
      <c r="C163" s="160" t="s">
        <v>66</v>
      </c>
      <c r="D163" s="160" t="s">
        <v>859</v>
      </c>
      <c r="E163" s="3" t="s">
        <v>21</v>
      </c>
      <c r="F163" s="3"/>
      <c r="G163" s="3"/>
      <c r="H163" s="156" t="str">
        <f ca="1">IFERROR(
  _xludf.MINIFS(ATTENDANCE_LOG!$F:$F,
         ATTENDANCE_LOG!$A:$A, C163,
         ATTENDANCE_LOG!$B:$B, E163),
"")</f>
        <v/>
      </c>
      <c r="I163" s="3" t="str">
        <f>IFERROR(VLOOKUP(F163, LEVEL_HELPER!$A:$B, 2, 0), "")</f>
        <v/>
      </c>
      <c r="J163" s="3" t="str">
        <f>IFERROR(VLOOKUP(G163, LEVEL_HELPER!$A:$B, 2, 0), "")</f>
        <v/>
      </c>
      <c r="K163" s="3" t="str">
        <f t="shared" ref="K163:L163" si="327">IF(OR(I163="", I163=0), "",
  IF(I163&lt;=2,   1,
  IF(I163&lt;=4,   2,
  IF(I163&lt;=5.5, 3, 4))))</f>
        <v/>
      </c>
      <c r="L163" s="3" t="str">
        <f t="shared" si="327"/>
        <v/>
      </c>
      <c r="M163" s="3" t="str">
        <f t="shared" si="1"/>
        <v>No Data</v>
      </c>
      <c r="N163" s="157" t="s">
        <v>942</v>
      </c>
      <c r="O163" s="157" t="s">
        <v>925</v>
      </c>
      <c r="P163" s="3" t="str">
        <f t="shared" ca="1" si="2"/>
        <v/>
      </c>
      <c r="Q163" s="147" t="str">
        <f t="shared" ca="1" si="3"/>
        <v/>
      </c>
      <c r="R163" s="147" t="str">
        <f t="shared" ref="R163:S163" ca="1" si="328">IF(OR(P163="", P163=0), "",
  IF(P163&lt;=2,   1,
  IF(P163&lt;=4,   2,
  IF(P163&lt;=5.5, 3, 4))))</f>
        <v/>
      </c>
      <c r="S163" s="147" t="str">
        <f t="shared" ca="1" si="328"/>
        <v/>
      </c>
      <c r="T163" s="147" t="str">
        <f t="shared" ca="1" si="5"/>
        <v>No Data</v>
      </c>
      <c r="U163" s="147">
        <f t="shared" si="6"/>
        <v>1</v>
      </c>
      <c r="V163" s="147"/>
    </row>
    <row r="164" spans="1:22">
      <c r="A164" s="157" t="s">
        <v>589</v>
      </c>
      <c r="B164" s="3" t="s">
        <v>590</v>
      </c>
      <c r="C164" s="160" t="s">
        <v>66</v>
      </c>
      <c r="D164" s="160" t="s">
        <v>859</v>
      </c>
      <c r="E164" s="3" t="s">
        <v>21</v>
      </c>
      <c r="F164" s="3"/>
      <c r="G164" s="3"/>
      <c r="H164" s="156" t="str">
        <f ca="1">IFERROR(
  _xludf.MINIFS(ATTENDANCE_LOG!$F:$F,
         ATTENDANCE_LOG!$A:$A, C164,
         ATTENDANCE_LOG!$B:$B, E164),
"")</f>
        <v/>
      </c>
      <c r="I164" s="3" t="str">
        <f>IFERROR(VLOOKUP(F164, LEVEL_HELPER!$A:$B, 2, 0), "")</f>
        <v/>
      </c>
      <c r="J164" s="3" t="str">
        <f>IFERROR(VLOOKUP(G164, LEVEL_HELPER!$A:$B, 2, 0), "")</f>
        <v/>
      </c>
      <c r="K164" s="3" t="str">
        <f t="shared" ref="K164:L164" si="329">IF(OR(I164="", I164=0), "",
  IF(I164&lt;=2,   1,
  IF(I164&lt;=4,   2,
  IF(I164&lt;=5.5, 3, 4))))</f>
        <v/>
      </c>
      <c r="L164" s="3" t="str">
        <f t="shared" si="329"/>
        <v/>
      </c>
      <c r="M164" s="3" t="str">
        <f t="shared" si="1"/>
        <v>No Data</v>
      </c>
      <c r="N164" s="157" t="s">
        <v>942</v>
      </c>
      <c r="O164" s="157" t="s">
        <v>925</v>
      </c>
      <c r="P164" s="3" t="str">
        <f t="shared" ca="1" si="2"/>
        <v/>
      </c>
      <c r="Q164" s="147" t="str">
        <f t="shared" ca="1" si="3"/>
        <v/>
      </c>
      <c r="R164" s="147" t="str">
        <f t="shared" ref="R164:S164" ca="1" si="330">IF(OR(P164="", P164=0), "",
  IF(P164&lt;=2,   1,
  IF(P164&lt;=4,   2,
  IF(P164&lt;=5.5, 3, 4))))</f>
        <v/>
      </c>
      <c r="S164" s="147" t="str">
        <f t="shared" ca="1" si="330"/>
        <v/>
      </c>
      <c r="T164" s="147" t="str">
        <f t="shared" ca="1" si="5"/>
        <v>No Data</v>
      </c>
      <c r="U164" s="147">
        <f t="shared" si="6"/>
        <v>1</v>
      </c>
      <c r="V164" s="147"/>
    </row>
    <row r="165" spans="1:22">
      <c r="A165" s="157" t="s">
        <v>645</v>
      </c>
      <c r="B165" s="3" t="s">
        <v>646</v>
      </c>
      <c r="C165" s="160" t="s">
        <v>66</v>
      </c>
      <c r="D165" s="160" t="s">
        <v>859</v>
      </c>
      <c r="E165" s="3" t="s">
        <v>21</v>
      </c>
      <c r="F165" s="3"/>
      <c r="G165" s="3"/>
      <c r="H165" s="156" t="str">
        <f ca="1">IFERROR(
  _xludf.MINIFS(ATTENDANCE_LOG!$F:$F,
         ATTENDANCE_LOG!$A:$A, C165,
         ATTENDANCE_LOG!$B:$B, E165),
"")</f>
        <v/>
      </c>
      <c r="I165" s="3" t="str">
        <f>IFERROR(VLOOKUP(F165, LEVEL_HELPER!$A:$B, 2, 0), "")</f>
        <v/>
      </c>
      <c r="J165" s="3" t="str">
        <f>IFERROR(VLOOKUP(G165, LEVEL_HELPER!$A:$B, 2, 0), "")</f>
        <v/>
      </c>
      <c r="K165" s="3" t="str">
        <f t="shared" ref="K165:L165" si="331">IF(OR(I165="", I165=0), "",
  IF(I165&lt;=2,   1,
  IF(I165&lt;=4,   2,
  IF(I165&lt;=5.5, 3, 4))))</f>
        <v/>
      </c>
      <c r="L165" s="3" t="str">
        <f t="shared" si="331"/>
        <v/>
      </c>
      <c r="M165" s="3" t="str">
        <f t="shared" si="1"/>
        <v>No Data</v>
      </c>
      <c r="N165" s="157" t="s">
        <v>942</v>
      </c>
      <c r="O165" s="157" t="s">
        <v>925</v>
      </c>
      <c r="P165" s="3" t="str">
        <f t="shared" ca="1" si="2"/>
        <v/>
      </c>
      <c r="Q165" s="147" t="str">
        <f t="shared" ca="1" si="3"/>
        <v/>
      </c>
      <c r="R165" s="147" t="str">
        <f t="shared" ref="R165:S165" ca="1" si="332">IF(OR(P165="", P165=0), "",
  IF(P165&lt;=2,   1,
  IF(P165&lt;=4,   2,
  IF(P165&lt;=5.5, 3, 4))))</f>
        <v/>
      </c>
      <c r="S165" s="147" t="str">
        <f t="shared" ca="1" si="332"/>
        <v/>
      </c>
      <c r="T165" s="147" t="str">
        <f t="shared" ca="1" si="5"/>
        <v>No Data</v>
      </c>
      <c r="U165" s="147">
        <f t="shared" si="6"/>
        <v>1</v>
      </c>
      <c r="V165" s="147"/>
    </row>
    <row r="166" spans="1:22">
      <c r="A166" s="176" t="s">
        <v>142</v>
      </c>
      <c r="B166" s="154" t="s">
        <v>143</v>
      </c>
      <c r="C166" s="155" t="s">
        <v>67</v>
      </c>
      <c r="D166" s="155" t="s">
        <v>860</v>
      </c>
      <c r="E166" s="154" t="s">
        <v>21</v>
      </c>
      <c r="F166" s="3"/>
      <c r="G166" s="3"/>
      <c r="H166" s="156" t="str">
        <f ca="1">IFERROR(
  _xludf.MINIFS(ATTENDANCE_LOG!$F:$F,
         ATTENDANCE_LOG!$A:$A, C166,
         ATTENDANCE_LOG!$B:$B, E166),
"")</f>
        <v/>
      </c>
      <c r="I166" s="3" t="str">
        <f>IFERROR(VLOOKUP(F166, LEVEL_HELPER!$A:$B, 2, 0), "")</f>
        <v/>
      </c>
      <c r="J166" s="3" t="str">
        <f>IFERROR(VLOOKUP(G166, LEVEL_HELPER!$A:$B, 2, 0), "")</f>
        <v/>
      </c>
      <c r="K166" s="3" t="str">
        <f t="shared" ref="K166:L166" si="333">IF(OR(I166="", I166=0), "",
  IF(I166&lt;=2,   1,
  IF(I166&lt;=4,   2,
  IF(I166&lt;=5.5, 3, 4))))</f>
        <v/>
      </c>
      <c r="L166" s="3" t="str">
        <f t="shared" si="333"/>
        <v/>
      </c>
      <c r="M166" s="3" t="str">
        <f t="shared" si="1"/>
        <v>No Data</v>
      </c>
      <c r="N166" s="157" t="s">
        <v>947</v>
      </c>
      <c r="O166" s="157" t="s">
        <v>920</v>
      </c>
      <c r="P166" s="3" t="str">
        <f t="shared" ca="1" si="2"/>
        <v/>
      </c>
      <c r="Q166" s="147" t="str">
        <f t="shared" ca="1" si="3"/>
        <v/>
      </c>
      <c r="R166" s="147" t="str">
        <f t="shared" ref="R166:S166" ca="1" si="334">IF(OR(P166="", P166=0), "",
  IF(P166&lt;=2,   1,
  IF(P166&lt;=4,   2,
  IF(P166&lt;=5.5, 3, 4))))</f>
        <v/>
      </c>
      <c r="S166" s="147" t="str">
        <f t="shared" ca="1" si="334"/>
        <v/>
      </c>
      <c r="T166" s="147" t="str">
        <f t="shared" ca="1" si="5"/>
        <v>No Data</v>
      </c>
      <c r="U166" s="147">
        <f t="shared" si="6"/>
        <v>1</v>
      </c>
      <c r="V166" s="147"/>
    </row>
    <row r="167" spans="1:22">
      <c r="A167" s="157" t="s">
        <v>204</v>
      </c>
      <c r="B167" s="3" t="s">
        <v>205</v>
      </c>
      <c r="C167" s="160" t="s">
        <v>67</v>
      </c>
      <c r="D167" s="160" t="s">
        <v>860</v>
      </c>
      <c r="E167" s="3" t="s">
        <v>21</v>
      </c>
      <c r="F167" s="3"/>
      <c r="G167" s="3"/>
      <c r="H167" s="156" t="str">
        <f ca="1">IFERROR(
  _xludf.MINIFS(ATTENDANCE_LOG!$F:$F,
         ATTENDANCE_LOG!$A:$A, C167,
         ATTENDANCE_LOG!$B:$B, E167),
"")</f>
        <v/>
      </c>
      <c r="I167" s="3" t="str">
        <f>IFERROR(VLOOKUP(F167, LEVEL_HELPER!$A:$B, 2, 0), "")</f>
        <v/>
      </c>
      <c r="J167" s="3" t="str">
        <f>IFERROR(VLOOKUP(G167, LEVEL_HELPER!$A:$B, 2, 0), "")</f>
        <v/>
      </c>
      <c r="K167" s="3" t="str">
        <f t="shared" ref="K167:L167" si="335">IF(OR(I167="", I167=0), "",
  IF(I167&lt;=2,   1,
  IF(I167&lt;=4,   2,
  IF(I167&lt;=5.5, 3, 4))))</f>
        <v/>
      </c>
      <c r="L167" s="3" t="str">
        <f t="shared" si="335"/>
        <v/>
      </c>
      <c r="M167" s="3" t="str">
        <f t="shared" si="1"/>
        <v>No Data</v>
      </c>
      <c r="N167" s="157" t="s">
        <v>947</v>
      </c>
      <c r="O167" s="157" t="s">
        <v>922</v>
      </c>
      <c r="P167" s="3" t="str">
        <f t="shared" ca="1" si="2"/>
        <v/>
      </c>
      <c r="Q167" s="147" t="str">
        <f t="shared" ca="1" si="3"/>
        <v/>
      </c>
      <c r="R167" s="147" t="str">
        <f t="shared" ref="R167:S167" ca="1" si="336">IF(OR(P167="", P167=0), "",
  IF(P167&lt;=2,   1,
  IF(P167&lt;=4,   2,
  IF(P167&lt;=5.5, 3, 4))))</f>
        <v/>
      </c>
      <c r="S167" s="147" t="str">
        <f t="shared" ca="1" si="336"/>
        <v/>
      </c>
      <c r="T167" s="147" t="str">
        <f t="shared" ca="1" si="5"/>
        <v>No Data</v>
      </c>
      <c r="U167" s="147">
        <f t="shared" si="6"/>
        <v>1</v>
      </c>
      <c r="V167" s="147"/>
    </row>
    <row r="168" spans="1:22">
      <c r="A168" s="157" t="s">
        <v>222</v>
      </c>
      <c r="B168" s="3" t="s">
        <v>223</v>
      </c>
      <c r="C168" s="160" t="s">
        <v>67</v>
      </c>
      <c r="D168" s="160" t="s">
        <v>860</v>
      </c>
      <c r="E168" s="3" t="s">
        <v>21</v>
      </c>
      <c r="F168" s="3"/>
      <c r="G168" s="3"/>
      <c r="H168" s="156" t="str">
        <f ca="1">IFERROR(
  _xludf.MINIFS(ATTENDANCE_LOG!$F:$F,
         ATTENDANCE_LOG!$A:$A, C168,
         ATTENDANCE_LOG!$B:$B, E168),
"")</f>
        <v/>
      </c>
      <c r="I168" s="3" t="str">
        <f>IFERROR(VLOOKUP(F168, LEVEL_HELPER!$A:$B, 2, 0), "")</f>
        <v/>
      </c>
      <c r="J168" s="3" t="str">
        <f>IFERROR(VLOOKUP(G168, LEVEL_HELPER!$A:$B, 2, 0), "")</f>
        <v/>
      </c>
      <c r="K168" s="3" t="str">
        <f t="shared" ref="K168:L168" si="337">IF(OR(I168="", I168=0), "",
  IF(I168&lt;=2,   1,
  IF(I168&lt;=4,   2,
  IF(I168&lt;=5.5, 3, 4))))</f>
        <v/>
      </c>
      <c r="L168" s="3" t="str">
        <f t="shared" si="337"/>
        <v/>
      </c>
      <c r="M168" s="3" t="str">
        <f t="shared" si="1"/>
        <v>No Data</v>
      </c>
      <c r="N168" s="157" t="s">
        <v>947</v>
      </c>
      <c r="O168" s="157" t="s">
        <v>920</v>
      </c>
      <c r="P168" s="3" t="str">
        <f t="shared" ca="1" si="2"/>
        <v/>
      </c>
      <c r="Q168" s="147" t="str">
        <f t="shared" ca="1" si="3"/>
        <v/>
      </c>
      <c r="R168" s="147" t="str">
        <f t="shared" ref="R168:S168" ca="1" si="338">IF(OR(P168="", P168=0), "",
  IF(P168&lt;=2,   1,
  IF(P168&lt;=4,   2,
  IF(P168&lt;=5.5, 3, 4))))</f>
        <v/>
      </c>
      <c r="S168" s="147" t="str">
        <f t="shared" ca="1" si="338"/>
        <v/>
      </c>
      <c r="T168" s="147" t="str">
        <f t="shared" ca="1" si="5"/>
        <v>No Data</v>
      </c>
      <c r="U168" s="147">
        <f t="shared" si="6"/>
        <v>1</v>
      </c>
      <c r="V168" s="147"/>
    </row>
    <row r="169" spans="1:22">
      <c r="A169" s="157" t="s">
        <v>292</v>
      </c>
      <c r="B169" s="3" t="s">
        <v>293</v>
      </c>
      <c r="C169" s="160" t="s">
        <v>67</v>
      </c>
      <c r="D169" s="160" t="s">
        <v>860</v>
      </c>
      <c r="E169" s="3" t="s">
        <v>21</v>
      </c>
      <c r="F169" s="3"/>
      <c r="G169" s="3"/>
      <c r="H169" s="156" t="str">
        <f ca="1">IFERROR(
  _xludf.MINIFS(ATTENDANCE_LOG!$F:$F,
         ATTENDANCE_LOG!$A:$A, C169,
         ATTENDANCE_LOG!$B:$B, E169),
"")</f>
        <v/>
      </c>
      <c r="I169" s="3" t="str">
        <f>IFERROR(VLOOKUP(F169, LEVEL_HELPER!$A:$B, 2, 0), "")</f>
        <v/>
      </c>
      <c r="J169" s="3" t="str">
        <f>IFERROR(VLOOKUP(G169, LEVEL_HELPER!$A:$B, 2, 0), "")</f>
        <v/>
      </c>
      <c r="K169" s="3" t="str">
        <f t="shared" ref="K169:L169" si="339">IF(OR(I169="", I169=0), "",
  IF(I169&lt;=2,   1,
  IF(I169&lt;=4,   2,
  IF(I169&lt;=5.5, 3, 4))))</f>
        <v/>
      </c>
      <c r="L169" s="3" t="str">
        <f t="shared" si="339"/>
        <v/>
      </c>
      <c r="M169" s="3" t="str">
        <f t="shared" si="1"/>
        <v>No Data</v>
      </c>
      <c r="N169" s="157" t="s">
        <v>947</v>
      </c>
      <c r="O169" s="157" t="s">
        <v>920</v>
      </c>
      <c r="P169" s="3" t="str">
        <f t="shared" ca="1" si="2"/>
        <v/>
      </c>
      <c r="Q169" s="147" t="str">
        <f t="shared" ca="1" si="3"/>
        <v/>
      </c>
      <c r="R169" s="147" t="str">
        <f t="shared" ref="R169:S169" ca="1" si="340">IF(OR(P169="", P169=0), "",
  IF(P169&lt;=2,   1,
  IF(P169&lt;=4,   2,
  IF(P169&lt;=5.5, 3, 4))))</f>
        <v/>
      </c>
      <c r="S169" s="147" t="str">
        <f t="shared" ca="1" si="340"/>
        <v/>
      </c>
      <c r="T169" s="147" t="str">
        <f t="shared" ca="1" si="5"/>
        <v>No Data</v>
      </c>
      <c r="U169" s="147">
        <f t="shared" si="6"/>
        <v>1</v>
      </c>
      <c r="V169" s="147"/>
    </row>
    <row r="170" spans="1:22">
      <c r="A170" s="157" t="s">
        <v>348</v>
      </c>
      <c r="B170" s="3" t="s">
        <v>349</v>
      </c>
      <c r="C170" s="160" t="s">
        <v>67</v>
      </c>
      <c r="D170" s="160" t="s">
        <v>860</v>
      </c>
      <c r="E170" s="3" t="s">
        <v>21</v>
      </c>
      <c r="F170" s="3" t="s">
        <v>916</v>
      </c>
      <c r="G170" s="3" t="s">
        <v>931</v>
      </c>
      <c r="H170" s="156" t="str">
        <f ca="1">IFERROR(
  _xludf.MINIFS(ATTENDANCE_LOG!$F:$F,
         ATTENDANCE_LOG!$A:$A, C170,
         ATTENDANCE_LOG!$B:$B, E170),
"")</f>
        <v/>
      </c>
      <c r="I170" s="3">
        <f>IFERROR(VLOOKUP(F170, LEVEL_HELPER!$A:$B, 2, 0), "")</f>
        <v>2.5</v>
      </c>
      <c r="J170" s="3">
        <f>IFERROR(VLOOKUP(G170, LEVEL_HELPER!$A:$B, 2, 0), "")</f>
        <v>4.5</v>
      </c>
      <c r="K170" s="3">
        <f t="shared" ref="K170:L170" si="341">IF(OR(I170="", I170=0), "",
  IF(I170&lt;=2,   1,
  IF(I170&lt;=4,   2,
  IF(I170&lt;=5.5, 3, 4))))</f>
        <v>2</v>
      </c>
      <c r="L170" s="3">
        <f t="shared" si="341"/>
        <v>3</v>
      </c>
      <c r="M170" s="3" t="str">
        <f t="shared" si="1"/>
        <v>Lv2 → Lv3</v>
      </c>
      <c r="N170" s="157" t="s">
        <v>947</v>
      </c>
      <c r="O170" s="157" t="s">
        <v>920</v>
      </c>
      <c r="P170" s="3" t="str">
        <f t="shared" ca="1" si="2"/>
        <v/>
      </c>
      <c r="Q170" s="147" t="str">
        <f t="shared" ca="1" si="3"/>
        <v/>
      </c>
      <c r="R170" s="147" t="str">
        <f t="shared" ref="R170:S170" ca="1" si="342">IF(OR(P170="", P170=0), "",
  IF(P170&lt;=2,   1,
  IF(P170&lt;=4,   2,
  IF(P170&lt;=5.5, 3, 4))))</f>
        <v/>
      </c>
      <c r="S170" s="147" t="str">
        <f t="shared" ca="1" si="342"/>
        <v/>
      </c>
      <c r="T170" s="147" t="str">
        <f t="shared" ca="1" si="5"/>
        <v>No Data</v>
      </c>
      <c r="U170" s="147">
        <f t="shared" si="6"/>
        <v>1</v>
      </c>
      <c r="V170" s="147"/>
    </row>
    <row r="171" spans="1:22">
      <c r="A171" s="157" t="s">
        <v>480</v>
      </c>
      <c r="B171" s="3" t="s">
        <v>481</v>
      </c>
      <c r="C171" s="160" t="s">
        <v>67</v>
      </c>
      <c r="D171" s="160" t="s">
        <v>860</v>
      </c>
      <c r="E171" s="3" t="s">
        <v>21</v>
      </c>
      <c r="F171" s="3"/>
      <c r="G171" s="3"/>
      <c r="H171" s="156" t="str">
        <f ca="1">IFERROR(
  _xludf.MINIFS(ATTENDANCE_LOG!$F:$F,
         ATTENDANCE_LOG!$A:$A, C171,
         ATTENDANCE_LOG!$B:$B, E171),
"")</f>
        <v/>
      </c>
      <c r="I171" s="3" t="str">
        <f>IFERROR(VLOOKUP(F171, LEVEL_HELPER!$A:$B, 2, 0), "")</f>
        <v/>
      </c>
      <c r="J171" s="3" t="str">
        <f>IFERROR(VLOOKUP(G171, LEVEL_HELPER!$A:$B, 2, 0), "")</f>
        <v/>
      </c>
      <c r="K171" s="3" t="str">
        <f t="shared" ref="K171:L171" si="343">IF(OR(I171="", I171=0), "",
  IF(I171&lt;=2,   1,
  IF(I171&lt;=4,   2,
  IF(I171&lt;=5.5, 3, 4))))</f>
        <v/>
      </c>
      <c r="L171" s="3" t="str">
        <f t="shared" si="343"/>
        <v/>
      </c>
      <c r="M171" s="3" t="str">
        <f t="shared" si="1"/>
        <v>No Data</v>
      </c>
      <c r="N171" s="157" t="s">
        <v>947</v>
      </c>
      <c r="O171" s="157" t="s">
        <v>920</v>
      </c>
      <c r="P171" s="3" t="str">
        <f t="shared" ca="1" si="2"/>
        <v/>
      </c>
      <c r="Q171" s="147" t="str">
        <f t="shared" ca="1" si="3"/>
        <v/>
      </c>
      <c r="R171" s="147" t="str">
        <f t="shared" ref="R171:S171" ca="1" si="344">IF(OR(P171="", P171=0), "",
  IF(P171&lt;=2,   1,
  IF(P171&lt;=4,   2,
  IF(P171&lt;=5.5, 3, 4))))</f>
        <v/>
      </c>
      <c r="S171" s="147" t="str">
        <f t="shared" ca="1" si="344"/>
        <v/>
      </c>
      <c r="T171" s="147" t="str">
        <f t="shared" ca="1" si="5"/>
        <v>No Data</v>
      </c>
      <c r="U171" s="147">
        <f t="shared" si="6"/>
        <v>1</v>
      </c>
      <c r="V171" s="147"/>
    </row>
    <row r="172" spans="1:22">
      <c r="A172" s="157" t="s">
        <v>564</v>
      </c>
      <c r="B172" s="3" t="s">
        <v>565</v>
      </c>
      <c r="C172" s="160" t="s">
        <v>67</v>
      </c>
      <c r="D172" s="160" t="s">
        <v>860</v>
      </c>
      <c r="E172" s="3" t="s">
        <v>21</v>
      </c>
      <c r="F172" s="3"/>
      <c r="G172" s="3"/>
      <c r="H172" s="156" t="str">
        <f ca="1">IFERROR(
  _xludf.MINIFS(ATTENDANCE_LOG!$F:$F,
         ATTENDANCE_LOG!$A:$A, C172,
         ATTENDANCE_LOG!$B:$B, E172),
"")</f>
        <v/>
      </c>
      <c r="I172" s="3" t="str">
        <f>IFERROR(VLOOKUP(F172, LEVEL_HELPER!$A:$B, 2, 0), "")</f>
        <v/>
      </c>
      <c r="J172" s="3" t="str">
        <f>IFERROR(VLOOKUP(G172, LEVEL_HELPER!$A:$B, 2, 0), "")</f>
        <v/>
      </c>
      <c r="K172" s="3" t="str">
        <f t="shared" ref="K172:L172" si="345">IF(OR(I172="", I172=0), "",
  IF(I172&lt;=2,   1,
  IF(I172&lt;=4,   2,
  IF(I172&lt;=5.5, 3, 4))))</f>
        <v/>
      </c>
      <c r="L172" s="3" t="str">
        <f t="shared" si="345"/>
        <v/>
      </c>
      <c r="M172" s="3" t="str">
        <f t="shared" si="1"/>
        <v>No Data</v>
      </c>
      <c r="N172" s="157" t="s">
        <v>948</v>
      </c>
      <c r="O172" s="157" t="s">
        <v>920</v>
      </c>
      <c r="P172" s="3" t="str">
        <f t="shared" ca="1" si="2"/>
        <v/>
      </c>
      <c r="Q172" s="147" t="str">
        <f t="shared" ca="1" si="3"/>
        <v/>
      </c>
      <c r="R172" s="147" t="str">
        <f t="shared" ref="R172:S172" ca="1" si="346">IF(OR(P172="", P172=0), "",
  IF(P172&lt;=2,   1,
  IF(P172&lt;=4,   2,
  IF(P172&lt;=5.5, 3, 4))))</f>
        <v/>
      </c>
      <c r="S172" s="147" t="str">
        <f t="shared" ca="1" si="346"/>
        <v/>
      </c>
      <c r="T172" s="147" t="str">
        <f t="shared" ca="1" si="5"/>
        <v>No Data</v>
      </c>
      <c r="U172" s="147">
        <f t="shared" si="6"/>
        <v>1</v>
      </c>
      <c r="V172" s="147"/>
    </row>
    <row r="173" spans="1:22">
      <c r="A173" s="157" t="s">
        <v>647</v>
      </c>
      <c r="B173" s="3" t="s">
        <v>648</v>
      </c>
      <c r="C173" s="160" t="s">
        <v>67</v>
      </c>
      <c r="D173" s="160" t="s">
        <v>860</v>
      </c>
      <c r="E173" s="3" t="s">
        <v>21</v>
      </c>
      <c r="F173" s="3"/>
      <c r="G173" s="3"/>
      <c r="H173" s="156" t="str">
        <f ca="1">IFERROR(
  _xludf.MINIFS(ATTENDANCE_LOG!$F:$F,
         ATTENDANCE_LOG!$A:$A, C173,
         ATTENDANCE_LOG!$B:$B, E173),
"")</f>
        <v/>
      </c>
      <c r="I173" s="3" t="str">
        <f>IFERROR(VLOOKUP(F173, LEVEL_HELPER!$A:$B, 2, 0), "")</f>
        <v/>
      </c>
      <c r="J173" s="3" t="str">
        <f>IFERROR(VLOOKUP(G173, LEVEL_HELPER!$A:$B, 2, 0), "")</f>
        <v/>
      </c>
      <c r="K173" s="3" t="str">
        <f t="shared" ref="K173:L173" si="347">IF(OR(I173="", I173=0), "",
  IF(I173&lt;=2,   1,
  IF(I173&lt;=4,   2,
  IF(I173&lt;=5.5, 3, 4))))</f>
        <v/>
      </c>
      <c r="L173" s="3" t="str">
        <f t="shared" si="347"/>
        <v/>
      </c>
      <c r="M173" s="3" t="str">
        <f t="shared" si="1"/>
        <v>No Data</v>
      </c>
      <c r="N173" s="157" t="s">
        <v>948</v>
      </c>
      <c r="O173" s="157" t="s">
        <v>920</v>
      </c>
      <c r="P173" s="3" t="str">
        <f t="shared" ca="1" si="2"/>
        <v/>
      </c>
      <c r="Q173" s="147" t="str">
        <f t="shared" ca="1" si="3"/>
        <v/>
      </c>
      <c r="R173" s="147" t="str">
        <f t="shared" ref="R173:S173" ca="1" si="348">IF(OR(P173="", P173=0), "",
  IF(P173&lt;=2,   1,
  IF(P173&lt;=4,   2,
  IF(P173&lt;=5.5, 3, 4))))</f>
        <v/>
      </c>
      <c r="S173" s="147" t="str">
        <f t="shared" ca="1" si="348"/>
        <v/>
      </c>
      <c r="T173" s="147" t="str">
        <f t="shared" ca="1" si="5"/>
        <v>No Data</v>
      </c>
      <c r="U173" s="147">
        <f t="shared" si="6"/>
        <v>1</v>
      </c>
      <c r="V173" s="147"/>
    </row>
    <row r="174" spans="1:22">
      <c r="A174" s="176" t="s">
        <v>556</v>
      </c>
      <c r="B174" s="154" t="s">
        <v>557</v>
      </c>
      <c r="C174" s="155" t="s">
        <v>68</v>
      </c>
      <c r="D174" s="155" t="s">
        <v>861</v>
      </c>
      <c r="E174" s="154" t="s">
        <v>21</v>
      </c>
      <c r="F174" s="3" t="s">
        <v>916</v>
      </c>
      <c r="G174" s="3" t="s">
        <v>934</v>
      </c>
      <c r="H174" s="156" t="str">
        <f ca="1">IFERROR(
  _xludf.MINIFS(ATTENDANCE_LOG!$F:$F,
         ATTENDANCE_LOG!$A:$A, C174,
         ATTENDANCE_LOG!$B:$B, E174),
"")</f>
        <v/>
      </c>
      <c r="I174" s="3">
        <f>IFERROR(VLOOKUP(F174, LEVEL_HELPER!$A:$B, 2, 0), "")</f>
        <v>2.5</v>
      </c>
      <c r="J174" s="3">
        <f>IFERROR(VLOOKUP(G174, LEVEL_HELPER!$A:$B, 2, 0), "")</f>
        <v>3.5</v>
      </c>
      <c r="K174" s="3">
        <f t="shared" ref="K174:L174" si="349">IF(OR(I174="", I174=0), "",
  IF(I174&lt;=2,   1,
  IF(I174&lt;=4,   2,
  IF(I174&lt;=5.5, 3, 4))))</f>
        <v>2</v>
      </c>
      <c r="L174" s="3">
        <f t="shared" si="349"/>
        <v>2</v>
      </c>
      <c r="M174" s="3" t="str">
        <f t="shared" si="1"/>
        <v>Progress within level</v>
      </c>
      <c r="N174" s="157" t="s">
        <v>942</v>
      </c>
      <c r="O174" s="157" t="s">
        <v>924</v>
      </c>
      <c r="P174" s="3" t="str">
        <f t="shared" ca="1" si="2"/>
        <v/>
      </c>
      <c r="Q174" s="147" t="str">
        <f t="shared" ca="1" si="3"/>
        <v/>
      </c>
      <c r="R174" s="147" t="str">
        <f t="shared" ref="R174:S174" ca="1" si="350">IF(OR(P174="", P174=0), "",
  IF(P174&lt;=2,   1,
  IF(P174&lt;=4,   2,
  IF(P174&lt;=5.5, 3, 4))))</f>
        <v/>
      </c>
      <c r="S174" s="147" t="str">
        <f t="shared" ca="1" si="350"/>
        <v/>
      </c>
      <c r="T174" s="147" t="str">
        <f t="shared" ca="1" si="5"/>
        <v>No Data</v>
      </c>
      <c r="U174" s="147">
        <f t="shared" si="6"/>
        <v>1</v>
      </c>
      <c r="V174" s="147"/>
    </row>
    <row r="175" spans="1:22">
      <c r="A175" s="157" t="s">
        <v>218</v>
      </c>
      <c r="B175" s="3" t="s">
        <v>219</v>
      </c>
      <c r="C175" s="160" t="s">
        <v>68</v>
      </c>
      <c r="D175" s="160" t="s">
        <v>861</v>
      </c>
      <c r="E175" s="3" t="s">
        <v>21</v>
      </c>
      <c r="F175" s="3" t="s">
        <v>926</v>
      </c>
      <c r="G175" s="3" t="s">
        <v>934</v>
      </c>
      <c r="H175" s="156" t="str">
        <f ca="1">IFERROR(
  _xludf.MINIFS(ATTENDANCE_LOG!$F:$F,
         ATTENDANCE_LOG!$A:$A, C175,
         ATTENDANCE_LOG!$B:$B, E175),
"")</f>
        <v/>
      </c>
      <c r="I175" s="3">
        <f>IFERROR(VLOOKUP(F175, LEVEL_HELPER!$A:$B, 2, 0), "")</f>
        <v>1</v>
      </c>
      <c r="J175" s="3">
        <f>IFERROR(VLOOKUP(G175, LEVEL_HELPER!$A:$B, 2, 0), "")</f>
        <v>3.5</v>
      </c>
      <c r="K175" s="3">
        <f t="shared" ref="K175:L175" si="351">IF(OR(I175="", I175=0), "",
  IF(I175&lt;=2,   1,
  IF(I175&lt;=4,   2,
  IF(I175&lt;=5.5, 3, 4))))</f>
        <v>1</v>
      </c>
      <c r="L175" s="3">
        <f t="shared" si="351"/>
        <v>2</v>
      </c>
      <c r="M175" s="3" t="str">
        <f t="shared" si="1"/>
        <v>Lv1 → Lv2</v>
      </c>
      <c r="N175" s="157" t="s">
        <v>942</v>
      </c>
      <c r="O175" s="157" t="s">
        <v>924</v>
      </c>
      <c r="P175" s="3" t="str">
        <f t="shared" ca="1" si="2"/>
        <v/>
      </c>
      <c r="Q175" s="147" t="str">
        <f t="shared" ca="1" si="3"/>
        <v/>
      </c>
      <c r="R175" s="147" t="str">
        <f t="shared" ref="R175:S175" ca="1" si="352">IF(OR(P175="", P175=0), "",
  IF(P175&lt;=2,   1,
  IF(P175&lt;=4,   2,
  IF(P175&lt;=5.5, 3, 4))))</f>
        <v/>
      </c>
      <c r="S175" s="147" t="str">
        <f t="shared" ca="1" si="352"/>
        <v/>
      </c>
      <c r="T175" s="147" t="str">
        <f t="shared" ca="1" si="5"/>
        <v>No Data</v>
      </c>
      <c r="U175" s="147">
        <f t="shared" si="6"/>
        <v>1</v>
      </c>
      <c r="V175" s="147"/>
    </row>
    <row r="176" spans="1:22">
      <c r="A176" s="157" t="s">
        <v>374</v>
      </c>
      <c r="B176" s="3" t="s">
        <v>375</v>
      </c>
      <c r="C176" s="160" t="s">
        <v>68</v>
      </c>
      <c r="D176" s="160" t="s">
        <v>861</v>
      </c>
      <c r="E176" s="3" t="s">
        <v>21</v>
      </c>
      <c r="F176" s="3"/>
      <c r="G176" s="3"/>
      <c r="H176" s="156" t="str">
        <f ca="1">IFERROR(
  _xludf.MINIFS(ATTENDANCE_LOG!$F:$F,
         ATTENDANCE_LOG!$A:$A, C176,
         ATTENDANCE_LOG!$B:$B, E176),
"")</f>
        <v/>
      </c>
      <c r="I176" s="3" t="str">
        <f>IFERROR(VLOOKUP(F176, LEVEL_HELPER!$A:$B, 2, 0), "")</f>
        <v/>
      </c>
      <c r="J176" s="3" t="str">
        <f>IFERROR(VLOOKUP(G176, LEVEL_HELPER!$A:$B, 2, 0), "")</f>
        <v/>
      </c>
      <c r="K176" s="3" t="str">
        <f t="shared" ref="K176:L176" si="353">IF(OR(I176="", I176=0), "",
  IF(I176&lt;=2,   1,
  IF(I176&lt;=4,   2,
  IF(I176&lt;=5.5, 3, 4))))</f>
        <v/>
      </c>
      <c r="L176" s="3" t="str">
        <f t="shared" si="353"/>
        <v/>
      </c>
      <c r="M176" s="3" t="str">
        <f t="shared" si="1"/>
        <v>No Data</v>
      </c>
      <c r="N176" s="157" t="s">
        <v>942</v>
      </c>
      <c r="O176" s="157" t="s">
        <v>924</v>
      </c>
      <c r="P176" s="3" t="str">
        <f t="shared" ca="1" si="2"/>
        <v/>
      </c>
      <c r="Q176" s="147" t="str">
        <f t="shared" ca="1" si="3"/>
        <v/>
      </c>
      <c r="R176" s="147" t="str">
        <f t="shared" ref="R176:S176" ca="1" si="354">IF(OR(P176="", P176=0), "",
  IF(P176&lt;=2,   1,
  IF(P176&lt;=4,   2,
  IF(P176&lt;=5.5, 3, 4))))</f>
        <v/>
      </c>
      <c r="S176" s="147" t="str">
        <f t="shared" ca="1" si="354"/>
        <v/>
      </c>
      <c r="T176" s="147" t="str">
        <f t="shared" ca="1" si="5"/>
        <v>No Data</v>
      </c>
      <c r="U176" s="147">
        <f t="shared" si="6"/>
        <v>1</v>
      </c>
      <c r="V176" s="147"/>
    </row>
    <row r="177" spans="1:22">
      <c r="A177" s="157" t="s">
        <v>643</v>
      </c>
      <c r="B177" s="3" t="s">
        <v>644</v>
      </c>
      <c r="C177" s="160" t="s">
        <v>68</v>
      </c>
      <c r="D177" s="160" t="s">
        <v>861</v>
      </c>
      <c r="E177" s="3" t="s">
        <v>21</v>
      </c>
      <c r="F177" s="3" t="s">
        <v>926</v>
      </c>
      <c r="G177" s="3" t="s">
        <v>917</v>
      </c>
      <c r="H177" s="156" t="str">
        <f ca="1">IFERROR(
  _xludf.MINIFS(ATTENDANCE_LOG!$F:$F,
         ATTENDANCE_LOG!$A:$A, C177,
         ATTENDANCE_LOG!$B:$B, E177),
"")</f>
        <v/>
      </c>
      <c r="I177" s="3">
        <f>IFERROR(VLOOKUP(F177, LEVEL_HELPER!$A:$B, 2, 0), "")</f>
        <v>1</v>
      </c>
      <c r="J177" s="3">
        <f>IFERROR(VLOOKUP(G177, LEVEL_HELPER!$A:$B, 2, 0), "")</f>
        <v>3</v>
      </c>
      <c r="K177" s="3">
        <f t="shared" ref="K177:L177" si="355">IF(OR(I177="", I177=0), "",
  IF(I177&lt;=2,   1,
  IF(I177&lt;=4,   2,
  IF(I177&lt;=5.5, 3, 4))))</f>
        <v>1</v>
      </c>
      <c r="L177" s="3">
        <f t="shared" si="355"/>
        <v>2</v>
      </c>
      <c r="M177" s="3" t="str">
        <f t="shared" si="1"/>
        <v>Lv1 → Lv2</v>
      </c>
      <c r="N177" s="157" t="s">
        <v>942</v>
      </c>
      <c r="O177" s="157" t="s">
        <v>924</v>
      </c>
      <c r="P177" s="3" t="str">
        <f t="shared" ca="1" si="2"/>
        <v/>
      </c>
      <c r="Q177" s="147" t="str">
        <f t="shared" ca="1" si="3"/>
        <v/>
      </c>
      <c r="R177" s="147" t="str">
        <f t="shared" ref="R177:S177" ca="1" si="356">IF(OR(P177="", P177=0), "",
  IF(P177&lt;=2,   1,
  IF(P177&lt;=4,   2,
  IF(P177&lt;=5.5, 3, 4))))</f>
        <v/>
      </c>
      <c r="S177" s="147" t="str">
        <f t="shared" ca="1" si="356"/>
        <v/>
      </c>
      <c r="T177" s="147" t="str">
        <f t="shared" ca="1" si="5"/>
        <v>No Data</v>
      </c>
      <c r="U177" s="147">
        <f t="shared" si="6"/>
        <v>1</v>
      </c>
      <c r="V177" s="147"/>
    </row>
    <row r="178" spans="1:22">
      <c r="A178" s="176" t="s">
        <v>556</v>
      </c>
      <c r="B178" s="154" t="s">
        <v>557</v>
      </c>
      <c r="C178" s="155" t="s">
        <v>68</v>
      </c>
      <c r="D178" s="155" t="s">
        <v>861</v>
      </c>
      <c r="E178" s="154" t="s">
        <v>22</v>
      </c>
      <c r="F178" s="3" t="s">
        <v>934</v>
      </c>
      <c r="G178" s="3"/>
      <c r="H178" s="156" t="str">
        <f ca="1">IFERROR(
  _xludf.MINIFS(ATTENDANCE_LOG!$F:$F,
         ATTENDANCE_LOG!$A:$A, C178,
         ATTENDANCE_LOG!$B:$B, E178),
"")</f>
        <v/>
      </c>
      <c r="I178" s="3">
        <f>IFERROR(VLOOKUP(F178, LEVEL_HELPER!$A:$B, 2, 0), "")</f>
        <v>3.5</v>
      </c>
      <c r="J178" s="3" t="str">
        <f>IFERROR(VLOOKUP(G178, LEVEL_HELPER!$A:$B, 2, 0), "")</f>
        <v/>
      </c>
      <c r="K178" s="3">
        <f t="shared" ref="K178:L178" si="357">IF(OR(I178="", I178=0), "",
  IF(I178&lt;=2,   1,
  IF(I178&lt;=4,   2,
  IF(I178&lt;=5.5, 3, 4))))</f>
        <v>2</v>
      </c>
      <c r="L178" s="3" t="str">
        <f t="shared" si="357"/>
        <v/>
      </c>
      <c r="M178" s="3" t="str">
        <f t="shared" si="1"/>
        <v>No Data</v>
      </c>
      <c r="N178" s="157" t="s">
        <v>942</v>
      </c>
      <c r="O178" s="157" t="s">
        <v>924</v>
      </c>
      <c r="P178" s="3" t="str">
        <f t="shared" ca="1" si="2"/>
        <v/>
      </c>
      <c r="Q178" s="147" t="str">
        <f t="shared" ca="1" si="3"/>
        <v/>
      </c>
      <c r="R178" s="147" t="str">
        <f t="shared" ref="R178:S178" ca="1" si="358">IF(OR(P178="", P178=0), "",
  IF(P178&lt;=2,   1,
  IF(P178&lt;=4,   2,
  IF(P178&lt;=5.5, 3, 4))))</f>
        <v/>
      </c>
      <c r="S178" s="147" t="str">
        <f t="shared" ca="1" si="358"/>
        <v/>
      </c>
      <c r="T178" s="147" t="str">
        <f t="shared" ca="1" si="5"/>
        <v>No Data</v>
      </c>
      <c r="U178" s="147">
        <f t="shared" si="6"/>
        <v>0</v>
      </c>
      <c r="V178" s="147"/>
    </row>
    <row r="179" spans="1:22">
      <c r="A179" s="157" t="s">
        <v>218</v>
      </c>
      <c r="B179" s="3" t="s">
        <v>219</v>
      </c>
      <c r="C179" s="160" t="s">
        <v>68</v>
      </c>
      <c r="D179" s="160" t="s">
        <v>861</v>
      </c>
      <c r="E179" s="3" t="s">
        <v>22</v>
      </c>
      <c r="F179" s="3" t="s">
        <v>926</v>
      </c>
      <c r="G179" s="3"/>
      <c r="H179" s="156" t="str">
        <f ca="1">IFERROR(
  _xludf.MINIFS(ATTENDANCE_LOG!$F:$F,
         ATTENDANCE_LOG!$A:$A, C179,
         ATTENDANCE_LOG!$B:$B, E179),
"")</f>
        <v/>
      </c>
      <c r="I179" s="3">
        <f>IFERROR(VLOOKUP(F179, LEVEL_HELPER!$A:$B, 2, 0), "")</f>
        <v>1</v>
      </c>
      <c r="J179" s="3" t="str">
        <f>IFERROR(VLOOKUP(G179, LEVEL_HELPER!$A:$B, 2, 0), "")</f>
        <v/>
      </c>
      <c r="K179" s="3">
        <f t="shared" ref="K179:L179" si="359">IF(OR(I179="", I179=0), "",
  IF(I179&lt;=2,   1,
  IF(I179&lt;=4,   2,
  IF(I179&lt;=5.5, 3, 4))))</f>
        <v>1</v>
      </c>
      <c r="L179" s="3" t="str">
        <f t="shared" si="359"/>
        <v/>
      </c>
      <c r="M179" s="3" t="str">
        <f t="shared" si="1"/>
        <v>No Data</v>
      </c>
      <c r="N179" s="157" t="s">
        <v>942</v>
      </c>
      <c r="O179" s="157" t="s">
        <v>924</v>
      </c>
      <c r="P179" s="3" t="str">
        <f t="shared" ca="1" si="2"/>
        <v/>
      </c>
      <c r="Q179" s="147" t="str">
        <f t="shared" ca="1" si="3"/>
        <v/>
      </c>
      <c r="R179" s="147" t="str">
        <f t="shared" ref="R179:S179" ca="1" si="360">IF(OR(P179="", P179=0), "",
  IF(P179&lt;=2,   1,
  IF(P179&lt;=4,   2,
  IF(P179&lt;=5.5, 3, 4))))</f>
        <v/>
      </c>
      <c r="S179" s="147" t="str">
        <f t="shared" ca="1" si="360"/>
        <v/>
      </c>
      <c r="T179" s="147" t="str">
        <f t="shared" ca="1" si="5"/>
        <v>No Data</v>
      </c>
      <c r="U179" s="147">
        <f t="shared" si="6"/>
        <v>0</v>
      </c>
      <c r="V179" s="147"/>
    </row>
    <row r="180" spans="1:22">
      <c r="A180" s="157" t="s">
        <v>323</v>
      </c>
      <c r="B180" s="3" t="s">
        <v>324</v>
      </c>
      <c r="C180" s="160" t="s">
        <v>68</v>
      </c>
      <c r="D180" s="160" t="s">
        <v>861</v>
      </c>
      <c r="E180" s="3" t="s">
        <v>22</v>
      </c>
      <c r="F180" s="3" t="s">
        <v>926</v>
      </c>
      <c r="G180" s="3"/>
      <c r="H180" s="156" t="str">
        <f ca="1">IFERROR(
  _xludf.MINIFS(ATTENDANCE_LOG!$F:$F,
         ATTENDANCE_LOG!$A:$A, C180,
         ATTENDANCE_LOG!$B:$B, E180),
"")</f>
        <v/>
      </c>
      <c r="I180" s="3">
        <f>IFERROR(VLOOKUP(F180, LEVEL_HELPER!$A:$B, 2, 0), "")</f>
        <v>1</v>
      </c>
      <c r="J180" s="3" t="str">
        <f>IFERROR(VLOOKUP(G180, LEVEL_HELPER!$A:$B, 2, 0), "")</f>
        <v/>
      </c>
      <c r="K180" s="3">
        <f t="shared" ref="K180:L180" si="361">IF(OR(I180="", I180=0), "",
  IF(I180&lt;=2,   1,
  IF(I180&lt;=4,   2,
  IF(I180&lt;=5.5, 3, 4))))</f>
        <v>1</v>
      </c>
      <c r="L180" s="3" t="str">
        <f t="shared" si="361"/>
        <v/>
      </c>
      <c r="M180" s="3" t="str">
        <f t="shared" si="1"/>
        <v>No Data</v>
      </c>
      <c r="N180" s="157" t="s">
        <v>942</v>
      </c>
      <c r="O180" s="157" t="s">
        <v>924</v>
      </c>
      <c r="P180" s="3" t="str">
        <f t="shared" ca="1" si="2"/>
        <v/>
      </c>
      <c r="Q180" s="147" t="str">
        <f t="shared" ca="1" si="3"/>
        <v/>
      </c>
      <c r="R180" s="147" t="str">
        <f t="shared" ref="R180:S180" ca="1" si="362">IF(OR(P180="", P180=0), "",
  IF(P180&lt;=2,   1,
  IF(P180&lt;=4,   2,
  IF(P180&lt;=5.5, 3, 4))))</f>
        <v/>
      </c>
      <c r="S180" s="147" t="str">
        <f t="shared" ca="1" si="362"/>
        <v/>
      </c>
      <c r="T180" s="147" t="str">
        <f t="shared" ca="1" si="5"/>
        <v>No Data</v>
      </c>
      <c r="U180" s="147">
        <f t="shared" si="6"/>
        <v>1</v>
      </c>
      <c r="V180" s="147"/>
    </row>
    <row r="181" spans="1:22">
      <c r="A181" s="157" t="s">
        <v>639</v>
      </c>
      <c r="B181" s="3" t="s">
        <v>640</v>
      </c>
      <c r="C181" s="160" t="s">
        <v>68</v>
      </c>
      <c r="D181" s="160" t="s">
        <v>861</v>
      </c>
      <c r="E181" s="3" t="s">
        <v>22</v>
      </c>
      <c r="F181" s="3" t="s">
        <v>916</v>
      </c>
      <c r="G181" s="3"/>
      <c r="H181" s="156" t="str">
        <f ca="1">IFERROR(
  _xludf.MINIFS(ATTENDANCE_LOG!$F:$F,
         ATTENDANCE_LOG!$A:$A, C181,
         ATTENDANCE_LOG!$B:$B, E181),
"")</f>
        <v/>
      </c>
      <c r="I181" s="3">
        <f>IFERROR(VLOOKUP(F181, LEVEL_HELPER!$A:$B, 2, 0), "")</f>
        <v>2.5</v>
      </c>
      <c r="J181" s="3" t="str">
        <f>IFERROR(VLOOKUP(G181, LEVEL_HELPER!$A:$B, 2, 0), "")</f>
        <v/>
      </c>
      <c r="K181" s="3">
        <f t="shared" ref="K181:L181" si="363">IF(OR(I181="", I181=0), "",
  IF(I181&lt;=2,   1,
  IF(I181&lt;=4,   2,
  IF(I181&lt;=5.5, 3, 4))))</f>
        <v>2</v>
      </c>
      <c r="L181" s="3" t="str">
        <f t="shared" si="363"/>
        <v/>
      </c>
      <c r="M181" s="3" t="str">
        <f t="shared" si="1"/>
        <v>No Data</v>
      </c>
      <c r="N181" s="157" t="s">
        <v>942</v>
      </c>
      <c r="O181" s="157" t="s">
        <v>924</v>
      </c>
      <c r="P181" s="3" t="str">
        <f t="shared" ca="1" si="2"/>
        <v/>
      </c>
      <c r="Q181" s="147" t="str">
        <f t="shared" ca="1" si="3"/>
        <v/>
      </c>
      <c r="R181" s="147" t="str">
        <f t="shared" ref="R181:S181" ca="1" si="364">IF(OR(P181="", P181=0), "",
  IF(P181&lt;=2,   1,
  IF(P181&lt;=4,   2,
  IF(P181&lt;=5.5, 3, 4))))</f>
        <v/>
      </c>
      <c r="S181" s="147" t="str">
        <f t="shared" ca="1" si="364"/>
        <v/>
      </c>
      <c r="T181" s="147" t="str">
        <f t="shared" ca="1" si="5"/>
        <v>No Data</v>
      </c>
      <c r="U181" s="147">
        <f t="shared" si="6"/>
        <v>1</v>
      </c>
      <c r="V181" s="147"/>
    </row>
    <row r="182" spans="1:22">
      <c r="A182" s="157" t="s">
        <v>643</v>
      </c>
      <c r="B182" s="3" t="s">
        <v>644</v>
      </c>
      <c r="C182" s="160" t="s">
        <v>68</v>
      </c>
      <c r="D182" s="160" t="s">
        <v>861</v>
      </c>
      <c r="E182" s="3" t="s">
        <v>22</v>
      </c>
      <c r="F182" s="3" t="s">
        <v>917</v>
      </c>
      <c r="G182" s="3"/>
      <c r="H182" s="156" t="str">
        <f ca="1">IFERROR(
  _xludf.MINIFS(ATTENDANCE_LOG!$F:$F,
         ATTENDANCE_LOG!$A:$A, C182,
         ATTENDANCE_LOG!$B:$B, E182),
"")</f>
        <v/>
      </c>
      <c r="I182" s="3">
        <f>IFERROR(VLOOKUP(F182, LEVEL_HELPER!$A:$B, 2, 0), "")</f>
        <v>3</v>
      </c>
      <c r="J182" s="3" t="str">
        <f>IFERROR(VLOOKUP(G182, LEVEL_HELPER!$A:$B, 2, 0), "")</f>
        <v/>
      </c>
      <c r="K182" s="3">
        <f t="shared" ref="K182:L182" si="365">IF(OR(I182="", I182=0), "",
  IF(I182&lt;=2,   1,
  IF(I182&lt;=4,   2,
  IF(I182&lt;=5.5, 3, 4))))</f>
        <v>2</v>
      </c>
      <c r="L182" s="3" t="str">
        <f t="shared" si="365"/>
        <v/>
      </c>
      <c r="M182" s="3" t="str">
        <f t="shared" si="1"/>
        <v>No Data</v>
      </c>
      <c r="N182" s="157" t="s">
        <v>942</v>
      </c>
      <c r="O182" s="157" t="s">
        <v>924</v>
      </c>
      <c r="P182" s="3" t="str">
        <f t="shared" ca="1" si="2"/>
        <v/>
      </c>
      <c r="Q182" s="147" t="str">
        <f t="shared" ca="1" si="3"/>
        <v/>
      </c>
      <c r="R182" s="147" t="str">
        <f t="shared" ref="R182:S182" ca="1" si="366">IF(OR(P182="", P182=0), "",
  IF(P182&lt;=2,   1,
  IF(P182&lt;=4,   2,
  IF(P182&lt;=5.5, 3, 4))))</f>
        <v/>
      </c>
      <c r="S182" s="147" t="str">
        <f t="shared" ca="1" si="366"/>
        <v/>
      </c>
      <c r="T182" s="147" t="str">
        <f t="shared" ca="1" si="5"/>
        <v>No Data</v>
      </c>
      <c r="U182" s="147">
        <f t="shared" si="6"/>
        <v>0</v>
      </c>
      <c r="V182" s="147"/>
    </row>
    <row r="183" spans="1:22">
      <c r="A183" s="157" t="s">
        <v>715</v>
      </c>
      <c r="B183" s="3" t="s">
        <v>716</v>
      </c>
      <c r="C183" s="160" t="s">
        <v>68</v>
      </c>
      <c r="D183" s="160" t="s">
        <v>861</v>
      </c>
      <c r="E183" s="3" t="s">
        <v>22</v>
      </c>
      <c r="F183" s="3" t="s">
        <v>916</v>
      </c>
      <c r="G183" s="3"/>
      <c r="H183" s="156" t="str">
        <f ca="1">IFERROR(
  _xludf.MINIFS(ATTENDANCE_LOG!$F:$F,
         ATTENDANCE_LOG!$A:$A, C183,
         ATTENDANCE_LOG!$B:$B, E183),
"")</f>
        <v/>
      </c>
      <c r="I183" s="3">
        <f>IFERROR(VLOOKUP(F183, LEVEL_HELPER!$A:$B, 2, 0), "")</f>
        <v>2.5</v>
      </c>
      <c r="J183" s="3" t="str">
        <f>IFERROR(VLOOKUP(G183, LEVEL_HELPER!$A:$B, 2, 0), "")</f>
        <v/>
      </c>
      <c r="K183" s="3">
        <f t="shared" ref="K183:L183" si="367">IF(OR(I183="", I183=0), "",
  IF(I183&lt;=2,   1,
  IF(I183&lt;=4,   2,
  IF(I183&lt;=5.5, 3, 4))))</f>
        <v>2</v>
      </c>
      <c r="L183" s="3" t="str">
        <f t="shared" si="367"/>
        <v/>
      </c>
      <c r="M183" s="3" t="str">
        <f t="shared" si="1"/>
        <v>No Data</v>
      </c>
      <c r="N183" s="157" t="s">
        <v>942</v>
      </c>
      <c r="O183" s="157" t="s">
        <v>924</v>
      </c>
      <c r="P183" s="3" t="str">
        <f t="shared" ca="1" si="2"/>
        <v/>
      </c>
      <c r="Q183" s="147" t="str">
        <f t="shared" ca="1" si="3"/>
        <v/>
      </c>
      <c r="R183" s="147" t="str">
        <f t="shared" ref="R183:S183" ca="1" si="368">IF(OR(P183="", P183=0), "",
  IF(P183&lt;=2,   1,
  IF(P183&lt;=4,   2,
  IF(P183&lt;=5.5, 3, 4))))</f>
        <v/>
      </c>
      <c r="S183" s="147" t="str">
        <f t="shared" ca="1" si="368"/>
        <v/>
      </c>
      <c r="T183" s="147" t="str">
        <f t="shared" ca="1" si="5"/>
        <v>No Data</v>
      </c>
      <c r="U183" s="147">
        <f t="shared" si="6"/>
        <v>1</v>
      </c>
      <c r="V183" s="147"/>
    </row>
    <row r="184" spans="1:22">
      <c r="A184" s="176" t="s">
        <v>257</v>
      </c>
      <c r="B184" s="154" t="s">
        <v>258</v>
      </c>
      <c r="C184" s="155" t="s">
        <v>69</v>
      </c>
      <c r="D184" s="155" t="s">
        <v>862</v>
      </c>
      <c r="E184" s="154" t="s">
        <v>21</v>
      </c>
      <c r="F184" s="3" t="s">
        <v>916</v>
      </c>
      <c r="G184" s="3" t="s">
        <v>931</v>
      </c>
      <c r="H184" s="156" t="str">
        <f ca="1">IFERROR(
  _xludf.MINIFS(ATTENDANCE_LOG!$F:$F,
         ATTENDANCE_LOG!$A:$A, C184,
         ATTENDANCE_LOG!$B:$B, E184),
"")</f>
        <v/>
      </c>
      <c r="I184" s="3">
        <f>IFERROR(VLOOKUP(F184, LEVEL_HELPER!$A:$B, 2, 0), "")</f>
        <v>2.5</v>
      </c>
      <c r="J184" s="3">
        <f>IFERROR(VLOOKUP(G184, LEVEL_HELPER!$A:$B, 2, 0), "")</f>
        <v>4.5</v>
      </c>
      <c r="K184" s="3">
        <f t="shared" ref="K184:L184" si="369">IF(OR(I184="", I184=0), "",
  IF(I184&lt;=2,   1,
  IF(I184&lt;=4,   2,
  IF(I184&lt;=5.5, 3, 4))))</f>
        <v>2</v>
      </c>
      <c r="L184" s="3">
        <f t="shared" si="369"/>
        <v>3</v>
      </c>
      <c r="M184" s="3" t="str">
        <f t="shared" si="1"/>
        <v>Lv2 → Lv3</v>
      </c>
      <c r="N184" s="157" t="s">
        <v>942</v>
      </c>
      <c r="O184" s="157" t="s">
        <v>924</v>
      </c>
      <c r="P184" s="3" t="str">
        <f t="shared" ca="1" si="2"/>
        <v/>
      </c>
      <c r="Q184" s="147" t="str">
        <f t="shared" ca="1" si="3"/>
        <v/>
      </c>
      <c r="R184" s="147" t="str">
        <f t="shared" ref="R184:S184" ca="1" si="370">IF(OR(P184="", P184=0), "",
  IF(P184&lt;=2,   1,
  IF(P184&lt;=4,   2,
  IF(P184&lt;=5.5, 3, 4))))</f>
        <v/>
      </c>
      <c r="S184" s="147" t="str">
        <f t="shared" ca="1" si="370"/>
        <v/>
      </c>
      <c r="T184" s="147" t="str">
        <f t="shared" ca="1" si="5"/>
        <v>No Data</v>
      </c>
      <c r="U184" s="147">
        <f t="shared" si="6"/>
        <v>1</v>
      </c>
      <c r="V184" s="147"/>
    </row>
    <row r="185" spans="1:22">
      <c r="A185" s="157" t="s">
        <v>311</v>
      </c>
      <c r="B185" s="3" t="s">
        <v>312</v>
      </c>
      <c r="C185" s="160" t="s">
        <v>69</v>
      </c>
      <c r="D185" s="160" t="s">
        <v>862</v>
      </c>
      <c r="E185" s="3" t="s">
        <v>21</v>
      </c>
      <c r="F185" s="3" t="s">
        <v>926</v>
      </c>
      <c r="G185" s="3" t="s">
        <v>926</v>
      </c>
      <c r="H185" s="156" t="str">
        <f ca="1">IFERROR(
  _xludf.MINIFS(ATTENDANCE_LOG!$F:$F,
         ATTENDANCE_LOG!$A:$A, C185,
         ATTENDANCE_LOG!$B:$B, E185),
"")</f>
        <v/>
      </c>
      <c r="I185" s="3">
        <f>IFERROR(VLOOKUP(F185, LEVEL_HELPER!$A:$B, 2, 0), "")</f>
        <v>1</v>
      </c>
      <c r="J185" s="3">
        <f>IFERROR(VLOOKUP(G185, LEVEL_HELPER!$A:$B, 2, 0), "")</f>
        <v>1</v>
      </c>
      <c r="K185" s="3">
        <f t="shared" ref="K185:L185" si="371">IF(OR(I185="", I185=0), "",
  IF(I185&lt;=2,   1,
  IF(I185&lt;=4,   2,
  IF(I185&lt;=5.5, 3, 4))))</f>
        <v>1</v>
      </c>
      <c r="L185" s="3">
        <f t="shared" si="371"/>
        <v>1</v>
      </c>
      <c r="M185" s="3" t="str">
        <f t="shared" si="1"/>
        <v>No Progress</v>
      </c>
      <c r="N185" s="157" t="s">
        <v>942</v>
      </c>
      <c r="O185" s="157" t="s">
        <v>924</v>
      </c>
      <c r="P185" s="3" t="str">
        <f t="shared" ca="1" si="2"/>
        <v/>
      </c>
      <c r="Q185" s="147" t="str">
        <f t="shared" ca="1" si="3"/>
        <v/>
      </c>
      <c r="R185" s="147" t="str">
        <f t="shared" ref="R185:S185" ca="1" si="372">IF(OR(P185="", P185=0), "",
  IF(P185&lt;=2,   1,
  IF(P185&lt;=4,   2,
  IF(P185&lt;=5.5, 3, 4))))</f>
        <v/>
      </c>
      <c r="S185" s="147" t="str">
        <f t="shared" ca="1" si="372"/>
        <v/>
      </c>
      <c r="T185" s="147" t="str">
        <f t="shared" ca="1" si="5"/>
        <v>No Data</v>
      </c>
      <c r="U185" s="147">
        <f t="shared" si="6"/>
        <v>1</v>
      </c>
      <c r="V185" s="147"/>
    </row>
    <row r="186" spans="1:22">
      <c r="A186" s="157" t="s">
        <v>323</v>
      </c>
      <c r="B186" s="3" t="s">
        <v>324</v>
      </c>
      <c r="C186" s="160" t="s">
        <v>69</v>
      </c>
      <c r="D186" s="160" t="s">
        <v>862</v>
      </c>
      <c r="E186" s="3" t="s">
        <v>21</v>
      </c>
      <c r="F186" s="3" t="s">
        <v>926</v>
      </c>
      <c r="G186" s="3" t="s">
        <v>926</v>
      </c>
      <c r="H186" s="156" t="str">
        <f ca="1">IFERROR(
  _xludf.MINIFS(ATTENDANCE_LOG!$F:$F,
         ATTENDANCE_LOG!$A:$A, C186,
         ATTENDANCE_LOG!$B:$B, E186),
"")</f>
        <v/>
      </c>
      <c r="I186" s="3">
        <f>IFERROR(VLOOKUP(F186, LEVEL_HELPER!$A:$B, 2, 0), "")</f>
        <v>1</v>
      </c>
      <c r="J186" s="3">
        <f>IFERROR(VLOOKUP(G186, LEVEL_HELPER!$A:$B, 2, 0), "")</f>
        <v>1</v>
      </c>
      <c r="K186" s="3">
        <f t="shared" ref="K186:L186" si="373">IF(OR(I186="", I186=0), "",
  IF(I186&lt;=2,   1,
  IF(I186&lt;=4,   2,
  IF(I186&lt;=5.5, 3, 4))))</f>
        <v>1</v>
      </c>
      <c r="L186" s="3">
        <f t="shared" si="373"/>
        <v>1</v>
      </c>
      <c r="M186" s="3" t="str">
        <f t="shared" si="1"/>
        <v>No Progress</v>
      </c>
      <c r="N186" s="157" t="s">
        <v>942</v>
      </c>
      <c r="O186" s="157" t="s">
        <v>924</v>
      </c>
      <c r="P186" s="3" t="str">
        <f t="shared" ca="1" si="2"/>
        <v/>
      </c>
      <c r="Q186" s="147" t="str">
        <f t="shared" ca="1" si="3"/>
        <v/>
      </c>
      <c r="R186" s="147" t="str">
        <f t="shared" ref="R186:S186" ca="1" si="374">IF(OR(P186="", P186=0), "",
  IF(P186&lt;=2,   1,
  IF(P186&lt;=4,   2,
  IF(P186&lt;=5.5, 3, 4))))</f>
        <v/>
      </c>
      <c r="S186" s="147" t="str">
        <f t="shared" ca="1" si="374"/>
        <v/>
      </c>
      <c r="T186" s="147" t="str">
        <f t="shared" ca="1" si="5"/>
        <v>No Data</v>
      </c>
      <c r="U186" s="147">
        <f t="shared" si="6"/>
        <v>0</v>
      </c>
      <c r="V186" s="147"/>
    </row>
    <row r="187" spans="1:22">
      <c r="A187" s="157" t="s">
        <v>403</v>
      </c>
      <c r="B187" s="3" t="s">
        <v>404</v>
      </c>
      <c r="C187" s="160" t="s">
        <v>69</v>
      </c>
      <c r="D187" s="160" t="s">
        <v>862</v>
      </c>
      <c r="E187" s="3" t="s">
        <v>21</v>
      </c>
      <c r="F187" s="3" t="s">
        <v>916</v>
      </c>
      <c r="G187" s="3" t="s">
        <v>931</v>
      </c>
      <c r="H187" s="156" t="str">
        <f ca="1">IFERROR(
  _xludf.MINIFS(ATTENDANCE_LOG!$F:$F,
         ATTENDANCE_LOG!$A:$A, C187,
         ATTENDANCE_LOG!$B:$B, E187),
"")</f>
        <v/>
      </c>
      <c r="I187" s="3">
        <f>IFERROR(VLOOKUP(F187, LEVEL_HELPER!$A:$B, 2, 0), "")</f>
        <v>2.5</v>
      </c>
      <c r="J187" s="3">
        <f>IFERROR(VLOOKUP(G187, LEVEL_HELPER!$A:$B, 2, 0), "")</f>
        <v>4.5</v>
      </c>
      <c r="K187" s="3">
        <f t="shared" ref="K187:L187" si="375">IF(OR(I187="", I187=0), "",
  IF(I187&lt;=2,   1,
  IF(I187&lt;=4,   2,
  IF(I187&lt;=5.5, 3, 4))))</f>
        <v>2</v>
      </c>
      <c r="L187" s="3">
        <f t="shared" si="375"/>
        <v>3</v>
      </c>
      <c r="M187" s="3" t="str">
        <f t="shared" si="1"/>
        <v>Lv2 → Lv3</v>
      </c>
      <c r="N187" s="157" t="s">
        <v>942</v>
      </c>
      <c r="O187" s="157" t="s">
        <v>924</v>
      </c>
      <c r="P187" s="3" t="str">
        <f t="shared" ca="1" si="2"/>
        <v/>
      </c>
      <c r="Q187" s="147" t="str">
        <f t="shared" ca="1" si="3"/>
        <v/>
      </c>
      <c r="R187" s="147" t="str">
        <f t="shared" ref="R187:S187" ca="1" si="376">IF(OR(P187="", P187=0), "",
  IF(P187&lt;=2,   1,
  IF(P187&lt;=4,   2,
  IF(P187&lt;=5.5, 3, 4))))</f>
        <v/>
      </c>
      <c r="S187" s="147" t="str">
        <f t="shared" ca="1" si="376"/>
        <v/>
      </c>
      <c r="T187" s="147" t="str">
        <f t="shared" ca="1" si="5"/>
        <v>No Data</v>
      </c>
      <c r="U187" s="147">
        <f t="shared" si="6"/>
        <v>1</v>
      </c>
      <c r="V187" s="147"/>
    </row>
    <row r="188" spans="1:22">
      <c r="A188" s="157" t="s">
        <v>639</v>
      </c>
      <c r="B188" s="3" t="s">
        <v>640</v>
      </c>
      <c r="C188" s="160" t="s">
        <v>69</v>
      </c>
      <c r="D188" s="160" t="s">
        <v>862</v>
      </c>
      <c r="E188" s="3" t="s">
        <v>21</v>
      </c>
      <c r="F188" s="3" t="s">
        <v>926</v>
      </c>
      <c r="G188" s="3" t="s">
        <v>916</v>
      </c>
      <c r="H188" s="156" t="str">
        <f ca="1">IFERROR(
  _xludf.MINIFS(ATTENDANCE_LOG!$F:$F,
         ATTENDANCE_LOG!$A:$A, C188,
         ATTENDANCE_LOG!$B:$B, E188),
"")</f>
        <v/>
      </c>
      <c r="I188" s="3">
        <f>IFERROR(VLOOKUP(F188, LEVEL_HELPER!$A:$B, 2, 0), "")</f>
        <v>1</v>
      </c>
      <c r="J188" s="3">
        <f>IFERROR(VLOOKUP(G188, LEVEL_HELPER!$A:$B, 2, 0), "")</f>
        <v>2.5</v>
      </c>
      <c r="K188" s="3">
        <f t="shared" ref="K188:L188" si="377">IF(OR(I188="", I188=0), "",
  IF(I188&lt;=2,   1,
  IF(I188&lt;=4,   2,
  IF(I188&lt;=5.5, 3, 4))))</f>
        <v>1</v>
      </c>
      <c r="L188" s="3">
        <f t="shared" si="377"/>
        <v>2</v>
      </c>
      <c r="M188" s="3" t="str">
        <f t="shared" si="1"/>
        <v>Lv1 → Lv2</v>
      </c>
      <c r="N188" s="157" t="s">
        <v>942</v>
      </c>
      <c r="O188" s="157" t="s">
        <v>924</v>
      </c>
      <c r="P188" s="3" t="str">
        <f t="shared" ca="1" si="2"/>
        <v/>
      </c>
      <c r="Q188" s="147" t="str">
        <f t="shared" ca="1" si="3"/>
        <v/>
      </c>
      <c r="R188" s="147" t="str">
        <f t="shared" ref="R188:S188" ca="1" si="378">IF(OR(P188="", P188=0), "",
  IF(P188&lt;=2,   1,
  IF(P188&lt;=4,   2,
  IF(P188&lt;=5.5, 3, 4))))</f>
        <v/>
      </c>
      <c r="S188" s="147" t="str">
        <f t="shared" ca="1" si="378"/>
        <v/>
      </c>
      <c r="T188" s="147" t="str">
        <f t="shared" ca="1" si="5"/>
        <v>No Data</v>
      </c>
      <c r="U188" s="147">
        <f t="shared" si="6"/>
        <v>0</v>
      </c>
      <c r="V188" s="147"/>
    </row>
    <row r="189" spans="1:22">
      <c r="A189" s="157" t="s">
        <v>715</v>
      </c>
      <c r="B189" s="3" t="s">
        <v>716</v>
      </c>
      <c r="C189" s="160" t="s">
        <v>69</v>
      </c>
      <c r="D189" s="160" t="s">
        <v>862</v>
      </c>
      <c r="E189" s="3" t="s">
        <v>21</v>
      </c>
      <c r="F189" s="3" t="s">
        <v>916</v>
      </c>
      <c r="G189" s="3" t="s">
        <v>916</v>
      </c>
      <c r="H189" s="156" t="str">
        <f ca="1">IFERROR(
  _xludf.MINIFS(ATTENDANCE_LOG!$F:$F,
         ATTENDANCE_LOG!$A:$A, C189,
         ATTENDANCE_LOG!$B:$B, E189),
"")</f>
        <v/>
      </c>
      <c r="I189" s="3">
        <f>IFERROR(VLOOKUP(F189, LEVEL_HELPER!$A:$B, 2, 0), "")</f>
        <v>2.5</v>
      </c>
      <c r="J189" s="3">
        <f>IFERROR(VLOOKUP(G189, LEVEL_HELPER!$A:$B, 2, 0), "")</f>
        <v>2.5</v>
      </c>
      <c r="K189" s="3">
        <f t="shared" ref="K189:L189" si="379">IF(OR(I189="", I189=0), "",
  IF(I189&lt;=2,   1,
  IF(I189&lt;=4,   2,
  IF(I189&lt;=5.5, 3, 4))))</f>
        <v>2</v>
      </c>
      <c r="L189" s="3">
        <f t="shared" si="379"/>
        <v>2</v>
      </c>
      <c r="M189" s="3" t="str">
        <f t="shared" si="1"/>
        <v>No Progress</v>
      </c>
      <c r="N189" s="157" t="s">
        <v>942</v>
      </c>
      <c r="O189" s="157" t="s">
        <v>924</v>
      </c>
      <c r="P189" s="3" t="str">
        <f t="shared" ca="1" si="2"/>
        <v/>
      </c>
      <c r="Q189" s="147" t="str">
        <f t="shared" ca="1" si="3"/>
        <v/>
      </c>
      <c r="R189" s="147" t="str">
        <f t="shared" ref="R189:S189" ca="1" si="380">IF(OR(P189="", P189=0), "",
  IF(P189&lt;=2,   1,
  IF(P189&lt;=4,   2,
  IF(P189&lt;=5.5, 3, 4))))</f>
        <v/>
      </c>
      <c r="S189" s="147" t="str">
        <f t="shared" ca="1" si="380"/>
        <v/>
      </c>
      <c r="T189" s="147" t="str">
        <f t="shared" ca="1" si="5"/>
        <v>No Data</v>
      </c>
      <c r="U189" s="147">
        <f t="shared" si="6"/>
        <v>0</v>
      </c>
      <c r="V189" s="147"/>
    </row>
    <row r="190" spans="1:22">
      <c r="A190" s="176" t="s">
        <v>434</v>
      </c>
      <c r="B190" s="154" t="s">
        <v>435</v>
      </c>
      <c r="C190" s="155" t="s">
        <v>70</v>
      </c>
      <c r="D190" s="155" t="s">
        <v>863</v>
      </c>
      <c r="E190" s="154" t="s">
        <v>21</v>
      </c>
      <c r="F190" s="3" t="s">
        <v>926</v>
      </c>
      <c r="G190" s="3" t="s">
        <v>934</v>
      </c>
      <c r="H190" s="156" t="str">
        <f ca="1">IFERROR(
  _xludf.MINIFS(ATTENDANCE_LOG!$F:$F,
         ATTENDANCE_LOG!$A:$A, C190,
         ATTENDANCE_LOG!$B:$B, E190),
"")</f>
        <v/>
      </c>
      <c r="I190" s="3">
        <f>IFERROR(VLOOKUP(F190, LEVEL_HELPER!$A:$B, 2, 0), "")</f>
        <v>1</v>
      </c>
      <c r="J190" s="3">
        <f>IFERROR(VLOOKUP(G190, LEVEL_HELPER!$A:$B, 2, 0), "")</f>
        <v>3.5</v>
      </c>
      <c r="K190" s="3">
        <f t="shared" ref="K190:L190" si="381">IF(OR(I190="", I190=0), "",
  IF(I190&lt;=2,   1,
  IF(I190&lt;=4,   2,
  IF(I190&lt;=5.5, 3, 4))))</f>
        <v>1</v>
      </c>
      <c r="L190" s="3">
        <f t="shared" si="381"/>
        <v>2</v>
      </c>
      <c r="M190" s="3" t="str">
        <f t="shared" si="1"/>
        <v>Lv1 → Lv2</v>
      </c>
      <c r="N190" s="157" t="s">
        <v>942</v>
      </c>
      <c r="O190" s="157" t="s">
        <v>925</v>
      </c>
      <c r="P190" s="3" t="str">
        <f t="shared" ca="1" si="2"/>
        <v/>
      </c>
      <c r="Q190" s="147" t="str">
        <f t="shared" ca="1" si="3"/>
        <v/>
      </c>
      <c r="R190" s="147" t="str">
        <f t="shared" ref="R190:S190" ca="1" si="382">IF(OR(P190="", P190=0), "",
  IF(P190&lt;=2,   1,
  IF(P190&lt;=4,   2,
  IF(P190&lt;=5.5, 3, 4))))</f>
        <v/>
      </c>
      <c r="S190" s="147" t="str">
        <f t="shared" ca="1" si="382"/>
        <v/>
      </c>
      <c r="T190" s="147" t="str">
        <f t="shared" ca="1" si="5"/>
        <v>No Data</v>
      </c>
      <c r="U190" s="147">
        <f t="shared" si="6"/>
        <v>1</v>
      </c>
      <c r="V190" s="147"/>
    </row>
    <row r="191" spans="1:22">
      <c r="A191" s="157" t="s">
        <v>167</v>
      </c>
      <c r="B191" s="3" t="s">
        <v>168</v>
      </c>
      <c r="C191" s="160" t="s">
        <v>70</v>
      </c>
      <c r="D191" s="160" t="s">
        <v>863</v>
      </c>
      <c r="E191" s="3" t="s">
        <v>21</v>
      </c>
      <c r="F191" s="3" t="s">
        <v>926</v>
      </c>
      <c r="G191" s="3" t="s">
        <v>928</v>
      </c>
      <c r="H191" s="156" t="str">
        <f ca="1">IFERROR(
  _xludf.MINIFS(ATTENDANCE_LOG!$F:$F,
         ATTENDANCE_LOG!$A:$A, C191,
         ATTENDANCE_LOG!$B:$B, E191),
"")</f>
        <v/>
      </c>
      <c r="I191" s="3">
        <f>IFERROR(VLOOKUP(F191, LEVEL_HELPER!$A:$B, 2, 0), "")</f>
        <v>1</v>
      </c>
      <c r="J191" s="3">
        <f>IFERROR(VLOOKUP(G191, LEVEL_HELPER!$A:$B, 2, 0), "")</f>
        <v>1.5</v>
      </c>
      <c r="K191" s="3">
        <f t="shared" ref="K191:L191" si="383">IF(OR(I191="", I191=0), "",
  IF(I191&lt;=2,   1,
  IF(I191&lt;=4,   2,
  IF(I191&lt;=5.5, 3, 4))))</f>
        <v>1</v>
      </c>
      <c r="L191" s="3">
        <f t="shared" si="383"/>
        <v>1</v>
      </c>
      <c r="M191" s="3" t="str">
        <f t="shared" si="1"/>
        <v>Progress within level</v>
      </c>
      <c r="N191" s="157" t="s">
        <v>918</v>
      </c>
      <c r="O191" s="157" t="s">
        <v>922</v>
      </c>
      <c r="P191" s="3" t="str">
        <f t="shared" ca="1" si="2"/>
        <v/>
      </c>
      <c r="Q191" s="147" t="str">
        <f t="shared" ca="1" si="3"/>
        <v/>
      </c>
      <c r="R191" s="147" t="str">
        <f t="shared" ref="R191:S191" ca="1" si="384">IF(OR(P191="", P191=0), "",
  IF(P191&lt;=2,   1,
  IF(P191&lt;=4,   2,
  IF(P191&lt;=5.5, 3, 4))))</f>
        <v/>
      </c>
      <c r="S191" s="147" t="str">
        <f t="shared" ca="1" si="384"/>
        <v/>
      </c>
      <c r="T191" s="147" t="str">
        <f t="shared" ca="1" si="5"/>
        <v>No Data</v>
      </c>
      <c r="U191" s="147">
        <f t="shared" si="6"/>
        <v>0</v>
      </c>
      <c r="V191" s="147"/>
    </row>
    <row r="192" spans="1:22">
      <c r="A192" s="157" t="s">
        <v>184</v>
      </c>
      <c r="B192" s="3" t="s">
        <v>185</v>
      </c>
      <c r="C192" s="160" t="s">
        <v>70</v>
      </c>
      <c r="D192" s="160" t="s">
        <v>863</v>
      </c>
      <c r="E192" s="3" t="s">
        <v>21</v>
      </c>
      <c r="F192" s="3" t="s">
        <v>926</v>
      </c>
      <c r="G192" s="3" t="s">
        <v>934</v>
      </c>
      <c r="H192" s="156" t="str">
        <f ca="1">IFERROR(
  _xludf.MINIFS(ATTENDANCE_LOG!$F:$F,
         ATTENDANCE_LOG!$A:$A, C192,
         ATTENDANCE_LOG!$B:$B, E192),
"")</f>
        <v/>
      </c>
      <c r="I192" s="3">
        <f>IFERROR(VLOOKUP(F192, LEVEL_HELPER!$A:$B, 2, 0), "")</f>
        <v>1</v>
      </c>
      <c r="J192" s="3">
        <f>IFERROR(VLOOKUP(G192, LEVEL_HELPER!$A:$B, 2, 0), "")</f>
        <v>3.5</v>
      </c>
      <c r="K192" s="3">
        <f t="shared" ref="K192:L192" si="385">IF(OR(I192="", I192=0), "",
  IF(I192&lt;=2,   1,
  IF(I192&lt;=4,   2,
  IF(I192&lt;=5.5, 3, 4))))</f>
        <v>1</v>
      </c>
      <c r="L192" s="3">
        <f t="shared" si="385"/>
        <v>2</v>
      </c>
      <c r="M192" s="3" t="str">
        <f t="shared" si="1"/>
        <v>Lv1 → Lv2</v>
      </c>
      <c r="N192" s="157" t="s">
        <v>942</v>
      </c>
      <c r="O192" s="157" t="s">
        <v>925</v>
      </c>
      <c r="P192" s="3" t="str">
        <f t="shared" ca="1" si="2"/>
        <v/>
      </c>
      <c r="Q192" s="147" t="str">
        <f t="shared" ca="1" si="3"/>
        <v/>
      </c>
      <c r="R192" s="147" t="str">
        <f t="shared" ref="R192:S192" ca="1" si="386">IF(OR(P192="", P192=0), "",
  IF(P192&lt;=2,   1,
  IF(P192&lt;=4,   2,
  IF(P192&lt;=5.5, 3, 4))))</f>
        <v/>
      </c>
      <c r="S192" s="147" t="str">
        <f t="shared" ca="1" si="386"/>
        <v/>
      </c>
      <c r="T192" s="147" t="str">
        <f t="shared" ca="1" si="5"/>
        <v>No Data</v>
      </c>
      <c r="U192" s="147">
        <f t="shared" si="6"/>
        <v>0</v>
      </c>
      <c r="V192" s="147"/>
    </row>
    <row r="193" spans="1:22">
      <c r="A193" s="157" t="s">
        <v>188</v>
      </c>
      <c r="B193" s="3" t="s">
        <v>189</v>
      </c>
      <c r="C193" s="160" t="s">
        <v>70</v>
      </c>
      <c r="D193" s="160" t="s">
        <v>863</v>
      </c>
      <c r="E193" s="3" t="s">
        <v>21</v>
      </c>
      <c r="F193" s="3" t="s">
        <v>926</v>
      </c>
      <c r="G193" s="3" t="s">
        <v>934</v>
      </c>
      <c r="H193" s="156" t="str">
        <f ca="1">IFERROR(
  _xludf.MINIFS(ATTENDANCE_LOG!$F:$F,
         ATTENDANCE_LOG!$A:$A, C193,
         ATTENDANCE_LOG!$B:$B, E193),
"")</f>
        <v/>
      </c>
      <c r="I193" s="3">
        <f>IFERROR(VLOOKUP(F193, LEVEL_HELPER!$A:$B, 2, 0), "")</f>
        <v>1</v>
      </c>
      <c r="J193" s="3">
        <f>IFERROR(VLOOKUP(G193, LEVEL_HELPER!$A:$B, 2, 0), "")</f>
        <v>3.5</v>
      </c>
      <c r="K193" s="3">
        <f t="shared" ref="K193:L193" si="387">IF(OR(I193="", I193=0), "",
  IF(I193&lt;=2,   1,
  IF(I193&lt;=4,   2,
  IF(I193&lt;=5.5, 3, 4))))</f>
        <v>1</v>
      </c>
      <c r="L193" s="3">
        <f t="shared" si="387"/>
        <v>2</v>
      </c>
      <c r="M193" s="3" t="str">
        <f t="shared" si="1"/>
        <v>Lv1 → Lv2</v>
      </c>
      <c r="N193" s="157" t="s">
        <v>918</v>
      </c>
      <c r="O193" s="157" t="s">
        <v>922</v>
      </c>
      <c r="P193" s="3" t="str">
        <f t="shared" ca="1" si="2"/>
        <v/>
      </c>
      <c r="Q193" s="147" t="str">
        <f t="shared" ca="1" si="3"/>
        <v/>
      </c>
      <c r="R193" s="147" t="str">
        <f t="shared" ref="R193:S193" ca="1" si="388">IF(OR(P193="", P193=0), "",
  IF(P193&lt;=2,   1,
  IF(P193&lt;=4,   2,
  IF(P193&lt;=5.5, 3, 4))))</f>
        <v/>
      </c>
      <c r="S193" s="147" t="str">
        <f t="shared" ca="1" si="388"/>
        <v/>
      </c>
      <c r="T193" s="147" t="str">
        <f t="shared" ca="1" si="5"/>
        <v>No Data</v>
      </c>
      <c r="U193" s="147">
        <f t="shared" si="6"/>
        <v>0</v>
      </c>
      <c r="V193" s="147"/>
    </row>
    <row r="194" spans="1:22">
      <c r="A194" s="157" t="s">
        <v>192</v>
      </c>
      <c r="B194" s="3" t="s">
        <v>193</v>
      </c>
      <c r="C194" s="160" t="s">
        <v>70</v>
      </c>
      <c r="D194" s="160" t="s">
        <v>863</v>
      </c>
      <c r="E194" s="3" t="s">
        <v>21</v>
      </c>
      <c r="F194" s="3" t="s">
        <v>926</v>
      </c>
      <c r="G194" s="3" t="s">
        <v>917</v>
      </c>
      <c r="H194" s="156" t="str">
        <f ca="1">IFERROR(
  _xludf.MINIFS(ATTENDANCE_LOG!$F:$F,
         ATTENDANCE_LOG!$A:$A, C194,
         ATTENDANCE_LOG!$B:$B, E194),
"")</f>
        <v/>
      </c>
      <c r="I194" s="3">
        <f>IFERROR(VLOOKUP(F194, LEVEL_HELPER!$A:$B, 2, 0), "")</f>
        <v>1</v>
      </c>
      <c r="J194" s="3">
        <f>IFERROR(VLOOKUP(G194, LEVEL_HELPER!$A:$B, 2, 0), "")</f>
        <v>3</v>
      </c>
      <c r="K194" s="3">
        <f t="shared" ref="K194:L194" si="389">IF(OR(I194="", I194=0), "",
  IF(I194&lt;=2,   1,
  IF(I194&lt;=4,   2,
  IF(I194&lt;=5.5, 3, 4))))</f>
        <v>1</v>
      </c>
      <c r="L194" s="3">
        <f t="shared" si="389"/>
        <v>2</v>
      </c>
      <c r="M194" s="3" t="str">
        <f t="shared" si="1"/>
        <v>Lv1 → Lv2</v>
      </c>
      <c r="N194" s="157" t="s">
        <v>942</v>
      </c>
      <c r="O194" s="157" t="s">
        <v>922</v>
      </c>
      <c r="P194" s="3" t="str">
        <f t="shared" ca="1" si="2"/>
        <v/>
      </c>
      <c r="Q194" s="147" t="str">
        <f t="shared" ca="1" si="3"/>
        <v/>
      </c>
      <c r="R194" s="147" t="str">
        <f t="shared" ref="R194:S194" ca="1" si="390">IF(OR(P194="", P194=0), "",
  IF(P194&lt;=2,   1,
  IF(P194&lt;=4,   2,
  IF(P194&lt;=5.5, 3, 4))))</f>
        <v/>
      </c>
      <c r="S194" s="147" t="str">
        <f t="shared" ca="1" si="390"/>
        <v/>
      </c>
      <c r="T194" s="147" t="str">
        <f t="shared" ca="1" si="5"/>
        <v>No Data</v>
      </c>
      <c r="U194" s="147">
        <f t="shared" si="6"/>
        <v>1</v>
      </c>
      <c r="V194" s="147"/>
    </row>
    <row r="195" spans="1:22">
      <c r="A195" s="157" t="s">
        <v>202</v>
      </c>
      <c r="B195" s="3" t="s">
        <v>203</v>
      </c>
      <c r="C195" s="160" t="s">
        <v>70</v>
      </c>
      <c r="D195" s="160" t="s">
        <v>863</v>
      </c>
      <c r="E195" s="3" t="s">
        <v>21</v>
      </c>
      <c r="F195" s="3" t="s">
        <v>931</v>
      </c>
      <c r="G195" s="3" t="s">
        <v>931</v>
      </c>
      <c r="H195" s="156" t="str">
        <f ca="1">IFERROR(
  _xludf.MINIFS(ATTENDANCE_LOG!$F:$F,
         ATTENDANCE_LOG!$A:$A, C195,
         ATTENDANCE_LOG!$B:$B, E195),
"")</f>
        <v/>
      </c>
      <c r="I195" s="3">
        <f>IFERROR(VLOOKUP(F195, LEVEL_HELPER!$A:$B, 2, 0), "")</f>
        <v>4.5</v>
      </c>
      <c r="J195" s="3">
        <f>IFERROR(VLOOKUP(G195, LEVEL_HELPER!$A:$B, 2, 0), "")</f>
        <v>4.5</v>
      </c>
      <c r="K195" s="3">
        <f t="shared" ref="K195:L195" si="391">IF(OR(I195="", I195=0), "",
  IF(I195&lt;=2,   1,
  IF(I195&lt;=4,   2,
  IF(I195&lt;=5.5, 3, 4))))</f>
        <v>3</v>
      </c>
      <c r="L195" s="3">
        <f t="shared" si="391"/>
        <v>3</v>
      </c>
      <c r="M195" s="3" t="str">
        <f t="shared" si="1"/>
        <v>No Progress</v>
      </c>
      <c r="N195" s="157" t="s">
        <v>942</v>
      </c>
      <c r="O195" s="157" t="s">
        <v>925</v>
      </c>
      <c r="P195" s="3" t="str">
        <f t="shared" ca="1" si="2"/>
        <v/>
      </c>
      <c r="Q195" s="147" t="str">
        <f t="shared" ca="1" si="3"/>
        <v/>
      </c>
      <c r="R195" s="147" t="str">
        <f t="shared" ref="R195:S195" ca="1" si="392">IF(OR(P195="", P195=0), "",
  IF(P195&lt;=2,   1,
  IF(P195&lt;=4,   2,
  IF(P195&lt;=5.5, 3, 4))))</f>
        <v/>
      </c>
      <c r="S195" s="147" t="str">
        <f t="shared" ca="1" si="392"/>
        <v/>
      </c>
      <c r="T195" s="147" t="str">
        <f t="shared" ca="1" si="5"/>
        <v>No Data</v>
      </c>
      <c r="U195" s="147">
        <f t="shared" si="6"/>
        <v>1</v>
      </c>
      <c r="V195" s="147"/>
    </row>
    <row r="196" spans="1:22">
      <c r="A196" s="157" t="s">
        <v>607</v>
      </c>
      <c r="B196" s="3" t="s">
        <v>608</v>
      </c>
      <c r="C196" s="160" t="s">
        <v>70</v>
      </c>
      <c r="D196" s="160" t="s">
        <v>863</v>
      </c>
      <c r="E196" s="3" t="s">
        <v>21</v>
      </c>
      <c r="F196" s="3" t="s">
        <v>926</v>
      </c>
      <c r="G196" s="3" t="s">
        <v>934</v>
      </c>
      <c r="H196" s="156" t="str">
        <f ca="1">IFERROR(
  _xludf.MINIFS(ATTENDANCE_LOG!$F:$F,
         ATTENDANCE_LOG!$A:$A, C196,
         ATTENDANCE_LOG!$B:$B, E196),
"")</f>
        <v/>
      </c>
      <c r="I196" s="3">
        <f>IFERROR(VLOOKUP(F196, LEVEL_HELPER!$A:$B, 2, 0), "")</f>
        <v>1</v>
      </c>
      <c r="J196" s="3">
        <f>IFERROR(VLOOKUP(G196, LEVEL_HELPER!$A:$B, 2, 0), "")</f>
        <v>3.5</v>
      </c>
      <c r="K196" s="3">
        <f t="shared" ref="K196:L196" si="393">IF(OR(I196="", I196=0), "",
  IF(I196&lt;=2,   1,
  IF(I196&lt;=4,   2,
  IF(I196&lt;=5.5, 3, 4))))</f>
        <v>1</v>
      </c>
      <c r="L196" s="3">
        <f t="shared" si="393"/>
        <v>2</v>
      </c>
      <c r="M196" s="3" t="str">
        <f t="shared" si="1"/>
        <v>Lv1 → Lv2</v>
      </c>
      <c r="N196" s="157" t="s">
        <v>942</v>
      </c>
      <c r="O196" s="157" t="s">
        <v>968</v>
      </c>
      <c r="P196" s="3" t="str">
        <f t="shared" ca="1" si="2"/>
        <v/>
      </c>
      <c r="Q196" s="147" t="str">
        <f t="shared" ca="1" si="3"/>
        <v/>
      </c>
      <c r="R196" s="147" t="str">
        <f t="shared" ref="R196:S196" ca="1" si="394">IF(OR(P196="", P196=0), "",
  IF(P196&lt;=2,   1,
  IF(P196&lt;=4,   2,
  IF(P196&lt;=5.5, 3, 4))))</f>
        <v/>
      </c>
      <c r="S196" s="147" t="str">
        <f t="shared" ca="1" si="394"/>
        <v/>
      </c>
      <c r="T196" s="147" t="str">
        <f t="shared" ca="1" si="5"/>
        <v>No Data</v>
      </c>
      <c r="U196" s="147">
        <f t="shared" si="6"/>
        <v>1</v>
      </c>
      <c r="V196" s="147"/>
    </row>
    <row r="197" spans="1:22">
      <c r="A197" s="157" t="s">
        <v>697</v>
      </c>
      <c r="B197" s="3" t="s">
        <v>698</v>
      </c>
      <c r="C197" s="160" t="s">
        <v>70</v>
      </c>
      <c r="D197" s="160" t="s">
        <v>863</v>
      </c>
      <c r="E197" s="3" t="s">
        <v>21</v>
      </c>
      <c r="F197" s="3" t="s">
        <v>926</v>
      </c>
      <c r="G197" s="3" t="s">
        <v>917</v>
      </c>
      <c r="H197" s="156" t="str">
        <f ca="1">IFERROR(
  _xludf.MINIFS(ATTENDANCE_LOG!$F:$F,
         ATTENDANCE_LOG!$A:$A, C197,
         ATTENDANCE_LOG!$B:$B, E197),
"")</f>
        <v/>
      </c>
      <c r="I197" s="3">
        <f>IFERROR(VLOOKUP(F197, LEVEL_HELPER!$A:$B, 2, 0), "")</f>
        <v>1</v>
      </c>
      <c r="J197" s="3">
        <f>IFERROR(VLOOKUP(G197, LEVEL_HELPER!$A:$B, 2, 0), "")</f>
        <v>3</v>
      </c>
      <c r="K197" s="3">
        <f t="shared" ref="K197:L197" si="395">IF(OR(I197="", I197=0), "",
  IF(I197&lt;=2,   1,
  IF(I197&lt;=4,   2,
  IF(I197&lt;=5.5, 3, 4))))</f>
        <v>1</v>
      </c>
      <c r="L197" s="3">
        <f t="shared" si="395"/>
        <v>2</v>
      </c>
      <c r="M197" s="3" t="str">
        <f t="shared" si="1"/>
        <v>Lv1 → Lv2</v>
      </c>
      <c r="N197" s="157" t="s">
        <v>942</v>
      </c>
      <c r="O197" s="157" t="s">
        <v>925</v>
      </c>
      <c r="P197" s="3" t="str">
        <f t="shared" ca="1" si="2"/>
        <v/>
      </c>
      <c r="Q197" s="147" t="str">
        <f t="shared" ca="1" si="3"/>
        <v/>
      </c>
      <c r="R197" s="147" t="str">
        <f t="shared" ref="R197:S197" ca="1" si="396">IF(OR(P197="", P197=0), "",
  IF(P197&lt;=2,   1,
  IF(P197&lt;=4,   2,
  IF(P197&lt;=5.5, 3, 4))))</f>
        <v/>
      </c>
      <c r="S197" s="147" t="str">
        <f t="shared" ca="1" si="396"/>
        <v/>
      </c>
      <c r="T197" s="147" t="str">
        <f t="shared" ca="1" si="5"/>
        <v>No Data</v>
      </c>
      <c r="U197" s="147">
        <f t="shared" si="6"/>
        <v>0</v>
      </c>
      <c r="V197" s="147"/>
    </row>
    <row r="198" spans="1:22">
      <c r="A198" s="176" t="s">
        <v>434</v>
      </c>
      <c r="B198" s="154" t="s">
        <v>435</v>
      </c>
      <c r="C198" s="155" t="s">
        <v>70</v>
      </c>
      <c r="D198" s="155" t="s">
        <v>863</v>
      </c>
      <c r="E198" s="154" t="s">
        <v>22</v>
      </c>
      <c r="F198" s="3" t="s">
        <v>934</v>
      </c>
      <c r="G198" s="3"/>
      <c r="H198" s="156" t="str">
        <f ca="1">IFERROR(
  _xludf.MINIFS(ATTENDANCE_LOG!$F:$F,
         ATTENDANCE_LOG!$A:$A, C198,
         ATTENDANCE_LOG!$B:$B, E198),
"")</f>
        <v/>
      </c>
      <c r="I198" s="3">
        <f>IFERROR(VLOOKUP(F198, LEVEL_HELPER!$A:$B, 2, 0), "")</f>
        <v>3.5</v>
      </c>
      <c r="J198" s="3" t="str">
        <f>IFERROR(VLOOKUP(G198, LEVEL_HELPER!$A:$B, 2, 0), "")</f>
        <v/>
      </c>
      <c r="K198" s="3">
        <f t="shared" ref="K198:L198" si="397">IF(OR(I198="", I198=0), "",
  IF(I198&lt;=2,   1,
  IF(I198&lt;=4,   2,
  IF(I198&lt;=5.5, 3, 4))))</f>
        <v>2</v>
      </c>
      <c r="L198" s="3" t="str">
        <f t="shared" si="397"/>
        <v/>
      </c>
      <c r="M198" s="3" t="str">
        <f t="shared" si="1"/>
        <v>No Data</v>
      </c>
      <c r="N198" s="157" t="s">
        <v>942</v>
      </c>
      <c r="O198" s="157" t="s">
        <v>925</v>
      </c>
      <c r="P198" s="3" t="str">
        <f t="shared" ca="1" si="2"/>
        <v/>
      </c>
      <c r="Q198" s="147" t="str">
        <f t="shared" ca="1" si="3"/>
        <v/>
      </c>
      <c r="R198" s="147" t="str">
        <f t="shared" ref="R198:S198" ca="1" si="398">IF(OR(P198="", P198=0), "",
  IF(P198&lt;=2,   1,
  IF(P198&lt;=4,   2,
  IF(P198&lt;=5.5, 3, 4))))</f>
        <v/>
      </c>
      <c r="S198" s="147" t="str">
        <f t="shared" ca="1" si="398"/>
        <v/>
      </c>
      <c r="T198" s="147" t="str">
        <f t="shared" ca="1" si="5"/>
        <v>No Data</v>
      </c>
      <c r="U198" s="147">
        <f t="shared" si="6"/>
        <v>0</v>
      </c>
      <c r="V198" s="147"/>
    </row>
    <row r="199" spans="1:22">
      <c r="A199" s="157" t="s">
        <v>167</v>
      </c>
      <c r="B199" s="3" t="s">
        <v>168</v>
      </c>
      <c r="C199" s="160" t="s">
        <v>70</v>
      </c>
      <c r="D199" s="160" t="s">
        <v>863</v>
      </c>
      <c r="E199" s="3" t="s">
        <v>22</v>
      </c>
      <c r="F199" s="3" t="s">
        <v>928</v>
      </c>
      <c r="G199" s="3" t="s">
        <v>928</v>
      </c>
      <c r="H199" s="156" t="str">
        <f ca="1">IFERROR(
  _xludf.MINIFS(ATTENDANCE_LOG!$F:$F,
         ATTENDANCE_LOG!$A:$A, C199,
         ATTENDANCE_LOG!$B:$B, E199),
"")</f>
        <v/>
      </c>
      <c r="I199" s="3">
        <f>IFERROR(VLOOKUP(F199, LEVEL_HELPER!$A:$B, 2, 0), "")</f>
        <v>1.5</v>
      </c>
      <c r="J199" s="3">
        <f>IFERROR(VLOOKUP(G199, LEVEL_HELPER!$A:$B, 2, 0), "")</f>
        <v>1.5</v>
      </c>
      <c r="K199" s="3">
        <f t="shared" ref="K199:L199" si="399">IF(OR(I199="", I199=0), "",
  IF(I199&lt;=2,   1,
  IF(I199&lt;=4,   2,
  IF(I199&lt;=5.5, 3, 4))))</f>
        <v>1</v>
      </c>
      <c r="L199" s="3">
        <f t="shared" si="399"/>
        <v>1</v>
      </c>
      <c r="M199" s="3" t="str">
        <f t="shared" si="1"/>
        <v>No Progress</v>
      </c>
      <c r="N199" s="157" t="s">
        <v>918</v>
      </c>
      <c r="O199" s="157" t="s">
        <v>922</v>
      </c>
      <c r="P199" s="3" t="str">
        <f t="shared" ca="1" si="2"/>
        <v/>
      </c>
      <c r="Q199" s="147" t="str">
        <f t="shared" ca="1" si="3"/>
        <v/>
      </c>
      <c r="R199" s="147" t="str">
        <f t="shared" ref="R199:S199" ca="1" si="400">IF(OR(P199="", P199=0), "",
  IF(P199&lt;=2,   1,
  IF(P199&lt;=4,   2,
  IF(P199&lt;=5.5, 3, 4))))</f>
        <v/>
      </c>
      <c r="S199" s="147" t="str">
        <f t="shared" ca="1" si="400"/>
        <v/>
      </c>
      <c r="T199" s="147" t="str">
        <f t="shared" ca="1" si="5"/>
        <v>No Data</v>
      </c>
      <c r="U199" s="147">
        <f t="shared" si="6"/>
        <v>0</v>
      </c>
      <c r="V199" s="147"/>
    </row>
    <row r="200" spans="1:22">
      <c r="A200" s="157" t="s">
        <v>184</v>
      </c>
      <c r="B200" s="3" t="s">
        <v>185</v>
      </c>
      <c r="C200" s="160" t="s">
        <v>70</v>
      </c>
      <c r="D200" s="160" t="s">
        <v>863</v>
      </c>
      <c r="E200" s="3" t="s">
        <v>22</v>
      </c>
      <c r="F200" s="3" t="s">
        <v>934</v>
      </c>
      <c r="G200" s="3"/>
      <c r="H200" s="156" t="str">
        <f ca="1">IFERROR(
  _xludf.MINIFS(ATTENDANCE_LOG!$F:$F,
         ATTENDANCE_LOG!$A:$A, C200,
         ATTENDANCE_LOG!$B:$B, E200),
"")</f>
        <v/>
      </c>
      <c r="I200" s="3">
        <f>IFERROR(VLOOKUP(F200, LEVEL_HELPER!$A:$B, 2, 0), "")</f>
        <v>3.5</v>
      </c>
      <c r="J200" s="3" t="str">
        <f>IFERROR(VLOOKUP(G200, LEVEL_HELPER!$A:$B, 2, 0), "")</f>
        <v/>
      </c>
      <c r="K200" s="3">
        <f t="shared" ref="K200:L200" si="401">IF(OR(I200="", I200=0), "",
  IF(I200&lt;=2,   1,
  IF(I200&lt;=4,   2,
  IF(I200&lt;=5.5, 3, 4))))</f>
        <v>2</v>
      </c>
      <c r="L200" s="3" t="str">
        <f t="shared" si="401"/>
        <v/>
      </c>
      <c r="M200" s="3" t="str">
        <f t="shared" si="1"/>
        <v>No Data</v>
      </c>
      <c r="N200" s="157" t="s">
        <v>942</v>
      </c>
      <c r="O200" s="157" t="s">
        <v>925</v>
      </c>
      <c r="P200" s="3" t="str">
        <f t="shared" ca="1" si="2"/>
        <v/>
      </c>
      <c r="Q200" s="147" t="str">
        <f t="shared" ca="1" si="3"/>
        <v/>
      </c>
      <c r="R200" s="147" t="str">
        <f t="shared" ref="R200:S200" ca="1" si="402">IF(OR(P200="", P200=0), "",
  IF(P200&lt;=2,   1,
  IF(P200&lt;=4,   2,
  IF(P200&lt;=5.5, 3, 4))))</f>
        <v/>
      </c>
      <c r="S200" s="147" t="str">
        <f t="shared" ca="1" si="402"/>
        <v/>
      </c>
      <c r="T200" s="147" t="str">
        <f t="shared" ca="1" si="5"/>
        <v>No Data</v>
      </c>
      <c r="U200" s="147">
        <f t="shared" si="6"/>
        <v>0</v>
      </c>
      <c r="V200" s="147"/>
    </row>
    <row r="201" spans="1:22">
      <c r="A201" s="157" t="s">
        <v>188</v>
      </c>
      <c r="B201" s="3" t="s">
        <v>189</v>
      </c>
      <c r="C201" s="160" t="s">
        <v>70</v>
      </c>
      <c r="D201" s="160" t="s">
        <v>863</v>
      </c>
      <c r="E201" s="3" t="s">
        <v>22</v>
      </c>
      <c r="F201" s="3" t="s">
        <v>934</v>
      </c>
      <c r="G201" s="3"/>
      <c r="H201" s="156" t="str">
        <f ca="1">IFERROR(
  _xludf.MINIFS(ATTENDANCE_LOG!$F:$F,
         ATTENDANCE_LOG!$A:$A, C201,
         ATTENDANCE_LOG!$B:$B, E201),
"")</f>
        <v/>
      </c>
      <c r="I201" s="3">
        <f>IFERROR(VLOOKUP(F201, LEVEL_HELPER!$A:$B, 2, 0), "")</f>
        <v>3.5</v>
      </c>
      <c r="J201" s="3" t="str">
        <f>IFERROR(VLOOKUP(G201, LEVEL_HELPER!$A:$B, 2, 0), "")</f>
        <v/>
      </c>
      <c r="K201" s="3">
        <f t="shared" ref="K201:L201" si="403">IF(OR(I201="", I201=0), "",
  IF(I201&lt;=2,   1,
  IF(I201&lt;=4,   2,
  IF(I201&lt;=5.5, 3, 4))))</f>
        <v>2</v>
      </c>
      <c r="L201" s="3" t="str">
        <f t="shared" si="403"/>
        <v/>
      </c>
      <c r="M201" s="3" t="str">
        <f t="shared" si="1"/>
        <v>No Data</v>
      </c>
      <c r="N201" s="157" t="s">
        <v>918</v>
      </c>
      <c r="O201" s="157" t="s">
        <v>922</v>
      </c>
      <c r="P201" s="3" t="str">
        <f t="shared" ca="1" si="2"/>
        <v/>
      </c>
      <c r="Q201" s="147" t="str">
        <f t="shared" ca="1" si="3"/>
        <v/>
      </c>
      <c r="R201" s="147" t="str">
        <f t="shared" ref="R201:S201" ca="1" si="404">IF(OR(P201="", P201=0), "",
  IF(P201&lt;=2,   1,
  IF(P201&lt;=4,   2,
  IF(P201&lt;=5.5, 3, 4))))</f>
        <v/>
      </c>
      <c r="S201" s="147" t="str">
        <f t="shared" ca="1" si="404"/>
        <v/>
      </c>
      <c r="T201" s="147" t="str">
        <f t="shared" ca="1" si="5"/>
        <v>No Data</v>
      </c>
      <c r="U201" s="147">
        <f t="shared" si="6"/>
        <v>0</v>
      </c>
      <c r="V201" s="147"/>
    </row>
    <row r="202" spans="1:22">
      <c r="A202" s="157" t="s">
        <v>697</v>
      </c>
      <c r="B202" s="3" t="s">
        <v>698</v>
      </c>
      <c r="C202" s="160" t="s">
        <v>70</v>
      </c>
      <c r="D202" s="160" t="s">
        <v>863</v>
      </c>
      <c r="E202" s="3" t="s">
        <v>22</v>
      </c>
      <c r="F202" s="3" t="s">
        <v>934</v>
      </c>
      <c r="G202" s="3"/>
      <c r="H202" s="156" t="str">
        <f ca="1">IFERROR(
  _xludf.MINIFS(ATTENDANCE_LOG!$F:$F,
         ATTENDANCE_LOG!$A:$A, C202,
         ATTENDANCE_LOG!$B:$B, E202),
"")</f>
        <v/>
      </c>
      <c r="I202" s="3">
        <f>IFERROR(VLOOKUP(F202, LEVEL_HELPER!$A:$B, 2, 0), "")</f>
        <v>3.5</v>
      </c>
      <c r="J202" s="3" t="str">
        <f>IFERROR(VLOOKUP(G202, LEVEL_HELPER!$A:$B, 2, 0), "")</f>
        <v/>
      </c>
      <c r="K202" s="3">
        <f t="shared" ref="K202:L202" si="405">IF(OR(I202="", I202=0), "",
  IF(I202&lt;=2,   1,
  IF(I202&lt;=4,   2,
  IF(I202&lt;=5.5, 3, 4))))</f>
        <v>2</v>
      </c>
      <c r="L202" s="3" t="str">
        <f t="shared" si="405"/>
        <v/>
      </c>
      <c r="M202" s="3" t="str">
        <f t="shared" si="1"/>
        <v>No Data</v>
      </c>
      <c r="N202" s="157" t="s">
        <v>942</v>
      </c>
      <c r="O202" s="157" t="s">
        <v>925</v>
      </c>
      <c r="P202" s="3" t="str">
        <f t="shared" ca="1" si="2"/>
        <v/>
      </c>
      <c r="Q202" s="147" t="str">
        <f t="shared" ca="1" si="3"/>
        <v/>
      </c>
      <c r="R202" s="147" t="str">
        <f t="shared" ref="R202:S202" ca="1" si="406">IF(OR(P202="", P202=0), "",
  IF(P202&lt;=2,   1,
  IF(P202&lt;=4,   2,
  IF(P202&lt;=5.5, 3, 4))))</f>
        <v/>
      </c>
      <c r="S202" s="147" t="str">
        <f t="shared" ca="1" si="406"/>
        <v/>
      </c>
      <c r="T202" s="147" t="str">
        <f t="shared" ca="1" si="5"/>
        <v>No Data</v>
      </c>
      <c r="U202" s="147">
        <f t="shared" si="6"/>
        <v>0</v>
      </c>
      <c r="V202" s="147"/>
    </row>
    <row r="203" spans="1:22">
      <c r="A203" s="176" t="s">
        <v>631</v>
      </c>
      <c r="B203" s="154" t="s">
        <v>632</v>
      </c>
      <c r="C203" s="155" t="s">
        <v>71</v>
      </c>
      <c r="D203" s="155" t="s">
        <v>864</v>
      </c>
      <c r="E203" s="154" t="s">
        <v>24</v>
      </c>
      <c r="F203" s="3" t="s">
        <v>931</v>
      </c>
      <c r="G203" s="3" t="s">
        <v>949</v>
      </c>
      <c r="H203" s="156" t="str">
        <f ca="1">IFERROR(
  _xludf.MINIFS(ATTENDANCE_LOG!$F:$F,
         ATTENDANCE_LOG!$A:$A, C203,
         ATTENDANCE_LOG!$B:$B, E203),
"")</f>
        <v/>
      </c>
      <c r="I203" s="3">
        <f>IFERROR(VLOOKUP(F203, LEVEL_HELPER!$A:$B, 2, 0), "")</f>
        <v>4.5</v>
      </c>
      <c r="J203" s="3">
        <f>IFERROR(VLOOKUP(G203, LEVEL_HELPER!$A:$B, 2, 0), "")</f>
        <v>6</v>
      </c>
      <c r="K203" s="3">
        <f t="shared" ref="K203:L203" si="407">IF(OR(I203="", I203=0), "",
  IF(I203&lt;=2,   1,
  IF(I203&lt;=4,   2,
  IF(I203&lt;=5.5, 3, 4))))</f>
        <v>3</v>
      </c>
      <c r="L203" s="3">
        <f t="shared" si="407"/>
        <v>4</v>
      </c>
      <c r="M203" s="3" t="str">
        <f t="shared" si="1"/>
        <v>Lv3 → Lv4</v>
      </c>
      <c r="N203" s="157" t="s">
        <v>950</v>
      </c>
      <c r="O203" s="157" t="s">
        <v>922</v>
      </c>
      <c r="P203" s="3" t="str">
        <f t="shared" ca="1" si="2"/>
        <v/>
      </c>
      <c r="Q203" s="147" t="str">
        <f t="shared" ca="1" si="3"/>
        <v/>
      </c>
      <c r="R203" s="147" t="str">
        <f t="shared" ref="R203:S203" ca="1" si="408">IF(OR(P203="", P203=0), "",
  IF(P203&lt;=2,   1,
  IF(P203&lt;=4,   2,
  IF(P203&lt;=5.5, 3, 4))))</f>
        <v/>
      </c>
      <c r="S203" s="147" t="str">
        <f t="shared" ca="1" si="408"/>
        <v/>
      </c>
      <c r="T203" s="147" t="str">
        <f t="shared" ca="1" si="5"/>
        <v>No Data</v>
      </c>
      <c r="U203" s="147">
        <f t="shared" si="6"/>
        <v>1</v>
      </c>
      <c r="V203" s="147"/>
    </row>
    <row r="204" spans="1:22">
      <c r="A204" s="157" t="s">
        <v>288</v>
      </c>
      <c r="B204" s="3" t="s">
        <v>289</v>
      </c>
      <c r="C204" s="160" t="s">
        <v>71</v>
      </c>
      <c r="D204" s="160" t="s">
        <v>864</v>
      </c>
      <c r="E204" s="3" t="s">
        <v>24</v>
      </c>
      <c r="F204" s="3" t="s">
        <v>931</v>
      </c>
      <c r="G204" s="3" t="s">
        <v>949</v>
      </c>
      <c r="H204" s="156" t="str">
        <f ca="1">IFERROR(
  _xludf.MINIFS(ATTENDANCE_LOG!$F:$F,
         ATTENDANCE_LOG!$A:$A, C204,
         ATTENDANCE_LOG!$B:$B, E204),
"")</f>
        <v/>
      </c>
      <c r="I204" s="3">
        <f>IFERROR(VLOOKUP(F204, LEVEL_HELPER!$A:$B, 2, 0), "")</f>
        <v>4.5</v>
      </c>
      <c r="J204" s="3">
        <f>IFERROR(VLOOKUP(G204, LEVEL_HELPER!$A:$B, 2, 0), "")</f>
        <v>6</v>
      </c>
      <c r="K204" s="3">
        <f t="shared" ref="K204:L204" si="409">IF(OR(I204="", I204=0), "",
  IF(I204&lt;=2,   1,
  IF(I204&lt;=4,   2,
  IF(I204&lt;=5.5, 3, 4))))</f>
        <v>3</v>
      </c>
      <c r="L204" s="3">
        <f t="shared" si="409"/>
        <v>4</v>
      </c>
      <c r="M204" s="3" t="str">
        <f t="shared" si="1"/>
        <v>Lv3 → Lv4</v>
      </c>
      <c r="N204" s="157" t="s">
        <v>950</v>
      </c>
      <c r="O204" s="157" t="s">
        <v>922</v>
      </c>
      <c r="P204" s="3" t="str">
        <f t="shared" ca="1" si="2"/>
        <v/>
      </c>
      <c r="Q204" s="147" t="str">
        <f t="shared" ca="1" si="3"/>
        <v/>
      </c>
      <c r="R204" s="147" t="str">
        <f t="shared" ref="R204:S204" ca="1" si="410">IF(OR(P204="", P204=0), "",
  IF(P204&lt;=2,   1,
  IF(P204&lt;=4,   2,
  IF(P204&lt;=5.5, 3, 4))))</f>
        <v/>
      </c>
      <c r="S204" s="147" t="str">
        <f t="shared" ca="1" si="410"/>
        <v/>
      </c>
      <c r="T204" s="147" t="str">
        <f t="shared" ca="1" si="5"/>
        <v>No Data</v>
      </c>
      <c r="U204" s="147">
        <f t="shared" si="6"/>
        <v>1</v>
      </c>
      <c r="V204" s="147"/>
    </row>
    <row r="205" spans="1:22">
      <c r="A205" s="157" t="s">
        <v>348</v>
      </c>
      <c r="B205" s="3" t="s">
        <v>349</v>
      </c>
      <c r="C205" s="160" t="s">
        <v>71</v>
      </c>
      <c r="D205" s="160" t="s">
        <v>864</v>
      </c>
      <c r="E205" s="3" t="s">
        <v>24</v>
      </c>
      <c r="F205" s="3" t="s">
        <v>931</v>
      </c>
      <c r="G205" s="3"/>
      <c r="H205" s="156" t="str">
        <f ca="1">IFERROR(
  _xludf.MINIFS(ATTENDANCE_LOG!$F:$F,
         ATTENDANCE_LOG!$A:$A, C205,
         ATTENDANCE_LOG!$B:$B, E205),
"")</f>
        <v/>
      </c>
      <c r="I205" s="3">
        <f>IFERROR(VLOOKUP(F205, LEVEL_HELPER!$A:$B, 2, 0), "")</f>
        <v>4.5</v>
      </c>
      <c r="J205" s="3" t="str">
        <f>IFERROR(VLOOKUP(G205, LEVEL_HELPER!$A:$B, 2, 0), "")</f>
        <v/>
      </c>
      <c r="K205" s="3">
        <f t="shared" ref="K205:L205" si="411">IF(OR(I205="", I205=0), "",
  IF(I205&lt;=2,   1,
  IF(I205&lt;=4,   2,
  IF(I205&lt;=5.5, 3, 4))))</f>
        <v>3</v>
      </c>
      <c r="L205" s="3" t="str">
        <f t="shared" si="411"/>
        <v/>
      </c>
      <c r="M205" s="3" t="str">
        <f t="shared" si="1"/>
        <v>No Data</v>
      </c>
      <c r="N205" s="157" t="s">
        <v>951</v>
      </c>
      <c r="O205" s="157" t="s">
        <v>920</v>
      </c>
      <c r="P205" s="3" t="str">
        <f t="shared" ca="1" si="2"/>
        <v/>
      </c>
      <c r="Q205" s="147" t="str">
        <f t="shared" ca="1" si="3"/>
        <v/>
      </c>
      <c r="R205" s="147" t="str">
        <f t="shared" ref="R205:S205" ca="1" si="412">IF(OR(P205="", P205=0), "",
  IF(P205&lt;=2,   1,
  IF(P205&lt;=4,   2,
  IF(P205&lt;=5.5, 3, 4))))</f>
        <v/>
      </c>
      <c r="S205" s="147" t="str">
        <f t="shared" ca="1" si="412"/>
        <v/>
      </c>
      <c r="T205" s="147" t="str">
        <f t="shared" ca="1" si="5"/>
        <v>No Data</v>
      </c>
      <c r="U205" s="147">
        <f t="shared" si="6"/>
        <v>0</v>
      </c>
      <c r="V205" s="147"/>
    </row>
    <row r="206" spans="1:22">
      <c r="A206" s="157" t="s">
        <v>570</v>
      </c>
      <c r="B206" s="3" t="s">
        <v>571</v>
      </c>
      <c r="C206" s="160" t="s">
        <v>71</v>
      </c>
      <c r="D206" s="160" t="s">
        <v>864</v>
      </c>
      <c r="E206" s="3" t="s">
        <v>24</v>
      </c>
      <c r="F206" s="3" t="s">
        <v>931</v>
      </c>
      <c r="G206" s="3" t="s">
        <v>949</v>
      </c>
      <c r="H206" s="156" t="str">
        <f ca="1">IFERROR(
  _xludf.MINIFS(ATTENDANCE_LOG!$F:$F,
         ATTENDANCE_LOG!$A:$A, C206,
         ATTENDANCE_LOG!$B:$B, E206),
"")</f>
        <v/>
      </c>
      <c r="I206" s="3">
        <f>IFERROR(VLOOKUP(F206, LEVEL_HELPER!$A:$B, 2, 0), "")</f>
        <v>4.5</v>
      </c>
      <c r="J206" s="3">
        <f>IFERROR(VLOOKUP(G206, LEVEL_HELPER!$A:$B, 2, 0), "")</f>
        <v>6</v>
      </c>
      <c r="K206" s="3">
        <f t="shared" ref="K206:L206" si="413">IF(OR(I206="", I206=0), "",
  IF(I206&lt;=2,   1,
  IF(I206&lt;=4,   2,
  IF(I206&lt;=5.5, 3, 4))))</f>
        <v>3</v>
      </c>
      <c r="L206" s="3">
        <f t="shared" si="413"/>
        <v>4</v>
      </c>
      <c r="M206" s="3" t="str">
        <f t="shared" si="1"/>
        <v>Lv3 → Lv4</v>
      </c>
      <c r="N206" s="157" t="s">
        <v>950</v>
      </c>
      <c r="O206" s="157" t="s">
        <v>968</v>
      </c>
      <c r="P206" s="3" t="str">
        <f t="shared" ca="1" si="2"/>
        <v/>
      </c>
      <c r="Q206" s="147" t="str">
        <f t="shared" ca="1" si="3"/>
        <v/>
      </c>
      <c r="R206" s="147" t="str">
        <f t="shared" ref="R206:S206" ca="1" si="414">IF(OR(P206="", P206=0), "",
  IF(P206&lt;=2,   1,
  IF(P206&lt;=4,   2,
  IF(P206&lt;=5.5, 3, 4))))</f>
        <v/>
      </c>
      <c r="S206" s="147" t="str">
        <f t="shared" ca="1" si="414"/>
        <v/>
      </c>
      <c r="T206" s="147" t="str">
        <f t="shared" ca="1" si="5"/>
        <v>No Data</v>
      </c>
      <c r="U206" s="147">
        <f t="shared" si="6"/>
        <v>1</v>
      </c>
      <c r="V206" s="147"/>
    </row>
    <row r="207" spans="1:22">
      <c r="A207" s="157" t="s">
        <v>619</v>
      </c>
      <c r="B207" s="3" t="s">
        <v>620</v>
      </c>
      <c r="C207" s="160" t="s">
        <v>71</v>
      </c>
      <c r="D207" s="160" t="s">
        <v>864</v>
      </c>
      <c r="E207" s="3" t="s">
        <v>24</v>
      </c>
      <c r="F207" s="3" t="s">
        <v>931</v>
      </c>
      <c r="G207" s="3" t="s">
        <v>949</v>
      </c>
      <c r="H207" s="156" t="str">
        <f ca="1">IFERROR(
  _xludf.MINIFS(ATTENDANCE_LOG!$F:$F,
         ATTENDANCE_LOG!$A:$A, C207,
         ATTENDANCE_LOG!$B:$B, E207),
"")</f>
        <v/>
      </c>
      <c r="I207" s="3">
        <f>IFERROR(VLOOKUP(F207, LEVEL_HELPER!$A:$B, 2, 0), "")</f>
        <v>4.5</v>
      </c>
      <c r="J207" s="3">
        <f>IFERROR(VLOOKUP(G207, LEVEL_HELPER!$A:$B, 2, 0), "")</f>
        <v>6</v>
      </c>
      <c r="K207" s="3">
        <f t="shared" ref="K207:L207" si="415">IF(OR(I207="", I207=0), "",
  IF(I207&lt;=2,   1,
  IF(I207&lt;=4,   2,
  IF(I207&lt;=5.5, 3, 4))))</f>
        <v>3</v>
      </c>
      <c r="L207" s="3">
        <f t="shared" si="415"/>
        <v>4</v>
      </c>
      <c r="M207" s="3" t="str">
        <f t="shared" si="1"/>
        <v>Lv3 → Lv4</v>
      </c>
      <c r="N207" s="157" t="s">
        <v>950</v>
      </c>
      <c r="O207" s="157" t="s">
        <v>922</v>
      </c>
      <c r="P207" s="3" t="str">
        <f t="shared" ca="1" si="2"/>
        <v/>
      </c>
      <c r="Q207" s="147" t="str">
        <f t="shared" ca="1" si="3"/>
        <v/>
      </c>
      <c r="R207" s="147" t="str">
        <f t="shared" ref="R207:S207" ca="1" si="416">IF(OR(P207="", P207=0), "",
  IF(P207&lt;=2,   1,
  IF(P207&lt;=4,   2,
  IF(P207&lt;=5.5, 3, 4))))</f>
        <v/>
      </c>
      <c r="S207" s="147" t="str">
        <f t="shared" ca="1" si="416"/>
        <v/>
      </c>
      <c r="T207" s="147" t="str">
        <f t="shared" ca="1" si="5"/>
        <v>No Data</v>
      </c>
      <c r="U207" s="147">
        <f t="shared" si="6"/>
        <v>1</v>
      </c>
      <c r="V207" s="147"/>
    </row>
    <row r="208" spans="1:22">
      <c r="A208" s="157" t="s">
        <v>635</v>
      </c>
      <c r="B208" s="3" t="s">
        <v>636</v>
      </c>
      <c r="C208" s="160" t="s">
        <v>71</v>
      </c>
      <c r="D208" s="160" t="s">
        <v>864</v>
      </c>
      <c r="E208" s="3" t="s">
        <v>24</v>
      </c>
      <c r="F208" s="3" t="s">
        <v>931</v>
      </c>
      <c r="G208" s="3" t="s">
        <v>949</v>
      </c>
      <c r="H208" s="156" t="str">
        <f ca="1">IFERROR(
  _xludf.MINIFS(ATTENDANCE_LOG!$F:$F,
         ATTENDANCE_LOG!$A:$A, C208,
         ATTENDANCE_LOG!$B:$B, E208),
"")</f>
        <v/>
      </c>
      <c r="I208" s="3">
        <f>IFERROR(VLOOKUP(F208, LEVEL_HELPER!$A:$B, 2, 0), "")</f>
        <v>4.5</v>
      </c>
      <c r="J208" s="3">
        <f>IFERROR(VLOOKUP(G208, LEVEL_HELPER!$A:$B, 2, 0), "")</f>
        <v>6</v>
      </c>
      <c r="K208" s="3">
        <f t="shared" ref="K208:L208" si="417">IF(OR(I208="", I208=0), "",
  IF(I208&lt;=2,   1,
  IF(I208&lt;=4,   2,
  IF(I208&lt;=5.5, 3, 4))))</f>
        <v>3</v>
      </c>
      <c r="L208" s="3">
        <f t="shared" si="417"/>
        <v>4</v>
      </c>
      <c r="M208" s="3" t="str">
        <f t="shared" si="1"/>
        <v>Lv3 → Lv4</v>
      </c>
      <c r="N208" s="157" t="s">
        <v>918</v>
      </c>
      <c r="O208" s="157" t="s">
        <v>922</v>
      </c>
      <c r="P208" s="3" t="str">
        <f t="shared" ca="1" si="2"/>
        <v/>
      </c>
      <c r="Q208" s="147" t="str">
        <f t="shared" ca="1" si="3"/>
        <v/>
      </c>
      <c r="R208" s="147" t="str">
        <f t="shared" ref="R208:S208" ca="1" si="418">IF(OR(P208="", P208=0), "",
  IF(P208&lt;=2,   1,
  IF(P208&lt;=4,   2,
  IF(P208&lt;=5.5, 3, 4))))</f>
        <v/>
      </c>
      <c r="S208" s="147" t="str">
        <f t="shared" ca="1" si="418"/>
        <v/>
      </c>
      <c r="T208" s="147" t="str">
        <f t="shared" ca="1" si="5"/>
        <v>No Data</v>
      </c>
      <c r="U208" s="147">
        <f t="shared" si="6"/>
        <v>1</v>
      </c>
      <c r="V208" s="147"/>
    </row>
    <row r="209" spans="1:22">
      <c r="A209" s="157" t="s">
        <v>667</v>
      </c>
      <c r="B209" s="3" t="s">
        <v>668</v>
      </c>
      <c r="C209" s="160" t="s">
        <v>71</v>
      </c>
      <c r="D209" s="160" t="s">
        <v>864</v>
      </c>
      <c r="E209" s="3" t="s">
        <v>24</v>
      </c>
      <c r="F209" s="3" t="s">
        <v>931</v>
      </c>
      <c r="G209" s="3" t="s">
        <v>949</v>
      </c>
      <c r="H209" s="156" t="str">
        <f ca="1">IFERROR(
  _xludf.MINIFS(ATTENDANCE_LOG!$F:$F,
         ATTENDANCE_LOG!$A:$A, C209,
         ATTENDANCE_LOG!$B:$B, E209),
"")</f>
        <v/>
      </c>
      <c r="I209" s="3">
        <f>IFERROR(VLOOKUP(F209, LEVEL_HELPER!$A:$B, 2, 0), "")</f>
        <v>4.5</v>
      </c>
      <c r="J209" s="3">
        <f>IFERROR(VLOOKUP(G209, LEVEL_HELPER!$A:$B, 2, 0), "")</f>
        <v>6</v>
      </c>
      <c r="K209" s="3">
        <f t="shared" ref="K209:L209" si="419">IF(OR(I209="", I209=0), "",
  IF(I209&lt;=2,   1,
  IF(I209&lt;=4,   2,
  IF(I209&lt;=5.5, 3, 4))))</f>
        <v>3</v>
      </c>
      <c r="L209" s="3">
        <f t="shared" si="419"/>
        <v>4</v>
      </c>
      <c r="M209" s="3" t="str">
        <f t="shared" si="1"/>
        <v>Lv3 → Lv4</v>
      </c>
      <c r="N209" s="157" t="s">
        <v>944</v>
      </c>
      <c r="O209" s="157" t="s">
        <v>968</v>
      </c>
      <c r="P209" s="3" t="str">
        <f t="shared" ca="1" si="2"/>
        <v/>
      </c>
      <c r="Q209" s="147" t="str">
        <f t="shared" ca="1" si="3"/>
        <v/>
      </c>
      <c r="R209" s="147" t="str">
        <f t="shared" ref="R209:S209" ca="1" si="420">IF(OR(P209="", P209=0), "",
  IF(P209&lt;=2,   1,
  IF(P209&lt;=4,   2,
  IF(P209&lt;=5.5, 3, 4))))</f>
        <v/>
      </c>
      <c r="S209" s="147" t="str">
        <f t="shared" ca="1" si="420"/>
        <v/>
      </c>
      <c r="T209" s="147" t="str">
        <f t="shared" ca="1" si="5"/>
        <v>No Data</v>
      </c>
      <c r="U209" s="147">
        <f t="shared" si="6"/>
        <v>1</v>
      </c>
      <c r="V209" s="147"/>
    </row>
    <row r="210" spans="1:22">
      <c r="A210" s="176" t="s">
        <v>683</v>
      </c>
      <c r="B210" s="154" t="s">
        <v>684</v>
      </c>
      <c r="C210" s="155" t="s">
        <v>72</v>
      </c>
      <c r="D210" s="155" t="s">
        <v>865</v>
      </c>
      <c r="E210" s="154" t="s">
        <v>21</v>
      </c>
      <c r="F210" s="3" t="s">
        <v>926</v>
      </c>
      <c r="G210" s="3" t="s">
        <v>917</v>
      </c>
      <c r="H210" s="156" t="str">
        <f ca="1">IFERROR(
  _xludf.MINIFS(ATTENDANCE_LOG!$F:$F,
         ATTENDANCE_LOG!$A:$A, C210,
         ATTENDANCE_LOG!$B:$B, E210),
"")</f>
        <v/>
      </c>
      <c r="I210" s="3">
        <f>IFERROR(VLOOKUP(F210, LEVEL_HELPER!$A:$B, 2, 0), "")</f>
        <v>1</v>
      </c>
      <c r="J210" s="3">
        <f>IFERROR(VLOOKUP(G210, LEVEL_HELPER!$A:$B, 2, 0), "")</f>
        <v>3</v>
      </c>
      <c r="K210" s="3">
        <f t="shared" ref="K210:L210" si="421">IF(OR(I210="", I210=0), "",
  IF(I210&lt;=2,   1,
  IF(I210&lt;=4,   2,
  IF(I210&lt;=5.5, 3, 4))))</f>
        <v>1</v>
      </c>
      <c r="L210" s="3">
        <f t="shared" si="421"/>
        <v>2</v>
      </c>
      <c r="M210" s="3" t="str">
        <f t="shared" si="1"/>
        <v>Lv1 → Lv2</v>
      </c>
      <c r="N210" s="157" t="s">
        <v>942</v>
      </c>
      <c r="O210" s="157" t="s">
        <v>919</v>
      </c>
      <c r="P210" s="3" t="str">
        <f t="shared" ca="1" si="2"/>
        <v/>
      </c>
      <c r="Q210" s="147" t="str">
        <f t="shared" ca="1" si="3"/>
        <v/>
      </c>
      <c r="R210" s="147" t="str">
        <f t="shared" ref="R210:S210" ca="1" si="422">IF(OR(P210="", P210=0), "",
  IF(P210&lt;=2,   1,
  IF(P210&lt;=4,   2,
  IF(P210&lt;=5.5, 3, 4))))</f>
        <v/>
      </c>
      <c r="S210" s="147" t="str">
        <f t="shared" ca="1" si="422"/>
        <v/>
      </c>
      <c r="T210" s="147" t="str">
        <f t="shared" ca="1" si="5"/>
        <v>No Data</v>
      </c>
      <c r="U210" s="147">
        <f t="shared" si="6"/>
        <v>1</v>
      </c>
      <c r="V210" s="147"/>
    </row>
    <row r="211" spans="1:22">
      <c r="A211" s="157" t="s">
        <v>265</v>
      </c>
      <c r="B211" s="3" t="s">
        <v>266</v>
      </c>
      <c r="C211" s="160" t="s">
        <v>72</v>
      </c>
      <c r="D211" s="160" t="s">
        <v>865</v>
      </c>
      <c r="E211" s="3" t="s">
        <v>21</v>
      </c>
      <c r="F211" s="3" t="s">
        <v>926</v>
      </c>
      <c r="G211" s="3" t="s">
        <v>917</v>
      </c>
      <c r="H211" s="156" t="str">
        <f ca="1">IFERROR(
  _xludf.MINIFS(ATTENDANCE_LOG!$F:$F,
         ATTENDANCE_LOG!$A:$A, C211,
         ATTENDANCE_LOG!$B:$B, E211),
"")</f>
        <v/>
      </c>
      <c r="I211" s="3">
        <f>IFERROR(VLOOKUP(F211, LEVEL_HELPER!$A:$B, 2, 0), "")</f>
        <v>1</v>
      </c>
      <c r="J211" s="3">
        <f>IFERROR(VLOOKUP(G211, LEVEL_HELPER!$A:$B, 2, 0), "")</f>
        <v>3</v>
      </c>
      <c r="K211" s="3">
        <f t="shared" ref="K211:L211" si="423">IF(OR(I211="", I211=0), "",
  IF(I211&lt;=2,   1,
  IF(I211&lt;=4,   2,
  IF(I211&lt;=5.5, 3, 4))))</f>
        <v>1</v>
      </c>
      <c r="L211" s="3">
        <f t="shared" si="423"/>
        <v>2</v>
      </c>
      <c r="M211" s="3" t="str">
        <f t="shared" si="1"/>
        <v>Lv1 → Lv2</v>
      </c>
      <c r="N211" s="157" t="s">
        <v>942</v>
      </c>
      <c r="O211" s="157" t="s">
        <v>919</v>
      </c>
      <c r="P211" s="3" t="str">
        <f t="shared" ca="1" si="2"/>
        <v/>
      </c>
      <c r="Q211" s="147" t="str">
        <f t="shared" ca="1" si="3"/>
        <v/>
      </c>
      <c r="R211" s="147" t="str">
        <f t="shared" ref="R211:S211" ca="1" si="424">IF(OR(P211="", P211=0), "",
  IF(P211&lt;=2,   1,
  IF(P211&lt;=4,   2,
  IF(P211&lt;=5.5, 3, 4))))</f>
        <v/>
      </c>
      <c r="S211" s="147" t="str">
        <f t="shared" ca="1" si="424"/>
        <v/>
      </c>
      <c r="T211" s="147" t="str">
        <f t="shared" ca="1" si="5"/>
        <v>No Data</v>
      </c>
      <c r="U211" s="147">
        <f t="shared" si="6"/>
        <v>1</v>
      </c>
      <c r="V211" s="147"/>
    </row>
    <row r="212" spans="1:22">
      <c r="A212" s="157" t="s">
        <v>108</v>
      </c>
      <c r="B212" s="3" t="s">
        <v>283</v>
      </c>
      <c r="C212" s="160" t="s">
        <v>72</v>
      </c>
      <c r="D212" s="160" t="s">
        <v>865</v>
      </c>
      <c r="E212" s="3" t="s">
        <v>21</v>
      </c>
      <c r="F212" s="3" t="s">
        <v>926</v>
      </c>
      <c r="G212" s="3" t="s">
        <v>917</v>
      </c>
      <c r="H212" s="156" t="str">
        <f ca="1">IFERROR(
  _xludf.MINIFS(ATTENDANCE_LOG!$F:$F,
         ATTENDANCE_LOG!$A:$A, C212,
         ATTENDANCE_LOG!$B:$B, E212),
"")</f>
        <v/>
      </c>
      <c r="I212" s="3">
        <f>IFERROR(VLOOKUP(F212, LEVEL_HELPER!$A:$B, 2, 0), "")</f>
        <v>1</v>
      </c>
      <c r="J212" s="3">
        <f>IFERROR(VLOOKUP(G212, LEVEL_HELPER!$A:$B, 2, 0), "")</f>
        <v>3</v>
      </c>
      <c r="K212" s="3">
        <f t="shared" ref="K212:L212" si="425">IF(OR(I212="", I212=0), "",
  IF(I212&lt;=2,   1,
  IF(I212&lt;=4,   2,
  IF(I212&lt;=5.5, 3, 4))))</f>
        <v>1</v>
      </c>
      <c r="L212" s="3">
        <f t="shared" si="425"/>
        <v>2</v>
      </c>
      <c r="M212" s="3" t="str">
        <f t="shared" si="1"/>
        <v>Lv1 → Lv2</v>
      </c>
      <c r="N212" s="157" t="s">
        <v>942</v>
      </c>
      <c r="O212" s="157" t="s">
        <v>919</v>
      </c>
      <c r="P212" s="3" t="str">
        <f t="shared" ca="1" si="2"/>
        <v/>
      </c>
      <c r="Q212" s="147" t="str">
        <f t="shared" ca="1" si="3"/>
        <v/>
      </c>
      <c r="R212" s="147" t="str">
        <f t="shared" ref="R212:S212" ca="1" si="426">IF(OR(P212="", P212=0), "",
  IF(P212&lt;=2,   1,
  IF(P212&lt;=4,   2,
  IF(P212&lt;=5.5, 3, 4))))</f>
        <v/>
      </c>
      <c r="S212" s="147" t="str">
        <f t="shared" ca="1" si="426"/>
        <v/>
      </c>
      <c r="T212" s="147" t="str">
        <f t="shared" ca="1" si="5"/>
        <v>No Data</v>
      </c>
      <c r="U212" s="147">
        <f t="shared" si="6"/>
        <v>1</v>
      </c>
      <c r="V212" s="147"/>
    </row>
    <row r="213" spans="1:22">
      <c r="A213" s="157" t="s">
        <v>315</v>
      </c>
      <c r="B213" s="3" t="s">
        <v>316</v>
      </c>
      <c r="C213" s="160" t="s">
        <v>72</v>
      </c>
      <c r="D213" s="160" t="s">
        <v>865</v>
      </c>
      <c r="E213" s="3" t="s">
        <v>21</v>
      </c>
      <c r="F213" s="3" t="s">
        <v>926</v>
      </c>
      <c r="G213" s="3" t="s">
        <v>928</v>
      </c>
      <c r="H213" s="156" t="str">
        <f ca="1">IFERROR(
  _xludf.MINIFS(ATTENDANCE_LOG!$F:$F,
         ATTENDANCE_LOG!$A:$A, C213,
         ATTENDANCE_LOG!$B:$B, E213),
"")</f>
        <v/>
      </c>
      <c r="I213" s="3">
        <f>IFERROR(VLOOKUP(F213, LEVEL_HELPER!$A:$B, 2, 0), "")</f>
        <v>1</v>
      </c>
      <c r="J213" s="3">
        <f>IFERROR(VLOOKUP(G213, LEVEL_HELPER!$A:$B, 2, 0), "")</f>
        <v>1.5</v>
      </c>
      <c r="K213" s="3">
        <f t="shared" ref="K213:L213" si="427">IF(OR(I213="", I213=0), "",
  IF(I213&lt;=2,   1,
  IF(I213&lt;=4,   2,
  IF(I213&lt;=5.5, 3, 4))))</f>
        <v>1</v>
      </c>
      <c r="L213" s="3">
        <f t="shared" si="427"/>
        <v>1</v>
      </c>
      <c r="M213" s="3" t="str">
        <f t="shared" si="1"/>
        <v>Progress within level</v>
      </c>
      <c r="N213" s="157" t="s">
        <v>942</v>
      </c>
      <c r="O213" s="157" t="s">
        <v>925</v>
      </c>
      <c r="P213" s="3" t="str">
        <f t="shared" ca="1" si="2"/>
        <v/>
      </c>
      <c r="Q213" s="147" t="str">
        <f t="shared" ca="1" si="3"/>
        <v/>
      </c>
      <c r="R213" s="147" t="str">
        <f t="shared" ref="R213:S213" ca="1" si="428">IF(OR(P213="", P213=0), "",
  IF(P213&lt;=2,   1,
  IF(P213&lt;=4,   2,
  IF(P213&lt;=5.5, 3, 4))))</f>
        <v/>
      </c>
      <c r="S213" s="147" t="str">
        <f t="shared" ca="1" si="428"/>
        <v/>
      </c>
      <c r="T213" s="147" t="str">
        <f t="shared" ca="1" si="5"/>
        <v>No Data</v>
      </c>
      <c r="U213" s="147">
        <f t="shared" si="6"/>
        <v>1</v>
      </c>
      <c r="V213" s="147"/>
    </row>
    <row r="214" spans="1:22">
      <c r="A214" s="157" t="s">
        <v>334</v>
      </c>
      <c r="B214" s="3" t="s">
        <v>335</v>
      </c>
      <c r="C214" s="160" t="s">
        <v>72</v>
      </c>
      <c r="D214" s="160" t="s">
        <v>865</v>
      </c>
      <c r="E214" s="3" t="s">
        <v>21</v>
      </c>
      <c r="F214" s="3" t="s">
        <v>916</v>
      </c>
      <c r="G214" s="3" t="s">
        <v>931</v>
      </c>
      <c r="H214" s="156" t="str">
        <f ca="1">IFERROR(
  _xludf.MINIFS(ATTENDANCE_LOG!$F:$F,
         ATTENDANCE_LOG!$A:$A, C214,
         ATTENDANCE_LOG!$B:$B, E214),
"")</f>
        <v/>
      </c>
      <c r="I214" s="3">
        <f>IFERROR(VLOOKUP(F214, LEVEL_HELPER!$A:$B, 2, 0), "")</f>
        <v>2.5</v>
      </c>
      <c r="J214" s="3">
        <f>IFERROR(VLOOKUP(G214, LEVEL_HELPER!$A:$B, 2, 0), "")</f>
        <v>4.5</v>
      </c>
      <c r="K214" s="3">
        <f t="shared" ref="K214:L214" si="429">IF(OR(I214="", I214=0), "",
  IF(I214&lt;=2,   1,
  IF(I214&lt;=4,   2,
  IF(I214&lt;=5.5, 3, 4))))</f>
        <v>2</v>
      </c>
      <c r="L214" s="3">
        <f t="shared" si="429"/>
        <v>3</v>
      </c>
      <c r="M214" s="3" t="str">
        <f t="shared" si="1"/>
        <v>Lv2 → Lv3</v>
      </c>
      <c r="N214" s="157" t="s">
        <v>942</v>
      </c>
      <c r="O214" s="157" t="s">
        <v>925</v>
      </c>
      <c r="P214" s="3" t="str">
        <f t="shared" ca="1" si="2"/>
        <v/>
      </c>
      <c r="Q214" s="147" t="str">
        <f t="shared" ca="1" si="3"/>
        <v/>
      </c>
      <c r="R214" s="147" t="str">
        <f t="shared" ref="R214:S214" ca="1" si="430">IF(OR(P214="", P214=0), "",
  IF(P214&lt;=2,   1,
  IF(P214&lt;=4,   2,
  IF(P214&lt;=5.5, 3, 4))))</f>
        <v/>
      </c>
      <c r="S214" s="147" t="str">
        <f t="shared" ca="1" si="430"/>
        <v/>
      </c>
      <c r="T214" s="147" t="str">
        <f t="shared" ca="1" si="5"/>
        <v>No Data</v>
      </c>
      <c r="U214" s="147">
        <f t="shared" si="6"/>
        <v>1</v>
      </c>
      <c r="V214" s="147"/>
    </row>
    <row r="215" spans="1:22">
      <c r="A215" s="157" t="s">
        <v>401</v>
      </c>
      <c r="B215" s="3" t="s">
        <v>402</v>
      </c>
      <c r="C215" s="160" t="s">
        <v>72</v>
      </c>
      <c r="D215" s="160" t="s">
        <v>865</v>
      </c>
      <c r="E215" s="3" t="s">
        <v>21</v>
      </c>
      <c r="F215" s="3" t="s">
        <v>926</v>
      </c>
      <c r="G215" s="3" t="s">
        <v>934</v>
      </c>
      <c r="H215" s="156" t="str">
        <f ca="1">IFERROR(
  _xludf.MINIFS(ATTENDANCE_LOG!$F:$F,
         ATTENDANCE_LOG!$A:$A, C215,
         ATTENDANCE_LOG!$B:$B, E215),
"")</f>
        <v/>
      </c>
      <c r="I215" s="3">
        <f>IFERROR(VLOOKUP(F215, LEVEL_HELPER!$A:$B, 2, 0), "")</f>
        <v>1</v>
      </c>
      <c r="J215" s="3">
        <f>IFERROR(VLOOKUP(G215, LEVEL_HELPER!$A:$B, 2, 0), "")</f>
        <v>3.5</v>
      </c>
      <c r="K215" s="3">
        <f t="shared" ref="K215:L215" si="431">IF(OR(I215="", I215=0), "",
  IF(I215&lt;=2,   1,
  IF(I215&lt;=4,   2,
  IF(I215&lt;=5.5, 3, 4))))</f>
        <v>1</v>
      </c>
      <c r="L215" s="3">
        <f t="shared" si="431"/>
        <v>2</v>
      </c>
      <c r="M215" s="3" t="str">
        <f t="shared" si="1"/>
        <v>Lv1 → Lv2</v>
      </c>
      <c r="N215" s="157" t="s">
        <v>942</v>
      </c>
      <c r="O215" s="157" t="s">
        <v>919</v>
      </c>
      <c r="P215" s="3" t="str">
        <f t="shared" ca="1" si="2"/>
        <v/>
      </c>
      <c r="Q215" s="147" t="str">
        <f t="shared" ca="1" si="3"/>
        <v/>
      </c>
      <c r="R215" s="147" t="str">
        <f t="shared" ref="R215:S215" ca="1" si="432">IF(OR(P215="", P215=0), "",
  IF(P215&lt;=2,   1,
  IF(P215&lt;=4,   2,
  IF(P215&lt;=5.5, 3, 4))))</f>
        <v/>
      </c>
      <c r="S215" s="147" t="str">
        <f t="shared" ca="1" si="432"/>
        <v/>
      </c>
      <c r="T215" s="147" t="str">
        <f t="shared" ca="1" si="5"/>
        <v>No Data</v>
      </c>
      <c r="U215" s="147">
        <f t="shared" si="6"/>
        <v>1</v>
      </c>
      <c r="V215" s="147"/>
    </row>
    <row r="216" spans="1:22">
      <c r="A216" s="157" t="s">
        <v>572</v>
      </c>
      <c r="B216" s="3" t="s">
        <v>573</v>
      </c>
      <c r="C216" s="160" t="s">
        <v>72</v>
      </c>
      <c r="D216" s="160" t="s">
        <v>865</v>
      </c>
      <c r="E216" s="3" t="s">
        <v>21</v>
      </c>
      <c r="F216" s="3" t="s">
        <v>926</v>
      </c>
      <c r="G216" s="3" t="s">
        <v>917</v>
      </c>
      <c r="H216" s="156" t="str">
        <f ca="1">IFERROR(
  _xludf.MINIFS(ATTENDANCE_LOG!$F:$F,
         ATTENDANCE_LOG!$A:$A, C216,
         ATTENDANCE_LOG!$B:$B, E216),
"")</f>
        <v/>
      </c>
      <c r="I216" s="3">
        <f>IFERROR(VLOOKUP(F216, LEVEL_HELPER!$A:$B, 2, 0), "")</f>
        <v>1</v>
      </c>
      <c r="J216" s="3">
        <f>IFERROR(VLOOKUP(G216, LEVEL_HELPER!$A:$B, 2, 0), "")</f>
        <v>3</v>
      </c>
      <c r="K216" s="3">
        <f t="shared" ref="K216:L216" si="433">IF(OR(I216="", I216=0), "",
  IF(I216&lt;=2,   1,
  IF(I216&lt;=4,   2,
  IF(I216&lt;=5.5, 3, 4))))</f>
        <v>1</v>
      </c>
      <c r="L216" s="3">
        <f t="shared" si="433"/>
        <v>2</v>
      </c>
      <c r="M216" s="3" t="str">
        <f t="shared" si="1"/>
        <v>Lv1 → Lv2</v>
      </c>
      <c r="N216" s="157" t="s">
        <v>942</v>
      </c>
      <c r="O216" s="157" t="s">
        <v>925</v>
      </c>
      <c r="P216" s="3" t="str">
        <f t="shared" ca="1" si="2"/>
        <v/>
      </c>
      <c r="Q216" s="147" t="str">
        <f t="shared" ca="1" si="3"/>
        <v/>
      </c>
      <c r="R216" s="147" t="str">
        <f t="shared" ref="R216:S216" ca="1" si="434">IF(OR(P216="", P216=0), "",
  IF(P216&lt;=2,   1,
  IF(P216&lt;=4,   2,
  IF(P216&lt;=5.5, 3, 4))))</f>
        <v/>
      </c>
      <c r="S216" s="147" t="str">
        <f t="shared" ca="1" si="434"/>
        <v/>
      </c>
      <c r="T216" s="147" t="str">
        <f t="shared" ca="1" si="5"/>
        <v>No Data</v>
      </c>
      <c r="U216" s="147">
        <f t="shared" si="6"/>
        <v>1</v>
      </c>
      <c r="V216" s="147"/>
    </row>
    <row r="217" spans="1:22">
      <c r="A217" s="157" t="s">
        <v>576</v>
      </c>
      <c r="B217" s="3" t="s">
        <v>577</v>
      </c>
      <c r="C217" s="160" t="s">
        <v>72</v>
      </c>
      <c r="D217" s="160" t="s">
        <v>865</v>
      </c>
      <c r="E217" s="3" t="s">
        <v>21</v>
      </c>
      <c r="F217" s="3" t="s">
        <v>916</v>
      </c>
      <c r="G217" s="3" t="s">
        <v>934</v>
      </c>
      <c r="H217" s="156" t="str">
        <f ca="1">IFERROR(
  _xludf.MINIFS(ATTENDANCE_LOG!$F:$F,
         ATTENDANCE_LOG!$A:$A, C217,
         ATTENDANCE_LOG!$B:$B, E217),
"")</f>
        <v/>
      </c>
      <c r="I217" s="3">
        <f>IFERROR(VLOOKUP(F217, LEVEL_HELPER!$A:$B, 2, 0), "")</f>
        <v>2.5</v>
      </c>
      <c r="J217" s="3">
        <f>IFERROR(VLOOKUP(G217, LEVEL_HELPER!$A:$B, 2, 0), "")</f>
        <v>3.5</v>
      </c>
      <c r="K217" s="3">
        <f t="shared" ref="K217:L217" si="435">IF(OR(I217="", I217=0), "",
  IF(I217&lt;=2,   1,
  IF(I217&lt;=4,   2,
  IF(I217&lt;=5.5, 3, 4))))</f>
        <v>2</v>
      </c>
      <c r="L217" s="3">
        <f t="shared" si="435"/>
        <v>2</v>
      </c>
      <c r="M217" s="3" t="str">
        <f t="shared" si="1"/>
        <v>Progress within level</v>
      </c>
      <c r="N217" s="157" t="s">
        <v>942</v>
      </c>
      <c r="O217" s="157" t="s">
        <v>919</v>
      </c>
      <c r="P217" s="3" t="str">
        <f t="shared" ca="1" si="2"/>
        <v/>
      </c>
      <c r="Q217" s="147" t="str">
        <f t="shared" ca="1" si="3"/>
        <v/>
      </c>
      <c r="R217" s="147" t="str">
        <f t="shared" ref="R217:S217" ca="1" si="436">IF(OR(P217="", P217=0), "",
  IF(P217&lt;=2,   1,
  IF(P217&lt;=4,   2,
  IF(P217&lt;=5.5, 3, 4))))</f>
        <v/>
      </c>
      <c r="S217" s="147" t="str">
        <f t="shared" ca="1" si="436"/>
        <v/>
      </c>
      <c r="T217" s="147" t="str">
        <f t="shared" ca="1" si="5"/>
        <v>No Data</v>
      </c>
      <c r="U217" s="147">
        <f t="shared" si="6"/>
        <v>1</v>
      </c>
      <c r="V217" s="147"/>
    </row>
    <row r="218" spans="1:22">
      <c r="A218" s="176" t="s">
        <v>683</v>
      </c>
      <c r="B218" s="154" t="s">
        <v>684</v>
      </c>
      <c r="C218" s="155" t="s">
        <v>72</v>
      </c>
      <c r="D218" s="155" t="s">
        <v>865</v>
      </c>
      <c r="E218" s="154" t="s">
        <v>22</v>
      </c>
      <c r="F218" s="3" t="s">
        <v>917</v>
      </c>
      <c r="G218" s="3" t="s">
        <v>934</v>
      </c>
      <c r="H218" s="156" t="str">
        <f ca="1">IFERROR(
  _xludf.MINIFS(ATTENDANCE_LOG!$F:$F,
         ATTENDANCE_LOG!$A:$A, C218,
         ATTENDANCE_LOG!$B:$B, E218),
"")</f>
        <v/>
      </c>
      <c r="I218" s="3">
        <f>IFERROR(VLOOKUP(F218, LEVEL_HELPER!$A:$B, 2, 0), "")</f>
        <v>3</v>
      </c>
      <c r="J218" s="3">
        <f>IFERROR(VLOOKUP(G218, LEVEL_HELPER!$A:$B, 2, 0), "")</f>
        <v>3.5</v>
      </c>
      <c r="K218" s="3">
        <f t="shared" ref="K218:L218" si="437">IF(OR(I218="", I218=0), "",
  IF(I218&lt;=2,   1,
  IF(I218&lt;=4,   2,
  IF(I218&lt;=5.5, 3, 4))))</f>
        <v>2</v>
      </c>
      <c r="L218" s="3">
        <f t="shared" si="437"/>
        <v>2</v>
      </c>
      <c r="M218" s="3" t="str">
        <f t="shared" si="1"/>
        <v>Progress within level</v>
      </c>
      <c r="N218" s="157" t="s">
        <v>942</v>
      </c>
      <c r="O218" s="157" t="s">
        <v>919</v>
      </c>
      <c r="P218" s="3" t="str">
        <f t="shared" ca="1" si="2"/>
        <v/>
      </c>
      <c r="Q218" s="147" t="str">
        <f t="shared" ca="1" si="3"/>
        <v/>
      </c>
      <c r="R218" s="147" t="str">
        <f t="shared" ref="R218:S218" ca="1" si="438">IF(OR(P218="", P218=0), "",
  IF(P218&lt;=2,   1,
  IF(P218&lt;=4,   2,
  IF(P218&lt;=5.5, 3, 4))))</f>
        <v/>
      </c>
      <c r="S218" s="147" t="str">
        <f t="shared" ca="1" si="438"/>
        <v/>
      </c>
      <c r="T218" s="147" t="str">
        <f t="shared" ca="1" si="5"/>
        <v>No Data</v>
      </c>
      <c r="U218" s="147">
        <f t="shared" si="6"/>
        <v>0</v>
      </c>
      <c r="V218" s="147"/>
    </row>
    <row r="219" spans="1:22">
      <c r="A219" s="157" t="s">
        <v>265</v>
      </c>
      <c r="B219" s="3" t="s">
        <v>266</v>
      </c>
      <c r="C219" s="160" t="s">
        <v>72</v>
      </c>
      <c r="D219" s="160" t="s">
        <v>865</v>
      </c>
      <c r="E219" s="3" t="s">
        <v>22</v>
      </c>
      <c r="F219" s="3" t="s">
        <v>917</v>
      </c>
      <c r="G219" s="3" t="s">
        <v>934</v>
      </c>
      <c r="H219" s="156" t="str">
        <f ca="1">IFERROR(
  _xludf.MINIFS(ATTENDANCE_LOG!$F:$F,
         ATTENDANCE_LOG!$A:$A, C219,
         ATTENDANCE_LOG!$B:$B, E219),
"")</f>
        <v/>
      </c>
      <c r="I219" s="3">
        <f>IFERROR(VLOOKUP(F219, LEVEL_HELPER!$A:$B, 2, 0), "")</f>
        <v>3</v>
      </c>
      <c r="J219" s="3">
        <f>IFERROR(VLOOKUP(G219, LEVEL_HELPER!$A:$B, 2, 0), "")</f>
        <v>3.5</v>
      </c>
      <c r="K219" s="3">
        <f t="shared" ref="K219:L219" si="439">IF(OR(I219="", I219=0), "",
  IF(I219&lt;=2,   1,
  IF(I219&lt;=4,   2,
  IF(I219&lt;=5.5, 3, 4))))</f>
        <v>2</v>
      </c>
      <c r="L219" s="3">
        <f t="shared" si="439"/>
        <v>2</v>
      </c>
      <c r="M219" s="3" t="str">
        <f t="shared" si="1"/>
        <v>Progress within level</v>
      </c>
      <c r="N219" s="157" t="s">
        <v>942</v>
      </c>
      <c r="O219" s="157" t="s">
        <v>919</v>
      </c>
      <c r="P219" s="3" t="str">
        <f t="shared" ca="1" si="2"/>
        <v/>
      </c>
      <c r="Q219" s="147" t="str">
        <f t="shared" ca="1" si="3"/>
        <v/>
      </c>
      <c r="R219" s="147" t="str">
        <f t="shared" ref="R219:S219" ca="1" si="440">IF(OR(P219="", P219=0), "",
  IF(P219&lt;=2,   1,
  IF(P219&lt;=4,   2,
  IF(P219&lt;=5.5, 3, 4))))</f>
        <v/>
      </c>
      <c r="S219" s="147" t="str">
        <f t="shared" ca="1" si="440"/>
        <v/>
      </c>
      <c r="T219" s="147" t="str">
        <f t="shared" ca="1" si="5"/>
        <v>No Data</v>
      </c>
      <c r="U219" s="147">
        <f t="shared" si="6"/>
        <v>0</v>
      </c>
      <c r="V219" s="147"/>
    </row>
    <row r="220" spans="1:22">
      <c r="A220" s="157" t="s">
        <v>108</v>
      </c>
      <c r="B220" s="3" t="s">
        <v>283</v>
      </c>
      <c r="C220" s="160" t="s">
        <v>72</v>
      </c>
      <c r="D220" s="160" t="s">
        <v>865</v>
      </c>
      <c r="E220" s="3" t="s">
        <v>22</v>
      </c>
      <c r="F220" s="3" t="s">
        <v>917</v>
      </c>
      <c r="G220" s="3" t="s">
        <v>934</v>
      </c>
      <c r="H220" s="156" t="str">
        <f ca="1">IFERROR(
  _xludf.MINIFS(ATTENDANCE_LOG!$F:$F,
         ATTENDANCE_LOG!$A:$A, C220,
         ATTENDANCE_LOG!$B:$B, E220),
"")</f>
        <v/>
      </c>
      <c r="I220" s="3">
        <f>IFERROR(VLOOKUP(F220, LEVEL_HELPER!$A:$B, 2, 0), "")</f>
        <v>3</v>
      </c>
      <c r="J220" s="3">
        <f>IFERROR(VLOOKUP(G220, LEVEL_HELPER!$A:$B, 2, 0), "")</f>
        <v>3.5</v>
      </c>
      <c r="K220" s="3">
        <f t="shared" ref="K220:L220" si="441">IF(OR(I220="", I220=0), "",
  IF(I220&lt;=2,   1,
  IF(I220&lt;=4,   2,
  IF(I220&lt;=5.5, 3, 4))))</f>
        <v>2</v>
      </c>
      <c r="L220" s="3">
        <f t="shared" si="441"/>
        <v>2</v>
      </c>
      <c r="M220" s="3" t="str">
        <f t="shared" si="1"/>
        <v>Progress within level</v>
      </c>
      <c r="N220" s="157" t="s">
        <v>942</v>
      </c>
      <c r="O220" s="157" t="s">
        <v>919</v>
      </c>
      <c r="P220" s="3" t="str">
        <f t="shared" ca="1" si="2"/>
        <v/>
      </c>
      <c r="Q220" s="147" t="str">
        <f t="shared" ca="1" si="3"/>
        <v/>
      </c>
      <c r="R220" s="147" t="str">
        <f t="shared" ref="R220:S220" ca="1" si="442">IF(OR(P220="", P220=0), "",
  IF(P220&lt;=2,   1,
  IF(P220&lt;=4,   2,
  IF(P220&lt;=5.5, 3, 4))))</f>
        <v/>
      </c>
      <c r="S220" s="147" t="str">
        <f t="shared" ca="1" si="442"/>
        <v/>
      </c>
      <c r="T220" s="147" t="str">
        <f t="shared" ca="1" si="5"/>
        <v>No Data</v>
      </c>
      <c r="U220" s="147">
        <f t="shared" si="6"/>
        <v>0</v>
      </c>
      <c r="V220" s="147"/>
    </row>
    <row r="221" spans="1:22">
      <c r="A221" s="157" t="s">
        <v>315</v>
      </c>
      <c r="B221" s="3" t="s">
        <v>316</v>
      </c>
      <c r="C221" s="160" t="s">
        <v>72</v>
      </c>
      <c r="D221" s="160" t="s">
        <v>865</v>
      </c>
      <c r="E221" s="3" t="s">
        <v>22</v>
      </c>
      <c r="F221" s="3" t="s">
        <v>928</v>
      </c>
      <c r="G221" s="3" t="s">
        <v>928</v>
      </c>
      <c r="H221" s="156" t="str">
        <f ca="1">IFERROR(
  _xludf.MINIFS(ATTENDANCE_LOG!$F:$F,
         ATTENDANCE_LOG!$A:$A, C221,
         ATTENDANCE_LOG!$B:$B, E221),
"")</f>
        <v/>
      </c>
      <c r="I221" s="3">
        <f>IFERROR(VLOOKUP(F221, LEVEL_HELPER!$A:$B, 2, 0), "")</f>
        <v>1.5</v>
      </c>
      <c r="J221" s="3">
        <f>IFERROR(VLOOKUP(G221, LEVEL_HELPER!$A:$B, 2, 0), "")</f>
        <v>1.5</v>
      </c>
      <c r="K221" s="3">
        <f t="shared" ref="K221:L221" si="443">IF(OR(I221="", I221=0), "",
  IF(I221&lt;=2,   1,
  IF(I221&lt;=4,   2,
  IF(I221&lt;=5.5, 3, 4))))</f>
        <v>1</v>
      </c>
      <c r="L221" s="3">
        <f t="shared" si="443"/>
        <v>1</v>
      </c>
      <c r="M221" s="3" t="str">
        <f t="shared" si="1"/>
        <v>No Progress</v>
      </c>
      <c r="N221" s="157" t="s">
        <v>942</v>
      </c>
      <c r="O221" s="157" t="s">
        <v>925</v>
      </c>
      <c r="P221" s="3" t="str">
        <f t="shared" ca="1" si="2"/>
        <v/>
      </c>
      <c r="Q221" s="147" t="str">
        <f t="shared" ca="1" si="3"/>
        <v/>
      </c>
      <c r="R221" s="147" t="str">
        <f t="shared" ref="R221:S221" ca="1" si="444">IF(OR(P221="", P221=0), "",
  IF(P221&lt;=2,   1,
  IF(P221&lt;=4,   2,
  IF(P221&lt;=5.5, 3, 4))))</f>
        <v/>
      </c>
      <c r="S221" s="147" t="str">
        <f t="shared" ca="1" si="444"/>
        <v/>
      </c>
      <c r="T221" s="147" t="str">
        <f t="shared" ca="1" si="5"/>
        <v>No Data</v>
      </c>
      <c r="U221" s="147">
        <f t="shared" si="6"/>
        <v>0</v>
      </c>
      <c r="V221" s="147"/>
    </row>
    <row r="222" spans="1:22">
      <c r="A222" s="157" t="s">
        <v>334</v>
      </c>
      <c r="B222" s="3" t="s">
        <v>335</v>
      </c>
      <c r="C222" s="160" t="s">
        <v>72</v>
      </c>
      <c r="D222" s="160" t="s">
        <v>865</v>
      </c>
      <c r="E222" s="3" t="s">
        <v>22</v>
      </c>
      <c r="F222" s="3" t="s">
        <v>931</v>
      </c>
      <c r="G222" s="3"/>
      <c r="H222" s="156" t="str">
        <f ca="1">IFERROR(
  _xludf.MINIFS(ATTENDANCE_LOG!$F:$F,
         ATTENDANCE_LOG!$A:$A, C222,
         ATTENDANCE_LOG!$B:$B, E222),
"")</f>
        <v/>
      </c>
      <c r="I222" s="3">
        <f>IFERROR(VLOOKUP(F222, LEVEL_HELPER!$A:$B, 2, 0), "")</f>
        <v>4.5</v>
      </c>
      <c r="J222" s="3" t="str">
        <f>IFERROR(VLOOKUP(G222, LEVEL_HELPER!$A:$B, 2, 0), "")</f>
        <v/>
      </c>
      <c r="K222" s="3">
        <f t="shared" ref="K222:L222" si="445">IF(OR(I222="", I222=0), "",
  IF(I222&lt;=2,   1,
  IF(I222&lt;=4,   2,
  IF(I222&lt;=5.5, 3, 4))))</f>
        <v>3</v>
      </c>
      <c r="L222" s="3" t="str">
        <f t="shared" si="445"/>
        <v/>
      </c>
      <c r="M222" s="3" t="str">
        <f t="shared" si="1"/>
        <v>No Data</v>
      </c>
      <c r="N222" s="157" t="s">
        <v>942</v>
      </c>
      <c r="O222" s="157" t="s">
        <v>925</v>
      </c>
      <c r="P222" s="3" t="str">
        <f t="shared" ca="1" si="2"/>
        <v/>
      </c>
      <c r="Q222" s="147" t="str">
        <f t="shared" ca="1" si="3"/>
        <v/>
      </c>
      <c r="R222" s="147" t="str">
        <f t="shared" ref="R222:S222" ca="1" si="446">IF(OR(P222="", P222=0), "",
  IF(P222&lt;=2,   1,
  IF(P222&lt;=4,   2,
  IF(P222&lt;=5.5, 3, 4))))</f>
        <v/>
      </c>
      <c r="S222" s="147" t="str">
        <f t="shared" ca="1" si="446"/>
        <v/>
      </c>
      <c r="T222" s="147" t="str">
        <f t="shared" ca="1" si="5"/>
        <v>No Data</v>
      </c>
      <c r="U222" s="147">
        <f t="shared" si="6"/>
        <v>0</v>
      </c>
      <c r="V222" s="147"/>
    </row>
    <row r="223" spans="1:22">
      <c r="A223" s="157" t="s">
        <v>401</v>
      </c>
      <c r="B223" s="3" t="s">
        <v>402</v>
      </c>
      <c r="C223" s="160" t="s">
        <v>72</v>
      </c>
      <c r="D223" s="160" t="s">
        <v>865</v>
      </c>
      <c r="E223" s="3" t="s">
        <v>22</v>
      </c>
      <c r="F223" s="3" t="s">
        <v>934</v>
      </c>
      <c r="G223" s="3" t="s">
        <v>952</v>
      </c>
      <c r="H223" s="156" t="str">
        <f ca="1">IFERROR(
  _xludf.MINIFS(ATTENDANCE_LOG!$F:$F,
         ATTENDANCE_LOG!$A:$A, C223,
         ATTENDANCE_LOG!$B:$B, E223),
"")</f>
        <v/>
      </c>
      <c r="I223" s="3">
        <f>IFERROR(VLOOKUP(F223, LEVEL_HELPER!$A:$B, 2, 0), "")</f>
        <v>3.5</v>
      </c>
      <c r="J223" s="3">
        <f>IFERROR(VLOOKUP(G223, LEVEL_HELPER!$A:$B, 2, 0), "")</f>
        <v>4</v>
      </c>
      <c r="K223" s="3">
        <f t="shared" ref="K223:L223" si="447">IF(OR(I223="", I223=0), "",
  IF(I223&lt;=2,   1,
  IF(I223&lt;=4,   2,
  IF(I223&lt;=5.5, 3, 4))))</f>
        <v>2</v>
      </c>
      <c r="L223" s="3">
        <f t="shared" si="447"/>
        <v>2</v>
      </c>
      <c r="M223" s="3" t="str">
        <f t="shared" si="1"/>
        <v>Progress within level</v>
      </c>
      <c r="N223" s="157" t="s">
        <v>942</v>
      </c>
      <c r="O223" s="157" t="s">
        <v>919</v>
      </c>
      <c r="P223" s="3" t="str">
        <f t="shared" ca="1" si="2"/>
        <v/>
      </c>
      <c r="Q223" s="147" t="str">
        <f t="shared" ca="1" si="3"/>
        <v/>
      </c>
      <c r="R223" s="147" t="str">
        <f t="shared" ref="R223:S223" ca="1" si="448">IF(OR(P223="", P223=0), "",
  IF(P223&lt;=2,   1,
  IF(P223&lt;=4,   2,
  IF(P223&lt;=5.5, 3, 4))))</f>
        <v/>
      </c>
      <c r="S223" s="147" t="str">
        <f t="shared" ca="1" si="448"/>
        <v/>
      </c>
      <c r="T223" s="147" t="str">
        <f t="shared" ca="1" si="5"/>
        <v>No Data</v>
      </c>
      <c r="U223" s="147">
        <f t="shared" si="6"/>
        <v>0</v>
      </c>
      <c r="V223" s="147"/>
    </row>
    <row r="224" spans="1:22">
      <c r="A224" s="157" t="s">
        <v>572</v>
      </c>
      <c r="B224" s="3" t="s">
        <v>573</v>
      </c>
      <c r="C224" s="160" t="s">
        <v>72</v>
      </c>
      <c r="D224" s="160" t="s">
        <v>865</v>
      </c>
      <c r="E224" s="3" t="s">
        <v>22</v>
      </c>
      <c r="F224" s="3" t="s">
        <v>917</v>
      </c>
      <c r="G224" s="3" t="s">
        <v>917</v>
      </c>
      <c r="H224" s="156" t="str">
        <f ca="1">IFERROR(
  _xludf.MINIFS(ATTENDANCE_LOG!$F:$F,
         ATTENDANCE_LOG!$A:$A, C224,
         ATTENDANCE_LOG!$B:$B, E224),
"")</f>
        <v/>
      </c>
      <c r="I224" s="3">
        <f>IFERROR(VLOOKUP(F224, LEVEL_HELPER!$A:$B, 2, 0), "")</f>
        <v>3</v>
      </c>
      <c r="J224" s="3">
        <f>IFERROR(VLOOKUP(G224, LEVEL_HELPER!$A:$B, 2, 0), "")</f>
        <v>3</v>
      </c>
      <c r="K224" s="3">
        <f t="shared" ref="K224:L224" si="449">IF(OR(I224="", I224=0), "",
  IF(I224&lt;=2,   1,
  IF(I224&lt;=4,   2,
  IF(I224&lt;=5.5, 3, 4))))</f>
        <v>2</v>
      </c>
      <c r="L224" s="3">
        <f t="shared" si="449"/>
        <v>2</v>
      </c>
      <c r="M224" s="3" t="str">
        <f t="shared" si="1"/>
        <v>No Progress</v>
      </c>
      <c r="N224" s="157" t="s">
        <v>942</v>
      </c>
      <c r="O224" s="157" t="s">
        <v>925</v>
      </c>
      <c r="P224" s="3" t="str">
        <f t="shared" ca="1" si="2"/>
        <v/>
      </c>
      <c r="Q224" s="147" t="str">
        <f t="shared" ca="1" si="3"/>
        <v/>
      </c>
      <c r="R224" s="147" t="str">
        <f t="shared" ref="R224:S224" ca="1" si="450">IF(OR(P224="", P224=0), "",
  IF(P224&lt;=2,   1,
  IF(P224&lt;=4,   2,
  IF(P224&lt;=5.5, 3, 4))))</f>
        <v/>
      </c>
      <c r="S224" s="147" t="str">
        <f t="shared" ca="1" si="450"/>
        <v/>
      </c>
      <c r="T224" s="147" t="str">
        <f t="shared" ca="1" si="5"/>
        <v>No Data</v>
      </c>
      <c r="U224" s="147">
        <f t="shared" si="6"/>
        <v>0</v>
      </c>
      <c r="V224" s="147"/>
    </row>
    <row r="225" spans="1:22">
      <c r="A225" s="157" t="s">
        <v>576</v>
      </c>
      <c r="B225" s="3" t="s">
        <v>577</v>
      </c>
      <c r="C225" s="160" t="s">
        <v>72</v>
      </c>
      <c r="D225" s="160" t="s">
        <v>865</v>
      </c>
      <c r="E225" s="3" t="s">
        <v>22</v>
      </c>
      <c r="F225" s="3" t="s">
        <v>934</v>
      </c>
      <c r="G225" s="3" t="s">
        <v>934</v>
      </c>
      <c r="H225" s="156" t="str">
        <f ca="1">IFERROR(
  _xludf.MINIFS(ATTENDANCE_LOG!$F:$F,
         ATTENDANCE_LOG!$A:$A, C225,
         ATTENDANCE_LOG!$B:$B, E225),
"")</f>
        <v/>
      </c>
      <c r="I225" s="3">
        <f>IFERROR(VLOOKUP(F225, LEVEL_HELPER!$A:$B, 2, 0), "")</f>
        <v>3.5</v>
      </c>
      <c r="J225" s="3">
        <f>IFERROR(VLOOKUP(G225, LEVEL_HELPER!$A:$B, 2, 0), "")</f>
        <v>3.5</v>
      </c>
      <c r="K225" s="3">
        <f t="shared" ref="K225:L225" si="451">IF(OR(I225="", I225=0), "",
  IF(I225&lt;=2,   1,
  IF(I225&lt;=4,   2,
  IF(I225&lt;=5.5, 3, 4))))</f>
        <v>2</v>
      </c>
      <c r="L225" s="3">
        <f t="shared" si="451"/>
        <v>2</v>
      </c>
      <c r="M225" s="3" t="str">
        <f t="shared" si="1"/>
        <v>No Progress</v>
      </c>
      <c r="N225" s="157" t="s">
        <v>942</v>
      </c>
      <c r="O225" s="157" t="s">
        <v>919</v>
      </c>
      <c r="P225" s="3" t="str">
        <f t="shared" ca="1" si="2"/>
        <v/>
      </c>
      <c r="Q225" s="147" t="str">
        <f t="shared" ca="1" si="3"/>
        <v/>
      </c>
      <c r="R225" s="147" t="str">
        <f t="shared" ref="R225:S225" ca="1" si="452">IF(OR(P225="", P225=0), "",
  IF(P225&lt;=2,   1,
  IF(P225&lt;=4,   2,
  IF(P225&lt;=5.5, 3, 4))))</f>
        <v/>
      </c>
      <c r="S225" s="147" t="str">
        <f t="shared" ca="1" si="452"/>
        <v/>
      </c>
      <c r="T225" s="147" t="str">
        <f t="shared" ca="1" si="5"/>
        <v>No Data</v>
      </c>
      <c r="U225" s="147">
        <f t="shared" si="6"/>
        <v>0</v>
      </c>
      <c r="V225" s="147"/>
    </row>
    <row r="226" spans="1:22">
      <c r="A226" s="176" t="s">
        <v>683</v>
      </c>
      <c r="B226" s="154" t="s">
        <v>684</v>
      </c>
      <c r="C226" s="155" t="s">
        <v>72</v>
      </c>
      <c r="D226" s="155" t="s">
        <v>865</v>
      </c>
      <c r="E226" s="154" t="s">
        <v>23</v>
      </c>
      <c r="F226" s="3"/>
      <c r="G226" s="3"/>
      <c r="H226" s="156" t="str">
        <f ca="1">IFERROR(
  _xludf.MINIFS(ATTENDANCE_LOG!$F:$F,
         ATTENDANCE_LOG!$A:$A, C226,
         ATTENDANCE_LOG!$B:$B, E226),
"")</f>
        <v/>
      </c>
      <c r="I226" s="3" t="str">
        <f>IFERROR(VLOOKUP(F226, LEVEL_HELPER!$A:$B, 2, 0), "")</f>
        <v/>
      </c>
      <c r="J226" s="3" t="str">
        <f>IFERROR(VLOOKUP(G226, LEVEL_HELPER!$A:$B, 2, 0), "")</f>
        <v/>
      </c>
      <c r="K226" s="3" t="str">
        <f t="shared" ref="K226:L226" si="453">IF(OR(I226="", I226=0), "",
  IF(I226&lt;=2,   1,
  IF(I226&lt;=4,   2,
  IF(I226&lt;=5.5, 3, 4))))</f>
        <v/>
      </c>
      <c r="L226" s="3" t="str">
        <f t="shared" si="453"/>
        <v/>
      </c>
      <c r="M226" s="3" t="str">
        <f t="shared" si="1"/>
        <v>No Data</v>
      </c>
      <c r="N226" s="157" t="s">
        <v>942</v>
      </c>
      <c r="O226" s="157" t="s">
        <v>919</v>
      </c>
      <c r="P226" s="3" t="str">
        <f t="shared" ca="1" si="2"/>
        <v/>
      </c>
      <c r="Q226" s="147" t="str">
        <f t="shared" ca="1" si="3"/>
        <v/>
      </c>
      <c r="R226" s="147" t="str">
        <f t="shared" ref="R226:S226" ca="1" si="454">IF(OR(P226="", P226=0), "",
  IF(P226&lt;=2,   1,
  IF(P226&lt;=4,   2,
  IF(P226&lt;=5.5, 3, 4))))</f>
        <v/>
      </c>
      <c r="S226" s="147" t="str">
        <f t="shared" ca="1" si="454"/>
        <v/>
      </c>
      <c r="T226" s="147" t="str">
        <f t="shared" ca="1" si="5"/>
        <v>No Data</v>
      </c>
      <c r="U226" s="147">
        <f t="shared" si="6"/>
        <v>0</v>
      </c>
      <c r="V226" s="147"/>
    </row>
    <row r="227" spans="1:22">
      <c r="A227" s="157" t="s">
        <v>265</v>
      </c>
      <c r="B227" s="3" t="s">
        <v>266</v>
      </c>
      <c r="C227" s="160" t="s">
        <v>72</v>
      </c>
      <c r="D227" s="160" t="s">
        <v>865</v>
      </c>
      <c r="E227" s="3" t="s">
        <v>23</v>
      </c>
      <c r="F227" s="3"/>
      <c r="G227" s="3"/>
      <c r="H227" s="156" t="str">
        <f ca="1">IFERROR(
  _xludf.MINIFS(ATTENDANCE_LOG!$F:$F,
         ATTENDANCE_LOG!$A:$A, C227,
         ATTENDANCE_LOG!$B:$B, E227),
"")</f>
        <v/>
      </c>
      <c r="I227" s="3" t="str">
        <f>IFERROR(VLOOKUP(F227, LEVEL_HELPER!$A:$B, 2, 0), "")</f>
        <v/>
      </c>
      <c r="J227" s="3" t="str">
        <f>IFERROR(VLOOKUP(G227, LEVEL_HELPER!$A:$B, 2, 0), "")</f>
        <v/>
      </c>
      <c r="K227" s="3" t="str">
        <f t="shared" ref="K227:L227" si="455">IF(OR(I227="", I227=0), "",
  IF(I227&lt;=2,   1,
  IF(I227&lt;=4,   2,
  IF(I227&lt;=5.5, 3, 4))))</f>
        <v/>
      </c>
      <c r="L227" s="3" t="str">
        <f t="shared" si="455"/>
        <v/>
      </c>
      <c r="M227" s="3" t="str">
        <f t="shared" si="1"/>
        <v>No Data</v>
      </c>
      <c r="N227" s="157" t="s">
        <v>942</v>
      </c>
      <c r="O227" s="157" t="s">
        <v>919</v>
      </c>
      <c r="P227" s="3" t="str">
        <f t="shared" ca="1" si="2"/>
        <v/>
      </c>
      <c r="Q227" s="147" t="str">
        <f t="shared" ca="1" si="3"/>
        <v/>
      </c>
      <c r="R227" s="147" t="str">
        <f t="shared" ref="R227:S227" ca="1" si="456">IF(OR(P227="", P227=0), "",
  IF(P227&lt;=2,   1,
  IF(P227&lt;=4,   2,
  IF(P227&lt;=5.5, 3, 4))))</f>
        <v/>
      </c>
      <c r="S227" s="147" t="str">
        <f t="shared" ca="1" si="456"/>
        <v/>
      </c>
      <c r="T227" s="147" t="str">
        <f t="shared" ca="1" si="5"/>
        <v>No Data</v>
      </c>
      <c r="U227" s="147">
        <f t="shared" si="6"/>
        <v>0</v>
      </c>
      <c r="V227" s="147"/>
    </row>
    <row r="228" spans="1:22">
      <c r="A228" s="157" t="s">
        <v>108</v>
      </c>
      <c r="B228" s="3" t="s">
        <v>283</v>
      </c>
      <c r="C228" s="160" t="s">
        <v>72</v>
      </c>
      <c r="D228" s="160" t="s">
        <v>865</v>
      </c>
      <c r="E228" s="3" t="s">
        <v>23</v>
      </c>
      <c r="F228" s="3"/>
      <c r="G228" s="3"/>
      <c r="H228" s="156" t="str">
        <f ca="1">IFERROR(
  _xludf.MINIFS(ATTENDANCE_LOG!$F:$F,
         ATTENDANCE_LOG!$A:$A, C228,
         ATTENDANCE_LOG!$B:$B, E228),
"")</f>
        <v/>
      </c>
      <c r="I228" s="3" t="str">
        <f>IFERROR(VLOOKUP(F228, LEVEL_HELPER!$A:$B, 2, 0), "")</f>
        <v/>
      </c>
      <c r="J228" s="3" t="str">
        <f>IFERROR(VLOOKUP(G228, LEVEL_HELPER!$A:$B, 2, 0), "")</f>
        <v/>
      </c>
      <c r="K228" s="3" t="str">
        <f t="shared" ref="K228:L228" si="457">IF(OR(I228="", I228=0), "",
  IF(I228&lt;=2,   1,
  IF(I228&lt;=4,   2,
  IF(I228&lt;=5.5, 3, 4))))</f>
        <v/>
      </c>
      <c r="L228" s="3" t="str">
        <f t="shared" si="457"/>
        <v/>
      </c>
      <c r="M228" s="3" t="str">
        <f t="shared" si="1"/>
        <v>No Data</v>
      </c>
      <c r="N228" s="157" t="s">
        <v>942</v>
      </c>
      <c r="O228" s="157" t="s">
        <v>919</v>
      </c>
      <c r="P228" s="3" t="str">
        <f t="shared" ca="1" si="2"/>
        <v/>
      </c>
      <c r="Q228" s="147" t="str">
        <f t="shared" ca="1" si="3"/>
        <v/>
      </c>
      <c r="R228" s="147" t="str">
        <f t="shared" ref="R228:S228" ca="1" si="458">IF(OR(P228="", P228=0), "",
  IF(P228&lt;=2,   1,
  IF(P228&lt;=4,   2,
  IF(P228&lt;=5.5, 3, 4))))</f>
        <v/>
      </c>
      <c r="S228" s="147" t="str">
        <f t="shared" ca="1" si="458"/>
        <v/>
      </c>
      <c r="T228" s="147" t="str">
        <f t="shared" ca="1" si="5"/>
        <v>No Data</v>
      </c>
      <c r="U228" s="147">
        <f t="shared" si="6"/>
        <v>0</v>
      </c>
      <c r="V228" s="147"/>
    </row>
    <row r="229" spans="1:22">
      <c r="A229" s="157" t="s">
        <v>296</v>
      </c>
      <c r="B229" s="3" t="s">
        <v>297</v>
      </c>
      <c r="C229" s="160" t="s">
        <v>72</v>
      </c>
      <c r="D229" s="160" t="s">
        <v>865</v>
      </c>
      <c r="E229" s="3" t="s">
        <v>23</v>
      </c>
      <c r="F229" s="3"/>
      <c r="G229" s="3"/>
      <c r="H229" s="156" t="str">
        <f ca="1">IFERROR(
  _xludf.MINIFS(ATTENDANCE_LOG!$F:$F,
         ATTENDANCE_LOG!$A:$A, C229,
         ATTENDANCE_LOG!$B:$B, E229),
"")</f>
        <v/>
      </c>
      <c r="I229" s="3" t="str">
        <f>IFERROR(VLOOKUP(F229, LEVEL_HELPER!$A:$B, 2, 0), "")</f>
        <v/>
      </c>
      <c r="J229" s="3" t="str">
        <f>IFERROR(VLOOKUP(G229, LEVEL_HELPER!$A:$B, 2, 0), "")</f>
        <v/>
      </c>
      <c r="K229" s="3" t="str">
        <f t="shared" ref="K229:L229" si="459">IF(OR(I229="", I229=0), "",
  IF(I229&lt;=2,   1,
  IF(I229&lt;=4,   2,
  IF(I229&lt;=5.5, 3, 4))))</f>
        <v/>
      </c>
      <c r="L229" s="3" t="str">
        <f t="shared" si="459"/>
        <v/>
      </c>
      <c r="M229" s="3" t="str">
        <f t="shared" si="1"/>
        <v>No Data</v>
      </c>
      <c r="N229" s="157" t="s">
        <v>918</v>
      </c>
      <c r="O229" s="157" t="s">
        <v>919</v>
      </c>
      <c r="P229" s="3" t="str">
        <f t="shared" ca="1" si="2"/>
        <v/>
      </c>
      <c r="Q229" s="147" t="str">
        <f t="shared" ca="1" si="3"/>
        <v/>
      </c>
      <c r="R229" s="147" t="str">
        <f t="shared" ref="R229:S229" ca="1" si="460">IF(OR(P229="", P229=0), "",
  IF(P229&lt;=2,   1,
  IF(P229&lt;=4,   2,
  IF(P229&lt;=5.5, 3, 4))))</f>
        <v/>
      </c>
      <c r="S229" s="147" t="str">
        <f t="shared" ca="1" si="460"/>
        <v/>
      </c>
      <c r="T229" s="147" t="str">
        <f t="shared" ca="1" si="5"/>
        <v>No Data</v>
      </c>
      <c r="U229" s="147">
        <f t="shared" si="6"/>
        <v>0</v>
      </c>
      <c r="V229" s="147"/>
    </row>
    <row r="230" spans="1:22">
      <c r="A230" s="157" t="s">
        <v>315</v>
      </c>
      <c r="B230" s="3" t="s">
        <v>316</v>
      </c>
      <c r="C230" s="160" t="s">
        <v>72</v>
      </c>
      <c r="D230" s="160" t="s">
        <v>865</v>
      </c>
      <c r="E230" s="3" t="s">
        <v>23</v>
      </c>
      <c r="F230" s="3"/>
      <c r="G230" s="3"/>
      <c r="H230" s="156" t="str">
        <f ca="1">IFERROR(
  _xludf.MINIFS(ATTENDANCE_LOG!$F:$F,
         ATTENDANCE_LOG!$A:$A, C230,
         ATTENDANCE_LOG!$B:$B, E230),
"")</f>
        <v/>
      </c>
      <c r="I230" s="3" t="str">
        <f>IFERROR(VLOOKUP(F230, LEVEL_HELPER!$A:$B, 2, 0), "")</f>
        <v/>
      </c>
      <c r="J230" s="3" t="str">
        <f>IFERROR(VLOOKUP(G230, LEVEL_HELPER!$A:$B, 2, 0), "")</f>
        <v/>
      </c>
      <c r="K230" s="3" t="str">
        <f t="shared" ref="K230:L230" si="461">IF(OR(I230="", I230=0), "",
  IF(I230&lt;=2,   1,
  IF(I230&lt;=4,   2,
  IF(I230&lt;=5.5, 3, 4))))</f>
        <v/>
      </c>
      <c r="L230" s="3" t="str">
        <f t="shared" si="461"/>
        <v/>
      </c>
      <c r="M230" s="3" t="str">
        <f t="shared" si="1"/>
        <v>No Data</v>
      </c>
      <c r="N230" s="157" t="s">
        <v>942</v>
      </c>
      <c r="O230" s="157" t="s">
        <v>925</v>
      </c>
      <c r="P230" s="3" t="str">
        <f t="shared" ca="1" si="2"/>
        <v/>
      </c>
      <c r="Q230" s="147" t="str">
        <f t="shared" ca="1" si="3"/>
        <v/>
      </c>
      <c r="R230" s="147" t="str">
        <f t="shared" ref="R230:S230" ca="1" si="462">IF(OR(P230="", P230=0), "",
  IF(P230&lt;=2,   1,
  IF(P230&lt;=4,   2,
  IF(P230&lt;=5.5, 3, 4))))</f>
        <v/>
      </c>
      <c r="S230" s="147" t="str">
        <f t="shared" ca="1" si="462"/>
        <v/>
      </c>
      <c r="T230" s="147" t="str">
        <f t="shared" ca="1" si="5"/>
        <v>No Data</v>
      </c>
      <c r="U230" s="147">
        <f t="shared" si="6"/>
        <v>0</v>
      </c>
      <c r="V230" s="147"/>
    </row>
    <row r="231" spans="1:22">
      <c r="A231" s="157" t="s">
        <v>319</v>
      </c>
      <c r="B231" s="3" t="s">
        <v>320</v>
      </c>
      <c r="C231" s="160" t="s">
        <v>72</v>
      </c>
      <c r="D231" s="160" t="s">
        <v>865</v>
      </c>
      <c r="E231" s="3" t="s">
        <v>23</v>
      </c>
      <c r="F231" s="3"/>
      <c r="G231" s="3"/>
      <c r="H231" s="156" t="str">
        <f ca="1">IFERROR(
  _xludf.MINIFS(ATTENDANCE_LOG!$F:$F,
         ATTENDANCE_LOG!$A:$A, C231,
         ATTENDANCE_LOG!$B:$B, E231),
"")</f>
        <v/>
      </c>
      <c r="I231" s="3" t="str">
        <f>IFERROR(VLOOKUP(F231, LEVEL_HELPER!$A:$B, 2, 0), "")</f>
        <v/>
      </c>
      <c r="J231" s="3" t="str">
        <f>IFERROR(VLOOKUP(G231, LEVEL_HELPER!$A:$B, 2, 0), "")</f>
        <v/>
      </c>
      <c r="K231" s="3" t="str">
        <f t="shared" ref="K231:L231" si="463">IF(OR(I231="", I231=0), "",
  IF(I231&lt;=2,   1,
  IF(I231&lt;=4,   2,
  IF(I231&lt;=5.5, 3, 4))))</f>
        <v/>
      </c>
      <c r="L231" s="3" t="str">
        <f t="shared" si="463"/>
        <v/>
      </c>
      <c r="M231" s="3" t="str">
        <f t="shared" si="1"/>
        <v>No Data</v>
      </c>
      <c r="N231" s="157" t="s">
        <v>918</v>
      </c>
      <c r="O231" s="157" t="s">
        <v>919</v>
      </c>
      <c r="P231" s="3" t="str">
        <f t="shared" ca="1" si="2"/>
        <v/>
      </c>
      <c r="Q231" s="147" t="str">
        <f t="shared" ca="1" si="3"/>
        <v/>
      </c>
      <c r="R231" s="147" t="str">
        <f t="shared" ref="R231:S231" ca="1" si="464">IF(OR(P231="", P231=0), "",
  IF(P231&lt;=2,   1,
  IF(P231&lt;=4,   2,
  IF(P231&lt;=5.5, 3, 4))))</f>
        <v/>
      </c>
      <c r="S231" s="147" t="str">
        <f t="shared" ca="1" si="464"/>
        <v/>
      </c>
      <c r="T231" s="147" t="str">
        <f t="shared" ca="1" si="5"/>
        <v>No Data</v>
      </c>
      <c r="U231" s="147">
        <f t="shared" si="6"/>
        <v>0</v>
      </c>
      <c r="V231" s="147"/>
    </row>
    <row r="232" spans="1:22">
      <c r="A232" s="157" t="s">
        <v>401</v>
      </c>
      <c r="B232" s="3" t="s">
        <v>402</v>
      </c>
      <c r="C232" s="160" t="s">
        <v>72</v>
      </c>
      <c r="D232" s="160" t="s">
        <v>865</v>
      </c>
      <c r="E232" s="3" t="s">
        <v>23</v>
      </c>
      <c r="F232" s="3"/>
      <c r="G232" s="3"/>
      <c r="H232" s="156" t="str">
        <f ca="1">IFERROR(
  _xludf.MINIFS(ATTENDANCE_LOG!$F:$F,
         ATTENDANCE_LOG!$A:$A, C232,
         ATTENDANCE_LOG!$B:$B, E232),
"")</f>
        <v/>
      </c>
      <c r="I232" s="3" t="str">
        <f>IFERROR(VLOOKUP(F232, LEVEL_HELPER!$A:$B, 2, 0), "")</f>
        <v/>
      </c>
      <c r="J232" s="3" t="str">
        <f>IFERROR(VLOOKUP(G232, LEVEL_HELPER!$A:$B, 2, 0), "")</f>
        <v/>
      </c>
      <c r="K232" s="3" t="str">
        <f t="shared" ref="K232:L232" si="465">IF(OR(I232="", I232=0), "",
  IF(I232&lt;=2,   1,
  IF(I232&lt;=4,   2,
  IF(I232&lt;=5.5, 3, 4))))</f>
        <v/>
      </c>
      <c r="L232" s="3" t="str">
        <f t="shared" si="465"/>
        <v/>
      </c>
      <c r="M232" s="3" t="str">
        <f t="shared" si="1"/>
        <v>No Data</v>
      </c>
      <c r="N232" s="157" t="s">
        <v>942</v>
      </c>
      <c r="O232" s="157" t="s">
        <v>919</v>
      </c>
      <c r="P232" s="3" t="str">
        <f t="shared" ca="1" si="2"/>
        <v/>
      </c>
      <c r="Q232" s="147" t="str">
        <f t="shared" ca="1" si="3"/>
        <v/>
      </c>
      <c r="R232" s="147" t="str">
        <f t="shared" ref="R232:S232" ca="1" si="466">IF(OR(P232="", P232=0), "",
  IF(P232&lt;=2,   1,
  IF(P232&lt;=4,   2,
  IF(P232&lt;=5.5, 3, 4))))</f>
        <v/>
      </c>
      <c r="S232" s="147" t="str">
        <f t="shared" ca="1" si="466"/>
        <v/>
      </c>
      <c r="T232" s="147" t="str">
        <f t="shared" ca="1" si="5"/>
        <v>No Data</v>
      </c>
      <c r="U232" s="147">
        <f t="shared" si="6"/>
        <v>0</v>
      </c>
      <c r="V232" s="147"/>
    </row>
    <row r="233" spans="1:22">
      <c r="A233" s="157" t="s">
        <v>474</v>
      </c>
      <c r="B233" s="3" t="s">
        <v>475</v>
      </c>
      <c r="C233" s="160" t="s">
        <v>72</v>
      </c>
      <c r="D233" s="160" t="s">
        <v>865</v>
      </c>
      <c r="E233" s="3" t="s">
        <v>23</v>
      </c>
      <c r="F233" s="3"/>
      <c r="G233" s="3"/>
      <c r="H233" s="156" t="str">
        <f ca="1">IFERROR(
  _xludf.MINIFS(ATTENDANCE_LOG!$F:$F,
         ATTENDANCE_LOG!$A:$A, C233,
         ATTENDANCE_LOG!$B:$B, E233),
"")</f>
        <v/>
      </c>
      <c r="I233" s="3" t="str">
        <f>IFERROR(VLOOKUP(F233, LEVEL_HELPER!$A:$B, 2, 0), "")</f>
        <v/>
      </c>
      <c r="J233" s="3" t="str">
        <f>IFERROR(VLOOKUP(G233, LEVEL_HELPER!$A:$B, 2, 0), "")</f>
        <v/>
      </c>
      <c r="K233" s="3" t="str">
        <f t="shared" ref="K233:L233" si="467">IF(OR(I233="", I233=0), "",
  IF(I233&lt;=2,   1,
  IF(I233&lt;=4,   2,
  IF(I233&lt;=5.5, 3, 4))))</f>
        <v/>
      </c>
      <c r="L233" s="3" t="str">
        <f t="shared" si="467"/>
        <v/>
      </c>
      <c r="M233" s="3" t="str">
        <f t="shared" si="1"/>
        <v>No Data</v>
      </c>
      <c r="N233" s="157" t="s">
        <v>918</v>
      </c>
      <c r="O233" s="157" t="s">
        <v>919</v>
      </c>
      <c r="P233" s="3" t="str">
        <f t="shared" ca="1" si="2"/>
        <v/>
      </c>
      <c r="Q233" s="147" t="str">
        <f t="shared" ca="1" si="3"/>
        <v/>
      </c>
      <c r="R233" s="147" t="str">
        <f t="shared" ref="R233:S233" ca="1" si="468">IF(OR(P233="", P233=0), "",
  IF(P233&lt;=2,   1,
  IF(P233&lt;=4,   2,
  IF(P233&lt;=5.5, 3, 4))))</f>
        <v/>
      </c>
      <c r="S233" s="147" t="str">
        <f t="shared" ca="1" si="468"/>
        <v/>
      </c>
      <c r="T233" s="147" t="str">
        <f t="shared" ca="1" si="5"/>
        <v>No Data</v>
      </c>
      <c r="U233" s="147">
        <f t="shared" si="6"/>
        <v>0</v>
      </c>
      <c r="V233" s="147"/>
    </row>
    <row r="234" spans="1:22">
      <c r="A234" s="176" t="s">
        <v>309</v>
      </c>
      <c r="B234" s="154" t="s">
        <v>310</v>
      </c>
      <c r="C234" s="155" t="s">
        <v>73</v>
      </c>
      <c r="D234" s="155" t="s">
        <v>866</v>
      </c>
      <c r="E234" s="154" t="s">
        <v>21</v>
      </c>
      <c r="F234" s="3" t="s">
        <v>926</v>
      </c>
      <c r="G234" s="3" t="s">
        <v>928</v>
      </c>
      <c r="H234" s="156" t="str">
        <f ca="1">IFERROR(
  _xludf.MINIFS(ATTENDANCE_LOG!$F:$F,
         ATTENDANCE_LOG!$A:$A, C234,
         ATTENDANCE_LOG!$B:$B, E234),
"")</f>
        <v/>
      </c>
      <c r="I234" s="3">
        <f>IFERROR(VLOOKUP(F234, LEVEL_HELPER!$A:$B, 2, 0), "")</f>
        <v>1</v>
      </c>
      <c r="J234" s="3">
        <f>IFERROR(VLOOKUP(G234, LEVEL_HELPER!$A:$B, 2, 0), "")</f>
        <v>1.5</v>
      </c>
      <c r="K234" s="3">
        <f t="shared" ref="K234:L234" si="469">IF(OR(I234="", I234=0), "",
  IF(I234&lt;=2,   1,
  IF(I234&lt;=4,   2,
  IF(I234&lt;=5.5, 3, 4))))</f>
        <v>1</v>
      </c>
      <c r="L234" s="3">
        <f t="shared" si="469"/>
        <v>1</v>
      </c>
      <c r="M234" s="3" t="str">
        <f t="shared" si="1"/>
        <v>Progress within level</v>
      </c>
      <c r="N234" s="157" t="s">
        <v>942</v>
      </c>
      <c r="O234" s="157" t="s">
        <v>923</v>
      </c>
      <c r="P234" s="3" t="str">
        <f t="shared" ca="1" si="2"/>
        <v/>
      </c>
      <c r="Q234" s="147" t="str">
        <f t="shared" ca="1" si="3"/>
        <v/>
      </c>
      <c r="R234" s="147" t="str">
        <f t="shared" ref="R234:S234" ca="1" si="470">IF(OR(P234="", P234=0), "",
  IF(P234&lt;=2,   1,
  IF(P234&lt;=4,   2,
  IF(P234&lt;=5.5, 3, 4))))</f>
        <v/>
      </c>
      <c r="S234" s="147" t="str">
        <f t="shared" ca="1" si="470"/>
        <v/>
      </c>
      <c r="T234" s="147" t="str">
        <f t="shared" ca="1" si="5"/>
        <v>No Data</v>
      </c>
      <c r="U234" s="147">
        <f t="shared" si="6"/>
        <v>1</v>
      </c>
      <c r="V234" s="147"/>
    </row>
    <row r="235" spans="1:22">
      <c r="A235" s="157" t="s">
        <v>332</v>
      </c>
      <c r="B235" s="3" t="s">
        <v>333</v>
      </c>
      <c r="C235" s="160" t="s">
        <v>73</v>
      </c>
      <c r="D235" s="160" t="s">
        <v>866</v>
      </c>
      <c r="E235" s="3" t="s">
        <v>21</v>
      </c>
      <c r="F235" s="3" t="s">
        <v>926</v>
      </c>
      <c r="G235" s="3" t="s">
        <v>917</v>
      </c>
      <c r="H235" s="156" t="str">
        <f ca="1">IFERROR(
  _xludf.MINIFS(ATTENDANCE_LOG!$F:$F,
         ATTENDANCE_LOG!$A:$A, C235,
         ATTENDANCE_LOG!$B:$B, E235),
"")</f>
        <v/>
      </c>
      <c r="I235" s="3">
        <f>IFERROR(VLOOKUP(F235, LEVEL_HELPER!$A:$B, 2, 0), "")</f>
        <v>1</v>
      </c>
      <c r="J235" s="3">
        <f>IFERROR(VLOOKUP(G235, LEVEL_HELPER!$A:$B, 2, 0), "")</f>
        <v>3</v>
      </c>
      <c r="K235" s="3">
        <f t="shared" ref="K235:L235" si="471">IF(OR(I235="", I235=0), "",
  IF(I235&lt;=2,   1,
  IF(I235&lt;=4,   2,
  IF(I235&lt;=5.5, 3, 4))))</f>
        <v>1</v>
      </c>
      <c r="L235" s="3">
        <f t="shared" si="471"/>
        <v>2</v>
      </c>
      <c r="M235" s="3" t="str">
        <f t="shared" si="1"/>
        <v>Lv1 → Lv2</v>
      </c>
      <c r="N235" s="157" t="s">
        <v>942</v>
      </c>
      <c r="O235" s="157" t="s">
        <v>923</v>
      </c>
      <c r="P235" s="3" t="str">
        <f t="shared" ca="1" si="2"/>
        <v/>
      </c>
      <c r="Q235" s="147" t="str">
        <f t="shared" ca="1" si="3"/>
        <v/>
      </c>
      <c r="R235" s="147" t="str">
        <f t="shared" ref="R235:S235" ca="1" si="472">IF(OR(P235="", P235=0), "",
  IF(P235&lt;=2,   1,
  IF(P235&lt;=4,   2,
  IF(P235&lt;=5.5, 3, 4))))</f>
        <v/>
      </c>
      <c r="S235" s="147" t="str">
        <f t="shared" ca="1" si="472"/>
        <v/>
      </c>
      <c r="T235" s="147" t="str">
        <f t="shared" ca="1" si="5"/>
        <v>No Data</v>
      </c>
      <c r="U235" s="147">
        <f t="shared" si="6"/>
        <v>1</v>
      </c>
      <c r="V235" s="147"/>
    </row>
    <row r="236" spans="1:22">
      <c r="A236" s="157" t="s">
        <v>419</v>
      </c>
      <c r="B236" s="3" t="s">
        <v>420</v>
      </c>
      <c r="C236" s="160" t="s">
        <v>73</v>
      </c>
      <c r="D236" s="160" t="s">
        <v>866</v>
      </c>
      <c r="E236" s="3" t="s">
        <v>21</v>
      </c>
      <c r="F236" s="3" t="s">
        <v>926</v>
      </c>
      <c r="G236" s="3" t="s">
        <v>926</v>
      </c>
      <c r="H236" s="156" t="str">
        <f ca="1">IFERROR(
  _xludf.MINIFS(ATTENDANCE_LOG!$F:$F,
         ATTENDANCE_LOG!$A:$A, C236,
         ATTENDANCE_LOG!$B:$B, E236),
"")</f>
        <v/>
      </c>
      <c r="I236" s="3">
        <f>IFERROR(VLOOKUP(F236, LEVEL_HELPER!$A:$B, 2, 0), "")</f>
        <v>1</v>
      </c>
      <c r="J236" s="3">
        <f>IFERROR(VLOOKUP(G236, LEVEL_HELPER!$A:$B, 2, 0), "")</f>
        <v>1</v>
      </c>
      <c r="K236" s="3">
        <f t="shared" ref="K236:L236" si="473">IF(OR(I236="", I236=0), "",
  IF(I236&lt;=2,   1,
  IF(I236&lt;=4,   2,
  IF(I236&lt;=5.5, 3, 4))))</f>
        <v>1</v>
      </c>
      <c r="L236" s="3">
        <f t="shared" si="473"/>
        <v>1</v>
      </c>
      <c r="M236" s="3" t="str">
        <f t="shared" si="1"/>
        <v>No Progress</v>
      </c>
      <c r="N236" s="157" t="s">
        <v>942</v>
      </c>
      <c r="O236" s="157" t="s">
        <v>922</v>
      </c>
      <c r="P236" s="3" t="str">
        <f t="shared" ca="1" si="2"/>
        <v/>
      </c>
      <c r="Q236" s="147" t="str">
        <f t="shared" ca="1" si="3"/>
        <v/>
      </c>
      <c r="R236" s="147" t="str">
        <f t="shared" ref="R236:S236" ca="1" si="474">IF(OR(P236="", P236=0), "",
  IF(P236&lt;=2,   1,
  IF(P236&lt;=4,   2,
  IF(P236&lt;=5.5, 3, 4))))</f>
        <v/>
      </c>
      <c r="S236" s="147" t="str">
        <f t="shared" ca="1" si="474"/>
        <v/>
      </c>
      <c r="T236" s="147" t="str">
        <f t="shared" ca="1" si="5"/>
        <v>No Data</v>
      </c>
      <c r="U236" s="147">
        <f t="shared" si="6"/>
        <v>1</v>
      </c>
      <c r="V236" s="147"/>
    </row>
    <row r="237" spans="1:22">
      <c r="A237" s="157" t="s">
        <v>562</v>
      </c>
      <c r="B237" s="3" t="s">
        <v>563</v>
      </c>
      <c r="C237" s="160" t="s">
        <v>73</v>
      </c>
      <c r="D237" s="160" t="s">
        <v>866</v>
      </c>
      <c r="E237" s="3" t="s">
        <v>21</v>
      </c>
      <c r="F237" s="3" t="s">
        <v>926</v>
      </c>
      <c r="G237" s="3" t="s">
        <v>917</v>
      </c>
      <c r="H237" s="156" t="str">
        <f ca="1">IFERROR(
  _xludf.MINIFS(ATTENDANCE_LOG!$F:$F,
         ATTENDANCE_LOG!$A:$A, C237,
         ATTENDANCE_LOG!$B:$B, E237),
"")</f>
        <v/>
      </c>
      <c r="I237" s="3">
        <f>IFERROR(VLOOKUP(F237, LEVEL_HELPER!$A:$B, 2, 0), "")</f>
        <v>1</v>
      </c>
      <c r="J237" s="3">
        <f>IFERROR(VLOOKUP(G237, LEVEL_HELPER!$A:$B, 2, 0), "")</f>
        <v>3</v>
      </c>
      <c r="K237" s="3">
        <f t="shared" ref="K237:L237" si="475">IF(OR(I237="", I237=0), "",
  IF(I237&lt;=2,   1,
  IF(I237&lt;=4,   2,
  IF(I237&lt;=5.5, 3, 4))))</f>
        <v>1</v>
      </c>
      <c r="L237" s="3">
        <f t="shared" si="475"/>
        <v>2</v>
      </c>
      <c r="M237" s="3" t="str">
        <f t="shared" si="1"/>
        <v>Lv1 → Lv2</v>
      </c>
      <c r="N237" s="157" t="s">
        <v>942</v>
      </c>
      <c r="O237" s="157" t="s">
        <v>923</v>
      </c>
      <c r="P237" s="3" t="str">
        <f t="shared" ca="1" si="2"/>
        <v/>
      </c>
      <c r="Q237" s="147" t="str">
        <f t="shared" ca="1" si="3"/>
        <v/>
      </c>
      <c r="R237" s="147" t="str">
        <f t="shared" ref="R237:S237" ca="1" si="476">IF(OR(P237="", P237=0), "",
  IF(P237&lt;=2,   1,
  IF(P237&lt;=4,   2,
  IF(P237&lt;=5.5, 3, 4))))</f>
        <v/>
      </c>
      <c r="S237" s="147" t="str">
        <f t="shared" ca="1" si="476"/>
        <v/>
      </c>
      <c r="T237" s="147" t="str">
        <f t="shared" ca="1" si="5"/>
        <v>No Data</v>
      </c>
      <c r="U237" s="147">
        <f t="shared" si="6"/>
        <v>1</v>
      </c>
      <c r="V237" s="147"/>
    </row>
    <row r="238" spans="1:22">
      <c r="A238" s="157" t="s">
        <v>693</v>
      </c>
      <c r="B238" s="3" t="s">
        <v>694</v>
      </c>
      <c r="C238" s="160" t="s">
        <v>73</v>
      </c>
      <c r="D238" s="160" t="s">
        <v>866</v>
      </c>
      <c r="E238" s="3" t="s">
        <v>21</v>
      </c>
      <c r="F238" s="3" t="s">
        <v>926</v>
      </c>
      <c r="G238" s="3" t="s">
        <v>917</v>
      </c>
      <c r="H238" s="156" t="str">
        <f ca="1">IFERROR(
  _xludf.MINIFS(ATTENDANCE_LOG!$F:$F,
         ATTENDANCE_LOG!$A:$A, C238,
         ATTENDANCE_LOG!$B:$B, E238),
"")</f>
        <v/>
      </c>
      <c r="I238" s="3">
        <f>IFERROR(VLOOKUP(F238, LEVEL_HELPER!$A:$B, 2, 0), "")</f>
        <v>1</v>
      </c>
      <c r="J238" s="3">
        <f>IFERROR(VLOOKUP(G238, LEVEL_HELPER!$A:$B, 2, 0), "")</f>
        <v>3</v>
      </c>
      <c r="K238" s="3">
        <f t="shared" ref="K238:L238" si="477">IF(OR(I238="", I238=0), "",
  IF(I238&lt;=2,   1,
  IF(I238&lt;=4,   2,
  IF(I238&lt;=5.5, 3, 4))))</f>
        <v>1</v>
      </c>
      <c r="L238" s="3">
        <f t="shared" si="477"/>
        <v>2</v>
      </c>
      <c r="M238" s="3" t="str">
        <f t="shared" si="1"/>
        <v>Lv1 → Lv2</v>
      </c>
      <c r="N238" s="157" t="s">
        <v>942</v>
      </c>
      <c r="O238" s="157" t="s">
        <v>923</v>
      </c>
      <c r="P238" s="3" t="str">
        <f t="shared" ca="1" si="2"/>
        <v/>
      </c>
      <c r="Q238" s="147" t="str">
        <f t="shared" ca="1" si="3"/>
        <v/>
      </c>
      <c r="R238" s="147" t="str">
        <f t="shared" ref="R238:S238" ca="1" si="478">IF(OR(P238="", P238=0), "",
  IF(P238&lt;=2,   1,
  IF(P238&lt;=4,   2,
  IF(P238&lt;=5.5, 3, 4))))</f>
        <v/>
      </c>
      <c r="S238" s="147" t="str">
        <f t="shared" ca="1" si="478"/>
        <v/>
      </c>
      <c r="T238" s="147" t="str">
        <f t="shared" ca="1" si="5"/>
        <v>No Data</v>
      </c>
      <c r="U238" s="147">
        <f t="shared" si="6"/>
        <v>1</v>
      </c>
      <c r="V238" s="147"/>
    </row>
    <row r="239" spans="1:22">
      <c r="A239" s="176" t="s">
        <v>224</v>
      </c>
      <c r="B239" s="154" t="s">
        <v>225</v>
      </c>
      <c r="C239" s="155" t="s">
        <v>74</v>
      </c>
      <c r="D239" s="155" t="s">
        <v>867</v>
      </c>
      <c r="E239" s="154" t="s">
        <v>25</v>
      </c>
      <c r="F239" s="3" t="s">
        <v>926</v>
      </c>
      <c r="G239" s="3" t="s">
        <v>926</v>
      </c>
      <c r="H239" s="156" t="str">
        <f ca="1">IFERROR(
  _xludf.MINIFS(ATTENDANCE_LOG!$F:$F,
         ATTENDANCE_LOG!$A:$A, C239,
         ATTENDANCE_LOG!$B:$B, E239),
"")</f>
        <v/>
      </c>
      <c r="I239" s="3">
        <f>IFERROR(VLOOKUP(F239, LEVEL_HELPER!$A:$B, 2, 0), "")</f>
        <v>1</v>
      </c>
      <c r="J239" s="3">
        <f>IFERROR(VLOOKUP(G239, LEVEL_HELPER!$A:$B, 2, 0), "")</f>
        <v>1</v>
      </c>
      <c r="K239" s="3">
        <f t="shared" ref="K239:L239" si="479">IF(OR(I239="", I239=0), "",
  IF(I239&lt;=2,   1,
  IF(I239&lt;=4,   2,
  IF(I239&lt;=5.5, 3, 4))))</f>
        <v>1</v>
      </c>
      <c r="L239" s="3">
        <f t="shared" si="479"/>
        <v>1</v>
      </c>
      <c r="M239" s="3" t="str">
        <f t="shared" si="1"/>
        <v>No Progress</v>
      </c>
      <c r="N239" s="157" t="s">
        <v>942</v>
      </c>
      <c r="O239" s="157" t="s">
        <v>922</v>
      </c>
      <c r="P239" s="3" t="str">
        <f t="shared" ca="1" si="2"/>
        <v/>
      </c>
      <c r="Q239" s="147" t="str">
        <f t="shared" ca="1" si="3"/>
        <v/>
      </c>
      <c r="R239" s="147" t="str">
        <f t="shared" ref="R239:S239" ca="1" si="480">IF(OR(P239="", P239=0), "",
  IF(P239&lt;=2,   1,
  IF(P239&lt;=4,   2,
  IF(P239&lt;=5.5, 3, 4))))</f>
        <v/>
      </c>
      <c r="S239" s="147" t="str">
        <f t="shared" ca="1" si="480"/>
        <v/>
      </c>
      <c r="T239" s="147" t="str">
        <f t="shared" ca="1" si="5"/>
        <v>No Data</v>
      </c>
      <c r="U239" s="147">
        <f t="shared" si="6"/>
        <v>1</v>
      </c>
      <c r="V239" s="147"/>
    </row>
    <row r="240" spans="1:22">
      <c r="A240" s="157" t="s">
        <v>186</v>
      </c>
      <c r="B240" s="3" t="s">
        <v>187</v>
      </c>
      <c r="C240" s="160" t="s">
        <v>74</v>
      </c>
      <c r="D240" s="160" t="s">
        <v>867</v>
      </c>
      <c r="E240" s="3" t="s">
        <v>25</v>
      </c>
      <c r="F240" s="3" t="s">
        <v>926</v>
      </c>
      <c r="G240" s="3" t="s">
        <v>926</v>
      </c>
      <c r="H240" s="156" t="str">
        <f ca="1">IFERROR(
  _xludf.MINIFS(ATTENDANCE_LOG!$F:$F,
         ATTENDANCE_LOG!$A:$A, C240,
         ATTENDANCE_LOG!$B:$B, E240),
"")</f>
        <v/>
      </c>
      <c r="I240" s="3">
        <f>IFERROR(VLOOKUP(F240, LEVEL_HELPER!$A:$B, 2, 0), "")</f>
        <v>1</v>
      </c>
      <c r="J240" s="3">
        <f>IFERROR(VLOOKUP(G240, LEVEL_HELPER!$A:$B, 2, 0), "")</f>
        <v>1</v>
      </c>
      <c r="K240" s="3">
        <f t="shared" ref="K240:L240" si="481">IF(OR(I240="", I240=0), "",
  IF(I240&lt;=2,   1,
  IF(I240&lt;=4,   2,
  IF(I240&lt;=5.5, 3, 4))))</f>
        <v>1</v>
      </c>
      <c r="L240" s="3">
        <f t="shared" si="481"/>
        <v>1</v>
      </c>
      <c r="M240" s="3" t="str">
        <f t="shared" si="1"/>
        <v>No Progress</v>
      </c>
      <c r="N240" s="157" t="s">
        <v>942</v>
      </c>
      <c r="O240" s="157" t="s">
        <v>923</v>
      </c>
      <c r="P240" s="3" t="str">
        <f t="shared" ca="1" si="2"/>
        <v/>
      </c>
      <c r="Q240" s="147" t="str">
        <f t="shared" ca="1" si="3"/>
        <v/>
      </c>
      <c r="R240" s="147" t="str">
        <f t="shared" ref="R240:S240" ca="1" si="482">IF(OR(P240="", P240=0), "",
  IF(P240&lt;=2,   1,
  IF(P240&lt;=4,   2,
  IF(P240&lt;=5.5, 3, 4))))</f>
        <v/>
      </c>
      <c r="S240" s="147" t="str">
        <f t="shared" ca="1" si="482"/>
        <v/>
      </c>
      <c r="T240" s="147" t="str">
        <f t="shared" ca="1" si="5"/>
        <v>No Data</v>
      </c>
      <c r="U240" s="147">
        <f t="shared" si="6"/>
        <v>1</v>
      </c>
      <c r="V240" s="147"/>
    </row>
    <row r="241" spans="1:22">
      <c r="A241" s="157" t="s">
        <v>382</v>
      </c>
      <c r="B241" s="3" t="s">
        <v>380</v>
      </c>
      <c r="C241" s="160" t="s">
        <v>74</v>
      </c>
      <c r="D241" s="160" t="s">
        <v>867</v>
      </c>
      <c r="E241" s="3" t="s">
        <v>25</v>
      </c>
      <c r="F241" s="3" t="s">
        <v>926</v>
      </c>
      <c r="G241" s="3" t="s">
        <v>926</v>
      </c>
      <c r="H241" s="156" t="str">
        <f ca="1">IFERROR(
  _xludf.MINIFS(ATTENDANCE_LOG!$F:$F,
         ATTENDANCE_LOG!$A:$A, C241,
         ATTENDANCE_LOG!$B:$B, E241),
"")</f>
        <v/>
      </c>
      <c r="I241" s="3">
        <f>IFERROR(VLOOKUP(F241, LEVEL_HELPER!$A:$B, 2, 0), "")</f>
        <v>1</v>
      </c>
      <c r="J241" s="3">
        <f>IFERROR(VLOOKUP(G241, LEVEL_HELPER!$A:$B, 2, 0), "")</f>
        <v>1</v>
      </c>
      <c r="K241" s="3">
        <f t="shared" ref="K241:L241" si="483">IF(OR(I241="", I241=0), "",
  IF(I241&lt;=2,   1,
  IF(I241&lt;=4,   2,
  IF(I241&lt;=5.5, 3, 4))))</f>
        <v>1</v>
      </c>
      <c r="L241" s="3">
        <f t="shared" si="483"/>
        <v>1</v>
      </c>
      <c r="M241" s="3" t="str">
        <f t="shared" si="1"/>
        <v>No Progress</v>
      </c>
      <c r="N241" s="157" t="s">
        <v>942</v>
      </c>
      <c r="O241" s="157" t="s">
        <v>923</v>
      </c>
      <c r="P241" s="3" t="str">
        <f t="shared" ca="1" si="2"/>
        <v/>
      </c>
      <c r="Q241" s="147" t="str">
        <f t="shared" ca="1" si="3"/>
        <v/>
      </c>
      <c r="R241" s="147" t="str">
        <f t="shared" ref="R241:S241" ca="1" si="484">IF(OR(P241="", P241=0), "",
  IF(P241&lt;=2,   1,
  IF(P241&lt;=4,   2,
  IF(P241&lt;=5.5, 3, 4))))</f>
        <v/>
      </c>
      <c r="S241" s="147" t="str">
        <f t="shared" ca="1" si="484"/>
        <v/>
      </c>
      <c r="T241" s="147" t="str">
        <f t="shared" ca="1" si="5"/>
        <v>No Data</v>
      </c>
      <c r="U241" s="147">
        <f t="shared" si="6"/>
        <v>1</v>
      </c>
      <c r="V241" s="147"/>
    </row>
    <row r="242" spans="1:22">
      <c r="A242" s="157" t="s">
        <v>425</v>
      </c>
      <c r="B242" s="3" t="s">
        <v>426</v>
      </c>
      <c r="C242" s="160" t="s">
        <v>74</v>
      </c>
      <c r="D242" s="160" t="s">
        <v>867</v>
      </c>
      <c r="E242" s="3" t="s">
        <v>25</v>
      </c>
      <c r="F242" s="3" t="s">
        <v>926</v>
      </c>
      <c r="G242" s="3" t="s">
        <v>926</v>
      </c>
      <c r="H242" s="156" t="str">
        <f ca="1">IFERROR(
  _xludf.MINIFS(ATTENDANCE_LOG!$F:$F,
         ATTENDANCE_LOG!$A:$A, C242,
         ATTENDANCE_LOG!$B:$B, E242),
"")</f>
        <v/>
      </c>
      <c r="I242" s="3">
        <f>IFERROR(VLOOKUP(F242, LEVEL_HELPER!$A:$B, 2, 0), "")</f>
        <v>1</v>
      </c>
      <c r="J242" s="3">
        <f>IFERROR(VLOOKUP(G242, LEVEL_HELPER!$A:$B, 2, 0), "")</f>
        <v>1</v>
      </c>
      <c r="K242" s="3">
        <f t="shared" ref="K242:L242" si="485">IF(OR(I242="", I242=0), "",
  IF(I242&lt;=2,   1,
  IF(I242&lt;=4,   2,
  IF(I242&lt;=5.5, 3, 4))))</f>
        <v>1</v>
      </c>
      <c r="L242" s="3">
        <f t="shared" si="485"/>
        <v>1</v>
      </c>
      <c r="M242" s="3" t="str">
        <f t="shared" si="1"/>
        <v>No Progress</v>
      </c>
      <c r="N242" s="157" t="s">
        <v>942</v>
      </c>
      <c r="O242" s="157" t="s">
        <v>922</v>
      </c>
      <c r="P242" s="3" t="str">
        <f t="shared" ca="1" si="2"/>
        <v/>
      </c>
      <c r="Q242" s="147" t="str">
        <f t="shared" ca="1" si="3"/>
        <v/>
      </c>
      <c r="R242" s="147" t="str">
        <f t="shared" ref="R242:S242" ca="1" si="486">IF(OR(P242="", P242=0), "",
  IF(P242&lt;=2,   1,
  IF(P242&lt;=4,   2,
  IF(P242&lt;=5.5, 3, 4))))</f>
        <v/>
      </c>
      <c r="S242" s="147" t="str">
        <f t="shared" ca="1" si="486"/>
        <v/>
      </c>
      <c r="T242" s="147" t="str">
        <f t="shared" ca="1" si="5"/>
        <v>No Data</v>
      </c>
      <c r="U242" s="147">
        <f t="shared" si="6"/>
        <v>1</v>
      </c>
      <c r="V242" s="147"/>
    </row>
    <row r="243" spans="1:22">
      <c r="A243" s="157" t="s">
        <v>431</v>
      </c>
      <c r="B243" s="3" t="s">
        <v>432</v>
      </c>
      <c r="C243" s="160" t="s">
        <v>74</v>
      </c>
      <c r="D243" s="160" t="s">
        <v>867</v>
      </c>
      <c r="E243" s="3" t="s">
        <v>25</v>
      </c>
      <c r="F243" s="3" t="s">
        <v>926</v>
      </c>
      <c r="G243" s="3" t="s">
        <v>926</v>
      </c>
      <c r="H243" s="156" t="str">
        <f ca="1">IFERROR(
  _xludf.MINIFS(ATTENDANCE_LOG!$F:$F,
         ATTENDANCE_LOG!$A:$A, C243,
         ATTENDANCE_LOG!$B:$B, E243),
"")</f>
        <v/>
      </c>
      <c r="I243" s="3">
        <f>IFERROR(VLOOKUP(F243, LEVEL_HELPER!$A:$B, 2, 0), "")</f>
        <v>1</v>
      </c>
      <c r="J243" s="3">
        <f>IFERROR(VLOOKUP(G243, LEVEL_HELPER!$A:$B, 2, 0), "")</f>
        <v>1</v>
      </c>
      <c r="K243" s="3">
        <f t="shared" ref="K243:L243" si="487">IF(OR(I243="", I243=0), "",
  IF(I243&lt;=2,   1,
  IF(I243&lt;=4,   2,
  IF(I243&lt;=5.5, 3, 4))))</f>
        <v>1</v>
      </c>
      <c r="L243" s="3">
        <f t="shared" si="487"/>
        <v>1</v>
      </c>
      <c r="M243" s="3" t="str">
        <f t="shared" si="1"/>
        <v>No Progress</v>
      </c>
      <c r="N243" s="157" t="s">
        <v>942</v>
      </c>
      <c r="O243" s="157" t="s">
        <v>923</v>
      </c>
      <c r="P243" s="3" t="str">
        <f t="shared" ca="1" si="2"/>
        <v/>
      </c>
      <c r="Q243" s="147" t="str">
        <f t="shared" ca="1" si="3"/>
        <v/>
      </c>
      <c r="R243" s="147" t="str">
        <f t="shared" ref="R243:S243" ca="1" si="488">IF(OR(P243="", P243=0), "",
  IF(P243&lt;=2,   1,
  IF(P243&lt;=4,   2,
  IF(P243&lt;=5.5, 3, 4))))</f>
        <v/>
      </c>
      <c r="S243" s="147" t="str">
        <f t="shared" ca="1" si="488"/>
        <v/>
      </c>
      <c r="T243" s="147" t="str">
        <f t="shared" ca="1" si="5"/>
        <v>No Data</v>
      </c>
      <c r="U243" s="147">
        <f t="shared" si="6"/>
        <v>1</v>
      </c>
      <c r="V243" s="147"/>
    </row>
    <row r="244" spans="1:22">
      <c r="A244" s="157" t="s">
        <v>453</v>
      </c>
      <c r="B244" s="3" t="s">
        <v>454</v>
      </c>
      <c r="C244" s="160" t="s">
        <v>74</v>
      </c>
      <c r="D244" s="160" t="s">
        <v>867</v>
      </c>
      <c r="E244" s="3" t="s">
        <v>25</v>
      </c>
      <c r="F244" s="3" t="s">
        <v>926</v>
      </c>
      <c r="G244" s="3" t="s">
        <v>926</v>
      </c>
      <c r="H244" s="156" t="str">
        <f ca="1">IFERROR(
  _xludf.MINIFS(ATTENDANCE_LOG!$F:$F,
         ATTENDANCE_LOG!$A:$A, C244,
         ATTENDANCE_LOG!$B:$B, E244),
"")</f>
        <v/>
      </c>
      <c r="I244" s="3">
        <f>IFERROR(VLOOKUP(F244, LEVEL_HELPER!$A:$B, 2, 0), "")</f>
        <v>1</v>
      </c>
      <c r="J244" s="3">
        <f>IFERROR(VLOOKUP(G244, LEVEL_HELPER!$A:$B, 2, 0), "")</f>
        <v>1</v>
      </c>
      <c r="K244" s="3">
        <f t="shared" ref="K244:L244" si="489">IF(OR(I244="", I244=0), "",
  IF(I244&lt;=2,   1,
  IF(I244&lt;=4,   2,
  IF(I244&lt;=5.5, 3, 4))))</f>
        <v>1</v>
      </c>
      <c r="L244" s="3">
        <f t="shared" si="489"/>
        <v>1</v>
      </c>
      <c r="M244" s="3" t="str">
        <f t="shared" si="1"/>
        <v>No Progress</v>
      </c>
      <c r="N244" s="157" t="s">
        <v>942</v>
      </c>
      <c r="O244" s="157" t="s">
        <v>923</v>
      </c>
      <c r="P244" s="3" t="str">
        <f t="shared" ca="1" si="2"/>
        <v/>
      </c>
      <c r="Q244" s="147" t="str">
        <f t="shared" ca="1" si="3"/>
        <v/>
      </c>
      <c r="R244" s="147" t="str">
        <f t="shared" ref="R244:S244" ca="1" si="490">IF(OR(P244="", P244=0), "",
  IF(P244&lt;=2,   1,
  IF(P244&lt;=4,   2,
  IF(P244&lt;=5.5, 3, 4))))</f>
        <v/>
      </c>
      <c r="S244" s="147" t="str">
        <f t="shared" ca="1" si="490"/>
        <v/>
      </c>
      <c r="T244" s="147" t="str">
        <f t="shared" ca="1" si="5"/>
        <v>No Data</v>
      </c>
      <c r="U244" s="147">
        <f t="shared" si="6"/>
        <v>1</v>
      </c>
      <c r="V244" s="147"/>
    </row>
    <row r="245" spans="1:22">
      <c r="A245" s="176" t="s">
        <v>224</v>
      </c>
      <c r="B245" s="154" t="s">
        <v>225</v>
      </c>
      <c r="C245" s="155" t="s">
        <v>74</v>
      </c>
      <c r="D245" s="155" t="s">
        <v>867</v>
      </c>
      <c r="E245" s="154" t="s">
        <v>21</v>
      </c>
      <c r="F245" s="3" t="s">
        <v>926</v>
      </c>
      <c r="G245" s="3" t="s">
        <v>917</v>
      </c>
      <c r="H245" s="156" t="str">
        <f ca="1">IFERROR(
  _xludf.MINIFS(ATTENDANCE_LOG!$F:$F,
         ATTENDANCE_LOG!$A:$A, C245,
         ATTENDANCE_LOG!$B:$B, E245),
"")</f>
        <v/>
      </c>
      <c r="I245" s="3">
        <f>IFERROR(VLOOKUP(F245, LEVEL_HELPER!$A:$B, 2, 0), "")</f>
        <v>1</v>
      </c>
      <c r="J245" s="3">
        <f>IFERROR(VLOOKUP(G245, LEVEL_HELPER!$A:$B, 2, 0), "")</f>
        <v>3</v>
      </c>
      <c r="K245" s="3">
        <f t="shared" ref="K245:L245" si="491">IF(OR(I245="", I245=0), "",
  IF(I245&lt;=2,   1,
  IF(I245&lt;=4,   2,
  IF(I245&lt;=5.5, 3, 4))))</f>
        <v>1</v>
      </c>
      <c r="L245" s="3">
        <f t="shared" si="491"/>
        <v>2</v>
      </c>
      <c r="M245" s="3" t="str">
        <f t="shared" si="1"/>
        <v>Lv1 → Lv2</v>
      </c>
      <c r="N245" s="157" t="s">
        <v>942</v>
      </c>
      <c r="O245" s="157" t="s">
        <v>922</v>
      </c>
      <c r="P245" s="3" t="str">
        <f t="shared" ca="1" si="2"/>
        <v/>
      </c>
      <c r="Q245" s="147" t="str">
        <f t="shared" ca="1" si="3"/>
        <v/>
      </c>
      <c r="R245" s="147" t="str">
        <f t="shared" ref="R245:S245" ca="1" si="492">IF(OR(P245="", P245=0), "",
  IF(P245&lt;=2,   1,
  IF(P245&lt;=4,   2,
  IF(P245&lt;=5.5, 3, 4))))</f>
        <v/>
      </c>
      <c r="S245" s="147" t="str">
        <f t="shared" ca="1" si="492"/>
        <v/>
      </c>
      <c r="T245" s="147" t="str">
        <f t="shared" ca="1" si="5"/>
        <v>No Data</v>
      </c>
      <c r="U245" s="147">
        <f t="shared" si="6"/>
        <v>0</v>
      </c>
      <c r="V245" s="147"/>
    </row>
    <row r="246" spans="1:22">
      <c r="A246" s="157" t="s">
        <v>186</v>
      </c>
      <c r="B246" s="3" t="s">
        <v>187</v>
      </c>
      <c r="C246" s="160" t="s">
        <v>74</v>
      </c>
      <c r="D246" s="160" t="s">
        <v>867</v>
      </c>
      <c r="E246" s="3" t="s">
        <v>21</v>
      </c>
      <c r="F246" s="3" t="s">
        <v>926</v>
      </c>
      <c r="G246" s="3" t="s">
        <v>934</v>
      </c>
      <c r="H246" s="156" t="str">
        <f ca="1">IFERROR(
  _xludf.MINIFS(ATTENDANCE_LOG!$F:$F,
         ATTENDANCE_LOG!$A:$A, C246,
         ATTENDANCE_LOG!$B:$B, E246),
"")</f>
        <v/>
      </c>
      <c r="I246" s="3">
        <f>IFERROR(VLOOKUP(F246, LEVEL_HELPER!$A:$B, 2, 0), "")</f>
        <v>1</v>
      </c>
      <c r="J246" s="3">
        <f>IFERROR(VLOOKUP(G246, LEVEL_HELPER!$A:$B, 2, 0), "")</f>
        <v>3.5</v>
      </c>
      <c r="K246" s="3">
        <f t="shared" ref="K246:L246" si="493">IF(OR(I246="", I246=0), "",
  IF(I246&lt;=2,   1,
  IF(I246&lt;=4,   2,
  IF(I246&lt;=5.5, 3, 4))))</f>
        <v>1</v>
      </c>
      <c r="L246" s="3">
        <f t="shared" si="493"/>
        <v>2</v>
      </c>
      <c r="M246" s="3" t="str">
        <f t="shared" si="1"/>
        <v>Lv1 → Lv2</v>
      </c>
      <c r="N246" s="157" t="s">
        <v>942</v>
      </c>
      <c r="O246" s="157" t="s">
        <v>923</v>
      </c>
      <c r="P246" s="3" t="str">
        <f t="shared" ca="1" si="2"/>
        <v/>
      </c>
      <c r="Q246" s="147" t="str">
        <f t="shared" ca="1" si="3"/>
        <v/>
      </c>
      <c r="R246" s="147" t="str">
        <f t="shared" ref="R246:S246" ca="1" si="494">IF(OR(P246="", P246=0), "",
  IF(P246&lt;=2,   1,
  IF(P246&lt;=4,   2,
  IF(P246&lt;=5.5, 3, 4))))</f>
        <v/>
      </c>
      <c r="S246" s="147" t="str">
        <f t="shared" ca="1" si="494"/>
        <v/>
      </c>
      <c r="T246" s="147" t="str">
        <f t="shared" ca="1" si="5"/>
        <v>No Data</v>
      </c>
      <c r="U246" s="147">
        <f t="shared" si="6"/>
        <v>0</v>
      </c>
      <c r="V246" s="147"/>
    </row>
    <row r="247" spans="1:22">
      <c r="A247" s="157" t="s">
        <v>382</v>
      </c>
      <c r="B247" s="3" t="s">
        <v>380</v>
      </c>
      <c r="C247" s="160" t="s">
        <v>74</v>
      </c>
      <c r="D247" s="160" t="s">
        <v>867</v>
      </c>
      <c r="E247" s="3" t="s">
        <v>21</v>
      </c>
      <c r="F247" s="3" t="s">
        <v>926</v>
      </c>
      <c r="G247" s="3" t="s">
        <v>917</v>
      </c>
      <c r="H247" s="156" t="str">
        <f ca="1">IFERROR(
  _xludf.MINIFS(ATTENDANCE_LOG!$F:$F,
         ATTENDANCE_LOG!$A:$A, C247,
         ATTENDANCE_LOG!$B:$B, E247),
"")</f>
        <v/>
      </c>
      <c r="I247" s="3">
        <f>IFERROR(VLOOKUP(F247, LEVEL_HELPER!$A:$B, 2, 0), "")</f>
        <v>1</v>
      </c>
      <c r="J247" s="3">
        <f>IFERROR(VLOOKUP(G247, LEVEL_HELPER!$A:$B, 2, 0), "")</f>
        <v>3</v>
      </c>
      <c r="K247" s="3">
        <f t="shared" ref="K247:L247" si="495">IF(OR(I247="", I247=0), "",
  IF(I247&lt;=2,   1,
  IF(I247&lt;=4,   2,
  IF(I247&lt;=5.5, 3, 4))))</f>
        <v>1</v>
      </c>
      <c r="L247" s="3">
        <f t="shared" si="495"/>
        <v>2</v>
      </c>
      <c r="M247" s="3" t="str">
        <f t="shared" si="1"/>
        <v>Lv1 → Lv2</v>
      </c>
      <c r="N247" s="157" t="s">
        <v>942</v>
      </c>
      <c r="O247" s="157" t="s">
        <v>923</v>
      </c>
      <c r="P247" s="3" t="str">
        <f t="shared" ca="1" si="2"/>
        <v/>
      </c>
      <c r="Q247" s="147" t="str">
        <f t="shared" ca="1" si="3"/>
        <v/>
      </c>
      <c r="R247" s="147" t="str">
        <f t="shared" ref="R247:S247" ca="1" si="496">IF(OR(P247="", P247=0), "",
  IF(P247&lt;=2,   1,
  IF(P247&lt;=4,   2,
  IF(P247&lt;=5.5, 3, 4))))</f>
        <v/>
      </c>
      <c r="S247" s="147" t="str">
        <f t="shared" ca="1" si="496"/>
        <v/>
      </c>
      <c r="T247" s="147" t="str">
        <f t="shared" ca="1" si="5"/>
        <v>No Data</v>
      </c>
      <c r="U247" s="147">
        <f t="shared" si="6"/>
        <v>0</v>
      </c>
      <c r="V247" s="147"/>
    </row>
    <row r="248" spans="1:22">
      <c r="A248" s="157" t="s">
        <v>425</v>
      </c>
      <c r="B248" s="3" t="s">
        <v>426</v>
      </c>
      <c r="C248" s="160" t="s">
        <v>74</v>
      </c>
      <c r="D248" s="160" t="s">
        <v>867</v>
      </c>
      <c r="E248" s="3" t="s">
        <v>21</v>
      </c>
      <c r="F248" s="3" t="s">
        <v>926</v>
      </c>
      <c r="G248" s="3" t="s">
        <v>934</v>
      </c>
      <c r="H248" s="156" t="str">
        <f ca="1">IFERROR(
  _xludf.MINIFS(ATTENDANCE_LOG!$F:$F,
         ATTENDANCE_LOG!$A:$A, C248,
         ATTENDANCE_LOG!$B:$B, E248),
"")</f>
        <v/>
      </c>
      <c r="I248" s="3">
        <f>IFERROR(VLOOKUP(F248, LEVEL_HELPER!$A:$B, 2, 0), "")</f>
        <v>1</v>
      </c>
      <c r="J248" s="3">
        <f>IFERROR(VLOOKUP(G248, LEVEL_HELPER!$A:$B, 2, 0), "")</f>
        <v>3.5</v>
      </c>
      <c r="K248" s="3">
        <f t="shared" ref="K248:L248" si="497">IF(OR(I248="", I248=0), "",
  IF(I248&lt;=2,   1,
  IF(I248&lt;=4,   2,
  IF(I248&lt;=5.5, 3, 4))))</f>
        <v>1</v>
      </c>
      <c r="L248" s="3">
        <f t="shared" si="497"/>
        <v>2</v>
      </c>
      <c r="M248" s="3" t="str">
        <f t="shared" si="1"/>
        <v>Lv1 → Lv2</v>
      </c>
      <c r="N248" s="157" t="s">
        <v>942</v>
      </c>
      <c r="O248" s="157" t="s">
        <v>922</v>
      </c>
      <c r="P248" s="3" t="str">
        <f t="shared" ca="1" si="2"/>
        <v/>
      </c>
      <c r="Q248" s="147" t="str">
        <f t="shared" ca="1" si="3"/>
        <v/>
      </c>
      <c r="R248" s="147" t="str">
        <f t="shared" ref="R248:S248" ca="1" si="498">IF(OR(P248="", P248=0), "",
  IF(P248&lt;=2,   1,
  IF(P248&lt;=4,   2,
  IF(P248&lt;=5.5, 3, 4))))</f>
        <v/>
      </c>
      <c r="S248" s="147" t="str">
        <f t="shared" ca="1" si="498"/>
        <v/>
      </c>
      <c r="T248" s="147" t="str">
        <f t="shared" ca="1" si="5"/>
        <v>No Data</v>
      </c>
      <c r="U248" s="147">
        <f t="shared" si="6"/>
        <v>0</v>
      </c>
      <c r="V248" s="147"/>
    </row>
    <row r="249" spans="1:22">
      <c r="A249" s="157" t="s">
        <v>431</v>
      </c>
      <c r="B249" s="3" t="s">
        <v>432</v>
      </c>
      <c r="C249" s="160" t="s">
        <v>74</v>
      </c>
      <c r="D249" s="160" t="s">
        <v>867</v>
      </c>
      <c r="E249" s="3" t="s">
        <v>21</v>
      </c>
      <c r="F249" s="3" t="s">
        <v>926</v>
      </c>
      <c r="G249" s="3" t="s">
        <v>940</v>
      </c>
      <c r="H249" s="156" t="str">
        <f ca="1">IFERROR(
  _xludf.MINIFS(ATTENDANCE_LOG!$F:$F,
         ATTENDANCE_LOG!$A:$A, C249,
         ATTENDANCE_LOG!$B:$B, E249),
"")</f>
        <v/>
      </c>
      <c r="I249" s="3">
        <f>IFERROR(VLOOKUP(F249, LEVEL_HELPER!$A:$B, 2, 0), "")</f>
        <v>1</v>
      </c>
      <c r="J249" s="3">
        <f>IFERROR(VLOOKUP(G249, LEVEL_HELPER!$A:$B, 2, 0), "")</f>
        <v>5</v>
      </c>
      <c r="K249" s="3">
        <f t="shared" ref="K249:L249" si="499">IF(OR(I249="", I249=0), "",
  IF(I249&lt;=2,   1,
  IF(I249&lt;=4,   2,
  IF(I249&lt;=5.5, 3, 4))))</f>
        <v>1</v>
      </c>
      <c r="L249" s="3">
        <f t="shared" si="499"/>
        <v>3</v>
      </c>
      <c r="M249" s="3" t="str">
        <f t="shared" si="1"/>
        <v>Lv1 → Lv3 (+2)</v>
      </c>
      <c r="N249" s="157" t="s">
        <v>942</v>
      </c>
      <c r="O249" s="157" t="s">
        <v>923</v>
      </c>
      <c r="P249" s="3" t="str">
        <f t="shared" ca="1" si="2"/>
        <v/>
      </c>
      <c r="Q249" s="147" t="str">
        <f t="shared" ca="1" si="3"/>
        <v/>
      </c>
      <c r="R249" s="147" t="str">
        <f t="shared" ref="R249:S249" ca="1" si="500">IF(OR(P249="", P249=0), "",
  IF(P249&lt;=2,   1,
  IF(P249&lt;=4,   2,
  IF(P249&lt;=5.5, 3, 4))))</f>
        <v/>
      </c>
      <c r="S249" s="147" t="str">
        <f t="shared" ca="1" si="500"/>
        <v/>
      </c>
      <c r="T249" s="147" t="str">
        <f t="shared" ca="1" si="5"/>
        <v>No Data</v>
      </c>
      <c r="U249" s="147">
        <f t="shared" si="6"/>
        <v>0</v>
      </c>
      <c r="V249" s="147"/>
    </row>
    <row r="250" spans="1:22">
      <c r="A250" s="157" t="s">
        <v>453</v>
      </c>
      <c r="B250" s="3" t="s">
        <v>454</v>
      </c>
      <c r="C250" s="160" t="s">
        <v>74</v>
      </c>
      <c r="D250" s="160" t="s">
        <v>867</v>
      </c>
      <c r="E250" s="3" t="s">
        <v>21</v>
      </c>
      <c r="F250" s="3" t="s">
        <v>926</v>
      </c>
      <c r="G250" s="3" t="s">
        <v>917</v>
      </c>
      <c r="H250" s="156" t="str">
        <f ca="1">IFERROR(
  _xludf.MINIFS(ATTENDANCE_LOG!$F:$F,
         ATTENDANCE_LOG!$A:$A, C250,
         ATTENDANCE_LOG!$B:$B, E250),
"")</f>
        <v/>
      </c>
      <c r="I250" s="3">
        <f>IFERROR(VLOOKUP(F250, LEVEL_HELPER!$A:$B, 2, 0), "")</f>
        <v>1</v>
      </c>
      <c r="J250" s="3">
        <f>IFERROR(VLOOKUP(G250, LEVEL_HELPER!$A:$B, 2, 0), "")</f>
        <v>3</v>
      </c>
      <c r="K250" s="3">
        <f t="shared" ref="K250:L250" si="501">IF(OR(I250="", I250=0), "",
  IF(I250&lt;=2,   1,
  IF(I250&lt;=4,   2,
  IF(I250&lt;=5.5, 3, 4))))</f>
        <v>1</v>
      </c>
      <c r="L250" s="3">
        <f t="shared" si="501"/>
        <v>2</v>
      </c>
      <c r="M250" s="3" t="str">
        <f t="shared" si="1"/>
        <v>Lv1 → Lv2</v>
      </c>
      <c r="N250" s="157" t="s">
        <v>942</v>
      </c>
      <c r="O250" s="157" t="s">
        <v>923</v>
      </c>
      <c r="P250" s="3" t="str">
        <f t="shared" ca="1" si="2"/>
        <v/>
      </c>
      <c r="Q250" s="147" t="str">
        <f t="shared" ca="1" si="3"/>
        <v/>
      </c>
      <c r="R250" s="147" t="str">
        <f t="shared" ref="R250:S250" ca="1" si="502">IF(OR(P250="", P250=0), "",
  IF(P250&lt;=2,   1,
  IF(P250&lt;=4,   2,
  IF(P250&lt;=5.5, 3, 4))))</f>
        <v/>
      </c>
      <c r="S250" s="147" t="str">
        <f t="shared" ca="1" si="502"/>
        <v/>
      </c>
      <c r="T250" s="147" t="str">
        <f t="shared" ca="1" si="5"/>
        <v>No Data</v>
      </c>
      <c r="U250" s="147">
        <f t="shared" si="6"/>
        <v>0</v>
      </c>
      <c r="V250" s="147"/>
    </row>
    <row r="251" spans="1:22">
      <c r="A251" s="157" t="s">
        <v>492</v>
      </c>
      <c r="B251" s="3" t="s">
        <v>493</v>
      </c>
      <c r="C251" s="160" t="s">
        <v>74</v>
      </c>
      <c r="D251" s="160" t="s">
        <v>867</v>
      </c>
      <c r="E251" s="3" t="s">
        <v>21</v>
      </c>
      <c r="F251" s="3"/>
      <c r="G251" s="3"/>
      <c r="H251" s="156" t="str">
        <f ca="1">IFERROR(
  _xludf.MINIFS(ATTENDANCE_LOG!$F:$F,
         ATTENDANCE_LOG!$A:$A, C251,
         ATTENDANCE_LOG!$B:$B, E251),
"")</f>
        <v/>
      </c>
      <c r="I251" s="3" t="str">
        <f>IFERROR(VLOOKUP(F251, LEVEL_HELPER!$A:$B, 2, 0), "")</f>
        <v/>
      </c>
      <c r="J251" s="3" t="str">
        <f>IFERROR(VLOOKUP(G251, LEVEL_HELPER!$A:$B, 2, 0), "")</f>
        <v/>
      </c>
      <c r="K251" s="3" t="str">
        <f t="shared" ref="K251:L251" si="503">IF(OR(I251="", I251=0), "",
  IF(I251&lt;=2,   1,
  IF(I251&lt;=4,   2,
  IF(I251&lt;=5.5, 3, 4))))</f>
        <v/>
      </c>
      <c r="L251" s="3" t="str">
        <f t="shared" si="503"/>
        <v/>
      </c>
      <c r="M251" s="3" t="str">
        <f t="shared" si="1"/>
        <v>No Data</v>
      </c>
      <c r="N251" s="157" t="s">
        <v>942</v>
      </c>
      <c r="O251" s="157" t="s">
        <v>922</v>
      </c>
      <c r="P251" s="3" t="str">
        <f t="shared" ca="1" si="2"/>
        <v/>
      </c>
      <c r="Q251" s="147" t="str">
        <f t="shared" ca="1" si="3"/>
        <v/>
      </c>
      <c r="R251" s="147" t="str">
        <f t="shared" ref="R251:S251" ca="1" si="504">IF(OR(P251="", P251=0), "",
  IF(P251&lt;=2,   1,
  IF(P251&lt;=4,   2,
  IF(P251&lt;=5.5, 3, 4))))</f>
        <v/>
      </c>
      <c r="S251" s="147" t="str">
        <f t="shared" ca="1" si="504"/>
        <v/>
      </c>
      <c r="T251" s="147" t="str">
        <f t="shared" ca="1" si="5"/>
        <v>No Data</v>
      </c>
      <c r="U251" s="147">
        <f t="shared" si="6"/>
        <v>1</v>
      </c>
      <c r="V251" s="147"/>
    </row>
    <row r="252" spans="1:22">
      <c r="A252" s="157" t="s">
        <v>591</v>
      </c>
      <c r="B252" s="3" t="s">
        <v>592</v>
      </c>
      <c r="C252" s="160" t="s">
        <v>74</v>
      </c>
      <c r="D252" s="160" t="s">
        <v>867</v>
      </c>
      <c r="E252" s="3" t="s">
        <v>21</v>
      </c>
      <c r="F252" s="3"/>
      <c r="G252" s="3"/>
      <c r="H252" s="156" t="str">
        <f ca="1">IFERROR(
  _xludf.MINIFS(ATTENDANCE_LOG!$F:$F,
         ATTENDANCE_LOG!$A:$A, C252,
         ATTENDANCE_LOG!$B:$B, E252),
"")</f>
        <v/>
      </c>
      <c r="I252" s="3" t="str">
        <f>IFERROR(VLOOKUP(F252, LEVEL_HELPER!$A:$B, 2, 0), "")</f>
        <v/>
      </c>
      <c r="J252" s="3" t="str">
        <f>IFERROR(VLOOKUP(G252, LEVEL_HELPER!$A:$B, 2, 0), "")</f>
        <v/>
      </c>
      <c r="K252" s="3" t="str">
        <f t="shared" ref="K252:L252" si="505">IF(OR(I252="", I252=0), "",
  IF(I252&lt;=2,   1,
  IF(I252&lt;=4,   2,
  IF(I252&lt;=5.5, 3, 4))))</f>
        <v/>
      </c>
      <c r="L252" s="3" t="str">
        <f t="shared" si="505"/>
        <v/>
      </c>
      <c r="M252" s="3" t="str">
        <f t="shared" si="1"/>
        <v>No Data</v>
      </c>
      <c r="N252" s="157" t="s">
        <v>942</v>
      </c>
      <c r="O252" s="157" t="s">
        <v>922</v>
      </c>
      <c r="P252" s="3" t="str">
        <f t="shared" ca="1" si="2"/>
        <v/>
      </c>
      <c r="Q252" s="147" t="str">
        <f t="shared" ca="1" si="3"/>
        <v/>
      </c>
      <c r="R252" s="147" t="str">
        <f t="shared" ref="R252:S252" ca="1" si="506">IF(OR(P252="", P252=0), "",
  IF(P252&lt;=2,   1,
  IF(P252&lt;=4,   2,
  IF(P252&lt;=5.5, 3, 4))))</f>
        <v/>
      </c>
      <c r="S252" s="147" t="str">
        <f t="shared" ca="1" si="506"/>
        <v/>
      </c>
      <c r="T252" s="147" t="str">
        <f t="shared" ca="1" si="5"/>
        <v>No Data</v>
      </c>
      <c r="U252" s="147">
        <f t="shared" si="6"/>
        <v>1</v>
      </c>
      <c r="V252" s="147"/>
    </row>
    <row r="253" spans="1:22">
      <c r="A253" s="176" t="s">
        <v>224</v>
      </c>
      <c r="B253" s="154" t="s">
        <v>225</v>
      </c>
      <c r="C253" s="155" t="s">
        <v>74</v>
      </c>
      <c r="D253" s="155" t="s">
        <v>867</v>
      </c>
      <c r="E253" s="154" t="s">
        <v>22</v>
      </c>
      <c r="F253" s="3"/>
      <c r="G253" s="3"/>
      <c r="H253" s="156" t="str">
        <f ca="1">IFERROR(
  _xludf.MINIFS(ATTENDANCE_LOG!$F:$F,
         ATTENDANCE_LOG!$A:$A, C253,
         ATTENDANCE_LOG!$B:$B, E253),
"")</f>
        <v/>
      </c>
      <c r="I253" s="3" t="str">
        <f>IFERROR(VLOOKUP(F253, LEVEL_HELPER!$A:$B, 2, 0), "")</f>
        <v/>
      </c>
      <c r="J253" s="3" t="str">
        <f>IFERROR(VLOOKUP(G253, LEVEL_HELPER!$A:$B, 2, 0), "")</f>
        <v/>
      </c>
      <c r="K253" s="3" t="str">
        <f t="shared" ref="K253:L253" si="507">IF(OR(I253="", I253=0), "",
  IF(I253&lt;=2,   1,
  IF(I253&lt;=4,   2,
  IF(I253&lt;=5.5, 3, 4))))</f>
        <v/>
      </c>
      <c r="L253" s="3" t="str">
        <f t="shared" si="507"/>
        <v/>
      </c>
      <c r="M253" s="3" t="str">
        <f t="shared" si="1"/>
        <v>No Data</v>
      </c>
      <c r="N253" s="157" t="s">
        <v>942</v>
      </c>
      <c r="O253" s="157" t="s">
        <v>922</v>
      </c>
      <c r="P253" s="3" t="str">
        <f t="shared" ca="1" si="2"/>
        <v/>
      </c>
      <c r="Q253" s="147" t="str">
        <f t="shared" ca="1" si="3"/>
        <v/>
      </c>
      <c r="R253" s="147" t="str">
        <f t="shared" ref="R253:S253" ca="1" si="508">IF(OR(P253="", P253=0), "",
  IF(P253&lt;=2,   1,
  IF(P253&lt;=4,   2,
  IF(P253&lt;=5.5, 3, 4))))</f>
        <v/>
      </c>
      <c r="S253" s="147" t="str">
        <f t="shared" ca="1" si="508"/>
        <v/>
      </c>
      <c r="T253" s="147" t="str">
        <f t="shared" ca="1" si="5"/>
        <v>No Data</v>
      </c>
      <c r="U253" s="147">
        <f t="shared" si="6"/>
        <v>0</v>
      </c>
      <c r="V253" s="147"/>
    </row>
    <row r="254" spans="1:22">
      <c r="A254" s="157" t="s">
        <v>186</v>
      </c>
      <c r="B254" s="3" t="s">
        <v>187</v>
      </c>
      <c r="C254" s="160" t="s">
        <v>74</v>
      </c>
      <c r="D254" s="160" t="s">
        <v>867</v>
      </c>
      <c r="E254" s="3" t="s">
        <v>22</v>
      </c>
      <c r="F254" s="3"/>
      <c r="G254" s="3"/>
      <c r="H254" s="156" t="str">
        <f ca="1">IFERROR(
  _xludf.MINIFS(ATTENDANCE_LOG!$F:$F,
         ATTENDANCE_LOG!$A:$A, C254,
         ATTENDANCE_LOG!$B:$B, E254),
"")</f>
        <v/>
      </c>
      <c r="I254" s="3" t="str">
        <f>IFERROR(VLOOKUP(F254, LEVEL_HELPER!$A:$B, 2, 0), "")</f>
        <v/>
      </c>
      <c r="J254" s="3" t="str">
        <f>IFERROR(VLOOKUP(G254, LEVEL_HELPER!$A:$B, 2, 0), "")</f>
        <v/>
      </c>
      <c r="K254" s="3" t="str">
        <f t="shared" ref="K254:L254" si="509">IF(OR(I254="", I254=0), "",
  IF(I254&lt;=2,   1,
  IF(I254&lt;=4,   2,
  IF(I254&lt;=5.5, 3, 4))))</f>
        <v/>
      </c>
      <c r="L254" s="3" t="str">
        <f t="shared" si="509"/>
        <v/>
      </c>
      <c r="M254" s="3" t="str">
        <f t="shared" si="1"/>
        <v>No Data</v>
      </c>
      <c r="N254" s="157" t="s">
        <v>942</v>
      </c>
      <c r="O254" s="157" t="s">
        <v>923</v>
      </c>
      <c r="P254" s="3" t="str">
        <f t="shared" ca="1" si="2"/>
        <v/>
      </c>
      <c r="Q254" s="147" t="str">
        <f t="shared" ca="1" si="3"/>
        <v/>
      </c>
      <c r="R254" s="147" t="str">
        <f t="shared" ref="R254:S254" ca="1" si="510">IF(OR(P254="", P254=0), "",
  IF(P254&lt;=2,   1,
  IF(P254&lt;=4,   2,
  IF(P254&lt;=5.5, 3, 4))))</f>
        <v/>
      </c>
      <c r="S254" s="147" t="str">
        <f t="shared" ca="1" si="510"/>
        <v/>
      </c>
      <c r="T254" s="147" t="str">
        <f t="shared" ca="1" si="5"/>
        <v>No Data</v>
      </c>
      <c r="U254" s="147">
        <f t="shared" si="6"/>
        <v>0</v>
      </c>
      <c r="V254" s="147"/>
    </row>
    <row r="255" spans="1:22">
      <c r="A255" s="157" t="s">
        <v>382</v>
      </c>
      <c r="B255" s="3" t="s">
        <v>380</v>
      </c>
      <c r="C255" s="160" t="s">
        <v>74</v>
      </c>
      <c r="D255" s="160" t="s">
        <v>867</v>
      </c>
      <c r="E255" s="3" t="s">
        <v>22</v>
      </c>
      <c r="F255" s="3"/>
      <c r="G255" s="3"/>
      <c r="H255" s="156" t="str">
        <f ca="1">IFERROR(
  _xludf.MINIFS(ATTENDANCE_LOG!$F:$F,
         ATTENDANCE_LOG!$A:$A, C255,
         ATTENDANCE_LOG!$B:$B, E255),
"")</f>
        <v/>
      </c>
      <c r="I255" s="3" t="str">
        <f>IFERROR(VLOOKUP(F255, LEVEL_HELPER!$A:$B, 2, 0), "")</f>
        <v/>
      </c>
      <c r="J255" s="3" t="str">
        <f>IFERROR(VLOOKUP(G255, LEVEL_HELPER!$A:$B, 2, 0), "")</f>
        <v/>
      </c>
      <c r="K255" s="3" t="str">
        <f t="shared" ref="K255:L255" si="511">IF(OR(I255="", I255=0), "",
  IF(I255&lt;=2,   1,
  IF(I255&lt;=4,   2,
  IF(I255&lt;=5.5, 3, 4))))</f>
        <v/>
      </c>
      <c r="L255" s="3" t="str">
        <f t="shared" si="511"/>
        <v/>
      </c>
      <c r="M255" s="3" t="str">
        <f t="shared" si="1"/>
        <v>No Data</v>
      </c>
      <c r="N255" s="157" t="s">
        <v>942</v>
      </c>
      <c r="O255" s="157" t="s">
        <v>923</v>
      </c>
      <c r="P255" s="3" t="str">
        <f t="shared" ca="1" si="2"/>
        <v/>
      </c>
      <c r="Q255" s="147" t="str">
        <f t="shared" ca="1" si="3"/>
        <v/>
      </c>
      <c r="R255" s="147" t="str">
        <f t="shared" ref="R255:S255" ca="1" si="512">IF(OR(P255="", P255=0), "",
  IF(P255&lt;=2,   1,
  IF(P255&lt;=4,   2,
  IF(P255&lt;=5.5, 3, 4))))</f>
        <v/>
      </c>
      <c r="S255" s="147" t="str">
        <f t="shared" ca="1" si="512"/>
        <v/>
      </c>
      <c r="T255" s="147" t="str">
        <f t="shared" ca="1" si="5"/>
        <v>No Data</v>
      </c>
      <c r="U255" s="147">
        <f t="shared" si="6"/>
        <v>0</v>
      </c>
      <c r="V255" s="147"/>
    </row>
    <row r="256" spans="1:22">
      <c r="A256" s="157" t="s">
        <v>425</v>
      </c>
      <c r="B256" s="3" t="s">
        <v>426</v>
      </c>
      <c r="C256" s="160" t="s">
        <v>74</v>
      </c>
      <c r="D256" s="160" t="s">
        <v>867</v>
      </c>
      <c r="E256" s="3" t="s">
        <v>22</v>
      </c>
      <c r="F256" s="3"/>
      <c r="G256" s="3"/>
      <c r="H256" s="156" t="str">
        <f ca="1">IFERROR(
  _xludf.MINIFS(ATTENDANCE_LOG!$F:$F,
         ATTENDANCE_LOG!$A:$A, C256,
         ATTENDANCE_LOG!$B:$B, E256),
"")</f>
        <v/>
      </c>
      <c r="I256" s="3" t="str">
        <f>IFERROR(VLOOKUP(F256, LEVEL_HELPER!$A:$B, 2, 0), "")</f>
        <v/>
      </c>
      <c r="J256" s="3" t="str">
        <f>IFERROR(VLOOKUP(G256, LEVEL_HELPER!$A:$B, 2, 0), "")</f>
        <v/>
      </c>
      <c r="K256" s="3" t="str">
        <f t="shared" ref="K256:L256" si="513">IF(OR(I256="", I256=0), "",
  IF(I256&lt;=2,   1,
  IF(I256&lt;=4,   2,
  IF(I256&lt;=5.5, 3, 4))))</f>
        <v/>
      </c>
      <c r="L256" s="3" t="str">
        <f t="shared" si="513"/>
        <v/>
      </c>
      <c r="M256" s="3" t="str">
        <f t="shared" si="1"/>
        <v>No Data</v>
      </c>
      <c r="N256" s="157" t="s">
        <v>942</v>
      </c>
      <c r="O256" s="157" t="s">
        <v>922</v>
      </c>
      <c r="P256" s="3" t="str">
        <f t="shared" ca="1" si="2"/>
        <v/>
      </c>
      <c r="Q256" s="147" t="str">
        <f t="shared" ca="1" si="3"/>
        <v/>
      </c>
      <c r="R256" s="147" t="str">
        <f t="shared" ref="R256:S256" ca="1" si="514">IF(OR(P256="", P256=0), "",
  IF(P256&lt;=2,   1,
  IF(P256&lt;=4,   2,
  IF(P256&lt;=5.5, 3, 4))))</f>
        <v/>
      </c>
      <c r="S256" s="147" t="str">
        <f t="shared" ca="1" si="514"/>
        <v/>
      </c>
      <c r="T256" s="147" t="str">
        <f t="shared" ca="1" si="5"/>
        <v>No Data</v>
      </c>
      <c r="U256" s="147">
        <f t="shared" si="6"/>
        <v>0</v>
      </c>
      <c r="V256" s="147"/>
    </row>
    <row r="257" spans="1:22">
      <c r="A257" s="157" t="s">
        <v>431</v>
      </c>
      <c r="B257" s="3" t="s">
        <v>432</v>
      </c>
      <c r="C257" s="160" t="s">
        <v>74</v>
      </c>
      <c r="D257" s="160" t="s">
        <v>867</v>
      </c>
      <c r="E257" s="3" t="s">
        <v>22</v>
      </c>
      <c r="F257" s="3"/>
      <c r="G257" s="3"/>
      <c r="H257" s="156" t="str">
        <f ca="1">IFERROR(
  _xludf.MINIFS(ATTENDANCE_LOG!$F:$F,
         ATTENDANCE_LOG!$A:$A, C257,
         ATTENDANCE_LOG!$B:$B, E257),
"")</f>
        <v/>
      </c>
      <c r="I257" s="3" t="str">
        <f>IFERROR(VLOOKUP(F257, LEVEL_HELPER!$A:$B, 2, 0), "")</f>
        <v/>
      </c>
      <c r="J257" s="3" t="str">
        <f>IFERROR(VLOOKUP(G257, LEVEL_HELPER!$A:$B, 2, 0), "")</f>
        <v/>
      </c>
      <c r="K257" s="3" t="str">
        <f t="shared" ref="K257:L257" si="515">IF(OR(I257="", I257=0), "",
  IF(I257&lt;=2,   1,
  IF(I257&lt;=4,   2,
  IF(I257&lt;=5.5, 3, 4))))</f>
        <v/>
      </c>
      <c r="L257" s="3" t="str">
        <f t="shared" si="515"/>
        <v/>
      </c>
      <c r="M257" s="3" t="str">
        <f t="shared" ref="M257:M511" si="516">IF(OR(K257="", L257=""), "No Data",
  IF(L257&lt;K257,    "Regressed",
  IF(L257=K257,
    IF(J257&gt;I257,  "Progress within level",
               "No Progress"),
  IF(L257-K257=1, "Lv"&amp;K257&amp;" → Lv"&amp;L257,
  "Lv"&amp;K257&amp;" → Lv"&amp;L257&amp;" (+"&amp;(L257-K257)&amp;")"))))</f>
        <v>No Data</v>
      </c>
      <c r="N257" s="157" t="s">
        <v>942</v>
      </c>
      <c r="O257" s="157" t="s">
        <v>923</v>
      </c>
      <c r="P257" s="3" t="str">
        <f t="shared" ref="P257:P511" ca="1" si="517">IFERROR(_xludf.MINIFS($I:$I, $A:$A, A257, $I:$I, "&gt;"&amp;0), "")</f>
        <v/>
      </c>
      <c r="Q257" s="147" t="str">
        <f t="shared" ref="Q257:Q511" ca="1" si="518">IFERROR(_xludf.MAXIFS($J:$J, $A:$A, A257), "")</f>
        <v/>
      </c>
      <c r="R257" s="147" t="str">
        <f t="shared" ref="R257:S257" ca="1" si="519">IF(OR(P257="", P257=0), "",
  IF(P257&lt;=2,   1,
  IF(P257&lt;=4,   2,
  IF(P257&lt;=5.5, 3, 4))))</f>
        <v/>
      </c>
      <c r="S257" s="147" t="str">
        <f t="shared" ca="1" si="519"/>
        <v/>
      </c>
      <c r="T257" s="147" t="str">
        <f t="shared" ref="T257:T511" ca="1" si="520">IF(OR(R257="", S257=""), "No Data",
  IF(S257&lt;R257, "Regressed",
  IF(S257=R257,
    IF(Q257&gt;P257, "Progress within level",
              "No Progress"),
  IF(S257-R257=1, "Lv"&amp;R257&amp;" → Lv"&amp;S257,
  "Lv"&amp;R257&amp;" → Lv"&amp;S257&amp;" (multi)"))))</f>
        <v>No Data</v>
      </c>
      <c r="U257" s="147">
        <f t="shared" ref="U257:U260" si="521">IF(COUNTIF($A$2:A257, A257)=1, 1, 0)</f>
        <v>0</v>
      </c>
      <c r="V257" s="147"/>
    </row>
    <row r="258" spans="1:22">
      <c r="A258" s="157" t="s">
        <v>453</v>
      </c>
      <c r="B258" s="3" t="s">
        <v>454</v>
      </c>
      <c r="C258" s="160" t="s">
        <v>74</v>
      </c>
      <c r="D258" s="160" t="s">
        <v>867</v>
      </c>
      <c r="E258" s="3" t="s">
        <v>22</v>
      </c>
      <c r="F258" s="3"/>
      <c r="G258" s="3"/>
      <c r="H258" s="156" t="str">
        <f ca="1">IFERROR(
  _xludf.MINIFS(ATTENDANCE_LOG!$F:$F,
         ATTENDANCE_LOG!$A:$A, C258,
         ATTENDANCE_LOG!$B:$B, E258),
"")</f>
        <v/>
      </c>
      <c r="I258" s="3" t="str">
        <f>IFERROR(VLOOKUP(F258, LEVEL_HELPER!$A:$B, 2, 0), "")</f>
        <v/>
      </c>
      <c r="J258" s="3" t="str">
        <f>IFERROR(VLOOKUP(G258, LEVEL_HELPER!$A:$B, 2, 0), "")</f>
        <v/>
      </c>
      <c r="K258" s="3" t="str">
        <f t="shared" ref="K258:L258" si="522">IF(OR(I258="", I258=0), "",
  IF(I258&lt;=2,   1,
  IF(I258&lt;=4,   2,
  IF(I258&lt;=5.5, 3, 4))))</f>
        <v/>
      </c>
      <c r="L258" s="3" t="str">
        <f t="shared" si="522"/>
        <v/>
      </c>
      <c r="M258" s="3" t="str">
        <f t="shared" si="516"/>
        <v>No Data</v>
      </c>
      <c r="N258" s="157" t="s">
        <v>942</v>
      </c>
      <c r="O258" s="157" t="s">
        <v>923</v>
      </c>
      <c r="P258" s="3" t="str">
        <f t="shared" ca="1" si="517"/>
        <v/>
      </c>
      <c r="Q258" s="147" t="str">
        <f t="shared" ca="1" si="518"/>
        <v/>
      </c>
      <c r="R258" s="147" t="str">
        <f t="shared" ref="R258:S258" ca="1" si="523">IF(OR(P258="", P258=0), "",
  IF(P258&lt;=2,   1,
  IF(P258&lt;=4,   2,
  IF(P258&lt;=5.5, 3, 4))))</f>
        <v/>
      </c>
      <c r="S258" s="147" t="str">
        <f t="shared" ca="1" si="523"/>
        <v/>
      </c>
      <c r="T258" s="147" t="str">
        <f t="shared" ca="1" si="520"/>
        <v>No Data</v>
      </c>
      <c r="U258" s="147">
        <f t="shared" si="521"/>
        <v>0</v>
      </c>
      <c r="V258" s="147"/>
    </row>
    <row r="259" spans="1:22">
      <c r="A259" s="157" t="s">
        <v>492</v>
      </c>
      <c r="B259" s="3" t="s">
        <v>493</v>
      </c>
      <c r="C259" s="160" t="s">
        <v>74</v>
      </c>
      <c r="D259" s="160" t="s">
        <v>867</v>
      </c>
      <c r="E259" s="3" t="s">
        <v>22</v>
      </c>
      <c r="F259" s="3"/>
      <c r="G259" s="3"/>
      <c r="H259" s="156" t="str">
        <f ca="1">IFERROR(
  _xludf.MINIFS(ATTENDANCE_LOG!$F:$F,
         ATTENDANCE_LOG!$A:$A, C259,
         ATTENDANCE_LOG!$B:$B, E259),
"")</f>
        <v/>
      </c>
      <c r="I259" s="3" t="str">
        <f>IFERROR(VLOOKUP(F259, LEVEL_HELPER!$A:$B, 2, 0), "")</f>
        <v/>
      </c>
      <c r="J259" s="3" t="str">
        <f>IFERROR(VLOOKUP(G259, LEVEL_HELPER!$A:$B, 2, 0), "")</f>
        <v/>
      </c>
      <c r="K259" s="3" t="str">
        <f t="shared" ref="K259:L259" si="524">IF(OR(I259="", I259=0), "",
  IF(I259&lt;=2,   1,
  IF(I259&lt;=4,   2,
  IF(I259&lt;=5.5, 3, 4))))</f>
        <v/>
      </c>
      <c r="L259" s="3" t="str">
        <f t="shared" si="524"/>
        <v/>
      </c>
      <c r="M259" s="3" t="str">
        <f t="shared" si="516"/>
        <v>No Data</v>
      </c>
      <c r="N259" s="157" t="s">
        <v>942</v>
      </c>
      <c r="O259" s="157" t="s">
        <v>922</v>
      </c>
      <c r="P259" s="3" t="str">
        <f t="shared" ca="1" si="517"/>
        <v/>
      </c>
      <c r="Q259" s="147" t="str">
        <f t="shared" ca="1" si="518"/>
        <v/>
      </c>
      <c r="R259" s="147" t="str">
        <f t="shared" ref="R259:S259" ca="1" si="525">IF(OR(P259="", P259=0), "",
  IF(P259&lt;=2,   1,
  IF(P259&lt;=4,   2,
  IF(P259&lt;=5.5, 3, 4))))</f>
        <v/>
      </c>
      <c r="S259" s="147" t="str">
        <f t="shared" ca="1" si="525"/>
        <v/>
      </c>
      <c r="T259" s="147" t="str">
        <f t="shared" ca="1" si="520"/>
        <v>No Data</v>
      </c>
      <c r="U259" s="147">
        <f t="shared" si="521"/>
        <v>0</v>
      </c>
      <c r="V259" s="147"/>
    </row>
    <row r="260" spans="1:22">
      <c r="A260" s="157" t="s">
        <v>591</v>
      </c>
      <c r="B260" s="3" t="s">
        <v>592</v>
      </c>
      <c r="C260" s="160" t="s">
        <v>74</v>
      </c>
      <c r="D260" s="160" t="s">
        <v>867</v>
      </c>
      <c r="E260" s="3" t="s">
        <v>22</v>
      </c>
      <c r="F260" s="3"/>
      <c r="G260" s="3"/>
      <c r="H260" s="156" t="str">
        <f ca="1">IFERROR(
  _xludf.MINIFS(ATTENDANCE_LOG!$F:$F,
         ATTENDANCE_LOG!$A:$A, C260,
         ATTENDANCE_LOG!$B:$B, E260),
"")</f>
        <v/>
      </c>
      <c r="I260" s="3" t="str">
        <f>IFERROR(VLOOKUP(F260, LEVEL_HELPER!$A:$B, 2, 0), "")</f>
        <v/>
      </c>
      <c r="J260" s="3" t="str">
        <f>IFERROR(VLOOKUP(G260, LEVEL_HELPER!$A:$B, 2, 0), "")</f>
        <v/>
      </c>
      <c r="K260" s="3" t="str">
        <f t="shared" ref="K260:L260" si="526">IF(OR(I260="", I260=0), "",
  IF(I260&lt;=2,   1,
  IF(I260&lt;=4,   2,
  IF(I260&lt;=5.5, 3, 4))))</f>
        <v/>
      </c>
      <c r="L260" s="3" t="str">
        <f t="shared" si="526"/>
        <v/>
      </c>
      <c r="M260" s="3" t="str">
        <f t="shared" si="516"/>
        <v>No Data</v>
      </c>
      <c r="N260" s="157" t="s">
        <v>942</v>
      </c>
      <c r="O260" s="157" t="s">
        <v>922</v>
      </c>
      <c r="P260" s="3" t="str">
        <f t="shared" ca="1" si="517"/>
        <v/>
      </c>
      <c r="Q260" s="147" t="str">
        <f t="shared" ca="1" si="518"/>
        <v/>
      </c>
      <c r="R260" s="147" t="str">
        <f t="shared" ref="R260:S260" ca="1" si="527">IF(OR(P260="", P260=0), "",
  IF(P260&lt;=2,   1,
  IF(P260&lt;=4,   2,
  IF(P260&lt;=5.5, 3, 4))))</f>
        <v/>
      </c>
      <c r="S260" s="147" t="str">
        <f t="shared" ca="1" si="527"/>
        <v/>
      </c>
      <c r="T260" s="147" t="str">
        <f t="shared" ca="1" si="520"/>
        <v>No Data</v>
      </c>
      <c r="U260" s="147">
        <f t="shared" si="521"/>
        <v>0</v>
      </c>
      <c r="V260" s="147"/>
    </row>
    <row r="261" spans="1:22">
      <c r="A261" s="157" t="s">
        <v>593</v>
      </c>
      <c r="B261" s="154" t="s">
        <v>594</v>
      </c>
      <c r="C261" s="155" t="s">
        <v>75</v>
      </c>
      <c r="D261" s="155" t="s">
        <v>868</v>
      </c>
      <c r="E261" s="154" t="s">
        <v>21</v>
      </c>
      <c r="F261" s="3" t="s">
        <v>926</v>
      </c>
      <c r="G261" s="3" t="s">
        <v>928</v>
      </c>
      <c r="H261" s="156" t="str">
        <f ca="1">IFERROR(
  _xludf.MINIFS(ATTENDANCE_LOG!$F:$F,
         ATTENDANCE_LOG!$A:$A, C261,
         ATTENDANCE_LOG!$B:$B, E261),
"")</f>
        <v/>
      </c>
      <c r="I261" s="3">
        <f>IFERROR(VLOOKUP(F261, LEVEL_HELPER!$A:$B, 2, 0), "")</f>
        <v>1</v>
      </c>
      <c r="J261" s="3">
        <f>IFERROR(VLOOKUP(G261, LEVEL_HELPER!$A:$B, 2, 0), "")</f>
        <v>1.5</v>
      </c>
      <c r="K261" s="3">
        <f t="shared" ref="K261:L261" si="528">IF(OR(I261="", I261=0), "",
  IF(I261&lt;=2,   1,
  IF(I261&lt;=4,   2,
  IF(I261&lt;=5.5, 3, 4))))</f>
        <v>1</v>
      </c>
      <c r="L261" s="3">
        <f t="shared" si="528"/>
        <v>1</v>
      </c>
      <c r="M261" s="3" t="str">
        <f t="shared" si="516"/>
        <v>Progress within level</v>
      </c>
      <c r="N261" s="157" t="s">
        <v>942</v>
      </c>
      <c r="O261" s="157" t="s">
        <v>923</v>
      </c>
      <c r="P261" s="3" t="str">
        <f t="shared" ca="1" si="517"/>
        <v/>
      </c>
      <c r="Q261" s="147" t="str">
        <f t="shared" ca="1" si="518"/>
        <v/>
      </c>
      <c r="R261" s="147" t="str">
        <f t="shared" ref="R261:S261" ca="1" si="529">IF(OR(P261="", P261=0), "",
  IF(P261&lt;=2,   1,
  IF(P261&lt;=4,   2,
  IF(P261&lt;=5.5, 3, 4))))</f>
        <v/>
      </c>
      <c r="S261" s="147" t="str">
        <f t="shared" ca="1" si="529"/>
        <v/>
      </c>
      <c r="T261" s="147" t="str">
        <f t="shared" ca="1" si="520"/>
        <v>No Data</v>
      </c>
      <c r="U261" s="147">
        <f>IF(COUNTIF($A$2:A266, A261)=1, 1, 0)</f>
        <v>1</v>
      </c>
      <c r="V261" s="147"/>
    </row>
    <row r="262" spans="1:22">
      <c r="A262" s="157" t="s">
        <v>173</v>
      </c>
      <c r="B262" s="3" t="s">
        <v>174</v>
      </c>
      <c r="C262" s="160" t="s">
        <v>75</v>
      </c>
      <c r="D262" s="160" t="s">
        <v>868</v>
      </c>
      <c r="E262" s="3" t="s">
        <v>21</v>
      </c>
      <c r="F262" s="3" t="s">
        <v>926</v>
      </c>
      <c r="G262" s="3" t="s">
        <v>917</v>
      </c>
      <c r="H262" s="156" t="str">
        <f ca="1">IFERROR(
  _xludf.MINIFS(ATTENDANCE_LOG!$F:$F,
         ATTENDANCE_LOG!$A:$A, C262,
         ATTENDANCE_LOG!$B:$B, E262),
"")</f>
        <v/>
      </c>
      <c r="I262" s="3">
        <f>IFERROR(VLOOKUP(F262, LEVEL_HELPER!$A:$B, 2, 0), "")</f>
        <v>1</v>
      </c>
      <c r="J262" s="3">
        <f>IFERROR(VLOOKUP(G262, LEVEL_HELPER!$A:$B, 2, 0), "")</f>
        <v>3</v>
      </c>
      <c r="K262" s="3">
        <f t="shared" ref="K262:L262" si="530">IF(OR(I262="", I262=0), "",
  IF(I262&lt;=2,   1,
  IF(I262&lt;=4,   2,
  IF(I262&lt;=5.5, 3, 4))))</f>
        <v>1</v>
      </c>
      <c r="L262" s="3">
        <f t="shared" si="530"/>
        <v>2</v>
      </c>
      <c r="M262" s="3" t="str">
        <f t="shared" si="516"/>
        <v>Lv1 → Lv2</v>
      </c>
      <c r="N262" s="157" t="s">
        <v>942</v>
      </c>
      <c r="O262" s="157" t="s">
        <v>923</v>
      </c>
      <c r="P262" s="3" t="str">
        <f t="shared" ca="1" si="517"/>
        <v/>
      </c>
      <c r="Q262" s="147" t="str">
        <f t="shared" ca="1" si="518"/>
        <v/>
      </c>
      <c r="R262" s="147" t="str">
        <f t="shared" ref="R262:S262" ca="1" si="531">IF(OR(P262="", P262=0), "",
  IF(P262&lt;=2,   1,
  IF(P262&lt;=4,   2,
  IF(P262&lt;=5.5, 3, 4))))</f>
        <v/>
      </c>
      <c r="S262" s="147" t="str">
        <f t="shared" ca="1" si="531"/>
        <v/>
      </c>
      <c r="T262" s="147" t="str">
        <f t="shared" ca="1" si="520"/>
        <v>No Data</v>
      </c>
      <c r="U262" s="147">
        <f t="shared" ref="U262:U266" si="532">IF(COUNTIF($A$2:A262, A262)=1, 1, 0)</f>
        <v>1</v>
      </c>
      <c r="V262" s="147"/>
    </row>
    <row r="263" spans="1:22">
      <c r="A263" s="157" t="s">
        <v>281</v>
      </c>
      <c r="B263" s="3" t="s">
        <v>282</v>
      </c>
      <c r="C263" s="160" t="s">
        <v>75</v>
      </c>
      <c r="D263" s="160" t="s">
        <v>868</v>
      </c>
      <c r="E263" s="3" t="s">
        <v>21</v>
      </c>
      <c r="F263" s="3" t="s">
        <v>926</v>
      </c>
      <c r="G263" s="3" t="s">
        <v>917</v>
      </c>
      <c r="H263" s="156" t="str">
        <f ca="1">IFERROR(
  _xludf.MINIFS(ATTENDANCE_LOG!$F:$F,
         ATTENDANCE_LOG!$A:$A, C263,
         ATTENDANCE_LOG!$B:$B, E263),
"")</f>
        <v/>
      </c>
      <c r="I263" s="3">
        <f>IFERROR(VLOOKUP(F263, LEVEL_HELPER!$A:$B, 2, 0), "")</f>
        <v>1</v>
      </c>
      <c r="J263" s="3">
        <f>IFERROR(VLOOKUP(G263, LEVEL_HELPER!$A:$B, 2, 0), "")</f>
        <v>3</v>
      </c>
      <c r="K263" s="3">
        <f t="shared" ref="K263:L263" si="533">IF(OR(I263="", I263=0), "",
  IF(I263&lt;=2,   1,
  IF(I263&lt;=4,   2,
  IF(I263&lt;=5.5, 3, 4))))</f>
        <v>1</v>
      </c>
      <c r="L263" s="3">
        <f t="shared" si="533"/>
        <v>2</v>
      </c>
      <c r="M263" s="3" t="str">
        <f t="shared" si="516"/>
        <v>Lv1 → Lv2</v>
      </c>
      <c r="N263" s="157" t="s">
        <v>942</v>
      </c>
      <c r="O263" s="157" t="s">
        <v>923</v>
      </c>
      <c r="P263" s="3" t="str">
        <f t="shared" ca="1" si="517"/>
        <v/>
      </c>
      <c r="Q263" s="147" t="str">
        <f t="shared" ca="1" si="518"/>
        <v/>
      </c>
      <c r="R263" s="147" t="str">
        <f t="shared" ref="R263:S263" ca="1" si="534">IF(OR(P263="", P263=0), "",
  IF(P263&lt;=2,   1,
  IF(P263&lt;=4,   2,
  IF(P263&lt;=5.5, 3, 4))))</f>
        <v/>
      </c>
      <c r="S263" s="147" t="str">
        <f t="shared" ca="1" si="534"/>
        <v/>
      </c>
      <c r="T263" s="147" t="str">
        <f t="shared" ca="1" si="520"/>
        <v>No Data</v>
      </c>
      <c r="U263" s="147">
        <f t="shared" si="532"/>
        <v>1</v>
      </c>
      <c r="V263" s="147"/>
    </row>
    <row r="264" spans="1:22">
      <c r="A264" s="157" t="s">
        <v>336</v>
      </c>
      <c r="B264" s="3" t="s">
        <v>337</v>
      </c>
      <c r="C264" s="160" t="s">
        <v>75</v>
      </c>
      <c r="D264" s="160" t="s">
        <v>868</v>
      </c>
      <c r="E264" s="3" t="s">
        <v>21</v>
      </c>
      <c r="F264" s="3" t="s">
        <v>926</v>
      </c>
      <c r="G264" s="3" t="s">
        <v>934</v>
      </c>
      <c r="H264" s="156" t="str">
        <f ca="1">IFERROR(
  _xludf.MINIFS(ATTENDANCE_LOG!$F:$F,
         ATTENDANCE_LOG!$A:$A, C264,
         ATTENDANCE_LOG!$B:$B, E264),
"")</f>
        <v/>
      </c>
      <c r="I264" s="3">
        <f>IFERROR(VLOOKUP(F264, LEVEL_HELPER!$A:$B, 2, 0), "")</f>
        <v>1</v>
      </c>
      <c r="J264" s="3">
        <f>IFERROR(VLOOKUP(G264, LEVEL_HELPER!$A:$B, 2, 0), "")</f>
        <v>3.5</v>
      </c>
      <c r="K264" s="3">
        <f t="shared" ref="K264:L264" si="535">IF(OR(I264="", I264=0), "",
  IF(I264&lt;=2,   1,
  IF(I264&lt;=4,   2,
  IF(I264&lt;=5.5, 3, 4))))</f>
        <v>1</v>
      </c>
      <c r="L264" s="3">
        <f t="shared" si="535"/>
        <v>2</v>
      </c>
      <c r="M264" s="3" t="str">
        <f t="shared" si="516"/>
        <v>Lv1 → Lv2</v>
      </c>
      <c r="N264" s="157" t="s">
        <v>918</v>
      </c>
      <c r="O264" s="157" t="s">
        <v>923</v>
      </c>
      <c r="P264" s="3" t="str">
        <f t="shared" ca="1" si="517"/>
        <v/>
      </c>
      <c r="Q264" s="147" t="str">
        <f t="shared" ca="1" si="518"/>
        <v/>
      </c>
      <c r="R264" s="147" t="str">
        <f t="shared" ref="R264:S264" ca="1" si="536">IF(OR(P264="", P264=0), "",
  IF(P264&lt;=2,   1,
  IF(P264&lt;=4,   2,
  IF(P264&lt;=5.5, 3, 4))))</f>
        <v/>
      </c>
      <c r="S264" s="147" t="str">
        <f t="shared" ca="1" si="536"/>
        <v/>
      </c>
      <c r="T264" s="147" t="str">
        <f t="shared" ca="1" si="520"/>
        <v>No Data</v>
      </c>
      <c r="U264" s="147">
        <f t="shared" si="532"/>
        <v>1</v>
      </c>
      <c r="V264" s="147"/>
    </row>
    <row r="265" spans="1:22">
      <c r="A265" s="157" t="s">
        <v>417</v>
      </c>
      <c r="B265" s="3" t="s">
        <v>418</v>
      </c>
      <c r="C265" s="160" t="s">
        <v>75</v>
      </c>
      <c r="D265" s="160" t="s">
        <v>868</v>
      </c>
      <c r="E265" s="3" t="s">
        <v>21</v>
      </c>
      <c r="F265" s="3" t="s">
        <v>926</v>
      </c>
      <c r="G265" s="3" t="s">
        <v>928</v>
      </c>
      <c r="H265" s="156" t="str">
        <f ca="1">IFERROR(
  _xludf.MINIFS(ATTENDANCE_LOG!$F:$F,
         ATTENDANCE_LOG!$A:$A, C265,
         ATTENDANCE_LOG!$B:$B, E265),
"")</f>
        <v/>
      </c>
      <c r="I265" s="3">
        <f>IFERROR(VLOOKUP(F265, LEVEL_HELPER!$A:$B, 2, 0), "")</f>
        <v>1</v>
      </c>
      <c r="J265" s="3">
        <f>IFERROR(VLOOKUP(G265, LEVEL_HELPER!$A:$B, 2, 0), "")</f>
        <v>1.5</v>
      </c>
      <c r="K265" s="3">
        <f t="shared" ref="K265:L265" si="537">IF(OR(I265="", I265=0), "",
  IF(I265&lt;=2,   1,
  IF(I265&lt;=4,   2,
  IF(I265&lt;=5.5, 3, 4))))</f>
        <v>1</v>
      </c>
      <c r="L265" s="3">
        <f t="shared" si="537"/>
        <v>1</v>
      </c>
      <c r="M265" s="3" t="str">
        <f t="shared" si="516"/>
        <v>Progress within level</v>
      </c>
      <c r="N265" s="157" t="s">
        <v>918</v>
      </c>
      <c r="O265" s="157" t="s">
        <v>923</v>
      </c>
      <c r="P265" s="3" t="str">
        <f t="shared" ca="1" si="517"/>
        <v/>
      </c>
      <c r="Q265" s="147" t="str">
        <f t="shared" ca="1" si="518"/>
        <v/>
      </c>
      <c r="R265" s="147" t="str">
        <f t="shared" ref="R265:S265" ca="1" si="538">IF(OR(P265="", P265=0), "",
  IF(P265&lt;=2,   1,
  IF(P265&lt;=4,   2,
  IF(P265&lt;=5.5, 3, 4))))</f>
        <v/>
      </c>
      <c r="S265" s="147" t="str">
        <f t="shared" ca="1" si="538"/>
        <v/>
      </c>
      <c r="T265" s="147" t="str">
        <f t="shared" ca="1" si="520"/>
        <v>No Data</v>
      </c>
      <c r="U265" s="147">
        <f t="shared" si="532"/>
        <v>1</v>
      </c>
      <c r="V265" s="147"/>
    </row>
    <row r="266" spans="1:22">
      <c r="A266" s="157" t="s">
        <v>587</v>
      </c>
      <c r="B266" s="3" t="s">
        <v>588</v>
      </c>
      <c r="C266" s="160" t="s">
        <v>75</v>
      </c>
      <c r="D266" s="160" t="s">
        <v>868</v>
      </c>
      <c r="E266" s="3" t="s">
        <v>21</v>
      </c>
      <c r="F266" s="3" t="s">
        <v>926</v>
      </c>
      <c r="G266" s="3" t="s">
        <v>917</v>
      </c>
      <c r="H266" s="156" t="str">
        <f ca="1">IFERROR(
  _xludf.MINIFS(ATTENDANCE_LOG!$F:$F,
         ATTENDANCE_LOG!$A:$A, C266,
         ATTENDANCE_LOG!$B:$B, E266),
"")</f>
        <v/>
      </c>
      <c r="I266" s="3">
        <f>IFERROR(VLOOKUP(F266, LEVEL_HELPER!$A:$B, 2, 0), "")</f>
        <v>1</v>
      </c>
      <c r="J266" s="3">
        <f>IFERROR(VLOOKUP(G266, LEVEL_HELPER!$A:$B, 2, 0), "")</f>
        <v>3</v>
      </c>
      <c r="K266" s="3">
        <f t="shared" ref="K266:L266" si="539">IF(OR(I266="", I266=0), "",
  IF(I266&lt;=2,   1,
  IF(I266&lt;=4,   2,
  IF(I266&lt;=5.5, 3, 4))))</f>
        <v>1</v>
      </c>
      <c r="L266" s="3">
        <f t="shared" si="539"/>
        <v>2</v>
      </c>
      <c r="M266" s="3" t="str">
        <f t="shared" si="516"/>
        <v>Lv1 → Lv2</v>
      </c>
      <c r="N266" s="157" t="s">
        <v>942</v>
      </c>
      <c r="O266" s="157" t="s">
        <v>922</v>
      </c>
      <c r="P266" s="3" t="str">
        <f t="shared" ca="1" si="517"/>
        <v/>
      </c>
      <c r="Q266" s="147" t="str">
        <f t="shared" ca="1" si="518"/>
        <v/>
      </c>
      <c r="R266" s="147" t="str">
        <f t="shared" ref="R266:S266" ca="1" si="540">IF(OR(P266="", P266=0), "",
  IF(P266&lt;=2,   1,
  IF(P266&lt;=4,   2,
  IF(P266&lt;=5.5, 3, 4))))</f>
        <v/>
      </c>
      <c r="S266" s="147" t="str">
        <f t="shared" ca="1" si="540"/>
        <v/>
      </c>
      <c r="T266" s="147" t="str">
        <f t="shared" ca="1" si="520"/>
        <v>No Data</v>
      </c>
      <c r="U266" s="147">
        <f t="shared" si="532"/>
        <v>1</v>
      </c>
      <c r="V266" s="147"/>
    </row>
    <row r="267" spans="1:22">
      <c r="A267" s="157" t="s">
        <v>593</v>
      </c>
      <c r="B267" s="154" t="s">
        <v>594</v>
      </c>
      <c r="C267" s="155" t="s">
        <v>75</v>
      </c>
      <c r="D267" s="155" t="s">
        <v>868</v>
      </c>
      <c r="E267" s="154" t="s">
        <v>22</v>
      </c>
      <c r="F267" s="3" t="s">
        <v>928</v>
      </c>
      <c r="G267" s="3"/>
      <c r="H267" s="156" t="str">
        <f ca="1">IFERROR(
  _xludf.MINIFS(ATTENDANCE_LOG!$F:$F,
         ATTENDANCE_LOG!$A:$A, C267,
         ATTENDANCE_LOG!$B:$B, E267),
"")</f>
        <v/>
      </c>
      <c r="I267" s="3">
        <f>IFERROR(VLOOKUP(F267, LEVEL_HELPER!$A:$B, 2, 0), "")</f>
        <v>1.5</v>
      </c>
      <c r="J267" s="3" t="str">
        <f>IFERROR(VLOOKUP(G267, LEVEL_HELPER!$A:$B, 2, 0), "")</f>
        <v/>
      </c>
      <c r="K267" s="3">
        <f t="shared" ref="K267:L267" si="541">IF(OR(I267="", I267=0), "",
  IF(I267&lt;=2,   1,
  IF(I267&lt;=4,   2,
  IF(I267&lt;=5.5, 3, 4))))</f>
        <v>1</v>
      </c>
      <c r="L267" s="3" t="str">
        <f t="shared" si="541"/>
        <v/>
      </c>
      <c r="M267" s="3" t="str">
        <f t="shared" si="516"/>
        <v>No Data</v>
      </c>
      <c r="N267" s="157" t="s">
        <v>942</v>
      </c>
      <c r="O267" s="157" t="s">
        <v>923</v>
      </c>
      <c r="P267" s="3" t="str">
        <f t="shared" ca="1" si="517"/>
        <v/>
      </c>
      <c r="Q267" s="147" t="str">
        <f t="shared" ca="1" si="518"/>
        <v/>
      </c>
      <c r="R267" s="147" t="str">
        <f t="shared" ref="R267:S267" ca="1" si="542">IF(OR(P267="", P267=0), "",
  IF(P267&lt;=2,   1,
  IF(P267&lt;=4,   2,
  IF(P267&lt;=5.5, 3, 4))))</f>
        <v/>
      </c>
      <c r="S267" s="147" t="str">
        <f t="shared" ca="1" si="542"/>
        <v/>
      </c>
      <c r="T267" s="147" t="str">
        <f t="shared" ca="1" si="520"/>
        <v>No Data</v>
      </c>
      <c r="U267" s="147">
        <f>IF(COUNTIF($A$2:A272, A267)=1, 1, 0)</f>
        <v>0</v>
      </c>
      <c r="V267" s="147"/>
    </row>
    <row r="268" spans="1:22">
      <c r="A268" s="157" t="s">
        <v>173</v>
      </c>
      <c r="B268" s="3" t="s">
        <v>174</v>
      </c>
      <c r="C268" s="160" t="s">
        <v>75</v>
      </c>
      <c r="D268" s="160" t="s">
        <v>868</v>
      </c>
      <c r="E268" s="3" t="s">
        <v>22</v>
      </c>
      <c r="F268" s="3" t="s">
        <v>917</v>
      </c>
      <c r="G268" s="3"/>
      <c r="H268" s="156" t="str">
        <f ca="1">IFERROR(
  _xludf.MINIFS(ATTENDANCE_LOG!$F:$F,
         ATTENDANCE_LOG!$A:$A, C268,
         ATTENDANCE_LOG!$B:$B, E268),
"")</f>
        <v/>
      </c>
      <c r="I268" s="3">
        <f>IFERROR(VLOOKUP(F268, LEVEL_HELPER!$A:$B, 2, 0), "")</f>
        <v>3</v>
      </c>
      <c r="J268" s="3" t="str">
        <f>IFERROR(VLOOKUP(G268, LEVEL_HELPER!$A:$B, 2, 0), "")</f>
        <v/>
      </c>
      <c r="K268" s="3">
        <f t="shared" ref="K268:L268" si="543">IF(OR(I268="", I268=0), "",
  IF(I268&lt;=2,   1,
  IF(I268&lt;=4,   2,
  IF(I268&lt;=5.5, 3, 4))))</f>
        <v>2</v>
      </c>
      <c r="L268" s="3" t="str">
        <f t="shared" si="543"/>
        <v/>
      </c>
      <c r="M268" s="3" t="str">
        <f t="shared" si="516"/>
        <v>No Data</v>
      </c>
      <c r="N268" s="157" t="s">
        <v>942</v>
      </c>
      <c r="O268" s="157" t="s">
        <v>923</v>
      </c>
      <c r="P268" s="3" t="str">
        <f t="shared" ca="1" si="517"/>
        <v/>
      </c>
      <c r="Q268" s="147" t="str">
        <f t="shared" ca="1" si="518"/>
        <v/>
      </c>
      <c r="R268" s="147" t="str">
        <f t="shared" ref="R268:S268" ca="1" si="544">IF(OR(P268="", P268=0), "",
  IF(P268&lt;=2,   1,
  IF(P268&lt;=4,   2,
  IF(P268&lt;=5.5, 3, 4))))</f>
        <v/>
      </c>
      <c r="S268" s="147" t="str">
        <f t="shared" ca="1" si="544"/>
        <v/>
      </c>
      <c r="T268" s="147" t="str">
        <f t="shared" ca="1" si="520"/>
        <v>No Data</v>
      </c>
      <c r="U268" s="147">
        <f t="shared" ref="U268:U272" si="545">IF(COUNTIF($A$2:A268, A268)=1, 1, 0)</f>
        <v>0</v>
      </c>
      <c r="V268" s="147"/>
    </row>
    <row r="269" spans="1:22">
      <c r="A269" s="157" t="s">
        <v>281</v>
      </c>
      <c r="B269" s="3" t="s">
        <v>282</v>
      </c>
      <c r="C269" s="160" t="s">
        <v>75</v>
      </c>
      <c r="D269" s="160" t="s">
        <v>868</v>
      </c>
      <c r="E269" s="3" t="s">
        <v>22</v>
      </c>
      <c r="F269" s="3" t="s">
        <v>917</v>
      </c>
      <c r="G269" s="3"/>
      <c r="H269" s="156" t="str">
        <f ca="1">IFERROR(
  _xludf.MINIFS(ATTENDANCE_LOG!$F:$F,
         ATTENDANCE_LOG!$A:$A, C269,
         ATTENDANCE_LOG!$B:$B, E269),
"")</f>
        <v/>
      </c>
      <c r="I269" s="3">
        <f>IFERROR(VLOOKUP(F269, LEVEL_HELPER!$A:$B, 2, 0), "")</f>
        <v>3</v>
      </c>
      <c r="J269" s="3" t="str">
        <f>IFERROR(VLOOKUP(G269, LEVEL_HELPER!$A:$B, 2, 0), "")</f>
        <v/>
      </c>
      <c r="K269" s="3">
        <f t="shared" ref="K269:L269" si="546">IF(OR(I269="", I269=0), "",
  IF(I269&lt;=2,   1,
  IF(I269&lt;=4,   2,
  IF(I269&lt;=5.5, 3, 4))))</f>
        <v>2</v>
      </c>
      <c r="L269" s="3" t="str">
        <f t="shared" si="546"/>
        <v/>
      </c>
      <c r="M269" s="3" t="str">
        <f t="shared" si="516"/>
        <v>No Data</v>
      </c>
      <c r="N269" s="157" t="s">
        <v>942</v>
      </c>
      <c r="O269" s="157" t="s">
        <v>923</v>
      </c>
      <c r="P269" s="3" t="str">
        <f t="shared" ca="1" si="517"/>
        <v/>
      </c>
      <c r="Q269" s="147" t="str">
        <f t="shared" ca="1" si="518"/>
        <v/>
      </c>
      <c r="R269" s="147" t="str">
        <f t="shared" ref="R269:S269" ca="1" si="547">IF(OR(P269="", P269=0), "",
  IF(P269&lt;=2,   1,
  IF(P269&lt;=4,   2,
  IF(P269&lt;=5.5, 3, 4))))</f>
        <v/>
      </c>
      <c r="S269" s="147" t="str">
        <f t="shared" ca="1" si="547"/>
        <v/>
      </c>
      <c r="T269" s="147" t="str">
        <f t="shared" ca="1" si="520"/>
        <v>No Data</v>
      </c>
      <c r="U269" s="147">
        <f t="shared" si="545"/>
        <v>0</v>
      </c>
      <c r="V269" s="147"/>
    </row>
    <row r="270" spans="1:22">
      <c r="A270" s="157" t="s">
        <v>336</v>
      </c>
      <c r="B270" s="3" t="s">
        <v>337</v>
      </c>
      <c r="C270" s="160" t="s">
        <v>75</v>
      </c>
      <c r="D270" s="160" t="s">
        <v>868</v>
      </c>
      <c r="E270" s="3" t="s">
        <v>22</v>
      </c>
      <c r="F270" s="3" t="s">
        <v>934</v>
      </c>
      <c r="G270" s="3"/>
      <c r="H270" s="156" t="str">
        <f ca="1">IFERROR(
  _xludf.MINIFS(ATTENDANCE_LOG!$F:$F,
         ATTENDANCE_LOG!$A:$A, C270,
         ATTENDANCE_LOG!$B:$B, E270),
"")</f>
        <v/>
      </c>
      <c r="I270" s="3">
        <f>IFERROR(VLOOKUP(F270, LEVEL_HELPER!$A:$B, 2, 0), "")</f>
        <v>3.5</v>
      </c>
      <c r="J270" s="3" t="str">
        <f>IFERROR(VLOOKUP(G270, LEVEL_HELPER!$A:$B, 2, 0), "")</f>
        <v/>
      </c>
      <c r="K270" s="3">
        <f t="shared" ref="K270:L270" si="548">IF(OR(I270="", I270=0), "",
  IF(I270&lt;=2,   1,
  IF(I270&lt;=4,   2,
  IF(I270&lt;=5.5, 3, 4))))</f>
        <v>2</v>
      </c>
      <c r="L270" s="3" t="str">
        <f t="shared" si="548"/>
        <v/>
      </c>
      <c r="M270" s="3" t="str">
        <f t="shared" si="516"/>
        <v>No Data</v>
      </c>
      <c r="N270" s="157" t="s">
        <v>918</v>
      </c>
      <c r="O270" s="157" t="s">
        <v>923</v>
      </c>
      <c r="P270" s="3" t="str">
        <f t="shared" ca="1" si="517"/>
        <v/>
      </c>
      <c r="Q270" s="147" t="str">
        <f t="shared" ca="1" si="518"/>
        <v/>
      </c>
      <c r="R270" s="147" t="str">
        <f t="shared" ref="R270:S270" ca="1" si="549">IF(OR(P270="", P270=0), "",
  IF(P270&lt;=2,   1,
  IF(P270&lt;=4,   2,
  IF(P270&lt;=5.5, 3, 4))))</f>
        <v/>
      </c>
      <c r="S270" s="147" t="str">
        <f t="shared" ca="1" si="549"/>
        <v/>
      </c>
      <c r="T270" s="147" t="str">
        <f t="shared" ca="1" si="520"/>
        <v>No Data</v>
      </c>
      <c r="U270" s="147">
        <f t="shared" si="545"/>
        <v>0</v>
      </c>
      <c r="V270" s="147"/>
    </row>
    <row r="271" spans="1:22">
      <c r="A271" s="157" t="s">
        <v>417</v>
      </c>
      <c r="B271" s="3" t="s">
        <v>418</v>
      </c>
      <c r="C271" s="160" t="s">
        <v>75</v>
      </c>
      <c r="D271" s="160" t="s">
        <v>868</v>
      </c>
      <c r="E271" s="3" t="s">
        <v>22</v>
      </c>
      <c r="F271" s="3" t="s">
        <v>928</v>
      </c>
      <c r="G271" s="3"/>
      <c r="H271" s="156" t="str">
        <f ca="1">IFERROR(
  _xludf.MINIFS(ATTENDANCE_LOG!$F:$F,
         ATTENDANCE_LOG!$A:$A, C271,
         ATTENDANCE_LOG!$B:$B, E271),
"")</f>
        <v/>
      </c>
      <c r="I271" s="3">
        <f>IFERROR(VLOOKUP(F271, LEVEL_HELPER!$A:$B, 2, 0), "")</f>
        <v>1.5</v>
      </c>
      <c r="J271" s="3" t="str">
        <f>IFERROR(VLOOKUP(G271, LEVEL_HELPER!$A:$B, 2, 0), "")</f>
        <v/>
      </c>
      <c r="K271" s="3">
        <f t="shared" ref="K271:L271" si="550">IF(OR(I271="", I271=0), "",
  IF(I271&lt;=2,   1,
  IF(I271&lt;=4,   2,
  IF(I271&lt;=5.5, 3, 4))))</f>
        <v>1</v>
      </c>
      <c r="L271" s="3" t="str">
        <f t="shared" si="550"/>
        <v/>
      </c>
      <c r="M271" s="3" t="str">
        <f t="shared" si="516"/>
        <v>No Data</v>
      </c>
      <c r="N271" s="157" t="s">
        <v>918</v>
      </c>
      <c r="O271" s="157" t="s">
        <v>923</v>
      </c>
      <c r="P271" s="3" t="str">
        <f t="shared" ca="1" si="517"/>
        <v/>
      </c>
      <c r="Q271" s="147" t="str">
        <f t="shared" ca="1" si="518"/>
        <v/>
      </c>
      <c r="R271" s="147" t="str">
        <f t="shared" ref="R271:S271" ca="1" si="551">IF(OR(P271="", P271=0), "",
  IF(P271&lt;=2,   1,
  IF(P271&lt;=4,   2,
  IF(P271&lt;=5.5, 3, 4))))</f>
        <v/>
      </c>
      <c r="S271" s="147" t="str">
        <f t="shared" ca="1" si="551"/>
        <v/>
      </c>
      <c r="T271" s="147" t="str">
        <f t="shared" ca="1" si="520"/>
        <v>No Data</v>
      </c>
      <c r="U271" s="147">
        <f t="shared" si="545"/>
        <v>0</v>
      </c>
      <c r="V271" s="147"/>
    </row>
    <row r="272" spans="1:22">
      <c r="A272" s="157" t="s">
        <v>587</v>
      </c>
      <c r="B272" s="3" t="s">
        <v>588</v>
      </c>
      <c r="C272" s="160" t="s">
        <v>75</v>
      </c>
      <c r="D272" s="160" t="s">
        <v>868</v>
      </c>
      <c r="E272" s="3" t="s">
        <v>22</v>
      </c>
      <c r="F272" s="3" t="s">
        <v>917</v>
      </c>
      <c r="G272" s="3"/>
      <c r="H272" s="156" t="str">
        <f ca="1">IFERROR(
  _xludf.MINIFS(ATTENDANCE_LOG!$F:$F,
         ATTENDANCE_LOG!$A:$A, C272,
         ATTENDANCE_LOG!$B:$B, E272),
"")</f>
        <v/>
      </c>
      <c r="I272" s="3">
        <f>IFERROR(VLOOKUP(F272, LEVEL_HELPER!$A:$B, 2, 0), "")</f>
        <v>3</v>
      </c>
      <c r="J272" s="3" t="str">
        <f>IFERROR(VLOOKUP(G272, LEVEL_HELPER!$A:$B, 2, 0), "")</f>
        <v/>
      </c>
      <c r="K272" s="3">
        <f t="shared" ref="K272:L272" si="552">IF(OR(I272="", I272=0), "",
  IF(I272&lt;=2,   1,
  IF(I272&lt;=4,   2,
  IF(I272&lt;=5.5, 3, 4))))</f>
        <v>2</v>
      </c>
      <c r="L272" s="3" t="str">
        <f t="shared" si="552"/>
        <v/>
      </c>
      <c r="M272" s="3" t="str">
        <f t="shared" si="516"/>
        <v>No Data</v>
      </c>
      <c r="N272" s="157" t="s">
        <v>942</v>
      </c>
      <c r="O272" s="157" t="s">
        <v>922</v>
      </c>
      <c r="P272" s="3" t="str">
        <f t="shared" ca="1" si="517"/>
        <v/>
      </c>
      <c r="Q272" s="147" t="str">
        <f t="shared" ca="1" si="518"/>
        <v/>
      </c>
      <c r="R272" s="147" t="str">
        <f t="shared" ref="R272:S272" ca="1" si="553">IF(OR(P272="", P272=0), "",
  IF(P272&lt;=2,   1,
  IF(P272&lt;=4,   2,
  IF(P272&lt;=5.5, 3, 4))))</f>
        <v/>
      </c>
      <c r="S272" s="147" t="str">
        <f t="shared" ca="1" si="553"/>
        <v/>
      </c>
      <c r="T272" s="147" t="str">
        <f t="shared" ca="1" si="520"/>
        <v>No Data</v>
      </c>
      <c r="U272" s="147">
        <f t="shared" si="545"/>
        <v>0</v>
      </c>
      <c r="V272" s="147"/>
    </row>
    <row r="273" spans="1:22">
      <c r="A273" s="176" t="s">
        <v>651</v>
      </c>
      <c r="B273" s="154" t="s">
        <v>652</v>
      </c>
      <c r="C273" s="155" t="s">
        <v>76</v>
      </c>
      <c r="D273" s="155" t="s">
        <v>869</v>
      </c>
      <c r="E273" s="154" t="s">
        <v>21</v>
      </c>
      <c r="F273" s="3" t="s">
        <v>926</v>
      </c>
      <c r="G273" s="3" t="s">
        <v>917</v>
      </c>
      <c r="H273" s="156" t="str">
        <f ca="1">IFERROR(
  _xludf.MINIFS(ATTENDANCE_LOG!$F:$F,
         ATTENDANCE_LOG!$A:$A, C273,
         ATTENDANCE_LOG!$B:$B, E273),
"")</f>
        <v/>
      </c>
      <c r="I273" s="3">
        <f>IFERROR(VLOOKUP(F273, LEVEL_HELPER!$A:$B, 2, 0), "")</f>
        <v>1</v>
      </c>
      <c r="J273" s="3">
        <f>IFERROR(VLOOKUP(G273, LEVEL_HELPER!$A:$B, 2, 0), "")</f>
        <v>3</v>
      </c>
      <c r="K273" s="3">
        <f t="shared" ref="K273:L273" si="554">IF(OR(I273="", I273=0), "",
  IF(I273&lt;=2,   1,
  IF(I273&lt;=4,   2,
  IF(I273&lt;=5.5, 3, 4))))</f>
        <v>1</v>
      </c>
      <c r="L273" s="3">
        <f t="shared" si="554"/>
        <v>2</v>
      </c>
      <c r="M273" s="3" t="str">
        <f t="shared" si="516"/>
        <v>Lv1 → Lv2</v>
      </c>
      <c r="N273" s="157" t="s">
        <v>918</v>
      </c>
      <c r="O273" s="157" t="s">
        <v>922</v>
      </c>
      <c r="P273" s="3" t="str">
        <f t="shared" ca="1" si="517"/>
        <v/>
      </c>
      <c r="Q273" s="147" t="str">
        <f t="shared" ca="1" si="518"/>
        <v/>
      </c>
      <c r="R273" s="147" t="str">
        <f t="shared" ref="R273:S273" ca="1" si="555">IF(OR(P273="", P273=0), "",
  IF(P273&lt;=2,   1,
  IF(P273&lt;=4,   2,
  IF(P273&lt;=5.5, 3, 4))))</f>
        <v/>
      </c>
      <c r="S273" s="147" t="str">
        <f t="shared" ca="1" si="555"/>
        <v/>
      </c>
      <c r="T273" s="147" t="str">
        <f t="shared" ca="1" si="520"/>
        <v>No Data</v>
      </c>
      <c r="U273" s="147">
        <f>IF(COUNTIF($A$2:A274, A273)=1, 1, 0)</f>
        <v>1</v>
      </c>
      <c r="V273" s="147"/>
    </row>
    <row r="274" spans="1:22">
      <c r="A274" s="157" t="s">
        <v>210</v>
      </c>
      <c r="B274" s="3" t="s">
        <v>211</v>
      </c>
      <c r="C274" s="160" t="s">
        <v>76</v>
      </c>
      <c r="D274" s="160" t="s">
        <v>869</v>
      </c>
      <c r="E274" s="3" t="s">
        <v>21</v>
      </c>
      <c r="F274" s="3" t="s">
        <v>916</v>
      </c>
      <c r="G274" s="3" t="s">
        <v>917</v>
      </c>
      <c r="H274" s="156" t="str">
        <f ca="1">IFERROR(
  _xludf.MINIFS(ATTENDANCE_LOG!$F:$F,
         ATTENDANCE_LOG!$A:$A, C274,
         ATTENDANCE_LOG!$B:$B, E274),
"")</f>
        <v/>
      </c>
      <c r="I274" s="3">
        <f>IFERROR(VLOOKUP(F274, LEVEL_HELPER!$A:$B, 2, 0), "")</f>
        <v>2.5</v>
      </c>
      <c r="J274" s="3">
        <f>IFERROR(VLOOKUP(G274, LEVEL_HELPER!$A:$B, 2, 0), "")</f>
        <v>3</v>
      </c>
      <c r="K274" s="3">
        <f t="shared" ref="K274:L274" si="556">IF(OR(I274="", I274=0), "",
  IF(I274&lt;=2,   1,
  IF(I274&lt;=4,   2,
  IF(I274&lt;=5.5, 3, 4))))</f>
        <v>2</v>
      </c>
      <c r="L274" s="3">
        <f t="shared" si="556"/>
        <v>2</v>
      </c>
      <c r="M274" s="3" t="str">
        <f t="shared" si="516"/>
        <v>Progress within level</v>
      </c>
      <c r="N274" s="157" t="s">
        <v>942</v>
      </c>
      <c r="O274" s="157" t="s">
        <v>922</v>
      </c>
      <c r="P274" s="3" t="str">
        <f t="shared" ca="1" si="517"/>
        <v/>
      </c>
      <c r="Q274" s="147" t="str">
        <f t="shared" ca="1" si="518"/>
        <v/>
      </c>
      <c r="R274" s="147" t="str">
        <f t="shared" ref="R274:S274" ca="1" si="557">IF(OR(P274="", P274=0), "",
  IF(P274&lt;=2,   1,
  IF(P274&lt;=4,   2,
  IF(P274&lt;=5.5, 3, 4))))</f>
        <v/>
      </c>
      <c r="S274" s="147" t="str">
        <f t="shared" ca="1" si="557"/>
        <v/>
      </c>
      <c r="T274" s="147" t="str">
        <f t="shared" ca="1" si="520"/>
        <v>No Data</v>
      </c>
      <c r="U274" s="147">
        <f t="shared" ref="U274:U312" si="558">IF(COUNTIF($A$2:A274, A274)=1, 1, 0)</f>
        <v>1</v>
      </c>
      <c r="V274" s="147"/>
    </row>
    <row r="275" spans="1:22">
      <c r="A275" s="157" t="s">
        <v>440</v>
      </c>
      <c r="B275" s="3" t="s">
        <v>441</v>
      </c>
      <c r="C275" s="160" t="s">
        <v>76</v>
      </c>
      <c r="D275" s="160" t="s">
        <v>869</v>
      </c>
      <c r="E275" s="3" t="s">
        <v>21</v>
      </c>
      <c r="F275" s="3" t="s">
        <v>926</v>
      </c>
      <c r="G275" s="3" t="s">
        <v>926</v>
      </c>
      <c r="H275" s="156" t="str">
        <f ca="1">IFERROR(
  _xludf.MINIFS(ATTENDANCE_LOG!$F:$F,
         ATTENDANCE_LOG!$A:$A, C275,
         ATTENDANCE_LOG!$B:$B, E275),
"")</f>
        <v/>
      </c>
      <c r="I275" s="3">
        <f>IFERROR(VLOOKUP(F275, LEVEL_HELPER!$A:$B, 2, 0), "")</f>
        <v>1</v>
      </c>
      <c r="J275" s="3">
        <f>IFERROR(VLOOKUP(G275, LEVEL_HELPER!$A:$B, 2, 0), "")</f>
        <v>1</v>
      </c>
      <c r="K275" s="3">
        <f t="shared" ref="K275:L275" si="559">IF(OR(I275="", I275=0), "",
  IF(I275&lt;=2,   1,
  IF(I275&lt;=4,   2,
  IF(I275&lt;=5.5, 3, 4))))</f>
        <v>1</v>
      </c>
      <c r="L275" s="3">
        <f t="shared" si="559"/>
        <v>1</v>
      </c>
      <c r="M275" s="3" t="str">
        <f t="shared" si="516"/>
        <v>No Progress</v>
      </c>
      <c r="N275" s="157" t="s">
        <v>942</v>
      </c>
      <c r="O275" s="157" t="s">
        <v>922</v>
      </c>
      <c r="P275" s="3" t="str">
        <f t="shared" ca="1" si="517"/>
        <v/>
      </c>
      <c r="Q275" s="147" t="str">
        <f t="shared" ca="1" si="518"/>
        <v/>
      </c>
      <c r="R275" s="147" t="str">
        <f t="shared" ref="R275:S275" ca="1" si="560">IF(OR(P275="", P275=0), "",
  IF(P275&lt;=2,   1,
  IF(P275&lt;=4,   2,
  IF(P275&lt;=5.5, 3, 4))))</f>
        <v/>
      </c>
      <c r="S275" s="147" t="str">
        <f t="shared" ca="1" si="560"/>
        <v/>
      </c>
      <c r="T275" s="147" t="str">
        <f t="shared" ca="1" si="520"/>
        <v>No Data</v>
      </c>
      <c r="U275" s="147">
        <f t="shared" si="558"/>
        <v>1</v>
      </c>
      <c r="V275" s="147"/>
    </row>
    <row r="276" spans="1:22">
      <c r="A276" s="157" t="s">
        <v>520</v>
      </c>
      <c r="B276" s="3" t="s">
        <v>521</v>
      </c>
      <c r="C276" s="160" t="s">
        <v>76</v>
      </c>
      <c r="D276" s="160" t="s">
        <v>869</v>
      </c>
      <c r="E276" s="3" t="s">
        <v>21</v>
      </c>
      <c r="F276" s="3" t="s">
        <v>926</v>
      </c>
      <c r="G276" s="3" t="s">
        <v>926</v>
      </c>
      <c r="H276" s="156" t="str">
        <f ca="1">IFERROR(
  _xludf.MINIFS(ATTENDANCE_LOG!$F:$F,
         ATTENDANCE_LOG!$A:$A, C276,
         ATTENDANCE_LOG!$B:$B, E276),
"")</f>
        <v/>
      </c>
      <c r="I276" s="3">
        <f>IFERROR(VLOOKUP(F276, LEVEL_HELPER!$A:$B, 2, 0), "")</f>
        <v>1</v>
      </c>
      <c r="J276" s="3">
        <f>IFERROR(VLOOKUP(G276, LEVEL_HELPER!$A:$B, 2, 0), "")</f>
        <v>1</v>
      </c>
      <c r="K276" s="3">
        <f t="shared" ref="K276:L276" si="561">IF(OR(I276="", I276=0), "",
  IF(I276&lt;=2,   1,
  IF(I276&lt;=4,   2,
  IF(I276&lt;=5.5, 3, 4))))</f>
        <v>1</v>
      </c>
      <c r="L276" s="3">
        <f t="shared" si="561"/>
        <v>1</v>
      </c>
      <c r="M276" s="3" t="str">
        <f t="shared" si="516"/>
        <v>No Progress</v>
      </c>
      <c r="N276" s="157" t="s">
        <v>942</v>
      </c>
      <c r="O276" s="157" t="s">
        <v>922</v>
      </c>
      <c r="P276" s="3" t="str">
        <f t="shared" ca="1" si="517"/>
        <v/>
      </c>
      <c r="Q276" s="147" t="str">
        <f t="shared" ca="1" si="518"/>
        <v/>
      </c>
      <c r="R276" s="147" t="str">
        <f t="shared" ref="R276:S276" ca="1" si="562">IF(OR(P276="", P276=0), "",
  IF(P276&lt;=2,   1,
  IF(P276&lt;=4,   2,
  IF(P276&lt;=5.5, 3, 4))))</f>
        <v/>
      </c>
      <c r="S276" s="147" t="str">
        <f t="shared" ca="1" si="562"/>
        <v/>
      </c>
      <c r="T276" s="147" t="str">
        <f t="shared" ca="1" si="520"/>
        <v>No Data</v>
      </c>
      <c r="U276" s="147">
        <f t="shared" si="558"/>
        <v>1</v>
      </c>
      <c r="V276" s="147"/>
    </row>
    <row r="277" spans="1:22">
      <c r="A277" s="157" t="s">
        <v>595</v>
      </c>
      <c r="B277" s="3" t="s">
        <v>596</v>
      </c>
      <c r="C277" s="160" t="s">
        <v>76</v>
      </c>
      <c r="D277" s="160" t="s">
        <v>869</v>
      </c>
      <c r="E277" s="3" t="s">
        <v>21</v>
      </c>
      <c r="F277" s="3" t="s">
        <v>926</v>
      </c>
      <c r="G277" s="3" t="s">
        <v>926</v>
      </c>
      <c r="H277" s="156" t="str">
        <f ca="1">IFERROR(
  _xludf.MINIFS(ATTENDANCE_LOG!$F:$F,
         ATTENDANCE_LOG!$A:$A, C277,
         ATTENDANCE_LOG!$B:$B, E277),
"")</f>
        <v/>
      </c>
      <c r="I277" s="3">
        <f>IFERROR(VLOOKUP(F277, LEVEL_HELPER!$A:$B, 2, 0), "")</f>
        <v>1</v>
      </c>
      <c r="J277" s="3">
        <f>IFERROR(VLOOKUP(G277, LEVEL_HELPER!$A:$B, 2, 0), "")</f>
        <v>1</v>
      </c>
      <c r="K277" s="3">
        <f t="shared" ref="K277:L277" si="563">IF(OR(I277="", I277=0), "",
  IF(I277&lt;=2,   1,
  IF(I277&lt;=4,   2,
  IF(I277&lt;=5.5, 3, 4))))</f>
        <v>1</v>
      </c>
      <c r="L277" s="3">
        <f t="shared" si="563"/>
        <v>1</v>
      </c>
      <c r="M277" s="3" t="str">
        <f t="shared" si="516"/>
        <v>No Progress</v>
      </c>
      <c r="N277" s="157" t="s">
        <v>942</v>
      </c>
      <c r="O277" s="157" t="s">
        <v>922</v>
      </c>
      <c r="P277" s="3" t="str">
        <f t="shared" ca="1" si="517"/>
        <v/>
      </c>
      <c r="Q277" s="147" t="str">
        <f t="shared" ca="1" si="518"/>
        <v/>
      </c>
      <c r="R277" s="147" t="str">
        <f t="shared" ref="R277:S277" ca="1" si="564">IF(OR(P277="", P277=0), "",
  IF(P277&lt;=2,   1,
  IF(P277&lt;=4,   2,
  IF(P277&lt;=5.5, 3, 4))))</f>
        <v/>
      </c>
      <c r="S277" s="147" t="str">
        <f t="shared" ca="1" si="564"/>
        <v/>
      </c>
      <c r="T277" s="147" t="str">
        <f t="shared" ca="1" si="520"/>
        <v>No Data</v>
      </c>
      <c r="U277" s="147">
        <f t="shared" si="558"/>
        <v>1</v>
      </c>
      <c r="V277" s="147"/>
    </row>
    <row r="278" spans="1:22">
      <c r="A278" s="157" t="s">
        <v>615</v>
      </c>
      <c r="B278" s="3" t="s">
        <v>616</v>
      </c>
      <c r="C278" s="160" t="s">
        <v>76</v>
      </c>
      <c r="D278" s="160" t="s">
        <v>869</v>
      </c>
      <c r="E278" s="3" t="s">
        <v>21</v>
      </c>
      <c r="F278" s="3" t="s">
        <v>926</v>
      </c>
      <c r="G278" s="3" t="s">
        <v>934</v>
      </c>
      <c r="H278" s="156" t="str">
        <f ca="1">IFERROR(
  _xludf.MINIFS(ATTENDANCE_LOG!$F:$F,
         ATTENDANCE_LOG!$A:$A, C278,
         ATTENDANCE_LOG!$B:$B, E278),
"")</f>
        <v/>
      </c>
      <c r="I278" s="3">
        <f>IFERROR(VLOOKUP(F278, LEVEL_HELPER!$A:$B, 2, 0), "")</f>
        <v>1</v>
      </c>
      <c r="J278" s="3">
        <f>IFERROR(VLOOKUP(G278, LEVEL_HELPER!$A:$B, 2, 0), "")</f>
        <v>3.5</v>
      </c>
      <c r="K278" s="3">
        <f t="shared" ref="K278:L278" si="565">IF(OR(I278="", I278=0), "",
  IF(I278&lt;=2,   1,
  IF(I278&lt;=4,   2,
  IF(I278&lt;=5.5, 3, 4))))</f>
        <v>1</v>
      </c>
      <c r="L278" s="3">
        <f t="shared" si="565"/>
        <v>2</v>
      </c>
      <c r="M278" s="3" t="str">
        <f t="shared" si="516"/>
        <v>Lv1 → Lv2</v>
      </c>
      <c r="N278" s="157" t="s">
        <v>918</v>
      </c>
      <c r="O278" s="157" t="s">
        <v>922</v>
      </c>
      <c r="P278" s="3" t="str">
        <f t="shared" ca="1" si="517"/>
        <v/>
      </c>
      <c r="Q278" s="147" t="str">
        <f t="shared" ca="1" si="518"/>
        <v/>
      </c>
      <c r="R278" s="147" t="str">
        <f t="shared" ref="R278:S278" ca="1" si="566">IF(OR(P278="", P278=0), "",
  IF(P278&lt;=2,   1,
  IF(P278&lt;=4,   2,
  IF(P278&lt;=5.5, 3, 4))))</f>
        <v/>
      </c>
      <c r="S278" s="147" t="str">
        <f t="shared" ca="1" si="566"/>
        <v/>
      </c>
      <c r="T278" s="147" t="str">
        <f t="shared" ca="1" si="520"/>
        <v>No Data</v>
      </c>
      <c r="U278" s="147">
        <f t="shared" si="558"/>
        <v>1</v>
      </c>
      <c r="V278" s="147"/>
    </row>
    <row r="279" spans="1:22">
      <c r="A279" s="157" t="s">
        <v>685</v>
      </c>
      <c r="B279" s="3" t="s">
        <v>686</v>
      </c>
      <c r="C279" s="160" t="s">
        <v>76</v>
      </c>
      <c r="D279" s="160" t="s">
        <v>869</v>
      </c>
      <c r="E279" s="3" t="s">
        <v>21</v>
      </c>
      <c r="F279" s="3" t="s">
        <v>926</v>
      </c>
      <c r="G279" s="3" t="s">
        <v>926</v>
      </c>
      <c r="H279" s="156" t="str">
        <f ca="1">IFERROR(
  _xludf.MINIFS(ATTENDANCE_LOG!$F:$F,
         ATTENDANCE_LOG!$A:$A, C279,
         ATTENDANCE_LOG!$B:$B, E279),
"")</f>
        <v/>
      </c>
      <c r="I279" s="3">
        <f>IFERROR(VLOOKUP(F279, LEVEL_HELPER!$A:$B, 2, 0), "")</f>
        <v>1</v>
      </c>
      <c r="J279" s="3">
        <f>IFERROR(VLOOKUP(G279, LEVEL_HELPER!$A:$B, 2, 0), "")</f>
        <v>1</v>
      </c>
      <c r="K279" s="3">
        <f t="shared" ref="K279:L279" si="567">IF(OR(I279="", I279=0), "",
  IF(I279&lt;=2,   1,
  IF(I279&lt;=4,   2,
  IF(I279&lt;=5.5, 3, 4))))</f>
        <v>1</v>
      </c>
      <c r="L279" s="3">
        <f t="shared" si="567"/>
        <v>1</v>
      </c>
      <c r="M279" s="3" t="str">
        <f t="shared" si="516"/>
        <v>No Progress</v>
      </c>
      <c r="N279" s="157" t="s">
        <v>942</v>
      </c>
      <c r="O279" s="157" t="s">
        <v>922</v>
      </c>
      <c r="P279" s="3" t="str">
        <f t="shared" ca="1" si="517"/>
        <v/>
      </c>
      <c r="Q279" s="147" t="str">
        <f t="shared" ca="1" si="518"/>
        <v/>
      </c>
      <c r="R279" s="147" t="str">
        <f t="shared" ref="R279:S279" ca="1" si="568">IF(OR(P279="", P279=0), "",
  IF(P279&lt;=2,   1,
  IF(P279&lt;=4,   2,
  IF(P279&lt;=5.5, 3, 4))))</f>
        <v/>
      </c>
      <c r="S279" s="147" t="str">
        <f t="shared" ca="1" si="568"/>
        <v/>
      </c>
      <c r="T279" s="147" t="str">
        <f t="shared" ca="1" si="520"/>
        <v>No Data</v>
      </c>
      <c r="U279" s="147">
        <f t="shared" si="558"/>
        <v>1</v>
      </c>
      <c r="V279" s="147"/>
    </row>
    <row r="280" spans="1:22">
      <c r="A280" s="157" t="s">
        <v>709</v>
      </c>
      <c r="B280" s="3" t="s">
        <v>710</v>
      </c>
      <c r="C280" s="160" t="s">
        <v>76</v>
      </c>
      <c r="D280" s="160" t="s">
        <v>869</v>
      </c>
      <c r="E280" s="3" t="s">
        <v>21</v>
      </c>
      <c r="F280" s="3" t="s">
        <v>926</v>
      </c>
      <c r="G280" s="3" t="s">
        <v>926</v>
      </c>
      <c r="H280" s="156" t="str">
        <f ca="1">IFERROR(
  _xludf.MINIFS(ATTENDANCE_LOG!$F:$F,
         ATTENDANCE_LOG!$A:$A, C280,
         ATTENDANCE_LOG!$B:$B, E280),
"")</f>
        <v/>
      </c>
      <c r="I280" s="3">
        <f>IFERROR(VLOOKUP(F280, LEVEL_HELPER!$A:$B, 2, 0), "")</f>
        <v>1</v>
      </c>
      <c r="J280" s="3">
        <f>IFERROR(VLOOKUP(G280, LEVEL_HELPER!$A:$B, 2, 0), "")</f>
        <v>1</v>
      </c>
      <c r="K280" s="3">
        <f t="shared" ref="K280:L280" si="569">IF(OR(I280="", I280=0), "",
  IF(I280&lt;=2,   1,
  IF(I280&lt;=4,   2,
  IF(I280&lt;=5.5, 3, 4))))</f>
        <v>1</v>
      </c>
      <c r="L280" s="3">
        <f t="shared" si="569"/>
        <v>1</v>
      </c>
      <c r="M280" s="3" t="str">
        <f t="shared" si="516"/>
        <v>No Progress</v>
      </c>
      <c r="N280" s="157" t="s">
        <v>942</v>
      </c>
      <c r="O280" s="157" t="s">
        <v>922</v>
      </c>
      <c r="P280" s="3" t="str">
        <f t="shared" ca="1" si="517"/>
        <v/>
      </c>
      <c r="Q280" s="147" t="str">
        <f t="shared" ca="1" si="518"/>
        <v/>
      </c>
      <c r="R280" s="147" t="str">
        <f t="shared" ref="R280:S280" ca="1" si="570">IF(OR(P280="", P280=0), "",
  IF(P280&lt;=2,   1,
  IF(P280&lt;=4,   2,
  IF(P280&lt;=5.5, 3, 4))))</f>
        <v/>
      </c>
      <c r="S280" s="147" t="str">
        <f t="shared" ca="1" si="570"/>
        <v/>
      </c>
      <c r="T280" s="147" t="str">
        <f t="shared" ca="1" si="520"/>
        <v>No Data</v>
      </c>
      <c r="U280" s="147">
        <f t="shared" si="558"/>
        <v>1</v>
      </c>
      <c r="V280" s="147"/>
    </row>
    <row r="281" spans="1:22">
      <c r="A281" s="157" t="s">
        <v>210</v>
      </c>
      <c r="B281" s="3" t="s">
        <v>211</v>
      </c>
      <c r="C281" s="160" t="s">
        <v>76</v>
      </c>
      <c r="D281" s="160" t="s">
        <v>869</v>
      </c>
      <c r="E281" s="3" t="s">
        <v>22</v>
      </c>
      <c r="F281" s="3" t="s">
        <v>916</v>
      </c>
      <c r="G281" s="3" t="s">
        <v>917</v>
      </c>
      <c r="H281" s="156" t="str">
        <f ca="1">IFERROR(
  _xludf.MINIFS(ATTENDANCE_LOG!$F:$F,
         ATTENDANCE_LOG!$A:$A, C281,
         ATTENDANCE_LOG!$B:$B, E281),
"")</f>
        <v/>
      </c>
      <c r="I281" s="3">
        <f>IFERROR(VLOOKUP(F281, LEVEL_HELPER!$A:$B, 2, 0), "")</f>
        <v>2.5</v>
      </c>
      <c r="J281" s="3">
        <f>IFERROR(VLOOKUP(G281, LEVEL_HELPER!$A:$B, 2, 0), "")</f>
        <v>3</v>
      </c>
      <c r="K281" s="3">
        <f t="shared" ref="K281:L281" si="571">IF(OR(I281="", I281=0), "",
  IF(I281&lt;=2,   1,
  IF(I281&lt;=4,   2,
  IF(I281&lt;=5.5, 3, 4))))</f>
        <v>2</v>
      </c>
      <c r="L281" s="3">
        <f t="shared" si="571"/>
        <v>2</v>
      </c>
      <c r="M281" s="3" t="str">
        <f t="shared" si="516"/>
        <v>Progress within level</v>
      </c>
      <c r="N281" s="157" t="s">
        <v>942</v>
      </c>
      <c r="O281" s="157" t="s">
        <v>922</v>
      </c>
      <c r="P281" s="3" t="str">
        <f t="shared" ca="1" si="517"/>
        <v/>
      </c>
      <c r="Q281" s="147" t="str">
        <f t="shared" ca="1" si="518"/>
        <v/>
      </c>
      <c r="R281" s="147" t="str">
        <f t="shared" ref="R281:S281" ca="1" si="572">IF(OR(P281="", P281=0), "",
  IF(P281&lt;=2,   1,
  IF(P281&lt;=4,   2,
  IF(P281&lt;=5.5, 3, 4))))</f>
        <v/>
      </c>
      <c r="S281" s="147" t="str">
        <f t="shared" ca="1" si="572"/>
        <v/>
      </c>
      <c r="T281" s="147" t="str">
        <f t="shared" ca="1" si="520"/>
        <v>No Data</v>
      </c>
      <c r="U281" s="147">
        <f t="shared" si="558"/>
        <v>0</v>
      </c>
      <c r="V281" s="147"/>
    </row>
    <row r="282" spans="1:22">
      <c r="A282" s="176" t="s">
        <v>651</v>
      </c>
      <c r="B282" s="154" t="s">
        <v>652</v>
      </c>
      <c r="C282" s="155" t="s">
        <v>76</v>
      </c>
      <c r="D282" s="155" t="s">
        <v>869</v>
      </c>
      <c r="E282" s="154" t="s">
        <v>22</v>
      </c>
      <c r="F282" s="3" t="s">
        <v>917</v>
      </c>
      <c r="G282" s="3"/>
      <c r="H282" s="156" t="str">
        <f ca="1">IFERROR(
  _xludf.MINIFS(ATTENDANCE_LOG!$F:$F,
         ATTENDANCE_LOG!$A:$A, C282,
         ATTENDANCE_LOG!$B:$B, E282),
"")</f>
        <v/>
      </c>
      <c r="I282" s="3">
        <f>IFERROR(VLOOKUP(F282, LEVEL_HELPER!$A:$B, 2, 0), "")</f>
        <v>3</v>
      </c>
      <c r="J282" s="3" t="str">
        <f>IFERROR(VLOOKUP(G282, LEVEL_HELPER!$A:$B, 2, 0), "")</f>
        <v/>
      </c>
      <c r="K282" s="3">
        <f t="shared" ref="K282:L282" si="573">IF(OR(I282="", I282=0), "",
  IF(I282&lt;=2,   1,
  IF(I282&lt;=4,   2,
  IF(I282&lt;=5.5, 3, 4))))</f>
        <v>2</v>
      </c>
      <c r="L282" s="3" t="str">
        <f t="shared" si="573"/>
        <v/>
      </c>
      <c r="M282" s="3" t="str">
        <f t="shared" si="516"/>
        <v>No Data</v>
      </c>
      <c r="N282" s="157" t="s">
        <v>918</v>
      </c>
      <c r="O282" s="157" t="s">
        <v>922</v>
      </c>
      <c r="P282" s="3" t="str">
        <f t="shared" ca="1" si="517"/>
        <v/>
      </c>
      <c r="Q282" s="147" t="str">
        <f t="shared" ca="1" si="518"/>
        <v/>
      </c>
      <c r="R282" s="147" t="str">
        <f t="shared" ref="R282:S282" ca="1" si="574">IF(OR(P282="", P282=0), "",
  IF(P282&lt;=2,   1,
  IF(P282&lt;=4,   2,
  IF(P282&lt;=5.5, 3, 4))))</f>
        <v/>
      </c>
      <c r="S282" s="147" t="str">
        <f t="shared" ca="1" si="574"/>
        <v/>
      </c>
      <c r="T282" s="147" t="str">
        <f t="shared" ca="1" si="520"/>
        <v>No Data</v>
      </c>
      <c r="U282" s="147">
        <f t="shared" si="558"/>
        <v>0</v>
      </c>
      <c r="V282" s="147"/>
    </row>
    <row r="283" spans="1:22">
      <c r="A283" s="157" t="s">
        <v>228</v>
      </c>
      <c r="B283" s="3" t="s">
        <v>229</v>
      </c>
      <c r="C283" s="160" t="s">
        <v>76</v>
      </c>
      <c r="D283" s="160" t="s">
        <v>869</v>
      </c>
      <c r="E283" s="3" t="s">
        <v>22</v>
      </c>
      <c r="F283" s="3" t="s">
        <v>917</v>
      </c>
      <c r="G283" s="3"/>
      <c r="H283" s="156" t="str">
        <f ca="1">IFERROR(
  _xludf.MINIFS(ATTENDANCE_LOG!$F:$F,
         ATTENDANCE_LOG!$A:$A, C283,
         ATTENDANCE_LOG!$B:$B, E283),
"")</f>
        <v/>
      </c>
      <c r="I283" s="3">
        <f>IFERROR(VLOOKUP(F283, LEVEL_HELPER!$A:$B, 2, 0), "")</f>
        <v>3</v>
      </c>
      <c r="J283" s="3" t="str">
        <f>IFERROR(VLOOKUP(G283, LEVEL_HELPER!$A:$B, 2, 0), "")</f>
        <v/>
      </c>
      <c r="K283" s="3">
        <f t="shared" ref="K283:L283" si="575">IF(OR(I283="", I283=0), "",
  IF(I283&lt;=2,   1,
  IF(I283&lt;=4,   2,
  IF(I283&lt;=5.5, 3, 4))))</f>
        <v>2</v>
      </c>
      <c r="L283" s="3" t="str">
        <f t="shared" si="575"/>
        <v/>
      </c>
      <c r="M283" s="3" t="str">
        <f t="shared" si="516"/>
        <v>No Data</v>
      </c>
      <c r="N283" s="157" t="s">
        <v>942</v>
      </c>
      <c r="O283" s="157" t="s">
        <v>922</v>
      </c>
      <c r="P283" s="3" t="str">
        <f t="shared" ca="1" si="517"/>
        <v/>
      </c>
      <c r="Q283" s="147" t="str">
        <f t="shared" ca="1" si="518"/>
        <v/>
      </c>
      <c r="R283" s="147" t="str">
        <f t="shared" ref="R283:S283" ca="1" si="576">IF(OR(P283="", P283=0), "",
  IF(P283&lt;=2,   1,
  IF(P283&lt;=4,   2,
  IF(P283&lt;=5.5, 3, 4))))</f>
        <v/>
      </c>
      <c r="S283" s="147" t="str">
        <f t="shared" ca="1" si="576"/>
        <v/>
      </c>
      <c r="T283" s="147" t="str">
        <f t="shared" ca="1" si="520"/>
        <v>No Data</v>
      </c>
      <c r="U283" s="147">
        <f t="shared" si="558"/>
        <v>0</v>
      </c>
      <c r="V283" s="147"/>
    </row>
    <row r="284" spans="1:22">
      <c r="A284" s="157" t="s">
        <v>399</v>
      </c>
      <c r="B284" s="3" t="s">
        <v>400</v>
      </c>
      <c r="C284" s="160" t="s">
        <v>76</v>
      </c>
      <c r="D284" s="160" t="s">
        <v>869</v>
      </c>
      <c r="E284" s="3" t="s">
        <v>22</v>
      </c>
      <c r="F284" s="3" t="s">
        <v>934</v>
      </c>
      <c r="G284" s="3"/>
      <c r="H284" s="156" t="str">
        <f ca="1">IFERROR(
  _xludf.MINIFS(ATTENDANCE_LOG!$F:$F,
         ATTENDANCE_LOG!$A:$A, C284,
         ATTENDANCE_LOG!$B:$B, E284),
"")</f>
        <v/>
      </c>
      <c r="I284" s="3">
        <f>IFERROR(VLOOKUP(F284, LEVEL_HELPER!$A:$B, 2, 0), "")</f>
        <v>3.5</v>
      </c>
      <c r="J284" s="3" t="str">
        <f>IFERROR(VLOOKUP(G284, LEVEL_HELPER!$A:$B, 2, 0), "")</f>
        <v/>
      </c>
      <c r="K284" s="3">
        <f t="shared" ref="K284:L284" si="577">IF(OR(I284="", I284=0), "",
  IF(I284&lt;=2,   1,
  IF(I284&lt;=4,   2,
  IF(I284&lt;=5.5, 3, 4))))</f>
        <v>2</v>
      </c>
      <c r="L284" s="3" t="str">
        <f t="shared" si="577"/>
        <v/>
      </c>
      <c r="M284" s="3" t="str">
        <f t="shared" si="516"/>
        <v>No Data</v>
      </c>
      <c r="N284" s="157" t="s">
        <v>944</v>
      </c>
      <c r="O284" s="157" t="s">
        <v>922</v>
      </c>
      <c r="P284" s="3" t="str">
        <f t="shared" ca="1" si="517"/>
        <v/>
      </c>
      <c r="Q284" s="147" t="str">
        <f t="shared" ca="1" si="518"/>
        <v/>
      </c>
      <c r="R284" s="147" t="str">
        <f t="shared" ref="R284:S284" ca="1" si="578">IF(OR(P284="", P284=0), "",
  IF(P284&lt;=2,   1,
  IF(P284&lt;=4,   2,
  IF(P284&lt;=5.5, 3, 4))))</f>
        <v/>
      </c>
      <c r="S284" s="147" t="str">
        <f t="shared" ca="1" si="578"/>
        <v/>
      </c>
      <c r="T284" s="147" t="str">
        <f t="shared" ca="1" si="520"/>
        <v>No Data</v>
      </c>
      <c r="U284" s="147">
        <f t="shared" si="558"/>
        <v>0</v>
      </c>
      <c r="V284" s="147"/>
    </row>
    <row r="285" spans="1:22" ht="14.25" customHeight="1">
      <c r="A285" s="157" t="s">
        <v>534</v>
      </c>
      <c r="B285" s="3" t="s">
        <v>535</v>
      </c>
      <c r="C285" s="160" t="s">
        <v>76</v>
      </c>
      <c r="D285" s="160" t="s">
        <v>869</v>
      </c>
      <c r="E285" s="3" t="s">
        <v>22</v>
      </c>
      <c r="F285" s="3" t="s">
        <v>917</v>
      </c>
      <c r="G285" s="3"/>
      <c r="H285" s="156" t="str">
        <f ca="1">IFERROR(
  _xludf.MINIFS(ATTENDANCE_LOG!$F:$F,
         ATTENDANCE_LOG!$A:$A, C285,
         ATTENDANCE_LOG!$B:$B, E285),
"")</f>
        <v/>
      </c>
      <c r="I285" s="3">
        <f>IFERROR(VLOOKUP(F285, LEVEL_HELPER!$A:$B, 2, 0), "")</f>
        <v>3</v>
      </c>
      <c r="J285" s="3" t="str">
        <f>IFERROR(VLOOKUP(G285, LEVEL_HELPER!$A:$B, 2, 0), "")</f>
        <v/>
      </c>
      <c r="K285" s="3">
        <f t="shared" ref="K285:L285" si="579">IF(OR(I285="", I285=0), "",
  IF(I285&lt;=2,   1,
  IF(I285&lt;=4,   2,
  IF(I285&lt;=5.5, 3, 4))))</f>
        <v>2</v>
      </c>
      <c r="L285" s="3" t="str">
        <f t="shared" si="579"/>
        <v/>
      </c>
      <c r="M285" s="3" t="str">
        <f t="shared" si="516"/>
        <v>No Data</v>
      </c>
      <c r="N285" s="157" t="s">
        <v>918</v>
      </c>
      <c r="O285" s="157" t="s">
        <v>922</v>
      </c>
      <c r="P285" s="3" t="str">
        <f t="shared" ca="1" si="517"/>
        <v/>
      </c>
      <c r="Q285" s="147" t="str">
        <f t="shared" ca="1" si="518"/>
        <v/>
      </c>
      <c r="R285" s="147" t="str">
        <f t="shared" ref="R285:S285" ca="1" si="580">IF(OR(P285="", P285=0), "",
  IF(P285&lt;=2,   1,
  IF(P285&lt;=4,   2,
  IF(P285&lt;=5.5, 3, 4))))</f>
        <v/>
      </c>
      <c r="S285" s="147" t="str">
        <f t="shared" ca="1" si="580"/>
        <v/>
      </c>
      <c r="T285" s="147" t="str">
        <f t="shared" ca="1" si="520"/>
        <v>No Data</v>
      </c>
      <c r="U285" s="147">
        <f t="shared" si="558"/>
        <v>0</v>
      </c>
      <c r="V285" s="147"/>
    </row>
    <row r="286" spans="1:22">
      <c r="A286" s="157" t="s">
        <v>595</v>
      </c>
      <c r="B286" s="3" t="s">
        <v>596</v>
      </c>
      <c r="C286" s="160" t="s">
        <v>76</v>
      </c>
      <c r="D286" s="160" t="s">
        <v>869</v>
      </c>
      <c r="E286" s="3" t="s">
        <v>22</v>
      </c>
      <c r="F286" s="3" t="s">
        <v>926</v>
      </c>
      <c r="G286" s="3"/>
      <c r="H286" s="156" t="str">
        <f ca="1">IFERROR(
  _xludf.MINIFS(ATTENDANCE_LOG!$F:$F,
         ATTENDANCE_LOG!$A:$A, C286,
         ATTENDANCE_LOG!$B:$B, E286),
"")</f>
        <v/>
      </c>
      <c r="I286" s="3">
        <f>IFERROR(VLOOKUP(F286, LEVEL_HELPER!$A:$B, 2, 0), "")</f>
        <v>1</v>
      </c>
      <c r="J286" s="3" t="str">
        <f>IFERROR(VLOOKUP(G286, LEVEL_HELPER!$A:$B, 2, 0), "")</f>
        <v/>
      </c>
      <c r="K286" s="3">
        <f t="shared" ref="K286:L286" si="581">IF(OR(I286="", I286=0), "",
  IF(I286&lt;=2,   1,
  IF(I286&lt;=4,   2,
  IF(I286&lt;=5.5, 3, 4))))</f>
        <v>1</v>
      </c>
      <c r="L286" s="3" t="str">
        <f t="shared" si="581"/>
        <v/>
      </c>
      <c r="M286" s="3" t="str">
        <f t="shared" si="516"/>
        <v>No Data</v>
      </c>
      <c r="N286" s="157" t="s">
        <v>942</v>
      </c>
      <c r="O286" s="157" t="s">
        <v>922</v>
      </c>
      <c r="P286" s="3" t="str">
        <f t="shared" ca="1" si="517"/>
        <v/>
      </c>
      <c r="Q286" s="147" t="str">
        <f t="shared" ca="1" si="518"/>
        <v/>
      </c>
      <c r="R286" s="147" t="str">
        <f t="shared" ref="R286:S286" ca="1" si="582">IF(OR(P286="", P286=0), "",
  IF(P286&lt;=2,   1,
  IF(P286&lt;=4,   2,
  IF(P286&lt;=5.5, 3, 4))))</f>
        <v/>
      </c>
      <c r="S286" s="147" t="str">
        <f t="shared" ca="1" si="582"/>
        <v/>
      </c>
      <c r="T286" s="147" t="str">
        <f t="shared" ca="1" si="520"/>
        <v>No Data</v>
      </c>
      <c r="U286" s="147">
        <f t="shared" si="558"/>
        <v>0</v>
      </c>
      <c r="V286" s="147"/>
    </row>
    <row r="287" spans="1:22">
      <c r="A287" s="157" t="s">
        <v>615</v>
      </c>
      <c r="B287" s="3" t="s">
        <v>616</v>
      </c>
      <c r="C287" s="160" t="s">
        <v>76</v>
      </c>
      <c r="D287" s="160" t="s">
        <v>869</v>
      </c>
      <c r="E287" s="3" t="s">
        <v>22</v>
      </c>
      <c r="F287" s="3" t="s">
        <v>934</v>
      </c>
      <c r="G287" s="3"/>
      <c r="H287" s="156" t="str">
        <f ca="1">IFERROR(
  _xludf.MINIFS(ATTENDANCE_LOG!$F:$F,
         ATTENDANCE_LOG!$A:$A, C287,
         ATTENDANCE_LOG!$B:$B, E287),
"")</f>
        <v/>
      </c>
      <c r="I287" s="3">
        <f>IFERROR(VLOOKUP(F287, LEVEL_HELPER!$A:$B, 2, 0), "")</f>
        <v>3.5</v>
      </c>
      <c r="J287" s="3" t="str">
        <f>IFERROR(VLOOKUP(G287, LEVEL_HELPER!$A:$B, 2, 0), "")</f>
        <v/>
      </c>
      <c r="K287" s="3">
        <f t="shared" ref="K287:L287" si="583">IF(OR(I287="", I287=0), "",
  IF(I287&lt;=2,   1,
  IF(I287&lt;=4,   2,
  IF(I287&lt;=5.5, 3, 4))))</f>
        <v>2</v>
      </c>
      <c r="L287" s="3" t="str">
        <f t="shared" si="583"/>
        <v/>
      </c>
      <c r="M287" s="3" t="str">
        <f t="shared" si="516"/>
        <v>No Data</v>
      </c>
      <c r="N287" s="157" t="s">
        <v>918</v>
      </c>
      <c r="O287" s="157" t="s">
        <v>922</v>
      </c>
      <c r="P287" s="3" t="str">
        <f t="shared" ca="1" si="517"/>
        <v/>
      </c>
      <c r="Q287" s="147" t="str">
        <f t="shared" ca="1" si="518"/>
        <v/>
      </c>
      <c r="R287" s="147" t="str">
        <f t="shared" ref="R287:S287" ca="1" si="584">IF(OR(P287="", P287=0), "",
  IF(P287&lt;=2,   1,
  IF(P287&lt;=4,   2,
  IF(P287&lt;=5.5, 3, 4))))</f>
        <v/>
      </c>
      <c r="S287" s="147" t="str">
        <f t="shared" ca="1" si="584"/>
        <v/>
      </c>
      <c r="T287" s="147" t="str">
        <f t="shared" ca="1" si="520"/>
        <v>No Data</v>
      </c>
      <c r="U287" s="147">
        <f t="shared" si="558"/>
        <v>0</v>
      </c>
      <c r="V287" s="147"/>
    </row>
    <row r="288" spans="1:22">
      <c r="A288" s="176" t="s">
        <v>421</v>
      </c>
      <c r="B288" s="154" t="s">
        <v>422</v>
      </c>
      <c r="C288" s="155" t="s">
        <v>77</v>
      </c>
      <c r="D288" s="155" t="s">
        <v>870</v>
      </c>
      <c r="E288" s="154" t="s">
        <v>21</v>
      </c>
      <c r="F288" s="3" t="s">
        <v>926</v>
      </c>
      <c r="G288" s="3" t="s">
        <v>917</v>
      </c>
      <c r="H288" s="156" t="str">
        <f ca="1">IFERROR(
  _xludf.MINIFS(ATTENDANCE_LOG!$F:$F,
         ATTENDANCE_LOG!$A:$A, C288,
         ATTENDANCE_LOG!$B:$B, E288),
"")</f>
        <v/>
      </c>
      <c r="I288" s="3">
        <f>IFERROR(VLOOKUP(F288, LEVEL_HELPER!$A:$B, 2, 0), "")</f>
        <v>1</v>
      </c>
      <c r="J288" s="3">
        <f>IFERROR(VLOOKUP(G288, LEVEL_HELPER!$A:$B, 2, 0), "")</f>
        <v>3</v>
      </c>
      <c r="K288" s="3">
        <f t="shared" ref="K288:L288" si="585">IF(OR(I288="", I288=0), "",
  IF(I288&lt;=2,   1,
  IF(I288&lt;=4,   2,
  IF(I288&lt;=5.5, 3, 4))))</f>
        <v>1</v>
      </c>
      <c r="L288" s="3">
        <f t="shared" si="585"/>
        <v>2</v>
      </c>
      <c r="M288" s="3" t="str">
        <f t="shared" si="516"/>
        <v>Lv1 → Lv2</v>
      </c>
      <c r="N288" s="157" t="s">
        <v>930</v>
      </c>
      <c r="O288" s="157" t="s">
        <v>922</v>
      </c>
      <c r="P288" s="3" t="str">
        <f t="shared" ca="1" si="517"/>
        <v/>
      </c>
      <c r="Q288" s="147" t="str">
        <f t="shared" ca="1" si="518"/>
        <v/>
      </c>
      <c r="R288" s="147" t="str">
        <f t="shared" ref="R288:S288" ca="1" si="586">IF(OR(P288="", P288=0), "",
  IF(P288&lt;=2,   1,
  IF(P288&lt;=4,   2,
  IF(P288&lt;=5.5, 3, 4))))</f>
        <v/>
      </c>
      <c r="S288" s="147" t="str">
        <f t="shared" ca="1" si="586"/>
        <v/>
      </c>
      <c r="T288" s="147" t="str">
        <f t="shared" ca="1" si="520"/>
        <v>No Data</v>
      </c>
      <c r="U288" s="147">
        <f t="shared" si="558"/>
        <v>1</v>
      </c>
      <c r="V288" s="147"/>
    </row>
    <row r="289" spans="1:22">
      <c r="A289" s="157" t="s">
        <v>147</v>
      </c>
      <c r="B289" s="3" t="s">
        <v>148</v>
      </c>
      <c r="C289" s="160" t="s">
        <v>77</v>
      </c>
      <c r="D289" s="160" t="s">
        <v>870</v>
      </c>
      <c r="E289" s="3" t="s">
        <v>21</v>
      </c>
      <c r="F289" s="3" t="s">
        <v>926</v>
      </c>
      <c r="G289" s="3" t="s">
        <v>917</v>
      </c>
      <c r="H289" s="156" t="str">
        <f ca="1">IFERROR(
  _xludf.MINIFS(ATTENDANCE_LOG!$F:$F,
         ATTENDANCE_LOG!$A:$A, C289,
         ATTENDANCE_LOG!$B:$B, E289),
"")</f>
        <v/>
      </c>
      <c r="I289" s="3">
        <f>IFERROR(VLOOKUP(F289, LEVEL_HELPER!$A:$B, 2, 0), "")</f>
        <v>1</v>
      </c>
      <c r="J289" s="3">
        <f>IFERROR(VLOOKUP(G289, LEVEL_HELPER!$A:$B, 2, 0), "")</f>
        <v>3</v>
      </c>
      <c r="K289" s="3">
        <f t="shared" ref="K289:L289" si="587">IF(OR(I289="", I289=0), "",
  IF(I289&lt;=2,   1,
  IF(I289&lt;=4,   2,
  IF(I289&lt;=5.5, 3, 4))))</f>
        <v>1</v>
      </c>
      <c r="L289" s="3">
        <f t="shared" si="587"/>
        <v>2</v>
      </c>
      <c r="M289" s="3" t="str">
        <f t="shared" si="516"/>
        <v>Lv1 → Lv2</v>
      </c>
      <c r="N289" s="157" t="s">
        <v>930</v>
      </c>
      <c r="O289" s="157" t="s">
        <v>922</v>
      </c>
      <c r="P289" s="3" t="str">
        <f t="shared" ca="1" si="517"/>
        <v/>
      </c>
      <c r="Q289" s="147" t="str">
        <f t="shared" ca="1" si="518"/>
        <v/>
      </c>
      <c r="R289" s="147" t="str">
        <f t="shared" ref="R289:S289" ca="1" si="588">IF(OR(P289="", P289=0), "",
  IF(P289&lt;=2,   1,
  IF(P289&lt;=4,   2,
  IF(P289&lt;=5.5, 3, 4))))</f>
        <v/>
      </c>
      <c r="S289" s="147" t="str">
        <f t="shared" ca="1" si="588"/>
        <v/>
      </c>
      <c r="T289" s="147" t="str">
        <f t="shared" ca="1" si="520"/>
        <v>No Data</v>
      </c>
      <c r="U289" s="147">
        <f t="shared" si="558"/>
        <v>1</v>
      </c>
      <c r="V289" s="147"/>
    </row>
    <row r="290" spans="1:22">
      <c r="A290" s="157" t="s">
        <v>247</v>
      </c>
      <c r="B290" s="3" t="s">
        <v>248</v>
      </c>
      <c r="C290" s="160" t="s">
        <v>77</v>
      </c>
      <c r="D290" s="160" t="s">
        <v>870</v>
      </c>
      <c r="E290" s="3" t="s">
        <v>21</v>
      </c>
      <c r="F290" s="3" t="s">
        <v>926</v>
      </c>
      <c r="G290" s="3" t="s">
        <v>928</v>
      </c>
      <c r="H290" s="156" t="str">
        <f ca="1">IFERROR(
  _xludf.MINIFS(ATTENDANCE_LOG!$F:$F,
         ATTENDANCE_LOG!$A:$A, C290,
         ATTENDANCE_LOG!$B:$B, E290),
"")</f>
        <v/>
      </c>
      <c r="I290" s="3">
        <f>IFERROR(VLOOKUP(F290, LEVEL_HELPER!$A:$B, 2, 0), "")</f>
        <v>1</v>
      </c>
      <c r="J290" s="3">
        <f>IFERROR(VLOOKUP(G290, LEVEL_HELPER!$A:$B, 2, 0), "")</f>
        <v>1.5</v>
      </c>
      <c r="K290" s="3">
        <f t="shared" ref="K290:L290" si="589">IF(OR(I290="", I290=0), "",
  IF(I290&lt;=2,   1,
  IF(I290&lt;=4,   2,
  IF(I290&lt;=5.5, 3, 4))))</f>
        <v>1</v>
      </c>
      <c r="L290" s="3">
        <f t="shared" si="589"/>
        <v>1</v>
      </c>
      <c r="M290" s="3" t="str">
        <f t="shared" si="516"/>
        <v>Progress within level</v>
      </c>
      <c r="N290" s="157" t="s">
        <v>930</v>
      </c>
      <c r="O290" s="157" t="s">
        <v>922</v>
      </c>
      <c r="P290" s="3" t="str">
        <f t="shared" ca="1" si="517"/>
        <v/>
      </c>
      <c r="Q290" s="147" t="str">
        <f t="shared" ca="1" si="518"/>
        <v/>
      </c>
      <c r="R290" s="147" t="str">
        <f t="shared" ref="R290:S290" ca="1" si="590">IF(OR(P290="", P290=0), "",
  IF(P290&lt;=2,   1,
  IF(P290&lt;=4,   2,
  IF(P290&lt;=5.5, 3, 4))))</f>
        <v/>
      </c>
      <c r="S290" s="147" t="str">
        <f t="shared" ca="1" si="590"/>
        <v/>
      </c>
      <c r="T290" s="147" t="str">
        <f t="shared" ca="1" si="520"/>
        <v>No Data</v>
      </c>
      <c r="U290" s="147">
        <f t="shared" si="558"/>
        <v>0</v>
      </c>
      <c r="V290" s="147"/>
    </row>
    <row r="291" spans="1:22">
      <c r="A291" s="157" t="s">
        <v>255</v>
      </c>
      <c r="B291" s="3" t="s">
        <v>256</v>
      </c>
      <c r="C291" s="160" t="s">
        <v>77</v>
      </c>
      <c r="D291" s="160" t="s">
        <v>870</v>
      </c>
      <c r="E291" s="3" t="s">
        <v>21</v>
      </c>
      <c r="F291" s="3" t="s">
        <v>926</v>
      </c>
      <c r="G291" s="3" t="s">
        <v>917</v>
      </c>
      <c r="H291" s="156" t="str">
        <f ca="1">IFERROR(
  _xludf.MINIFS(ATTENDANCE_LOG!$F:$F,
         ATTENDANCE_LOG!$A:$A, C291,
         ATTENDANCE_LOG!$B:$B, E291),
"")</f>
        <v/>
      </c>
      <c r="I291" s="3">
        <f>IFERROR(VLOOKUP(F291, LEVEL_HELPER!$A:$B, 2, 0), "")</f>
        <v>1</v>
      </c>
      <c r="J291" s="3">
        <f>IFERROR(VLOOKUP(G291, LEVEL_HELPER!$A:$B, 2, 0), "")</f>
        <v>3</v>
      </c>
      <c r="K291" s="3">
        <f t="shared" ref="K291:L291" si="591">IF(OR(I291="", I291=0), "",
  IF(I291&lt;=2,   1,
  IF(I291&lt;=4,   2,
  IF(I291&lt;=5.5, 3, 4))))</f>
        <v>1</v>
      </c>
      <c r="L291" s="3">
        <f t="shared" si="591"/>
        <v>2</v>
      </c>
      <c r="M291" s="3" t="str">
        <f t="shared" si="516"/>
        <v>Lv1 → Lv2</v>
      </c>
      <c r="N291" s="157" t="s">
        <v>930</v>
      </c>
      <c r="O291" s="157" t="s">
        <v>922</v>
      </c>
      <c r="P291" s="3" t="str">
        <f t="shared" ca="1" si="517"/>
        <v/>
      </c>
      <c r="Q291" s="147" t="str">
        <f t="shared" ca="1" si="518"/>
        <v/>
      </c>
      <c r="R291" s="147" t="str">
        <f t="shared" ref="R291:S291" ca="1" si="592">IF(OR(P291="", P291=0), "",
  IF(P291&lt;=2,   1,
  IF(P291&lt;=4,   2,
  IF(P291&lt;=5.5, 3, 4))))</f>
        <v/>
      </c>
      <c r="S291" s="147" t="str">
        <f t="shared" ca="1" si="592"/>
        <v/>
      </c>
      <c r="T291" s="147" t="str">
        <f t="shared" ca="1" si="520"/>
        <v>No Data</v>
      </c>
      <c r="U291" s="147">
        <f t="shared" si="558"/>
        <v>1</v>
      </c>
      <c r="V291" s="147"/>
    </row>
    <row r="292" spans="1:22">
      <c r="A292" s="157" t="s">
        <v>273</v>
      </c>
      <c r="B292" s="3" t="s">
        <v>274</v>
      </c>
      <c r="C292" s="160" t="s">
        <v>77</v>
      </c>
      <c r="D292" s="160" t="s">
        <v>870</v>
      </c>
      <c r="E292" s="3" t="s">
        <v>21</v>
      </c>
      <c r="F292" s="3"/>
      <c r="G292" s="3"/>
      <c r="H292" s="156" t="str">
        <f ca="1">IFERROR(
  _xludf.MINIFS(ATTENDANCE_LOG!$F:$F,
         ATTENDANCE_LOG!$A:$A, C292,
         ATTENDANCE_LOG!$B:$B, E292),
"")</f>
        <v/>
      </c>
      <c r="I292" s="3" t="str">
        <f>IFERROR(VLOOKUP(F292, LEVEL_HELPER!$A:$B, 2, 0), "")</f>
        <v/>
      </c>
      <c r="J292" s="3" t="str">
        <f>IFERROR(VLOOKUP(G292, LEVEL_HELPER!$A:$B, 2, 0), "")</f>
        <v/>
      </c>
      <c r="K292" s="3" t="str">
        <f t="shared" ref="K292:L292" si="593">IF(OR(I292="", I292=0), "",
  IF(I292&lt;=2,   1,
  IF(I292&lt;=4,   2,
  IF(I292&lt;=5.5, 3, 4))))</f>
        <v/>
      </c>
      <c r="L292" s="3" t="str">
        <f t="shared" si="593"/>
        <v/>
      </c>
      <c r="M292" s="3" t="str">
        <f t="shared" si="516"/>
        <v>No Data</v>
      </c>
      <c r="N292" s="157" t="s">
        <v>930</v>
      </c>
      <c r="O292" s="157" t="s">
        <v>922</v>
      </c>
      <c r="P292" s="3" t="str">
        <f t="shared" ca="1" si="517"/>
        <v/>
      </c>
      <c r="Q292" s="147" t="str">
        <f t="shared" ca="1" si="518"/>
        <v/>
      </c>
      <c r="R292" s="147" t="str">
        <f t="shared" ref="R292:S292" ca="1" si="594">IF(OR(P292="", P292=0), "",
  IF(P292&lt;=2,   1,
  IF(P292&lt;=4,   2,
  IF(P292&lt;=5.5, 3, 4))))</f>
        <v/>
      </c>
      <c r="S292" s="147" t="str">
        <f t="shared" ca="1" si="594"/>
        <v/>
      </c>
      <c r="T292" s="147" t="str">
        <f t="shared" ca="1" si="520"/>
        <v>No Data</v>
      </c>
      <c r="U292" s="147">
        <f t="shared" si="558"/>
        <v>1</v>
      </c>
      <c r="V292" s="147"/>
    </row>
    <row r="293" spans="1:22">
      <c r="A293" s="157" t="s">
        <v>302</v>
      </c>
      <c r="B293" s="3" t="s">
        <v>303</v>
      </c>
      <c r="C293" s="160" t="s">
        <v>77</v>
      </c>
      <c r="D293" s="160" t="s">
        <v>870</v>
      </c>
      <c r="E293" s="3" t="s">
        <v>21</v>
      </c>
      <c r="F293" s="3"/>
      <c r="G293" s="3"/>
      <c r="H293" s="156" t="str">
        <f ca="1">IFERROR(
  _xludf.MINIFS(ATTENDANCE_LOG!$F:$F,
         ATTENDANCE_LOG!$A:$A, C293,
         ATTENDANCE_LOG!$B:$B, E293),
"")</f>
        <v/>
      </c>
      <c r="I293" s="3" t="str">
        <f>IFERROR(VLOOKUP(F293, LEVEL_HELPER!$A:$B, 2, 0), "")</f>
        <v/>
      </c>
      <c r="J293" s="3" t="str">
        <f>IFERROR(VLOOKUP(G293, LEVEL_HELPER!$A:$B, 2, 0), "")</f>
        <v/>
      </c>
      <c r="K293" s="3" t="str">
        <f t="shared" ref="K293:L293" si="595">IF(OR(I293="", I293=0), "",
  IF(I293&lt;=2,   1,
  IF(I293&lt;=4,   2,
  IF(I293&lt;=5.5, 3, 4))))</f>
        <v/>
      </c>
      <c r="L293" s="3" t="str">
        <f t="shared" si="595"/>
        <v/>
      </c>
      <c r="M293" s="3" t="str">
        <f t="shared" si="516"/>
        <v>No Data</v>
      </c>
      <c r="N293" s="157" t="s">
        <v>946</v>
      </c>
      <c r="O293" s="157" t="s">
        <v>922</v>
      </c>
      <c r="P293" s="3" t="str">
        <f t="shared" ca="1" si="517"/>
        <v/>
      </c>
      <c r="Q293" s="147" t="str">
        <f t="shared" ca="1" si="518"/>
        <v/>
      </c>
      <c r="R293" s="147" t="str">
        <f t="shared" ref="R293:S293" ca="1" si="596">IF(OR(P293="", P293=0), "",
  IF(P293&lt;=2,   1,
  IF(P293&lt;=4,   2,
  IF(P293&lt;=5.5, 3, 4))))</f>
        <v/>
      </c>
      <c r="S293" s="147" t="str">
        <f t="shared" ca="1" si="596"/>
        <v/>
      </c>
      <c r="T293" s="147" t="str">
        <f t="shared" ca="1" si="520"/>
        <v>No Data</v>
      </c>
      <c r="U293" s="147">
        <f t="shared" si="558"/>
        <v>1</v>
      </c>
      <c r="V293" s="147"/>
    </row>
    <row r="294" spans="1:22">
      <c r="A294" s="157" t="s">
        <v>494</v>
      </c>
      <c r="B294" s="3" t="s">
        <v>495</v>
      </c>
      <c r="C294" s="160" t="s">
        <v>77</v>
      </c>
      <c r="D294" s="160" t="s">
        <v>870</v>
      </c>
      <c r="E294" s="3" t="s">
        <v>21</v>
      </c>
      <c r="F294" s="3" t="s">
        <v>926</v>
      </c>
      <c r="G294" s="3" t="s">
        <v>917</v>
      </c>
      <c r="H294" s="156" t="str">
        <f ca="1">IFERROR(
  _xludf.MINIFS(ATTENDANCE_LOG!$F:$F,
         ATTENDANCE_LOG!$A:$A, C294,
         ATTENDANCE_LOG!$B:$B, E294),
"")</f>
        <v/>
      </c>
      <c r="I294" s="3">
        <f>IFERROR(VLOOKUP(F294, LEVEL_HELPER!$A:$B, 2, 0), "")</f>
        <v>1</v>
      </c>
      <c r="J294" s="3">
        <f>IFERROR(VLOOKUP(G294, LEVEL_HELPER!$A:$B, 2, 0), "")</f>
        <v>3</v>
      </c>
      <c r="K294" s="3">
        <f t="shared" ref="K294:L294" si="597">IF(OR(I294="", I294=0), "",
  IF(I294&lt;=2,   1,
  IF(I294&lt;=4,   2,
  IF(I294&lt;=5.5, 3, 4))))</f>
        <v>1</v>
      </c>
      <c r="L294" s="3">
        <f t="shared" si="597"/>
        <v>2</v>
      </c>
      <c r="M294" s="3" t="str">
        <f t="shared" si="516"/>
        <v>Lv1 → Lv2</v>
      </c>
      <c r="N294" s="157" t="s">
        <v>930</v>
      </c>
      <c r="O294" s="157" t="s">
        <v>922</v>
      </c>
      <c r="P294" s="3" t="str">
        <f t="shared" ca="1" si="517"/>
        <v/>
      </c>
      <c r="Q294" s="147" t="str">
        <f t="shared" ca="1" si="518"/>
        <v/>
      </c>
      <c r="R294" s="147" t="str">
        <f t="shared" ref="R294:S294" ca="1" si="598">IF(OR(P294="", P294=0), "",
  IF(P294&lt;=2,   1,
  IF(P294&lt;=4,   2,
  IF(P294&lt;=5.5, 3, 4))))</f>
        <v/>
      </c>
      <c r="S294" s="147" t="str">
        <f t="shared" ca="1" si="598"/>
        <v/>
      </c>
      <c r="T294" s="147" t="str">
        <f t="shared" ca="1" si="520"/>
        <v>No Data</v>
      </c>
      <c r="U294" s="147">
        <f t="shared" si="558"/>
        <v>1</v>
      </c>
      <c r="V294" s="147"/>
    </row>
    <row r="295" spans="1:22">
      <c r="A295" s="157" t="s">
        <v>498</v>
      </c>
      <c r="B295" s="3" t="s">
        <v>499</v>
      </c>
      <c r="C295" s="160" t="s">
        <v>77</v>
      </c>
      <c r="D295" s="160" t="s">
        <v>870</v>
      </c>
      <c r="E295" s="3" t="s">
        <v>21</v>
      </c>
      <c r="F295" s="3" t="s">
        <v>926</v>
      </c>
      <c r="G295" s="3" t="s">
        <v>928</v>
      </c>
      <c r="H295" s="156" t="str">
        <f ca="1">IFERROR(
  _xludf.MINIFS(ATTENDANCE_LOG!$F:$F,
         ATTENDANCE_LOG!$A:$A, C295,
         ATTENDANCE_LOG!$B:$B, E295),
"")</f>
        <v/>
      </c>
      <c r="I295" s="3">
        <f>IFERROR(VLOOKUP(F295, LEVEL_HELPER!$A:$B, 2, 0), "")</f>
        <v>1</v>
      </c>
      <c r="J295" s="3">
        <f>IFERROR(VLOOKUP(G295, LEVEL_HELPER!$A:$B, 2, 0), "")</f>
        <v>1.5</v>
      </c>
      <c r="K295" s="3">
        <f t="shared" ref="K295:L295" si="599">IF(OR(I295="", I295=0), "",
  IF(I295&lt;=2,   1,
  IF(I295&lt;=4,   2,
  IF(I295&lt;=5.5, 3, 4))))</f>
        <v>1</v>
      </c>
      <c r="L295" s="3">
        <f t="shared" si="599"/>
        <v>1</v>
      </c>
      <c r="M295" s="3" t="str">
        <f t="shared" si="516"/>
        <v>Progress within level</v>
      </c>
      <c r="N295" s="157" t="s">
        <v>930</v>
      </c>
      <c r="O295" s="157" t="s">
        <v>922</v>
      </c>
      <c r="P295" s="3" t="str">
        <f t="shared" ca="1" si="517"/>
        <v/>
      </c>
      <c r="Q295" s="147" t="str">
        <f t="shared" ca="1" si="518"/>
        <v/>
      </c>
      <c r="R295" s="147" t="str">
        <f t="shared" ref="R295:S295" ca="1" si="600">IF(OR(P295="", P295=0), "",
  IF(P295&lt;=2,   1,
  IF(P295&lt;=4,   2,
  IF(P295&lt;=5.5, 3, 4))))</f>
        <v/>
      </c>
      <c r="S295" s="147" t="str">
        <f t="shared" ca="1" si="600"/>
        <v/>
      </c>
      <c r="T295" s="147" t="str">
        <f t="shared" ca="1" si="520"/>
        <v>No Data</v>
      </c>
      <c r="U295" s="147">
        <f t="shared" si="558"/>
        <v>1</v>
      </c>
      <c r="V295" s="147"/>
    </row>
    <row r="296" spans="1:22">
      <c r="A296" s="157" t="s">
        <v>566</v>
      </c>
      <c r="B296" s="3" t="s">
        <v>567</v>
      </c>
      <c r="C296" s="160" t="s">
        <v>77</v>
      </c>
      <c r="D296" s="160" t="s">
        <v>870</v>
      </c>
      <c r="E296" s="3" t="s">
        <v>21</v>
      </c>
      <c r="F296" s="3" t="s">
        <v>926</v>
      </c>
      <c r="G296" s="3" t="s">
        <v>928</v>
      </c>
      <c r="H296" s="156" t="str">
        <f ca="1">IFERROR(
  _xludf.MINIFS(ATTENDANCE_LOG!$F:$F,
         ATTENDANCE_LOG!$A:$A, C296,
         ATTENDANCE_LOG!$B:$B, E296),
"")</f>
        <v/>
      </c>
      <c r="I296" s="3">
        <f>IFERROR(VLOOKUP(F296, LEVEL_HELPER!$A:$B, 2, 0), "")</f>
        <v>1</v>
      </c>
      <c r="J296" s="3">
        <f>IFERROR(VLOOKUP(G296, LEVEL_HELPER!$A:$B, 2, 0), "")</f>
        <v>1.5</v>
      </c>
      <c r="K296" s="3">
        <f t="shared" ref="K296:L296" si="601">IF(OR(I296="", I296=0), "",
  IF(I296&lt;=2,   1,
  IF(I296&lt;=4,   2,
  IF(I296&lt;=5.5, 3, 4))))</f>
        <v>1</v>
      </c>
      <c r="L296" s="3">
        <f t="shared" si="601"/>
        <v>1</v>
      </c>
      <c r="M296" s="3" t="str">
        <f t="shared" si="516"/>
        <v>Progress within level</v>
      </c>
      <c r="N296" s="157" t="s">
        <v>946</v>
      </c>
      <c r="O296" s="157" t="s">
        <v>922</v>
      </c>
      <c r="P296" s="3" t="str">
        <f t="shared" ca="1" si="517"/>
        <v/>
      </c>
      <c r="Q296" s="147" t="str">
        <f t="shared" ca="1" si="518"/>
        <v/>
      </c>
      <c r="R296" s="147" t="str">
        <f t="shared" ref="R296:S296" ca="1" si="602">IF(OR(P296="", P296=0), "",
  IF(P296&lt;=2,   1,
  IF(P296&lt;=4,   2,
  IF(P296&lt;=5.5, 3, 4))))</f>
        <v/>
      </c>
      <c r="S296" s="147" t="str">
        <f t="shared" ca="1" si="602"/>
        <v/>
      </c>
      <c r="T296" s="147" t="str">
        <f t="shared" ca="1" si="520"/>
        <v>No Data</v>
      </c>
      <c r="U296" s="147">
        <f t="shared" si="558"/>
        <v>1</v>
      </c>
      <c r="V296" s="147"/>
    </row>
    <row r="297" spans="1:22">
      <c r="A297" s="176" t="s">
        <v>421</v>
      </c>
      <c r="B297" s="154" t="s">
        <v>422</v>
      </c>
      <c r="C297" s="155" t="s">
        <v>77</v>
      </c>
      <c r="D297" s="155" t="s">
        <v>870</v>
      </c>
      <c r="E297" s="154" t="s">
        <v>22</v>
      </c>
      <c r="F297" s="3" t="s">
        <v>917</v>
      </c>
      <c r="G297" s="3" t="s">
        <v>934</v>
      </c>
      <c r="H297" s="156" t="str">
        <f ca="1">IFERROR(
  _xludf.MINIFS(ATTENDANCE_LOG!$F:$F,
         ATTENDANCE_LOG!$A:$A, C297,
         ATTENDANCE_LOG!$B:$B, E297),
"")</f>
        <v/>
      </c>
      <c r="I297" s="3">
        <f>IFERROR(VLOOKUP(F297, LEVEL_HELPER!$A:$B, 2, 0), "")</f>
        <v>3</v>
      </c>
      <c r="J297" s="3">
        <f>IFERROR(VLOOKUP(G297, LEVEL_HELPER!$A:$B, 2, 0), "")</f>
        <v>3.5</v>
      </c>
      <c r="K297" s="3">
        <f t="shared" ref="K297:L297" si="603">IF(OR(I297="", I297=0), "",
  IF(I297&lt;=2,   1,
  IF(I297&lt;=4,   2,
  IF(I297&lt;=5.5, 3, 4))))</f>
        <v>2</v>
      </c>
      <c r="L297" s="3">
        <f t="shared" si="603"/>
        <v>2</v>
      </c>
      <c r="M297" s="3" t="str">
        <f t="shared" si="516"/>
        <v>Progress within level</v>
      </c>
      <c r="N297" s="157" t="s">
        <v>930</v>
      </c>
      <c r="O297" s="157" t="s">
        <v>922</v>
      </c>
      <c r="P297" s="3" t="str">
        <f t="shared" ca="1" si="517"/>
        <v/>
      </c>
      <c r="Q297" s="147" t="str">
        <f t="shared" ca="1" si="518"/>
        <v/>
      </c>
      <c r="R297" s="147" t="str">
        <f t="shared" ref="R297:S297" ca="1" si="604">IF(OR(P297="", P297=0), "",
  IF(P297&lt;=2,   1,
  IF(P297&lt;=4,   2,
  IF(P297&lt;=5.5, 3, 4))))</f>
        <v/>
      </c>
      <c r="S297" s="147" t="str">
        <f t="shared" ca="1" si="604"/>
        <v/>
      </c>
      <c r="T297" s="147" t="str">
        <f t="shared" ca="1" si="520"/>
        <v>No Data</v>
      </c>
      <c r="U297" s="147">
        <f t="shared" si="558"/>
        <v>0</v>
      </c>
      <c r="V297" s="147"/>
    </row>
    <row r="298" spans="1:22">
      <c r="A298" s="157" t="s">
        <v>147</v>
      </c>
      <c r="B298" s="3" t="s">
        <v>148</v>
      </c>
      <c r="C298" s="160" t="s">
        <v>77</v>
      </c>
      <c r="D298" s="160" t="s">
        <v>870</v>
      </c>
      <c r="E298" s="3" t="s">
        <v>22</v>
      </c>
      <c r="F298" s="3" t="s">
        <v>917</v>
      </c>
      <c r="G298" s="3" t="s">
        <v>934</v>
      </c>
      <c r="H298" s="156" t="str">
        <f ca="1">IFERROR(
  _xludf.MINIFS(ATTENDANCE_LOG!$F:$F,
         ATTENDANCE_LOG!$A:$A, C298,
         ATTENDANCE_LOG!$B:$B, E298),
"")</f>
        <v/>
      </c>
      <c r="I298" s="3">
        <f>IFERROR(VLOOKUP(F298, LEVEL_HELPER!$A:$B, 2, 0), "")</f>
        <v>3</v>
      </c>
      <c r="J298" s="3">
        <f>IFERROR(VLOOKUP(G298, LEVEL_HELPER!$A:$B, 2, 0), "")</f>
        <v>3.5</v>
      </c>
      <c r="K298" s="3">
        <f t="shared" ref="K298:L298" si="605">IF(OR(I298="", I298=0), "",
  IF(I298&lt;=2,   1,
  IF(I298&lt;=4,   2,
  IF(I298&lt;=5.5, 3, 4))))</f>
        <v>2</v>
      </c>
      <c r="L298" s="3">
        <f t="shared" si="605"/>
        <v>2</v>
      </c>
      <c r="M298" s="3" t="str">
        <f t="shared" si="516"/>
        <v>Progress within level</v>
      </c>
      <c r="N298" s="157" t="s">
        <v>930</v>
      </c>
      <c r="O298" s="157" t="s">
        <v>922</v>
      </c>
      <c r="P298" s="3" t="str">
        <f t="shared" ca="1" si="517"/>
        <v/>
      </c>
      <c r="Q298" s="147" t="str">
        <f t="shared" ca="1" si="518"/>
        <v/>
      </c>
      <c r="R298" s="147" t="str">
        <f t="shared" ref="R298:S298" ca="1" si="606">IF(OR(P298="", P298=0), "",
  IF(P298&lt;=2,   1,
  IF(P298&lt;=4,   2,
  IF(P298&lt;=5.5, 3, 4))))</f>
        <v/>
      </c>
      <c r="S298" s="147" t="str">
        <f t="shared" ca="1" si="606"/>
        <v/>
      </c>
      <c r="T298" s="147" t="str">
        <f t="shared" ca="1" si="520"/>
        <v>No Data</v>
      </c>
      <c r="U298" s="147">
        <f t="shared" si="558"/>
        <v>0</v>
      </c>
      <c r="V298" s="147"/>
    </row>
    <row r="299" spans="1:22">
      <c r="A299" s="157" t="s">
        <v>159</v>
      </c>
      <c r="B299" s="3" t="s">
        <v>160</v>
      </c>
      <c r="C299" s="160" t="s">
        <v>77</v>
      </c>
      <c r="D299" s="160" t="s">
        <v>870</v>
      </c>
      <c r="E299" s="3" t="s">
        <v>22</v>
      </c>
      <c r="F299" s="3" t="s">
        <v>917</v>
      </c>
      <c r="G299" s="3" t="s">
        <v>917</v>
      </c>
      <c r="H299" s="156" t="str">
        <f ca="1">IFERROR(
  _xludf.MINIFS(ATTENDANCE_LOG!$F:$F,
         ATTENDANCE_LOG!$A:$A, C299,
         ATTENDANCE_LOG!$B:$B, E299),
"")</f>
        <v/>
      </c>
      <c r="I299" s="3">
        <f>IFERROR(VLOOKUP(F299, LEVEL_HELPER!$A:$B, 2, 0), "")</f>
        <v>3</v>
      </c>
      <c r="J299" s="3">
        <f>IFERROR(VLOOKUP(G299, LEVEL_HELPER!$A:$B, 2, 0), "")</f>
        <v>3</v>
      </c>
      <c r="K299" s="3">
        <f t="shared" ref="K299:L299" si="607">IF(OR(I299="", I299=0), "",
  IF(I299&lt;=2,   1,
  IF(I299&lt;=4,   2,
  IF(I299&lt;=5.5, 3, 4))))</f>
        <v>2</v>
      </c>
      <c r="L299" s="3">
        <f t="shared" si="607"/>
        <v>2</v>
      </c>
      <c r="M299" s="3" t="str">
        <f t="shared" si="516"/>
        <v>No Progress</v>
      </c>
      <c r="N299" s="157" t="s">
        <v>930</v>
      </c>
      <c r="O299" s="157" t="s">
        <v>922</v>
      </c>
      <c r="P299" s="3" t="str">
        <f t="shared" ca="1" si="517"/>
        <v/>
      </c>
      <c r="Q299" s="147" t="str">
        <f t="shared" ca="1" si="518"/>
        <v/>
      </c>
      <c r="R299" s="147" t="str">
        <f t="shared" ref="R299:S299" ca="1" si="608">IF(OR(P299="", P299=0), "",
  IF(P299&lt;=2,   1,
  IF(P299&lt;=4,   2,
  IF(P299&lt;=5.5, 3, 4))))</f>
        <v/>
      </c>
      <c r="S299" s="147" t="str">
        <f t="shared" ca="1" si="608"/>
        <v/>
      </c>
      <c r="T299" s="147" t="str">
        <f t="shared" ca="1" si="520"/>
        <v>No Data</v>
      </c>
      <c r="U299" s="147">
        <f t="shared" si="558"/>
        <v>0</v>
      </c>
      <c r="V299" s="147"/>
    </row>
    <row r="300" spans="1:22">
      <c r="A300" s="157" t="s">
        <v>255</v>
      </c>
      <c r="B300" s="3" t="s">
        <v>256</v>
      </c>
      <c r="C300" s="160" t="s">
        <v>77</v>
      </c>
      <c r="D300" s="160" t="s">
        <v>870</v>
      </c>
      <c r="E300" s="3" t="s">
        <v>22</v>
      </c>
      <c r="F300" s="3" t="s">
        <v>917</v>
      </c>
      <c r="G300" s="3" t="s">
        <v>934</v>
      </c>
      <c r="H300" s="156" t="str">
        <f ca="1">IFERROR(
  _xludf.MINIFS(ATTENDANCE_LOG!$F:$F,
         ATTENDANCE_LOG!$A:$A, C300,
         ATTENDANCE_LOG!$B:$B, E300),
"")</f>
        <v/>
      </c>
      <c r="I300" s="3">
        <f>IFERROR(VLOOKUP(F300, LEVEL_HELPER!$A:$B, 2, 0), "")</f>
        <v>3</v>
      </c>
      <c r="J300" s="3">
        <f>IFERROR(VLOOKUP(G300, LEVEL_HELPER!$A:$B, 2, 0), "")</f>
        <v>3.5</v>
      </c>
      <c r="K300" s="3">
        <f t="shared" ref="K300:L300" si="609">IF(OR(I300="", I300=0), "",
  IF(I300&lt;=2,   1,
  IF(I300&lt;=4,   2,
  IF(I300&lt;=5.5, 3, 4))))</f>
        <v>2</v>
      </c>
      <c r="L300" s="3">
        <f t="shared" si="609"/>
        <v>2</v>
      </c>
      <c r="M300" s="3" t="str">
        <f t="shared" si="516"/>
        <v>Progress within level</v>
      </c>
      <c r="N300" s="157" t="s">
        <v>930</v>
      </c>
      <c r="O300" s="157" t="s">
        <v>922</v>
      </c>
      <c r="P300" s="3" t="str">
        <f t="shared" ca="1" si="517"/>
        <v/>
      </c>
      <c r="Q300" s="147" t="str">
        <f t="shared" ca="1" si="518"/>
        <v/>
      </c>
      <c r="R300" s="147" t="str">
        <f t="shared" ref="R300:S300" ca="1" si="610">IF(OR(P300="", P300=0), "",
  IF(P300&lt;=2,   1,
  IF(P300&lt;=4,   2,
  IF(P300&lt;=5.5, 3, 4))))</f>
        <v/>
      </c>
      <c r="S300" s="147" t="str">
        <f t="shared" ca="1" si="610"/>
        <v/>
      </c>
      <c r="T300" s="147" t="str">
        <f t="shared" ca="1" si="520"/>
        <v>No Data</v>
      </c>
      <c r="U300" s="147">
        <f t="shared" si="558"/>
        <v>0</v>
      </c>
      <c r="V300" s="147"/>
    </row>
    <row r="301" spans="1:22">
      <c r="A301" s="157" t="s">
        <v>433</v>
      </c>
      <c r="B301" s="3" t="s">
        <v>432</v>
      </c>
      <c r="C301" s="160" t="s">
        <v>77</v>
      </c>
      <c r="D301" s="160" t="s">
        <v>870</v>
      </c>
      <c r="E301" s="3" t="s">
        <v>22</v>
      </c>
      <c r="F301" s="3" t="s">
        <v>917</v>
      </c>
      <c r="G301" s="3" t="s">
        <v>934</v>
      </c>
      <c r="H301" s="156" t="str">
        <f ca="1">IFERROR(
  _xludf.MINIFS(ATTENDANCE_LOG!$F:$F,
         ATTENDANCE_LOG!$A:$A, C301,
         ATTENDANCE_LOG!$B:$B, E301),
"")</f>
        <v/>
      </c>
      <c r="I301" s="3">
        <f>IFERROR(VLOOKUP(F301, LEVEL_HELPER!$A:$B, 2, 0), "")</f>
        <v>3</v>
      </c>
      <c r="J301" s="3">
        <f>IFERROR(VLOOKUP(G301, LEVEL_HELPER!$A:$B, 2, 0), "")</f>
        <v>3.5</v>
      </c>
      <c r="K301" s="3">
        <f t="shared" ref="K301:L301" si="611">IF(OR(I301="", I301=0), "",
  IF(I301&lt;=2,   1,
  IF(I301&lt;=4,   2,
  IF(I301&lt;=5.5, 3, 4))))</f>
        <v>2</v>
      </c>
      <c r="L301" s="3">
        <f t="shared" si="611"/>
        <v>2</v>
      </c>
      <c r="M301" s="3" t="str">
        <f t="shared" si="516"/>
        <v>Progress within level</v>
      </c>
      <c r="N301" s="157" t="s">
        <v>930</v>
      </c>
      <c r="O301" s="157" t="s">
        <v>922</v>
      </c>
      <c r="P301" s="3" t="str">
        <f t="shared" ca="1" si="517"/>
        <v/>
      </c>
      <c r="Q301" s="147" t="str">
        <f t="shared" ca="1" si="518"/>
        <v/>
      </c>
      <c r="R301" s="147" t="str">
        <f t="shared" ref="R301:S301" ca="1" si="612">IF(OR(P301="", P301=0), "",
  IF(P301&lt;=2,   1,
  IF(P301&lt;=4,   2,
  IF(P301&lt;=5.5, 3, 4))))</f>
        <v/>
      </c>
      <c r="S301" s="147" t="str">
        <f t="shared" ca="1" si="612"/>
        <v/>
      </c>
      <c r="T301" s="147" t="str">
        <f t="shared" ca="1" si="520"/>
        <v>No Data</v>
      </c>
      <c r="U301" s="147">
        <f t="shared" si="558"/>
        <v>0</v>
      </c>
      <c r="V301" s="147"/>
    </row>
    <row r="302" spans="1:22">
      <c r="A302" s="157" t="s">
        <v>494</v>
      </c>
      <c r="B302" s="3" t="s">
        <v>495</v>
      </c>
      <c r="C302" s="160" t="s">
        <v>77</v>
      </c>
      <c r="D302" s="160" t="s">
        <v>870</v>
      </c>
      <c r="E302" s="3" t="s">
        <v>22</v>
      </c>
      <c r="F302" s="3" t="s">
        <v>917</v>
      </c>
      <c r="G302" s="3" t="s">
        <v>934</v>
      </c>
      <c r="H302" s="156" t="str">
        <f ca="1">IFERROR(
  _xludf.MINIFS(ATTENDANCE_LOG!$F:$F,
         ATTENDANCE_LOG!$A:$A, C302,
         ATTENDANCE_LOG!$B:$B, E302),
"")</f>
        <v/>
      </c>
      <c r="I302" s="3">
        <f>IFERROR(VLOOKUP(F302, LEVEL_HELPER!$A:$B, 2, 0), "")</f>
        <v>3</v>
      </c>
      <c r="J302" s="3">
        <f>IFERROR(VLOOKUP(G302, LEVEL_HELPER!$A:$B, 2, 0), "")</f>
        <v>3.5</v>
      </c>
      <c r="K302" s="3">
        <f t="shared" ref="K302:L302" si="613">IF(OR(I302="", I302=0), "",
  IF(I302&lt;=2,   1,
  IF(I302&lt;=4,   2,
  IF(I302&lt;=5.5, 3, 4))))</f>
        <v>2</v>
      </c>
      <c r="L302" s="3">
        <f t="shared" si="613"/>
        <v>2</v>
      </c>
      <c r="M302" s="3" t="str">
        <f t="shared" si="516"/>
        <v>Progress within level</v>
      </c>
      <c r="N302" s="157" t="s">
        <v>930</v>
      </c>
      <c r="O302" s="157" t="s">
        <v>922</v>
      </c>
      <c r="P302" s="3" t="str">
        <f t="shared" ca="1" si="517"/>
        <v/>
      </c>
      <c r="Q302" s="147" t="str">
        <f t="shared" ca="1" si="518"/>
        <v/>
      </c>
      <c r="R302" s="147" t="str">
        <f t="shared" ref="R302:S302" ca="1" si="614">IF(OR(P302="", P302=0), "",
  IF(P302&lt;=2,   1,
  IF(P302&lt;=4,   2,
  IF(P302&lt;=5.5, 3, 4))))</f>
        <v/>
      </c>
      <c r="S302" s="147" t="str">
        <f t="shared" ca="1" si="614"/>
        <v/>
      </c>
      <c r="T302" s="147" t="str">
        <f t="shared" ca="1" si="520"/>
        <v>No Data</v>
      </c>
      <c r="U302" s="147">
        <f t="shared" si="558"/>
        <v>0</v>
      </c>
      <c r="V302" s="147"/>
    </row>
    <row r="303" spans="1:22">
      <c r="A303" s="157" t="s">
        <v>498</v>
      </c>
      <c r="B303" s="3" t="s">
        <v>499</v>
      </c>
      <c r="C303" s="160" t="s">
        <v>77</v>
      </c>
      <c r="D303" s="160" t="s">
        <v>870</v>
      </c>
      <c r="E303" s="3" t="s">
        <v>22</v>
      </c>
      <c r="F303" s="3" t="s">
        <v>928</v>
      </c>
      <c r="G303" s="3" t="s">
        <v>917</v>
      </c>
      <c r="H303" s="156" t="str">
        <f ca="1">IFERROR(
  _xludf.MINIFS(ATTENDANCE_LOG!$F:$F,
         ATTENDANCE_LOG!$A:$A, C303,
         ATTENDANCE_LOG!$B:$B, E303),
"")</f>
        <v/>
      </c>
      <c r="I303" s="3">
        <f>IFERROR(VLOOKUP(F303, LEVEL_HELPER!$A:$B, 2, 0), "")</f>
        <v>1.5</v>
      </c>
      <c r="J303" s="3">
        <f>IFERROR(VLOOKUP(G303, LEVEL_HELPER!$A:$B, 2, 0), "")</f>
        <v>3</v>
      </c>
      <c r="K303" s="3">
        <f t="shared" ref="K303:L303" si="615">IF(OR(I303="", I303=0), "",
  IF(I303&lt;=2,   1,
  IF(I303&lt;=4,   2,
  IF(I303&lt;=5.5, 3, 4))))</f>
        <v>1</v>
      </c>
      <c r="L303" s="3">
        <f t="shared" si="615"/>
        <v>2</v>
      </c>
      <c r="M303" s="3" t="str">
        <f t="shared" si="516"/>
        <v>Lv1 → Lv2</v>
      </c>
      <c r="N303" s="157" t="s">
        <v>930</v>
      </c>
      <c r="O303" s="157" t="s">
        <v>922</v>
      </c>
      <c r="P303" s="3" t="str">
        <f t="shared" ca="1" si="517"/>
        <v/>
      </c>
      <c r="Q303" s="147" t="str">
        <f t="shared" ca="1" si="518"/>
        <v/>
      </c>
      <c r="R303" s="147" t="str">
        <f t="shared" ref="R303:S303" ca="1" si="616">IF(OR(P303="", P303=0), "",
  IF(P303&lt;=2,   1,
  IF(P303&lt;=4,   2,
  IF(P303&lt;=5.5, 3, 4))))</f>
        <v/>
      </c>
      <c r="S303" s="147" t="str">
        <f t="shared" ca="1" si="616"/>
        <v/>
      </c>
      <c r="T303" s="147" t="str">
        <f t="shared" ca="1" si="520"/>
        <v>No Data</v>
      </c>
      <c r="U303" s="147">
        <f t="shared" si="558"/>
        <v>0</v>
      </c>
      <c r="V303" s="147"/>
    </row>
    <row r="304" spans="1:22">
      <c r="A304" s="176" t="s">
        <v>421</v>
      </c>
      <c r="B304" s="154" t="s">
        <v>422</v>
      </c>
      <c r="C304" s="155" t="s">
        <v>77</v>
      </c>
      <c r="D304" s="155" t="s">
        <v>870</v>
      </c>
      <c r="E304" s="154" t="s">
        <v>23</v>
      </c>
      <c r="F304" s="3"/>
      <c r="G304" s="3"/>
      <c r="H304" s="156" t="str">
        <f ca="1">IFERROR(
  _xludf.MINIFS(ATTENDANCE_LOG!$F:$F,
         ATTENDANCE_LOG!$A:$A, C304,
         ATTENDANCE_LOG!$B:$B, E304),
"")</f>
        <v/>
      </c>
      <c r="I304" s="3" t="str">
        <f>IFERROR(VLOOKUP(F304, LEVEL_HELPER!$A:$B, 2, 0), "")</f>
        <v/>
      </c>
      <c r="J304" s="3" t="str">
        <f>IFERROR(VLOOKUP(G304, LEVEL_HELPER!$A:$B, 2, 0), "")</f>
        <v/>
      </c>
      <c r="K304" s="3" t="str">
        <f t="shared" ref="K304:L304" si="617">IF(OR(I304="", I304=0), "",
  IF(I304&lt;=2,   1,
  IF(I304&lt;=4,   2,
  IF(I304&lt;=5.5, 3, 4))))</f>
        <v/>
      </c>
      <c r="L304" s="3" t="str">
        <f t="shared" si="617"/>
        <v/>
      </c>
      <c r="M304" s="3" t="str">
        <f t="shared" si="516"/>
        <v>No Data</v>
      </c>
      <c r="N304" s="157" t="s">
        <v>930</v>
      </c>
      <c r="O304" s="157" t="s">
        <v>922</v>
      </c>
      <c r="P304" s="3" t="str">
        <f t="shared" ca="1" si="517"/>
        <v/>
      </c>
      <c r="Q304" s="147" t="str">
        <f t="shared" ca="1" si="518"/>
        <v/>
      </c>
      <c r="R304" s="147" t="str">
        <f t="shared" ref="R304:S304" ca="1" si="618">IF(OR(P304="", P304=0), "",
  IF(P304&lt;=2,   1,
  IF(P304&lt;=4,   2,
  IF(P304&lt;=5.5, 3, 4))))</f>
        <v/>
      </c>
      <c r="S304" s="147" t="str">
        <f t="shared" ca="1" si="618"/>
        <v/>
      </c>
      <c r="T304" s="147" t="str">
        <f t="shared" ca="1" si="520"/>
        <v>No Data</v>
      </c>
      <c r="U304" s="147">
        <f t="shared" si="558"/>
        <v>0</v>
      </c>
      <c r="V304" s="147"/>
    </row>
    <row r="305" spans="1:22">
      <c r="A305" s="157" t="s">
        <v>566</v>
      </c>
      <c r="B305" s="3" t="s">
        <v>567</v>
      </c>
      <c r="C305" s="160" t="s">
        <v>77</v>
      </c>
      <c r="D305" s="160" t="s">
        <v>870</v>
      </c>
      <c r="E305" s="3" t="s">
        <v>22</v>
      </c>
      <c r="F305" s="3"/>
      <c r="G305" s="3"/>
      <c r="H305" s="156" t="str">
        <f ca="1">IFERROR(
  _xludf.MINIFS(ATTENDANCE_LOG!$F:$F,
         ATTENDANCE_LOG!$A:$A, C305,
         ATTENDANCE_LOG!$B:$B, E305),
"")</f>
        <v/>
      </c>
      <c r="I305" s="3" t="str">
        <f>IFERROR(VLOOKUP(F305, LEVEL_HELPER!$A:$B, 2, 0), "")</f>
        <v/>
      </c>
      <c r="J305" s="3" t="str">
        <f>IFERROR(VLOOKUP(G305, LEVEL_HELPER!$A:$B, 2, 0), "")</f>
        <v/>
      </c>
      <c r="K305" s="3" t="str">
        <f t="shared" ref="K305:L305" si="619">IF(OR(I305="", I305=0), "",
  IF(I305&lt;=2,   1,
  IF(I305&lt;=4,   2,
  IF(I305&lt;=5.5, 3, 4))))</f>
        <v/>
      </c>
      <c r="L305" s="3" t="str">
        <f t="shared" si="619"/>
        <v/>
      </c>
      <c r="M305" s="3" t="str">
        <f t="shared" si="516"/>
        <v>No Data</v>
      </c>
      <c r="N305" s="157" t="s">
        <v>946</v>
      </c>
      <c r="O305" s="157" t="s">
        <v>922</v>
      </c>
      <c r="P305" s="3" t="str">
        <f t="shared" ca="1" si="517"/>
        <v/>
      </c>
      <c r="Q305" s="147" t="str">
        <f t="shared" ca="1" si="518"/>
        <v/>
      </c>
      <c r="R305" s="147" t="str">
        <f t="shared" ref="R305:S305" ca="1" si="620">IF(OR(P305="", P305=0), "",
  IF(P305&lt;=2,   1,
  IF(P305&lt;=4,   2,
  IF(P305&lt;=5.5, 3, 4))))</f>
        <v/>
      </c>
      <c r="S305" s="147" t="str">
        <f t="shared" ca="1" si="620"/>
        <v/>
      </c>
      <c r="T305" s="147" t="str">
        <f t="shared" ca="1" si="520"/>
        <v>No Data</v>
      </c>
      <c r="U305" s="147">
        <f t="shared" si="558"/>
        <v>0</v>
      </c>
      <c r="V305" s="147"/>
    </row>
    <row r="306" spans="1:22">
      <c r="A306" s="157" t="s">
        <v>147</v>
      </c>
      <c r="B306" s="3" t="s">
        <v>148</v>
      </c>
      <c r="C306" s="160" t="s">
        <v>77</v>
      </c>
      <c r="D306" s="160" t="s">
        <v>870</v>
      </c>
      <c r="E306" s="3" t="s">
        <v>23</v>
      </c>
      <c r="F306" s="3"/>
      <c r="G306" s="3"/>
      <c r="H306" s="156" t="str">
        <f ca="1">IFERROR(
  _xludf.MINIFS(ATTENDANCE_LOG!$F:$F,
         ATTENDANCE_LOG!$A:$A, C306,
         ATTENDANCE_LOG!$B:$B, E306),
"")</f>
        <v/>
      </c>
      <c r="I306" s="3" t="str">
        <f>IFERROR(VLOOKUP(F306, LEVEL_HELPER!$A:$B, 2, 0), "")</f>
        <v/>
      </c>
      <c r="J306" s="3" t="str">
        <f>IFERROR(VLOOKUP(G306, LEVEL_HELPER!$A:$B, 2, 0), "")</f>
        <v/>
      </c>
      <c r="K306" s="3" t="str">
        <f t="shared" ref="K306:L306" si="621">IF(OR(I306="", I306=0), "",
  IF(I306&lt;=2,   1,
  IF(I306&lt;=4,   2,
  IF(I306&lt;=5.5, 3, 4))))</f>
        <v/>
      </c>
      <c r="L306" s="3" t="str">
        <f t="shared" si="621"/>
        <v/>
      </c>
      <c r="M306" s="3" t="str">
        <f t="shared" si="516"/>
        <v>No Data</v>
      </c>
      <c r="N306" s="157" t="s">
        <v>930</v>
      </c>
      <c r="O306" s="157" t="s">
        <v>922</v>
      </c>
      <c r="P306" s="3" t="str">
        <f t="shared" ca="1" si="517"/>
        <v/>
      </c>
      <c r="Q306" s="147" t="str">
        <f t="shared" ca="1" si="518"/>
        <v/>
      </c>
      <c r="R306" s="147" t="str">
        <f t="shared" ref="R306:S306" ca="1" si="622">IF(OR(P306="", P306=0), "",
  IF(P306&lt;=2,   1,
  IF(P306&lt;=4,   2,
  IF(P306&lt;=5.5, 3, 4))))</f>
        <v/>
      </c>
      <c r="S306" s="147" t="str">
        <f t="shared" ca="1" si="622"/>
        <v/>
      </c>
      <c r="T306" s="147" t="str">
        <f t="shared" ca="1" si="520"/>
        <v>No Data</v>
      </c>
      <c r="U306" s="147">
        <f t="shared" si="558"/>
        <v>0</v>
      </c>
      <c r="V306" s="147"/>
    </row>
    <row r="307" spans="1:22">
      <c r="A307" s="157" t="s">
        <v>159</v>
      </c>
      <c r="B307" s="3" t="s">
        <v>160</v>
      </c>
      <c r="C307" s="160" t="s">
        <v>77</v>
      </c>
      <c r="D307" s="160" t="s">
        <v>870</v>
      </c>
      <c r="E307" s="3" t="s">
        <v>23</v>
      </c>
      <c r="F307" s="3"/>
      <c r="G307" s="3"/>
      <c r="H307" s="156" t="str">
        <f ca="1">IFERROR(
  _xludf.MINIFS(ATTENDANCE_LOG!$F:$F,
         ATTENDANCE_LOG!$A:$A, C307,
         ATTENDANCE_LOG!$B:$B, E307),
"")</f>
        <v/>
      </c>
      <c r="I307" s="3" t="str">
        <f>IFERROR(VLOOKUP(F307, LEVEL_HELPER!$A:$B, 2, 0), "")</f>
        <v/>
      </c>
      <c r="J307" s="3" t="str">
        <f>IFERROR(VLOOKUP(G307, LEVEL_HELPER!$A:$B, 2, 0), "")</f>
        <v/>
      </c>
      <c r="K307" s="3" t="str">
        <f t="shared" ref="K307:L307" si="623">IF(OR(I307="", I307=0), "",
  IF(I307&lt;=2,   1,
  IF(I307&lt;=4,   2,
  IF(I307&lt;=5.5, 3, 4))))</f>
        <v/>
      </c>
      <c r="L307" s="3" t="str">
        <f t="shared" si="623"/>
        <v/>
      </c>
      <c r="M307" s="3" t="str">
        <f t="shared" si="516"/>
        <v>No Data</v>
      </c>
      <c r="N307" s="157" t="s">
        <v>930</v>
      </c>
      <c r="O307" s="157" t="s">
        <v>922</v>
      </c>
      <c r="P307" s="3" t="str">
        <f t="shared" ca="1" si="517"/>
        <v/>
      </c>
      <c r="Q307" s="147" t="str">
        <f t="shared" ca="1" si="518"/>
        <v/>
      </c>
      <c r="R307" s="147" t="str">
        <f t="shared" ref="R307:S307" ca="1" si="624">IF(OR(P307="", P307=0), "",
  IF(P307&lt;=2,   1,
  IF(P307&lt;=4,   2,
  IF(P307&lt;=5.5, 3, 4))))</f>
        <v/>
      </c>
      <c r="S307" s="147" t="str">
        <f t="shared" ca="1" si="624"/>
        <v/>
      </c>
      <c r="T307" s="147" t="str">
        <f t="shared" ca="1" si="520"/>
        <v>No Data</v>
      </c>
      <c r="U307" s="147">
        <f t="shared" si="558"/>
        <v>0</v>
      </c>
      <c r="V307" s="147"/>
    </row>
    <row r="308" spans="1:22">
      <c r="A308" s="157" t="s">
        <v>255</v>
      </c>
      <c r="B308" s="3" t="s">
        <v>256</v>
      </c>
      <c r="C308" s="160" t="s">
        <v>77</v>
      </c>
      <c r="D308" s="160" t="s">
        <v>870</v>
      </c>
      <c r="E308" s="3" t="s">
        <v>23</v>
      </c>
      <c r="F308" s="3"/>
      <c r="G308" s="3"/>
      <c r="H308" s="156" t="str">
        <f ca="1">IFERROR(
  _xludf.MINIFS(ATTENDANCE_LOG!$F:$F,
         ATTENDANCE_LOG!$A:$A, C308,
         ATTENDANCE_LOG!$B:$B, E308),
"")</f>
        <v/>
      </c>
      <c r="I308" s="3" t="str">
        <f>IFERROR(VLOOKUP(F308, LEVEL_HELPER!$A:$B, 2, 0), "")</f>
        <v/>
      </c>
      <c r="J308" s="3" t="str">
        <f>IFERROR(VLOOKUP(G308, LEVEL_HELPER!$A:$B, 2, 0), "")</f>
        <v/>
      </c>
      <c r="K308" s="3" t="str">
        <f t="shared" ref="K308:L308" si="625">IF(OR(I308="", I308=0), "",
  IF(I308&lt;=2,   1,
  IF(I308&lt;=4,   2,
  IF(I308&lt;=5.5, 3, 4))))</f>
        <v/>
      </c>
      <c r="L308" s="3" t="str">
        <f t="shared" si="625"/>
        <v/>
      </c>
      <c r="M308" s="3" t="str">
        <f t="shared" si="516"/>
        <v>No Data</v>
      </c>
      <c r="N308" s="157" t="s">
        <v>930</v>
      </c>
      <c r="O308" s="157" t="s">
        <v>922</v>
      </c>
      <c r="P308" s="3" t="str">
        <f t="shared" ca="1" si="517"/>
        <v/>
      </c>
      <c r="Q308" s="147" t="str">
        <f t="shared" ca="1" si="518"/>
        <v/>
      </c>
      <c r="R308" s="147" t="str">
        <f t="shared" ref="R308:S308" ca="1" si="626">IF(OR(P308="", P308=0), "",
  IF(P308&lt;=2,   1,
  IF(P308&lt;=4,   2,
  IF(P308&lt;=5.5, 3, 4))))</f>
        <v/>
      </c>
      <c r="S308" s="147" t="str">
        <f t="shared" ca="1" si="626"/>
        <v/>
      </c>
      <c r="T308" s="147" t="str">
        <f t="shared" ca="1" si="520"/>
        <v>No Data</v>
      </c>
      <c r="U308" s="147">
        <f t="shared" si="558"/>
        <v>0</v>
      </c>
      <c r="V308" s="147"/>
    </row>
    <row r="309" spans="1:22">
      <c r="A309" s="157" t="s">
        <v>433</v>
      </c>
      <c r="B309" s="3" t="s">
        <v>432</v>
      </c>
      <c r="C309" s="160" t="s">
        <v>77</v>
      </c>
      <c r="D309" s="160" t="s">
        <v>870</v>
      </c>
      <c r="E309" s="3" t="s">
        <v>23</v>
      </c>
      <c r="F309" s="3"/>
      <c r="G309" s="3"/>
      <c r="H309" s="156" t="str">
        <f ca="1">IFERROR(
  _xludf.MINIFS(ATTENDANCE_LOG!$F:$F,
         ATTENDANCE_LOG!$A:$A, C309,
         ATTENDANCE_LOG!$B:$B, E309),
"")</f>
        <v/>
      </c>
      <c r="I309" s="3" t="str">
        <f>IFERROR(VLOOKUP(F309, LEVEL_HELPER!$A:$B, 2, 0), "")</f>
        <v/>
      </c>
      <c r="J309" s="3" t="str">
        <f>IFERROR(VLOOKUP(G309, LEVEL_HELPER!$A:$B, 2, 0), "")</f>
        <v/>
      </c>
      <c r="K309" s="3" t="str">
        <f t="shared" ref="K309:L309" si="627">IF(OR(I309="", I309=0), "",
  IF(I309&lt;=2,   1,
  IF(I309&lt;=4,   2,
  IF(I309&lt;=5.5, 3, 4))))</f>
        <v/>
      </c>
      <c r="L309" s="3" t="str">
        <f t="shared" si="627"/>
        <v/>
      </c>
      <c r="M309" s="3" t="str">
        <f t="shared" si="516"/>
        <v>No Data</v>
      </c>
      <c r="N309" s="157" t="s">
        <v>930</v>
      </c>
      <c r="O309" s="157" t="s">
        <v>922</v>
      </c>
      <c r="P309" s="3" t="str">
        <f t="shared" ca="1" si="517"/>
        <v/>
      </c>
      <c r="Q309" s="147" t="str">
        <f t="shared" ca="1" si="518"/>
        <v/>
      </c>
      <c r="R309" s="147" t="str">
        <f t="shared" ref="R309:S309" ca="1" si="628">IF(OR(P309="", P309=0), "",
  IF(P309&lt;=2,   1,
  IF(P309&lt;=4,   2,
  IF(P309&lt;=5.5, 3, 4))))</f>
        <v/>
      </c>
      <c r="S309" s="147" t="str">
        <f t="shared" ca="1" si="628"/>
        <v/>
      </c>
      <c r="T309" s="147" t="str">
        <f t="shared" ca="1" si="520"/>
        <v>No Data</v>
      </c>
      <c r="U309" s="147">
        <f t="shared" si="558"/>
        <v>0</v>
      </c>
      <c r="V309" s="147"/>
    </row>
    <row r="310" spans="1:22">
      <c r="A310" s="157" t="s">
        <v>494</v>
      </c>
      <c r="B310" s="3" t="s">
        <v>495</v>
      </c>
      <c r="C310" s="160" t="s">
        <v>77</v>
      </c>
      <c r="D310" s="160" t="s">
        <v>870</v>
      </c>
      <c r="E310" s="3" t="s">
        <v>23</v>
      </c>
      <c r="F310" s="3"/>
      <c r="G310" s="3"/>
      <c r="H310" s="156" t="str">
        <f ca="1">IFERROR(
  _xludf.MINIFS(ATTENDANCE_LOG!$F:$F,
         ATTENDANCE_LOG!$A:$A, C310,
         ATTENDANCE_LOG!$B:$B, E310),
"")</f>
        <v/>
      </c>
      <c r="I310" s="3" t="str">
        <f>IFERROR(VLOOKUP(F310, LEVEL_HELPER!$A:$B, 2, 0), "")</f>
        <v/>
      </c>
      <c r="J310" s="3" t="str">
        <f>IFERROR(VLOOKUP(G310, LEVEL_HELPER!$A:$B, 2, 0), "")</f>
        <v/>
      </c>
      <c r="K310" s="3" t="str">
        <f t="shared" ref="K310:L310" si="629">IF(OR(I310="", I310=0), "",
  IF(I310&lt;=2,   1,
  IF(I310&lt;=4,   2,
  IF(I310&lt;=5.5, 3, 4))))</f>
        <v/>
      </c>
      <c r="L310" s="3" t="str">
        <f t="shared" si="629"/>
        <v/>
      </c>
      <c r="M310" s="3" t="str">
        <f t="shared" si="516"/>
        <v>No Data</v>
      </c>
      <c r="N310" s="157" t="s">
        <v>930</v>
      </c>
      <c r="O310" s="157" t="s">
        <v>922</v>
      </c>
      <c r="P310" s="3" t="str">
        <f t="shared" ca="1" si="517"/>
        <v/>
      </c>
      <c r="Q310" s="147" t="str">
        <f t="shared" ca="1" si="518"/>
        <v/>
      </c>
      <c r="R310" s="147" t="str">
        <f t="shared" ref="R310:S310" ca="1" si="630">IF(OR(P310="", P310=0), "",
  IF(P310&lt;=2,   1,
  IF(P310&lt;=4,   2,
  IF(P310&lt;=5.5, 3, 4))))</f>
        <v/>
      </c>
      <c r="S310" s="147" t="str">
        <f t="shared" ca="1" si="630"/>
        <v/>
      </c>
      <c r="T310" s="147" t="str">
        <f t="shared" ca="1" si="520"/>
        <v>No Data</v>
      </c>
      <c r="U310" s="147">
        <f t="shared" si="558"/>
        <v>0</v>
      </c>
      <c r="V310" s="147"/>
    </row>
    <row r="311" spans="1:22">
      <c r="A311" s="157" t="s">
        <v>498</v>
      </c>
      <c r="B311" s="3" t="s">
        <v>499</v>
      </c>
      <c r="C311" s="160" t="s">
        <v>77</v>
      </c>
      <c r="D311" s="160" t="s">
        <v>870</v>
      </c>
      <c r="E311" s="3" t="s">
        <v>23</v>
      </c>
      <c r="F311" s="3"/>
      <c r="G311" s="3"/>
      <c r="H311" s="156" t="str">
        <f ca="1">IFERROR(
  _xludf.MINIFS(ATTENDANCE_LOG!$F:$F,
         ATTENDANCE_LOG!$A:$A, C311,
         ATTENDANCE_LOG!$B:$B, E311),
"")</f>
        <v/>
      </c>
      <c r="I311" s="3" t="str">
        <f>IFERROR(VLOOKUP(F311, LEVEL_HELPER!$A:$B, 2, 0), "")</f>
        <v/>
      </c>
      <c r="J311" s="3" t="str">
        <f>IFERROR(VLOOKUP(G311, LEVEL_HELPER!$A:$B, 2, 0), "")</f>
        <v/>
      </c>
      <c r="K311" s="3" t="str">
        <f t="shared" ref="K311:L311" si="631">IF(OR(I311="", I311=0), "",
  IF(I311&lt;=2,   1,
  IF(I311&lt;=4,   2,
  IF(I311&lt;=5.5, 3, 4))))</f>
        <v/>
      </c>
      <c r="L311" s="3" t="str">
        <f t="shared" si="631"/>
        <v/>
      </c>
      <c r="M311" s="3" t="str">
        <f t="shared" si="516"/>
        <v>No Data</v>
      </c>
      <c r="N311" s="157" t="s">
        <v>930</v>
      </c>
      <c r="O311" s="157" t="s">
        <v>922</v>
      </c>
      <c r="P311" s="3" t="str">
        <f t="shared" ca="1" si="517"/>
        <v/>
      </c>
      <c r="Q311" s="147" t="str">
        <f t="shared" ca="1" si="518"/>
        <v/>
      </c>
      <c r="R311" s="147" t="str">
        <f t="shared" ref="R311:S311" ca="1" si="632">IF(OR(P311="", P311=0), "",
  IF(P311&lt;=2,   1,
  IF(P311&lt;=4,   2,
  IF(P311&lt;=5.5, 3, 4))))</f>
        <v/>
      </c>
      <c r="S311" s="147" t="str">
        <f t="shared" ca="1" si="632"/>
        <v/>
      </c>
      <c r="T311" s="147" t="str">
        <f t="shared" ca="1" si="520"/>
        <v>No Data</v>
      </c>
      <c r="U311" s="147">
        <f t="shared" si="558"/>
        <v>0</v>
      </c>
      <c r="V311" s="147"/>
    </row>
    <row r="312" spans="1:22">
      <c r="A312" s="157" t="s">
        <v>566</v>
      </c>
      <c r="B312" s="3" t="s">
        <v>567</v>
      </c>
      <c r="C312" s="160" t="s">
        <v>77</v>
      </c>
      <c r="D312" s="160" t="s">
        <v>870</v>
      </c>
      <c r="E312" s="3" t="s">
        <v>23</v>
      </c>
      <c r="F312" s="3"/>
      <c r="G312" s="3"/>
      <c r="H312" s="156" t="str">
        <f ca="1">IFERROR(
  _xludf.MINIFS(ATTENDANCE_LOG!$F:$F,
         ATTENDANCE_LOG!$A:$A, C312,
         ATTENDANCE_LOG!$B:$B, E312),
"")</f>
        <v/>
      </c>
      <c r="I312" s="3" t="str">
        <f>IFERROR(VLOOKUP(F312, LEVEL_HELPER!$A:$B, 2, 0), "")</f>
        <v/>
      </c>
      <c r="J312" s="3" t="str">
        <f>IFERROR(VLOOKUP(G312, LEVEL_HELPER!$A:$B, 2, 0), "")</f>
        <v/>
      </c>
      <c r="K312" s="3" t="str">
        <f t="shared" ref="K312:L312" si="633">IF(OR(I312="", I312=0), "",
  IF(I312&lt;=2,   1,
  IF(I312&lt;=4,   2,
  IF(I312&lt;=5.5, 3, 4))))</f>
        <v/>
      </c>
      <c r="L312" s="3" t="str">
        <f t="shared" si="633"/>
        <v/>
      </c>
      <c r="M312" s="3" t="str">
        <f t="shared" si="516"/>
        <v>No Data</v>
      </c>
      <c r="N312" s="157" t="s">
        <v>946</v>
      </c>
      <c r="O312" s="157" t="s">
        <v>922</v>
      </c>
      <c r="P312" s="3" t="str">
        <f t="shared" ca="1" si="517"/>
        <v/>
      </c>
      <c r="Q312" s="147" t="str">
        <f t="shared" ca="1" si="518"/>
        <v/>
      </c>
      <c r="R312" s="147" t="str">
        <f t="shared" ref="R312:S312" ca="1" si="634">IF(OR(P312="", P312=0), "",
  IF(P312&lt;=2,   1,
  IF(P312&lt;=4,   2,
  IF(P312&lt;=5.5, 3, 4))))</f>
        <v/>
      </c>
      <c r="S312" s="147" t="str">
        <f t="shared" ca="1" si="634"/>
        <v/>
      </c>
      <c r="T312" s="147" t="str">
        <f t="shared" ca="1" si="520"/>
        <v>No Data</v>
      </c>
      <c r="U312" s="147">
        <f t="shared" si="558"/>
        <v>0</v>
      </c>
      <c r="V312" s="147"/>
    </row>
    <row r="313" spans="1:22">
      <c r="A313" s="157" t="s">
        <v>261</v>
      </c>
      <c r="B313" s="154" t="s">
        <v>262</v>
      </c>
      <c r="C313" s="155" t="s">
        <v>78</v>
      </c>
      <c r="D313" s="155" t="s">
        <v>871</v>
      </c>
      <c r="E313" s="154" t="s">
        <v>21</v>
      </c>
      <c r="F313" s="3" t="s">
        <v>931</v>
      </c>
      <c r="G313" s="3"/>
      <c r="H313" s="156" t="str">
        <f ca="1">IFERROR(
  _xludf.MINIFS(ATTENDANCE_LOG!$F:$F,
         ATTENDANCE_LOG!$A:$A, C313,
         ATTENDANCE_LOG!$B:$B, E313),
"")</f>
        <v/>
      </c>
      <c r="I313" s="3">
        <f>IFERROR(VLOOKUP(F313, LEVEL_HELPER!$A:$B, 2, 0), "")</f>
        <v>4.5</v>
      </c>
      <c r="J313" s="3" t="str">
        <f>IFERROR(VLOOKUP(G313, LEVEL_HELPER!$A:$B, 2, 0), "")</f>
        <v/>
      </c>
      <c r="K313" s="3">
        <f t="shared" ref="K313:L313" si="635">IF(OR(I313="", I313=0), "",
  IF(I313&lt;=2,   1,
  IF(I313&lt;=4,   2,
  IF(I313&lt;=5.5, 3, 4))))</f>
        <v>3</v>
      </c>
      <c r="L313" s="3" t="str">
        <f t="shared" si="635"/>
        <v/>
      </c>
      <c r="M313" s="3" t="str">
        <f t="shared" si="516"/>
        <v>No Data</v>
      </c>
      <c r="N313" s="157" t="s">
        <v>954</v>
      </c>
      <c r="O313" s="157" t="s">
        <v>969</v>
      </c>
      <c r="P313" s="3" t="str">
        <f t="shared" ca="1" si="517"/>
        <v/>
      </c>
      <c r="Q313" s="147" t="str">
        <f t="shared" ca="1" si="518"/>
        <v/>
      </c>
      <c r="R313" s="147" t="str">
        <f t="shared" ref="R313:S313" ca="1" si="636">IF(OR(P313="", P313=0), "",
  IF(P313&lt;=2,   1,
  IF(P313&lt;=4,   2,
  IF(P313&lt;=5.5, 3, 4))))</f>
        <v/>
      </c>
      <c r="S313" s="147" t="str">
        <f t="shared" ca="1" si="636"/>
        <v/>
      </c>
      <c r="T313" s="147" t="str">
        <f t="shared" ca="1" si="520"/>
        <v>No Data</v>
      </c>
      <c r="U313" s="147">
        <f>IF(COUNTIF($A$2:A315, A313)=1, 1, 0)</f>
        <v>1</v>
      </c>
      <c r="V313" s="147"/>
    </row>
    <row r="314" spans="1:22">
      <c r="A314" s="157" t="s">
        <v>182</v>
      </c>
      <c r="B314" s="3" t="s">
        <v>183</v>
      </c>
      <c r="C314" s="160" t="s">
        <v>78</v>
      </c>
      <c r="D314" s="160" t="s">
        <v>871</v>
      </c>
      <c r="E314" s="3" t="s">
        <v>21</v>
      </c>
      <c r="F314" s="3" t="s">
        <v>926</v>
      </c>
      <c r="G314" s="3" t="s">
        <v>926</v>
      </c>
      <c r="H314" s="156" t="str">
        <f ca="1">IFERROR(
  _xludf.MINIFS(ATTENDANCE_LOG!$F:$F,
         ATTENDANCE_LOG!$A:$A, C314,
         ATTENDANCE_LOG!$B:$B, E314),
"")</f>
        <v/>
      </c>
      <c r="I314" s="3">
        <f>IFERROR(VLOOKUP(F314, LEVEL_HELPER!$A:$B, 2, 0), "")</f>
        <v>1</v>
      </c>
      <c r="J314" s="3">
        <f>IFERROR(VLOOKUP(G314, LEVEL_HELPER!$A:$B, 2, 0), "")</f>
        <v>1</v>
      </c>
      <c r="K314" s="3">
        <f t="shared" ref="K314:L314" si="637">IF(OR(I314="", I314=0), "",
  IF(I314&lt;=2,   1,
  IF(I314&lt;=4,   2,
  IF(I314&lt;=5.5, 3, 4))))</f>
        <v>1</v>
      </c>
      <c r="L314" s="3">
        <f t="shared" si="637"/>
        <v>1</v>
      </c>
      <c r="M314" s="3" t="str">
        <f t="shared" si="516"/>
        <v>No Progress</v>
      </c>
      <c r="N314" s="157" t="s">
        <v>918</v>
      </c>
      <c r="O314" s="157" t="s">
        <v>921</v>
      </c>
      <c r="P314" s="3" t="str">
        <f t="shared" ca="1" si="517"/>
        <v/>
      </c>
      <c r="Q314" s="147" t="str">
        <f t="shared" ca="1" si="518"/>
        <v/>
      </c>
      <c r="R314" s="147" t="str">
        <f t="shared" ref="R314:S314" ca="1" si="638">IF(OR(P314="", P314=0), "",
  IF(P314&lt;=2,   1,
  IF(P314&lt;=4,   2,
  IF(P314&lt;=5.5, 3, 4))))</f>
        <v/>
      </c>
      <c r="S314" s="147" t="str">
        <f t="shared" ca="1" si="638"/>
        <v/>
      </c>
      <c r="T314" s="147" t="str">
        <f t="shared" ca="1" si="520"/>
        <v>No Data</v>
      </c>
      <c r="U314" s="147">
        <f t="shared" ref="U314:U319" si="639">IF(COUNTIF($A$2:A314, A314)=1, 1, 0)</f>
        <v>1</v>
      </c>
      <c r="V314" s="147"/>
    </row>
    <row r="315" spans="1:22">
      <c r="A315" s="157" t="s">
        <v>259</v>
      </c>
      <c r="B315" s="3" t="s">
        <v>260</v>
      </c>
      <c r="C315" s="160" t="s">
        <v>78</v>
      </c>
      <c r="D315" s="160" t="s">
        <v>871</v>
      </c>
      <c r="E315" s="3" t="s">
        <v>21</v>
      </c>
      <c r="F315" s="3" t="s">
        <v>926</v>
      </c>
      <c r="G315" s="3" t="s">
        <v>926</v>
      </c>
      <c r="H315" s="156" t="str">
        <f ca="1">IFERROR(
  _xludf.MINIFS(ATTENDANCE_LOG!$F:$F,
         ATTENDANCE_LOG!$A:$A, C315,
         ATTENDANCE_LOG!$B:$B, E315),
"")</f>
        <v/>
      </c>
      <c r="I315" s="3">
        <f>IFERROR(VLOOKUP(F315, LEVEL_HELPER!$A:$B, 2, 0), "")</f>
        <v>1</v>
      </c>
      <c r="J315" s="3">
        <f>IFERROR(VLOOKUP(G315, LEVEL_HELPER!$A:$B, 2, 0), "")</f>
        <v>1</v>
      </c>
      <c r="K315" s="3">
        <f t="shared" ref="K315:L315" si="640">IF(OR(I315="", I315=0), "",
  IF(I315&lt;=2,   1,
  IF(I315&lt;=4,   2,
  IF(I315&lt;=5.5, 3, 4))))</f>
        <v>1</v>
      </c>
      <c r="L315" s="3">
        <f t="shared" si="640"/>
        <v>1</v>
      </c>
      <c r="M315" s="3" t="str">
        <f t="shared" si="516"/>
        <v>No Progress</v>
      </c>
      <c r="N315" s="157" t="s">
        <v>944</v>
      </c>
      <c r="O315" s="157" t="s">
        <v>921</v>
      </c>
      <c r="P315" s="3" t="str">
        <f t="shared" ca="1" si="517"/>
        <v/>
      </c>
      <c r="Q315" s="147" t="str">
        <f t="shared" ca="1" si="518"/>
        <v/>
      </c>
      <c r="R315" s="147" t="str">
        <f t="shared" ref="R315:S315" ca="1" si="641">IF(OR(P315="", P315=0), "",
  IF(P315&lt;=2,   1,
  IF(P315&lt;=4,   2,
  IF(P315&lt;=5.5, 3, 4))))</f>
        <v/>
      </c>
      <c r="S315" s="147" t="str">
        <f t="shared" ca="1" si="641"/>
        <v/>
      </c>
      <c r="T315" s="147" t="str">
        <f t="shared" ca="1" si="520"/>
        <v>No Data</v>
      </c>
      <c r="U315" s="147">
        <f t="shared" si="639"/>
        <v>1</v>
      </c>
      <c r="V315" s="147"/>
    </row>
    <row r="316" spans="1:22">
      <c r="A316" s="157" t="s">
        <v>423</v>
      </c>
      <c r="B316" s="3" t="s">
        <v>424</v>
      </c>
      <c r="C316" s="160" t="s">
        <v>78</v>
      </c>
      <c r="D316" s="160" t="s">
        <v>871</v>
      </c>
      <c r="E316" s="3" t="s">
        <v>21</v>
      </c>
      <c r="F316" s="3" t="s">
        <v>926</v>
      </c>
      <c r="G316" s="3" t="s">
        <v>917</v>
      </c>
      <c r="H316" s="156" t="str">
        <f ca="1">IFERROR(
  _xludf.MINIFS(ATTENDANCE_LOG!$F:$F,
         ATTENDANCE_LOG!$A:$A, C316,
         ATTENDANCE_LOG!$B:$B, E316),
"")</f>
        <v/>
      </c>
      <c r="I316" s="3">
        <f>IFERROR(VLOOKUP(F316, LEVEL_HELPER!$A:$B, 2, 0), "")</f>
        <v>1</v>
      </c>
      <c r="J316" s="3">
        <f>IFERROR(VLOOKUP(G316, LEVEL_HELPER!$A:$B, 2, 0), "")</f>
        <v>3</v>
      </c>
      <c r="K316" s="3">
        <f t="shared" ref="K316:L316" si="642">IF(OR(I316="", I316=0), "",
  IF(I316&lt;=2,   1,
  IF(I316&lt;=4,   2,
  IF(I316&lt;=5.5, 3, 4))))</f>
        <v>1</v>
      </c>
      <c r="L316" s="3">
        <f t="shared" si="642"/>
        <v>2</v>
      </c>
      <c r="M316" s="3" t="str">
        <f t="shared" si="516"/>
        <v>Lv1 → Lv2</v>
      </c>
      <c r="N316" s="157" t="s">
        <v>942</v>
      </c>
      <c r="O316" s="157" t="s">
        <v>921</v>
      </c>
      <c r="P316" s="3" t="str">
        <f t="shared" ca="1" si="517"/>
        <v/>
      </c>
      <c r="Q316" s="147" t="str">
        <f t="shared" ca="1" si="518"/>
        <v/>
      </c>
      <c r="R316" s="147" t="str">
        <f t="shared" ref="R316:S316" ca="1" si="643">IF(OR(P316="", P316=0), "",
  IF(P316&lt;=2,   1,
  IF(P316&lt;=4,   2,
  IF(P316&lt;=5.5, 3, 4))))</f>
        <v/>
      </c>
      <c r="S316" s="147" t="str">
        <f t="shared" ca="1" si="643"/>
        <v/>
      </c>
      <c r="T316" s="147" t="str">
        <f t="shared" ca="1" si="520"/>
        <v>No Data</v>
      </c>
      <c r="U316" s="147">
        <f t="shared" si="639"/>
        <v>1</v>
      </c>
      <c r="V316" s="147"/>
    </row>
    <row r="317" spans="1:22">
      <c r="A317" s="157" t="s">
        <v>711</v>
      </c>
      <c r="B317" s="3" t="s">
        <v>712</v>
      </c>
      <c r="C317" s="160" t="s">
        <v>78</v>
      </c>
      <c r="D317" s="160" t="s">
        <v>871</v>
      </c>
      <c r="E317" s="3" t="s">
        <v>21</v>
      </c>
      <c r="F317" s="3" t="s">
        <v>916</v>
      </c>
      <c r="G317" s="3" t="s">
        <v>931</v>
      </c>
      <c r="H317" s="156" t="str">
        <f ca="1">IFERROR(
  _xludf.MINIFS(ATTENDANCE_LOG!$F:$F,
         ATTENDANCE_LOG!$A:$A, C317,
         ATTENDANCE_LOG!$B:$B, E317),
"")</f>
        <v/>
      </c>
      <c r="I317" s="3">
        <f>IFERROR(VLOOKUP(F317, LEVEL_HELPER!$A:$B, 2, 0), "")</f>
        <v>2.5</v>
      </c>
      <c r="J317" s="3">
        <f>IFERROR(VLOOKUP(G317, LEVEL_HELPER!$A:$B, 2, 0), "")</f>
        <v>4.5</v>
      </c>
      <c r="K317" s="3">
        <f t="shared" ref="K317:L317" si="644">IF(OR(I317="", I317=0), "",
  IF(I317&lt;=2,   1,
  IF(I317&lt;=4,   2,
  IF(I317&lt;=5.5, 3, 4))))</f>
        <v>2</v>
      </c>
      <c r="L317" s="3">
        <f t="shared" si="644"/>
        <v>3</v>
      </c>
      <c r="M317" s="3" t="str">
        <f t="shared" si="516"/>
        <v>Lv2 → Lv3</v>
      </c>
      <c r="N317" s="157" t="s">
        <v>955</v>
      </c>
      <c r="O317" s="157" t="s">
        <v>921</v>
      </c>
      <c r="P317" s="3" t="str">
        <f t="shared" ca="1" si="517"/>
        <v/>
      </c>
      <c r="Q317" s="147" t="str">
        <f t="shared" ca="1" si="518"/>
        <v/>
      </c>
      <c r="R317" s="147" t="str">
        <f t="shared" ref="R317:S317" ca="1" si="645">IF(OR(P317="", P317=0), "",
  IF(P317&lt;=2,   1,
  IF(P317&lt;=4,   2,
  IF(P317&lt;=5.5, 3, 4))))</f>
        <v/>
      </c>
      <c r="S317" s="147" t="str">
        <f t="shared" ca="1" si="645"/>
        <v/>
      </c>
      <c r="T317" s="147" t="str">
        <f t="shared" ca="1" si="520"/>
        <v>No Data</v>
      </c>
      <c r="U317" s="147">
        <f t="shared" si="639"/>
        <v>1</v>
      </c>
      <c r="V317" s="147"/>
    </row>
    <row r="318" spans="1:22">
      <c r="A318" s="157" t="s">
        <v>713</v>
      </c>
      <c r="B318" s="3" t="s">
        <v>714</v>
      </c>
      <c r="C318" s="160" t="s">
        <v>78</v>
      </c>
      <c r="D318" s="160" t="s">
        <v>871</v>
      </c>
      <c r="E318" s="3" t="s">
        <v>21</v>
      </c>
      <c r="F318" s="3" t="s">
        <v>926</v>
      </c>
      <c r="G318" s="3"/>
      <c r="H318" s="156" t="str">
        <f ca="1">IFERROR(
  _xludf.MINIFS(ATTENDANCE_LOG!$F:$F,
         ATTENDANCE_LOG!$A:$A, C318,
         ATTENDANCE_LOG!$B:$B, E318),
"")</f>
        <v/>
      </c>
      <c r="I318" s="3">
        <f>IFERROR(VLOOKUP(F318, LEVEL_HELPER!$A:$B, 2, 0), "")</f>
        <v>1</v>
      </c>
      <c r="J318" s="3" t="str">
        <f>IFERROR(VLOOKUP(G318, LEVEL_HELPER!$A:$B, 2, 0), "")</f>
        <v/>
      </c>
      <c r="K318" s="3">
        <f t="shared" ref="K318:L318" si="646">IF(OR(I318="", I318=0), "",
  IF(I318&lt;=2,   1,
  IF(I318&lt;=4,   2,
  IF(I318&lt;=5.5, 3, 4))))</f>
        <v>1</v>
      </c>
      <c r="L318" s="3" t="str">
        <f t="shared" si="646"/>
        <v/>
      </c>
      <c r="M318" s="3" t="str">
        <f t="shared" si="516"/>
        <v>No Data</v>
      </c>
      <c r="N318" s="157" t="s">
        <v>942</v>
      </c>
      <c r="O318" s="157" t="s">
        <v>921</v>
      </c>
      <c r="P318" s="3" t="str">
        <f t="shared" ca="1" si="517"/>
        <v/>
      </c>
      <c r="Q318" s="147" t="str">
        <f t="shared" ca="1" si="518"/>
        <v/>
      </c>
      <c r="R318" s="147" t="str">
        <f t="shared" ref="R318:S318" ca="1" si="647">IF(OR(P318="", P318=0), "",
  IF(P318&lt;=2,   1,
  IF(P318&lt;=4,   2,
  IF(P318&lt;=5.5, 3, 4))))</f>
        <v/>
      </c>
      <c r="S318" s="147" t="str">
        <f t="shared" ca="1" si="647"/>
        <v/>
      </c>
      <c r="T318" s="147" t="str">
        <f t="shared" ca="1" si="520"/>
        <v>No Data</v>
      </c>
      <c r="U318" s="147">
        <f t="shared" si="639"/>
        <v>1</v>
      </c>
      <c r="V318" s="147"/>
    </row>
    <row r="319" spans="1:22">
      <c r="A319" s="157" t="s">
        <v>182</v>
      </c>
      <c r="B319" s="3" t="s">
        <v>183</v>
      </c>
      <c r="C319" s="160" t="s">
        <v>78</v>
      </c>
      <c r="D319" s="160" t="s">
        <v>871</v>
      </c>
      <c r="E319" s="3" t="s">
        <v>22</v>
      </c>
      <c r="F319" s="3" t="s">
        <v>926</v>
      </c>
      <c r="G319" s="3" t="s">
        <v>926</v>
      </c>
      <c r="H319" s="156" t="str">
        <f ca="1">IFERROR(
  _xludf.MINIFS(ATTENDANCE_LOG!$F:$F,
         ATTENDANCE_LOG!$A:$A, C319,
         ATTENDANCE_LOG!$B:$B, E319),
"")</f>
        <v/>
      </c>
      <c r="I319" s="3">
        <f>IFERROR(VLOOKUP(F319, LEVEL_HELPER!$A:$B, 2, 0), "")</f>
        <v>1</v>
      </c>
      <c r="J319" s="3">
        <f>IFERROR(VLOOKUP(G319, LEVEL_HELPER!$A:$B, 2, 0), "")</f>
        <v>1</v>
      </c>
      <c r="K319" s="3">
        <f t="shared" ref="K319:L319" si="648">IF(OR(I319="", I319=0), "",
  IF(I319&lt;=2,   1,
  IF(I319&lt;=4,   2,
  IF(I319&lt;=5.5, 3, 4))))</f>
        <v>1</v>
      </c>
      <c r="L319" s="3">
        <f t="shared" si="648"/>
        <v>1</v>
      </c>
      <c r="M319" s="3" t="str">
        <f t="shared" si="516"/>
        <v>No Progress</v>
      </c>
      <c r="N319" s="157" t="s">
        <v>918</v>
      </c>
      <c r="O319" s="157" t="s">
        <v>921</v>
      </c>
      <c r="P319" s="3" t="str">
        <f t="shared" ca="1" si="517"/>
        <v/>
      </c>
      <c r="Q319" s="147" t="str">
        <f t="shared" ca="1" si="518"/>
        <v/>
      </c>
      <c r="R319" s="147" t="str">
        <f t="shared" ref="R319:S319" ca="1" si="649">IF(OR(P319="", P319=0), "",
  IF(P319&lt;=2,   1,
  IF(P319&lt;=4,   2,
  IF(P319&lt;=5.5, 3, 4))))</f>
        <v/>
      </c>
      <c r="S319" s="147" t="str">
        <f t="shared" ca="1" si="649"/>
        <v/>
      </c>
      <c r="T319" s="147" t="str">
        <f t="shared" ca="1" si="520"/>
        <v>No Data</v>
      </c>
      <c r="U319" s="147">
        <f t="shared" si="639"/>
        <v>0</v>
      </c>
      <c r="V319" s="147"/>
    </row>
    <row r="320" spans="1:22">
      <c r="A320" s="157" t="s">
        <v>549</v>
      </c>
      <c r="B320" s="154" t="s">
        <v>550</v>
      </c>
      <c r="C320" s="155" t="s">
        <v>79</v>
      </c>
      <c r="D320" s="155" t="s">
        <v>872</v>
      </c>
      <c r="E320" s="154" t="s">
        <v>21</v>
      </c>
      <c r="F320" s="3" t="s">
        <v>916</v>
      </c>
      <c r="G320" s="3" t="s">
        <v>917</v>
      </c>
      <c r="H320" s="156" t="str">
        <f ca="1">IFERROR(
  _xludf.MINIFS(ATTENDANCE_LOG!$F:$F,
         ATTENDANCE_LOG!$A:$A, C320,
         ATTENDANCE_LOG!$B:$B, E320),
"")</f>
        <v/>
      </c>
      <c r="I320" s="3">
        <f>IFERROR(VLOOKUP(F320, LEVEL_HELPER!$A:$B, 2, 0), "")</f>
        <v>2.5</v>
      </c>
      <c r="J320" s="3">
        <f>IFERROR(VLOOKUP(G320, LEVEL_HELPER!$A:$B, 2, 0), "")</f>
        <v>3</v>
      </c>
      <c r="K320" s="3">
        <f t="shared" ref="K320:L320" si="650">IF(OR(I320="", I320=0), "",
  IF(I320&lt;=2,   1,
  IF(I320&lt;=4,   2,
  IF(I320&lt;=5.5, 3, 4))))</f>
        <v>2</v>
      </c>
      <c r="L320" s="3">
        <f t="shared" si="650"/>
        <v>2</v>
      </c>
      <c r="M320" s="3" t="str">
        <f t="shared" si="516"/>
        <v>Progress within level</v>
      </c>
      <c r="N320" s="157" t="s">
        <v>942</v>
      </c>
      <c r="O320" s="157" t="s">
        <v>921</v>
      </c>
      <c r="P320" s="3" t="str">
        <f t="shared" ca="1" si="517"/>
        <v/>
      </c>
      <c r="Q320" s="147" t="str">
        <f t="shared" ca="1" si="518"/>
        <v/>
      </c>
      <c r="R320" s="147" t="str">
        <f t="shared" ref="R320:S320" ca="1" si="651">IF(OR(P320="", P320=0), "",
  IF(P320&lt;=2,   1,
  IF(P320&lt;=4,   2,
  IF(P320&lt;=5.5, 3, 4))))</f>
        <v/>
      </c>
      <c r="S320" s="147" t="str">
        <f t="shared" ca="1" si="651"/>
        <v/>
      </c>
      <c r="T320" s="147" t="str">
        <f t="shared" ca="1" si="520"/>
        <v>No Data</v>
      </c>
      <c r="U320" s="147">
        <f>IF(COUNTIF($A$2:A325, A320)=1, 1, 0)</f>
        <v>1</v>
      </c>
      <c r="V320" s="147"/>
    </row>
    <row r="321" spans="1:22">
      <c r="A321" s="157" t="s">
        <v>200</v>
      </c>
      <c r="B321" s="3" t="s">
        <v>201</v>
      </c>
      <c r="C321" s="160" t="s">
        <v>79</v>
      </c>
      <c r="D321" s="160" t="s">
        <v>872</v>
      </c>
      <c r="E321" s="3" t="s">
        <v>21</v>
      </c>
      <c r="F321" s="3" t="s">
        <v>916</v>
      </c>
      <c r="G321" s="3" t="s">
        <v>931</v>
      </c>
      <c r="H321" s="156" t="str">
        <f ca="1">IFERROR(
  _xludf.MINIFS(ATTENDANCE_LOG!$F:$F,
         ATTENDANCE_LOG!$A:$A, C321,
         ATTENDANCE_LOG!$B:$B, E321),
"")</f>
        <v/>
      </c>
      <c r="I321" s="3">
        <f>IFERROR(VLOOKUP(F321, LEVEL_HELPER!$A:$B, 2, 0), "")</f>
        <v>2.5</v>
      </c>
      <c r="J321" s="3">
        <f>IFERROR(VLOOKUP(G321, LEVEL_HELPER!$A:$B, 2, 0), "")</f>
        <v>4.5</v>
      </c>
      <c r="K321" s="3">
        <f t="shared" ref="K321:L321" si="652">IF(OR(I321="", I321=0), "",
  IF(I321&lt;=2,   1,
  IF(I321&lt;=4,   2,
  IF(I321&lt;=5.5, 3, 4))))</f>
        <v>2</v>
      </c>
      <c r="L321" s="3">
        <f t="shared" si="652"/>
        <v>3</v>
      </c>
      <c r="M321" s="3" t="str">
        <f t="shared" si="516"/>
        <v>Lv2 → Lv3</v>
      </c>
      <c r="N321" s="157" t="s">
        <v>942</v>
      </c>
      <c r="O321" s="157" t="s">
        <v>921</v>
      </c>
      <c r="P321" s="3" t="str">
        <f t="shared" ca="1" si="517"/>
        <v/>
      </c>
      <c r="Q321" s="147" t="str">
        <f t="shared" ca="1" si="518"/>
        <v/>
      </c>
      <c r="R321" s="147" t="str">
        <f t="shared" ref="R321:S321" ca="1" si="653">IF(OR(P321="", P321=0), "",
  IF(P321&lt;=2,   1,
  IF(P321&lt;=4,   2,
  IF(P321&lt;=5.5, 3, 4))))</f>
        <v/>
      </c>
      <c r="S321" s="147" t="str">
        <f t="shared" ca="1" si="653"/>
        <v/>
      </c>
      <c r="T321" s="147" t="str">
        <f t="shared" ca="1" si="520"/>
        <v>No Data</v>
      </c>
      <c r="U321" s="147">
        <f t="shared" ref="U321:U325" si="654">IF(COUNTIF($A$2:A321, A321)=1, 1, 0)</f>
        <v>1</v>
      </c>
      <c r="V321" s="147"/>
    </row>
    <row r="322" spans="1:22">
      <c r="A322" s="157" t="s">
        <v>214</v>
      </c>
      <c r="B322" s="3" t="s">
        <v>215</v>
      </c>
      <c r="C322" s="160" t="s">
        <v>79</v>
      </c>
      <c r="D322" s="160" t="s">
        <v>872</v>
      </c>
      <c r="E322" s="3" t="s">
        <v>21</v>
      </c>
      <c r="F322" s="3" t="s">
        <v>926</v>
      </c>
      <c r="G322" s="3" t="s">
        <v>928</v>
      </c>
      <c r="H322" s="156" t="str">
        <f ca="1">IFERROR(
  _xludf.MINIFS(ATTENDANCE_LOG!$F:$F,
         ATTENDANCE_LOG!$A:$A, C322,
         ATTENDANCE_LOG!$B:$B, E322),
"")</f>
        <v/>
      </c>
      <c r="I322" s="3">
        <f>IFERROR(VLOOKUP(F322, LEVEL_HELPER!$A:$B, 2, 0), "")</f>
        <v>1</v>
      </c>
      <c r="J322" s="3">
        <f>IFERROR(VLOOKUP(G322, LEVEL_HELPER!$A:$B, 2, 0), "")</f>
        <v>1.5</v>
      </c>
      <c r="K322" s="3">
        <f t="shared" ref="K322:L322" si="655">IF(OR(I322="", I322=0), "",
  IF(I322&lt;=2,   1,
  IF(I322&lt;=4,   2,
  IF(I322&lt;=5.5, 3, 4))))</f>
        <v>1</v>
      </c>
      <c r="L322" s="3">
        <f t="shared" si="655"/>
        <v>1</v>
      </c>
      <c r="M322" s="3" t="str">
        <f t="shared" si="516"/>
        <v>Progress within level</v>
      </c>
      <c r="N322" s="157" t="s">
        <v>942</v>
      </c>
      <c r="O322" s="157" t="s">
        <v>921</v>
      </c>
      <c r="P322" s="3" t="str">
        <f t="shared" ca="1" si="517"/>
        <v/>
      </c>
      <c r="Q322" s="147" t="str">
        <f t="shared" ca="1" si="518"/>
        <v/>
      </c>
      <c r="R322" s="147" t="str">
        <f t="shared" ref="R322:S322" ca="1" si="656">IF(OR(P322="", P322=0), "",
  IF(P322&lt;=2,   1,
  IF(P322&lt;=4,   2,
  IF(P322&lt;=5.5, 3, 4))))</f>
        <v/>
      </c>
      <c r="S322" s="147" t="str">
        <f t="shared" ca="1" si="656"/>
        <v/>
      </c>
      <c r="T322" s="147" t="str">
        <f t="shared" ca="1" si="520"/>
        <v>No Data</v>
      </c>
      <c r="U322" s="147">
        <f t="shared" si="654"/>
        <v>1</v>
      </c>
      <c r="V322" s="147"/>
    </row>
    <row r="323" spans="1:22">
      <c r="A323" s="157" t="s">
        <v>436</v>
      </c>
      <c r="B323" s="3" t="s">
        <v>437</v>
      </c>
      <c r="C323" s="160" t="s">
        <v>79</v>
      </c>
      <c r="D323" s="160" t="s">
        <v>872</v>
      </c>
      <c r="E323" s="3" t="s">
        <v>21</v>
      </c>
      <c r="F323" s="3" t="s">
        <v>926</v>
      </c>
      <c r="G323" s="3" t="s">
        <v>934</v>
      </c>
      <c r="H323" s="156" t="str">
        <f ca="1">IFERROR(
  _xludf.MINIFS(ATTENDANCE_LOG!$F:$F,
         ATTENDANCE_LOG!$A:$A, C323,
         ATTENDANCE_LOG!$B:$B, E323),
"")</f>
        <v/>
      </c>
      <c r="I323" s="3">
        <f>IFERROR(VLOOKUP(F323, LEVEL_HELPER!$A:$B, 2, 0), "")</f>
        <v>1</v>
      </c>
      <c r="J323" s="3">
        <f>IFERROR(VLOOKUP(G323, LEVEL_HELPER!$A:$B, 2, 0), "")</f>
        <v>3.5</v>
      </c>
      <c r="K323" s="3">
        <f t="shared" ref="K323:L323" si="657">IF(OR(I323="", I323=0), "",
  IF(I323&lt;=2,   1,
  IF(I323&lt;=4,   2,
  IF(I323&lt;=5.5, 3, 4))))</f>
        <v>1</v>
      </c>
      <c r="L323" s="3">
        <f t="shared" si="657"/>
        <v>2</v>
      </c>
      <c r="M323" s="3" t="str">
        <f t="shared" si="516"/>
        <v>Lv1 → Lv2</v>
      </c>
      <c r="N323" s="157" t="s">
        <v>942</v>
      </c>
      <c r="O323" s="157" t="s">
        <v>921</v>
      </c>
      <c r="P323" s="3" t="str">
        <f t="shared" ca="1" si="517"/>
        <v/>
      </c>
      <c r="Q323" s="147" t="str">
        <f t="shared" ca="1" si="518"/>
        <v/>
      </c>
      <c r="R323" s="147" t="str">
        <f t="shared" ref="R323:S323" ca="1" si="658">IF(OR(P323="", P323=0), "",
  IF(P323&lt;=2,   1,
  IF(P323&lt;=4,   2,
  IF(P323&lt;=5.5, 3, 4))))</f>
        <v/>
      </c>
      <c r="S323" s="147" t="str">
        <f t="shared" ca="1" si="658"/>
        <v/>
      </c>
      <c r="T323" s="147" t="str">
        <f t="shared" ca="1" si="520"/>
        <v>No Data</v>
      </c>
      <c r="U323" s="147">
        <f t="shared" si="654"/>
        <v>1</v>
      </c>
      <c r="V323" s="147"/>
    </row>
    <row r="324" spans="1:22">
      <c r="A324" s="157" t="s">
        <v>476</v>
      </c>
      <c r="B324" s="3" t="s">
        <v>477</v>
      </c>
      <c r="C324" s="160" t="s">
        <v>79</v>
      </c>
      <c r="D324" s="160" t="s">
        <v>872</v>
      </c>
      <c r="E324" s="3" t="s">
        <v>21</v>
      </c>
      <c r="F324" s="3" t="s">
        <v>926</v>
      </c>
      <c r="G324" s="3" t="s">
        <v>926</v>
      </c>
      <c r="H324" s="156" t="str">
        <f ca="1">IFERROR(
  _xludf.MINIFS(ATTENDANCE_LOG!$F:$F,
         ATTENDANCE_LOG!$A:$A, C324,
         ATTENDANCE_LOG!$B:$B, E324),
"")</f>
        <v/>
      </c>
      <c r="I324" s="3">
        <f>IFERROR(VLOOKUP(F324, LEVEL_HELPER!$A:$B, 2, 0), "")</f>
        <v>1</v>
      </c>
      <c r="J324" s="3">
        <f>IFERROR(VLOOKUP(G324, LEVEL_HELPER!$A:$B, 2, 0), "")</f>
        <v>1</v>
      </c>
      <c r="K324" s="3">
        <f t="shared" ref="K324:L324" si="659">IF(OR(I324="", I324=0), "",
  IF(I324&lt;=2,   1,
  IF(I324&lt;=4,   2,
  IF(I324&lt;=5.5, 3, 4))))</f>
        <v>1</v>
      </c>
      <c r="L324" s="3">
        <f t="shared" si="659"/>
        <v>1</v>
      </c>
      <c r="M324" s="3" t="str">
        <f t="shared" si="516"/>
        <v>No Progress</v>
      </c>
      <c r="N324" s="157" t="s">
        <v>942</v>
      </c>
      <c r="O324" s="157" t="s">
        <v>921</v>
      </c>
      <c r="P324" s="3" t="str">
        <f t="shared" ca="1" si="517"/>
        <v/>
      </c>
      <c r="Q324" s="147" t="str">
        <f t="shared" ca="1" si="518"/>
        <v/>
      </c>
      <c r="R324" s="147" t="str">
        <f t="shared" ref="R324:S324" ca="1" si="660">IF(OR(P324="", P324=0), "",
  IF(P324&lt;=2,   1,
  IF(P324&lt;=4,   2,
  IF(P324&lt;=5.5, 3, 4))))</f>
        <v/>
      </c>
      <c r="S324" s="147" t="str">
        <f t="shared" ca="1" si="660"/>
        <v/>
      </c>
      <c r="T324" s="147" t="str">
        <f t="shared" ca="1" si="520"/>
        <v>No Data</v>
      </c>
      <c r="U324" s="147">
        <f t="shared" si="654"/>
        <v>1</v>
      </c>
      <c r="V324" s="147"/>
    </row>
    <row r="325" spans="1:22">
      <c r="A325" s="157" t="s">
        <v>488</v>
      </c>
      <c r="B325" s="3" t="s">
        <v>489</v>
      </c>
      <c r="C325" s="160" t="s">
        <v>79</v>
      </c>
      <c r="D325" s="160" t="s">
        <v>872</v>
      </c>
      <c r="E325" s="3" t="s">
        <v>21</v>
      </c>
      <c r="F325" s="3" t="s">
        <v>916</v>
      </c>
      <c r="G325" s="3" t="s">
        <v>928</v>
      </c>
      <c r="H325" s="156" t="str">
        <f ca="1">IFERROR(
  _xludf.MINIFS(ATTENDANCE_LOG!$F:$F,
         ATTENDANCE_LOG!$A:$A, C325,
         ATTENDANCE_LOG!$B:$B, E325),
"")</f>
        <v/>
      </c>
      <c r="I325" s="3">
        <f>IFERROR(VLOOKUP(F325, LEVEL_HELPER!$A:$B, 2, 0), "")</f>
        <v>2.5</v>
      </c>
      <c r="J325" s="3">
        <f>IFERROR(VLOOKUP(G325, LEVEL_HELPER!$A:$B, 2, 0), "")</f>
        <v>1.5</v>
      </c>
      <c r="K325" s="3">
        <f t="shared" ref="K325:L325" si="661">IF(OR(I325="", I325=0), "",
  IF(I325&lt;=2,   1,
  IF(I325&lt;=4,   2,
  IF(I325&lt;=5.5, 3, 4))))</f>
        <v>2</v>
      </c>
      <c r="L325" s="3">
        <f t="shared" si="661"/>
        <v>1</v>
      </c>
      <c r="M325" s="3" t="str">
        <f t="shared" si="516"/>
        <v>Regressed</v>
      </c>
      <c r="N325" s="157" t="s">
        <v>918</v>
      </c>
      <c r="O325" s="157" t="s">
        <v>921</v>
      </c>
      <c r="P325" s="3" t="str">
        <f t="shared" ca="1" si="517"/>
        <v/>
      </c>
      <c r="Q325" s="147" t="str">
        <f t="shared" ca="1" si="518"/>
        <v/>
      </c>
      <c r="R325" s="147" t="str">
        <f t="shared" ref="R325:S325" ca="1" si="662">IF(OR(P325="", P325=0), "",
  IF(P325&lt;=2,   1,
  IF(P325&lt;=4,   2,
  IF(P325&lt;=5.5, 3, 4))))</f>
        <v/>
      </c>
      <c r="S325" s="147" t="str">
        <f t="shared" ca="1" si="662"/>
        <v/>
      </c>
      <c r="T325" s="147" t="str">
        <f t="shared" ca="1" si="520"/>
        <v>No Data</v>
      </c>
      <c r="U325" s="147">
        <f t="shared" si="654"/>
        <v>1</v>
      </c>
      <c r="V325" s="147"/>
    </row>
    <row r="326" spans="1:22">
      <c r="A326" s="157" t="s">
        <v>661</v>
      </c>
      <c r="B326" s="154" t="s">
        <v>662</v>
      </c>
      <c r="C326" s="155" t="s">
        <v>80</v>
      </c>
      <c r="D326" s="155" t="s">
        <v>873</v>
      </c>
      <c r="E326" s="154" t="s">
        <v>21</v>
      </c>
      <c r="F326" s="3" t="s">
        <v>916</v>
      </c>
      <c r="G326" s="3"/>
      <c r="H326" s="156" t="str">
        <f ca="1">IFERROR(
  _xludf.MINIFS(ATTENDANCE_LOG!$F:$F,
         ATTENDANCE_LOG!$A:$A, C326,
         ATTENDANCE_LOG!$B:$B, E326),
"")</f>
        <v/>
      </c>
      <c r="I326" s="3">
        <f>IFERROR(VLOOKUP(F326, LEVEL_HELPER!$A:$B, 2, 0), "")</f>
        <v>2.5</v>
      </c>
      <c r="J326" s="3" t="str">
        <f>IFERROR(VLOOKUP(G326, LEVEL_HELPER!$A:$B, 2, 0), "")</f>
        <v/>
      </c>
      <c r="K326" s="3">
        <f t="shared" ref="K326:L326" si="663">IF(OR(I326="", I326=0), "",
  IF(I326&lt;=2,   1,
  IF(I326&lt;=4,   2,
  IF(I326&lt;=5.5, 3, 4))))</f>
        <v>2</v>
      </c>
      <c r="L326" s="3" t="str">
        <f t="shared" si="663"/>
        <v/>
      </c>
      <c r="M326" s="3" t="str">
        <f t="shared" si="516"/>
        <v>No Data</v>
      </c>
      <c r="N326" s="157" t="s">
        <v>941</v>
      </c>
      <c r="O326" s="157" t="s">
        <v>921</v>
      </c>
      <c r="P326" s="3" t="str">
        <f t="shared" ca="1" si="517"/>
        <v/>
      </c>
      <c r="Q326" s="147" t="str">
        <f t="shared" ca="1" si="518"/>
        <v/>
      </c>
      <c r="R326" s="147" t="str">
        <f t="shared" ref="R326:S326" ca="1" si="664">IF(OR(P326="", P326=0), "",
  IF(P326&lt;=2,   1,
  IF(P326&lt;=4,   2,
  IF(P326&lt;=5.5, 3, 4))))</f>
        <v/>
      </c>
      <c r="S326" s="147" t="str">
        <f t="shared" ca="1" si="664"/>
        <v/>
      </c>
      <c r="T326" s="147" t="str">
        <f t="shared" ca="1" si="520"/>
        <v>No Data</v>
      </c>
      <c r="U326" s="147">
        <f>IF(COUNTIF($A$2:A330, A326)=1, 1, 0)</f>
        <v>1</v>
      </c>
      <c r="V326" s="147"/>
    </row>
    <row r="327" spans="1:22">
      <c r="A327" s="157" t="s">
        <v>157</v>
      </c>
      <c r="B327" s="3" t="s">
        <v>158</v>
      </c>
      <c r="C327" s="160" t="s">
        <v>80</v>
      </c>
      <c r="D327" s="160" t="s">
        <v>873</v>
      </c>
      <c r="E327" s="3" t="s">
        <v>21</v>
      </c>
      <c r="F327" s="3" t="s">
        <v>926</v>
      </c>
      <c r="G327" s="3"/>
      <c r="H327" s="156" t="str">
        <f ca="1">IFERROR(
  _xludf.MINIFS(ATTENDANCE_LOG!$F:$F,
         ATTENDANCE_LOG!$A:$A, C327,
         ATTENDANCE_LOG!$B:$B, E327),
"")</f>
        <v/>
      </c>
      <c r="I327" s="3">
        <f>IFERROR(VLOOKUP(F327, LEVEL_HELPER!$A:$B, 2, 0), "")</f>
        <v>1</v>
      </c>
      <c r="J327" s="3" t="str">
        <f>IFERROR(VLOOKUP(G327, LEVEL_HELPER!$A:$B, 2, 0), "")</f>
        <v/>
      </c>
      <c r="K327" s="3">
        <f t="shared" ref="K327:L327" si="665">IF(OR(I327="", I327=0), "",
  IF(I327&lt;=2,   1,
  IF(I327&lt;=4,   2,
  IF(I327&lt;=5.5, 3, 4))))</f>
        <v>1</v>
      </c>
      <c r="L327" s="3" t="str">
        <f t="shared" si="665"/>
        <v/>
      </c>
      <c r="M327" s="3" t="str">
        <f t="shared" si="516"/>
        <v>No Data</v>
      </c>
      <c r="N327" s="157" t="s">
        <v>918</v>
      </c>
      <c r="O327" s="157" t="s">
        <v>921</v>
      </c>
      <c r="P327" s="3" t="str">
        <f t="shared" ca="1" si="517"/>
        <v/>
      </c>
      <c r="Q327" s="147" t="str">
        <f t="shared" ca="1" si="518"/>
        <v/>
      </c>
      <c r="R327" s="147" t="str">
        <f t="shared" ref="R327:S327" ca="1" si="666">IF(OR(P327="", P327=0), "",
  IF(P327&lt;=2,   1,
  IF(P327&lt;=4,   2,
  IF(P327&lt;=5.5, 3, 4))))</f>
        <v/>
      </c>
      <c r="S327" s="147" t="str">
        <f t="shared" ca="1" si="666"/>
        <v/>
      </c>
      <c r="T327" s="147" t="str">
        <f t="shared" ca="1" si="520"/>
        <v>No Data</v>
      </c>
      <c r="U327" s="147">
        <f t="shared" ref="U327:U336" si="667">IF(COUNTIF($A$2:A327, A327)=1, 1, 0)</f>
        <v>1</v>
      </c>
      <c r="V327" s="147"/>
    </row>
    <row r="328" spans="1:22">
      <c r="A328" s="157" t="s">
        <v>194</v>
      </c>
      <c r="B328" s="3" t="s">
        <v>195</v>
      </c>
      <c r="C328" s="160" t="s">
        <v>80</v>
      </c>
      <c r="D328" s="160" t="s">
        <v>873</v>
      </c>
      <c r="E328" s="3" t="s">
        <v>21</v>
      </c>
      <c r="F328" s="3" t="s">
        <v>926</v>
      </c>
      <c r="G328" s="3"/>
      <c r="H328" s="156" t="str">
        <f ca="1">IFERROR(
  _xludf.MINIFS(ATTENDANCE_LOG!$F:$F,
         ATTENDANCE_LOG!$A:$A, C328,
         ATTENDANCE_LOG!$B:$B, E328),
"")</f>
        <v/>
      </c>
      <c r="I328" s="3">
        <f>IFERROR(VLOOKUP(F328, LEVEL_HELPER!$A:$B, 2, 0), "")</f>
        <v>1</v>
      </c>
      <c r="J328" s="3" t="str">
        <f>IFERROR(VLOOKUP(G328, LEVEL_HELPER!$A:$B, 2, 0), "")</f>
        <v/>
      </c>
      <c r="K328" s="3">
        <f t="shared" ref="K328:L328" si="668">IF(OR(I328="", I328=0), "",
  IF(I328&lt;=2,   1,
  IF(I328&lt;=4,   2,
  IF(I328&lt;=5.5, 3, 4))))</f>
        <v>1</v>
      </c>
      <c r="L328" s="3" t="str">
        <f t="shared" si="668"/>
        <v/>
      </c>
      <c r="M328" s="3" t="str">
        <f t="shared" si="516"/>
        <v>No Data</v>
      </c>
      <c r="N328" s="157" t="s">
        <v>942</v>
      </c>
      <c r="O328" s="157" t="s">
        <v>921</v>
      </c>
      <c r="P328" s="3" t="str">
        <f t="shared" ca="1" si="517"/>
        <v/>
      </c>
      <c r="Q328" s="147" t="str">
        <f t="shared" ca="1" si="518"/>
        <v/>
      </c>
      <c r="R328" s="147" t="str">
        <f t="shared" ref="R328:S328" ca="1" si="669">IF(OR(P328="", P328=0), "",
  IF(P328&lt;=2,   1,
  IF(P328&lt;=4,   2,
  IF(P328&lt;=5.5, 3, 4))))</f>
        <v/>
      </c>
      <c r="S328" s="147" t="str">
        <f t="shared" ca="1" si="669"/>
        <v/>
      </c>
      <c r="T328" s="147" t="str">
        <f t="shared" ca="1" si="520"/>
        <v>No Data</v>
      </c>
      <c r="U328" s="147">
        <f t="shared" si="667"/>
        <v>1</v>
      </c>
      <c r="V328" s="147"/>
    </row>
    <row r="329" spans="1:22">
      <c r="A329" s="157" t="s">
        <v>457</v>
      </c>
      <c r="B329" s="3" t="s">
        <v>458</v>
      </c>
      <c r="C329" s="160" t="s">
        <v>80</v>
      </c>
      <c r="D329" s="160" t="s">
        <v>873</v>
      </c>
      <c r="E329" s="3" t="s">
        <v>21</v>
      </c>
      <c r="F329" s="3" t="s">
        <v>916</v>
      </c>
      <c r="G329" s="3"/>
      <c r="H329" s="156" t="str">
        <f ca="1">IFERROR(
  _xludf.MINIFS(ATTENDANCE_LOG!$F:$F,
         ATTENDANCE_LOG!$A:$A, C329,
         ATTENDANCE_LOG!$B:$B, E329),
"")</f>
        <v/>
      </c>
      <c r="I329" s="3">
        <f>IFERROR(VLOOKUP(F329, LEVEL_HELPER!$A:$B, 2, 0), "")</f>
        <v>2.5</v>
      </c>
      <c r="J329" s="3" t="str">
        <f>IFERROR(VLOOKUP(G329, LEVEL_HELPER!$A:$B, 2, 0), "")</f>
        <v/>
      </c>
      <c r="K329" s="3">
        <f t="shared" ref="K329:L329" si="670">IF(OR(I329="", I329=0), "",
  IF(I329&lt;=2,   1,
  IF(I329&lt;=4,   2,
  IF(I329&lt;=5.5, 3, 4))))</f>
        <v>2</v>
      </c>
      <c r="L329" s="3" t="str">
        <f t="shared" si="670"/>
        <v/>
      </c>
      <c r="M329" s="3" t="str">
        <f t="shared" si="516"/>
        <v>No Data</v>
      </c>
      <c r="N329" s="157" t="s">
        <v>918</v>
      </c>
      <c r="O329" s="157" t="s">
        <v>921</v>
      </c>
      <c r="P329" s="3" t="str">
        <f t="shared" ca="1" si="517"/>
        <v/>
      </c>
      <c r="Q329" s="147" t="str">
        <f t="shared" ca="1" si="518"/>
        <v/>
      </c>
      <c r="R329" s="147" t="str">
        <f t="shared" ref="R329:S329" ca="1" si="671">IF(OR(P329="", P329=0), "",
  IF(P329&lt;=2,   1,
  IF(P329&lt;=4,   2,
  IF(P329&lt;=5.5, 3, 4))))</f>
        <v/>
      </c>
      <c r="S329" s="147" t="str">
        <f t="shared" ca="1" si="671"/>
        <v/>
      </c>
      <c r="T329" s="147" t="str">
        <f t="shared" ca="1" si="520"/>
        <v>No Data</v>
      </c>
      <c r="U329" s="147">
        <f t="shared" si="667"/>
        <v>1</v>
      </c>
      <c r="V329" s="147"/>
    </row>
    <row r="330" spans="1:22">
      <c r="A330" s="157" t="s">
        <v>541</v>
      </c>
      <c r="B330" s="3" t="s">
        <v>542</v>
      </c>
      <c r="C330" s="160" t="s">
        <v>80</v>
      </c>
      <c r="D330" s="160" t="s">
        <v>873</v>
      </c>
      <c r="E330" s="3" t="s">
        <v>21</v>
      </c>
      <c r="F330" s="3" t="s">
        <v>926</v>
      </c>
      <c r="G330" s="3"/>
      <c r="H330" s="156" t="str">
        <f ca="1">IFERROR(
  _xludf.MINIFS(ATTENDANCE_LOG!$F:$F,
         ATTENDANCE_LOG!$A:$A, C330,
         ATTENDANCE_LOG!$B:$B, E330),
"")</f>
        <v/>
      </c>
      <c r="I330" s="3">
        <f>IFERROR(VLOOKUP(F330, LEVEL_HELPER!$A:$B, 2, 0), "")</f>
        <v>1</v>
      </c>
      <c r="J330" s="3" t="str">
        <f>IFERROR(VLOOKUP(G330, LEVEL_HELPER!$A:$B, 2, 0), "")</f>
        <v/>
      </c>
      <c r="K330" s="3">
        <f t="shared" ref="K330:L330" si="672">IF(OR(I330="", I330=0), "",
  IF(I330&lt;=2,   1,
  IF(I330&lt;=4,   2,
  IF(I330&lt;=5.5, 3, 4))))</f>
        <v>1</v>
      </c>
      <c r="L330" s="3" t="str">
        <f t="shared" si="672"/>
        <v/>
      </c>
      <c r="M330" s="3" t="str">
        <f t="shared" si="516"/>
        <v>No Data</v>
      </c>
      <c r="N330" s="157" t="s">
        <v>941</v>
      </c>
      <c r="O330" s="157" t="s">
        <v>921</v>
      </c>
      <c r="P330" s="3" t="str">
        <f t="shared" ca="1" si="517"/>
        <v/>
      </c>
      <c r="Q330" s="147" t="str">
        <f t="shared" ca="1" si="518"/>
        <v/>
      </c>
      <c r="R330" s="147" t="str">
        <f t="shared" ref="R330:S330" ca="1" si="673">IF(OR(P330="", P330=0), "",
  IF(P330&lt;=2,   1,
  IF(P330&lt;=4,   2,
  IF(P330&lt;=5.5, 3, 4))))</f>
        <v/>
      </c>
      <c r="S330" s="147" t="str">
        <f t="shared" ca="1" si="673"/>
        <v/>
      </c>
      <c r="T330" s="147" t="str">
        <f t="shared" ca="1" si="520"/>
        <v>No Data</v>
      </c>
      <c r="U330" s="147">
        <f t="shared" si="667"/>
        <v>1</v>
      </c>
      <c r="V330" s="147"/>
    </row>
    <row r="331" spans="1:22">
      <c r="A331" s="157" t="s">
        <v>703</v>
      </c>
      <c r="B331" s="3" t="s">
        <v>704</v>
      </c>
      <c r="C331" s="160" t="s">
        <v>80</v>
      </c>
      <c r="D331" s="160" t="s">
        <v>873</v>
      </c>
      <c r="E331" s="3" t="s">
        <v>21</v>
      </c>
      <c r="F331" s="3" t="s">
        <v>926</v>
      </c>
      <c r="G331" s="3"/>
      <c r="H331" s="156" t="str">
        <f ca="1">IFERROR(
  _xludf.MINIFS(ATTENDANCE_LOG!$F:$F,
         ATTENDANCE_LOG!$A:$A, C331,
         ATTENDANCE_LOG!$B:$B, E331),
"")</f>
        <v/>
      </c>
      <c r="I331" s="3">
        <f>IFERROR(VLOOKUP(F331, LEVEL_HELPER!$A:$B, 2, 0), "")</f>
        <v>1</v>
      </c>
      <c r="J331" s="3" t="str">
        <f>IFERROR(VLOOKUP(G331, LEVEL_HELPER!$A:$B, 2, 0), "")</f>
        <v/>
      </c>
      <c r="K331" s="3">
        <f t="shared" ref="K331:L331" si="674">IF(OR(I331="", I331=0), "",
  IF(I331&lt;=2,   1,
  IF(I331&lt;=4,   2,
  IF(I331&lt;=5.5, 3, 4))))</f>
        <v>1</v>
      </c>
      <c r="L331" s="3" t="str">
        <f t="shared" si="674"/>
        <v/>
      </c>
      <c r="M331" s="3" t="str">
        <f t="shared" si="516"/>
        <v>No Data</v>
      </c>
      <c r="N331" s="157" t="s">
        <v>942</v>
      </c>
      <c r="O331" s="157" t="s">
        <v>921</v>
      </c>
      <c r="P331" s="3" t="str">
        <f t="shared" ca="1" si="517"/>
        <v/>
      </c>
      <c r="Q331" s="147" t="str">
        <f t="shared" ca="1" si="518"/>
        <v/>
      </c>
      <c r="R331" s="147" t="str">
        <f t="shared" ref="R331:S331" ca="1" si="675">IF(OR(P331="", P331=0), "",
  IF(P331&lt;=2,   1,
  IF(P331&lt;=4,   2,
  IF(P331&lt;=5.5, 3, 4))))</f>
        <v/>
      </c>
      <c r="S331" s="147" t="str">
        <f t="shared" ca="1" si="675"/>
        <v/>
      </c>
      <c r="T331" s="147" t="str">
        <f t="shared" ca="1" si="520"/>
        <v>No Data</v>
      </c>
      <c r="U331" s="147">
        <f t="shared" si="667"/>
        <v>1</v>
      </c>
      <c r="V331" s="147"/>
    </row>
    <row r="332" spans="1:22">
      <c r="A332" s="157" t="s">
        <v>707</v>
      </c>
      <c r="B332" s="3" t="s">
        <v>708</v>
      </c>
      <c r="C332" s="160" t="s">
        <v>80</v>
      </c>
      <c r="D332" s="160" t="s">
        <v>873</v>
      </c>
      <c r="E332" s="3" t="s">
        <v>21</v>
      </c>
      <c r="F332" s="3" t="s">
        <v>926</v>
      </c>
      <c r="G332" s="3"/>
      <c r="H332" s="156" t="str">
        <f ca="1">IFERROR(
  _xludf.MINIFS(ATTENDANCE_LOG!$F:$F,
         ATTENDANCE_LOG!$A:$A, C332,
         ATTENDANCE_LOG!$B:$B, E332),
"")</f>
        <v/>
      </c>
      <c r="I332" s="3">
        <f>IFERROR(VLOOKUP(F332, LEVEL_HELPER!$A:$B, 2, 0), "")</f>
        <v>1</v>
      </c>
      <c r="J332" s="3" t="str">
        <f>IFERROR(VLOOKUP(G332, LEVEL_HELPER!$A:$B, 2, 0), "")</f>
        <v/>
      </c>
      <c r="K332" s="3">
        <f t="shared" ref="K332:L332" si="676">IF(OR(I332="", I332=0), "",
  IF(I332&lt;=2,   1,
  IF(I332&lt;=4,   2,
  IF(I332&lt;=5.5, 3, 4))))</f>
        <v>1</v>
      </c>
      <c r="L332" s="3" t="str">
        <f t="shared" si="676"/>
        <v/>
      </c>
      <c r="M332" s="3" t="str">
        <f t="shared" si="516"/>
        <v>No Data</v>
      </c>
      <c r="N332" s="157" t="s">
        <v>941</v>
      </c>
      <c r="O332" s="157" t="s">
        <v>921</v>
      </c>
      <c r="P332" s="3" t="str">
        <f t="shared" ca="1" si="517"/>
        <v/>
      </c>
      <c r="Q332" s="147" t="str">
        <f t="shared" ca="1" si="518"/>
        <v/>
      </c>
      <c r="R332" s="147" t="str">
        <f t="shared" ref="R332:S332" ca="1" si="677">IF(OR(P332="", P332=0), "",
  IF(P332&lt;=2,   1,
  IF(P332&lt;=4,   2,
  IF(P332&lt;=5.5, 3, 4))))</f>
        <v/>
      </c>
      <c r="S332" s="147" t="str">
        <f t="shared" ca="1" si="677"/>
        <v/>
      </c>
      <c r="T332" s="147" t="str">
        <f t="shared" ca="1" si="520"/>
        <v>No Data</v>
      </c>
      <c r="U332" s="147">
        <f t="shared" si="667"/>
        <v>1</v>
      </c>
      <c r="V332" s="147"/>
    </row>
    <row r="333" spans="1:22">
      <c r="A333" s="157" t="s">
        <v>512</v>
      </c>
      <c r="B333" s="154" t="s">
        <v>513</v>
      </c>
      <c r="C333" s="155" t="s">
        <v>81</v>
      </c>
      <c r="D333" s="155" t="s">
        <v>874</v>
      </c>
      <c r="E333" s="154" t="s">
        <v>21</v>
      </c>
      <c r="F333" s="3" t="s">
        <v>926</v>
      </c>
      <c r="G333" s="3" t="s">
        <v>916</v>
      </c>
      <c r="H333" s="156" t="str">
        <f ca="1">IFERROR(
  _xludf.MINIFS(ATTENDANCE_LOG!$F:$F,
         ATTENDANCE_LOG!$A:$A, C333,
         ATTENDANCE_LOG!$B:$B, E333),
"")</f>
        <v/>
      </c>
      <c r="I333" s="3">
        <f>IFERROR(VLOOKUP(F333, LEVEL_HELPER!$A:$B, 2, 0), "")</f>
        <v>1</v>
      </c>
      <c r="J333" s="3">
        <f>IFERROR(VLOOKUP(G333, LEVEL_HELPER!$A:$B, 2, 0), "")</f>
        <v>2.5</v>
      </c>
      <c r="K333" s="3">
        <f t="shared" ref="K333:L333" si="678">IF(OR(I333="", I333=0), "",
  IF(I333&lt;=2,   1,
  IF(I333&lt;=4,   2,
  IF(I333&lt;=5.5, 3, 4))))</f>
        <v>1</v>
      </c>
      <c r="L333" s="3">
        <f t="shared" si="678"/>
        <v>2</v>
      </c>
      <c r="M333" s="3" t="str">
        <f t="shared" si="516"/>
        <v>Lv1 → Lv2</v>
      </c>
      <c r="N333" s="157" t="s">
        <v>942</v>
      </c>
      <c r="O333" s="157" t="s">
        <v>923</v>
      </c>
      <c r="P333" s="3" t="str">
        <f t="shared" ca="1" si="517"/>
        <v/>
      </c>
      <c r="Q333" s="147" t="str">
        <f t="shared" ca="1" si="518"/>
        <v/>
      </c>
      <c r="R333" s="147" t="str">
        <f t="shared" ref="R333:S333" ca="1" si="679">IF(OR(P333="", P333=0), "",
  IF(P333&lt;=2,   1,
  IF(P333&lt;=4,   2,
  IF(P333&lt;=5.5, 3, 4))))</f>
        <v/>
      </c>
      <c r="S333" s="147" t="str">
        <f t="shared" ca="1" si="679"/>
        <v/>
      </c>
      <c r="T333" s="147" t="str">
        <f t="shared" ca="1" si="520"/>
        <v>No Data</v>
      </c>
      <c r="U333" s="147">
        <f t="shared" si="667"/>
        <v>1</v>
      </c>
      <c r="V333" s="147"/>
    </row>
    <row r="334" spans="1:22">
      <c r="A334" s="157" t="s">
        <v>524</v>
      </c>
      <c r="B334" s="3" t="s">
        <v>525</v>
      </c>
      <c r="C334" s="160" t="s">
        <v>81</v>
      </c>
      <c r="D334" s="160" t="s">
        <v>874</v>
      </c>
      <c r="E334" s="3" t="s">
        <v>21</v>
      </c>
      <c r="F334" s="3" t="s">
        <v>25</v>
      </c>
      <c r="G334" s="3" t="s">
        <v>928</v>
      </c>
      <c r="H334" s="156" t="str">
        <f ca="1">IFERROR(
  _xludf.MINIFS(ATTENDANCE_LOG!$F:$F,
         ATTENDANCE_LOG!$A:$A, C334,
         ATTENDANCE_LOG!$B:$B, E334),
"")</f>
        <v/>
      </c>
      <c r="I334" s="3">
        <f>IFERROR(VLOOKUP(F334, LEVEL_HELPER!$A:$B, 2, 0), "")</f>
        <v>0.5</v>
      </c>
      <c r="J334" s="3">
        <f>IFERROR(VLOOKUP(G334, LEVEL_HELPER!$A:$B, 2, 0), "")</f>
        <v>1.5</v>
      </c>
      <c r="K334" s="3">
        <f t="shared" ref="K334:L334" si="680">IF(OR(I334="", I334=0), "",
  IF(I334&lt;=2,   1,
  IF(I334&lt;=4,   2,
  IF(I334&lt;=5.5, 3, 4))))</f>
        <v>1</v>
      </c>
      <c r="L334" s="3">
        <f t="shared" si="680"/>
        <v>1</v>
      </c>
      <c r="M334" s="3" t="str">
        <f t="shared" si="516"/>
        <v>Progress within level</v>
      </c>
      <c r="N334" s="157" t="s">
        <v>942</v>
      </c>
      <c r="O334" s="157" t="s">
        <v>923</v>
      </c>
      <c r="P334" s="3" t="str">
        <f t="shared" ca="1" si="517"/>
        <v/>
      </c>
      <c r="Q334" s="147" t="str">
        <f t="shared" ca="1" si="518"/>
        <v/>
      </c>
      <c r="R334" s="147" t="str">
        <f t="shared" ref="R334:S334" ca="1" si="681">IF(OR(P334="", P334=0), "",
  IF(P334&lt;=2,   1,
  IF(P334&lt;=4,   2,
  IF(P334&lt;=5.5, 3, 4))))</f>
        <v/>
      </c>
      <c r="S334" s="147" t="str">
        <f t="shared" ca="1" si="681"/>
        <v/>
      </c>
      <c r="T334" s="147" t="str">
        <f t="shared" ca="1" si="520"/>
        <v>No Data</v>
      </c>
      <c r="U334" s="147">
        <f t="shared" si="667"/>
        <v>1</v>
      </c>
      <c r="V334" s="147"/>
    </row>
    <row r="335" spans="1:22">
      <c r="A335" s="157" t="s">
        <v>530</v>
      </c>
      <c r="B335" s="3" t="s">
        <v>531</v>
      </c>
      <c r="C335" s="160" t="s">
        <v>81</v>
      </c>
      <c r="D335" s="160" t="s">
        <v>874</v>
      </c>
      <c r="E335" s="3" t="s">
        <v>21</v>
      </c>
      <c r="F335" s="3" t="s">
        <v>926</v>
      </c>
      <c r="G335" s="3" t="s">
        <v>917</v>
      </c>
      <c r="H335" s="156" t="str">
        <f ca="1">IFERROR(
  _xludf.MINIFS(ATTENDANCE_LOG!$F:$F,
         ATTENDANCE_LOG!$A:$A, C335,
         ATTENDANCE_LOG!$B:$B, E335),
"")</f>
        <v/>
      </c>
      <c r="I335" s="3">
        <f>IFERROR(VLOOKUP(F335, LEVEL_HELPER!$A:$B, 2, 0), "")</f>
        <v>1</v>
      </c>
      <c r="J335" s="3">
        <f>IFERROR(VLOOKUP(G335, LEVEL_HELPER!$A:$B, 2, 0), "")</f>
        <v>3</v>
      </c>
      <c r="K335" s="3">
        <f t="shared" ref="K335:L335" si="682">IF(OR(I335="", I335=0), "",
  IF(I335&lt;=2,   1,
  IF(I335&lt;=4,   2,
  IF(I335&lt;=5.5, 3, 4))))</f>
        <v>1</v>
      </c>
      <c r="L335" s="3">
        <f t="shared" si="682"/>
        <v>2</v>
      </c>
      <c r="M335" s="3" t="str">
        <f t="shared" si="516"/>
        <v>Lv1 → Lv2</v>
      </c>
      <c r="N335" s="157" t="s">
        <v>942</v>
      </c>
      <c r="O335" s="157" t="s">
        <v>923</v>
      </c>
      <c r="P335" s="3" t="str">
        <f t="shared" ca="1" si="517"/>
        <v/>
      </c>
      <c r="Q335" s="147" t="str">
        <f t="shared" ca="1" si="518"/>
        <v/>
      </c>
      <c r="R335" s="147" t="str">
        <f t="shared" ref="R335:S335" ca="1" si="683">IF(OR(P335="", P335=0), "",
  IF(P335&lt;=2,   1,
  IF(P335&lt;=4,   2,
  IF(P335&lt;=5.5, 3, 4))))</f>
        <v/>
      </c>
      <c r="S335" s="147" t="str">
        <f t="shared" ca="1" si="683"/>
        <v/>
      </c>
      <c r="T335" s="147" t="str">
        <f t="shared" ca="1" si="520"/>
        <v>No Data</v>
      </c>
      <c r="U335" s="147">
        <f t="shared" si="667"/>
        <v>1</v>
      </c>
      <c r="V335" s="147"/>
    </row>
    <row r="336" spans="1:22">
      <c r="A336" s="157" t="s">
        <v>621</v>
      </c>
      <c r="B336" s="3" t="s">
        <v>622</v>
      </c>
      <c r="C336" s="160" t="s">
        <v>81</v>
      </c>
      <c r="D336" s="160" t="s">
        <v>874</v>
      </c>
      <c r="E336" s="3" t="s">
        <v>21</v>
      </c>
      <c r="F336" s="3" t="s">
        <v>926</v>
      </c>
      <c r="G336" s="3" t="s">
        <v>934</v>
      </c>
      <c r="H336" s="156" t="str">
        <f ca="1">IFERROR(
  _xludf.MINIFS(ATTENDANCE_LOG!$F:$F,
         ATTENDANCE_LOG!$A:$A, C336,
         ATTENDANCE_LOG!$B:$B, E336),
"")</f>
        <v/>
      </c>
      <c r="I336" s="3">
        <f>IFERROR(VLOOKUP(F336, LEVEL_HELPER!$A:$B, 2, 0), "")</f>
        <v>1</v>
      </c>
      <c r="J336" s="3">
        <f>IFERROR(VLOOKUP(G336, LEVEL_HELPER!$A:$B, 2, 0), "")</f>
        <v>3.5</v>
      </c>
      <c r="K336" s="3">
        <f t="shared" ref="K336:L336" si="684">IF(OR(I336="", I336=0), "",
  IF(I336&lt;=2,   1,
  IF(I336&lt;=4,   2,
  IF(I336&lt;=5.5, 3, 4))))</f>
        <v>1</v>
      </c>
      <c r="L336" s="3">
        <f t="shared" si="684"/>
        <v>2</v>
      </c>
      <c r="M336" s="3" t="str">
        <f t="shared" si="516"/>
        <v>Lv1 → Lv2</v>
      </c>
      <c r="N336" s="157" t="s">
        <v>942</v>
      </c>
      <c r="O336" s="157" t="s">
        <v>923</v>
      </c>
      <c r="P336" s="3" t="str">
        <f t="shared" ca="1" si="517"/>
        <v/>
      </c>
      <c r="Q336" s="147" t="str">
        <f t="shared" ca="1" si="518"/>
        <v/>
      </c>
      <c r="R336" s="147" t="str">
        <f t="shared" ref="R336:S336" ca="1" si="685">IF(OR(P336="", P336=0), "",
  IF(P336&lt;=2,   1,
  IF(P336&lt;=4,   2,
  IF(P336&lt;=5.5, 3, 4))))</f>
        <v/>
      </c>
      <c r="S336" s="147" t="str">
        <f t="shared" ca="1" si="685"/>
        <v/>
      </c>
      <c r="T336" s="147" t="str">
        <f t="shared" ca="1" si="520"/>
        <v>No Data</v>
      </c>
      <c r="U336" s="147">
        <f t="shared" si="667"/>
        <v>1</v>
      </c>
      <c r="V336" s="147"/>
    </row>
    <row r="337" spans="1:22">
      <c r="A337" s="157" t="s">
        <v>526</v>
      </c>
      <c r="B337" s="154" t="s">
        <v>527</v>
      </c>
      <c r="C337" s="155" t="s">
        <v>82</v>
      </c>
      <c r="D337" s="155" t="s">
        <v>875</v>
      </c>
      <c r="E337" s="154" t="s">
        <v>21</v>
      </c>
      <c r="F337" s="3" t="s">
        <v>926</v>
      </c>
      <c r="G337" s="3" t="s">
        <v>926</v>
      </c>
      <c r="H337" s="156" t="str">
        <f ca="1">IFERROR(
  _xludf.MINIFS(ATTENDANCE_LOG!$F:$F,
         ATTENDANCE_LOG!$A:$A, C337,
         ATTENDANCE_LOG!$B:$B, E337),
"")</f>
        <v/>
      </c>
      <c r="I337" s="3">
        <f>IFERROR(VLOOKUP(F337, LEVEL_HELPER!$A:$B, 2, 0), "")</f>
        <v>1</v>
      </c>
      <c r="J337" s="3">
        <f>IFERROR(VLOOKUP(G337, LEVEL_HELPER!$A:$B, 2, 0), "")</f>
        <v>1</v>
      </c>
      <c r="K337" s="3">
        <f t="shared" ref="K337:L337" si="686">IF(OR(I337="", I337=0), "",
  IF(I337&lt;=2,   1,
  IF(I337&lt;=4,   2,
  IF(I337&lt;=5.5, 3, 4))))</f>
        <v>1</v>
      </c>
      <c r="L337" s="3">
        <f t="shared" si="686"/>
        <v>1</v>
      </c>
      <c r="M337" s="3" t="str">
        <f t="shared" si="516"/>
        <v>No Progress</v>
      </c>
      <c r="N337" s="157" t="s">
        <v>942</v>
      </c>
      <c r="O337" s="157" t="s">
        <v>923</v>
      </c>
      <c r="P337" s="3" t="str">
        <f t="shared" ca="1" si="517"/>
        <v/>
      </c>
      <c r="Q337" s="147" t="str">
        <f t="shared" ca="1" si="518"/>
        <v/>
      </c>
      <c r="R337" s="147" t="str">
        <f t="shared" ref="R337:S337" ca="1" si="687">IF(OR(P337="", P337=0), "",
  IF(P337&lt;=2,   1,
  IF(P337&lt;=4,   2,
  IF(P337&lt;=5.5, 3, 4))))</f>
        <v/>
      </c>
      <c r="S337" s="147" t="str">
        <f t="shared" ca="1" si="687"/>
        <v/>
      </c>
      <c r="T337" s="147" t="str">
        <f t="shared" ca="1" si="520"/>
        <v>No Data</v>
      </c>
      <c r="U337" s="147">
        <f>IF(COUNTIF($A$2:A341, A337)=1, 1, 0)</f>
        <v>1</v>
      </c>
      <c r="V337" s="147"/>
    </row>
    <row r="338" spans="1:22">
      <c r="A338" s="157" t="s">
        <v>271</v>
      </c>
      <c r="B338" s="3" t="s">
        <v>272</v>
      </c>
      <c r="C338" s="160" t="s">
        <v>82</v>
      </c>
      <c r="D338" s="160" t="s">
        <v>875</v>
      </c>
      <c r="E338" s="3" t="s">
        <v>21</v>
      </c>
      <c r="F338" s="3" t="s">
        <v>926</v>
      </c>
      <c r="G338" s="3" t="s">
        <v>926</v>
      </c>
      <c r="H338" s="156" t="str">
        <f ca="1">IFERROR(
  _xludf.MINIFS(ATTENDANCE_LOG!$F:$F,
         ATTENDANCE_LOG!$A:$A, C338,
         ATTENDANCE_LOG!$B:$B, E338),
"")</f>
        <v/>
      </c>
      <c r="I338" s="3">
        <f>IFERROR(VLOOKUP(F338, LEVEL_HELPER!$A:$B, 2, 0), "")</f>
        <v>1</v>
      </c>
      <c r="J338" s="3">
        <f>IFERROR(VLOOKUP(G338, LEVEL_HELPER!$A:$B, 2, 0), "")</f>
        <v>1</v>
      </c>
      <c r="K338" s="3">
        <f t="shared" ref="K338:L338" si="688">IF(OR(I338="", I338=0), "",
  IF(I338&lt;=2,   1,
  IF(I338&lt;=4,   2,
  IF(I338&lt;=5.5, 3, 4))))</f>
        <v>1</v>
      </c>
      <c r="L338" s="3">
        <f t="shared" si="688"/>
        <v>1</v>
      </c>
      <c r="M338" s="3" t="str">
        <f t="shared" si="516"/>
        <v>No Progress</v>
      </c>
      <c r="N338" s="157" t="s">
        <v>942</v>
      </c>
      <c r="O338" s="157" t="s">
        <v>925</v>
      </c>
      <c r="P338" s="3" t="str">
        <f t="shared" ca="1" si="517"/>
        <v/>
      </c>
      <c r="Q338" s="147" t="str">
        <f t="shared" ca="1" si="518"/>
        <v/>
      </c>
      <c r="R338" s="147" t="str">
        <f t="shared" ref="R338:S338" ca="1" si="689">IF(OR(P338="", P338=0), "",
  IF(P338&lt;=2,   1,
  IF(P338&lt;=4,   2,
  IF(P338&lt;=5.5, 3, 4))))</f>
        <v/>
      </c>
      <c r="S338" s="147" t="str">
        <f t="shared" ca="1" si="689"/>
        <v/>
      </c>
      <c r="T338" s="147" t="str">
        <f t="shared" ca="1" si="520"/>
        <v>No Data</v>
      </c>
      <c r="U338" s="147">
        <f t="shared" ref="U338:U341" si="690">IF(COUNTIF($A$2:A338, A338)=1, 1, 0)</f>
        <v>1</v>
      </c>
      <c r="V338" s="147"/>
    </row>
    <row r="339" spans="1:22">
      <c r="A339" s="157" t="s">
        <v>279</v>
      </c>
      <c r="B339" s="3" t="s">
        <v>280</v>
      </c>
      <c r="C339" s="160" t="s">
        <v>82</v>
      </c>
      <c r="D339" s="160" t="s">
        <v>875</v>
      </c>
      <c r="E339" s="3" t="s">
        <v>21</v>
      </c>
      <c r="F339" s="3" t="s">
        <v>926</v>
      </c>
      <c r="G339" s="3" t="s">
        <v>917</v>
      </c>
      <c r="H339" s="156" t="str">
        <f ca="1">IFERROR(
  _xludf.MINIFS(ATTENDANCE_LOG!$F:$F,
         ATTENDANCE_LOG!$A:$A, C339,
         ATTENDANCE_LOG!$B:$B, E339),
"")</f>
        <v/>
      </c>
      <c r="I339" s="3">
        <f>IFERROR(VLOOKUP(F339, LEVEL_HELPER!$A:$B, 2, 0), "")</f>
        <v>1</v>
      </c>
      <c r="J339" s="3">
        <f>IFERROR(VLOOKUP(G339, LEVEL_HELPER!$A:$B, 2, 0), "")</f>
        <v>3</v>
      </c>
      <c r="K339" s="3">
        <f t="shared" ref="K339:L339" si="691">IF(OR(I339="", I339=0), "",
  IF(I339&lt;=2,   1,
  IF(I339&lt;=4,   2,
  IF(I339&lt;=5.5, 3, 4))))</f>
        <v>1</v>
      </c>
      <c r="L339" s="3">
        <f t="shared" si="691"/>
        <v>2</v>
      </c>
      <c r="M339" s="3" t="str">
        <f t="shared" si="516"/>
        <v>Lv1 → Lv2</v>
      </c>
      <c r="N339" s="157" t="s">
        <v>942</v>
      </c>
      <c r="O339" s="157" t="s">
        <v>923</v>
      </c>
      <c r="P339" s="3" t="str">
        <f t="shared" ca="1" si="517"/>
        <v/>
      </c>
      <c r="Q339" s="147" t="str">
        <f t="shared" ca="1" si="518"/>
        <v/>
      </c>
      <c r="R339" s="147" t="str">
        <f t="shared" ref="R339:S339" ca="1" si="692">IF(OR(P339="", P339=0), "",
  IF(P339&lt;=2,   1,
  IF(P339&lt;=4,   2,
  IF(P339&lt;=5.5, 3, 4))))</f>
        <v/>
      </c>
      <c r="S339" s="147" t="str">
        <f t="shared" ca="1" si="692"/>
        <v/>
      </c>
      <c r="T339" s="147" t="str">
        <f t="shared" ca="1" si="520"/>
        <v>No Data</v>
      </c>
      <c r="U339" s="147">
        <f t="shared" si="690"/>
        <v>1</v>
      </c>
      <c r="V339" s="147"/>
    </row>
    <row r="340" spans="1:22">
      <c r="A340" s="157" t="s">
        <v>300</v>
      </c>
      <c r="B340" s="3" t="s">
        <v>301</v>
      </c>
      <c r="C340" s="160" t="s">
        <v>82</v>
      </c>
      <c r="D340" s="160" t="s">
        <v>875</v>
      </c>
      <c r="E340" s="3" t="s">
        <v>21</v>
      </c>
      <c r="F340" s="3" t="s">
        <v>926</v>
      </c>
      <c r="G340" s="3" t="s">
        <v>917</v>
      </c>
      <c r="H340" s="156" t="str">
        <f ca="1">IFERROR(
  _xludf.MINIFS(ATTENDANCE_LOG!$F:$F,
         ATTENDANCE_LOG!$A:$A, C340,
         ATTENDANCE_LOG!$B:$B, E340),
"")</f>
        <v/>
      </c>
      <c r="I340" s="3">
        <f>IFERROR(VLOOKUP(F340, LEVEL_HELPER!$A:$B, 2, 0), "")</f>
        <v>1</v>
      </c>
      <c r="J340" s="3">
        <f>IFERROR(VLOOKUP(G340, LEVEL_HELPER!$A:$B, 2, 0), "")</f>
        <v>3</v>
      </c>
      <c r="K340" s="3">
        <f t="shared" ref="K340:L340" si="693">IF(OR(I340="", I340=0), "",
  IF(I340&lt;=2,   1,
  IF(I340&lt;=4,   2,
  IF(I340&lt;=5.5, 3, 4))))</f>
        <v>1</v>
      </c>
      <c r="L340" s="3">
        <f t="shared" si="693"/>
        <v>2</v>
      </c>
      <c r="M340" s="3" t="str">
        <f t="shared" si="516"/>
        <v>Lv1 → Lv2</v>
      </c>
      <c r="N340" s="157" t="s">
        <v>942</v>
      </c>
      <c r="O340" s="157" t="s">
        <v>923</v>
      </c>
      <c r="P340" s="3" t="str">
        <f t="shared" ca="1" si="517"/>
        <v/>
      </c>
      <c r="Q340" s="147" t="str">
        <f t="shared" ca="1" si="518"/>
        <v/>
      </c>
      <c r="R340" s="147" t="str">
        <f t="shared" ref="R340:S340" ca="1" si="694">IF(OR(P340="", P340=0), "",
  IF(P340&lt;=2,   1,
  IF(P340&lt;=4,   2,
  IF(P340&lt;=5.5, 3, 4))))</f>
        <v/>
      </c>
      <c r="S340" s="147" t="str">
        <f t="shared" ca="1" si="694"/>
        <v/>
      </c>
      <c r="T340" s="147" t="str">
        <f t="shared" ca="1" si="520"/>
        <v>No Data</v>
      </c>
      <c r="U340" s="147">
        <f t="shared" si="690"/>
        <v>1</v>
      </c>
      <c r="V340" s="147"/>
    </row>
    <row r="341" spans="1:22">
      <c r="A341" s="157" t="s">
        <v>350</v>
      </c>
      <c r="B341" s="3" t="s">
        <v>351</v>
      </c>
      <c r="C341" s="160" t="s">
        <v>82</v>
      </c>
      <c r="D341" s="160" t="s">
        <v>875</v>
      </c>
      <c r="E341" s="3" t="s">
        <v>21</v>
      </c>
      <c r="F341" s="3" t="s">
        <v>926</v>
      </c>
      <c r="G341" s="3" t="s">
        <v>926</v>
      </c>
      <c r="H341" s="156" t="str">
        <f ca="1">IFERROR(
  _xludf.MINIFS(ATTENDANCE_LOG!$F:$F,
         ATTENDANCE_LOG!$A:$A, C341,
         ATTENDANCE_LOG!$B:$B, E341),
"")</f>
        <v/>
      </c>
      <c r="I341" s="3">
        <f>IFERROR(VLOOKUP(F341, LEVEL_HELPER!$A:$B, 2, 0), "")</f>
        <v>1</v>
      </c>
      <c r="J341" s="3">
        <f>IFERROR(VLOOKUP(G341, LEVEL_HELPER!$A:$B, 2, 0), "")</f>
        <v>1</v>
      </c>
      <c r="K341" s="3">
        <f t="shared" ref="K341:L341" si="695">IF(OR(I341="", I341=0), "",
  IF(I341&lt;=2,   1,
  IF(I341&lt;=4,   2,
  IF(I341&lt;=5.5, 3, 4))))</f>
        <v>1</v>
      </c>
      <c r="L341" s="3">
        <f t="shared" si="695"/>
        <v>1</v>
      </c>
      <c r="M341" s="3" t="str">
        <f t="shared" si="516"/>
        <v>No Progress</v>
      </c>
      <c r="N341" s="157" t="s">
        <v>942</v>
      </c>
      <c r="O341" s="157" t="s">
        <v>923</v>
      </c>
      <c r="P341" s="3" t="str">
        <f t="shared" ca="1" si="517"/>
        <v/>
      </c>
      <c r="Q341" s="147" t="str">
        <f t="shared" ca="1" si="518"/>
        <v/>
      </c>
      <c r="R341" s="147" t="str">
        <f t="shared" ref="R341:S341" ca="1" si="696">IF(OR(P341="", P341=0), "",
  IF(P341&lt;=2,   1,
  IF(P341&lt;=4,   2,
  IF(P341&lt;=5.5, 3, 4))))</f>
        <v/>
      </c>
      <c r="S341" s="147" t="str">
        <f t="shared" ca="1" si="696"/>
        <v/>
      </c>
      <c r="T341" s="147" t="str">
        <f t="shared" ca="1" si="520"/>
        <v>No Data</v>
      </c>
      <c r="U341" s="147">
        <f t="shared" si="690"/>
        <v>1</v>
      </c>
      <c r="V341" s="147"/>
    </row>
    <row r="342" spans="1:22">
      <c r="A342" s="157" t="s">
        <v>526</v>
      </c>
      <c r="B342" s="154" t="s">
        <v>527</v>
      </c>
      <c r="C342" s="155" t="s">
        <v>82</v>
      </c>
      <c r="D342" s="155" t="s">
        <v>875</v>
      </c>
      <c r="E342" s="154" t="s">
        <v>22</v>
      </c>
      <c r="F342" s="3" t="s">
        <v>926</v>
      </c>
      <c r="G342" s="3" t="s">
        <v>917</v>
      </c>
      <c r="H342" s="156" t="str">
        <f ca="1">IFERROR(
  _xludf.MINIFS(ATTENDANCE_LOG!$F:$F,
         ATTENDANCE_LOG!$A:$A, C342,
         ATTENDANCE_LOG!$B:$B, E342),
"")</f>
        <v/>
      </c>
      <c r="I342" s="3">
        <f>IFERROR(VLOOKUP(F342, LEVEL_HELPER!$A:$B, 2, 0), "")</f>
        <v>1</v>
      </c>
      <c r="J342" s="3">
        <f>IFERROR(VLOOKUP(G342, LEVEL_HELPER!$A:$B, 2, 0), "")</f>
        <v>3</v>
      </c>
      <c r="K342" s="3">
        <f t="shared" ref="K342:L342" si="697">IF(OR(I342="", I342=0), "",
  IF(I342&lt;=2,   1,
  IF(I342&lt;=4,   2,
  IF(I342&lt;=5.5, 3, 4))))</f>
        <v>1</v>
      </c>
      <c r="L342" s="3">
        <f t="shared" si="697"/>
        <v>2</v>
      </c>
      <c r="M342" s="3" t="str">
        <f t="shared" si="516"/>
        <v>Lv1 → Lv2</v>
      </c>
      <c r="N342" s="157" t="s">
        <v>942</v>
      </c>
      <c r="O342" s="157" t="s">
        <v>923</v>
      </c>
      <c r="P342" s="3" t="str">
        <f t="shared" ca="1" si="517"/>
        <v/>
      </c>
      <c r="Q342" s="147" t="str">
        <f t="shared" ca="1" si="518"/>
        <v/>
      </c>
      <c r="R342" s="147" t="str">
        <f t="shared" ref="R342:S342" ca="1" si="698">IF(OR(P342="", P342=0), "",
  IF(P342&lt;=2,   1,
  IF(P342&lt;=4,   2,
  IF(P342&lt;=5.5, 3, 4))))</f>
        <v/>
      </c>
      <c r="S342" s="147" t="str">
        <f t="shared" ca="1" si="698"/>
        <v/>
      </c>
      <c r="T342" s="147" t="str">
        <f t="shared" ca="1" si="520"/>
        <v>No Data</v>
      </c>
      <c r="U342" s="147">
        <f>IF(COUNTIF($A$2:A347, A342)=1, 1, 0)</f>
        <v>0</v>
      </c>
      <c r="V342" s="147"/>
    </row>
    <row r="343" spans="1:22">
      <c r="A343" s="157" t="s">
        <v>271</v>
      </c>
      <c r="B343" s="3" t="s">
        <v>272</v>
      </c>
      <c r="C343" s="160" t="s">
        <v>82</v>
      </c>
      <c r="D343" s="160" t="s">
        <v>875</v>
      </c>
      <c r="E343" s="3" t="s">
        <v>22</v>
      </c>
      <c r="F343" s="3" t="s">
        <v>926</v>
      </c>
      <c r="G343" s="3"/>
      <c r="H343" s="156" t="str">
        <f ca="1">IFERROR(
  _xludf.MINIFS(ATTENDANCE_LOG!$F:$F,
         ATTENDANCE_LOG!$A:$A, C343,
         ATTENDANCE_LOG!$B:$B, E343),
"")</f>
        <v/>
      </c>
      <c r="I343" s="3">
        <f>IFERROR(VLOOKUP(F343, LEVEL_HELPER!$A:$B, 2, 0), "")</f>
        <v>1</v>
      </c>
      <c r="J343" s="3" t="str">
        <f>IFERROR(VLOOKUP(G343, LEVEL_HELPER!$A:$B, 2, 0), "")</f>
        <v/>
      </c>
      <c r="K343" s="3">
        <f t="shared" ref="K343:L343" si="699">IF(OR(I343="", I343=0), "",
  IF(I343&lt;=2,   1,
  IF(I343&lt;=4,   2,
  IF(I343&lt;=5.5, 3, 4))))</f>
        <v>1</v>
      </c>
      <c r="L343" s="3" t="str">
        <f t="shared" si="699"/>
        <v/>
      </c>
      <c r="M343" s="3" t="str">
        <f t="shared" si="516"/>
        <v>No Data</v>
      </c>
      <c r="N343" s="157" t="s">
        <v>942</v>
      </c>
      <c r="O343" s="157" t="s">
        <v>925</v>
      </c>
      <c r="P343" s="3" t="str">
        <f t="shared" ca="1" si="517"/>
        <v/>
      </c>
      <c r="Q343" s="147" t="str">
        <f t="shared" ca="1" si="518"/>
        <v/>
      </c>
      <c r="R343" s="147" t="str">
        <f t="shared" ref="R343:S343" ca="1" si="700">IF(OR(P343="", P343=0), "",
  IF(P343&lt;=2,   1,
  IF(P343&lt;=4,   2,
  IF(P343&lt;=5.5, 3, 4))))</f>
        <v/>
      </c>
      <c r="S343" s="147" t="str">
        <f t="shared" ca="1" si="700"/>
        <v/>
      </c>
      <c r="T343" s="147" t="str">
        <f t="shared" ca="1" si="520"/>
        <v>No Data</v>
      </c>
      <c r="U343" s="147">
        <f t="shared" ref="U343:U365" si="701">IF(COUNTIF($A$2:A343, A343)=1, 1, 0)</f>
        <v>0</v>
      </c>
      <c r="V343" s="147"/>
    </row>
    <row r="344" spans="1:22">
      <c r="A344" s="157" t="s">
        <v>279</v>
      </c>
      <c r="B344" s="3" t="s">
        <v>280</v>
      </c>
      <c r="C344" s="160" t="s">
        <v>82</v>
      </c>
      <c r="D344" s="160" t="s">
        <v>875</v>
      </c>
      <c r="E344" s="3" t="s">
        <v>22</v>
      </c>
      <c r="F344" s="3" t="s">
        <v>917</v>
      </c>
      <c r="G344" s="3"/>
      <c r="H344" s="156" t="str">
        <f ca="1">IFERROR(
  _xludf.MINIFS(ATTENDANCE_LOG!$F:$F,
         ATTENDANCE_LOG!$A:$A, C344,
         ATTENDANCE_LOG!$B:$B, E344),
"")</f>
        <v/>
      </c>
      <c r="I344" s="3">
        <f>IFERROR(VLOOKUP(F344, LEVEL_HELPER!$A:$B, 2, 0), "")</f>
        <v>3</v>
      </c>
      <c r="J344" s="3" t="str">
        <f>IFERROR(VLOOKUP(G344, LEVEL_HELPER!$A:$B, 2, 0), "")</f>
        <v/>
      </c>
      <c r="K344" s="3">
        <f t="shared" ref="K344:L344" si="702">IF(OR(I344="", I344=0), "",
  IF(I344&lt;=2,   1,
  IF(I344&lt;=4,   2,
  IF(I344&lt;=5.5, 3, 4))))</f>
        <v>2</v>
      </c>
      <c r="L344" s="3" t="str">
        <f t="shared" si="702"/>
        <v/>
      </c>
      <c r="M344" s="3" t="str">
        <f t="shared" si="516"/>
        <v>No Data</v>
      </c>
      <c r="N344" s="157" t="s">
        <v>942</v>
      </c>
      <c r="O344" s="157" t="s">
        <v>923</v>
      </c>
      <c r="P344" s="3" t="str">
        <f t="shared" ca="1" si="517"/>
        <v/>
      </c>
      <c r="Q344" s="147" t="str">
        <f t="shared" ca="1" si="518"/>
        <v/>
      </c>
      <c r="R344" s="147" t="str">
        <f t="shared" ref="R344:S344" ca="1" si="703">IF(OR(P344="", P344=0), "",
  IF(P344&lt;=2,   1,
  IF(P344&lt;=4,   2,
  IF(P344&lt;=5.5, 3, 4))))</f>
        <v/>
      </c>
      <c r="S344" s="147" t="str">
        <f t="shared" ca="1" si="703"/>
        <v/>
      </c>
      <c r="T344" s="147" t="str">
        <f t="shared" ca="1" si="520"/>
        <v>No Data</v>
      </c>
      <c r="U344" s="147">
        <f t="shared" si="701"/>
        <v>0</v>
      </c>
      <c r="V344" s="147"/>
    </row>
    <row r="345" spans="1:22">
      <c r="A345" s="157" t="s">
        <v>300</v>
      </c>
      <c r="B345" s="3" t="s">
        <v>301</v>
      </c>
      <c r="C345" s="160" t="s">
        <v>82</v>
      </c>
      <c r="D345" s="160" t="s">
        <v>875</v>
      </c>
      <c r="E345" s="3" t="s">
        <v>22</v>
      </c>
      <c r="F345" s="3" t="s">
        <v>917</v>
      </c>
      <c r="G345" s="3" t="s">
        <v>940</v>
      </c>
      <c r="H345" s="156" t="str">
        <f ca="1">IFERROR(
  _xludf.MINIFS(ATTENDANCE_LOG!$F:$F,
         ATTENDANCE_LOG!$A:$A, C345,
         ATTENDANCE_LOG!$B:$B, E345),
"")</f>
        <v/>
      </c>
      <c r="I345" s="3">
        <f>IFERROR(VLOOKUP(F345, LEVEL_HELPER!$A:$B, 2, 0), "")</f>
        <v>3</v>
      </c>
      <c r="J345" s="3">
        <f>IFERROR(VLOOKUP(G345, LEVEL_HELPER!$A:$B, 2, 0), "")</f>
        <v>5</v>
      </c>
      <c r="K345" s="3">
        <f t="shared" ref="K345:L345" si="704">IF(OR(I345="", I345=0), "",
  IF(I345&lt;=2,   1,
  IF(I345&lt;=4,   2,
  IF(I345&lt;=5.5, 3, 4))))</f>
        <v>2</v>
      </c>
      <c r="L345" s="3">
        <f t="shared" si="704"/>
        <v>3</v>
      </c>
      <c r="M345" s="3" t="str">
        <f t="shared" si="516"/>
        <v>Lv2 → Lv3</v>
      </c>
      <c r="N345" s="157" t="s">
        <v>942</v>
      </c>
      <c r="O345" s="157" t="s">
        <v>923</v>
      </c>
      <c r="P345" s="3" t="str">
        <f t="shared" ca="1" si="517"/>
        <v/>
      </c>
      <c r="Q345" s="147" t="str">
        <f t="shared" ca="1" si="518"/>
        <v/>
      </c>
      <c r="R345" s="147" t="str">
        <f t="shared" ref="R345:S345" ca="1" si="705">IF(OR(P345="", P345=0), "",
  IF(P345&lt;=2,   1,
  IF(P345&lt;=4,   2,
  IF(P345&lt;=5.5, 3, 4))))</f>
        <v/>
      </c>
      <c r="S345" s="147" t="str">
        <f t="shared" ca="1" si="705"/>
        <v/>
      </c>
      <c r="T345" s="147" t="str">
        <f t="shared" ca="1" si="520"/>
        <v>No Data</v>
      </c>
      <c r="U345" s="147">
        <f t="shared" si="701"/>
        <v>0</v>
      </c>
      <c r="V345" s="147"/>
    </row>
    <row r="346" spans="1:22">
      <c r="A346" s="157" t="s">
        <v>309</v>
      </c>
      <c r="B346" s="3" t="s">
        <v>310</v>
      </c>
      <c r="C346" s="160" t="s">
        <v>82</v>
      </c>
      <c r="D346" s="160" t="s">
        <v>875</v>
      </c>
      <c r="E346" s="3" t="s">
        <v>22</v>
      </c>
      <c r="F346" s="3" t="s">
        <v>928</v>
      </c>
      <c r="G346" s="3" t="s">
        <v>940</v>
      </c>
      <c r="H346" s="156" t="str">
        <f ca="1">IFERROR(
  _xludf.MINIFS(ATTENDANCE_LOG!$F:$F,
         ATTENDANCE_LOG!$A:$A, C346,
         ATTENDANCE_LOG!$B:$B, E346),
"")</f>
        <v/>
      </c>
      <c r="I346" s="3">
        <f>IFERROR(VLOOKUP(F346, LEVEL_HELPER!$A:$B, 2, 0), "")</f>
        <v>1.5</v>
      </c>
      <c r="J346" s="3">
        <f>IFERROR(VLOOKUP(G346, LEVEL_HELPER!$A:$B, 2, 0), "")</f>
        <v>5</v>
      </c>
      <c r="K346" s="3">
        <f t="shared" ref="K346:L346" si="706">IF(OR(I346="", I346=0), "",
  IF(I346&lt;=2,   1,
  IF(I346&lt;=4,   2,
  IF(I346&lt;=5.5, 3, 4))))</f>
        <v>1</v>
      </c>
      <c r="L346" s="3">
        <f t="shared" si="706"/>
        <v>3</v>
      </c>
      <c r="M346" s="3" t="str">
        <f t="shared" si="516"/>
        <v>Lv1 → Lv3 (+2)</v>
      </c>
      <c r="N346" s="157" t="s">
        <v>942</v>
      </c>
      <c r="O346" s="157" t="s">
        <v>923</v>
      </c>
      <c r="P346" s="3" t="str">
        <f t="shared" ca="1" si="517"/>
        <v/>
      </c>
      <c r="Q346" s="147" t="str">
        <f t="shared" ca="1" si="518"/>
        <v/>
      </c>
      <c r="R346" s="147" t="str">
        <f t="shared" ref="R346:S346" ca="1" si="707">IF(OR(P346="", P346=0), "",
  IF(P346&lt;=2,   1,
  IF(P346&lt;=4,   2,
  IF(P346&lt;=5.5, 3, 4))))</f>
        <v/>
      </c>
      <c r="S346" s="147" t="str">
        <f t="shared" ca="1" si="707"/>
        <v/>
      </c>
      <c r="T346" s="147" t="str">
        <f t="shared" ca="1" si="520"/>
        <v>No Data</v>
      </c>
      <c r="U346" s="147">
        <f t="shared" si="701"/>
        <v>0</v>
      </c>
      <c r="V346" s="147"/>
    </row>
    <row r="347" spans="1:22">
      <c r="A347" s="157" t="s">
        <v>332</v>
      </c>
      <c r="B347" s="3" t="s">
        <v>333</v>
      </c>
      <c r="C347" s="160" t="s">
        <v>82</v>
      </c>
      <c r="D347" s="160" t="s">
        <v>875</v>
      </c>
      <c r="E347" s="3" t="s">
        <v>22</v>
      </c>
      <c r="F347" s="3" t="s">
        <v>917</v>
      </c>
      <c r="G347" s="3" t="s">
        <v>940</v>
      </c>
      <c r="H347" s="156" t="str">
        <f ca="1">IFERROR(
  _xludf.MINIFS(ATTENDANCE_LOG!$F:$F,
         ATTENDANCE_LOG!$A:$A, C347,
         ATTENDANCE_LOG!$B:$B, E347),
"")</f>
        <v/>
      </c>
      <c r="I347" s="3">
        <f>IFERROR(VLOOKUP(F347, LEVEL_HELPER!$A:$B, 2, 0), "")</f>
        <v>3</v>
      </c>
      <c r="J347" s="3">
        <f>IFERROR(VLOOKUP(G347, LEVEL_HELPER!$A:$B, 2, 0), "")</f>
        <v>5</v>
      </c>
      <c r="K347" s="3">
        <f t="shared" ref="K347:L347" si="708">IF(OR(I347="", I347=0), "",
  IF(I347&lt;=2,   1,
  IF(I347&lt;=4,   2,
  IF(I347&lt;=5.5, 3, 4))))</f>
        <v>2</v>
      </c>
      <c r="L347" s="3">
        <f t="shared" si="708"/>
        <v>3</v>
      </c>
      <c r="M347" s="3" t="str">
        <f t="shared" si="516"/>
        <v>Lv2 → Lv3</v>
      </c>
      <c r="N347" s="157" t="s">
        <v>942</v>
      </c>
      <c r="O347" s="157" t="s">
        <v>923</v>
      </c>
      <c r="P347" s="3" t="str">
        <f t="shared" ca="1" si="517"/>
        <v/>
      </c>
      <c r="Q347" s="147" t="str">
        <f t="shared" ca="1" si="518"/>
        <v/>
      </c>
      <c r="R347" s="147" t="str">
        <f t="shared" ref="R347:S347" ca="1" si="709">IF(OR(P347="", P347=0), "",
  IF(P347&lt;=2,   1,
  IF(P347&lt;=4,   2,
  IF(P347&lt;=5.5, 3, 4))))</f>
        <v/>
      </c>
      <c r="S347" s="147" t="str">
        <f t="shared" ca="1" si="709"/>
        <v/>
      </c>
      <c r="T347" s="147" t="str">
        <f t="shared" ca="1" si="520"/>
        <v>No Data</v>
      </c>
      <c r="U347" s="147">
        <f t="shared" si="701"/>
        <v>0</v>
      </c>
      <c r="V347" s="147"/>
    </row>
    <row r="348" spans="1:22">
      <c r="A348" s="157" t="s">
        <v>562</v>
      </c>
      <c r="B348" s="3" t="s">
        <v>563</v>
      </c>
      <c r="C348" s="160" t="s">
        <v>82</v>
      </c>
      <c r="D348" s="160" t="s">
        <v>875</v>
      </c>
      <c r="E348" s="3" t="s">
        <v>22</v>
      </c>
      <c r="F348" s="3" t="s">
        <v>917</v>
      </c>
      <c r="G348" s="3" t="s">
        <v>934</v>
      </c>
      <c r="H348" s="156" t="str">
        <f ca="1">IFERROR(
  _xludf.MINIFS(ATTENDANCE_LOG!$F:$F,
         ATTENDANCE_LOG!$A:$A, C348,
         ATTENDANCE_LOG!$B:$B, E348),
"")</f>
        <v/>
      </c>
      <c r="I348" s="3">
        <f>IFERROR(VLOOKUP(F348, LEVEL_HELPER!$A:$B, 2, 0), "")</f>
        <v>3</v>
      </c>
      <c r="J348" s="3">
        <f>IFERROR(VLOOKUP(G348, LEVEL_HELPER!$A:$B, 2, 0), "")</f>
        <v>3.5</v>
      </c>
      <c r="K348" s="3">
        <f t="shared" ref="K348:L348" si="710">IF(OR(I348="", I348=0), "",
  IF(I348&lt;=2,   1,
  IF(I348&lt;=4,   2,
  IF(I348&lt;=5.5, 3, 4))))</f>
        <v>2</v>
      </c>
      <c r="L348" s="3">
        <f t="shared" si="710"/>
        <v>2</v>
      </c>
      <c r="M348" s="3" t="str">
        <f t="shared" si="516"/>
        <v>Progress within level</v>
      </c>
      <c r="N348" s="157" t="s">
        <v>942</v>
      </c>
      <c r="O348" s="157" t="s">
        <v>923</v>
      </c>
      <c r="P348" s="3" t="str">
        <f t="shared" ca="1" si="517"/>
        <v/>
      </c>
      <c r="Q348" s="147" t="str">
        <f t="shared" ca="1" si="518"/>
        <v/>
      </c>
      <c r="R348" s="147" t="str">
        <f t="shared" ref="R348:S348" ca="1" si="711">IF(OR(P348="", P348=0), "",
  IF(P348&lt;=2,   1,
  IF(P348&lt;=4,   2,
  IF(P348&lt;=5.5, 3, 4))))</f>
        <v/>
      </c>
      <c r="S348" s="147" t="str">
        <f t="shared" ca="1" si="711"/>
        <v/>
      </c>
      <c r="T348" s="147" t="str">
        <f t="shared" ca="1" si="520"/>
        <v>No Data</v>
      </c>
      <c r="U348" s="147">
        <f t="shared" si="701"/>
        <v>0</v>
      </c>
      <c r="V348" s="147"/>
    </row>
    <row r="349" spans="1:22">
      <c r="A349" s="157" t="s">
        <v>693</v>
      </c>
      <c r="B349" s="3" t="s">
        <v>694</v>
      </c>
      <c r="C349" s="160" t="s">
        <v>82</v>
      </c>
      <c r="D349" s="160" t="s">
        <v>875</v>
      </c>
      <c r="E349" s="3" t="s">
        <v>22</v>
      </c>
      <c r="F349" s="3" t="s">
        <v>917</v>
      </c>
      <c r="G349" s="3" t="s">
        <v>934</v>
      </c>
      <c r="H349" s="156" t="str">
        <f ca="1">IFERROR(
  _xludf.MINIFS(ATTENDANCE_LOG!$F:$F,
         ATTENDANCE_LOG!$A:$A, C349,
         ATTENDANCE_LOG!$B:$B, E349),
"")</f>
        <v/>
      </c>
      <c r="I349" s="3">
        <f>IFERROR(VLOOKUP(F349, LEVEL_HELPER!$A:$B, 2, 0), "")</f>
        <v>3</v>
      </c>
      <c r="J349" s="3">
        <f>IFERROR(VLOOKUP(G349, LEVEL_HELPER!$A:$B, 2, 0), "")</f>
        <v>3.5</v>
      </c>
      <c r="K349" s="3">
        <f t="shared" ref="K349:L349" si="712">IF(OR(I349="", I349=0), "",
  IF(I349&lt;=2,   1,
  IF(I349&lt;=4,   2,
  IF(I349&lt;=5.5, 3, 4))))</f>
        <v>2</v>
      </c>
      <c r="L349" s="3">
        <f t="shared" si="712"/>
        <v>2</v>
      </c>
      <c r="M349" s="3" t="str">
        <f t="shared" si="516"/>
        <v>Progress within level</v>
      </c>
      <c r="N349" s="157" t="s">
        <v>942</v>
      </c>
      <c r="O349" s="157" t="s">
        <v>923</v>
      </c>
      <c r="P349" s="3" t="str">
        <f t="shared" ca="1" si="517"/>
        <v/>
      </c>
      <c r="Q349" s="147" t="str">
        <f t="shared" ca="1" si="518"/>
        <v/>
      </c>
      <c r="R349" s="147" t="str">
        <f t="shared" ref="R349:S349" ca="1" si="713">IF(OR(P349="", P349=0), "",
  IF(P349&lt;=2,   1,
  IF(P349&lt;=4,   2,
  IF(P349&lt;=5.5, 3, 4))))</f>
        <v/>
      </c>
      <c r="S349" s="147" t="str">
        <f t="shared" ca="1" si="713"/>
        <v/>
      </c>
      <c r="T349" s="147" t="str">
        <f t="shared" ca="1" si="520"/>
        <v>No Data</v>
      </c>
      <c r="U349" s="147">
        <f t="shared" si="701"/>
        <v>0</v>
      </c>
      <c r="V349" s="147"/>
    </row>
    <row r="350" spans="1:22">
      <c r="A350" s="157" t="s">
        <v>208</v>
      </c>
      <c r="B350" s="154" t="s">
        <v>209</v>
      </c>
      <c r="C350" s="155" t="s">
        <v>83</v>
      </c>
      <c r="D350" s="155" t="s">
        <v>876</v>
      </c>
      <c r="E350" s="154" t="s">
        <v>21</v>
      </c>
      <c r="F350" s="3" t="s">
        <v>926</v>
      </c>
      <c r="G350" s="3" t="s">
        <v>934</v>
      </c>
      <c r="H350" s="156" t="str">
        <f ca="1">IFERROR(
  _xludf.MINIFS(ATTENDANCE_LOG!$F:$F,
         ATTENDANCE_LOG!$A:$A, C350,
         ATTENDANCE_LOG!$B:$B, E350),
"")</f>
        <v/>
      </c>
      <c r="I350" s="3">
        <f>IFERROR(VLOOKUP(F350, LEVEL_HELPER!$A:$B, 2, 0), "")</f>
        <v>1</v>
      </c>
      <c r="J350" s="3">
        <f>IFERROR(VLOOKUP(G350, LEVEL_HELPER!$A:$B, 2, 0), "")</f>
        <v>3.5</v>
      </c>
      <c r="K350" s="3">
        <f t="shared" ref="K350:L350" si="714">IF(OR(I350="", I350=0), "",
  IF(I350&lt;=2,   1,
  IF(I350&lt;=4,   2,
  IF(I350&lt;=5.5, 3, 4))))</f>
        <v>1</v>
      </c>
      <c r="L350" s="3">
        <f t="shared" si="714"/>
        <v>2</v>
      </c>
      <c r="M350" s="3" t="str">
        <f t="shared" si="516"/>
        <v>Lv1 → Lv2</v>
      </c>
      <c r="N350" s="157" t="s">
        <v>942</v>
      </c>
      <c r="O350" s="157" t="s">
        <v>923</v>
      </c>
      <c r="P350" s="3" t="str">
        <f t="shared" ca="1" si="517"/>
        <v/>
      </c>
      <c r="Q350" s="147" t="str">
        <f t="shared" ca="1" si="518"/>
        <v/>
      </c>
      <c r="R350" s="147" t="str">
        <f t="shared" ref="R350:S350" ca="1" si="715">IF(OR(P350="", P350=0), "",
  IF(P350&lt;=2,   1,
  IF(P350&lt;=4,   2,
  IF(P350&lt;=5.5, 3, 4))))</f>
        <v/>
      </c>
      <c r="S350" s="147" t="str">
        <f t="shared" ca="1" si="715"/>
        <v/>
      </c>
      <c r="T350" s="147" t="str">
        <f t="shared" ca="1" si="520"/>
        <v>No Data</v>
      </c>
      <c r="U350" s="147">
        <f t="shared" si="701"/>
        <v>1</v>
      </c>
      <c r="V350" s="147"/>
    </row>
    <row r="351" spans="1:22">
      <c r="A351" s="157" t="s">
        <v>243</v>
      </c>
      <c r="B351" s="3" t="s">
        <v>244</v>
      </c>
      <c r="C351" s="160" t="s">
        <v>83</v>
      </c>
      <c r="D351" s="160" t="s">
        <v>876</v>
      </c>
      <c r="E351" s="3" t="s">
        <v>21</v>
      </c>
      <c r="F351" s="3" t="s">
        <v>926</v>
      </c>
      <c r="G351" s="3" t="s">
        <v>917</v>
      </c>
      <c r="H351" s="156" t="str">
        <f ca="1">IFERROR(
  _xludf.MINIFS(ATTENDANCE_LOG!$F:$F,
         ATTENDANCE_LOG!$A:$A, C351,
         ATTENDANCE_LOG!$B:$B, E351),
"")</f>
        <v/>
      </c>
      <c r="I351" s="3">
        <f>IFERROR(VLOOKUP(F351, LEVEL_HELPER!$A:$B, 2, 0), "")</f>
        <v>1</v>
      </c>
      <c r="J351" s="3">
        <f>IFERROR(VLOOKUP(G351, LEVEL_HELPER!$A:$B, 2, 0), "")</f>
        <v>3</v>
      </c>
      <c r="K351" s="3">
        <f t="shared" ref="K351:L351" si="716">IF(OR(I351="", I351=0), "",
  IF(I351&lt;=2,   1,
  IF(I351&lt;=4,   2,
  IF(I351&lt;=5.5, 3, 4))))</f>
        <v>1</v>
      </c>
      <c r="L351" s="3">
        <f t="shared" si="716"/>
        <v>2</v>
      </c>
      <c r="M351" s="3" t="str">
        <f t="shared" si="516"/>
        <v>Lv1 → Lv2</v>
      </c>
      <c r="N351" s="157" t="s">
        <v>942</v>
      </c>
      <c r="O351" s="157" t="s">
        <v>923</v>
      </c>
      <c r="P351" s="3" t="str">
        <f t="shared" ca="1" si="517"/>
        <v/>
      </c>
      <c r="Q351" s="147" t="str">
        <f t="shared" ca="1" si="518"/>
        <v/>
      </c>
      <c r="R351" s="147" t="str">
        <f t="shared" ref="R351:S351" ca="1" si="717">IF(OR(P351="", P351=0), "",
  IF(P351&lt;=2,   1,
  IF(P351&lt;=4,   2,
  IF(P351&lt;=5.5, 3, 4))))</f>
        <v/>
      </c>
      <c r="S351" s="147" t="str">
        <f t="shared" ca="1" si="717"/>
        <v/>
      </c>
      <c r="T351" s="147" t="str">
        <f t="shared" ca="1" si="520"/>
        <v>No Data</v>
      </c>
      <c r="U351" s="147">
        <f t="shared" si="701"/>
        <v>1</v>
      </c>
      <c r="V351" s="147"/>
    </row>
    <row r="352" spans="1:22">
      <c r="A352" s="157" t="s">
        <v>305</v>
      </c>
      <c r="B352" s="3" t="s">
        <v>306</v>
      </c>
      <c r="C352" s="160" t="s">
        <v>83</v>
      </c>
      <c r="D352" s="160" t="s">
        <v>876</v>
      </c>
      <c r="E352" s="3" t="s">
        <v>21</v>
      </c>
      <c r="F352" s="3" t="s">
        <v>926</v>
      </c>
      <c r="G352" s="3" t="s">
        <v>928</v>
      </c>
      <c r="H352" s="156" t="str">
        <f ca="1">IFERROR(
  _xludf.MINIFS(ATTENDANCE_LOG!$F:$F,
         ATTENDANCE_LOG!$A:$A, C352,
         ATTENDANCE_LOG!$B:$B, E352),
"")</f>
        <v/>
      </c>
      <c r="I352" s="3">
        <f>IFERROR(VLOOKUP(F352, LEVEL_HELPER!$A:$B, 2, 0), "")</f>
        <v>1</v>
      </c>
      <c r="J352" s="3">
        <f>IFERROR(VLOOKUP(G352, LEVEL_HELPER!$A:$B, 2, 0), "")</f>
        <v>1.5</v>
      </c>
      <c r="K352" s="3">
        <f t="shared" ref="K352:L352" si="718">IF(OR(I352="", I352=0), "",
  IF(I352&lt;=2,   1,
  IF(I352&lt;=4,   2,
  IF(I352&lt;=5.5, 3, 4))))</f>
        <v>1</v>
      </c>
      <c r="L352" s="3">
        <f t="shared" si="718"/>
        <v>1</v>
      </c>
      <c r="M352" s="3" t="str">
        <f t="shared" si="516"/>
        <v>Progress within level</v>
      </c>
      <c r="N352" s="157" t="s">
        <v>942</v>
      </c>
      <c r="O352" s="157" t="s">
        <v>923</v>
      </c>
      <c r="P352" s="3" t="str">
        <f t="shared" ca="1" si="517"/>
        <v/>
      </c>
      <c r="Q352" s="147" t="str">
        <f t="shared" ca="1" si="518"/>
        <v/>
      </c>
      <c r="R352" s="147" t="str">
        <f t="shared" ref="R352:S352" ca="1" si="719">IF(OR(P352="", P352=0), "",
  IF(P352&lt;=2,   1,
  IF(P352&lt;=4,   2,
  IF(P352&lt;=5.5, 3, 4))))</f>
        <v/>
      </c>
      <c r="S352" s="147" t="str">
        <f t="shared" ca="1" si="719"/>
        <v/>
      </c>
      <c r="T352" s="147" t="str">
        <f t="shared" ca="1" si="520"/>
        <v>No Data</v>
      </c>
      <c r="U352" s="147">
        <f t="shared" si="701"/>
        <v>1</v>
      </c>
      <c r="V352" s="147"/>
    </row>
    <row r="353" spans="1:22">
      <c r="A353" s="157" t="s">
        <v>442</v>
      </c>
      <c r="B353" s="3" t="s">
        <v>443</v>
      </c>
      <c r="C353" s="160" t="s">
        <v>83</v>
      </c>
      <c r="D353" s="160" t="s">
        <v>876</v>
      </c>
      <c r="E353" s="3" t="s">
        <v>21</v>
      </c>
      <c r="F353" s="3" t="s">
        <v>926</v>
      </c>
      <c r="G353" s="3" t="s">
        <v>917</v>
      </c>
      <c r="H353" s="156" t="str">
        <f ca="1">IFERROR(
  _xludf.MINIFS(ATTENDANCE_LOG!$F:$F,
         ATTENDANCE_LOG!$A:$A, C353,
         ATTENDANCE_LOG!$B:$B, E353),
"")</f>
        <v/>
      </c>
      <c r="I353" s="3">
        <f>IFERROR(VLOOKUP(F353, LEVEL_HELPER!$A:$B, 2, 0), "")</f>
        <v>1</v>
      </c>
      <c r="J353" s="3">
        <f>IFERROR(VLOOKUP(G353, LEVEL_HELPER!$A:$B, 2, 0), "")</f>
        <v>3</v>
      </c>
      <c r="K353" s="3">
        <f t="shared" ref="K353:L353" si="720">IF(OR(I353="", I353=0), "",
  IF(I353&lt;=2,   1,
  IF(I353&lt;=4,   2,
  IF(I353&lt;=5.5, 3, 4))))</f>
        <v>1</v>
      </c>
      <c r="L353" s="3">
        <f t="shared" si="720"/>
        <v>2</v>
      </c>
      <c r="M353" s="3" t="str">
        <f t="shared" si="516"/>
        <v>Lv1 → Lv2</v>
      </c>
      <c r="N353" s="157" t="s">
        <v>942</v>
      </c>
      <c r="O353" s="157" t="s">
        <v>923</v>
      </c>
      <c r="P353" s="3" t="str">
        <f t="shared" ca="1" si="517"/>
        <v/>
      </c>
      <c r="Q353" s="147" t="str">
        <f t="shared" ca="1" si="518"/>
        <v/>
      </c>
      <c r="R353" s="147" t="str">
        <f t="shared" ref="R353:S353" ca="1" si="721">IF(OR(P353="", P353=0), "",
  IF(P353&lt;=2,   1,
  IF(P353&lt;=4,   2,
  IF(P353&lt;=5.5, 3, 4))))</f>
        <v/>
      </c>
      <c r="S353" s="147" t="str">
        <f t="shared" ca="1" si="721"/>
        <v/>
      </c>
      <c r="T353" s="147" t="str">
        <f t="shared" ca="1" si="520"/>
        <v>No Data</v>
      </c>
      <c r="U353" s="147">
        <f t="shared" si="701"/>
        <v>1</v>
      </c>
      <c r="V353" s="147"/>
    </row>
    <row r="354" spans="1:22">
      <c r="A354" s="157" t="s">
        <v>633</v>
      </c>
      <c r="B354" s="3" t="s">
        <v>634</v>
      </c>
      <c r="C354" s="160" t="s">
        <v>83</v>
      </c>
      <c r="D354" s="160" t="s">
        <v>876</v>
      </c>
      <c r="E354" s="3" t="s">
        <v>21</v>
      </c>
      <c r="F354" s="3" t="s">
        <v>926</v>
      </c>
      <c r="G354" s="3" t="s">
        <v>917</v>
      </c>
      <c r="H354" s="156" t="str">
        <f ca="1">IFERROR(
  _xludf.MINIFS(ATTENDANCE_LOG!$F:$F,
         ATTENDANCE_LOG!$A:$A, C354,
         ATTENDANCE_LOG!$B:$B, E354),
"")</f>
        <v/>
      </c>
      <c r="I354" s="3">
        <f>IFERROR(VLOOKUP(F354, LEVEL_HELPER!$A:$B, 2, 0), "")</f>
        <v>1</v>
      </c>
      <c r="J354" s="3">
        <f>IFERROR(VLOOKUP(G354, LEVEL_HELPER!$A:$B, 2, 0), "")</f>
        <v>3</v>
      </c>
      <c r="K354" s="3">
        <f t="shared" ref="K354:L354" si="722">IF(OR(I354="", I354=0), "",
  IF(I354&lt;=2,   1,
  IF(I354&lt;=4,   2,
  IF(I354&lt;=5.5, 3, 4))))</f>
        <v>1</v>
      </c>
      <c r="L354" s="3">
        <f t="shared" si="722"/>
        <v>2</v>
      </c>
      <c r="M354" s="3" t="str">
        <f t="shared" si="516"/>
        <v>Lv1 → Lv2</v>
      </c>
      <c r="N354" s="157" t="s">
        <v>942</v>
      </c>
      <c r="O354" s="157" t="s">
        <v>923</v>
      </c>
      <c r="P354" s="3" t="str">
        <f t="shared" ca="1" si="517"/>
        <v/>
      </c>
      <c r="Q354" s="147" t="str">
        <f t="shared" ca="1" si="518"/>
        <v/>
      </c>
      <c r="R354" s="147" t="str">
        <f t="shared" ref="R354:S354" ca="1" si="723">IF(OR(P354="", P354=0), "",
  IF(P354&lt;=2,   1,
  IF(P354&lt;=4,   2,
  IF(P354&lt;=5.5, 3, 4))))</f>
        <v/>
      </c>
      <c r="S354" s="147" t="str">
        <f t="shared" ca="1" si="723"/>
        <v/>
      </c>
      <c r="T354" s="147" t="str">
        <f t="shared" ca="1" si="520"/>
        <v>No Data</v>
      </c>
      <c r="U354" s="147">
        <f t="shared" si="701"/>
        <v>1</v>
      </c>
      <c r="V354" s="147"/>
    </row>
    <row r="355" spans="1:22">
      <c r="A355" s="157" t="s">
        <v>641</v>
      </c>
      <c r="B355" s="3" t="s">
        <v>642</v>
      </c>
      <c r="C355" s="160" t="s">
        <v>83</v>
      </c>
      <c r="D355" s="160" t="s">
        <v>876</v>
      </c>
      <c r="E355" s="3" t="s">
        <v>21</v>
      </c>
      <c r="F355" s="3" t="s">
        <v>926</v>
      </c>
      <c r="G355" s="3" t="s">
        <v>934</v>
      </c>
      <c r="H355" s="156" t="str">
        <f ca="1">IFERROR(
  _xludf.MINIFS(ATTENDANCE_LOG!$F:$F,
         ATTENDANCE_LOG!$A:$A, C355,
         ATTENDANCE_LOG!$B:$B, E355),
"")</f>
        <v/>
      </c>
      <c r="I355" s="3">
        <f>IFERROR(VLOOKUP(F355, LEVEL_HELPER!$A:$B, 2, 0), "")</f>
        <v>1</v>
      </c>
      <c r="J355" s="3">
        <f>IFERROR(VLOOKUP(G355, LEVEL_HELPER!$A:$B, 2, 0), "")</f>
        <v>3.5</v>
      </c>
      <c r="K355" s="3">
        <f t="shared" ref="K355:L355" si="724">IF(OR(I355="", I355=0), "",
  IF(I355&lt;=2,   1,
  IF(I355&lt;=4,   2,
  IF(I355&lt;=5.5, 3, 4))))</f>
        <v>1</v>
      </c>
      <c r="L355" s="3">
        <f t="shared" si="724"/>
        <v>2</v>
      </c>
      <c r="M355" s="3" t="str">
        <f t="shared" si="516"/>
        <v>Lv1 → Lv2</v>
      </c>
      <c r="N355" s="157" t="s">
        <v>942</v>
      </c>
      <c r="O355" s="157" t="s">
        <v>923</v>
      </c>
      <c r="P355" s="3" t="str">
        <f t="shared" ca="1" si="517"/>
        <v/>
      </c>
      <c r="Q355" s="147" t="str">
        <f t="shared" ca="1" si="518"/>
        <v/>
      </c>
      <c r="R355" s="147" t="str">
        <f t="shared" ref="R355:S355" ca="1" si="725">IF(OR(P355="", P355=0), "",
  IF(P355&lt;=2,   1,
  IF(P355&lt;=4,   2,
  IF(P355&lt;=5.5, 3, 4))))</f>
        <v/>
      </c>
      <c r="S355" s="147" t="str">
        <f t="shared" ca="1" si="725"/>
        <v/>
      </c>
      <c r="T355" s="147" t="str">
        <f t="shared" ca="1" si="520"/>
        <v>No Data</v>
      </c>
      <c r="U355" s="147">
        <f t="shared" si="701"/>
        <v>1</v>
      </c>
      <c r="V355" s="147"/>
    </row>
    <row r="356" spans="1:22">
      <c r="A356" s="157" t="s">
        <v>671</v>
      </c>
      <c r="B356" s="3" t="s">
        <v>672</v>
      </c>
      <c r="C356" s="160" t="s">
        <v>83</v>
      </c>
      <c r="D356" s="160" t="s">
        <v>876</v>
      </c>
      <c r="E356" s="3" t="s">
        <v>21</v>
      </c>
      <c r="F356" s="3" t="s">
        <v>926</v>
      </c>
      <c r="G356" s="3" t="s">
        <v>934</v>
      </c>
      <c r="H356" s="156" t="str">
        <f ca="1">IFERROR(
  _xludf.MINIFS(ATTENDANCE_LOG!$F:$F,
         ATTENDANCE_LOG!$A:$A, C356,
         ATTENDANCE_LOG!$B:$B, E356),
"")</f>
        <v/>
      </c>
      <c r="I356" s="3">
        <f>IFERROR(VLOOKUP(F356, LEVEL_HELPER!$A:$B, 2, 0), "")</f>
        <v>1</v>
      </c>
      <c r="J356" s="3">
        <f>IFERROR(VLOOKUP(G356, LEVEL_HELPER!$A:$B, 2, 0), "")</f>
        <v>3.5</v>
      </c>
      <c r="K356" s="3">
        <f t="shared" ref="K356:L356" si="726">IF(OR(I356="", I356=0), "",
  IF(I356&lt;=2,   1,
  IF(I356&lt;=4,   2,
  IF(I356&lt;=5.5, 3, 4))))</f>
        <v>1</v>
      </c>
      <c r="L356" s="3">
        <f t="shared" si="726"/>
        <v>2</v>
      </c>
      <c r="M356" s="3" t="str">
        <f t="shared" si="516"/>
        <v>Lv1 → Lv2</v>
      </c>
      <c r="N356" s="157" t="s">
        <v>942</v>
      </c>
      <c r="O356" s="157" t="s">
        <v>923</v>
      </c>
      <c r="P356" s="3" t="str">
        <f t="shared" ca="1" si="517"/>
        <v/>
      </c>
      <c r="Q356" s="147" t="str">
        <f t="shared" ca="1" si="518"/>
        <v/>
      </c>
      <c r="R356" s="147" t="str">
        <f t="shared" ref="R356:S356" ca="1" si="727">IF(OR(P356="", P356=0), "",
  IF(P356&lt;=2,   1,
  IF(P356&lt;=4,   2,
  IF(P356&lt;=5.5, 3, 4))))</f>
        <v/>
      </c>
      <c r="S356" s="147" t="str">
        <f t="shared" ca="1" si="727"/>
        <v/>
      </c>
      <c r="T356" s="147" t="str">
        <f t="shared" ca="1" si="520"/>
        <v>No Data</v>
      </c>
      <c r="U356" s="147">
        <f t="shared" si="701"/>
        <v>1</v>
      </c>
      <c r="V356" s="147"/>
    </row>
    <row r="357" spans="1:22">
      <c r="A357" s="157" t="s">
        <v>208</v>
      </c>
      <c r="B357" s="154" t="s">
        <v>209</v>
      </c>
      <c r="C357" s="155" t="s">
        <v>83</v>
      </c>
      <c r="D357" s="155" t="s">
        <v>876</v>
      </c>
      <c r="E357" s="154" t="s">
        <v>22</v>
      </c>
      <c r="F357" s="3" t="s">
        <v>934</v>
      </c>
      <c r="G357" s="3" t="s">
        <v>940</v>
      </c>
      <c r="H357" s="156" t="str">
        <f ca="1">IFERROR(
  _xludf.MINIFS(ATTENDANCE_LOG!$F:$F,
         ATTENDANCE_LOG!$A:$A, C357,
         ATTENDANCE_LOG!$B:$B, E357),
"")</f>
        <v/>
      </c>
      <c r="I357" s="3">
        <f>IFERROR(VLOOKUP(F357, LEVEL_HELPER!$A:$B, 2, 0), "")</f>
        <v>3.5</v>
      </c>
      <c r="J357" s="3">
        <f>IFERROR(VLOOKUP(G357, LEVEL_HELPER!$A:$B, 2, 0), "")</f>
        <v>5</v>
      </c>
      <c r="K357" s="3">
        <f t="shared" ref="K357:L357" si="728">IF(OR(I357="", I357=0), "",
  IF(I357&lt;=2,   1,
  IF(I357&lt;=4,   2,
  IF(I357&lt;=5.5, 3, 4))))</f>
        <v>2</v>
      </c>
      <c r="L357" s="3">
        <f t="shared" si="728"/>
        <v>3</v>
      </c>
      <c r="M357" s="3" t="str">
        <f t="shared" si="516"/>
        <v>Lv2 → Lv3</v>
      </c>
      <c r="N357" s="157" t="s">
        <v>942</v>
      </c>
      <c r="O357" s="157" t="s">
        <v>923</v>
      </c>
      <c r="P357" s="3" t="str">
        <f t="shared" ca="1" si="517"/>
        <v/>
      </c>
      <c r="Q357" s="147" t="str">
        <f t="shared" ca="1" si="518"/>
        <v/>
      </c>
      <c r="R357" s="147" t="str">
        <f t="shared" ref="R357:S357" ca="1" si="729">IF(OR(P357="", P357=0), "",
  IF(P357&lt;=2,   1,
  IF(P357&lt;=4,   2,
  IF(P357&lt;=5.5, 3, 4))))</f>
        <v/>
      </c>
      <c r="S357" s="147" t="str">
        <f t="shared" ca="1" si="729"/>
        <v/>
      </c>
      <c r="T357" s="147" t="str">
        <f t="shared" ca="1" si="520"/>
        <v>No Data</v>
      </c>
      <c r="U357" s="147">
        <f t="shared" si="701"/>
        <v>0</v>
      </c>
      <c r="V357" s="147"/>
    </row>
    <row r="358" spans="1:22">
      <c r="A358" s="157" t="s">
        <v>241</v>
      </c>
      <c r="B358" s="3" t="s">
        <v>242</v>
      </c>
      <c r="C358" s="160" t="s">
        <v>83</v>
      </c>
      <c r="D358" s="160" t="s">
        <v>876</v>
      </c>
      <c r="E358" s="3" t="s">
        <v>22</v>
      </c>
      <c r="F358" s="3" t="s">
        <v>928</v>
      </c>
      <c r="G358" s="3" t="s">
        <v>917</v>
      </c>
      <c r="H358" s="156" t="str">
        <f ca="1">IFERROR(
  _xludf.MINIFS(ATTENDANCE_LOG!$F:$F,
         ATTENDANCE_LOG!$A:$A, C358,
         ATTENDANCE_LOG!$B:$B, E358),
"")</f>
        <v/>
      </c>
      <c r="I358" s="3">
        <f>IFERROR(VLOOKUP(F358, LEVEL_HELPER!$A:$B, 2, 0), "")</f>
        <v>1.5</v>
      </c>
      <c r="J358" s="3">
        <f>IFERROR(VLOOKUP(G358, LEVEL_HELPER!$A:$B, 2, 0), "")</f>
        <v>3</v>
      </c>
      <c r="K358" s="3">
        <f t="shared" ref="K358:L358" si="730">IF(OR(I358="", I358=0), "",
  IF(I358&lt;=2,   1,
  IF(I358&lt;=4,   2,
  IF(I358&lt;=5.5, 3, 4))))</f>
        <v>1</v>
      </c>
      <c r="L358" s="3">
        <f t="shared" si="730"/>
        <v>2</v>
      </c>
      <c r="M358" s="3" t="str">
        <f t="shared" si="516"/>
        <v>Lv1 → Lv2</v>
      </c>
      <c r="N358" s="157" t="s">
        <v>918</v>
      </c>
      <c r="O358" s="157" t="s">
        <v>923</v>
      </c>
      <c r="P358" s="3" t="str">
        <f t="shared" ca="1" si="517"/>
        <v/>
      </c>
      <c r="Q358" s="147" t="str">
        <f t="shared" ca="1" si="518"/>
        <v/>
      </c>
      <c r="R358" s="147" t="str">
        <f t="shared" ref="R358:S358" ca="1" si="731">IF(OR(P358="", P358=0), "",
  IF(P358&lt;=2,   1,
  IF(P358&lt;=4,   2,
  IF(P358&lt;=5.5, 3, 4))))</f>
        <v/>
      </c>
      <c r="S358" s="147" t="str">
        <f t="shared" ca="1" si="731"/>
        <v/>
      </c>
      <c r="T358" s="147" t="str">
        <f t="shared" ca="1" si="520"/>
        <v>No Data</v>
      </c>
      <c r="U358" s="147">
        <f t="shared" si="701"/>
        <v>1</v>
      </c>
      <c r="V358" s="147"/>
    </row>
    <row r="359" spans="1:22">
      <c r="A359" s="157" t="s">
        <v>243</v>
      </c>
      <c r="B359" s="3" t="s">
        <v>244</v>
      </c>
      <c r="C359" s="160" t="s">
        <v>83</v>
      </c>
      <c r="D359" s="160" t="s">
        <v>876</v>
      </c>
      <c r="E359" s="3" t="s">
        <v>22</v>
      </c>
      <c r="F359" s="3" t="s">
        <v>926</v>
      </c>
      <c r="G359" s="3" t="s">
        <v>917</v>
      </c>
      <c r="H359" s="156" t="str">
        <f ca="1">IFERROR(
  _xludf.MINIFS(ATTENDANCE_LOG!$F:$F,
         ATTENDANCE_LOG!$A:$A, C359,
         ATTENDANCE_LOG!$B:$B, E359),
"")</f>
        <v/>
      </c>
      <c r="I359" s="3">
        <f>IFERROR(VLOOKUP(F359, LEVEL_HELPER!$A:$B, 2, 0), "")</f>
        <v>1</v>
      </c>
      <c r="J359" s="3">
        <f>IFERROR(VLOOKUP(G359, LEVEL_HELPER!$A:$B, 2, 0), "")</f>
        <v>3</v>
      </c>
      <c r="K359" s="3">
        <f t="shared" ref="K359:L359" si="732">IF(OR(I359="", I359=0), "",
  IF(I359&lt;=2,   1,
  IF(I359&lt;=4,   2,
  IF(I359&lt;=5.5, 3, 4))))</f>
        <v>1</v>
      </c>
      <c r="L359" s="3">
        <f t="shared" si="732"/>
        <v>2</v>
      </c>
      <c r="M359" s="3" t="str">
        <f t="shared" si="516"/>
        <v>Lv1 → Lv2</v>
      </c>
      <c r="N359" s="157" t="s">
        <v>942</v>
      </c>
      <c r="O359" s="157" t="s">
        <v>923</v>
      </c>
      <c r="P359" s="3" t="str">
        <f t="shared" ca="1" si="517"/>
        <v/>
      </c>
      <c r="Q359" s="147" t="str">
        <f t="shared" ca="1" si="518"/>
        <v/>
      </c>
      <c r="R359" s="147" t="str">
        <f t="shared" ref="R359:S359" ca="1" si="733">IF(OR(P359="", P359=0), "",
  IF(P359&lt;=2,   1,
  IF(P359&lt;=4,   2,
  IF(P359&lt;=5.5, 3, 4))))</f>
        <v/>
      </c>
      <c r="S359" s="147" t="str">
        <f t="shared" ca="1" si="733"/>
        <v/>
      </c>
      <c r="T359" s="147" t="str">
        <f t="shared" ca="1" si="520"/>
        <v>No Data</v>
      </c>
      <c r="U359" s="147">
        <f t="shared" si="701"/>
        <v>0</v>
      </c>
      <c r="V359" s="147"/>
    </row>
    <row r="360" spans="1:22">
      <c r="A360" s="157" t="s">
        <v>305</v>
      </c>
      <c r="B360" s="3" t="s">
        <v>306</v>
      </c>
      <c r="C360" s="160" t="s">
        <v>83</v>
      </c>
      <c r="D360" s="160" t="s">
        <v>876</v>
      </c>
      <c r="E360" s="3" t="s">
        <v>22</v>
      </c>
      <c r="F360" s="3" t="s">
        <v>928</v>
      </c>
      <c r="G360" s="3" t="s">
        <v>917</v>
      </c>
      <c r="H360" s="156" t="str">
        <f ca="1">IFERROR(
  _xludf.MINIFS(ATTENDANCE_LOG!$F:$F,
         ATTENDANCE_LOG!$A:$A, C360,
         ATTENDANCE_LOG!$B:$B, E360),
"")</f>
        <v/>
      </c>
      <c r="I360" s="3">
        <f>IFERROR(VLOOKUP(F360, LEVEL_HELPER!$A:$B, 2, 0), "")</f>
        <v>1.5</v>
      </c>
      <c r="J360" s="3">
        <f>IFERROR(VLOOKUP(G360, LEVEL_HELPER!$A:$B, 2, 0), "")</f>
        <v>3</v>
      </c>
      <c r="K360" s="3">
        <f t="shared" ref="K360:L360" si="734">IF(OR(I360="", I360=0), "",
  IF(I360&lt;=2,   1,
  IF(I360&lt;=4,   2,
  IF(I360&lt;=5.5, 3, 4))))</f>
        <v>1</v>
      </c>
      <c r="L360" s="3">
        <f t="shared" si="734"/>
        <v>2</v>
      </c>
      <c r="M360" s="3" t="str">
        <f t="shared" si="516"/>
        <v>Lv1 → Lv2</v>
      </c>
      <c r="N360" s="157" t="s">
        <v>942</v>
      </c>
      <c r="O360" s="157" t="s">
        <v>923</v>
      </c>
      <c r="P360" s="3" t="str">
        <f t="shared" ca="1" si="517"/>
        <v/>
      </c>
      <c r="Q360" s="147" t="str">
        <f t="shared" ca="1" si="518"/>
        <v/>
      </c>
      <c r="R360" s="147" t="str">
        <f t="shared" ref="R360:S360" ca="1" si="735">IF(OR(P360="", P360=0), "",
  IF(P360&lt;=2,   1,
  IF(P360&lt;=4,   2,
  IF(P360&lt;=5.5, 3, 4))))</f>
        <v/>
      </c>
      <c r="S360" s="147" t="str">
        <f t="shared" ca="1" si="735"/>
        <v/>
      </c>
      <c r="T360" s="147" t="str">
        <f t="shared" ca="1" si="520"/>
        <v>No Data</v>
      </c>
      <c r="U360" s="147">
        <f t="shared" si="701"/>
        <v>0</v>
      </c>
      <c r="V360" s="147"/>
    </row>
    <row r="361" spans="1:22">
      <c r="A361" s="157" t="s">
        <v>442</v>
      </c>
      <c r="B361" s="3" t="s">
        <v>443</v>
      </c>
      <c r="C361" s="160" t="s">
        <v>83</v>
      </c>
      <c r="D361" s="160" t="s">
        <v>876</v>
      </c>
      <c r="E361" s="3" t="s">
        <v>22</v>
      </c>
      <c r="F361" s="3" t="s">
        <v>917</v>
      </c>
      <c r="G361" s="3" t="s">
        <v>934</v>
      </c>
      <c r="H361" s="156" t="str">
        <f ca="1">IFERROR(
  _xludf.MINIFS(ATTENDANCE_LOG!$F:$F,
         ATTENDANCE_LOG!$A:$A, C361,
         ATTENDANCE_LOG!$B:$B, E361),
"")</f>
        <v/>
      </c>
      <c r="I361" s="3">
        <f>IFERROR(VLOOKUP(F361, LEVEL_HELPER!$A:$B, 2, 0), "")</f>
        <v>3</v>
      </c>
      <c r="J361" s="3">
        <f>IFERROR(VLOOKUP(G361, LEVEL_HELPER!$A:$B, 2, 0), "")</f>
        <v>3.5</v>
      </c>
      <c r="K361" s="3">
        <f t="shared" ref="K361:L361" si="736">IF(OR(I361="", I361=0), "",
  IF(I361&lt;=2,   1,
  IF(I361&lt;=4,   2,
  IF(I361&lt;=5.5, 3, 4))))</f>
        <v>2</v>
      </c>
      <c r="L361" s="3">
        <f t="shared" si="736"/>
        <v>2</v>
      </c>
      <c r="M361" s="3" t="str">
        <f t="shared" si="516"/>
        <v>Progress within level</v>
      </c>
      <c r="N361" s="157" t="s">
        <v>942</v>
      </c>
      <c r="O361" s="157" t="s">
        <v>923</v>
      </c>
      <c r="P361" s="3" t="str">
        <f t="shared" ca="1" si="517"/>
        <v/>
      </c>
      <c r="Q361" s="147" t="str">
        <f t="shared" ca="1" si="518"/>
        <v/>
      </c>
      <c r="R361" s="147" t="str">
        <f t="shared" ref="R361:S361" ca="1" si="737">IF(OR(P361="", P361=0), "",
  IF(P361&lt;=2,   1,
  IF(P361&lt;=4,   2,
  IF(P361&lt;=5.5, 3, 4))))</f>
        <v/>
      </c>
      <c r="S361" s="147" t="str">
        <f t="shared" ca="1" si="737"/>
        <v/>
      </c>
      <c r="T361" s="147" t="str">
        <f t="shared" ca="1" si="520"/>
        <v>No Data</v>
      </c>
      <c r="U361" s="147">
        <f t="shared" si="701"/>
        <v>0</v>
      </c>
      <c r="V361" s="147"/>
    </row>
    <row r="362" spans="1:22">
      <c r="A362" s="157" t="s">
        <v>463</v>
      </c>
      <c r="B362" s="3" t="s">
        <v>464</v>
      </c>
      <c r="C362" s="160" t="s">
        <v>83</v>
      </c>
      <c r="D362" s="160" t="s">
        <v>876</v>
      </c>
      <c r="E362" s="3" t="s">
        <v>22</v>
      </c>
      <c r="F362" s="3" t="s">
        <v>928</v>
      </c>
      <c r="G362" s="3"/>
      <c r="H362" s="156" t="str">
        <f ca="1">IFERROR(
  _xludf.MINIFS(ATTENDANCE_LOG!$F:$F,
         ATTENDANCE_LOG!$A:$A, C362,
         ATTENDANCE_LOG!$B:$B, E362),
"")</f>
        <v/>
      </c>
      <c r="I362" s="3">
        <f>IFERROR(VLOOKUP(F362, LEVEL_HELPER!$A:$B, 2, 0), "")</f>
        <v>1.5</v>
      </c>
      <c r="J362" s="3" t="str">
        <f>IFERROR(VLOOKUP(G362, LEVEL_HELPER!$A:$B, 2, 0), "")</f>
        <v/>
      </c>
      <c r="K362" s="3">
        <f t="shared" ref="K362:L362" si="738">IF(OR(I362="", I362=0), "",
  IF(I362&lt;=2,   1,
  IF(I362&lt;=4,   2,
  IF(I362&lt;=5.5, 3, 4))))</f>
        <v>1</v>
      </c>
      <c r="L362" s="3" t="str">
        <f t="shared" si="738"/>
        <v/>
      </c>
      <c r="M362" s="3" t="str">
        <f t="shared" si="516"/>
        <v>No Data</v>
      </c>
      <c r="N362" s="157" t="s">
        <v>918</v>
      </c>
      <c r="O362" s="157" t="s">
        <v>923</v>
      </c>
      <c r="P362" s="3" t="str">
        <f t="shared" ca="1" si="517"/>
        <v/>
      </c>
      <c r="Q362" s="147" t="str">
        <f t="shared" ca="1" si="518"/>
        <v/>
      </c>
      <c r="R362" s="147" t="str">
        <f t="shared" ref="R362:S362" ca="1" si="739">IF(OR(P362="", P362=0), "",
  IF(P362&lt;=2,   1,
  IF(P362&lt;=4,   2,
  IF(P362&lt;=5.5, 3, 4))))</f>
        <v/>
      </c>
      <c r="S362" s="147" t="str">
        <f t="shared" ca="1" si="739"/>
        <v/>
      </c>
      <c r="T362" s="147" t="str">
        <f t="shared" ca="1" si="520"/>
        <v>No Data</v>
      </c>
      <c r="U362" s="147">
        <f t="shared" si="701"/>
        <v>1</v>
      </c>
      <c r="V362" s="147"/>
    </row>
    <row r="363" spans="1:22">
      <c r="A363" s="157" t="s">
        <v>633</v>
      </c>
      <c r="B363" s="3" t="s">
        <v>634</v>
      </c>
      <c r="C363" s="160" t="s">
        <v>83</v>
      </c>
      <c r="D363" s="160" t="s">
        <v>876</v>
      </c>
      <c r="E363" s="3" t="s">
        <v>22</v>
      </c>
      <c r="F363" s="3" t="s">
        <v>917</v>
      </c>
      <c r="G363" s="3" t="s">
        <v>928</v>
      </c>
      <c r="H363" s="156" t="str">
        <f ca="1">IFERROR(
  _xludf.MINIFS(ATTENDANCE_LOG!$F:$F,
         ATTENDANCE_LOG!$A:$A, C363,
         ATTENDANCE_LOG!$B:$B, E363),
"")</f>
        <v/>
      </c>
      <c r="I363" s="3">
        <f>IFERROR(VLOOKUP(F363, LEVEL_HELPER!$A:$B, 2, 0), "")</f>
        <v>3</v>
      </c>
      <c r="J363" s="3">
        <f>IFERROR(VLOOKUP(G363, LEVEL_HELPER!$A:$B, 2, 0), "")</f>
        <v>1.5</v>
      </c>
      <c r="K363" s="3">
        <f t="shared" ref="K363:L363" si="740">IF(OR(I363="", I363=0), "",
  IF(I363&lt;=2,   1,
  IF(I363&lt;=4,   2,
  IF(I363&lt;=5.5, 3, 4))))</f>
        <v>2</v>
      </c>
      <c r="L363" s="3">
        <f t="shared" si="740"/>
        <v>1</v>
      </c>
      <c r="M363" s="3" t="str">
        <f t="shared" si="516"/>
        <v>Regressed</v>
      </c>
      <c r="N363" s="157" t="s">
        <v>942</v>
      </c>
      <c r="O363" s="157" t="s">
        <v>923</v>
      </c>
      <c r="P363" s="3" t="str">
        <f t="shared" ca="1" si="517"/>
        <v/>
      </c>
      <c r="Q363" s="147" t="str">
        <f t="shared" ca="1" si="518"/>
        <v/>
      </c>
      <c r="R363" s="147" t="str">
        <f t="shared" ref="R363:S363" ca="1" si="741">IF(OR(P363="", P363=0), "",
  IF(P363&lt;=2,   1,
  IF(P363&lt;=4,   2,
  IF(P363&lt;=5.5, 3, 4))))</f>
        <v/>
      </c>
      <c r="S363" s="147" t="str">
        <f t="shared" ca="1" si="741"/>
        <v/>
      </c>
      <c r="T363" s="147" t="str">
        <f t="shared" ca="1" si="520"/>
        <v>No Data</v>
      </c>
      <c r="U363" s="147">
        <f t="shared" si="701"/>
        <v>0</v>
      </c>
      <c r="V363" s="147"/>
    </row>
    <row r="364" spans="1:22">
      <c r="A364" s="157" t="s">
        <v>641</v>
      </c>
      <c r="B364" s="3" t="s">
        <v>642</v>
      </c>
      <c r="C364" s="160" t="s">
        <v>83</v>
      </c>
      <c r="D364" s="160" t="s">
        <v>876</v>
      </c>
      <c r="E364" s="3" t="s">
        <v>22</v>
      </c>
      <c r="F364" s="3" t="s">
        <v>934</v>
      </c>
      <c r="G364" s="3" t="s">
        <v>940</v>
      </c>
      <c r="H364" s="156" t="str">
        <f ca="1">IFERROR(
  _xludf.MINIFS(ATTENDANCE_LOG!$F:$F,
         ATTENDANCE_LOG!$A:$A, C364,
         ATTENDANCE_LOG!$B:$B, E364),
"")</f>
        <v/>
      </c>
      <c r="I364" s="3">
        <f>IFERROR(VLOOKUP(F364, LEVEL_HELPER!$A:$B, 2, 0), "")</f>
        <v>3.5</v>
      </c>
      <c r="J364" s="3">
        <f>IFERROR(VLOOKUP(G364, LEVEL_HELPER!$A:$B, 2, 0), "")</f>
        <v>5</v>
      </c>
      <c r="K364" s="3">
        <f t="shared" ref="K364:L364" si="742">IF(OR(I364="", I364=0), "",
  IF(I364&lt;=2,   1,
  IF(I364&lt;=4,   2,
  IF(I364&lt;=5.5, 3, 4))))</f>
        <v>2</v>
      </c>
      <c r="L364" s="3">
        <f t="shared" si="742"/>
        <v>3</v>
      </c>
      <c r="M364" s="3" t="str">
        <f t="shared" si="516"/>
        <v>Lv2 → Lv3</v>
      </c>
      <c r="N364" s="157" t="s">
        <v>942</v>
      </c>
      <c r="O364" s="157" t="s">
        <v>923</v>
      </c>
      <c r="P364" s="3" t="str">
        <f t="shared" ca="1" si="517"/>
        <v/>
      </c>
      <c r="Q364" s="147" t="str">
        <f t="shared" ca="1" si="518"/>
        <v/>
      </c>
      <c r="R364" s="147" t="str">
        <f t="shared" ref="R364:S364" ca="1" si="743">IF(OR(P364="", P364=0), "",
  IF(P364&lt;=2,   1,
  IF(P364&lt;=4,   2,
  IF(P364&lt;=5.5, 3, 4))))</f>
        <v/>
      </c>
      <c r="S364" s="147" t="str">
        <f t="shared" ca="1" si="743"/>
        <v/>
      </c>
      <c r="T364" s="147" t="str">
        <f t="shared" ca="1" si="520"/>
        <v>No Data</v>
      </c>
      <c r="U364" s="147">
        <f t="shared" si="701"/>
        <v>0</v>
      </c>
      <c r="V364" s="147"/>
    </row>
    <row r="365" spans="1:22">
      <c r="A365" s="157" t="s">
        <v>671</v>
      </c>
      <c r="B365" s="3" t="s">
        <v>672</v>
      </c>
      <c r="C365" s="160" t="s">
        <v>83</v>
      </c>
      <c r="D365" s="160" t="s">
        <v>876</v>
      </c>
      <c r="E365" s="3" t="s">
        <v>22</v>
      </c>
      <c r="F365" s="3" t="s">
        <v>934</v>
      </c>
      <c r="G365" s="3" t="s">
        <v>934</v>
      </c>
      <c r="H365" s="156" t="str">
        <f ca="1">IFERROR(
  _xludf.MINIFS(ATTENDANCE_LOG!$F:$F,
         ATTENDANCE_LOG!$A:$A, C365,
         ATTENDANCE_LOG!$B:$B, E365),
"")</f>
        <v/>
      </c>
      <c r="I365" s="3">
        <f>IFERROR(VLOOKUP(F365, LEVEL_HELPER!$A:$B, 2, 0), "")</f>
        <v>3.5</v>
      </c>
      <c r="J365" s="3">
        <f>IFERROR(VLOOKUP(G365, LEVEL_HELPER!$A:$B, 2, 0), "")</f>
        <v>3.5</v>
      </c>
      <c r="K365" s="3">
        <f t="shared" ref="K365:L365" si="744">IF(OR(I365="", I365=0), "",
  IF(I365&lt;=2,   1,
  IF(I365&lt;=4,   2,
  IF(I365&lt;=5.5, 3, 4))))</f>
        <v>2</v>
      </c>
      <c r="L365" s="3">
        <f t="shared" si="744"/>
        <v>2</v>
      </c>
      <c r="M365" s="3" t="str">
        <f t="shared" si="516"/>
        <v>No Progress</v>
      </c>
      <c r="N365" s="157" t="s">
        <v>942</v>
      </c>
      <c r="O365" s="157" t="s">
        <v>923</v>
      </c>
      <c r="P365" s="3" t="str">
        <f t="shared" ca="1" si="517"/>
        <v/>
      </c>
      <c r="Q365" s="147" t="str">
        <f t="shared" ca="1" si="518"/>
        <v/>
      </c>
      <c r="R365" s="147" t="str">
        <f t="shared" ref="R365:S365" ca="1" si="745">IF(OR(P365="", P365=0), "",
  IF(P365&lt;=2,   1,
  IF(P365&lt;=4,   2,
  IF(P365&lt;=5.5, 3, 4))))</f>
        <v/>
      </c>
      <c r="S365" s="147" t="str">
        <f t="shared" ca="1" si="745"/>
        <v/>
      </c>
      <c r="T365" s="147" t="str">
        <f t="shared" ca="1" si="520"/>
        <v>No Data</v>
      </c>
      <c r="U365" s="147">
        <f t="shared" si="701"/>
        <v>0</v>
      </c>
      <c r="V365" s="147"/>
    </row>
    <row r="366" spans="1:22">
      <c r="A366" s="176" t="s">
        <v>649</v>
      </c>
      <c r="B366" s="154" t="s">
        <v>650</v>
      </c>
      <c r="C366" s="155" t="s">
        <v>84</v>
      </c>
      <c r="D366" s="155" t="s">
        <v>877</v>
      </c>
      <c r="E366" s="154" t="s">
        <v>24</v>
      </c>
      <c r="F366" s="3"/>
      <c r="G366" s="3"/>
      <c r="H366" s="156" t="str">
        <f ca="1">IFERROR(
  _xludf.MINIFS(ATTENDANCE_LOG!$F:$F,
         ATTENDANCE_LOG!$A:$A, C366,
         ATTENDANCE_LOG!$B:$B, E366),
"")</f>
        <v/>
      </c>
      <c r="I366" s="3" t="str">
        <f>IFERROR(VLOOKUP(F366, LEVEL_HELPER!$A:$B, 2, 0), "")</f>
        <v/>
      </c>
      <c r="J366" s="3" t="str">
        <f>IFERROR(VLOOKUP(G366, LEVEL_HELPER!$A:$B, 2, 0), "")</f>
        <v/>
      </c>
      <c r="K366" s="3" t="str">
        <f t="shared" ref="K366:L366" si="746">IF(OR(I366="", I366=0), "",
  IF(I366&lt;=2,   1,
  IF(I366&lt;=4,   2,
  IF(I366&lt;=5.5, 3, 4))))</f>
        <v/>
      </c>
      <c r="L366" s="3" t="str">
        <f t="shared" si="746"/>
        <v/>
      </c>
      <c r="M366" s="3" t="str">
        <f t="shared" si="516"/>
        <v>No Data</v>
      </c>
      <c r="N366" s="157" t="s">
        <v>930</v>
      </c>
      <c r="O366" s="157" t="s">
        <v>923</v>
      </c>
      <c r="P366" s="3" t="str">
        <f t="shared" ca="1" si="517"/>
        <v/>
      </c>
      <c r="Q366" s="147" t="str">
        <f t="shared" ca="1" si="518"/>
        <v/>
      </c>
      <c r="R366" s="147" t="str">
        <f t="shared" ref="R366:S366" ca="1" si="747">IF(OR(P366="", P366=0), "",
  IF(P366&lt;=2,   1,
  IF(P366&lt;=4,   2,
  IF(P366&lt;=5.5, 3, 4))))</f>
        <v/>
      </c>
      <c r="S366" s="147" t="str">
        <f t="shared" ca="1" si="747"/>
        <v/>
      </c>
      <c r="T366" s="147" t="str">
        <f t="shared" ca="1" si="520"/>
        <v>No Data</v>
      </c>
      <c r="U366" s="147">
        <f>IF(COUNTIF($A$2:A372, A366)=1, 1, 0)</f>
        <v>1</v>
      </c>
      <c r="V366" s="147"/>
    </row>
    <row r="367" spans="1:22">
      <c r="A367" s="157" t="s">
        <v>253</v>
      </c>
      <c r="B367" s="3" t="s">
        <v>254</v>
      </c>
      <c r="C367" s="160" t="s">
        <v>84</v>
      </c>
      <c r="D367" s="160" t="s">
        <v>877</v>
      </c>
      <c r="E367" s="3" t="s">
        <v>24</v>
      </c>
      <c r="F367" s="3"/>
      <c r="G367" s="3"/>
      <c r="H367" s="156" t="str">
        <f ca="1">IFERROR(
  _xludf.MINIFS(ATTENDANCE_LOG!$F:$F,
         ATTENDANCE_LOG!$A:$A, C367,
         ATTENDANCE_LOG!$B:$B, E367),
"")</f>
        <v/>
      </c>
      <c r="I367" s="3" t="str">
        <f>IFERROR(VLOOKUP(F367, LEVEL_HELPER!$A:$B, 2, 0), "")</f>
        <v/>
      </c>
      <c r="J367" s="3" t="str">
        <f>IFERROR(VLOOKUP(G367, LEVEL_HELPER!$A:$B, 2, 0), "")</f>
        <v/>
      </c>
      <c r="K367" s="3" t="str">
        <f t="shared" ref="K367:L367" si="748">IF(OR(I367="", I367=0), "",
  IF(I367&lt;=2,   1,
  IF(I367&lt;=4,   2,
  IF(I367&lt;=5.5, 3, 4))))</f>
        <v/>
      </c>
      <c r="L367" s="3" t="str">
        <f t="shared" si="748"/>
        <v/>
      </c>
      <c r="M367" s="3" t="str">
        <f t="shared" si="516"/>
        <v>No Data</v>
      </c>
      <c r="N367" s="157" t="s">
        <v>930</v>
      </c>
      <c r="O367" s="157" t="s">
        <v>923</v>
      </c>
      <c r="P367" s="3" t="str">
        <f t="shared" ca="1" si="517"/>
        <v/>
      </c>
      <c r="Q367" s="147" t="str">
        <f t="shared" ca="1" si="518"/>
        <v/>
      </c>
      <c r="R367" s="147" t="str">
        <f t="shared" ref="R367:S367" ca="1" si="749">IF(OR(P367="", P367=0), "",
  IF(P367&lt;=2,   1,
  IF(P367&lt;=4,   2,
  IF(P367&lt;=5.5, 3, 4))))</f>
        <v/>
      </c>
      <c r="S367" s="147" t="str">
        <f t="shared" ca="1" si="749"/>
        <v/>
      </c>
      <c r="T367" s="147" t="str">
        <f t="shared" ca="1" si="520"/>
        <v>No Data</v>
      </c>
      <c r="U367" s="147">
        <f t="shared" ref="U367:U372" si="750">IF(COUNTIF($A$2:A367, A367)=1, 1, 0)</f>
        <v>1</v>
      </c>
      <c r="V367" s="147"/>
    </row>
    <row r="368" spans="1:22">
      <c r="A368" s="157" t="s">
        <v>447</v>
      </c>
      <c r="B368" s="3" t="s">
        <v>448</v>
      </c>
      <c r="C368" s="160" t="s">
        <v>84</v>
      </c>
      <c r="D368" s="160" t="s">
        <v>877</v>
      </c>
      <c r="E368" s="3" t="s">
        <v>24</v>
      </c>
      <c r="F368" s="3"/>
      <c r="G368" s="3"/>
      <c r="H368" s="156" t="str">
        <f ca="1">IFERROR(
  _xludf.MINIFS(ATTENDANCE_LOG!$F:$F,
         ATTENDANCE_LOG!$A:$A, C368,
         ATTENDANCE_LOG!$B:$B, E368),
"")</f>
        <v/>
      </c>
      <c r="I368" s="3" t="str">
        <f>IFERROR(VLOOKUP(F368, LEVEL_HELPER!$A:$B, 2, 0), "")</f>
        <v/>
      </c>
      <c r="J368" s="3" t="str">
        <f>IFERROR(VLOOKUP(G368, LEVEL_HELPER!$A:$B, 2, 0), "")</f>
        <v/>
      </c>
      <c r="K368" s="3" t="str">
        <f t="shared" ref="K368:L368" si="751">IF(OR(I368="", I368=0), "",
  IF(I368&lt;=2,   1,
  IF(I368&lt;=4,   2,
  IF(I368&lt;=5.5, 3, 4))))</f>
        <v/>
      </c>
      <c r="L368" s="3" t="str">
        <f t="shared" si="751"/>
        <v/>
      </c>
      <c r="M368" s="3" t="str">
        <f t="shared" si="516"/>
        <v>No Data</v>
      </c>
      <c r="N368" s="157" t="s">
        <v>930</v>
      </c>
      <c r="O368" s="157" t="s">
        <v>923</v>
      </c>
      <c r="P368" s="3" t="str">
        <f t="shared" ca="1" si="517"/>
        <v/>
      </c>
      <c r="Q368" s="147" t="str">
        <f t="shared" ca="1" si="518"/>
        <v/>
      </c>
      <c r="R368" s="147" t="str">
        <f t="shared" ref="R368:S368" ca="1" si="752">IF(OR(P368="", P368=0), "",
  IF(P368&lt;=2,   1,
  IF(P368&lt;=4,   2,
  IF(P368&lt;=5.5, 3, 4))))</f>
        <v/>
      </c>
      <c r="S368" s="147" t="str">
        <f t="shared" ca="1" si="752"/>
        <v/>
      </c>
      <c r="T368" s="147" t="str">
        <f t="shared" ca="1" si="520"/>
        <v>No Data</v>
      </c>
      <c r="U368" s="147">
        <f t="shared" si="750"/>
        <v>1</v>
      </c>
      <c r="V368" s="147"/>
    </row>
    <row r="369" spans="1:22">
      <c r="A369" s="157" t="s">
        <v>486</v>
      </c>
      <c r="B369" s="3" t="s">
        <v>487</v>
      </c>
      <c r="C369" s="160" t="s">
        <v>84</v>
      </c>
      <c r="D369" s="160" t="s">
        <v>877</v>
      </c>
      <c r="E369" s="3" t="s">
        <v>24</v>
      </c>
      <c r="F369" s="3"/>
      <c r="G369" s="3"/>
      <c r="H369" s="156" t="str">
        <f ca="1">IFERROR(
  _xludf.MINIFS(ATTENDANCE_LOG!$F:$F,
         ATTENDANCE_LOG!$A:$A, C369,
         ATTENDANCE_LOG!$B:$B, E369),
"")</f>
        <v/>
      </c>
      <c r="I369" s="3" t="str">
        <f>IFERROR(VLOOKUP(F369, LEVEL_HELPER!$A:$B, 2, 0), "")</f>
        <v/>
      </c>
      <c r="J369" s="3" t="str">
        <f>IFERROR(VLOOKUP(G369, LEVEL_HELPER!$A:$B, 2, 0), "")</f>
        <v/>
      </c>
      <c r="K369" s="3" t="str">
        <f t="shared" ref="K369:L369" si="753">IF(OR(I369="", I369=0), "",
  IF(I369&lt;=2,   1,
  IF(I369&lt;=4,   2,
  IF(I369&lt;=5.5, 3, 4))))</f>
        <v/>
      </c>
      <c r="L369" s="3" t="str">
        <f t="shared" si="753"/>
        <v/>
      </c>
      <c r="M369" s="3" t="str">
        <f t="shared" si="516"/>
        <v>No Data</v>
      </c>
      <c r="N369" s="157" t="s">
        <v>930</v>
      </c>
      <c r="O369" s="157" t="s">
        <v>923</v>
      </c>
      <c r="P369" s="3" t="str">
        <f t="shared" ca="1" si="517"/>
        <v/>
      </c>
      <c r="Q369" s="147" t="str">
        <f t="shared" ca="1" si="518"/>
        <v/>
      </c>
      <c r="R369" s="147" t="str">
        <f t="shared" ref="R369:S369" ca="1" si="754">IF(OR(P369="", P369=0), "",
  IF(P369&lt;=2,   1,
  IF(P369&lt;=4,   2,
  IF(P369&lt;=5.5, 3, 4))))</f>
        <v/>
      </c>
      <c r="S369" s="147" t="str">
        <f t="shared" ca="1" si="754"/>
        <v/>
      </c>
      <c r="T369" s="147" t="str">
        <f t="shared" ca="1" si="520"/>
        <v>No Data</v>
      </c>
      <c r="U369" s="147">
        <f t="shared" si="750"/>
        <v>1</v>
      </c>
      <c r="V369" s="147"/>
    </row>
    <row r="370" spans="1:22">
      <c r="A370" s="157" t="s">
        <v>508</v>
      </c>
      <c r="B370" s="3" t="s">
        <v>509</v>
      </c>
      <c r="C370" s="160" t="s">
        <v>84</v>
      </c>
      <c r="D370" s="160" t="s">
        <v>877</v>
      </c>
      <c r="E370" s="3" t="s">
        <v>24</v>
      </c>
      <c r="F370" s="3"/>
      <c r="G370" s="3"/>
      <c r="H370" s="156" t="str">
        <f ca="1">IFERROR(
  _xludf.MINIFS(ATTENDANCE_LOG!$F:$F,
         ATTENDANCE_LOG!$A:$A, C370,
         ATTENDANCE_LOG!$B:$B, E370),
"")</f>
        <v/>
      </c>
      <c r="I370" s="3" t="str">
        <f>IFERROR(VLOOKUP(F370, LEVEL_HELPER!$A:$B, 2, 0), "")</f>
        <v/>
      </c>
      <c r="J370" s="3" t="str">
        <f>IFERROR(VLOOKUP(G370, LEVEL_HELPER!$A:$B, 2, 0), "")</f>
        <v/>
      </c>
      <c r="K370" s="3" t="str">
        <f t="shared" ref="K370:L370" si="755">IF(OR(I370="", I370=0), "",
  IF(I370&lt;=2,   1,
  IF(I370&lt;=4,   2,
  IF(I370&lt;=5.5, 3, 4))))</f>
        <v/>
      </c>
      <c r="L370" s="3" t="str">
        <f t="shared" si="755"/>
        <v/>
      </c>
      <c r="M370" s="3" t="str">
        <f t="shared" si="516"/>
        <v>No Data</v>
      </c>
      <c r="N370" s="157" t="s">
        <v>930</v>
      </c>
      <c r="O370" s="157" t="s">
        <v>923</v>
      </c>
      <c r="P370" s="3" t="str">
        <f t="shared" ca="1" si="517"/>
        <v/>
      </c>
      <c r="Q370" s="147" t="str">
        <f t="shared" ca="1" si="518"/>
        <v/>
      </c>
      <c r="R370" s="147" t="str">
        <f t="shared" ref="R370:S370" ca="1" si="756">IF(OR(P370="", P370=0), "",
  IF(P370&lt;=2,   1,
  IF(P370&lt;=4,   2,
  IF(P370&lt;=5.5, 3, 4))))</f>
        <v/>
      </c>
      <c r="S370" s="147" t="str">
        <f t="shared" ca="1" si="756"/>
        <v/>
      </c>
      <c r="T370" s="147" t="str">
        <f t="shared" ca="1" si="520"/>
        <v>No Data</v>
      </c>
      <c r="U370" s="147">
        <f t="shared" si="750"/>
        <v>1</v>
      </c>
      <c r="V370" s="147"/>
    </row>
    <row r="371" spans="1:22">
      <c r="A371" s="157" t="s">
        <v>597</v>
      </c>
      <c r="B371" s="3" t="s">
        <v>598</v>
      </c>
      <c r="C371" s="160" t="s">
        <v>84</v>
      </c>
      <c r="D371" s="160" t="s">
        <v>877</v>
      </c>
      <c r="E371" s="3" t="s">
        <v>24</v>
      </c>
      <c r="F371" s="3"/>
      <c r="G371" s="3"/>
      <c r="H371" s="156" t="str">
        <f ca="1">IFERROR(
  _xludf.MINIFS(ATTENDANCE_LOG!$F:$F,
         ATTENDANCE_LOG!$A:$A, C371,
         ATTENDANCE_LOG!$B:$B, E371),
"")</f>
        <v/>
      </c>
      <c r="I371" s="3" t="str">
        <f>IFERROR(VLOOKUP(F371, LEVEL_HELPER!$A:$B, 2, 0), "")</f>
        <v/>
      </c>
      <c r="J371" s="3" t="str">
        <f>IFERROR(VLOOKUP(G371, LEVEL_HELPER!$A:$B, 2, 0), "")</f>
        <v/>
      </c>
      <c r="K371" s="3" t="str">
        <f t="shared" ref="K371:L371" si="757">IF(OR(I371="", I371=0), "",
  IF(I371&lt;=2,   1,
  IF(I371&lt;=4,   2,
  IF(I371&lt;=5.5, 3, 4))))</f>
        <v/>
      </c>
      <c r="L371" s="3" t="str">
        <f t="shared" si="757"/>
        <v/>
      </c>
      <c r="M371" s="3" t="str">
        <f t="shared" si="516"/>
        <v>No Data</v>
      </c>
      <c r="N371" s="157" t="s">
        <v>930</v>
      </c>
      <c r="O371" s="157" t="s">
        <v>923</v>
      </c>
      <c r="P371" s="3" t="str">
        <f t="shared" ca="1" si="517"/>
        <v/>
      </c>
      <c r="Q371" s="147" t="str">
        <f t="shared" ca="1" si="518"/>
        <v/>
      </c>
      <c r="R371" s="147" t="str">
        <f t="shared" ref="R371:S371" ca="1" si="758">IF(OR(P371="", P371=0), "",
  IF(P371&lt;=2,   1,
  IF(P371&lt;=4,   2,
  IF(P371&lt;=5.5, 3, 4))))</f>
        <v/>
      </c>
      <c r="S371" s="147" t="str">
        <f t="shared" ca="1" si="758"/>
        <v/>
      </c>
      <c r="T371" s="147" t="str">
        <f t="shared" ca="1" si="520"/>
        <v>No Data</v>
      </c>
      <c r="U371" s="147">
        <f t="shared" si="750"/>
        <v>1</v>
      </c>
      <c r="V371" s="147"/>
    </row>
    <row r="372" spans="1:22">
      <c r="A372" s="157" t="s">
        <v>623</v>
      </c>
      <c r="B372" s="3" t="s">
        <v>624</v>
      </c>
      <c r="C372" s="160" t="s">
        <v>84</v>
      </c>
      <c r="D372" s="160" t="s">
        <v>877</v>
      </c>
      <c r="E372" s="3" t="s">
        <v>24</v>
      </c>
      <c r="F372" s="3"/>
      <c r="G372" s="3"/>
      <c r="H372" s="156" t="str">
        <f ca="1">IFERROR(
  _xludf.MINIFS(ATTENDANCE_LOG!$F:$F,
         ATTENDANCE_LOG!$A:$A, C372,
         ATTENDANCE_LOG!$B:$B, E372),
"")</f>
        <v/>
      </c>
      <c r="I372" s="3" t="str">
        <f>IFERROR(VLOOKUP(F372, LEVEL_HELPER!$A:$B, 2, 0), "")</f>
        <v/>
      </c>
      <c r="J372" s="3" t="str">
        <f>IFERROR(VLOOKUP(G372, LEVEL_HELPER!$A:$B, 2, 0), "")</f>
        <v/>
      </c>
      <c r="K372" s="3" t="str">
        <f t="shared" ref="K372:L372" si="759">IF(OR(I372="", I372=0), "",
  IF(I372&lt;=2,   1,
  IF(I372&lt;=4,   2,
  IF(I372&lt;=5.5, 3, 4))))</f>
        <v/>
      </c>
      <c r="L372" s="3" t="str">
        <f t="shared" si="759"/>
        <v/>
      </c>
      <c r="M372" s="3" t="str">
        <f t="shared" si="516"/>
        <v>No Data</v>
      </c>
      <c r="N372" s="157" t="s">
        <v>930</v>
      </c>
      <c r="O372" s="157" t="s">
        <v>923</v>
      </c>
      <c r="P372" s="3" t="str">
        <f t="shared" ca="1" si="517"/>
        <v/>
      </c>
      <c r="Q372" s="147" t="str">
        <f t="shared" ca="1" si="518"/>
        <v/>
      </c>
      <c r="R372" s="147" t="str">
        <f t="shared" ref="R372:S372" ca="1" si="760">IF(OR(P372="", P372=0), "",
  IF(P372&lt;=2,   1,
  IF(P372&lt;=4,   2,
  IF(P372&lt;=5.5, 3, 4))))</f>
        <v/>
      </c>
      <c r="S372" s="147" t="str">
        <f t="shared" ca="1" si="760"/>
        <v/>
      </c>
      <c r="T372" s="147" t="str">
        <f t="shared" ca="1" si="520"/>
        <v>No Data</v>
      </c>
      <c r="U372" s="147">
        <f t="shared" si="750"/>
        <v>1</v>
      </c>
      <c r="V372" s="147"/>
    </row>
    <row r="373" spans="1:22">
      <c r="A373" s="176" t="s">
        <v>649</v>
      </c>
      <c r="B373" s="154" t="s">
        <v>650</v>
      </c>
      <c r="C373" s="155" t="s">
        <v>84</v>
      </c>
      <c r="D373" s="155" t="s">
        <v>877</v>
      </c>
      <c r="E373" s="154" t="s">
        <v>21</v>
      </c>
      <c r="F373" s="3" t="s">
        <v>926</v>
      </c>
      <c r="G373" s="3" t="s">
        <v>917</v>
      </c>
      <c r="H373" s="156" t="str">
        <f ca="1">IFERROR(
  _xludf.MINIFS(ATTENDANCE_LOG!$F:$F,
         ATTENDANCE_LOG!$A:$A, C373,
         ATTENDANCE_LOG!$B:$B, E373),
"")</f>
        <v/>
      </c>
      <c r="I373" s="3">
        <f>IFERROR(VLOOKUP(F373, LEVEL_HELPER!$A:$B, 2, 0), "")</f>
        <v>1</v>
      </c>
      <c r="J373" s="3">
        <f>IFERROR(VLOOKUP(G373, LEVEL_HELPER!$A:$B, 2, 0), "")</f>
        <v>3</v>
      </c>
      <c r="K373" s="3">
        <f t="shared" ref="K373:L373" si="761">IF(OR(I373="", I373=0), "",
  IF(I373&lt;=2,   1,
  IF(I373&lt;=4,   2,
  IF(I373&lt;=5.5, 3, 4))))</f>
        <v>1</v>
      </c>
      <c r="L373" s="3">
        <f t="shared" si="761"/>
        <v>2</v>
      </c>
      <c r="M373" s="3" t="str">
        <f t="shared" si="516"/>
        <v>Lv1 → Lv2</v>
      </c>
      <c r="N373" s="157" t="s">
        <v>930</v>
      </c>
      <c r="O373" s="157" t="s">
        <v>923</v>
      </c>
      <c r="P373" s="3" t="str">
        <f t="shared" ca="1" si="517"/>
        <v/>
      </c>
      <c r="Q373" s="147" t="str">
        <f t="shared" ca="1" si="518"/>
        <v/>
      </c>
      <c r="R373" s="147" t="str">
        <f t="shared" ref="R373:S373" ca="1" si="762">IF(OR(P373="", P373=0), "",
  IF(P373&lt;=2,   1,
  IF(P373&lt;=4,   2,
  IF(P373&lt;=5.5, 3, 4))))</f>
        <v/>
      </c>
      <c r="S373" s="147" t="str">
        <f t="shared" ca="1" si="762"/>
        <v/>
      </c>
      <c r="T373" s="147" t="str">
        <f t="shared" ca="1" si="520"/>
        <v>No Data</v>
      </c>
      <c r="U373" s="147">
        <f>IF(COUNTIF($A$2:A382, A373)=1, 1, 0)</f>
        <v>0</v>
      </c>
      <c r="V373" s="147"/>
    </row>
    <row r="374" spans="1:22">
      <c r="A374" s="157" t="s">
        <v>241</v>
      </c>
      <c r="B374" s="3" t="s">
        <v>242</v>
      </c>
      <c r="C374" s="160" t="s">
        <v>84</v>
      </c>
      <c r="D374" s="160" t="s">
        <v>877</v>
      </c>
      <c r="E374" s="3" t="s">
        <v>21</v>
      </c>
      <c r="F374" s="3" t="s">
        <v>926</v>
      </c>
      <c r="G374" s="3" t="s">
        <v>928</v>
      </c>
      <c r="H374" s="156" t="str">
        <f ca="1">IFERROR(
  _xludf.MINIFS(ATTENDANCE_LOG!$F:$F,
         ATTENDANCE_LOG!$A:$A, C374,
         ATTENDANCE_LOG!$B:$B, E374),
"")</f>
        <v/>
      </c>
      <c r="I374" s="3">
        <f>IFERROR(VLOOKUP(F374, LEVEL_HELPER!$A:$B, 2, 0), "")</f>
        <v>1</v>
      </c>
      <c r="J374" s="3">
        <f>IFERROR(VLOOKUP(G374, LEVEL_HELPER!$A:$B, 2, 0), "")</f>
        <v>1.5</v>
      </c>
      <c r="K374" s="3">
        <f t="shared" ref="K374:L374" si="763">IF(OR(I374="", I374=0), "",
  IF(I374&lt;=2,   1,
  IF(I374&lt;=4,   2,
  IF(I374&lt;=5.5, 3, 4))))</f>
        <v>1</v>
      </c>
      <c r="L374" s="3">
        <f t="shared" si="763"/>
        <v>1</v>
      </c>
      <c r="M374" s="3" t="str">
        <f t="shared" si="516"/>
        <v>Progress within level</v>
      </c>
      <c r="N374" s="157" t="s">
        <v>918</v>
      </c>
      <c r="O374" s="157" t="s">
        <v>923</v>
      </c>
      <c r="P374" s="3" t="str">
        <f t="shared" ca="1" si="517"/>
        <v/>
      </c>
      <c r="Q374" s="147" t="str">
        <f t="shared" ca="1" si="518"/>
        <v/>
      </c>
      <c r="R374" s="147" t="str">
        <f t="shared" ref="R374:S374" ca="1" si="764">IF(OR(P374="", P374=0), "",
  IF(P374&lt;=2,   1,
  IF(P374&lt;=4,   2,
  IF(P374&lt;=5.5, 3, 4))))</f>
        <v/>
      </c>
      <c r="S374" s="147" t="str">
        <f t="shared" ca="1" si="764"/>
        <v/>
      </c>
      <c r="T374" s="147" t="str">
        <f t="shared" ca="1" si="520"/>
        <v>No Data</v>
      </c>
      <c r="U374" s="147">
        <f t="shared" ref="U374:U382" si="765">IF(COUNTIF($A$2:A374, A374)=1, 1, 0)</f>
        <v>0</v>
      </c>
      <c r="V374" s="147"/>
    </row>
    <row r="375" spans="1:22">
      <c r="A375" s="157" t="s">
        <v>253</v>
      </c>
      <c r="B375" s="3" t="s">
        <v>254</v>
      </c>
      <c r="C375" s="160" t="s">
        <v>84</v>
      </c>
      <c r="D375" s="160" t="s">
        <v>877</v>
      </c>
      <c r="E375" s="3" t="s">
        <v>21</v>
      </c>
      <c r="F375" s="3" t="s">
        <v>916</v>
      </c>
      <c r="G375" s="3" t="s">
        <v>934</v>
      </c>
      <c r="H375" s="156" t="str">
        <f ca="1">IFERROR(
  _xludf.MINIFS(ATTENDANCE_LOG!$F:$F,
         ATTENDANCE_LOG!$A:$A, C375,
         ATTENDANCE_LOG!$B:$B, E375),
"")</f>
        <v/>
      </c>
      <c r="I375" s="3">
        <f>IFERROR(VLOOKUP(F375, LEVEL_HELPER!$A:$B, 2, 0), "")</f>
        <v>2.5</v>
      </c>
      <c r="J375" s="3">
        <f>IFERROR(VLOOKUP(G375, LEVEL_HELPER!$A:$B, 2, 0), "")</f>
        <v>3.5</v>
      </c>
      <c r="K375" s="3">
        <f t="shared" ref="K375:L375" si="766">IF(OR(I375="", I375=0), "",
  IF(I375&lt;=2,   1,
  IF(I375&lt;=4,   2,
  IF(I375&lt;=5.5, 3, 4))))</f>
        <v>2</v>
      </c>
      <c r="L375" s="3">
        <f t="shared" si="766"/>
        <v>2</v>
      </c>
      <c r="M375" s="3" t="str">
        <f t="shared" si="516"/>
        <v>Progress within level</v>
      </c>
      <c r="N375" s="157" t="s">
        <v>930</v>
      </c>
      <c r="O375" s="157" t="s">
        <v>923</v>
      </c>
      <c r="P375" s="3" t="str">
        <f t="shared" ca="1" si="517"/>
        <v/>
      </c>
      <c r="Q375" s="147" t="str">
        <f t="shared" ca="1" si="518"/>
        <v/>
      </c>
      <c r="R375" s="147" t="str">
        <f t="shared" ref="R375:S375" ca="1" si="767">IF(OR(P375="", P375=0), "",
  IF(P375&lt;=2,   1,
  IF(P375&lt;=4,   2,
  IF(P375&lt;=5.5, 3, 4))))</f>
        <v/>
      </c>
      <c r="S375" s="147" t="str">
        <f t="shared" ca="1" si="767"/>
        <v/>
      </c>
      <c r="T375" s="147" t="str">
        <f t="shared" ca="1" si="520"/>
        <v>No Data</v>
      </c>
      <c r="U375" s="147">
        <f t="shared" si="765"/>
        <v>0</v>
      </c>
      <c r="V375" s="147"/>
    </row>
    <row r="376" spans="1:22">
      <c r="A376" s="157" t="s">
        <v>447</v>
      </c>
      <c r="B376" s="3" t="s">
        <v>448</v>
      </c>
      <c r="C376" s="160" t="s">
        <v>84</v>
      </c>
      <c r="D376" s="160" t="s">
        <v>877</v>
      </c>
      <c r="E376" s="3" t="s">
        <v>21</v>
      </c>
      <c r="F376" s="3" t="s">
        <v>926</v>
      </c>
      <c r="G376" s="3" t="s">
        <v>928</v>
      </c>
      <c r="H376" s="156" t="str">
        <f ca="1">IFERROR(
  _xludf.MINIFS(ATTENDANCE_LOG!$F:$F,
         ATTENDANCE_LOG!$A:$A, C376,
         ATTENDANCE_LOG!$B:$B, E376),
"")</f>
        <v/>
      </c>
      <c r="I376" s="3">
        <f>IFERROR(VLOOKUP(F376, LEVEL_HELPER!$A:$B, 2, 0), "")</f>
        <v>1</v>
      </c>
      <c r="J376" s="3">
        <f>IFERROR(VLOOKUP(G376, LEVEL_HELPER!$A:$B, 2, 0), "")</f>
        <v>1.5</v>
      </c>
      <c r="K376" s="3">
        <f t="shared" ref="K376:L376" si="768">IF(OR(I376="", I376=0), "",
  IF(I376&lt;=2,   1,
  IF(I376&lt;=4,   2,
  IF(I376&lt;=5.5, 3, 4))))</f>
        <v>1</v>
      </c>
      <c r="L376" s="3">
        <f t="shared" si="768"/>
        <v>1</v>
      </c>
      <c r="M376" s="3" t="str">
        <f t="shared" si="516"/>
        <v>Progress within level</v>
      </c>
      <c r="N376" s="157" t="s">
        <v>930</v>
      </c>
      <c r="O376" s="157" t="s">
        <v>923</v>
      </c>
      <c r="P376" s="3" t="str">
        <f t="shared" ca="1" si="517"/>
        <v/>
      </c>
      <c r="Q376" s="147" t="str">
        <f t="shared" ca="1" si="518"/>
        <v/>
      </c>
      <c r="R376" s="147" t="str">
        <f t="shared" ref="R376:S376" ca="1" si="769">IF(OR(P376="", P376=0), "",
  IF(P376&lt;=2,   1,
  IF(P376&lt;=4,   2,
  IF(P376&lt;=5.5, 3, 4))))</f>
        <v/>
      </c>
      <c r="S376" s="147" t="str">
        <f t="shared" ca="1" si="769"/>
        <v/>
      </c>
      <c r="T376" s="147" t="str">
        <f t="shared" ca="1" si="520"/>
        <v>No Data</v>
      </c>
      <c r="U376" s="147">
        <f t="shared" si="765"/>
        <v>0</v>
      </c>
      <c r="V376" s="147"/>
    </row>
    <row r="377" spans="1:22">
      <c r="A377" s="157" t="s">
        <v>463</v>
      </c>
      <c r="B377" s="3" t="s">
        <v>464</v>
      </c>
      <c r="C377" s="160" t="s">
        <v>84</v>
      </c>
      <c r="D377" s="160" t="s">
        <v>877</v>
      </c>
      <c r="E377" s="3" t="s">
        <v>21</v>
      </c>
      <c r="F377" s="3" t="s">
        <v>926</v>
      </c>
      <c r="G377" s="3" t="s">
        <v>928</v>
      </c>
      <c r="H377" s="156" t="str">
        <f ca="1">IFERROR(
  _xludf.MINIFS(ATTENDANCE_LOG!$F:$F,
         ATTENDANCE_LOG!$A:$A, C377,
         ATTENDANCE_LOG!$B:$B, E377),
"")</f>
        <v/>
      </c>
      <c r="I377" s="3">
        <f>IFERROR(VLOOKUP(F377, LEVEL_HELPER!$A:$B, 2, 0), "")</f>
        <v>1</v>
      </c>
      <c r="J377" s="3">
        <f>IFERROR(VLOOKUP(G377, LEVEL_HELPER!$A:$B, 2, 0), "")</f>
        <v>1.5</v>
      </c>
      <c r="K377" s="3">
        <f t="shared" ref="K377:L377" si="770">IF(OR(I377="", I377=0), "",
  IF(I377&lt;=2,   1,
  IF(I377&lt;=4,   2,
  IF(I377&lt;=5.5, 3, 4))))</f>
        <v>1</v>
      </c>
      <c r="L377" s="3">
        <f t="shared" si="770"/>
        <v>1</v>
      </c>
      <c r="M377" s="3" t="str">
        <f t="shared" si="516"/>
        <v>Progress within level</v>
      </c>
      <c r="N377" s="157" t="s">
        <v>918</v>
      </c>
      <c r="O377" s="157" t="s">
        <v>923</v>
      </c>
      <c r="P377" s="3" t="str">
        <f t="shared" ca="1" si="517"/>
        <v/>
      </c>
      <c r="Q377" s="147" t="str">
        <f t="shared" ca="1" si="518"/>
        <v/>
      </c>
      <c r="R377" s="147" t="str">
        <f t="shared" ref="R377:S377" ca="1" si="771">IF(OR(P377="", P377=0), "",
  IF(P377&lt;=2,   1,
  IF(P377&lt;=4,   2,
  IF(P377&lt;=5.5, 3, 4))))</f>
        <v/>
      </c>
      <c r="S377" s="147" t="str">
        <f t="shared" ca="1" si="771"/>
        <v/>
      </c>
      <c r="T377" s="147" t="str">
        <f t="shared" ca="1" si="520"/>
        <v>No Data</v>
      </c>
      <c r="U377" s="147">
        <f t="shared" si="765"/>
        <v>0</v>
      </c>
      <c r="V377" s="147"/>
    </row>
    <row r="378" spans="1:22">
      <c r="A378" s="157" t="s">
        <v>472</v>
      </c>
      <c r="B378" s="3" t="s">
        <v>473</v>
      </c>
      <c r="C378" s="160" t="s">
        <v>84</v>
      </c>
      <c r="D378" s="160" t="s">
        <v>877</v>
      </c>
      <c r="E378" s="3" t="s">
        <v>21</v>
      </c>
      <c r="F378" s="3" t="s">
        <v>926</v>
      </c>
      <c r="G378" s="3"/>
      <c r="H378" s="156" t="str">
        <f ca="1">IFERROR(
  _xludf.MINIFS(ATTENDANCE_LOG!$F:$F,
         ATTENDANCE_LOG!$A:$A, C378,
         ATTENDANCE_LOG!$B:$B, E378),
"")</f>
        <v/>
      </c>
      <c r="I378" s="3">
        <f>IFERROR(VLOOKUP(F378, LEVEL_HELPER!$A:$B, 2, 0), "")</f>
        <v>1</v>
      </c>
      <c r="J378" s="3" t="str">
        <f>IFERROR(VLOOKUP(G378, LEVEL_HELPER!$A:$B, 2, 0), "")</f>
        <v/>
      </c>
      <c r="K378" s="3">
        <f t="shared" ref="K378:L378" si="772">IF(OR(I378="", I378=0), "",
  IF(I378&lt;=2,   1,
  IF(I378&lt;=4,   2,
  IF(I378&lt;=5.5, 3, 4))))</f>
        <v>1</v>
      </c>
      <c r="L378" s="3" t="str">
        <f t="shared" si="772"/>
        <v/>
      </c>
      <c r="M378" s="3" t="str">
        <f t="shared" si="516"/>
        <v>No Data</v>
      </c>
      <c r="N378" s="157" t="s">
        <v>918</v>
      </c>
      <c r="O378" s="157" t="s">
        <v>922</v>
      </c>
      <c r="P378" s="3" t="str">
        <f t="shared" ca="1" si="517"/>
        <v/>
      </c>
      <c r="Q378" s="147" t="str">
        <f t="shared" ca="1" si="518"/>
        <v/>
      </c>
      <c r="R378" s="147" t="str">
        <f t="shared" ref="R378:S378" ca="1" si="773">IF(OR(P378="", P378=0), "",
  IF(P378&lt;=2,   1,
  IF(P378&lt;=4,   2,
  IF(P378&lt;=5.5, 3, 4))))</f>
        <v/>
      </c>
      <c r="S378" s="147" t="str">
        <f t="shared" ca="1" si="773"/>
        <v/>
      </c>
      <c r="T378" s="147" t="str">
        <f t="shared" ca="1" si="520"/>
        <v>No Data</v>
      </c>
      <c r="U378" s="147">
        <f t="shared" si="765"/>
        <v>1</v>
      </c>
      <c r="V378" s="147"/>
    </row>
    <row r="379" spans="1:22">
      <c r="A379" s="157" t="s">
        <v>486</v>
      </c>
      <c r="B379" s="3" t="s">
        <v>487</v>
      </c>
      <c r="C379" s="160" t="s">
        <v>84</v>
      </c>
      <c r="D379" s="160" t="s">
        <v>877</v>
      </c>
      <c r="E379" s="3" t="s">
        <v>21</v>
      </c>
      <c r="F379" s="3" t="s">
        <v>926</v>
      </c>
      <c r="G379" s="3" t="s">
        <v>917</v>
      </c>
      <c r="H379" s="156" t="str">
        <f ca="1">IFERROR(
  _xludf.MINIFS(ATTENDANCE_LOG!$F:$F,
         ATTENDANCE_LOG!$A:$A, C379,
         ATTENDANCE_LOG!$B:$B, E379),
"")</f>
        <v/>
      </c>
      <c r="I379" s="3">
        <f>IFERROR(VLOOKUP(F379, LEVEL_HELPER!$A:$B, 2, 0), "")</f>
        <v>1</v>
      </c>
      <c r="J379" s="3">
        <f>IFERROR(VLOOKUP(G379, LEVEL_HELPER!$A:$B, 2, 0), "")</f>
        <v>3</v>
      </c>
      <c r="K379" s="3">
        <f t="shared" ref="K379:L379" si="774">IF(OR(I379="", I379=0), "",
  IF(I379&lt;=2,   1,
  IF(I379&lt;=4,   2,
  IF(I379&lt;=5.5, 3, 4))))</f>
        <v>1</v>
      </c>
      <c r="L379" s="3">
        <f t="shared" si="774"/>
        <v>2</v>
      </c>
      <c r="M379" s="3" t="str">
        <f t="shared" si="516"/>
        <v>Lv1 → Lv2</v>
      </c>
      <c r="N379" s="157" t="s">
        <v>930</v>
      </c>
      <c r="O379" s="157" t="s">
        <v>923</v>
      </c>
      <c r="P379" s="3" t="str">
        <f t="shared" ca="1" si="517"/>
        <v/>
      </c>
      <c r="Q379" s="147" t="str">
        <f t="shared" ca="1" si="518"/>
        <v/>
      </c>
      <c r="R379" s="147" t="str">
        <f t="shared" ref="R379:S379" ca="1" si="775">IF(OR(P379="", P379=0), "",
  IF(P379&lt;=2,   1,
  IF(P379&lt;=4,   2,
  IF(P379&lt;=5.5, 3, 4))))</f>
        <v/>
      </c>
      <c r="S379" s="147" t="str">
        <f t="shared" ca="1" si="775"/>
        <v/>
      </c>
      <c r="T379" s="147" t="str">
        <f t="shared" ca="1" si="520"/>
        <v>No Data</v>
      </c>
      <c r="U379" s="147">
        <f t="shared" si="765"/>
        <v>0</v>
      </c>
      <c r="V379" s="147"/>
    </row>
    <row r="380" spans="1:22">
      <c r="A380" s="157" t="s">
        <v>508</v>
      </c>
      <c r="B380" s="3" t="s">
        <v>509</v>
      </c>
      <c r="C380" s="160" t="s">
        <v>84</v>
      </c>
      <c r="D380" s="160" t="s">
        <v>877</v>
      </c>
      <c r="E380" s="3" t="s">
        <v>21</v>
      </c>
      <c r="F380" s="3" t="s">
        <v>926</v>
      </c>
      <c r="G380" s="3" t="s">
        <v>917</v>
      </c>
      <c r="H380" s="156" t="str">
        <f ca="1">IFERROR(
  _xludf.MINIFS(ATTENDANCE_LOG!$F:$F,
         ATTENDANCE_LOG!$A:$A, C380,
         ATTENDANCE_LOG!$B:$B, E380),
"")</f>
        <v/>
      </c>
      <c r="I380" s="3">
        <f>IFERROR(VLOOKUP(F380, LEVEL_HELPER!$A:$B, 2, 0), "")</f>
        <v>1</v>
      </c>
      <c r="J380" s="3">
        <f>IFERROR(VLOOKUP(G380, LEVEL_HELPER!$A:$B, 2, 0), "")</f>
        <v>3</v>
      </c>
      <c r="K380" s="3">
        <f t="shared" ref="K380:L380" si="776">IF(OR(I380="", I380=0), "",
  IF(I380&lt;=2,   1,
  IF(I380&lt;=4,   2,
  IF(I380&lt;=5.5, 3, 4))))</f>
        <v>1</v>
      </c>
      <c r="L380" s="3">
        <f t="shared" si="776"/>
        <v>2</v>
      </c>
      <c r="M380" s="3" t="str">
        <f t="shared" si="516"/>
        <v>Lv1 → Lv2</v>
      </c>
      <c r="N380" s="157" t="s">
        <v>930</v>
      </c>
      <c r="O380" s="157" t="s">
        <v>923</v>
      </c>
      <c r="P380" s="3" t="str">
        <f t="shared" ca="1" si="517"/>
        <v/>
      </c>
      <c r="Q380" s="147" t="str">
        <f t="shared" ca="1" si="518"/>
        <v/>
      </c>
      <c r="R380" s="147" t="str">
        <f t="shared" ref="R380:S380" ca="1" si="777">IF(OR(P380="", P380=0), "",
  IF(P380&lt;=2,   1,
  IF(P380&lt;=4,   2,
  IF(P380&lt;=5.5, 3, 4))))</f>
        <v/>
      </c>
      <c r="S380" s="147" t="str">
        <f t="shared" ca="1" si="777"/>
        <v/>
      </c>
      <c r="T380" s="147" t="str">
        <f t="shared" ca="1" si="520"/>
        <v>No Data</v>
      </c>
      <c r="U380" s="147">
        <f t="shared" si="765"/>
        <v>0</v>
      </c>
      <c r="V380" s="147"/>
    </row>
    <row r="381" spans="1:22">
      <c r="A381" s="157" t="s">
        <v>597</v>
      </c>
      <c r="B381" s="3" t="s">
        <v>598</v>
      </c>
      <c r="C381" s="160" t="s">
        <v>84</v>
      </c>
      <c r="D381" s="160" t="s">
        <v>877</v>
      </c>
      <c r="E381" s="3" t="s">
        <v>21</v>
      </c>
      <c r="F381" s="3" t="s">
        <v>926</v>
      </c>
      <c r="G381" s="3" t="s">
        <v>917</v>
      </c>
      <c r="H381" s="156" t="str">
        <f ca="1">IFERROR(
  _xludf.MINIFS(ATTENDANCE_LOG!$F:$F,
         ATTENDANCE_LOG!$A:$A, C381,
         ATTENDANCE_LOG!$B:$B, E381),
"")</f>
        <v/>
      </c>
      <c r="I381" s="3">
        <f>IFERROR(VLOOKUP(F381, LEVEL_HELPER!$A:$B, 2, 0), "")</f>
        <v>1</v>
      </c>
      <c r="J381" s="3">
        <f>IFERROR(VLOOKUP(G381, LEVEL_HELPER!$A:$B, 2, 0), "")</f>
        <v>3</v>
      </c>
      <c r="K381" s="3">
        <f t="shared" ref="K381:L381" si="778">IF(OR(I381="", I381=0), "",
  IF(I381&lt;=2,   1,
  IF(I381&lt;=4,   2,
  IF(I381&lt;=5.5, 3, 4))))</f>
        <v>1</v>
      </c>
      <c r="L381" s="3">
        <f t="shared" si="778"/>
        <v>2</v>
      </c>
      <c r="M381" s="3" t="str">
        <f t="shared" si="516"/>
        <v>Lv1 → Lv2</v>
      </c>
      <c r="N381" s="157" t="s">
        <v>930</v>
      </c>
      <c r="O381" s="157" t="s">
        <v>923</v>
      </c>
      <c r="P381" s="3" t="str">
        <f t="shared" ca="1" si="517"/>
        <v/>
      </c>
      <c r="Q381" s="147" t="str">
        <f t="shared" ca="1" si="518"/>
        <v/>
      </c>
      <c r="R381" s="147" t="str">
        <f t="shared" ref="R381:S381" ca="1" si="779">IF(OR(P381="", P381=0), "",
  IF(P381&lt;=2,   1,
  IF(P381&lt;=4,   2,
  IF(P381&lt;=5.5, 3, 4))))</f>
        <v/>
      </c>
      <c r="S381" s="147" t="str">
        <f t="shared" ca="1" si="779"/>
        <v/>
      </c>
      <c r="T381" s="147" t="str">
        <f t="shared" ca="1" si="520"/>
        <v>No Data</v>
      </c>
      <c r="U381" s="147">
        <f t="shared" si="765"/>
        <v>0</v>
      </c>
      <c r="V381" s="147"/>
    </row>
    <row r="382" spans="1:22">
      <c r="A382" s="157" t="s">
        <v>623</v>
      </c>
      <c r="B382" s="3" t="s">
        <v>624</v>
      </c>
      <c r="C382" s="160" t="s">
        <v>84</v>
      </c>
      <c r="D382" s="160" t="s">
        <v>877</v>
      </c>
      <c r="E382" s="3" t="s">
        <v>21</v>
      </c>
      <c r="F382" s="3" t="s">
        <v>926</v>
      </c>
      <c r="G382" s="3" t="s">
        <v>917</v>
      </c>
      <c r="H382" s="156" t="str">
        <f ca="1">IFERROR(
  _xludf.MINIFS(ATTENDANCE_LOG!$F:$F,
         ATTENDANCE_LOG!$A:$A, C382,
         ATTENDANCE_LOG!$B:$B, E382),
"")</f>
        <v/>
      </c>
      <c r="I382" s="3">
        <f>IFERROR(VLOOKUP(F382, LEVEL_HELPER!$A:$B, 2, 0), "")</f>
        <v>1</v>
      </c>
      <c r="J382" s="3">
        <f>IFERROR(VLOOKUP(G382, LEVEL_HELPER!$A:$B, 2, 0), "")</f>
        <v>3</v>
      </c>
      <c r="K382" s="3">
        <f t="shared" ref="K382:L382" si="780">IF(OR(I382="", I382=0), "",
  IF(I382&lt;=2,   1,
  IF(I382&lt;=4,   2,
  IF(I382&lt;=5.5, 3, 4))))</f>
        <v>1</v>
      </c>
      <c r="L382" s="3">
        <f t="shared" si="780"/>
        <v>2</v>
      </c>
      <c r="M382" s="3" t="str">
        <f t="shared" si="516"/>
        <v>Lv1 → Lv2</v>
      </c>
      <c r="N382" s="157" t="s">
        <v>930</v>
      </c>
      <c r="O382" s="157" t="s">
        <v>923</v>
      </c>
      <c r="P382" s="3" t="str">
        <f t="shared" ca="1" si="517"/>
        <v/>
      </c>
      <c r="Q382" s="147" t="str">
        <f t="shared" ca="1" si="518"/>
        <v/>
      </c>
      <c r="R382" s="147" t="str">
        <f t="shared" ref="R382:S382" ca="1" si="781">IF(OR(P382="", P382=0), "",
  IF(P382&lt;=2,   1,
  IF(P382&lt;=4,   2,
  IF(P382&lt;=5.5, 3, 4))))</f>
        <v/>
      </c>
      <c r="S382" s="147" t="str">
        <f t="shared" ca="1" si="781"/>
        <v/>
      </c>
      <c r="T382" s="147" t="str">
        <f t="shared" ca="1" si="520"/>
        <v>No Data</v>
      </c>
      <c r="U382" s="147">
        <f t="shared" si="765"/>
        <v>0</v>
      </c>
      <c r="V382" s="147"/>
    </row>
    <row r="383" spans="1:22">
      <c r="A383" s="176" t="s">
        <v>649</v>
      </c>
      <c r="B383" s="154" t="s">
        <v>650</v>
      </c>
      <c r="C383" s="155" t="s">
        <v>84</v>
      </c>
      <c r="D383" s="155" t="s">
        <v>877</v>
      </c>
      <c r="E383" s="154" t="s">
        <v>22</v>
      </c>
      <c r="F383" s="3" t="s">
        <v>917</v>
      </c>
      <c r="G383" s="3" t="s">
        <v>940</v>
      </c>
      <c r="H383" s="156" t="str">
        <f ca="1">IFERROR(
  _xludf.MINIFS(ATTENDANCE_LOG!$F:$F,
         ATTENDANCE_LOG!$A:$A, C383,
         ATTENDANCE_LOG!$B:$B, E383),
"")</f>
        <v/>
      </c>
      <c r="I383" s="3">
        <f>IFERROR(VLOOKUP(F383, LEVEL_HELPER!$A:$B, 2, 0), "")</f>
        <v>3</v>
      </c>
      <c r="J383" s="3">
        <f>IFERROR(VLOOKUP(G383, LEVEL_HELPER!$A:$B, 2, 0), "")</f>
        <v>5</v>
      </c>
      <c r="K383" s="3">
        <f t="shared" ref="K383:L383" si="782">IF(OR(I383="", I383=0), "",
  IF(I383&lt;=2,   1,
  IF(I383&lt;=4,   2,
  IF(I383&lt;=5.5, 3, 4))))</f>
        <v>2</v>
      </c>
      <c r="L383" s="3">
        <f t="shared" si="782"/>
        <v>3</v>
      </c>
      <c r="M383" s="3" t="str">
        <f t="shared" si="516"/>
        <v>Lv2 → Lv3</v>
      </c>
      <c r="N383" s="157" t="s">
        <v>930</v>
      </c>
      <c r="O383" s="157" t="s">
        <v>923</v>
      </c>
      <c r="P383" s="3" t="str">
        <f t="shared" ca="1" si="517"/>
        <v/>
      </c>
      <c r="Q383" s="147" t="str">
        <f t="shared" ca="1" si="518"/>
        <v/>
      </c>
      <c r="R383" s="147" t="str">
        <f t="shared" ref="R383:S383" ca="1" si="783">IF(OR(P383="", P383=0), "",
  IF(P383&lt;=2,   1,
  IF(P383&lt;=4,   2,
  IF(P383&lt;=5.5, 3, 4))))</f>
        <v/>
      </c>
      <c r="S383" s="147" t="str">
        <f t="shared" ca="1" si="783"/>
        <v/>
      </c>
      <c r="T383" s="147" t="str">
        <f t="shared" ca="1" si="520"/>
        <v>No Data</v>
      </c>
      <c r="U383" s="147">
        <f>IF(COUNTIF($A$2:A389, A383)=1, 1, 0)</f>
        <v>0</v>
      </c>
      <c r="V383" s="147"/>
    </row>
    <row r="384" spans="1:22">
      <c r="A384" s="157" t="s">
        <v>253</v>
      </c>
      <c r="B384" s="3" t="s">
        <v>254</v>
      </c>
      <c r="C384" s="160" t="s">
        <v>84</v>
      </c>
      <c r="D384" s="160" t="s">
        <v>877</v>
      </c>
      <c r="E384" s="3" t="s">
        <v>22</v>
      </c>
      <c r="F384" s="3" t="s">
        <v>934</v>
      </c>
      <c r="G384" s="3" t="s">
        <v>937</v>
      </c>
      <c r="H384" s="156" t="str">
        <f ca="1">IFERROR(
  _xludf.MINIFS(ATTENDANCE_LOG!$F:$F,
         ATTENDANCE_LOG!$A:$A, C384,
         ATTENDANCE_LOG!$B:$B, E384),
"")</f>
        <v/>
      </c>
      <c r="I384" s="3">
        <f>IFERROR(VLOOKUP(F384, LEVEL_HELPER!$A:$B, 2, 0), "")</f>
        <v>3.5</v>
      </c>
      <c r="J384" s="3">
        <f>IFERROR(VLOOKUP(G384, LEVEL_HELPER!$A:$B, 2, 0), "")</f>
        <v>5.5</v>
      </c>
      <c r="K384" s="3">
        <f t="shared" ref="K384:L384" si="784">IF(OR(I384="", I384=0), "",
  IF(I384&lt;=2,   1,
  IF(I384&lt;=4,   2,
  IF(I384&lt;=5.5, 3, 4))))</f>
        <v>2</v>
      </c>
      <c r="L384" s="3">
        <f t="shared" si="784"/>
        <v>3</v>
      </c>
      <c r="M384" s="3" t="str">
        <f t="shared" si="516"/>
        <v>Lv2 → Lv3</v>
      </c>
      <c r="N384" s="157" t="s">
        <v>930</v>
      </c>
      <c r="O384" s="157" t="s">
        <v>923</v>
      </c>
      <c r="P384" s="3" t="str">
        <f t="shared" ca="1" si="517"/>
        <v/>
      </c>
      <c r="Q384" s="147" t="str">
        <f t="shared" ca="1" si="518"/>
        <v/>
      </c>
      <c r="R384" s="147" t="str">
        <f t="shared" ref="R384:S384" ca="1" si="785">IF(OR(P384="", P384=0), "",
  IF(P384&lt;=2,   1,
  IF(P384&lt;=4,   2,
  IF(P384&lt;=5.5, 3, 4))))</f>
        <v/>
      </c>
      <c r="S384" s="147" t="str">
        <f t="shared" ca="1" si="785"/>
        <v/>
      </c>
      <c r="T384" s="147" t="str">
        <f t="shared" ca="1" si="520"/>
        <v>No Data</v>
      </c>
      <c r="U384" s="147">
        <f t="shared" ref="U384:U389" si="786">IF(COUNTIF($A$2:A384, A384)=1, 1, 0)</f>
        <v>0</v>
      </c>
      <c r="V384" s="147"/>
    </row>
    <row r="385" spans="1:22">
      <c r="A385" s="157" t="s">
        <v>447</v>
      </c>
      <c r="B385" s="3" t="s">
        <v>448</v>
      </c>
      <c r="C385" s="160" t="s">
        <v>84</v>
      </c>
      <c r="D385" s="160" t="s">
        <v>877</v>
      </c>
      <c r="E385" s="3" t="s">
        <v>22</v>
      </c>
      <c r="F385" s="3" t="s">
        <v>928</v>
      </c>
      <c r="G385" s="3" t="s">
        <v>940</v>
      </c>
      <c r="H385" s="156" t="str">
        <f ca="1">IFERROR(
  _xludf.MINIFS(ATTENDANCE_LOG!$F:$F,
         ATTENDANCE_LOG!$A:$A, C385,
         ATTENDANCE_LOG!$B:$B, E385),
"")</f>
        <v/>
      </c>
      <c r="I385" s="3">
        <f>IFERROR(VLOOKUP(F385, LEVEL_HELPER!$A:$B, 2, 0), "")</f>
        <v>1.5</v>
      </c>
      <c r="J385" s="3">
        <f>IFERROR(VLOOKUP(G385, LEVEL_HELPER!$A:$B, 2, 0), "")</f>
        <v>5</v>
      </c>
      <c r="K385" s="3">
        <f t="shared" ref="K385:L385" si="787">IF(OR(I385="", I385=0), "",
  IF(I385&lt;=2,   1,
  IF(I385&lt;=4,   2,
  IF(I385&lt;=5.5, 3, 4))))</f>
        <v>1</v>
      </c>
      <c r="L385" s="3">
        <f t="shared" si="787"/>
        <v>3</v>
      </c>
      <c r="M385" s="3" t="str">
        <f t="shared" si="516"/>
        <v>Lv1 → Lv3 (+2)</v>
      </c>
      <c r="N385" s="157" t="s">
        <v>930</v>
      </c>
      <c r="O385" s="157" t="s">
        <v>923</v>
      </c>
      <c r="P385" s="3" t="str">
        <f t="shared" ca="1" si="517"/>
        <v/>
      </c>
      <c r="Q385" s="147" t="str">
        <f t="shared" ca="1" si="518"/>
        <v/>
      </c>
      <c r="R385" s="147" t="str">
        <f t="shared" ref="R385:S385" ca="1" si="788">IF(OR(P385="", P385=0), "",
  IF(P385&lt;=2,   1,
  IF(P385&lt;=4,   2,
  IF(P385&lt;=5.5, 3, 4))))</f>
        <v/>
      </c>
      <c r="S385" s="147" t="str">
        <f t="shared" ca="1" si="788"/>
        <v/>
      </c>
      <c r="T385" s="147" t="str">
        <f t="shared" ca="1" si="520"/>
        <v>No Data</v>
      </c>
      <c r="U385" s="147">
        <f t="shared" si="786"/>
        <v>0</v>
      </c>
      <c r="V385" s="147"/>
    </row>
    <row r="386" spans="1:22">
      <c r="A386" s="157" t="s">
        <v>486</v>
      </c>
      <c r="B386" s="3" t="s">
        <v>487</v>
      </c>
      <c r="C386" s="160" t="s">
        <v>84</v>
      </c>
      <c r="D386" s="160" t="s">
        <v>877</v>
      </c>
      <c r="E386" s="3" t="s">
        <v>22</v>
      </c>
      <c r="F386" s="3" t="s">
        <v>917</v>
      </c>
      <c r="G386" s="3" t="s">
        <v>940</v>
      </c>
      <c r="H386" s="156" t="str">
        <f ca="1">IFERROR(
  _xludf.MINIFS(ATTENDANCE_LOG!$F:$F,
         ATTENDANCE_LOG!$A:$A, C386,
         ATTENDANCE_LOG!$B:$B, E386),
"")</f>
        <v/>
      </c>
      <c r="I386" s="3">
        <f>IFERROR(VLOOKUP(F386, LEVEL_HELPER!$A:$B, 2, 0), "")</f>
        <v>3</v>
      </c>
      <c r="J386" s="3">
        <f>IFERROR(VLOOKUP(G386, LEVEL_HELPER!$A:$B, 2, 0), "")</f>
        <v>5</v>
      </c>
      <c r="K386" s="3">
        <f t="shared" ref="K386:L386" si="789">IF(OR(I386="", I386=0), "",
  IF(I386&lt;=2,   1,
  IF(I386&lt;=4,   2,
  IF(I386&lt;=5.5, 3, 4))))</f>
        <v>2</v>
      </c>
      <c r="L386" s="3">
        <f t="shared" si="789"/>
        <v>3</v>
      </c>
      <c r="M386" s="3" t="str">
        <f t="shared" si="516"/>
        <v>Lv2 → Lv3</v>
      </c>
      <c r="N386" s="157" t="s">
        <v>930</v>
      </c>
      <c r="O386" s="157" t="s">
        <v>923</v>
      </c>
      <c r="P386" s="3" t="str">
        <f t="shared" ca="1" si="517"/>
        <v/>
      </c>
      <c r="Q386" s="147" t="str">
        <f t="shared" ca="1" si="518"/>
        <v/>
      </c>
      <c r="R386" s="147" t="str">
        <f t="shared" ref="R386:S386" ca="1" si="790">IF(OR(P386="", P386=0), "",
  IF(P386&lt;=2,   1,
  IF(P386&lt;=4,   2,
  IF(P386&lt;=5.5, 3, 4))))</f>
        <v/>
      </c>
      <c r="S386" s="147" t="str">
        <f t="shared" ca="1" si="790"/>
        <v/>
      </c>
      <c r="T386" s="147" t="str">
        <f t="shared" ca="1" si="520"/>
        <v>No Data</v>
      </c>
      <c r="U386" s="147">
        <f t="shared" si="786"/>
        <v>0</v>
      </c>
      <c r="V386" s="147"/>
    </row>
    <row r="387" spans="1:22">
      <c r="A387" s="157" t="s">
        <v>508</v>
      </c>
      <c r="B387" s="3" t="s">
        <v>509</v>
      </c>
      <c r="C387" s="160" t="s">
        <v>84</v>
      </c>
      <c r="D387" s="160" t="s">
        <v>877</v>
      </c>
      <c r="E387" s="3" t="s">
        <v>22</v>
      </c>
      <c r="F387" s="3" t="s">
        <v>917</v>
      </c>
      <c r="G387" s="3" t="s">
        <v>937</v>
      </c>
      <c r="H387" s="156" t="str">
        <f ca="1">IFERROR(
  _xludf.MINIFS(ATTENDANCE_LOG!$F:$F,
         ATTENDANCE_LOG!$A:$A, C387,
         ATTENDANCE_LOG!$B:$B, E387),
"")</f>
        <v/>
      </c>
      <c r="I387" s="3">
        <f>IFERROR(VLOOKUP(F387, LEVEL_HELPER!$A:$B, 2, 0), "")</f>
        <v>3</v>
      </c>
      <c r="J387" s="3">
        <f>IFERROR(VLOOKUP(G387, LEVEL_HELPER!$A:$B, 2, 0), "")</f>
        <v>5.5</v>
      </c>
      <c r="K387" s="3">
        <f t="shared" ref="K387:L387" si="791">IF(OR(I387="", I387=0), "",
  IF(I387&lt;=2,   1,
  IF(I387&lt;=4,   2,
  IF(I387&lt;=5.5, 3, 4))))</f>
        <v>2</v>
      </c>
      <c r="L387" s="3">
        <f t="shared" si="791"/>
        <v>3</v>
      </c>
      <c r="M387" s="3" t="str">
        <f t="shared" si="516"/>
        <v>Lv2 → Lv3</v>
      </c>
      <c r="N387" s="157" t="s">
        <v>930</v>
      </c>
      <c r="O387" s="157" t="s">
        <v>923</v>
      </c>
      <c r="P387" s="3" t="str">
        <f t="shared" ca="1" si="517"/>
        <v/>
      </c>
      <c r="Q387" s="147" t="str">
        <f t="shared" ca="1" si="518"/>
        <v/>
      </c>
      <c r="R387" s="147" t="str">
        <f t="shared" ref="R387:S387" ca="1" si="792">IF(OR(P387="", P387=0), "",
  IF(P387&lt;=2,   1,
  IF(P387&lt;=4,   2,
  IF(P387&lt;=5.5, 3, 4))))</f>
        <v/>
      </c>
      <c r="S387" s="147" t="str">
        <f t="shared" ca="1" si="792"/>
        <v/>
      </c>
      <c r="T387" s="147" t="str">
        <f t="shared" ca="1" si="520"/>
        <v>No Data</v>
      </c>
      <c r="U387" s="147">
        <f t="shared" si="786"/>
        <v>0</v>
      </c>
      <c r="V387" s="147"/>
    </row>
    <row r="388" spans="1:22">
      <c r="A388" s="157" t="s">
        <v>597</v>
      </c>
      <c r="B388" s="3" t="s">
        <v>598</v>
      </c>
      <c r="C388" s="160" t="s">
        <v>84</v>
      </c>
      <c r="D388" s="160" t="s">
        <v>877</v>
      </c>
      <c r="E388" s="3" t="s">
        <v>22</v>
      </c>
      <c r="F388" s="3" t="s">
        <v>917</v>
      </c>
      <c r="G388" s="3" t="s">
        <v>940</v>
      </c>
      <c r="H388" s="156" t="str">
        <f ca="1">IFERROR(
  _xludf.MINIFS(ATTENDANCE_LOG!$F:$F,
         ATTENDANCE_LOG!$A:$A, C388,
         ATTENDANCE_LOG!$B:$B, E388),
"")</f>
        <v/>
      </c>
      <c r="I388" s="3">
        <f>IFERROR(VLOOKUP(F388, LEVEL_HELPER!$A:$B, 2, 0), "")</f>
        <v>3</v>
      </c>
      <c r="J388" s="3">
        <f>IFERROR(VLOOKUP(G388, LEVEL_HELPER!$A:$B, 2, 0), "")</f>
        <v>5</v>
      </c>
      <c r="K388" s="3">
        <f t="shared" ref="K388:L388" si="793">IF(OR(I388="", I388=0), "",
  IF(I388&lt;=2,   1,
  IF(I388&lt;=4,   2,
  IF(I388&lt;=5.5, 3, 4))))</f>
        <v>2</v>
      </c>
      <c r="L388" s="3">
        <f t="shared" si="793"/>
        <v>3</v>
      </c>
      <c r="M388" s="3" t="str">
        <f t="shared" si="516"/>
        <v>Lv2 → Lv3</v>
      </c>
      <c r="N388" s="157" t="s">
        <v>930</v>
      </c>
      <c r="O388" s="157" t="s">
        <v>923</v>
      </c>
      <c r="P388" s="3" t="str">
        <f t="shared" ca="1" si="517"/>
        <v/>
      </c>
      <c r="Q388" s="147" t="str">
        <f t="shared" ca="1" si="518"/>
        <v/>
      </c>
      <c r="R388" s="147" t="str">
        <f t="shared" ref="R388:S388" ca="1" si="794">IF(OR(P388="", P388=0), "",
  IF(P388&lt;=2,   1,
  IF(P388&lt;=4,   2,
  IF(P388&lt;=5.5, 3, 4))))</f>
        <v/>
      </c>
      <c r="S388" s="147" t="str">
        <f t="shared" ca="1" si="794"/>
        <v/>
      </c>
      <c r="T388" s="147" t="str">
        <f t="shared" ca="1" si="520"/>
        <v>No Data</v>
      </c>
      <c r="U388" s="147">
        <f t="shared" si="786"/>
        <v>0</v>
      </c>
      <c r="V388" s="147"/>
    </row>
    <row r="389" spans="1:22">
      <c r="A389" s="157" t="s">
        <v>623</v>
      </c>
      <c r="B389" s="3" t="s">
        <v>624</v>
      </c>
      <c r="C389" s="160" t="s">
        <v>84</v>
      </c>
      <c r="D389" s="160" t="s">
        <v>877</v>
      </c>
      <c r="E389" s="3" t="s">
        <v>22</v>
      </c>
      <c r="F389" s="3" t="s">
        <v>931</v>
      </c>
      <c r="G389" s="3"/>
      <c r="H389" s="156" t="str">
        <f ca="1">IFERROR(
  _xludf.MINIFS(ATTENDANCE_LOG!$F:$F,
         ATTENDANCE_LOG!$A:$A, C389,
         ATTENDANCE_LOG!$B:$B, E389),
"")</f>
        <v/>
      </c>
      <c r="I389" s="3">
        <f>IFERROR(VLOOKUP(F389, LEVEL_HELPER!$A:$B, 2, 0), "")</f>
        <v>4.5</v>
      </c>
      <c r="J389" s="3" t="str">
        <f>IFERROR(VLOOKUP(G389, LEVEL_HELPER!$A:$B, 2, 0), "")</f>
        <v/>
      </c>
      <c r="K389" s="3">
        <f t="shared" ref="K389:L389" si="795">IF(OR(I389="", I389=0), "",
  IF(I389&lt;=2,   1,
  IF(I389&lt;=4,   2,
  IF(I389&lt;=5.5, 3, 4))))</f>
        <v>3</v>
      </c>
      <c r="L389" s="3" t="str">
        <f t="shared" si="795"/>
        <v/>
      </c>
      <c r="M389" s="3" t="str">
        <f t="shared" si="516"/>
        <v>No Data</v>
      </c>
      <c r="N389" s="157" t="s">
        <v>930</v>
      </c>
      <c r="O389" s="157" t="s">
        <v>923</v>
      </c>
      <c r="P389" s="3" t="str">
        <f t="shared" ca="1" si="517"/>
        <v/>
      </c>
      <c r="Q389" s="147" t="str">
        <f t="shared" ca="1" si="518"/>
        <v/>
      </c>
      <c r="R389" s="147" t="str">
        <f t="shared" ref="R389:S389" ca="1" si="796">IF(OR(P389="", P389=0), "",
  IF(P389&lt;=2,   1,
  IF(P389&lt;=4,   2,
  IF(P389&lt;=5.5, 3, 4))))</f>
        <v/>
      </c>
      <c r="S389" s="147" t="str">
        <f t="shared" ca="1" si="796"/>
        <v/>
      </c>
      <c r="T389" s="147" t="str">
        <f t="shared" ca="1" si="520"/>
        <v>No Data</v>
      </c>
      <c r="U389" s="147">
        <f t="shared" si="786"/>
        <v>0</v>
      </c>
      <c r="V389" s="147"/>
    </row>
    <row r="390" spans="1:22">
      <c r="A390" s="176" t="s">
        <v>397</v>
      </c>
      <c r="B390" s="154" t="s">
        <v>398</v>
      </c>
      <c r="C390" s="155" t="s">
        <v>85</v>
      </c>
      <c r="D390" s="155" t="s">
        <v>878</v>
      </c>
      <c r="E390" s="154" t="s">
        <v>24</v>
      </c>
      <c r="F390" s="173"/>
      <c r="G390" s="173"/>
      <c r="H390" s="156" t="str">
        <f ca="1">IFERROR(
  _xludf.MINIFS(ATTENDANCE_LOG!$F:$F,
         ATTENDANCE_LOG!$A:$A, C390,
         ATTENDANCE_LOG!$B:$B, E390),
"")</f>
        <v/>
      </c>
      <c r="I390" s="173" t="str">
        <f>IFERROR(VLOOKUP(F390, LEVEL_HELPER!$A:$B, 2, 0), "")</f>
        <v/>
      </c>
      <c r="J390" s="173" t="str">
        <f>IFERROR(VLOOKUP(G390, LEVEL_HELPER!$A:$B, 2, 0), "")</f>
        <v/>
      </c>
      <c r="K390" s="173" t="str">
        <f t="shared" ref="K390:L390" si="797">IF(OR(I390="", I390=0), "",
  IF(I390&lt;=2,   1,
  IF(I390&lt;=4,   2,
  IF(I390&lt;=5.5, 3, 4))))</f>
        <v/>
      </c>
      <c r="L390" s="3" t="str">
        <f t="shared" si="797"/>
        <v/>
      </c>
      <c r="M390" s="3" t="str">
        <f t="shared" si="516"/>
        <v>No Data</v>
      </c>
      <c r="N390" s="174" t="s">
        <v>956</v>
      </c>
      <c r="O390" s="174" t="s">
        <v>923</v>
      </c>
      <c r="P390" s="173" t="str">
        <f t="shared" ca="1" si="517"/>
        <v/>
      </c>
      <c r="Q390" s="175" t="str">
        <f t="shared" ca="1" si="518"/>
        <v/>
      </c>
      <c r="R390" s="175" t="str">
        <f t="shared" ref="R390:S390" ca="1" si="798">IF(OR(P390="", P390=0), "",
  IF(P390&lt;=2,   1,
  IF(P390&lt;=4,   2,
  IF(P390&lt;=5.5, 3, 4))))</f>
        <v/>
      </c>
      <c r="S390" s="175" t="str">
        <f t="shared" ca="1" si="798"/>
        <v/>
      </c>
      <c r="T390" s="175" t="str">
        <f t="shared" ca="1" si="520"/>
        <v>No Data</v>
      </c>
      <c r="U390" s="175">
        <f>IF(COUNTIF($A$2:A394, A390)=1, 1, 0)</f>
        <v>1</v>
      </c>
      <c r="V390" s="175"/>
    </row>
    <row r="391" spans="1:22">
      <c r="A391" s="157" t="s">
        <v>136</v>
      </c>
      <c r="B391" s="3" t="s">
        <v>137</v>
      </c>
      <c r="C391" s="160" t="s">
        <v>85</v>
      </c>
      <c r="D391" s="160" t="s">
        <v>878</v>
      </c>
      <c r="E391" s="3" t="s">
        <v>24</v>
      </c>
      <c r="F391" s="3"/>
      <c r="G391" s="3"/>
      <c r="H391" s="156" t="str">
        <f ca="1">IFERROR(
  _xludf.MINIFS(ATTENDANCE_LOG!$F:$F,
         ATTENDANCE_LOG!$A:$A, C391,
         ATTENDANCE_LOG!$B:$B, E391),
"")</f>
        <v/>
      </c>
      <c r="I391" s="3" t="str">
        <f>IFERROR(VLOOKUP(F391, LEVEL_HELPER!$A:$B, 2, 0), "")</f>
        <v/>
      </c>
      <c r="J391" s="3" t="str">
        <f>IFERROR(VLOOKUP(G391, LEVEL_HELPER!$A:$B, 2, 0), "")</f>
        <v/>
      </c>
      <c r="K391" s="3" t="str">
        <f t="shared" ref="K391:L391" si="799">IF(OR(I391="", I391=0), "",
  IF(I391&lt;=2,   1,
  IF(I391&lt;=4,   2,
  IF(I391&lt;=5.5, 3, 4))))</f>
        <v/>
      </c>
      <c r="L391" s="3" t="str">
        <f t="shared" si="799"/>
        <v/>
      </c>
      <c r="M391" s="3" t="str">
        <f t="shared" si="516"/>
        <v>No Data</v>
      </c>
      <c r="N391" s="157" t="s">
        <v>942</v>
      </c>
      <c r="O391" s="157" t="s">
        <v>923</v>
      </c>
      <c r="P391" s="3" t="str">
        <f t="shared" ca="1" si="517"/>
        <v/>
      </c>
      <c r="Q391" s="147" t="str">
        <f t="shared" ca="1" si="518"/>
        <v/>
      </c>
      <c r="R391" s="147" t="str">
        <f t="shared" ref="R391:S391" ca="1" si="800">IF(OR(P391="", P391=0), "",
  IF(P391&lt;=2,   1,
  IF(P391&lt;=4,   2,
  IF(P391&lt;=5.5, 3, 4))))</f>
        <v/>
      </c>
      <c r="S391" s="147" t="str">
        <f t="shared" ca="1" si="800"/>
        <v/>
      </c>
      <c r="T391" s="147" t="str">
        <f t="shared" ca="1" si="520"/>
        <v>No Data</v>
      </c>
      <c r="U391" s="147">
        <f t="shared" ref="U391:U396" si="801">IF(COUNTIF($A$2:A391, A391)=1, 1, 0)</f>
        <v>1</v>
      </c>
      <c r="V391" s="147"/>
    </row>
    <row r="392" spans="1:22">
      <c r="A392" s="157" t="s">
        <v>208</v>
      </c>
      <c r="B392" s="3" t="s">
        <v>209</v>
      </c>
      <c r="C392" s="160" t="s">
        <v>85</v>
      </c>
      <c r="D392" s="160" t="s">
        <v>878</v>
      </c>
      <c r="E392" s="3" t="s">
        <v>24</v>
      </c>
      <c r="F392" s="3"/>
      <c r="G392" s="3"/>
      <c r="H392" s="156" t="str">
        <f ca="1">IFERROR(
  _xludf.MINIFS(ATTENDANCE_LOG!$F:$F,
         ATTENDANCE_LOG!$A:$A, C392,
         ATTENDANCE_LOG!$B:$B, E392),
"")</f>
        <v/>
      </c>
      <c r="I392" s="3" t="str">
        <f>IFERROR(VLOOKUP(F392, LEVEL_HELPER!$A:$B, 2, 0), "")</f>
        <v/>
      </c>
      <c r="J392" s="3" t="str">
        <f>IFERROR(VLOOKUP(G392, LEVEL_HELPER!$A:$B, 2, 0), "")</f>
        <v/>
      </c>
      <c r="K392" s="3" t="str">
        <f t="shared" ref="K392:L392" si="802">IF(OR(I392="", I392=0), "",
  IF(I392&lt;=2,   1,
  IF(I392&lt;=4,   2,
  IF(I392&lt;=5.5, 3, 4))))</f>
        <v/>
      </c>
      <c r="L392" s="3" t="str">
        <f t="shared" si="802"/>
        <v/>
      </c>
      <c r="M392" s="3" t="str">
        <f t="shared" si="516"/>
        <v>No Data</v>
      </c>
      <c r="N392" s="157" t="s">
        <v>942</v>
      </c>
      <c r="O392" s="157" t="s">
        <v>923</v>
      </c>
      <c r="P392" s="3" t="str">
        <f t="shared" ca="1" si="517"/>
        <v/>
      </c>
      <c r="Q392" s="147" t="str">
        <f t="shared" ca="1" si="518"/>
        <v/>
      </c>
      <c r="R392" s="147" t="str">
        <f t="shared" ref="R392:S392" ca="1" si="803">IF(OR(P392="", P392=0), "",
  IF(P392&lt;=2,   1,
  IF(P392&lt;=4,   2,
  IF(P392&lt;=5.5, 3, 4))))</f>
        <v/>
      </c>
      <c r="S392" s="147" t="str">
        <f t="shared" ca="1" si="803"/>
        <v/>
      </c>
      <c r="T392" s="147" t="str">
        <f t="shared" ca="1" si="520"/>
        <v>No Data</v>
      </c>
      <c r="U392" s="147">
        <f t="shared" si="801"/>
        <v>0</v>
      </c>
      <c r="V392" s="147"/>
    </row>
    <row r="393" spans="1:22">
      <c r="A393" s="157" t="s">
        <v>300</v>
      </c>
      <c r="B393" s="3" t="s">
        <v>301</v>
      </c>
      <c r="C393" s="160" t="s">
        <v>85</v>
      </c>
      <c r="D393" s="160" t="s">
        <v>878</v>
      </c>
      <c r="E393" s="3" t="s">
        <v>24</v>
      </c>
      <c r="F393" s="3"/>
      <c r="G393" s="3"/>
      <c r="H393" s="156" t="str">
        <f ca="1">IFERROR(
  _xludf.MINIFS(ATTENDANCE_LOG!$F:$F,
         ATTENDANCE_LOG!$A:$A, C393,
         ATTENDANCE_LOG!$B:$B, E393),
"")</f>
        <v/>
      </c>
      <c r="I393" s="3" t="str">
        <f>IFERROR(VLOOKUP(F393, LEVEL_HELPER!$A:$B, 2, 0), "")</f>
        <v/>
      </c>
      <c r="J393" s="3" t="str">
        <f>IFERROR(VLOOKUP(G393, LEVEL_HELPER!$A:$B, 2, 0), "")</f>
        <v/>
      </c>
      <c r="K393" s="3" t="str">
        <f t="shared" ref="K393:L393" si="804">IF(OR(I393="", I393=0), "",
  IF(I393&lt;=2,   1,
  IF(I393&lt;=4,   2,
  IF(I393&lt;=5.5, 3, 4))))</f>
        <v/>
      </c>
      <c r="L393" s="3" t="str">
        <f t="shared" si="804"/>
        <v/>
      </c>
      <c r="M393" s="3" t="str">
        <f t="shared" si="516"/>
        <v>No Data</v>
      </c>
      <c r="N393" s="157" t="s">
        <v>942</v>
      </c>
      <c r="O393" s="157" t="s">
        <v>923</v>
      </c>
      <c r="P393" s="3" t="str">
        <f t="shared" ca="1" si="517"/>
        <v/>
      </c>
      <c r="Q393" s="147" t="str">
        <f t="shared" ca="1" si="518"/>
        <v/>
      </c>
      <c r="R393" s="147" t="str">
        <f t="shared" ref="R393:S393" ca="1" si="805">IF(OR(P393="", P393=0), "",
  IF(P393&lt;=2,   1,
  IF(P393&lt;=4,   2,
  IF(P393&lt;=5.5, 3, 4))))</f>
        <v/>
      </c>
      <c r="S393" s="147" t="str">
        <f t="shared" ca="1" si="805"/>
        <v/>
      </c>
      <c r="T393" s="147" t="str">
        <f t="shared" ca="1" si="520"/>
        <v>No Data</v>
      </c>
      <c r="U393" s="147">
        <f t="shared" si="801"/>
        <v>0</v>
      </c>
      <c r="V393" s="147"/>
    </row>
    <row r="394" spans="1:22">
      <c r="A394" s="157" t="s">
        <v>309</v>
      </c>
      <c r="B394" s="3" t="s">
        <v>310</v>
      </c>
      <c r="C394" s="160" t="s">
        <v>85</v>
      </c>
      <c r="D394" s="160" t="s">
        <v>878</v>
      </c>
      <c r="E394" s="3" t="s">
        <v>24</v>
      </c>
      <c r="F394" s="3"/>
      <c r="G394" s="3"/>
      <c r="H394" s="156" t="str">
        <f ca="1">IFERROR(
  _xludf.MINIFS(ATTENDANCE_LOG!$F:$F,
         ATTENDANCE_LOG!$A:$A, C394,
         ATTENDANCE_LOG!$B:$B, E394),
"")</f>
        <v/>
      </c>
      <c r="I394" s="3" t="str">
        <f>IFERROR(VLOOKUP(F394, LEVEL_HELPER!$A:$B, 2, 0), "")</f>
        <v/>
      </c>
      <c r="J394" s="3" t="str">
        <f>IFERROR(VLOOKUP(G394, LEVEL_HELPER!$A:$B, 2, 0), "")</f>
        <v/>
      </c>
      <c r="K394" s="3" t="str">
        <f t="shared" ref="K394:L394" si="806">IF(OR(I394="", I394=0), "",
  IF(I394&lt;=2,   1,
  IF(I394&lt;=4,   2,
  IF(I394&lt;=5.5, 3, 4))))</f>
        <v/>
      </c>
      <c r="L394" s="3" t="str">
        <f t="shared" si="806"/>
        <v/>
      </c>
      <c r="M394" s="3" t="str">
        <f t="shared" si="516"/>
        <v>No Data</v>
      </c>
      <c r="N394" s="157" t="s">
        <v>942</v>
      </c>
      <c r="O394" s="157" t="s">
        <v>923</v>
      </c>
      <c r="P394" s="3" t="str">
        <f t="shared" ca="1" si="517"/>
        <v/>
      </c>
      <c r="Q394" s="147" t="str">
        <f t="shared" ca="1" si="518"/>
        <v/>
      </c>
      <c r="R394" s="147" t="str">
        <f t="shared" ref="R394:S394" ca="1" si="807">IF(OR(P394="", P394=0), "",
  IF(P394&lt;=2,   1,
  IF(P394&lt;=4,   2,
  IF(P394&lt;=5.5, 3, 4))))</f>
        <v/>
      </c>
      <c r="S394" s="147" t="str">
        <f t="shared" ca="1" si="807"/>
        <v/>
      </c>
      <c r="T394" s="147" t="str">
        <f t="shared" ca="1" si="520"/>
        <v>No Data</v>
      </c>
      <c r="U394" s="147">
        <f t="shared" si="801"/>
        <v>0</v>
      </c>
      <c r="V394" s="147"/>
    </row>
    <row r="395" spans="1:22">
      <c r="A395" s="157" t="s">
        <v>530</v>
      </c>
      <c r="B395" s="3" t="s">
        <v>531</v>
      </c>
      <c r="C395" s="160" t="s">
        <v>85</v>
      </c>
      <c r="D395" s="160" t="s">
        <v>878</v>
      </c>
      <c r="E395" s="3" t="s">
        <v>24</v>
      </c>
      <c r="F395" s="3"/>
      <c r="G395" s="3"/>
      <c r="H395" s="156" t="str">
        <f ca="1">IFERROR(
  _xludf.MINIFS(ATTENDANCE_LOG!$F:$F,
         ATTENDANCE_LOG!$A:$A, C395,
         ATTENDANCE_LOG!$B:$B, E395),
"")</f>
        <v/>
      </c>
      <c r="I395" s="3" t="str">
        <f>IFERROR(VLOOKUP(F395, LEVEL_HELPER!$A:$B, 2, 0), "")</f>
        <v/>
      </c>
      <c r="J395" s="3" t="str">
        <f>IFERROR(VLOOKUP(G395, LEVEL_HELPER!$A:$B, 2, 0), "")</f>
        <v/>
      </c>
      <c r="K395" s="3" t="str">
        <f t="shared" ref="K395:L395" si="808">IF(OR(I395="", I395=0), "",
  IF(I395&lt;=2,   1,
  IF(I395&lt;=4,   2,
  IF(I395&lt;=5.5, 3, 4))))</f>
        <v/>
      </c>
      <c r="L395" s="3" t="str">
        <f t="shared" si="808"/>
        <v/>
      </c>
      <c r="M395" s="3" t="str">
        <f t="shared" si="516"/>
        <v>No Data</v>
      </c>
      <c r="N395" s="157" t="s">
        <v>942</v>
      </c>
      <c r="O395" s="157" t="s">
        <v>923</v>
      </c>
      <c r="P395" s="3" t="str">
        <f t="shared" ca="1" si="517"/>
        <v/>
      </c>
      <c r="Q395" s="147" t="str">
        <f t="shared" ca="1" si="518"/>
        <v/>
      </c>
      <c r="R395" s="147" t="str">
        <f t="shared" ref="R395:S395" ca="1" si="809">IF(OR(P395="", P395=0), "",
  IF(P395&lt;=2,   1,
  IF(P395&lt;=4,   2,
  IF(P395&lt;=5.5, 3, 4))))</f>
        <v/>
      </c>
      <c r="S395" s="147" t="str">
        <f t="shared" ca="1" si="809"/>
        <v/>
      </c>
      <c r="T395" s="147" t="str">
        <f t="shared" ca="1" si="520"/>
        <v>No Data</v>
      </c>
      <c r="U395" s="147">
        <f t="shared" si="801"/>
        <v>0</v>
      </c>
      <c r="V395" s="147"/>
    </row>
    <row r="396" spans="1:22">
      <c r="A396" s="157" t="s">
        <v>621</v>
      </c>
      <c r="B396" s="3" t="s">
        <v>622</v>
      </c>
      <c r="C396" s="160" t="s">
        <v>85</v>
      </c>
      <c r="D396" s="160" t="s">
        <v>878</v>
      </c>
      <c r="E396" s="3" t="s">
        <v>24</v>
      </c>
      <c r="F396" s="3"/>
      <c r="G396" s="3"/>
      <c r="H396" s="156" t="str">
        <f ca="1">IFERROR(
  _xludf.MINIFS(ATTENDANCE_LOG!$F:$F,
         ATTENDANCE_LOG!$A:$A, C396,
         ATTENDANCE_LOG!$B:$B, E396),
"")</f>
        <v/>
      </c>
      <c r="I396" s="3" t="str">
        <f>IFERROR(VLOOKUP(F396, LEVEL_HELPER!$A:$B, 2, 0), "")</f>
        <v/>
      </c>
      <c r="J396" s="3" t="str">
        <f>IFERROR(VLOOKUP(G396, LEVEL_HELPER!$A:$B, 2, 0), "")</f>
        <v/>
      </c>
      <c r="K396" s="3" t="str">
        <f t="shared" ref="K396:L396" si="810">IF(OR(I396="", I396=0), "",
  IF(I396&lt;=2,   1,
  IF(I396&lt;=4,   2,
  IF(I396&lt;=5.5, 3, 4))))</f>
        <v/>
      </c>
      <c r="L396" s="3" t="str">
        <f t="shared" si="810"/>
        <v/>
      </c>
      <c r="M396" s="3" t="str">
        <f t="shared" si="516"/>
        <v>No Data</v>
      </c>
      <c r="N396" s="157" t="s">
        <v>942</v>
      </c>
      <c r="O396" s="157" t="s">
        <v>923</v>
      </c>
      <c r="P396" s="3" t="str">
        <f t="shared" ca="1" si="517"/>
        <v/>
      </c>
      <c r="Q396" s="147" t="str">
        <f t="shared" ca="1" si="518"/>
        <v/>
      </c>
      <c r="R396" s="147" t="str">
        <f t="shared" ref="R396:S396" ca="1" si="811">IF(OR(P396="", P396=0), "",
  IF(P396&lt;=2,   1,
  IF(P396&lt;=4,   2,
  IF(P396&lt;=5.5, 3, 4))))</f>
        <v/>
      </c>
      <c r="S396" s="147" t="str">
        <f t="shared" ca="1" si="811"/>
        <v/>
      </c>
      <c r="T396" s="147" t="str">
        <f t="shared" ca="1" si="520"/>
        <v>No Data</v>
      </c>
      <c r="U396" s="147">
        <f t="shared" si="801"/>
        <v>0</v>
      </c>
      <c r="V396" s="147"/>
    </row>
    <row r="397" spans="1:22">
      <c r="A397" s="176" t="s">
        <v>397</v>
      </c>
      <c r="B397" s="154" t="s">
        <v>398</v>
      </c>
      <c r="C397" s="155" t="s">
        <v>85</v>
      </c>
      <c r="D397" s="155" t="s">
        <v>878</v>
      </c>
      <c r="E397" s="154" t="s">
        <v>21</v>
      </c>
      <c r="F397" s="3" t="s">
        <v>926</v>
      </c>
      <c r="G397" s="3" t="s">
        <v>934</v>
      </c>
      <c r="H397" s="156" t="str">
        <f ca="1">IFERROR(
  _xludf.MINIFS(ATTENDANCE_LOG!$F:$F,
         ATTENDANCE_LOG!$A:$A, C397,
         ATTENDANCE_LOG!$B:$B, E397),
"")</f>
        <v/>
      </c>
      <c r="I397" s="3">
        <f>IFERROR(VLOOKUP(F397, LEVEL_HELPER!$A:$B, 2, 0), "")</f>
        <v>1</v>
      </c>
      <c r="J397" s="3">
        <f>IFERROR(VLOOKUP(G397, LEVEL_HELPER!$A:$B, 2, 0), "")</f>
        <v>3.5</v>
      </c>
      <c r="K397" s="3">
        <f t="shared" ref="K397:L397" si="812">IF(OR(I397="", I397=0), "",
  IF(I397&lt;=2,   1,
  IF(I397&lt;=4,   2,
  IF(I397&lt;=5.5, 3, 4))))</f>
        <v>1</v>
      </c>
      <c r="L397" s="3">
        <f t="shared" si="812"/>
        <v>2</v>
      </c>
      <c r="M397" s="3" t="str">
        <f t="shared" si="516"/>
        <v>Lv1 → Lv2</v>
      </c>
      <c r="N397" s="157" t="s">
        <v>956</v>
      </c>
      <c r="O397" s="157" t="s">
        <v>923</v>
      </c>
      <c r="P397" s="3" t="str">
        <f t="shared" ca="1" si="517"/>
        <v/>
      </c>
      <c r="Q397" s="147" t="str">
        <f t="shared" ca="1" si="518"/>
        <v/>
      </c>
      <c r="R397" s="147" t="str">
        <f t="shared" ref="R397:S397" ca="1" si="813">IF(OR(P397="", P397=0), "",
  IF(P397&lt;=2,   1,
  IF(P397&lt;=4,   2,
  IF(P397&lt;=5.5, 3, 4))))</f>
        <v/>
      </c>
      <c r="S397" s="147" t="str">
        <f t="shared" ca="1" si="813"/>
        <v/>
      </c>
      <c r="T397" s="147" t="str">
        <f t="shared" ca="1" si="520"/>
        <v>No Data</v>
      </c>
      <c r="U397" s="147">
        <f>IF(COUNTIF($A$2:A400, A397)=1, 1, 0)</f>
        <v>0</v>
      </c>
      <c r="V397" s="147"/>
    </row>
    <row r="398" spans="1:22">
      <c r="A398" s="157" t="s">
        <v>136</v>
      </c>
      <c r="B398" s="3" t="s">
        <v>137</v>
      </c>
      <c r="C398" s="160" t="s">
        <v>85</v>
      </c>
      <c r="D398" s="160" t="s">
        <v>878</v>
      </c>
      <c r="E398" s="3" t="s">
        <v>21</v>
      </c>
      <c r="F398" s="3" t="s">
        <v>957</v>
      </c>
      <c r="G398" s="3" t="s">
        <v>934</v>
      </c>
      <c r="H398" s="156" t="str">
        <f ca="1">IFERROR(
  _xludf.MINIFS(ATTENDANCE_LOG!$F:$F,
         ATTENDANCE_LOG!$A:$A, C398,
         ATTENDANCE_LOG!$B:$B, E398),
"")</f>
        <v/>
      </c>
      <c r="I398" s="3">
        <f>IFERROR(VLOOKUP(F398, LEVEL_HELPER!$A:$B, 2, 0), "")</f>
        <v>0</v>
      </c>
      <c r="J398" s="3">
        <f>IFERROR(VLOOKUP(G398, LEVEL_HELPER!$A:$B, 2, 0), "")</f>
        <v>3.5</v>
      </c>
      <c r="K398" s="3" t="str">
        <f t="shared" ref="K398:L398" si="814">IF(OR(I398="", I398=0), "",
  IF(I398&lt;=2,   1,
  IF(I398&lt;=4,   2,
  IF(I398&lt;=5.5, 3, 4))))</f>
        <v/>
      </c>
      <c r="L398" s="3">
        <f t="shared" si="814"/>
        <v>2</v>
      </c>
      <c r="M398" s="3" t="str">
        <f t="shared" si="516"/>
        <v>No Data</v>
      </c>
      <c r="N398" s="157" t="s">
        <v>942</v>
      </c>
      <c r="O398" s="157" t="s">
        <v>923</v>
      </c>
      <c r="P398" s="3" t="str">
        <f t="shared" ca="1" si="517"/>
        <v/>
      </c>
      <c r="Q398" s="147" t="str">
        <f t="shared" ca="1" si="518"/>
        <v/>
      </c>
      <c r="R398" s="147" t="str">
        <f t="shared" ref="R398:S398" ca="1" si="815">IF(OR(P398="", P398=0), "",
  IF(P398&lt;=2,   1,
  IF(P398&lt;=4,   2,
  IF(P398&lt;=5.5, 3, 4))))</f>
        <v/>
      </c>
      <c r="S398" s="147" t="str">
        <f t="shared" ca="1" si="815"/>
        <v/>
      </c>
      <c r="T398" s="147" t="str">
        <f t="shared" ca="1" si="520"/>
        <v>No Data</v>
      </c>
      <c r="U398" s="147">
        <f t="shared" ref="U398:U402" si="816">IF(COUNTIF($A$2:A398, A398)=1, 1, 0)</f>
        <v>0</v>
      </c>
      <c r="V398" s="147"/>
    </row>
    <row r="399" spans="1:22">
      <c r="A399" s="157" t="s">
        <v>165</v>
      </c>
      <c r="B399" s="3" t="s">
        <v>166</v>
      </c>
      <c r="C399" s="160" t="s">
        <v>85</v>
      </c>
      <c r="D399" s="160" t="s">
        <v>878</v>
      </c>
      <c r="E399" s="3" t="s">
        <v>21</v>
      </c>
      <c r="F399" s="3" t="s">
        <v>926</v>
      </c>
      <c r="G399" s="3" t="s">
        <v>917</v>
      </c>
      <c r="H399" s="156" t="str">
        <f ca="1">IFERROR(
  _xludf.MINIFS(ATTENDANCE_LOG!$F:$F,
         ATTENDANCE_LOG!$A:$A, C399,
         ATTENDANCE_LOG!$B:$B, E399),
"")</f>
        <v/>
      </c>
      <c r="I399" s="3">
        <f>IFERROR(VLOOKUP(F399, LEVEL_HELPER!$A:$B, 2, 0), "")</f>
        <v>1</v>
      </c>
      <c r="J399" s="3">
        <f>IFERROR(VLOOKUP(G399, LEVEL_HELPER!$A:$B, 2, 0), "")</f>
        <v>3</v>
      </c>
      <c r="K399" s="3">
        <f t="shared" ref="K399:L399" si="817">IF(OR(I399="", I399=0), "",
  IF(I399&lt;=2,   1,
  IF(I399&lt;=4,   2,
  IF(I399&lt;=5.5, 3, 4))))</f>
        <v>1</v>
      </c>
      <c r="L399" s="3">
        <f t="shared" si="817"/>
        <v>2</v>
      </c>
      <c r="M399" s="3" t="str">
        <f t="shared" si="516"/>
        <v>Lv1 → Lv2</v>
      </c>
      <c r="N399" s="157" t="s">
        <v>942</v>
      </c>
      <c r="O399" s="157" t="s">
        <v>923</v>
      </c>
      <c r="P399" s="3" t="str">
        <f t="shared" ca="1" si="517"/>
        <v/>
      </c>
      <c r="Q399" s="147" t="str">
        <f t="shared" ca="1" si="518"/>
        <v/>
      </c>
      <c r="R399" s="147" t="str">
        <f t="shared" ref="R399:S399" ca="1" si="818">IF(OR(P399="", P399=0), "",
  IF(P399&lt;=2,   1,
  IF(P399&lt;=4,   2,
  IF(P399&lt;=5.5, 3, 4))))</f>
        <v/>
      </c>
      <c r="S399" s="147" t="str">
        <f t="shared" ca="1" si="818"/>
        <v/>
      </c>
      <c r="T399" s="147" t="str">
        <f t="shared" ca="1" si="520"/>
        <v>No Data</v>
      </c>
      <c r="U399" s="147">
        <f t="shared" si="816"/>
        <v>1</v>
      </c>
      <c r="V399" s="147"/>
    </row>
    <row r="400" spans="1:22">
      <c r="A400" s="157" t="s">
        <v>275</v>
      </c>
      <c r="B400" s="3" t="s">
        <v>276</v>
      </c>
      <c r="C400" s="160" t="s">
        <v>85</v>
      </c>
      <c r="D400" s="160" t="s">
        <v>878</v>
      </c>
      <c r="E400" s="3" t="s">
        <v>21</v>
      </c>
      <c r="F400" s="3" t="s">
        <v>926</v>
      </c>
      <c r="G400" s="3" t="s">
        <v>917</v>
      </c>
      <c r="H400" s="156" t="str">
        <f ca="1">IFERROR(
  _xludf.MINIFS(ATTENDANCE_LOG!$F:$F,
         ATTENDANCE_LOG!$A:$A, C400,
         ATTENDANCE_LOG!$B:$B, E400),
"")</f>
        <v/>
      </c>
      <c r="I400" s="3">
        <f>IFERROR(VLOOKUP(F400, LEVEL_HELPER!$A:$B, 2, 0), "")</f>
        <v>1</v>
      </c>
      <c r="J400" s="3">
        <f>IFERROR(VLOOKUP(G400, LEVEL_HELPER!$A:$B, 2, 0), "")</f>
        <v>3</v>
      </c>
      <c r="K400" s="3">
        <f t="shared" ref="K400:L400" si="819">IF(OR(I400="", I400=0), "",
  IF(I400&lt;=2,   1,
  IF(I400&lt;=4,   2,
  IF(I400&lt;=5.5, 3, 4))))</f>
        <v>1</v>
      </c>
      <c r="L400" s="3">
        <f t="shared" si="819"/>
        <v>2</v>
      </c>
      <c r="M400" s="3" t="str">
        <f t="shared" si="516"/>
        <v>Lv1 → Lv2</v>
      </c>
      <c r="N400" s="157" t="s">
        <v>942</v>
      </c>
      <c r="O400" s="157" t="s">
        <v>923</v>
      </c>
      <c r="P400" s="3" t="str">
        <f t="shared" ca="1" si="517"/>
        <v/>
      </c>
      <c r="Q400" s="147" t="str">
        <f t="shared" ca="1" si="518"/>
        <v/>
      </c>
      <c r="R400" s="147" t="str">
        <f t="shared" ref="R400:S400" ca="1" si="820">IF(OR(P400="", P400=0), "",
  IF(P400&lt;=2,   1,
  IF(P400&lt;=4,   2,
  IF(P400&lt;=5.5, 3, 4))))</f>
        <v/>
      </c>
      <c r="S400" s="147" t="str">
        <f t="shared" ca="1" si="820"/>
        <v/>
      </c>
      <c r="T400" s="147" t="str">
        <f t="shared" ca="1" si="520"/>
        <v>No Data</v>
      </c>
      <c r="U400" s="147">
        <f t="shared" si="816"/>
        <v>1</v>
      </c>
      <c r="V400" s="147"/>
    </row>
    <row r="401" spans="1:22">
      <c r="A401" s="157" t="s">
        <v>681</v>
      </c>
      <c r="B401" s="3" t="s">
        <v>682</v>
      </c>
      <c r="C401" s="160" t="s">
        <v>85</v>
      </c>
      <c r="D401" s="160" t="s">
        <v>878</v>
      </c>
      <c r="E401" s="3" t="s">
        <v>21</v>
      </c>
      <c r="F401" s="3" t="s">
        <v>926</v>
      </c>
      <c r="G401" s="3" t="s">
        <v>926</v>
      </c>
      <c r="H401" s="156" t="str">
        <f ca="1">IFERROR(
  _xludf.MINIFS(ATTENDANCE_LOG!$F:$F,
         ATTENDANCE_LOG!$A:$A, C401,
         ATTENDANCE_LOG!$B:$B, E401),
"")</f>
        <v/>
      </c>
      <c r="I401" s="3">
        <f>IFERROR(VLOOKUP(F401, LEVEL_HELPER!$A:$B, 2, 0), "")</f>
        <v>1</v>
      </c>
      <c r="J401" s="3">
        <f>IFERROR(VLOOKUP(G401, LEVEL_HELPER!$A:$B, 2, 0), "")</f>
        <v>1</v>
      </c>
      <c r="K401" s="3">
        <f t="shared" ref="K401:L401" si="821">IF(OR(I401="", I401=0), "",
  IF(I401&lt;=2,   1,
  IF(I401&lt;=4,   2,
  IF(I401&lt;=5.5, 3, 4))))</f>
        <v>1</v>
      </c>
      <c r="L401" s="3">
        <f t="shared" si="821"/>
        <v>1</v>
      </c>
      <c r="M401" s="3" t="str">
        <f t="shared" si="516"/>
        <v>No Progress</v>
      </c>
      <c r="N401" s="157" t="s">
        <v>942</v>
      </c>
      <c r="O401" s="157" t="s">
        <v>923</v>
      </c>
      <c r="P401" s="3" t="str">
        <f t="shared" ca="1" si="517"/>
        <v/>
      </c>
      <c r="Q401" s="147" t="str">
        <f t="shared" ca="1" si="518"/>
        <v/>
      </c>
      <c r="R401" s="147" t="str">
        <f t="shared" ref="R401:S401" ca="1" si="822">IF(OR(P401="", P401=0), "",
  IF(P401&lt;=2,   1,
  IF(P401&lt;=4,   2,
  IF(P401&lt;=5.5, 3, 4))))</f>
        <v/>
      </c>
      <c r="S401" s="147" t="str">
        <f t="shared" ca="1" si="822"/>
        <v/>
      </c>
      <c r="T401" s="147" t="str">
        <f t="shared" ca="1" si="520"/>
        <v>No Data</v>
      </c>
      <c r="U401" s="147">
        <f t="shared" si="816"/>
        <v>1</v>
      </c>
      <c r="V401" s="147"/>
    </row>
    <row r="402" spans="1:22">
      <c r="A402" s="157" t="s">
        <v>719</v>
      </c>
      <c r="B402" s="3" t="s">
        <v>720</v>
      </c>
      <c r="C402" s="160" t="s">
        <v>85</v>
      </c>
      <c r="D402" s="160" t="s">
        <v>878</v>
      </c>
      <c r="E402" s="3" t="s">
        <v>21</v>
      </c>
      <c r="F402" s="3" t="s">
        <v>957</v>
      </c>
      <c r="G402" s="3" t="s">
        <v>934</v>
      </c>
      <c r="H402" s="156" t="str">
        <f ca="1">IFERROR(
  _xludf.MINIFS(ATTENDANCE_LOG!$F:$F,
         ATTENDANCE_LOG!$A:$A, C402,
         ATTENDANCE_LOG!$B:$B, E402),
"")</f>
        <v/>
      </c>
      <c r="I402" s="3">
        <f>IFERROR(VLOOKUP(F402, LEVEL_HELPER!$A:$B, 2, 0), "")</f>
        <v>0</v>
      </c>
      <c r="J402" s="3">
        <f>IFERROR(VLOOKUP(G402, LEVEL_HELPER!$A:$B, 2, 0), "")</f>
        <v>3.5</v>
      </c>
      <c r="K402" s="3" t="str">
        <f t="shared" ref="K402:L402" si="823">IF(OR(I402="", I402=0), "",
  IF(I402&lt;=2,   1,
  IF(I402&lt;=4,   2,
  IF(I402&lt;=5.5, 3, 4))))</f>
        <v/>
      </c>
      <c r="L402" s="3">
        <f t="shared" si="823"/>
        <v>2</v>
      </c>
      <c r="M402" s="3" t="str">
        <f t="shared" si="516"/>
        <v>No Data</v>
      </c>
      <c r="N402" s="157" t="s">
        <v>956</v>
      </c>
      <c r="O402" s="157" t="s">
        <v>923</v>
      </c>
      <c r="P402" s="3" t="str">
        <f t="shared" ca="1" si="517"/>
        <v/>
      </c>
      <c r="Q402" s="147" t="str">
        <f t="shared" ca="1" si="518"/>
        <v/>
      </c>
      <c r="R402" s="147" t="str">
        <f t="shared" ref="R402:S402" ca="1" si="824">IF(OR(P402="", P402=0), "",
  IF(P402&lt;=2,   1,
  IF(P402&lt;=4,   2,
  IF(P402&lt;=5.5, 3, 4))))</f>
        <v/>
      </c>
      <c r="S402" s="147" t="str">
        <f t="shared" ca="1" si="824"/>
        <v/>
      </c>
      <c r="T402" s="147" t="str">
        <f t="shared" ca="1" si="520"/>
        <v>No Data</v>
      </c>
      <c r="U402" s="147">
        <f t="shared" si="816"/>
        <v>1</v>
      </c>
      <c r="V402" s="147"/>
    </row>
    <row r="403" spans="1:22">
      <c r="A403" s="176" t="s">
        <v>397</v>
      </c>
      <c r="B403" s="154" t="s">
        <v>398</v>
      </c>
      <c r="C403" s="155" t="s">
        <v>85</v>
      </c>
      <c r="D403" s="155" t="s">
        <v>878</v>
      </c>
      <c r="E403" s="154" t="s">
        <v>22</v>
      </c>
      <c r="F403" s="3" t="s">
        <v>934</v>
      </c>
      <c r="G403" s="3" t="s">
        <v>940</v>
      </c>
      <c r="H403" s="156" t="str">
        <f ca="1">IFERROR(
  _xludf.MINIFS(ATTENDANCE_LOG!$F:$F,
         ATTENDANCE_LOG!$A:$A, C403,
         ATTENDANCE_LOG!$B:$B, E403),
"")</f>
        <v/>
      </c>
      <c r="I403" s="3">
        <f>IFERROR(VLOOKUP(F403, LEVEL_HELPER!$A:$B, 2, 0), "")</f>
        <v>3.5</v>
      </c>
      <c r="J403" s="3">
        <f>IFERROR(VLOOKUP(G403, LEVEL_HELPER!$A:$B, 2, 0), "")</f>
        <v>5</v>
      </c>
      <c r="K403" s="3">
        <f t="shared" ref="K403:L403" si="825">IF(OR(I403="", I403=0), "",
  IF(I403&lt;=2,   1,
  IF(I403&lt;=4,   2,
  IF(I403&lt;=5.5, 3, 4))))</f>
        <v>2</v>
      </c>
      <c r="L403" s="3">
        <f t="shared" si="825"/>
        <v>3</v>
      </c>
      <c r="M403" s="3" t="str">
        <f t="shared" si="516"/>
        <v>Lv2 → Lv3</v>
      </c>
      <c r="N403" s="157" t="s">
        <v>956</v>
      </c>
      <c r="O403" s="157" t="s">
        <v>923</v>
      </c>
      <c r="P403" s="3" t="str">
        <f t="shared" ca="1" si="517"/>
        <v/>
      </c>
      <c r="Q403" s="147" t="str">
        <f t="shared" ca="1" si="518"/>
        <v/>
      </c>
      <c r="R403" s="147" t="str">
        <f t="shared" ref="R403:S403" ca="1" si="826">IF(OR(P403="", P403=0), "",
  IF(P403&lt;=2,   1,
  IF(P403&lt;=4,   2,
  IF(P403&lt;=5.5, 3, 4))))</f>
        <v/>
      </c>
      <c r="S403" s="147" t="str">
        <f t="shared" ca="1" si="826"/>
        <v/>
      </c>
      <c r="T403" s="147" t="str">
        <f t="shared" ca="1" si="520"/>
        <v>No Data</v>
      </c>
      <c r="U403" s="147">
        <f>IF(COUNTIF($A$2:A406, A403)=1, 1, 0)</f>
        <v>0</v>
      </c>
      <c r="V403" s="147"/>
    </row>
    <row r="404" spans="1:22">
      <c r="A404" s="157" t="s">
        <v>136</v>
      </c>
      <c r="B404" s="3" t="s">
        <v>137</v>
      </c>
      <c r="C404" s="160" t="s">
        <v>85</v>
      </c>
      <c r="D404" s="160" t="s">
        <v>878</v>
      </c>
      <c r="E404" s="3" t="s">
        <v>22</v>
      </c>
      <c r="F404" s="3" t="s">
        <v>934</v>
      </c>
      <c r="G404" s="3" t="s">
        <v>940</v>
      </c>
      <c r="H404" s="156" t="str">
        <f ca="1">IFERROR(
  _xludf.MINIFS(ATTENDANCE_LOG!$F:$F,
         ATTENDANCE_LOG!$A:$A, C404,
         ATTENDANCE_LOG!$B:$B, E404),
"")</f>
        <v/>
      </c>
      <c r="I404" s="3">
        <f>IFERROR(VLOOKUP(F404, LEVEL_HELPER!$A:$B, 2, 0), "")</f>
        <v>3.5</v>
      </c>
      <c r="J404" s="3">
        <f>IFERROR(VLOOKUP(G404, LEVEL_HELPER!$A:$B, 2, 0), "")</f>
        <v>5</v>
      </c>
      <c r="K404" s="3">
        <f t="shared" ref="K404:L404" si="827">IF(OR(I404="", I404=0), "",
  IF(I404&lt;=2,   1,
  IF(I404&lt;=4,   2,
  IF(I404&lt;=5.5, 3, 4))))</f>
        <v>2</v>
      </c>
      <c r="L404" s="3">
        <f t="shared" si="827"/>
        <v>3</v>
      </c>
      <c r="M404" s="3" t="str">
        <f t="shared" si="516"/>
        <v>Lv2 → Lv3</v>
      </c>
      <c r="N404" s="157" t="s">
        <v>942</v>
      </c>
      <c r="O404" s="157" t="s">
        <v>923</v>
      </c>
      <c r="P404" s="3" t="str">
        <f t="shared" ca="1" si="517"/>
        <v/>
      </c>
      <c r="Q404" s="147" t="str">
        <f t="shared" ca="1" si="518"/>
        <v/>
      </c>
      <c r="R404" s="147" t="str">
        <f t="shared" ref="R404:S404" ca="1" si="828">IF(OR(P404="", P404=0), "",
  IF(P404&lt;=2,   1,
  IF(P404&lt;=4,   2,
  IF(P404&lt;=5.5, 3, 4))))</f>
        <v/>
      </c>
      <c r="S404" s="147" t="str">
        <f t="shared" ca="1" si="828"/>
        <v/>
      </c>
      <c r="T404" s="147" t="str">
        <f t="shared" ca="1" si="520"/>
        <v>No Data</v>
      </c>
      <c r="U404" s="147">
        <f t="shared" ref="U404:U411" si="829">IF(COUNTIF($A$2:A404, A404)=1, 1, 0)</f>
        <v>0</v>
      </c>
      <c r="V404" s="147"/>
    </row>
    <row r="405" spans="1:22">
      <c r="A405" s="157" t="s">
        <v>165</v>
      </c>
      <c r="B405" s="3" t="s">
        <v>166</v>
      </c>
      <c r="C405" s="160" t="s">
        <v>85</v>
      </c>
      <c r="D405" s="160" t="s">
        <v>878</v>
      </c>
      <c r="E405" s="3" t="s">
        <v>22</v>
      </c>
      <c r="F405" s="3" t="s">
        <v>917</v>
      </c>
      <c r="G405" s="3"/>
      <c r="H405" s="156" t="str">
        <f ca="1">IFERROR(
  _xludf.MINIFS(ATTENDANCE_LOG!$F:$F,
         ATTENDANCE_LOG!$A:$A, C405,
         ATTENDANCE_LOG!$B:$B, E405),
"")</f>
        <v/>
      </c>
      <c r="I405" s="3">
        <f>IFERROR(VLOOKUP(F405, LEVEL_HELPER!$A:$B, 2, 0), "")</f>
        <v>3</v>
      </c>
      <c r="J405" s="3" t="str">
        <f>IFERROR(VLOOKUP(G405, LEVEL_HELPER!$A:$B, 2, 0), "")</f>
        <v/>
      </c>
      <c r="K405" s="3">
        <f t="shared" ref="K405:L405" si="830">IF(OR(I405="", I405=0), "",
  IF(I405&lt;=2,   1,
  IF(I405&lt;=4,   2,
  IF(I405&lt;=5.5, 3, 4))))</f>
        <v>2</v>
      </c>
      <c r="L405" s="3" t="str">
        <f t="shared" si="830"/>
        <v/>
      </c>
      <c r="M405" s="3" t="str">
        <f t="shared" si="516"/>
        <v>No Data</v>
      </c>
      <c r="N405" s="157" t="s">
        <v>942</v>
      </c>
      <c r="O405" s="157" t="s">
        <v>923</v>
      </c>
      <c r="P405" s="3" t="str">
        <f t="shared" ca="1" si="517"/>
        <v/>
      </c>
      <c r="Q405" s="147" t="str">
        <f t="shared" ca="1" si="518"/>
        <v/>
      </c>
      <c r="R405" s="147" t="str">
        <f t="shared" ref="R405:S405" ca="1" si="831">IF(OR(P405="", P405=0), "",
  IF(P405&lt;=2,   1,
  IF(P405&lt;=4,   2,
  IF(P405&lt;=5.5, 3, 4))))</f>
        <v/>
      </c>
      <c r="S405" s="147" t="str">
        <f t="shared" ca="1" si="831"/>
        <v/>
      </c>
      <c r="T405" s="147" t="str">
        <f t="shared" ca="1" si="520"/>
        <v>No Data</v>
      </c>
      <c r="U405" s="147">
        <f t="shared" si="829"/>
        <v>0</v>
      </c>
      <c r="V405" s="147"/>
    </row>
    <row r="406" spans="1:22">
      <c r="A406" s="157" t="s">
        <v>275</v>
      </c>
      <c r="B406" s="3" t="s">
        <v>276</v>
      </c>
      <c r="C406" s="160" t="s">
        <v>85</v>
      </c>
      <c r="D406" s="160" t="s">
        <v>878</v>
      </c>
      <c r="E406" s="3" t="s">
        <v>22</v>
      </c>
      <c r="F406" s="3" t="s">
        <v>917</v>
      </c>
      <c r="G406" s="3"/>
      <c r="H406" s="156" t="str">
        <f ca="1">IFERROR(
  _xludf.MINIFS(ATTENDANCE_LOG!$F:$F,
         ATTENDANCE_LOG!$A:$A, C406,
         ATTENDANCE_LOG!$B:$B, E406),
"")</f>
        <v/>
      </c>
      <c r="I406" s="3">
        <f>IFERROR(VLOOKUP(F406, LEVEL_HELPER!$A:$B, 2, 0), "")</f>
        <v>3</v>
      </c>
      <c r="J406" s="3" t="str">
        <f>IFERROR(VLOOKUP(G406, LEVEL_HELPER!$A:$B, 2, 0), "")</f>
        <v/>
      </c>
      <c r="K406" s="3">
        <f t="shared" ref="K406:L406" si="832">IF(OR(I406="", I406=0), "",
  IF(I406&lt;=2,   1,
  IF(I406&lt;=4,   2,
  IF(I406&lt;=5.5, 3, 4))))</f>
        <v>2</v>
      </c>
      <c r="L406" s="3" t="str">
        <f t="shared" si="832"/>
        <v/>
      </c>
      <c r="M406" s="3" t="str">
        <f t="shared" si="516"/>
        <v>No Data</v>
      </c>
      <c r="N406" s="157" t="s">
        <v>942</v>
      </c>
      <c r="O406" s="157" t="s">
        <v>923</v>
      </c>
      <c r="P406" s="3" t="str">
        <f t="shared" ca="1" si="517"/>
        <v/>
      </c>
      <c r="Q406" s="147" t="str">
        <f t="shared" ca="1" si="518"/>
        <v/>
      </c>
      <c r="R406" s="147" t="str">
        <f t="shared" ref="R406:S406" ca="1" si="833">IF(OR(P406="", P406=0), "",
  IF(P406&lt;=2,   1,
  IF(P406&lt;=4,   2,
  IF(P406&lt;=5.5, 3, 4))))</f>
        <v/>
      </c>
      <c r="S406" s="147" t="str">
        <f t="shared" ca="1" si="833"/>
        <v/>
      </c>
      <c r="T406" s="147" t="str">
        <f t="shared" ca="1" si="520"/>
        <v>No Data</v>
      </c>
      <c r="U406" s="147">
        <f t="shared" si="829"/>
        <v>0</v>
      </c>
      <c r="V406" s="147"/>
    </row>
    <row r="407" spans="1:22">
      <c r="A407" s="157" t="s">
        <v>512</v>
      </c>
      <c r="B407" s="3" t="s">
        <v>513</v>
      </c>
      <c r="C407" s="160" t="s">
        <v>85</v>
      </c>
      <c r="D407" s="160" t="s">
        <v>878</v>
      </c>
      <c r="E407" s="3" t="s">
        <v>22</v>
      </c>
      <c r="F407" s="3" t="s">
        <v>917</v>
      </c>
      <c r="G407" s="3"/>
      <c r="H407" s="156" t="str">
        <f ca="1">IFERROR(
  _xludf.MINIFS(ATTENDANCE_LOG!$F:$F,
         ATTENDANCE_LOG!$A:$A, C407,
         ATTENDANCE_LOG!$B:$B, E407),
"")</f>
        <v/>
      </c>
      <c r="I407" s="3">
        <f>IFERROR(VLOOKUP(F407, LEVEL_HELPER!$A:$B, 2, 0), "")</f>
        <v>3</v>
      </c>
      <c r="J407" s="3" t="str">
        <f>IFERROR(VLOOKUP(G407, LEVEL_HELPER!$A:$B, 2, 0), "")</f>
        <v/>
      </c>
      <c r="K407" s="3">
        <f t="shared" ref="K407:L407" si="834">IF(OR(I407="", I407=0), "",
  IF(I407&lt;=2,   1,
  IF(I407&lt;=4,   2,
  IF(I407&lt;=5.5, 3, 4))))</f>
        <v>2</v>
      </c>
      <c r="L407" s="3" t="str">
        <f t="shared" si="834"/>
        <v/>
      </c>
      <c r="M407" s="3" t="str">
        <f t="shared" si="516"/>
        <v>No Data</v>
      </c>
      <c r="N407" s="157" t="s">
        <v>942</v>
      </c>
      <c r="O407" s="157" t="s">
        <v>923</v>
      </c>
      <c r="P407" s="3" t="str">
        <f t="shared" ca="1" si="517"/>
        <v/>
      </c>
      <c r="Q407" s="147" t="str">
        <f t="shared" ca="1" si="518"/>
        <v/>
      </c>
      <c r="R407" s="147" t="str">
        <f t="shared" ref="R407:S407" ca="1" si="835">IF(OR(P407="", P407=0), "",
  IF(P407&lt;=2,   1,
  IF(P407&lt;=4,   2,
  IF(P407&lt;=5.5, 3, 4))))</f>
        <v/>
      </c>
      <c r="S407" s="147" t="str">
        <f t="shared" ca="1" si="835"/>
        <v/>
      </c>
      <c r="T407" s="147" t="str">
        <f t="shared" ca="1" si="520"/>
        <v>No Data</v>
      </c>
      <c r="U407" s="147">
        <f t="shared" si="829"/>
        <v>0</v>
      </c>
      <c r="V407" s="147"/>
    </row>
    <row r="408" spans="1:22">
      <c r="A408" s="157" t="s">
        <v>524</v>
      </c>
      <c r="B408" s="3" t="s">
        <v>525</v>
      </c>
      <c r="C408" s="160" t="s">
        <v>85</v>
      </c>
      <c r="D408" s="160" t="s">
        <v>878</v>
      </c>
      <c r="E408" s="3" t="s">
        <v>22</v>
      </c>
      <c r="F408" s="3" t="s">
        <v>928</v>
      </c>
      <c r="G408" s="3" t="s">
        <v>934</v>
      </c>
      <c r="H408" s="156" t="str">
        <f ca="1">IFERROR(
  _xludf.MINIFS(ATTENDANCE_LOG!$F:$F,
         ATTENDANCE_LOG!$A:$A, C408,
         ATTENDANCE_LOG!$B:$B, E408),
"")</f>
        <v/>
      </c>
      <c r="I408" s="3">
        <f>IFERROR(VLOOKUP(F408, LEVEL_HELPER!$A:$B, 2, 0), "")</f>
        <v>1.5</v>
      </c>
      <c r="J408" s="3">
        <f>IFERROR(VLOOKUP(G408, LEVEL_HELPER!$A:$B, 2, 0), "")</f>
        <v>3.5</v>
      </c>
      <c r="K408" s="3">
        <f t="shared" ref="K408:L408" si="836">IF(OR(I408="", I408=0), "",
  IF(I408&lt;=2,   1,
  IF(I408&lt;=4,   2,
  IF(I408&lt;=5.5, 3, 4))))</f>
        <v>1</v>
      </c>
      <c r="L408" s="3">
        <f t="shared" si="836"/>
        <v>2</v>
      </c>
      <c r="M408" s="3" t="str">
        <f t="shared" si="516"/>
        <v>Lv1 → Lv2</v>
      </c>
      <c r="N408" s="157" t="s">
        <v>942</v>
      </c>
      <c r="O408" s="157" t="s">
        <v>923</v>
      </c>
      <c r="P408" s="3" t="str">
        <f t="shared" ca="1" si="517"/>
        <v/>
      </c>
      <c r="Q408" s="147" t="str">
        <f t="shared" ca="1" si="518"/>
        <v/>
      </c>
      <c r="R408" s="147" t="str">
        <f t="shared" ref="R408:S408" ca="1" si="837">IF(OR(P408="", P408=0), "",
  IF(P408&lt;=2,   1,
  IF(P408&lt;=4,   2,
  IF(P408&lt;=5.5, 3, 4))))</f>
        <v/>
      </c>
      <c r="S408" s="147" t="str">
        <f t="shared" ca="1" si="837"/>
        <v/>
      </c>
      <c r="T408" s="147" t="str">
        <f t="shared" ca="1" si="520"/>
        <v>No Data</v>
      </c>
      <c r="U408" s="147">
        <f t="shared" si="829"/>
        <v>0</v>
      </c>
      <c r="V408" s="147"/>
    </row>
    <row r="409" spans="1:22">
      <c r="A409" s="157" t="s">
        <v>530</v>
      </c>
      <c r="B409" s="3" t="s">
        <v>531</v>
      </c>
      <c r="C409" s="160" t="s">
        <v>85</v>
      </c>
      <c r="D409" s="160" t="s">
        <v>878</v>
      </c>
      <c r="E409" s="3" t="s">
        <v>22</v>
      </c>
      <c r="F409" s="3" t="s">
        <v>917</v>
      </c>
      <c r="G409" s="3" t="s">
        <v>940</v>
      </c>
      <c r="H409" s="156" t="str">
        <f ca="1">IFERROR(
  _xludf.MINIFS(ATTENDANCE_LOG!$F:$F,
         ATTENDANCE_LOG!$A:$A, C409,
         ATTENDANCE_LOG!$B:$B, E409),
"")</f>
        <v/>
      </c>
      <c r="I409" s="3">
        <f>IFERROR(VLOOKUP(F409, LEVEL_HELPER!$A:$B, 2, 0), "")</f>
        <v>3</v>
      </c>
      <c r="J409" s="3">
        <f>IFERROR(VLOOKUP(G409, LEVEL_HELPER!$A:$B, 2, 0), "")</f>
        <v>5</v>
      </c>
      <c r="K409" s="3">
        <f t="shared" ref="K409:L409" si="838">IF(OR(I409="", I409=0), "",
  IF(I409&lt;=2,   1,
  IF(I409&lt;=4,   2,
  IF(I409&lt;=5.5, 3, 4))))</f>
        <v>2</v>
      </c>
      <c r="L409" s="3">
        <f t="shared" si="838"/>
        <v>3</v>
      </c>
      <c r="M409" s="3" t="str">
        <f t="shared" si="516"/>
        <v>Lv2 → Lv3</v>
      </c>
      <c r="N409" s="157" t="s">
        <v>942</v>
      </c>
      <c r="O409" s="157" t="s">
        <v>923</v>
      </c>
      <c r="P409" s="3" t="str">
        <f t="shared" ca="1" si="517"/>
        <v/>
      </c>
      <c r="Q409" s="147" t="str">
        <f t="shared" ca="1" si="518"/>
        <v/>
      </c>
      <c r="R409" s="147" t="str">
        <f t="shared" ref="R409:S409" ca="1" si="839">IF(OR(P409="", P409=0), "",
  IF(P409&lt;=2,   1,
  IF(P409&lt;=4,   2,
  IF(P409&lt;=5.5, 3, 4))))</f>
        <v/>
      </c>
      <c r="S409" s="147" t="str">
        <f t="shared" ca="1" si="839"/>
        <v/>
      </c>
      <c r="T409" s="147" t="str">
        <f t="shared" ca="1" si="520"/>
        <v>No Data</v>
      </c>
      <c r="U409" s="147">
        <f t="shared" si="829"/>
        <v>0</v>
      </c>
      <c r="V409" s="147"/>
    </row>
    <row r="410" spans="1:22">
      <c r="A410" s="157" t="s">
        <v>621</v>
      </c>
      <c r="B410" s="3" t="s">
        <v>622</v>
      </c>
      <c r="C410" s="160" t="s">
        <v>85</v>
      </c>
      <c r="D410" s="160" t="s">
        <v>878</v>
      </c>
      <c r="E410" s="3" t="s">
        <v>22</v>
      </c>
      <c r="F410" s="3" t="s">
        <v>934</v>
      </c>
      <c r="G410" s="3" t="s">
        <v>940</v>
      </c>
      <c r="H410" s="156" t="str">
        <f ca="1">IFERROR(
  _xludf.MINIFS(ATTENDANCE_LOG!$F:$F,
         ATTENDANCE_LOG!$A:$A, C410,
         ATTENDANCE_LOG!$B:$B, E410),
"")</f>
        <v/>
      </c>
      <c r="I410" s="3">
        <f>IFERROR(VLOOKUP(F410, LEVEL_HELPER!$A:$B, 2, 0), "")</f>
        <v>3.5</v>
      </c>
      <c r="J410" s="3">
        <f>IFERROR(VLOOKUP(G410, LEVEL_HELPER!$A:$B, 2, 0), "")</f>
        <v>5</v>
      </c>
      <c r="K410" s="3">
        <f t="shared" ref="K410:L410" si="840">IF(OR(I410="", I410=0), "",
  IF(I410&lt;=2,   1,
  IF(I410&lt;=4,   2,
  IF(I410&lt;=5.5, 3, 4))))</f>
        <v>2</v>
      </c>
      <c r="L410" s="3">
        <f t="shared" si="840"/>
        <v>3</v>
      </c>
      <c r="M410" s="3" t="str">
        <f t="shared" si="516"/>
        <v>Lv2 → Lv3</v>
      </c>
      <c r="N410" s="157" t="s">
        <v>942</v>
      </c>
      <c r="O410" s="157" t="s">
        <v>923</v>
      </c>
      <c r="P410" s="3" t="str">
        <f t="shared" ca="1" si="517"/>
        <v/>
      </c>
      <c r="Q410" s="147" t="str">
        <f t="shared" ca="1" si="518"/>
        <v/>
      </c>
      <c r="R410" s="147" t="str">
        <f t="shared" ref="R410:S410" ca="1" si="841">IF(OR(P410="", P410=0), "",
  IF(P410&lt;=2,   1,
  IF(P410&lt;=4,   2,
  IF(P410&lt;=5.5, 3, 4))))</f>
        <v/>
      </c>
      <c r="S410" s="147" t="str">
        <f t="shared" ca="1" si="841"/>
        <v/>
      </c>
      <c r="T410" s="147" t="str">
        <f t="shared" ca="1" si="520"/>
        <v>No Data</v>
      </c>
      <c r="U410" s="147">
        <f t="shared" si="829"/>
        <v>0</v>
      </c>
      <c r="V410" s="147"/>
    </row>
    <row r="411" spans="1:22">
      <c r="A411" s="157" t="s">
        <v>719</v>
      </c>
      <c r="B411" s="3" t="s">
        <v>720</v>
      </c>
      <c r="C411" s="160" t="s">
        <v>85</v>
      </c>
      <c r="D411" s="160" t="s">
        <v>878</v>
      </c>
      <c r="E411" s="3" t="s">
        <v>22</v>
      </c>
      <c r="F411" s="3" t="s">
        <v>934</v>
      </c>
      <c r="G411" s="3" t="s">
        <v>940</v>
      </c>
      <c r="H411" s="156" t="str">
        <f ca="1">IFERROR(
  _xludf.MINIFS(ATTENDANCE_LOG!$F:$F,
         ATTENDANCE_LOG!$A:$A, C411,
         ATTENDANCE_LOG!$B:$B, E411),
"")</f>
        <v/>
      </c>
      <c r="I411" s="3">
        <f>IFERROR(VLOOKUP(F411, LEVEL_HELPER!$A:$B, 2, 0), "")</f>
        <v>3.5</v>
      </c>
      <c r="J411" s="3">
        <f>IFERROR(VLOOKUP(G411, LEVEL_HELPER!$A:$B, 2, 0), "")</f>
        <v>5</v>
      </c>
      <c r="K411" s="3">
        <f t="shared" ref="K411:L411" si="842">IF(OR(I411="", I411=0), "",
  IF(I411&lt;=2,   1,
  IF(I411&lt;=4,   2,
  IF(I411&lt;=5.5, 3, 4))))</f>
        <v>2</v>
      </c>
      <c r="L411" s="3">
        <f t="shared" si="842"/>
        <v>3</v>
      </c>
      <c r="M411" s="3" t="str">
        <f t="shared" si="516"/>
        <v>Lv2 → Lv3</v>
      </c>
      <c r="N411" s="157" t="s">
        <v>956</v>
      </c>
      <c r="O411" s="157" t="s">
        <v>923</v>
      </c>
      <c r="P411" s="3" t="str">
        <f t="shared" ca="1" si="517"/>
        <v/>
      </c>
      <c r="Q411" s="147" t="str">
        <f t="shared" ca="1" si="518"/>
        <v/>
      </c>
      <c r="R411" s="147" t="str">
        <f t="shared" ref="R411:S411" ca="1" si="843">IF(OR(P411="", P411=0), "",
  IF(P411&lt;=2,   1,
  IF(P411&lt;=4,   2,
  IF(P411&lt;=5.5, 3, 4))))</f>
        <v/>
      </c>
      <c r="S411" s="147" t="str">
        <f t="shared" ca="1" si="843"/>
        <v/>
      </c>
      <c r="T411" s="147" t="str">
        <f t="shared" ca="1" si="520"/>
        <v>No Data</v>
      </c>
      <c r="U411" s="147">
        <f t="shared" si="829"/>
        <v>0</v>
      </c>
      <c r="V411" s="147"/>
    </row>
    <row r="412" spans="1:22">
      <c r="A412" s="176" t="s">
        <v>407</v>
      </c>
      <c r="B412" s="154" t="s">
        <v>408</v>
      </c>
      <c r="C412" s="155" t="s">
        <v>86</v>
      </c>
      <c r="D412" s="155" t="s">
        <v>879</v>
      </c>
      <c r="E412" s="154" t="s">
        <v>25</v>
      </c>
      <c r="F412" s="154" t="s">
        <v>25</v>
      </c>
      <c r="G412" s="154" t="s">
        <v>926</v>
      </c>
      <c r="H412" s="156" t="str">
        <f ca="1">IFERROR(
  _xludf.MINIFS(ATTENDANCE_LOG!$F:$F,
         ATTENDANCE_LOG!$A:$A, C412,
         ATTENDANCE_LOG!$B:$B, E412),
"")</f>
        <v/>
      </c>
      <c r="I412" s="154">
        <f>IFERROR(VLOOKUP(F412, LEVEL_HELPER!$A:$B, 2, 0), "")</f>
        <v>0.5</v>
      </c>
      <c r="J412" s="154">
        <f>IFERROR(VLOOKUP(G412, LEVEL_HELPER!$A:$B, 2, 0), "")</f>
        <v>1</v>
      </c>
      <c r="K412" s="154">
        <f t="shared" ref="K412:L412" si="844">IF(OR(I412="", I412=0), "",
  IF(I412&lt;=2,   1,
  IF(I412&lt;=4,   2,
  IF(I412&lt;=5.5, 3, 4))))</f>
        <v>1</v>
      </c>
      <c r="L412" s="3">
        <f t="shared" si="844"/>
        <v>1</v>
      </c>
      <c r="M412" s="3" t="str">
        <f t="shared" si="516"/>
        <v>Progress within level</v>
      </c>
      <c r="N412" s="176" t="s">
        <v>942</v>
      </c>
      <c r="O412" s="176" t="s">
        <v>923</v>
      </c>
      <c r="P412" s="154" t="str">
        <f t="shared" ca="1" si="517"/>
        <v/>
      </c>
      <c r="Q412" s="177" t="str">
        <f t="shared" ca="1" si="518"/>
        <v/>
      </c>
      <c r="R412" s="177" t="str">
        <f t="shared" ref="R412:S412" ca="1" si="845">IF(OR(P412="", P412=0), "",
  IF(P412&lt;=2,   1,
  IF(P412&lt;=4,   2,
  IF(P412&lt;=5.5, 3, 4))))</f>
        <v/>
      </c>
      <c r="S412" s="177" t="str">
        <f t="shared" ca="1" si="845"/>
        <v/>
      </c>
      <c r="T412" s="177" t="str">
        <f t="shared" ca="1" si="520"/>
        <v>No Data</v>
      </c>
      <c r="U412" s="177">
        <f>IF(COUNTIF($A$2:A415, A412)=1, 1, 0)</f>
        <v>1</v>
      </c>
      <c r="V412" s="177"/>
    </row>
    <row r="413" spans="1:22">
      <c r="A413" s="157" t="s">
        <v>153</v>
      </c>
      <c r="B413" s="3" t="s">
        <v>154</v>
      </c>
      <c r="C413" s="160" t="s">
        <v>86</v>
      </c>
      <c r="D413" s="160" t="s">
        <v>879</v>
      </c>
      <c r="E413" s="3" t="s">
        <v>25</v>
      </c>
      <c r="F413" s="3" t="s">
        <v>25</v>
      </c>
      <c r="G413" s="3" t="s">
        <v>25</v>
      </c>
      <c r="H413" s="156" t="str">
        <f ca="1">IFERROR(
  _xludf.MINIFS(ATTENDANCE_LOG!$F:$F,
         ATTENDANCE_LOG!$A:$A, C413,
         ATTENDANCE_LOG!$B:$B, E413),
"")</f>
        <v/>
      </c>
      <c r="I413" s="3">
        <f>IFERROR(VLOOKUP(F413, LEVEL_HELPER!$A:$B, 2, 0), "")</f>
        <v>0.5</v>
      </c>
      <c r="J413" s="3">
        <f>IFERROR(VLOOKUP(G413, LEVEL_HELPER!$A:$B, 2, 0), "")</f>
        <v>0.5</v>
      </c>
      <c r="K413" s="3">
        <f t="shared" ref="K413:L413" si="846">IF(OR(I413="", I413=0), "",
  IF(I413&lt;=2,   1,
  IF(I413&lt;=4,   2,
  IF(I413&lt;=5.5, 3, 4))))</f>
        <v>1</v>
      </c>
      <c r="L413" s="3">
        <f t="shared" si="846"/>
        <v>1</v>
      </c>
      <c r="M413" s="3" t="str">
        <f t="shared" si="516"/>
        <v>No Progress</v>
      </c>
      <c r="N413" s="157" t="s">
        <v>942</v>
      </c>
      <c r="O413" s="157" t="s">
        <v>923</v>
      </c>
      <c r="P413" s="3" t="str">
        <f t="shared" ca="1" si="517"/>
        <v/>
      </c>
      <c r="Q413" s="147" t="str">
        <f t="shared" ca="1" si="518"/>
        <v/>
      </c>
      <c r="R413" s="147" t="str">
        <f t="shared" ref="R413:S413" ca="1" si="847">IF(OR(P413="", P413=0), "",
  IF(P413&lt;=2,   1,
  IF(P413&lt;=4,   2,
  IF(P413&lt;=5.5, 3, 4))))</f>
        <v/>
      </c>
      <c r="S413" s="147" t="str">
        <f t="shared" ca="1" si="847"/>
        <v/>
      </c>
      <c r="T413" s="147" t="str">
        <f t="shared" ca="1" si="520"/>
        <v>No Data</v>
      </c>
      <c r="U413" s="147">
        <f t="shared" ref="U413:U419" si="848">IF(COUNTIF($A$2:A413, A413)=1, 1, 0)</f>
        <v>1</v>
      </c>
      <c r="V413" s="147"/>
    </row>
    <row r="414" spans="1:22">
      <c r="A414" s="157" t="s">
        <v>277</v>
      </c>
      <c r="B414" s="3" t="s">
        <v>278</v>
      </c>
      <c r="C414" s="160" t="s">
        <v>86</v>
      </c>
      <c r="D414" s="160" t="s">
        <v>879</v>
      </c>
      <c r="E414" s="3" t="s">
        <v>25</v>
      </c>
      <c r="F414" s="3" t="s">
        <v>25</v>
      </c>
      <c r="G414" s="3" t="s">
        <v>25</v>
      </c>
      <c r="H414" s="156" t="str">
        <f ca="1">IFERROR(
  _xludf.MINIFS(ATTENDANCE_LOG!$F:$F,
         ATTENDANCE_LOG!$A:$A, C414,
         ATTENDANCE_LOG!$B:$B, E414),
"")</f>
        <v/>
      </c>
      <c r="I414" s="3">
        <f>IFERROR(VLOOKUP(F414, LEVEL_HELPER!$A:$B, 2, 0), "")</f>
        <v>0.5</v>
      </c>
      <c r="J414" s="3">
        <f>IFERROR(VLOOKUP(G414, LEVEL_HELPER!$A:$B, 2, 0), "")</f>
        <v>0.5</v>
      </c>
      <c r="K414" s="3">
        <f t="shared" ref="K414:L414" si="849">IF(OR(I414="", I414=0), "",
  IF(I414&lt;=2,   1,
  IF(I414&lt;=4,   2,
  IF(I414&lt;=5.5, 3, 4))))</f>
        <v>1</v>
      </c>
      <c r="L414" s="3">
        <f t="shared" si="849"/>
        <v>1</v>
      </c>
      <c r="M414" s="3" t="str">
        <f t="shared" si="516"/>
        <v>No Progress</v>
      </c>
      <c r="N414" s="157" t="s">
        <v>942</v>
      </c>
      <c r="O414" s="157" t="s">
        <v>923</v>
      </c>
      <c r="P414" s="3" t="str">
        <f t="shared" ca="1" si="517"/>
        <v/>
      </c>
      <c r="Q414" s="147" t="str">
        <f t="shared" ca="1" si="518"/>
        <v/>
      </c>
      <c r="R414" s="147" t="str">
        <f t="shared" ref="R414:S414" ca="1" si="850">IF(OR(P414="", P414=0), "",
  IF(P414&lt;=2,   1,
  IF(P414&lt;=4,   2,
  IF(P414&lt;=5.5, 3, 4))))</f>
        <v/>
      </c>
      <c r="S414" s="147" t="str">
        <f t="shared" ca="1" si="850"/>
        <v/>
      </c>
      <c r="T414" s="147" t="str">
        <f t="shared" ca="1" si="520"/>
        <v>No Data</v>
      </c>
      <c r="U414" s="147">
        <f t="shared" si="848"/>
        <v>1</v>
      </c>
      <c r="V414" s="147"/>
    </row>
    <row r="415" spans="1:22">
      <c r="A415" s="157" t="s">
        <v>355</v>
      </c>
      <c r="B415" s="3" t="s">
        <v>356</v>
      </c>
      <c r="C415" s="160" t="s">
        <v>86</v>
      </c>
      <c r="D415" s="160" t="s">
        <v>879</v>
      </c>
      <c r="E415" s="3" t="s">
        <v>25</v>
      </c>
      <c r="F415" s="3" t="s">
        <v>25</v>
      </c>
      <c r="G415" s="3" t="s">
        <v>25</v>
      </c>
      <c r="H415" s="156" t="str">
        <f ca="1">IFERROR(
  _xludf.MINIFS(ATTENDANCE_LOG!$F:$F,
         ATTENDANCE_LOG!$A:$A, C415,
         ATTENDANCE_LOG!$B:$B, E415),
"")</f>
        <v/>
      </c>
      <c r="I415" s="3">
        <f>IFERROR(VLOOKUP(F415, LEVEL_HELPER!$A:$B, 2, 0), "")</f>
        <v>0.5</v>
      </c>
      <c r="J415" s="3">
        <f>IFERROR(VLOOKUP(G415, LEVEL_HELPER!$A:$B, 2, 0), "")</f>
        <v>0.5</v>
      </c>
      <c r="K415" s="3">
        <f t="shared" ref="K415:L415" si="851">IF(OR(I415="", I415=0), "",
  IF(I415&lt;=2,   1,
  IF(I415&lt;=4,   2,
  IF(I415&lt;=5.5, 3, 4))))</f>
        <v>1</v>
      </c>
      <c r="L415" s="3">
        <f t="shared" si="851"/>
        <v>1</v>
      </c>
      <c r="M415" s="3" t="str">
        <f t="shared" si="516"/>
        <v>No Progress</v>
      </c>
      <c r="N415" s="157" t="s">
        <v>942</v>
      </c>
      <c r="O415" s="157" t="s">
        <v>923</v>
      </c>
      <c r="P415" s="3" t="str">
        <f t="shared" ca="1" si="517"/>
        <v/>
      </c>
      <c r="Q415" s="147" t="str">
        <f t="shared" ca="1" si="518"/>
        <v/>
      </c>
      <c r="R415" s="147" t="str">
        <f t="shared" ref="R415:S415" ca="1" si="852">IF(OR(P415="", P415=0), "",
  IF(P415&lt;=2,   1,
  IF(P415&lt;=4,   2,
  IF(P415&lt;=5.5, 3, 4))))</f>
        <v/>
      </c>
      <c r="S415" s="147" t="str">
        <f t="shared" ca="1" si="852"/>
        <v/>
      </c>
      <c r="T415" s="147" t="str">
        <f t="shared" ca="1" si="520"/>
        <v>No Data</v>
      </c>
      <c r="U415" s="147">
        <f t="shared" si="848"/>
        <v>1</v>
      </c>
      <c r="V415" s="147"/>
    </row>
    <row r="416" spans="1:22">
      <c r="A416" s="157" t="s">
        <v>429</v>
      </c>
      <c r="B416" s="3" t="s">
        <v>430</v>
      </c>
      <c r="C416" s="160" t="s">
        <v>86</v>
      </c>
      <c r="D416" s="160" t="s">
        <v>879</v>
      </c>
      <c r="E416" s="3" t="s">
        <v>25</v>
      </c>
      <c r="F416" s="3" t="s">
        <v>25</v>
      </c>
      <c r="G416" s="3" t="s">
        <v>25</v>
      </c>
      <c r="H416" s="156" t="str">
        <f ca="1">IFERROR(
  _xludf.MINIFS(ATTENDANCE_LOG!$F:$F,
         ATTENDANCE_LOG!$A:$A, C416,
         ATTENDANCE_LOG!$B:$B, E416),
"")</f>
        <v/>
      </c>
      <c r="I416" s="3">
        <f>IFERROR(VLOOKUP(F416, LEVEL_HELPER!$A:$B, 2, 0), "")</f>
        <v>0.5</v>
      </c>
      <c r="J416" s="3">
        <f>IFERROR(VLOOKUP(G416, LEVEL_HELPER!$A:$B, 2, 0), "")</f>
        <v>0.5</v>
      </c>
      <c r="K416" s="3">
        <f t="shared" ref="K416:L416" si="853">IF(OR(I416="", I416=0), "",
  IF(I416&lt;=2,   1,
  IF(I416&lt;=4,   2,
  IF(I416&lt;=5.5, 3, 4))))</f>
        <v>1</v>
      </c>
      <c r="L416" s="3">
        <f t="shared" si="853"/>
        <v>1</v>
      </c>
      <c r="M416" s="3" t="str">
        <f t="shared" si="516"/>
        <v>No Progress</v>
      </c>
      <c r="N416" s="157" t="s">
        <v>943</v>
      </c>
      <c r="O416" s="157" t="s">
        <v>923</v>
      </c>
      <c r="P416" s="3" t="str">
        <f t="shared" ca="1" si="517"/>
        <v/>
      </c>
      <c r="Q416" s="147" t="str">
        <f t="shared" ca="1" si="518"/>
        <v/>
      </c>
      <c r="R416" s="147" t="str">
        <f t="shared" ref="R416:S416" ca="1" si="854">IF(OR(P416="", P416=0), "",
  IF(P416&lt;=2,   1,
  IF(P416&lt;=4,   2,
  IF(P416&lt;=5.5, 3, 4))))</f>
        <v/>
      </c>
      <c r="S416" s="147" t="str">
        <f t="shared" ca="1" si="854"/>
        <v/>
      </c>
      <c r="T416" s="147" t="str">
        <f t="shared" ca="1" si="520"/>
        <v>No Data</v>
      </c>
      <c r="U416" s="147">
        <f t="shared" si="848"/>
        <v>1</v>
      </c>
      <c r="V416" s="147"/>
    </row>
    <row r="417" spans="1:22">
      <c r="A417" s="157" t="s">
        <v>538</v>
      </c>
      <c r="B417" s="3" t="s">
        <v>539</v>
      </c>
      <c r="C417" s="160" t="s">
        <v>86</v>
      </c>
      <c r="D417" s="160" t="s">
        <v>879</v>
      </c>
      <c r="E417" s="3" t="s">
        <v>25</v>
      </c>
      <c r="F417" s="3" t="s">
        <v>25</v>
      </c>
      <c r="G417" s="3" t="s">
        <v>25</v>
      </c>
      <c r="H417" s="156" t="str">
        <f ca="1">IFERROR(
  _xludf.MINIFS(ATTENDANCE_LOG!$F:$F,
         ATTENDANCE_LOG!$A:$A, C417,
         ATTENDANCE_LOG!$B:$B, E417),
"")</f>
        <v/>
      </c>
      <c r="I417" s="3">
        <f>IFERROR(VLOOKUP(F417, LEVEL_HELPER!$A:$B, 2, 0), "")</f>
        <v>0.5</v>
      </c>
      <c r="J417" s="3">
        <f>IFERROR(VLOOKUP(G417, LEVEL_HELPER!$A:$B, 2, 0), "")</f>
        <v>0.5</v>
      </c>
      <c r="K417" s="3">
        <f t="shared" ref="K417:L417" si="855">IF(OR(I417="", I417=0), "",
  IF(I417&lt;=2,   1,
  IF(I417&lt;=4,   2,
  IF(I417&lt;=5.5, 3, 4))))</f>
        <v>1</v>
      </c>
      <c r="L417" s="3">
        <f t="shared" si="855"/>
        <v>1</v>
      </c>
      <c r="M417" s="3" t="str">
        <f t="shared" si="516"/>
        <v>No Progress</v>
      </c>
      <c r="N417" s="157" t="s">
        <v>942</v>
      </c>
      <c r="O417" s="157" t="s">
        <v>923</v>
      </c>
      <c r="P417" s="3" t="str">
        <f t="shared" ca="1" si="517"/>
        <v/>
      </c>
      <c r="Q417" s="147" t="str">
        <f t="shared" ca="1" si="518"/>
        <v/>
      </c>
      <c r="R417" s="147" t="str">
        <f t="shared" ref="R417:S417" ca="1" si="856">IF(OR(P417="", P417=0), "",
  IF(P417&lt;=2,   1,
  IF(P417&lt;=4,   2,
  IF(P417&lt;=5.5, 3, 4))))</f>
        <v/>
      </c>
      <c r="S417" s="147" t="str">
        <f t="shared" ca="1" si="856"/>
        <v/>
      </c>
      <c r="T417" s="147" t="str">
        <f t="shared" ca="1" si="520"/>
        <v>No Data</v>
      </c>
      <c r="U417" s="147">
        <f t="shared" si="848"/>
        <v>1</v>
      </c>
      <c r="V417" s="147"/>
    </row>
    <row r="418" spans="1:22">
      <c r="A418" s="157" t="s">
        <v>629</v>
      </c>
      <c r="B418" s="3" t="s">
        <v>630</v>
      </c>
      <c r="C418" s="160" t="s">
        <v>86</v>
      </c>
      <c r="D418" s="160" t="s">
        <v>879</v>
      </c>
      <c r="E418" s="3" t="s">
        <v>25</v>
      </c>
      <c r="F418" s="3" t="s">
        <v>25</v>
      </c>
      <c r="G418" s="3" t="s">
        <v>25</v>
      </c>
      <c r="H418" s="156" t="str">
        <f ca="1">IFERROR(
  _xludf.MINIFS(ATTENDANCE_LOG!$F:$F,
         ATTENDANCE_LOG!$A:$A, C418,
         ATTENDANCE_LOG!$B:$B, E418),
"")</f>
        <v/>
      </c>
      <c r="I418" s="3">
        <f>IFERROR(VLOOKUP(F418, LEVEL_HELPER!$A:$B, 2, 0), "")</f>
        <v>0.5</v>
      </c>
      <c r="J418" s="3">
        <f>IFERROR(VLOOKUP(G418, LEVEL_HELPER!$A:$B, 2, 0), "")</f>
        <v>0.5</v>
      </c>
      <c r="K418" s="3">
        <f t="shared" ref="K418:L418" si="857">IF(OR(I418="", I418=0), "",
  IF(I418&lt;=2,   1,
  IF(I418&lt;=4,   2,
  IF(I418&lt;=5.5, 3, 4))))</f>
        <v>1</v>
      </c>
      <c r="L418" s="3">
        <f t="shared" si="857"/>
        <v>1</v>
      </c>
      <c r="M418" s="3" t="str">
        <f t="shared" si="516"/>
        <v>No Progress</v>
      </c>
      <c r="N418" s="157" t="s">
        <v>942</v>
      </c>
      <c r="O418" s="157" t="s">
        <v>923</v>
      </c>
      <c r="P418" s="3" t="str">
        <f t="shared" ca="1" si="517"/>
        <v/>
      </c>
      <c r="Q418" s="147" t="str">
        <f t="shared" ca="1" si="518"/>
        <v/>
      </c>
      <c r="R418" s="147" t="str">
        <f t="shared" ref="R418:S418" ca="1" si="858">IF(OR(P418="", P418=0), "",
  IF(P418&lt;=2,   1,
  IF(P418&lt;=4,   2,
  IF(P418&lt;=5.5, 3, 4))))</f>
        <v/>
      </c>
      <c r="S418" s="147" t="str">
        <f t="shared" ca="1" si="858"/>
        <v/>
      </c>
      <c r="T418" s="147" t="str">
        <f t="shared" ca="1" si="520"/>
        <v>No Data</v>
      </c>
      <c r="U418" s="147">
        <f t="shared" si="848"/>
        <v>1</v>
      </c>
      <c r="V418" s="147"/>
    </row>
    <row r="419" spans="1:22">
      <c r="A419" s="157" t="s">
        <v>679</v>
      </c>
      <c r="B419" s="3" t="s">
        <v>680</v>
      </c>
      <c r="C419" s="160" t="s">
        <v>86</v>
      </c>
      <c r="D419" s="160" t="s">
        <v>879</v>
      </c>
      <c r="E419" s="3" t="s">
        <v>25</v>
      </c>
      <c r="F419" s="3" t="s">
        <v>25</v>
      </c>
      <c r="G419" s="3" t="s">
        <v>25</v>
      </c>
      <c r="H419" s="156" t="str">
        <f ca="1">IFERROR(
  _xludf.MINIFS(ATTENDANCE_LOG!$F:$F,
         ATTENDANCE_LOG!$A:$A, C419,
         ATTENDANCE_LOG!$B:$B, E419),
"")</f>
        <v/>
      </c>
      <c r="I419" s="3">
        <f>IFERROR(VLOOKUP(F419, LEVEL_HELPER!$A:$B, 2, 0), "")</f>
        <v>0.5</v>
      </c>
      <c r="J419" s="3">
        <f>IFERROR(VLOOKUP(G419, LEVEL_HELPER!$A:$B, 2, 0), "")</f>
        <v>0.5</v>
      </c>
      <c r="K419" s="3">
        <f t="shared" ref="K419:L419" si="859">IF(OR(I419="", I419=0), "",
  IF(I419&lt;=2,   1,
  IF(I419&lt;=4,   2,
  IF(I419&lt;=5.5, 3, 4))))</f>
        <v>1</v>
      </c>
      <c r="L419" s="3">
        <f t="shared" si="859"/>
        <v>1</v>
      </c>
      <c r="M419" s="3" t="str">
        <f t="shared" si="516"/>
        <v>No Progress</v>
      </c>
      <c r="N419" s="157" t="s">
        <v>942</v>
      </c>
      <c r="O419" s="157" t="s">
        <v>923</v>
      </c>
      <c r="P419" s="3" t="str">
        <f t="shared" ca="1" si="517"/>
        <v/>
      </c>
      <c r="Q419" s="147" t="str">
        <f t="shared" ca="1" si="518"/>
        <v/>
      </c>
      <c r="R419" s="147" t="str">
        <f t="shared" ref="R419:S419" ca="1" si="860">IF(OR(P419="", P419=0), "",
  IF(P419&lt;=2,   1,
  IF(P419&lt;=4,   2,
  IF(P419&lt;=5.5, 3, 4))))</f>
        <v/>
      </c>
      <c r="S419" s="147" t="str">
        <f t="shared" ca="1" si="860"/>
        <v/>
      </c>
      <c r="T419" s="147" t="str">
        <f t="shared" ca="1" si="520"/>
        <v>No Data</v>
      </c>
      <c r="U419" s="147">
        <f t="shared" si="848"/>
        <v>1</v>
      </c>
      <c r="V419" s="147"/>
    </row>
    <row r="420" spans="1:22">
      <c r="A420" s="157" t="s">
        <v>691</v>
      </c>
      <c r="B420" s="3" t="s">
        <v>692</v>
      </c>
      <c r="C420" s="160" t="s">
        <v>86</v>
      </c>
      <c r="D420" s="160" t="s">
        <v>879</v>
      </c>
      <c r="E420" s="3" t="s">
        <v>25</v>
      </c>
      <c r="F420" s="3" t="s">
        <v>25</v>
      </c>
      <c r="G420" s="3" t="s">
        <v>25</v>
      </c>
      <c r="H420" s="156" t="str">
        <f ca="1">IFERROR(
  _xludf.MINIFS(ATTENDANCE_LOG!$F:$F,
         ATTENDANCE_LOG!$A:$A, C420,
         ATTENDANCE_LOG!$B:$B, E420),
"")</f>
        <v/>
      </c>
      <c r="I420" s="3">
        <f>IFERROR(VLOOKUP(F420, LEVEL_HELPER!$A:$B, 2, 0), "")</f>
        <v>0.5</v>
      </c>
      <c r="J420" s="3">
        <f>IFERROR(VLOOKUP(G420, LEVEL_HELPER!$A:$B, 2, 0), "")</f>
        <v>0.5</v>
      </c>
      <c r="K420" s="3">
        <f t="shared" ref="K420:L420" si="861">IF(OR(I420="", I420=0), "",
  IF(I420&lt;=2,   1,
  IF(I420&lt;=4,   2,
  IF(I420&lt;=5.5, 3, 4))))</f>
        <v>1</v>
      </c>
      <c r="L420" s="3">
        <f t="shared" si="861"/>
        <v>1</v>
      </c>
      <c r="M420" s="3" t="str">
        <f t="shared" si="516"/>
        <v>No Progress</v>
      </c>
      <c r="N420" s="157" t="s">
        <v>942</v>
      </c>
      <c r="O420" s="157" t="s">
        <v>923</v>
      </c>
      <c r="P420" s="3" t="str">
        <f t="shared" ca="1" si="517"/>
        <v/>
      </c>
      <c r="Q420" s="147" t="str">
        <f t="shared" ca="1" si="518"/>
        <v/>
      </c>
      <c r="R420" s="147" t="str">
        <f t="shared" ref="R420:S420" ca="1" si="862">IF(OR(P420="", P420=0), "",
  IF(P420&lt;=2,   1,
  IF(P420&lt;=4,   2,
  IF(P420&lt;=5.5, 3, 4))))</f>
        <v/>
      </c>
      <c r="S420" s="147" t="str">
        <f t="shared" ca="1" si="862"/>
        <v/>
      </c>
      <c r="T420" s="147" t="str">
        <f t="shared" ca="1" si="520"/>
        <v>No Data</v>
      </c>
      <c r="U420" s="147">
        <f>IF(COUNTIF($A$2:A432, A420)=1, 1, 0)</f>
        <v>0</v>
      </c>
      <c r="V420" s="147"/>
    </row>
    <row r="421" spans="1:22">
      <c r="A421" s="176" t="s">
        <v>407</v>
      </c>
      <c r="B421" s="154" t="s">
        <v>408</v>
      </c>
      <c r="C421" s="155" t="s">
        <v>86</v>
      </c>
      <c r="D421" s="155" t="s">
        <v>879</v>
      </c>
      <c r="E421" s="154" t="s">
        <v>21</v>
      </c>
      <c r="F421" s="3" t="s">
        <v>926</v>
      </c>
      <c r="G421" s="3" t="s">
        <v>917</v>
      </c>
      <c r="H421" s="156" t="str">
        <f ca="1">IFERROR(
  _xludf.MINIFS(ATTENDANCE_LOG!$F:$F,
         ATTENDANCE_LOG!$A:$A, C421,
         ATTENDANCE_LOG!$B:$B, E421),
"")</f>
        <v/>
      </c>
      <c r="I421" s="3">
        <f>IFERROR(VLOOKUP(F421, LEVEL_HELPER!$A:$B, 2, 0), "")</f>
        <v>1</v>
      </c>
      <c r="J421" s="3">
        <f>IFERROR(VLOOKUP(G421, LEVEL_HELPER!$A:$B, 2, 0), "")</f>
        <v>3</v>
      </c>
      <c r="K421" s="3">
        <f t="shared" ref="K421:L421" si="863">IF(OR(I421="", I421=0), "",
  IF(I421&lt;=2,   1,
  IF(I421&lt;=4,   2,
  IF(I421&lt;=5.5, 3, 4))))</f>
        <v>1</v>
      </c>
      <c r="L421" s="3">
        <f t="shared" si="863"/>
        <v>2</v>
      </c>
      <c r="M421" s="3" t="str">
        <f t="shared" si="516"/>
        <v>Lv1 → Lv2</v>
      </c>
      <c r="N421" s="157" t="s">
        <v>942</v>
      </c>
      <c r="O421" s="157" t="s">
        <v>923</v>
      </c>
      <c r="P421" s="3" t="str">
        <f t="shared" ca="1" si="517"/>
        <v/>
      </c>
      <c r="Q421" s="147" t="str">
        <f t="shared" ca="1" si="518"/>
        <v/>
      </c>
      <c r="R421" s="147" t="str">
        <f t="shared" ref="R421:S421" ca="1" si="864">IF(OR(P421="", P421=0), "",
  IF(P421&lt;=2,   1,
  IF(P421&lt;=4,   2,
  IF(P421&lt;=5.5, 3, 4))))</f>
        <v/>
      </c>
      <c r="S421" s="147" t="str">
        <f t="shared" ca="1" si="864"/>
        <v/>
      </c>
      <c r="T421" s="147" t="str">
        <f t="shared" ca="1" si="520"/>
        <v>No Data</v>
      </c>
      <c r="U421" s="147">
        <f>IF(COUNTIF($A$2:A423, A421)=1, 1, 0)</f>
        <v>0</v>
      </c>
      <c r="V421" s="147"/>
    </row>
    <row r="422" spans="1:22">
      <c r="A422" s="157" t="s">
        <v>277</v>
      </c>
      <c r="B422" s="3" t="s">
        <v>278</v>
      </c>
      <c r="C422" s="160" t="s">
        <v>86</v>
      </c>
      <c r="D422" s="160" t="s">
        <v>879</v>
      </c>
      <c r="E422" s="3" t="s">
        <v>21</v>
      </c>
      <c r="F422" s="3" t="s">
        <v>926</v>
      </c>
      <c r="G422" s="3" t="s">
        <v>928</v>
      </c>
      <c r="H422" s="156" t="str">
        <f ca="1">IFERROR(
  _xludf.MINIFS(ATTENDANCE_LOG!$F:$F,
         ATTENDANCE_LOG!$A:$A, C422,
         ATTENDANCE_LOG!$B:$B, E422),
"")</f>
        <v/>
      </c>
      <c r="I422" s="3">
        <f>IFERROR(VLOOKUP(F422, LEVEL_HELPER!$A:$B, 2, 0), "")</f>
        <v>1</v>
      </c>
      <c r="J422" s="3">
        <f>IFERROR(VLOOKUP(G422, LEVEL_HELPER!$A:$B, 2, 0), "")</f>
        <v>1.5</v>
      </c>
      <c r="K422" s="3">
        <f t="shared" ref="K422:L422" si="865">IF(OR(I422="", I422=0), "",
  IF(I422&lt;=2,   1,
  IF(I422&lt;=4,   2,
  IF(I422&lt;=5.5, 3, 4))))</f>
        <v>1</v>
      </c>
      <c r="L422" s="3">
        <f t="shared" si="865"/>
        <v>1</v>
      </c>
      <c r="M422" s="3" t="str">
        <f t="shared" si="516"/>
        <v>Progress within level</v>
      </c>
      <c r="N422" s="157" t="s">
        <v>942</v>
      </c>
      <c r="O422" s="157" t="s">
        <v>923</v>
      </c>
      <c r="P422" s="3" t="str">
        <f t="shared" ca="1" si="517"/>
        <v/>
      </c>
      <c r="Q422" s="147" t="str">
        <f t="shared" ca="1" si="518"/>
        <v/>
      </c>
      <c r="R422" s="147" t="str">
        <f t="shared" ref="R422:S422" ca="1" si="866">IF(OR(P422="", P422=0), "",
  IF(P422&lt;=2,   1,
  IF(P422&lt;=4,   2,
  IF(P422&lt;=5.5, 3, 4))))</f>
        <v/>
      </c>
      <c r="S422" s="147" t="str">
        <f t="shared" ca="1" si="866"/>
        <v/>
      </c>
      <c r="T422" s="147" t="str">
        <f t="shared" ca="1" si="520"/>
        <v>No Data</v>
      </c>
      <c r="U422" s="147">
        <f t="shared" ref="U422:U440" si="867">IF(COUNTIF($A$2:A422, A422)=1, 1, 0)</f>
        <v>0</v>
      </c>
      <c r="V422" s="147"/>
    </row>
    <row r="423" spans="1:22">
      <c r="A423" s="157" t="s">
        <v>355</v>
      </c>
      <c r="B423" s="3" t="s">
        <v>356</v>
      </c>
      <c r="C423" s="160" t="s">
        <v>86</v>
      </c>
      <c r="D423" s="160" t="s">
        <v>879</v>
      </c>
      <c r="E423" s="3" t="s">
        <v>21</v>
      </c>
      <c r="F423" s="3"/>
      <c r="G423" s="3"/>
      <c r="H423" s="156" t="str">
        <f ca="1">IFERROR(
  _xludf.MINIFS(ATTENDANCE_LOG!$F:$F,
         ATTENDANCE_LOG!$A:$A, C423,
         ATTENDANCE_LOG!$B:$B, E423),
"")</f>
        <v/>
      </c>
      <c r="I423" s="3" t="str">
        <f>IFERROR(VLOOKUP(F423, LEVEL_HELPER!$A:$B, 2, 0), "")</f>
        <v/>
      </c>
      <c r="J423" s="3" t="str">
        <f>IFERROR(VLOOKUP(G423, LEVEL_HELPER!$A:$B, 2, 0), "")</f>
        <v/>
      </c>
      <c r="K423" s="3" t="str">
        <f t="shared" ref="K423:L423" si="868">IF(OR(I423="", I423=0), "",
  IF(I423&lt;=2,   1,
  IF(I423&lt;=4,   2,
  IF(I423&lt;=5.5, 3, 4))))</f>
        <v/>
      </c>
      <c r="L423" s="3" t="str">
        <f t="shared" si="868"/>
        <v/>
      </c>
      <c r="M423" s="3" t="str">
        <f t="shared" si="516"/>
        <v>No Data</v>
      </c>
      <c r="N423" s="157" t="s">
        <v>942</v>
      </c>
      <c r="O423" s="157" t="s">
        <v>923</v>
      </c>
      <c r="P423" s="3" t="str">
        <f t="shared" ca="1" si="517"/>
        <v/>
      </c>
      <c r="Q423" s="147" t="str">
        <f t="shared" ca="1" si="518"/>
        <v/>
      </c>
      <c r="R423" s="147" t="str">
        <f t="shared" ref="R423:S423" ca="1" si="869">IF(OR(P423="", P423=0), "",
  IF(P423&lt;=2,   1,
  IF(P423&lt;=4,   2,
  IF(P423&lt;=5.5, 3, 4))))</f>
        <v/>
      </c>
      <c r="S423" s="147" t="str">
        <f t="shared" ca="1" si="869"/>
        <v/>
      </c>
      <c r="T423" s="147" t="str">
        <f t="shared" ca="1" si="520"/>
        <v>No Data</v>
      </c>
      <c r="U423" s="147">
        <f t="shared" si="867"/>
        <v>0</v>
      </c>
      <c r="V423" s="147"/>
    </row>
    <row r="424" spans="1:22">
      <c r="A424" s="157" t="s">
        <v>429</v>
      </c>
      <c r="B424" s="3" t="s">
        <v>430</v>
      </c>
      <c r="C424" s="160" t="s">
        <v>86</v>
      </c>
      <c r="D424" s="160" t="s">
        <v>879</v>
      </c>
      <c r="E424" s="3" t="s">
        <v>21</v>
      </c>
      <c r="F424" s="3" t="s">
        <v>926</v>
      </c>
      <c r="G424" s="3" t="s">
        <v>917</v>
      </c>
      <c r="H424" s="156" t="str">
        <f ca="1">IFERROR(
  _xludf.MINIFS(ATTENDANCE_LOG!$F:$F,
         ATTENDANCE_LOG!$A:$A, C424,
         ATTENDANCE_LOG!$B:$B, E424),
"")</f>
        <v/>
      </c>
      <c r="I424" s="3">
        <f>IFERROR(VLOOKUP(F424, LEVEL_HELPER!$A:$B, 2, 0), "")</f>
        <v>1</v>
      </c>
      <c r="J424" s="3">
        <f>IFERROR(VLOOKUP(G424, LEVEL_HELPER!$A:$B, 2, 0), "")</f>
        <v>3</v>
      </c>
      <c r="K424" s="3">
        <f t="shared" ref="K424:L424" si="870">IF(OR(I424="", I424=0), "",
  IF(I424&lt;=2,   1,
  IF(I424&lt;=4,   2,
  IF(I424&lt;=5.5, 3, 4))))</f>
        <v>1</v>
      </c>
      <c r="L424" s="3">
        <f t="shared" si="870"/>
        <v>2</v>
      </c>
      <c r="M424" s="3" t="str">
        <f t="shared" si="516"/>
        <v>Lv1 → Lv2</v>
      </c>
      <c r="N424" s="157" t="s">
        <v>943</v>
      </c>
      <c r="O424" s="157" t="s">
        <v>923</v>
      </c>
      <c r="P424" s="3" t="str">
        <f t="shared" ca="1" si="517"/>
        <v/>
      </c>
      <c r="Q424" s="147" t="str">
        <f t="shared" ca="1" si="518"/>
        <v/>
      </c>
      <c r="R424" s="147" t="str">
        <f t="shared" ref="R424:S424" ca="1" si="871">IF(OR(P424="", P424=0), "",
  IF(P424&lt;=2,   1,
  IF(P424&lt;=4,   2,
  IF(P424&lt;=5.5, 3, 4))))</f>
        <v/>
      </c>
      <c r="S424" s="147" t="str">
        <f t="shared" ca="1" si="871"/>
        <v/>
      </c>
      <c r="T424" s="147" t="str">
        <f t="shared" ca="1" si="520"/>
        <v>No Data</v>
      </c>
      <c r="U424" s="147">
        <f t="shared" si="867"/>
        <v>0</v>
      </c>
      <c r="V424" s="147"/>
    </row>
    <row r="425" spans="1:22">
      <c r="A425" s="157" t="s">
        <v>538</v>
      </c>
      <c r="B425" s="3" t="s">
        <v>539</v>
      </c>
      <c r="C425" s="160" t="s">
        <v>86</v>
      </c>
      <c r="D425" s="160" t="s">
        <v>879</v>
      </c>
      <c r="E425" s="3" t="s">
        <v>21</v>
      </c>
      <c r="F425" s="3" t="s">
        <v>926</v>
      </c>
      <c r="G425" s="3" t="s">
        <v>917</v>
      </c>
      <c r="H425" s="156" t="str">
        <f ca="1">IFERROR(
  _xludf.MINIFS(ATTENDANCE_LOG!$F:$F,
         ATTENDANCE_LOG!$A:$A, C425,
         ATTENDANCE_LOG!$B:$B, E425),
"")</f>
        <v/>
      </c>
      <c r="I425" s="3">
        <f>IFERROR(VLOOKUP(F425, LEVEL_HELPER!$A:$B, 2, 0), "")</f>
        <v>1</v>
      </c>
      <c r="J425" s="3">
        <f>IFERROR(VLOOKUP(G425, LEVEL_HELPER!$A:$B, 2, 0), "")</f>
        <v>3</v>
      </c>
      <c r="K425" s="3">
        <f t="shared" ref="K425:L425" si="872">IF(OR(I425="", I425=0), "",
  IF(I425&lt;=2,   1,
  IF(I425&lt;=4,   2,
  IF(I425&lt;=5.5, 3, 4))))</f>
        <v>1</v>
      </c>
      <c r="L425" s="3">
        <f t="shared" si="872"/>
        <v>2</v>
      </c>
      <c r="M425" s="3" t="str">
        <f t="shared" si="516"/>
        <v>Lv1 → Lv2</v>
      </c>
      <c r="N425" s="157" t="s">
        <v>942</v>
      </c>
      <c r="O425" s="157" t="s">
        <v>923</v>
      </c>
      <c r="P425" s="3" t="str">
        <f t="shared" ca="1" si="517"/>
        <v/>
      </c>
      <c r="Q425" s="147" t="str">
        <f t="shared" ca="1" si="518"/>
        <v/>
      </c>
      <c r="R425" s="147" t="str">
        <f t="shared" ref="R425:S425" ca="1" si="873">IF(OR(P425="", P425=0), "",
  IF(P425&lt;=2,   1,
  IF(P425&lt;=4,   2,
  IF(P425&lt;=5.5, 3, 4))))</f>
        <v/>
      </c>
      <c r="S425" s="147" t="str">
        <f t="shared" ca="1" si="873"/>
        <v/>
      </c>
      <c r="T425" s="147" t="str">
        <f t="shared" ca="1" si="520"/>
        <v>No Data</v>
      </c>
      <c r="U425" s="147">
        <f t="shared" si="867"/>
        <v>0</v>
      </c>
      <c r="V425" s="147"/>
    </row>
    <row r="426" spans="1:22">
      <c r="A426" s="157" t="s">
        <v>629</v>
      </c>
      <c r="B426" s="3" t="s">
        <v>630</v>
      </c>
      <c r="C426" s="160" t="s">
        <v>86</v>
      </c>
      <c r="D426" s="160" t="s">
        <v>879</v>
      </c>
      <c r="E426" s="3" t="s">
        <v>21</v>
      </c>
      <c r="F426" s="3"/>
      <c r="G426" s="3"/>
      <c r="H426" s="156" t="str">
        <f ca="1">IFERROR(
  _xludf.MINIFS(ATTENDANCE_LOG!$F:$F,
         ATTENDANCE_LOG!$A:$A, C426,
         ATTENDANCE_LOG!$B:$B, E426),
"")</f>
        <v/>
      </c>
      <c r="I426" s="3" t="str">
        <f>IFERROR(VLOOKUP(F426, LEVEL_HELPER!$A:$B, 2, 0), "")</f>
        <v/>
      </c>
      <c r="J426" s="3" t="str">
        <f>IFERROR(VLOOKUP(G426, LEVEL_HELPER!$A:$B, 2, 0), "")</f>
        <v/>
      </c>
      <c r="K426" s="3" t="str">
        <f t="shared" ref="K426:L426" si="874">IF(OR(I426="", I426=0), "",
  IF(I426&lt;=2,   1,
  IF(I426&lt;=4,   2,
  IF(I426&lt;=5.5, 3, 4))))</f>
        <v/>
      </c>
      <c r="L426" s="3" t="str">
        <f t="shared" si="874"/>
        <v/>
      </c>
      <c r="M426" s="3" t="str">
        <f t="shared" si="516"/>
        <v>No Data</v>
      </c>
      <c r="N426" s="157" t="s">
        <v>942</v>
      </c>
      <c r="O426" s="157" t="s">
        <v>923</v>
      </c>
      <c r="P426" s="3" t="str">
        <f t="shared" ca="1" si="517"/>
        <v/>
      </c>
      <c r="Q426" s="147" t="str">
        <f t="shared" ca="1" si="518"/>
        <v/>
      </c>
      <c r="R426" s="147" t="str">
        <f t="shared" ref="R426:S426" ca="1" si="875">IF(OR(P426="", P426=0), "",
  IF(P426&lt;=2,   1,
  IF(P426&lt;=4,   2,
  IF(P426&lt;=5.5, 3, 4))))</f>
        <v/>
      </c>
      <c r="S426" s="147" t="str">
        <f t="shared" ca="1" si="875"/>
        <v/>
      </c>
      <c r="T426" s="147" t="str">
        <f t="shared" ca="1" si="520"/>
        <v>No Data</v>
      </c>
      <c r="U426" s="147">
        <f t="shared" si="867"/>
        <v>0</v>
      </c>
      <c r="V426" s="147"/>
    </row>
    <row r="427" spans="1:22">
      <c r="A427" s="157" t="s">
        <v>679</v>
      </c>
      <c r="B427" s="3" t="s">
        <v>680</v>
      </c>
      <c r="C427" s="160" t="s">
        <v>86</v>
      </c>
      <c r="D427" s="160" t="s">
        <v>879</v>
      </c>
      <c r="E427" s="3" t="s">
        <v>21</v>
      </c>
      <c r="F427" s="3" t="s">
        <v>926</v>
      </c>
      <c r="G427" s="3" t="s">
        <v>934</v>
      </c>
      <c r="H427" s="156" t="str">
        <f ca="1">IFERROR(
  _xludf.MINIFS(ATTENDANCE_LOG!$F:$F,
         ATTENDANCE_LOG!$A:$A, C427,
         ATTENDANCE_LOG!$B:$B, E427),
"")</f>
        <v/>
      </c>
      <c r="I427" s="3">
        <f>IFERROR(VLOOKUP(F427, LEVEL_HELPER!$A:$B, 2, 0), "")</f>
        <v>1</v>
      </c>
      <c r="J427" s="3">
        <f>IFERROR(VLOOKUP(G427, LEVEL_HELPER!$A:$B, 2, 0), "")</f>
        <v>3.5</v>
      </c>
      <c r="K427" s="3">
        <f t="shared" ref="K427:L427" si="876">IF(OR(I427="", I427=0), "",
  IF(I427&lt;=2,   1,
  IF(I427&lt;=4,   2,
  IF(I427&lt;=5.5, 3, 4))))</f>
        <v>1</v>
      </c>
      <c r="L427" s="3">
        <f t="shared" si="876"/>
        <v>2</v>
      </c>
      <c r="M427" s="3" t="str">
        <f t="shared" si="516"/>
        <v>Lv1 → Lv2</v>
      </c>
      <c r="N427" s="157" t="s">
        <v>942</v>
      </c>
      <c r="O427" s="157" t="s">
        <v>923</v>
      </c>
      <c r="P427" s="3" t="str">
        <f t="shared" ca="1" si="517"/>
        <v/>
      </c>
      <c r="Q427" s="147" t="str">
        <f t="shared" ca="1" si="518"/>
        <v/>
      </c>
      <c r="R427" s="147" t="str">
        <f t="shared" ref="R427:S427" ca="1" si="877">IF(OR(P427="", P427=0), "",
  IF(P427&lt;=2,   1,
  IF(P427&lt;=4,   2,
  IF(P427&lt;=5.5, 3, 4))))</f>
        <v/>
      </c>
      <c r="S427" s="147" t="str">
        <f t="shared" ca="1" si="877"/>
        <v/>
      </c>
      <c r="T427" s="147" t="str">
        <f t="shared" ca="1" si="520"/>
        <v>No Data</v>
      </c>
      <c r="U427" s="147">
        <f t="shared" si="867"/>
        <v>0</v>
      </c>
      <c r="V427" s="147"/>
    </row>
    <row r="428" spans="1:22">
      <c r="A428" s="157" t="s">
        <v>691</v>
      </c>
      <c r="B428" s="3" t="s">
        <v>692</v>
      </c>
      <c r="C428" s="160" t="s">
        <v>86</v>
      </c>
      <c r="D428" s="160" t="s">
        <v>879</v>
      </c>
      <c r="E428" s="3" t="s">
        <v>21</v>
      </c>
      <c r="F428" s="3" t="s">
        <v>926</v>
      </c>
      <c r="G428" s="3" t="s">
        <v>934</v>
      </c>
      <c r="H428" s="156" t="str">
        <f ca="1">IFERROR(
  _xludf.MINIFS(ATTENDANCE_LOG!$F:$F,
         ATTENDANCE_LOG!$A:$A, C428,
         ATTENDANCE_LOG!$B:$B, E428),
"")</f>
        <v/>
      </c>
      <c r="I428" s="3">
        <f>IFERROR(VLOOKUP(F428, LEVEL_HELPER!$A:$B, 2, 0), "")</f>
        <v>1</v>
      </c>
      <c r="J428" s="3">
        <f>IFERROR(VLOOKUP(G428, LEVEL_HELPER!$A:$B, 2, 0), "")</f>
        <v>3.5</v>
      </c>
      <c r="K428" s="3">
        <f t="shared" ref="K428:L428" si="878">IF(OR(I428="", I428=0), "",
  IF(I428&lt;=2,   1,
  IF(I428&lt;=4,   2,
  IF(I428&lt;=5.5, 3, 4))))</f>
        <v>1</v>
      </c>
      <c r="L428" s="3">
        <f t="shared" si="878"/>
        <v>2</v>
      </c>
      <c r="M428" s="3" t="str">
        <f t="shared" si="516"/>
        <v>Lv1 → Lv2</v>
      </c>
      <c r="N428" s="157" t="s">
        <v>942</v>
      </c>
      <c r="O428" s="157" t="s">
        <v>923</v>
      </c>
      <c r="P428" s="3" t="str">
        <f t="shared" ca="1" si="517"/>
        <v/>
      </c>
      <c r="Q428" s="147" t="str">
        <f t="shared" ca="1" si="518"/>
        <v/>
      </c>
      <c r="R428" s="147" t="str">
        <f t="shared" ref="R428:S428" ca="1" si="879">IF(OR(P428="", P428=0), "",
  IF(P428&lt;=2,   1,
  IF(P428&lt;=4,   2,
  IF(P428&lt;=5.5, 3, 4))))</f>
        <v/>
      </c>
      <c r="S428" s="147" t="str">
        <f t="shared" ca="1" si="879"/>
        <v/>
      </c>
      <c r="T428" s="147" t="str">
        <f t="shared" ca="1" si="520"/>
        <v>No Data</v>
      </c>
      <c r="U428" s="147">
        <f t="shared" si="867"/>
        <v>0</v>
      </c>
      <c r="V428" s="147"/>
    </row>
    <row r="429" spans="1:22">
      <c r="A429" s="176" t="s">
        <v>407</v>
      </c>
      <c r="B429" s="154" t="s">
        <v>408</v>
      </c>
      <c r="C429" s="155" t="s">
        <v>86</v>
      </c>
      <c r="D429" s="155" t="s">
        <v>879</v>
      </c>
      <c r="E429" s="154" t="s">
        <v>22</v>
      </c>
      <c r="F429" s="3"/>
      <c r="G429" s="3"/>
      <c r="H429" s="156" t="str">
        <f ca="1">IFERROR(
  _xludf.MINIFS(ATTENDANCE_LOG!$F:$F,
         ATTENDANCE_LOG!$A:$A, C429,
         ATTENDANCE_LOG!$B:$B, E429),
"")</f>
        <v/>
      </c>
      <c r="I429" s="3" t="str">
        <f>IFERROR(VLOOKUP(F429, LEVEL_HELPER!$A:$B, 2, 0), "")</f>
        <v/>
      </c>
      <c r="J429" s="3" t="str">
        <f>IFERROR(VLOOKUP(G429, LEVEL_HELPER!$A:$B, 2, 0), "")</f>
        <v/>
      </c>
      <c r="K429" s="3" t="str">
        <f t="shared" ref="K429:L429" si="880">IF(OR(I429="", I429=0), "",
  IF(I429&lt;=2,   1,
  IF(I429&lt;=4,   2,
  IF(I429&lt;=5.5, 3, 4))))</f>
        <v/>
      </c>
      <c r="L429" s="3" t="str">
        <f t="shared" si="880"/>
        <v/>
      </c>
      <c r="M429" s="3" t="str">
        <f t="shared" si="516"/>
        <v>No Data</v>
      </c>
      <c r="N429" s="157" t="s">
        <v>942</v>
      </c>
      <c r="O429" s="157" t="s">
        <v>923</v>
      </c>
      <c r="P429" s="3" t="str">
        <f t="shared" ca="1" si="517"/>
        <v/>
      </c>
      <c r="Q429" s="147" t="str">
        <f t="shared" ca="1" si="518"/>
        <v/>
      </c>
      <c r="R429" s="147" t="str">
        <f t="shared" ref="R429:S429" ca="1" si="881">IF(OR(P429="", P429=0), "",
  IF(P429&lt;=2,   1,
  IF(P429&lt;=4,   2,
  IF(P429&lt;=5.5, 3, 4))))</f>
        <v/>
      </c>
      <c r="S429" s="147" t="str">
        <f t="shared" ca="1" si="881"/>
        <v/>
      </c>
      <c r="T429" s="147" t="str">
        <f t="shared" ca="1" si="520"/>
        <v>No Data</v>
      </c>
      <c r="U429" s="147">
        <f t="shared" si="867"/>
        <v>0</v>
      </c>
      <c r="V429" s="147"/>
    </row>
    <row r="430" spans="1:22">
      <c r="A430" s="157" t="s">
        <v>429</v>
      </c>
      <c r="B430" s="3" t="s">
        <v>430</v>
      </c>
      <c r="C430" s="160" t="s">
        <v>86</v>
      </c>
      <c r="D430" s="160" t="s">
        <v>879</v>
      </c>
      <c r="E430" s="3" t="s">
        <v>22</v>
      </c>
      <c r="F430" s="3"/>
      <c r="G430" s="3"/>
      <c r="H430" s="156" t="str">
        <f ca="1">IFERROR(
  _xludf.MINIFS(ATTENDANCE_LOG!$F:$F,
         ATTENDANCE_LOG!$A:$A, C430,
         ATTENDANCE_LOG!$B:$B, E430),
"")</f>
        <v/>
      </c>
      <c r="I430" s="3" t="str">
        <f>IFERROR(VLOOKUP(F430, LEVEL_HELPER!$A:$B, 2, 0), "")</f>
        <v/>
      </c>
      <c r="J430" s="3" t="str">
        <f>IFERROR(VLOOKUP(G430, LEVEL_HELPER!$A:$B, 2, 0), "")</f>
        <v/>
      </c>
      <c r="K430" s="3" t="str">
        <f t="shared" ref="K430:L430" si="882">IF(OR(I430="", I430=0), "",
  IF(I430&lt;=2,   1,
  IF(I430&lt;=4,   2,
  IF(I430&lt;=5.5, 3, 4))))</f>
        <v/>
      </c>
      <c r="L430" s="3" t="str">
        <f t="shared" si="882"/>
        <v/>
      </c>
      <c r="M430" s="3" t="str">
        <f t="shared" si="516"/>
        <v>No Data</v>
      </c>
      <c r="N430" s="157" t="s">
        <v>943</v>
      </c>
      <c r="O430" s="157" t="s">
        <v>923</v>
      </c>
      <c r="P430" s="3" t="str">
        <f t="shared" ca="1" si="517"/>
        <v/>
      </c>
      <c r="Q430" s="147" t="str">
        <f t="shared" ca="1" si="518"/>
        <v/>
      </c>
      <c r="R430" s="147" t="str">
        <f t="shared" ref="R430:S430" ca="1" si="883">IF(OR(P430="", P430=0), "",
  IF(P430&lt;=2,   1,
  IF(P430&lt;=4,   2,
  IF(P430&lt;=5.5, 3, 4))))</f>
        <v/>
      </c>
      <c r="S430" s="147" t="str">
        <f t="shared" ca="1" si="883"/>
        <v/>
      </c>
      <c r="T430" s="147" t="str">
        <f t="shared" ca="1" si="520"/>
        <v>No Data</v>
      </c>
      <c r="U430" s="147">
        <f t="shared" si="867"/>
        <v>0</v>
      </c>
      <c r="V430" s="147"/>
    </row>
    <row r="431" spans="1:22">
      <c r="A431" s="157" t="s">
        <v>538</v>
      </c>
      <c r="B431" s="3" t="s">
        <v>539</v>
      </c>
      <c r="C431" s="160" t="s">
        <v>86</v>
      </c>
      <c r="D431" s="160" t="s">
        <v>879</v>
      </c>
      <c r="E431" s="3" t="s">
        <v>22</v>
      </c>
      <c r="F431" s="3"/>
      <c r="G431" s="3"/>
      <c r="H431" s="156" t="str">
        <f ca="1">IFERROR(
  _xludf.MINIFS(ATTENDANCE_LOG!$F:$F,
         ATTENDANCE_LOG!$A:$A, C431,
         ATTENDANCE_LOG!$B:$B, E431),
"")</f>
        <v/>
      </c>
      <c r="I431" s="3" t="str">
        <f>IFERROR(VLOOKUP(F431, LEVEL_HELPER!$A:$B, 2, 0), "")</f>
        <v/>
      </c>
      <c r="J431" s="3" t="str">
        <f>IFERROR(VLOOKUP(G431, LEVEL_HELPER!$A:$B, 2, 0), "")</f>
        <v/>
      </c>
      <c r="K431" s="3" t="str">
        <f t="shared" ref="K431:L431" si="884">IF(OR(I431="", I431=0), "",
  IF(I431&lt;=2,   1,
  IF(I431&lt;=4,   2,
  IF(I431&lt;=5.5, 3, 4))))</f>
        <v/>
      </c>
      <c r="L431" s="3" t="str">
        <f t="shared" si="884"/>
        <v/>
      </c>
      <c r="M431" s="3" t="str">
        <f t="shared" si="516"/>
        <v>No Data</v>
      </c>
      <c r="N431" s="157" t="s">
        <v>942</v>
      </c>
      <c r="O431" s="157" t="s">
        <v>923</v>
      </c>
      <c r="P431" s="3" t="str">
        <f t="shared" ca="1" si="517"/>
        <v/>
      </c>
      <c r="Q431" s="147" t="str">
        <f t="shared" ca="1" si="518"/>
        <v/>
      </c>
      <c r="R431" s="147" t="str">
        <f t="shared" ref="R431:S431" ca="1" si="885">IF(OR(P431="", P431=0), "",
  IF(P431&lt;=2,   1,
  IF(P431&lt;=4,   2,
  IF(P431&lt;=5.5, 3, 4))))</f>
        <v/>
      </c>
      <c r="S431" s="147" t="str">
        <f t="shared" ca="1" si="885"/>
        <v/>
      </c>
      <c r="T431" s="147" t="str">
        <f t="shared" ca="1" si="520"/>
        <v>No Data</v>
      </c>
      <c r="U431" s="147">
        <f t="shared" si="867"/>
        <v>0</v>
      </c>
      <c r="V431" s="147"/>
    </row>
    <row r="432" spans="1:22">
      <c r="A432" s="157" t="s">
        <v>691</v>
      </c>
      <c r="B432" s="3" t="s">
        <v>692</v>
      </c>
      <c r="C432" s="160" t="s">
        <v>86</v>
      </c>
      <c r="D432" s="160" t="s">
        <v>879</v>
      </c>
      <c r="E432" s="3" t="s">
        <v>22</v>
      </c>
      <c r="F432" s="3"/>
      <c r="G432" s="3"/>
      <c r="H432" s="156" t="str">
        <f ca="1">IFERROR(
  _xludf.MINIFS(ATTENDANCE_LOG!$F:$F,
         ATTENDANCE_LOG!$A:$A, C432,
         ATTENDANCE_LOG!$B:$B, E432),
"")</f>
        <v/>
      </c>
      <c r="I432" s="3" t="str">
        <f>IFERROR(VLOOKUP(F432, LEVEL_HELPER!$A:$B, 2, 0), "")</f>
        <v/>
      </c>
      <c r="J432" s="3" t="str">
        <f>IFERROR(VLOOKUP(G432, LEVEL_HELPER!$A:$B, 2, 0), "")</f>
        <v/>
      </c>
      <c r="K432" s="3" t="str">
        <f t="shared" ref="K432:L432" si="886">IF(OR(I432="", I432=0), "",
  IF(I432&lt;=2,   1,
  IF(I432&lt;=4,   2,
  IF(I432&lt;=5.5, 3, 4))))</f>
        <v/>
      </c>
      <c r="L432" s="3" t="str">
        <f t="shared" si="886"/>
        <v/>
      </c>
      <c r="M432" s="3" t="str">
        <f t="shared" si="516"/>
        <v>No Data</v>
      </c>
      <c r="N432" s="157" t="s">
        <v>942</v>
      </c>
      <c r="O432" s="157" t="s">
        <v>923</v>
      </c>
      <c r="P432" s="3" t="str">
        <f t="shared" ca="1" si="517"/>
        <v/>
      </c>
      <c r="Q432" s="147" t="str">
        <f t="shared" ca="1" si="518"/>
        <v/>
      </c>
      <c r="R432" s="147" t="str">
        <f t="shared" ref="R432:S432" ca="1" si="887">IF(OR(P432="", P432=0), "",
  IF(P432&lt;=2,   1,
  IF(P432&lt;=4,   2,
  IF(P432&lt;=5.5, 3, 4))))</f>
        <v/>
      </c>
      <c r="S432" s="147" t="str">
        <f t="shared" ca="1" si="887"/>
        <v/>
      </c>
      <c r="T432" s="147" t="str">
        <f t="shared" ca="1" si="520"/>
        <v>No Data</v>
      </c>
      <c r="U432" s="147">
        <f t="shared" si="867"/>
        <v>0</v>
      </c>
      <c r="V432" s="147"/>
    </row>
    <row r="433" spans="1:22">
      <c r="A433" s="176" t="s">
        <v>383</v>
      </c>
      <c r="B433" s="154" t="s">
        <v>384</v>
      </c>
      <c r="C433" s="155" t="s">
        <v>87</v>
      </c>
      <c r="D433" s="155" t="s">
        <v>880</v>
      </c>
      <c r="E433" s="154" t="s">
        <v>21</v>
      </c>
      <c r="F433" s="154" t="s">
        <v>931</v>
      </c>
      <c r="G433" s="154" t="s">
        <v>937</v>
      </c>
      <c r="H433" s="156" t="str">
        <f ca="1">IFERROR(
  _xludf.MINIFS(ATTENDANCE_LOG!$F:$F,
         ATTENDANCE_LOG!$A:$A, C433,
         ATTENDANCE_LOG!$B:$B, E433),
"")</f>
        <v/>
      </c>
      <c r="I433" s="154">
        <f>IFERROR(VLOOKUP(F433, LEVEL_HELPER!$A:$B, 2, 0), "")</f>
        <v>4.5</v>
      </c>
      <c r="J433" s="154">
        <f>IFERROR(VLOOKUP(G433, LEVEL_HELPER!$A:$B, 2, 0), "")</f>
        <v>5.5</v>
      </c>
      <c r="K433" s="154">
        <f t="shared" ref="K433:L433" si="888">IF(OR(I433="", I433=0), "",
  IF(I433&lt;=2,   1,
  IF(I433&lt;=4,   2,
  IF(I433&lt;=5.5, 3, 4))))</f>
        <v>3</v>
      </c>
      <c r="L433" s="3">
        <f t="shared" si="888"/>
        <v>3</v>
      </c>
      <c r="M433" s="3" t="str">
        <f t="shared" si="516"/>
        <v>Progress within level</v>
      </c>
      <c r="N433" s="176" t="s">
        <v>941</v>
      </c>
      <c r="O433" s="176" t="s">
        <v>925</v>
      </c>
      <c r="P433" s="154" t="str">
        <f t="shared" ca="1" si="517"/>
        <v/>
      </c>
      <c r="Q433" s="177" t="str">
        <f t="shared" ca="1" si="518"/>
        <v/>
      </c>
      <c r="R433" s="177" t="str">
        <f t="shared" ref="R433:S433" ca="1" si="889">IF(OR(P433="", P433=0), "",
  IF(P433&lt;=2,   1,
  IF(P433&lt;=4,   2,
  IF(P433&lt;=5.5, 3, 4))))</f>
        <v/>
      </c>
      <c r="S433" s="177" t="str">
        <f t="shared" ca="1" si="889"/>
        <v/>
      </c>
      <c r="T433" s="177" t="str">
        <f t="shared" ca="1" si="520"/>
        <v>No Data</v>
      </c>
      <c r="U433" s="177">
        <f t="shared" si="867"/>
        <v>0</v>
      </c>
      <c r="V433" s="177"/>
    </row>
    <row r="434" spans="1:22">
      <c r="A434" s="157" t="s">
        <v>389</v>
      </c>
      <c r="B434" s="3" t="s">
        <v>390</v>
      </c>
      <c r="C434" s="160" t="s">
        <v>87</v>
      </c>
      <c r="D434" s="160" t="s">
        <v>880</v>
      </c>
      <c r="E434" s="3" t="s">
        <v>21</v>
      </c>
      <c r="F434" s="3" t="s">
        <v>926</v>
      </c>
      <c r="G434" s="3" t="s">
        <v>917</v>
      </c>
      <c r="H434" s="156" t="str">
        <f ca="1">IFERROR(
  _xludf.MINIFS(ATTENDANCE_LOG!$F:$F,
         ATTENDANCE_LOG!$A:$A, C434,
         ATTENDANCE_LOG!$B:$B, E434),
"")</f>
        <v/>
      </c>
      <c r="I434" s="3">
        <f>IFERROR(VLOOKUP(F434, LEVEL_HELPER!$A:$B, 2, 0), "")</f>
        <v>1</v>
      </c>
      <c r="J434" s="3">
        <f>IFERROR(VLOOKUP(G434, LEVEL_HELPER!$A:$B, 2, 0), "")</f>
        <v>3</v>
      </c>
      <c r="K434" s="3">
        <f t="shared" ref="K434:L434" si="890">IF(OR(I434="", I434=0), "",
  IF(I434&lt;=2,   1,
  IF(I434&lt;=4,   2,
  IF(I434&lt;=5.5, 3, 4))))</f>
        <v>1</v>
      </c>
      <c r="L434" s="3">
        <f t="shared" si="890"/>
        <v>2</v>
      </c>
      <c r="M434" s="3" t="str">
        <f t="shared" si="516"/>
        <v>Lv1 → Lv2</v>
      </c>
      <c r="N434" s="157" t="s">
        <v>946</v>
      </c>
      <c r="O434" s="157" t="s">
        <v>925</v>
      </c>
      <c r="P434" s="3" t="str">
        <f t="shared" ca="1" si="517"/>
        <v/>
      </c>
      <c r="Q434" s="147" t="str">
        <f t="shared" ca="1" si="518"/>
        <v/>
      </c>
      <c r="R434" s="147" t="str">
        <f t="shared" ref="R434:S434" ca="1" si="891">IF(OR(P434="", P434=0), "",
  IF(P434&lt;=2,   1,
  IF(P434&lt;=4,   2,
  IF(P434&lt;=5.5, 3, 4))))</f>
        <v/>
      </c>
      <c r="S434" s="147" t="str">
        <f t="shared" ca="1" si="891"/>
        <v/>
      </c>
      <c r="T434" s="147" t="str">
        <f t="shared" ca="1" si="520"/>
        <v>No Data</v>
      </c>
      <c r="U434" s="147">
        <f t="shared" si="867"/>
        <v>1</v>
      </c>
      <c r="V434" s="147"/>
    </row>
    <row r="435" spans="1:22">
      <c r="A435" s="157" t="s">
        <v>637</v>
      </c>
      <c r="B435" s="3" t="s">
        <v>638</v>
      </c>
      <c r="C435" s="160" t="s">
        <v>87</v>
      </c>
      <c r="D435" s="160" t="s">
        <v>880</v>
      </c>
      <c r="E435" s="3" t="s">
        <v>21</v>
      </c>
      <c r="F435" s="3" t="s">
        <v>926</v>
      </c>
      <c r="G435" s="3" t="s">
        <v>917</v>
      </c>
      <c r="H435" s="156" t="str">
        <f ca="1">IFERROR(
  _xludf.MINIFS(ATTENDANCE_LOG!$F:$F,
         ATTENDANCE_LOG!$A:$A, C435,
         ATTENDANCE_LOG!$B:$B, E435),
"")</f>
        <v/>
      </c>
      <c r="I435" s="3">
        <f>IFERROR(VLOOKUP(F435, LEVEL_HELPER!$A:$B, 2, 0), "")</f>
        <v>1</v>
      </c>
      <c r="J435" s="3">
        <f>IFERROR(VLOOKUP(G435, LEVEL_HELPER!$A:$B, 2, 0), "")</f>
        <v>3</v>
      </c>
      <c r="K435" s="3">
        <f t="shared" ref="K435:L435" si="892">IF(OR(I435="", I435=0), "",
  IF(I435&lt;=2,   1,
  IF(I435&lt;=4,   2,
  IF(I435&lt;=5.5, 3, 4))))</f>
        <v>1</v>
      </c>
      <c r="L435" s="3">
        <f t="shared" si="892"/>
        <v>2</v>
      </c>
      <c r="M435" s="3" t="str">
        <f t="shared" si="516"/>
        <v>Lv1 → Lv2</v>
      </c>
      <c r="N435" s="157" t="s">
        <v>942</v>
      </c>
      <c r="O435" s="157" t="s">
        <v>925</v>
      </c>
      <c r="P435" s="3" t="str">
        <f t="shared" ca="1" si="517"/>
        <v/>
      </c>
      <c r="Q435" s="147" t="str">
        <f t="shared" ca="1" si="518"/>
        <v/>
      </c>
      <c r="R435" s="147" t="str">
        <f t="shared" ref="R435:S435" ca="1" si="893">IF(OR(P435="", P435=0), "",
  IF(P435&lt;=2,   1,
  IF(P435&lt;=4,   2,
  IF(P435&lt;=5.5, 3, 4))))</f>
        <v/>
      </c>
      <c r="S435" s="147" t="str">
        <f t="shared" ca="1" si="893"/>
        <v/>
      </c>
      <c r="T435" s="147" t="str">
        <f t="shared" ca="1" si="520"/>
        <v>No Data</v>
      </c>
      <c r="U435" s="147">
        <f t="shared" si="867"/>
        <v>1</v>
      </c>
      <c r="V435" s="147"/>
    </row>
    <row r="436" spans="1:22">
      <c r="A436" s="157" t="s">
        <v>663</v>
      </c>
      <c r="B436" s="3" t="s">
        <v>664</v>
      </c>
      <c r="C436" s="160" t="s">
        <v>87</v>
      </c>
      <c r="D436" s="160" t="s">
        <v>880</v>
      </c>
      <c r="E436" s="3" t="s">
        <v>21</v>
      </c>
      <c r="F436" s="3" t="s">
        <v>926</v>
      </c>
      <c r="G436" s="3" t="s">
        <v>926</v>
      </c>
      <c r="H436" s="156" t="str">
        <f ca="1">IFERROR(
  _xludf.MINIFS(ATTENDANCE_LOG!$F:$F,
         ATTENDANCE_LOG!$A:$A, C436,
         ATTENDANCE_LOG!$B:$B, E436),
"")</f>
        <v/>
      </c>
      <c r="I436" s="3">
        <f>IFERROR(VLOOKUP(F436, LEVEL_HELPER!$A:$B, 2, 0), "")</f>
        <v>1</v>
      </c>
      <c r="J436" s="3">
        <f>IFERROR(VLOOKUP(G436, LEVEL_HELPER!$A:$B, 2, 0), "")</f>
        <v>1</v>
      </c>
      <c r="K436" s="3">
        <f t="shared" ref="K436:L436" si="894">IF(OR(I436="", I436=0), "",
  IF(I436&lt;=2,   1,
  IF(I436&lt;=4,   2,
  IF(I436&lt;=5.5, 3, 4))))</f>
        <v>1</v>
      </c>
      <c r="L436" s="3">
        <f t="shared" si="894"/>
        <v>1</v>
      </c>
      <c r="M436" s="3" t="str">
        <f t="shared" si="516"/>
        <v>No Progress</v>
      </c>
      <c r="N436" s="157" t="s">
        <v>942</v>
      </c>
      <c r="O436" s="157" t="s">
        <v>925</v>
      </c>
      <c r="P436" s="3" t="str">
        <f t="shared" ca="1" si="517"/>
        <v/>
      </c>
      <c r="Q436" s="147" t="str">
        <f t="shared" ca="1" si="518"/>
        <v/>
      </c>
      <c r="R436" s="147" t="str">
        <f t="shared" ref="R436:S436" ca="1" si="895">IF(OR(P436="", P436=0), "",
  IF(P436&lt;=2,   1,
  IF(P436&lt;=4,   2,
  IF(P436&lt;=5.5, 3, 4))))</f>
        <v/>
      </c>
      <c r="S436" s="147" t="str">
        <f t="shared" ca="1" si="895"/>
        <v/>
      </c>
      <c r="T436" s="147" t="str">
        <f t="shared" ca="1" si="520"/>
        <v>No Data</v>
      </c>
      <c r="U436" s="147">
        <f t="shared" si="867"/>
        <v>1</v>
      </c>
      <c r="V436" s="147"/>
    </row>
    <row r="437" spans="1:22">
      <c r="A437" s="176" t="s">
        <v>383</v>
      </c>
      <c r="B437" s="154" t="s">
        <v>384</v>
      </c>
      <c r="C437" s="155" t="s">
        <v>87</v>
      </c>
      <c r="D437" s="155" t="s">
        <v>880</v>
      </c>
      <c r="E437" s="154" t="s">
        <v>22</v>
      </c>
      <c r="F437" s="154" t="s">
        <v>937</v>
      </c>
      <c r="G437" s="154"/>
      <c r="H437" s="156" t="str">
        <f ca="1">IFERROR(
  _xludf.MINIFS(ATTENDANCE_LOG!$F:$F,
         ATTENDANCE_LOG!$A:$A, C437,
         ATTENDANCE_LOG!$B:$B, E437),
"")</f>
        <v/>
      </c>
      <c r="I437" s="154">
        <f>IFERROR(VLOOKUP(F437, LEVEL_HELPER!$A:$B, 2, 0), "")</f>
        <v>5.5</v>
      </c>
      <c r="J437" s="154" t="str">
        <f>IFERROR(VLOOKUP(G437, LEVEL_HELPER!$A:$B, 2, 0), "")</f>
        <v/>
      </c>
      <c r="K437" s="154">
        <f t="shared" ref="K437:L437" si="896">IF(OR(I437="", I437=0), "",
  IF(I437&lt;=2,   1,
  IF(I437&lt;=4,   2,
  IF(I437&lt;=5.5, 3, 4))))</f>
        <v>3</v>
      </c>
      <c r="L437" s="3" t="str">
        <f t="shared" si="896"/>
        <v/>
      </c>
      <c r="M437" s="3" t="str">
        <f t="shared" si="516"/>
        <v>No Data</v>
      </c>
      <c r="N437" s="176" t="s">
        <v>941</v>
      </c>
      <c r="O437" s="176" t="s">
        <v>925</v>
      </c>
      <c r="P437" s="154" t="str">
        <f t="shared" ca="1" si="517"/>
        <v/>
      </c>
      <c r="Q437" s="177" t="str">
        <f t="shared" ca="1" si="518"/>
        <v/>
      </c>
      <c r="R437" s="177" t="str">
        <f t="shared" ref="R437:S437" ca="1" si="897">IF(OR(P437="", P437=0), "",
  IF(P437&lt;=2,   1,
  IF(P437&lt;=4,   2,
  IF(P437&lt;=5.5, 3, 4))))</f>
        <v/>
      </c>
      <c r="S437" s="177" t="str">
        <f t="shared" ca="1" si="897"/>
        <v/>
      </c>
      <c r="T437" s="177" t="str">
        <f t="shared" ca="1" si="520"/>
        <v>No Data</v>
      </c>
      <c r="U437" s="177">
        <f t="shared" si="867"/>
        <v>0</v>
      </c>
      <c r="V437" s="177"/>
    </row>
    <row r="438" spans="1:22">
      <c r="A438" s="157" t="s">
        <v>389</v>
      </c>
      <c r="B438" s="3" t="s">
        <v>390</v>
      </c>
      <c r="C438" s="160" t="s">
        <v>87</v>
      </c>
      <c r="D438" s="160" t="s">
        <v>880</v>
      </c>
      <c r="E438" s="3" t="s">
        <v>22</v>
      </c>
      <c r="F438" s="3" t="s">
        <v>917</v>
      </c>
      <c r="G438" s="3"/>
      <c r="H438" s="156" t="str">
        <f ca="1">IFERROR(
  _xludf.MINIFS(ATTENDANCE_LOG!$F:$F,
         ATTENDANCE_LOG!$A:$A, C438,
         ATTENDANCE_LOG!$B:$B, E438),
"")</f>
        <v/>
      </c>
      <c r="I438" s="3">
        <f>IFERROR(VLOOKUP(F438, LEVEL_HELPER!$A:$B, 2, 0), "")</f>
        <v>3</v>
      </c>
      <c r="J438" s="3" t="str">
        <f>IFERROR(VLOOKUP(G438, LEVEL_HELPER!$A:$B, 2, 0), "")</f>
        <v/>
      </c>
      <c r="K438" s="3">
        <f t="shared" ref="K438:L438" si="898">IF(OR(I438="", I438=0), "",
  IF(I438&lt;=2,   1,
  IF(I438&lt;=4,   2,
  IF(I438&lt;=5.5, 3, 4))))</f>
        <v>2</v>
      </c>
      <c r="L438" s="3" t="str">
        <f t="shared" si="898"/>
        <v/>
      </c>
      <c r="M438" s="3" t="str">
        <f t="shared" si="516"/>
        <v>No Data</v>
      </c>
      <c r="N438" s="157" t="s">
        <v>946</v>
      </c>
      <c r="O438" s="157" t="s">
        <v>925</v>
      </c>
      <c r="P438" s="3" t="str">
        <f t="shared" ca="1" si="517"/>
        <v/>
      </c>
      <c r="Q438" s="147" t="str">
        <f t="shared" ca="1" si="518"/>
        <v/>
      </c>
      <c r="R438" s="147" t="str">
        <f t="shared" ref="R438:S438" ca="1" si="899">IF(OR(P438="", P438=0), "",
  IF(P438&lt;=2,   1,
  IF(P438&lt;=4,   2,
  IF(P438&lt;=5.5, 3, 4))))</f>
        <v/>
      </c>
      <c r="S438" s="147" t="str">
        <f t="shared" ca="1" si="899"/>
        <v/>
      </c>
      <c r="T438" s="147" t="str">
        <f t="shared" ca="1" si="520"/>
        <v>No Data</v>
      </c>
      <c r="U438" s="147">
        <f t="shared" si="867"/>
        <v>0</v>
      </c>
      <c r="V438" s="147"/>
    </row>
    <row r="439" spans="1:22">
      <c r="A439" s="157" t="s">
        <v>637</v>
      </c>
      <c r="B439" s="3" t="s">
        <v>638</v>
      </c>
      <c r="C439" s="160" t="s">
        <v>87</v>
      </c>
      <c r="D439" s="160" t="s">
        <v>880</v>
      </c>
      <c r="E439" s="3" t="s">
        <v>22</v>
      </c>
      <c r="F439" s="3" t="s">
        <v>917</v>
      </c>
      <c r="G439" s="3"/>
      <c r="H439" s="156" t="str">
        <f ca="1">IFERROR(
  _xludf.MINIFS(ATTENDANCE_LOG!$F:$F,
         ATTENDANCE_LOG!$A:$A, C439,
         ATTENDANCE_LOG!$B:$B, E439),
"")</f>
        <v/>
      </c>
      <c r="I439" s="3">
        <f>IFERROR(VLOOKUP(F439, LEVEL_HELPER!$A:$B, 2, 0), "")</f>
        <v>3</v>
      </c>
      <c r="J439" s="3" t="str">
        <f>IFERROR(VLOOKUP(G439, LEVEL_HELPER!$A:$B, 2, 0), "")</f>
        <v/>
      </c>
      <c r="K439" s="3">
        <f t="shared" ref="K439:L439" si="900">IF(OR(I439="", I439=0), "",
  IF(I439&lt;=2,   1,
  IF(I439&lt;=4,   2,
  IF(I439&lt;=5.5, 3, 4))))</f>
        <v>2</v>
      </c>
      <c r="L439" s="3" t="str">
        <f t="shared" si="900"/>
        <v/>
      </c>
      <c r="M439" s="3" t="str">
        <f t="shared" si="516"/>
        <v>No Data</v>
      </c>
      <c r="N439" s="157" t="s">
        <v>942</v>
      </c>
      <c r="O439" s="157" t="s">
        <v>925</v>
      </c>
      <c r="P439" s="3" t="str">
        <f t="shared" ca="1" si="517"/>
        <v/>
      </c>
      <c r="Q439" s="147" t="str">
        <f t="shared" ca="1" si="518"/>
        <v/>
      </c>
      <c r="R439" s="147" t="str">
        <f t="shared" ref="R439:S439" ca="1" si="901">IF(OR(P439="", P439=0), "",
  IF(P439&lt;=2,   1,
  IF(P439&lt;=4,   2,
  IF(P439&lt;=5.5, 3, 4))))</f>
        <v/>
      </c>
      <c r="S439" s="147" t="str">
        <f t="shared" ca="1" si="901"/>
        <v/>
      </c>
      <c r="T439" s="147" t="str">
        <f t="shared" ca="1" si="520"/>
        <v>No Data</v>
      </c>
      <c r="U439" s="147">
        <f t="shared" si="867"/>
        <v>0</v>
      </c>
      <c r="V439" s="147"/>
    </row>
    <row r="440" spans="1:22">
      <c r="A440" s="157" t="s">
        <v>663</v>
      </c>
      <c r="B440" s="3" t="s">
        <v>664</v>
      </c>
      <c r="C440" s="160" t="s">
        <v>87</v>
      </c>
      <c r="D440" s="160" t="s">
        <v>880</v>
      </c>
      <c r="E440" s="3" t="s">
        <v>22</v>
      </c>
      <c r="F440" s="3" t="s">
        <v>926</v>
      </c>
      <c r="G440" s="3"/>
      <c r="H440" s="156" t="str">
        <f ca="1">IFERROR(
  _xludf.MINIFS(ATTENDANCE_LOG!$F:$F,
         ATTENDANCE_LOG!$A:$A, C440,
         ATTENDANCE_LOG!$B:$B, E440),
"")</f>
        <v/>
      </c>
      <c r="I440" s="3">
        <f>IFERROR(VLOOKUP(F440, LEVEL_HELPER!$A:$B, 2, 0), "")</f>
        <v>1</v>
      </c>
      <c r="J440" s="3" t="str">
        <f>IFERROR(VLOOKUP(G440, LEVEL_HELPER!$A:$B, 2, 0), "")</f>
        <v/>
      </c>
      <c r="K440" s="3">
        <f t="shared" ref="K440:L440" si="902">IF(OR(I440="", I440=0), "",
  IF(I440&lt;=2,   1,
  IF(I440&lt;=4,   2,
  IF(I440&lt;=5.5, 3, 4))))</f>
        <v>1</v>
      </c>
      <c r="L440" s="3" t="str">
        <f t="shared" si="902"/>
        <v/>
      </c>
      <c r="M440" s="3" t="str">
        <f t="shared" si="516"/>
        <v>No Data</v>
      </c>
      <c r="N440" s="157" t="s">
        <v>942</v>
      </c>
      <c r="O440" s="157" t="s">
        <v>925</v>
      </c>
      <c r="P440" s="3" t="str">
        <f t="shared" ca="1" si="517"/>
        <v/>
      </c>
      <c r="Q440" s="147" t="str">
        <f t="shared" ca="1" si="518"/>
        <v/>
      </c>
      <c r="R440" s="147" t="str">
        <f t="shared" ref="R440:S440" ca="1" si="903">IF(OR(P440="", P440=0), "",
  IF(P440&lt;=2,   1,
  IF(P440&lt;=4,   2,
  IF(P440&lt;=5.5, 3, 4))))</f>
        <v/>
      </c>
      <c r="S440" s="147" t="str">
        <f t="shared" ca="1" si="903"/>
        <v/>
      </c>
      <c r="T440" s="147" t="str">
        <f t="shared" ca="1" si="520"/>
        <v>No Data</v>
      </c>
      <c r="U440" s="147">
        <f t="shared" si="867"/>
        <v>0</v>
      </c>
      <c r="V440" s="147"/>
    </row>
    <row r="441" spans="1:22">
      <c r="A441" s="176" t="s">
        <v>440</v>
      </c>
      <c r="B441" s="154" t="s">
        <v>441</v>
      </c>
      <c r="C441" s="155" t="s">
        <v>88</v>
      </c>
      <c r="D441" s="155" t="s">
        <v>881</v>
      </c>
      <c r="E441" s="154" t="s">
        <v>21</v>
      </c>
      <c r="F441" s="154" t="s">
        <v>926</v>
      </c>
      <c r="G441" s="154" t="s">
        <v>928</v>
      </c>
      <c r="H441" s="156" t="str">
        <f ca="1">IFERROR(
  _xludf.MINIFS(ATTENDANCE_LOG!$F:$F,
         ATTENDANCE_LOG!$A:$A, C441,
         ATTENDANCE_LOG!$B:$B, E441),
"")</f>
        <v/>
      </c>
      <c r="I441" s="154">
        <f>IFERROR(VLOOKUP(F441, LEVEL_HELPER!$A:$B, 2, 0), "")</f>
        <v>1</v>
      </c>
      <c r="J441" s="154">
        <f>IFERROR(VLOOKUP(G441, LEVEL_HELPER!$A:$B, 2, 0), "")</f>
        <v>1.5</v>
      </c>
      <c r="K441" s="154">
        <f t="shared" ref="K441:L441" si="904">IF(OR(I441="", I441=0), "",
  IF(I441&lt;=2,   1,
  IF(I441&lt;=4,   2,
  IF(I441&lt;=5.5, 3, 4))))</f>
        <v>1</v>
      </c>
      <c r="L441" s="3">
        <f t="shared" si="904"/>
        <v>1</v>
      </c>
      <c r="M441" s="3" t="str">
        <f t="shared" si="516"/>
        <v>Progress within level</v>
      </c>
      <c r="N441" s="176" t="s">
        <v>942</v>
      </c>
      <c r="O441" s="176" t="s">
        <v>922</v>
      </c>
      <c r="P441" s="154" t="str">
        <f t="shared" ca="1" si="517"/>
        <v/>
      </c>
      <c r="Q441" s="177" t="str">
        <f t="shared" ca="1" si="518"/>
        <v/>
      </c>
      <c r="R441" s="177" t="str">
        <f t="shared" ref="R441:S441" ca="1" si="905">IF(OR(P441="", P441=0), "",
  IF(P441&lt;=2,   1,
  IF(P441&lt;=4,   2,
  IF(P441&lt;=5.5, 3, 4))))</f>
        <v/>
      </c>
      <c r="S441" s="177" t="str">
        <f t="shared" ca="1" si="905"/>
        <v/>
      </c>
      <c r="T441" s="177" t="str">
        <f t="shared" ca="1" si="520"/>
        <v>No Data</v>
      </c>
      <c r="U441" s="177">
        <f>IF(COUNTIF($A$2:A443, A441)=1, 1, 0)</f>
        <v>0</v>
      </c>
      <c r="V441" s="177"/>
    </row>
    <row r="442" spans="1:22">
      <c r="A442" s="157" t="s">
        <v>325</v>
      </c>
      <c r="B442" s="3" t="s">
        <v>326</v>
      </c>
      <c r="C442" s="160" t="s">
        <v>88</v>
      </c>
      <c r="D442" s="160" t="s">
        <v>881</v>
      </c>
      <c r="E442" s="3" t="s">
        <v>21</v>
      </c>
      <c r="F442" s="3" t="s">
        <v>926</v>
      </c>
      <c r="G442" s="3" t="s">
        <v>934</v>
      </c>
      <c r="H442" s="156" t="str">
        <f ca="1">IFERROR(
  _xludf.MINIFS(ATTENDANCE_LOG!$F:$F,
         ATTENDANCE_LOG!$A:$A, C442,
         ATTENDANCE_LOG!$B:$B, E442),
"")</f>
        <v/>
      </c>
      <c r="I442" s="3">
        <f>IFERROR(VLOOKUP(F442, LEVEL_HELPER!$A:$B, 2, 0), "")</f>
        <v>1</v>
      </c>
      <c r="J442" s="3">
        <f>IFERROR(VLOOKUP(G442, LEVEL_HELPER!$A:$B, 2, 0), "")</f>
        <v>3.5</v>
      </c>
      <c r="K442" s="3">
        <f t="shared" ref="K442:L442" si="906">IF(OR(I442="", I442=0), "",
  IF(I442&lt;=2,   1,
  IF(I442&lt;=4,   2,
  IF(I442&lt;=5.5, 3, 4))))</f>
        <v>1</v>
      </c>
      <c r="L442" s="3">
        <f t="shared" si="906"/>
        <v>2</v>
      </c>
      <c r="M442" s="3" t="str">
        <f t="shared" si="516"/>
        <v>Lv1 → Lv2</v>
      </c>
      <c r="N442" s="157" t="s">
        <v>944</v>
      </c>
      <c r="O442" s="157" t="s">
        <v>921</v>
      </c>
      <c r="P442" s="3" t="str">
        <f t="shared" ca="1" si="517"/>
        <v/>
      </c>
      <c r="Q442" s="147" t="str">
        <f t="shared" ca="1" si="518"/>
        <v/>
      </c>
      <c r="R442" s="147" t="str">
        <f t="shared" ref="R442:S442" ca="1" si="907">IF(OR(P442="", P442=0), "",
  IF(P442&lt;=2,   1,
  IF(P442&lt;=4,   2,
  IF(P442&lt;=5.5, 3, 4))))</f>
        <v/>
      </c>
      <c r="S442" s="147" t="str">
        <f t="shared" ca="1" si="907"/>
        <v/>
      </c>
      <c r="T442" s="147" t="str">
        <f t="shared" ca="1" si="520"/>
        <v>No Data</v>
      </c>
      <c r="U442" s="147">
        <f t="shared" ref="U442:U448" si="908">IF(COUNTIF($A$2:A442, A442)=1, 1, 0)</f>
        <v>0</v>
      </c>
      <c r="V442" s="147"/>
    </row>
    <row r="443" spans="1:22">
      <c r="A443" s="157" t="s">
        <v>419</v>
      </c>
      <c r="B443" s="3" t="s">
        <v>420</v>
      </c>
      <c r="C443" s="160" t="s">
        <v>88</v>
      </c>
      <c r="D443" s="160" t="s">
        <v>881</v>
      </c>
      <c r="E443" s="3" t="s">
        <v>21</v>
      </c>
      <c r="F443" s="3" t="s">
        <v>926</v>
      </c>
      <c r="G443" s="3"/>
      <c r="H443" s="156" t="str">
        <f ca="1">IFERROR(
  _xludf.MINIFS(ATTENDANCE_LOG!$F:$F,
         ATTENDANCE_LOG!$A:$A, C443,
         ATTENDANCE_LOG!$B:$B, E443),
"")</f>
        <v/>
      </c>
      <c r="I443" s="3">
        <f>IFERROR(VLOOKUP(F443, LEVEL_HELPER!$A:$B, 2, 0), "")</f>
        <v>1</v>
      </c>
      <c r="J443" s="3" t="str">
        <f>IFERROR(VLOOKUP(G443, LEVEL_HELPER!$A:$B, 2, 0), "")</f>
        <v/>
      </c>
      <c r="K443" s="3">
        <f t="shared" ref="K443:L443" si="909">IF(OR(I443="", I443=0), "",
  IF(I443&lt;=2,   1,
  IF(I443&lt;=4,   2,
  IF(I443&lt;=5.5, 3, 4))))</f>
        <v>1</v>
      </c>
      <c r="L443" s="3" t="str">
        <f t="shared" si="909"/>
        <v/>
      </c>
      <c r="M443" s="3" t="str">
        <f t="shared" si="516"/>
        <v>No Data</v>
      </c>
      <c r="N443" s="157" t="s">
        <v>942</v>
      </c>
      <c r="O443" s="157" t="s">
        <v>922</v>
      </c>
      <c r="P443" s="3" t="str">
        <f t="shared" ca="1" si="517"/>
        <v/>
      </c>
      <c r="Q443" s="147" t="str">
        <f t="shared" ca="1" si="518"/>
        <v/>
      </c>
      <c r="R443" s="147" t="str">
        <f t="shared" ref="R443:S443" ca="1" si="910">IF(OR(P443="", P443=0), "",
  IF(P443&lt;=2,   1,
  IF(P443&lt;=4,   2,
  IF(P443&lt;=5.5, 3, 4))))</f>
        <v/>
      </c>
      <c r="S443" s="147" t="str">
        <f t="shared" ca="1" si="910"/>
        <v/>
      </c>
      <c r="T443" s="147" t="str">
        <f t="shared" ca="1" si="520"/>
        <v>No Data</v>
      </c>
      <c r="U443" s="147">
        <f t="shared" si="908"/>
        <v>0</v>
      </c>
      <c r="V443" s="147"/>
    </row>
    <row r="444" spans="1:22">
      <c r="A444" s="157" t="s">
        <v>461</v>
      </c>
      <c r="B444" s="3" t="s">
        <v>462</v>
      </c>
      <c r="C444" s="160" t="s">
        <v>88</v>
      </c>
      <c r="D444" s="160" t="s">
        <v>881</v>
      </c>
      <c r="E444" s="3" t="s">
        <v>21</v>
      </c>
      <c r="F444" s="3" t="s">
        <v>926</v>
      </c>
      <c r="G444" s="3" t="s">
        <v>934</v>
      </c>
      <c r="H444" s="156" t="str">
        <f ca="1">IFERROR(
  _xludf.MINIFS(ATTENDANCE_LOG!$F:$F,
         ATTENDANCE_LOG!$A:$A, C444,
         ATTENDANCE_LOG!$B:$B, E444),
"")</f>
        <v/>
      </c>
      <c r="I444" s="3">
        <f>IFERROR(VLOOKUP(F444, LEVEL_HELPER!$A:$B, 2, 0), "")</f>
        <v>1</v>
      </c>
      <c r="J444" s="3">
        <f>IFERROR(VLOOKUP(G444, LEVEL_HELPER!$A:$B, 2, 0), "")</f>
        <v>3.5</v>
      </c>
      <c r="K444" s="3">
        <f t="shared" ref="K444:L444" si="911">IF(OR(I444="", I444=0), "",
  IF(I444&lt;=2,   1,
  IF(I444&lt;=4,   2,
  IF(I444&lt;=5.5, 3, 4))))</f>
        <v>1</v>
      </c>
      <c r="L444" s="3">
        <f t="shared" si="911"/>
        <v>2</v>
      </c>
      <c r="M444" s="3" t="str">
        <f t="shared" si="516"/>
        <v>Lv1 → Lv2</v>
      </c>
      <c r="N444" s="157" t="s">
        <v>918</v>
      </c>
      <c r="O444" s="157" t="s">
        <v>922</v>
      </c>
      <c r="P444" s="3" t="str">
        <f t="shared" ca="1" si="517"/>
        <v/>
      </c>
      <c r="Q444" s="147" t="str">
        <f t="shared" ca="1" si="518"/>
        <v/>
      </c>
      <c r="R444" s="147" t="str">
        <f t="shared" ref="R444:S444" ca="1" si="912">IF(OR(P444="", P444=0), "",
  IF(P444&lt;=2,   1,
  IF(P444&lt;=4,   2,
  IF(P444&lt;=5.5, 3, 4))))</f>
        <v/>
      </c>
      <c r="S444" s="147" t="str">
        <f t="shared" ca="1" si="912"/>
        <v/>
      </c>
      <c r="T444" s="147" t="str">
        <f t="shared" ca="1" si="520"/>
        <v>No Data</v>
      </c>
      <c r="U444" s="147">
        <f t="shared" si="908"/>
        <v>0</v>
      </c>
      <c r="V444" s="147"/>
    </row>
    <row r="445" spans="1:22">
      <c r="A445" s="157" t="s">
        <v>669</v>
      </c>
      <c r="B445" s="3" t="s">
        <v>670</v>
      </c>
      <c r="C445" s="160" t="s">
        <v>88</v>
      </c>
      <c r="D445" s="160" t="s">
        <v>881</v>
      </c>
      <c r="E445" s="3" t="s">
        <v>21</v>
      </c>
      <c r="F445" s="3" t="s">
        <v>916</v>
      </c>
      <c r="G445" s="3"/>
      <c r="H445" s="156" t="str">
        <f ca="1">IFERROR(
  _xludf.MINIFS(ATTENDANCE_LOG!$F:$F,
         ATTENDANCE_LOG!$A:$A, C445,
         ATTENDANCE_LOG!$B:$B, E445),
"")</f>
        <v/>
      </c>
      <c r="I445" s="3">
        <f>IFERROR(VLOOKUP(F445, LEVEL_HELPER!$A:$B, 2, 0), "")</f>
        <v>2.5</v>
      </c>
      <c r="J445" s="3" t="str">
        <f>IFERROR(VLOOKUP(G445, LEVEL_HELPER!$A:$B, 2, 0), "")</f>
        <v/>
      </c>
      <c r="K445" s="3">
        <f t="shared" ref="K445:L445" si="913">IF(OR(I445="", I445=0), "",
  IF(I445&lt;=2,   1,
  IF(I445&lt;=4,   2,
  IF(I445&lt;=5.5, 3, 4))))</f>
        <v>2</v>
      </c>
      <c r="L445" s="3" t="str">
        <f t="shared" si="913"/>
        <v/>
      </c>
      <c r="M445" s="3" t="str">
        <f t="shared" si="516"/>
        <v>No Data</v>
      </c>
      <c r="N445" s="157" t="s">
        <v>954</v>
      </c>
      <c r="O445" s="157" t="s">
        <v>924</v>
      </c>
      <c r="P445" s="3" t="str">
        <f t="shared" ca="1" si="517"/>
        <v/>
      </c>
      <c r="Q445" s="147" t="str">
        <f t="shared" ca="1" si="518"/>
        <v/>
      </c>
      <c r="R445" s="147" t="str">
        <f t="shared" ref="R445:S445" ca="1" si="914">IF(OR(P445="", P445=0), "",
  IF(P445&lt;=2,   1,
  IF(P445&lt;=4,   2,
  IF(P445&lt;=5.5, 3, 4))))</f>
        <v/>
      </c>
      <c r="S445" s="147" t="str">
        <f t="shared" ca="1" si="914"/>
        <v/>
      </c>
      <c r="T445" s="147" t="str">
        <f t="shared" ca="1" si="520"/>
        <v>No Data</v>
      </c>
      <c r="U445" s="147">
        <f t="shared" si="908"/>
        <v>1</v>
      </c>
      <c r="V445" s="147"/>
    </row>
    <row r="446" spans="1:22">
      <c r="A446" s="157" t="s">
        <v>681</v>
      </c>
      <c r="B446" s="3" t="s">
        <v>682</v>
      </c>
      <c r="C446" s="160" t="s">
        <v>88</v>
      </c>
      <c r="D446" s="160" t="s">
        <v>881</v>
      </c>
      <c r="E446" s="3" t="s">
        <v>21</v>
      </c>
      <c r="F446" s="3" t="s">
        <v>926</v>
      </c>
      <c r="G446" s="3" t="s">
        <v>917</v>
      </c>
      <c r="H446" s="156" t="str">
        <f ca="1">IFERROR(
  _xludf.MINIFS(ATTENDANCE_LOG!$F:$F,
         ATTENDANCE_LOG!$A:$A, C446,
         ATTENDANCE_LOG!$B:$B, E446),
"")</f>
        <v/>
      </c>
      <c r="I446" s="3">
        <f>IFERROR(VLOOKUP(F446, LEVEL_HELPER!$A:$B, 2, 0), "")</f>
        <v>1</v>
      </c>
      <c r="J446" s="3">
        <f>IFERROR(VLOOKUP(G446, LEVEL_HELPER!$A:$B, 2, 0), "")</f>
        <v>3</v>
      </c>
      <c r="K446" s="3">
        <f t="shared" ref="K446:L446" si="915">IF(OR(I446="", I446=0), "",
  IF(I446&lt;=2,   1,
  IF(I446&lt;=4,   2,
  IF(I446&lt;=5.5, 3, 4))))</f>
        <v>1</v>
      </c>
      <c r="L446" s="3">
        <f t="shared" si="915"/>
        <v>2</v>
      </c>
      <c r="M446" s="3" t="str">
        <f t="shared" si="516"/>
        <v>Lv1 → Lv2</v>
      </c>
      <c r="N446" s="157" t="s">
        <v>942</v>
      </c>
      <c r="O446" s="157" t="s">
        <v>923</v>
      </c>
      <c r="P446" s="3" t="str">
        <f t="shared" ca="1" si="517"/>
        <v/>
      </c>
      <c r="Q446" s="147" t="str">
        <f t="shared" ca="1" si="518"/>
        <v/>
      </c>
      <c r="R446" s="147" t="str">
        <f t="shared" ref="R446:S446" ca="1" si="916">IF(OR(P446="", P446=0), "",
  IF(P446&lt;=2,   1,
  IF(P446&lt;=4,   2,
  IF(P446&lt;=5.5, 3, 4))))</f>
        <v/>
      </c>
      <c r="S446" s="147" t="str">
        <f t="shared" ca="1" si="916"/>
        <v/>
      </c>
      <c r="T446" s="147" t="str">
        <f t="shared" ca="1" si="520"/>
        <v>No Data</v>
      </c>
      <c r="U446" s="147">
        <f t="shared" si="908"/>
        <v>0</v>
      </c>
      <c r="V446" s="147"/>
    </row>
    <row r="447" spans="1:22">
      <c r="A447" s="157" t="s">
        <v>685</v>
      </c>
      <c r="B447" s="3" t="s">
        <v>686</v>
      </c>
      <c r="C447" s="160" t="s">
        <v>88</v>
      </c>
      <c r="D447" s="160" t="s">
        <v>881</v>
      </c>
      <c r="E447" s="3" t="s">
        <v>21</v>
      </c>
      <c r="F447" s="3" t="s">
        <v>926</v>
      </c>
      <c r="G447" s="3" t="s">
        <v>928</v>
      </c>
      <c r="H447" s="156" t="str">
        <f ca="1">IFERROR(
  _xludf.MINIFS(ATTENDANCE_LOG!$F:$F,
         ATTENDANCE_LOG!$A:$A, C447,
         ATTENDANCE_LOG!$B:$B, E447),
"")</f>
        <v/>
      </c>
      <c r="I447" s="3">
        <f>IFERROR(VLOOKUP(F447, LEVEL_HELPER!$A:$B, 2, 0), "")</f>
        <v>1</v>
      </c>
      <c r="J447" s="3">
        <f>IFERROR(VLOOKUP(G447, LEVEL_HELPER!$A:$B, 2, 0), "")</f>
        <v>1.5</v>
      </c>
      <c r="K447" s="3">
        <f t="shared" ref="K447:L447" si="917">IF(OR(I447="", I447=0), "",
  IF(I447&lt;=2,   1,
  IF(I447&lt;=4,   2,
  IF(I447&lt;=5.5, 3, 4))))</f>
        <v>1</v>
      </c>
      <c r="L447" s="3">
        <f t="shared" si="917"/>
        <v>1</v>
      </c>
      <c r="M447" s="3" t="str">
        <f t="shared" si="516"/>
        <v>Progress within level</v>
      </c>
      <c r="N447" s="157" t="s">
        <v>942</v>
      </c>
      <c r="O447" s="157" t="s">
        <v>922</v>
      </c>
      <c r="P447" s="3" t="str">
        <f t="shared" ca="1" si="517"/>
        <v/>
      </c>
      <c r="Q447" s="147" t="str">
        <f t="shared" ca="1" si="518"/>
        <v/>
      </c>
      <c r="R447" s="147" t="str">
        <f t="shared" ref="R447:S447" ca="1" si="918">IF(OR(P447="", P447=0), "",
  IF(P447&lt;=2,   1,
  IF(P447&lt;=4,   2,
  IF(P447&lt;=5.5, 3, 4))))</f>
        <v/>
      </c>
      <c r="S447" s="147" t="str">
        <f t="shared" ca="1" si="918"/>
        <v/>
      </c>
      <c r="T447" s="147" t="str">
        <f t="shared" ca="1" si="520"/>
        <v>No Data</v>
      </c>
      <c r="U447" s="147">
        <f t="shared" si="908"/>
        <v>0</v>
      </c>
      <c r="V447" s="147"/>
    </row>
    <row r="448" spans="1:22">
      <c r="A448" s="157" t="s">
        <v>709</v>
      </c>
      <c r="B448" s="3" t="s">
        <v>710</v>
      </c>
      <c r="C448" s="160" t="s">
        <v>88</v>
      </c>
      <c r="D448" s="160" t="s">
        <v>881</v>
      </c>
      <c r="E448" s="3" t="s">
        <v>21</v>
      </c>
      <c r="F448" s="3" t="s">
        <v>917</v>
      </c>
      <c r="G448" s="3" t="s">
        <v>934</v>
      </c>
      <c r="H448" s="156" t="str">
        <f ca="1">IFERROR(
  _xludf.MINIFS(ATTENDANCE_LOG!$F:$F,
         ATTENDANCE_LOG!$A:$A, C448,
         ATTENDANCE_LOG!$B:$B, E448),
"")</f>
        <v/>
      </c>
      <c r="I448" s="3">
        <f>IFERROR(VLOOKUP(F448, LEVEL_HELPER!$A:$B, 2, 0), "")</f>
        <v>3</v>
      </c>
      <c r="J448" s="3">
        <f>IFERROR(VLOOKUP(G448, LEVEL_HELPER!$A:$B, 2, 0), "")</f>
        <v>3.5</v>
      </c>
      <c r="K448" s="3">
        <f t="shared" ref="K448:L448" si="919">IF(OR(I448="", I448=0), "",
  IF(I448&lt;=2,   1,
  IF(I448&lt;=4,   2,
  IF(I448&lt;=5.5, 3, 4))))</f>
        <v>2</v>
      </c>
      <c r="L448" s="3">
        <f t="shared" si="919"/>
        <v>2</v>
      </c>
      <c r="M448" s="3" t="str">
        <f t="shared" si="516"/>
        <v>Progress within level</v>
      </c>
      <c r="N448" s="157" t="s">
        <v>942</v>
      </c>
      <c r="O448" s="157" t="s">
        <v>922</v>
      </c>
      <c r="P448" s="3" t="str">
        <f t="shared" ca="1" si="517"/>
        <v/>
      </c>
      <c r="Q448" s="147" t="str">
        <f t="shared" ca="1" si="518"/>
        <v/>
      </c>
      <c r="R448" s="147" t="str">
        <f t="shared" ref="R448:S448" ca="1" si="920">IF(OR(P448="", P448=0), "",
  IF(P448&lt;=2,   1,
  IF(P448&lt;=4,   2,
  IF(P448&lt;=5.5, 3, 4))))</f>
        <v/>
      </c>
      <c r="S448" s="147" t="str">
        <f t="shared" ca="1" si="920"/>
        <v/>
      </c>
      <c r="T448" s="147" t="str">
        <f t="shared" ca="1" si="520"/>
        <v>No Data</v>
      </c>
      <c r="U448" s="147">
        <f t="shared" si="908"/>
        <v>0</v>
      </c>
      <c r="V448" s="147"/>
    </row>
    <row r="449" spans="1:22">
      <c r="A449" s="176" t="s">
        <v>574</v>
      </c>
      <c r="B449" s="154" t="s">
        <v>575</v>
      </c>
      <c r="C449" s="155" t="s">
        <v>89</v>
      </c>
      <c r="D449" s="155" t="s">
        <v>882</v>
      </c>
      <c r="E449" s="154" t="s">
        <v>26</v>
      </c>
      <c r="F449" s="154" t="s">
        <v>25</v>
      </c>
      <c r="G449" s="154"/>
      <c r="H449" s="156" t="str">
        <f ca="1">IFERROR(
  _xludf.MINIFS(ATTENDANCE_LOG!$F:$F,
         ATTENDANCE_LOG!$A:$A, C449,
         ATTENDANCE_LOG!$B:$B, E449),
"")</f>
        <v/>
      </c>
      <c r="I449" s="154">
        <f>IFERROR(VLOOKUP(F449, LEVEL_HELPER!$A:$B, 2, 0), "")</f>
        <v>0.5</v>
      </c>
      <c r="J449" s="154" t="str">
        <f>IFERROR(VLOOKUP(G449, LEVEL_HELPER!$A:$B, 2, 0), "")</f>
        <v/>
      </c>
      <c r="K449" s="154">
        <f t="shared" ref="K449:L449" si="921">IF(OR(I449="", I449=0), "",
  IF(I449&lt;=2,   1,
  IF(I449&lt;=4,   2,
  IF(I449&lt;=5.5, 3, 4))))</f>
        <v>1</v>
      </c>
      <c r="L449" s="3" t="str">
        <f t="shared" si="921"/>
        <v/>
      </c>
      <c r="M449" s="3" t="str">
        <f t="shared" si="516"/>
        <v>No Data</v>
      </c>
      <c r="N449" s="176" t="s">
        <v>930</v>
      </c>
      <c r="O449" s="176" t="s">
        <v>925</v>
      </c>
      <c r="P449" s="154" t="str">
        <f t="shared" ca="1" si="517"/>
        <v/>
      </c>
      <c r="Q449" s="177" t="str">
        <f t="shared" ca="1" si="518"/>
        <v/>
      </c>
      <c r="R449" s="177" t="str">
        <f t="shared" ref="R449:S449" ca="1" si="922">IF(OR(P449="", P449=0), "",
  IF(P449&lt;=2,   1,
  IF(P449&lt;=4,   2,
  IF(P449&lt;=5.5, 3, 4))))</f>
        <v/>
      </c>
      <c r="S449" s="177" t="str">
        <f t="shared" ca="1" si="922"/>
        <v/>
      </c>
      <c r="T449" s="177" t="str">
        <f t="shared" ca="1" si="520"/>
        <v>No Data</v>
      </c>
      <c r="U449" s="177">
        <f>IF(COUNTIF($A$2:A451, A449)=1, 1, 0)</f>
        <v>1</v>
      </c>
      <c r="V449" s="177"/>
    </row>
    <row r="450" spans="1:22">
      <c r="A450" s="157" t="s">
        <v>545</v>
      </c>
      <c r="B450" s="3" t="s">
        <v>546</v>
      </c>
      <c r="C450" s="160" t="s">
        <v>89</v>
      </c>
      <c r="D450" s="160" t="s">
        <v>882</v>
      </c>
      <c r="E450" s="3" t="s">
        <v>26</v>
      </c>
      <c r="F450" s="3" t="s">
        <v>25</v>
      </c>
      <c r="G450" s="3"/>
      <c r="H450" s="156" t="str">
        <f ca="1">IFERROR(
  _xludf.MINIFS(ATTENDANCE_LOG!$F:$F,
         ATTENDANCE_LOG!$A:$A, C450,
         ATTENDANCE_LOG!$B:$B, E450),
"")</f>
        <v/>
      </c>
      <c r="I450" s="3">
        <f>IFERROR(VLOOKUP(F450, LEVEL_HELPER!$A:$B, 2, 0), "")</f>
        <v>0.5</v>
      </c>
      <c r="J450" s="3" t="str">
        <f>IFERROR(VLOOKUP(G450, LEVEL_HELPER!$A:$B, 2, 0), "")</f>
        <v/>
      </c>
      <c r="K450" s="3">
        <f t="shared" ref="K450:L450" si="923">IF(OR(I450="", I450=0), "",
  IF(I450&lt;=2,   1,
  IF(I450&lt;=4,   2,
  IF(I450&lt;=5.5, 3, 4))))</f>
        <v>1</v>
      </c>
      <c r="L450" s="3" t="str">
        <f t="shared" si="923"/>
        <v/>
      </c>
      <c r="M450" s="3" t="str">
        <f t="shared" si="516"/>
        <v>No Data</v>
      </c>
      <c r="N450" s="157" t="s">
        <v>930</v>
      </c>
      <c r="O450" s="157" t="s">
        <v>919</v>
      </c>
      <c r="P450" s="3" t="str">
        <f t="shared" ca="1" si="517"/>
        <v/>
      </c>
      <c r="Q450" s="147" t="str">
        <f t="shared" ca="1" si="518"/>
        <v/>
      </c>
      <c r="R450" s="147" t="str">
        <f t="shared" ref="R450:S450" ca="1" si="924">IF(OR(P450="", P450=0), "",
  IF(P450&lt;=2,   1,
  IF(P450&lt;=4,   2,
  IF(P450&lt;=5.5, 3, 4))))</f>
        <v/>
      </c>
      <c r="S450" s="147" t="str">
        <f t="shared" ca="1" si="924"/>
        <v/>
      </c>
      <c r="T450" s="147" t="str">
        <f t="shared" ca="1" si="520"/>
        <v>No Data</v>
      </c>
      <c r="U450" s="147">
        <f t="shared" ref="U450:U451" si="925">IF(COUNTIF($A$2:A450, A450)=1, 1, 0)</f>
        <v>1</v>
      </c>
      <c r="V450" s="147"/>
    </row>
    <row r="451" spans="1:22">
      <c r="A451" s="157" t="s">
        <v>558</v>
      </c>
      <c r="B451" s="3" t="s">
        <v>559</v>
      </c>
      <c r="C451" s="160" t="s">
        <v>89</v>
      </c>
      <c r="D451" s="160" t="s">
        <v>882</v>
      </c>
      <c r="E451" s="3" t="s">
        <v>26</v>
      </c>
      <c r="F451" s="3" t="s">
        <v>25</v>
      </c>
      <c r="G451" s="3"/>
      <c r="H451" s="156" t="str">
        <f ca="1">IFERROR(
  _xludf.MINIFS(ATTENDANCE_LOG!$F:$F,
         ATTENDANCE_LOG!$A:$A, C451,
         ATTENDANCE_LOG!$B:$B, E451),
"")</f>
        <v/>
      </c>
      <c r="I451" s="3">
        <f>IFERROR(VLOOKUP(F451, LEVEL_HELPER!$A:$B, 2, 0), "")</f>
        <v>0.5</v>
      </c>
      <c r="J451" s="3" t="str">
        <f>IFERROR(VLOOKUP(G451, LEVEL_HELPER!$A:$B, 2, 0), "")</f>
        <v/>
      </c>
      <c r="K451" s="3">
        <f t="shared" ref="K451:L451" si="926">IF(OR(I451="", I451=0), "",
  IF(I451&lt;=2,   1,
  IF(I451&lt;=4,   2,
  IF(I451&lt;=5.5, 3, 4))))</f>
        <v>1</v>
      </c>
      <c r="L451" s="3" t="str">
        <f t="shared" si="926"/>
        <v/>
      </c>
      <c r="M451" s="3" t="str">
        <f t="shared" si="516"/>
        <v>No Data</v>
      </c>
      <c r="N451" s="157" t="s">
        <v>930</v>
      </c>
      <c r="O451" s="157" t="s">
        <v>919</v>
      </c>
      <c r="P451" s="3" t="str">
        <f t="shared" ca="1" si="517"/>
        <v/>
      </c>
      <c r="Q451" s="147" t="str">
        <f t="shared" ca="1" si="518"/>
        <v/>
      </c>
      <c r="R451" s="147" t="str">
        <f t="shared" ref="R451:S451" ca="1" si="927">IF(OR(P451="", P451=0), "",
  IF(P451&lt;=2,   1,
  IF(P451&lt;=4,   2,
  IF(P451&lt;=5.5, 3, 4))))</f>
        <v/>
      </c>
      <c r="S451" s="147" t="str">
        <f t="shared" ca="1" si="927"/>
        <v/>
      </c>
      <c r="T451" s="147" t="str">
        <f t="shared" ca="1" si="520"/>
        <v>No Data</v>
      </c>
      <c r="U451" s="147">
        <f t="shared" si="925"/>
        <v>1</v>
      </c>
      <c r="V451" s="147"/>
    </row>
    <row r="452" spans="1:22">
      <c r="A452" s="176" t="s">
        <v>574</v>
      </c>
      <c r="B452" s="154" t="s">
        <v>575</v>
      </c>
      <c r="C452" s="155" t="s">
        <v>89</v>
      </c>
      <c r="D452" s="155" t="s">
        <v>882</v>
      </c>
      <c r="E452" s="154" t="s">
        <v>25</v>
      </c>
      <c r="F452" s="154" t="s">
        <v>25</v>
      </c>
      <c r="G452" s="154" t="s">
        <v>25</v>
      </c>
      <c r="H452" s="156" t="str">
        <f ca="1">IFERROR(
  _xludf.MINIFS(ATTENDANCE_LOG!$F:$F,
         ATTENDANCE_LOG!$A:$A, C452,
         ATTENDANCE_LOG!$B:$B, E452),
"")</f>
        <v/>
      </c>
      <c r="I452" s="154">
        <f>IFERROR(VLOOKUP(F452, LEVEL_HELPER!$A:$B, 2, 0), "")</f>
        <v>0.5</v>
      </c>
      <c r="J452" s="154">
        <f>IFERROR(VLOOKUP(G452, LEVEL_HELPER!$A:$B, 2, 0), "")</f>
        <v>0.5</v>
      </c>
      <c r="K452" s="154">
        <f t="shared" ref="K452:L452" si="928">IF(OR(I452="", I452=0), "",
  IF(I452&lt;=2,   1,
  IF(I452&lt;=4,   2,
  IF(I452&lt;=5.5, 3, 4))))</f>
        <v>1</v>
      </c>
      <c r="L452" s="3">
        <f t="shared" si="928"/>
        <v>1</v>
      </c>
      <c r="M452" s="3" t="str">
        <f t="shared" si="516"/>
        <v>No Progress</v>
      </c>
      <c r="N452" s="176" t="s">
        <v>930</v>
      </c>
      <c r="O452" s="176" t="s">
        <v>925</v>
      </c>
      <c r="P452" s="154" t="str">
        <f t="shared" ca="1" si="517"/>
        <v/>
      </c>
      <c r="Q452" s="177" t="str">
        <f t="shared" ca="1" si="518"/>
        <v/>
      </c>
      <c r="R452" s="177" t="str">
        <f t="shared" ref="R452:S452" ca="1" si="929">IF(OR(P452="", P452=0), "",
  IF(P452&lt;=2,   1,
  IF(P452&lt;=4,   2,
  IF(P452&lt;=5.5, 3, 4))))</f>
        <v/>
      </c>
      <c r="S452" s="177" t="str">
        <f t="shared" ca="1" si="929"/>
        <v/>
      </c>
      <c r="T452" s="177" t="str">
        <f t="shared" ca="1" si="520"/>
        <v>No Data</v>
      </c>
      <c r="U452" s="177">
        <f>IF(COUNTIF($A$2:A459, A452)=1, 1, 0)</f>
        <v>0</v>
      </c>
      <c r="V452" s="177"/>
    </row>
    <row r="453" spans="1:22">
      <c r="A453" s="157" t="s">
        <v>161</v>
      </c>
      <c r="B453" s="3" t="s">
        <v>162</v>
      </c>
      <c r="C453" s="160" t="s">
        <v>89</v>
      </c>
      <c r="D453" s="160" t="s">
        <v>882</v>
      </c>
      <c r="E453" s="3" t="s">
        <v>25</v>
      </c>
      <c r="F453" s="3" t="s">
        <v>25</v>
      </c>
      <c r="G453" s="3" t="s">
        <v>25</v>
      </c>
      <c r="H453" s="156" t="str">
        <f ca="1">IFERROR(
  _xludf.MINIFS(ATTENDANCE_LOG!$F:$F,
         ATTENDANCE_LOG!$A:$A, C453,
         ATTENDANCE_LOG!$B:$B, E453),
"")</f>
        <v/>
      </c>
      <c r="I453" s="3">
        <f>IFERROR(VLOOKUP(F453, LEVEL_HELPER!$A:$B, 2, 0), "")</f>
        <v>0.5</v>
      </c>
      <c r="J453" s="3">
        <f>IFERROR(VLOOKUP(G453, LEVEL_HELPER!$A:$B, 2, 0), "")</f>
        <v>0.5</v>
      </c>
      <c r="K453" s="3">
        <f t="shared" ref="K453:L453" si="930">IF(OR(I453="", I453=0), "",
  IF(I453&lt;=2,   1,
  IF(I453&lt;=4,   2,
  IF(I453&lt;=5.5, 3, 4))))</f>
        <v>1</v>
      </c>
      <c r="L453" s="3">
        <f t="shared" si="930"/>
        <v>1</v>
      </c>
      <c r="M453" s="3" t="str">
        <f t="shared" si="516"/>
        <v>No Progress</v>
      </c>
      <c r="N453" s="157" t="s">
        <v>942</v>
      </c>
      <c r="O453" s="157" t="s">
        <v>923</v>
      </c>
      <c r="P453" s="3" t="str">
        <f t="shared" ca="1" si="517"/>
        <v/>
      </c>
      <c r="Q453" s="147" t="str">
        <f t="shared" ca="1" si="518"/>
        <v/>
      </c>
      <c r="R453" s="147" t="str">
        <f t="shared" ref="R453:S453" ca="1" si="931">IF(OR(P453="", P453=0), "",
  IF(P453&lt;=2,   1,
  IF(P453&lt;=4,   2,
  IF(P453&lt;=5.5, 3, 4))))</f>
        <v/>
      </c>
      <c r="S453" s="147" t="str">
        <f t="shared" ca="1" si="931"/>
        <v/>
      </c>
      <c r="T453" s="147" t="str">
        <f t="shared" ca="1" si="520"/>
        <v>No Data</v>
      </c>
      <c r="U453" s="147">
        <f t="shared" ref="U453:U459" si="932">IF(COUNTIF($A$2:A453, A453)=1, 1, 0)</f>
        <v>1</v>
      </c>
      <c r="V453" s="147"/>
    </row>
    <row r="454" spans="1:22">
      <c r="A454" s="157" t="s">
        <v>290</v>
      </c>
      <c r="B454" s="3" t="s">
        <v>291</v>
      </c>
      <c r="C454" s="160" t="s">
        <v>89</v>
      </c>
      <c r="D454" s="160" t="s">
        <v>882</v>
      </c>
      <c r="E454" s="3" t="s">
        <v>25</v>
      </c>
      <c r="F454" s="3" t="s">
        <v>25</v>
      </c>
      <c r="G454" s="3" t="s">
        <v>25</v>
      </c>
      <c r="H454" s="156" t="str">
        <f ca="1">IFERROR(
  _xludf.MINIFS(ATTENDANCE_LOG!$F:$F,
         ATTENDANCE_LOG!$A:$A, C454,
         ATTENDANCE_LOG!$B:$B, E454),
"")</f>
        <v/>
      </c>
      <c r="I454" s="3">
        <f>IFERROR(VLOOKUP(F454, LEVEL_HELPER!$A:$B, 2, 0), "")</f>
        <v>0.5</v>
      </c>
      <c r="J454" s="3">
        <f>IFERROR(VLOOKUP(G454, LEVEL_HELPER!$A:$B, 2, 0), "")</f>
        <v>0.5</v>
      </c>
      <c r="K454" s="3">
        <f t="shared" ref="K454:L454" si="933">IF(OR(I454="", I454=0), "",
  IF(I454&lt;=2,   1,
  IF(I454&lt;=4,   2,
  IF(I454&lt;=5.5, 3, 4))))</f>
        <v>1</v>
      </c>
      <c r="L454" s="3">
        <f t="shared" si="933"/>
        <v>1</v>
      </c>
      <c r="M454" s="3" t="str">
        <f t="shared" si="516"/>
        <v>No Progress</v>
      </c>
      <c r="N454" s="157" t="s">
        <v>930</v>
      </c>
      <c r="O454" s="157" t="s">
        <v>919</v>
      </c>
      <c r="P454" s="3" t="str">
        <f t="shared" ca="1" si="517"/>
        <v/>
      </c>
      <c r="Q454" s="147" t="str">
        <f t="shared" ca="1" si="518"/>
        <v/>
      </c>
      <c r="R454" s="147" t="str">
        <f t="shared" ref="R454:S454" ca="1" si="934">IF(OR(P454="", P454=0), "",
  IF(P454&lt;=2,   1,
  IF(P454&lt;=4,   2,
  IF(P454&lt;=5.5, 3, 4))))</f>
        <v/>
      </c>
      <c r="S454" s="147" t="str">
        <f t="shared" ca="1" si="934"/>
        <v/>
      </c>
      <c r="T454" s="147" t="str">
        <f t="shared" ca="1" si="520"/>
        <v>No Data</v>
      </c>
      <c r="U454" s="147">
        <f t="shared" si="932"/>
        <v>1</v>
      </c>
      <c r="V454" s="147"/>
    </row>
    <row r="455" spans="1:22">
      <c r="A455" s="157" t="s">
        <v>391</v>
      </c>
      <c r="B455" s="3" t="s">
        <v>392</v>
      </c>
      <c r="C455" s="160" t="s">
        <v>89</v>
      </c>
      <c r="D455" s="160" t="s">
        <v>882</v>
      </c>
      <c r="E455" s="3" t="s">
        <v>25</v>
      </c>
      <c r="F455" s="3" t="s">
        <v>25</v>
      </c>
      <c r="G455" s="3" t="s">
        <v>25</v>
      </c>
      <c r="H455" s="156" t="str">
        <f ca="1">IFERROR(
  _xludf.MINIFS(ATTENDANCE_LOG!$F:$F,
         ATTENDANCE_LOG!$A:$A, C455,
         ATTENDANCE_LOG!$B:$B, E455),
"")</f>
        <v/>
      </c>
      <c r="I455" s="3">
        <f>IFERROR(VLOOKUP(F455, LEVEL_HELPER!$A:$B, 2, 0), "")</f>
        <v>0.5</v>
      </c>
      <c r="J455" s="3">
        <f>IFERROR(VLOOKUP(G455, LEVEL_HELPER!$A:$B, 2, 0), "")</f>
        <v>0.5</v>
      </c>
      <c r="K455" s="3">
        <f t="shared" ref="K455:L455" si="935">IF(OR(I455="", I455=0), "",
  IF(I455&lt;=2,   1,
  IF(I455&lt;=4,   2,
  IF(I455&lt;=5.5, 3, 4))))</f>
        <v>1</v>
      </c>
      <c r="L455" s="3">
        <f t="shared" si="935"/>
        <v>1</v>
      </c>
      <c r="M455" s="3" t="str">
        <f t="shared" si="516"/>
        <v>No Progress</v>
      </c>
      <c r="N455" s="157" t="s">
        <v>930</v>
      </c>
      <c r="O455" s="157" t="s">
        <v>921</v>
      </c>
      <c r="P455" s="3" t="str">
        <f t="shared" ca="1" si="517"/>
        <v/>
      </c>
      <c r="Q455" s="147" t="str">
        <f t="shared" ca="1" si="518"/>
        <v/>
      </c>
      <c r="R455" s="147" t="str">
        <f t="shared" ref="R455:S455" ca="1" si="936">IF(OR(P455="", P455=0), "",
  IF(P455&lt;=2,   1,
  IF(P455&lt;=4,   2,
  IF(P455&lt;=5.5, 3, 4))))</f>
        <v/>
      </c>
      <c r="S455" s="147" t="str">
        <f t="shared" ca="1" si="936"/>
        <v/>
      </c>
      <c r="T455" s="147" t="str">
        <f t="shared" ca="1" si="520"/>
        <v>No Data</v>
      </c>
      <c r="U455" s="147">
        <f t="shared" si="932"/>
        <v>1</v>
      </c>
      <c r="V455" s="147"/>
    </row>
    <row r="456" spans="1:22">
      <c r="A456" s="157" t="s">
        <v>468</v>
      </c>
      <c r="B456" s="3" t="s">
        <v>469</v>
      </c>
      <c r="C456" s="160" t="s">
        <v>89</v>
      </c>
      <c r="D456" s="160" t="s">
        <v>882</v>
      </c>
      <c r="E456" s="3" t="s">
        <v>25</v>
      </c>
      <c r="F456" s="3" t="s">
        <v>25</v>
      </c>
      <c r="G456" s="3" t="s">
        <v>25</v>
      </c>
      <c r="H456" s="156" t="str">
        <f ca="1">IFERROR(
  _xludf.MINIFS(ATTENDANCE_LOG!$F:$F,
         ATTENDANCE_LOG!$A:$A, C456,
         ATTENDANCE_LOG!$B:$B, E456),
"")</f>
        <v/>
      </c>
      <c r="I456" s="3">
        <f>IFERROR(VLOOKUP(F456, LEVEL_HELPER!$A:$B, 2, 0), "")</f>
        <v>0.5</v>
      </c>
      <c r="J456" s="3">
        <f>IFERROR(VLOOKUP(G456, LEVEL_HELPER!$A:$B, 2, 0), "")</f>
        <v>0.5</v>
      </c>
      <c r="K456" s="3">
        <f t="shared" ref="K456:L456" si="937">IF(OR(I456="", I456=0), "",
  IF(I456&lt;=2,   1,
  IF(I456&lt;=4,   2,
  IF(I456&lt;=5.5, 3, 4))))</f>
        <v>1</v>
      </c>
      <c r="L456" s="3">
        <f t="shared" si="937"/>
        <v>1</v>
      </c>
      <c r="M456" s="3" t="str">
        <f t="shared" si="516"/>
        <v>No Progress</v>
      </c>
      <c r="N456" s="157" t="s">
        <v>930</v>
      </c>
      <c r="O456" s="157" t="s">
        <v>919</v>
      </c>
      <c r="P456" s="3" t="str">
        <f t="shared" ca="1" si="517"/>
        <v/>
      </c>
      <c r="Q456" s="147" t="str">
        <f t="shared" ca="1" si="518"/>
        <v/>
      </c>
      <c r="R456" s="147" t="str">
        <f t="shared" ref="R456:S456" ca="1" si="938">IF(OR(P456="", P456=0), "",
  IF(P456&lt;=2,   1,
  IF(P456&lt;=4,   2,
  IF(P456&lt;=5.5, 3, 4))))</f>
        <v/>
      </c>
      <c r="S456" s="147" t="str">
        <f t="shared" ca="1" si="938"/>
        <v/>
      </c>
      <c r="T456" s="147" t="str">
        <f t="shared" ca="1" si="520"/>
        <v>No Data</v>
      </c>
      <c r="U456" s="147">
        <f t="shared" si="932"/>
        <v>1</v>
      </c>
      <c r="V456" s="147"/>
    </row>
    <row r="457" spans="1:22">
      <c r="A457" s="157" t="s">
        <v>516</v>
      </c>
      <c r="B457" s="3" t="s">
        <v>517</v>
      </c>
      <c r="C457" s="160" t="s">
        <v>89</v>
      </c>
      <c r="D457" s="160" t="s">
        <v>882</v>
      </c>
      <c r="E457" s="3" t="s">
        <v>25</v>
      </c>
      <c r="F457" s="3" t="s">
        <v>25</v>
      </c>
      <c r="G457" s="3" t="s">
        <v>25</v>
      </c>
      <c r="H457" s="156" t="str">
        <f ca="1">IFERROR(
  _xludf.MINIFS(ATTENDANCE_LOG!$F:$F,
         ATTENDANCE_LOG!$A:$A, C457,
         ATTENDANCE_LOG!$B:$B, E457),
"")</f>
        <v/>
      </c>
      <c r="I457" s="3">
        <f>IFERROR(VLOOKUP(F457, LEVEL_HELPER!$A:$B, 2, 0), "")</f>
        <v>0.5</v>
      </c>
      <c r="J457" s="3">
        <f>IFERROR(VLOOKUP(G457, LEVEL_HELPER!$A:$B, 2, 0), "")</f>
        <v>0.5</v>
      </c>
      <c r="K457" s="3">
        <f t="shared" ref="K457:L457" si="939">IF(OR(I457="", I457=0), "",
  IF(I457&lt;=2,   1,
  IF(I457&lt;=4,   2,
  IF(I457&lt;=5.5, 3, 4))))</f>
        <v>1</v>
      </c>
      <c r="L457" s="3">
        <f t="shared" si="939"/>
        <v>1</v>
      </c>
      <c r="M457" s="3" t="str">
        <f t="shared" si="516"/>
        <v>No Progress</v>
      </c>
      <c r="N457" s="157" t="s">
        <v>930</v>
      </c>
      <c r="O457" s="157" t="s">
        <v>919</v>
      </c>
      <c r="P457" s="3" t="str">
        <f t="shared" ca="1" si="517"/>
        <v/>
      </c>
      <c r="Q457" s="147" t="str">
        <f t="shared" ca="1" si="518"/>
        <v/>
      </c>
      <c r="R457" s="147" t="str">
        <f t="shared" ref="R457:S457" ca="1" si="940">IF(OR(P457="", P457=0), "",
  IF(P457&lt;=2,   1,
  IF(P457&lt;=4,   2,
  IF(P457&lt;=5.5, 3, 4))))</f>
        <v/>
      </c>
      <c r="S457" s="147" t="str">
        <f t="shared" ca="1" si="940"/>
        <v/>
      </c>
      <c r="T457" s="147" t="str">
        <f t="shared" ca="1" si="520"/>
        <v>No Data</v>
      </c>
      <c r="U457" s="147">
        <f t="shared" si="932"/>
        <v>1</v>
      </c>
      <c r="V457" s="147"/>
    </row>
    <row r="458" spans="1:22">
      <c r="A458" s="157" t="s">
        <v>545</v>
      </c>
      <c r="B458" s="3" t="s">
        <v>546</v>
      </c>
      <c r="C458" s="160" t="s">
        <v>89</v>
      </c>
      <c r="D458" s="160" t="s">
        <v>882</v>
      </c>
      <c r="E458" s="3" t="s">
        <v>25</v>
      </c>
      <c r="F458" s="3" t="s">
        <v>25</v>
      </c>
      <c r="G458" s="3" t="s">
        <v>25</v>
      </c>
      <c r="H458" s="156" t="str">
        <f ca="1">IFERROR(
  _xludf.MINIFS(ATTENDANCE_LOG!$F:$F,
         ATTENDANCE_LOG!$A:$A, C458,
         ATTENDANCE_LOG!$B:$B, E458),
"")</f>
        <v/>
      </c>
      <c r="I458" s="3">
        <f>IFERROR(VLOOKUP(F458, LEVEL_HELPER!$A:$B, 2, 0), "")</f>
        <v>0.5</v>
      </c>
      <c r="J458" s="3">
        <f>IFERROR(VLOOKUP(G458, LEVEL_HELPER!$A:$B, 2, 0), "")</f>
        <v>0.5</v>
      </c>
      <c r="K458" s="3">
        <f t="shared" ref="K458:L458" si="941">IF(OR(I458="", I458=0), "",
  IF(I458&lt;=2,   1,
  IF(I458&lt;=4,   2,
  IF(I458&lt;=5.5, 3, 4))))</f>
        <v>1</v>
      </c>
      <c r="L458" s="3">
        <f t="shared" si="941"/>
        <v>1</v>
      </c>
      <c r="M458" s="3" t="str">
        <f t="shared" si="516"/>
        <v>No Progress</v>
      </c>
      <c r="N458" s="157" t="s">
        <v>930</v>
      </c>
      <c r="O458" s="157" t="s">
        <v>919</v>
      </c>
      <c r="P458" s="3" t="str">
        <f t="shared" ca="1" si="517"/>
        <v/>
      </c>
      <c r="Q458" s="147" t="str">
        <f t="shared" ca="1" si="518"/>
        <v/>
      </c>
      <c r="R458" s="147" t="str">
        <f t="shared" ref="R458:S458" ca="1" si="942">IF(OR(P458="", P458=0), "",
  IF(P458&lt;=2,   1,
  IF(P458&lt;=4,   2,
  IF(P458&lt;=5.5, 3, 4))))</f>
        <v/>
      </c>
      <c r="S458" s="147" t="str">
        <f t="shared" ca="1" si="942"/>
        <v/>
      </c>
      <c r="T458" s="147" t="str">
        <f t="shared" ca="1" si="520"/>
        <v>No Data</v>
      </c>
      <c r="U458" s="147">
        <f t="shared" si="932"/>
        <v>0</v>
      </c>
      <c r="V458" s="147"/>
    </row>
    <row r="459" spans="1:22">
      <c r="A459" s="157" t="s">
        <v>558</v>
      </c>
      <c r="B459" s="3" t="s">
        <v>559</v>
      </c>
      <c r="C459" s="160" t="s">
        <v>89</v>
      </c>
      <c r="D459" s="160" t="s">
        <v>882</v>
      </c>
      <c r="E459" s="3" t="s">
        <v>25</v>
      </c>
      <c r="F459" s="3" t="s">
        <v>25</v>
      </c>
      <c r="G459" s="3" t="s">
        <v>25</v>
      </c>
      <c r="H459" s="156" t="str">
        <f ca="1">IFERROR(
  _xludf.MINIFS(ATTENDANCE_LOG!$F:$F,
         ATTENDANCE_LOG!$A:$A, C459,
         ATTENDANCE_LOG!$B:$B, E459),
"")</f>
        <v/>
      </c>
      <c r="I459" s="3">
        <f>IFERROR(VLOOKUP(F459, LEVEL_HELPER!$A:$B, 2, 0), "")</f>
        <v>0.5</v>
      </c>
      <c r="J459" s="3">
        <f>IFERROR(VLOOKUP(G459, LEVEL_HELPER!$A:$B, 2, 0), "")</f>
        <v>0.5</v>
      </c>
      <c r="K459" s="3">
        <f t="shared" ref="K459:L459" si="943">IF(OR(I459="", I459=0), "",
  IF(I459&lt;=2,   1,
  IF(I459&lt;=4,   2,
  IF(I459&lt;=5.5, 3, 4))))</f>
        <v>1</v>
      </c>
      <c r="L459" s="3">
        <f t="shared" si="943"/>
        <v>1</v>
      </c>
      <c r="M459" s="3" t="str">
        <f t="shared" si="516"/>
        <v>No Progress</v>
      </c>
      <c r="N459" s="157" t="s">
        <v>930</v>
      </c>
      <c r="O459" s="157" t="s">
        <v>919</v>
      </c>
      <c r="P459" s="3" t="str">
        <f t="shared" ca="1" si="517"/>
        <v/>
      </c>
      <c r="Q459" s="147" t="str">
        <f t="shared" ca="1" si="518"/>
        <v/>
      </c>
      <c r="R459" s="147" t="str">
        <f t="shared" ref="R459:S459" ca="1" si="944">IF(OR(P459="", P459=0), "",
  IF(P459&lt;=2,   1,
  IF(P459&lt;=4,   2,
  IF(P459&lt;=5.5, 3, 4))))</f>
        <v/>
      </c>
      <c r="S459" s="147" t="str">
        <f t="shared" ca="1" si="944"/>
        <v/>
      </c>
      <c r="T459" s="147" t="str">
        <f t="shared" ca="1" si="520"/>
        <v>No Data</v>
      </c>
      <c r="U459" s="147">
        <f t="shared" si="932"/>
        <v>0</v>
      </c>
      <c r="V459" s="147"/>
    </row>
    <row r="460" spans="1:22">
      <c r="A460" s="176" t="s">
        <v>363</v>
      </c>
      <c r="B460" s="154" t="s">
        <v>364</v>
      </c>
      <c r="C460" s="155" t="s">
        <v>90</v>
      </c>
      <c r="D460" s="155" t="s">
        <v>883</v>
      </c>
      <c r="E460" s="154" t="s">
        <v>21</v>
      </c>
      <c r="F460" s="154" t="s">
        <v>926</v>
      </c>
      <c r="G460" s="154"/>
      <c r="H460" s="156" t="str">
        <f ca="1">IFERROR(
  _xludf.MINIFS(ATTENDANCE_LOG!$F:$F,
         ATTENDANCE_LOG!$A:$A, C460,
         ATTENDANCE_LOG!$B:$B, E460),
"")</f>
        <v/>
      </c>
      <c r="I460" s="154">
        <f>IFERROR(VLOOKUP(F460, LEVEL_HELPER!$A:$B, 2, 0), "")</f>
        <v>1</v>
      </c>
      <c r="J460" s="154" t="str">
        <f>IFERROR(VLOOKUP(G460, LEVEL_HELPER!$A:$B, 2, 0), "")</f>
        <v/>
      </c>
      <c r="K460" s="154">
        <f t="shared" ref="K460:L460" si="945">IF(OR(I460="", I460=0), "",
  IF(I460&lt;=2,   1,
  IF(I460&lt;=4,   2,
  IF(I460&lt;=5.5, 3, 4))))</f>
        <v>1</v>
      </c>
      <c r="L460" s="3" t="str">
        <f t="shared" si="945"/>
        <v/>
      </c>
      <c r="M460" s="3" t="str">
        <f t="shared" si="516"/>
        <v>No Data</v>
      </c>
      <c r="N460" s="176" t="s">
        <v>930</v>
      </c>
      <c r="O460" s="176" t="s">
        <v>919</v>
      </c>
      <c r="P460" s="154" t="str">
        <f t="shared" ca="1" si="517"/>
        <v/>
      </c>
      <c r="Q460" s="177" t="str">
        <f t="shared" ca="1" si="518"/>
        <v/>
      </c>
      <c r="R460" s="177" t="str">
        <f t="shared" ref="R460:S460" ca="1" si="946">IF(OR(P460="", P460=0), "",
  IF(P460&lt;=2,   1,
  IF(P460&lt;=4,   2,
  IF(P460&lt;=5.5, 3, 4))))</f>
        <v/>
      </c>
      <c r="S460" s="177" t="str">
        <f t="shared" ca="1" si="946"/>
        <v/>
      </c>
      <c r="T460" s="177" t="str">
        <f t="shared" ca="1" si="520"/>
        <v>No Data</v>
      </c>
      <c r="U460" s="177">
        <f>IF(COUNTIF($A$2:A462, A460)=1, 1, 0)</f>
        <v>1</v>
      </c>
      <c r="V460" s="177"/>
    </row>
    <row r="461" spans="1:22">
      <c r="A461" s="157" t="s">
        <v>251</v>
      </c>
      <c r="B461" s="3" t="s">
        <v>252</v>
      </c>
      <c r="C461" s="160" t="s">
        <v>90</v>
      </c>
      <c r="D461" s="160" t="s">
        <v>883</v>
      </c>
      <c r="E461" s="3" t="s">
        <v>21</v>
      </c>
      <c r="F461" s="3" t="s">
        <v>926</v>
      </c>
      <c r="G461" s="3"/>
      <c r="H461" s="156" t="str">
        <f ca="1">IFERROR(
  _xludf.MINIFS(ATTENDANCE_LOG!$F:$F,
         ATTENDANCE_LOG!$A:$A, C461,
         ATTENDANCE_LOG!$B:$B, E461),
"")</f>
        <v/>
      </c>
      <c r="I461" s="3">
        <f>IFERROR(VLOOKUP(F461, LEVEL_HELPER!$A:$B, 2, 0), "")</f>
        <v>1</v>
      </c>
      <c r="J461" s="3" t="str">
        <f>IFERROR(VLOOKUP(G461, LEVEL_HELPER!$A:$B, 2, 0), "")</f>
        <v/>
      </c>
      <c r="K461" s="3">
        <f t="shared" ref="K461:L461" si="947">IF(OR(I461="", I461=0), "",
  IF(I461&lt;=2,   1,
  IF(I461&lt;=4,   2,
  IF(I461&lt;=5.5, 3, 4))))</f>
        <v>1</v>
      </c>
      <c r="L461" s="3" t="str">
        <f t="shared" si="947"/>
        <v/>
      </c>
      <c r="M461" s="3" t="str">
        <f t="shared" si="516"/>
        <v>No Data</v>
      </c>
      <c r="N461" s="157" t="s">
        <v>930</v>
      </c>
      <c r="O461" s="157" t="s">
        <v>919</v>
      </c>
      <c r="P461" s="3" t="str">
        <f t="shared" ca="1" si="517"/>
        <v/>
      </c>
      <c r="Q461" s="147" t="str">
        <f t="shared" ca="1" si="518"/>
        <v/>
      </c>
      <c r="R461" s="147" t="str">
        <f t="shared" ref="R461:S461" ca="1" si="948">IF(OR(P461="", P461=0), "",
  IF(P461&lt;=2,   1,
  IF(P461&lt;=4,   2,
  IF(P461&lt;=5.5, 3, 4))))</f>
        <v/>
      </c>
      <c r="S461" s="147" t="str">
        <f t="shared" ca="1" si="948"/>
        <v/>
      </c>
      <c r="T461" s="147" t="str">
        <f t="shared" ca="1" si="520"/>
        <v>No Data</v>
      </c>
      <c r="U461" s="147">
        <f t="shared" ref="U461:U468" si="949">IF(COUNTIF($A$2:A461, A461)=1, 1, 0)</f>
        <v>1</v>
      </c>
      <c r="V461" s="147"/>
    </row>
    <row r="462" spans="1:22">
      <c r="A462" s="157" t="s">
        <v>338</v>
      </c>
      <c r="B462" s="3" t="s">
        <v>339</v>
      </c>
      <c r="C462" s="160" t="s">
        <v>90</v>
      </c>
      <c r="D462" s="160" t="s">
        <v>883</v>
      </c>
      <c r="E462" s="3" t="s">
        <v>21</v>
      </c>
      <c r="F462" s="3" t="s">
        <v>926</v>
      </c>
      <c r="G462" s="3"/>
      <c r="H462" s="156" t="str">
        <f ca="1">IFERROR(
  _xludf.MINIFS(ATTENDANCE_LOG!$F:$F,
         ATTENDANCE_LOG!$A:$A, C462,
         ATTENDANCE_LOG!$B:$B, E462),
"")</f>
        <v/>
      </c>
      <c r="I462" s="3">
        <f>IFERROR(VLOOKUP(F462, LEVEL_HELPER!$A:$B, 2, 0), "")</f>
        <v>1</v>
      </c>
      <c r="J462" s="3" t="str">
        <f>IFERROR(VLOOKUP(G462, LEVEL_HELPER!$A:$B, 2, 0), "")</f>
        <v/>
      </c>
      <c r="K462" s="3">
        <f t="shared" ref="K462:L462" si="950">IF(OR(I462="", I462=0), "",
  IF(I462&lt;=2,   1,
  IF(I462&lt;=4,   2,
  IF(I462&lt;=5.5, 3, 4))))</f>
        <v>1</v>
      </c>
      <c r="L462" s="3" t="str">
        <f t="shared" si="950"/>
        <v/>
      </c>
      <c r="M462" s="3" t="str">
        <f t="shared" si="516"/>
        <v>No Data</v>
      </c>
      <c r="N462" s="157" t="s">
        <v>930</v>
      </c>
      <c r="O462" s="157" t="s">
        <v>925</v>
      </c>
      <c r="P462" s="3" t="str">
        <f t="shared" ca="1" si="517"/>
        <v/>
      </c>
      <c r="Q462" s="147" t="str">
        <f t="shared" ca="1" si="518"/>
        <v/>
      </c>
      <c r="R462" s="147" t="str">
        <f t="shared" ref="R462:S462" ca="1" si="951">IF(OR(P462="", P462=0), "",
  IF(P462&lt;=2,   1,
  IF(P462&lt;=4,   2,
  IF(P462&lt;=5.5, 3, 4))))</f>
        <v/>
      </c>
      <c r="S462" s="147" t="str">
        <f t="shared" ca="1" si="951"/>
        <v/>
      </c>
      <c r="T462" s="147" t="str">
        <f t="shared" ca="1" si="520"/>
        <v>No Data</v>
      </c>
      <c r="U462" s="147">
        <f t="shared" si="949"/>
        <v>1</v>
      </c>
      <c r="V462" s="147"/>
    </row>
    <row r="463" spans="1:22">
      <c r="A463" s="157" t="s">
        <v>379</v>
      </c>
      <c r="B463" s="3" t="s">
        <v>380</v>
      </c>
      <c r="C463" s="160" t="s">
        <v>90</v>
      </c>
      <c r="D463" s="160" t="s">
        <v>883</v>
      </c>
      <c r="E463" s="3" t="s">
        <v>21</v>
      </c>
      <c r="F463" s="3" t="s">
        <v>926</v>
      </c>
      <c r="G463" s="3"/>
      <c r="H463" s="156" t="str">
        <f ca="1">IFERROR(
  _xludf.MINIFS(ATTENDANCE_LOG!$F:$F,
         ATTENDANCE_LOG!$A:$A, C463,
         ATTENDANCE_LOG!$B:$B, E463),
"")</f>
        <v/>
      </c>
      <c r="I463" s="3">
        <f>IFERROR(VLOOKUP(F463, LEVEL_HELPER!$A:$B, 2, 0), "")</f>
        <v>1</v>
      </c>
      <c r="J463" s="3" t="str">
        <f>IFERROR(VLOOKUP(G463, LEVEL_HELPER!$A:$B, 2, 0), "")</f>
        <v/>
      </c>
      <c r="K463" s="3">
        <f t="shared" ref="K463:L463" si="952">IF(OR(I463="", I463=0), "",
  IF(I463&lt;=2,   1,
  IF(I463&lt;=4,   2,
  IF(I463&lt;=5.5, 3, 4))))</f>
        <v>1</v>
      </c>
      <c r="L463" s="3" t="str">
        <f t="shared" si="952"/>
        <v/>
      </c>
      <c r="M463" s="3" t="str">
        <f t="shared" si="516"/>
        <v>No Data</v>
      </c>
      <c r="N463" s="157" t="s">
        <v>930</v>
      </c>
      <c r="O463" s="157" t="s">
        <v>925</v>
      </c>
      <c r="P463" s="3" t="str">
        <f t="shared" ca="1" si="517"/>
        <v/>
      </c>
      <c r="Q463" s="147" t="str">
        <f t="shared" ca="1" si="518"/>
        <v/>
      </c>
      <c r="R463" s="147" t="str">
        <f t="shared" ref="R463:S463" ca="1" si="953">IF(OR(P463="", P463=0), "",
  IF(P463&lt;=2,   1,
  IF(P463&lt;=4,   2,
  IF(P463&lt;=5.5, 3, 4))))</f>
        <v/>
      </c>
      <c r="S463" s="147" t="str">
        <f t="shared" ca="1" si="953"/>
        <v/>
      </c>
      <c r="T463" s="147" t="str">
        <f t="shared" ca="1" si="520"/>
        <v>No Data</v>
      </c>
      <c r="U463" s="147">
        <f t="shared" si="949"/>
        <v>1</v>
      </c>
      <c r="V463" s="147"/>
    </row>
    <row r="464" spans="1:22">
      <c r="A464" s="157" t="s">
        <v>449</v>
      </c>
      <c r="B464" s="3" t="s">
        <v>450</v>
      </c>
      <c r="C464" s="160" t="s">
        <v>90</v>
      </c>
      <c r="D464" s="160" t="s">
        <v>883</v>
      </c>
      <c r="E464" s="3" t="s">
        <v>21</v>
      </c>
      <c r="F464" s="3" t="s">
        <v>926</v>
      </c>
      <c r="G464" s="3"/>
      <c r="H464" s="156" t="str">
        <f ca="1">IFERROR(
  _xludf.MINIFS(ATTENDANCE_LOG!$F:$F,
         ATTENDANCE_LOG!$A:$A, C464,
         ATTENDANCE_LOG!$B:$B, E464),
"")</f>
        <v/>
      </c>
      <c r="I464" s="3">
        <f>IFERROR(VLOOKUP(F464, LEVEL_HELPER!$A:$B, 2, 0), "")</f>
        <v>1</v>
      </c>
      <c r="J464" s="3" t="str">
        <f>IFERROR(VLOOKUP(G464, LEVEL_HELPER!$A:$B, 2, 0), "")</f>
        <v/>
      </c>
      <c r="K464" s="3">
        <f t="shared" ref="K464:L464" si="954">IF(OR(I464="", I464=0), "",
  IF(I464&lt;=2,   1,
  IF(I464&lt;=4,   2,
  IF(I464&lt;=5.5, 3, 4))))</f>
        <v>1</v>
      </c>
      <c r="L464" s="3" t="str">
        <f t="shared" si="954"/>
        <v/>
      </c>
      <c r="M464" s="3" t="str">
        <f t="shared" si="516"/>
        <v>No Data</v>
      </c>
      <c r="N464" s="157" t="s">
        <v>930</v>
      </c>
      <c r="O464" s="157" t="s">
        <v>919</v>
      </c>
      <c r="P464" s="3" t="str">
        <f t="shared" ca="1" si="517"/>
        <v/>
      </c>
      <c r="Q464" s="147" t="str">
        <f t="shared" ca="1" si="518"/>
        <v/>
      </c>
      <c r="R464" s="147" t="str">
        <f t="shared" ref="R464:S464" ca="1" si="955">IF(OR(P464="", P464=0), "",
  IF(P464&lt;=2,   1,
  IF(P464&lt;=4,   2,
  IF(P464&lt;=5.5, 3, 4))))</f>
        <v/>
      </c>
      <c r="S464" s="147" t="str">
        <f t="shared" ca="1" si="955"/>
        <v/>
      </c>
      <c r="T464" s="147" t="str">
        <f t="shared" ca="1" si="520"/>
        <v>No Data</v>
      </c>
      <c r="U464" s="147">
        <f t="shared" si="949"/>
        <v>1</v>
      </c>
      <c r="V464" s="147"/>
    </row>
    <row r="465" spans="1:22">
      <c r="A465" s="157" t="s">
        <v>455</v>
      </c>
      <c r="B465" s="3" t="s">
        <v>456</v>
      </c>
      <c r="C465" s="160" t="s">
        <v>90</v>
      </c>
      <c r="D465" s="160" t="s">
        <v>883</v>
      </c>
      <c r="E465" s="3" t="s">
        <v>21</v>
      </c>
      <c r="F465" s="3" t="s">
        <v>926</v>
      </c>
      <c r="G465" s="3"/>
      <c r="H465" s="156" t="str">
        <f ca="1">IFERROR(
  _xludf.MINIFS(ATTENDANCE_LOG!$F:$F,
         ATTENDANCE_LOG!$A:$A, C465,
         ATTENDANCE_LOG!$B:$B, E465),
"")</f>
        <v/>
      </c>
      <c r="I465" s="3">
        <f>IFERROR(VLOOKUP(F465, LEVEL_HELPER!$A:$B, 2, 0), "")</f>
        <v>1</v>
      </c>
      <c r="J465" s="3" t="str">
        <f>IFERROR(VLOOKUP(G465, LEVEL_HELPER!$A:$B, 2, 0), "")</f>
        <v/>
      </c>
      <c r="K465" s="3">
        <f t="shared" ref="K465:L465" si="956">IF(OR(I465="", I465=0), "",
  IF(I465&lt;=2,   1,
  IF(I465&lt;=4,   2,
  IF(I465&lt;=5.5, 3, 4))))</f>
        <v>1</v>
      </c>
      <c r="L465" s="3" t="str">
        <f t="shared" si="956"/>
        <v/>
      </c>
      <c r="M465" s="3" t="str">
        <f t="shared" si="516"/>
        <v>No Data</v>
      </c>
      <c r="N465" s="157" t="s">
        <v>930</v>
      </c>
      <c r="O465" s="157" t="s">
        <v>919</v>
      </c>
      <c r="P465" s="3" t="str">
        <f t="shared" ca="1" si="517"/>
        <v/>
      </c>
      <c r="Q465" s="147" t="str">
        <f t="shared" ca="1" si="518"/>
        <v/>
      </c>
      <c r="R465" s="147" t="str">
        <f t="shared" ref="R465:S465" ca="1" si="957">IF(OR(P465="", P465=0), "",
  IF(P465&lt;=2,   1,
  IF(P465&lt;=4,   2,
  IF(P465&lt;=5.5, 3, 4))))</f>
        <v/>
      </c>
      <c r="S465" s="147" t="str">
        <f t="shared" ca="1" si="957"/>
        <v/>
      </c>
      <c r="T465" s="147" t="str">
        <f t="shared" ca="1" si="520"/>
        <v>No Data</v>
      </c>
      <c r="U465" s="147">
        <f t="shared" si="949"/>
        <v>1</v>
      </c>
      <c r="V465" s="147"/>
    </row>
    <row r="466" spans="1:22">
      <c r="A466" s="157" t="s">
        <v>490</v>
      </c>
      <c r="B466" s="3" t="s">
        <v>491</v>
      </c>
      <c r="C466" s="160" t="s">
        <v>90</v>
      </c>
      <c r="D466" s="160" t="s">
        <v>883</v>
      </c>
      <c r="E466" s="3" t="s">
        <v>21</v>
      </c>
      <c r="F466" s="3" t="s">
        <v>926</v>
      </c>
      <c r="G466" s="3"/>
      <c r="H466" s="156" t="str">
        <f ca="1">IFERROR(
  _xludf.MINIFS(ATTENDANCE_LOG!$F:$F,
         ATTENDANCE_LOG!$A:$A, C466,
         ATTENDANCE_LOG!$B:$B, E466),
"")</f>
        <v/>
      </c>
      <c r="I466" s="3">
        <f>IFERROR(VLOOKUP(F466, LEVEL_HELPER!$A:$B, 2, 0), "")</f>
        <v>1</v>
      </c>
      <c r="J466" s="3" t="str">
        <f>IFERROR(VLOOKUP(G466, LEVEL_HELPER!$A:$B, 2, 0), "")</f>
        <v/>
      </c>
      <c r="K466" s="3">
        <f t="shared" ref="K466:L466" si="958">IF(OR(I466="", I466=0), "",
  IF(I466&lt;=2,   1,
  IF(I466&lt;=4,   2,
  IF(I466&lt;=5.5, 3, 4))))</f>
        <v>1</v>
      </c>
      <c r="L466" s="3" t="str">
        <f t="shared" si="958"/>
        <v/>
      </c>
      <c r="M466" s="3" t="str">
        <f t="shared" si="516"/>
        <v>No Data</v>
      </c>
      <c r="N466" s="157" t="s">
        <v>930</v>
      </c>
      <c r="O466" s="157" t="s">
        <v>925</v>
      </c>
      <c r="P466" s="3" t="str">
        <f t="shared" ca="1" si="517"/>
        <v/>
      </c>
      <c r="Q466" s="147" t="str">
        <f t="shared" ca="1" si="518"/>
        <v/>
      </c>
      <c r="R466" s="147" t="str">
        <f t="shared" ref="R466:S466" ca="1" si="959">IF(OR(P466="", P466=0), "",
  IF(P466&lt;=2,   1,
  IF(P466&lt;=4,   2,
  IF(P466&lt;=5.5, 3, 4))))</f>
        <v/>
      </c>
      <c r="S466" s="147" t="str">
        <f t="shared" ca="1" si="959"/>
        <v/>
      </c>
      <c r="T466" s="147" t="str">
        <f t="shared" ca="1" si="520"/>
        <v>No Data</v>
      </c>
      <c r="U466" s="147">
        <f t="shared" si="949"/>
        <v>1</v>
      </c>
      <c r="V466" s="147"/>
    </row>
    <row r="467" spans="1:22">
      <c r="A467" s="157" t="s">
        <v>500</v>
      </c>
      <c r="B467" s="3" t="s">
        <v>501</v>
      </c>
      <c r="C467" s="160" t="s">
        <v>90</v>
      </c>
      <c r="D467" s="160" t="s">
        <v>883</v>
      </c>
      <c r="E467" s="3" t="s">
        <v>21</v>
      </c>
      <c r="F467" s="3" t="s">
        <v>926</v>
      </c>
      <c r="G467" s="3"/>
      <c r="H467" s="156" t="str">
        <f ca="1">IFERROR(
  _xludf.MINIFS(ATTENDANCE_LOG!$F:$F,
         ATTENDANCE_LOG!$A:$A, C467,
         ATTENDANCE_LOG!$B:$B, E467),
"")</f>
        <v/>
      </c>
      <c r="I467" s="3">
        <f>IFERROR(VLOOKUP(F467, LEVEL_HELPER!$A:$B, 2, 0), "")</f>
        <v>1</v>
      </c>
      <c r="J467" s="3" t="str">
        <f>IFERROR(VLOOKUP(G467, LEVEL_HELPER!$A:$B, 2, 0), "")</f>
        <v/>
      </c>
      <c r="K467" s="3">
        <f t="shared" ref="K467:L467" si="960">IF(OR(I467="", I467=0), "",
  IF(I467&lt;=2,   1,
  IF(I467&lt;=4,   2,
  IF(I467&lt;=5.5, 3, 4))))</f>
        <v>1</v>
      </c>
      <c r="L467" s="3" t="str">
        <f t="shared" si="960"/>
        <v/>
      </c>
      <c r="M467" s="3" t="str">
        <f t="shared" si="516"/>
        <v>No Data</v>
      </c>
      <c r="N467" s="157" t="s">
        <v>946</v>
      </c>
      <c r="O467" s="157" t="s">
        <v>919</v>
      </c>
      <c r="P467" s="3" t="str">
        <f t="shared" ca="1" si="517"/>
        <v/>
      </c>
      <c r="Q467" s="147" t="str">
        <f t="shared" ca="1" si="518"/>
        <v/>
      </c>
      <c r="R467" s="147" t="str">
        <f t="shared" ref="R467:S467" ca="1" si="961">IF(OR(P467="", P467=0), "",
  IF(P467&lt;=2,   1,
  IF(P467&lt;=4,   2,
  IF(P467&lt;=5.5, 3, 4))))</f>
        <v/>
      </c>
      <c r="S467" s="147" t="str">
        <f t="shared" ca="1" si="961"/>
        <v/>
      </c>
      <c r="T467" s="147" t="str">
        <f t="shared" ca="1" si="520"/>
        <v>No Data</v>
      </c>
      <c r="U467" s="147">
        <f t="shared" si="949"/>
        <v>1</v>
      </c>
      <c r="V467" s="147"/>
    </row>
    <row r="468" spans="1:22">
      <c r="A468" s="157" t="s">
        <v>551</v>
      </c>
      <c r="B468" s="3" t="s">
        <v>552</v>
      </c>
      <c r="C468" s="160" t="s">
        <v>90</v>
      </c>
      <c r="D468" s="160" t="s">
        <v>883</v>
      </c>
      <c r="E468" s="3" t="s">
        <v>21</v>
      </c>
      <c r="F468" s="3" t="s">
        <v>926</v>
      </c>
      <c r="G468" s="3"/>
      <c r="H468" s="156" t="str">
        <f ca="1">IFERROR(
  _xludf.MINIFS(ATTENDANCE_LOG!$F:$F,
         ATTENDANCE_LOG!$A:$A, C468,
         ATTENDANCE_LOG!$B:$B, E468),
"")</f>
        <v/>
      </c>
      <c r="I468" s="3">
        <f>IFERROR(VLOOKUP(F468, LEVEL_HELPER!$A:$B, 2, 0), "")</f>
        <v>1</v>
      </c>
      <c r="J468" s="3" t="str">
        <f>IFERROR(VLOOKUP(G468, LEVEL_HELPER!$A:$B, 2, 0), "")</f>
        <v/>
      </c>
      <c r="K468" s="3">
        <f t="shared" ref="K468:L468" si="962">IF(OR(I468="", I468=0), "",
  IF(I468&lt;=2,   1,
  IF(I468&lt;=4,   2,
  IF(I468&lt;=5.5, 3, 4))))</f>
        <v>1</v>
      </c>
      <c r="L468" s="3" t="str">
        <f t="shared" si="962"/>
        <v/>
      </c>
      <c r="M468" s="3" t="str">
        <f t="shared" si="516"/>
        <v>No Data</v>
      </c>
      <c r="N468" s="157" t="s">
        <v>930</v>
      </c>
      <c r="O468" s="157" t="s">
        <v>925</v>
      </c>
      <c r="P468" s="3" t="str">
        <f t="shared" ca="1" si="517"/>
        <v/>
      </c>
      <c r="Q468" s="147" t="str">
        <f t="shared" ca="1" si="518"/>
        <v/>
      </c>
      <c r="R468" s="147" t="str">
        <f t="shared" ref="R468:S468" ca="1" si="963">IF(OR(P468="", P468=0), "",
  IF(P468&lt;=2,   1,
  IF(P468&lt;=4,   2,
  IF(P468&lt;=5.5, 3, 4))))</f>
        <v/>
      </c>
      <c r="S468" s="147" t="str">
        <f t="shared" ca="1" si="963"/>
        <v/>
      </c>
      <c r="T468" s="147" t="str">
        <f t="shared" ca="1" si="520"/>
        <v>No Data</v>
      </c>
      <c r="U468" s="147">
        <f t="shared" si="949"/>
        <v>1</v>
      </c>
      <c r="V468" s="147"/>
    </row>
    <row r="469" spans="1:22">
      <c r="A469" s="176" t="s">
        <v>609</v>
      </c>
      <c r="B469" s="154" t="s">
        <v>610</v>
      </c>
      <c r="C469" s="155" t="s">
        <v>91</v>
      </c>
      <c r="D469" s="155" t="s">
        <v>884</v>
      </c>
      <c r="E469" s="154" t="s">
        <v>21</v>
      </c>
      <c r="F469" s="154" t="s">
        <v>926</v>
      </c>
      <c r="G469" s="154" t="s">
        <v>934</v>
      </c>
      <c r="H469" s="156" t="str">
        <f ca="1">IFERROR(
  _xludf.MINIFS(ATTENDANCE_LOG!$F:$F,
         ATTENDANCE_LOG!$A:$A, C469,
         ATTENDANCE_LOG!$B:$B, E469),
"")</f>
        <v/>
      </c>
      <c r="I469" s="154">
        <f>IFERROR(VLOOKUP(F469, LEVEL_HELPER!$A:$B, 2, 0), "")</f>
        <v>1</v>
      </c>
      <c r="J469" s="154">
        <f>IFERROR(VLOOKUP(G469, LEVEL_HELPER!$A:$B, 2, 0), "")</f>
        <v>3.5</v>
      </c>
      <c r="K469" s="154">
        <f t="shared" ref="K469:L469" si="964">IF(OR(I469="", I469=0), "",
  IF(I469&lt;=2,   1,
  IF(I469&lt;=4,   2,
  IF(I469&lt;=5.5, 3, 4))))</f>
        <v>1</v>
      </c>
      <c r="L469" s="3">
        <f t="shared" si="964"/>
        <v>2</v>
      </c>
      <c r="M469" s="3" t="str">
        <f t="shared" si="516"/>
        <v>Lv1 → Lv2</v>
      </c>
      <c r="N469" s="176" t="s">
        <v>930</v>
      </c>
      <c r="O469" s="176" t="s">
        <v>919</v>
      </c>
      <c r="P469" s="154" t="str">
        <f t="shared" ca="1" si="517"/>
        <v/>
      </c>
      <c r="Q469" s="177" t="str">
        <f t="shared" ca="1" si="518"/>
        <v/>
      </c>
      <c r="R469" s="177" t="str">
        <f t="shared" ref="R469:S469" ca="1" si="965">IF(OR(P469="", P469=0), "",
  IF(P469&lt;=2,   1,
  IF(P469&lt;=4,   2,
  IF(P469&lt;=5.5, 3, 4))))</f>
        <v/>
      </c>
      <c r="S469" s="177" t="str">
        <f t="shared" ca="1" si="965"/>
        <v/>
      </c>
      <c r="T469" s="177" t="str">
        <f t="shared" ca="1" si="520"/>
        <v>No Data</v>
      </c>
      <c r="U469" s="177">
        <f>IF(COUNTIF($A$2:A474, A469)=1, 1, 0)</f>
        <v>1</v>
      </c>
      <c r="V469" s="177"/>
    </row>
    <row r="470" spans="1:22">
      <c r="A470" s="157" t="s">
        <v>206</v>
      </c>
      <c r="B470" s="3" t="s">
        <v>207</v>
      </c>
      <c r="C470" s="160" t="s">
        <v>91</v>
      </c>
      <c r="D470" s="160" t="s">
        <v>884</v>
      </c>
      <c r="E470" s="3" t="s">
        <v>21</v>
      </c>
      <c r="F470" s="3" t="s">
        <v>926</v>
      </c>
      <c r="G470" s="3" t="s">
        <v>917</v>
      </c>
      <c r="H470" s="156" t="str">
        <f ca="1">IFERROR(
  _xludf.MINIFS(ATTENDANCE_LOG!$F:$F,
         ATTENDANCE_LOG!$A:$A, C470,
         ATTENDANCE_LOG!$B:$B, E470),
"")</f>
        <v/>
      </c>
      <c r="I470" s="3">
        <f>IFERROR(VLOOKUP(F470, LEVEL_HELPER!$A:$B, 2, 0), "")</f>
        <v>1</v>
      </c>
      <c r="J470" s="3">
        <f>IFERROR(VLOOKUP(G470, LEVEL_HELPER!$A:$B, 2, 0), "")</f>
        <v>3</v>
      </c>
      <c r="K470" s="3">
        <f t="shared" ref="K470:L470" si="966">IF(OR(I470="", I470=0), "",
  IF(I470&lt;=2,   1,
  IF(I470&lt;=4,   2,
  IF(I470&lt;=5.5, 3, 4))))</f>
        <v>1</v>
      </c>
      <c r="L470" s="3">
        <f t="shared" si="966"/>
        <v>2</v>
      </c>
      <c r="M470" s="3" t="str">
        <f t="shared" si="516"/>
        <v>Lv1 → Lv2</v>
      </c>
      <c r="N470" s="157" t="s">
        <v>930</v>
      </c>
      <c r="O470" s="157" t="s">
        <v>919</v>
      </c>
      <c r="P470" s="3" t="str">
        <f t="shared" ca="1" si="517"/>
        <v/>
      </c>
      <c r="Q470" s="147" t="str">
        <f t="shared" ca="1" si="518"/>
        <v/>
      </c>
      <c r="R470" s="147" t="str">
        <f t="shared" ref="R470:S470" ca="1" si="967">IF(OR(P470="", P470=0), "",
  IF(P470&lt;=2,   1,
  IF(P470&lt;=4,   2,
  IF(P470&lt;=5.5, 3, 4))))</f>
        <v/>
      </c>
      <c r="S470" s="147" t="str">
        <f t="shared" ca="1" si="967"/>
        <v/>
      </c>
      <c r="T470" s="147" t="str">
        <f t="shared" ca="1" si="520"/>
        <v>No Data</v>
      </c>
      <c r="U470" s="147">
        <f t="shared" ref="U470:U474" si="968">IF(COUNTIF($A$2:A470, A470)=1, 1, 0)</f>
        <v>1</v>
      </c>
      <c r="V470" s="147"/>
    </row>
    <row r="471" spans="1:22">
      <c r="A471" s="157" t="s">
        <v>372</v>
      </c>
      <c r="B471" s="3" t="s">
        <v>373</v>
      </c>
      <c r="C471" s="160" t="s">
        <v>91</v>
      </c>
      <c r="D471" s="160" t="s">
        <v>884</v>
      </c>
      <c r="E471" s="3" t="s">
        <v>21</v>
      </c>
      <c r="F471" s="3" t="s">
        <v>926</v>
      </c>
      <c r="G471" s="3" t="s">
        <v>917</v>
      </c>
      <c r="H471" s="156" t="str">
        <f ca="1">IFERROR(
  _xludf.MINIFS(ATTENDANCE_LOG!$F:$F,
         ATTENDANCE_LOG!$A:$A, C471,
         ATTENDANCE_LOG!$B:$B, E471),
"")</f>
        <v/>
      </c>
      <c r="I471" s="3">
        <f>IFERROR(VLOOKUP(F471, LEVEL_HELPER!$A:$B, 2, 0), "")</f>
        <v>1</v>
      </c>
      <c r="J471" s="3">
        <f>IFERROR(VLOOKUP(G471, LEVEL_HELPER!$A:$B, 2, 0), "")</f>
        <v>3</v>
      </c>
      <c r="K471" s="3">
        <f t="shared" ref="K471:L471" si="969">IF(OR(I471="", I471=0), "",
  IF(I471&lt;=2,   1,
  IF(I471&lt;=4,   2,
  IF(I471&lt;=5.5, 3, 4))))</f>
        <v>1</v>
      </c>
      <c r="L471" s="3">
        <f t="shared" si="969"/>
        <v>2</v>
      </c>
      <c r="M471" s="3" t="str">
        <f t="shared" si="516"/>
        <v>Lv1 → Lv2</v>
      </c>
      <c r="N471" s="157" t="s">
        <v>930</v>
      </c>
      <c r="O471" s="157" t="s">
        <v>919</v>
      </c>
      <c r="P471" s="3" t="str">
        <f t="shared" ca="1" si="517"/>
        <v/>
      </c>
      <c r="Q471" s="147" t="str">
        <f t="shared" ca="1" si="518"/>
        <v/>
      </c>
      <c r="R471" s="147" t="str">
        <f t="shared" ref="R471:S471" ca="1" si="970">IF(OR(P471="", P471=0), "",
  IF(P471&lt;=2,   1,
  IF(P471&lt;=4,   2,
  IF(P471&lt;=5.5, 3, 4))))</f>
        <v/>
      </c>
      <c r="S471" s="147" t="str">
        <f t="shared" ca="1" si="970"/>
        <v/>
      </c>
      <c r="T471" s="147" t="str">
        <f t="shared" ca="1" si="520"/>
        <v>No Data</v>
      </c>
      <c r="U471" s="147">
        <f t="shared" si="968"/>
        <v>1</v>
      </c>
      <c r="V471" s="147"/>
    </row>
    <row r="472" spans="1:22">
      <c r="A472" s="157" t="s">
        <v>419</v>
      </c>
      <c r="B472" s="3" t="s">
        <v>420</v>
      </c>
      <c r="C472" s="160" t="s">
        <v>91</v>
      </c>
      <c r="D472" s="160" t="s">
        <v>884</v>
      </c>
      <c r="E472" s="3" t="s">
        <v>21</v>
      </c>
      <c r="F472" s="3" t="s">
        <v>926</v>
      </c>
      <c r="G472" s="3" t="s">
        <v>917</v>
      </c>
      <c r="H472" s="156" t="str">
        <f ca="1">IFERROR(
  _xludf.MINIFS(ATTENDANCE_LOG!$F:$F,
         ATTENDANCE_LOG!$A:$A, C472,
         ATTENDANCE_LOG!$B:$B, E472),
"")</f>
        <v/>
      </c>
      <c r="I472" s="3">
        <f>IFERROR(VLOOKUP(F472, LEVEL_HELPER!$A:$B, 2, 0), "")</f>
        <v>1</v>
      </c>
      <c r="J472" s="3">
        <f>IFERROR(VLOOKUP(G472, LEVEL_HELPER!$A:$B, 2, 0), "")</f>
        <v>3</v>
      </c>
      <c r="K472" s="3">
        <f t="shared" ref="K472:L472" si="971">IF(OR(I472="", I472=0), "",
  IF(I472&lt;=2,   1,
  IF(I472&lt;=4,   2,
  IF(I472&lt;=5.5, 3, 4))))</f>
        <v>1</v>
      </c>
      <c r="L472" s="3">
        <f t="shared" si="971"/>
        <v>2</v>
      </c>
      <c r="M472" s="3" t="str">
        <f t="shared" si="516"/>
        <v>Lv1 → Lv2</v>
      </c>
      <c r="N472" s="157" t="s">
        <v>942</v>
      </c>
      <c r="O472" s="157" t="s">
        <v>922</v>
      </c>
      <c r="P472" s="3" t="str">
        <f t="shared" ca="1" si="517"/>
        <v/>
      </c>
      <c r="Q472" s="147" t="str">
        <f t="shared" ca="1" si="518"/>
        <v/>
      </c>
      <c r="R472" s="147" t="str">
        <f t="shared" ref="R472:S472" ca="1" si="972">IF(OR(P472="", P472=0), "",
  IF(P472&lt;=2,   1,
  IF(P472&lt;=4,   2,
  IF(P472&lt;=5.5, 3, 4))))</f>
        <v/>
      </c>
      <c r="S472" s="147" t="str">
        <f t="shared" ca="1" si="972"/>
        <v/>
      </c>
      <c r="T472" s="147" t="str">
        <f t="shared" ca="1" si="520"/>
        <v>No Data</v>
      </c>
      <c r="U472" s="147">
        <f t="shared" si="968"/>
        <v>0</v>
      </c>
      <c r="V472" s="147"/>
    </row>
    <row r="473" spans="1:22">
      <c r="A473" s="157" t="s">
        <v>459</v>
      </c>
      <c r="B473" s="3" t="s">
        <v>460</v>
      </c>
      <c r="C473" s="160" t="s">
        <v>91</v>
      </c>
      <c r="D473" s="160" t="s">
        <v>884</v>
      </c>
      <c r="E473" s="3" t="s">
        <v>21</v>
      </c>
      <c r="F473" s="3" t="s">
        <v>926</v>
      </c>
      <c r="G473" s="3" t="s">
        <v>934</v>
      </c>
      <c r="H473" s="156" t="str">
        <f ca="1">IFERROR(
  _xludf.MINIFS(ATTENDANCE_LOG!$F:$F,
         ATTENDANCE_LOG!$A:$A, C473,
         ATTENDANCE_LOG!$B:$B, E473),
"")</f>
        <v/>
      </c>
      <c r="I473" s="3">
        <f>IFERROR(VLOOKUP(F473, LEVEL_HELPER!$A:$B, 2, 0), "")</f>
        <v>1</v>
      </c>
      <c r="J473" s="3">
        <f>IFERROR(VLOOKUP(G473, LEVEL_HELPER!$A:$B, 2, 0), "")</f>
        <v>3.5</v>
      </c>
      <c r="K473" s="3">
        <f t="shared" ref="K473:L473" si="973">IF(OR(I473="", I473=0), "",
  IF(I473&lt;=2,   1,
  IF(I473&lt;=4,   2,
  IF(I473&lt;=5.5, 3, 4))))</f>
        <v>1</v>
      </c>
      <c r="L473" s="3">
        <f t="shared" si="973"/>
        <v>2</v>
      </c>
      <c r="M473" s="3" t="str">
        <f t="shared" si="516"/>
        <v>Lv1 → Lv2</v>
      </c>
      <c r="N473" s="157" t="s">
        <v>930</v>
      </c>
      <c r="O473" s="157" t="s">
        <v>919</v>
      </c>
      <c r="P473" s="3" t="str">
        <f t="shared" ca="1" si="517"/>
        <v/>
      </c>
      <c r="Q473" s="147" t="str">
        <f t="shared" ca="1" si="518"/>
        <v/>
      </c>
      <c r="R473" s="147" t="str">
        <f t="shared" ref="R473:S473" ca="1" si="974">IF(OR(P473="", P473=0), "",
  IF(P473&lt;=2,   1,
  IF(P473&lt;=4,   2,
  IF(P473&lt;=5.5, 3, 4))))</f>
        <v/>
      </c>
      <c r="S473" s="147" t="str">
        <f t="shared" ca="1" si="974"/>
        <v/>
      </c>
      <c r="T473" s="147" t="str">
        <f t="shared" ca="1" si="520"/>
        <v>No Data</v>
      </c>
      <c r="U473" s="147">
        <f t="shared" si="968"/>
        <v>1</v>
      </c>
      <c r="V473" s="147"/>
    </row>
    <row r="474" spans="1:22">
      <c r="A474" s="157" t="s">
        <v>536</v>
      </c>
      <c r="B474" s="3" t="s">
        <v>537</v>
      </c>
      <c r="C474" s="160" t="s">
        <v>91</v>
      </c>
      <c r="D474" s="160" t="s">
        <v>884</v>
      </c>
      <c r="E474" s="3" t="s">
        <v>21</v>
      </c>
      <c r="F474" s="3" t="s">
        <v>926</v>
      </c>
      <c r="G474" s="3" t="s">
        <v>934</v>
      </c>
      <c r="H474" s="156" t="str">
        <f ca="1">IFERROR(
  _xludf.MINIFS(ATTENDANCE_LOG!$F:$F,
         ATTENDANCE_LOG!$A:$A, C474,
         ATTENDANCE_LOG!$B:$B, E474),
"")</f>
        <v/>
      </c>
      <c r="I474" s="3">
        <f>IFERROR(VLOOKUP(F474, LEVEL_HELPER!$A:$B, 2, 0), "")</f>
        <v>1</v>
      </c>
      <c r="J474" s="3">
        <f>IFERROR(VLOOKUP(G474, LEVEL_HELPER!$A:$B, 2, 0), "")</f>
        <v>3.5</v>
      </c>
      <c r="K474" s="3">
        <f t="shared" ref="K474:L474" si="975">IF(OR(I474="", I474=0), "",
  IF(I474&lt;=2,   1,
  IF(I474&lt;=4,   2,
  IF(I474&lt;=5.5, 3, 4))))</f>
        <v>1</v>
      </c>
      <c r="L474" s="3">
        <f t="shared" si="975"/>
        <v>2</v>
      </c>
      <c r="M474" s="3" t="str">
        <f t="shared" si="516"/>
        <v>Lv1 → Lv2</v>
      </c>
      <c r="N474" s="157" t="s">
        <v>930</v>
      </c>
      <c r="O474" s="157" t="s">
        <v>919</v>
      </c>
      <c r="P474" s="3" t="str">
        <f t="shared" ca="1" si="517"/>
        <v/>
      </c>
      <c r="Q474" s="147" t="str">
        <f t="shared" ca="1" si="518"/>
        <v/>
      </c>
      <c r="R474" s="147" t="str">
        <f t="shared" ref="R474:S474" ca="1" si="976">IF(OR(P474="", P474=0), "",
  IF(P474&lt;=2,   1,
  IF(P474&lt;=4,   2,
  IF(P474&lt;=5.5, 3, 4))))</f>
        <v/>
      </c>
      <c r="S474" s="147" t="str">
        <f t="shared" ca="1" si="976"/>
        <v/>
      </c>
      <c r="T474" s="147" t="str">
        <f t="shared" ca="1" si="520"/>
        <v>No Data</v>
      </c>
      <c r="U474" s="147">
        <f t="shared" si="968"/>
        <v>1</v>
      </c>
      <c r="V474" s="147"/>
    </row>
    <row r="475" spans="1:22">
      <c r="A475" s="176" t="s">
        <v>609</v>
      </c>
      <c r="B475" s="154" t="s">
        <v>610</v>
      </c>
      <c r="C475" s="155" t="s">
        <v>91</v>
      </c>
      <c r="D475" s="155" t="s">
        <v>884</v>
      </c>
      <c r="E475" s="154" t="s">
        <v>22</v>
      </c>
      <c r="F475" s="154" t="s">
        <v>934</v>
      </c>
      <c r="G475" s="154"/>
      <c r="H475" s="156" t="str">
        <f ca="1">IFERROR(
  _xludf.MINIFS(ATTENDANCE_LOG!$F:$F,
         ATTENDANCE_LOG!$A:$A, C475,
         ATTENDANCE_LOG!$B:$B, E475),
"")</f>
        <v/>
      </c>
      <c r="I475" s="154">
        <f>IFERROR(VLOOKUP(F475, LEVEL_HELPER!$A:$B, 2, 0), "")</f>
        <v>3.5</v>
      </c>
      <c r="J475" s="154" t="str">
        <f>IFERROR(VLOOKUP(G475, LEVEL_HELPER!$A:$B, 2, 0), "")</f>
        <v/>
      </c>
      <c r="K475" s="154">
        <f t="shared" ref="K475:L475" si="977">IF(OR(I475="", I475=0), "",
  IF(I475&lt;=2,   1,
  IF(I475&lt;=4,   2,
  IF(I475&lt;=5.5, 3, 4))))</f>
        <v>2</v>
      </c>
      <c r="L475" s="3" t="str">
        <f t="shared" si="977"/>
        <v/>
      </c>
      <c r="M475" s="3" t="str">
        <f t="shared" si="516"/>
        <v>No Data</v>
      </c>
      <c r="N475" s="176" t="s">
        <v>930</v>
      </c>
      <c r="O475" s="176" t="s">
        <v>919</v>
      </c>
      <c r="P475" s="154" t="str">
        <f t="shared" ca="1" si="517"/>
        <v/>
      </c>
      <c r="Q475" s="177" t="str">
        <f t="shared" ca="1" si="518"/>
        <v/>
      </c>
      <c r="R475" s="177" t="str">
        <f t="shared" ref="R475:S475" ca="1" si="978">IF(OR(P475="", P475=0), "",
  IF(P475&lt;=2,   1,
  IF(P475&lt;=4,   2,
  IF(P475&lt;=5.5, 3, 4))))</f>
        <v/>
      </c>
      <c r="S475" s="177" t="str">
        <f t="shared" ca="1" si="978"/>
        <v/>
      </c>
      <c r="T475" s="177" t="str">
        <f t="shared" ca="1" si="520"/>
        <v>No Data</v>
      </c>
      <c r="U475" s="177">
        <f>IF(COUNTIF($A$2:A480, A475)=1, 1, 0)</f>
        <v>0</v>
      </c>
      <c r="V475" s="177"/>
    </row>
    <row r="476" spans="1:22">
      <c r="A476" s="157" t="s">
        <v>206</v>
      </c>
      <c r="B476" s="3" t="s">
        <v>207</v>
      </c>
      <c r="C476" s="160" t="s">
        <v>91</v>
      </c>
      <c r="D476" s="160" t="s">
        <v>884</v>
      </c>
      <c r="E476" s="3" t="s">
        <v>22</v>
      </c>
      <c r="F476" s="3" t="s">
        <v>917</v>
      </c>
      <c r="G476" s="3"/>
      <c r="H476" s="156" t="str">
        <f ca="1">IFERROR(
  _xludf.MINIFS(ATTENDANCE_LOG!$F:$F,
         ATTENDANCE_LOG!$A:$A, C476,
         ATTENDANCE_LOG!$B:$B, E476),
"")</f>
        <v/>
      </c>
      <c r="I476" s="3">
        <f>IFERROR(VLOOKUP(F476, LEVEL_HELPER!$A:$B, 2, 0), "")</f>
        <v>3</v>
      </c>
      <c r="J476" s="3" t="str">
        <f>IFERROR(VLOOKUP(G476, LEVEL_HELPER!$A:$B, 2, 0), "")</f>
        <v/>
      </c>
      <c r="K476" s="3">
        <f t="shared" ref="K476:L476" si="979">IF(OR(I476="", I476=0), "",
  IF(I476&lt;=2,   1,
  IF(I476&lt;=4,   2,
  IF(I476&lt;=5.5, 3, 4))))</f>
        <v>2</v>
      </c>
      <c r="L476" s="3" t="str">
        <f t="shared" si="979"/>
        <v/>
      </c>
      <c r="M476" s="3" t="str">
        <f t="shared" si="516"/>
        <v>No Data</v>
      </c>
      <c r="N476" s="157" t="s">
        <v>930</v>
      </c>
      <c r="O476" s="157" t="s">
        <v>919</v>
      </c>
      <c r="P476" s="3" t="str">
        <f t="shared" ca="1" si="517"/>
        <v/>
      </c>
      <c r="Q476" s="147" t="str">
        <f t="shared" ca="1" si="518"/>
        <v/>
      </c>
      <c r="R476" s="147" t="str">
        <f t="shared" ref="R476:S476" ca="1" si="980">IF(OR(P476="", P476=0), "",
  IF(P476&lt;=2,   1,
  IF(P476&lt;=4,   2,
  IF(P476&lt;=5.5, 3, 4))))</f>
        <v/>
      </c>
      <c r="S476" s="147" t="str">
        <f t="shared" ca="1" si="980"/>
        <v/>
      </c>
      <c r="T476" s="147" t="str">
        <f t="shared" ca="1" si="520"/>
        <v>No Data</v>
      </c>
      <c r="U476" s="147">
        <f t="shared" ref="U476:U480" si="981">IF(COUNTIF($A$2:A476, A476)=1, 1, 0)</f>
        <v>0</v>
      </c>
      <c r="V476" s="147"/>
    </row>
    <row r="477" spans="1:22">
      <c r="A477" s="157" t="s">
        <v>372</v>
      </c>
      <c r="B477" s="3" t="s">
        <v>373</v>
      </c>
      <c r="C477" s="160" t="s">
        <v>91</v>
      </c>
      <c r="D477" s="160" t="s">
        <v>884</v>
      </c>
      <c r="E477" s="3" t="s">
        <v>22</v>
      </c>
      <c r="F477" s="3" t="s">
        <v>917</v>
      </c>
      <c r="G477" s="3"/>
      <c r="H477" s="156" t="str">
        <f ca="1">IFERROR(
  _xludf.MINIFS(ATTENDANCE_LOG!$F:$F,
         ATTENDANCE_LOG!$A:$A, C477,
         ATTENDANCE_LOG!$B:$B, E477),
"")</f>
        <v/>
      </c>
      <c r="I477" s="3">
        <f>IFERROR(VLOOKUP(F477, LEVEL_HELPER!$A:$B, 2, 0), "")</f>
        <v>3</v>
      </c>
      <c r="J477" s="3" t="str">
        <f>IFERROR(VLOOKUP(G477, LEVEL_HELPER!$A:$B, 2, 0), "")</f>
        <v/>
      </c>
      <c r="K477" s="3">
        <f t="shared" ref="K477:L477" si="982">IF(OR(I477="", I477=0), "",
  IF(I477&lt;=2,   1,
  IF(I477&lt;=4,   2,
  IF(I477&lt;=5.5, 3, 4))))</f>
        <v>2</v>
      </c>
      <c r="L477" s="3" t="str">
        <f t="shared" si="982"/>
        <v/>
      </c>
      <c r="M477" s="3" t="str">
        <f t="shared" si="516"/>
        <v>No Data</v>
      </c>
      <c r="N477" s="157" t="s">
        <v>930</v>
      </c>
      <c r="O477" s="157" t="s">
        <v>919</v>
      </c>
      <c r="P477" s="3" t="str">
        <f t="shared" ca="1" si="517"/>
        <v/>
      </c>
      <c r="Q477" s="147" t="str">
        <f t="shared" ca="1" si="518"/>
        <v/>
      </c>
      <c r="R477" s="147" t="str">
        <f t="shared" ref="R477:S477" ca="1" si="983">IF(OR(P477="", P477=0), "",
  IF(P477&lt;=2,   1,
  IF(P477&lt;=4,   2,
  IF(P477&lt;=5.5, 3, 4))))</f>
        <v/>
      </c>
      <c r="S477" s="147" t="str">
        <f t="shared" ca="1" si="983"/>
        <v/>
      </c>
      <c r="T477" s="147" t="str">
        <f t="shared" ca="1" si="520"/>
        <v>No Data</v>
      </c>
      <c r="U477" s="147">
        <f t="shared" si="981"/>
        <v>0</v>
      </c>
      <c r="V477" s="147"/>
    </row>
    <row r="478" spans="1:22">
      <c r="A478" s="157" t="s">
        <v>419</v>
      </c>
      <c r="B478" s="3" t="s">
        <v>420</v>
      </c>
      <c r="C478" s="160" t="s">
        <v>91</v>
      </c>
      <c r="D478" s="160" t="s">
        <v>884</v>
      </c>
      <c r="E478" s="3" t="s">
        <v>22</v>
      </c>
      <c r="F478" s="3" t="s">
        <v>917</v>
      </c>
      <c r="G478" s="3"/>
      <c r="H478" s="156" t="str">
        <f ca="1">IFERROR(
  _xludf.MINIFS(ATTENDANCE_LOG!$F:$F,
         ATTENDANCE_LOG!$A:$A, C478,
         ATTENDANCE_LOG!$B:$B, E478),
"")</f>
        <v/>
      </c>
      <c r="I478" s="3">
        <f>IFERROR(VLOOKUP(F478, LEVEL_HELPER!$A:$B, 2, 0), "")</f>
        <v>3</v>
      </c>
      <c r="J478" s="3" t="str">
        <f>IFERROR(VLOOKUP(G478, LEVEL_HELPER!$A:$B, 2, 0), "")</f>
        <v/>
      </c>
      <c r="K478" s="3">
        <f t="shared" ref="K478:L478" si="984">IF(OR(I478="", I478=0), "",
  IF(I478&lt;=2,   1,
  IF(I478&lt;=4,   2,
  IF(I478&lt;=5.5, 3, 4))))</f>
        <v>2</v>
      </c>
      <c r="L478" s="3" t="str">
        <f t="shared" si="984"/>
        <v/>
      </c>
      <c r="M478" s="3" t="str">
        <f t="shared" si="516"/>
        <v>No Data</v>
      </c>
      <c r="N478" s="157" t="s">
        <v>942</v>
      </c>
      <c r="O478" s="157" t="s">
        <v>922</v>
      </c>
      <c r="P478" s="3" t="str">
        <f t="shared" ca="1" si="517"/>
        <v/>
      </c>
      <c r="Q478" s="147" t="str">
        <f t="shared" ca="1" si="518"/>
        <v/>
      </c>
      <c r="R478" s="147" t="str">
        <f t="shared" ref="R478:S478" ca="1" si="985">IF(OR(P478="", P478=0), "",
  IF(P478&lt;=2,   1,
  IF(P478&lt;=4,   2,
  IF(P478&lt;=5.5, 3, 4))))</f>
        <v/>
      </c>
      <c r="S478" s="147" t="str">
        <f t="shared" ca="1" si="985"/>
        <v/>
      </c>
      <c r="T478" s="147" t="str">
        <f t="shared" ca="1" si="520"/>
        <v>No Data</v>
      </c>
      <c r="U478" s="147">
        <f t="shared" si="981"/>
        <v>0</v>
      </c>
      <c r="V478" s="147"/>
    </row>
    <row r="479" spans="1:22">
      <c r="A479" s="157" t="s">
        <v>459</v>
      </c>
      <c r="B479" s="3" t="s">
        <v>460</v>
      </c>
      <c r="C479" s="160" t="s">
        <v>91</v>
      </c>
      <c r="D479" s="160" t="s">
        <v>884</v>
      </c>
      <c r="E479" s="3" t="s">
        <v>22</v>
      </c>
      <c r="F479" s="3" t="s">
        <v>934</v>
      </c>
      <c r="G479" s="3"/>
      <c r="H479" s="156" t="str">
        <f ca="1">IFERROR(
  _xludf.MINIFS(ATTENDANCE_LOG!$F:$F,
         ATTENDANCE_LOG!$A:$A, C479,
         ATTENDANCE_LOG!$B:$B, E479),
"")</f>
        <v/>
      </c>
      <c r="I479" s="3">
        <f>IFERROR(VLOOKUP(F479, LEVEL_HELPER!$A:$B, 2, 0), "")</f>
        <v>3.5</v>
      </c>
      <c r="J479" s="3" t="str">
        <f>IFERROR(VLOOKUP(G479, LEVEL_HELPER!$A:$B, 2, 0), "")</f>
        <v/>
      </c>
      <c r="K479" s="3">
        <f t="shared" ref="K479:L479" si="986">IF(OR(I479="", I479=0), "",
  IF(I479&lt;=2,   1,
  IF(I479&lt;=4,   2,
  IF(I479&lt;=5.5, 3, 4))))</f>
        <v>2</v>
      </c>
      <c r="L479" s="3" t="str">
        <f t="shared" si="986"/>
        <v/>
      </c>
      <c r="M479" s="3" t="str">
        <f t="shared" si="516"/>
        <v>No Data</v>
      </c>
      <c r="N479" s="157" t="s">
        <v>930</v>
      </c>
      <c r="O479" s="157" t="s">
        <v>919</v>
      </c>
      <c r="P479" s="3" t="str">
        <f t="shared" ca="1" si="517"/>
        <v/>
      </c>
      <c r="Q479" s="147" t="str">
        <f t="shared" ca="1" si="518"/>
        <v/>
      </c>
      <c r="R479" s="147" t="str">
        <f t="shared" ref="R479:S479" ca="1" si="987">IF(OR(P479="", P479=0), "",
  IF(P479&lt;=2,   1,
  IF(P479&lt;=4,   2,
  IF(P479&lt;=5.5, 3, 4))))</f>
        <v/>
      </c>
      <c r="S479" s="147" t="str">
        <f t="shared" ca="1" si="987"/>
        <v/>
      </c>
      <c r="T479" s="147" t="str">
        <f t="shared" ca="1" si="520"/>
        <v>No Data</v>
      </c>
      <c r="U479" s="147">
        <f t="shared" si="981"/>
        <v>0</v>
      </c>
      <c r="V479" s="147"/>
    </row>
    <row r="480" spans="1:22">
      <c r="A480" s="157" t="s">
        <v>536</v>
      </c>
      <c r="B480" s="3" t="s">
        <v>537</v>
      </c>
      <c r="C480" s="160" t="s">
        <v>91</v>
      </c>
      <c r="D480" s="160" t="s">
        <v>884</v>
      </c>
      <c r="E480" s="3" t="s">
        <v>22</v>
      </c>
      <c r="F480" s="3" t="s">
        <v>934</v>
      </c>
      <c r="G480" s="3"/>
      <c r="H480" s="156" t="str">
        <f ca="1">IFERROR(
  _xludf.MINIFS(ATTENDANCE_LOG!$F:$F,
         ATTENDANCE_LOG!$A:$A, C480,
         ATTENDANCE_LOG!$B:$B, E480),
"")</f>
        <v/>
      </c>
      <c r="I480" s="3">
        <f>IFERROR(VLOOKUP(F480, LEVEL_HELPER!$A:$B, 2, 0), "")</f>
        <v>3.5</v>
      </c>
      <c r="J480" s="3" t="str">
        <f>IFERROR(VLOOKUP(G480, LEVEL_HELPER!$A:$B, 2, 0), "")</f>
        <v/>
      </c>
      <c r="K480" s="3">
        <f t="shared" ref="K480:L480" si="988">IF(OR(I480="", I480=0), "",
  IF(I480&lt;=2,   1,
  IF(I480&lt;=4,   2,
  IF(I480&lt;=5.5, 3, 4))))</f>
        <v>2</v>
      </c>
      <c r="L480" s="3" t="str">
        <f t="shared" si="988"/>
        <v/>
      </c>
      <c r="M480" s="3" t="str">
        <f t="shared" si="516"/>
        <v>No Data</v>
      </c>
      <c r="N480" s="157" t="s">
        <v>930</v>
      </c>
      <c r="O480" s="157" t="s">
        <v>919</v>
      </c>
      <c r="P480" s="3" t="str">
        <f t="shared" ca="1" si="517"/>
        <v/>
      </c>
      <c r="Q480" s="147" t="str">
        <f t="shared" ca="1" si="518"/>
        <v/>
      </c>
      <c r="R480" s="147" t="str">
        <f t="shared" ref="R480:S480" ca="1" si="989">IF(OR(P480="", P480=0), "",
  IF(P480&lt;=2,   1,
  IF(P480&lt;=4,   2,
  IF(P480&lt;=5.5, 3, 4))))</f>
        <v/>
      </c>
      <c r="S480" s="147" t="str">
        <f t="shared" ca="1" si="989"/>
        <v/>
      </c>
      <c r="T480" s="147" t="str">
        <f t="shared" ca="1" si="520"/>
        <v>No Data</v>
      </c>
      <c r="U480" s="147">
        <f t="shared" si="981"/>
        <v>0</v>
      </c>
      <c r="V480" s="147"/>
    </row>
    <row r="481" spans="1:22">
      <c r="A481" s="176" t="s">
        <v>405</v>
      </c>
      <c r="B481" s="154" t="s">
        <v>406</v>
      </c>
      <c r="C481" s="155" t="s">
        <v>92</v>
      </c>
      <c r="D481" s="155" t="s">
        <v>885</v>
      </c>
      <c r="E481" s="154" t="s">
        <v>25</v>
      </c>
      <c r="F481" s="154" t="s">
        <v>25</v>
      </c>
      <c r="G481" s="154" t="s">
        <v>25</v>
      </c>
      <c r="H481" s="156" t="str">
        <f ca="1">IFERROR(
  _xludf.MINIFS(ATTENDANCE_LOG!$F:$F,
         ATTENDANCE_LOG!$A:$A, C481,
         ATTENDANCE_LOG!$B:$B, E481),
"")</f>
        <v/>
      </c>
      <c r="I481" s="154">
        <f>IFERROR(VLOOKUP(F481, LEVEL_HELPER!$A:$B, 2, 0), "")</f>
        <v>0.5</v>
      </c>
      <c r="J481" s="154">
        <f>IFERROR(VLOOKUP(G481, LEVEL_HELPER!$A:$B, 2, 0), "")</f>
        <v>0.5</v>
      </c>
      <c r="K481" s="154">
        <f t="shared" ref="K481:L481" si="990">IF(OR(I481="", I481=0), "",
  IF(I481&lt;=2,   1,
  IF(I481&lt;=4,   2,
  IF(I481&lt;=5.5, 3, 4))))</f>
        <v>1</v>
      </c>
      <c r="L481" s="3">
        <f t="shared" si="990"/>
        <v>1</v>
      </c>
      <c r="M481" s="3" t="str">
        <f t="shared" si="516"/>
        <v>No Progress</v>
      </c>
      <c r="N481" s="176" t="s">
        <v>930</v>
      </c>
      <c r="O481" s="176" t="s">
        <v>925</v>
      </c>
      <c r="P481" s="154" t="str">
        <f t="shared" ca="1" si="517"/>
        <v/>
      </c>
      <c r="Q481" s="177" t="str">
        <f t="shared" ca="1" si="518"/>
        <v/>
      </c>
      <c r="R481" s="177" t="str">
        <f t="shared" ref="R481:S481" ca="1" si="991">IF(OR(P481="", P481=0), "",
  IF(P481&lt;=2,   1,
  IF(P481&lt;=4,   2,
  IF(P481&lt;=5.5, 3, 4))))</f>
        <v/>
      </c>
      <c r="S481" s="177" t="str">
        <f t="shared" ca="1" si="991"/>
        <v/>
      </c>
      <c r="T481" s="177" t="str">
        <f t="shared" ca="1" si="520"/>
        <v>No Data</v>
      </c>
      <c r="U481" s="177">
        <f>IF(COUNTIF($A$2:A487, A481)=1, 1, 0)</f>
        <v>1</v>
      </c>
      <c r="V481" s="177"/>
    </row>
    <row r="482" spans="1:22">
      <c r="A482" s="157" t="s">
        <v>153</v>
      </c>
      <c r="B482" s="3" t="s">
        <v>154</v>
      </c>
      <c r="C482" s="160" t="s">
        <v>92</v>
      </c>
      <c r="D482" s="160" t="s">
        <v>885</v>
      </c>
      <c r="E482" s="3" t="s">
        <v>25</v>
      </c>
      <c r="F482" s="3" t="s">
        <v>25</v>
      </c>
      <c r="G482" s="3" t="s">
        <v>25</v>
      </c>
      <c r="H482" s="156" t="str">
        <f ca="1">IFERROR(
  _xludf.MINIFS(ATTENDANCE_LOG!$F:$F,
         ATTENDANCE_LOG!$A:$A, C482,
         ATTENDANCE_LOG!$B:$B, E482),
"")</f>
        <v/>
      </c>
      <c r="I482" s="3">
        <f>IFERROR(VLOOKUP(F482, LEVEL_HELPER!$A:$B, 2, 0), "")</f>
        <v>0.5</v>
      </c>
      <c r="J482" s="3">
        <f>IFERROR(VLOOKUP(G482, LEVEL_HELPER!$A:$B, 2, 0), "")</f>
        <v>0.5</v>
      </c>
      <c r="K482" s="3">
        <f t="shared" ref="K482:L482" si="992">IF(OR(I482="", I482=0), "",
  IF(I482&lt;=2,   1,
  IF(I482&lt;=4,   2,
  IF(I482&lt;=5.5, 3, 4))))</f>
        <v>1</v>
      </c>
      <c r="L482" s="3">
        <f t="shared" si="992"/>
        <v>1</v>
      </c>
      <c r="M482" s="3" t="str">
        <f t="shared" si="516"/>
        <v>No Progress</v>
      </c>
      <c r="N482" s="157" t="s">
        <v>942</v>
      </c>
      <c r="O482" s="157" t="s">
        <v>923</v>
      </c>
      <c r="P482" s="3" t="str">
        <f t="shared" ca="1" si="517"/>
        <v/>
      </c>
      <c r="Q482" s="147" t="str">
        <f t="shared" ca="1" si="518"/>
        <v/>
      </c>
      <c r="R482" s="147" t="str">
        <f t="shared" ref="R482:S482" ca="1" si="993">IF(OR(P482="", P482=0), "",
  IF(P482&lt;=2,   1,
  IF(P482&lt;=4,   2,
  IF(P482&lt;=5.5, 3, 4))))</f>
        <v/>
      </c>
      <c r="S482" s="147" t="str">
        <f t="shared" ca="1" si="993"/>
        <v/>
      </c>
      <c r="T482" s="147" t="str">
        <f t="shared" ca="1" si="520"/>
        <v>No Data</v>
      </c>
      <c r="U482" s="147">
        <f t="shared" ref="U482:U489" si="994">IF(COUNTIF($A$2:A482, A482)=1, 1, 0)</f>
        <v>0</v>
      </c>
      <c r="V482" s="147"/>
    </row>
    <row r="483" spans="1:22">
      <c r="A483" s="169" t="s">
        <v>269</v>
      </c>
      <c r="B483" s="166" t="s">
        <v>270</v>
      </c>
      <c r="C483" s="167" t="s">
        <v>92</v>
      </c>
      <c r="D483" s="167" t="s">
        <v>885</v>
      </c>
      <c r="E483" s="166" t="s">
        <v>25</v>
      </c>
      <c r="F483" s="166" t="s">
        <v>25</v>
      </c>
      <c r="G483" s="166" t="s">
        <v>926</v>
      </c>
      <c r="H483" s="156" t="str">
        <f ca="1">IFERROR(
  _xludf.MINIFS(ATTENDANCE_LOG!$F:$F,
         ATTENDANCE_LOG!$A:$A, C483,
         ATTENDANCE_LOG!$B:$B, E483),
"")</f>
        <v/>
      </c>
      <c r="I483" s="166">
        <f>IFERROR(VLOOKUP(F483, LEVEL_HELPER!$A:$B, 2, 0), "")</f>
        <v>0.5</v>
      </c>
      <c r="J483" s="166">
        <f>IFERROR(VLOOKUP(G483, LEVEL_HELPER!$A:$B, 2, 0), "")</f>
        <v>1</v>
      </c>
      <c r="K483" s="166">
        <f t="shared" ref="K483:L483" si="995">IF(OR(I483="", I483=0), "",
  IF(I483&lt;=2,   1,
  IF(I483&lt;=4,   2,
  IF(I483&lt;=5.5, 3, 4))))</f>
        <v>1</v>
      </c>
      <c r="L483" s="3">
        <f t="shared" si="995"/>
        <v>1</v>
      </c>
      <c r="M483" s="3" t="str">
        <f t="shared" si="516"/>
        <v>Progress within level</v>
      </c>
      <c r="N483" s="169" t="s">
        <v>942</v>
      </c>
      <c r="O483" s="169" t="s">
        <v>923</v>
      </c>
      <c r="P483" s="166" t="str">
        <f t="shared" ca="1" si="517"/>
        <v/>
      </c>
      <c r="Q483" s="170" t="str">
        <f t="shared" ca="1" si="518"/>
        <v/>
      </c>
      <c r="R483" s="170" t="str">
        <f t="shared" ref="R483:S483" ca="1" si="996">IF(OR(P483="", P483=0), "",
  IF(P483&lt;=2,   1,
  IF(P483&lt;=4,   2,
  IF(P483&lt;=5.5, 3, 4))))</f>
        <v/>
      </c>
      <c r="S483" s="170" t="str">
        <f t="shared" ca="1" si="996"/>
        <v/>
      </c>
      <c r="T483" s="170" t="str">
        <f t="shared" ca="1" si="520"/>
        <v>No Data</v>
      </c>
      <c r="U483" s="170">
        <f t="shared" si="994"/>
        <v>1</v>
      </c>
      <c r="V483" s="170"/>
    </row>
    <row r="484" spans="1:22">
      <c r="A484" s="169" t="s">
        <v>273</v>
      </c>
      <c r="B484" s="166" t="s">
        <v>274</v>
      </c>
      <c r="C484" s="167" t="s">
        <v>92</v>
      </c>
      <c r="D484" s="167" t="s">
        <v>885</v>
      </c>
      <c r="E484" s="166" t="s">
        <v>25</v>
      </c>
      <c r="F484" s="166" t="s">
        <v>25</v>
      </c>
      <c r="G484" s="166" t="s">
        <v>926</v>
      </c>
      <c r="H484" s="156" t="str">
        <f ca="1">IFERROR(
  _xludf.MINIFS(ATTENDANCE_LOG!$F:$F,
         ATTENDANCE_LOG!$A:$A, C484,
         ATTENDANCE_LOG!$B:$B, E484),
"")</f>
        <v/>
      </c>
      <c r="I484" s="166">
        <f>IFERROR(VLOOKUP(F484, LEVEL_HELPER!$A:$B, 2, 0), "")</f>
        <v>0.5</v>
      </c>
      <c r="J484" s="166">
        <f>IFERROR(VLOOKUP(G484, LEVEL_HELPER!$A:$B, 2, 0), "")</f>
        <v>1</v>
      </c>
      <c r="K484" s="166">
        <f t="shared" ref="K484:L484" si="997">IF(OR(I484="", I484=0), "",
  IF(I484&lt;=2,   1,
  IF(I484&lt;=4,   2,
  IF(I484&lt;=5.5, 3, 4))))</f>
        <v>1</v>
      </c>
      <c r="L484" s="3">
        <f t="shared" si="997"/>
        <v>1</v>
      </c>
      <c r="M484" s="3" t="str">
        <f t="shared" si="516"/>
        <v>Progress within level</v>
      </c>
      <c r="N484" s="169" t="s">
        <v>930</v>
      </c>
      <c r="O484" s="169" t="s">
        <v>922</v>
      </c>
      <c r="P484" s="166" t="str">
        <f t="shared" ca="1" si="517"/>
        <v/>
      </c>
      <c r="Q484" s="170" t="str">
        <f t="shared" ca="1" si="518"/>
        <v/>
      </c>
      <c r="R484" s="170" t="str">
        <f t="shared" ref="R484:S484" ca="1" si="998">IF(OR(P484="", P484=0), "",
  IF(P484&lt;=2,   1,
  IF(P484&lt;=4,   2,
  IF(P484&lt;=5.5, 3, 4))))</f>
        <v/>
      </c>
      <c r="S484" s="170" t="str">
        <f t="shared" ca="1" si="998"/>
        <v/>
      </c>
      <c r="T484" s="170" t="str">
        <f t="shared" ca="1" si="520"/>
        <v>No Data</v>
      </c>
      <c r="U484" s="170">
        <f t="shared" si="994"/>
        <v>0</v>
      </c>
      <c r="V484" s="170"/>
    </row>
    <row r="485" spans="1:22">
      <c r="A485" s="169" t="s">
        <v>302</v>
      </c>
      <c r="B485" s="166" t="s">
        <v>303</v>
      </c>
      <c r="C485" s="167" t="s">
        <v>92</v>
      </c>
      <c r="D485" s="167" t="s">
        <v>885</v>
      </c>
      <c r="E485" s="166" t="s">
        <v>25</v>
      </c>
      <c r="F485" s="166" t="s">
        <v>25</v>
      </c>
      <c r="G485" s="166" t="s">
        <v>25</v>
      </c>
      <c r="H485" s="156" t="str">
        <f ca="1">IFERROR(
  _xludf.MINIFS(ATTENDANCE_LOG!$F:$F,
         ATTENDANCE_LOG!$A:$A, C485,
         ATTENDANCE_LOG!$B:$B, E485),
"")</f>
        <v/>
      </c>
      <c r="I485" s="166">
        <f>IFERROR(VLOOKUP(F485, LEVEL_HELPER!$A:$B, 2, 0), "")</f>
        <v>0.5</v>
      </c>
      <c r="J485" s="166">
        <f>IFERROR(VLOOKUP(G485, LEVEL_HELPER!$A:$B, 2, 0), "")</f>
        <v>0.5</v>
      </c>
      <c r="K485" s="166">
        <f t="shared" ref="K485:L485" si="999">IF(OR(I485="", I485=0), "",
  IF(I485&lt;=2,   1,
  IF(I485&lt;=4,   2,
  IF(I485&lt;=5.5, 3, 4))))</f>
        <v>1</v>
      </c>
      <c r="L485" s="3">
        <f t="shared" si="999"/>
        <v>1</v>
      </c>
      <c r="M485" s="3" t="str">
        <f t="shared" si="516"/>
        <v>No Progress</v>
      </c>
      <c r="N485" s="169" t="s">
        <v>946</v>
      </c>
      <c r="O485" s="169" t="s">
        <v>922</v>
      </c>
      <c r="P485" s="166" t="str">
        <f t="shared" ca="1" si="517"/>
        <v/>
      </c>
      <c r="Q485" s="170" t="str">
        <f t="shared" ca="1" si="518"/>
        <v/>
      </c>
      <c r="R485" s="170" t="str">
        <f t="shared" ref="R485:S485" ca="1" si="1000">IF(OR(P485="", P485=0), "",
  IF(P485&lt;=2,   1,
  IF(P485&lt;=4,   2,
  IF(P485&lt;=5.5, 3, 4))))</f>
        <v/>
      </c>
      <c r="S485" s="170" t="str">
        <f t="shared" ca="1" si="1000"/>
        <v/>
      </c>
      <c r="T485" s="170" t="str">
        <f t="shared" ca="1" si="520"/>
        <v>No Data</v>
      </c>
      <c r="U485" s="170">
        <f t="shared" si="994"/>
        <v>0</v>
      </c>
      <c r="V485" s="170"/>
    </row>
    <row r="486" spans="1:22">
      <c r="A486" s="169" t="s">
        <v>361</v>
      </c>
      <c r="B486" s="166" t="s">
        <v>362</v>
      </c>
      <c r="C486" s="167" t="s">
        <v>92</v>
      </c>
      <c r="D486" s="167" t="s">
        <v>885</v>
      </c>
      <c r="E486" s="166" t="s">
        <v>25</v>
      </c>
      <c r="F486" s="166" t="s">
        <v>25</v>
      </c>
      <c r="G486" s="166" t="s">
        <v>25</v>
      </c>
      <c r="H486" s="156" t="str">
        <f ca="1">IFERROR(
  _xludf.MINIFS(ATTENDANCE_LOG!$F:$F,
         ATTENDANCE_LOG!$A:$A, C486,
         ATTENDANCE_LOG!$B:$B, E486),
"")</f>
        <v/>
      </c>
      <c r="I486" s="166">
        <f>IFERROR(VLOOKUP(F486, LEVEL_HELPER!$A:$B, 2, 0), "")</f>
        <v>0.5</v>
      </c>
      <c r="J486" s="166">
        <f>IFERROR(VLOOKUP(G486, LEVEL_HELPER!$A:$B, 2, 0), "")</f>
        <v>0.5</v>
      </c>
      <c r="K486" s="166">
        <f t="shared" ref="K486:L486" si="1001">IF(OR(I486="", I486=0), "",
  IF(I486&lt;=2,   1,
  IF(I486&lt;=4,   2,
  IF(I486&lt;=5.5, 3, 4))))</f>
        <v>1</v>
      </c>
      <c r="L486" s="3">
        <f t="shared" si="1001"/>
        <v>1</v>
      </c>
      <c r="M486" s="3" t="str">
        <f t="shared" si="516"/>
        <v>No Progress</v>
      </c>
      <c r="N486" s="169" t="s">
        <v>930</v>
      </c>
      <c r="O486" s="169" t="s">
        <v>919</v>
      </c>
      <c r="P486" s="166" t="str">
        <f t="shared" ca="1" si="517"/>
        <v/>
      </c>
      <c r="Q486" s="170" t="str">
        <f t="shared" ca="1" si="518"/>
        <v/>
      </c>
      <c r="R486" s="170" t="str">
        <f t="shared" ref="R486:S486" ca="1" si="1002">IF(OR(P486="", P486=0), "",
  IF(P486&lt;=2,   1,
  IF(P486&lt;=4,   2,
  IF(P486&lt;=5.5, 3, 4))))</f>
        <v/>
      </c>
      <c r="S486" s="170" t="str">
        <f t="shared" ca="1" si="1002"/>
        <v/>
      </c>
      <c r="T486" s="170" t="str">
        <f t="shared" ca="1" si="520"/>
        <v>No Data</v>
      </c>
      <c r="U486" s="170">
        <f t="shared" si="994"/>
        <v>1</v>
      </c>
      <c r="V486" s="170"/>
    </row>
    <row r="487" spans="1:22">
      <c r="A487" s="169" t="s">
        <v>385</v>
      </c>
      <c r="B487" s="166" t="s">
        <v>386</v>
      </c>
      <c r="C487" s="167" t="s">
        <v>92</v>
      </c>
      <c r="D487" s="167" t="s">
        <v>885</v>
      </c>
      <c r="E487" s="166" t="s">
        <v>25</v>
      </c>
      <c r="F487" s="166" t="s">
        <v>25</v>
      </c>
      <c r="G487" s="166" t="s">
        <v>25</v>
      </c>
      <c r="H487" s="156" t="str">
        <f ca="1">IFERROR(
  _xludf.MINIFS(ATTENDANCE_LOG!$F:$F,
         ATTENDANCE_LOG!$A:$A, C487,
         ATTENDANCE_LOG!$B:$B, E487),
"")</f>
        <v/>
      </c>
      <c r="I487" s="166">
        <f>IFERROR(VLOOKUP(F487, LEVEL_HELPER!$A:$B, 2, 0), "")</f>
        <v>0.5</v>
      </c>
      <c r="J487" s="166">
        <f>IFERROR(VLOOKUP(G487, LEVEL_HELPER!$A:$B, 2, 0), "")</f>
        <v>0.5</v>
      </c>
      <c r="K487" s="166">
        <f t="shared" ref="K487:L487" si="1003">IF(OR(I487="", I487=0), "",
  IF(I487&lt;=2,   1,
  IF(I487&lt;=4,   2,
  IF(I487&lt;=5.5, 3, 4))))</f>
        <v>1</v>
      </c>
      <c r="L487" s="3">
        <f t="shared" si="1003"/>
        <v>1</v>
      </c>
      <c r="M487" s="3" t="str">
        <f t="shared" si="516"/>
        <v>No Progress</v>
      </c>
      <c r="N487" s="169" t="s">
        <v>930</v>
      </c>
      <c r="O487" s="169" t="s">
        <v>922</v>
      </c>
      <c r="P487" s="166" t="str">
        <f t="shared" ca="1" si="517"/>
        <v/>
      </c>
      <c r="Q487" s="170" t="str">
        <f t="shared" ca="1" si="518"/>
        <v/>
      </c>
      <c r="R487" s="170" t="str">
        <f t="shared" ref="R487:S487" ca="1" si="1004">IF(OR(P487="", P487=0), "",
  IF(P487&lt;=2,   1,
  IF(P487&lt;=4,   2,
  IF(P487&lt;=5.5, 3, 4))))</f>
        <v/>
      </c>
      <c r="S487" s="170" t="str">
        <f t="shared" ca="1" si="1004"/>
        <v/>
      </c>
      <c r="T487" s="170" t="str">
        <f t="shared" ca="1" si="520"/>
        <v>No Data</v>
      </c>
      <c r="U487" s="170">
        <f t="shared" si="994"/>
        <v>1</v>
      </c>
      <c r="V487" s="170"/>
    </row>
    <row r="488" spans="1:22">
      <c r="A488" s="169" t="s">
        <v>470</v>
      </c>
      <c r="B488" s="166" t="s">
        <v>471</v>
      </c>
      <c r="C488" s="167" t="s">
        <v>92</v>
      </c>
      <c r="D488" s="167" t="s">
        <v>885</v>
      </c>
      <c r="E488" s="166" t="s">
        <v>25</v>
      </c>
      <c r="F488" s="166" t="s">
        <v>25</v>
      </c>
      <c r="G488" s="166" t="s">
        <v>926</v>
      </c>
      <c r="H488" s="156" t="str">
        <f ca="1">IFERROR(
  _xludf.MINIFS(ATTENDANCE_LOG!$F:$F,
         ATTENDANCE_LOG!$A:$A, C488,
         ATTENDANCE_LOG!$B:$B, E488),
"")</f>
        <v/>
      </c>
      <c r="I488" s="166">
        <f>IFERROR(VLOOKUP(F488, LEVEL_HELPER!$A:$B, 2, 0), "")</f>
        <v>0.5</v>
      </c>
      <c r="J488" s="166">
        <f>IFERROR(VLOOKUP(G488, LEVEL_HELPER!$A:$B, 2, 0), "")</f>
        <v>1</v>
      </c>
      <c r="K488" s="166">
        <f t="shared" ref="K488:L488" si="1005">IF(OR(I488="", I488=0), "",
  IF(I488&lt;=2,   1,
  IF(I488&lt;=4,   2,
  IF(I488&lt;=5.5, 3, 4))))</f>
        <v>1</v>
      </c>
      <c r="L488" s="3">
        <f t="shared" si="1005"/>
        <v>1</v>
      </c>
      <c r="M488" s="3" t="str">
        <f t="shared" si="516"/>
        <v>Progress within level</v>
      </c>
      <c r="N488" s="169" t="s">
        <v>930</v>
      </c>
      <c r="O488" s="169" t="s">
        <v>925</v>
      </c>
      <c r="P488" s="166" t="str">
        <f t="shared" ca="1" si="517"/>
        <v/>
      </c>
      <c r="Q488" s="170" t="str">
        <f t="shared" ca="1" si="518"/>
        <v/>
      </c>
      <c r="R488" s="170" t="str">
        <f t="shared" ref="R488:S488" ca="1" si="1006">IF(OR(P488="", P488=0), "",
  IF(P488&lt;=2,   1,
  IF(P488&lt;=4,   2,
  IF(P488&lt;=5.5, 3, 4))))</f>
        <v/>
      </c>
      <c r="S488" s="170" t="str">
        <f t="shared" ca="1" si="1006"/>
        <v/>
      </c>
      <c r="T488" s="170" t="str">
        <f t="shared" ca="1" si="520"/>
        <v>No Data</v>
      </c>
      <c r="U488" s="170">
        <f t="shared" si="994"/>
        <v>1</v>
      </c>
      <c r="V488" s="170"/>
    </row>
    <row r="489" spans="1:22">
      <c r="A489" s="169" t="s">
        <v>532</v>
      </c>
      <c r="B489" s="166" t="s">
        <v>533</v>
      </c>
      <c r="C489" s="167" t="s">
        <v>92</v>
      </c>
      <c r="D489" s="167" t="s">
        <v>885</v>
      </c>
      <c r="E489" s="166" t="s">
        <v>25</v>
      </c>
      <c r="F489" s="166" t="s">
        <v>25</v>
      </c>
      <c r="G489" s="166" t="s">
        <v>25</v>
      </c>
      <c r="H489" s="156" t="str">
        <f ca="1">IFERROR(
  _xludf.MINIFS(ATTENDANCE_LOG!$F:$F,
         ATTENDANCE_LOG!$A:$A, C489,
         ATTENDANCE_LOG!$B:$B, E489),
"")</f>
        <v/>
      </c>
      <c r="I489" s="166">
        <f>IFERROR(VLOOKUP(F489, LEVEL_HELPER!$A:$B, 2, 0), "")</f>
        <v>0.5</v>
      </c>
      <c r="J489" s="166">
        <f>IFERROR(VLOOKUP(G489, LEVEL_HELPER!$A:$B, 2, 0), "")</f>
        <v>0.5</v>
      </c>
      <c r="K489" s="166">
        <f t="shared" ref="K489:L489" si="1007">IF(OR(I489="", I489=0), "",
  IF(I489&lt;=2,   1,
  IF(I489&lt;=4,   2,
  IF(I489&lt;=5.5, 3, 4))))</f>
        <v>1</v>
      </c>
      <c r="L489" s="3">
        <f t="shared" si="1007"/>
        <v>1</v>
      </c>
      <c r="M489" s="3" t="str">
        <f t="shared" si="516"/>
        <v>No Progress</v>
      </c>
      <c r="N489" s="169" t="s">
        <v>930</v>
      </c>
      <c r="O489" s="169" t="s">
        <v>925</v>
      </c>
      <c r="P489" s="166" t="str">
        <f t="shared" ca="1" si="517"/>
        <v/>
      </c>
      <c r="Q489" s="170" t="str">
        <f t="shared" ca="1" si="518"/>
        <v/>
      </c>
      <c r="R489" s="170" t="str">
        <f t="shared" ref="R489:S489" ca="1" si="1008">IF(OR(P489="", P489=0), "",
  IF(P489&lt;=2,   1,
  IF(P489&lt;=4,   2,
  IF(P489&lt;=5.5, 3, 4))))</f>
        <v/>
      </c>
      <c r="S489" s="170" t="str">
        <f t="shared" ca="1" si="1008"/>
        <v/>
      </c>
      <c r="T489" s="170" t="str">
        <f t="shared" ca="1" si="520"/>
        <v>No Data</v>
      </c>
      <c r="U489" s="170">
        <f t="shared" si="994"/>
        <v>1</v>
      </c>
      <c r="V489" s="170"/>
    </row>
    <row r="490" spans="1:22">
      <c r="A490" s="181" t="s">
        <v>502</v>
      </c>
      <c r="B490" s="179" t="s">
        <v>503</v>
      </c>
      <c r="C490" s="180" t="s">
        <v>93</v>
      </c>
      <c r="D490" s="180" t="s">
        <v>886</v>
      </c>
      <c r="E490" s="179" t="s">
        <v>21</v>
      </c>
      <c r="F490" s="179" t="s">
        <v>917</v>
      </c>
      <c r="G490" s="179"/>
      <c r="H490" s="156" t="str">
        <f ca="1">IFERROR(
  _xludf.MINIFS(ATTENDANCE_LOG!$F:$F,
         ATTENDANCE_LOG!$A:$A, C490,
         ATTENDANCE_LOG!$B:$B, E490),
"")</f>
        <v/>
      </c>
      <c r="I490" s="179">
        <f>IFERROR(VLOOKUP(F490, LEVEL_HELPER!$A:$B, 2, 0), "")</f>
        <v>3</v>
      </c>
      <c r="J490" s="166" t="str">
        <f>IFERROR(VLOOKUP(G490, LEVEL_HELPER!$A:$B, 2, 0), "")</f>
        <v/>
      </c>
      <c r="K490" s="179">
        <f t="shared" ref="K490:L490" si="1009">IF(OR(I490="", I490=0), "",
  IF(I490&lt;=2,   1,
  IF(I490&lt;=4,   2,
  IF(I490&lt;=5.5, 3, 4))))</f>
        <v>2</v>
      </c>
      <c r="L490" s="3" t="str">
        <f t="shared" si="1009"/>
        <v/>
      </c>
      <c r="M490" s="3" t="str">
        <f t="shared" si="516"/>
        <v>No Data</v>
      </c>
      <c r="N490" s="181" t="s">
        <v>930</v>
      </c>
      <c r="O490" s="181" t="s">
        <v>922</v>
      </c>
      <c r="P490" s="179" t="str">
        <f t="shared" ca="1" si="517"/>
        <v/>
      </c>
      <c r="Q490" s="182" t="str">
        <f t="shared" ca="1" si="518"/>
        <v/>
      </c>
      <c r="R490" s="182" t="str">
        <f t="shared" ref="R490:S490" ca="1" si="1010">IF(OR(P490="", P490=0), "",
  IF(P490&lt;=2,   1,
  IF(P490&lt;=4,   2,
  IF(P490&lt;=5.5, 3, 4))))</f>
        <v/>
      </c>
      <c r="S490" s="182" t="str">
        <f t="shared" ca="1" si="1010"/>
        <v/>
      </c>
      <c r="T490" s="182" t="str">
        <f t="shared" ca="1" si="520"/>
        <v>No Data</v>
      </c>
      <c r="U490" s="182">
        <f>IF(COUNTIF($A$2:A492, A490)=1, 1, 0)</f>
        <v>1</v>
      </c>
      <c r="V490" s="182"/>
    </row>
    <row r="491" spans="1:22">
      <c r="A491" s="169" t="s">
        <v>385</v>
      </c>
      <c r="B491" s="166" t="s">
        <v>386</v>
      </c>
      <c r="C491" s="167" t="s">
        <v>93</v>
      </c>
      <c r="D491" s="167" t="s">
        <v>886</v>
      </c>
      <c r="E491" s="166" t="s">
        <v>21</v>
      </c>
      <c r="F491" s="166" t="s">
        <v>926</v>
      </c>
      <c r="G491" s="166"/>
      <c r="H491" s="156" t="str">
        <f ca="1">IFERROR(
  _xludf.MINIFS(ATTENDANCE_LOG!$F:$F,
         ATTENDANCE_LOG!$A:$A, C491,
         ATTENDANCE_LOG!$B:$B, E491),
"")</f>
        <v/>
      </c>
      <c r="I491" s="166">
        <f>IFERROR(VLOOKUP(F491, LEVEL_HELPER!$A:$B, 2, 0), "")</f>
        <v>1</v>
      </c>
      <c r="J491" s="166" t="str">
        <f>IFERROR(VLOOKUP(G491, LEVEL_HELPER!$A:$B, 2, 0), "")</f>
        <v/>
      </c>
      <c r="K491" s="166">
        <f t="shared" ref="K491:L491" si="1011">IF(OR(I491="", I491=0), "",
  IF(I491&lt;=2,   1,
  IF(I491&lt;=4,   2,
  IF(I491&lt;=5.5, 3, 4))))</f>
        <v>1</v>
      </c>
      <c r="L491" s="3" t="str">
        <f t="shared" si="1011"/>
        <v/>
      </c>
      <c r="M491" s="3" t="str">
        <f t="shared" si="516"/>
        <v>No Data</v>
      </c>
      <c r="N491" s="169" t="s">
        <v>930</v>
      </c>
      <c r="O491" s="169" t="s">
        <v>922</v>
      </c>
      <c r="P491" s="166" t="str">
        <f t="shared" ca="1" si="517"/>
        <v/>
      </c>
      <c r="Q491" s="170" t="str">
        <f t="shared" ca="1" si="518"/>
        <v/>
      </c>
      <c r="R491" s="170" t="str">
        <f t="shared" ref="R491:S491" ca="1" si="1012">IF(OR(P491="", P491=0), "",
  IF(P491&lt;=2,   1,
  IF(P491&lt;=4,   2,
  IF(P491&lt;=5.5, 3, 4))))</f>
        <v/>
      </c>
      <c r="S491" s="170" t="str">
        <f t="shared" ca="1" si="1012"/>
        <v/>
      </c>
      <c r="T491" s="170" t="str">
        <f t="shared" ca="1" si="520"/>
        <v>No Data</v>
      </c>
      <c r="U491" s="170">
        <f t="shared" ref="U491:U494" si="1013">IF(COUNTIF($A$2:A491, A491)=1, 1, 0)</f>
        <v>0</v>
      </c>
      <c r="V491" s="170"/>
    </row>
    <row r="492" spans="1:22">
      <c r="A492" s="169" t="s">
        <v>427</v>
      </c>
      <c r="B492" s="166" t="s">
        <v>428</v>
      </c>
      <c r="C492" s="167" t="s">
        <v>93</v>
      </c>
      <c r="D492" s="167" t="s">
        <v>886</v>
      </c>
      <c r="E492" s="166" t="s">
        <v>21</v>
      </c>
      <c r="F492" s="166" t="s">
        <v>926</v>
      </c>
      <c r="G492" s="166"/>
      <c r="H492" s="156" t="str">
        <f ca="1">IFERROR(
  _xludf.MINIFS(ATTENDANCE_LOG!$F:$F,
         ATTENDANCE_LOG!$A:$A, C492,
         ATTENDANCE_LOG!$B:$B, E492),
"")</f>
        <v/>
      </c>
      <c r="I492" s="166">
        <f>IFERROR(VLOOKUP(F492, LEVEL_HELPER!$A:$B, 2, 0), "")</f>
        <v>1</v>
      </c>
      <c r="J492" s="166" t="str">
        <f>IFERROR(VLOOKUP(G492, LEVEL_HELPER!$A:$B, 2, 0), "")</f>
        <v/>
      </c>
      <c r="K492" s="166">
        <f t="shared" ref="K492:L492" si="1014">IF(OR(I492="", I492=0), "",
  IF(I492&lt;=2,   1,
  IF(I492&lt;=4,   2,
  IF(I492&lt;=5.5, 3, 4))))</f>
        <v>1</v>
      </c>
      <c r="L492" s="3" t="str">
        <f t="shared" si="1014"/>
        <v/>
      </c>
      <c r="M492" s="3" t="str">
        <f t="shared" si="516"/>
        <v>No Data</v>
      </c>
      <c r="N492" s="169" t="s">
        <v>930</v>
      </c>
      <c r="O492" s="169" t="s">
        <v>922</v>
      </c>
      <c r="P492" s="166" t="str">
        <f t="shared" ca="1" si="517"/>
        <v/>
      </c>
      <c r="Q492" s="170" t="str">
        <f t="shared" ca="1" si="518"/>
        <v/>
      </c>
      <c r="R492" s="170" t="str">
        <f t="shared" ref="R492:S492" ca="1" si="1015">IF(OR(P492="", P492=0), "",
  IF(P492&lt;=2,   1,
  IF(P492&lt;=4,   2,
  IF(P492&lt;=5.5, 3, 4))))</f>
        <v/>
      </c>
      <c r="S492" s="170" t="str">
        <f t="shared" ca="1" si="1015"/>
        <v/>
      </c>
      <c r="T492" s="170" t="str">
        <f t="shared" ca="1" si="520"/>
        <v>No Data</v>
      </c>
      <c r="U492" s="170">
        <f t="shared" si="1013"/>
        <v>1</v>
      </c>
      <c r="V492" s="170"/>
    </row>
    <row r="493" spans="1:22">
      <c r="A493" s="169" t="s">
        <v>655</v>
      </c>
      <c r="B493" s="166" t="s">
        <v>656</v>
      </c>
      <c r="C493" s="167" t="s">
        <v>93</v>
      </c>
      <c r="D493" s="167" t="s">
        <v>886</v>
      </c>
      <c r="E493" s="166" t="s">
        <v>21</v>
      </c>
      <c r="F493" s="166" t="s">
        <v>926</v>
      </c>
      <c r="G493" s="166"/>
      <c r="H493" s="156" t="str">
        <f ca="1">IFERROR(
  _xludf.MINIFS(ATTENDANCE_LOG!$F:$F,
         ATTENDANCE_LOG!$A:$A, C493,
         ATTENDANCE_LOG!$B:$B, E493),
"")</f>
        <v/>
      </c>
      <c r="I493" s="166">
        <f>IFERROR(VLOOKUP(F493, LEVEL_HELPER!$A:$B, 2, 0), "")</f>
        <v>1</v>
      </c>
      <c r="J493" s="166" t="str">
        <f>IFERROR(VLOOKUP(G493, LEVEL_HELPER!$A:$B, 2, 0), "")</f>
        <v/>
      </c>
      <c r="K493" s="166">
        <f t="shared" ref="K493:L493" si="1016">IF(OR(I493="", I493=0), "",
  IF(I493&lt;=2,   1,
  IF(I493&lt;=4,   2,
  IF(I493&lt;=5.5, 3, 4))))</f>
        <v>1</v>
      </c>
      <c r="L493" s="3" t="str">
        <f t="shared" si="1016"/>
        <v/>
      </c>
      <c r="M493" s="3" t="str">
        <f t="shared" si="516"/>
        <v>No Data</v>
      </c>
      <c r="N493" s="169" t="s">
        <v>930</v>
      </c>
      <c r="O493" s="169" t="s">
        <v>922</v>
      </c>
      <c r="P493" s="166" t="str">
        <f t="shared" ca="1" si="517"/>
        <v/>
      </c>
      <c r="Q493" s="170" t="str">
        <f t="shared" ca="1" si="518"/>
        <v/>
      </c>
      <c r="R493" s="170" t="str">
        <f t="shared" ref="R493:S493" ca="1" si="1017">IF(OR(P493="", P493=0), "",
  IF(P493&lt;=2,   1,
  IF(P493&lt;=4,   2,
  IF(P493&lt;=5.5, 3, 4))))</f>
        <v/>
      </c>
      <c r="S493" s="170" t="str">
        <f t="shared" ca="1" si="1017"/>
        <v/>
      </c>
      <c r="T493" s="170" t="str">
        <f t="shared" ca="1" si="520"/>
        <v>No Data</v>
      </c>
      <c r="U493" s="170">
        <f t="shared" si="1013"/>
        <v>1</v>
      </c>
      <c r="V493" s="170"/>
    </row>
    <row r="494" spans="1:22">
      <c r="A494" s="169" t="s">
        <v>705</v>
      </c>
      <c r="B494" s="166" t="s">
        <v>706</v>
      </c>
      <c r="C494" s="167" t="s">
        <v>93</v>
      </c>
      <c r="D494" s="167" t="s">
        <v>886</v>
      </c>
      <c r="E494" s="166" t="s">
        <v>21</v>
      </c>
      <c r="F494" s="166" t="s">
        <v>926</v>
      </c>
      <c r="G494" s="166"/>
      <c r="H494" s="156" t="str">
        <f ca="1">IFERROR(
  _xludf.MINIFS(ATTENDANCE_LOG!$F:$F,
         ATTENDANCE_LOG!$A:$A, C494,
         ATTENDANCE_LOG!$B:$B, E494),
"")</f>
        <v/>
      </c>
      <c r="I494" s="166">
        <f>IFERROR(VLOOKUP(F494, LEVEL_HELPER!$A:$B, 2, 0), "")</f>
        <v>1</v>
      </c>
      <c r="J494" s="166" t="str">
        <f>IFERROR(VLOOKUP(G494, LEVEL_HELPER!$A:$B, 2, 0), "")</f>
        <v/>
      </c>
      <c r="K494" s="166">
        <f t="shared" ref="K494:L494" si="1018">IF(OR(I494="", I494=0), "",
  IF(I494&lt;=2,   1,
  IF(I494&lt;=4,   2,
  IF(I494&lt;=5.5, 3, 4))))</f>
        <v>1</v>
      </c>
      <c r="L494" s="3" t="str">
        <f t="shared" si="1018"/>
        <v/>
      </c>
      <c r="M494" s="3" t="str">
        <f t="shared" si="516"/>
        <v>No Data</v>
      </c>
      <c r="N494" s="169" t="s">
        <v>956</v>
      </c>
      <c r="O494" s="169" t="s">
        <v>922</v>
      </c>
      <c r="P494" s="166" t="str">
        <f t="shared" ca="1" si="517"/>
        <v/>
      </c>
      <c r="Q494" s="170" t="str">
        <f t="shared" ca="1" si="518"/>
        <v/>
      </c>
      <c r="R494" s="170" t="str">
        <f t="shared" ref="R494:S494" ca="1" si="1019">IF(OR(P494="", P494=0), "",
  IF(P494&lt;=2,   1,
  IF(P494&lt;=4,   2,
  IF(P494&lt;=5.5, 3, 4))))</f>
        <v/>
      </c>
      <c r="S494" s="170" t="str">
        <f t="shared" ca="1" si="1019"/>
        <v/>
      </c>
      <c r="T494" s="170" t="str">
        <f t="shared" ca="1" si="520"/>
        <v>No Data</v>
      </c>
      <c r="U494" s="170">
        <f t="shared" si="1013"/>
        <v>1</v>
      </c>
      <c r="V494" s="170"/>
    </row>
    <row r="495" spans="1:22">
      <c r="A495" s="181" t="s">
        <v>581</v>
      </c>
      <c r="B495" s="179" t="s">
        <v>582</v>
      </c>
      <c r="C495" s="180" t="s">
        <v>94</v>
      </c>
      <c r="D495" s="180" t="s">
        <v>887</v>
      </c>
      <c r="E495" s="179" t="s">
        <v>21</v>
      </c>
      <c r="F495" s="179" t="s">
        <v>926</v>
      </c>
      <c r="G495" s="179"/>
      <c r="H495" s="156" t="str">
        <f ca="1">IFERROR(
  _xludf.MINIFS(ATTENDANCE_LOG!$F:$F,
         ATTENDANCE_LOG!$A:$A, C495,
         ATTENDANCE_LOG!$B:$B, E495),
"")</f>
        <v/>
      </c>
      <c r="I495" s="179">
        <f>IFERROR(VLOOKUP(F495, LEVEL_HELPER!$A:$B, 2, 0), "")</f>
        <v>1</v>
      </c>
      <c r="J495" s="166" t="str">
        <f>IFERROR(VLOOKUP(G495, LEVEL_HELPER!$A:$B, 2, 0), "")</f>
        <v/>
      </c>
      <c r="K495" s="179">
        <f t="shared" ref="K495:L495" si="1020">IF(OR(I495="", I495=0), "",
  IF(I495&lt;=2,   1,
  IF(I495&lt;=4,   2,
  IF(I495&lt;=5.5, 3, 4))))</f>
        <v>1</v>
      </c>
      <c r="L495" s="3" t="str">
        <f t="shared" si="1020"/>
        <v/>
      </c>
      <c r="M495" s="3" t="str">
        <f t="shared" si="516"/>
        <v>No Data</v>
      </c>
      <c r="N495" s="181" t="s">
        <v>942</v>
      </c>
      <c r="O495" s="181" t="s">
        <v>924</v>
      </c>
      <c r="P495" s="179" t="str">
        <f t="shared" ca="1" si="517"/>
        <v/>
      </c>
      <c r="Q495" s="182" t="str">
        <f t="shared" ca="1" si="518"/>
        <v/>
      </c>
      <c r="R495" s="182" t="str">
        <f t="shared" ref="R495:S495" ca="1" si="1021">IF(OR(P495="", P495=0), "",
  IF(P495&lt;=2,   1,
  IF(P495&lt;=4,   2,
  IF(P495&lt;=5.5, 3, 4))))</f>
        <v/>
      </c>
      <c r="S495" s="182" t="str">
        <f t="shared" ca="1" si="1021"/>
        <v/>
      </c>
      <c r="T495" s="182" t="str">
        <f t="shared" ca="1" si="520"/>
        <v>No Data</v>
      </c>
      <c r="U495" s="182">
        <f>IF(COUNTIF($A$2:A500, A495)=1, 1, 0)</f>
        <v>1</v>
      </c>
      <c r="V495" s="182"/>
    </row>
    <row r="496" spans="1:22">
      <c r="A496" s="169" t="s">
        <v>149</v>
      </c>
      <c r="B496" s="166" t="s">
        <v>150</v>
      </c>
      <c r="C496" s="167" t="s">
        <v>94</v>
      </c>
      <c r="D496" s="167" t="s">
        <v>887</v>
      </c>
      <c r="E496" s="166" t="s">
        <v>21</v>
      </c>
      <c r="F496" s="166" t="s">
        <v>926</v>
      </c>
      <c r="G496" s="166"/>
      <c r="H496" s="156" t="str">
        <f ca="1">IFERROR(
  _xludf.MINIFS(ATTENDANCE_LOG!$F:$F,
         ATTENDANCE_LOG!$A:$A, C496,
         ATTENDANCE_LOG!$B:$B, E496),
"")</f>
        <v/>
      </c>
      <c r="I496" s="166">
        <f>IFERROR(VLOOKUP(F496, LEVEL_HELPER!$A:$B, 2, 0), "")</f>
        <v>1</v>
      </c>
      <c r="J496" s="166" t="str">
        <f>IFERROR(VLOOKUP(G496, LEVEL_HELPER!$A:$B, 2, 0), "")</f>
        <v/>
      </c>
      <c r="K496" s="166">
        <f t="shared" ref="K496:L496" si="1022">IF(OR(I496="", I496=0), "",
  IF(I496&lt;=2,   1,
  IF(I496&lt;=4,   2,
  IF(I496&lt;=5.5, 3, 4))))</f>
        <v>1</v>
      </c>
      <c r="L496" s="3" t="str">
        <f t="shared" si="1022"/>
        <v/>
      </c>
      <c r="M496" s="3" t="str">
        <f t="shared" si="516"/>
        <v>No Data</v>
      </c>
      <c r="N496" s="169" t="s">
        <v>918</v>
      </c>
      <c r="O496" s="169" t="s">
        <v>924</v>
      </c>
      <c r="P496" s="166" t="str">
        <f t="shared" ca="1" si="517"/>
        <v/>
      </c>
      <c r="Q496" s="170" t="str">
        <f t="shared" ca="1" si="518"/>
        <v/>
      </c>
      <c r="R496" s="170" t="str">
        <f t="shared" ref="R496:S496" ca="1" si="1023">IF(OR(P496="", P496=0), "",
  IF(P496&lt;=2,   1,
  IF(P496&lt;=4,   2,
  IF(P496&lt;=5.5, 3, 4))))</f>
        <v/>
      </c>
      <c r="S496" s="170" t="str">
        <f t="shared" ca="1" si="1023"/>
        <v/>
      </c>
      <c r="T496" s="170" t="str">
        <f t="shared" ca="1" si="520"/>
        <v>No Data</v>
      </c>
      <c r="U496" s="170">
        <f t="shared" ref="U496:U530" si="1024">IF(COUNTIF($A$2:A496, A496)=1, 1, 0)</f>
        <v>0</v>
      </c>
      <c r="V496" s="170"/>
    </row>
    <row r="497" spans="1:22">
      <c r="A497" s="169" t="s">
        <v>344</v>
      </c>
      <c r="B497" s="166" t="s">
        <v>345</v>
      </c>
      <c r="C497" s="167" t="s">
        <v>94</v>
      </c>
      <c r="D497" s="167" t="s">
        <v>887</v>
      </c>
      <c r="E497" s="166" t="s">
        <v>21</v>
      </c>
      <c r="F497" s="166" t="s">
        <v>926</v>
      </c>
      <c r="G497" s="166"/>
      <c r="H497" s="156" t="str">
        <f ca="1">IFERROR(
  _xludf.MINIFS(ATTENDANCE_LOG!$F:$F,
         ATTENDANCE_LOG!$A:$A, C497,
         ATTENDANCE_LOG!$B:$B, E497),
"")</f>
        <v/>
      </c>
      <c r="I497" s="166">
        <f>IFERROR(VLOOKUP(F497, LEVEL_HELPER!$A:$B, 2, 0), "")</f>
        <v>1</v>
      </c>
      <c r="J497" s="166" t="str">
        <f>IFERROR(VLOOKUP(G497, LEVEL_HELPER!$A:$B, 2, 0), "")</f>
        <v/>
      </c>
      <c r="K497" s="166">
        <f t="shared" ref="K497:L497" si="1025">IF(OR(I497="", I497=0), "",
  IF(I497&lt;=2,   1,
  IF(I497&lt;=4,   2,
  IF(I497&lt;=5.5, 3, 4))))</f>
        <v>1</v>
      </c>
      <c r="L497" s="3" t="str">
        <f t="shared" si="1025"/>
        <v/>
      </c>
      <c r="M497" s="3" t="str">
        <f t="shared" si="516"/>
        <v>No Data</v>
      </c>
      <c r="N497" s="169" t="s">
        <v>942</v>
      </c>
      <c r="O497" s="169" t="s">
        <v>924</v>
      </c>
      <c r="P497" s="166" t="str">
        <f t="shared" ca="1" si="517"/>
        <v/>
      </c>
      <c r="Q497" s="170" t="str">
        <f t="shared" ca="1" si="518"/>
        <v/>
      </c>
      <c r="R497" s="170" t="str">
        <f t="shared" ref="R497:S497" ca="1" si="1026">IF(OR(P497="", P497=0), "",
  IF(P497&lt;=2,   1,
  IF(P497&lt;=4,   2,
  IF(P497&lt;=5.5, 3, 4))))</f>
        <v/>
      </c>
      <c r="S497" s="170" t="str">
        <f t="shared" ca="1" si="1026"/>
        <v/>
      </c>
      <c r="T497" s="170" t="str">
        <f t="shared" ca="1" si="520"/>
        <v>No Data</v>
      </c>
      <c r="U497" s="170">
        <f t="shared" si="1024"/>
        <v>1</v>
      </c>
      <c r="V497" s="170"/>
    </row>
    <row r="498" spans="1:22">
      <c r="A498" s="169" t="s">
        <v>368</v>
      </c>
      <c r="B498" s="166" t="s">
        <v>369</v>
      </c>
      <c r="C498" s="167" t="s">
        <v>94</v>
      </c>
      <c r="D498" s="167" t="s">
        <v>887</v>
      </c>
      <c r="E498" s="166" t="s">
        <v>21</v>
      </c>
      <c r="F498" s="166" t="s">
        <v>917</v>
      </c>
      <c r="G498" s="166"/>
      <c r="H498" s="156" t="str">
        <f ca="1">IFERROR(
  _xludf.MINIFS(ATTENDANCE_LOG!$F:$F,
         ATTENDANCE_LOG!$A:$A, C498,
         ATTENDANCE_LOG!$B:$B, E498),
"")</f>
        <v/>
      </c>
      <c r="I498" s="166">
        <f>IFERROR(VLOOKUP(F498, LEVEL_HELPER!$A:$B, 2, 0), "")</f>
        <v>3</v>
      </c>
      <c r="J498" s="166" t="str">
        <f>IFERROR(VLOOKUP(G498, LEVEL_HELPER!$A:$B, 2, 0), "")</f>
        <v/>
      </c>
      <c r="K498" s="166">
        <f t="shared" ref="K498:L498" si="1027">IF(OR(I498="", I498=0), "",
  IF(I498&lt;=2,   1,
  IF(I498&lt;=4,   2,
  IF(I498&lt;=5.5, 3, 4))))</f>
        <v>2</v>
      </c>
      <c r="L498" s="3" t="str">
        <f t="shared" si="1027"/>
        <v/>
      </c>
      <c r="M498" s="3" t="str">
        <f t="shared" si="516"/>
        <v>No Data</v>
      </c>
      <c r="N498" s="169" t="s">
        <v>942</v>
      </c>
      <c r="O498" s="169" t="s">
        <v>924</v>
      </c>
      <c r="P498" s="166" t="str">
        <f t="shared" ca="1" si="517"/>
        <v/>
      </c>
      <c r="Q498" s="170" t="str">
        <f t="shared" ca="1" si="518"/>
        <v/>
      </c>
      <c r="R498" s="170" t="str">
        <f t="shared" ref="R498:S498" ca="1" si="1028">IF(OR(P498="", P498=0), "",
  IF(P498&lt;=2,   1,
  IF(P498&lt;=4,   2,
  IF(P498&lt;=5.5, 3, 4))))</f>
        <v/>
      </c>
      <c r="S498" s="170" t="str">
        <f t="shared" ca="1" si="1028"/>
        <v/>
      </c>
      <c r="T498" s="170" t="str">
        <f t="shared" ca="1" si="520"/>
        <v>No Data</v>
      </c>
      <c r="U498" s="170">
        <f t="shared" si="1024"/>
        <v>1</v>
      </c>
      <c r="V498" s="170"/>
    </row>
    <row r="499" spans="1:22">
      <c r="A499" s="169" t="s">
        <v>543</v>
      </c>
      <c r="B499" s="166" t="s">
        <v>544</v>
      </c>
      <c r="C499" s="167" t="s">
        <v>94</v>
      </c>
      <c r="D499" s="167" t="s">
        <v>887</v>
      </c>
      <c r="E499" s="166" t="s">
        <v>21</v>
      </c>
      <c r="F499" s="166" t="s">
        <v>917</v>
      </c>
      <c r="G499" s="166"/>
      <c r="H499" s="156" t="str">
        <f ca="1">IFERROR(
  _xludf.MINIFS(ATTENDANCE_LOG!$F:$F,
         ATTENDANCE_LOG!$A:$A, C499,
         ATTENDANCE_LOG!$B:$B, E499),
"")</f>
        <v/>
      </c>
      <c r="I499" s="166">
        <f>IFERROR(VLOOKUP(F499, LEVEL_HELPER!$A:$B, 2, 0), "")</f>
        <v>3</v>
      </c>
      <c r="J499" s="166" t="str">
        <f>IFERROR(VLOOKUP(G499, LEVEL_HELPER!$A:$B, 2, 0), "")</f>
        <v/>
      </c>
      <c r="K499" s="166">
        <f t="shared" ref="K499:L499" si="1029">IF(OR(I499="", I499=0), "",
  IF(I499&lt;=2,   1,
  IF(I499&lt;=4,   2,
  IF(I499&lt;=5.5, 3, 4))))</f>
        <v>2</v>
      </c>
      <c r="L499" s="3" t="str">
        <f t="shared" si="1029"/>
        <v/>
      </c>
      <c r="M499" s="3" t="str">
        <f t="shared" si="516"/>
        <v>No Data</v>
      </c>
      <c r="N499" s="169" t="s">
        <v>942</v>
      </c>
      <c r="O499" s="169" t="s">
        <v>970</v>
      </c>
      <c r="P499" s="166" t="str">
        <f t="shared" ca="1" si="517"/>
        <v/>
      </c>
      <c r="Q499" s="170" t="str">
        <f t="shared" ca="1" si="518"/>
        <v/>
      </c>
      <c r="R499" s="170" t="str">
        <f t="shared" ref="R499:S499" ca="1" si="1030">IF(OR(P499="", P499=0), "",
  IF(P499&lt;=2,   1,
  IF(P499&lt;=4,   2,
  IF(P499&lt;=5.5, 3, 4))))</f>
        <v/>
      </c>
      <c r="S499" s="170" t="str">
        <f t="shared" ca="1" si="1030"/>
        <v/>
      </c>
      <c r="T499" s="170" t="str">
        <f t="shared" ca="1" si="520"/>
        <v>No Data</v>
      </c>
      <c r="U499" s="170">
        <f t="shared" si="1024"/>
        <v>1</v>
      </c>
      <c r="V499" s="170"/>
    </row>
    <row r="500" spans="1:22">
      <c r="A500" s="169" t="s">
        <v>579</v>
      </c>
      <c r="B500" s="166" t="s">
        <v>580</v>
      </c>
      <c r="C500" s="167" t="s">
        <v>94</v>
      </c>
      <c r="D500" s="167" t="s">
        <v>887</v>
      </c>
      <c r="E500" s="166" t="s">
        <v>21</v>
      </c>
      <c r="F500" s="166" t="s">
        <v>926</v>
      </c>
      <c r="G500" s="166"/>
      <c r="H500" s="156" t="str">
        <f ca="1">IFERROR(
  _xludf.MINIFS(ATTENDANCE_LOG!$F:$F,
         ATTENDANCE_LOG!$A:$A, C500,
         ATTENDANCE_LOG!$B:$B, E500),
"")</f>
        <v/>
      </c>
      <c r="I500" s="166">
        <f>IFERROR(VLOOKUP(F500, LEVEL_HELPER!$A:$B, 2, 0), "")</f>
        <v>1</v>
      </c>
      <c r="J500" s="166" t="str">
        <f>IFERROR(VLOOKUP(G500, LEVEL_HELPER!$A:$B, 2, 0), "")</f>
        <v/>
      </c>
      <c r="K500" s="166">
        <f t="shared" ref="K500:L500" si="1031">IF(OR(I500="", I500=0), "",
  IF(I500&lt;=2,   1,
  IF(I500&lt;=4,   2,
  IF(I500&lt;=5.5, 3, 4))))</f>
        <v>1</v>
      </c>
      <c r="L500" s="3" t="str">
        <f t="shared" si="1031"/>
        <v/>
      </c>
      <c r="M500" s="3" t="str">
        <f t="shared" si="516"/>
        <v>No Data</v>
      </c>
      <c r="N500" s="169" t="s">
        <v>942</v>
      </c>
      <c r="O500" s="169" t="s">
        <v>924</v>
      </c>
      <c r="P500" s="166" t="str">
        <f t="shared" ca="1" si="517"/>
        <v/>
      </c>
      <c r="Q500" s="170" t="str">
        <f t="shared" ca="1" si="518"/>
        <v/>
      </c>
      <c r="R500" s="170" t="str">
        <f t="shared" ref="R500:S500" ca="1" si="1032">IF(OR(P500="", P500=0), "",
  IF(P500&lt;=2,   1,
  IF(P500&lt;=4,   2,
  IF(P500&lt;=5.5, 3, 4))))</f>
        <v/>
      </c>
      <c r="S500" s="170" t="str">
        <f t="shared" ca="1" si="1032"/>
        <v/>
      </c>
      <c r="T500" s="170" t="str">
        <f t="shared" ca="1" si="520"/>
        <v>No Data</v>
      </c>
      <c r="U500" s="170">
        <f t="shared" si="1024"/>
        <v>1</v>
      </c>
      <c r="V500" s="170"/>
    </row>
    <row r="501" spans="1:22">
      <c r="A501" s="169" t="s">
        <v>613</v>
      </c>
      <c r="B501" s="166" t="s">
        <v>614</v>
      </c>
      <c r="C501" s="167" t="s">
        <v>94</v>
      </c>
      <c r="D501" s="167" t="s">
        <v>887</v>
      </c>
      <c r="E501" s="166" t="s">
        <v>21</v>
      </c>
      <c r="F501" s="166" t="s">
        <v>926</v>
      </c>
      <c r="G501" s="166"/>
      <c r="H501" s="156" t="str">
        <f ca="1">IFERROR(
  _xludf.MINIFS(ATTENDANCE_LOG!$F:$F,
         ATTENDANCE_LOG!$A:$A, C501,
         ATTENDANCE_LOG!$B:$B, E501),
"")</f>
        <v/>
      </c>
      <c r="I501" s="166">
        <f>IFERROR(VLOOKUP(F501, LEVEL_HELPER!$A:$B, 2, 0), "")</f>
        <v>1</v>
      </c>
      <c r="J501" s="166" t="str">
        <f>IFERROR(VLOOKUP(G501, LEVEL_HELPER!$A:$B, 2, 0), "")</f>
        <v/>
      </c>
      <c r="K501" s="166">
        <f t="shared" ref="K501:L501" si="1033">IF(OR(I501="", I501=0), "",
  IF(I501&lt;=2,   1,
  IF(I501&lt;=4,   2,
  IF(I501&lt;=5.5, 3, 4))))</f>
        <v>1</v>
      </c>
      <c r="L501" s="3" t="str">
        <f t="shared" si="1033"/>
        <v/>
      </c>
      <c r="M501" s="3" t="str">
        <f t="shared" si="516"/>
        <v>No Data</v>
      </c>
      <c r="N501" s="169" t="s">
        <v>942</v>
      </c>
      <c r="O501" s="169" t="s">
        <v>924</v>
      </c>
      <c r="P501" s="166" t="str">
        <f t="shared" ca="1" si="517"/>
        <v/>
      </c>
      <c r="Q501" s="170" t="str">
        <f t="shared" ca="1" si="518"/>
        <v/>
      </c>
      <c r="R501" s="170" t="str">
        <f t="shared" ref="R501:S501" ca="1" si="1034">IF(OR(P501="", P501=0), "",
  IF(P501&lt;=2,   1,
  IF(P501&lt;=4,   2,
  IF(P501&lt;=5.5, 3, 4))))</f>
        <v/>
      </c>
      <c r="S501" s="170" t="str">
        <f t="shared" ca="1" si="1034"/>
        <v/>
      </c>
      <c r="T501" s="170" t="str">
        <f t="shared" ca="1" si="520"/>
        <v>No Data</v>
      </c>
      <c r="U501" s="170">
        <f t="shared" si="1024"/>
        <v>1</v>
      </c>
      <c r="V501" s="170"/>
    </row>
    <row r="502" spans="1:22">
      <c r="A502" s="181">
        <v>193470</v>
      </c>
      <c r="B502" s="179" t="s">
        <v>724</v>
      </c>
      <c r="C502" s="180" t="s">
        <v>783</v>
      </c>
      <c r="D502" s="180" t="s">
        <v>891</v>
      </c>
      <c r="E502" s="179" t="s">
        <v>21</v>
      </c>
      <c r="F502" s="179" t="s">
        <v>926</v>
      </c>
      <c r="G502" s="179"/>
      <c r="H502" s="156" t="str">
        <f ca="1">IFERROR(
  _xludf.MINIFS(ATTENDANCE_LOG!$F:$F,
         ATTENDANCE_LOG!$A:$A, C502,
         ATTENDANCE_LOG!$B:$B, E502),
"")</f>
        <v/>
      </c>
      <c r="I502" s="166">
        <f>IFERROR(VLOOKUP(F502, LEVEL_HELPER!$A:$B, 2, 0), "")</f>
        <v>1</v>
      </c>
      <c r="J502" s="166" t="str">
        <f>IFERROR(VLOOKUP(G502, LEVEL_HELPER!$A:$B, 2, 0), "")</f>
        <v/>
      </c>
      <c r="K502" s="166">
        <f t="shared" ref="K502:L502" si="1035">IF(OR(I502="", I502=0), "",
  IF(I502&lt;=2,   1,
  IF(I502&lt;=4,   2,
  IF(I502&lt;=5.5, 3, 4))))</f>
        <v>1</v>
      </c>
      <c r="L502" s="3" t="str">
        <f t="shared" si="1035"/>
        <v/>
      </c>
      <c r="M502" s="3" t="str">
        <f t="shared" si="516"/>
        <v>No Data</v>
      </c>
      <c r="N502" s="181" t="s">
        <v>942</v>
      </c>
      <c r="O502" s="181" t="s">
        <v>924</v>
      </c>
      <c r="P502" s="166" t="str">
        <f t="shared" ca="1" si="517"/>
        <v/>
      </c>
      <c r="Q502" s="170" t="str">
        <f t="shared" ca="1" si="518"/>
        <v/>
      </c>
      <c r="R502" s="170" t="str">
        <f t="shared" ref="R502:S502" ca="1" si="1036">IF(OR(P502="", P502=0), "",
  IF(P502&lt;=2,   1,
  IF(P502&lt;=4,   2,
  IF(P502&lt;=5.5, 3, 4))))</f>
        <v/>
      </c>
      <c r="S502" s="170" t="str">
        <f t="shared" ca="1" si="1036"/>
        <v/>
      </c>
      <c r="T502" s="170" t="str">
        <f t="shared" ca="1" si="520"/>
        <v>No Data</v>
      </c>
      <c r="U502" s="170">
        <f t="shared" si="1024"/>
        <v>1</v>
      </c>
      <c r="V502" s="170"/>
    </row>
    <row r="503" spans="1:22">
      <c r="A503" s="169">
        <v>153138</v>
      </c>
      <c r="B503" s="166" t="s">
        <v>726</v>
      </c>
      <c r="C503" s="167" t="s">
        <v>783</v>
      </c>
      <c r="D503" s="167" t="s">
        <v>891</v>
      </c>
      <c r="E503" s="166" t="s">
        <v>21</v>
      </c>
      <c r="F503" s="166" t="s">
        <v>926</v>
      </c>
      <c r="G503" s="166"/>
      <c r="H503" s="156" t="str">
        <f ca="1">IFERROR(
  _xludf.MINIFS(ATTENDANCE_LOG!$F:$F,
         ATTENDANCE_LOG!$A:$A, C503,
         ATTENDANCE_LOG!$B:$B, E503),
"")</f>
        <v/>
      </c>
      <c r="I503" s="166">
        <f>IFERROR(VLOOKUP(F503, LEVEL_HELPER!$A:$B, 2, 0), "")</f>
        <v>1</v>
      </c>
      <c r="J503" s="166" t="str">
        <f>IFERROR(VLOOKUP(G503, LEVEL_HELPER!$A:$B, 2, 0), "")</f>
        <v/>
      </c>
      <c r="K503" s="166">
        <f t="shared" ref="K503:L503" si="1037">IF(OR(I503="", I503=0), "",
  IF(I503&lt;=2,   1,
  IF(I503&lt;=4,   2,
  IF(I503&lt;=5.5, 3, 4))))</f>
        <v>1</v>
      </c>
      <c r="L503" s="3" t="str">
        <f t="shared" si="1037"/>
        <v/>
      </c>
      <c r="M503" s="3" t="str">
        <f t="shared" si="516"/>
        <v>No Data</v>
      </c>
      <c r="N503" s="169" t="s">
        <v>942</v>
      </c>
      <c r="O503" s="169" t="s">
        <v>924</v>
      </c>
      <c r="P503" s="166" t="str">
        <f t="shared" ca="1" si="517"/>
        <v/>
      </c>
      <c r="Q503" s="170" t="str">
        <f t="shared" ca="1" si="518"/>
        <v/>
      </c>
      <c r="R503" s="170" t="str">
        <f t="shared" ref="R503:S503" ca="1" si="1038">IF(OR(P503="", P503=0), "",
  IF(P503&lt;=2,   1,
  IF(P503&lt;=4,   2,
  IF(P503&lt;=5.5, 3, 4))))</f>
        <v/>
      </c>
      <c r="S503" s="170" t="str">
        <f t="shared" ca="1" si="1038"/>
        <v/>
      </c>
      <c r="T503" s="170" t="str">
        <f t="shared" ca="1" si="520"/>
        <v>No Data</v>
      </c>
      <c r="U503" s="170">
        <f t="shared" si="1024"/>
        <v>1</v>
      </c>
      <c r="V503" s="170"/>
    </row>
    <row r="504" spans="1:22">
      <c r="A504" s="169">
        <v>193522</v>
      </c>
      <c r="B504" s="166" t="s">
        <v>728</v>
      </c>
      <c r="C504" s="167" t="s">
        <v>783</v>
      </c>
      <c r="D504" s="167" t="s">
        <v>891</v>
      </c>
      <c r="E504" s="166" t="s">
        <v>21</v>
      </c>
      <c r="F504" s="166" t="s">
        <v>926</v>
      </c>
      <c r="G504" s="166"/>
      <c r="H504" s="156" t="str">
        <f ca="1">IFERROR(
  _xludf.MINIFS(ATTENDANCE_LOG!$F:$F,
         ATTENDANCE_LOG!$A:$A, C504,
         ATTENDANCE_LOG!$B:$B, E504),
"")</f>
        <v/>
      </c>
      <c r="I504" s="166">
        <f>IFERROR(VLOOKUP(F504, LEVEL_HELPER!$A:$B, 2, 0), "")</f>
        <v>1</v>
      </c>
      <c r="J504" s="166" t="str">
        <f>IFERROR(VLOOKUP(G504, LEVEL_HELPER!$A:$B, 2, 0), "")</f>
        <v/>
      </c>
      <c r="K504" s="166">
        <f t="shared" ref="K504:L504" si="1039">IF(OR(I504="", I504=0), "",
  IF(I504&lt;=2,   1,
  IF(I504&lt;=4,   2,
  IF(I504&lt;=5.5, 3, 4))))</f>
        <v>1</v>
      </c>
      <c r="L504" s="3" t="str">
        <f t="shared" si="1039"/>
        <v/>
      </c>
      <c r="M504" s="3" t="str">
        <f t="shared" si="516"/>
        <v>No Data</v>
      </c>
      <c r="N504" s="169" t="s">
        <v>942</v>
      </c>
      <c r="O504" s="169" t="s">
        <v>924</v>
      </c>
      <c r="P504" s="166" t="str">
        <f t="shared" ca="1" si="517"/>
        <v/>
      </c>
      <c r="Q504" s="170" t="str">
        <f t="shared" ca="1" si="518"/>
        <v/>
      </c>
      <c r="R504" s="170" t="str">
        <f t="shared" ref="R504:S504" ca="1" si="1040">IF(OR(P504="", P504=0), "",
  IF(P504&lt;=2,   1,
  IF(P504&lt;=4,   2,
  IF(P504&lt;=5.5, 3, 4))))</f>
        <v/>
      </c>
      <c r="S504" s="170" t="str">
        <f t="shared" ca="1" si="1040"/>
        <v/>
      </c>
      <c r="T504" s="170" t="str">
        <f t="shared" ca="1" si="520"/>
        <v>No Data</v>
      </c>
      <c r="U504" s="170">
        <f t="shared" si="1024"/>
        <v>1</v>
      </c>
      <c r="V504" s="170"/>
    </row>
    <row r="505" spans="1:22">
      <c r="A505" s="169">
        <v>237070</v>
      </c>
      <c r="B505" s="166" t="s">
        <v>730</v>
      </c>
      <c r="C505" s="167" t="s">
        <v>783</v>
      </c>
      <c r="D505" s="167" t="s">
        <v>891</v>
      </c>
      <c r="E505" s="166" t="s">
        <v>21</v>
      </c>
      <c r="F505" s="166" t="s">
        <v>926</v>
      </c>
      <c r="G505" s="166"/>
      <c r="H505" s="156" t="str">
        <f ca="1">IFERROR(
  _xludf.MINIFS(ATTENDANCE_LOG!$F:$F,
         ATTENDANCE_LOG!$A:$A, C505,
         ATTENDANCE_LOG!$B:$B, E505),
"")</f>
        <v/>
      </c>
      <c r="I505" s="166">
        <f>IFERROR(VLOOKUP(F505, LEVEL_HELPER!$A:$B, 2, 0), "")</f>
        <v>1</v>
      </c>
      <c r="J505" s="166" t="str">
        <f>IFERROR(VLOOKUP(G505, LEVEL_HELPER!$A:$B, 2, 0), "")</f>
        <v/>
      </c>
      <c r="K505" s="166">
        <f t="shared" ref="K505:L505" si="1041">IF(OR(I505="", I505=0), "",
  IF(I505&lt;=2,   1,
  IF(I505&lt;=4,   2,
  IF(I505&lt;=5.5, 3, 4))))</f>
        <v>1</v>
      </c>
      <c r="L505" s="3" t="str">
        <f t="shared" si="1041"/>
        <v/>
      </c>
      <c r="M505" s="3" t="str">
        <f t="shared" si="516"/>
        <v>No Data</v>
      </c>
      <c r="N505" s="169" t="s">
        <v>942</v>
      </c>
      <c r="O505" s="169" t="s">
        <v>924</v>
      </c>
      <c r="P505" s="166" t="str">
        <f t="shared" ca="1" si="517"/>
        <v/>
      </c>
      <c r="Q505" s="170" t="str">
        <f t="shared" ca="1" si="518"/>
        <v/>
      </c>
      <c r="R505" s="170" t="str">
        <f t="shared" ref="R505:S505" ca="1" si="1042">IF(OR(P505="", P505=0), "",
  IF(P505&lt;=2,   1,
  IF(P505&lt;=4,   2,
  IF(P505&lt;=5.5, 3, 4))))</f>
        <v/>
      </c>
      <c r="S505" s="170" t="str">
        <f t="shared" ca="1" si="1042"/>
        <v/>
      </c>
      <c r="T505" s="170" t="str">
        <f t="shared" ca="1" si="520"/>
        <v>No Data</v>
      </c>
      <c r="U505" s="170">
        <f t="shared" si="1024"/>
        <v>1</v>
      </c>
      <c r="V505" s="170"/>
    </row>
    <row r="506" spans="1:22">
      <c r="A506" s="169">
        <v>203757</v>
      </c>
      <c r="B506" s="166" t="s">
        <v>732</v>
      </c>
      <c r="C506" s="167" t="s">
        <v>783</v>
      </c>
      <c r="D506" s="167" t="s">
        <v>891</v>
      </c>
      <c r="E506" s="166" t="s">
        <v>21</v>
      </c>
      <c r="F506" s="166" t="s">
        <v>926</v>
      </c>
      <c r="G506" s="166"/>
      <c r="H506" s="156" t="str">
        <f ca="1">IFERROR(
  _xludf.MINIFS(ATTENDANCE_LOG!$F:$F,
         ATTENDANCE_LOG!$A:$A, C506,
         ATTENDANCE_LOG!$B:$B, E506),
"")</f>
        <v/>
      </c>
      <c r="I506" s="166">
        <f>IFERROR(VLOOKUP(F506, LEVEL_HELPER!$A:$B, 2, 0), "")</f>
        <v>1</v>
      </c>
      <c r="J506" s="166" t="str">
        <f>IFERROR(VLOOKUP(G506, LEVEL_HELPER!$A:$B, 2, 0), "")</f>
        <v/>
      </c>
      <c r="K506" s="166">
        <f t="shared" ref="K506:L506" si="1043">IF(OR(I506="", I506=0), "",
  IF(I506&lt;=2,   1,
  IF(I506&lt;=4,   2,
  IF(I506&lt;=5.5, 3, 4))))</f>
        <v>1</v>
      </c>
      <c r="L506" s="3" t="str">
        <f t="shared" si="1043"/>
        <v/>
      </c>
      <c r="M506" s="3" t="str">
        <f t="shared" si="516"/>
        <v>No Data</v>
      </c>
      <c r="N506" s="169" t="s">
        <v>942</v>
      </c>
      <c r="O506" s="169" t="s">
        <v>924</v>
      </c>
      <c r="P506" s="166" t="str">
        <f t="shared" ca="1" si="517"/>
        <v/>
      </c>
      <c r="Q506" s="170" t="str">
        <f t="shared" ca="1" si="518"/>
        <v/>
      </c>
      <c r="R506" s="170" t="str">
        <f t="shared" ref="R506:S506" ca="1" si="1044">IF(OR(P506="", P506=0), "",
  IF(P506&lt;=2,   1,
  IF(P506&lt;=4,   2,
  IF(P506&lt;=5.5, 3, 4))))</f>
        <v/>
      </c>
      <c r="S506" s="170" t="str">
        <f t="shared" ca="1" si="1044"/>
        <v/>
      </c>
      <c r="T506" s="170" t="str">
        <f t="shared" ca="1" si="520"/>
        <v>No Data</v>
      </c>
      <c r="U506" s="170">
        <f t="shared" si="1024"/>
        <v>1</v>
      </c>
      <c r="V506" s="170"/>
    </row>
    <row r="507" spans="1:22">
      <c r="A507" s="169">
        <v>213911</v>
      </c>
      <c r="B507" s="166" t="s">
        <v>734</v>
      </c>
      <c r="C507" s="167" t="s">
        <v>783</v>
      </c>
      <c r="D507" s="167" t="s">
        <v>891</v>
      </c>
      <c r="E507" s="166" t="s">
        <v>21</v>
      </c>
      <c r="F507" s="166" t="s">
        <v>926</v>
      </c>
      <c r="G507" s="166"/>
      <c r="H507" s="156" t="str">
        <f ca="1">IFERROR(
  _xludf.MINIFS(ATTENDANCE_LOG!$F:$F,
         ATTENDANCE_LOG!$A:$A, C507,
         ATTENDANCE_LOG!$B:$B, E507),
"")</f>
        <v/>
      </c>
      <c r="I507" s="166">
        <f>IFERROR(VLOOKUP(F507, LEVEL_HELPER!$A:$B, 2, 0), "")</f>
        <v>1</v>
      </c>
      <c r="J507" s="166" t="str">
        <f>IFERROR(VLOOKUP(G507, LEVEL_HELPER!$A:$B, 2, 0), "")</f>
        <v/>
      </c>
      <c r="K507" s="166">
        <f t="shared" ref="K507:L507" si="1045">IF(OR(I507="", I507=0), "",
  IF(I507&lt;=2,   1,
  IF(I507&lt;=4,   2,
  IF(I507&lt;=5.5, 3, 4))))</f>
        <v>1</v>
      </c>
      <c r="L507" s="3" t="str">
        <f t="shared" si="1045"/>
        <v/>
      </c>
      <c r="M507" s="3" t="str">
        <f t="shared" si="516"/>
        <v>No Data</v>
      </c>
      <c r="N507" s="169" t="s">
        <v>942</v>
      </c>
      <c r="O507" s="169" t="s">
        <v>924</v>
      </c>
      <c r="P507" s="166" t="str">
        <f t="shared" ca="1" si="517"/>
        <v/>
      </c>
      <c r="Q507" s="170" t="str">
        <f t="shared" ca="1" si="518"/>
        <v/>
      </c>
      <c r="R507" s="170" t="str">
        <f t="shared" ref="R507:S507" ca="1" si="1046">IF(OR(P507="", P507=0), "",
  IF(P507&lt;=2,   1,
  IF(P507&lt;=4,   2,
  IF(P507&lt;=5.5, 3, 4))))</f>
        <v/>
      </c>
      <c r="S507" s="170" t="str">
        <f t="shared" ca="1" si="1046"/>
        <v/>
      </c>
      <c r="T507" s="170" t="str">
        <f t="shared" ca="1" si="520"/>
        <v>No Data</v>
      </c>
      <c r="U507" s="170">
        <f t="shared" si="1024"/>
        <v>1</v>
      </c>
      <c r="V507" s="170"/>
    </row>
    <row r="508" spans="1:22">
      <c r="A508" s="181">
        <v>203791</v>
      </c>
      <c r="B508" s="179" t="s">
        <v>736</v>
      </c>
      <c r="C508" s="180" t="s">
        <v>794</v>
      </c>
      <c r="D508" s="180" t="s">
        <v>892</v>
      </c>
      <c r="E508" s="179" t="s">
        <v>21</v>
      </c>
      <c r="F508" s="179" t="s">
        <v>926</v>
      </c>
      <c r="G508" s="179"/>
      <c r="H508" s="156" t="str">
        <f ca="1">IFERROR(
  _xludf.MINIFS(ATTENDANCE_LOG!$F:$F,
         ATTENDANCE_LOG!$A:$A, C508,
         ATTENDANCE_LOG!$B:$B, E508),
"")</f>
        <v/>
      </c>
      <c r="I508" s="166">
        <f>IFERROR(VLOOKUP(F508, LEVEL_HELPER!$A:$B, 2, 0), "")</f>
        <v>1</v>
      </c>
      <c r="J508" s="166" t="str">
        <f>IFERROR(VLOOKUP(G508, LEVEL_HELPER!$A:$B, 2, 0), "")</f>
        <v/>
      </c>
      <c r="K508" s="166">
        <f t="shared" ref="K508:L508" si="1047">IF(OR(I508="", I508=0), "",
  IF(I508&lt;=2,   1,
  IF(I508&lt;=4,   2,
  IF(I508&lt;=5.5, 3, 4))))</f>
        <v>1</v>
      </c>
      <c r="L508" s="3" t="str">
        <f t="shared" si="1047"/>
        <v/>
      </c>
      <c r="M508" s="3" t="str">
        <f t="shared" si="516"/>
        <v>No Data</v>
      </c>
      <c r="N508" s="181" t="s">
        <v>942</v>
      </c>
      <c r="O508" s="181" t="s">
        <v>924</v>
      </c>
      <c r="P508" s="166" t="str">
        <f t="shared" ca="1" si="517"/>
        <v/>
      </c>
      <c r="Q508" s="170" t="str">
        <f t="shared" ca="1" si="518"/>
        <v/>
      </c>
      <c r="R508" s="170" t="str">
        <f t="shared" ref="R508:S508" ca="1" si="1048">IF(OR(P508="", P508=0), "",
  IF(P508&lt;=2,   1,
  IF(P508&lt;=4,   2,
  IF(P508&lt;=5.5, 3, 4))))</f>
        <v/>
      </c>
      <c r="S508" s="170" t="str">
        <f t="shared" ca="1" si="1048"/>
        <v/>
      </c>
      <c r="T508" s="170" t="str">
        <f t="shared" ca="1" si="520"/>
        <v>No Data</v>
      </c>
      <c r="U508" s="170">
        <f t="shared" si="1024"/>
        <v>1</v>
      </c>
      <c r="V508" s="170"/>
    </row>
    <row r="509" spans="1:22">
      <c r="A509" s="169">
        <v>237031</v>
      </c>
      <c r="B509" s="166" t="s">
        <v>738</v>
      </c>
      <c r="C509" s="167" t="s">
        <v>794</v>
      </c>
      <c r="D509" s="167" t="s">
        <v>892</v>
      </c>
      <c r="E509" s="166" t="s">
        <v>21</v>
      </c>
      <c r="F509" s="166" t="s">
        <v>926</v>
      </c>
      <c r="G509" s="166"/>
      <c r="H509" s="156" t="str">
        <f ca="1">IFERROR(
  _xludf.MINIFS(ATTENDANCE_LOG!$F:$F,
         ATTENDANCE_LOG!$A:$A, C509,
         ATTENDANCE_LOG!$B:$B, E509),
"")</f>
        <v/>
      </c>
      <c r="I509" s="166">
        <f>IFERROR(VLOOKUP(F509, LEVEL_HELPER!$A:$B, 2, 0), "")</f>
        <v>1</v>
      </c>
      <c r="J509" s="166" t="str">
        <f>IFERROR(VLOOKUP(G509, LEVEL_HELPER!$A:$B, 2, 0), "")</f>
        <v/>
      </c>
      <c r="K509" s="166">
        <f t="shared" ref="K509:L509" si="1049">IF(OR(I509="", I509=0), "",
  IF(I509&lt;=2,   1,
  IF(I509&lt;=4,   2,
  IF(I509&lt;=5.5, 3, 4))))</f>
        <v>1</v>
      </c>
      <c r="L509" s="3" t="str">
        <f t="shared" si="1049"/>
        <v/>
      </c>
      <c r="M509" s="3" t="str">
        <f t="shared" si="516"/>
        <v>No Data</v>
      </c>
      <c r="N509" s="169" t="s">
        <v>942</v>
      </c>
      <c r="O509" s="169" t="s">
        <v>924</v>
      </c>
      <c r="P509" s="166" t="str">
        <f t="shared" ca="1" si="517"/>
        <v/>
      </c>
      <c r="Q509" s="170" t="str">
        <f t="shared" ca="1" si="518"/>
        <v/>
      </c>
      <c r="R509" s="170" t="str">
        <f t="shared" ref="R509:S509" ca="1" si="1050">IF(OR(P509="", P509=0), "",
  IF(P509&lt;=2,   1,
  IF(P509&lt;=4,   2,
  IF(P509&lt;=5.5, 3, 4))))</f>
        <v/>
      </c>
      <c r="S509" s="170" t="str">
        <f t="shared" ca="1" si="1050"/>
        <v/>
      </c>
      <c r="T509" s="170" t="str">
        <f t="shared" ca="1" si="520"/>
        <v>No Data</v>
      </c>
      <c r="U509" s="170">
        <f t="shared" si="1024"/>
        <v>1</v>
      </c>
      <c r="V509" s="170"/>
    </row>
    <row r="510" spans="1:22">
      <c r="A510" s="169">
        <v>203713</v>
      </c>
      <c r="B510" s="166" t="s">
        <v>740</v>
      </c>
      <c r="C510" s="167" t="s">
        <v>794</v>
      </c>
      <c r="D510" s="167" t="s">
        <v>892</v>
      </c>
      <c r="E510" s="166" t="s">
        <v>21</v>
      </c>
      <c r="F510" s="166" t="s">
        <v>926</v>
      </c>
      <c r="G510" s="166"/>
      <c r="H510" s="156" t="str">
        <f ca="1">IFERROR(
  _xludf.MINIFS(ATTENDANCE_LOG!$F:$F,
         ATTENDANCE_LOG!$A:$A, C510,
         ATTENDANCE_LOG!$B:$B, E510),
"")</f>
        <v/>
      </c>
      <c r="I510" s="166">
        <f>IFERROR(VLOOKUP(F510, LEVEL_HELPER!$A:$B, 2, 0), "")</f>
        <v>1</v>
      </c>
      <c r="J510" s="166" t="str">
        <f>IFERROR(VLOOKUP(G510, LEVEL_HELPER!$A:$B, 2, 0), "")</f>
        <v/>
      </c>
      <c r="K510" s="166">
        <f t="shared" ref="K510:L510" si="1051">IF(OR(I510="", I510=0), "",
  IF(I510&lt;=2,   1,
  IF(I510&lt;=4,   2,
  IF(I510&lt;=5.5, 3, 4))))</f>
        <v>1</v>
      </c>
      <c r="L510" s="3" t="str">
        <f t="shared" si="1051"/>
        <v/>
      </c>
      <c r="M510" s="3" t="str">
        <f t="shared" si="516"/>
        <v>No Data</v>
      </c>
      <c r="N510" s="169" t="s">
        <v>942</v>
      </c>
      <c r="O510" s="169" t="s">
        <v>924</v>
      </c>
      <c r="P510" s="166" t="str">
        <f t="shared" ca="1" si="517"/>
        <v/>
      </c>
      <c r="Q510" s="170" t="str">
        <f t="shared" ca="1" si="518"/>
        <v/>
      </c>
      <c r="R510" s="170" t="str">
        <f t="shared" ref="R510:S510" ca="1" si="1052">IF(OR(P510="", P510=0), "",
  IF(P510&lt;=2,   1,
  IF(P510&lt;=4,   2,
  IF(P510&lt;=5.5, 3, 4))))</f>
        <v/>
      </c>
      <c r="S510" s="170" t="str">
        <f t="shared" ca="1" si="1052"/>
        <v/>
      </c>
      <c r="T510" s="170" t="str">
        <f t="shared" ca="1" si="520"/>
        <v>No Data</v>
      </c>
      <c r="U510" s="170">
        <f t="shared" si="1024"/>
        <v>1</v>
      </c>
      <c r="V510" s="170"/>
    </row>
    <row r="511" spans="1:22">
      <c r="A511" s="169">
        <v>213874</v>
      </c>
      <c r="B511" s="166" t="s">
        <v>742</v>
      </c>
      <c r="C511" s="167" t="s">
        <v>794</v>
      </c>
      <c r="D511" s="167" t="s">
        <v>892</v>
      </c>
      <c r="E511" s="166" t="s">
        <v>21</v>
      </c>
      <c r="F511" s="166" t="s">
        <v>926</v>
      </c>
      <c r="G511" s="166"/>
      <c r="H511" s="156" t="str">
        <f ca="1">IFERROR(
  _xludf.MINIFS(ATTENDANCE_LOG!$F:$F,
         ATTENDANCE_LOG!$A:$A, C511,
         ATTENDANCE_LOG!$B:$B, E511),
"")</f>
        <v/>
      </c>
      <c r="I511" s="166">
        <f>IFERROR(VLOOKUP(F511, LEVEL_HELPER!$A:$B, 2, 0), "")</f>
        <v>1</v>
      </c>
      <c r="J511" s="166" t="str">
        <f>IFERROR(VLOOKUP(G511, LEVEL_HELPER!$A:$B, 2, 0), "")</f>
        <v/>
      </c>
      <c r="K511" s="166">
        <f t="shared" ref="K511:L511" si="1053">IF(OR(I511="", I511=0), "",
  IF(I511&lt;=2,   1,
  IF(I511&lt;=4,   2,
  IF(I511&lt;=5.5, 3, 4))))</f>
        <v>1</v>
      </c>
      <c r="L511" s="3" t="str">
        <f t="shared" si="1053"/>
        <v/>
      </c>
      <c r="M511" s="3" t="str">
        <f t="shared" si="516"/>
        <v>No Data</v>
      </c>
      <c r="N511" s="169" t="s">
        <v>942</v>
      </c>
      <c r="O511" s="169" t="s">
        <v>924</v>
      </c>
      <c r="P511" s="166" t="str">
        <f t="shared" ca="1" si="517"/>
        <v/>
      </c>
      <c r="Q511" s="170" t="str">
        <f t="shared" ca="1" si="518"/>
        <v/>
      </c>
      <c r="R511" s="170" t="str">
        <f t="shared" ref="R511:S511" ca="1" si="1054">IF(OR(P511="", P511=0), "",
  IF(P511&lt;=2,   1,
  IF(P511&lt;=4,   2,
  IF(P511&lt;=5.5, 3, 4))))</f>
        <v/>
      </c>
      <c r="S511" s="170" t="str">
        <f t="shared" ca="1" si="1054"/>
        <v/>
      </c>
      <c r="T511" s="170" t="str">
        <f t="shared" ca="1" si="520"/>
        <v>No Data</v>
      </c>
      <c r="U511" s="170">
        <f t="shared" si="1024"/>
        <v>1</v>
      </c>
      <c r="V511" s="170"/>
    </row>
    <row r="512" spans="1:22">
      <c r="A512" s="169">
        <v>203725</v>
      </c>
      <c r="B512" s="166" t="s">
        <v>744</v>
      </c>
      <c r="C512" s="167" t="s">
        <v>794</v>
      </c>
      <c r="D512" s="167" t="s">
        <v>892</v>
      </c>
      <c r="E512" s="166" t="s">
        <v>21</v>
      </c>
      <c r="F512" s="166" t="s">
        <v>926</v>
      </c>
      <c r="G512" s="166"/>
      <c r="H512" s="156" t="str">
        <f ca="1">IFERROR(
  _xludf.MINIFS(ATTENDANCE_LOG!$F:$F,
         ATTENDANCE_LOG!$A:$A, C512,
         ATTENDANCE_LOG!$B:$B, E512),
"")</f>
        <v/>
      </c>
      <c r="I512" s="166">
        <f>IFERROR(VLOOKUP(F512, LEVEL_HELPER!$A:$B, 2, 0), "")</f>
        <v>1</v>
      </c>
      <c r="J512" s="166" t="str">
        <f>IFERROR(VLOOKUP(G512, LEVEL_HELPER!$A:$B, 2, 0), "")</f>
        <v/>
      </c>
      <c r="K512" s="166">
        <f t="shared" ref="K512:L512" si="1055">IF(OR(I512="", I512=0), "",
  IF(I512&lt;=2,   1,
  IF(I512&lt;=4,   2,
  IF(I512&lt;=5.5, 3, 4))))</f>
        <v>1</v>
      </c>
      <c r="L512" s="3" t="str">
        <f t="shared" si="1055"/>
        <v/>
      </c>
      <c r="M512" s="3" t="str">
        <f t="shared" ref="M512:M543" si="1056">IF(OR(K512="", L512=""), "No Data",
  IF(L512&lt;K512,    "Regressed",
  IF(L512=K512,
    IF(J512&gt;I512,  "Progress within level",
               "No Progress"),
  IF(L512-K512=1, "Lv"&amp;K512&amp;" → Lv"&amp;L512,
  "Lv"&amp;K512&amp;" → Lv"&amp;L512&amp;" (+"&amp;(L512-K512)&amp;")"))))</f>
        <v>No Data</v>
      </c>
      <c r="N512" s="169" t="s">
        <v>942</v>
      </c>
      <c r="O512" s="169" t="s">
        <v>924</v>
      </c>
      <c r="P512" s="166" t="str">
        <f t="shared" ref="P512:P543" ca="1" si="1057">IFERROR(_xludf.MINIFS($I:$I, $A:$A, A512, $I:$I, "&gt;"&amp;0), "")</f>
        <v/>
      </c>
      <c r="Q512" s="170" t="str">
        <f t="shared" ref="Q512:Q543" ca="1" si="1058">IFERROR(_xludf.MAXIFS($J:$J, $A:$A, A512), "")</f>
        <v/>
      </c>
      <c r="R512" s="170" t="str">
        <f t="shared" ref="R512:S512" ca="1" si="1059">IF(OR(P512="", P512=0), "",
  IF(P512&lt;=2,   1,
  IF(P512&lt;=4,   2,
  IF(P512&lt;=5.5, 3, 4))))</f>
        <v/>
      </c>
      <c r="S512" s="170" t="str">
        <f t="shared" ca="1" si="1059"/>
        <v/>
      </c>
      <c r="T512" s="170" t="str">
        <f t="shared" ref="T512:T543" ca="1" si="1060">IF(OR(R512="", S512=""), "No Data",
  IF(S512&lt;R512, "Regressed",
  IF(S512=R512,
    IF(Q512&gt;P512, "Progress within level",
              "No Progress"),
  IF(S512-R512=1, "Lv"&amp;R512&amp;" → Lv"&amp;S512,
  "Lv"&amp;R512&amp;" → Lv"&amp;S512&amp;" (multi)"))))</f>
        <v>No Data</v>
      </c>
      <c r="U512" s="170">
        <f t="shared" si="1024"/>
        <v>1</v>
      </c>
      <c r="V512" s="170"/>
    </row>
    <row r="513" spans="1:22">
      <c r="A513" s="169">
        <v>193607</v>
      </c>
      <c r="B513" s="166" t="s">
        <v>819</v>
      </c>
      <c r="C513" s="167" t="s">
        <v>794</v>
      </c>
      <c r="D513" s="167" t="s">
        <v>892</v>
      </c>
      <c r="E513" s="166" t="s">
        <v>21</v>
      </c>
      <c r="F513" s="166" t="s">
        <v>926</v>
      </c>
      <c r="G513" s="166"/>
      <c r="H513" s="156" t="str">
        <f ca="1">IFERROR(
  _xludf.MINIFS(ATTENDANCE_LOG!$F:$F,
         ATTENDANCE_LOG!$A:$A, C513,
         ATTENDANCE_LOG!$B:$B, E513),
"")</f>
        <v/>
      </c>
      <c r="I513" s="166">
        <f>IFERROR(VLOOKUP(F513, LEVEL_HELPER!$A:$B, 2, 0), "")</f>
        <v>1</v>
      </c>
      <c r="J513" s="166" t="str">
        <f>IFERROR(VLOOKUP(G513, LEVEL_HELPER!$A:$B, 2, 0), "")</f>
        <v/>
      </c>
      <c r="K513" s="166">
        <f t="shared" ref="K513:L513" si="1061">IF(OR(I513="", I513=0), "",
  IF(I513&lt;=2,   1,
  IF(I513&lt;=4,   2,
  IF(I513&lt;=5.5, 3, 4))))</f>
        <v>1</v>
      </c>
      <c r="L513" s="3" t="str">
        <f t="shared" si="1061"/>
        <v/>
      </c>
      <c r="M513" s="3" t="str">
        <f t="shared" si="1056"/>
        <v>No Data</v>
      </c>
      <c r="N513" s="169" t="s">
        <v>942</v>
      </c>
      <c r="O513" s="169" t="s">
        <v>924</v>
      </c>
      <c r="P513" s="166" t="str">
        <f t="shared" ca="1" si="1057"/>
        <v/>
      </c>
      <c r="Q513" s="170" t="str">
        <f t="shared" ca="1" si="1058"/>
        <v/>
      </c>
      <c r="R513" s="170" t="str">
        <f t="shared" ref="R513:S513" ca="1" si="1062">IF(OR(P513="", P513=0), "",
  IF(P513&lt;=2,   1,
  IF(P513&lt;=4,   2,
  IF(P513&lt;=5.5, 3, 4))))</f>
        <v/>
      </c>
      <c r="S513" s="170" t="str">
        <f t="shared" ca="1" si="1062"/>
        <v/>
      </c>
      <c r="T513" s="170" t="str">
        <f t="shared" ca="1" si="1060"/>
        <v>No Data</v>
      </c>
      <c r="U513" s="170">
        <f t="shared" si="1024"/>
        <v>0</v>
      </c>
      <c r="V513" s="170"/>
    </row>
    <row r="514" spans="1:22">
      <c r="A514" s="181">
        <v>227005</v>
      </c>
      <c r="B514" s="179" t="s">
        <v>746</v>
      </c>
      <c r="C514" s="180" t="s">
        <v>800</v>
      </c>
      <c r="D514" s="180" t="s">
        <v>890</v>
      </c>
      <c r="E514" s="179" t="s">
        <v>21</v>
      </c>
      <c r="F514" s="179" t="s">
        <v>934</v>
      </c>
      <c r="G514" s="179"/>
      <c r="H514" s="156" t="str">
        <f ca="1">IFERROR(
  _xludf.MINIFS(ATTENDANCE_LOG!$F:$F,
         ATTENDANCE_LOG!$A:$A, C514,
         ATTENDANCE_LOG!$B:$B, E514),
"")</f>
        <v/>
      </c>
      <c r="I514" s="166">
        <f>IFERROR(VLOOKUP(F514, LEVEL_HELPER!$A:$B, 2, 0), "")</f>
        <v>3.5</v>
      </c>
      <c r="J514" s="166" t="str">
        <f>IFERROR(VLOOKUP(G514, LEVEL_HELPER!$A:$B, 2, 0), "")</f>
        <v/>
      </c>
      <c r="K514" s="166">
        <f t="shared" ref="K514:L514" si="1063">IF(OR(I514="", I514=0), "",
  IF(I514&lt;=2,   1,
  IF(I514&lt;=4,   2,
  IF(I514&lt;=5.5, 3, 4))))</f>
        <v>2</v>
      </c>
      <c r="L514" s="3" t="str">
        <f t="shared" si="1063"/>
        <v/>
      </c>
      <c r="M514" s="3" t="str">
        <f t="shared" si="1056"/>
        <v>No Data</v>
      </c>
      <c r="N514" s="181" t="s">
        <v>958</v>
      </c>
      <c r="O514" s="181" t="s">
        <v>921</v>
      </c>
      <c r="P514" s="166" t="str">
        <f t="shared" ca="1" si="1057"/>
        <v/>
      </c>
      <c r="Q514" s="170" t="str">
        <f t="shared" ca="1" si="1058"/>
        <v/>
      </c>
      <c r="R514" s="170" t="str">
        <f t="shared" ref="R514:S514" ca="1" si="1064">IF(OR(P514="", P514=0), "",
  IF(P514&lt;=2,   1,
  IF(P514&lt;=4,   2,
  IF(P514&lt;=5.5, 3, 4))))</f>
        <v/>
      </c>
      <c r="S514" s="170" t="str">
        <f t="shared" ca="1" si="1064"/>
        <v/>
      </c>
      <c r="T514" s="170" t="str">
        <f t="shared" ca="1" si="1060"/>
        <v>No Data</v>
      </c>
      <c r="U514" s="170">
        <f t="shared" si="1024"/>
        <v>1</v>
      </c>
      <c r="V514" s="170"/>
    </row>
    <row r="515" spans="1:22">
      <c r="A515" s="169">
        <v>213813</v>
      </c>
      <c r="B515" s="166" t="s">
        <v>748</v>
      </c>
      <c r="C515" s="167" t="s">
        <v>800</v>
      </c>
      <c r="D515" s="167" t="s">
        <v>890</v>
      </c>
      <c r="E515" s="166" t="s">
        <v>21</v>
      </c>
      <c r="F515" s="166" t="s">
        <v>926</v>
      </c>
      <c r="G515" s="166"/>
      <c r="H515" s="156" t="str">
        <f ca="1">IFERROR(
  _xludf.MINIFS(ATTENDANCE_LOG!$F:$F,
         ATTENDANCE_LOG!$A:$A, C515,
         ATTENDANCE_LOG!$B:$B, E515),
"")</f>
        <v/>
      </c>
      <c r="I515" s="166">
        <f>IFERROR(VLOOKUP(F515, LEVEL_HELPER!$A:$B, 2, 0), "")</f>
        <v>1</v>
      </c>
      <c r="J515" s="166" t="str">
        <f>IFERROR(VLOOKUP(G515, LEVEL_HELPER!$A:$B, 2, 0), "")</f>
        <v/>
      </c>
      <c r="K515" s="166">
        <f t="shared" ref="K515:L515" si="1065">IF(OR(I515="", I515=0), "",
  IF(I515&lt;=2,   1,
  IF(I515&lt;=4,   2,
  IF(I515&lt;=5.5, 3, 4))))</f>
        <v>1</v>
      </c>
      <c r="L515" s="3" t="str">
        <f t="shared" si="1065"/>
        <v/>
      </c>
      <c r="M515" s="3" t="str">
        <f t="shared" si="1056"/>
        <v>No Data</v>
      </c>
      <c r="N515" s="169" t="s">
        <v>942</v>
      </c>
      <c r="O515" s="169" t="s">
        <v>922</v>
      </c>
      <c r="P515" s="166" t="str">
        <f t="shared" ca="1" si="1057"/>
        <v/>
      </c>
      <c r="Q515" s="170" t="str">
        <f t="shared" ca="1" si="1058"/>
        <v/>
      </c>
      <c r="R515" s="170" t="str">
        <f t="shared" ref="R515:S515" ca="1" si="1066">IF(OR(P515="", P515=0), "",
  IF(P515&lt;=2,   1,
  IF(P515&lt;=4,   2,
  IF(P515&lt;=5.5, 3, 4))))</f>
        <v/>
      </c>
      <c r="S515" s="170" t="str">
        <f t="shared" ca="1" si="1066"/>
        <v/>
      </c>
      <c r="T515" s="170" t="str">
        <f t="shared" ca="1" si="1060"/>
        <v>No Data</v>
      </c>
      <c r="U515" s="170">
        <f t="shared" si="1024"/>
        <v>1</v>
      </c>
      <c r="V515" s="170"/>
    </row>
    <row r="516" spans="1:22">
      <c r="A516" s="169">
        <v>203786</v>
      </c>
      <c r="B516" s="166" t="s">
        <v>750</v>
      </c>
      <c r="C516" s="167" t="s">
        <v>800</v>
      </c>
      <c r="D516" s="167" t="s">
        <v>890</v>
      </c>
      <c r="E516" s="166" t="s">
        <v>21</v>
      </c>
      <c r="F516" s="166" t="s">
        <v>934</v>
      </c>
      <c r="G516" s="166"/>
      <c r="H516" s="156" t="str">
        <f ca="1">IFERROR(
  _xludf.MINIFS(ATTENDANCE_LOG!$F:$F,
         ATTENDANCE_LOG!$A:$A, C516,
         ATTENDANCE_LOG!$B:$B, E516),
"")</f>
        <v/>
      </c>
      <c r="I516" s="166">
        <f>IFERROR(VLOOKUP(F516, LEVEL_HELPER!$A:$B, 2, 0), "")</f>
        <v>3.5</v>
      </c>
      <c r="J516" s="166" t="str">
        <f>IFERROR(VLOOKUP(G516, LEVEL_HELPER!$A:$B, 2, 0), "")</f>
        <v/>
      </c>
      <c r="K516" s="166">
        <f t="shared" ref="K516:L516" si="1067">IF(OR(I516="", I516=0), "",
  IF(I516&lt;=2,   1,
  IF(I516&lt;=4,   2,
  IF(I516&lt;=5.5, 3, 4))))</f>
        <v>2</v>
      </c>
      <c r="L516" s="3" t="str">
        <f t="shared" si="1067"/>
        <v/>
      </c>
      <c r="M516" s="3" t="str">
        <f t="shared" si="1056"/>
        <v>No Data</v>
      </c>
      <c r="N516" s="169" t="s">
        <v>946</v>
      </c>
      <c r="O516" s="169" t="s">
        <v>922</v>
      </c>
      <c r="P516" s="166" t="str">
        <f t="shared" ca="1" si="1057"/>
        <v/>
      </c>
      <c r="Q516" s="170" t="str">
        <f t="shared" ca="1" si="1058"/>
        <v/>
      </c>
      <c r="R516" s="170" t="str">
        <f t="shared" ref="R516:S516" ca="1" si="1068">IF(OR(P516="", P516=0), "",
  IF(P516&lt;=2,   1,
  IF(P516&lt;=4,   2,
  IF(P516&lt;=5.5, 3, 4))))</f>
        <v/>
      </c>
      <c r="S516" s="170" t="str">
        <f t="shared" ca="1" si="1068"/>
        <v/>
      </c>
      <c r="T516" s="170" t="str">
        <f t="shared" ca="1" si="1060"/>
        <v>No Data</v>
      </c>
      <c r="U516" s="170">
        <f t="shared" si="1024"/>
        <v>1</v>
      </c>
      <c r="V516" s="170"/>
    </row>
    <row r="517" spans="1:22">
      <c r="A517" s="169">
        <v>257121</v>
      </c>
      <c r="B517" s="166" t="s">
        <v>752</v>
      </c>
      <c r="C517" s="167" t="s">
        <v>800</v>
      </c>
      <c r="D517" s="167" t="s">
        <v>890</v>
      </c>
      <c r="E517" s="166" t="s">
        <v>21</v>
      </c>
      <c r="F517" s="166" t="s">
        <v>928</v>
      </c>
      <c r="G517" s="166"/>
      <c r="H517" s="156" t="str">
        <f ca="1">IFERROR(
  _xludf.MINIFS(ATTENDANCE_LOG!$F:$F,
         ATTENDANCE_LOG!$A:$A, C517,
         ATTENDANCE_LOG!$B:$B, E517),
"")</f>
        <v/>
      </c>
      <c r="I517" s="166">
        <f>IFERROR(VLOOKUP(F517, LEVEL_HELPER!$A:$B, 2, 0), "")</f>
        <v>1.5</v>
      </c>
      <c r="J517" s="166" t="str">
        <f>IFERROR(VLOOKUP(G517, LEVEL_HELPER!$A:$B, 2, 0), "")</f>
        <v/>
      </c>
      <c r="K517" s="166">
        <f t="shared" ref="K517:L517" si="1069">IF(OR(I517="", I517=0), "",
  IF(I517&lt;=2,   1,
  IF(I517&lt;=4,   2,
  IF(I517&lt;=5.5, 3, 4))))</f>
        <v>1</v>
      </c>
      <c r="L517" s="3" t="str">
        <f t="shared" si="1069"/>
        <v/>
      </c>
      <c r="M517" s="3" t="str">
        <f t="shared" si="1056"/>
        <v>No Data</v>
      </c>
      <c r="N517" s="169" t="s">
        <v>930</v>
      </c>
      <c r="O517" s="169" t="s">
        <v>919</v>
      </c>
      <c r="P517" s="166" t="str">
        <f t="shared" ca="1" si="1057"/>
        <v/>
      </c>
      <c r="Q517" s="170" t="str">
        <f t="shared" ca="1" si="1058"/>
        <v/>
      </c>
      <c r="R517" s="170" t="str">
        <f t="shared" ref="R517:S517" ca="1" si="1070">IF(OR(P517="", P517=0), "",
  IF(P517&lt;=2,   1,
  IF(P517&lt;=4,   2,
  IF(P517&lt;=5.5, 3, 4))))</f>
        <v/>
      </c>
      <c r="S517" s="170" t="str">
        <f t="shared" ca="1" si="1070"/>
        <v/>
      </c>
      <c r="T517" s="170" t="str">
        <f t="shared" ca="1" si="1060"/>
        <v>No Data</v>
      </c>
      <c r="U517" s="170">
        <f t="shared" si="1024"/>
        <v>1</v>
      </c>
      <c r="V517" s="170"/>
    </row>
    <row r="518" spans="1:22">
      <c r="A518" s="169">
        <v>257135</v>
      </c>
      <c r="B518" s="166" t="s">
        <v>754</v>
      </c>
      <c r="C518" s="167" t="s">
        <v>800</v>
      </c>
      <c r="D518" s="167" t="s">
        <v>890</v>
      </c>
      <c r="E518" s="166" t="s">
        <v>21</v>
      </c>
      <c r="F518" s="166" t="s">
        <v>926</v>
      </c>
      <c r="G518" s="166"/>
      <c r="H518" s="156" t="str">
        <f ca="1">IFERROR(
  _xludf.MINIFS(ATTENDANCE_LOG!$F:$F,
         ATTENDANCE_LOG!$A:$A, C518,
         ATTENDANCE_LOG!$B:$B, E518),
"")</f>
        <v/>
      </c>
      <c r="I518" s="166">
        <f>IFERROR(VLOOKUP(F518, LEVEL_HELPER!$A:$B, 2, 0), "")</f>
        <v>1</v>
      </c>
      <c r="J518" s="166" t="str">
        <f>IFERROR(VLOOKUP(G518, LEVEL_HELPER!$A:$B, 2, 0), "")</f>
        <v/>
      </c>
      <c r="K518" s="166">
        <f t="shared" ref="K518:L518" si="1071">IF(OR(I518="", I518=0), "",
  IF(I518&lt;=2,   1,
  IF(I518&lt;=4,   2,
  IF(I518&lt;=5.5, 3, 4))))</f>
        <v>1</v>
      </c>
      <c r="L518" s="3" t="str">
        <f t="shared" si="1071"/>
        <v/>
      </c>
      <c r="M518" s="3" t="str">
        <f t="shared" si="1056"/>
        <v>No Data</v>
      </c>
      <c r="N518" s="169" t="s">
        <v>950</v>
      </c>
      <c r="O518" s="169" t="s">
        <v>922</v>
      </c>
      <c r="P518" s="166" t="str">
        <f t="shared" ca="1" si="1057"/>
        <v/>
      </c>
      <c r="Q518" s="170" t="str">
        <f t="shared" ca="1" si="1058"/>
        <v/>
      </c>
      <c r="R518" s="170" t="str">
        <f t="shared" ref="R518:S518" ca="1" si="1072">IF(OR(P518="", P518=0), "",
  IF(P518&lt;=2,   1,
  IF(P518&lt;=4,   2,
  IF(P518&lt;=5.5, 3, 4))))</f>
        <v/>
      </c>
      <c r="S518" s="170" t="str">
        <f t="shared" ca="1" si="1072"/>
        <v/>
      </c>
      <c r="T518" s="170" t="str">
        <f t="shared" ca="1" si="1060"/>
        <v>No Data</v>
      </c>
      <c r="U518" s="170">
        <f t="shared" si="1024"/>
        <v>1</v>
      </c>
      <c r="V518" s="170"/>
    </row>
    <row r="519" spans="1:22">
      <c r="A519" s="169">
        <v>257059</v>
      </c>
      <c r="B519" s="166" t="s">
        <v>756</v>
      </c>
      <c r="C519" s="167" t="s">
        <v>800</v>
      </c>
      <c r="D519" s="167" t="s">
        <v>890</v>
      </c>
      <c r="E519" s="166" t="s">
        <v>21</v>
      </c>
      <c r="F519" s="166" t="s">
        <v>926</v>
      </c>
      <c r="G519" s="166"/>
      <c r="H519" s="156" t="str">
        <f ca="1">IFERROR(
  _xludf.MINIFS(ATTENDANCE_LOG!$F:$F,
         ATTENDANCE_LOG!$A:$A, C519,
         ATTENDANCE_LOG!$B:$B, E519),
"")</f>
        <v/>
      </c>
      <c r="I519" s="166">
        <f>IFERROR(VLOOKUP(F519, LEVEL_HELPER!$A:$B, 2, 0), "")</f>
        <v>1</v>
      </c>
      <c r="J519" s="166" t="str">
        <f>IFERROR(VLOOKUP(G519, LEVEL_HELPER!$A:$B, 2, 0), "")</f>
        <v/>
      </c>
      <c r="K519" s="166">
        <f t="shared" ref="K519:L519" si="1073">IF(OR(I519="", I519=0), "",
  IF(I519&lt;=2,   1,
  IF(I519&lt;=4,   2,
  IF(I519&lt;=5.5, 3, 4))))</f>
        <v>1</v>
      </c>
      <c r="L519" s="3" t="str">
        <f t="shared" si="1073"/>
        <v/>
      </c>
      <c r="M519" s="3" t="str">
        <f t="shared" si="1056"/>
        <v>No Data</v>
      </c>
      <c r="N519" s="169" t="s">
        <v>950</v>
      </c>
      <c r="O519" s="169" t="s">
        <v>922</v>
      </c>
      <c r="P519" s="166" t="str">
        <f t="shared" ca="1" si="1057"/>
        <v/>
      </c>
      <c r="Q519" s="170" t="str">
        <f t="shared" ca="1" si="1058"/>
        <v/>
      </c>
      <c r="R519" s="170" t="str">
        <f t="shared" ref="R519:S519" ca="1" si="1074">IF(OR(P519="", P519=0), "",
  IF(P519&lt;=2,   1,
  IF(P519&lt;=4,   2,
  IF(P519&lt;=5.5, 3, 4))))</f>
        <v/>
      </c>
      <c r="S519" s="170" t="str">
        <f t="shared" ca="1" si="1074"/>
        <v/>
      </c>
      <c r="T519" s="170" t="str">
        <f t="shared" ca="1" si="1060"/>
        <v>No Data</v>
      </c>
      <c r="U519" s="170">
        <f t="shared" si="1024"/>
        <v>1</v>
      </c>
      <c r="V519" s="170"/>
    </row>
    <row r="520" spans="1:22">
      <c r="A520" s="169">
        <v>237103</v>
      </c>
      <c r="B520" s="166" t="s">
        <v>816</v>
      </c>
      <c r="C520" s="167" t="s">
        <v>800</v>
      </c>
      <c r="D520" s="167" t="s">
        <v>890</v>
      </c>
      <c r="E520" s="166" t="s">
        <v>21</v>
      </c>
      <c r="F520" s="166" t="s">
        <v>926</v>
      </c>
      <c r="G520" s="166"/>
      <c r="H520" s="156" t="str">
        <f ca="1">IFERROR(
  _xludf.MINIFS(ATTENDANCE_LOG!$F:$F,
         ATTENDANCE_LOG!$A:$A, C520,
         ATTENDANCE_LOG!$B:$B, E520),
"")</f>
        <v/>
      </c>
      <c r="I520" s="166">
        <f>IFERROR(VLOOKUP(F520, LEVEL_HELPER!$A:$B, 2, 0), "")</f>
        <v>1</v>
      </c>
      <c r="J520" s="166" t="str">
        <f>IFERROR(VLOOKUP(G520, LEVEL_HELPER!$A:$B, 2, 0), "")</f>
        <v/>
      </c>
      <c r="K520" s="166">
        <f t="shared" ref="K520:L520" si="1075">IF(OR(I520="", I520=0), "",
  IF(I520&lt;=2,   1,
  IF(I520&lt;=4,   2,
  IF(I520&lt;=5.5, 3, 4))))</f>
        <v>1</v>
      </c>
      <c r="L520" s="3" t="str">
        <f t="shared" si="1075"/>
        <v/>
      </c>
      <c r="M520" s="3" t="str">
        <f t="shared" si="1056"/>
        <v>No Data</v>
      </c>
      <c r="N520" s="169" t="s">
        <v>944</v>
      </c>
      <c r="O520" s="169" t="s">
        <v>921</v>
      </c>
      <c r="P520" s="166" t="str">
        <f t="shared" ca="1" si="1057"/>
        <v/>
      </c>
      <c r="Q520" s="170" t="str">
        <f t="shared" ca="1" si="1058"/>
        <v/>
      </c>
      <c r="R520" s="170" t="str">
        <f t="shared" ref="R520:S520" ca="1" si="1076">IF(OR(P520="", P520=0), "",
  IF(P520&lt;=2,   1,
  IF(P520&lt;=4,   2,
  IF(P520&lt;=5.5, 3, 4))))</f>
        <v/>
      </c>
      <c r="S520" s="170" t="str">
        <f t="shared" ca="1" si="1076"/>
        <v/>
      </c>
      <c r="T520" s="170" t="str">
        <f t="shared" ca="1" si="1060"/>
        <v>No Data</v>
      </c>
      <c r="U520" s="170">
        <f t="shared" si="1024"/>
        <v>1</v>
      </c>
      <c r="V520" s="170"/>
    </row>
    <row r="521" spans="1:22">
      <c r="A521" s="181" t="s">
        <v>151</v>
      </c>
      <c r="B521" s="179" t="s">
        <v>152</v>
      </c>
      <c r="C521" s="180" t="s">
        <v>95</v>
      </c>
      <c r="D521" s="180" t="s">
        <v>888</v>
      </c>
      <c r="E521" s="179" t="s">
        <v>25</v>
      </c>
      <c r="F521" s="179" t="s">
        <v>25</v>
      </c>
      <c r="G521" s="179"/>
      <c r="H521" s="156" t="str">
        <f ca="1">IFERROR(
  _xludf.MINIFS(ATTENDANCE_LOG!$F:$F,
         ATTENDANCE_LOG!$A:$A, C521,
         ATTENDANCE_LOG!$B:$B, E521),
"")</f>
        <v/>
      </c>
      <c r="I521" s="179">
        <f>IFERROR(VLOOKUP(F521, LEVEL_HELPER!$A:$B, 2, 0), "")</f>
        <v>0.5</v>
      </c>
      <c r="J521" s="166" t="str">
        <f>IFERROR(VLOOKUP(G521, LEVEL_HELPER!$A:$B, 2, 0), "")</f>
        <v/>
      </c>
      <c r="K521" s="179">
        <f t="shared" ref="K521:L521" si="1077">IF(OR(I521="", I521=0), "",
  IF(I521&lt;=2,   1,
  IF(I521&lt;=4,   2,
  IF(I521&lt;=5.5, 3, 4))))</f>
        <v>1</v>
      </c>
      <c r="L521" s="3" t="str">
        <f t="shared" si="1077"/>
        <v/>
      </c>
      <c r="M521" s="3" t="str">
        <f t="shared" si="1056"/>
        <v>No Data</v>
      </c>
      <c r="N521" s="181" t="s">
        <v>942</v>
      </c>
      <c r="O521" s="181" t="s">
        <v>923</v>
      </c>
      <c r="P521" s="179" t="str">
        <f t="shared" ca="1" si="1057"/>
        <v/>
      </c>
      <c r="Q521" s="182" t="str">
        <f t="shared" ca="1" si="1058"/>
        <v/>
      </c>
      <c r="R521" s="182" t="str">
        <f t="shared" ref="R521:S521" ca="1" si="1078">IF(OR(P521="", P521=0), "",
  IF(P521&lt;=2,   1,
  IF(P521&lt;=4,   2,
  IF(P521&lt;=5.5, 3, 4))))</f>
        <v/>
      </c>
      <c r="S521" s="182" t="str">
        <f t="shared" ca="1" si="1078"/>
        <v/>
      </c>
      <c r="T521" s="182" t="str">
        <f t="shared" ca="1" si="1060"/>
        <v>No Data</v>
      </c>
      <c r="U521" s="182">
        <f t="shared" si="1024"/>
        <v>1</v>
      </c>
      <c r="V521" s="182"/>
    </row>
    <row r="522" spans="1:22">
      <c r="A522" s="169" t="s">
        <v>163</v>
      </c>
      <c r="B522" s="166" t="s">
        <v>164</v>
      </c>
      <c r="C522" s="167" t="s">
        <v>95</v>
      </c>
      <c r="D522" s="167" t="s">
        <v>888</v>
      </c>
      <c r="E522" s="166" t="s">
        <v>25</v>
      </c>
      <c r="F522" s="166" t="s">
        <v>25</v>
      </c>
      <c r="G522" s="166"/>
      <c r="H522" s="156" t="str">
        <f ca="1">IFERROR(
  _xludf.MINIFS(ATTENDANCE_LOG!$F:$F,
         ATTENDANCE_LOG!$A:$A, C522,
         ATTENDANCE_LOG!$B:$B, E522),
"")</f>
        <v/>
      </c>
      <c r="I522" s="166">
        <f>IFERROR(VLOOKUP(F522, LEVEL_HELPER!$A:$B, 2, 0), "")</f>
        <v>0.5</v>
      </c>
      <c r="J522" s="166" t="str">
        <f>IFERROR(VLOOKUP(G522, LEVEL_HELPER!$A:$B, 2, 0), "")</f>
        <v/>
      </c>
      <c r="K522" s="166">
        <f t="shared" ref="K522:L522" si="1079">IF(OR(I522="", I522=0), "",
  IF(I522&lt;=2,   1,
  IF(I522&lt;=4,   2,
  IF(I522&lt;=5.5, 3, 4))))</f>
        <v>1</v>
      </c>
      <c r="L522" s="3" t="str">
        <f t="shared" si="1079"/>
        <v/>
      </c>
      <c r="M522" s="3" t="str">
        <f t="shared" si="1056"/>
        <v>No Data</v>
      </c>
      <c r="N522" s="169" t="s">
        <v>950</v>
      </c>
      <c r="O522" s="169" t="s">
        <v>922</v>
      </c>
      <c r="P522" s="166" t="str">
        <f t="shared" ca="1" si="1057"/>
        <v/>
      </c>
      <c r="Q522" s="170" t="str">
        <f t="shared" ca="1" si="1058"/>
        <v/>
      </c>
      <c r="R522" s="170" t="str">
        <f t="shared" ref="R522:S522" ca="1" si="1080">IF(OR(P522="", P522=0), "",
  IF(P522&lt;=2,   1,
  IF(P522&lt;=4,   2,
  IF(P522&lt;=5.5, 3, 4))))</f>
        <v/>
      </c>
      <c r="S522" s="170" t="str">
        <f t="shared" ca="1" si="1080"/>
        <v/>
      </c>
      <c r="T522" s="170" t="str">
        <f t="shared" ca="1" si="1060"/>
        <v>No Data</v>
      </c>
      <c r="U522" s="170">
        <f t="shared" si="1024"/>
        <v>1</v>
      </c>
      <c r="V522" s="170"/>
    </row>
    <row r="523" spans="1:22">
      <c r="A523" s="169" t="s">
        <v>180</v>
      </c>
      <c r="B523" s="166" t="s">
        <v>181</v>
      </c>
      <c r="C523" s="167" t="s">
        <v>95</v>
      </c>
      <c r="D523" s="167" t="s">
        <v>888</v>
      </c>
      <c r="E523" s="166" t="s">
        <v>25</v>
      </c>
      <c r="F523" s="166" t="s">
        <v>25</v>
      </c>
      <c r="G523" s="166"/>
      <c r="H523" s="156" t="str">
        <f ca="1">IFERROR(
  _xludf.MINIFS(ATTENDANCE_LOG!$F:$F,
         ATTENDANCE_LOG!$A:$A, C523,
         ATTENDANCE_LOG!$B:$B, E523),
"")</f>
        <v/>
      </c>
      <c r="I523" s="166">
        <f>IFERROR(VLOOKUP(F523, LEVEL_HELPER!$A:$B, 2, 0), "")</f>
        <v>0.5</v>
      </c>
      <c r="J523" s="166" t="str">
        <f>IFERROR(VLOOKUP(G523, LEVEL_HELPER!$A:$B, 2, 0), "")</f>
        <v/>
      </c>
      <c r="K523" s="166">
        <f t="shared" ref="K523:L523" si="1081">IF(OR(I523="", I523=0), "",
  IF(I523&lt;=2,   1,
  IF(I523&lt;=4,   2,
  IF(I523&lt;=5.5, 3, 4))))</f>
        <v>1</v>
      </c>
      <c r="L523" s="3" t="str">
        <f t="shared" si="1081"/>
        <v/>
      </c>
      <c r="M523" s="3" t="str">
        <f t="shared" si="1056"/>
        <v>No Data</v>
      </c>
      <c r="N523" s="169" t="s">
        <v>942</v>
      </c>
      <c r="O523" s="169" t="s">
        <v>921</v>
      </c>
      <c r="P523" s="166" t="str">
        <f t="shared" ca="1" si="1057"/>
        <v/>
      </c>
      <c r="Q523" s="170" t="str">
        <f t="shared" ca="1" si="1058"/>
        <v/>
      </c>
      <c r="R523" s="170" t="str">
        <f t="shared" ref="R523:S523" ca="1" si="1082">IF(OR(P523="", P523=0), "",
  IF(P523&lt;=2,   1,
  IF(P523&lt;=4,   2,
  IF(P523&lt;=5.5, 3, 4))))</f>
        <v/>
      </c>
      <c r="S523" s="170" t="str">
        <f t="shared" ca="1" si="1082"/>
        <v/>
      </c>
      <c r="T523" s="170" t="str">
        <f t="shared" ca="1" si="1060"/>
        <v>No Data</v>
      </c>
      <c r="U523" s="170">
        <f t="shared" si="1024"/>
        <v>1</v>
      </c>
      <c r="V523" s="170"/>
    </row>
    <row r="524" spans="1:22">
      <c r="A524" s="169" t="s">
        <v>284</v>
      </c>
      <c r="B524" s="166" t="s">
        <v>285</v>
      </c>
      <c r="C524" s="167" t="s">
        <v>95</v>
      </c>
      <c r="D524" s="167" t="s">
        <v>888</v>
      </c>
      <c r="E524" s="166" t="s">
        <v>25</v>
      </c>
      <c r="F524" s="166" t="s">
        <v>25</v>
      </c>
      <c r="G524" s="166"/>
      <c r="H524" s="156" t="str">
        <f ca="1">IFERROR(
  _xludf.MINIFS(ATTENDANCE_LOG!$F:$F,
         ATTENDANCE_LOG!$A:$A, C524,
         ATTENDANCE_LOG!$B:$B, E524),
"")</f>
        <v/>
      </c>
      <c r="I524" s="166">
        <f>IFERROR(VLOOKUP(F524, LEVEL_HELPER!$A:$B, 2, 0), "")</f>
        <v>0.5</v>
      </c>
      <c r="J524" s="166" t="str">
        <f>IFERROR(VLOOKUP(G524, LEVEL_HELPER!$A:$B, 2, 0), "")</f>
        <v/>
      </c>
      <c r="K524" s="166">
        <f t="shared" ref="K524:L524" si="1083">IF(OR(I524="", I524=0), "",
  IF(I524&lt;=2,   1,
  IF(I524&lt;=4,   2,
  IF(I524&lt;=5.5, 3, 4))))</f>
        <v>1</v>
      </c>
      <c r="L524" s="3" t="str">
        <f t="shared" si="1083"/>
        <v/>
      </c>
      <c r="M524" s="3" t="str">
        <f t="shared" si="1056"/>
        <v>No Data</v>
      </c>
      <c r="N524" s="169" t="s">
        <v>942</v>
      </c>
      <c r="O524" s="169" t="s">
        <v>921</v>
      </c>
      <c r="P524" s="166" t="str">
        <f t="shared" ca="1" si="1057"/>
        <v/>
      </c>
      <c r="Q524" s="170" t="str">
        <f t="shared" ca="1" si="1058"/>
        <v/>
      </c>
      <c r="R524" s="170" t="str">
        <f t="shared" ref="R524:S524" ca="1" si="1084">IF(OR(P524="", P524=0), "",
  IF(P524&lt;=2,   1,
  IF(P524&lt;=4,   2,
  IF(P524&lt;=5.5, 3, 4))))</f>
        <v/>
      </c>
      <c r="S524" s="170" t="str">
        <f t="shared" ca="1" si="1084"/>
        <v/>
      </c>
      <c r="T524" s="170" t="str">
        <f t="shared" ca="1" si="1060"/>
        <v>No Data</v>
      </c>
      <c r="U524" s="170">
        <f t="shared" si="1024"/>
        <v>1</v>
      </c>
      <c r="V524" s="170"/>
    </row>
    <row r="525" spans="1:22">
      <c r="A525" s="169" t="s">
        <v>359</v>
      </c>
      <c r="B525" s="166" t="s">
        <v>360</v>
      </c>
      <c r="C525" s="167" t="s">
        <v>95</v>
      </c>
      <c r="D525" s="167" t="s">
        <v>888</v>
      </c>
      <c r="E525" s="166" t="s">
        <v>25</v>
      </c>
      <c r="F525" s="166" t="s">
        <v>25</v>
      </c>
      <c r="G525" s="166"/>
      <c r="H525" s="156" t="str">
        <f ca="1">IFERROR(
  _xludf.MINIFS(ATTENDANCE_LOG!$F:$F,
         ATTENDANCE_LOG!$A:$A, C525,
         ATTENDANCE_LOG!$B:$B, E525),
"")</f>
        <v/>
      </c>
      <c r="I525" s="166">
        <f>IFERROR(VLOOKUP(F525, LEVEL_HELPER!$A:$B, 2, 0), "")</f>
        <v>0.5</v>
      </c>
      <c r="J525" s="166" t="str">
        <f>IFERROR(VLOOKUP(G525, LEVEL_HELPER!$A:$B, 2, 0), "")</f>
        <v/>
      </c>
      <c r="K525" s="166">
        <f t="shared" ref="K525:L525" si="1085">IF(OR(I525="", I525=0), "",
  IF(I525&lt;=2,   1,
  IF(I525&lt;=4,   2,
  IF(I525&lt;=5.5, 3, 4))))</f>
        <v>1</v>
      </c>
      <c r="L525" s="3" t="str">
        <f t="shared" si="1085"/>
        <v/>
      </c>
      <c r="M525" s="3" t="str">
        <f t="shared" si="1056"/>
        <v>No Data</v>
      </c>
      <c r="N525" s="169" t="s">
        <v>942</v>
      </c>
      <c r="O525" s="169" t="s">
        <v>921</v>
      </c>
      <c r="P525" s="166" t="str">
        <f t="shared" ca="1" si="1057"/>
        <v/>
      </c>
      <c r="Q525" s="170" t="str">
        <f t="shared" ca="1" si="1058"/>
        <v/>
      </c>
      <c r="R525" s="170" t="str">
        <f t="shared" ref="R525:S525" ca="1" si="1086">IF(OR(P525="", P525=0), "",
  IF(P525&lt;=2,   1,
  IF(P525&lt;=4,   2,
  IF(P525&lt;=5.5, 3, 4))))</f>
        <v/>
      </c>
      <c r="S525" s="170" t="str">
        <f t="shared" ca="1" si="1086"/>
        <v/>
      </c>
      <c r="T525" s="170" t="str">
        <f t="shared" ca="1" si="1060"/>
        <v>No Data</v>
      </c>
      <c r="U525" s="170">
        <f t="shared" si="1024"/>
        <v>1</v>
      </c>
      <c r="V525" s="170"/>
    </row>
    <row r="526" spans="1:22">
      <c r="A526" s="169" t="s">
        <v>365</v>
      </c>
      <c r="B526" s="166" t="s">
        <v>366</v>
      </c>
      <c r="C526" s="167" t="s">
        <v>95</v>
      </c>
      <c r="D526" s="167" t="s">
        <v>888</v>
      </c>
      <c r="E526" s="166" t="s">
        <v>25</v>
      </c>
      <c r="F526" s="166" t="s">
        <v>25</v>
      </c>
      <c r="G526" s="166"/>
      <c r="H526" s="156" t="str">
        <f ca="1">IFERROR(
  _xludf.MINIFS(ATTENDANCE_LOG!$F:$F,
         ATTENDANCE_LOG!$A:$A, C526,
         ATTENDANCE_LOG!$B:$B, E526),
"")</f>
        <v/>
      </c>
      <c r="I526" s="166">
        <f>IFERROR(VLOOKUP(F526, LEVEL_HELPER!$A:$B, 2, 0), "")</f>
        <v>0.5</v>
      </c>
      <c r="J526" s="166" t="str">
        <f>IFERROR(VLOOKUP(G526, LEVEL_HELPER!$A:$B, 2, 0), "")</f>
        <v/>
      </c>
      <c r="K526" s="166">
        <f t="shared" ref="K526:L526" si="1087">IF(OR(I526="", I526=0), "",
  IF(I526&lt;=2,   1,
  IF(I526&lt;=4,   2,
  IF(I526&lt;=5.5, 3, 4))))</f>
        <v>1</v>
      </c>
      <c r="L526" s="3" t="str">
        <f t="shared" si="1087"/>
        <v/>
      </c>
      <c r="M526" s="3" t="str">
        <f t="shared" si="1056"/>
        <v>No Data</v>
      </c>
      <c r="N526" s="169" t="s">
        <v>942</v>
      </c>
      <c r="O526" s="169" t="s">
        <v>921</v>
      </c>
      <c r="P526" s="166" t="str">
        <f t="shared" ca="1" si="1057"/>
        <v/>
      </c>
      <c r="Q526" s="170" t="str">
        <f t="shared" ca="1" si="1058"/>
        <v/>
      </c>
      <c r="R526" s="170" t="str">
        <f t="shared" ref="R526:S526" ca="1" si="1088">IF(OR(P526="", P526=0), "",
  IF(P526&lt;=2,   1,
  IF(P526&lt;=4,   2,
  IF(P526&lt;=5.5, 3, 4))))</f>
        <v/>
      </c>
      <c r="S526" s="170" t="str">
        <f t="shared" ca="1" si="1088"/>
        <v/>
      </c>
      <c r="T526" s="170" t="str">
        <f t="shared" ca="1" si="1060"/>
        <v>No Data</v>
      </c>
      <c r="U526" s="170">
        <f t="shared" si="1024"/>
        <v>1</v>
      </c>
      <c r="V526" s="170"/>
    </row>
    <row r="527" spans="1:22">
      <c r="A527" s="169" t="s">
        <v>393</v>
      </c>
      <c r="B527" s="166" t="s">
        <v>394</v>
      </c>
      <c r="C527" s="167" t="s">
        <v>95</v>
      </c>
      <c r="D527" s="167" t="s">
        <v>888</v>
      </c>
      <c r="E527" s="166" t="s">
        <v>25</v>
      </c>
      <c r="F527" s="166" t="s">
        <v>25</v>
      </c>
      <c r="G527" s="166"/>
      <c r="H527" s="156" t="str">
        <f ca="1">IFERROR(
  _xludf.MINIFS(ATTENDANCE_LOG!$F:$F,
         ATTENDANCE_LOG!$A:$A, C527,
         ATTENDANCE_LOG!$B:$B, E527),
"")</f>
        <v/>
      </c>
      <c r="I527" s="166">
        <f>IFERROR(VLOOKUP(F527, LEVEL_HELPER!$A:$B, 2, 0), "")</f>
        <v>0.5</v>
      </c>
      <c r="J527" s="166" t="str">
        <f>IFERROR(VLOOKUP(G527, LEVEL_HELPER!$A:$B, 2, 0), "")</f>
        <v/>
      </c>
      <c r="K527" s="166">
        <f t="shared" ref="K527:L527" si="1089">IF(OR(I527="", I527=0), "",
  IF(I527&lt;=2,   1,
  IF(I527&lt;=4,   2,
  IF(I527&lt;=5.5, 3, 4))))</f>
        <v>1</v>
      </c>
      <c r="L527" s="3" t="str">
        <f t="shared" si="1089"/>
        <v/>
      </c>
      <c r="M527" s="3" t="str">
        <f t="shared" si="1056"/>
        <v>No Data</v>
      </c>
      <c r="N527" s="169" t="s">
        <v>942</v>
      </c>
      <c r="O527" s="169" t="s">
        <v>921</v>
      </c>
      <c r="P527" s="166" t="str">
        <f t="shared" ca="1" si="1057"/>
        <v/>
      </c>
      <c r="Q527" s="170" t="str">
        <f t="shared" ca="1" si="1058"/>
        <v/>
      </c>
      <c r="R527" s="170" t="str">
        <f t="shared" ref="R527:S527" ca="1" si="1090">IF(OR(P527="", P527=0), "",
  IF(P527&lt;=2,   1,
  IF(P527&lt;=4,   2,
  IF(P527&lt;=5.5, 3, 4))))</f>
        <v/>
      </c>
      <c r="S527" s="170" t="str">
        <f t="shared" ca="1" si="1090"/>
        <v/>
      </c>
      <c r="T527" s="170" t="str">
        <f t="shared" ca="1" si="1060"/>
        <v>No Data</v>
      </c>
      <c r="U527" s="170">
        <f t="shared" si="1024"/>
        <v>1</v>
      </c>
      <c r="V527" s="170"/>
    </row>
    <row r="528" spans="1:22">
      <c r="A528" s="169" t="s">
        <v>409</v>
      </c>
      <c r="B528" s="166" t="s">
        <v>410</v>
      </c>
      <c r="C528" s="167" t="s">
        <v>95</v>
      </c>
      <c r="D528" s="167" t="s">
        <v>888</v>
      </c>
      <c r="E528" s="166" t="s">
        <v>25</v>
      </c>
      <c r="F528" s="166" t="s">
        <v>25</v>
      </c>
      <c r="G528" s="166"/>
      <c r="H528" s="156" t="str">
        <f ca="1">IFERROR(
  _xludf.MINIFS(ATTENDANCE_LOG!$F:$F,
         ATTENDANCE_LOG!$A:$A, C528,
         ATTENDANCE_LOG!$B:$B, E528),
"")</f>
        <v/>
      </c>
      <c r="I528" s="166">
        <f>IFERROR(VLOOKUP(F528, LEVEL_HELPER!$A:$B, 2, 0), "")</f>
        <v>0.5</v>
      </c>
      <c r="J528" s="166" t="str">
        <f>IFERROR(VLOOKUP(G528, LEVEL_HELPER!$A:$B, 2, 0), "")</f>
        <v/>
      </c>
      <c r="K528" s="166">
        <f t="shared" ref="K528:L528" si="1091">IF(OR(I528="", I528=0), "",
  IF(I528&lt;=2,   1,
  IF(I528&lt;=4,   2,
  IF(I528&lt;=5.5, 3, 4))))</f>
        <v>1</v>
      </c>
      <c r="L528" s="3" t="str">
        <f t="shared" si="1091"/>
        <v/>
      </c>
      <c r="M528" s="3" t="str">
        <f t="shared" si="1056"/>
        <v>No Data</v>
      </c>
      <c r="N528" s="169" t="s">
        <v>918</v>
      </c>
      <c r="O528" s="169" t="s">
        <v>921</v>
      </c>
      <c r="P528" s="166" t="str">
        <f t="shared" ca="1" si="1057"/>
        <v/>
      </c>
      <c r="Q528" s="170" t="str">
        <f t="shared" ca="1" si="1058"/>
        <v/>
      </c>
      <c r="R528" s="170" t="str">
        <f t="shared" ref="R528:S528" ca="1" si="1092">IF(OR(P528="", P528=0), "",
  IF(P528&lt;=2,   1,
  IF(P528&lt;=4,   2,
  IF(P528&lt;=5.5, 3, 4))))</f>
        <v/>
      </c>
      <c r="S528" s="170" t="str">
        <f t="shared" ca="1" si="1092"/>
        <v/>
      </c>
      <c r="T528" s="170" t="str">
        <f t="shared" ca="1" si="1060"/>
        <v>No Data</v>
      </c>
      <c r="U528" s="170">
        <f t="shared" si="1024"/>
        <v>1</v>
      </c>
      <c r="V528" s="170"/>
    </row>
    <row r="529" spans="1:22">
      <c r="A529" s="169" t="s">
        <v>478</v>
      </c>
      <c r="B529" s="166" t="s">
        <v>479</v>
      </c>
      <c r="C529" s="167" t="s">
        <v>95</v>
      </c>
      <c r="D529" s="167" t="s">
        <v>888</v>
      </c>
      <c r="E529" s="166" t="s">
        <v>25</v>
      </c>
      <c r="F529" s="166" t="s">
        <v>25</v>
      </c>
      <c r="G529" s="166"/>
      <c r="H529" s="156" t="str">
        <f ca="1">IFERROR(
  _xludf.MINIFS(ATTENDANCE_LOG!$F:$F,
         ATTENDANCE_LOG!$A:$A, C529,
         ATTENDANCE_LOG!$B:$B, E529),
"")</f>
        <v/>
      </c>
      <c r="I529" s="166">
        <f>IFERROR(VLOOKUP(F529, LEVEL_HELPER!$A:$B, 2, 0), "")</f>
        <v>0.5</v>
      </c>
      <c r="J529" s="166" t="str">
        <f>IFERROR(VLOOKUP(G529, LEVEL_HELPER!$A:$B, 2, 0), "")</f>
        <v/>
      </c>
      <c r="K529" s="166">
        <f t="shared" ref="K529:L529" si="1093">IF(OR(I529="", I529=0), "",
  IF(I529&lt;=2,   1,
  IF(I529&lt;=4,   2,
  IF(I529&lt;=5.5, 3, 4))))</f>
        <v>1</v>
      </c>
      <c r="L529" s="3" t="str">
        <f t="shared" si="1093"/>
        <v/>
      </c>
      <c r="M529" s="3" t="str">
        <f t="shared" si="1056"/>
        <v>No Data</v>
      </c>
      <c r="N529" s="169" t="s">
        <v>944</v>
      </c>
      <c r="O529" s="169" t="s">
        <v>921</v>
      </c>
      <c r="P529" s="166" t="str">
        <f t="shared" ca="1" si="1057"/>
        <v/>
      </c>
      <c r="Q529" s="170" t="str">
        <f t="shared" ca="1" si="1058"/>
        <v/>
      </c>
      <c r="R529" s="170" t="str">
        <f t="shared" ref="R529:S529" ca="1" si="1094">IF(OR(P529="", P529=0), "",
  IF(P529&lt;=2,   1,
  IF(P529&lt;=4,   2,
  IF(P529&lt;=5.5, 3, 4))))</f>
        <v/>
      </c>
      <c r="S529" s="170" t="str">
        <f t="shared" ca="1" si="1094"/>
        <v/>
      </c>
      <c r="T529" s="170" t="str">
        <f t="shared" ca="1" si="1060"/>
        <v>No Data</v>
      </c>
      <c r="U529" s="170">
        <f t="shared" si="1024"/>
        <v>0</v>
      </c>
      <c r="V529" s="170"/>
    </row>
    <row r="530" spans="1:22">
      <c r="A530" s="169" t="s">
        <v>585</v>
      </c>
      <c r="B530" s="166" t="s">
        <v>586</v>
      </c>
      <c r="C530" s="167" t="s">
        <v>95</v>
      </c>
      <c r="D530" s="167" t="s">
        <v>888</v>
      </c>
      <c r="E530" s="166" t="s">
        <v>25</v>
      </c>
      <c r="F530" s="166" t="s">
        <v>25</v>
      </c>
      <c r="G530" s="166"/>
      <c r="H530" s="156" t="str">
        <f ca="1">IFERROR(
  _xludf.MINIFS(ATTENDANCE_LOG!$F:$F,
         ATTENDANCE_LOG!$A:$A, C530,
         ATTENDANCE_LOG!$B:$B, E530),
"")</f>
        <v/>
      </c>
      <c r="I530" s="166">
        <f>IFERROR(VLOOKUP(F530, LEVEL_HELPER!$A:$B, 2, 0), "")</f>
        <v>0.5</v>
      </c>
      <c r="J530" s="166" t="str">
        <f>IFERROR(VLOOKUP(G530, LEVEL_HELPER!$A:$B, 2, 0), "")</f>
        <v/>
      </c>
      <c r="K530" s="166">
        <f t="shared" ref="K530:L530" si="1095">IF(OR(I530="", I530=0), "",
  IF(I530&lt;=2,   1,
  IF(I530&lt;=4,   2,
  IF(I530&lt;=5.5, 3, 4))))</f>
        <v>1</v>
      </c>
      <c r="L530" s="3" t="str">
        <f t="shared" si="1095"/>
        <v/>
      </c>
      <c r="M530" s="3" t="str">
        <f t="shared" si="1056"/>
        <v>No Data</v>
      </c>
      <c r="N530" s="169" t="s">
        <v>942</v>
      </c>
      <c r="O530" s="169" t="s">
        <v>921</v>
      </c>
      <c r="P530" s="166" t="str">
        <f t="shared" ca="1" si="1057"/>
        <v/>
      </c>
      <c r="Q530" s="170" t="str">
        <f t="shared" ca="1" si="1058"/>
        <v/>
      </c>
      <c r="R530" s="170" t="str">
        <f t="shared" ref="R530:S530" ca="1" si="1096">IF(OR(P530="", P530=0), "",
  IF(P530&lt;=2,   1,
  IF(P530&lt;=4,   2,
  IF(P530&lt;=5.5, 3, 4))))</f>
        <v/>
      </c>
      <c r="S530" s="170" t="str">
        <f t="shared" ca="1" si="1096"/>
        <v/>
      </c>
      <c r="T530" s="170" t="str">
        <f t="shared" ca="1" si="1060"/>
        <v>No Data</v>
      </c>
      <c r="U530" s="170">
        <f t="shared" si="1024"/>
        <v>1</v>
      </c>
      <c r="V530" s="170"/>
    </row>
    <row r="531" spans="1:22">
      <c r="A531" s="181" t="s">
        <v>370</v>
      </c>
      <c r="B531" s="179" t="s">
        <v>371</v>
      </c>
      <c r="C531" s="180" t="s">
        <v>96</v>
      </c>
      <c r="D531" s="180" t="s">
        <v>889</v>
      </c>
      <c r="E531" s="179" t="s">
        <v>21</v>
      </c>
      <c r="F531" s="179" t="s">
        <v>25</v>
      </c>
      <c r="G531" s="179"/>
      <c r="H531" s="156" t="str">
        <f ca="1">IFERROR(
  _xludf.MINIFS(ATTENDANCE_LOG!$F:$F,
         ATTENDANCE_LOG!$A:$A, C531,
         ATTENDANCE_LOG!$B:$B, E531),
"")</f>
        <v/>
      </c>
      <c r="I531" s="179">
        <f>IFERROR(VLOOKUP(F531, LEVEL_HELPER!$A:$B, 2, 0), "")</f>
        <v>0.5</v>
      </c>
      <c r="J531" s="166" t="str">
        <f>IFERROR(VLOOKUP(G531, LEVEL_HELPER!$A:$B, 2, 0), "")</f>
        <v/>
      </c>
      <c r="K531" s="179">
        <f t="shared" ref="K531:L531" si="1097">IF(OR(I531="", I531=0), "",
  IF(I531&lt;=2,   1,
  IF(I531&lt;=4,   2,
  IF(I531&lt;=5.5, 3, 4))))</f>
        <v>1</v>
      </c>
      <c r="L531" s="3" t="str">
        <f t="shared" si="1097"/>
        <v/>
      </c>
      <c r="M531" s="3" t="str">
        <f t="shared" si="1056"/>
        <v>No Data</v>
      </c>
      <c r="N531" s="181" t="s">
        <v>918</v>
      </c>
      <c r="O531" s="181" t="s">
        <v>924</v>
      </c>
      <c r="P531" s="179" t="str">
        <f t="shared" ca="1" si="1057"/>
        <v/>
      </c>
      <c r="Q531" s="182" t="str">
        <f t="shared" ca="1" si="1058"/>
        <v/>
      </c>
      <c r="R531" s="182" t="str">
        <f t="shared" ref="R531:S531" ca="1" si="1098">IF(OR(P531="", P531=0), "",
  IF(P531&lt;=2,   1,
  IF(P531&lt;=4,   2,
  IF(P531&lt;=5.5, 3, 4))))</f>
        <v/>
      </c>
      <c r="S531" s="182" t="str">
        <f t="shared" ca="1" si="1098"/>
        <v/>
      </c>
      <c r="T531" s="182" t="str">
        <f t="shared" ca="1" si="1060"/>
        <v>No Data</v>
      </c>
      <c r="U531" s="182">
        <f>IF(COUNTIF($A$2:A534, A531)=1, 1, 0)</f>
        <v>0</v>
      </c>
      <c r="V531" s="182"/>
    </row>
    <row r="532" spans="1:22">
      <c r="A532" s="169" t="s">
        <v>138</v>
      </c>
      <c r="B532" s="166" t="s">
        <v>139</v>
      </c>
      <c r="C532" s="167" t="s">
        <v>96</v>
      </c>
      <c r="D532" s="167" t="s">
        <v>889</v>
      </c>
      <c r="E532" s="166" t="s">
        <v>21</v>
      </c>
      <c r="F532" s="166" t="s">
        <v>928</v>
      </c>
      <c r="G532" s="166"/>
      <c r="H532" s="156" t="str">
        <f ca="1">IFERROR(
  _xludf.MINIFS(ATTENDANCE_LOG!$F:$F,
         ATTENDANCE_LOG!$A:$A, C532,
         ATTENDANCE_LOG!$B:$B, E532),
"")</f>
        <v/>
      </c>
      <c r="I532" s="166">
        <f>IFERROR(VLOOKUP(F532, LEVEL_HELPER!$A:$B, 2, 0), "")</f>
        <v>1.5</v>
      </c>
      <c r="J532" s="166" t="str">
        <f>IFERROR(VLOOKUP(G532, LEVEL_HELPER!$A:$B, 2, 0), "")</f>
        <v/>
      </c>
      <c r="K532" s="166">
        <f t="shared" ref="K532:L532" si="1099">IF(OR(I532="", I532=0), "",
  IF(I532&lt;=2,   1,
  IF(I532&lt;=4,   2,
  IF(I532&lt;=5.5, 3, 4))))</f>
        <v>1</v>
      </c>
      <c r="L532" s="3" t="str">
        <f t="shared" si="1099"/>
        <v/>
      </c>
      <c r="M532" s="3" t="str">
        <f t="shared" si="1056"/>
        <v>No Data</v>
      </c>
      <c r="N532" s="169" t="s">
        <v>918</v>
      </c>
      <c r="O532" s="169" t="s">
        <v>924</v>
      </c>
      <c r="P532" s="166" t="str">
        <f t="shared" ca="1" si="1057"/>
        <v/>
      </c>
      <c r="Q532" s="170" t="str">
        <f t="shared" ca="1" si="1058"/>
        <v/>
      </c>
      <c r="R532" s="170" t="str">
        <f t="shared" ref="R532:S532" ca="1" si="1100">IF(OR(P532="", P532=0), "",
  IF(P532&lt;=2,   1,
  IF(P532&lt;=4,   2,
  IF(P532&lt;=5.5, 3, 4))))</f>
        <v/>
      </c>
      <c r="S532" s="170" t="str">
        <f t="shared" ca="1" si="1100"/>
        <v/>
      </c>
      <c r="T532" s="170" t="str">
        <f t="shared" ca="1" si="1060"/>
        <v>No Data</v>
      </c>
      <c r="U532" s="170">
        <f t="shared" ref="U532:U537" si="1101">IF(COUNTIF($A$2:A532, A532)=1, 1, 0)</f>
        <v>1</v>
      </c>
      <c r="V532" s="170"/>
    </row>
    <row r="533" spans="1:22">
      <c r="A533" s="169" t="s">
        <v>267</v>
      </c>
      <c r="B533" s="166" t="s">
        <v>268</v>
      </c>
      <c r="C533" s="167" t="s">
        <v>96</v>
      </c>
      <c r="D533" s="167" t="s">
        <v>889</v>
      </c>
      <c r="E533" s="166" t="s">
        <v>21</v>
      </c>
      <c r="F533" s="166" t="s">
        <v>25</v>
      </c>
      <c r="G533" s="166"/>
      <c r="H533" s="156" t="str">
        <f ca="1">IFERROR(
  _xludf.MINIFS(ATTENDANCE_LOG!$F:$F,
         ATTENDANCE_LOG!$A:$A, C533,
         ATTENDANCE_LOG!$B:$B, E533),
"")</f>
        <v/>
      </c>
      <c r="I533" s="166">
        <f>IFERROR(VLOOKUP(F533, LEVEL_HELPER!$A:$B, 2, 0), "")</f>
        <v>0.5</v>
      </c>
      <c r="J533" s="166" t="str">
        <f>IFERROR(VLOOKUP(G533, LEVEL_HELPER!$A:$B, 2, 0), "")</f>
        <v/>
      </c>
      <c r="K533" s="166">
        <f t="shared" ref="K533:L533" si="1102">IF(OR(I533="", I533=0), "",
  IF(I533&lt;=2,   1,
  IF(I533&lt;=4,   2,
  IF(I533&lt;=5.5, 3, 4))))</f>
        <v>1</v>
      </c>
      <c r="L533" s="3" t="str">
        <f t="shared" si="1102"/>
        <v/>
      </c>
      <c r="M533" s="3" t="str">
        <f t="shared" si="1056"/>
        <v>No Data</v>
      </c>
      <c r="N533" s="169" t="s">
        <v>918</v>
      </c>
      <c r="O533" s="169" t="s">
        <v>924</v>
      </c>
      <c r="P533" s="166" t="str">
        <f t="shared" ca="1" si="1057"/>
        <v/>
      </c>
      <c r="Q533" s="170" t="str">
        <f t="shared" ca="1" si="1058"/>
        <v/>
      </c>
      <c r="R533" s="170" t="str">
        <f t="shared" ref="R533:S533" ca="1" si="1103">IF(OR(P533="", P533=0), "",
  IF(P533&lt;=2,   1,
  IF(P533&lt;=4,   2,
  IF(P533&lt;=5.5, 3, 4))))</f>
        <v/>
      </c>
      <c r="S533" s="170" t="str">
        <f t="shared" ca="1" si="1103"/>
        <v/>
      </c>
      <c r="T533" s="170" t="str">
        <f t="shared" ca="1" si="1060"/>
        <v>No Data</v>
      </c>
      <c r="U533" s="170">
        <f t="shared" si="1101"/>
        <v>0</v>
      </c>
      <c r="V533" s="170"/>
    </row>
    <row r="534" spans="1:22">
      <c r="A534" s="169" t="s">
        <v>286</v>
      </c>
      <c r="B534" s="166" t="s">
        <v>287</v>
      </c>
      <c r="C534" s="167" t="s">
        <v>96</v>
      </c>
      <c r="D534" s="167" t="s">
        <v>889</v>
      </c>
      <c r="E534" s="166" t="s">
        <v>21</v>
      </c>
      <c r="F534" s="166" t="s">
        <v>25</v>
      </c>
      <c r="G534" s="166"/>
      <c r="H534" s="156" t="str">
        <f ca="1">IFERROR(
  _xludf.MINIFS(ATTENDANCE_LOG!$F:$F,
         ATTENDANCE_LOG!$A:$A, C534,
         ATTENDANCE_LOG!$B:$B, E534),
"")</f>
        <v/>
      </c>
      <c r="I534" s="166">
        <f>IFERROR(VLOOKUP(F534, LEVEL_HELPER!$A:$B, 2, 0), "")</f>
        <v>0.5</v>
      </c>
      <c r="J534" s="166" t="str">
        <f>IFERROR(VLOOKUP(G534, LEVEL_HELPER!$A:$B, 2, 0), "")</f>
        <v/>
      </c>
      <c r="K534" s="166">
        <f t="shared" ref="K534:L534" si="1104">IF(OR(I534="", I534=0), "",
  IF(I534&lt;=2,   1,
  IF(I534&lt;=4,   2,
  IF(I534&lt;=5.5, 3, 4))))</f>
        <v>1</v>
      </c>
      <c r="L534" s="3" t="str">
        <f t="shared" si="1104"/>
        <v/>
      </c>
      <c r="M534" s="3" t="str">
        <f t="shared" si="1056"/>
        <v>No Data</v>
      </c>
      <c r="N534" s="169" t="s">
        <v>918</v>
      </c>
      <c r="O534" s="169" t="s">
        <v>924</v>
      </c>
      <c r="P534" s="166" t="str">
        <f t="shared" ca="1" si="1057"/>
        <v/>
      </c>
      <c r="Q534" s="170" t="str">
        <f t="shared" ca="1" si="1058"/>
        <v/>
      </c>
      <c r="R534" s="170" t="str">
        <f t="shared" ref="R534:S534" ca="1" si="1105">IF(OR(P534="", P534=0), "",
  IF(P534&lt;=2,   1,
  IF(P534&lt;=4,   2,
  IF(P534&lt;=5.5, 3, 4))))</f>
        <v/>
      </c>
      <c r="S534" s="170" t="str">
        <f t="shared" ca="1" si="1105"/>
        <v/>
      </c>
      <c r="T534" s="170" t="str">
        <f t="shared" ca="1" si="1060"/>
        <v>No Data</v>
      </c>
      <c r="U534" s="170">
        <f t="shared" si="1101"/>
        <v>1</v>
      </c>
      <c r="V534" s="170"/>
    </row>
    <row r="535" spans="1:22">
      <c r="A535" s="169" t="s">
        <v>413</v>
      </c>
      <c r="B535" s="166" t="s">
        <v>414</v>
      </c>
      <c r="C535" s="167" t="s">
        <v>96</v>
      </c>
      <c r="D535" s="167" t="s">
        <v>889</v>
      </c>
      <c r="E535" s="166" t="s">
        <v>21</v>
      </c>
      <c r="F535" s="166" t="s">
        <v>25</v>
      </c>
      <c r="G535" s="166"/>
      <c r="H535" s="156" t="str">
        <f ca="1">IFERROR(
  _xludf.MINIFS(ATTENDANCE_LOG!$F:$F,
         ATTENDANCE_LOG!$A:$A, C535,
         ATTENDANCE_LOG!$B:$B, E535),
"")</f>
        <v/>
      </c>
      <c r="I535" s="166">
        <f>IFERROR(VLOOKUP(F535, LEVEL_HELPER!$A:$B, 2, 0), "")</f>
        <v>0.5</v>
      </c>
      <c r="J535" s="166" t="str">
        <f>IFERROR(VLOOKUP(G535, LEVEL_HELPER!$A:$B, 2, 0), "")</f>
        <v/>
      </c>
      <c r="K535" s="166">
        <f t="shared" ref="K535:L535" si="1106">IF(OR(I535="", I535=0), "",
  IF(I535&lt;=2,   1,
  IF(I535&lt;=4,   2,
  IF(I535&lt;=5.5, 3, 4))))</f>
        <v>1</v>
      </c>
      <c r="L535" s="3" t="str">
        <f t="shared" si="1106"/>
        <v/>
      </c>
      <c r="M535" s="3" t="str">
        <f t="shared" si="1056"/>
        <v>No Data</v>
      </c>
      <c r="N535" s="169" t="s">
        <v>918</v>
      </c>
      <c r="O535" s="169" t="s">
        <v>924</v>
      </c>
      <c r="P535" s="166" t="str">
        <f t="shared" ca="1" si="1057"/>
        <v/>
      </c>
      <c r="Q535" s="170" t="str">
        <f t="shared" ca="1" si="1058"/>
        <v/>
      </c>
      <c r="R535" s="170" t="str">
        <f t="shared" ref="R535:S535" ca="1" si="1107">IF(OR(P535="", P535=0), "",
  IF(P535&lt;=2,   1,
  IF(P535&lt;=4,   2,
  IF(P535&lt;=5.5, 3, 4))))</f>
        <v/>
      </c>
      <c r="S535" s="170" t="str">
        <f t="shared" ca="1" si="1107"/>
        <v/>
      </c>
      <c r="T535" s="170" t="str">
        <f t="shared" ca="1" si="1060"/>
        <v>No Data</v>
      </c>
      <c r="U535" s="170">
        <f t="shared" si="1101"/>
        <v>0</v>
      </c>
      <c r="V535" s="170"/>
    </row>
    <row r="536" spans="1:22">
      <c r="A536" s="169" t="s">
        <v>653</v>
      </c>
      <c r="B536" s="166" t="s">
        <v>654</v>
      </c>
      <c r="C536" s="167" t="s">
        <v>96</v>
      </c>
      <c r="D536" s="167" t="s">
        <v>889</v>
      </c>
      <c r="E536" s="166" t="s">
        <v>21</v>
      </c>
      <c r="F536" s="166" t="s">
        <v>25</v>
      </c>
      <c r="G536" s="166"/>
      <c r="H536" s="156" t="str">
        <f ca="1">IFERROR(
  _xludf.MINIFS(ATTENDANCE_LOG!$F:$F,
         ATTENDANCE_LOG!$A:$A, C536,
         ATTENDANCE_LOG!$B:$B, E536),
"")</f>
        <v/>
      </c>
      <c r="I536" s="166">
        <f>IFERROR(VLOOKUP(F536, LEVEL_HELPER!$A:$B, 2, 0), "")</f>
        <v>0.5</v>
      </c>
      <c r="J536" s="166" t="str">
        <f>IFERROR(VLOOKUP(G536, LEVEL_HELPER!$A:$B, 2, 0), "")</f>
        <v/>
      </c>
      <c r="K536" s="166">
        <f t="shared" ref="K536:L536" si="1108">IF(OR(I536="", I536=0), "",
  IF(I536&lt;=2,   1,
  IF(I536&lt;=4,   2,
  IF(I536&lt;=5.5, 3, 4))))</f>
        <v>1</v>
      </c>
      <c r="L536" s="3" t="str">
        <f t="shared" si="1108"/>
        <v/>
      </c>
      <c r="M536" s="3" t="str">
        <f t="shared" si="1056"/>
        <v>No Data</v>
      </c>
      <c r="N536" s="169" t="s">
        <v>918</v>
      </c>
      <c r="O536" s="169" t="s">
        <v>924</v>
      </c>
      <c r="P536" s="166" t="str">
        <f t="shared" ca="1" si="1057"/>
        <v/>
      </c>
      <c r="Q536" s="170" t="str">
        <f t="shared" ca="1" si="1058"/>
        <v/>
      </c>
      <c r="R536" s="170" t="str">
        <f t="shared" ref="R536:S536" ca="1" si="1109">IF(OR(P536="", P536=0), "",
  IF(P536&lt;=2,   1,
  IF(P536&lt;=4,   2,
  IF(P536&lt;=5.5, 3, 4))))</f>
        <v/>
      </c>
      <c r="S536" s="170" t="str">
        <f t="shared" ca="1" si="1109"/>
        <v/>
      </c>
      <c r="T536" s="170" t="str">
        <f t="shared" ca="1" si="1060"/>
        <v>No Data</v>
      </c>
      <c r="U536" s="170">
        <f t="shared" si="1101"/>
        <v>1</v>
      </c>
      <c r="V536" s="170"/>
    </row>
    <row r="537" spans="1:22">
      <c r="A537" s="169" t="s">
        <v>673</v>
      </c>
      <c r="B537" s="166" t="s">
        <v>674</v>
      </c>
      <c r="C537" s="167" t="s">
        <v>96</v>
      </c>
      <c r="D537" s="167" t="s">
        <v>889</v>
      </c>
      <c r="E537" s="166" t="s">
        <v>21</v>
      </c>
      <c r="F537" s="166" t="s">
        <v>25</v>
      </c>
      <c r="G537" s="166"/>
      <c r="H537" s="156" t="str">
        <f ca="1">IFERROR(
  _xludf.MINIFS(ATTENDANCE_LOG!$F:$F,
         ATTENDANCE_LOG!$A:$A, C537,
         ATTENDANCE_LOG!$B:$B, E537),
"")</f>
        <v/>
      </c>
      <c r="I537" s="166">
        <f>IFERROR(VLOOKUP(F537, LEVEL_HELPER!$A:$B, 2, 0), "")</f>
        <v>0.5</v>
      </c>
      <c r="J537" s="166" t="str">
        <f>IFERROR(VLOOKUP(G537, LEVEL_HELPER!$A:$B, 2, 0), "")</f>
        <v/>
      </c>
      <c r="K537" s="166">
        <f t="shared" ref="K537:L537" si="1110">IF(OR(I537="", I537=0), "",
  IF(I537&lt;=2,   1,
  IF(I537&lt;=4,   2,
  IF(I537&lt;=5.5, 3, 4))))</f>
        <v>1</v>
      </c>
      <c r="L537" s="3" t="str">
        <f t="shared" si="1110"/>
        <v/>
      </c>
      <c r="M537" s="3" t="str">
        <f t="shared" si="1056"/>
        <v>No Data</v>
      </c>
      <c r="N537" s="169" t="s">
        <v>942</v>
      </c>
      <c r="O537" s="169" t="s">
        <v>924</v>
      </c>
      <c r="P537" s="166" t="str">
        <f t="shared" ca="1" si="1057"/>
        <v/>
      </c>
      <c r="Q537" s="170" t="str">
        <f t="shared" ca="1" si="1058"/>
        <v/>
      </c>
      <c r="R537" s="170" t="str">
        <f t="shared" ref="R537:S537" ca="1" si="1111">IF(OR(P537="", P537=0), "",
  IF(P537&lt;=2,   1,
  IF(P537&lt;=4,   2,
  IF(P537&lt;=5.5, 3, 4))))</f>
        <v/>
      </c>
      <c r="S537" s="170" t="str">
        <f t="shared" ca="1" si="1111"/>
        <v/>
      </c>
      <c r="T537" s="170" t="str">
        <f t="shared" ca="1" si="1060"/>
        <v>No Data</v>
      </c>
      <c r="U537" s="170">
        <f t="shared" si="1101"/>
        <v>1</v>
      </c>
      <c r="V537" s="170"/>
    </row>
    <row r="538" spans="1:22">
      <c r="A538" s="181" t="s">
        <v>470</v>
      </c>
      <c r="B538" s="179" t="s">
        <v>471</v>
      </c>
      <c r="C538" s="180" t="s">
        <v>97</v>
      </c>
      <c r="D538" s="180" t="s">
        <v>890</v>
      </c>
      <c r="E538" s="179" t="s">
        <v>21</v>
      </c>
      <c r="F538" s="179" t="s">
        <v>926</v>
      </c>
      <c r="G538" s="179"/>
      <c r="H538" s="156" t="str">
        <f ca="1">IFERROR(
  _xludf.MINIFS(ATTENDANCE_LOG!$F:$F,
         ATTENDANCE_LOG!$A:$A, C538,
         ATTENDANCE_LOG!$B:$B, E538),
"")</f>
        <v/>
      </c>
      <c r="I538" s="179">
        <f>IFERROR(VLOOKUP(F538, LEVEL_HELPER!$A:$B, 2, 0), "")</f>
        <v>1</v>
      </c>
      <c r="J538" s="166" t="str">
        <f>IFERROR(VLOOKUP(G538, LEVEL_HELPER!$A:$B, 2, 0), "")</f>
        <v/>
      </c>
      <c r="K538" s="179">
        <f t="shared" ref="K538:L538" si="1112">IF(OR(I538="", I538=0), "",
  IF(I538&lt;=2,   1,
  IF(I538&lt;=4,   2,
  IF(I538&lt;=5.5, 3, 4))))</f>
        <v>1</v>
      </c>
      <c r="L538" s="3" t="str">
        <f t="shared" si="1112"/>
        <v/>
      </c>
      <c r="M538" s="3" t="str">
        <f t="shared" si="1056"/>
        <v>No Data</v>
      </c>
      <c r="N538" s="181" t="s">
        <v>930</v>
      </c>
      <c r="O538" s="181" t="s">
        <v>925</v>
      </c>
      <c r="P538" s="179" t="str">
        <f t="shared" ca="1" si="1057"/>
        <v/>
      </c>
      <c r="Q538" s="182" t="str">
        <f t="shared" ca="1" si="1058"/>
        <v/>
      </c>
      <c r="R538" s="182" t="str">
        <f t="shared" ref="R538:S538" ca="1" si="1113">IF(OR(P538="", P538=0), "",
  IF(P538&lt;=2,   1,
  IF(P538&lt;=4,   2,
  IF(P538&lt;=5.5, 3, 4))))</f>
        <v/>
      </c>
      <c r="S538" s="182" t="str">
        <f t="shared" ca="1" si="1113"/>
        <v/>
      </c>
      <c r="T538" s="182" t="str">
        <f t="shared" ca="1" si="1060"/>
        <v>No Data</v>
      </c>
      <c r="U538" s="182">
        <f>IF(COUNTIF($A$2:A542, A538)=1, 1, 0)</f>
        <v>0</v>
      </c>
      <c r="V538" s="182"/>
    </row>
    <row r="539" spans="1:22">
      <c r="A539" s="169" t="s">
        <v>161</v>
      </c>
      <c r="B539" s="166" t="s">
        <v>162</v>
      </c>
      <c r="C539" s="167" t="s">
        <v>97</v>
      </c>
      <c r="D539" s="167" t="s">
        <v>890</v>
      </c>
      <c r="E539" s="166" t="s">
        <v>21</v>
      </c>
      <c r="F539" s="166" t="s">
        <v>25</v>
      </c>
      <c r="G539" s="166"/>
      <c r="H539" s="156" t="str">
        <f ca="1">IFERROR(
  _xludf.MINIFS(ATTENDANCE_LOG!$F:$F,
         ATTENDANCE_LOG!$A:$A, C539,
         ATTENDANCE_LOG!$B:$B, E539),
"")</f>
        <v/>
      </c>
      <c r="I539" s="166">
        <f>IFERROR(VLOOKUP(F539, LEVEL_HELPER!$A:$B, 2, 0), "")</f>
        <v>0.5</v>
      </c>
      <c r="J539" s="166" t="str">
        <f>IFERROR(VLOOKUP(G539, LEVEL_HELPER!$A:$B, 2, 0), "")</f>
        <v/>
      </c>
      <c r="K539" s="166">
        <f t="shared" ref="K539:L539" si="1114">IF(OR(I539="", I539=0), "",
  IF(I539&lt;=2,   1,
  IF(I539&lt;=4,   2,
  IF(I539&lt;=5.5, 3, 4))))</f>
        <v>1</v>
      </c>
      <c r="L539" s="3" t="str">
        <f t="shared" si="1114"/>
        <v/>
      </c>
      <c r="M539" s="3" t="str">
        <f t="shared" si="1056"/>
        <v>No Data</v>
      </c>
      <c r="N539" s="169" t="s">
        <v>942</v>
      </c>
      <c r="O539" s="169" t="s">
        <v>923</v>
      </c>
      <c r="P539" s="166" t="str">
        <f t="shared" ca="1" si="1057"/>
        <v/>
      </c>
      <c r="Q539" s="170" t="str">
        <f t="shared" ca="1" si="1058"/>
        <v/>
      </c>
      <c r="R539" s="170" t="str">
        <f t="shared" ref="R539:S539" ca="1" si="1115">IF(OR(P539="", P539=0), "",
  IF(P539&lt;=2,   1,
  IF(P539&lt;=4,   2,
  IF(P539&lt;=5.5, 3, 4))))</f>
        <v/>
      </c>
      <c r="S539" s="170" t="str">
        <f t="shared" ca="1" si="1115"/>
        <v/>
      </c>
      <c r="T539" s="170" t="str">
        <f t="shared" ca="1" si="1060"/>
        <v>No Data</v>
      </c>
      <c r="U539" s="170">
        <f t="shared" ref="U539:U543" si="1116">IF(COUNTIF($A$2:A539, A539)=1, 1, 0)</f>
        <v>0</v>
      </c>
      <c r="V539" s="170"/>
    </row>
    <row r="540" spans="1:22">
      <c r="A540" s="169" t="s">
        <v>269</v>
      </c>
      <c r="B540" s="166" t="s">
        <v>270</v>
      </c>
      <c r="C540" s="167" t="s">
        <v>97</v>
      </c>
      <c r="D540" s="167" t="s">
        <v>890</v>
      </c>
      <c r="E540" s="166" t="s">
        <v>21</v>
      </c>
      <c r="F540" s="166" t="s">
        <v>25</v>
      </c>
      <c r="G540" s="166"/>
      <c r="H540" s="156" t="str">
        <f ca="1">IFERROR(
  _xludf.MINIFS(ATTENDANCE_LOG!$F:$F,
         ATTENDANCE_LOG!$A:$A, C540,
         ATTENDANCE_LOG!$B:$B, E540),
"")</f>
        <v/>
      </c>
      <c r="I540" s="166">
        <f>IFERROR(VLOOKUP(F540, LEVEL_HELPER!$A:$B, 2, 0), "")</f>
        <v>0.5</v>
      </c>
      <c r="J540" s="166" t="str">
        <f>IFERROR(VLOOKUP(G540, LEVEL_HELPER!$A:$B, 2, 0), "")</f>
        <v/>
      </c>
      <c r="K540" s="166">
        <f t="shared" ref="K540:L540" si="1117">IF(OR(I540="", I540=0), "",
  IF(I540&lt;=2,   1,
  IF(I540&lt;=4,   2,
  IF(I540&lt;=5.5, 3, 4))))</f>
        <v>1</v>
      </c>
      <c r="L540" s="3" t="str">
        <f t="shared" si="1117"/>
        <v/>
      </c>
      <c r="M540" s="3" t="str">
        <f t="shared" si="1056"/>
        <v>No Data</v>
      </c>
      <c r="N540" s="169" t="s">
        <v>942</v>
      </c>
      <c r="O540" s="169" t="s">
        <v>923</v>
      </c>
      <c r="P540" s="166" t="str">
        <f t="shared" ca="1" si="1057"/>
        <v/>
      </c>
      <c r="Q540" s="170" t="str">
        <f t="shared" ca="1" si="1058"/>
        <v/>
      </c>
      <c r="R540" s="170" t="str">
        <f t="shared" ref="R540:S540" ca="1" si="1118">IF(OR(P540="", P540=0), "",
  IF(P540&lt;=2,   1,
  IF(P540&lt;=4,   2,
  IF(P540&lt;=5.5, 3, 4))))</f>
        <v/>
      </c>
      <c r="S540" s="170" t="str">
        <f t="shared" ca="1" si="1118"/>
        <v/>
      </c>
      <c r="T540" s="170" t="str">
        <f t="shared" ca="1" si="1060"/>
        <v>No Data</v>
      </c>
      <c r="U540" s="170">
        <f t="shared" si="1116"/>
        <v>0</v>
      </c>
      <c r="V540" s="170"/>
    </row>
    <row r="541" spans="1:22">
      <c r="A541" s="169" t="s">
        <v>290</v>
      </c>
      <c r="B541" s="166" t="s">
        <v>291</v>
      </c>
      <c r="C541" s="167" t="s">
        <v>97</v>
      </c>
      <c r="D541" s="167" t="s">
        <v>890</v>
      </c>
      <c r="E541" s="166" t="s">
        <v>21</v>
      </c>
      <c r="F541" s="166" t="s">
        <v>25</v>
      </c>
      <c r="G541" s="166"/>
      <c r="H541" s="156" t="str">
        <f ca="1">IFERROR(
  _xludf.MINIFS(ATTENDANCE_LOG!$F:$F,
         ATTENDANCE_LOG!$A:$A, C541,
         ATTENDANCE_LOG!$B:$B, E541),
"")</f>
        <v/>
      </c>
      <c r="I541" s="166">
        <f>IFERROR(VLOOKUP(F541, LEVEL_HELPER!$A:$B, 2, 0), "")</f>
        <v>0.5</v>
      </c>
      <c r="J541" s="166" t="str">
        <f>IFERROR(VLOOKUP(G541, LEVEL_HELPER!$A:$B, 2, 0), "")</f>
        <v/>
      </c>
      <c r="K541" s="166">
        <f t="shared" ref="K541:L541" si="1119">IF(OR(I541="", I541=0), "",
  IF(I541&lt;=2,   1,
  IF(I541&lt;=4,   2,
  IF(I541&lt;=5.5, 3, 4))))</f>
        <v>1</v>
      </c>
      <c r="L541" s="3" t="str">
        <f t="shared" si="1119"/>
        <v/>
      </c>
      <c r="M541" s="3" t="str">
        <f t="shared" si="1056"/>
        <v>No Data</v>
      </c>
      <c r="N541" s="169" t="s">
        <v>930</v>
      </c>
      <c r="O541" s="169" t="s">
        <v>919</v>
      </c>
      <c r="P541" s="166" t="str">
        <f t="shared" ca="1" si="1057"/>
        <v/>
      </c>
      <c r="Q541" s="170" t="str">
        <f t="shared" ca="1" si="1058"/>
        <v/>
      </c>
      <c r="R541" s="170" t="str">
        <f t="shared" ref="R541:S541" ca="1" si="1120">IF(OR(P541="", P541=0), "",
  IF(P541&lt;=2,   1,
  IF(P541&lt;=4,   2,
  IF(P541&lt;=5.5, 3, 4))))</f>
        <v/>
      </c>
      <c r="S541" s="170" t="str">
        <f t="shared" ca="1" si="1120"/>
        <v/>
      </c>
      <c r="T541" s="170" t="str">
        <f t="shared" ca="1" si="1060"/>
        <v>No Data</v>
      </c>
      <c r="U541" s="170">
        <f t="shared" si="1116"/>
        <v>0</v>
      </c>
      <c r="V541" s="170"/>
    </row>
    <row r="542" spans="1:22">
      <c r="A542" s="157" t="s">
        <v>468</v>
      </c>
      <c r="B542" s="3" t="s">
        <v>469</v>
      </c>
      <c r="C542" s="160" t="s">
        <v>97</v>
      </c>
      <c r="D542" s="160" t="s">
        <v>890</v>
      </c>
      <c r="E542" s="3" t="s">
        <v>21</v>
      </c>
      <c r="F542" s="3" t="s">
        <v>25</v>
      </c>
      <c r="G542" s="3"/>
      <c r="H542" s="156" t="str">
        <f ca="1">IFERROR(
  _xludf.MINIFS(ATTENDANCE_LOG!$F:$F,
         ATTENDANCE_LOG!$A:$A, C542,
         ATTENDANCE_LOG!$B:$B, E542),
"")</f>
        <v/>
      </c>
      <c r="I542" s="3">
        <f>IFERROR(VLOOKUP(F542, LEVEL_HELPER!$A:$B, 2, 0), "")</f>
        <v>0.5</v>
      </c>
      <c r="J542" s="166" t="str">
        <f>IFERROR(VLOOKUP(G542, LEVEL_HELPER!$A:$B, 2, 0), "")</f>
        <v/>
      </c>
      <c r="K542" s="3">
        <f t="shared" ref="K542:L542" si="1121">IF(OR(I542="", I542=0), "",
  IF(I542&lt;=2,   1,
  IF(I542&lt;=4,   2,
  IF(I542&lt;=5.5, 3, 4))))</f>
        <v>1</v>
      </c>
      <c r="L542" s="3" t="str">
        <f t="shared" si="1121"/>
        <v/>
      </c>
      <c r="M542" s="3" t="str">
        <f t="shared" si="1056"/>
        <v>No Data</v>
      </c>
      <c r="N542" s="157" t="s">
        <v>930</v>
      </c>
      <c r="O542" s="157" t="s">
        <v>919</v>
      </c>
      <c r="P542" s="3" t="str">
        <f t="shared" ca="1" si="1057"/>
        <v/>
      </c>
      <c r="Q542" s="147" t="str">
        <f t="shared" ca="1" si="1058"/>
        <v/>
      </c>
      <c r="R542" s="147" t="str">
        <f t="shared" ref="R542:S542" ca="1" si="1122">IF(OR(P542="", P542=0), "",
  IF(P542&lt;=2,   1,
  IF(P542&lt;=4,   2,
  IF(P542&lt;=5.5, 3, 4))))</f>
        <v/>
      </c>
      <c r="S542" s="147" t="str">
        <f t="shared" ca="1" si="1122"/>
        <v/>
      </c>
      <c r="T542" s="147" t="str">
        <f t="shared" ca="1" si="1060"/>
        <v>No Data</v>
      </c>
      <c r="U542" s="147">
        <f t="shared" si="1116"/>
        <v>0</v>
      </c>
      <c r="V542" s="147"/>
    </row>
    <row r="543" spans="1:22">
      <c r="A543" s="157" t="s">
        <v>516</v>
      </c>
      <c r="B543" s="3" t="s">
        <v>517</v>
      </c>
      <c r="C543" s="160" t="s">
        <v>97</v>
      </c>
      <c r="D543" s="160" t="s">
        <v>890</v>
      </c>
      <c r="E543" s="3" t="s">
        <v>21</v>
      </c>
      <c r="F543" s="3" t="s">
        <v>25</v>
      </c>
      <c r="G543" s="3"/>
      <c r="H543" s="156" t="str">
        <f ca="1">IFERROR(
  _xludf.MINIFS(ATTENDANCE_LOG!$F:$F,
         ATTENDANCE_LOG!$A:$A, C543,
         ATTENDANCE_LOG!$B:$B, E543),
"")</f>
        <v/>
      </c>
      <c r="I543" s="3">
        <f>IFERROR(VLOOKUP(F543, LEVEL_HELPER!$A:$B, 2, 0), "")</f>
        <v>0.5</v>
      </c>
      <c r="J543" s="166" t="str">
        <f>IFERROR(VLOOKUP(G543, LEVEL_HELPER!$A:$B, 2, 0), "")</f>
        <v/>
      </c>
      <c r="K543" s="3">
        <f t="shared" ref="K543:L543" si="1123">IF(OR(I543="", I543=0), "",
  IF(I543&lt;=2,   1,
  IF(I543&lt;=4,   2,
  IF(I543&lt;=5.5, 3, 4))))</f>
        <v>1</v>
      </c>
      <c r="L543" s="3" t="str">
        <f t="shared" si="1123"/>
        <v/>
      </c>
      <c r="M543" s="3" t="str">
        <f t="shared" si="1056"/>
        <v>No Data</v>
      </c>
      <c r="N543" s="157" t="s">
        <v>930</v>
      </c>
      <c r="O543" s="157" t="s">
        <v>919</v>
      </c>
      <c r="P543" s="3" t="str">
        <f t="shared" ca="1" si="1057"/>
        <v/>
      </c>
      <c r="Q543" s="147" t="str">
        <f t="shared" ca="1" si="1058"/>
        <v/>
      </c>
      <c r="R543" s="147" t="str">
        <f t="shared" ref="R543:S543" ca="1" si="1124">IF(OR(P543="", P543=0), "",
  IF(P543&lt;=2,   1,
  IF(P543&lt;=4,   2,
  IF(P543&lt;=5.5, 3, 4))))</f>
        <v/>
      </c>
      <c r="S543" s="147" t="str">
        <f t="shared" ca="1" si="1124"/>
        <v/>
      </c>
      <c r="T543" s="147" t="str">
        <f t="shared" ca="1" si="1060"/>
        <v>No Data</v>
      </c>
      <c r="U543" s="147">
        <f t="shared" si="1116"/>
        <v>0</v>
      </c>
      <c r="V543" s="147"/>
    </row>
    <row r="544" spans="1:22">
      <c r="A544" s="157"/>
      <c r="F544" s="3"/>
      <c r="G544" s="3"/>
      <c r="N544" s="157"/>
      <c r="O544" s="157"/>
      <c r="Q544" s="147"/>
      <c r="R544" s="147"/>
      <c r="S544" s="147"/>
      <c r="T544" s="147"/>
      <c r="U544" s="147"/>
      <c r="V544" s="147"/>
    </row>
    <row r="545" spans="1:22">
      <c r="A545" s="157"/>
      <c r="F545" s="3"/>
      <c r="G545" s="3"/>
      <c r="N545" s="157"/>
      <c r="O545" s="157"/>
      <c r="Q545" s="147"/>
      <c r="R545" s="147"/>
      <c r="S545" s="147"/>
      <c r="T545" s="147"/>
      <c r="U545" s="147"/>
      <c r="V545" s="147"/>
    </row>
    <row r="546" spans="1:22">
      <c r="A546" s="157"/>
      <c r="F546" s="3"/>
      <c r="G546" s="3"/>
      <c r="N546" s="157"/>
      <c r="O546" s="157"/>
      <c r="Q546" s="147"/>
      <c r="R546" s="147"/>
      <c r="S546" s="147"/>
      <c r="T546" s="147"/>
      <c r="U546" s="147"/>
      <c r="V546" s="147"/>
    </row>
    <row r="547" spans="1:22">
      <c r="A547" s="157"/>
      <c r="F547" s="3"/>
      <c r="G547" s="3"/>
      <c r="N547" s="157"/>
      <c r="O547" s="157"/>
      <c r="Q547" s="147"/>
      <c r="R547" s="147"/>
      <c r="S547" s="147"/>
      <c r="T547" s="147"/>
      <c r="U547" s="147"/>
      <c r="V547" s="147"/>
    </row>
    <row r="548" spans="1:22">
      <c r="A548" s="157"/>
      <c r="F548" s="3"/>
      <c r="G548" s="3"/>
      <c r="N548" s="157"/>
      <c r="O548" s="157"/>
      <c r="Q548" s="147"/>
      <c r="R548" s="147"/>
      <c r="S548" s="147"/>
      <c r="T548" s="147"/>
      <c r="U548" s="147"/>
      <c r="V548" s="147"/>
    </row>
    <row r="549" spans="1:22">
      <c r="A549" s="157"/>
      <c r="F549" s="3"/>
      <c r="G549" s="3"/>
      <c r="N549" s="157"/>
      <c r="O549" s="157"/>
      <c r="Q549" s="147"/>
      <c r="R549" s="147"/>
      <c r="S549" s="147"/>
      <c r="T549" s="147"/>
      <c r="U549" s="147"/>
      <c r="V549" s="147"/>
    </row>
    <row r="550" spans="1:22">
      <c r="A550" s="157"/>
      <c r="F550" s="3"/>
      <c r="G550" s="3"/>
      <c r="N550" s="157"/>
      <c r="O550" s="157"/>
      <c r="Q550" s="147"/>
      <c r="R550" s="147"/>
      <c r="S550" s="147"/>
      <c r="T550" s="147"/>
      <c r="U550" s="147"/>
      <c r="V550" s="147"/>
    </row>
    <row r="551" spans="1:22">
      <c r="A551" s="157"/>
      <c r="F551" s="3"/>
      <c r="G551" s="3"/>
      <c r="N551" s="157"/>
      <c r="O551" s="157"/>
      <c r="Q551" s="147"/>
      <c r="R551" s="147"/>
      <c r="S551" s="147"/>
      <c r="T551" s="147"/>
      <c r="U551" s="147"/>
      <c r="V551" s="147"/>
    </row>
    <row r="552" spans="1:22">
      <c r="A552" s="157"/>
      <c r="F552" s="3"/>
      <c r="G552" s="3"/>
      <c r="N552" s="157"/>
      <c r="O552" s="157"/>
      <c r="Q552" s="147"/>
      <c r="R552" s="147"/>
      <c r="S552" s="147"/>
      <c r="T552" s="147"/>
      <c r="U552" s="147"/>
      <c r="V552" s="147"/>
    </row>
    <row r="553" spans="1:22">
      <c r="A553" s="157"/>
      <c r="F553" s="3"/>
      <c r="G553" s="3"/>
      <c r="N553" s="157"/>
      <c r="O553" s="157"/>
      <c r="Q553" s="147"/>
      <c r="R553" s="147"/>
      <c r="S553" s="147"/>
      <c r="T553" s="147"/>
      <c r="U553" s="147"/>
      <c r="V553" s="147"/>
    </row>
    <row r="554" spans="1:22">
      <c r="A554" s="157"/>
      <c r="F554" s="3"/>
      <c r="G554" s="3"/>
      <c r="N554" s="157"/>
      <c r="O554" s="157"/>
      <c r="Q554" s="147"/>
      <c r="R554" s="147"/>
      <c r="S554" s="147"/>
      <c r="T554" s="147"/>
      <c r="U554" s="147"/>
      <c r="V554" s="147"/>
    </row>
    <row r="555" spans="1:22">
      <c r="A555" s="157"/>
      <c r="F555" s="3"/>
      <c r="G555" s="3"/>
      <c r="N555" s="157"/>
      <c r="O555" s="157"/>
      <c r="Q555" s="147"/>
      <c r="R555" s="147"/>
      <c r="S555" s="147"/>
      <c r="T555" s="147"/>
      <c r="U555" s="147"/>
      <c r="V555" s="147"/>
    </row>
    <row r="556" spans="1:22">
      <c r="A556" s="157"/>
      <c r="F556" s="3"/>
      <c r="G556" s="3"/>
      <c r="N556" s="157"/>
      <c r="O556" s="157"/>
      <c r="Q556" s="147"/>
      <c r="R556" s="147"/>
      <c r="S556" s="147"/>
      <c r="T556" s="147"/>
      <c r="U556" s="147"/>
      <c r="V556" s="147"/>
    </row>
    <row r="557" spans="1:22">
      <c r="A557" s="157"/>
      <c r="F557" s="3"/>
      <c r="G557" s="3"/>
      <c r="N557" s="157"/>
      <c r="O557" s="157"/>
      <c r="Q557" s="147"/>
      <c r="R557" s="147"/>
      <c r="S557" s="147"/>
      <c r="T557" s="147"/>
      <c r="U557" s="147"/>
      <c r="V557" s="147"/>
    </row>
    <row r="558" spans="1:22">
      <c r="A558" s="157"/>
      <c r="F558" s="3"/>
      <c r="G558" s="3"/>
      <c r="N558" s="157"/>
      <c r="O558" s="157"/>
      <c r="Q558" s="147"/>
      <c r="R558" s="147"/>
      <c r="S558" s="147"/>
      <c r="T558" s="147"/>
      <c r="U558" s="147"/>
      <c r="V558" s="147"/>
    </row>
    <row r="559" spans="1:22">
      <c r="A559" s="157"/>
      <c r="F559" s="3"/>
      <c r="G559" s="3"/>
      <c r="N559" s="157"/>
      <c r="O559" s="157"/>
      <c r="Q559" s="147"/>
      <c r="R559" s="147"/>
      <c r="S559" s="147"/>
      <c r="T559" s="147"/>
      <c r="U559" s="147"/>
      <c r="V559" s="147"/>
    </row>
    <row r="560" spans="1:22">
      <c r="A560" s="157"/>
      <c r="F560" s="3"/>
      <c r="G560" s="3"/>
      <c r="N560" s="157"/>
      <c r="O560" s="157"/>
      <c r="Q560" s="147"/>
      <c r="R560" s="147"/>
      <c r="S560" s="147"/>
      <c r="T560" s="147"/>
      <c r="U560" s="147"/>
      <c r="V560" s="147"/>
    </row>
    <row r="561" spans="1:22">
      <c r="A561" s="157"/>
      <c r="F561" s="3"/>
      <c r="G561" s="3"/>
      <c r="N561" s="157"/>
      <c r="O561" s="157"/>
      <c r="Q561" s="147"/>
      <c r="R561" s="147"/>
      <c r="S561" s="147"/>
      <c r="T561" s="147"/>
      <c r="U561" s="147"/>
      <c r="V561" s="147"/>
    </row>
    <row r="562" spans="1:22">
      <c r="A562" s="157"/>
      <c r="F562" s="3"/>
      <c r="G562" s="3"/>
      <c r="N562" s="157"/>
      <c r="O562" s="157"/>
      <c r="Q562" s="147"/>
      <c r="R562" s="147"/>
      <c r="S562" s="147"/>
      <c r="T562" s="147"/>
      <c r="U562" s="147"/>
      <c r="V562" s="147"/>
    </row>
    <row r="563" spans="1:22">
      <c r="A563" s="157"/>
      <c r="F563" s="3"/>
      <c r="G563" s="3"/>
      <c r="N563" s="157"/>
      <c r="O563" s="157"/>
      <c r="Q563" s="147"/>
      <c r="R563" s="147"/>
      <c r="S563" s="147"/>
      <c r="T563" s="147"/>
      <c r="U563" s="147"/>
      <c r="V563" s="147"/>
    </row>
    <row r="564" spans="1:22">
      <c r="A564" s="157"/>
      <c r="F564" s="3"/>
      <c r="G564" s="3"/>
      <c r="N564" s="157"/>
      <c r="O564" s="157"/>
      <c r="Q564" s="147"/>
      <c r="R564" s="147"/>
      <c r="S564" s="147"/>
      <c r="T564" s="147"/>
      <c r="U564" s="147"/>
      <c r="V564" s="147"/>
    </row>
    <row r="565" spans="1:22">
      <c r="A565" s="157"/>
      <c r="F565" s="3"/>
      <c r="G565" s="3"/>
      <c r="N565" s="157"/>
      <c r="O565" s="157"/>
      <c r="Q565" s="147"/>
      <c r="R565" s="147"/>
      <c r="S565" s="147"/>
      <c r="T565" s="147"/>
      <c r="U565" s="147"/>
      <c r="V565" s="147"/>
    </row>
    <row r="566" spans="1:22">
      <c r="A566" s="157"/>
      <c r="F566" s="3"/>
      <c r="G566" s="3"/>
      <c r="N566" s="157"/>
      <c r="O566" s="157"/>
      <c r="Q566" s="147"/>
      <c r="R566" s="147"/>
      <c r="S566" s="147"/>
      <c r="T566" s="147"/>
      <c r="U566" s="147"/>
      <c r="V566" s="147"/>
    </row>
    <row r="567" spans="1:22">
      <c r="A567" s="157"/>
      <c r="F567" s="3"/>
      <c r="G567" s="3"/>
      <c r="N567" s="157"/>
      <c r="O567" s="157"/>
      <c r="Q567" s="147"/>
      <c r="R567" s="147"/>
      <c r="S567" s="147"/>
      <c r="T567" s="147"/>
      <c r="U567" s="147"/>
      <c r="V567" s="147"/>
    </row>
    <row r="568" spans="1:22">
      <c r="A568" s="157"/>
      <c r="F568" s="3"/>
      <c r="G568" s="3"/>
      <c r="N568" s="157"/>
      <c r="O568" s="157"/>
      <c r="Q568" s="147"/>
      <c r="R568" s="147"/>
      <c r="S568" s="147"/>
      <c r="T568" s="147"/>
      <c r="U568" s="147"/>
      <c r="V568" s="147"/>
    </row>
    <row r="569" spans="1:22">
      <c r="A569" s="157"/>
      <c r="F569" s="3"/>
      <c r="G569" s="3"/>
      <c r="N569" s="157"/>
      <c r="O569" s="157"/>
      <c r="Q569" s="147"/>
      <c r="R569" s="147"/>
      <c r="S569" s="147"/>
      <c r="T569" s="147"/>
      <c r="U569" s="147"/>
      <c r="V569" s="147"/>
    </row>
    <row r="570" spans="1:22">
      <c r="A570" s="157"/>
      <c r="F570" s="3"/>
      <c r="G570" s="3"/>
      <c r="N570" s="157"/>
      <c r="O570" s="157"/>
      <c r="Q570" s="147"/>
      <c r="R570" s="147"/>
      <c r="S570" s="147"/>
      <c r="T570" s="147"/>
      <c r="U570" s="147"/>
      <c r="V570" s="147"/>
    </row>
    <row r="571" spans="1:22">
      <c r="A571" s="157"/>
      <c r="F571" s="3"/>
      <c r="G571" s="3"/>
      <c r="N571" s="157"/>
      <c r="O571" s="157"/>
      <c r="Q571" s="147"/>
      <c r="R571" s="147"/>
      <c r="S571" s="147"/>
      <c r="T571" s="147"/>
      <c r="U571" s="147"/>
      <c r="V571" s="147"/>
    </row>
    <row r="572" spans="1:22">
      <c r="A572" s="157"/>
      <c r="F572" s="3"/>
      <c r="G572" s="3"/>
      <c r="N572" s="157"/>
      <c r="O572" s="157"/>
      <c r="Q572" s="147"/>
      <c r="R572" s="147"/>
      <c r="S572" s="147"/>
      <c r="T572" s="147"/>
      <c r="U572" s="147"/>
      <c r="V572" s="147"/>
    </row>
    <row r="573" spans="1:22">
      <c r="A573" s="157"/>
      <c r="F573" s="3"/>
      <c r="G573" s="3"/>
      <c r="N573" s="157"/>
      <c r="O573" s="157"/>
      <c r="Q573" s="147"/>
      <c r="R573" s="147"/>
      <c r="S573" s="147"/>
      <c r="T573" s="147"/>
      <c r="U573" s="147"/>
      <c r="V573" s="147"/>
    </row>
    <row r="574" spans="1:22">
      <c r="A574" s="157"/>
      <c r="F574" s="3"/>
      <c r="G574" s="3"/>
      <c r="N574" s="157"/>
      <c r="O574" s="157"/>
      <c r="Q574" s="147"/>
      <c r="R574" s="147"/>
      <c r="S574" s="147"/>
      <c r="T574" s="147"/>
      <c r="U574" s="147"/>
      <c r="V574" s="147"/>
    </row>
    <row r="575" spans="1:22">
      <c r="A575" s="157"/>
      <c r="F575" s="3"/>
      <c r="G575" s="3"/>
      <c r="N575" s="157"/>
      <c r="O575" s="157"/>
      <c r="Q575" s="147"/>
      <c r="R575" s="147"/>
      <c r="S575" s="147"/>
      <c r="T575" s="147"/>
      <c r="U575" s="147"/>
      <c r="V575" s="147"/>
    </row>
    <row r="576" spans="1:22">
      <c r="A576" s="157"/>
      <c r="F576" s="3"/>
      <c r="G576" s="3"/>
      <c r="N576" s="157"/>
      <c r="O576" s="157"/>
      <c r="Q576" s="147"/>
      <c r="R576" s="147"/>
      <c r="S576" s="147"/>
      <c r="T576" s="147"/>
      <c r="U576" s="147"/>
      <c r="V576" s="147"/>
    </row>
    <row r="577" spans="1:22">
      <c r="A577" s="157"/>
      <c r="F577" s="3"/>
      <c r="G577" s="3"/>
      <c r="N577" s="157"/>
      <c r="O577" s="157"/>
      <c r="Q577" s="147"/>
      <c r="R577" s="147"/>
      <c r="S577" s="147"/>
      <c r="T577" s="147"/>
      <c r="U577" s="147"/>
      <c r="V577" s="147"/>
    </row>
    <row r="578" spans="1:22">
      <c r="A578" s="157"/>
      <c r="F578" s="3"/>
      <c r="G578" s="3"/>
      <c r="N578" s="157"/>
      <c r="O578" s="157"/>
      <c r="Q578" s="147"/>
      <c r="R578" s="147"/>
      <c r="S578" s="147"/>
      <c r="T578" s="147"/>
      <c r="U578" s="147"/>
      <c r="V578" s="147"/>
    </row>
    <row r="579" spans="1:22">
      <c r="A579" s="157"/>
      <c r="F579" s="3"/>
      <c r="G579" s="3"/>
      <c r="N579" s="157"/>
      <c r="O579" s="157"/>
      <c r="Q579" s="147"/>
      <c r="R579" s="147"/>
      <c r="S579" s="147"/>
      <c r="T579" s="147"/>
      <c r="U579" s="147"/>
      <c r="V579" s="147"/>
    </row>
    <row r="580" spans="1:22">
      <c r="A580" s="157"/>
      <c r="F580" s="3"/>
      <c r="G580" s="3"/>
      <c r="N580" s="157"/>
      <c r="O580" s="157"/>
      <c r="Q580" s="147"/>
      <c r="R580" s="147"/>
      <c r="S580" s="147"/>
      <c r="T580" s="147"/>
      <c r="U580" s="147"/>
      <c r="V580" s="147"/>
    </row>
    <row r="581" spans="1:22">
      <c r="A581" s="157"/>
      <c r="F581" s="3"/>
      <c r="G581" s="3"/>
      <c r="N581" s="157"/>
      <c r="O581" s="157"/>
      <c r="Q581" s="147"/>
      <c r="R581" s="147"/>
      <c r="S581" s="147"/>
      <c r="T581" s="147"/>
      <c r="U581" s="147"/>
      <c r="V581" s="147"/>
    </row>
    <row r="582" spans="1:22">
      <c r="A582" s="157"/>
      <c r="F582" s="3"/>
      <c r="G582" s="3"/>
      <c r="N582" s="157"/>
      <c r="O582" s="157"/>
      <c r="Q582" s="147"/>
      <c r="R582" s="147"/>
      <c r="S582" s="147"/>
      <c r="T582" s="147"/>
      <c r="U582" s="147"/>
      <c r="V582" s="147"/>
    </row>
    <row r="583" spans="1:22">
      <c r="A583" s="157"/>
      <c r="F583" s="3"/>
      <c r="G583" s="3"/>
      <c r="N583" s="157"/>
      <c r="O583" s="157"/>
      <c r="Q583" s="147"/>
      <c r="R583" s="147"/>
      <c r="S583" s="147"/>
      <c r="T583" s="147"/>
      <c r="U583" s="147"/>
      <c r="V583" s="147"/>
    </row>
    <row r="584" spans="1:22">
      <c r="A584" s="157"/>
      <c r="F584" s="3"/>
      <c r="G584" s="3"/>
      <c r="N584" s="157"/>
      <c r="O584" s="157"/>
      <c r="Q584" s="147"/>
      <c r="R584" s="147"/>
      <c r="S584" s="147"/>
      <c r="T584" s="147"/>
      <c r="U584" s="147"/>
      <c r="V584" s="147"/>
    </row>
    <row r="585" spans="1:22">
      <c r="A585" s="157"/>
      <c r="F585" s="3"/>
      <c r="G585" s="3"/>
      <c r="N585" s="157"/>
      <c r="O585" s="157"/>
      <c r="Q585" s="147"/>
      <c r="R585" s="147"/>
      <c r="S585" s="147"/>
      <c r="T585" s="147"/>
      <c r="U585" s="147"/>
      <c r="V585" s="147"/>
    </row>
    <row r="586" spans="1:22">
      <c r="A586" s="157"/>
      <c r="F586" s="3"/>
      <c r="G586" s="3"/>
      <c r="N586" s="157"/>
      <c r="O586" s="157"/>
      <c r="Q586" s="147"/>
      <c r="R586" s="147"/>
      <c r="S586" s="147"/>
      <c r="T586" s="147"/>
      <c r="U586" s="147"/>
      <c r="V586" s="147"/>
    </row>
    <row r="587" spans="1:22">
      <c r="A587" s="157"/>
      <c r="F587" s="3"/>
      <c r="G587" s="3"/>
      <c r="N587" s="157"/>
      <c r="O587" s="157"/>
      <c r="Q587" s="147"/>
      <c r="R587" s="147"/>
      <c r="S587" s="147"/>
      <c r="T587" s="147"/>
      <c r="U587" s="147"/>
      <c r="V587" s="147"/>
    </row>
    <row r="588" spans="1:22">
      <c r="A588" s="157"/>
      <c r="F588" s="3"/>
      <c r="G588" s="3"/>
      <c r="N588" s="157"/>
      <c r="O588" s="157"/>
      <c r="Q588" s="147"/>
      <c r="R588" s="147"/>
      <c r="S588" s="147"/>
      <c r="T588" s="147"/>
      <c r="U588" s="147"/>
      <c r="V588" s="147"/>
    </row>
    <row r="589" spans="1:22">
      <c r="A589" s="157"/>
      <c r="F589" s="3"/>
      <c r="G589" s="3"/>
      <c r="N589" s="157"/>
      <c r="O589" s="157"/>
      <c r="Q589" s="147"/>
      <c r="R589" s="147"/>
      <c r="S589" s="147"/>
      <c r="T589" s="147"/>
      <c r="U589" s="147"/>
      <c r="V589" s="147"/>
    </row>
    <row r="590" spans="1:22">
      <c r="A590" s="157"/>
      <c r="F590" s="3"/>
      <c r="G590" s="3"/>
      <c r="N590" s="157"/>
      <c r="O590" s="157"/>
      <c r="Q590" s="147"/>
      <c r="R590" s="147"/>
      <c r="S590" s="147"/>
      <c r="T590" s="147"/>
      <c r="U590" s="147"/>
      <c r="V590" s="147"/>
    </row>
    <row r="591" spans="1:22">
      <c r="A591" s="157"/>
      <c r="F591" s="3"/>
      <c r="G591" s="3"/>
      <c r="N591" s="157"/>
      <c r="O591" s="157"/>
      <c r="Q591" s="147"/>
      <c r="R591" s="147"/>
      <c r="S591" s="147"/>
      <c r="T591" s="147"/>
      <c r="U591" s="147"/>
      <c r="V591" s="147"/>
    </row>
    <row r="592" spans="1:22">
      <c r="A592" s="157"/>
      <c r="F592" s="3"/>
      <c r="G592" s="3"/>
      <c r="N592" s="157"/>
      <c r="O592" s="157"/>
      <c r="Q592" s="147"/>
      <c r="R592" s="147"/>
      <c r="S592" s="147"/>
      <c r="T592" s="147"/>
      <c r="U592" s="147"/>
      <c r="V592" s="147"/>
    </row>
    <row r="593" spans="1:22">
      <c r="A593" s="157"/>
      <c r="F593" s="3"/>
      <c r="G593" s="3"/>
      <c r="N593" s="157"/>
      <c r="O593" s="157"/>
      <c r="Q593" s="147"/>
      <c r="R593" s="147"/>
      <c r="S593" s="147"/>
      <c r="T593" s="147"/>
      <c r="U593" s="147"/>
      <c r="V593" s="147"/>
    </row>
    <row r="594" spans="1:22">
      <c r="A594" s="157"/>
      <c r="F594" s="3"/>
      <c r="G594" s="3"/>
      <c r="N594" s="157"/>
      <c r="O594" s="157"/>
      <c r="Q594" s="147"/>
      <c r="R594" s="147"/>
      <c r="S594" s="147"/>
      <c r="T594" s="147"/>
      <c r="U594" s="147"/>
      <c r="V594" s="147"/>
    </row>
    <row r="595" spans="1:22">
      <c r="A595" s="157"/>
      <c r="F595" s="3"/>
      <c r="G595" s="3"/>
      <c r="N595" s="157"/>
      <c r="O595" s="157"/>
      <c r="Q595" s="147"/>
      <c r="R595" s="147"/>
      <c r="S595" s="147"/>
      <c r="T595" s="147"/>
      <c r="U595" s="147"/>
      <c r="V595" s="147"/>
    </row>
    <row r="596" spans="1:22">
      <c r="A596" s="157"/>
      <c r="F596" s="3"/>
      <c r="G596" s="3"/>
      <c r="N596" s="157"/>
      <c r="O596" s="157"/>
      <c r="Q596" s="147"/>
      <c r="R596" s="147"/>
      <c r="S596" s="147"/>
      <c r="T596" s="147"/>
      <c r="U596" s="147"/>
      <c r="V596" s="147"/>
    </row>
    <row r="597" spans="1:22">
      <c r="A597" s="157"/>
      <c r="F597" s="3"/>
      <c r="G597" s="3"/>
      <c r="N597" s="157"/>
      <c r="O597" s="157"/>
      <c r="Q597" s="147"/>
      <c r="R597" s="147"/>
      <c r="S597" s="147"/>
      <c r="T597" s="147"/>
      <c r="U597" s="147"/>
      <c r="V597" s="147"/>
    </row>
    <row r="598" spans="1:22">
      <c r="A598" s="157"/>
      <c r="F598" s="3"/>
      <c r="G598" s="3"/>
      <c r="N598" s="157"/>
      <c r="O598" s="157"/>
      <c r="Q598" s="147"/>
      <c r="R598" s="147"/>
      <c r="S598" s="147"/>
      <c r="T598" s="147"/>
      <c r="U598" s="147"/>
      <c r="V598" s="147"/>
    </row>
    <row r="599" spans="1:22">
      <c r="A599" s="157"/>
      <c r="F599" s="3"/>
      <c r="G599" s="3"/>
      <c r="N599" s="157"/>
      <c r="O599" s="157"/>
      <c r="Q599" s="147"/>
      <c r="R599" s="147"/>
      <c r="S599" s="147"/>
      <c r="T599" s="147"/>
      <c r="U599" s="147"/>
      <c r="V599" s="147"/>
    </row>
    <row r="600" spans="1:22">
      <c r="A600" s="157"/>
      <c r="F600" s="3"/>
      <c r="G600" s="3"/>
      <c r="N600" s="157"/>
      <c r="O600" s="157"/>
      <c r="Q600" s="147"/>
      <c r="R600" s="147"/>
      <c r="S600" s="147"/>
      <c r="T600" s="147"/>
      <c r="U600" s="147"/>
      <c r="V600" s="147"/>
    </row>
    <row r="601" spans="1:22">
      <c r="A601" s="157"/>
      <c r="F601" s="3"/>
      <c r="G601" s="3"/>
      <c r="N601" s="157"/>
      <c r="O601" s="157"/>
      <c r="Q601" s="147"/>
      <c r="R601" s="147"/>
      <c r="S601" s="147"/>
      <c r="T601" s="147"/>
      <c r="U601" s="147"/>
      <c r="V601" s="147"/>
    </row>
    <row r="602" spans="1:22">
      <c r="A602" s="157"/>
      <c r="F602" s="3"/>
      <c r="G602" s="3"/>
      <c r="N602" s="157"/>
      <c r="O602" s="157"/>
      <c r="Q602" s="147"/>
      <c r="R602" s="147"/>
      <c r="S602" s="147"/>
      <c r="T602" s="147"/>
      <c r="U602" s="147"/>
      <c r="V602" s="147"/>
    </row>
    <row r="603" spans="1:22">
      <c r="A603" s="157"/>
      <c r="F603" s="3"/>
      <c r="G603" s="3"/>
      <c r="N603" s="157"/>
      <c r="O603" s="157"/>
      <c r="Q603" s="147"/>
      <c r="R603" s="147"/>
      <c r="S603" s="147"/>
      <c r="T603" s="147"/>
      <c r="U603" s="147"/>
      <c r="V603" s="147"/>
    </row>
    <row r="604" spans="1:22">
      <c r="A604" s="157"/>
      <c r="F604" s="3"/>
      <c r="G604" s="3"/>
      <c r="N604" s="157"/>
      <c r="O604" s="157"/>
      <c r="Q604" s="147"/>
      <c r="R604" s="147"/>
      <c r="S604" s="147"/>
      <c r="T604" s="147"/>
      <c r="U604" s="147"/>
      <c r="V604" s="147"/>
    </row>
    <row r="605" spans="1:22">
      <c r="A605" s="157"/>
      <c r="F605" s="3"/>
      <c r="G605" s="3"/>
      <c r="N605" s="157"/>
      <c r="O605" s="157"/>
      <c r="Q605" s="147"/>
      <c r="R605" s="147"/>
      <c r="S605" s="147"/>
      <c r="T605" s="147"/>
      <c r="U605" s="147"/>
      <c r="V605" s="147"/>
    </row>
    <row r="606" spans="1:22">
      <c r="A606" s="157"/>
      <c r="F606" s="3"/>
      <c r="G606" s="3"/>
      <c r="N606" s="157"/>
      <c r="O606" s="157"/>
      <c r="Q606" s="147"/>
      <c r="R606" s="147"/>
      <c r="S606" s="147"/>
      <c r="T606" s="147"/>
      <c r="U606" s="147"/>
      <c r="V606" s="147"/>
    </row>
    <row r="607" spans="1:22">
      <c r="A607" s="157"/>
      <c r="F607" s="3"/>
      <c r="G607" s="3"/>
      <c r="N607" s="157"/>
      <c r="O607" s="157"/>
      <c r="Q607" s="147"/>
      <c r="R607" s="147"/>
      <c r="S607" s="147"/>
      <c r="T607" s="147"/>
      <c r="U607" s="147"/>
      <c r="V607" s="147"/>
    </row>
    <row r="608" spans="1:22">
      <c r="A608" s="157"/>
      <c r="F608" s="3"/>
      <c r="G608" s="3"/>
      <c r="N608" s="157"/>
      <c r="O608" s="157"/>
      <c r="Q608" s="147"/>
      <c r="R608" s="147"/>
      <c r="S608" s="147"/>
      <c r="T608" s="147"/>
      <c r="U608" s="147"/>
      <c r="V608" s="147"/>
    </row>
    <row r="609" spans="1:22">
      <c r="A609" s="157"/>
      <c r="F609" s="3"/>
      <c r="G609" s="3"/>
      <c r="N609" s="157"/>
      <c r="O609" s="157"/>
      <c r="Q609" s="147"/>
      <c r="R609" s="147"/>
      <c r="S609" s="147"/>
      <c r="T609" s="147"/>
      <c r="U609" s="147"/>
      <c r="V609" s="147"/>
    </row>
    <row r="610" spans="1:22">
      <c r="A610" s="157"/>
      <c r="F610" s="3"/>
      <c r="G610" s="3"/>
      <c r="N610" s="157"/>
      <c r="O610" s="157"/>
      <c r="Q610" s="147"/>
      <c r="R610" s="147"/>
      <c r="S610" s="147"/>
      <c r="T610" s="147"/>
      <c r="U610" s="147"/>
      <c r="V610" s="147"/>
    </row>
    <row r="611" spans="1:22">
      <c r="A611" s="157"/>
      <c r="F611" s="3"/>
      <c r="G611" s="3"/>
      <c r="N611" s="157"/>
      <c r="O611" s="157"/>
      <c r="Q611" s="147"/>
      <c r="R611" s="147"/>
      <c r="S611" s="147"/>
      <c r="T611" s="147"/>
      <c r="U611" s="147"/>
      <c r="V611" s="147"/>
    </row>
    <row r="612" spans="1:22">
      <c r="A612" s="157"/>
      <c r="F612" s="3"/>
      <c r="G612" s="3"/>
      <c r="N612" s="157"/>
      <c r="O612" s="157"/>
      <c r="Q612" s="147"/>
      <c r="R612" s="147"/>
      <c r="S612" s="147"/>
      <c r="T612" s="147"/>
      <c r="U612" s="147"/>
      <c r="V612" s="147"/>
    </row>
    <row r="613" spans="1:22">
      <c r="A613" s="157"/>
      <c r="F613" s="3"/>
      <c r="G613" s="3"/>
      <c r="N613" s="157"/>
      <c r="O613" s="157"/>
      <c r="Q613" s="147"/>
      <c r="R613" s="147"/>
      <c r="S613" s="147"/>
      <c r="T613" s="147"/>
      <c r="U613" s="147"/>
      <c r="V613" s="147"/>
    </row>
    <row r="614" spans="1:22">
      <c r="A614" s="157"/>
      <c r="F614" s="3"/>
      <c r="G614" s="3"/>
      <c r="N614" s="157"/>
      <c r="O614" s="157"/>
      <c r="Q614" s="147"/>
      <c r="R614" s="147"/>
      <c r="S614" s="147"/>
      <c r="T614" s="147"/>
      <c r="U614" s="147"/>
      <c r="V614" s="147"/>
    </row>
    <row r="615" spans="1:22">
      <c r="A615" s="157"/>
      <c r="F615" s="3"/>
      <c r="G615" s="3"/>
      <c r="N615" s="157"/>
      <c r="O615" s="157"/>
      <c r="Q615" s="147"/>
      <c r="R615" s="147"/>
      <c r="S615" s="147"/>
      <c r="T615" s="147"/>
      <c r="U615" s="147"/>
      <c r="V615" s="147"/>
    </row>
    <row r="616" spans="1:22">
      <c r="A616" s="157"/>
      <c r="F616" s="3"/>
      <c r="G616" s="3"/>
      <c r="N616" s="157"/>
      <c r="O616" s="157"/>
      <c r="Q616" s="147"/>
      <c r="R616" s="147"/>
      <c r="S616" s="147"/>
      <c r="T616" s="147"/>
      <c r="U616" s="147"/>
      <c r="V616" s="147"/>
    </row>
    <row r="617" spans="1:22">
      <c r="A617" s="157"/>
      <c r="F617" s="3"/>
      <c r="G617" s="3"/>
      <c r="N617" s="157"/>
      <c r="O617" s="157"/>
      <c r="Q617" s="147"/>
      <c r="R617" s="147"/>
      <c r="S617" s="147"/>
      <c r="T617" s="147"/>
      <c r="U617" s="147"/>
      <c r="V617" s="147"/>
    </row>
    <row r="618" spans="1:22">
      <c r="A618" s="157"/>
      <c r="F618" s="3"/>
      <c r="G618" s="3"/>
      <c r="N618" s="157"/>
      <c r="O618" s="157"/>
      <c r="Q618" s="147"/>
      <c r="R618" s="147"/>
      <c r="S618" s="147"/>
      <c r="T618" s="147"/>
      <c r="U618" s="147"/>
      <c r="V618" s="147"/>
    </row>
    <row r="619" spans="1:22">
      <c r="A619" s="157"/>
      <c r="F619" s="3"/>
      <c r="G619" s="3"/>
      <c r="N619" s="157"/>
      <c r="O619" s="157"/>
      <c r="Q619" s="147"/>
      <c r="R619" s="147"/>
      <c r="S619" s="147"/>
      <c r="T619" s="147"/>
      <c r="U619" s="147"/>
      <c r="V619" s="147"/>
    </row>
    <row r="620" spans="1:22">
      <c r="A620" s="157"/>
      <c r="F620" s="3"/>
      <c r="G620" s="3"/>
      <c r="N620" s="157"/>
      <c r="O620" s="157"/>
      <c r="Q620" s="147"/>
      <c r="R620" s="147"/>
      <c r="S620" s="147"/>
      <c r="T620" s="147"/>
      <c r="U620" s="147"/>
      <c r="V620" s="147"/>
    </row>
    <row r="621" spans="1:22">
      <c r="A621" s="157"/>
      <c r="F621" s="3"/>
      <c r="G621" s="3"/>
      <c r="N621" s="157"/>
      <c r="O621" s="157"/>
      <c r="Q621" s="147"/>
      <c r="R621" s="147"/>
      <c r="S621" s="147"/>
      <c r="T621" s="147"/>
      <c r="U621" s="147"/>
      <c r="V621" s="147"/>
    </row>
    <row r="622" spans="1:22">
      <c r="A622" s="157"/>
      <c r="F622" s="3"/>
      <c r="G622" s="3"/>
      <c r="N622" s="157"/>
      <c r="O622" s="157"/>
      <c r="Q622" s="147"/>
      <c r="R622" s="147"/>
      <c r="S622" s="147"/>
      <c r="T622" s="147"/>
      <c r="U622" s="147"/>
      <c r="V622" s="147"/>
    </row>
    <row r="623" spans="1:22">
      <c r="A623" s="157"/>
      <c r="F623" s="3"/>
      <c r="G623" s="3"/>
      <c r="N623" s="157"/>
      <c r="O623" s="157"/>
      <c r="Q623" s="147"/>
      <c r="R623" s="147"/>
      <c r="S623" s="147"/>
      <c r="T623" s="147"/>
      <c r="U623" s="147"/>
      <c r="V623" s="147"/>
    </row>
    <row r="624" spans="1:22">
      <c r="A624" s="157"/>
      <c r="F624" s="3"/>
      <c r="G624" s="3"/>
      <c r="N624" s="157"/>
      <c r="O624" s="157"/>
      <c r="Q624" s="147"/>
      <c r="R624" s="147"/>
      <c r="S624" s="147"/>
      <c r="T624" s="147"/>
      <c r="U624" s="147"/>
      <c r="V624" s="147"/>
    </row>
    <row r="625" spans="1:22">
      <c r="A625" s="157"/>
      <c r="F625" s="3"/>
      <c r="G625" s="3"/>
      <c r="N625" s="157"/>
      <c r="O625" s="157"/>
      <c r="Q625" s="147"/>
      <c r="R625" s="147"/>
      <c r="S625" s="147"/>
      <c r="T625" s="147"/>
      <c r="U625" s="147"/>
      <c r="V625" s="147"/>
    </row>
    <row r="626" spans="1:22">
      <c r="A626" s="157"/>
      <c r="F626" s="3"/>
      <c r="G626" s="3"/>
      <c r="N626" s="157"/>
      <c r="O626" s="157"/>
      <c r="Q626" s="147"/>
      <c r="R626" s="147"/>
      <c r="S626" s="147"/>
      <c r="T626" s="147"/>
      <c r="U626" s="147"/>
      <c r="V626" s="147"/>
    </row>
    <row r="627" spans="1:22">
      <c r="A627" s="157"/>
      <c r="F627" s="3"/>
      <c r="G627" s="3"/>
      <c r="N627" s="157"/>
      <c r="O627" s="157"/>
      <c r="Q627" s="147"/>
      <c r="R627" s="147"/>
      <c r="S627" s="147"/>
      <c r="T627" s="147"/>
      <c r="U627" s="147"/>
      <c r="V627" s="147"/>
    </row>
    <row r="628" spans="1:22">
      <c r="A628" s="157"/>
      <c r="F628" s="3"/>
      <c r="G628" s="3"/>
      <c r="N628" s="157"/>
      <c r="O628" s="157"/>
      <c r="Q628" s="147"/>
      <c r="R628" s="147"/>
      <c r="S628" s="147"/>
      <c r="T628" s="147"/>
      <c r="U628" s="147"/>
      <c r="V628" s="147"/>
    </row>
    <row r="629" spans="1:22">
      <c r="A629" s="157"/>
      <c r="F629" s="3"/>
      <c r="G629" s="3"/>
      <c r="N629" s="157"/>
      <c r="O629" s="157"/>
      <c r="Q629" s="147"/>
      <c r="R629" s="147"/>
      <c r="S629" s="147"/>
      <c r="T629" s="147"/>
      <c r="U629" s="147"/>
      <c r="V629" s="147"/>
    </row>
    <row r="630" spans="1:22">
      <c r="A630" s="157"/>
      <c r="F630" s="3"/>
      <c r="G630" s="3"/>
      <c r="N630" s="157"/>
      <c r="O630" s="157"/>
      <c r="Q630" s="147"/>
      <c r="R630" s="147"/>
      <c r="S630" s="147"/>
      <c r="T630" s="147"/>
      <c r="U630" s="147"/>
      <c r="V630" s="147"/>
    </row>
    <row r="631" spans="1:22">
      <c r="A631" s="157"/>
      <c r="F631" s="3"/>
      <c r="G631" s="3"/>
      <c r="N631" s="157"/>
      <c r="O631" s="157"/>
      <c r="Q631" s="147"/>
      <c r="R631" s="147"/>
      <c r="S631" s="147"/>
      <c r="T631" s="147"/>
      <c r="U631" s="147"/>
      <c r="V631" s="147"/>
    </row>
    <row r="632" spans="1:22">
      <c r="A632" s="157"/>
      <c r="F632" s="3"/>
      <c r="G632" s="3"/>
      <c r="N632" s="157"/>
      <c r="O632" s="157"/>
      <c r="Q632" s="147"/>
      <c r="R632" s="147"/>
      <c r="S632" s="147"/>
      <c r="T632" s="147"/>
      <c r="U632" s="147"/>
      <c r="V632" s="147"/>
    </row>
    <row r="633" spans="1:22">
      <c r="A633" s="157"/>
      <c r="F633" s="3"/>
      <c r="G633" s="3"/>
      <c r="N633" s="157"/>
      <c r="O633" s="157"/>
      <c r="Q633" s="147"/>
      <c r="R633" s="147"/>
      <c r="S633" s="147"/>
      <c r="T633" s="147"/>
      <c r="U633" s="147"/>
      <c r="V633" s="147"/>
    </row>
    <row r="634" spans="1:22">
      <c r="A634" s="157"/>
      <c r="F634" s="3"/>
      <c r="G634" s="3"/>
      <c r="N634" s="157"/>
      <c r="O634" s="157"/>
      <c r="Q634" s="147"/>
      <c r="R634" s="147"/>
      <c r="S634" s="147"/>
      <c r="T634" s="147"/>
      <c r="U634" s="147"/>
      <c r="V634" s="147"/>
    </row>
    <row r="635" spans="1:22">
      <c r="A635" s="157"/>
      <c r="F635" s="3"/>
      <c r="G635" s="3"/>
      <c r="N635" s="157"/>
      <c r="O635" s="157"/>
      <c r="Q635" s="147"/>
      <c r="R635" s="147"/>
      <c r="S635" s="147"/>
      <c r="T635" s="147"/>
      <c r="U635" s="147"/>
      <c r="V635" s="147"/>
    </row>
    <row r="636" spans="1:22">
      <c r="A636" s="157"/>
      <c r="F636" s="3"/>
      <c r="G636" s="3"/>
      <c r="N636" s="157"/>
      <c r="O636" s="157"/>
      <c r="Q636" s="147"/>
      <c r="R636" s="147"/>
      <c r="S636" s="147"/>
      <c r="T636" s="147"/>
      <c r="U636" s="147"/>
      <c r="V636" s="147"/>
    </row>
    <row r="637" spans="1:22">
      <c r="A637" s="157"/>
      <c r="F637" s="3"/>
      <c r="G637" s="3"/>
      <c r="N637" s="157"/>
      <c r="O637" s="157"/>
      <c r="Q637" s="147"/>
      <c r="R637" s="147"/>
      <c r="S637" s="147"/>
      <c r="T637" s="147"/>
      <c r="U637" s="147"/>
      <c r="V637" s="147"/>
    </row>
    <row r="638" spans="1:22">
      <c r="A638" s="157"/>
      <c r="F638" s="3"/>
      <c r="G638" s="3"/>
      <c r="N638" s="157"/>
      <c r="O638" s="157"/>
      <c r="Q638" s="147"/>
      <c r="R638" s="147"/>
      <c r="S638" s="147"/>
      <c r="T638" s="147"/>
      <c r="U638" s="147"/>
      <c r="V638" s="147"/>
    </row>
    <row r="639" spans="1:22">
      <c r="A639" s="157"/>
      <c r="F639" s="3"/>
      <c r="G639" s="3"/>
      <c r="N639" s="157"/>
      <c r="O639" s="157"/>
      <c r="Q639" s="147"/>
      <c r="R639" s="147"/>
      <c r="S639" s="147"/>
      <c r="T639" s="147"/>
      <c r="U639" s="147"/>
      <c r="V639" s="147"/>
    </row>
    <row r="640" spans="1:22">
      <c r="A640" s="157"/>
      <c r="F640" s="3"/>
      <c r="G640" s="3"/>
      <c r="N640" s="157"/>
      <c r="O640" s="157"/>
      <c r="Q640" s="147"/>
      <c r="R640" s="147"/>
      <c r="S640" s="147"/>
      <c r="T640" s="147"/>
      <c r="U640" s="147"/>
      <c r="V640" s="147"/>
    </row>
    <row r="641" spans="1:22">
      <c r="A641" s="157"/>
      <c r="F641" s="3"/>
      <c r="G641" s="3"/>
      <c r="N641" s="157"/>
      <c r="O641" s="157"/>
      <c r="Q641" s="147"/>
      <c r="R641" s="147"/>
      <c r="S641" s="147"/>
      <c r="T641" s="147"/>
      <c r="U641" s="147"/>
      <c r="V641" s="147"/>
    </row>
    <row r="642" spans="1:22">
      <c r="A642" s="157"/>
      <c r="F642" s="3"/>
      <c r="G642" s="3"/>
      <c r="N642" s="157"/>
      <c r="O642" s="157"/>
      <c r="Q642" s="147"/>
      <c r="R642" s="147"/>
      <c r="S642" s="147"/>
      <c r="T642" s="147"/>
      <c r="U642" s="147"/>
      <c r="V642" s="147"/>
    </row>
    <row r="643" spans="1:22">
      <c r="A643" s="157"/>
      <c r="F643" s="3"/>
      <c r="G643" s="3"/>
      <c r="N643" s="157"/>
      <c r="O643" s="157"/>
      <c r="Q643" s="147"/>
      <c r="R643" s="147"/>
      <c r="S643" s="147"/>
      <c r="T643" s="147"/>
      <c r="U643" s="147"/>
      <c r="V643" s="147"/>
    </row>
    <row r="644" spans="1:22">
      <c r="A644" s="157"/>
      <c r="F644" s="3"/>
      <c r="G644" s="3"/>
      <c r="N644" s="157"/>
      <c r="O644" s="157"/>
      <c r="Q644" s="147"/>
      <c r="R644" s="147"/>
      <c r="S644" s="147"/>
      <c r="T644" s="147"/>
      <c r="U644" s="147"/>
      <c r="V644" s="147"/>
    </row>
    <row r="645" spans="1:22">
      <c r="A645" s="157"/>
      <c r="F645" s="3"/>
      <c r="G645" s="3"/>
      <c r="N645" s="157"/>
      <c r="O645" s="157"/>
      <c r="Q645" s="147"/>
      <c r="R645" s="147"/>
      <c r="S645" s="147"/>
      <c r="T645" s="147"/>
      <c r="U645" s="147"/>
      <c r="V645" s="147"/>
    </row>
    <row r="646" spans="1:22">
      <c r="A646" s="157"/>
      <c r="F646" s="3"/>
      <c r="G646" s="3"/>
      <c r="N646" s="157"/>
      <c r="O646" s="157"/>
      <c r="Q646" s="147"/>
      <c r="R646" s="147"/>
      <c r="S646" s="147"/>
      <c r="T646" s="147"/>
      <c r="U646" s="147"/>
      <c r="V646" s="147"/>
    </row>
    <row r="647" spans="1:22">
      <c r="A647" s="157"/>
      <c r="F647" s="3"/>
      <c r="G647" s="3"/>
      <c r="N647" s="157"/>
      <c r="O647" s="157"/>
      <c r="Q647" s="147"/>
      <c r="R647" s="147"/>
      <c r="S647" s="147"/>
      <c r="T647" s="147"/>
      <c r="U647" s="147"/>
      <c r="V647" s="147"/>
    </row>
    <row r="648" spans="1:22">
      <c r="A648" s="157"/>
      <c r="F648" s="3"/>
      <c r="G648" s="3"/>
      <c r="N648" s="157"/>
      <c r="O648" s="157"/>
      <c r="Q648" s="147"/>
      <c r="R648" s="147"/>
      <c r="S648" s="147"/>
      <c r="T648" s="147"/>
      <c r="U648" s="147"/>
      <c r="V648" s="147"/>
    </row>
    <row r="649" spans="1:22">
      <c r="A649" s="157"/>
      <c r="F649" s="3"/>
      <c r="G649" s="3"/>
      <c r="N649" s="157"/>
      <c r="O649" s="157"/>
      <c r="Q649" s="147"/>
      <c r="R649" s="147"/>
      <c r="S649" s="147"/>
      <c r="T649" s="147"/>
      <c r="U649" s="147"/>
      <c r="V649" s="147"/>
    </row>
    <row r="650" spans="1:22">
      <c r="A650" s="157"/>
      <c r="F650" s="3"/>
      <c r="G650" s="3"/>
      <c r="N650" s="157"/>
      <c r="O650" s="157"/>
      <c r="Q650" s="147"/>
      <c r="R650" s="147"/>
      <c r="S650" s="147"/>
      <c r="T650" s="147"/>
      <c r="U650" s="147"/>
      <c r="V650" s="147"/>
    </row>
    <row r="651" spans="1:22">
      <c r="A651" s="157"/>
      <c r="F651" s="3"/>
      <c r="G651" s="3"/>
      <c r="N651" s="157"/>
      <c r="O651" s="157"/>
      <c r="Q651" s="147"/>
      <c r="R651" s="147"/>
      <c r="S651" s="147"/>
      <c r="T651" s="147"/>
      <c r="U651" s="147"/>
      <c r="V651" s="147"/>
    </row>
    <row r="652" spans="1:22">
      <c r="A652" s="157"/>
      <c r="F652" s="3"/>
      <c r="G652" s="3"/>
      <c r="N652" s="157"/>
      <c r="O652" s="157"/>
      <c r="Q652" s="147"/>
      <c r="R652" s="147"/>
      <c r="S652" s="147"/>
      <c r="T652" s="147"/>
      <c r="U652" s="147"/>
      <c r="V652" s="147"/>
    </row>
    <row r="653" spans="1:22">
      <c r="A653" s="157"/>
      <c r="F653" s="3"/>
      <c r="G653" s="3"/>
      <c r="N653" s="157"/>
      <c r="O653" s="157"/>
      <c r="Q653" s="147"/>
      <c r="R653" s="147"/>
      <c r="S653" s="147"/>
      <c r="T653" s="147"/>
      <c r="U653" s="147"/>
      <c r="V653" s="147"/>
    </row>
    <row r="654" spans="1:22">
      <c r="A654" s="157"/>
      <c r="F654" s="3"/>
      <c r="G654" s="3"/>
      <c r="N654" s="157"/>
      <c r="O654" s="157"/>
      <c r="Q654" s="147"/>
      <c r="R654" s="147"/>
      <c r="S654" s="147"/>
      <c r="T654" s="147"/>
      <c r="U654" s="147"/>
      <c r="V654" s="147"/>
    </row>
    <row r="655" spans="1:22">
      <c r="A655" s="157"/>
      <c r="F655" s="3"/>
      <c r="G655" s="3"/>
      <c r="N655" s="157"/>
      <c r="O655" s="157"/>
      <c r="Q655" s="147"/>
      <c r="R655" s="147"/>
      <c r="S655" s="147"/>
      <c r="T655" s="147"/>
      <c r="U655" s="147"/>
      <c r="V655" s="147"/>
    </row>
    <row r="656" spans="1:22">
      <c r="A656" s="157"/>
      <c r="F656" s="3"/>
      <c r="G656" s="3"/>
      <c r="N656" s="157"/>
      <c r="O656" s="157"/>
      <c r="Q656" s="147"/>
      <c r="R656" s="147"/>
      <c r="S656" s="147"/>
      <c r="T656" s="147"/>
      <c r="U656" s="147"/>
      <c r="V656" s="147"/>
    </row>
    <row r="657" spans="1:22">
      <c r="A657" s="157"/>
      <c r="F657" s="3"/>
      <c r="G657" s="3"/>
      <c r="N657" s="157"/>
      <c r="O657" s="157"/>
      <c r="Q657" s="147"/>
      <c r="R657" s="147"/>
      <c r="S657" s="147"/>
      <c r="T657" s="147"/>
      <c r="U657" s="147"/>
      <c r="V657" s="147"/>
    </row>
    <row r="658" spans="1:22">
      <c r="A658" s="157"/>
      <c r="F658" s="3"/>
      <c r="G658" s="3"/>
      <c r="N658" s="157"/>
      <c r="O658" s="157"/>
      <c r="Q658" s="147"/>
      <c r="R658" s="147"/>
      <c r="S658" s="147"/>
      <c r="T658" s="147"/>
      <c r="U658" s="147"/>
      <c r="V658" s="147"/>
    </row>
    <row r="659" spans="1:22">
      <c r="A659" s="157"/>
      <c r="F659" s="3"/>
      <c r="G659" s="3"/>
      <c r="N659" s="157"/>
      <c r="O659" s="157"/>
      <c r="Q659" s="147"/>
      <c r="R659" s="147"/>
      <c r="S659" s="147"/>
      <c r="T659" s="147"/>
      <c r="U659" s="147"/>
      <c r="V659" s="147"/>
    </row>
    <row r="660" spans="1:22">
      <c r="A660" s="157"/>
      <c r="F660" s="3"/>
      <c r="G660" s="3"/>
      <c r="N660" s="157"/>
      <c r="O660" s="157"/>
      <c r="Q660" s="147"/>
      <c r="R660" s="147"/>
      <c r="S660" s="147"/>
      <c r="T660" s="147"/>
      <c r="U660" s="147"/>
      <c r="V660" s="147"/>
    </row>
    <row r="661" spans="1:22">
      <c r="A661" s="157"/>
      <c r="F661" s="3"/>
      <c r="G661" s="3"/>
      <c r="N661" s="157"/>
      <c r="O661" s="157"/>
      <c r="Q661" s="147"/>
      <c r="R661" s="147"/>
      <c r="S661" s="147"/>
      <c r="T661" s="147"/>
      <c r="U661" s="147"/>
      <c r="V661" s="147"/>
    </row>
    <row r="662" spans="1:22">
      <c r="A662" s="157"/>
      <c r="F662" s="3"/>
      <c r="G662" s="3"/>
      <c r="N662" s="157"/>
      <c r="O662" s="157"/>
      <c r="Q662" s="147"/>
      <c r="R662" s="147"/>
      <c r="S662" s="147"/>
      <c r="T662" s="147"/>
      <c r="U662" s="147"/>
      <c r="V662" s="147"/>
    </row>
    <row r="663" spans="1:22">
      <c r="A663" s="157"/>
      <c r="F663" s="3"/>
      <c r="G663" s="3"/>
      <c r="N663" s="157"/>
      <c r="O663" s="157"/>
      <c r="Q663" s="147"/>
      <c r="R663" s="147"/>
      <c r="S663" s="147"/>
      <c r="T663" s="147"/>
      <c r="U663" s="147"/>
      <c r="V663" s="147"/>
    </row>
    <row r="664" spans="1:22">
      <c r="A664" s="157"/>
      <c r="F664" s="3"/>
      <c r="G664" s="3"/>
      <c r="N664" s="157"/>
      <c r="O664" s="157"/>
      <c r="Q664" s="147"/>
      <c r="R664" s="147"/>
      <c r="S664" s="147"/>
      <c r="T664" s="147"/>
      <c r="U664" s="147"/>
      <c r="V664" s="147"/>
    </row>
    <row r="665" spans="1:22">
      <c r="A665" s="157"/>
      <c r="F665" s="3"/>
      <c r="G665" s="3"/>
      <c r="N665" s="157"/>
      <c r="O665" s="157"/>
      <c r="Q665" s="147"/>
      <c r="R665" s="147"/>
      <c r="S665" s="147"/>
      <c r="T665" s="147"/>
      <c r="U665" s="147"/>
      <c r="V665" s="147"/>
    </row>
    <row r="666" spans="1:22">
      <c r="A666" s="157"/>
      <c r="F666" s="3"/>
      <c r="G666" s="3"/>
      <c r="N666" s="157"/>
      <c r="O666" s="157"/>
      <c r="Q666" s="147"/>
      <c r="R666" s="147"/>
      <c r="S666" s="147"/>
      <c r="T666" s="147"/>
      <c r="U666" s="147"/>
      <c r="V666" s="147"/>
    </row>
    <row r="667" spans="1:22">
      <c r="A667" s="157"/>
      <c r="F667" s="3"/>
      <c r="G667" s="3"/>
      <c r="N667" s="157"/>
      <c r="O667" s="157"/>
      <c r="Q667" s="147"/>
      <c r="R667" s="147"/>
      <c r="S667" s="147"/>
      <c r="T667" s="147"/>
      <c r="U667" s="147"/>
      <c r="V667" s="147"/>
    </row>
    <row r="668" spans="1:22">
      <c r="A668" s="157"/>
      <c r="F668" s="3"/>
      <c r="G668" s="3"/>
      <c r="N668" s="157"/>
      <c r="O668" s="157"/>
      <c r="Q668" s="147"/>
      <c r="R668" s="147"/>
      <c r="S668" s="147"/>
      <c r="T668" s="147"/>
      <c r="U668" s="147"/>
      <c r="V668" s="147"/>
    </row>
    <row r="669" spans="1:22">
      <c r="A669" s="157"/>
      <c r="F669" s="3"/>
      <c r="G669" s="3"/>
      <c r="N669" s="157"/>
      <c r="O669" s="157"/>
      <c r="Q669" s="147"/>
      <c r="R669" s="147"/>
      <c r="S669" s="147"/>
      <c r="T669" s="147"/>
      <c r="U669" s="147"/>
      <c r="V669" s="147"/>
    </row>
    <row r="670" spans="1:22">
      <c r="A670" s="157"/>
      <c r="F670" s="3"/>
      <c r="G670" s="3"/>
      <c r="N670" s="157"/>
      <c r="O670" s="157"/>
      <c r="Q670" s="147"/>
      <c r="R670" s="147"/>
      <c r="S670" s="147"/>
      <c r="T670" s="147"/>
      <c r="U670" s="147"/>
      <c r="V670" s="147"/>
    </row>
    <row r="671" spans="1:22">
      <c r="A671" s="157"/>
      <c r="F671" s="3"/>
      <c r="G671" s="3"/>
      <c r="N671" s="157"/>
      <c r="O671" s="157"/>
      <c r="Q671" s="147"/>
      <c r="R671" s="147"/>
      <c r="S671" s="147"/>
      <c r="T671" s="147"/>
      <c r="U671" s="147"/>
      <c r="V671" s="147"/>
    </row>
    <row r="672" spans="1:22">
      <c r="A672" s="157"/>
      <c r="F672" s="3"/>
      <c r="G672" s="3"/>
      <c r="N672" s="157"/>
      <c r="O672" s="157"/>
      <c r="Q672" s="147"/>
      <c r="R672" s="147"/>
      <c r="S672" s="147"/>
      <c r="T672" s="147"/>
      <c r="U672" s="147"/>
      <c r="V672" s="147"/>
    </row>
    <row r="673" spans="1:22">
      <c r="A673" s="157"/>
      <c r="F673" s="3"/>
      <c r="G673" s="3"/>
      <c r="N673" s="157"/>
      <c r="O673" s="157"/>
      <c r="Q673" s="147"/>
      <c r="R673" s="147"/>
      <c r="S673" s="147"/>
      <c r="T673" s="147"/>
      <c r="U673" s="147"/>
      <c r="V673" s="147"/>
    </row>
    <row r="674" spans="1:22">
      <c r="A674" s="157"/>
      <c r="F674" s="3"/>
      <c r="G674" s="3"/>
      <c r="N674" s="157"/>
      <c r="O674" s="157"/>
      <c r="Q674" s="147"/>
      <c r="R674" s="147"/>
      <c r="S674" s="147"/>
      <c r="T674" s="147"/>
      <c r="U674" s="147"/>
      <c r="V674" s="147"/>
    </row>
    <row r="675" spans="1:22">
      <c r="A675" s="157"/>
      <c r="F675" s="3"/>
      <c r="G675" s="3"/>
      <c r="N675" s="157"/>
      <c r="O675" s="157"/>
      <c r="Q675" s="147"/>
      <c r="R675" s="147"/>
      <c r="S675" s="147"/>
      <c r="T675" s="147"/>
      <c r="U675" s="147"/>
      <c r="V675" s="147"/>
    </row>
    <row r="676" spans="1:22">
      <c r="A676" s="157"/>
      <c r="F676" s="3"/>
      <c r="G676" s="3"/>
      <c r="N676" s="157"/>
      <c r="O676" s="157"/>
      <c r="Q676" s="147"/>
      <c r="R676" s="147"/>
      <c r="S676" s="147"/>
      <c r="T676" s="147"/>
      <c r="U676" s="147"/>
      <c r="V676" s="147"/>
    </row>
    <row r="677" spans="1:22">
      <c r="A677" s="157"/>
      <c r="F677" s="3"/>
      <c r="G677" s="3"/>
      <c r="N677" s="157"/>
      <c r="O677" s="157"/>
      <c r="Q677" s="147"/>
      <c r="R677" s="147"/>
      <c r="S677" s="147"/>
      <c r="T677" s="147"/>
      <c r="U677" s="147"/>
      <c r="V677" s="147"/>
    </row>
    <row r="678" spans="1:22">
      <c r="A678" s="157"/>
      <c r="F678" s="3"/>
      <c r="G678" s="3"/>
      <c r="N678" s="157"/>
      <c r="O678" s="157"/>
      <c r="Q678" s="147"/>
      <c r="R678" s="147"/>
      <c r="S678" s="147"/>
      <c r="T678" s="147"/>
      <c r="U678" s="147"/>
      <c r="V678" s="147"/>
    </row>
    <row r="679" spans="1:22">
      <c r="A679" s="157"/>
      <c r="F679" s="3"/>
      <c r="G679" s="3"/>
      <c r="N679" s="157"/>
      <c r="O679" s="157"/>
      <c r="Q679" s="147"/>
      <c r="R679" s="147"/>
      <c r="S679" s="147"/>
      <c r="T679" s="147"/>
      <c r="U679" s="147"/>
      <c r="V679" s="147"/>
    </row>
    <row r="680" spans="1:22">
      <c r="A680" s="157"/>
      <c r="F680" s="3"/>
      <c r="G680" s="3"/>
      <c r="N680" s="157"/>
      <c r="O680" s="157"/>
      <c r="Q680" s="147"/>
      <c r="R680" s="147"/>
      <c r="S680" s="147"/>
      <c r="T680" s="147"/>
      <c r="U680" s="147"/>
      <c r="V680" s="147"/>
    </row>
    <row r="681" spans="1:22">
      <c r="A681" s="157"/>
      <c r="F681" s="3"/>
      <c r="G681" s="3"/>
      <c r="N681" s="157"/>
      <c r="O681" s="157"/>
      <c r="Q681" s="147"/>
      <c r="R681" s="147"/>
      <c r="S681" s="147"/>
      <c r="T681" s="147"/>
      <c r="U681" s="147"/>
      <c r="V681" s="147"/>
    </row>
    <row r="682" spans="1:22">
      <c r="A682" s="157"/>
      <c r="F682" s="3"/>
      <c r="G682" s="3"/>
      <c r="N682" s="157"/>
      <c r="O682" s="157"/>
      <c r="Q682" s="147"/>
      <c r="R682" s="147"/>
      <c r="S682" s="147"/>
      <c r="T682" s="147"/>
      <c r="U682" s="147"/>
      <c r="V682" s="147"/>
    </row>
    <row r="683" spans="1:22">
      <c r="A683" s="157"/>
      <c r="F683" s="3"/>
      <c r="G683" s="3"/>
      <c r="N683" s="157"/>
      <c r="O683" s="157"/>
      <c r="Q683" s="147"/>
      <c r="R683" s="147"/>
      <c r="S683" s="147"/>
      <c r="T683" s="147"/>
      <c r="U683" s="147"/>
      <c r="V683" s="147"/>
    </row>
    <row r="684" spans="1:22">
      <c r="A684" s="157"/>
      <c r="F684" s="3"/>
      <c r="G684" s="3"/>
      <c r="N684" s="157"/>
      <c r="O684" s="157"/>
      <c r="Q684" s="147"/>
      <c r="R684" s="147"/>
      <c r="S684" s="147"/>
      <c r="T684" s="147"/>
      <c r="U684" s="147"/>
      <c r="V684" s="147"/>
    </row>
    <row r="685" spans="1:22">
      <c r="A685" s="157"/>
      <c r="F685" s="3"/>
      <c r="G685" s="3"/>
      <c r="N685" s="157"/>
      <c r="O685" s="157"/>
      <c r="Q685" s="147"/>
      <c r="R685" s="147"/>
      <c r="S685" s="147"/>
      <c r="T685" s="147"/>
      <c r="U685" s="147"/>
      <c r="V685" s="147"/>
    </row>
    <row r="686" spans="1:22">
      <c r="A686" s="157"/>
      <c r="F686" s="3"/>
      <c r="G686" s="3"/>
      <c r="N686" s="157"/>
      <c r="O686" s="157"/>
      <c r="Q686" s="147"/>
      <c r="R686" s="147"/>
      <c r="S686" s="147"/>
      <c r="T686" s="147"/>
      <c r="U686" s="147"/>
      <c r="V686" s="147"/>
    </row>
    <row r="687" spans="1:22">
      <c r="A687" s="157"/>
      <c r="F687" s="3"/>
      <c r="G687" s="3"/>
      <c r="N687" s="157"/>
      <c r="O687" s="157"/>
      <c r="Q687" s="147"/>
      <c r="R687" s="147"/>
      <c r="S687" s="147"/>
      <c r="T687" s="147"/>
      <c r="U687" s="147"/>
      <c r="V687" s="147"/>
    </row>
    <row r="688" spans="1:22">
      <c r="A688" s="157"/>
      <c r="F688" s="3"/>
      <c r="G688" s="3"/>
      <c r="N688" s="157"/>
      <c r="O688" s="157"/>
      <c r="Q688" s="147"/>
      <c r="R688" s="147"/>
      <c r="S688" s="147"/>
      <c r="T688" s="147"/>
      <c r="U688" s="147"/>
      <c r="V688" s="147"/>
    </row>
    <row r="689" spans="1:22">
      <c r="A689" s="157"/>
      <c r="F689" s="3"/>
      <c r="G689" s="3"/>
      <c r="N689" s="157"/>
      <c r="O689" s="157"/>
      <c r="Q689" s="147"/>
      <c r="R689" s="147"/>
      <c r="S689" s="147"/>
      <c r="T689" s="147"/>
      <c r="U689" s="147"/>
      <c r="V689" s="147"/>
    </row>
    <row r="690" spans="1:22">
      <c r="A690" s="157"/>
      <c r="F690" s="3"/>
      <c r="G690" s="3"/>
      <c r="N690" s="157"/>
      <c r="O690" s="157"/>
      <c r="Q690" s="147"/>
      <c r="R690" s="147"/>
      <c r="S690" s="147"/>
      <c r="T690" s="147"/>
      <c r="U690" s="147"/>
      <c r="V690" s="147"/>
    </row>
    <row r="691" spans="1:22">
      <c r="A691" s="157"/>
      <c r="F691" s="3"/>
      <c r="G691" s="3"/>
      <c r="N691" s="157"/>
      <c r="O691" s="157"/>
      <c r="Q691" s="147"/>
      <c r="R691" s="147"/>
      <c r="S691" s="147"/>
      <c r="T691" s="147"/>
      <c r="U691" s="147"/>
      <c r="V691" s="147"/>
    </row>
    <row r="692" spans="1:22">
      <c r="A692" s="157"/>
      <c r="F692" s="3"/>
      <c r="G692" s="3"/>
      <c r="N692" s="157"/>
      <c r="O692" s="157"/>
      <c r="Q692" s="147"/>
      <c r="R692" s="147"/>
      <c r="S692" s="147"/>
      <c r="T692" s="147"/>
      <c r="U692" s="147"/>
      <c r="V692" s="147"/>
    </row>
    <row r="693" spans="1:22">
      <c r="A693" s="157"/>
      <c r="F693" s="3"/>
      <c r="G693" s="3"/>
      <c r="N693" s="157"/>
      <c r="O693" s="157"/>
      <c r="Q693" s="147"/>
      <c r="R693" s="147"/>
      <c r="S693" s="147"/>
      <c r="T693" s="147"/>
      <c r="U693" s="147"/>
      <c r="V693" s="147"/>
    </row>
    <row r="694" spans="1:22">
      <c r="A694" s="157"/>
      <c r="F694" s="3"/>
      <c r="G694" s="3"/>
      <c r="N694" s="157"/>
      <c r="O694" s="157"/>
      <c r="Q694" s="147"/>
      <c r="R694" s="147"/>
      <c r="S694" s="147"/>
      <c r="T694" s="147"/>
      <c r="U694" s="147"/>
      <c r="V694" s="147"/>
    </row>
    <row r="695" spans="1:22">
      <c r="A695" s="157"/>
      <c r="F695" s="3"/>
      <c r="G695" s="3"/>
      <c r="N695" s="157"/>
      <c r="O695" s="157"/>
      <c r="Q695" s="147"/>
      <c r="R695" s="147"/>
      <c r="S695" s="147"/>
      <c r="T695" s="147"/>
      <c r="U695" s="147"/>
      <c r="V695" s="147"/>
    </row>
    <row r="696" spans="1:22">
      <c r="A696" s="157"/>
      <c r="F696" s="3"/>
      <c r="G696" s="3"/>
      <c r="N696" s="157"/>
      <c r="O696" s="157"/>
      <c r="Q696" s="147"/>
      <c r="R696" s="147"/>
      <c r="S696" s="147"/>
      <c r="T696" s="147"/>
      <c r="U696" s="147"/>
      <c r="V696" s="147"/>
    </row>
    <row r="697" spans="1:22">
      <c r="A697" s="157"/>
      <c r="F697" s="3"/>
      <c r="G697" s="3"/>
      <c r="N697" s="157"/>
      <c r="O697" s="157"/>
      <c r="Q697" s="147"/>
      <c r="R697" s="147"/>
      <c r="S697" s="147"/>
      <c r="T697" s="147"/>
      <c r="U697" s="147"/>
      <c r="V697" s="147"/>
    </row>
    <row r="698" spans="1:22">
      <c r="A698" s="157"/>
      <c r="F698" s="3"/>
      <c r="G698" s="3"/>
      <c r="N698" s="157"/>
      <c r="O698" s="157"/>
      <c r="Q698" s="147"/>
      <c r="R698" s="147"/>
      <c r="S698" s="147"/>
      <c r="T698" s="147"/>
      <c r="U698" s="147"/>
      <c r="V698" s="147"/>
    </row>
    <row r="699" spans="1:22">
      <c r="A699" s="157"/>
      <c r="F699" s="3"/>
      <c r="G699" s="3"/>
      <c r="N699" s="157"/>
      <c r="O699" s="157"/>
      <c r="Q699" s="147"/>
      <c r="R699" s="147"/>
      <c r="S699" s="147"/>
      <c r="T699" s="147"/>
      <c r="U699" s="147"/>
      <c r="V699" s="147"/>
    </row>
    <row r="700" spans="1:22">
      <c r="A700" s="157"/>
      <c r="F700" s="3"/>
      <c r="G700" s="3"/>
      <c r="N700" s="157"/>
      <c r="O700" s="157"/>
      <c r="Q700" s="147"/>
      <c r="R700" s="147"/>
      <c r="S700" s="147"/>
      <c r="T700" s="147"/>
      <c r="U700" s="147"/>
      <c r="V700" s="147"/>
    </row>
    <row r="701" spans="1:22">
      <c r="A701" s="157"/>
      <c r="F701" s="3"/>
      <c r="G701" s="3"/>
      <c r="N701" s="157"/>
      <c r="O701" s="157"/>
      <c r="Q701" s="147"/>
      <c r="R701" s="147"/>
      <c r="S701" s="147"/>
      <c r="T701" s="147"/>
      <c r="U701" s="147"/>
      <c r="V701" s="147"/>
    </row>
    <row r="702" spans="1:22">
      <c r="A702" s="157"/>
      <c r="F702" s="3"/>
      <c r="G702" s="3"/>
      <c r="N702" s="157"/>
      <c r="O702" s="157"/>
      <c r="Q702" s="147"/>
      <c r="R702" s="147"/>
      <c r="S702" s="147"/>
      <c r="T702" s="147"/>
      <c r="U702" s="147"/>
      <c r="V702" s="147"/>
    </row>
    <row r="703" spans="1:22">
      <c r="A703" s="157"/>
      <c r="F703" s="3"/>
      <c r="G703" s="3"/>
      <c r="N703" s="157"/>
      <c r="O703" s="157"/>
      <c r="Q703" s="147"/>
      <c r="R703" s="147"/>
      <c r="S703" s="147"/>
      <c r="T703" s="147"/>
      <c r="U703" s="147"/>
      <c r="V703" s="147"/>
    </row>
    <row r="704" spans="1:22">
      <c r="A704" s="157"/>
      <c r="F704" s="3"/>
      <c r="G704" s="3"/>
      <c r="N704" s="157"/>
      <c r="O704" s="157"/>
      <c r="Q704" s="147"/>
      <c r="R704" s="147"/>
      <c r="S704" s="147"/>
      <c r="T704" s="147"/>
      <c r="U704" s="147"/>
      <c r="V704" s="147"/>
    </row>
    <row r="705" spans="1:22">
      <c r="A705" s="157"/>
      <c r="F705" s="3"/>
      <c r="G705" s="3"/>
      <c r="N705" s="157"/>
      <c r="O705" s="157"/>
      <c r="Q705" s="147"/>
      <c r="R705" s="147"/>
      <c r="S705" s="147"/>
      <c r="T705" s="147"/>
      <c r="U705" s="147"/>
      <c r="V705" s="147"/>
    </row>
    <row r="706" spans="1:22">
      <c r="A706" s="157"/>
      <c r="F706" s="3"/>
      <c r="G706" s="3"/>
      <c r="N706" s="157"/>
      <c r="O706" s="157"/>
      <c r="Q706" s="147"/>
      <c r="R706" s="147"/>
      <c r="S706" s="147"/>
      <c r="T706" s="147"/>
      <c r="U706" s="147"/>
      <c r="V706" s="147"/>
    </row>
    <row r="707" spans="1:22">
      <c r="A707" s="157"/>
      <c r="F707" s="3"/>
      <c r="G707" s="3"/>
      <c r="N707" s="157"/>
      <c r="O707" s="157"/>
      <c r="Q707" s="147"/>
      <c r="R707" s="147"/>
      <c r="S707" s="147"/>
      <c r="T707" s="147"/>
      <c r="U707" s="147"/>
      <c r="V707" s="147"/>
    </row>
    <row r="708" spans="1:22">
      <c r="A708" s="157"/>
      <c r="F708" s="3"/>
      <c r="G708" s="3"/>
      <c r="N708" s="157"/>
      <c r="O708" s="157"/>
      <c r="Q708" s="147"/>
      <c r="R708" s="147"/>
      <c r="S708" s="147"/>
      <c r="T708" s="147"/>
      <c r="U708" s="147"/>
      <c r="V708" s="147"/>
    </row>
    <row r="709" spans="1:22">
      <c r="A709" s="157"/>
      <c r="F709" s="3"/>
      <c r="G709" s="3"/>
      <c r="N709" s="157"/>
      <c r="O709" s="157"/>
      <c r="Q709" s="147"/>
      <c r="R709" s="147"/>
      <c r="S709" s="147"/>
      <c r="T709" s="147"/>
      <c r="U709" s="147"/>
      <c r="V709" s="147"/>
    </row>
    <row r="710" spans="1:22">
      <c r="A710" s="157"/>
      <c r="F710" s="3"/>
      <c r="G710" s="3"/>
      <c r="N710" s="157"/>
      <c r="O710" s="157"/>
      <c r="Q710" s="147"/>
      <c r="R710" s="147"/>
      <c r="S710" s="147"/>
      <c r="T710" s="147"/>
      <c r="U710" s="147"/>
      <c r="V710" s="147"/>
    </row>
    <row r="711" spans="1:22">
      <c r="A711" s="157"/>
      <c r="F711" s="3"/>
      <c r="G711" s="3"/>
      <c r="N711" s="157"/>
      <c r="O711" s="157"/>
      <c r="Q711" s="147"/>
      <c r="R711" s="147"/>
      <c r="S711" s="147"/>
      <c r="T711" s="147"/>
      <c r="U711" s="147"/>
      <c r="V711" s="147"/>
    </row>
    <row r="712" spans="1:22">
      <c r="A712" s="157"/>
      <c r="F712" s="3"/>
      <c r="G712" s="3"/>
      <c r="N712" s="157"/>
      <c r="O712" s="157"/>
      <c r="Q712" s="147"/>
      <c r="R712" s="147"/>
      <c r="S712" s="147"/>
      <c r="T712" s="147"/>
      <c r="U712" s="147"/>
      <c r="V712" s="147"/>
    </row>
    <row r="713" spans="1:22">
      <c r="A713" s="157"/>
      <c r="F713" s="3"/>
      <c r="G713" s="3"/>
      <c r="N713" s="157"/>
      <c r="O713" s="157"/>
      <c r="Q713" s="147"/>
      <c r="R713" s="147"/>
      <c r="S713" s="147"/>
      <c r="T713" s="147"/>
      <c r="U713" s="147"/>
      <c r="V713" s="147"/>
    </row>
    <row r="714" spans="1:22">
      <c r="A714" s="157"/>
      <c r="F714" s="3"/>
      <c r="G714" s="3"/>
      <c r="N714" s="157"/>
      <c r="O714" s="157"/>
      <c r="Q714" s="147"/>
      <c r="R714" s="147"/>
      <c r="S714" s="147"/>
      <c r="T714" s="147"/>
      <c r="U714" s="147"/>
      <c r="V714" s="147"/>
    </row>
    <row r="715" spans="1:22">
      <c r="A715" s="157"/>
      <c r="F715" s="3"/>
      <c r="G715" s="3"/>
      <c r="N715" s="157"/>
      <c r="O715" s="157"/>
      <c r="Q715" s="147"/>
      <c r="R715" s="147"/>
      <c r="S715" s="147"/>
      <c r="T715" s="147"/>
      <c r="U715" s="147"/>
      <c r="V715" s="147"/>
    </row>
    <row r="716" spans="1:22">
      <c r="A716" s="157"/>
      <c r="F716" s="3"/>
      <c r="G716" s="3"/>
      <c r="N716" s="157"/>
      <c r="O716" s="157"/>
      <c r="Q716" s="147"/>
      <c r="R716" s="147"/>
      <c r="S716" s="147"/>
      <c r="T716" s="147"/>
      <c r="U716" s="147"/>
      <c r="V716" s="147"/>
    </row>
    <row r="717" spans="1:22">
      <c r="A717" s="157"/>
      <c r="F717" s="3"/>
      <c r="G717" s="3"/>
      <c r="N717" s="157"/>
      <c r="O717" s="157"/>
      <c r="Q717" s="147"/>
      <c r="R717" s="147"/>
      <c r="S717" s="147"/>
      <c r="T717" s="147"/>
      <c r="U717" s="147"/>
      <c r="V717" s="147"/>
    </row>
    <row r="718" spans="1:22">
      <c r="A718" s="157"/>
      <c r="F718" s="3"/>
      <c r="G718" s="3"/>
      <c r="N718" s="157"/>
      <c r="O718" s="157"/>
      <c r="Q718" s="147"/>
      <c r="R718" s="147"/>
      <c r="S718" s="147"/>
      <c r="T718" s="147"/>
      <c r="U718" s="147"/>
      <c r="V718" s="147"/>
    </row>
    <row r="719" spans="1:22">
      <c r="A719" s="157"/>
      <c r="F719" s="3"/>
      <c r="G719" s="3"/>
      <c r="N719" s="157"/>
      <c r="O719" s="157"/>
      <c r="Q719" s="147"/>
      <c r="R719" s="147"/>
      <c r="S719" s="147"/>
      <c r="T719" s="147"/>
      <c r="U719" s="147"/>
      <c r="V719" s="147"/>
    </row>
    <row r="720" spans="1:22">
      <c r="A720" s="157"/>
      <c r="F720" s="3"/>
      <c r="G720" s="3"/>
      <c r="N720" s="157"/>
      <c r="O720" s="157"/>
      <c r="Q720" s="147"/>
      <c r="R720" s="147"/>
      <c r="S720" s="147"/>
      <c r="T720" s="147"/>
      <c r="U720" s="147"/>
      <c r="V720" s="147"/>
    </row>
    <row r="721" spans="1:22">
      <c r="A721" s="157"/>
      <c r="F721" s="3"/>
      <c r="G721" s="3"/>
      <c r="N721" s="157"/>
      <c r="O721" s="157"/>
      <c r="Q721" s="147"/>
      <c r="R721" s="147"/>
      <c r="S721" s="147"/>
      <c r="T721" s="147"/>
      <c r="U721" s="147"/>
      <c r="V721" s="147"/>
    </row>
    <row r="722" spans="1:22">
      <c r="A722" s="157"/>
      <c r="F722" s="3"/>
      <c r="G722" s="3"/>
      <c r="N722" s="157"/>
      <c r="O722" s="157"/>
      <c r="Q722" s="147"/>
      <c r="R722" s="147"/>
      <c r="S722" s="147"/>
      <c r="T722" s="147"/>
      <c r="U722" s="147"/>
      <c r="V722" s="147"/>
    </row>
    <row r="723" spans="1:22">
      <c r="A723" s="157"/>
      <c r="F723" s="3"/>
      <c r="G723" s="3"/>
      <c r="N723" s="157"/>
      <c r="O723" s="157"/>
      <c r="Q723" s="147"/>
      <c r="R723" s="147"/>
      <c r="S723" s="147"/>
      <c r="T723" s="147"/>
      <c r="U723" s="147"/>
      <c r="V723" s="147"/>
    </row>
    <row r="724" spans="1:22">
      <c r="A724" s="157"/>
      <c r="F724" s="3"/>
      <c r="G724" s="3"/>
      <c r="N724" s="157"/>
      <c r="O724" s="157"/>
      <c r="Q724" s="147"/>
      <c r="R724" s="147"/>
      <c r="S724" s="147"/>
      <c r="T724" s="147"/>
      <c r="U724" s="147"/>
      <c r="V724" s="147"/>
    </row>
    <row r="725" spans="1:22">
      <c r="A725" s="157"/>
      <c r="F725" s="3"/>
      <c r="G725" s="3"/>
      <c r="N725" s="157"/>
      <c r="O725" s="157"/>
      <c r="Q725" s="147"/>
      <c r="R725" s="147"/>
      <c r="S725" s="147"/>
      <c r="T725" s="147"/>
      <c r="U725" s="147"/>
      <c r="V725" s="147"/>
    </row>
    <row r="726" spans="1:22">
      <c r="A726" s="157"/>
      <c r="F726" s="3"/>
      <c r="G726" s="3"/>
      <c r="N726" s="157"/>
      <c r="O726" s="157"/>
      <c r="Q726" s="147"/>
      <c r="R726" s="147"/>
      <c r="S726" s="147"/>
      <c r="T726" s="147"/>
      <c r="U726" s="147"/>
      <c r="V726" s="147"/>
    </row>
    <row r="727" spans="1:22">
      <c r="A727" s="157"/>
      <c r="F727" s="3"/>
      <c r="G727" s="3"/>
      <c r="N727" s="157"/>
      <c r="O727" s="157"/>
      <c r="Q727" s="147"/>
      <c r="R727" s="147"/>
      <c r="S727" s="147"/>
      <c r="T727" s="147"/>
      <c r="U727" s="147"/>
      <c r="V727" s="147"/>
    </row>
    <row r="728" spans="1:22">
      <c r="A728" s="157"/>
      <c r="F728" s="3"/>
      <c r="G728" s="3"/>
      <c r="N728" s="157"/>
      <c r="O728" s="157"/>
      <c r="Q728" s="147"/>
      <c r="R728" s="147"/>
      <c r="S728" s="147"/>
      <c r="T728" s="147"/>
      <c r="U728" s="147"/>
      <c r="V728" s="147"/>
    </row>
    <row r="729" spans="1:22">
      <c r="A729" s="157"/>
      <c r="F729" s="3"/>
      <c r="G729" s="3"/>
      <c r="N729" s="157"/>
      <c r="O729" s="157"/>
      <c r="Q729" s="147"/>
      <c r="R729" s="147"/>
      <c r="S729" s="147"/>
      <c r="T729" s="147"/>
      <c r="U729" s="147"/>
      <c r="V729" s="147"/>
    </row>
    <row r="730" spans="1:22">
      <c r="A730" s="157"/>
      <c r="F730" s="3"/>
      <c r="G730" s="3"/>
      <c r="N730" s="157"/>
      <c r="O730" s="157"/>
      <c r="Q730" s="147"/>
      <c r="R730" s="147"/>
      <c r="S730" s="147"/>
      <c r="T730" s="147"/>
      <c r="U730" s="147"/>
      <c r="V730" s="147"/>
    </row>
    <row r="731" spans="1:22">
      <c r="A731" s="157"/>
      <c r="F731" s="3"/>
      <c r="G731" s="3"/>
      <c r="N731" s="157"/>
      <c r="O731" s="157"/>
      <c r="Q731" s="147"/>
      <c r="R731" s="147"/>
      <c r="S731" s="147"/>
      <c r="T731" s="147"/>
      <c r="U731" s="147"/>
      <c r="V731" s="147"/>
    </row>
    <row r="732" spans="1:22">
      <c r="A732" s="157"/>
      <c r="F732" s="3"/>
      <c r="G732" s="3"/>
      <c r="N732" s="157"/>
      <c r="O732" s="157"/>
      <c r="Q732" s="147"/>
      <c r="R732" s="147"/>
      <c r="S732" s="147"/>
      <c r="T732" s="147"/>
      <c r="U732" s="147"/>
      <c r="V732" s="147"/>
    </row>
    <row r="733" spans="1:22">
      <c r="A733" s="157"/>
      <c r="F733" s="3"/>
      <c r="G733" s="3"/>
      <c r="N733" s="157"/>
      <c r="O733" s="157"/>
      <c r="Q733" s="147"/>
      <c r="R733" s="147"/>
      <c r="S733" s="147"/>
      <c r="T733" s="147"/>
      <c r="U733" s="147"/>
      <c r="V733" s="147"/>
    </row>
    <row r="734" spans="1:22">
      <c r="A734" s="157"/>
      <c r="F734" s="3"/>
      <c r="G734" s="3"/>
      <c r="N734" s="157"/>
      <c r="O734" s="157"/>
      <c r="Q734" s="147"/>
      <c r="R734" s="147"/>
      <c r="S734" s="147"/>
      <c r="T734" s="147"/>
      <c r="U734" s="147"/>
      <c r="V734" s="147"/>
    </row>
    <row r="735" spans="1:22">
      <c r="A735" s="157"/>
      <c r="F735" s="3"/>
      <c r="G735" s="3"/>
      <c r="N735" s="157"/>
      <c r="O735" s="157"/>
      <c r="Q735" s="147"/>
      <c r="R735" s="147"/>
      <c r="S735" s="147"/>
      <c r="T735" s="147"/>
      <c r="U735" s="147"/>
      <c r="V735" s="147"/>
    </row>
    <row r="736" spans="1:22">
      <c r="A736" s="157"/>
      <c r="F736" s="3"/>
      <c r="G736" s="3"/>
      <c r="N736" s="157"/>
      <c r="O736" s="157"/>
      <c r="Q736" s="147"/>
      <c r="R736" s="147"/>
      <c r="S736" s="147"/>
      <c r="T736" s="147"/>
      <c r="U736" s="147"/>
      <c r="V736" s="147"/>
    </row>
    <row r="737" spans="1:22">
      <c r="A737" s="157"/>
      <c r="F737" s="3"/>
      <c r="G737" s="3"/>
      <c r="N737" s="157"/>
      <c r="O737" s="157"/>
      <c r="Q737" s="147"/>
      <c r="R737" s="147"/>
      <c r="S737" s="147"/>
      <c r="T737" s="147"/>
      <c r="U737" s="147"/>
      <c r="V737" s="147"/>
    </row>
    <row r="738" spans="1:22">
      <c r="A738" s="157"/>
      <c r="F738" s="3"/>
      <c r="G738" s="3"/>
      <c r="N738" s="157"/>
      <c r="O738" s="157"/>
      <c r="Q738" s="147"/>
      <c r="R738" s="147"/>
      <c r="S738" s="147"/>
      <c r="T738" s="147"/>
      <c r="U738" s="147"/>
      <c r="V738" s="147"/>
    </row>
    <row r="739" spans="1:22">
      <c r="A739" s="157"/>
      <c r="F739" s="3"/>
      <c r="G739" s="3"/>
      <c r="N739" s="157"/>
      <c r="O739" s="157"/>
      <c r="Q739" s="147"/>
      <c r="R739" s="147"/>
      <c r="S739" s="147"/>
      <c r="T739" s="147"/>
      <c r="U739" s="147"/>
      <c r="V739" s="147"/>
    </row>
    <row r="740" spans="1:22">
      <c r="A740" s="157"/>
      <c r="F740" s="3"/>
      <c r="G740" s="3"/>
      <c r="N740" s="157"/>
      <c r="O740" s="157"/>
      <c r="Q740" s="147"/>
      <c r="R740" s="147"/>
      <c r="S740" s="147"/>
      <c r="T740" s="147"/>
      <c r="U740" s="147"/>
      <c r="V740" s="147"/>
    </row>
    <row r="741" spans="1:22">
      <c r="A741" s="157"/>
      <c r="F741" s="3"/>
      <c r="G741" s="3"/>
      <c r="N741" s="157"/>
      <c r="O741" s="157"/>
      <c r="Q741" s="147"/>
      <c r="R741" s="147"/>
      <c r="S741" s="147"/>
      <c r="T741" s="147"/>
      <c r="U741" s="147"/>
      <c r="V741" s="147"/>
    </row>
    <row r="742" spans="1:22">
      <c r="A742" s="157"/>
      <c r="F742" s="3"/>
      <c r="G742" s="3"/>
      <c r="N742" s="157"/>
      <c r="O742" s="157"/>
      <c r="Q742" s="147"/>
      <c r="R742" s="147"/>
      <c r="S742" s="147"/>
      <c r="T742" s="147"/>
      <c r="U742" s="147"/>
      <c r="V742" s="147"/>
    </row>
    <row r="743" spans="1:22">
      <c r="A743" s="157"/>
      <c r="F743" s="3"/>
      <c r="G743" s="3"/>
      <c r="N743" s="157"/>
      <c r="O743" s="157"/>
      <c r="Q743" s="147"/>
      <c r="R743" s="147"/>
      <c r="S743" s="147"/>
      <c r="T743" s="147"/>
      <c r="U743" s="147"/>
      <c r="V743" s="147"/>
    </row>
    <row r="744" spans="1:22">
      <c r="A744" s="157"/>
      <c r="F744" s="3"/>
      <c r="G744" s="3"/>
      <c r="N744" s="157"/>
      <c r="O744" s="157"/>
      <c r="Q744" s="147"/>
      <c r="R744" s="147"/>
      <c r="S744" s="147"/>
      <c r="T744" s="147"/>
      <c r="U744" s="147"/>
      <c r="V744" s="147"/>
    </row>
    <row r="745" spans="1:22">
      <c r="A745" s="157"/>
      <c r="F745" s="3"/>
      <c r="G745" s="3"/>
      <c r="N745" s="157"/>
      <c r="O745" s="157"/>
      <c r="Q745" s="147"/>
      <c r="R745" s="147"/>
      <c r="S745" s="147"/>
      <c r="T745" s="147"/>
      <c r="U745" s="147"/>
      <c r="V745" s="147"/>
    </row>
    <row r="746" spans="1:22">
      <c r="A746" s="157"/>
      <c r="F746" s="3"/>
      <c r="G746" s="3"/>
      <c r="N746" s="157"/>
      <c r="O746" s="157"/>
      <c r="Q746" s="147"/>
      <c r="R746" s="147"/>
      <c r="S746" s="147"/>
      <c r="T746" s="147"/>
      <c r="U746" s="147"/>
      <c r="V746" s="147"/>
    </row>
    <row r="747" spans="1:22">
      <c r="A747" s="157"/>
      <c r="F747" s="3"/>
      <c r="G747" s="3"/>
      <c r="N747" s="157"/>
      <c r="O747" s="157"/>
      <c r="Q747" s="147"/>
      <c r="R747" s="147"/>
      <c r="S747" s="147"/>
      <c r="T747" s="147"/>
      <c r="U747" s="147"/>
      <c r="V747" s="147"/>
    </row>
    <row r="748" spans="1:22">
      <c r="A748" s="157"/>
      <c r="F748" s="3"/>
      <c r="G748" s="3"/>
      <c r="N748" s="157"/>
      <c r="O748" s="157"/>
      <c r="Q748" s="147"/>
      <c r="R748" s="147"/>
      <c r="S748" s="147"/>
      <c r="T748" s="147"/>
      <c r="U748" s="147"/>
      <c r="V748" s="147"/>
    </row>
    <row r="749" spans="1:22">
      <c r="A749" s="157"/>
      <c r="F749" s="3"/>
      <c r="G749" s="3"/>
      <c r="N749" s="157"/>
      <c r="O749" s="157"/>
      <c r="Q749" s="147"/>
      <c r="R749" s="147"/>
      <c r="S749" s="147"/>
      <c r="T749" s="147"/>
      <c r="U749" s="147"/>
      <c r="V749" s="147"/>
    </row>
    <row r="750" spans="1:22">
      <c r="A750" s="157"/>
      <c r="F750" s="3"/>
      <c r="G750" s="3"/>
      <c r="N750" s="157"/>
      <c r="O750" s="157"/>
      <c r="Q750" s="147"/>
      <c r="R750" s="147"/>
      <c r="S750" s="147"/>
      <c r="T750" s="147"/>
      <c r="U750" s="147"/>
      <c r="V750" s="147"/>
    </row>
    <row r="751" spans="1:22">
      <c r="A751" s="157"/>
      <c r="F751" s="3"/>
      <c r="G751" s="3"/>
      <c r="N751" s="157"/>
      <c r="O751" s="157"/>
      <c r="Q751" s="147"/>
      <c r="R751" s="147"/>
      <c r="S751" s="147"/>
      <c r="T751" s="147"/>
      <c r="U751" s="147"/>
      <c r="V751" s="147"/>
    </row>
    <row r="752" spans="1:22">
      <c r="A752" s="157"/>
      <c r="F752" s="3"/>
      <c r="G752" s="3"/>
      <c r="N752" s="157"/>
      <c r="O752" s="157"/>
      <c r="Q752" s="147"/>
      <c r="R752" s="147"/>
      <c r="S752" s="147"/>
      <c r="T752" s="147"/>
      <c r="U752" s="147"/>
      <c r="V752" s="147"/>
    </row>
    <row r="753" spans="1:22">
      <c r="A753" s="157"/>
      <c r="F753" s="3"/>
      <c r="G753" s="3"/>
      <c r="N753" s="157"/>
      <c r="O753" s="157"/>
      <c r="Q753" s="147"/>
      <c r="R753" s="147"/>
      <c r="S753" s="147"/>
      <c r="T753" s="147"/>
      <c r="U753" s="147"/>
      <c r="V753" s="147"/>
    </row>
    <row r="754" spans="1:22">
      <c r="A754" s="157"/>
      <c r="F754" s="3"/>
      <c r="G754" s="3"/>
      <c r="N754" s="157"/>
      <c r="O754" s="157"/>
      <c r="Q754" s="147"/>
      <c r="R754" s="147"/>
      <c r="S754" s="147"/>
      <c r="T754" s="147"/>
      <c r="U754" s="147"/>
      <c r="V754" s="147"/>
    </row>
    <row r="755" spans="1:22">
      <c r="A755" s="157"/>
      <c r="F755" s="3"/>
      <c r="G755" s="3"/>
      <c r="N755" s="157"/>
      <c r="O755" s="157"/>
      <c r="Q755" s="147"/>
      <c r="R755" s="147"/>
      <c r="S755" s="147"/>
      <c r="T755" s="147"/>
      <c r="U755" s="147"/>
      <c r="V755" s="147"/>
    </row>
    <row r="756" spans="1:22">
      <c r="A756" s="157"/>
      <c r="F756" s="3"/>
      <c r="G756" s="3"/>
      <c r="N756" s="157"/>
      <c r="O756" s="157"/>
      <c r="Q756" s="147"/>
      <c r="R756" s="147"/>
      <c r="S756" s="147"/>
      <c r="T756" s="147"/>
      <c r="U756" s="147"/>
      <c r="V756" s="147"/>
    </row>
    <row r="757" spans="1:22">
      <c r="A757" s="157"/>
      <c r="F757" s="3"/>
      <c r="G757" s="3"/>
      <c r="N757" s="157"/>
      <c r="O757" s="157"/>
      <c r="Q757" s="147"/>
      <c r="R757" s="147"/>
      <c r="S757" s="147"/>
      <c r="T757" s="147"/>
      <c r="U757" s="147"/>
      <c r="V757" s="147"/>
    </row>
    <row r="758" spans="1:22">
      <c r="A758" s="157"/>
      <c r="F758" s="3"/>
      <c r="G758" s="3"/>
      <c r="N758" s="157"/>
      <c r="O758" s="157"/>
      <c r="Q758" s="147"/>
      <c r="R758" s="147"/>
      <c r="S758" s="147"/>
      <c r="T758" s="147"/>
      <c r="U758" s="147"/>
      <c r="V758" s="147"/>
    </row>
    <row r="759" spans="1:22">
      <c r="A759" s="157"/>
      <c r="F759" s="3"/>
      <c r="G759" s="3"/>
      <c r="N759" s="157"/>
      <c r="O759" s="157"/>
      <c r="Q759" s="147"/>
      <c r="R759" s="147"/>
      <c r="S759" s="147"/>
      <c r="T759" s="147"/>
      <c r="U759" s="147"/>
      <c r="V759" s="147"/>
    </row>
    <row r="760" spans="1:22">
      <c r="A760" s="157"/>
      <c r="F760" s="3"/>
      <c r="G760" s="3"/>
      <c r="N760" s="157"/>
      <c r="O760" s="157"/>
      <c r="Q760" s="147"/>
      <c r="R760" s="147"/>
      <c r="S760" s="147"/>
      <c r="T760" s="147"/>
      <c r="U760" s="147"/>
      <c r="V760" s="147"/>
    </row>
    <row r="761" spans="1:22">
      <c r="A761" s="157"/>
      <c r="F761" s="3"/>
      <c r="G761" s="3"/>
      <c r="N761" s="157"/>
      <c r="O761" s="157"/>
      <c r="Q761" s="147"/>
      <c r="R761" s="147"/>
      <c r="S761" s="147"/>
      <c r="T761" s="147"/>
      <c r="U761" s="147"/>
      <c r="V761" s="147"/>
    </row>
    <row r="762" spans="1:22">
      <c r="A762" s="157"/>
      <c r="F762" s="3"/>
      <c r="G762" s="3"/>
      <c r="N762" s="157"/>
      <c r="O762" s="157"/>
      <c r="Q762" s="147"/>
      <c r="R762" s="147"/>
      <c r="S762" s="147"/>
      <c r="T762" s="147"/>
      <c r="U762" s="147"/>
      <c r="V762" s="147"/>
    </row>
    <row r="763" spans="1:22">
      <c r="A763" s="157"/>
      <c r="F763" s="3"/>
      <c r="G763" s="3"/>
      <c r="N763" s="157"/>
      <c r="O763" s="157"/>
      <c r="Q763" s="147"/>
      <c r="R763" s="147"/>
      <c r="S763" s="147"/>
      <c r="T763" s="147"/>
      <c r="U763" s="147"/>
      <c r="V763" s="147"/>
    </row>
    <row r="764" spans="1:22">
      <c r="A764" s="157"/>
      <c r="F764" s="3"/>
      <c r="G764" s="3"/>
      <c r="N764" s="157"/>
      <c r="O764" s="157"/>
      <c r="Q764" s="147"/>
      <c r="R764" s="147"/>
      <c r="S764" s="147"/>
      <c r="T764" s="147"/>
      <c r="U764" s="147"/>
      <c r="V764" s="147"/>
    </row>
    <row r="765" spans="1:22">
      <c r="A765" s="157"/>
      <c r="F765" s="3"/>
      <c r="G765" s="3"/>
      <c r="N765" s="157"/>
      <c r="O765" s="157"/>
      <c r="Q765" s="147"/>
      <c r="R765" s="147"/>
      <c r="S765" s="147"/>
      <c r="T765" s="147"/>
      <c r="U765" s="147"/>
      <c r="V765" s="147"/>
    </row>
    <row r="766" spans="1:22">
      <c r="A766" s="157"/>
      <c r="F766" s="3"/>
      <c r="G766" s="3"/>
      <c r="N766" s="157"/>
      <c r="O766" s="157"/>
      <c r="Q766" s="147"/>
      <c r="R766" s="147"/>
      <c r="S766" s="147"/>
      <c r="T766" s="147"/>
      <c r="U766" s="147"/>
      <c r="V766" s="147"/>
    </row>
    <row r="767" spans="1:22">
      <c r="A767" s="157"/>
      <c r="F767" s="3"/>
      <c r="G767" s="3"/>
      <c r="N767" s="157"/>
      <c r="O767" s="157"/>
      <c r="Q767" s="147"/>
      <c r="R767" s="147"/>
      <c r="S767" s="147"/>
      <c r="T767" s="147"/>
      <c r="U767" s="147"/>
      <c r="V767" s="147"/>
    </row>
    <row r="768" spans="1:22">
      <c r="A768" s="157"/>
      <c r="F768" s="3"/>
      <c r="G768" s="3"/>
      <c r="N768" s="157"/>
      <c r="O768" s="157"/>
      <c r="Q768" s="147"/>
      <c r="R768" s="147"/>
      <c r="S768" s="147"/>
      <c r="T768" s="147"/>
      <c r="U768" s="147"/>
      <c r="V768" s="147"/>
    </row>
    <row r="769" spans="1:22">
      <c r="A769" s="157"/>
      <c r="F769" s="3"/>
      <c r="G769" s="3"/>
      <c r="N769" s="157"/>
      <c r="O769" s="157"/>
      <c r="Q769" s="147"/>
      <c r="R769" s="147"/>
      <c r="S769" s="147"/>
      <c r="T769" s="147"/>
      <c r="U769" s="147"/>
      <c r="V769" s="147"/>
    </row>
    <row r="770" spans="1:22">
      <c r="A770" s="157"/>
      <c r="F770" s="3"/>
      <c r="G770" s="3"/>
      <c r="N770" s="157"/>
      <c r="O770" s="157"/>
      <c r="Q770" s="147"/>
      <c r="R770" s="147"/>
      <c r="S770" s="147"/>
      <c r="T770" s="147"/>
      <c r="U770" s="147"/>
      <c r="V770" s="147"/>
    </row>
    <row r="771" spans="1:22">
      <c r="A771" s="157"/>
      <c r="F771" s="3"/>
      <c r="G771" s="3"/>
      <c r="N771" s="157"/>
      <c r="O771" s="157"/>
      <c r="Q771" s="147"/>
      <c r="R771" s="147"/>
      <c r="S771" s="147"/>
      <c r="T771" s="147"/>
      <c r="U771" s="147"/>
      <c r="V771" s="147"/>
    </row>
    <row r="772" spans="1:22">
      <c r="A772" s="157"/>
      <c r="F772" s="3"/>
      <c r="G772" s="3"/>
      <c r="N772" s="157"/>
      <c r="O772" s="157"/>
      <c r="Q772" s="147"/>
      <c r="R772" s="147"/>
      <c r="S772" s="147"/>
      <c r="T772" s="147"/>
      <c r="U772" s="147"/>
      <c r="V772" s="147"/>
    </row>
    <row r="773" spans="1:22">
      <c r="A773" s="157"/>
      <c r="F773" s="3"/>
      <c r="G773" s="3"/>
      <c r="N773" s="157"/>
      <c r="O773" s="157"/>
      <c r="Q773" s="147"/>
      <c r="R773" s="147"/>
      <c r="S773" s="147"/>
      <c r="T773" s="147"/>
      <c r="U773" s="147"/>
      <c r="V773" s="147"/>
    </row>
    <row r="774" spans="1:22">
      <c r="A774" s="157"/>
      <c r="F774" s="3"/>
      <c r="G774" s="3"/>
      <c r="N774" s="157"/>
      <c r="O774" s="157"/>
      <c r="Q774" s="147"/>
      <c r="R774" s="147"/>
      <c r="S774" s="147"/>
      <c r="T774" s="147"/>
      <c r="U774" s="147"/>
      <c r="V774" s="147"/>
    </row>
    <row r="775" spans="1:22">
      <c r="A775" s="157"/>
      <c r="F775" s="3"/>
      <c r="G775" s="3"/>
      <c r="N775" s="157"/>
      <c r="O775" s="157"/>
      <c r="Q775" s="147"/>
      <c r="R775" s="147"/>
      <c r="S775" s="147"/>
      <c r="T775" s="147"/>
      <c r="U775" s="147"/>
      <c r="V775" s="147"/>
    </row>
    <row r="776" spans="1:22">
      <c r="A776" s="157"/>
      <c r="F776" s="3"/>
      <c r="G776" s="3"/>
      <c r="N776" s="157"/>
      <c r="O776" s="157"/>
      <c r="Q776" s="147"/>
      <c r="R776" s="147"/>
      <c r="S776" s="147"/>
      <c r="T776" s="147"/>
      <c r="U776" s="147"/>
      <c r="V776" s="147"/>
    </row>
    <row r="777" spans="1:22">
      <c r="A777" s="157"/>
      <c r="F777" s="3"/>
      <c r="G777" s="3"/>
      <c r="N777" s="157"/>
      <c r="O777" s="157"/>
      <c r="Q777" s="147"/>
      <c r="R777" s="147"/>
      <c r="S777" s="147"/>
      <c r="T777" s="147"/>
      <c r="U777" s="147"/>
      <c r="V777" s="147"/>
    </row>
    <row r="778" spans="1:22">
      <c r="A778" s="157"/>
      <c r="F778" s="3"/>
      <c r="G778" s="3"/>
      <c r="N778" s="157"/>
      <c r="O778" s="157"/>
      <c r="Q778" s="147"/>
      <c r="R778" s="147"/>
      <c r="S778" s="147"/>
      <c r="T778" s="147"/>
      <c r="U778" s="147"/>
      <c r="V778" s="147"/>
    </row>
    <row r="779" spans="1:22">
      <c r="A779" s="157"/>
      <c r="F779" s="3"/>
      <c r="G779" s="3"/>
      <c r="N779" s="157"/>
      <c r="O779" s="157"/>
      <c r="Q779" s="147"/>
      <c r="R779" s="147"/>
      <c r="S779" s="147"/>
      <c r="T779" s="147"/>
      <c r="U779" s="147"/>
      <c r="V779" s="147"/>
    </row>
    <row r="780" spans="1:22">
      <c r="A780" s="157"/>
      <c r="F780" s="3"/>
      <c r="G780" s="3"/>
      <c r="N780" s="157"/>
      <c r="O780" s="157"/>
      <c r="Q780" s="147"/>
      <c r="R780" s="147"/>
      <c r="S780" s="147"/>
      <c r="T780" s="147"/>
      <c r="U780" s="147"/>
      <c r="V780" s="147"/>
    </row>
    <row r="781" spans="1:22">
      <c r="A781" s="157"/>
      <c r="F781" s="3"/>
      <c r="G781" s="3"/>
      <c r="N781" s="157"/>
      <c r="O781" s="157"/>
      <c r="Q781" s="147"/>
      <c r="R781" s="147"/>
      <c r="S781" s="147"/>
      <c r="T781" s="147"/>
      <c r="U781" s="147"/>
      <c r="V781" s="147"/>
    </row>
    <row r="782" spans="1:22">
      <c r="A782" s="157"/>
      <c r="F782" s="3"/>
      <c r="G782" s="3"/>
      <c r="N782" s="157"/>
      <c r="O782" s="157"/>
      <c r="Q782" s="147"/>
      <c r="R782" s="147"/>
      <c r="S782" s="147"/>
      <c r="T782" s="147"/>
      <c r="U782" s="147"/>
      <c r="V782" s="147"/>
    </row>
    <row r="783" spans="1:22">
      <c r="A783" s="157"/>
      <c r="F783" s="3"/>
      <c r="G783" s="3"/>
      <c r="N783" s="157"/>
      <c r="O783" s="157"/>
      <c r="Q783" s="147"/>
      <c r="R783" s="147"/>
      <c r="S783" s="147"/>
      <c r="T783" s="147"/>
      <c r="U783" s="147"/>
      <c r="V783" s="147"/>
    </row>
    <row r="784" spans="1:22">
      <c r="A784" s="157"/>
      <c r="F784" s="3"/>
      <c r="G784" s="3"/>
      <c r="N784" s="157"/>
      <c r="O784" s="157"/>
      <c r="Q784" s="147"/>
      <c r="R784" s="147"/>
      <c r="S784" s="147"/>
      <c r="T784" s="147"/>
      <c r="U784" s="147"/>
      <c r="V784" s="147"/>
    </row>
    <row r="785" spans="1:22">
      <c r="A785" s="157"/>
      <c r="F785" s="3"/>
      <c r="G785" s="3"/>
      <c r="N785" s="157"/>
      <c r="O785" s="157"/>
      <c r="Q785" s="147"/>
      <c r="R785" s="147"/>
      <c r="S785" s="147"/>
      <c r="T785" s="147"/>
      <c r="U785" s="147"/>
      <c r="V785" s="147"/>
    </row>
    <row r="786" spans="1:22">
      <c r="A786" s="157"/>
      <c r="F786" s="3"/>
      <c r="G786" s="3"/>
      <c r="N786" s="157"/>
      <c r="O786" s="157"/>
      <c r="Q786" s="147"/>
      <c r="R786" s="147"/>
      <c r="S786" s="147"/>
      <c r="T786" s="147"/>
      <c r="U786" s="147"/>
      <c r="V786" s="147"/>
    </row>
    <row r="787" spans="1:22">
      <c r="A787" s="157"/>
      <c r="F787" s="3"/>
      <c r="G787" s="3"/>
      <c r="N787" s="157"/>
      <c r="O787" s="157"/>
      <c r="Q787" s="147"/>
      <c r="R787" s="147"/>
      <c r="S787" s="147"/>
      <c r="T787" s="147"/>
      <c r="U787" s="147"/>
      <c r="V787" s="147"/>
    </row>
    <row r="788" spans="1:22">
      <c r="A788" s="157"/>
      <c r="F788" s="3"/>
      <c r="G788" s="3"/>
      <c r="N788" s="157"/>
      <c r="O788" s="157"/>
      <c r="Q788" s="147"/>
      <c r="R788" s="147"/>
      <c r="S788" s="147"/>
      <c r="T788" s="147"/>
      <c r="U788" s="147"/>
      <c r="V788" s="147"/>
    </row>
    <row r="789" spans="1:22">
      <c r="A789" s="157"/>
      <c r="F789" s="3"/>
      <c r="G789" s="3"/>
      <c r="N789" s="157"/>
      <c r="O789" s="157"/>
      <c r="Q789" s="147"/>
      <c r="R789" s="147"/>
      <c r="S789" s="147"/>
      <c r="T789" s="147"/>
      <c r="U789" s="147"/>
      <c r="V789" s="147"/>
    </row>
    <row r="790" spans="1:22">
      <c r="A790" s="157"/>
      <c r="F790" s="3"/>
      <c r="G790" s="3"/>
      <c r="N790" s="157"/>
      <c r="O790" s="157"/>
      <c r="Q790" s="147"/>
      <c r="R790" s="147"/>
      <c r="S790" s="147"/>
      <c r="T790" s="147"/>
      <c r="U790" s="147"/>
      <c r="V790" s="147"/>
    </row>
    <row r="791" spans="1:22">
      <c r="A791" s="157"/>
      <c r="F791" s="3"/>
      <c r="G791" s="3"/>
      <c r="N791" s="157"/>
      <c r="O791" s="157"/>
      <c r="Q791" s="147"/>
      <c r="R791" s="147"/>
      <c r="S791" s="147"/>
      <c r="T791" s="147"/>
      <c r="U791" s="147"/>
      <c r="V791" s="147"/>
    </row>
    <row r="792" spans="1:22">
      <c r="A792" s="157"/>
      <c r="F792" s="3"/>
      <c r="G792" s="3"/>
      <c r="N792" s="157"/>
      <c r="O792" s="157"/>
      <c r="Q792" s="147"/>
      <c r="R792" s="147"/>
      <c r="S792" s="147"/>
      <c r="T792" s="147"/>
      <c r="U792" s="147"/>
      <c r="V792" s="147"/>
    </row>
    <row r="793" spans="1:22">
      <c r="A793" s="157"/>
      <c r="F793" s="3"/>
      <c r="G793" s="3"/>
      <c r="N793" s="157"/>
      <c r="O793" s="157"/>
      <c r="Q793" s="147"/>
      <c r="R793" s="147"/>
      <c r="S793" s="147"/>
      <c r="T793" s="147"/>
      <c r="U793" s="147"/>
      <c r="V793" s="147"/>
    </row>
    <row r="794" spans="1:22">
      <c r="A794" s="157"/>
      <c r="F794" s="3"/>
      <c r="G794" s="3"/>
      <c r="N794" s="157"/>
      <c r="O794" s="157"/>
      <c r="Q794" s="147"/>
      <c r="R794" s="147"/>
      <c r="S794" s="147"/>
      <c r="T794" s="147"/>
      <c r="U794" s="147"/>
      <c r="V794" s="147"/>
    </row>
    <row r="795" spans="1:22">
      <c r="A795" s="157"/>
      <c r="F795" s="3"/>
      <c r="G795" s="3"/>
      <c r="N795" s="157"/>
      <c r="O795" s="157"/>
      <c r="Q795" s="147"/>
      <c r="R795" s="147"/>
      <c r="S795" s="147"/>
      <c r="T795" s="147"/>
      <c r="U795" s="147"/>
      <c r="V795" s="147"/>
    </row>
    <row r="796" spans="1:22">
      <c r="A796" s="157"/>
      <c r="F796" s="3"/>
      <c r="G796" s="3"/>
      <c r="N796" s="157"/>
      <c r="O796" s="157"/>
      <c r="Q796" s="147"/>
      <c r="R796" s="147"/>
      <c r="S796" s="147"/>
      <c r="T796" s="147"/>
      <c r="U796" s="147"/>
      <c r="V796" s="147"/>
    </row>
    <row r="797" spans="1:22">
      <c r="A797" s="157"/>
      <c r="F797" s="3"/>
      <c r="G797" s="3"/>
      <c r="N797" s="157"/>
      <c r="O797" s="157"/>
      <c r="Q797" s="147"/>
      <c r="R797" s="147"/>
      <c r="S797" s="147"/>
      <c r="T797" s="147"/>
      <c r="U797" s="147"/>
      <c r="V797" s="147"/>
    </row>
    <row r="798" spans="1:22">
      <c r="A798" s="157"/>
      <c r="F798" s="3"/>
      <c r="G798" s="3"/>
      <c r="N798" s="157"/>
      <c r="O798" s="157"/>
      <c r="Q798" s="147"/>
      <c r="R798" s="147"/>
      <c r="S798" s="147"/>
      <c r="T798" s="147"/>
      <c r="U798" s="147"/>
      <c r="V798" s="147"/>
    </row>
    <row r="799" spans="1:22">
      <c r="A799" s="157"/>
      <c r="F799" s="3"/>
      <c r="G799" s="3"/>
      <c r="N799" s="157"/>
      <c r="O799" s="157"/>
      <c r="Q799" s="147"/>
      <c r="R799" s="147"/>
      <c r="S799" s="147"/>
      <c r="T799" s="147"/>
      <c r="U799" s="147"/>
      <c r="V799" s="147"/>
    </row>
    <row r="800" spans="1:22">
      <c r="A800" s="157"/>
      <c r="F800" s="3"/>
      <c r="G800" s="3"/>
      <c r="N800" s="157"/>
      <c r="O800" s="157"/>
      <c r="Q800" s="147"/>
      <c r="R800" s="147"/>
      <c r="S800" s="147"/>
      <c r="T800" s="147"/>
      <c r="U800" s="147"/>
      <c r="V800" s="147"/>
    </row>
    <row r="801" spans="1:22">
      <c r="A801" s="157"/>
      <c r="F801" s="3"/>
      <c r="G801" s="3"/>
      <c r="N801" s="157"/>
      <c r="O801" s="157"/>
      <c r="Q801" s="147"/>
      <c r="R801" s="147"/>
      <c r="S801" s="147"/>
      <c r="T801" s="147"/>
      <c r="U801" s="147"/>
      <c r="V801" s="147"/>
    </row>
    <row r="802" spans="1:22">
      <c r="A802" s="157"/>
      <c r="F802" s="3"/>
      <c r="G802" s="3"/>
      <c r="N802" s="157"/>
      <c r="O802" s="157"/>
      <c r="Q802" s="147"/>
      <c r="R802" s="147"/>
      <c r="S802" s="147"/>
      <c r="T802" s="147"/>
      <c r="U802" s="147"/>
      <c r="V802" s="147"/>
    </row>
    <row r="803" spans="1:22">
      <c r="A803" s="157"/>
      <c r="F803" s="3"/>
      <c r="G803" s="3"/>
      <c r="N803" s="157"/>
      <c r="O803" s="157"/>
      <c r="Q803" s="147"/>
      <c r="R803" s="147"/>
      <c r="S803" s="147"/>
      <c r="T803" s="147"/>
      <c r="U803" s="147"/>
      <c r="V803" s="147"/>
    </row>
    <row r="804" spans="1:22">
      <c r="A804" s="157"/>
      <c r="F804" s="3"/>
      <c r="G804" s="3"/>
      <c r="N804" s="157"/>
      <c r="O804" s="157"/>
      <c r="Q804" s="147"/>
      <c r="R804" s="147"/>
      <c r="S804" s="147"/>
      <c r="T804" s="147"/>
      <c r="U804" s="147"/>
      <c r="V804" s="147"/>
    </row>
    <row r="805" spans="1:22">
      <c r="A805" s="157"/>
      <c r="F805" s="3"/>
      <c r="G805" s="3"/>
      <c r="N805" s="157"/>
      <c r="O805" s="157"/>
      <c r="Q805" s="147"/>
      <c r="R805" s="147"/>
      <c r="S805" s="147"/>
      <c r="T805" s="147"/>
      <c r="U805" s="147"/>
      <c r="V805" s="147"/>
    </row>
    <row r="806" spans="1:22">
      <c r="A806" s="157"/>
      <c r="F806" s="3"/>
      <c r="G806" s="3"/>
      <c r="N806" s="157"/>
      <c r="O806" s="157"/>
      <c r="Q806" s="147"/>
      <c r="R806" s="147"/>
      <c r="S806" s="147"/>
      <c r="T806" s="147"/>
      <c r="U806" s="147"/>
      <c r="V806" s="147"/>
    </row>
    <row r="807" spans="1:22">
      <c r="A807" s="157"/>
      <c r="F807" s="3"/>
      <c r="G807" s="3"/>
      <c r="N807" s="157"/>
      <c r="O807" s="157"/>
      <c r="Q807" s="147"/>
      <c r="R807" s="147"/>
      <c r="S807" s="147"/>
      <c r="T807" s="147"/>
      <c r="U807" s="147"/>
      <c r="V807" s="147"/>
    </row>
    <row r="808" spans="1:22">
      <c r="A808" s="157"/>
      <c r="F808" s="3"/>
      <c r="G808" s="3"/>
      <c r="N808" s="157"/>
      <c r="O808" s="157"/>
      <c r="Q808" s="147"/>
      <c r="R808" s="147"/>
      <c r="S808" s="147"/>
      <c r="T808" s="147"/>
      <c r="U808" s="147"/>
      <c r="V808" s="147"/>
    </row>
    <row r="809" spans="1:22">
      <c r="A809" s="157"/>
      <c r="F809" s="3"/>
      <c r="G809" s="3"/>
      <c r="N809" s="157"/>
      <c r="O809" s="157"/>
      <c r="Q809" s="147"/>
      <c r="R809" s="147"/>
      <c r="S809" s="147"/>
      <c r="T809" s="147"/>
      <c r="U809" s="147"/>
      <c r="V809" s="147"/>
    </row>
    <row r="810" spans="1:22">
      <c r="A810" s="157"/>
      <c r="F810" s="3"/>
      <c r="G810" s="3"/>
      <c r="N810" s="157"/>
      <c r="O810" s="157"/>
      <c r="Q810" s="147"/>
      <c r="R810" s="147"/>
      <c r="S810" s="147"/>
      <c r="T810" s="147"/>
      <c r="U810" s="147"/>
      <c r="V810" s="147"/>
    </row>
    <row r="811" spans="1:22">
      <c r="A811" s="157"/>
      <c r="F811" s="3"/>
      <c r="G811" s="3"/>
      <c r="N811" s="157"/>
      <c r="O811" s="157"/>
      <c r="Q811" s="147"/>
      <c r="R811" s="147"/>
      <c r="S811" s="147"/>
      <c r="T811" s="147"/>
      <c r="U811" s="147"/>
      <c r="V811" s="147"/>
    </row>
    <row r="812" spans="1:22">
      <c r="A812" s="157"/>
      <c r="F812" s="3"/>
      <c r="G812" s="3"/>
      <c r="N812" s="157"/>
      <c r="O812" s="157"/>
      <c r="Q812" s="147"/>
      <c r="R812" s="147"/>
      <c r="S812" s="147"/>
      <c r="T812" s="147"/>
      <c r="U812" s="147"/>
      <c r="V812" s="147"/>
    </row>
    <row r="813" spans="1:22">
      <c r="A813" s="157"/>
      <c r="F813" s="3"/>
      <c r="G813" s="3"/>
      <c r="N813" s="157"/>
      <c r="O813" s="157"/>
      <c r="Q813" s="147"/>
      <c r="R813" s="147"/>
      <c r="S813" s="147"/>
      <c r="T813" s="147"/>
      <c r="U813" s="147"/>
      <c r="V813" s="147"/>
    </row>
    <row r="814" spans="1:22">
      <c r="A814" s="157"/>
      <c r="F814" s="3"/>
      <c r="G814" s="3"/>
      <c r="N814" s="157"/>
      <c r="O814" s="157"/>
      <c r="Q814" s="147"/>
      <c r="R814" s="147"/>
      <c r="S814" s="147"/>
      <c r="T814" s="147"/>
      <c r="U814" s="147"/>
      <c r="V814" s="147"/>
    </row>
    <row r="815" spans="1:22">
      <c r="A815" s="157"/>
      <c r="F815" s="3"/>
      <c r="G815" s="3"/>
      <c r="N815" s="157"/>
      <c r="O815" s="157"/>
      <c r="Q815" s="147"/>
      <c r="R815" s="147"/>
      <c r="S815" s="147"/>
      <c r="T815" s="147"/>
      <c r="U815" s="147"/>
      <c r="V815" s="147"/>
    </row>
    <row r="816" spans="1:22">
      <c r="A816" s="157"/>
      <c r="F816" s="3"/>
      <c r="G816" s="3"/>
      <c r="N816" s="157"/>
      <c r="O816" s="157"/>
      <c r="Q816" s="147"/>
      <c r="R816" s="147"/>
      <c r="S816" s="147"/>
      <c r="T816" s="147"/>
      <c r="U816" s="147"/>
      <c r="V816" s="147"/>
    </row>
    <row r="817" spans="1:22">
      <c r="A817" s="157"/>
      <c r="F817" s="3"/>
      <c r="G817" s="3"/>
      <c r="N817" s="157"/>
      <c r="O817" s="157"/>
      <c r="Q817" s="147"/>
      <c r="R817" s="147"/>
      <c r="S817" s="147"/>
      <c r="T817" s="147"/>
      <c r="U817" s="147"/>
      <c r="V817" s="147"/>
    </row>
    <row r="818" spans="1:22">
      <c r="A818" s="157"/>
      <c r="F818" s="3"/>
      <c r="G818" s="3"/>
      <c r="N818" s="157"/>
      <c r="O818" s="157"/>
      <c r="Q818" s="147"/>
      <c r="R818" s="147"/>
      <c r="S818" s="147"/>
      <c r="T818" s="147"/>
      <c r="U818" s="147"/>
      <c r="V818" s="147"/>
    </row>
    <row r="819" spans="1:22">
      <c r="A819" s="157"/>
      <c r="F819" s="3"/>
      <c r="G819" s="3"/>
      <c r="N819" s="157"/>
      <c r="O819" s="157"/>
      <c r="Q819" s="147"/>
      <c r="R819" s="147"/>
      <c r="S819" s="147"/>
      <c r="T819" s="147"/>
      <c r="U819" s="147"/>
      <c r="V819" s="147"/>
    </row>
    <row r="820" spans="1:22">
      <c r="A820" s="157"/>
      <c r="F820" s="3"/>
      <c r="G820" s="3"/>
      <c r="N820" s="157"/>
      <c r="O820" s="157"/>
      <c r="Q820" s="147"/>
      <c r="R820" s="147"/>
      <c r="S820" s="147"/>
      <c r="T820" s="147"/>
      <c r="U820" s="147"/>
      <c r="V820" s="147"/>
    </row>
    <row r="821" spans="1:22">
      <c r="A821" s="157"/>
      <c r="F821" s="3"/>
      <c r="G821" s="3"/>
      <c r="N821" s="157"/>
      <c r="O821" s="157"/>
      <c r="Q821" s="147"/>
      <c r="R821" s="147"/>
      <c r="S821" s="147"/>
      <c r="T821" s="147"/>
      <c r="U821" s="147"/>
      <c r="V821" s="147"/>
    </row>
    <row r="822" spans="1:22">
      <c r="A822" s="157"/>
      <c r="F822" s="3"/>
      <c r="G822" s="3"/>
      <c r="N822" s="157"/>
      <c r="O822" s="157"/>
      <c r="Q822" s="147"/>
      <c r="R822" s="147"/>
      <c r="S822" s="147"/>
      <c r="T822" s="147"/>
      <c r="U822" s="147"/>
      <c r="V822" s="147"/>
    </row>
    <row r="823" spans="1:22">
      <c r="A823" s="157"/>
      <c r="F823" s="3"/>
      <c r="G823" s="3"/>
      <c r="N823" s="157"/>
      <c r="O823" s="157"/>
      <c r="Q823" s="147"/>
      <c r="R823" s="147"/>
      <c r="S823" s="147"/>
      <c r="T823" s="147"/>
      <c r="U823" s="147"/>
      <c r="V823" s="147"/>
    </row>
    <row r="824" spans="1:22">
      <c r="A824" s="157"/>
      <c r="F824" s="3"/>
      <c r="G824" s="3"/>
      <c r="N824" s="157"/>
      <c r="O824" s="157"/>
      <c r="Q824" s="147"/>
      <c r="R824" s="147"/>
      <c r="S824" s="147"/>
      <c r="T824" s="147"/>
      <c r="U824" s="147"/>
      <c r="V824" s="147"/>
    </row>
    <row r="825" spans="1:22">
      <c r="A825" s="157"/>
      <c r="F825" s="3"/>
      <c r="G825" s="3"/>
      <c r="N825" s="157"/>
      <c r="O825" s="157"/>
      <c r="Q825" s="147"/>
      <c r="R825" s="147"/>
      <c r="S825" s="147"/>
      <c r="T825" s="147"/>
      <c r="U825" s="147"/>
      <c r="V825" s="147"/>
    </row>
    <row r="826" spans="1:22">
      <c r="A826" s="157"/>
      <c r="F826" s="3"/>
      <c r="G826" s="3"/>
      <c r="N826" s="157"/>
      <c r="O826" s="157"/>
      <c r="Q826" s="147"/>
      <c r="R826" s="147"/>
      <c r="S826" s="147"/>
      <c r="T826" s="147"/>
      <c r="U826" s="147"/>
      <c r="V826" s="147"/>
    </row>
    <row r="827" spans="1:22">
      <c r="A827" s="157"/>
      <c r="F827" s="3"/>
      <c r="G827" s="3"/>
      <c r="N827" s="157"/>
      <c r="O827" s="157"/>
      <c r="Q827" s="147"/>
      <c r="R827" s="147"/>
      <c r="S827" s="147"/>
      <c r="T827" s="147"/>
      <c r="U827" s="147"/>
      <c r="V827" s="147"/>
    </row>
    <row r="828" spans="1:22">
      <c r="A828" s="157"/>
      <c r="F828" s="3"/>
      <c r="G828" s="3"/>
      <c r="N828" s="157"/>
      <c r="O828" s="157"/>
      <c r="Q828" s="147"/>
      <c r="R828" s="147"/>
      <c r="S828" s="147"/>
      <c r="T828" s="147"/>
      <c r="U828" s="147"/>
      <c r="V828" s="147"/>
    </row>
    <row r="829" spans="1:22">
      <c r="A829" s="157"/>
      <c r="F829" s="3"/>
      <c r="G829" s="3"/>
      <c r="N829" s="157"/>
      <c r="O829" s="157"/>
      <c r="Q829" s="147"/>
      <c r="R829" s="147"/>
      <c r="S829" s="147"/>
      <c r="T829" s="147"/>
      <c r="U829" s="147"/>
      <c r="V829" s="147"/>
    </row>
    <row r="830" spans="1:22">
      <c r="A830" s="157"/>
      <c r="F830" s="3"/>
      <c r="G830" s="3"/>
      <c r="N830" s="157"/>
      <c r="O830" s="157"/>
      <c r="Q830" s="147"/>
      <c r="R830" s="147"/>
      <c r="S830" s="147"/>
      <c r="T830" s="147"/>
      <c r="U830" s="147"/>
      <c r="V830" s="147"/>
    </row>
    <row r="831" spans="1:22">
      <c r="A831" s="157"/>
      <c r="F831" s="3"/>
      <c r="G831" s="3"/>
      <c r="N831" s="157"/>
      <c r="O831" s="157"/>
      <c r="Q831" s="147"/>
      <c r="R831" s="147"/>
      <c r="S831" s="147"/>
      <c r="T831" s="147"/>
      <c r="U831" s="147"/>
      <c r="V831" s="147"/>
    </row>
    <row r="832" spans="1:22">
      <c r="A832" s="157"/>
      <c r="F832" s="3"/>
      <c r="G832" s="3"/>
      <c r="N832" s="157"/>
      <c r="O832" s="157"/>
      <c r="Q832" s="147"/>
      <c r="R832" s="147"/>
      <c r="S832" s="147"/>
      <c r="T832" s="147"/>
      <c r="U832" s="147"/>
      <c r="V832" s="147"/>
    </row>
    <row r="833" spans="1:22">
      <c r="A833" s="157"/>
      <c r="F833" s="3"/>
      <c r="G833" s="3"/>
      <c r="N833" s="157"/>
      <c r="O833" s="157"/>
      <c r="Q833" s="147"/>
      <c r="R833" s="147"/>
      <c r="S833" s="147"/>
      <c r="T833" s="147"/>
      <c r="U833" s="147"/>
      <c r="V833" s="147"/>
    </row>
    <row r="834" spans="1:22">
      <c r="A834" s="157"/>
      <c r="F834" s="3"/>
      <c r="G834" s="3"/>
      <c r="N834" s="157"/>
      <c r="O834" s="157"/>
      <c r="Q834" s="147"/>
      <c r="R834" s="147"/>
      <c r="S834" s="147"/>
      <c r="T834" s="147"/>
      <c r="U834" s="147"/>
      <c r="V834" s="147"/>
    </row>
    <row r="835" spans="1:22">
      <c r="A835" s="157"/>
      <c r="F835" s="3"/>
      <c r="G835" s="3"/>
      <c r="N835" s="157"/>
      <c r="O835" s="157"/>
      <c r="Q835" s="147"/>
      <c r="R835" s="147"/>
      <c r="S835" s="147"/>
      <c r="T835" s="147"/>
      <c r="U835" s="147"/>
      <c r="V835" s="147"/>
    </row>
    <row r="836" spans="1:22">
      <c r="A836" s="157"/>
      <c r="F836" s="3"/>
      <c r="G836" s="3"/>
      <c r="N836" s="157"/>
      <c r="O836" s="157"/>
      <c r="Q836" s="147"/>
      <c r="R836" s="147"/>
      <c r="S836" s="147"/>
      <c r="T836" s="147"/>
      <c r="U836" s="147"/>
      <c r="V836" s="147"/>
    </row>
    <row r="837" spans="1:22">
      <c r="A837" s="157"/>
      <c r="F837" s="3"/>
      <c r="G837" s="3"/>
      <c r="N837" s="157"/>
      <c r="O837" s="157"/>
      <c r="Q837" s="147"/>
      <c r="R837" s="147"/>
      <c r="S837" s="147"/>
      <c r="T837" s="147"/>
      <c r="U837" s="147"/>
      <c r="V837" s="147"/>
    </row>
    <row r="838" spans="1:22">
      <c r="A838" s="157"/>
      <c r="F838" s="3"/>
      <c r="G838" s="3"/>
      <c r="N838" s="157"/>
      <c r="O838" s="157"/>
      <c r="Q838" s="147"/>
      <c r="R838" s="147"/>
      <c r="S838" s="147"/>
      <c r="T838" s="147"/>
      <c r="U838" s="147"/>
      <c r="V838" s="147"/>
    </row>
    <row r="839" spans="1:22">
      <c r="A839" s="157"/>
      <c r="F839" s="3"/>
      <c r="G839" s="3"/>
      <c r="N839" s="157"/>
      <c r="O839" s="157"/>
      <c r="Q839" s="147"/>
      <c r="R839" s="147"/>
      <c r="S839" s="147"/>
      <c r="T839" s="147"/>
      <c r="U839" s="147"/>
      <c r="V839" s="147"/>
    </row>
    <row r="840" spans="1:22">
      <c r="A840" s="157"/>
      <c r="F840" s="3"/>
      <c r="G840" s="3"/>
      <c r="N840" s="157"/>
      <c r="O840" s="157"/>
      <c r="Q840" s="147"/>
      <c r="R840" s="147"/>
      <c r="S840" s="147"/>
      <c r="T840" s="147"/>
      <c r="U840" s="147"/>
      <c r="V840" s="147"/>
    </row>
    <row r="841" spans="1:22">
      <c r="A841" s="157"/>
      <c r="F841" s="3"/>
      <c r="G841" s="3"/>
      <c r="N841" s="157"/>
      <c r="O841" s="157"/>
      <c r="Q841" s="147"/>
      <c r="R841" s="147"/>
      <c r="S841" s="147"/>
      <c r="T841" s="147"/>
      <c r="U841" s="147"/>
      <c r="V841" s="147"/>
    </row>
    <row r="842" spans="1:22">
      <c r="A842" s="157"/>
      <c r="F842" s="3"/>
      <c r="G842" s="3"/>
      <c r="N842" s="157"/>
      <c r="O842" s="157"/>
      <c r="Q842" s="147"/>
      <c r="R842" s="147"/>
      <c r="S842" s="147"/>
      <c r="T842" s="147"/>
      <c r="U842" s="147"/>
      <c r="V842" s="147"/>
    </row>
    <row r="843" spans="1:22">
      <c r="A843" s="157"/>
      <c r="F843" s="3"/>
      <c r="G843" s="3"/>
      <c r="N843" s="157"/>
      <c r="O843" s="157"/>
      <c r="Q843" s="147"/>
      <c r="R843" s="147"/>
      <c r="S843" s="147"/>
      <c r="T843" s="147"/>
      <c r="U843" s="147"/>
      <c r="V843" s="147"/>
    </row>
    <row r="844" spans="1:22">
      <c r="A844" s="157"/>
      <c r="F844" s="3"/>
      <c r="G844" s="3"/>
      <c r="N844" s="157"/>
      <c r="O844" s="157"/>
      <c r="Q844" s="147"/>
      <c r="R844" s="147"/>
      <c r="S844" s="147"/>
      <c r="T844" s="147"/>
      <c r="U844" s="147"/>
      <c r="V844" s="147"/>
    </row>
    <row r="845" spans="1:22">
      <c r="A845" s="157"/>
      <c r="F845" s="3"/>
      <c r="G845" s="3"/>
      <c r="N845" s="157"/>
      <c r="O845" s="157"/>
      <c r="Q845" s="147"/>
      <c r="R845" s="147"/>
      <c r="S845" s="147"/>
      <c r="T845" s="147"/>
      <c r="U845" s="147"/>
      <c r="V845" s="147"/>
    </row>
    <row r="846" spans="1:22">
      <c r="A846" s="157"/>
      <c r="F846" s="3"/>
      <c r="G846" s="3"/>
      <c r="N846" s="157"/>
      <c r="O846" s="157"/>
      <c r="Q846" s="147"/>
      <c r="R846" s="147"/>
      <c r="S846" s="147"/>
      <c r="T846" s="147"/>
      <c r="U846" s="147"/>
      <c r="V846" s="147"/>
    </row>
    <row r="847" spans="1:22">
      <c r="A847" s="157"/>
      <c r="F847" s="3"/>
      <c r="G847" s="3"/>
      <c r="N847" s="157"/>
      <c r="O847" s="157"/>
      <c r="Q847" s="147"/>
      <c r="R847" s="147"/>
      <c r="S847" s="147"/>
      <c r="T847" s="147"/>
      <c r="U847" s="147"/>
      <c r="V847" s="147"/>
    </row>
    <row r="848" spans="1:22">
      <c r="A848" s="157"/>
      <c r="F848" s="3"/>
      <c r="G848" s="3"/>
      <c r="N848" s="157"/>
      <c r="O848" s="157"/>
      <c r="Q848" s="147"/>
      <c r="R848" s="147"/>
      <c r="S848" s="147"/>
      <c r="T848" s="147"/>
      <c r="U848" s="147"/>
      <c r="V848" s="147"/>
    </row>
    <row r="849" spans="1:22">
      <c r="A849" s="157"/>
      <c r="F849" s="3"/>
      <c r="G849" s="3"/>
      <c r="N849" s="157"/>
      <c r="O849" s="157"/>
      <c r="Q849" s="147"/>
      <c r="R849" s="147"/>
      <c r="S849" s="147"/>
      <c r="T849" s="147"/>
      <c r="U849" s="147"/>
      <c r="V849" s="147"/>
    </row>
    <row r="850" spans="1:22">
      <c r="A850" s="157"/>
      <c r="F850" s="3"/>
      <c r="G850" s="3"/>
      <c r="N850" s="157"/>
      <c r="O850" s="157"/>
      <c r="Q850" s="147"/>
      <c r="R850" s="147"/>
      <c r="S850" s="147"/>
      <c r="T850" s="147"/>
      <c r="U850" s="147"/>
      <c r="V850" s="147"/>
    </row>
    <row r="851" spans="1:22">
      <c r="A851" s="157"/>
      <c r="F851" s="3"/>
      <c r="G851" s="3"/>
      <c r="N851" s="157"/>
      <c r="O851" s="157"/>
      <c r="Q851" s="147"/>
      <c r="R851" s="147"/>
      <c r="S851" s="147"/>
      <c r="T851" s="147"/>
      <c r="U851" s="147"/>
      <c r="V851" s="147"/>
    </row>
    <row r="852" spans="1:22">
      <c r="A852" s="157"/>
      <c r="F852" s="3"/>
      <c r="G852" s="3"/>
      <c r="N852" s="157"/>
      <c r="O852" s="157"/>
      <c r="Q852" s="147"/>
      <c r="R852" s="147"/>
      <c r="S852" s="147"/>
      <c r="T852" s="147"/>
      <c r="U852" s="147"/>
      <c r="V852" s="147"/>
    </row>
    <row r="853" spans="1:22">
      <c r="A853" s="157"/>
      <c r="F853" s="3"/>
      <c r="G853" s="3"/>
      <c r="N853" s="157"/>
      <c r="O853" s="157"/>
      <c r="Q853" s="147"/>
      <c r="R853" s="147"/>
      <c r="S853" s="147"/>
      <c r="T853" s="147"/>
      <c r="U853" s="147"/>
      <c r="V853" s="147"/>
    </row>
    <row r="854" spans="1:22">
      <c r="A854" s="157"/>
      <c r="F854" s="3"/>
      <c r="G854" s="3"/>
      <c r="N854" s="157"/>
      <c r="O854" s="157"/>
      <c r="Q854" s="147"/>
      <c r="R854" s="147"/>
      <c r="S854" s="147"/>
      <c r="T854" s="147"/>
      <c r="U854" s="147"/>
      <c r="V854" s="147"/>
    </row>
    <row r="855" spans="1:22">
      <c r="A855" s="157"/>
      <c r="F855" s="3"/>
      <c r="G855" s="3"/>
      <c r="N855" s="157"/>
      <c r="O855" s="157"/>
      <c r="Q855" s="147"/>
      <c r="R855" s="147"/>
      <c r="S855" s="147"/>
      <c r="T855" s="147"/>
      <c r="U855" s="147"/>
      <c r="V855" s="147"/>
    </row>
    <row r="856" spans="1:22">
      <c r="A856" s="157"/>
      <c r="F856" s="3"/>
      <c r="G856" s="3"/>
      <c r="N856" s="157"/>
      <c r="O856" s="157"/>
      <c r="Q856" s="147"/>
      <c r="R856" s="147"/>
      <c r="S856" s="147"/>
      <c r="T856" s="147"/>
      <c r="U856" s="147"/>
      <c r="V856" s="147"/>
    </row>
    <row r="857" spans="1:22">
      <c r="A857" s="157"/>
      <c r="F857" s="3"/>
      <c r="G857" s="3"/>
      <c r="N857" s="157"/>
      <c r="O857" s="157"/>
      <c r="Q857" s="147"/>
      <c r="R857" s="147"/>
      <c r="S857" s="147"/>
      <c r="T857" s="147"/>
      <c r="U857" s="147"/>
      <c r="V857" s="147"/>
    </row>
    <row r="858" spans="1:22">
      <c r="A858" s="157"/>
      <c r="F858" s="3"/>
      <c r="G858" s="3"/>
      <c r="N858" s="157"/>
      <c r="O858" s="157"/>
      <c r="Q858" s="147"/>
      <c r="R858" s="147"/>
      <c r="S858" s="147"/>
      <c r="T858" s="147"/>
      <c r="U858" s="147"/>
      <c r="V858" s="147"/>
    </row>
    <row r="859" spans="1:22">
      <c r="A859" s="157"/>
      <c r="F859" s="3"/>
      <c r="G859" s="3"/>
      <c r="N859" s="157"/>
      <c r="O859" s="157"/>
      <c r="Q859" s="147"/>
      <c r="R859" s="147"/>
      <c r="S859" s="147"/>
      <c r="T859" s="147"/>
      <c r="U859" s="147"/>
      <c r="V859" s="147"/>
    </row>
    <row r="860" spans="1:22">
      <c r="A860" s="157"/>
      <c r="F860" s="3"/>
      <c r="G860" s="3"/>
      <c r="N860" s="157"/>
      <c r="O860" s="157"/>
      <c r="Q860" s="147"/>
      <c r="R860" s="147"/>
      <c r="S860" s="147"/>
      <c r="T860" s="147"/>
      <c r="U860" s="147"/>
      <c r="V860" s="147"/>
    </row>
    <row r="861" spans="1:22">
      <c r="A861" s="157"/>
      <c r="F861" s="3"/>
      <c r="G861" s="3"/>
      <c r="N861" s="157"/>
      <c r="O861" s="157"/>
      <c r="Q861" s="147"/>
      <c r="R861" s="147"/>
      <c r="S861" s="147"/>
      <c r="T861" s="147"/>
      <c r="U861" s="147"/>
      <c r="V861" s="147"/>
    </row>
    <row r="862" spans="1:22">
      <c r="A862" s="157"/>
      <c r="F862" s="3"/>
      <c r="G862" s="3"/>
      <c r="N862" s="157"/>
      <c r="O862" s="157"/>
      <c r="Q862" s="147"/>
      <c r="R862" s="147"/>
      <c r="S862" s="147"/>
      <c r="T862" s="147"/>
      <c r="U862" s="147"/>
      <c r="V862" s="147"/>
    </row>
    <row r="863" spans="1:22">
      <c r="A863" s="157"/>
      <c r="F863" s="3"/>
      <c r="G863" s="3"/>
      <c r="N863" s="157"/>
      <c r="O863" s="157"/>
      <c r="Q863" s="147"/>
      <c r="R863" s="147"/>
      <c r="S863" s="147"/>
      <c r="T863" s="147"/>
      <c r="U863" s="147"/>
      <c r="V863" s="147"/>
    </row>
    <row r="864" spans="1:22">
      <c r="A864" s="157"/>
      <c r="F864" s="3"/>
      <c r="G864" s="3"/>
      <c r="N864" s="157"/>
      <c r="O864" s="157"/>
      <c r="Q864" s="147"/>
      <c r="R864" s="147"/>
      <c r="S864" s="147"/>
      <c r="T864" s="147"/>
      <c r="U864" s="147"/>
      <c r="V864" s="147"/>
    </row>
    <row r="865" spans="1:22">
      <c r="A865" s="157"/>
      <c r="F865" s="3"/>
      <c r="G865" s="3"/>
      <c r="N865" s="157"/>
      <c r="O865" s="157"/>
      <c r="Q865" s="147"/>
      <c r="R865" s="147"/>
      <c r="S865" s="147"/>
      <c r="T865" s="147"/>
      <c r="U865" s="147"/>
      <c r="V865" s="147"/>
    </row>
    <row r="866" spans="1:22">
      <c r="A866" s="157"/>
      <c r="F866" s="3"/>
      <c r="G866" s="3"/>
      <c r="N866" s="157"/>
      <c r="O866" s="157"/>
      <c r="Q866" s="147"/>
      <c r="R866" s="147"/>
      <c r="S866" s="147"/>
      <c r="T866" s="147"/>
      <c r="U866" s="147"/>
      <c r="V866" s="147"/>
    </row>
    <row r="867" spans="1:22">
      <c r="A867" s="157"/>
      <c r="F867" s="3"/>
      <c r="G867" s="3"/>
      <c r="N867" s="157"/>
      <c r="O867" s="157"/>
      <c r="Q867" s="147"/>
      <c r="R867" s="147"/>
      <c r="S867" s="147"/>
      <c r="T867" s="147"/>
      <c r="U867" s="147"/>
      <c r="V867" s="147"/>
    </row>
    <row r="868" spans="1:22">
      <c r="A868" s="157"/>
      <c r="F868" s="3"/>
      <c r="G868" s="3"/>
      <c r="N868" s="157"/>
      <c r="O868" s="157"/>
      <c r="Q868" s="147"/>
      <c r="R868" s="147"/>
      <c r="S868" s="147"/>
      <c r="T868" s="147"/>
      <c r="U868" s="147"/>
      <c r="V868" s="147"/>
    </row>
    <row r="869" spans="1:22">
      <c r="A869" s="157"/>
      <c r="F869" s="3"/>
      <c r="G869" s="3"/>
      <c r="N869" s="157"/>
      <c r="O869" s="157"/>
      <c r="Q869" s="147"/>
      <c r="R869" s="147"/>
      <c r="S869" s="147"/>
      <c r="T869" s="147"/>
      <c r="U869" s="147"/>
      <c r="V869" s="147"/>
    </row>
    <row r="870" spans="1:22">
      <c r="A870" s="157"/>
      <c r="F870" s="3"/>
      <c r="G870" s="3"/>
      <c r="N870" s="157"/>
      <c r="O870" s="157"/>
      <c r="Q870" s="147"/>
      <c r="R870" s="147"/>
      <c r="S870" s="147"/>
      <c r="T870" s="147"/>
      <c r="U870" s="147"/>
      <c r="V870" s="147"/>
    </row>
    <row r="871" spans="1:22">
      <c r="A871" s="157"/>
      <c r="F871" s="3"/>
      <c r="G871" s="3"/>
      <c r="N871" s="157"/>
      <c r="O871" s="157"/>
      <c r="Q871" s="147"/>
      <c r="R871" s="147"/>
      <c r="S871" s="147"/>
      <c r="T871" s="147"/>
      <c r="U871" s="147"/>
      <c r="V871" s="147"/>
    </row>
    <row r="872" spans="1:22">
      <c r="A872" s="157"/>
      <c r="F872" s="3"/>
      <c r="G872" s="3"/>
      <c r="N872" s="157"/>
      <c r="O872" s="157"/>
      <c r="Q872" s="147"/>
      <c r="R872" s="147"/>
      <c r="S872" s="147"/>
      <c r="T872" s="147"/>
      <c r="U872" s="147"/>
      <c r="V872" s="147"/>
    </row>
    <row r="873" spans="1:22">
      <c r="A873" s="157"/>
      <c r="F873" s="3"/>
      <c r="G873" s="3"/>
      <c r="N873" s="157"/>
      <c r="O873" s="157"/>
      <c r="Q873" s="147"/>
      <c r="R873" s="147"/>
      <c r="S873" s="147"/>
      <c r="T873" s="147"/>
      <c r="U873" s="147"/>
      <c r="V873" s="147"/>
    </row>
    <row r="874" spans="1:22">
      <c r="A874" s="157"/>
      <c r="F874" s="3"/>
      <c r="G874" s="3"/>
      <c r="N874" s="157"/>
      <c r="O874" s="157"/>
      <c r="Q874" s="147"/>
      <c r="R874" s="147"/>
      <c r="S874" s="147"/>
      <c r="T874" s="147"/>
      <c r="U874" s="147"/>
      <c r="V874" s="147"/>
    </row>
    <row r="875" spans="1:22">
      <c r="A875" s="157"/>
      <c r="F875" s="3"/>
      <c r="G875" s="3"/>
      <c r="N875" s="157"/>
      <c r="O875" s="157"/>
      <c r="Q875" s="147"/>
      <c r="R875" s="147"/>
      <c r="S875" s="147"/>
      <c r="T875" s="147"/>
      <c r="U875" s="147"/>
      <c r="V875" s="147"/>
    </row>
    <row r="876" spans="1:22">
      <c r="A876" s="157"/>
      <c r="F876" s="3"/>
      <c r="G876" s="3"/>
      <c r="N876" s="157"/>
      <c r="O876" s="157"/>
      <c r="Q876" s="147"/>
      <c r="R876" s="147"/>
      <c r="S876" s="147"/>
      <c r="T876" s="147"/>
      <c r="U876" s="147"/>
      <c r="V876" s="147"/>
    </row>
    <row r="877" spans="1:22">
      <c r="A877" s="157"/>
      <c r="F877" s="3"/>
      <c r="G877" s="3"/>
      <c r="N877" s="157"/>
      <c r="O877" s="157"/>
      <c r="Q877" s="147"/>
      <c r="R877" s="147"/>
      <c r="S877" s="147"/>
      <c r="T877" s="147"/>
      <c r="U877" s="147"/>
      <c r="V877" s="147"/>
    </row>
    <row r="878" spans="1:22">
      <c r="A878" s="157"/>
      <c r="F878" s="3"/>
      <c r="G878" s="3"/>
      <c r="N878" s="157"/>
      <c r="O878" s="157"/>
      <c r="Q878" s="147"/>
      <c r="R878" s="147"/>
      <c r="S878" s="147"/>
      <c r="T878" s="147"/>
      <c r="U878" s="147"/>
      <c r="V878" s="147"/>
    </row>
    <row r="879" spans="1:22">
      <c r="A879" s="157"/>
      <c r="F879" s="3"/>
      <c r="G879" s="3"/>
      <c r="N879" s="157"/>
      <c r="O879" s="157"/>
      <c r="Q879" s="147"/>
      <c r="R879" s="147"/>
      <c r="S879" s="147"/>
      <c r="T879" s="147"/>
      <c r="U879" s="147"/>
      <c r="V879" s="147"/>
    </row>
    <row r="880" spans="1:22">
      <c r="A880" s="157"/>
      <c r="F880" s="3"/>
      <c r="G880" s="3"/>
      <c r="N880" s="157"/>
      <c r="O880" s="157"/>
      <c r="Q880" s="147"/>
      <c r="R880" s="147"/>
      <c r="S880" s="147"/>
      <c r="T880" s="147"/>
      <c r="U880" s="147"/>
      <c r="V880" s="147"/>
    </row>
    <row r="881" spans="1:22">
      <c r="A881" s="157"/>
      <c r="F881" s="3"/>
      <c r="G881" s="3"/>
      <c r="N881" s="157"/>
      <c r="O881" s="157"/>
      <c r="Q881" s="147"/>
      <c r="R881" s="147"/>
      <c r="S881" s="147"/>
      <c r="T881" s="147"/>
      <c r="U881" s="147"/>
      <c r="V881" s="147"/>
    </row>
    <row r="882" spans="1:22">
      <c r="A882" s="157"/>
      <c r="F882" s="3"/>
      <c r="G882" s="3"/>
      <c r="N882" s="157"/>
      <c r="O882" s="157"/>
      <c r="Q882" s="147"/>
      <c r="R882" s="147"/>
      <c r="S882" s="147"/>
      <c r="T882" s="147"/>
      <c r="U882" s="147"/>
      <c r="V882" s="147"/>
    </row>
    <row r="883" spans="1:22">
      <c r="A883" s="157"/>
      <c r="F883" s="3"/>
      <c r="G883" s="3"/>
      <c r="N883" s="157"/>
      <c r="O883" s="157"/>
      <c r="Q883" s="147"/>
      <c r="R883" s="147"/>
      <c r="S883" s="147"/>
      <c r="T883" s="147"/>
      <c r="U883" s="147"/>
      <c r="V883" s="147"/>
    </row>
    <row r="884" spans="1:22">
      <c r="A884" s="157"/>
      <c r="F884" s="3"/>
      <c r="G884" s="3"/>
      <c r="N884" s="157"/>
      <c r="O884" s="157"/>
      <c r="Q884" s="147"/>
      <c r="R884" s="147"/>
      <c r="S884" s="147"/>
      <c r="T884" s="147"/>
      <c r="U884" s="147"/>
      <c r="V884" s="147"/>
    </row>
    <row r="885" spans="1:22">
      <c r="A885" s="157"/>
      <c r="F885" s="3"/>
      <c r="G885" s="3"/>
      <c r="N885" s="157"/>
      <c r="O885" s="157"/>
      <c r="Q885" s="147"/>
      <c r="R885" s="147"/>
      <c r="S885" s="147"/>
      <c r="T885" s="147"/>
      <c r="U885" s="147"/>
      <c r="V885" s="147"/>
    </row>
    <row r="886" spans="1:22">
      <c r="A886" s="157"/>
      <c r="F886" s="3"/>
      <c r="G886" s="3"/>
      <c r="N886" s="157"/>
      <c r="O886" s="157"/>
      <c r="Q886" s="147"/>
      <c r="R886" s="147"/>
      <c r="S886" s="147"/>
      <c r="T886" s="147"/>
      <c r="U886" s="147"/>
      <c r="V886" s="147"/>
    </row>
    <row r="887" spans="1:22">
      <c r="A887" s="157"/>
      <c r="F887" s="3"/>
      <c r="G887" s="3"/>
      <c r="N887" s="157"/>
      <c r="O887" s="157"/>
      <c r="Q887" s="147"/>
      <c r="R887" s="147"/>
      <c r="S887" s="147"/>
      <c r="T887" s="147"/>
      <c r="U887" s="147"/>
      <c r="V887" s="147"/>
    </row>
    <row r="888" spans="1:22">
      <c r="A888" s="157"/>
      <c r="F888" s="3"/>
      <c r="G888" s="3"/>
      <c r="N888" s="157"/>
      <c r="O888" s="157"/>
      <c r="Q888" s="147"/>
      <c r="R888" s="147"/>
      <c r="S888" s="147"/>
      <c r="T888" s="147"/>
      <c r="U888" s="147"/>
      <c r="V888" s="147"/>
    </row>
    <row r="889" spans="1:22">
      <c r="A889" s="157"/>
      <c r="F889" s="3"/>
      <c r="G889" s="3"/>
      <c r="N889" s="157"/>
      <c r="O889" s="157"/>
      <c r="Q889" s="147"/>
      <c r="R889" s="147"/>
      <c r="S889" s="147"/>
      <c r="T889" s="147"/>
      <c r="U889" s="147"/>
      <c r="V889" s="147"/>
    </row>
    <row r="890" spans="1:22">
      <c r="A890" s="157"/>
      <c r="F890" s="3"/>
      <c r="G890" s="3"/>
      <c r="N890" s="157"/>
      <c r="O890" s="157"/>
      <c r="Q890" s="147"/>
      <c r="R890" s="147"/>
      <c r="S890" s="147"/>
      <c r="T890" s="147"/>
      <c r="U890" s="147"/>
      <c r="V890" s="147"/>
    </row>
    <row r="891" spans="1:22">
      <c r="A891" s="157"/>
      <c r="F891" s="3"/>
      <c r="G891" s="3"/>
      <c r="N891" s="157"/>
      <c r="O891" s="157"/>
      <c r="Q891" s="147"/>
      <c r="R891" s="147"/>
      <c r="S891" s="147"/>
      <c r="T891" s="147"/>
      <c r="U891" s="147"/>
      <c r="V891" s="147"/>
    </row>
    <row r="892" spans="1:22">
      <c r="A892" s="157"/>
      <c r="F892" s="3"/>
      <c r="G892" s="3"/>
      <c r="N892" s="157"/>
      <c r="O892" s="157"/>
      <c r="Q892" s="147"/>
      <c r="R892" s="147"/>
      <c r="S892" s="147"/>
      <c r="T892" s="147"/>
      <c r="U892" s="147"/>
      <c r="V892" s="147"/>
    </row>
    <row r="893" spans="1:22">
      <c r="A893" s="157"/>
      <c r="F893" s="3"/>
      <c r="G893" s="3"/>
      <c r="N893" s="157"/>
      <c r="O893" s="157"/>
      <c r="Q893" s="147"/>
      <c r="R893" s="147"/>
      <c r="S893" s="147"/>
      <c r="T893" s="147"/>
      <c r="U893" s="147"/>
      <c r="V893" s="147"/>
    </row>
    <row r="894" spans="1:22">
      <c r="A894" s="157"/>
      <c r="F894" s="3"/>
      <c r="G894" s="3"/>
      <c r="N894" s="157"/>
      <c r="O894" s="157"/>
      <c r="Q894" s="147"/>
      <c r="R894" s="147"/>
      <c r="S894" s="147"/>
      <c r="T894" s="147"/>
      <c r="U894" s="147"/>
      <c r="V894" s="147"/>
    </row>
    <row r="895" spans="1:22">
      <c r="A895" s="157"/>
      <c r="F895" s="3"/>
      <c r="G895" s="3"/>
      <c r="N895" s="157"/>
      <c r="O895" s="157"/>
      <c r="Q895" s="147"/>
      <c r="R895" s="147"/>
      <c r="S895" s="147"/>
      <c r="T895" s="147"/>
      <c r="U895" s="147"/>
      <c r="V895" s="147"/>
    </row>
    <row r="896" spans="1:22">
      <c r="A896" s="157"/>
      <c r="F896" s="3"/>
      <c r="G896" s="3"/>
      <c r="N896" s="157"/>
      <c r="O896" s="157"/>
      <c r="Q896" s="147"/>
      <c r="R896" s="147"/>
      <c r="S896" s="147"/>
      <c r="T896" s="147"/>
      <c r="U896" s="147"/>
      <c r="V896" s="147"/>
    </row>
    <row r="897" spans="1:22">
      <c r="A897" s="157"/>
      <c r="F897" s="3"/>
      <c r="G897" s="3"/>
      <c r="N897" s="157"/>
      <c r="O897" s="157"/>
      <c r="Q897" s="147"/>
      <c r="R897" s="147"/>
      <c r="S897" s="147"/>
      <c r="T897" s="147"/>
      <c r="U897" s="147"/>
      <c r="V897" s="147"/>
    </row>
    <row r="898" spans="1:22">
      <c r="A898" s="157"/>
      <c r="F898" s="3"/>
      <c r="G898" s="3"/>
      <c r="N898" s="157"/>
      <c r="O898" s="157"/>
      <c r="Q898" s="147"/>
      <c r="R898" s="147"/>
      <c r="S898" s="147"/>
      <c r="T898" s="147"/>
      <c r="U898" s="147"/>
      <c r="V898" s="147"/>
    </row>
    <row r="899" spans="1:22">
      <c r="A899" s="157"/>
      <c r="F899" s="3"/>
      <c r="G899" s="3"/>
      <c r="N899" s="157"/>
      <c r="O899" s="157"/>
      <c r="Q899" s="147"/>
      <c r="R899" s="147"/>
      <c r="S899" s="147"/>
      <c r="T899" s="147"/>
      <c r="U899" s="147"/>
      <c r="V899" s="147"/>
    </row>
    <row r="900" spans="1:22">
      <c r="A900" s="157"/>
      <c r="F900" s="3"/>
      <c r="G900" s="3"/>
      <c r="N900" s="157"/>
      <c r="O900" s="157"/>
      <c r="Q900" s="147"/>
      <c r="R900" s="147"/>
      <c r="S900" s="147"/>
      <c r="T900" s="147"/>
      <c r="U900" s="147"/>
      <c r="V900" s="147"/>
    </row>
    <row r="901" spans="1:22">
      <c r="A901" s="157"/>
      <c r="F901" s="3"/>
      <c r="G901" s="3"/>
      <c r="N901" s="157"/>
      <c r="O901" s="157"/>
      <c r="Q901" s="147"/>
      <c r="R901" s="147"/>
      <c r="S901" s="147"/>
      <c r="T901" s="147"/>
      <c r="U901" s="147"/>
      <c r="V901" s="147"/>
    </row>
    <row r="902" spans="1:22">
      <c r="A902" s="157"/>
      <c r="F902" s="3"/>
      <c r="G902" s="3"/>
      <c r="N902" s="157"/>
      <c r="O902" s="157"/>
      <c r="Q902" s="147"/>
      <c r="R902" s="147"/>
      <c r="S902" s="147"/>
      <c r="T902" s="147"/>
      <c r="U902" s="147"/>
      <c r="V902" s="147"/>
    </row>
    <row r="903" spans="1:22">
      <c r="A903" s="157"/>
      <c r="F903" s="3"/>
      <c r="G903" s="3"/>
      <c r="N903" s="157"/>
      <c r="O903" s="157"/>
      <c r="Q903" s="147"/>
      <c r="R903" s="147"/>
      <c r="S903" s="147"/>
      <c r="T903" s="147"/>
      <c r="U903" s="147"/>
      <c r="V903" s="147"/>
    </row>
    <row r="904" spans="1:22">
      <c r="A904" s="157"/>
      <c r="F904" s="3"/>
      <c r="G904" s="3"/>
      <c r="N904" s="157"/>
      <c r="O904" s="157"/>
      <c r="Q904" s="147"/>
      <c r="R904" s="147"/>
      <c r="S904" s="147"/>
      <c r="T904" s="147"/>
      <c r="U904" s="147"/>
      <c r="V904" s="147"/>
    </row>
    <row r="905" spans="1:22">
      <c r="A905" s="157"/>
      <c r="F905" s="3"/>
      <c r="G905" s="3"/>
      <c r="N905" s="157"/>
      <c r="O905" s="157"/>
      <c r="Q905" s="147"/>
      <c r="R905" s="147"/>
      <c r="S905" s="147"/>
      <c r="T905" s="147"/>
      <c r="U905" s="147"/>
      <c r="V905" s="147"/>
    </row>
    <row r="906" spans="1:22">
      <c r="A906" s="157"/>
      <c r="F906" s="3"/>
      <c r="G906" s="3"/>
      <c r="N906" s="157"/>
      <c r="O906" s="157"/>
      <c r="Q906" s="147"/>
      <c r="R906" s="147"/>
      <c r="S906" s="147"/>
      <c r="T906" s="147"/>
      <c r="U906" s="147"/>
      <c r="V906" s="147"/>
    </row>
    <row r="907" spans="1:22">
      <c r="A907" s="157"/>
      <c r="F907" s="3"/>
      <c r="G907" s="3"/>
      <c r="N907" s="157"/>
      <c r="O907" s="157"/>
      <c r="Q907" s="147"/>
      <c r="R907" s="147"/>
      <c r="S907" s="147"/>
      <c r="T907" s="147"/>
      <c r="U907" s="147"/>
      <c r="V907" s="147"/>
    </row>
    <row r="908" spans="1:22">
      <c r="A908" s="157"/>
      <c r="F908" s="3"/>
      <c r="G908" s="3"/>
      <c r="N908" s="157"/>
      <c r="O908" s="157"/>
      <c r="Q908" s="147"/>
      <c r="R908" s="147"/>
      <c r="S908" s="147"/>
      <c r="T908" s="147"/>
      <c r="U908" s="147"/>
      <c r="V908" s="147"/>
    </row>
    <row r="909" spans="1:22">
      <c r="A909" s="157"/>
      <c r="F909" s="3"/>
      <c r="G909" s="3"/>
      <c r="N909" s="157"/>
      <c r="O909" s="157"/>
      <c r="Q909" s="147"/>
      <c r="R909" s="147"/>
      <c r="S909" s="147"/>
      <c r="T909" s="147"/>
      <c r="U909" s="147"/>
      <c r="V909" s="147"/>
    </row>
    <row r="910" spans="1:22">
      <c r="A910" s="157"/>
      <c r="F910" s="3"/>
      <c r="G910" s="3"/>
      <c r="N910" s="157"/>
      <c r="O910" s="157"/>
      <c r="Q910" s="147"/>
      <c r="R910" s="147"/>
      <c r="S910" s="147"/>
      <c r="T910" s="147"/>
      <c r="U910" s="147"/>
      <c r="V910" s="147"/>
    </row>
    <row r="911" spans="1:22">
      <c r="A911" s="157"/>
      <c r="F911" s="3"/>
      <c r="G911" s="3"/>
      <c r="N911" s="157"/>
      <c r="O911" s="157"/>
      <c r="Q911" s="147"/>
      <c r="R911" s="147"/>
      <c r="S911" s="147"/>
      <c r="T911" s="147"/>
      <c r="U911" s="147"/>
      <c r="V911" s="147"/>
    </row>
    <row r="912" spans="1:22">
      <c r="A912" s="157"/>
      <c r="F912" s="3"/>
      <c r="G912" s="3"/>
      <c r="N912" s="157"/>
      <c r="O912" s="157"/>
      <c r="Q912" s="147"/>
      <c r="R912" s="147"/>
      <c r="S912" s="147"/>
      <c r="T912" s="147"/>
      <c r="U912" s="147"/>
      <c r="V912" s="147"/>
    </row>
    <row r="913" spans="1:22">
      <c r="A913" s="157"/>
      <c r="F913" s="3"/>
      <c r="G913" s="3"/>
      <c r="N913" s="157"/>
      <c r="O913" s="157"/>
      <c r="Q913" s="147"/>
      <c r="R913" s="147"/>
      <c r="S913" s="147"/>
      <c r="T913" s="147"/>
      <c r="U913" s="147"/>
      <c r="V913" s="147"/>
    </row>
    <row r="914" spans="1:22">
      <c r="A914" s="157"/>
      <c r="F914" s="3"/>
      <c r="G914" s="3"/>
      <c r="N914" s="157"/>
      <c r="O914" s="157"/>
      <c r="Q914" s="147"/>
      <c r="R914" s="147"/>
      <c r="S914" s="147"/>
      <c r="T914" s="147"/>
      <c r="U914" s="147"/>
      <c r="V914" s="147"/>
    </row>
    <row r="915" spans="1:22">
      <c r="A915" s="157"/>
      <c r="F915" s="3"/>
      <c r="G915" s="3"/>
      <c r="N915" s="157"/>
      <c r="O915" s="157"/>
      <c r="Q915" s="147"/>
      <c r="R915" s="147"/>
      <c r="S915" s="147"/>
      <c r="T915" s="147"/>
      <c r="U915" s="147"/>
      <c r="V915" s="147"/>
    </row>
    <row r="916" spans="1:22">
      <c r="A916" s="157"/>
      <c r="F916" s="3"/>
      <c r="G916" s="3"/>
      <c r="N916" s="157"/>
      <c r="O916" s="157"/>
      <c r="Q916" s="147"/>
      <c r="R916" s="147"/>
      <c r="S916" s="147"/>
      <c r="T916" s="147"/>
      <c r="U916" s="147"/>
      <c r="V916" s="147"/>
    </row>
    <row r="917" spans="1:22">
      <c r="A917" s="157"/>
      <c r="F917" s="3"/>
      <c r="G917" s="3"/>
      <c r="N917" s="157"/>
      <c r="O917" s="157"/>
      <c r="Q917" s="147"/>
      <c r="R917" s="147"/>
      <c r="S917" s="147"/>
      <c r="T917" s="147"/>
      <c r="U917" s="147"/>
      <c r="V917" s="147"/>
    </row>
    <row r="918" spans="1:22">
      <c r="A918" s="157"/>
      <c r="F918" s="3"/>
      <c r="G918" s="3"/>
      <c r="N918" s="157"/>
      <c r="O918" s="157"/>
      <c r="Q918" s="147"/>
      <c r="R918" s="147"/>
      <c r="S918" s="147"/>
      <c r="T918" s="147"/>
      <c r="U918" s="147"/>
      <c r="V918" s="147"/>
    </row>
    <row r="919" spans="1:22">
      <c r="A919" s="157"/>
      <c r="F919" s="3"/>
      <c r="G919" s="3"/>
      <c r="N919" s="157"/>
      <c r="O919" s="157"/>
      <c r="Q919" s="147"/>
      <c r="R919" s="147"/>
      <c r="S919" s="147"/>
      <c r="T919" s="147"/>
      <c r="U919" s="147"/>
      <c r="V919" s="147"/>
    </row>
    <row r="920" spans="1:22">
      <c r="A920" s="157"/>
      <c r="F920" s="3"/>
      <c r="G920" s="3"/>
      <c r="N920" s="157"/>
      <c r="O920" s="157"/>
      <c r="Q920" s="147"/>
      <c r="R920" s="147"/>
      <c r="S920" s="147"/>
      <c r="T920" s="147"/>
      <c r="U920" s="147"/>
      <c r="V920" s="147"/>
    </row>
    <row r="921" spans="1:22">
      <c r="A921" s="157"/>
      <c r="F921" s="3"/>
      <c r="G921" s="3"/>
      <c r="N921" s="157"/>
      <c r="O921" s="157"/>
      <c r="Q921" s="147"/>
      <c r="R921" s="147"/>
      <c r="S921" s="147"/>
      <c r="T921" s="147"/>
      <c r="U921" s="147"/>
      <c r="V921" s="147"/>
    </row>
    <row r="922" spans="1:22">
      <c r="A922" s="157"/>
      <c r="F922" s="3"/>
      <c r="G922" s="3"/>
      <c r="N922" s="157"/>
      <c r="O922" s="157"/>
      <c r="Q922" s="147"/>
      <c r="R922" s="147"/>
      <c r="S922" s="147"/>
      <c r="T922" s="147"/>
      <c r="U922" s="147"/>
      <c r="V922" s="147"/>
    </row>
    <row r="923" spans="1:22">
      <c r="A923" s="157"/>
      <c r="F923" s="3"/>
      <c r="G923" s="3"/>
      <c r="N923" s="157"/>
      <c r="O923" s="157"/>
      <c r="Q923" s="147"/>
      <c r="R923" s="147"/>
      <c r="S923" s="147"/>
      <c r="T923" s="147"/>
      <c r="U923" s="147"/>
      <c r="V923" s="147"/>
    </row>
    <row r="924" spans="1:22">
      <c r="A924" s="157"/>
      <c r="F924" s="3"/>
      <c r="G924" s="3"/>
      <c r="N924" s="157"/>
      <c r="O924" s="157"/>
      <c r="Q924" s="147"/>
      <c r="R924" s="147"/>
      <c r="S924" s="147"/>
      <c r="T924" s="147"/>
      <c r="U924" s="147"/>
      <c r="V924" s="147"/>
    </row>
    <row r="925" spans="1:22">
      <c r="A925" s="157"/>
      <c r="F925" s="3"/>
      <c r="G925" s="3"/>
      <c r="N925" s="157"/>
      <c r="O925" s="157"/>
      <c r="Q925" s="147"/>
      <c r="R925" s="147"/>
      <c r="S925" s="147"/>
      <c r="T925" s="147"/>
      <c r="U925" s="147"/>
      <c r="V925" s="147"/>
    </row>
    <row r="926" spans="1:22">
      <c r="A926" s="157"/>
      <c r="F926" s="3"/>
      <c r="G926" s="3"/>
      <c r="N926" s="157"/>
      <c r="O926" s="157"/>
      <c r="Q926" s="147"/>
      <c r="R926" s="147"/>
      <c r="S926" s="147"/>
      <c r="T926" s="147"/>
      <c r="U926" s="147"/>
      <c r="V926" s="147"/>
    </row>
    <row r="927" spans="1:22">
      <c r="A927" s="157"/>
      <c r="F927" s="3"/>
      <c r="G927" s="3"/>
      <c r="N927" s="157"/>
      <c r="O927" s="157"/>
      <c r="Q927" s="147"/>
      <c r="R927" s="147"/>
      <c r="S927" s="147"/>
      <c r="T927" s="147"/>
      <c r="U927" s="147"/>
      <c r="V927" s="147"/>
    </row>
    <row r="928" spans="1:22">
      <c r="A928" s="157"/>
      <c r="F928" s="3"/>
      <c r="G928" s="3"/>
      <c r="N928" s="157"/>
      <c r="O928" s="157"/>
      <c r="Q928" s="147"/>
      <c r="R928" s="147"/>
      <c r="S928" s="147"/>
      <c r="T928" s="147"/>
      <c r="U928" s="147"/>
      <c r="V928" s="147"/>
    </row>
    <row r="929" spans="1:22">
      <c r="A929" s="157"/>
      <c r="F929" s="3"/>
      <c r="G929" s="3"/>
      <c r="N929" s="157"/>
      <c r="O929" s="157"/>
      <c r="Q929" s="147"/>
      <c r="R929" s="147"/>
      <c r="S929" s="147"/>
      <c r="T929" s="147"/>
      <c r="U929" s="147"/>
      <c r="V929" s="147"/>
    </row>
    <row r="930" spans="1:22">
      <c r="A930" s="157"/>
      <c r="F930" s="3"/>
      <c r="G930" s="3"/>
      <c r="N930" s="157"/>
      <c r="O930" s="157"/>
      <c r="Q930" s="147"/>
      <c r="R930" s="147"/>
      <c r="S930" s="147"/>
      <c r="T930" s="147"/>
      <c r="U930" s="147"/>
      <c r="V930" s="147"/>
    </row>
    <row r="931" spans="1:22">
      <c r="A931" s="157"/>
      <c r="F931" s="3"/>
      <c r="G931" s="3"/>
      <c r="N931" s="157"/>
      <c r="O931" s="157"/>
      <c r="Q931" s="147"/>
      <c r="R931" s="147"/>
      <c r="S931" s="147"/>
      <c r="T931" s="147"/>
      <c r="U931" s="147"/>
      <c r="V931" s="147"/>
    </row>
    <row r="932" spans="1:22">
      <c r="A932" s="157"/>
      <c r="F932" s="3"/>
      <c r="G932" s="3"/>
      <c r="N932" s="157"/>
      <c r="O932" s="157"/>
      <c r="Q932" s="147"/>
      <c r="R932" s="147"/>
      <c r="S932" s="147"/>
      <c r="T932" s="147"/>
      <c r="U932" s="147"/>
      <c r="V932" s="147"/>
    </row>
    <row r="933" spans="1:22">
      <c r="A933" s="157"/>
      <c r="F933" s="3"/>
      <c r="G933" s="3"/>
      <c r="N933" s="157"/>
      <c r="O933" s="157"/>
      <c r="Q933" s="147"/>
      <c r="R933" s="147"/>
      <c r="S933" s="147"/>
      <c r="T933" s="147"/>
      <c r="U933" s="147"/>
      <c r="V933" s="147"/>
    </row>
    <row r="934" spans="1:22">
      <c r="A934" s="157"/>
      <c r="F934" s="3"/>
      <c r="G934" s="3"/>
      <c r="N934" s="157"/>
      <c r="O934" s="157"/>
      <c r="Q934" s="147"/>
      <c r="R934" s="147"/>
      <c r="S934" s="147"/>
      <c r="T934" s="147"/>
      <c r="U934" s="147"/>
      <c r="V934" s="147"/>
    </row>
    <row r="935" spans="1:22">
      <c r="A935" s="157"/>
      <c r="F935" s="3"/>
      <c r="G935" s="3"/>
      <c r="N935" s="157"/>
      <c r="O935" s="157"/>
      <c r="Q935" s="147"/>
      <c r="R935" s="147"/>
      <c r="S935" s="147"/>
      <c r="T935" s="147"/>
      <c r="U935" s="147"/>
      <c r="V935" s="147"/>
    </row>
    <row r="936" spans="1:22">
      <c r="A936" s="157"/>
      <c r="F936" s="3"/>
      <c r="G936" s="3"/>
      <c r="N936" s="157"/>
      <c r="O936" s="157"/>
      <c r="Q936" s="147"/>
      <c r="R936" s="147"/>
      <c r="S936" s="147"/>
      <c r="T936" s="147"/>
      <c r="U936" s="147"/>
      <c r="V936" s="147"/>
    </row>
    <row r="937" spans="1:22">
      <c r="A937" s="157"/>
      <c r="F937" s="3"/>
      <c r="G937" s="3"/>
      <c r="N937" s="157"/>
      <c r="O937" s="157"/>
      <c r="Q937" s="147"/>
      <c r="R937" s="147"/>
      <c r="S937" s="147"/>
      <c r="T937" s="147"/>
      <c r="U937" s="147"/>
      <c r="V937" s="147"/>
    </row>
    <row r="938" spans="1:22">
      <c r="A938" s="157"/>
      <c r="F938" s="3"/>
      <c r="G938" s="3"/>
      <c r="N938" s="157"/>
      <c r="O938" s="157"/>
      <c r="Q938" s="147"/>
      <c r="R938" s="147"/>
      <c r="S938" s="147"/>
      <c r="T938" s="147"/>
      <c r="U938" s="147"/>
      <c r="V938" s="147"/>
    </row>
    <row r="939" spans="1:22">
      <c r="A939" s="157"/>
      <c r="F939" s="3"/>
      <c r="G939" s="3"/>
      <c r="N939" s="157"/>
      <c r="O939" s="157"/>
      <c r="Q939" s="147"/>
      <c r="R939" s="147"/>
      <c r="S939" s="147"/>
      <c r="T939" s="147"/>
      <c r="U939" s="147"/>
      <c r="V939" s="147"/>
    </row>
    <row r="940" spans="1:22">
      <c r="A940" s="157"/>
      <c r="F940" s="3"/>
      <c r="G940" s="3"/>
      <c r="N940" s="157"/>
      <c r="O940" s="157"/>
      <c r="Q940" s="147"/>
      <c r="R940" s="147"/>
      <c r="S940" s="147"/>
      <c r="T940" s="147"/>
      <c r="U940" s="147"/>
      <c r="V940" s="147"/>
    </row>
    <row r="941" spans="1:22">
      <c r="A941" s="157"/>
      <c r="F941" s="3"/>
      <c r="G941" s="3"/>
      <c r="N941" s="157"/>
      <c r="O941" s="157"/>
      <c r="Q941" s="147"/>
      <c r="R941" s="147"/>
      <c r="S941" s="147"/>
      <c r="T941" s="147"/>
      <c r="U941" s="147"/>
      <c r="V941" s="147"/>
    </row>
    <row r="942" spans="1:22">
      <c r="A942" s="157"/>
      <c r="F942" s="3"/>
      <c r="G942" s="3"/>
      <c r="N942" s="157"/>
      <c r="O942" s="157"/>
      <c r="Q942" s="147"/>
      <c r="R942" s="147"/>
      <c r="S942" s="147"/>
      <c r="T942" s="147"/>
      <c r="U942" s="147"/>
      <c r="V942" s="147"/>
    </row>
    <row r="943" spans="1:22">
      <c r="A943" s="157"/>
      <c r="F943" s="3"/>
      <c r="G943" s="3"/>
      <c r="N943" s="157"/>
      <c r="O943" s="157"/>
      <c r="Q943" s="147"/>
      <c r="R943" s="147"/>
      <c r="S943" s="147"/>
      <c r="T943" s="147"/>
      <c r="U943" s="147"/>
      <c r="V943" s="147"/>
    </row>
    <row r="944" spans="1:22">
      <c r="A944" s="157"/>
      <c r="F944" s="3"/>
      <c r="G944" s="3"/>
      <c r="N944" s="157"/>
      <c r="O944" s="157"/>
      <c r="Q944" s="147"/>
      <c r="R944" s="147"/>
      <c r="S944" s="147"/>
      <c r="T944" s="147"/>
      <c r="U944" s="147"/>
      <c r="V944" s="147"/>
    </row>
    <row r="945" spans="1:22">
      <c r="A945" s="157"/>
      <c r="F945" s="3"/>
      <c r="G945" s="3"/>
      <c r="N945" s="157"/>
      <c r="O945" s="157"/>
      <c r="Q945" s="147"/>
      <c r="R945" s="147"/>
      <c r="S945" s="147"/>
      <c r="T945" s="147"/>
      <c r="U945" s="147"/>
      <c r="V945" s="147"/>
    </row>
    <row r="946" spans="1:22">
      <c r="A946" s="157"/>
      <c r="F946" s="3"/>
      <c r="G946" s="3"/>
      <c r="N946" s="157"/>
      <c r="O946" s="157"/>
      <c r="Q946" s="147"/>
      <c r="R946" s="147"/>
      <c r="S946" s="147"/>
      <c r="T946" s="147"/>
      <c r="U946" s="147"/>
      <c r="V946" s="147"/>
    </row>
    <row r="947" spans="1:22">
      <c r="A947" s="157"/>
      <c r="F947" s="3"/>
      <c r="G947" s="3"/>
      <c r="N947" s="157"/>
      <c r="O947" s="157"/>
      <c r="Q947" s="147"/>
      <c r="R947" s="147"/>
      <c r="S947" s="147"/>
      <c r="T947" s="147"/>
      <c r="U947" s="147"/>
      <c r="V947" s="147"/>
    </row>
    <row r="948" spans="1:22">
      <c r="A948" s="157"/>
      <c r="F948" s="3"/>
      <c r="G948" s="3"/>
      <c r="N948" s="157"/>
      <c r="O948" s="157"/>
      <c r="Q948" s="147"/>
      <c r="R948" s="147"/>
      <c r="S948" s="147"/>
      <c r="T948" s="147"/>
      <c r="U948" s="147"/>
      <c r="V948" s="147"/>
    </row>
    <row r="949" spans="1:22">
      <c r="A949" s="157"/>
      <c r="F949" s="3"/>
      <c r="G949" s="3"/>
      <c r="N949" s="157"/>
      <c r="O949" s="157"/>
      <c r="Q949" s="147"/>
      <c r="R949" s="147"/>
      <c r="S949" s="147"/>
      <c r="T949" s="147"/>
      <c r="U949" s="147"/>
      <c r="V949" s="147"/>
    </row>
    <row r="950" spans="1:22">
      <c r="A950" s="157"/>
      <c r="F950" s="3"/>
      <c r="G950" s="3"/>
      <c r="N950" s="157"/>
      <c r="O950" s="157"/>
      <c r="Q950" s="147"/>
      <c r="R950" s="147"/>
      <c r="S950" s="147"/>
      <c r="T950" s="147"/>
      <c r="U950" s="147"/>
      <c r="V950" s="147"/>
    </row>
    <row r="951" spans="1:22">
      <c r="A951" s="157"/>
      <c r="F951" s="3"/>
      <c r="G951" s="3"/>
      <c r="N951" s="157"/>
      <c r="O951" s="157"/>
      <c r="Q951" s="147"/>
      <c r="R951" s="147"/>
      <c r="S951" s="147"/>
      <c r="T951" s="147"/>
      <c r="U951" s="147"/>
      <c r="V951" s="147"/>
    </row>
    <row r="952" spans="1:22">
      <c r="A952" s="157"/>
      <c r="F952" s="3"/>
      <c r="G952" s="3"/>
      <c r="N952" s="157"/>
      <c r="O952" s="157"/>
      <c r="Q952" s="147"/>
      <c r="R952" s="147"/>
      <c r="S952" s="147"/>
      <c r="T952" s="147"/>
      <c r="U952" s="147"/>
      <c r="V952" s="147"/>
    </row>
    <row r="953" spans="1:22">
      <c r="A953" s="157"/>
      <c r="F953" s="3"/>
      <c r="G953" s="3"/>
      <c r="N953" s="157"/>
      <c r="O953" s="157"/>
      <c r="Q953" s="147"/>
      <c r="R953" s="147"/>
      <c r="S953" s="147"/>
      <c r="T953" s="147"/>
      <c r="U953" s="147"/>
      <c r="V953" s="147"/>
    </row>
    <row r="954" spans="1:22">
      <c r="A954" s="157"/>
      <c r="F954" s="3"/>
      <c r="G954" s="3"/>
      <c r="N954" s="157"/>
      <c r="O954" s="157"/>
      <c r="Q954" s="147"/>
      <c r="R954" s="147"/>
      <c r="S954" s="147"/>
      <c r="T954" s="147"/>
      <c r="U954" s="147"/>
      <c r="V954" s="147"/>
    </row>
    <row r="955" spans="1:22">
      <c r="A955" s="157"/>
      <c r="F955" s="3"/>
      <c r="G955" s="3"/>
      <c r="N955" s="157"/>
      <c r="O955" s="157"/>
      <c r="Q955" s="147"/>
      <c r="R955" s="147"/>
      <c r="S955" s="147"/>
      <c r="T955" s="147"/>
      <c r="U955" s="147"/>
      <c r="V955" s="147"/>
    </row>
    <row r="956" spans="1:22">
      <c r="A956" s="157"/>
      <c r="F956" s="3"/>
      <c r="G956" s="3"/>
      <c r="N956" s="157"/>
      <c r="O956" s="157"/>
      <c r="Q956" s="147"/>
      <c r="R956" s="147"/>
      <c r="S956" s="147"/>
      <c r="T956" s="147"/>
      <c r="U956" s="147"/>
      <c r="V956" s="147"/>
    </row>
    <row r="957" spans="1:22">
      <c r="A957" s="157"/>
      <c r="F957" s="3"/>
      <c r="G957" s="3"/>
      <c r="N957" s="157"/>
      <c r="O957" s="157"/>
      <c r="Q957" s="147"/>
      <c r="R957" s="147"/>
      <c r="S957" s="147"/>
      <c r="T957" s="147"/>
      <c r="U957" s="147"/>
      <c r="V957" s="147"/>
    </row>
    <row r="958" spans="1:22">
      <c r="A958" s="157"/>
      <c r="F958" s="3"/>
      <c r="G958" s="3"/>
      <c r="N958" s="157"/>
      <c r="O958" s="157"/>
      <c r="Q958" s="147"/>
      <c r="R958" s="147"/>
      <c r="S958" s="147"/>
      <c r="T958" s="147"/>
      <c r="U958" s="147"/>
      <c r="V958" s="147"/>
    </row>
    <row r="959" spans="1:22">
      <c r="A959" s="157"/>
      <c r="F959" s="3"/>
      <c r="G959" s="3"/>
      <c r="N959" s="157"/>
      <c r="O959" s="157"/>
      <c r="Q959" s="147"/>
      <c r="R959" s="147"/>
      <c r="S959" s="147"/>
      <c r="T959" s="147"/>
      <c r="U959" s="147"/>
      <c r="V959" s="147"/>
    </row>
    <row r="960" spans="1:22">
      <c r="A960" s="157"/>
      <c r="F960" s="3"/>
      <c r="G960" s="3"/>
      <c r="N960" s="157"/>
      <c r="O960" s="157"/>
      <c r="Q960" s="147"/>
      <c r="R960" s="147"/>
      <c r="S960" s="147"/>
      <c r="T960" s="147"/>
      <c r="U960" s="147"/>
      <c r="V960" s="147"/>
    </row>
    <row r="961" spans="1:22">
      <c r="A961" s="157"/>
      <c r="F961" s="3"/>
      <c r="G961" s="3"/>
      <c r="N961" s="157"/>
      <c r="O961" s="157"/>
      <c r="Q961" s="147"/>
      <c r="R961" s="147"/>
      <c r="S961" s="147"/>
      <c r="T961" s="147"/>
      <c r="U961" s="147"/>
      <c r="V961" s="147"/>
    </row>
    <row r="962" spans="1:22">
      <c r="A962" s="157"/>
      <c r="F962" s="3"/>
      <c r="G962" s="3"/>
      <c r="N962" s="157"/>
      <c r="O962" s="157"/>
      <c r="Q962" s="147"/>
      <c r="R962" s="147"/>
      <c r="S962" s="147"/>
      <c r="T962" s="147"/>
      <c r="U962" s="147"/>
      <c r="V962" s="147"/>
    </row>
    <row r="963" spans="1:22">
      <c r="A963" s="157"/>
      <c r="F963" s="3"/>
      <c r="G963" s="3"/>
      <c r="N963" s="157"/>
      <c r="O963" s="157"/>
      <c r="Q963" s="147"/>
      <c r="R963" s="147"/>
      <c r="S963" s="147"/>
      <c r="T963" s="147"/>
      <c r="U963" s="147"/>
      <c r="V963" s="147"/>
    </row>
    <row r="964" spans="1:22">
      <c r="A964" s="157"/>
      <c r="F964" s="3"/>
      <c r="G964" s="3"/>
      <c r="N964" s="157"/>
      <c r="O964" s="157"/>
      <c r="Q964" s="147"/>
      <c r="R964" s="147"/>
      <c r="S964" s="147"/>
      <c r="T964" s="147"/>
      <c r="U964" s="147"/>
      <c r="V964" s="147"/>
    </row>
    <row r="965" spans="1:22">
      <c r="A965" s="157"/>
      <c r="F965" s="3"/>
      <c r="G965" s="3"/>
      <c r="N965" s="157"/>
      <c r="O965" s="157"/>
      <c r="Q965" s="147"/>
      <c r="R965" s="147"/>
      <c r="S965" s="147"/>
      <c r="T965" s="147"/>
      <c r="U965" s="147"/>
      <c r="V965" s="147"/>
    </row>
    <row r="966" spans="1:22">
      <c r="A966" s="157"/>
      <c r="F966" s="3"/>
      <c r="G966" s="3"/>
      <c r="N966" s="157"/>
      <c r="O966" s="157"/>
      <c r="Q966" s="147"/>
      <c r="R966" s="147"/>
      <c r="S966" s="147"/>
      <c r="T966" s="147"/>
      <c r="U966" s="147"/>
      <c r="V966" s="147"/>
    </row>
    <row r="967" spans="1:22">
      <c r="A967" s="157"/>
      <c r="F967" s="3"/>
      <c r="G967" s="3"/>
      <c r="N967" s="157"/>
      <c r="O967" s="157"/>
      <c r="Q967" s="147"/>
      <c r="R967" s="147"/>
      <c r="S967" s="147"/>
      <c r="T967" s="147"/>
      <c r="U967" s="147"/>
      <c r="V967" s="147"/>
    </row>
    <row r="968" spans="1:22">
      <c r="A968" s="157"/>
      <c r="F968" s="3"/>
      <c r="G968" s="3"/>
      <c r="N968" s="157"/>
      <c r="O968" s="157"/>
      <c r="Q968" s="147"/>
      <c r="R968" s="147"/>
      <c r="S968" s="147"/>
      <c r="T968" s="147"/>
      <c r="U968" s="147"/>
      <c r="V968" s="147"/>
    </row>
    <row r="969" spans="1:22">
      <c r="A969" s="157"/>
      <c r="F969" s="3"/>
      <c r="G969" s="3"/>
      <c r="N969" s="157"/>
      <c r="O969" s="157"/>
      <c r="Q969" s="147"/>
      <c r="R969" s="147"/>
      <c r="S969" s="147"/>
      <c r="T969" s="147"/>
      <c r="U969" s="147"/>
      <c r="V969" s="147"/>
    </row>
    <row r="970" spans="1:22">
      <c r="A970" s="157"/>
      <c r="F970" s="3"/>
      <c r="G970" s="3"/>
      <c r="N970" s="157"/>
      <c r="O970" s="157"/>
      <c r="Q970" s="147"/>
      <c r="R970" s="147"/>
      <c r="S970" s="147"/>
      <c r="T970" s="147"/>
      <c r="U970" s="147"/>
      <c r="V970" s="147"/>
    </row>
    <row r="971" spans="1:22">
      <c r="A971" s="157"/>
      <c r="F971" s="3"/>
      <c r="G971" s="3"/>
      <c r="N971" s="157"/>
      <c r="O971" s="157"/>
      <c r="Q971" s="147"/>
      <c r="R971" s="147"/>
      <c r="S971" s="147"/>
      <c r="T971" s="147"/>
      <c r="U971" s="147"/>
      <c r="V971" s="147"/>
    </row>
    <row r="972" spans="1:22">
      <c r="A972" s="157"/>
      <c r="F972" s="3"/>
      <c r="G972" s="3"/>
      <c r="N972" s="157"/>
      <c r="O972" s="157"/>
      <c r="Q972" s="147"/>
      <c r="R972" s="147"/>
      <c r="S972" s="147"/>
      <c r="T972" s="147"/>
      <c r="U972" s="147"/>
      <c r="V972" s="147"/>
    </row>
    <row r="973" spans="1:22">
      <c r="A973" s="157"/>
      <c r="F973" s="3"/>
      <c r="G973" s="3"/>
      <c r="N973" s="157"/>
      <c r="O973" s="157"/>
      <c r="Q973" s="147"/>
      <c r="R973" s="147"/>
      <c r="S973" s="147"/>
      <c r="T973" s="147"/>
      <c r="U973" s="147"/>
      <c r="V973" s="147"/>
    </row>
    <row r="974" spans="1:22">
      <c r="A974" s="157"/>
      <c r="F974" s="3"/>
      <c r="G974" s="3"/>
      <c r="N974" s="157"/>
      <c r="O974" s="157"/>
      <c r="Q974" s="147"/>
      <c r="R974" s="147"/>
      <c r="S974" s="147"/>
      <c r="T974" s="147"/>
      <c r="U974" s="147"/>
      <c r="V974" s="147"/>
    </row>
    <row r="975" spans="1:22">
      <c r="A975" s="157"/>
      <c r="F975" s="3"/>
      <c r="G975" s="3"/>
      <c r="N975" s="157"/>
      <c r="O975" s="157"/>
      <c r="Q975" s="147"/>
      <c r="R975" s="147"/>
      <c r="S975" s="147"/>
      <c r="T975" s="147"/>
      <c r="U975" s="147"/>
      <c r="V975" s="147"/>
    </row>
    <row r="976" spans="1:22">
      <c r="A976" s="157"/>
      <c r="F976" s="3"/>
      <c r="G976" s="3"/>
      <c r="N976" s="157"/>
      <c r="O976" s="157"/>
      <c r="Q976" s="147"/>
      <c r="R976" s="147"/>
      <c r="S976" s="147"/>
      <c r="T976" s="147"/>
      <c r="U976" s="147"/>
      <c r="V976" s="147"/>
    </row>
    <row r="977" spans="1:22">
      <c r="A977" s="157"/>
      <c r="F977" s="3"/>
      <c r="G977" s="3"/>
      <c r="N977" s="157"/>
      <c r="O977" s="157"/>
      <c r="Q977" s="147"/>
      <c r="R977" s="147"/>
      <c r="S977" s="147"/>
      <c r="T977" s="147"/>
      <c r="U977" s="147"/>
      <c r="V977" s="147"/>
    </row>
    <row r="978" spans="1:22">
      <c r="A978" s="157"/>
      <c r="F978" s="3"/>
      <c r="G978" s="3"/>
      <c r="N978" s="157"/>
      <c r="O978" s="157"/>
      <c r="Q978" s="147"/>
      <c r="R978" s="147"/>
      <c r="S978" s="147"/>
      <c r="T978" s="147"/>
      <c r="U978" s="147"/>
      <c r="V978" s="147"/>
    </row>
    <row r="979" spans="1:22">
      <c r="A979" s="157"/>
      <c r="F979" s="3"/>
      <c r="G979" s="3"/>
      <c r="N979" s="157"/>
      <c r="O979" s="157"/>
      <c r="Q979" s="147"/>
      <c r="R979" s="147"/>
      <c r="S979" s="147"/>
      <c r="T979" s="147"/>
      <c r="U979" s="147"/>
      <c r="V979" s="147"/>
    </row>
    <row r="980" spans="1:22">
      <c r="A980" s="157"/>
      <c r="F980" s="3"/>
      <c r="G980" s="3"/>
      <c r="N980" s="157"/>
      <c r="O980" s="157"/>
      <c r="Q980" s="147"/>
      <c r="R980" s="147"/>
      <c r="S980" s="147"/>
      <c r="T980" s="147"/>
      <c r="U980" s="147"/>
      <c r="V980" s="147"/>
    </row>
    <row r="981" spans="1:22">
      <c r="A981" s="157"/>
      <c r="F981" s="3"/>
      <c r="G981" s="3"/>
      <c r="N981" s="157"/>
      <c r="O981" s="157"/>
      <c r="Q981" s="147"/>
      <c r="R981" s="147"/>
      <c r="S981" s="147"/>
      <c r="T981" s="147"/>
      <c r="U981" s="147"/>
      <c r="V981" s="147"/>
    </row>
    <row r="982" spans="1:22">
      <c r="A982" s="157"/>
      <c r="F982" s="3"/>
      <c r="G982" s="3"/>
      <c r="N982" s="157"/>
      <c r="O982" s="157"/>
      <c r="Q982" s="147"/>
      <c r="R982" s="147"/>
      <c r="S982" s="147"/>
      <c r="T982" s="147"/>
      <c r="U982" s="147"/>
      <c r="V982" s="147"/>
    </row>
    <row r="983" spans="1:22">
      <c r="A983" s="157"/>
      <c r="F983" s="3"/>
      <c r="G983" s="3"/>
      <c r="N983" s="157"/>
      <c r="O983" s="157"/>
      <c r="Q983" s="147"/>
      <c r="R983" s="147"/>
      <c r="S983" s="147"/>
      <c r="T983" s="147"/>
      <c r="U983" s="147"/>
      <c r="V983" s="147"/>
    </row>
    <row r="984" spans="1:22">
      <c r="A984" s="157"/>
      <c r="F984" s="3"/>
      <c r="G984" s="3"/>
      <c r="N984" s="157"/>
      <c r="O984" s="157"/>
      <c r="Q984" s="147"/>
      <c r="R984" s="147"/>
      <c r="S984" s="147"/>
      <c r="T984" s="147"/>
      <c r="U984" s="147"/>
      <c r="V984" s="147"/>
    </row>
    <row r="985" spans="1:22">
      <c r="A985" s="157"/>
      <c r="F985" s="3"/>
      <c r="G985" s="3"/>
      <c r="N985" s="157"/>
      <c r="O985" s="157"/>
      <c r="Q985" s="147"/>
      <c r="R985" s="147"/>
      <c r="S985" s="147"/>
      <c r="T985" s="147"/>
      <c r="U985" s="147"/>
      <c r="V985" s="147"/>
    </row>
    <row r="986" spans="1:22">
      <c r="A986" s="157"/>
      <c r="F986" s="3"/>
      <c r="G986" s="3"/>
      <c r="N986" s="157"/>
      <c r="O986" s="157"/>
      <c r="Q986" s="147"/>
      <c r="R986" s="147"/>
      <c r="S986" s="147"/>
      <c r="T986" s="147"/>
      <c r="U986" s="147"/>
      <c r="V986" s="147"/>
    </row>
    <row r="987" spans="1:22">
      <c r="A987" s="157"/>
      <c r="F987" s="3"/>
      <c r="G987" s="3"/>
      <c r="N987" s="157"/>
      <c r="O987" s="157"/>
      <c r="Q987" s="147"/>
      <c r="R987" s="147"/>
      <c r="S987" s="147"/>
      <c r="T987" s="147"/>
      <c r="U987" s="147"/>
      <c r="V987" s="147"/>
    </row>
    <row r="988" spans="1:22">
      <c r="A988" s="157"/>
      <c r="F988" s="3"/>
      <c r="G988" s="3"/>
      <c r="N988" s="157"/>
      <c r="O988" s="157"/>
      <c r="Q988" s="147"/>
      <c r="R988" s="147"/>
      <c r="S988" s="147"/>
      <c r="T988" s="147"/>
      <c r="U988" s="147"/>
      <c r="V988" s="147"/>
    </row>
    <row r="989" spans="1:22">
      <c r="A989" s="157"/>
      <c r="F989" s="3"/>
      <c r="G989" s="3"/>
      <c r="N989" s="157"/>
      <c r="O989" s="157"/>
      <c r="Q989" s="147"/>
      <c r="R989" s="147"/>
      <c r="S989" s="147"/>
      <c r="T989" s="147"/>
      <c r="U989" s="147"/>
      <c r="V989" s="147"/>
    </row>
    <row r="990" spans="1:22">
      <c r="A990" s="157"/>
      <c r="F990" s="3"/>
      <c r="G990" s="3"/>
      <c r="N990" s="157"/>
      <c r="O990" s="157"/>
      <c r="Q990" s="147"/>
      <c r="R990" s="147"/>
      <c r="S990" s="147"/>
      <c r="T990" s="147"/>
      <c r="U990" s="147"/>
      <c r="V990" s="147"/>
    </row>
    <row r="991" spans="1:22">
      <c r="A991" s="157"/>
      <c r="F991" s="3"/>
      <c r="G991" s="3"/>
      <c r="N991" s="157"/>
      <c r="O991" s="157"/>
      <c r="Q991" s="147"/>
      <c r="R991" s="147"/>
      <c r="S991" s="147"/>
      <c r="T991" s="147"/>
      <c r="U991" s="147"/>
      <c r="V991" s="147"/>
    </row>
    <row r="992" spans="1:22">
      <c r="A992" s="157"/>
      <c r="F992" s="3"/>
      <c r="G992" s="3"/>
      <c r="N992" s="157"/>
      <c r="O992" s="157"/>
      <c r="Q992" s="147"/>
      <c r="R992" s="147"/>
      <c r="S992" s="147"/>
      <c r="T992" s="147"/>
      <c r="U992" s="147"/>
      <c r="V992" s="147"/>
    </row>
    <row r="993" spans="1:22">
      <c r="A993" s="157"/>
      <c r="F993" s="3"/>
      <c r="G993" s="3"/>
      <c r="N993" s="157"/>
      <c r="O993" s="157"/>
      <c r="Q993" s="147"/>
      <c r="R993" s="147"/>
      <c r="S993" s="147"/>
      <c r="T993" s="147"/>
      <c r="U993" s="147"/>
      <c r="V993" s="147"/>
    </row>
    <row r="994" spans="1:22">
      <c r="A994" s="157"/>
      <c r="F994" s="3"/>
      <c r="G994" s="3"/>
      <c r="N994" s="157"/>
      <c r="O994" s="157"/>
      <c r="Q994" s="147"/>
      <c r="R994" s="147"/>
      <c r="S994" s="147"/>
      <c r="T994" s="147"/>
      <c r="U994" s="147"/>
      <c r="V994" s="147"/>
    </row>
    <row r="995" spans="1:22">
      <c r="A995" s="157"/>
      <c r="F995" s="3"/>
      <c r="G995" s="3"/>
      <c r="N995" s="157"/>
      <c r="O995" s="157"/>
      <c r="Q995" s="147"/>
      <c r="R995" s="147"/>
      <c r="S995" s="147"/>
      <c r="T995" s="147"/>
      <c r="U995" s="147"/>
      <c r="V995" s="147"/>
    </row>
    <row r="996" spans="1:22">
      <c r="A996" s="157"/>
      <c r="F996" s="3"/>
      <c r="G996" s="3"/>
      <c r="N996" s="157"/>
      <c r="O996" s="157"/>
      <c r="Q996" s="147"/>
      <c r="R996" s="147"/>
      <c r="S996" s="147"/>
      <c r="T996" s="147"/>
      <c r="U996" s="147"/>
      <c r="V996" s="147"/>
    </row>
    <row r="997" spans="1:22">
      <c r="A997" s="157"/>
      <c r="F997" s="3"/>
      <c r="G997" s="3"/>
      <c r="N997" s="157"/>
      <c r="O997" s="157"/>
      <c r="Q997" s="147"/>
      <c r="R997" s="147"/>
      <c r="S997" s="147"/>
      <c r="T997" s="147"/>
      <c r="U997" s="147"/>
      <c r="V997" s="147"/>
    </row>
    <row r="998" spans="1:22">
      <c r="A998" s="157"/>
      <c r="F998" s="3"/>
      <c r="G998" s="3"/>
      <c r="N998" s="157"/>
      <c r="O998" s="157"/>
      <c r="Q998" s="147"/>
      <c r="R998" s="147"/>
      <c r="S998" s="147"/>
      <c r="T998" s="147"/>
      <c r="U998" s="147"/>
      <c r="V998" s="147"/>
    </row>
    <row r="999" spans="1:22">
      <c r="A999" s="157"/>
      <c r="F999" s="3"/>
      <c r="G999" s="3"/>
      <c r="N999" s="157"/>
      <c r="O999" s="157"/>
      <c r="Q999" s="147"/>
      <c r="R999" s="147"/>
      <c r="S999" s="147"/>
      <c r="T999" s="147"/>
      <c r="U999" s="147"/>
      <c r="V999" s="147"/>
    </row>
    <row r="1000" spans="1:22">
      <c r="A1000" s="157"/>
      <c r="F1000" s="3"/>
      <c r="G1000" s="3"/>
      <c r="N1000" s="157"/>
      <c r="O1000" s="157"/>
      <c r="Q1000" s="147"/>
      <c r="R1000" s="147"/>
      <c r="S1000" s="147"/>
      <c r="T1000" s="147"/>
      <c r="U1000" s="147"/>
      <c r="V1000" s="147"/>
    </row>
    <row r="1001" spans="1:22">
      <c r="A1001" s="157"/>
      <c r="F1001" s="3"/>
      <c r="G1001" s="3"/>
      <c r="N1001" s="157"/>
      <c r="O1001" s="157"/>
      <c r="Q1001" s="147"/>
      <c r="R1001" s="147"/>
      <c r="S1001" s="147"/>
      <c r="T1001" s="147"/>
      <c r="U1001" s="147"/>
      <c r="V1001" s="147"/>
    </row>
    <row r="1002" spans="1:22">
      <c r="A1002" s="157"/>
      <c r="F1002" s="3"/>
      <c r="G1002" s="3"/>
      <c r="N1002" s="157"/>
      <c r="O1002" s="157"/>
      <c r="Q1002" s="147"/>
      <c r="R1002" s="147"/>
      <c r="S1002" s="147"/>
      <c r="T1002" s="147"/>
      <c r="U1002" s="147"/>
      <c r="V1002" s="147"/>
    </row>
    <row r="1003" spans="1:22">
      <c r="A1003" s="157"/>
      <c r="F1003" s="3"/>
      <c r="G1003" s="3"/>
      <c r="N1003" s="157"/>
      <c r="O1003" s="157"/>
      <c r="Q1003" s="147"/>
      <c r="R1003" s="147"/>
      <c r="S1003" s="147"/>
      <c r="T1003" s="147"/>
      <c r="U1003" s="147"/>
      <c r="V1003" s="147"/>
    </row>
    <row r="1004" spans="1:22">
      <c r="A1004" s="157"/>
      <c r="F1004" s="3"/>
      <c r="G1004" s="3"/>
      <c r="N1004" s="157"/>
      <c r="O1004" s="157"/>
      <c r="Q1004" s="147"/>
      <c r="R1004" s="147"/>
      <c r="S1004" s="147"/>
      <c r="T1004" s="147"/>
      <c r="U1004" s="147"/>
      <c r="V1004" s="147"/>
    </row>
    <row r="1005" spans="1:22">
      <c r="A1005" s="157"/>
      <c r="F1005" s="3"/>
      <c r="G1005" s="3"/>
      <c r="N1005" s="157"/>
      <c r="O1005" s="157"/>
      <c r="Q1005" s="147"/>
      <c r="R1005" s="147"/>
      <c r="S1005" s="147"/>
      <c r="T1005" s="147"/>
      <c r="U1005" s="147"/>
      <c r="V1005" s="147"/>
    </row>
    <row r="1006" spans="1:22">
      <c r="A1006" s="157"/>
      <c r="F1006" s="3"/>
      <c r="G1006" s="3"/>
      <c r="N1006" s="157"/>
      <c r="O1006" s="157"/>
      <c r="Q1006" s="147"/>
      <c r="R1006" s="147"/>
      <c r="S1006" s="147"/>
      <c r="T1006" s="147"/>
      <c r="U1006" s="147"/>
      <c r="V1006" s="147"/>
    </row>
    <row r="1007" spans="1:22">
      <c r="A1007" s="157"/>
      <c r="F1007" s="3"/>
      <c r="G1007" s="3"/>
      <c r="N1007" s="157"/>
      <c r="O1007" s="157"/>
      <c r="Q1007" s="147"/>
      <c r="R1007" s="147"/>
      <c r="S1007" s="147"/>
      <c r="T1007" s="147"/>
      <c r="U1007" s="147"/>
      <c r="V1007" s="147"/>
    </row>
    <row r="1008" spans="1:22">
      <c r="A1008" s="157"/>
      <c r="F1008" s="3"/>
      <c r="G1008" s="3"/>
      <c r="N1008" s="157"/>
      <c r="O1008" s="157"/>
      <c r="Q1008" s="147"/>
      <c r="R1008" s="147"/>
      <c r="S1008" s="147"/>
      <c r="T1008" s="147"/>
      <c r="U1008" s="147"/>
      <c r="V1008" s="147"/>
    </row>
    <row r="1009" spans="1:22">
      <c r="A1009" s="157"/>
      <c r="F1009" s="3"/>
      <c r="G1009" s="3"/>
      <c r="N1009" s="157"/>
      <c r="O1009" s="157"/>
      <c r="Q1009" s="147"/>
      <c r="R1009" s="147"/>
      <c r="S1009" s="147"/>
      <c r="T1009" s="147"/>
      <c r="U1009" s="147"/>
      <c r="V1009" s="147"/>
    </row>
    <row r="1010" spans="1:22">
      <c r="A1010" s="157"/>
      <c r="F1010" s="3"/>
      <c r="G1010" s="3"/>
      <c r="N1010" s="157"/>
      <c r="O1010" s="157"/>
      <c r="Q1010" s="147"/>
      <c r="R1010" s="147"/>
      <c r="S1010" s="147"/>
      <c r="T1010" s="147"/>
      <c r="U1010" s="147"/>
      <c r="V1010" s="147"/>
    </row>
    <row r="1011" spans="1:22">
      <c r="A1011" s="157"/>
      <c r="F1011" s="3"/>
      <c r="G1011" s="3"/>
      <c r="N1011" s="157"/>
      <c r="O1011" s="157"/>
      <c r="Q1011" s="147"/>
      <c r="R1011" s="147"/>
      <c r="S1011" s="147"/>
      <c r="T1011" s="147"/>
      <c r="U1011" s="147"/>
      <c r="V1011" s="147"/>
    </row>
    <row r="1012" spans="1:22">
      <c r="A1012" s="157"/>
      <c r="F1012" s="3"/>
      <c r="G1012" s="3"/>
      <c r="N1012" s="157"/>
      <c r="O1012" s="157"/>
      <c r="Q1012" s="147"/>
      <c r="R1012" s="147"/>
      <c r="S1012" s="147"/>
      <c r="T1012" s="147"/>
      <c r="U1012" s="147"/>
      <c r="V1012" s="147"/>
    </row>
    <row r="1013" spans="1:22">
      <c r="A1013" s="157"/>
      <c r="F1013" s="3"/>
      <c r="G1013" s="3"/>
      <c r="N1013" s="157"/>
      <c r="O1013" s="157"/>
      <c r="Q1013" s="147"/>
      <c r="R1013" s="147"/>
      <c r="S1013" s="147"/>
      <c r="T1013" s="147"/>
      <c r="U1013" s="147"/>
      <c r="V1013" s="147"/>
    </row>
    <row r="1014" spans="1:22">
      <c r="A1014" s="157"/>
      <c r="F1014" s="3"/>
      <c r="G1014" s="3"/>
      <c r="N1014" s="157"/>
      <c r="O1014" s="157"/>
      <c r="Q1014" s="147"/>
      <c r="R1014" s="147"/>
      <c r="S1014" s="147"/>
      <c r="T1014" s="147"/>
      <c r="U1014" s="147"/>
      <c r="V1014" s="147"/>
    </row>
    <row r="1015" spans="1:22">
      <c r="A1015" s="157"/>
      <c r="F1015" s="3"/>
      <c r="G1015" s="3"/>
      <c r="N1015" s="157"/>
      <c r="O1015" s="157"/>
      <c r="Q1015" s="147"/>
      <c r="R1015" s="147"/>
      <c r="S1015" s="147"/>
      <c r="T1015" s="147"/>
      <c r="U1015" s="147"/>
      <c r="V1015" s="147"/>
    </row>
    <row r="1016" spans="1:22">
      <c r="A1016" s="157"/>
      <c r="F1016" s="3"/>
      <c r="G1016" s="3"/>
      <c r="N1016" s="157"/>
      <c r="O1016" s="157"/>
      <c r="Q1016" s="147"/>
      <c r="R1016" s="147"/>
      <c r="S1016" s="147"/>
      <c r="T1016" s="147"/>
      <c r="U1016" s="147"/>
      <c r="V1016" s="147"/>
    </row>
    <row r="1017" spans="1:22">
      <c r="A1017" s="157"/>
      <c r="F1017" s="3"/>
      <c r="G1017" s="3"/>
      <c r="N1017" s="157"/>
      <c r="O1017" s="157"/>
      <c r="Q1017" s="147"/>
      <c r="R1017" s="147"/>
      <c r="S1017" s="147"/>
      <c r="T1017" s="147"/>
      <c r="U1017" s="147"/>
      <c r="V1017" s="147"/>
    </row>
    <row r="1018" spans="1:22">
      <c r="A1018" s="157"/>
      <c r="F1018" s="3"/>
      <c r="G1018" s="3"/>
      <c r="N1018" s="157"/>
      <c r="O1018" s="157"/>
      <c r="Q1018" s="147"/>
      <c r="R1018" s="147"/>
      <c r="S1018" s="147"/>
      <c r="T1018" s="147"/>
      <c r="U1018" s="147"/>
      <c r="V1018" s="147"/>
    </row>
    <row r="1019" spans="1:22">
      <c r="A1019" s="157"/>
      <c r="F1019" s="3"/>
      <c r="G1019" s="3"/>
      <c r="N1019" s="157"/>
      <c r="O1019" s="157"/>
      <c r="Q1019" s="147"/>
      <c r="R1019" s="147"/>
      <c r="S1019" s="147"/>
      <c r="T1019" s="147"/>
      <c r="U1019" s="147"/>
      <c r="V1019" s="147"/>
    </row>
    <row r="1020" spans="1:22">
      <c r="A1020" s="157"/>
      <c r="F1020" s="3"/>
      <c r="G1020" s="3"/>
      <c r="N1020" s="157"/>
      <c r="O1020" s="157"/>
      <c r="Q1020" s="147"/>
      <c r="R1020" s="147"/>
      <c r="S1020" s="147"/>
      <c r="T1020" s="147"/>
      <c r="U1020" s="147"/>
      <c r="V1020" s="147"/>
    </row>
    <row r="1021" spans="1:22">
      <c r="A1021" s="157"/>
      <c r="F1021" s="3"/>
      <c r="G1021" s="3"/>
      <c r="N1021" s="157"/>
      <c r="O1021" s="157"/>
      <c r="Q1021" s="147"/>
      <c r="R1021" s="147"/>
      <c r="S1021" s="147"/>
      <c r="T1021" s="147"/>
      <c r="U1021" s="147"/>
      <c r="V1021" s="147"/>
    </row>
    <row r="1022" spans="1:22">
      <c r="A1022" s="157"/>
      <c r="F1022" s="3"/>
      <c r="G1022" s="3"/>
      <c r="N1022" s="157"/>
      <c r="O1022" s="157"/>
      <c r="Q1022" s="147"/>
      <c r="R1022" s="147"/>
      <c r="S1022" s="147"/>
      <c r="T1022" s="147"/>
      <c r="U1022" s="147"/>
      <c r="V1022" s="147"/>
    </row>
    <row r="1023" spans="1:22">
      <c r="A1023" s="157"/>
      <c r="F1023" s="3"/>
      <c r="G1023" s="3"/>
      <c r="N1023" s="157"/>
      <c r="O1023" s="157"/>
      <c r="Q1023" s="147"/>
      <c r="R1023" s="147"/>
      <c r="S1023" s="147"/>
      <c r="T1023" s="147"/>
      <c r="U1023" s="147"/>
      <c r="V1023" s="147"/>
    </row>
    <row r="1024" spans="1:22">
      <c r="A1024" s="157"/>
      <c r="F1024" s="3"/>
      <c r="G1024" s="3"/>
      <c r="N1024" s="157"/>
      <c r="O1024" s="157"/>
      <c r="Q1024" s="147"/>
      <c r="R1024" s="147"/>
      <c r="S1024" s="147"/>
      <c r="T1024" s="147"/>
      <c r="U1024" s="147"/>
      <c r="V1024" s="147"/>
    </row>
    <row r="1025" spans="1:22">
      <c r="A1025" s="157"/>
      <c r="F1025" s="3"/>
      <c r="G1025" s="3"/>
      <c r="N1025" s="157"/>
      <c r="O1025" s="157"/>
      <c r="Q1025" s="147"/>
      <c r="R1025" s="147"/>
      <c r="S1025" s="147"/>
      <c r="T1025" s="147"/>
      <c r="U1025" s="147"/>
      <c r="V1025" s="147"/>
    </row>
    <row r="1026" spans="1:22">
      <c r="A1026" s="157"/>
      <c r="F1026" s="3"/>
      <c r="G1026" s="3"/>
      <c r="N1026" s="157"/>
      <c r="O1026" s="157"/>
      <c r="Q1026" s="147"/>
      <c r="R1026" s="147"/>
      <c r="S1026" s="147"/>
      <c r="T1026" s="147"/>
      <c r="U1026" s="147"/>
      <c r="V1026" s="147"/>
    </row>
    <row r="1027" spans="1:22">
      <c r="A1027" s="157"/>
      <c r="F1027" s="3"/>
      <c r="G1027" s="3"/>
      <c r="N1027" s="157"/>
      <c r="O1027" s="157"/>
      <c r="Q1027" s="147"/>
      <c r="R1027" s="147"/>
      <c r="S1027" s="147"/>
      <c r="T1027" s="147"/>
      <c r="U1027" s="147"/>
      <c r="V1027" s="147"/>
    </row>
    <row r="1028" spans="1:22">
      <c r="A1028" s="157"/>
      <c r="F1028" s="3"/>
      <c r="G1028" s="3"/>
      <c r="N1028" s="157"/>
      <c r="O1028" s="157"/>
      <c r="Q1028" s="147"/>
      <c r="R1028" s="147"/>
      <c r="S1028" s="147"/>
      <c r="T1028" s="147"/>
      <c r="U1028" s="147"/>
      <c r="V1028" s="147"/>
    </row>
    <row r="1029" spans="1:22">
      <c r="A1029" s="157"/>
      <c r="F1029" s="3"/>
      <c r="G1029" s="3"/>
      <c r="N1029" s="157"/>
      <c r="O1029" s="157"/>
      <c r="Q1029" s="147"/>
      <c r="R1029" s="147"/>
      <c r="S1029" s="147"/>
      <c r="T1029" s="147"/>
      <c r="U1029" s="147"/>
      <c r="V1029" s="147"/>
    </row>
    <row r="1030" spans="1:22">
      <c r="A1030" s="157"/>
      <c r="F1030" s="3"/>
      <c r="G1030" s="3"/>
      <c r="N1030" s="157"/>
      <c r="O1030" s="157"/>
      <c r="Q1030" s="147"/>
      <c r="R1030" s="147"/>
      <c r="S1030" s="147"/>
      <c r="T1030" s="147"/>
      <c r="U1030" s="147"/>
      <c r="V1030" s="147"/>
    </row>
    <row r="1031" spans="1:22">
      <c r="A1031" s="157"/>
      <c r="F1031" s="3"/>
      <c r="G1031" s="3"/>
      <c r="N1031" s="157"/>
      <c r="O1031" s="157"/>
      <c r="Q1031" s="147"/>
      <c r="R1031" s="147"/>
      <c r="S1031" s="147"/>
      <c r="T1031" s="147"/>
      <c r="U1031" s="147"/>
      <c r="V1031" s="147"/>
    </row>
    <row r="1032" spans="1:22">
      <c r="A1032" s="157"/>
      <c r="F1032" s="3"/>
      <c r="G1032" s="3"/>
      <c r="N1032" s="157"/>
      <c r="O1032" s="157"/>
      <c r="Q1032" s="147"/>
      <c r="R1032" s="147"/>
      <c r="S1032" s="147"/>
      <c r="T1032" s="147"/>
      <c r="U1032" s="147"/>
      <c r="V1032" s="147"/>
    </row>
    <row r="1033" spans="1:22">
      <c r="A1033" s="157"/>
      <c r="F1033" s="3"/>
      <c r="G1033" s="3"/>
      <c r="N1033" s="157"/>
      <c r="O1033" s="157"/>
      <c r="Q1033" s="147"/>
      <c r="R1033" s="147"/>
      <c r="S1033" s="147"/>
      <c r="T1033" s="147"/>
      <c r="U1033" s="147"/>
      <c r="V1033" s="147"/>
    </row>
    <row r="1034" spans="1:22">
      <c r="A1034" s="157"/>
      <c r="F1034" s="3"/>
      <c r="G1034" s="3"/>
      <c r="N1034" s="157"/>
      <c r="O1034" s="157"/>
      <c r="Q1034" s="147"/>
      <c r="R1034" s="147"/>
      <c r="S1034" s="147"/>
      <c r="T1034" s="147"/>
      <c r="U1034" s="147"/>
      <c r="V1034" s="147"/>
    </row>
    <row r="1035" spans="1:22">
      <c r="A1035" s="157"/>
      <c r="F1035" s="3"/>
      <c r="G1035" s="3"/>
      <c r="N1035" s="157"/>
      <c r="O1035" s="157"/>
      <c r="Q1035" s="147"/>
      <c r="R1035" s="147"/>
      <c r="S1035" s="147"/>
      <c r="T1035" s="147"/>
      <c r="U1035" s="147"/>
      <c r="V1035" s="147"/>
    </row>
    <row r="1036" spans="1:22">
      <c r="A1036" s="157"/>
      <c r="F1036" s="3"/>
      <c r="G1036" s="3"/>
      <c r="N1036" s="157"/>
      <c r="O1036" s="157"/>
      <c r="Q1036" s="147"/>
      <c r="R1036" s="147"/>
      <c r="S1036" s="147"/>
      <c r="T1036" s="147"/>
      <c r="U1036" s="147"/>
      <c r="V1036" s="147"/>
    </row>
    <row r="1037" spans="1:22">
      <c r="A1037" s="157"/>
      <c r="F1037" s="3"/>
      <c r="G1037" s="3"/>
      <c r="N1037" s="157"/>
      <c r="O1037" s="157"/>
      <c r="Q1037" s="147"/>
      <c r="R1037" s="147"/>
      <c r="S1037" s="147"/>
      <c r="T1037" s="147"/>
      <c r="U1037" s="147"/>
      <c r="V1037" s="147"/>
    </row>
    <row r="1038" spans="1:22">
      <c r="A1038" s="157"/>
      <c r="F1038" s="3"/>
      <c r="G1038" s="3"/>
      <c r="N1038" s="157"/>
      <c r="O1038" s="157"/>
      <c r="Q1038" s="147"/>
      <c r="R1038" s="147"/>
      <c r="S1038" s="147"/>
      <c r="T1038" s="147"/>
      <c r="U1038" s="147"/>
      <c r="V1038" s="147"/>
    </row>
    <row r="1039" spans="1:22">
      <c r="A1039" s="157"/>
      <c r="F1039" s="3"/>
      <c r="G1039" s="3"/>
      <c r="N1039" s="157"/>
      <c r="O1039" s="157"/>
      <c r="Q1039" s="147"/>
      <c r="R1039" s="147"/>
      <c r="S1039" s="147"/>
      <c r="T1039" s="147"/>
      <c r="U1039" s="147"/>
      <c r="V1039" s="147"/>
    </row>
    <row r="1040" spans="1:22">
      <c r="A1040" s="157"/>
      <c r="F1040" s="3"/>
      <c r="G1040" s="3"/>
      <c r="N1040" s="157"/>
      <c r="O1040" s="157"/>
      <c r="Q1040" s="147"/>
      <c r="R1040" s="147"/>
      <c r="S1040" s="147"/>
      <c r="T1040" s="147"/>
      <c r="U1040" s="147"/>
      <c r="V1040" s="147"/>
    </row>
    <row r="1041" spans="1:22">
      <c r="A1041" s="157"/>
      <c r="F1041" s="3"/>
      <c r="G1041" s="3"/>
      <c r="N1041" s="157"/>
      <c r="O1041" s="157"/>
      <c r="Q1041" s="147"/>
      <c r="R1041" s="147"/>
      <c r="S1041" s="147"/>
      <c r="T1041" s="147"/>
      <c r="U1041" s="147"/>
      <c r="V1041" s="147"/>
    </row>
    <row r="1042" spans="1:22">
      <c r="A1042" s="157"/>
      <c r="F1042" s="3"/>
      <c r="G1042" s="3"/>
      <c r="N1042" s="157"/>
      <c r="O1042" s="157"/>
      <c r="Q1042" s="147"/>
      <c r="R1042" s="147"/>
      <c r="S1042" s="147"/>
      <c r="T1042" s="147"/>
      <c r="U1042" s="147"/>
      <c r="V1042" s="147"/>
    </row>
    <row r="1043" spans="1:22">
      <c r="A1043" s="157"/>
      <c r="F1043" s="3"/>
      <c r="G1043" s="3"/>
      <c r="N1043" s="157"/>
      <c r="O1043" s="157"/>
      <c r="Q1043" s="147"/>
      <c r="R1043" s="147"/>
      <c r="S1043" s="147"/>
      <c r="T1043" s="147"/>
      <c r="U1043" s="147"/>
      <c r="V1043" s="147"/>
    </row>
    <row r="1044" spans="1:22">
      <c r="A1044" s="157"/>
      <c r="F1044" s="3"/>
      <c r="G1044" s="3"/>
      <c r="N1044" s="157"/>
      <c r="O1044" s="157"/>
      <c r="Q1044" s="147"/>
      <c r="R1044" s="147"/>
      <c r="S1044" s="147"/>
      <c r="T1044" s="147"/>
      <c r="U1044" s="147"/>
      <c r="V1044" s="147"/>
    </row>
    <row r="1045" spans="1:22">
      <c r="A1045" s="157"/>
      <c r="F1045" s="3"/>
      <c r="G1045" s="3"/>
      <c r="N1045" s="157"/>
      <c r="O1045" s="157"/>
      <c r="Q1045" s="147"/>
      <c r="R1045" s="147"/>
      <c r="S1045" s="147"/>
      <c r="T1045" s="147"/>
      <c r="U1045" s="147"/>
      <c r="V1045" s="147"/>
    </row>
    <row r="1046" spans="1:22">
      <c r="A1046" s="157"/>
      <c r="F1046" s="3"/>
      <c r="G1046" s="3"/>
      <c r="N1046" s="157"/>
      <c r="O1046" s="157"/>
      <c r="Q1046" s="147"/>
      <c r="R1046" s="147"/>
      <c r="S1046" s="147"/>
      <c r="T1046" s="147"/>
      <c r="U1046" s="147"/>
      <c r="V1046" s="147"/>
    </row>
    <row r="1047" spans="1:22">
      <c r="A1047" s="157"/>
      <c r="F1047" s="3"/>
      <c r="G1047" s="3"/>
      <c r="N1047" s="157"/>
      <c r="O1047" s="157"/>
      <c r="Q1047" s="147"/>
      <c r="R1047" s="147"/>
      <c r="S1047" s="147"/>
      <c r="T1047" s="147"/>
      <c r="U1047" s="147"/>
      <c r="V1047" s="147"/>
    </row>
    <row r="1048" spans="1:22">
      <c r="A1048" s="157"/>
      <c r="F1048" s="3"/>
      <c r="G1048" s="3"/>
      <c r="N1048" s="157"/>
      <c r="O1048" s="157"/>
      <c r="Q1048" s="147"/>
      <c r="R1048" s="147"/>
      <c r="S1048" s="147"/>
      <c r="T1048" s="147"/>
      <c r="U1048" s="147"/>
      <c r="V1048" s="147"/>
    </row>
    <row r="1049" spans="1:22">
      <c r="A1049" s="157"/>
      <c r="F1049" s="3"/>
      <c r="G1049" s="3"/>
      <c r="N1049" s="157"/>
      <c r="O1049" s="157"/>
      <c r="Q1049" s="147"/>
      <c r="R1049" s="147"/>
      <c r="S1049" s="147"/>
      <c r="T1049" s="147"/>
      <c r="U1049" s="147"/>
      <c r="V1049" s="147"/>
    </row>
    <row r="1050" spans="1:22">
      <c r="A1050" s="157"/>
      <c r="F1050" s="3"/>
      <c r="G1050" s="3"/>
      <c r="N1050" s="157"/>
      <c r="O1050" s="157"/>
      <c r="Q1050" s="147"/>
      <c r="R1050" s="147"/>
      <c r="S1050" s="147"/>
      <c r="T1050" s="147"/>
      <c r="U1050" s="147"/>
      <c r="V1050" s="147"/>
    </row>
    <row r="1051" spans="1:22">
      <c r="A1051" s="157"/>
      <c r="F1051" s="3"/>
      <c r="G1051" s="3"/>
      <c r="N1051" s="157"/>
      <c r="O1051" s="157"/>
      <c r="Q1051" s="147"/>
      <c r="R1051" s="147"/>
      <c r="S1051" s="147"/>
      <c r="T1051" s="147"/>
      <c r="U1051" s="147"/>
      <c r="V1051" s="147"/>
    </row>
    <row r="1052" spans="1:22">
      <c r="A1052" s="157"/>
      <c r="F1052" s="3"/>
      <c r="G1052" s="3"/>
      <c r="N1052" s="157"/>
      <c r="O1052" s="157"/>
      <c r="Q1052" s="147"/>
      <c r="R1052" s="147"/>
      <c r="S1052" s="147"/>
      <c r="T1052" s="147"/>
      <c r="U1052" s="147"/>
      <c r="V1052" s="147"/>
    </row>
    <row r="1053" spans="1:22">
      <c r="A1053" s="157"/>
      <c r="F1053" s="3"/>
      <c r="G1053" s="3"/>
      <c r="N1053" s="157"/>
      <c r="O1053" s="157"/>
      <c r="Q1053" s="147"/>
      <c r="R1053" s="147"/>
      <c r="S1053" s="147"/>
      <c r="T1053" s="147"/>
      <c r="U1053" s="147"/>
      <c r="V1053" s="147"/>
    </row>
    <row r="1054" spans="1:22">
      <c r="A1054" s="157"/>
      <c r="F1054" s="3"/>
      <c r="G1054" s="3"/>
      <c r="N1054" s="157"/>
      <c r="O1054" s="157"/>
      <c r="Q1054" s="147"/>
      <c r="R1054" s="147"/>
      <c r="S1054" s="147"/>
      <c r="T1054" s="147"/>
      <c r="U1054" s="147"/>
      <c r="V1054" s="147"/>
    </row>
    <row r="1055" spans="1:22">
      <c r="A1055" s="157"/>
      <c r="F1055" s="3"/>
      <c r="G1055" s="3"/>
      <c r="N1055" s="157"/>
      <c r="O1055" s="157"/>
      <c r="Q1055" s="147"/>
      <c r="R1055" s="147"/>
      <c r="S1055" s="147"/>
      <c r="T1055" s="147"/>
      <c r="U1055" s="147"/>
      <c r="V1055" s="147"/>
    </row>
    <row r="1056" spans="1:22">
      <c r="A1056" s="157"/>
      <c r="F1056" s="3"/>
      <c r="G1056" s="3"/>
      <c r="N1056" s="157"/>
      <c r="O1056" s="157"/>
      <c r="Q1056" s="147"/>
      <c r="R1056" s="147"/>
      <c r="S1056" s="147"/>
      <c r="T1056" s="147"/>
      <c r="U1056" s="147"/>
      <c r="V1056" s="147"/>
    </row>
    <row r="1057" spans="1:22">
      <c r="A1057" s="157"/>
      <c r="F1057" s="3"/>
      <c r="G1057" s="3"/>
      <c r="N1057" s="157"/>
      <c r="O1057" s="157"/>
      <c r="Q1057" s="147"/>
      <c r="R1057" s="147"/>
      <c r="S1057" s="147"/>
      <c r="T1057" s="147"/>
      <c r="U1057" s="147"/>
      <c r="V1057" s="147"/>
    </row>
    <row r="1058" spans="1:22">
      <c r="A1058" s="157"/>
      <c r="F1058" s="3"/>
      <c r="G1058" s="3"/>
      <c r="N1058" s="157"/>
      <c r="O1058" s="157"/>
      <c r="Q1058" s="147"/>
      <c r="R1058" s="147"/>
      <c r="S1058" s="147"/>
      <c r="T1058" s="147"/>
      <c r="U1058" s="147"/>
      <c r="V1058" s="147"/>
    </row>
    <row r="1059" spans="1:22">
      <c r="A1059" s="157"/>
      <c r="F1059" s="3"/>
      <c r="G1059" s="3"/>
      <c r="N1059" s="157"/>
      <c r="O1059" s="157"/>
      <c r="Q1059" s="147"/>
      <c r="R1059" s="147"/>
      <c r="S1059" s="147"/>
      <c r="T1059" s="147"/>
      <c r="U1059" s="147"/>
      <c r="V1059" s="147"/>
    </row>
    <row r="1060" spans="1:22">
      <c r="A1060" s="157"/>
      <c r="F1060" s="3"/>
      <c r="G1060" s="3"/>
      <c r="N1060" s="157"/>
      <c r="O1060" s="157"/>
      <c r="Q1060" s="147"/>
      <c r="R1060" s="147"/>
      <c r="S1060" s="147"/>
      <c r="T1060" s="147"/>
      <c r="U1060" s="147"/>
      <c r="V1060" s="147"/>
    </row>
    <row r="1061" spans="1:22">
      <c r="A1061" s="157"/>
      <c r="F1061" s="3"/>
      <c r="G1061" s="3"/>
      <c r="N1061" s="157"/>
      <c r="O1061" s="157"/>
      <c r="Q1061" s="147"/>
      <c r="R1061" s="147"/>
      <c r="S1061" s="147"/>
      <c r="T1061" s="147"/>
      <c r="U1061" s="147"/>
      <c r="V1061" s="147"/>
    </row>
    <row r="1062" spans="1:22">
      <c r="A1062" s="157"/>
      <c r="F1062" s="3"/>
      <c r="G1062" s="3"/>
      <c r="N1062" s="157"/>
      <c r="O1062" s="157"/>
      <c r="Q1062" s="147"/>
      <c r="R1062" s="147"/>
      <c r="S1062" s="147"/>
      <c r="T1062" s="147"/>
      <c r="U1062" s="147"/>
      <c r="V1062" s="147"/>
    </row>
    <row r="1063" spans="1:22">
      <c r="A1063" s="157"/>
      <c r="F1063" s="3"/>
      <c r="G1063" s="3"/>
      <c r="N1063" s="157"/>
      <c r="O1063" s="157"/>
      <c r="Q1063" s="147"/>
      <c r="R1063" s="147"/>
      <c r="S1063" s="147"/>
      <c r="T1063" s="147"/>
      <c r="U1063" s="147"/>
      <c r="V1063" s="147"/>
    </row>
    <row r="1064" spans="1:22">
      <c r="A1064" s="157"/>
      <c r="F1064" s="3"/>
      <c r="G1064" s="3"/>
      <c r="N1064" s="157"/>
      <c r="O1064" s="157"/>
      <c r="Q1064" s="147"/>
      <c r="R1064" s="147"/>
      <c r="S1064" s="147"/>
      <c r="T1064" s="147"/>
      <c r="U1064" s="147"/>
      <c r="V1064" s="147"/>
    </row>
    <row r="1065" spans="1:22">
      <c r="A1065" s="157"/>
      <c r="F1065" s="3"/>
      <c r="G1065" s="3"/>
      <c r="N1065" s="157"/>
      <c r="O1065" s="157"/>
      <c r="Q1065" s="147"/>
      <c r="R1065" s="147"/>
      <c r="S1065" s="147"/>
      <c r="T1065" s="147"/>
      <c r="U1065" s="147"/>
      <c r="V1065" s="147"/>
    </row>
    <row r="1066" spans="1:22">
      <c r="A1066" s="157"/>
      <c r="F1066" s="3"/>
      <c r="G1066" s="3"/>
      <c r="N1066" s="157"/>
      <c r="O1066" s="157"/>
      <c r="Q1066" s="147"/>
      <c r="R1066" s="147"/>
      <c r="S1066" s="147"/>
      <c r="T1066" s="147"/>
      <c r="U1066" s="147"/>
      <c r="V1066" s="147"/>
    </row>
    <row r="1067" spans="1:22">
      <c r="A1067" s="157"/>
      <c r="F1067" s="3"/>
      <c r="G1067" s="3"/>
      <c r="N1067" s="157"/>
      <c r="O1067" s="157"/>
      <c r="Q1067" s="147"/>
      <c r="R1067" s="147"/>
      <c r="S1067" s="147"/>
      <c r="T1067" s="147"/>
      <c r="U1067" s="147"/>
      <c r="V1067" s="147"/>
    </row>
    <row r="1068" spans="1:22">
      <c r="A1068" s="157"/>
      <c r="F1068" s="3"/>
      <c r="G1068" s="3"/>
      <c r="N1068" s="157"/>
      <c r="O1068" s="157"/>
      <c r="Q1068" s="147"/>
      <c r="R1068" s="147"/>
      <c r="S1068" s="147"/>
      <c r="T1068" s="147"/>
      <c r="U1068" s="147"/>
      <c r="V1068" s="147"/>
    </row>
    <row r="1069" spans="1:22">
      <c r="A1069" s="157"/>
      <c r="F1069" s="3"/>
      <c r="G1069" s="3"/>
      <c r="N1069" s="157"/>
      <c r="O1069" s="157"/>
      <c r="Q1069" s="147"/>
      <c r="R1069" s="147"/>
      <c r="S1069" s="147"/>
      <c r="T1069" s="147"/>
      <c r="U1069" s="147"/>
      <c r="V1069" s="147"/>
    </row>
    <row r="1070" spans="1:22">
      <c r="A1070" s="157"/>
      <c r="F1070" s="3"/>
      <c r="G1070" s="3"/>
      <c r="N1070" s="157"/>
      <c r="O1070" s="157"/>
      <c r="Q1070" s="147"/>
      <c r="R1070" s="147"/>
      <c r="S1070" s="147"/>
      <c r="T1070" s="147"/>
      <c r="U1070" s="147"/>
      <c r="V1070" s="147"/>
    </row>
    <row r="1071" spans="1:22">
      <c r="A1071" s="157"/>
      <c r="F1071" s="3"/>
      <c r="G1071" s="3"/>
      <c r="N1071" s="157"/>
      <c r="O1071" s="157"/>
      <c r="Q1071" s="147"/>
      <c r="R1071" s="147"/>
      <c r="S1071" s="147"/>
      <c r="T1071" s="147"/>
      <c r="U1071" s="147"/>
      <c r="V1071" s="147"/>
    </row>
    <row r="1072" spans="1:22">
      <c r="A1072" s="157"/>
      <c r="F1072" s="3"/>
      <c r="G1072" s="3"/>
      <c r="N1072" s="157"/>
      <c r="O1072" s="157"/>
      <c r="Q1072" s="147"/>
      <c r="R1072" s="147"/>
      <c r="S1072" s="147"/>
      <c r="T1072" s="147"/>
      <c r="U1072" s="147"/>
      <c r="V1072" s="147"/>
    </row>
    <row r="1073" spans="1:22">
      <c r="A1073" s="157"/>
      <c r="F1073" s="3"/>
      <c r="G1073" s="3"/>
      <c r="N1073" s="157"/>
      <c r="O1073" s="157"/>
      <c r="Q1073" s="147"/>
      <c r="R1073" s="147"/>
      <c r="S1073" s="147"/>
      <c r="T1073" s="147"/>
      <c r="U1073" s="147"/>
      <c r="V1073" s="147"/>
    </row>
    <row r="1074" spans="1:22">
      <c r="A1074" s="157"/>
      <c r="F1074" s="3"/>
      <c r="G1074" s="3"/>
      <c r="N1074" s="157"/>
      <c r="O1074" s="157"/>
      <c r="Q1074" s="147"/>
      <c r="R1074" s="147"/>
      <c r="S1074" s="147"/>
      <c r="T1074" s="147"/>
      <c r="U1074" s="147"/>
      <c r="V1074" s="147"/>
    </row>
    <row r="1075" spans="1:22">
      <c r="A1075" s="157"/>
      <c r="F1075" s="3"/>
      <c r="G1075" s="3"/>
      <c r="N1075" s="157"/>
      <c r="O1075" s="157"/>
      <c r="Q1075" s="147"/>
      <c r="R1075" s="147"/>
      <c r="S1075" s="147"/>
      <c r="T1075" s="147"/>
      <c r="U1075" s="147"/>
      <c r="V1075" s="147"/>
    </row>
    <row r="1076" spans="1:22">
      <c r="A1076" s="157"/>
      <c r="F1076" s="3"/>
      <c r="G1076" s="3"/>
      <c r="N1076" s="157"/>
      <c r="O1076" s="157"/>
      <c r="Q1076" s="147"/>
      <c r="R1076" s="147"/>
      <c r="S1076" s="147"/>
      <c r="T1076" s="147"/>
      <c r="U1076" s="147"/>
      <c r="V1076" s="147"/>
    </row>
    <row r="1077" spans="1:22">
      <c r="A1077" s="157"/>
      <c r="F1077" s="3"/>
      <c r="G1077" s="3"/>
      <c r="N1077" s="157"/>
      <c r="O1077" s="157"/>
      <c r="Q1077" s="147"/>
      <c r="R1077" s="147"/>
      <c r="S1077" s="147"/>
      <c r="T1077" s="147"/>
      <c r="U1077" s="147"/>
      <c r="V1077" s="147"/>
    </row>
    <row r="1078" spans="1:22">
      <c r="A1078" s="157"/>
      <c r="F1078" s="3"/>
      <c r="G1078" s="3"/>
      <c r="N1078" s="157"/>
      <c r="O1078" s="157"/>
      <c r="Q1078" s="147"/>
      <c r="R1078" s="147"/>
      <c r="S1078" s="147"/>
      <c r="T1078" s="147"/>
      <c r="U1078" s="147"/>
      <c r="V1078" s="147"/>
    </row>
    <row r="1079" spans="1:22">
      <c r="A1079" s="157"/>
      <c r="F1079" s="3"/>
      <c r="G1079" s="3"/>
      <c r="N1079" s="157"/>
      <c r="O1079" s="157"/>
      <c r="Q1079" s="147"/>
      <c r="R1079" s="147"/>
      <c r="S1079" s="147"/>
      <c r="T1079" s="147"/>
      <c r="U1079" s="147"/>
      <c r="V1079" s="147"/>
    </row>
    <row r="1080" spans="1:22">
      <c r="A1080" s="157"/>
      <c r="F1080" s="3"/>
      <c r="G1080" s="3"/>
      <c r="N1080" s="157"/>
      <c r="O1080" s="157"/>
      <c r="Q1080" s="147"/>
      <c r="R1080" s="147"/>
      <c r="S1080" s="147"/>
      <c r="T1080" s="147"/>
      <c r="U1080" s="147"/>
      <c r="V1080" s="147"/>
    </row>
    <row r="1081" spans="1:22">
      <c r="A1081" s="157"/>
      <c r="F1081" s="3"/>
      <c r="G1081" s="3"/>
      <c r="N1081" s="157"/>
      <c r="O1081" s="157"/>
      <c r="Q1081" s="147"/>
      <c r="R1081" s="147"/>
      <c r="S1081" s="147"/>
      <c r="T1081" s="147"/>
      <c r="U1081" s="147"/>
      <c r="V1081" s="147"/>
    </row>
    <row r="1082" spans="1:22">
      <c r="A1082" s="157"/>
      <c r="F1082" s="3"/>
      <c r="G1082" s="3"/>
      <c r="N1082" s="157"/>
      <c r="O1082" s="157"/>
      <c r="Q1082" s="147"/>
      <c r="R1082" s="147"/>
      <c r="S1082" s="147"/>
      <c r="T1082" s="147"/>
      <c r="U1082" s="147"/>
      <c r="V1082" s="147"/>
    </row>
    <row r="1083" spans="1:22">
      <c r="A1083" s="157"/>
      <c r="F1083" s="3"/>
      <c r="G1083" s="3"/>
      <c r="N1083" s="157"/>
      <c r="O1083" s="157"/>
      <c r="Q1083" s="147"/>
      <c r="R1083" s="147"/>
      <c r="S1083" s="147"/>
      <c r="T1083" s="147"/>
      <c r="U1083" s="147"/>
      <c r="V1083" s="147"/>
    </row>
    <row r="1084" spans="1:22">
      <c r="A1084" s="157"/>
      <c r="F1084" s="3"/>
      <c r="G1084" s="3"/>
      <c r="N1084" s="157"/>
      <c r="O1084" s="157"/>
      <c r="Q1084" s="147"/>
      <c r="R1084" s="147"/>
      <c r="S1084" s="147"/>
      <c r="T1084" s="147"/>
      <c r="U1084" s="147"/>
      <c r="V1084" s="147"/>
    </row>
    <row r="1085" spans="1:22">
      <c r="A1085" s="157"/>
      <c r="F1085" s="3"/>
      <c r="G1085" s="3"/>
      <c r="N1085" s="157"/>
      <c r="O1085" s="157"/>
      <c r="Q1085" s="147"/>
      <c r="R1085" s="147"/>
      <c r="S1085" s="147"/>
      <c r="T1085" s="147"/>
      <c r="U1085" s="147"/>
      <c r="V1085" s="147"/>
    </row>
    <row r="1086" spans="1:22">
      <c r="A1086" s="157"/>
      <c r="F1086" s="3"/>
      <c r="G1086" s="3"/>
      <c r="N1086" s="157"/>
      <c r="O1086" s="157"/>
      <c r="Q1086" s="147"/>
      <c r="R1086" s="147"/>
      <c r="S1086" s="147"/>
      <c r="T1086" s="147"/>
      <c r="U1086" s="147"/>
      <c r="V1086" s="147"/>
    </row>
    <row r="1087" spans="1:22">
      <c r="A1087" s="157"/>
      <c r="F1087" s="3"/>
      <c r="G1087" s="3"/>
      <c r="N1087" s="157"/>
      <c r="O1087" s="157"/>
      <c r="Q1087" s="147"/>
      <c r="R1087" s="147"/>
      <c r="S1087" s="147"/>
      <c r="T1087" s="147"/>
      <c r="U1087" s="147"/>
      <c r="V1087" s="147"/>
    </row>
    <row r="1088" spans="1:22">
      <c r="A1088" s="157"/>
      <c r="F1088" s="3"/>
      <c r="G1088" s="3"/>
      <c r="N1088" s="157"/>
      <c r="O1088" s="157"/>
      <c r="Q1088" s="147"/>
      <c r="R1088" s="147"/>
      <c r="S1088" s="147"/>
      <c r="T1088" s="147"/>
      <c r="U1088" s="147"/>
      <c r="V1088" s="147"/>
    </row>
    <row r="1089" spans="1:22">
      <c r="A1089" s="157"/>
      <c r="F1089" s="3"/>
      <c r="G1089" s="3"/>
      <c r="N1089" s="157"/>
      <c r="O1089" s="157"/>
      <c r="Q1089" s="147"/>
      <c r="R1089" s="147"/>
      <c r="S1089" s="147"/>
      <c r="T1089" s="147"/>
      <c r="U1089" s="147"/>
      <c r="V1089" s="147"/>
    </row>
    <row r="1090" spans="1:22">
      <c r="A1090" s="157"/>
      <c r="F1090" s="3"/>
      <c r="G1090" s="3"/>
      <c r="N1090" s="157"/>
      <c r="O1090" s="157"/>
      <c r="Q1090" s="147"/>
      <c r="R1090" s="147"/>
      <c r="S1090" s="147"/>
      <c r="T1090" s="147"/>
      <c r="U1090" s="147"/>
      <c r="V1090" s="147"/>
    </row>
    <row r="1091" spans="1:22">
      <c r="A1091" s="157"/>
      <c r="F1091" s="3"/>
      <c r="G1091" s="3"/>
      <c r="N1091" s="157"/>
      <c r="O1091" s="157"/>
      <c r="Q1091" s="147"/>
      <c r="R1091" s="147"/>
      <c r="S1091" s="147"/>
      <c r="T1091" s="147"/>
      <c r="U1091" s="147"/>
      <c r="V1091" s="147"/>
    </row>
    <row r="1092" spans="1:22">
      <c r="A1092" s="157"/>
      <c r="F1092" s="3"/>
      <c r="G1092" s="3"/>
      <c r="N1092" s="157"/>
      <c r="O1092" s="157"/>
      <c r="Q1092" s="147"/>
      <c r="R1092" s="147"/>
      <c r="S1092" s="147"/>
      <c r="T1092" s="147"/>
      <c r="U1092" s="147"/>
      <c r="V1092" s="147"/>
    </row>
    <row r="1093" spans="1:22">
      <c r="A1093" s="157"/>
      <c r="F1093" s="3"/>
      <c r="G1093" s="3"/>
      <c r="N1093" s="157"/>
      <c r="O1093" s="157"/>
      <c r="Q1093" s="147"/>
      <c r="R1093" s="147"/>
      <c r="S1093" s="147"/>
      <c r="T1093" s="147"/>
      <c r="U1093" s="147"/>
      <c r="V1093" s="147"/>
    </row>
    <row r="1094" spans="1:22">
      <c r="A1094" s="157"/>
      <c r="F1094" s="3"/>
      <c r="G1094" s="3"/>
      <c r="N1094" s="157"/>
      <c r="O1094" s="157"/>
      <c r="Q1094" s="147"/>
      <c r="R1094" s="147"/>
      <c r="S1094" s="147"/>
      <c r="T1094" s="147"/>
      <c r="U1094" s="147"/>
      <c r="V1094" s="147"/>
    </row>
    <row r="1095" spans="1:22">
      <c r="A1095" s="157"/>
      <c r="F1095" s="3"/>
      <c r="G1095" s="3"/>
      <c r="N1095" s="157"/>
      <c r="O1095" s="157"/>
      <c r="Q1095" s="147"/>
      <c r="R1095" s="147"/>
      <c r="S1095" s="147"/>
      <c r="T1095" s="147"/>
      <c r="U1095" s="147"/>
      <c r="V1095" s="147"/>
    </row>
    <row r="1096" spans="1:22">
      <c r="A1096" s="157"/>
      <c r="F1096" s="3"/>
      <c r="G1096" s="3"/>
      <c r="N1096" s="157"/>
      <c r="O1096" s="157"/>
      <c r="Q1096" s="147"/>
      <c r="R1096" s="147"/>
      <c r="S1096" s="147"/>
      <c r="T1096" s="147"/>
      <c r="U1096" s="147"/>
      <c r="V1096" s="147"/>
    </row>
    <row r="1097" spans="1:22">
      <c r="A1097" s="157"/>
      <c r="F1097" s="3"/>
      <c r="G1097" s="3"/>
      <c r="N1097" s="157"/>
      <c r="O1097" s="157"/>
      <c r="Q1097" s="147"/>
      <c r="R1097" s="147"/>
      <c r="S1097" s="147"/>
      <c r="T1097" s="147"/>
      <c r="U1097" s="147"/>
      <c r="V1097" s="147"/>
    </row>
    <row r="1098" spans="1:22">
      <c r="A1098" s="157"/>
      <c r="F1098" s="3"/>
      <c r="G1098" s="3"/>
      <c r="N1098" s="157"/>
      <c r="O1098" s="157"/>
      <c r="Q1098" s="147"/>
      <c r="R1098" s="147"/>
      <c r="S1098" s="147"/>
      <c r="T1098" s="147"/>
      <c r="U1098" s="147"/>
      <c r="V1098" s="147"/>
    </row>
    <row r="1099" spans="1:22">
      <c r="A1099" s="157"/>
      <c r="F1099" s="3"/>
      <c r="G1099" s="3"/>
      <c r="N1099" s="157"/>
      <c r="O1099" s="157"/>
      <c r="Q1099" s="147"/>
      <c r="R1099" s="147"/>
      <c r="S1099" s="147"/>
      <c r="T1099" s="147"/>
      <c r="U1099" s="147"/>
      <c r="V1099" s="147"/>
    </row>
    <row r="1100" spans="1:22">
      <c r="A1100" s="157"/>
      <c r="F1100" s="3"/>
      <c r="G1100" s="3"/>
      <c r="N1100" s="157"/>
      <c r="O1100" s="157"/>
      <c r="Q1100" s="147"/>
      <c r="R1100" s="147"/>
      <c r="S1100" s="147"/>
      <c r="T1100" s="147"/>
      <c r="U1100" s="147"/>
      <c r="V1100" s="147"/>
    </row>
    <row r="1101" spans="1:22">
      <c r="A1101" s="157"/>
      <c r="F1101" s="3"/>
      <c r="G1101" s="3"/>
      <c r="N1101" s="157"/>
      <c r="O1101" s="157"/>
      <c r="Q1101" s="147"/>
      <c r="R1101" s="147"/>
      <c r="S1101" s="147"/>
      <c r="T1101" s="147"/>
      <c r="U1101" s="147"/>
      <c r="V1101" s="147"/>
    </row>
    <row r="1102" spans="1:22">
      <c r="A1102" s="157"/>
      <c r="F1102" s="3"/>
      <c r="G1102" s="3"/>
      <c r="N1102" s="157"/>
      <c r="O1102" s="157"/>
      <c r="Q1102" s="147"/>
      <c r="R1102" s="147"/>
      <c r="S1102" s="147"/>
      <c r="T1102" s="147"/>
      <c r="U1102" s="147"/>
      <c r="V1102" s="147"/>
    </row>
    <row r="1103" spans="1:22">
      <c r="A1103" s="157"/>
      <c r="F1103" s="3"/>
      <c r="G1103" s="3"/>
      <c r="N1103" s="157"/>
      <c r="O1103" s="157"/>
      <c r="Q1103" s="147"/>
      <c r="R1103" s="147"/>
      <c r="S1103" s="147"/>
      <c r="T1103" s="147"/>
      <c r="U1103" s="147"/>
      <c r="V1103" s="147"/>
    </row>
    <row r="1104" spans="1:22">
      <c r="A1104" s="157"/>
      <c r="F1104" s="3"/>
      <c r="G1104" s="3"/>
      <c r="N1104" s="157"/>
      <c r="O1104" s="157"/>
      <c r="Q1104" s="147"/>
      <c r="R1104" s="147"/>
      <c r="S1104" s="147"/>
      <c r="T1104" s="147"/>
      <c r="U1104" s="147"/>
      <c r="V1104" s="147"/>
    </row>
    <row r="1105" spans="1:22">
      <c r="A1105" s="157"/>
      <c r="F1105" s="3"/>
      <c r="G1105" s="3"/>
      <c r="N1105" s="157"/>
      <c r="O1105" s="157"/>
      <c r="Q1105" s="147"/>
      <c r="R1105" s="147"/>
      <c r="S1105" s="147"/>
      <c r="T1105" s="147"/>
      <c r="U1105" s="147"/>
      <c r="V1105" s="147"/>
    </row>
    <row r="1106" spans="1:22">
      <c r="A1106" s="157"/>
      <c r="F1106" s="3"/>
      <c r="G1106" s="3"/>
      <c r="N1106" s="157"/>
      <c r="O1106" s="157"/>
      <c r="Q1106" s="147"/>
      <c r="R1106" s="147"/>
      <c r="S1106" s="147"/>
      <c r="T1106" s="147"/>
      <c r="U1106" s="147"/>
      <c r="V1106" s="147"/>
    </row>
    <row r="1107" spans="1:22">
      <c r="A1107" s="157"/>
      <c r="F1107" s="3"/>
      <c r="G1107" s="3"/>
      <c r="N1107" s="157"/>
      <c r="O1107" s="157"/>
      <c r="Q1107" s="147"/>
      <c r="R1107" s="147"/>
      <c r="S1107" s="147"/>
      <c r="T1107" s="147"/>
      <c r="U1107" s="147"/>
      <c r="V1107" s="147"/>
    </row>
    <row r="1108" spans="1:22">
      <c r="A1108" s="157"/>
      <c r="F1108" s="3"/>
      <c r="G1108" s="3"/>
      <c r="N1108" s="157"/>
      <c r="O1108" s="157"/>
      <c r="Q1108" s="147"/>
      <c r="R1108" s="147"/>
      <c r="S1108" s="147"/>
      <c r="T1108" s="147"/>
      <c r="U1108" s="147"/>
      <c r="V1108" s="147"/>
    </row>
    <row r="1109" spans="1:22">
      <c r="A1109" s="157"/>
      <c r="F1109" s="3"/>
      <c r="G1109" s="3"/>
      <c r="N1109" s="157"/>
      <c r="O1109" s="157"/>
      <c r="Q1109" s="147"/>
      <c r="R1109" s="147"/>
      <c r="S1109" s="147"/>
      <c r="T1109" s="147"/>
      <c r="U1109" s="147"/>
      <c r="V1109" s="147"/>
    </row>
    <row r="1110" spans="1:22">
      <c r="A1110" s="157"/>
      <c r="F1110" s="3"/>
      <c r="G1110" s="3"/>
      <c r="N1110" s="157"/>
      <c r="O1110" s="157"/>
      <c r="Q1110" s="147"/>
      <c r="R1110" s="147"/>
      <c r="S1110" s="147"/>
      <c r="T1110" s="147"/>
      <c r="U1110" s="147"/>
      <c r="V1110" s="147"/>
    </row>
    <row r="1111" spans="1:22">
      <c r="A1111" s="157"/>
      <c r="F1111" s="3"/>
      <c r="G1111" s="3"/>
      <c r="N1111" s="157"/>
      <c r="O1111" s="157"/>
      <c r="Q1111" s="147"/>
      <c r="R1111" s="147"/>
      <c r="S1111" s="147"/>
      <c r="T1111" s="147"/>
      <c r="U1111" s="147"/>
      <c r="V1111" s="147"/>
    </row>
    <row r="1112" spans="1:22">
      <c r="A1112" s="157"/>
      <c r="F1112" s="3"/>
      <c r="G1112" s="3"/>
      <c r="N1112" s="157"/>
      <c r="O1112" s="157"/>
      <c r="Q1112" s="147"/>
      <c r="R1112" s="147"/>
      <c r="S1112" s="147"/>
      <c r="T1112" s="147"/>
      <c r="U1112" s="147"/>
      <c r="V1112" s="147"/>
    </row>
    <row r="1113" spans="1:22">
      <c r="A1113" s="157"/>
      <c r="F1113" s="3"/>
      <c r="G1113" s="3"/>
      <c r="N1113" s="157"/>
      <c r="O1113" s="157"/>
      <c r="Q1113" s="147"/>
      <c r="R1113" s="147"/>
      <c r="S1113" s="147"/>
      <c r="T1113" s="147"/>
      <c r="U1113" s="147"/>
      <c r="V1113" s="147"/>
    </row>
    <row r="1114" spans="1:22">
      <c r="A1114" s="157"/>
      <c r="F1114" s="3"/>
      <c r="G1114" s="3"/>
      <c r="N1114" s="157"/>
      <c r="O1114" s="157"/>
      <c r="Q1114" s="147"/>
      <c r="R1114" s="147"/>
      <c r="S1114" s="147"/>
      <c r="T1114" s="147"/>
      <c r="U1114" s="147"/>
      <c r="V1114" s="147"/>
    </row>
    <row r="1115" spans="1:22">
      <c r="A1115" s="157"/>
      <c r="F1115" s="3"/>
      <c r="G1115" s="3"/>
      <c r="N1115" s="157"/>
      <c r="O1115" s="157"/>
      <c r="Q1115" s="147"/>
      <c r="R1115" s="147"/>
      <c r="S1115" s="147"/>
      <c r="T1115" s="147"/>
      <c r="U1115" s="147"/>
      <c r="V1115" s="147"/>
    </row>
    <row r="1116" spans="1:22">
      <c r="A1116" s="157"/>
      <c r="F1116" s="3"/>
      <c r="G1116" s="3"/>
      <c r="N1116" s="157"/>
      <c r="O1116" s="157"/>
      <c r="Q1116" s="147"/>
      <c r="R1116" s="147"/>
      <c r="S1116" s="147"/>
      <c r="T1116" s="147"/>
      <c r="U1116" s="147"/>
      <c r="V1116" s="147"/>
    </row>
    <row r="1117" spans="1:22">
      <c r="A1117" s="157"/>
      <c r="F1117" s="3"/>
      <c r="G1117" s="3"/>
      <c r="N1117" s="157"/>
      <c r="O1117" s="157"/>
      <c r="Q1117" s="147"/>
      <c r="R1117" s="147"/>
      <c r="S1117" s="147"/>
      <c r="T1117" s="147"/>
      <c r="U1117" s="147"/>
      <c r="V1117" s="147"/>
    </row>
    <row r="1118" spans="1:22">
      <c r="A1118" s="157"/>
      <c r="F1118" s="3"/>
      <c r="G1118" s="3"/>
      <c r="N1118" s="157"/>
      <c r="O1118" s="157"/>
      <c r="Q1118" s="147"/>
      <c r="R1118" s="147"/>
      <c r="S1118" s="147"/>
      <c r="T1118" s="147"/>
      <c r="U1118" s="147"/>
      <c r="V1118" s="147"/>
    </row>
    <row r="1119" spans="1:22">
      <c r="A1119" s="157"/>
      <c r="F1119" s="3"/>
      <c r="G1119" s="3"/>
      <c r="N1119" s="157"/>
      <c r="O1119" s="157"/>
      <c r="Q1119" s="147"/>
      <c r="R1119" s="147"/>
      <c r="S1119" s="147"/>
      <c r="T1119" s="147"/>
      <c r="U1119" s="147"/>
      <c r="V1119" s="147"/>
    </row>
    <row r="1120" spans="1:22">
      <c r="A1120" s="157"/>
      <c r="F1120" s="3"/>
      <c r="G1120" s="3"/>
      <c r="N1120" s="157"/>
      <c r="O1120" s="157"/>
      <c r="Q1120" s="147"/>
      <c r="R1120" s="147"/>
      <c r="S1120" s="147"/>
      <c r="T1120" s="147"/>
      <c r="U1120" s="147"/>
      <c r="V1120" s="147"/>
    </row>
    <row r="1121" spans="1:22">
      <c r="A1121" s="157"/>
      <c r="F1121" s="3"/>
      <c r="G1121" s="3"/>
      <c r="N1121" s="157"/>
      <c r="O1121" s="157"/>
      <c r="Q1121" s="147"/>
      <c r="R1121" s="147"/>
      <c r="S1121" s="147"/>
      <c r="T1121" s="147"/>
      <c r="U1121" s="147"/>
      <c r="V1121" s="147"/>
    </row>
    <row r="1122" spans="1:22">
      <c r="A1122" s="157"/>
      <c r="F1122" s="3"/>
      <c r="G1122" s="3"/>
      <c r="N1122" s="157"/>
      <c r="O1122" s="157"/>
      <c r="Q1122" s="147"/>
      <c r="R1122" s="147"/>
      <c r="S1122" s="147"/>
      <c r="T1122" s="147"/>
      <c r="U1122" s="147"/>
      <c r="V1122" s="147"/>
    </row>
    <row r="1123" spans="1:22">
      <c r="A1123" s="157"/>
      <c r="F1123" s="3"/>
      <c r="G1123" s="3"/>
      <c r="N1123" s="157"/>
      <c r="O1123" s="157"/>
      <c r="Q1123" s="147"/>
      <c r="R1123" s="147"/>
      <c r="S1123" s="147"/>
      <c r="T1123" s="147"/>
      <c r="U1123" s="147"/>
      <c r="V1123" s="147"/>
    </row>
    <row r="1124" spans="1:22">
      <c r="A1124" s="157"/>
      <c r="F1124" s="3"/>
      <c r="G1124" s="3"/>
      <c r="N1124" s="157"/>
      <c r="O1124" s="157"/>
      <c r="Q1124" s="147"/>
      <c r="R1124" s="147"/>
      <c r="S1124" s="147"/>
      <c r="T1124" s="147"/>
      <c r="U1124" s="147"/>
      <c r="V1124" s="147"/>
    </row>
    <row r="1125" spans="1:22">
      <c r="A1125" s="157"/>
      <c r="F1125" s="3"/>
      <c r="G1125" s="3"/>
      <c r="N1125" s="157"/>
      <c r="O1125" s="157"/>
      <c r="Q1125" s="147"/>
      <c r="R1125" s="147"/>
      <c r="S1125" s="147"/>
      <c r="T1125" s="147"/>
      <c r="U1125" s="147"/>
      <c r="V1125" s="147"/>
    </row>
    <row r="1126" spans="1:22">
      <c r="A1126" s="157"/>
      <c r="F1126" s="3"/>
      <c r="G1126" s="3"/>
      <c r="N1126" s="157"/>
      <c r="O1126" s="157"/>
      <c r="Q1126" s="147"/>
      <c r="R1126" s="147"/>
      <c r="S1126" s="147"/>
      <c r="T1126" s="147"/>
      <c r="U1126" s="147"/>
      <c r="V1126" s="147"/>
    </row>
    <row r="1127" spans="1:22">
      <c r="A1127" s="157"/>
      <c r="F1127" s="3"/>
      <c r="G1127" s="3"/>
      <c r="N1127" s="157"/>
      <c r="O1127" s="157"/>
      <c r="Q1127" s="147"/>
      <c r="R1127" s="147"/>
      <c r="S1127" s="147"/>
      <c r="T1127" s="147"/>
      <c r="U1127" s="147"/>
      <c r="V1127" s="147"/>
    </row>
    <row r="1128" spans="1:22">
      <c r="A1128" s="157"/>
      <c r="F1128" s="3"/>
      <c r="G1128" s="3"/>
      <c r="N1128" s="157"/>
      <c r="O1128" s="157"/>
      <c r="Q1128" s="147"/>
      <c r="R1128" s="147"/>
      <c r="S1128" s="147"/>
      <c r="T1128" s="147"/>
      <c r="U1128" s="147"/>
      <c r="V1128" s="147"/>
    </row>
    <row r="1129" spans="1:22">
      <c r="A1129" s="157"/>
      <c r="F1129" s="3"/>
      <c r="G1129" s="3"/>
      <c r="N1129" s="157"/>
      <c r="O1129" s="157"/>
      <c r="Q1129" s="147"/>
      <c r="R1129" s="147"/>
      <c r="S1129" s="147"/>
      <c r="T1129" s="147"/>
      <c r="U1129" s="147"/>
      <c r="V1129" s="147"/>
    </row>
    <row r="1130" spans="1:22">
      <c r="A1130" s="157"/>
      <c r="F1130" s="3"/>
      <c r="G1130" s="3"/>
      <c r="N1130" s="157"/>
      <c r="O1130" s="157"/>
      <c r="Q1130" s="147"/>
      <c r="R1130" s="147"/>
      <c r="S1130" s="147"/>
      <c r="T1130" s="147"/>
      <c r="U1130" s="147"/>
      <c r="V1130" s="147"/>
    </row>
    <row r="1131" spans="1:22">
      <c r="A1131" s="157"/>
      <c r="F1131" s="3"/>
      <c r="G1131" s="3"/>
      <c r="N1131" s="157"/>
      <c r="O1131" s="157"/>
      <c r="Q1131" s="147"/>
      <c r="R1131" s="147"/>
      <c r="S1131" s="147"/>
      <c r="T1131" s="147"/>
      <c r="U1131" s="147"/>
      <c r="V1131" s="147"/>
    </row>
    <row r="1132" spans="1:22">
      <c r="A1132" s="157"/>
      <c r="F1132" s="3"/>
      <c r="G1132" s="3"/>
      <c r="N1132" s="157"/>
      <c r="O1132" s="157"/>
      <c r="Q1132" s="147"/>
      <c r="R1132" s="147"/>
      <c r="S1132" s="147"/>
      <c r="T1132" s="147"/>
      <c r="U1132" s="147"/>
      <c r="V1132" s="147"/>
    </row>
    <row r="1133" spans="1:22">
      <c r="A1133" s="157"/>
      <c r="F1133" s="3"/>
      <c r="G1133" s="3"/>
      <c r="N1133" s="157"/>
      <c r="O1133" s="157"/>
      <c r="Q1133" s="147"/>
      <c r="R1133" s="147"/>
      <c r="S1133" s="147"/>
      <c r="T1133" s="147"/>
      <c r="U1133" s="147"/>
      <c r="V1133" s="147"/>
    </row>
    <row r="1134" spans="1:22">
      <c r="A1134" s="157"/>
      <c r="F1134" s="3"/>
      <c r="G1134" s="3"/>
      <c r="N1134" s="157"/>
      <c r="O1134" s="157"/>
      <c r="Q1134" s="147"/>
      <c r="R1134" s="147"/>
      <c r="S1134" s="147"/>
      <c r="T1134" s="147"/>
      <c r="U1134" s="147"/>
      <c r="V1134" s="147"/>
    </row>
    <row r="1135" spans="1:22">
      <c r="A1135" s="157"/>
      <c r="F1135" s="3"/>
      <c r="G1135" s="3"/>
      <c r="N1135" s="157"/>
      <c r="O1135" s="157"/>
      <c r="Q1135" s="147"/>
      <c r="R1135" s="147"/>
      <c r="S1135" s="147"/>
      <c r="T1135" s="147"/>
      <c r="U1135" s="147"/>
      <c r="V1135" s="147"/>
    </row>
    <row r="1136" spans="1:22">
      <c r="A1136" s="157"/>
      <c r="F1136" s="3"/>
      <c r="G1136" s="3"/>
      <c r="N1136" s="157"/>
      <c r="O1136" s="157"/>
      <c r="Q1136" s="147"/>
      <c r="R1136" s="147"/>
      <c r="S1136" s="147"/>
      <c r="T1136" s="147"/>
      <c r="U1136" s="147"/>
      <c r="V1136" s="147"/>
    </row>
    <row r="1137" spans="1:22">
      <c r="A1137" s="157"/>
      <c r="F1137" s="3"/>
      <c r="G1137" s="3"/>
      <c r="N1137" s="157"/>
      <c r="O1137" s="157"/>
      <c r="Q1137" s="147"/>
      <c r="R1137" s="147"/>
      <c r="S1137" s="147"/>
      <c r="T1137" s="147"/>
      <c r="U1137" s="147"/>
      <c r="V1137" s="147"/>
    </row>
    <row r="1138" spans="1:22">
      <c r="A1138" s="157"/>
      <c r="F1138" s="3"/>
      <c r="G1138" s="3"/>
      <c r="N1138" s="157"/>
      <c r="O1138" s="157"/>
      <c r="Q1138" s="147"/>
      <c r="R1138" s="147"/>
      <c r="S1138" s="147"/>
      <c r="T1138" s="147"/>
      <c r="U1138" s="147"/>
      <c r="V1138" s="147"/>
    </row>
    <row r="1139" spans="1:22">
      <c r="A1139" s="157"/>
      <c r="F1139" s="3"/>
      <c r="G1139" s="3"/>
      <c r="N1139" s="157"/>
      <c r="O1139" s="157"/>
      <c r="Q1139" s="147"/>
      <c r="R1139" s="147"/>
      <c r="S1139" s="147"/>
      <c r="T1139" s="147"/>
      <c r="U1139" s="147"/>
      <c r="V1139" s="147"/>
    </row>
    <row r="1140" spans="1:22">
      <c r="A1140" s="157"/>
      <c r="F1140" s="3"/>
      <c r="G1140" s="3"/>
      <c r="N1140" s="157"/>
      <c r="O1140" s="157"/>
      <c r="Q1140" s="147"/>
      <c r="R1140" s="147"/>
      <c r="S1140" s="147"/>
      <c r="T1140" s="147"/>
      <c r="U1140" s="147"/>
      <c r="V1140" s="147"/>
    </row>
    <row r="1141" spans="1:22">
      <c r="A1141" s="157"/>
      <c r="F1141" s="3"/>
      <c r="G1141" s="3"/>
      <c r="N1141" s="157"/>
      <c r="O1141" s="157"/>
      <c r="Q1141" s="147"/>
      <c r="R1141" s="147"/>
      <c r="S1141" s="147"/>
      <c r="T1141" s="147"/>
      <c r="U1141" s="147"/>
      <c r="V1141" s="147"/>
    </row>
    <row r="1142" spans="1:22">
      <c r="A1142" s="157"/>
      <c r="F1142" s="3"/>
      <c r="G1142" s="3"/>
      <c r="N1142" s="157"/>
      <c r="O1142" s="157"/>
      <c r="Q1142" s="147"/>
      <c r="R1142" s="147"/>
      <c r="S1142" s="147"/>
      <c r="T1142" s="147"/>
      <c r="U1142" s="147"/>
      <c r="V1142" s="147"/>
    </row>
    <row r="1143" spans="1:22">
      <c r="A1143" s="157"/>
      <c r="F1143" s="3"/>
      <c r="G1143" s="3"/>
      <c r="N1143" s="157"/>
      <c r="O1143" s="157"/>
      <c r="Q1143" s="147"/>
      <c r="R1143" s="147"/>
      <c r="S1143" s="147"/>
      <c r="T1143" s="147"/>
      <c r="U1143" s="147"/>
      <c r="V1143" s="147"/>
    </row>
    <row r="1144" spans="1:22">
      <c r="A1144" s="157"/>
      <c r="F1144" s="3"/>
      <c r="G1144" s="3"/>
      <c r="N1144" s="157"/>
      <c r="O1144" s="157"/>
      <c r="Q1144" s="147"/>
      <c r="R1144" s="147"/>
      <c r="S1144" s="147"/>
      <c r="T1144" s="147"/>
      <c r="U1144" s="147"/>
      <c r="V1144" s="147"/>
    </row>
    <row r="1145" spans="1:22">
      <c r="A1145" s="157"/>
      <c r="F1145" s="3"/>
      <c r="G1145" s="3"/>
      <c r="N1145" s="157"/>
      <c r="O1145" s="157"/>
      <c r="Q1145" s="147"/>
      <c r="R1145" s="147"/>
      <c r="S1145" s="147"/>
      <c r="T1145" s="147"/>
      <c r="U1145" s="147"/>
      <c r="V1145" s="147"/>
    </row>
    <row r="1146" spans="1:22">
      <c r="A1146" s="157"/>
      <c r="F1146" s="3"/>
      <c r="G1146" s="3"/>
      <c r="N1146" s="157"/>
      <c r="O1146" s="157"/>
      <c r="Q1146" s="147"/>
      <c r="R1146" s="147"/>
      <c r="S1146" s="147"/>
      <c r="T1146" s="147"/>
      <c r="U1146" s="147"/>
      <c r="V1146" s="147"/>
    </row>
    <row r="1147" spans="1:22">
      <c r="A1147" s="157"/>
      <c r="F1147" s="3"/>
      <c r="G1147" s="3"/>
      <c r="N1147" s="157"/>
      <c r="O1147" s="157"/>
      <c r="Q1147" s="147"/>
      <c r="R1147" s="147"/>
      <c r="S1147" s="147"/>
      <c r="T1147" s="147"/>
      <c r="U1147" s="147"/>
      <c r="V1147" s="147"/>
    </row>
    <row r="1148" spans="1:22">
      <c r="A1148" s="157"/>
      <c r="F1148" s="3"/>
      <c r="G1148" s="3"/>
      <c r="N1148" s="157"/>
      <c r="O1148" s="157"/>
      <c r="Q1148" s="147"/>
      <c r="R1148" s="147"/>
      <c r="S1148" s="147"/>
      <c r="T1148" s="147"/>
      <c r="U1148" s="147"/>
      <c r="V1148" s="147"/>
    </row>
    <row r="1149" spans="1:22">
      <c r="A1149" s="157"/>
      <c r="F1149" s="3"/>
      <c r="G1149" s="3"/>
      <c r="N1149" s="157"/>
      <c r="O1149" s="157"/>
      <c r="Q1149" s="147"/>
      <c r="R1149" s="147"/>
      <c r="S1149" s="147"/>
      <c r="T1149" s="147"/>
      <c r="U1149" s="147"/>
      <c r="V1149" s="147"/>
    </row>
    <row r="1150" spans="1:22">
      <c r="A1150" s="157"/>
      <c r="F1150" s="3"/>
      <c r="G1150" s="3"/>
      <c r="N1150" s="157"/>
      <c r="O1150" s="157"/>
      <c r="Q1150" s="147"/>
      <c r="R1150" s="147"/>
      <c r="S1150" s="147"/>
      <c r="T1150" s="147"/>
      <c r="U1150" s="147"/>
      <c r="V1150" s="147"/>
    </row>
    <row r="1151" spans="1:22">
      <c r="A1151" s="157"/>
      <c r="F1151" s="3"/>
      <c r="G1151" s="3"/>
      <c r="N1151" s="157"/>
      <c r="O1151" s="157"/>
      <c r="Q1151" s="147"/>
      <c r="R1151" s="147"/>
      <c r="S1151" s="147"/>
      <c r="T1151" s="147"/>
      <c r="U1151" s="147"/>
      <c r="V1151" s="147"/>
    </row>
    <row r="1152" spans="1:22">
      <c r="A1152" s="157"/>
      <c r="F1152" s="3"/>
      <c r="G1152" s="3"/>
      <c r="N1152" s="157"/>
      <c r="O1152" s="157"/>
      <c r="Q1152" s="147"/>
      <c r="R1152" s="147"/>
      <c r="S1152" s="147"/>
      <c r="T1152" s="147"/>
      <c r="U1152" s="147"/>
      <c r="V1152" s="147"/>
    </row>
    <row r="1153" spans="1:22">
      <c r="A1153" s="157"/>
      <c r="F1153" s="3"/>
      <c r="G1153" s="3"/>
      <c r="N1153" s="157"/>
      <c r="O1153" s="157"/>
      <c r="Q1153" s="147"/>
      <c r="R1153" s="147"/>
      <c r="S1153" s="147"/>
      <c r="T1153" s="147"/>
      <c r="U1153" s="147"/>
      <c r="V1153" s="147"/>
    </row>
    <row r="1154" spans="1:22">
      <c r="A1154" s="157"/>
      <c r="F1154" s="3"/>
      <c r="G1154" s="3"/>
      <c r="N1154" s="157"/>
      <c r="O1154" s="157"/>
      <c r="Q1154" s="147"/>
      <c r="R1154" s="147"/>
      <c r="S1154" s="147"/>
      <c r="T1154" s="147"/>
      <c r="U1154" s="147"/>
      <c r="V1154" s="147"/>
    </row>
    <row r="1155" spans="1:22">
      <c r="A1155" s="157"/>
      <c r="F1155" s="3"/>
      <c r="G1155" s="3"/>
      <c r="N1155" s="157"/>
      <c r="O1155" s="157"/>
      <c r="Q1155" s="147"/>
      <c r="R1155" s="147"/>
      <c r="S1155" s="147"/>
      <c r="T1155" s="147"/>
      <c r="U1155" s="147"/>
      <c r="V1155" s="147"/>
    </row>
    <row r="1156" spans="1:22">
      <c r="A1156" s="157"/>
      <c r="F1156" s="3"/>
      <c r="G1156" s="3"/>
      <c r="N1156" s="157"/>
      <c r="O1156" s="157"/>
      <c r="Q1156" s="147"/>
      <c r="R1156" s="147"/>
      <c r="S1156" s="147"/>
      <c r="T1156" s="147"/>
      <c r="U1156" s="147"/>
      <c r="V1156" s="147"/>
    </row>
    <row r="1157" spans="1:22">
      <c r="A1157" s="157"/>
      <c r="F1157" s="3"/>
      <c r="G1157" s="3"/>
      <c r="N1157" s="157"/>
      <c r="O1157" s="157"/>
      <c r="Q1157" s="147"/>
      <c r="R1157" s="147"/>
      <c r="S1157" s="147"/>
      <c r="T1157" s="147"/>
      <c r="U1157" s="147"/>
      <c r="V1157" s="147"/>
    </row>
    <row r="1158" spans="1:22">
      <c r="A1158" s="157"/>
      <c r="F1158" s="3"/>
      <c r="G1158" s="3"/>
      <c r="N1158" s="157"/>
      <c r="O1158" s="157"/>
      <c r="Q1158" s="147"/>
      <c r="R1158" s="147"/>
      <c r="S1158" s="147"/>
      <c r="T1158" s="147"/>
      <c r="U1158" s="147"/>
      <c r="V1158" s="147"/>
    </row>
    <row r="1159" spans="1:22">
      <c r="A1159" s="157"/>
      <c r="F1159" s="3"/>
      <c r="G1159" s="3"/>
      <c r="N1159" s="157"/>
      <c r="O1159" s="157"/>
      <c r="Q1159" s="147"/>
      <c r="R1159" s="147"/>
      <c r="S1159" s="147"/>
      <c r="T1159" s="147"/>
      <c r="U1159" s="147"/>
      <c r="V1159" s="147"/>
    </row>
    <row r="1160" spans="1:22">
      <c r="A1160" s="157"/>
      <c r="F1160" s="3"/>
      <c r="G1160" s="3"/>
      <c r="N1160" s="157"/>
      <c r="O1160" s="157"/>
      <c r="Q1160" s="147"/>
      <c r="R1160" s="147"/>
      <c r="S1160" s="147"/>
      <c r="T1160" s="147"/>
      <c r="U1160" s="147"/>
      <c r="V1160" s="147"/>
    </row>
    <row r="1161" spans="1:22">
      <c r="A1161" s="157"/>
      <c r="F1161" s="3"/>
      <c r="G1161" s="3"/>
      <c r="N1161" s="157"/>
      <c r="O1161" s="157"/>
      <c r="Q1161" s="147"/>
      <c r="R1161" s="147"/>
      <c r="S1161" s="147"/>
      <c r="T1161" s="147"/>
      <c r="U1161" s="147"/>
      <c r="V1161" s="147"/>
    </row>
    <row r="1162" spans="1:22">
      <c r="A1162" s="157"/>
      <c r="F1162" s="3"/>
      <c r="G1162" s="3"/>
      <c r="N1162" s="157"/>
      <c r="O1162" s="157"/>
      <c r="Q1162" s="147"/>
      <c r="R1162" s="147"/>
      <c r="S1162" s="147"/>
      <c r="T1162" s="147"/>
      <c r="U1162" s="147"/>
      <c r="V1162" s="147"/>
    </row>
    <row r="1163" spans="1:22">
      <c r="A1163" s="157"/>
      <c r="F1163" s="3"/>
      <c r="G1163" s="3"/>
      <c r="N1163" s="157"/>
      <c r="O1163" s="157"/>
      <c r="Q1163" s="147"/>
      <c r="R1163" s="147"/>
      <c r="S1163" s="147"/>
      <c r="T1163" s="147"/>
      <c r="U1163" s="147"/>
      <c r="V1163" s="147"/>
    </row>
    <row r="1164" spans="1:22">
      <c r="A1164" s="157"/>
      <c r="F1164" s="3"/>
      <c r="G1164" s="3"/>
      <c r="N1164" s="157"/>
      <c r="O1164" s="157"/>
      <c r="Q1164" s="147"/>
      <c r="R1164" s="147"/>
      <c r="S1164" s="147"/>
      <c r="T1164" s="147"/>
      <c r="U1164" s="147"/>
      <c r="V1164" s="147"/>
    </row>
    <row r="1165" spans="1:22">
      <c r="A1165" s="157"/>
      <c r="F1165" s="3"/>
      <c r="G1165" s="3"/>
      <c r="N1165" s="157"/>
      <c r="O1165" s="157"/>
      <c r="Q1165" s="147"/>
      <c r="R1165" s="147"/>
      <c r="S1165" s="147"/>
      <c r="T1165" s="147"/>
      <c r="U1165" s="147"/>
      <c r="V1165" s="147"/>
    </row>
    <row r="1166" spans="1:22">
      <c r="A1166" s="157"/>
      <c r="F1166" s="3"/>
      <c r="G1166" s="3"/>
      <c r="N1166" s="157"/>
      <c r="O1166" s="157"/>
      <c r="Q1166" s="147"/>
      <c r="R1166" s="147"/>
      <c r="S1166" s="147"/>
      <c r="T1166" s="147"/>
      <c r="U1166" s="147"/>
      <c r="V1166" s="147"/>
    </row>
    <row r="1167" spans="1:22">
      <c r="A1167" s="157"/>
      <c r="F1167" s="3"/>
      <c r="G1167" s="3"/>
      <c r="N1167" s="157"/>
      <c r="O1167" s="157"/>
      <c r="Q1167" s="147"/>
      <c r="R1167" s="147"/>
      <c r="S1167" s="147"/>
      <c r="T1167" s="147"/>
      <c r="U1167" s="147"/>
      <c r="V1167" s="147"/>
    </row>
    <row r="1168" spans="1:22">
      <c r="A1168" s="157"/>
      <c r="F1168" s="3"/>
      <c r="G1168" s="3"/>
      <c r="N1168" s="157"/>
      <c r="O1168" s="157"/>
      <c r="Q1168" s="147"/>
      <c r="R1168" s="147"/>
      <c r="S1168" s="147"/>
      <c r="T1168" s="147"/>
      <c r="U1168" s="147"/>
      <c r="V1168" s="147"/>
    </row>
    <row r="1169" spans="1:22">
      <c r="A1169" s="157"/>
      <c r="F1169" s="3"/>
      <c r="G1169" s="3"/>
      <c r="N1169" s="157"/>
      <c r="O1169" s="157"/>
      <c r="Q1169" s="147"/>
      <c r="R1169" s="147"/>
      <c r="S1169" s="147"/>
      <c r="T1169" s="147"/>
      <c r="U1169" s="147"/>
      <c r="V1169" s="147"/>
    </row>
    <row r="1170" spans="1:22">
      <c r="A1170" s="157"/>
      <c r="F1170" s="3"/>
      <c r="G1170" s="3"/>
      <c r="N1170" s="157"/>
      <c r="O1170" s="157"/>
      <c r="Q1170" s="147"/>
      <c r="R1170" s="147"/>
      <c r="S1170" s="147"/>
      <c r="T1170" s="147"/>
      <c r="U1170" s="147"/>
      <c r="V1170" s="147"/>
    </row>
    <row r="1171" spans="1:22">
      <c r="A1171" s="157"/>
      <c r="F1171" s="3"/>
      <c r="G1171" s="3"/>
      <c r="N1171" s="157"/>
      <c r="O1171" s="157"/>
      <c r="Q1171" s="147"/>
      <c r="R1171" s="147"/>
      <c r="S1171" s="147"/>
      <c r="T1171" s="147"/>
      <c r="U1171" s="147"/>
      <c r="V1171" s="147"/>
    </row>
    <row r="1172" spans="1:22">
      <c r="A1172" s="157"/>
      <c r="F1172" s="3"/>
      <c r="G1172" s="3"/>
      <c r="N1172" s="157"/>
      <c r="O1172" s="157"/>
      <c r="Q1172" s="147"/>
      <c r="R1172" s="147"/>
      <c r="S1172" s="147"/>
      <c r="T1172" s="147"/>
      <c r="U1172" s="147"/>
      <c r="V1172" s="147"/>
    </row>
    <row r="1173" spans="1:22">
      <c r="A1173" s="157"/>
      <c r="F1173" s="3"/>
      <c r="G1173" s="3"/>
      <c r="N1173" s="157"/>
      <c r="O1173" s="157"/>
      <c r="Q1173" s="147"/>
      <c r="R1173" s="147"/>
      <c r="S1173" s="147"/>
      <c r="T1173" s="147"/>
      <c r="U1173" s="147"/>
      <c r="V1173" s="147"/>
    </row>
    <row r="1174" spans="1:22">
      <c r="A1174" s="157"/>
      <c r="F1174" s="3"/>
      <c r="G1174" s="3"/>
      <c r="N1174" s="157"/>
      <c r="O1174" s="157"/>
      <c r="Q1174" s="147"/>
      <c r="R1174" s="147"/>
      <c r="S1174" s="147"/>
      <c r="T1174" s="147"/>
      <c r="U1174" s="147"/>
      <c r="V1174" s="147"/>
    </row>
    <row r="1175" spans="1:22">
      <c r="A1175" s="157"/>
      <c r="F1175" s="3"/>
      <c r="G1175" s="3"/>
      <c r="N1175" s="157"/>
      <c r="O1175" s="157"/>
      <c r="Q1175" s="147"/>
      <c r="R1175" s="147"/>
      <c r="S1175" s="147"/>
      <c r="T1175" s="147"/>
      <c r="U1175" s="147"/>
      <c r="V1175" s="147"/>
    </row>
    <row r="1176" spans="1:22">
      <c r="A1176" s="157"/>
      <c r="F1176" s="3"/>
      <c r="G1176" s="3"/>
      <c r="N1176" s="157"/>
      <c r="O1176" s="157"/>
      <c r="Q1176" s="147"/>
      <c r="R1176" s="147"/>
      <c r="S1176" s="147"/>
      <c r="T1176" s="147"/>
      <c r="U1176" s="147"/>
      <c r="V1176" s="147"/>
    </row>
    <row r="1177" spans="1:22">
      <c r="A1177" s="157"/>
      <c r="F1177" s="3"/>
      <c r="G1177" s="3"/>
      <c r="N1177" s="157"/>
      <c r="O1177" s="157"/>
      <c r="Q1177" s="147"/>
      <c r="R1177" s="147"/>
      <c r="S1177" s="147"/>
      <c r="T1177" s="147"/>
      <c r="U1177" s="147"/>
      <c r="V1177" s="147"/>
    </row>
    <row r="1178" spans="1:22">
      <c r="A1178" s="157"/>
      <c r="F1178" s="3"/>
      <c r="G1178" s="3"/>
      <c r="N1178" s="157"/>
      <c r="O1178" s="157"/>
      <c r="Q1178" s="147"/>
      <c r="R1178" s="147"/>
      <c r="S1178" s="147"/>
      <c r="T1178" s="147"/>
      <c r="U1178" s="147"/>
      <c r="V1178" s="147"/>
    </row>
    <row r="1179" spans="1:22">
      <c r="A1179" s="157"/>
      <c r="F1179" s="3"/>
      <c r="G1179" s="3"/>
      <c r="N1179" s="157"/>
      <c r="O1179" s="157"/>
      <c r="Q1179" s="147"/>
      <c r="R1179" s="147"/>
      <c r="S1179" s="147"/>
      <c r="T1179" s="147"/>
      <c r="U1179" s="147"/>
      <c r="V1179" s="147"/>
    </row>
    <row r="1180" spans="1:22">
      <c r="A1180" s="157"/>
      <c r="F1180" s="3"/>
      <c r="G1180" s="3"/>
      <c r="N1180" s="157"/>
      <c r="O1180" s="157"/>
      <c r="Q1180" s="147"/>
      <c r="R1180" s="147"/>
      <c r="S1180" s="147"/>
      <c r="T1180" s="147"/>
      <c r="U1180" s="147"/>
      <c r="V1180" s="147"/>
    </row>
    <row r="1181" spans="1:22">
      <c r="A1181" s="157"/>
      <c r="F1181" s="3"/>
      <c r="G1181" s="3"/>
      <c r="N1181" s="157"/>
      <c r="O1181" s="157"/>
      <c r="Q1181" s="147"/>
      <c r="R1181" s="147"/>
      <c r="S1181" s="147"/>
      <c r="T1181" s="147"/>
      <c r="U1181" s="147"/>
      <c r="V1181" s="147"/>
    </row>
    <row r="1182" spans="1:22">
      <c r="A1182" s="157"/>
      <c r="F1182" s="3"/>
      <c r="G1182" s="3"/>
      <c r="N1182" s="157"/>
      <c r="O1182" s="157"/>
      <c r="Q1182" s="147"/>
      <c r="R1182" s="147"/>
      <c r="S1182" s="147"/>
      <c r="T1182" s="147"/>
      <c r="U1182" s="147"/>
      <c r="V1182" s="147"/>
    </row>
    <row r="1183" spans="1:22">
      <c r="A1183" s="157"/>
      <c r="F1183" s="3"/>
      <c r="G1183" s="3"/>
      <c r="N1183" s="157"/>
      <c r="O1183" s="157"/>
      <c r="Q1183" s="147"/>
      <c r="R1183" s="147"/>
      <c r="S1183" s="147"/>
      <c r="T1183" s="147"/>
      <c r="U1183" s="147"/>
      <c r="V1183" s="147"/>
    </row>
    <row r="1184" spans="1:22">
      <c r="A1184" s="157"/>
      <c r="F1184" s="3"/>
      <c r="G1184" s="3"/>
      <c r="N1184" s="157"/>
      <c r="O1184" s="157"/>
      <c r="Q1184" s="147"/>
      <c r="R1184" s="147"/>
      <c r="S1184" s="147"/>
      <c r="T1184" s="147"/>
      <c r="U1184" s="147"/>
      <c r="V1184" s="147"/>
    </row>
    <row r="1185" spans="1:22">
      <c r="A1185" s="157"/>
      <c r="F1185" s="3"/>
      <c r="G1185" s="3"/>
      <c r="N1185" s="157"/>
      <c r="O1185" s="157"/>
      <c r="Q1185" s="147"/>
      <c r="R1185" s="147"/>
      <c r="S1185" s="147"/>
      <c r="T1185" s="147"/>
      <c r="U1185" s="147"/>
      <c r="V1185" s="147"/>
    </row>
    <row r="1186" spans="1:22">
      <c r="A1186" s="157"/>
      <c r="F1186" s="3"/>
      <c r="G1186" s="3"/>
      <c r="N1186" s="157"/>
      <c r="O1186" s="157"/>
      <c r="Q1186" s="147"/>
      <c r="R1186" s="147"/>
      <c r="S1186" s="147"/>
      <c r="T1186" s="147"/>
      <c r="U1186" s="147"/>
      <c r="V1186" s="147"/>
    </row>
    <row r="1187" spans="1:22">
      <c r="A1187" s="157"/>
      <c r="F1187" s="3"/>
      <c r="G1187" s="3"/>
      <c r="N1187" s="157"/>
      <c r="O1187" s="157"/>
      <c r="Q1187" s="147"/>
      <c r="R1187" s="147"/>
      <c r="S1187" s="147"/>
      <c r="T1187" s="147"/>
      <c r="U1187" s="147"/>
      <c r="V1187" s="147"/>
    </row>
    <row r="1188" spans="1:22">
      <c r="A1188" s="157"/>
      <c r="F1188" s="3"/>
      <c r="G1188" s="3"/>
      <c r="N1188" s="157"/>
      <c r="O1188" s="157"/>
      <c r="Q1188" s="147"/>
      <c r="R1188" s="147"/>
      <c r="S1188" s="147"/>
      <c r="T1188" s="147"/>
      <c r="U1188" s="147"/>
      <c r="V1188" s="147"/>
    </row>
    <row r="1189" spans="1:22">
      <c r="A1189" s="157"/>
      <c r="F1189" s="3"/>
      <c r="G1189" s="3"/>
      <c r="N1189" s="157"/>
      <c r="O1189" s="157"/>
      <c r="Q1189" s="147"/>
      <c r="R1189" s="147"/>
      <c r="S1189" s="147"/>
      <c r="T1189" s="147"/>
      <c r="U1189" s="147"/>
      <c r="V1189" s="147"/>
    </row>
    <row r="1190" spans="1:22">
      <c r="A1190" s="157"/>
      <c r="F1190" s="3"/>
      <c r="G1190" s="3"/>
      <c r="N1190" s="157"/>
      <c r="O1190" s="157"/>
      <c r="Q1190" s="147"/>
      <c r="R1190" s="147"/>
      <c r="S1190" s="147"/>
      <c r="T1190" s="147"/>
      <c r="U1190" s="147"/>
      <c r="V1190" s="147"/>
    </row>
    <row r="1191" spans="1:22">
      <c r="A1191" s="157"/>
      <c r="F1191" s="3"/>
      <c r="G1191" s="3"/>
      <c r="N1191" s="157"/>
      <c r="O1191" s="157"/>
      <c r="Q1191" s="147"/>
      <c r="R1191" s="147"/>
      <c r="S1191" s="147"/>
      <c r="T1191" s="147"/>
      <c r="U1191" s="147"/>
      <c r="V1191" s="147"/>
    </row>
    <row r="1192" spans="1:22">
      <c r="A1192" s="157"/>
      <c r="F1192" s="3"/>
      <c r="G1192" s="3"/>
      <c r="N1192" s="157"/>
      <c r="O1192" s="157"/>
      <c r="Q1192" s="147"/>
      <c r="R1192" s="147"/>
      <c r="S1192" s="147"/>
      <c r="T1192" s="147"/>
      <c r="U1192" s="147"/>
      <c r="V1192" s="147"/>
    </row>
    <row r="1193" spans="1:22">
      <c r="A1193" s="157"/>
      <c r="F1193" s="3"/>
      <c r="G1193" s="3"/>
      <c r="N1193" s="157"/>
      <c r="O1193" s="157"/>
      <c r="Q1193" s="147"/>
      <c r="R1193" s="147"/>
      <c r="S1193" s="147"/>
      <c r="T1193" s="147"/>
      <c r="U1193" s="147"/>
      <c r="V1193" s="147"/>
    </row>
    <row r="1194" spans="1:22">
      <c r="A1194" s="157"/>
      <c r="F1194" s="3"/>
      <c r="G1194" s="3"/>
      <c r="N1194" s="157"/>
      <c r="O1194" s="157"/>
      <c r="Q1194" s="147"/>
      <c r="R1194" s="147"/>
      <c r="S1194" s="147"/>
      <c r="T1194" s="147"/>
      <c r="U1194" s="147"/>
      <c r="V1194" s="147"/>
    </row>
    <row r="1195" spans="1:22">
      <c r="A1195" s="157"/>
      <c r="F1195" s="3"/>
      <c r="G1195" s="3"/>
      <c r="N1195" s="157"/>
      <c r="O1195" s="157"/>
      <c r="Q1195" s="147"/>
      <c r="R1195" s="147"/>
      <c r="S1195" s="147"/>
      <c r="T1195" s="147"/>
      <c r="U1195" s="147"/>
      <c r="V1195" s="147"/>
    </row>
    <row r="1196" spans="1:22">
      <c r="A1196" s="157"/>
      <c r="F1196" s="3"/>
      <c r="G1196" s="3"/>
      <c r="N1196" s="157"/>
      <c r="O1196" s="157"/>
      <c r="Q1196" s="147"/>
      <c r="R1196" s="147"/>
      <c r="S1196" s="147"/>
      <c r="T1196" s="147"/>
      <c r="U1196" s="147"/>
      <c r="V1196" s="147"/>
    </row>
    <row r="1197" spans="1:22">
      <c r="A1197" s="157"/>
      <c r="F1197" s="3"/>
      <c r="G1197" s="3"/>
      <c r="N1197" s="157"/>
      <c r="O1197" s="157"/>
      <c r="Q1197" s="147"/>
      <c r="R1197" s="147"/>
      <c r="S1197" s="147"/>
      <c r="T1197" s="147"/>
      <c r="U1197" s="147"/>
      <c r="V1197" s="147"/>
    </row>
    <row r="1198" spans="1:22">
      <c r="A1198" s="157"/>
      <c r="F1198" s="3"/>
      <c r="G1198" s="3"/>
      <c r="N1198" s="157"/>
      <c r="O1198" s="157"/>
      <c r="Q1198" s="147"/>
      <c r="R1198" s="147"/>
      <c r="S1198" s="147"/>
      <c r="T1198" s="147"/>
      <c r="U1198" s="147"/>
      <c r="V1198" s="147"/>
    </row>
    <row r="1199" spans="1:22">
      <c r="A1199" s="157"/>
      <c r="F1199" s="3"/>
      <c r="G1199" s="3"/>
      <c r="N1199" s="157"/>
      <c r="O1199" s="157"/>
      <c r="Q1199" s="147"/>
      <c r="R1199" s="147"/>
      <c r="S1199" s="147"/>
      <c r="T1199" s="147"/>
      <c r="U1199" s="147"/>
      <c r="V1199" s="147"/>
    </row>
    <row r="1200" spans="1:22">
      <c r="A1200" s="157"/>
      <c r="F1200" s="3"/>
      <c r="G1200" s="3"/>
      <c r="N1200" s="157"/>
      <c r="O1200" s="157"/>
      <c r="Q1200" s="147"/>
      <c r="R1200" s="147"/>
      <c r="S1200" s="147"/>
      <c r="T1200" s="147"/>
      <c r="U1200" s="147"/>
      <c r="V1200" s="147"/>
    </row>
    <row r="1201" spans="1:22">
      <c r="A1201" s="157"/>
      <c r="F1201" s="3"/>
      <c r="G1201" s="3"/>
      <c r="N1201" s="157"/>
      <c r="O1201" s="157"/>
      <c r="Q1201" s="147"/>
      <c r="R1201" s="147"/>
      <c r="S1201" s="147"/>
      <c r="T1201" s="147"/>
      <c r="U1201" s="147"/>
      <c r="V1201" s="147"/>
    </row>
    <row r="1202" spans="1:22">
      <c r="A1202" s="157"/>
      <c r="F1202" s="3"/>
      <c r="G1202" s="3"/>
      <c r="N1202" s="157"/>
      <c r="O1202" s="157"/>
      <c r="Q1202" s="147"/>
      <c r="R1202" s="147"/>
      <c r="S1202" s="147"/>
      <c r="T1202" s="147"/>
      <c r="U1202" s="147"/>
      <c r="V1202" s="147"/>
    </row>
    <row r="1203" spans="1:22">
      <c r="A1203" s="157"/>
      <c r="F1203" s="3"/>
      <c r="G1203" s="3"/>
      <c r="N1203" s="157"/>
      <c r="O1203" s="157"/>
      <c r="Q1203" s="147"/>
      <c r="R1203" s="147"/>
      <c r="S1203" s="147"/>
      <c r="T1203" s="147"/>
      <c r="U1203" s="147"/>
      <c r="V1203" s="147"/>
    </row>
    <row r="1204" spans="1:22">
      <c r="A1204" s="157"/>
      <c r="F1204" s="3"/>
      <c r="G1204" s="3"/>
      <c r="N1204" s="157"/>
      <c r="O1204" s="157"/>
      <c r="Q1204" s="147"/>
      <c r="R1204" s="147"/>
      <c r="S1204" s="147"/>
      <c r="T1204" s="147"/>
      <c r="U1204" s="147"/>
      <c r="V1204" s="147"/>
    </row>
    <row r="1205" spans="1:22">
      <c r="A1205" s="157"/>
      <c r="F1205" s="3"/>
      <c r="G1205" s="3"/>
      <c r="N1205" s="157"/>
      <c r="O1205" s="157"/>
      <c r="Q1205" s="147"/>
      <c r="R1205" s="147"/>
      <c r="S1205" s="147"/>
      <c r="T1205" s="147"/>
      <c r="U1205" s="147"/>
      <c r="V1205" s="147"/>
    </row>
    <row r="1206" spans="1:22">
      <c r="A1206" s="157"/>
      <c r="F1206" s="3"/>
      <c r="G1206" s="3"/>
      <c r="N1206" s="157"/>
      <c r="O1206" s="157"/>
      <c r="Q1206" s="147"/>
      <c r="R1206" s="147"/>
      <c r="S1206" s="147"/>
      <c r="T1206" s="147"/>
      <c r="U1206" s="147"/>
      <c r="V1206" s="147"/>
    </row>
    <row r="1207" spans="1:22">
      <c r="A1207" s="157"/>
      <c r="F1207" s="3"/>
      <c r="G1207" s="3"/>
      <c r="N1207" s="157"/>
      <c r="O1207" s="157"/>
      <c r="Q1207" s="147"/>
      <c r="R1207" s="147"/>
      <c r="S1207" s="147"/>
      <c r="T1207" s="147"/>
      <c r="U1207" s="147"/>
      <c r="V1207" s="147"/>
    </row>
    <row r="1208" spans="1:22">
      <c r="A1208" s="157"/>
      <c r="F1208" s="3"/>
      <c r="G1208" s="3"/>
      <c r="N1208" s="157"/>
      <c r="O1208" s="157"/>
      <c r="Q1208" s="147"/>
      <c r="R1208" s="147"/>
      <c r="S1208" s="147"/>
      <c r="T1208" s="147"/>
      <c r="U1208" s="147"/>
      <c r="V1208" s="147"/>
    </row>
    <row r="1209" spans="1:22">
      <c r="A1209" s="157"/>
      <c r="F1209" s="3"/>
      <c r="G1209" s="3"/>
      <c r="N1209" s="157"/>
      <c r="O1209" s="157"/>
      <c r="Q1209" s="147"/>
      <c r="R1209" s="147"/>
      <c r="S1209" s="147"/>
      <c r="T1209" s="147"/>
      <c r="U1209" s="147"/>
      <c r="V1209" s="147"/>
    </row>
    <row r="1210" spans="1:22">
      <c r="A1210" s="157"/>
      <c r="F1210" s="3"/>
      <c r="G1210" s="3"/>
      <c r="N1210" s="157"/>
      <c r="O1210" s="157"/>
      <c r="Q1210" s="147"/>
      <c r="R1210" s="147"/>
      <c r="S1210" s="147"/>
      <c r="T1210" s="147"/>
      <c r="U1210" s="147"/>
      <c r="V1210" s="147"/>
    </row>
    <row r="1211" spans="1:22">
      <c r="A1211" s="157"/>
      <c r="F1211" s="3"/>
      <c r="G1211" s="3"/>
      <c r="N1211" s="157"/>
      <c r="O1211" s="157"/>
      <c r="Q1211" s="147"/>
      <c r="R1211" s="147"/>
      <c r="S1211" s="147"/>
      <c r="T1211" s="147"/>
      <c r="U1211" s="147"/>
      <c r="V1211" s="147"/>
    </row>
    <row r="1212" spans="1:22">
      <c r="A1212" s="157"/>
      <c r="F1212" s="3"/>
      <c r="G1212" s="3"/>
      <c r="N1212" s="157"/>
      <c r="O1212" s="157"/>
      <c r="Q1212" s="147"/>
      <c r="R1212" s="147"/>
      <c r="S1212" s="147"/>
      <c r="T1212" s="147"/>
      <c r="U1212" s="147"/>
      <c r="V1212" s="147"/>
    </row>
    <row r="1213" spans="1:22">
      <c r="A1213" s="157"/>
      <c r="F1213" s="3"/>
      <c r="G1213" s="3"/>
      <c r="N1213" s="157"/>
      <c r="O1213" s="157"/>
      <c r="Q1213" s="147"/>
      <c r="R1213" s="147"/>
      <c r="S1213" s="147"/>
      <c r="T1213" s="147"/>
      <c r="U1213" s="147"/>
      <c r="V1213" s="147"/>
    </row>
    <row r="1214" spans="1:22">
      <c r="A1214" s="157"/>
      <c r="F1214" s="3"/>
      <c r="G1214" s="3"/>
      <c r="N1214" s="157"/>
      <c r="O1214" s="157"/>
      <c r="Q1214" s="147"/>
      <c r="R1214" s="147"/>
      <c r="S1214" s="147"/>
      <c r="T1214" s="147"/>
      <c r="U1214" s="147"/>
      <c r="V1214" s="147"/>
    </row>
    <row r="1215" spans="1:22">
      <c r="A1215" s="157"/>
      <c r="F1215" s="3"/>
      <c r="G1215" s="3"/>
      <c r="N1215" s="157"/>
      <c r="O1215" s="157"/>
      <c r="Q1215" s="147"/>
      <c r="R1215" s="147"/>
      <c r="S1215" s="147"/>
      <c r="T1215" s="147"/>
      <c r="U1215" s="147"/>
      <c r="V1215" s="147"/>
    </row>
    <row r="1216" spans="1:22">
      <c r="A1216" s="157"/>
      <c r="F1216" s="3"/>
      <c r="G1216" s="3"/>
      <c r="N1216" s="157"/>
      <c r="O1216" s="157"/>
      <c r="Q1216" s="147"/>
      <c r="R1216" s="147"/>
      <c r="S1216" s="147"/>
      <c r="T1216" s="147"/>
      <c r="U1216" s="147"/>
      <c r="V1216" s="147"/>
    </row>
    <row r="1217" spans="1:22">
      <c r="A1217" s="157"/>
      <c r="F1217" s="3"/>
      <c r="G1217" s="3"/>
      <c r="N1217" s="157"/>
      <c r="O1217" s="157"/>
      <c r="Q1217" s="147"/>
      <c r="R1217" s="147"/>
      <c r="S1217" s="147"/>
      <c r="T1217" s="147"/>
      <c r="U1217" s="147"/>
      <c r="V1217" s="147"/>
    </row>
    <row r="1218" spans="1:22">
      <c r="A1218" s="157"/>
      <c r="F1218" s="3"/>
      <c r="G1218" s="3"/>
      <c r="N1218" s="157"/>
      <c r="O1218" s="157"/>
      <c r="Q1218" s="147"/>
      <c r="R1218" s="147"/>
      <c r="S1218" s="147"/>
      <c r="T1218" s="147"/>
      <c r="U1218" s="147"/>
      <c r="V1218" s="147"/>
    </row>
    <row r="1219" spans="1:22">
      <c r="A1219" s="157"/>
      <c r="F1219" s="3"/>
      <c r="G1219" s="3"/>
      <c r="N1219" s="157"/>
      <c r="O1219" s="157"/>
      <c r="Q1219" s="147"/>
      <c r="R1219" s="147"/>
      <c r="S1219" s="147"/>
      <c r="T1219" s="147"/>
      <c r="U1219" s="147"/>
      <c r="V1219" s="147"/>
    </row>
    <row r="1220" spans="1:22">
      <c r="A1220" s="157"/>
      <c r="F1220" s="3"/>
      <c r="G1220" s="3"/>
      <c r="N1220" s="157"/>
      <c r="O1220" s="157"/>
      <c r="Q1220" s="147"/>
      <c r="R1220" s="147"/>
      <c r="S1220" s="147"/>
      <c r="T1220" s="147"/>
      <c r="U1220" s="147"/>
      <c r="V1220" s="147"/>
    </row>
    <row r="1221" spans="1:22">
      <c r="A1221" s="157"/>
      <c r="F1221" s="3"/>
      <c r="G1221" s="3"/>
      <c r="N1221" s="157"/>
      <c r="O1221" s="157"/>
      <c r="Q1221" s="147"/>
      <c r="R1221" s="147"/>
      <c r="S1221" s="147"/>
      <c r="T1221" s="147"/>
      <c r="U1221" s="147"/>
      <c r="V1221" s="147"/>
    </row>
    <row r="1222" spans="1:22">
      <c r="A1222" s="157"/>
      <c r="F1222" s="3"/>
      <c r="G1222" s="3"/>
      <c r="N1222" s="157"/>
      <c r="O1222" s="157"/>
      <c r="Q1222" s="147"/>
      <c r="R1222" s="147"/>
      <c r="S1222" s="147"/>
      <c r="T1222" s="147"/>
      <c r="U1222" s="147"/>
      <c r="V1222" s="147"/>
    </row>
    <row r="1223" spans="1:22">
      <c r="A1223" s="157"/>
      <c r="F1223" s="3"/>
      <c r="G1223" s="3"/>
      <c r="N1223" s="157"/>
      <c r="O1223" s="157"/>
      <c r="Q1223" s="147"/>
      <c r="R1223" s="147"/>
      <c r="S1223" s="147"/>
      <c r="T1223" s="147"/>
      <c r="U1223" s="147"/>
      <c r="V1223" s="147"/>
    </row>
    <row r="1224" spans="1:22">
      <c r="A1224" s="157"/>
      <c r="F1224" s="3"/>
      <c r="G1224" s="3"/>
      <c r="N1224" s="157"/>
      <c r="O1224" s="157"/>
      <c r="Q1224" s="147"/>
      <c r="R1224" s="147"/>
      <c r="S1224" s="147"/>
      <c r="T1224" s="147"/>
      <c r="U1224" s="147"/>
      <c r="V1224" s="147"/>
    </row>
    <row r="1225" spans="1:22">
      <c r="A1225" s="157"/>
      <c r="F1225" s="3"/>
      <c r="G1225" s="3"/>
      <c r="N1225" s="157"/>
      <c r="O1225" s="157"/>
      <c r="Q1225" s="147"/>
      <c r="R1225" s="147"/>
      <c r="S1225" s="147"/>
      <c r="T1225" s="147"/>
      <c r="U1225" s="147"/>
      <c r="V1225" s="147"/>
    </row>
    <row r="1226" spans="1:22">
      <c r="A1226" s="157"/>
      <c r="F1226" s="3"/>
      <c r="G1226" s="3"/>
      <c r="N1226" s="157"/>
      <c r="O1226" s="157"/>
      <c r="Q1226" s="147"/>
      <c r="R1226" s="147"/>
      <c r="S1226" s="147"/>
      <c r="T1226" s="147"/>
      <c r="U1226" s="147"/>
      <c r="V1226" s="147"/>
    </row>
    <row r="1227" spans="1:22">
      <c r="A1227" s="157"/>
      <c r="F1227" s="3"/>
      <c r="G1227" s="3"/>
      <c r="N1227" s="157"/>
      <c r="O1227" s="157"/>
      <c r="Q1227" s="147"/>
      <c r="R1227" s="147"/>
      <c r="S1227" s="147"/>
      <c r="T1227" s="147"/>
      <c r="U1227" s="147"/>
      <c r="V1227" s="147"/>
    </row>
    <row r="1228" spans="1:22">
      <c r="A1228" s="157"/>
      <c r="F1228" s="3"/>
      <c r="G1228" s="3"/>
      <c r="N1228" s="157"/>
      <c r="O1228" s="157"/>
      <c r="Q1228" s="147"/>
      <c r="R1228" s="147"/>
      <c r="S1228" s="147"/>
      <c r="T1228" s="147"/>
      <c r="U1228" s="147"/>
      <c r="V1228" s="147"/>
    </row>
    <row r="1229" spans="1:22">
      <c r="A1229" s="157"/>
      <c r="F1229" s="3"/>
      <c r="G1229" s="3"/>
      <c r="N1229" s="157"/>
      <c r="O1229" s="157"/>
      <c r="Q1229" s="147"/>
      <c r="R1229" s="147"/>
      <c r="S1229" s="147"/>
      <c r="T1229" s="147"/>
      <c r="U1229" s="147"/>
      <c r="V1229" s="147"/>
    </row>
    <row r="1230" spans="1:22">
      <c r="A1230" s="157"/>
      <c r="F1230" s="3"/>
      <c r="G1230" s="3"/>
      <c r="N1230" s="157"/>
      <c r="O1230" s="157"/>
      <c r="Q1230" s="147"/>
      <c r="R1230" s="147"/>
      <c r="S1230" s="147"/>
      <c r="T1230" s="147"/>
      <c r="U1230" s="147"/>
      <c r="V1230" s="147"/>
    </row>
    <row r="1231" spans="1:22">
      <c r="A1231" s="157"/>
      <c r="F1231" s="3"/>
      <c r="G1231" s="3"/>
      <c r="N1231" s="157"/>
      <c r="O1231" s="157"/>
      <c r="Q1231" s="147"/>
      <c r="R1231" s="147"/>
      <c r="S1231" s="147"/>
      <c r="T1231" s="147"/>
      <c r="U1231" s="147"/>
      <c r="V1231" s="147"/>
    </row>
    <row r="1232" spans="1:22">
      <c r="A1232" s="157"/>
      <c r="F1232" s="3"/>
      <c r="G1232" s="3"/>
      <c r="N1232" s="157"/>
      <c r="O1232" s="157"/>
      <c r="Q1232" s="147"/>
      <c r="R1232" s="147"/>
      <c r="S1232" s="147"/>
      <c r="T1232" s="147"/>
      <c r="U1232" s="147"/>
      <c r="V1232" s="147"/>
    </row>
    <row r="1233" spans="1:22">
      <c r="A1233" s="157"/>
      <c r="F1233" s="3"/>
      <c r="G1233" s="3"/>
      <c r="N1233" s="157"/>
      <c r="O1233" s="157"/>
      <c r="Q1233" s="147"/>
      <c r="R1233" s="147"/>
      <c r="S1233" s="147"/>
      <c r="T1233" s="147"/>
      <c r="U1233" s="147"/>
      <c r="V1233" s="147"/>
    </row>
    <row r="1234" spans="1:22">
      <c r="A1234" s="157"/>
      <c r="F1234" s="3"/>
      <c r="G1234" s="3"/>
      <c r="N1234" s="157"/>
      <c r="O1234" s="157"/>
      <c r="Q1234" s="147"/>
      <c r="R1234" s="147"/>
      <c r="S1234" s="147"/>
      <c r="T1234" s="147"/>
      <c r="U1234" s="147"/>
      <c r="V1234" s="147"/>
    </row>
    <row r="1235" spans="1:22">
      <c r="A1235" s="157"/>
      <c r="F1235" s="3"/>
      <c r="G1235" s="3"/>
      <c r="N1235" s="157"/>
      <c r="O1235" s="157"/>
      <c r="Q1235" s="147"/>
      <c r="R1235" s="147"/>
      <c r="S1235" s="147"/>
      <c r="T1235" s="147"/>
      <c r="U1235" s="147"/>
      <c r="V1235" s="147"/>
    </row>
    <row r="1236" spans="1:22">
      <c r="A1236" s="157"/>
      <c r="F1236" s="3"/>
      <c r="G1236" s="3"/>
      <c r="N1236" s="157"/>
      <c r="O1236" s="157"/>
      <c r="Q1236" s="147"/>
      <c r="R1236" s="147"/>
      <c r="S1236" s="147"/>
      <c r="T1236" s="147"/>
      <c r="U1236" s="147"/>
      <c r="V1236" s="147"/>
    </row>
    <row r="1237" spans="1:22">
      <c r="A1237" s="157"/>
      <c r="F1237" s="3"/>
      <c r="G1237" s="3"/>
      <c r="N1237" s="157"/>
      <c r="O1237" s="157"/>
      <c r="Q1237" s="147"/>
      <c r="R1237" s="147"/>
      <c r="S1237" s="147"/>
      <c r="T1237" s="147"/>
      <c r="U1237" s="147"/>
      <c r="V1237" s="147"/>
    </row>
    <row r="1238" spans="1:22">
      <c r="A1238" s="157"/>
      <c r="F1238" s="3"/>
      <c r="G1238" s="3"/>
      <c r="N1238" s="157"/>
      <c r="O1238" s="157"/>
      <c r="Q1238" s="147"/>
      <c r="R1238" s="147"/>
      <c r="S1238" s="147"/>
      <c r="T1238" s="147"/>
      <c r="U1238" s="147"/>
      <c r="V1238" s="147"/>
    </row>
    <row r="1239" spans="1:22">
      <c r="A1239" s="157"/>
      <c r="F1239" s="3"/>
      <c r="G1239" s="3"/>
      <c r="N1239" s="157"/>
      <c r="O1239" s="157"/>
      <c r="Q1239" s="147"/>
      <c r="R1239" s="147"/>
      <c r="S1239" s="147"/>
      <c r="T1239" s="147"/>
      <c r="U1239" s="147"/>
      <c r="V1239" s="147"/>
    </row>
    <row r="1240" spans="1:22">
      <c r="A1240" s="157"/>
      <c r="F1240" s="3"/>
      <c r="G1240" s="3"/>
      <c r="N1240" s="157"/>
      <c r="O1240" s="157"/>
      <c r="Q1240" s="147"/>
      <c r="R1240" s="147"/>
      <c r="S1240" s="147"/>
      <c r="T1240" s="147"/>
      <c r="U1240" s="147"/>
      <c r="V1240" s="147"/>
    </row>
    <row r="1241" spans="1:22">
      <c r="A1241" s="157"/>
      <c r="F1241" s="3"/>
      <c r="G1241" s="3"/>
      <c r="N1241" s="157"/>
      <c r="O1241" s="157"/>
      <c r="Q1241" s="147"/>
      <c r="R1241" s="147"/>
      <c r="S1241" s="147"/>
      <c r="T1241" s="147"/>
      <c r="U1241" s="147"/>
      <c r="V1241" s="147"/>
    </row>
    <row r="1242" spans="1:22">
      <c r="A1242" s="157"/>
      <c r="F1242" s="3"/>
      <c r="G1242" s="3"/>
      <c r="N1242" s="157"/>
      <c r="O1242" s="157"/>
      <c r="Q1242" s="147"/>
      <c r="R1242" s="147"/>
      <c r="S1242" s="147"/>
      <c r="T1242" s="147"/>
      <c r="U1242" s="147"/>
      <c r="V1242" s="147"/>
    </row>
    <row r="1243" spans="1:22">
      <c r="A1243" s="157"/>
      <c r="F1243" s="3"/>
      <c r="G1243" s="3"/>
      <c r="N1243" s="157"/>
      <c r="O1243" s="157"/>
      <c r="Q1243" s="147"/>
      <c r="R1243" s="147"/>
      <c r="S1243" s="147"/>
      <c r="T1243" s="147"/>
      <c r="U1243" s="147"/>
      <c r="V1243" s="147"/>
    </row>
    <row r="1244" spans="1:22">
      <c r="A1244" s="157"/>
      <c r="F1244" s="3"/>
      <c r="G1244" s="3"/>
      <c r="N1244" s="157"/>
      <c r="O1244" s="157"/>
      <c r="Q1244" s="147"/>
      <c r="R1244" s="147"/>
      <c r="S1244" s="147"/>
      <c r="T1244" s="147"/>
      <c r="U1244" s="147"/>
      <c r="V1244" s="147"/>
    </row>
    <row r="1245" spans="1:22">
      <c r="A1245" s="157"/>
      <c r="F1245" s="3"/>
      <c r="G1245" s="3"/>
      <c r="N1245" s="157"/>
      <c r="O1245" s="157"/>
      <c r="Q1245" s="147"/>
      <c r="R1245" s="147"/>
      <c r="S1245" s="147"/>
      <c r="T1245" s="147"/>
      <c r="U1245" s="147"/>
      <c r="V1245" s="147"/>
    </row>
    <row r="1246" spans="1:22">
      <c r="A1246" s="157"/>
      <c r="F1246" s="3"/>
      <c r="G1246" s="3"/>
      <c r="N1246" s="157"/>
      <c r="O1246" s="157"/>
      <c r="Q1246" s="147"/>
      <c r="R1246" s="147"/>
      <c r="S1246" s="147"/>
      <c r="T1246" s="147"/>
      <c r="U1246" s="147"/>
      <c r="V1246" s="147"/>
    </row>
    <row r="1247" spans="1:22">
      <c r="A1247" s="157"/>
      <c r="F1247" s="3"/>
      <c r="G1247" s="3"/>
      <c r="N1247" s="157"/>
      <c r="O1247" s="157"/>
      <c r="Q1247" s="147"/>
      <c r="R1247" s="147"/>
      <c r="S1247" s="147"/>
      <c r="T1247" s="147"/>
      <c r="U1247" s="147"/>
      <c r="V1247" s="147"/>
    </row>
    <row r="1248" spans="1:22">
      <c r="A1248" s="157"/>
      <c r="F1248" s="3"/>
      <c r="G1248" s="3"/>
      <c r="N1248" s="157"/>
      <c r="O1248" s="157"/>
      <c r="Q1248" s="147"/>
      <c r="R1248" s="147"/>
      <c r="S1248" s="147"/>
      <c r="T1248" s="147"/>
      <c r="U1248" s="147"/>
      <c r="V1248" s="147"/>
    </row>
    <row r="1249" spans="1:22">
      <c r="A1249" s="157"/>
      <c r="F1249" s="3"/>
      <c r="G1249" s="3"/>
      <c r="N1249" s="157"/>
      <c r="O1249" s="157"/>
      <c r="Q1249" s="147"/>
      <c r="R1249" s="147"/>
      <c r="S1249" s="147"/>
      <c r="T1249" s="147"/>
      <c r="U1249" s="147"/>
      <c r="V1249" s="147"/>
    </row>
    <row r="1250" spans="1:22">
      <c r="A1250" s="157"/>
      <c r="F1250" s="3"/>
      <c r="G1250" s="3"/>
      <c r="N1250" s="157"/>
      <c r="O1250" s="157"/>
      <c r="Q1250" s="147"/>
      <c r="R1250" s="147"/>
      <c r="S1250" s="147"/>
      <c r="T1250" s="147"/>
      <c r="U1250" s="147"/>
      <c r="V1250" s="147"/>
    </row>
    <row r="1251" spans="1:22">
      <c r="A1251" s="157"/>
      <c r="F1251" s="3"/>
      <c r="G1251" s="3"/>
      <c r="N1251" s="157"/>
      <c r="O1251" s="157"/>
      <c r="Q1251" s="147"/>
      <c r="R1251" s="147"/>
      <c r="S1251" s="147"/>
      <c r="T1251" s="147"/>
      <c r="U1251" s="147"/>
      <c r="V1251" s="147"/>
    </row>
    <row r="1252" spans="1:22">
      <c r="A1252" s="157"/>
      <c r="F1252" s="3"/>
      <c r="G1252" s="3"/>
      <c r="N1252" s="157"/>
      <c r="O1252" s="157"/>
      <c r="Q1252" s="147"/>
      <c r="R1252" s="147"/>
      <c r="S1252" s="147"/>
      <c r="T1252" s="147"/>
      <c r="U1252" s="147"/>
      <c r="V1252" s="147"/>
    </row>
    <row r="1253" spans="1:22">
      <c r="A1253" s="157"/>
      <c r="F1253" s="3"/>
      <c r="G1253" s="3"/>
      <c r="N1253" s="157"/>
      <c r="O1253" s="157"/>
      <c r="Q1253" s="147"/>
      <c r="R1253" s="147"/>
      <c r="S1253" s="147"/>
      <c r="T1253" s="147"/>
      <c r="U1253" s="147"/>
      <c r="V1253" s="147"/>
    </row>
    <row r="1254" spans="1:22">
      <c r="A1254" s="157"/>
      <c r="F1254" s="3"/>
      <c r="G1254" s="3"/>
      <c r="N1254" s="157"/>
      <c r="O1254" s="157"/>
      <c r="Q1254" s="147"/>
      <c r="R1254" s="147"/>
      <c r="S1254" s="147"/>
      <c r="T1254" s="147"/>
      <c r="U1254" s="147"/>
      <c r="V1254" s="147"/>
    </row>
    <row r="1255" spans="1:22">
      <c r="A1255" s="157"/>
      <c r="F1255" s="3"/>
      <c r="G1255" s="3"/>
      <c r="N1255" s="157"/>
      <c r="O1255" s="157"/>
      <c r="Q1255" s="147"/>
      <c r="R1255" s="147"/>
      <c r="S1255" s="147"/>
      <c r="T1255" s="147"/>
      <c r="U1255" s="147"/>
      <c r="V1255" s="147"/>
    </row>
    <row r="1256" spans="1:22">
      <c r="A1256" s="157"/>
      <c r="F1256" s="3"/>
      <c r="G1256" s="3"/>
      <c r="N1256" s="157"/>
      <c r="O1256" s="157"/>
      <c r="Q1256" s="147"/>
      <c r="R1256" s="147"/>
      <c r="S1256" s="147"/>
      <c r="T1256" s="147"/>
      <c r="U1256" s="147"/>
      <c r="V1256" s="147"/>
    </row>
    <row r="1257" spans="1:22">
      <c r="A1257" s="157"/>
      <c r="F1257" s="3"/>
      <c r="G1257" s="3"/>
      <c r="N1257" s="157"/>
      <c r="O1257" s="157"/>
      <c r="Q1257" s="147"/>
      <c r="R1257" s="147"/>
      <c r="S1257" s="147"/>
      <c r="T1257" s="147"/>
      <c r="U1257" s="147"/>
      <c r="V1257" s="147"/>
    </row>
    <row r="1258" spans="1:22">
      <c r="A1258" s="157"/>
      <c r="F1258" s="3"/>
      <c r="G1258" s="3"/>
      <c r="N1258" s="157"/>
      <c r="O1258" s="157"/>
      <c r="Q1258" s="147"/>
      <c r="R1258" s="147"/>
      <c r="S1258" s="147"/>
      <c r="T1258" s="147"/>
      <c r="U1258" s="147"/>
      <c r="V1258" s="147"/>
    </row>
    <row r="1259" spans="1:22">
      <c r="A1259" s="157"/>
      <c r="F1259" s="3"/>
      <c r="G1259" s="3"/>
      <c r="N1259" s="157"/>
      <c r="O1259" s="157"/>
      <c r="Q1259" s="147"/>
      <c r="R1259" s="147"/>
      <c r="S1259" s="147"/>
      <c r="T1259" s="147"/>
      <c r="U1259" s="147"/>
      <c r="V1259" s="147"/>
    </row>
    <row r="1260" spans="1:22">
      <c r="A1260" s="157"/>
      <c r="F1260" s="3"/>
      <c r="G1260" s="3"/>
      <c r="N1260" s="157"/>
      <c r="O1260" s="157"/>
      <c r="Q1260" s="147"/>
      <c r="R1260" s="147"/>
      <c r="S1260" s="147"/>
      <c r="T1260" s="147"/>
      <c r="U1260" s="147"/>
      <c r="V1260" s="147"/>
    </row>
    <row r="1261" spans="1:22">
      <c r="A1261" s="157"/>
      <c r="F1261" s="3"/>
      <c r="G1261" s="3"/>
      <c r="N1261" s="157"/>
      <c r="O1261" s="157"/>
      <c r="Q1261" s="147"/>
      <c r="R1261" s="147"/>
      <c r="S1261" s="147"/>
      <c r="T1261" s="147"/>
      <c r="U1261" s="147"/>
      <c r="V1261" s="147"/>
    </row>
    <row r="1262" spans="1:22">
      <c r="A1262" s="157"/>
      <c r="F1262" s="3"/>
      <c r="G1262" s="3"/>
      <c r="N1262" s="157"/>
      <c r="O1262" s="157"/>
      <c r="Q1262" s="147"/>
      <c r="R1262" s="147"/>
      <c r="S1262" s="147"/>
      <c r="T1262" s="147"/>
      <c r="U1262" s="147"/>
      <c r="V1262" s="147"/>
    </row>
    <row r="1263" spans="1:22">
      <c r="A1263" s="157"/>
      <c r="F1263" s="3"/>
      <c r="G1263" s="3"/>
      <c r="N1263" s="157"/>
      <c r="O1263" s="157"/>
      <c r="Q1263" s="147"/>
      <c r="R1263" s="147"/>
      <c r="S1263" s="147"/>
      <c r="T1263" s="147"/>
      <c r="U1263" s="147"/>
      <c r="V1263" s="147"/>
    </row>
    <row r="1264" spans="1:22">
      <c r="A1264" s="157"/>
      <c r="F1264" s="3"/>
      <c r="G1264" s="3"/>
      <c r="N1264" s="157"/>
      <c r="O1264" s="157"/>
      <c r="Q1264" s="147"/>
      <c r="R1264" s="147"/>
      <c r="S1264" s="147"/>
      <c r="T1264" s="147"/>
      <c r="U1264" s="147"/>
      <c r="V1264" s="147"/>
    </row>
    <row r="1265" spans="1:22">
      <c r="A1265" s="157"/>
      <c r="F1265" s="3"/>
      <c r="G1265" s="3"/>
      <c r="N1265" s="157"/>
      <c r="O1265" s="157"/>
      <c r="Q1265" s="147"/>
      <c r="R1265" s="147"/>
      <c r="S1265" s="147"/>
      <c r="T1265" s="147"/>
      <c r="U1265" s="147"/>
      <c r="V1265" s="147"/>
    </row>
    <row r="1266" spans="1:22">
      <c r="A1266" s="157"/>
      <c r="F1266" s="3"/>
      <c r="G1266" s="3"/>
      <c r="N1266" s="157"/>
      <c r="O1266" s="157"/>
      <c r="Q1266" s="147"/>
      <c r="R1266" s="147"/>
      <c r="S1266" s="147"/>
      <c r="T1266" s="147"/>
      <c r="U1266" s="147"/>
      <c r="V1266" s="147"/>
    </row>
    <row r="1267" spans="1:22">
      <c r="A1267" s="157"/>
      <c r="F1267" s="3"/>
      <c r="G1267" s="3"/>
      <c r="N1267" s="157"/>
      <c r="O1267" s="157"/>
      <c r="Q1267" s="147"/>
      <c r="R1267" s="147"/>
      <c r="S1267" s="147"/>
      <c r="T1267" s="147"/>
      <c r="U1267" s="147"/>
      <c r="V1267" s="147"/>
    </row>
    <row r="1268" spans="1:22">
      <c r="A1268" s="157"/>
      <c r="F1268" s="3"/>
      <c r="G1268" s="3"/>
      <c r="N1268" s="157"/>
      <c r="O1268" s="157"/>
      <c r="Q1268" s="147"/>
      <c r="R1268" s="147"/>
      <c r="S1268" s="147"/>
      <c r="T1268" s="147"/>
      <c r="U1268" s="147"/>
      <c r="V1268" s="147"/>
    </row>
    <row r="1269" spans="1:22">
      <c r="A1269" s="157"/>
      <c r="F1269" s="3"/>
      <c r="G1269" s="3"/>
      <c r="N1269" s="157"/>
      <c r="O1269" s="157"/>
      <c r="Q1269" s="147"/>
      <c r="R1269" s="147"/>
      <c r="S1269" s="147"/>
      <c r="T1269" s="147"/>
      <c r="U1269" s="147"/>
      <c r="V1269" s="147"/>
    </row>
    <row r="1270" spans="1:22">
      <c r="A1270" s="157"/>
      <c r="F1270" s="3"/>
      <c r="G1270" s="3"/>
      <c r="N1270" s="157"/>
      <c r="O1270" s="157"/>
      <c r="Q1270" s="147"/>
      <c r="R1270" s="147"/>
      <c r="S1270" s="147"/>
      <c r="T1270" s="147"/>
      <c r="U1270" s="147"/>
      <c r="V1270" s="147"/>
    </row>
    <row r="1271" spans="1:22">
      <c r="A1271" s="157"/>
      <c r="F1271" s="3"/>
      <c r="G1271" s="3"/>
      <c r="N1271" s="157"/>
      <c r="O1271" s="157"/>
      <c r="Q1271" s="147"/>
      <c r="R1271" s="147"/>
      <c r="S1271" s="147"/>
      <c r="T1271" s="147"/>
      <c r="U1271" s="147"/>
      <c r="V1271" s="147"/>
    </row>
    <row r="1272" spans="1:22">
      <c r="A1272" s="157"/>
      <c r="F1272" s="3"/>
      <c r="G1272" s="3"/>
      <c r="N1272" s="157"/>
      <c r="O1272" s="157"/>
      <c r="Q1272" s="147"/>
      <c r="R1272" s="147"/>
      <c r="S1272" s="147"/>
      <c r="T1272" s="147"/>
      <c r="U1272" s="147"/>
      <c r="V1272" s="147"/>
    </row>
    <row r="1273" spans="1:22">
      <c r="A1273" s="157"/>
      <c r="F1273" s="3"/>
      <c r="G1273" s="3"/>
      <c r="N1273" s="157"/>
      <c r="O1273" s="157"/>
      <c r="Q1273" s="147"/>
      <c r="R1273" s="147"/>
      <c r="S1273" s="147"/>
      <c r="T1273" s="147"/>
      <c r="U1273" s="147"/>
      <c r="V1273" s="147"/>
    </row>
    <row r="1274" spans="1:22">
      <c r="A1274" s="157"/>
      <c r="F1274" s="3"/>
      <c r="G1274" s="3"/>
      <c r="N1274" s="157"/>
      <c r="O1274" s="157"/>
      <c r="Q1274" s="147"/>
      <c r="R1274" s="147"/>
      <c r="S1274" s="147"/>
      <c r="T1274" s="147"/>
      <c r="U1274" s="147"/>
      <c r="V1274" s="147"/>
    </row>
    <row r="1275" spans="1:22">
      <c r="A1275" s="157"/>
      <c r="F1275" s="3"/>
      <c r="G1275" s="3"/>
      <c r="N1275" s="157"/>
      <c r="O1275" s="157"/>
      <c r="Q1275" s="147"/>
      <c r="R1275" s="147"/>
      <c r="S1275" s="147"/>
      <c r="T1275" s="147"/>
      <c r="U1275" s="147"/>
      <c r="V1275" s="147"/>
    </row>
    <row r="1276" spans="1:22">
      <c r="A1276" s="157"/>
      <c r="F1276" s="3"/>
      <c r="G1276" s="3"/>
      <c r="N1276" s="157"/>
      <c r="O1276" s="157"/>
      <c r="Q1276" s="147"/>
      <c r="R1276" s="147"/>
      <c r="S1276" s="147"/>
      <c r="T1276" s="147"/>
      <c r="U1276" s="147"/>
      <c r="V1276" s="147"/>
    </row>
    <row r="1277" spans="1:22">
      <c r="A1277" s="157"/>
      <c r="F1277" s="3"/>
      <c r="G1277" s="3"/>
      <c r="N1277" s="157"/>
      <c r="O1277" s="157"/>
      <c r="Q1277" s="147"/>
      <c r="R1277" s="147"/>
      <c r="S1277" s="147"/>
      <c r="T1277" s="147"/>
      <c r="U1277" s="147"/>
      <c r="V1277" s="147"/>
    </row>
    <row r="1278" spans="1:22">
      <c r="A1278" s="157"/>
      <c r="F1278" s="3"/>
      <c r="G1278" s="3"/>
      <c r="N1278" s="157"/>
      <c r="O1278" s="157"/>
      <c r="Q1278" s="147"/>
      <c r="R1278" s="147"/>
      <c r="S1278" s="147"/>
      <c r="T1278" s="147"/>
      <c r="U1278" s="147"/>
      <c r="V1278" s="147"/>
    </row>
    <row r="1279" spans="1:22">
      <c r="A1279" s="157"/>
      <c r="F1279" s="3"/>
      <c r="G1279" s="3"/>
      <c r="N1279" s="157"/>
      <c r="O1279" s="157"/>
      <c r="Q1279" s="147"/>
      <c r="R1279" s="147"/>
      <c r="S1279" s="147"/>
      <c r="T1279" s="147"/>
      <c r="U1279" s="147"/>
      <c r="V1279" s="147"/>
    </row>
    <row r="1280" spans="1:22">
      <c r="A1280" s="157"/>
      <c r="F1280" s="3"/>
      <c r="G1280" s="3"/>
      <c r="N1280" s="157"/>
      <c r="O1280" s="157"/>
      <c r="Q1280" s="147"/>
      <c r="R1280" s="147"/>
      <c r="S1280" s="147"/>
      <c r="T1280" s="147"/>
      <c r="U1280" s="147"/>
      <c r="V1280" s="147"/>
    </row>
    <row r="1281" spans="1:22">
      <c r="A1281" s="157"/>
      <c r="F1281" s="3"/>
      <c r="G1281" s="3"/>
      <c r="N1281" s="157"/>
      <c r="O1281" s="157"/>
      <c r="Q1281" s="147"/>
      <c r="R1281" s="147"/>
      <c r="S1281" s="147"/>
      <c r="T1281" s="147"/>
      <c r="U1281" s="147"/>
      <c r="V1281" s="147"/>
    </row>
    <row r="1282" spans="1:22">
      <c r="A1282" s="157"/>
      <c r="F1282" s="3"/>
      <c r="G1282" s="3"/>
      <c r="N1282" s="157"/>
      <c r="O1282" s="157"/>
      <c r="Q1282" s="147"/>
      <c r="R1282" s="147"/>
      <c r="S1282" s="147"/>
      <c r="T1282" s="147"/>
      <c r="U1282" s="147"/>
      <c r="V1282" s="147"/>
    </row>
    <row r="1283" spans="1:22">
      <c r="A1283" s="157"/>
      <c r="F1283" s="3"/>
      <c r="G1283" s="3"/>
      <c r="N1283" s="157"/>
      <c r="O1283" s="157"/>
      <c r="Q1283" s="147"/>
      <c r="R1283" s="147"/>
      <c r="S1283" s="147"/>
      <c r="T1283" s="147"/>
      <c r="U1283" s="147"/>
      <c r="V1283" s="147"/>
    </row>
    <row r="1284" spans="1:22">
      <c r="A1284" s="157"/>
      <c r="F1284" s="3"/>
      <c r="G1284" s="3"/>
      <c r="N1284" s="157"/>
      <c r="O1284" s="157"/>
      <c r="Q1284" s="147"/>
      <c r="R1284" s="147"/>
      <c r="S1284" s="147"/>
      <c r="T1284" s="147"/>
      <c r="U1284" s="147"/>
      <c r="V1284" s="147"/>
    </row>
    <row r="1285" spans="1:22">
      <c r="A1285" s="157"/>
      <c r="F1285" s="3"/>
      <c r="G1285" s="3"/>
      <c r="N1285" s="157"/>
      <c r="O1285" s="157"/>
      <c r="Q1285" s="147"/>
      <c r="R1285" s="147"/>
      <c r="S1285" s="147"/>
      <c r="T1285" s="147"/>
      <c r="U1285" s="147"/>
      <c r="V1285" s="147"/>
    </row>
    <row r="1286" spans="1:22">
      <c r="A1286" s="157"/>
      <c r="F1286" s="3"/>
      <c r="G1286" s="3"/>
      <c r="N1286" s="157"/>
      <c r="O1286" s="157"/>
      <c r="Q1286" s="147"/>
      <c r="R1286" s="147"/>
      <c r="S1286" s="147"/>
      <c r="T1286" s="147"/>
      <c r="U1286" s="147"/>
      <c r="V1286" s="147"/>
    </row>
    <row r="1287" spans="1:22">
      <c r="A1287" s="157"/>
      <c r="F1287" s="3"/>
      <c r="G1287" s="3"/>
      <c r="N1287" s="157"/>
      <c r="O1287" s="157"/>
      <c r="Q1287" s="147"/>
      <c r="R1287" s="147"/>
      <c r="S1287" s="147"/>
      <c r="T1287" s="147"/>
      <c r="U1287" s="147"/>
      <c r="V1287" s="147"/>
    </row>
    <row r="1288" spans="1:22">
      <c r="A1288" s="157"/>
      <c r="F1288" s="3"/>
      <c r="G1288" s="3"/>
      <c r="N1288" s="157"/>
      <c r="O1288" s="157"/>
      <c r="Q1288" s="147"/>
      <c r="R1288" s="147"/>
      <c r="S1288" s="147"/>
      <c r="T1288" s="147"/>
      <c r="U1288" s="147"/>
      <c r="V1288" s="147"/>
    </row>
    <row r="1289" spans="1:22">
      <c r="A1289" s="157"/>
      <c r="F1289" s="3"/>
      <c r="G1289" s="3"/>
      <c r="N1289" s="157"/>
      <c r="O1289" s="157"/>
      <c r="Q1289" s="147"/>
      <c r="R1289" s="147"/>
      <c r="S1289" s="147"/>
      <c r="T1289" s="147"/>
      <c r="U1289" s="147"/>
      <c r="V1289" s="147"/>
    </row>
    <row r="1290" spans="1:22">
      <c r="A1290" s="157"/>
      <c r="F1290" s="3"/>
      <c r="G1290" s="3"/>
      <c r="N1290" s="157"/>
      <c r="O1290" s="157"/>
      <c r="Q1290" s="147"/>
      <c r="R1290" s="147"/>
      <c r="S1290" s="147"/>
      <c r="T1290" s="147"/>
      <c r="U1290" s="147"/>
      <c r="V1290" s="147"/>
    </row>
    <row r="1291" spans="1:22">
      <c r="A1291" s="157"/>
      <c r="F1291" s="3"/>
      <c r="G1291" s="3"/>
      <c r="N1291" s="157"/>
      <c r="O1291" s="157"/>
      <c r="Q1291" s="147"/>
      <c r="R1291" s="147"/>
      <c r="S1291" s="147"/>
      <c r="T1291" s="147"/>
      <c r="U1291" s="147"/>
      <c r="V1291" s="147"/>
    </row>
    <row r="1292" spans="1:22">
      <c r="A1292" s="157"/>
      <c r="F1292" s="3"/>
      <c r="G1292" s="3"/>
      <c r="N1292" s="157"/>
      <c r="O1292" s="157"/>
      <c r="Q1292" s="147"/>
      <c r="R1292" s="147"/>
      <c r="S1292" s="147"/>
      <c r="T1292" s="147"/>
      <c r="U1292" s="147"/>
      <c r="V1292" s="147"/>
    </row>
    <row r="1293" spans="1:22">
      <c r="A1293" s="157"/>
      <c r="F1293" s="3"/>
      <c r="G1293" s="3"/>
      <c r="N1293" s="157"/>
      <c r="O1293" s="157"/>
      <c r="Q1293" s="147"/>
      <c r="R1293" s="147"/>
      <c r="S1293" s="147"/>
      <c r="T1293" s="147"/>
      <c r="U1293" s="147"/>
      <c r="V1293" s="147"/>
    </row>
    <row r="1294" spans="1:22">
      <c r="A1294" s="157"/>
      <c r="F1294" s="3"/>
      <c r="G1294" s="3"/>
      <c r="N1294" s="157"/>
      <c r="O1294" s="157"/>
      <c r="Q1294" s="147"/>
      <c r="R1294" s="147"/>
      <c r="S1294" s="147"/>
      <c r="T1294" s="147"/>
      <c r="U1294" s="147"/>
      <c r="V1294" s="147"/>
    </row>
    <row r="1295" spans="1:22">
      <c r="A1295" s="157"/>
      <c r="F1295" s="3"/>
      <c r="G1295" s="3"/>
      <c r="N1295" s="157"/>
      <c r="O1295" s="157"/>
      <c r="Q1295" s="147"/>
      <c r="R1295" s="147"/>
      <c r="S1295" s="147"/>
      <c r="T1295" s="147"/>
      <c r="U1295" s="147"/>
      <c r="V1295" s="147"/>
    </row>
    <row r="1296" spans="1:22">
      <c r="A1296" s="157"/>
      <c r="F1296" s="3"/>
      <c r="G1296" s="3"/>
      <c r="N1296" s="157"/>
      <c r="O1296" s="157"/>
      <c r="Q1296" s="147"/>
      <c r="R1296" s="147"/>
      <c r="S1296" s="147"/>
      <c r="T1296" s="147"/>
      <c r="U1296" s="147"/>
      <c r="V1296" s="147"/>
    </row>
    <row r="1297" spans="1:22">
      <c r="A1297" s="157"/>
      <c r="F1297" s="3"/>
      <c r="G1297" s="3"/>
      <c r="N1297" s="157"/>
      <c r="O1297" s="157"/>
      <c r="Q1297" s="147"/>
      <c r="R1297" s="147"/>
      <c r="S1297" s="147"/>
      <c r="T1297" s="147"/>
      <c r="U1297" s="147"/>
      <c r="V1297" s="147"/>
    </row>
    <row r="1298" spans="1:22">
      <c r="A1298" s="157"/>
      <c r="F1298" s="3"/>
      <c r="G1298" s="3"/>
      <c r="N1298" s="157"/>
      <c r="O1298" s="157"/>
      <c r="Q1298" s="147"/>
      <c r="R1298" s="147"/>
      <c r="S1298" s="147"/>
      <c r="T1298" s="147"/>
      <c r="U1298" s="147"/>
      <c r="V1298" s="147"/>
    </row>
    <row r="1299" spans="1:22">
      <c r="A1299" s="157"/>
      <c r="F1299" s="3"/>
      <c r="G1299" s="3"/>
      <c r="N1299" s="157"/>
      <c r="O1299" s="157"/>
      <c r="Q1299" s="147"/>
      <c r="R1299" s="147"/>
      <c r="S1299" s="147"/>
      <c r="T1299" s="147"/>
      <c r="U1299" s="147"/>
      <c r="V1299" s="147"/>
    </row>
    <row r="1300" spans="1:22">
      <c r="A1300" s="157"/>
      <c r="F1300" s="3"/>
      <c r="G1300" s="3"/>
      <c r="N1300" s="157"/>
      <c r="O1300" s="157"/>
      <c r="Q1300" s="147"/>
      <c r="R1300" s="147"/>
      <c r="S1300" s="147"/>
      <c r="T1300" s="147"/>
      <c r="U1300" s="147"/>
      <c r="V1300" s="147"/>
    </row>
    <row r="1301" spans="1:22">
      <c r="A1301" s="157"/>
      <c r="F1301" s="3"/>
      <c r="G1301" s="3"/>
      <c r="N1301" s="157"/>
      <c r="O1301" s="157"/>
      <c r="Q1301" s="147"/>
      <c r="R1301" s="147"/>
      <c r="S1301" s="147"/>
      <c r="T1301" s="147"/>
      <c r="U1301" s="147"/>
      <c r="V1301" s="147"/>
    </row>
    <row r="1302" spans="1:22">
      <c r="A1302" s="157"/>
      <c r="F1302" s="3"/>
      <c r="G1302" s="3"/>
      <c r="N1302" s="157"/>
      <c r="O1302" s="157"/>
      <c r="Q1302" s="147"/>
      <c r="R1302" s="147"/>
      <c r="S1302" s="147"/>
      <c r="T1302" s="147"/>
      <c r="U1302" s="147"/>
      <c r="V1302" s="147"/>
    </row>
    <row r="1303" spans="1:22">
      <c r="A1303" s="157"/>
      <c r="F1303" s="3"/>
      <c r="G1303" s="3"/>
      <c r="N1303" s="157"/>
      <c r="O1303" s="157"/>
      <c r="Q1303" s="147"/>
      <c r="R1303" s="147"/>
      <c r="S1303" s="147"/>
      <c r="T1303" s="147"/>
      <c r="U1303" s="147"/>
      <c r="V1303" s="147"/>
    </row>
    <row r="1304" spans="1:22">
      <c r="A1304" s="157"/>
      <c r="F1304" s="3"/>
      <c r="G1304" s="3"/>
      <c r="N1304" s="157"/>
      <c r="O1304" s="157"/>
      <c r="Q1304" s="147"/>
      <c r="R1304" s="147"/>
      <c r="S1304" s="147"/>
      <c r="T1304" s="147"/>
      <c r="U1304" s="147"/>
      <c r="V1304" s="147"/>
    </row>
    <row r="1305" spans="1:22">
      <c r="A1305" s="157"/>
      <c r="F1305" s="3"/>
      <c r="G1305" s="3"/>
      <c r="N1305" s="157"/>
      <c r="O1305" s="157"/>
      <c r="Q1305" s="147"/>
      <c r="R1305" s="147"/>
      <c r="S1305" s="147"/>
      <c r="T1305" s="147"/>
      <c r="U1305" s="147"/>
      <c r="V1305" s="147"/>
    </row>
    <row r="1306" spans="1:22">
      <c r="A1306" s="157"/>
      <c r="F1306" s="3"/>
      <c r="G1306" s="3"/>
      <c r="N1306" s="157"/>
      <c r="O1306" s="157"/>
      <c r="Q1306" s="147"/>
      <c r="R1306" s="147"/>
      <c r="S1306" s="147"/>
      <c r="T1306" s="147"/>
      <c r="U1306" s="147"/>
      <c r="V1306" s="147"/>
    </row>
    <row r="1307" spans="1:22">
      <c r="A1307" s="157"/>
      <c r="F1307" s="3"/>
      <c r="G1307" s="3"/>
      <c r="N1307" s="157"/>
      <c r="O1307" s="157"/>
      <c r="Q1307" s="147"/>
      <c r="R1307" s="147"/>
      <c r="S1307" s="147"/>
      <c r="T1307" s="147"/>
      <c r="U1307" s="147"/>
      <c r="V1307" s="147"/>
    </row>
    <row r="1308" spans="1:22">
      <c r="A1308" s="157"/>
      <c r="F1308" s="3"/>
      <c r="G1308" s="3"/>
      <c r="N1308" s="157"/>
      <c r="O1308" s="157"/>
      <c r="Q1308" s="147"/>
      <c r="R1308" s="147"/>
      <c r="S1308" s="147"/>
      <c r="T1308" s="147"/>
      <c r="U1308" s="147"/>
      <c r="V1308" s="147"/>
    </row>
    <row r="1309" spans="1:22">
      <c r="A1309" s="157"/>
      <c r="F1309" s="3"/>
      <c r="G1309" s="3"/>
      <c r="N1309" s="157"/>
      <c r="O1309" s="157"/>
      <c r="Q1309" s="147"/>
      <c r="R1309" s="147"/>
      <c r="S1309" s="147"/>
      <c r="T1309" s="147"/>
      <c r="U1309" s="147"/>
      <c r="V1309" s="147"/>
    </row>
    <row r="1310" spans="1:22">
      <c r="A1310" s="157"/>
      <c r="F1310" s="3"/>
      <c r="G1310" s="3"/>
      <c r="N1310" s="157"/>
      <c r="O1310" s="157"/>
      <c r="Q1310" s="147"/>
      <c r="R1310" s="147"/>
      <c r="S1310" s="147"/>
      <c r="T1310" s="147"/>
      <c r="U1310" s="147"/>
      <c r="V1310" s="147"/>
    </row>
    <row r="1311" spans="1:22">
      <c r="A1311" s="157"/>
      <c r="F1311" s="3"/>
      <c r="G1311" s="3"/>
      <c r="N1311" s="157"/>
      <c r="O1311" s="157"/>
      <c r="Q1311" s="147"/>
      <c r="R1311" s="147"/>
      <c r="S1311" s="147"/>
      <c r="T1311" s="147"/>
      <c r="U1311" s="147"/>
      <c r="V1311" s="147"/>
    </row>
    <row r="1312" spans="1:22">
      <c r="A1312" s="157"/>
      <c r="F1312" s="3"/>
      <c r="G1312" s="3"/>
      <c r="N1312" s="157"/>
      <c r="O1312" s="157"/>
      <c r="Q1312" s="147"/>
      <c r="R1312" s="147"/>
      <c r="S1312" s="147"/>
      <c r="T1312" s="147"/>
      <c r="U1312" s="147"/>
      <c r="V1312" s="147"/>
    </row>
    <row r="1313" spans="1:22">
      <c r="A1313" s="157"/>
      <c r="F1313" s="3"/>
      <c r="G1313" s="3"/>
      <c r="N1313" s="157"/>
      <c r="O1313" s="157"/>
      <c r="Q1313" s="147"/>
      <c r="R1313" s="147"/>
      <c r="S1313" s="147"/>
      <c r="T1313" s="147"/>
      <c r="U1313" s="147"/>
      <c r="V1313" s="147"/>
    </row>
    <row r="1314" spans="1:22">
      <c r="A1314" s="157"/>
      <c r="F1314" s="3"/>
      <c r="G1314" s="3"/>
      <c r="N1314" s="157"/>
      <c r="O1314" s="157"/>
      <c r="Q1314" s="147"/>
      <c r="R1314" s="147"/>
      <c r="S1314" s="147"/>
      <c r="T1314" s="147"/>
      <c r="U1314" s="147"/>
      <c r="V1314" s="147"/>
    </row>
    <row r="1315" spans="1:22">
      <c r="A1315" s="157"/>
      <c r="F1315" s="3"/>
      <c r="G1315" s="3"/>
      <c r="N1315" s="157"/>
      <c r="O1315" s="157"/>
      <c r="Q1315" s="147"/>
      <c r="R1315" s="147"/>
      <c r="S1315" s="147"/>
      <c r="T1315" s="147"/>
      <c r="U1315" s="147"/>
      <c r="V1315" s="147"/>
    </row>
    <row r="1316" spans="1:22">
      <c r="A1316" s="157"/>
      <c r="F1316" s="3"/>
      <c r="G1316" s="3"/>
      <c r="N1316" s="157"/>
      <c r="O1316" s="157"/>
      <c r="Q1316" s="147"/>
      <c r="R1316" s="147"/>
      <c r="S1316" s="147"/>
      <c r="T1316" s="147"/>
      <c r="U1316" s="147"/>
      <c r="V1316" s="147"/>
    </row>
    <row r="1317" spans="1:22">
      <c r="A1317" s="157"/>
      <c r="F1317" s="3"/>
      <c r="G1317" s="3"/>
      <c r="N1317" s="157"/>
      <c r="O1317" s="157"/>
      <c r="Q1317" s="147"/>
      <c r="R1317" s="147"/>
      <c r="S1317" s="147"/>
      <c r="T1317" s="147"/>
      <c r="U1317" s="147"/>
      <c r="V1317" s="147"/>
    </row>
    <row r="1318" spans="1:22">
      <c r="A1318" s="157"/>
      <c r="F1318" s="3"/>
      <c r="G1318" s="3"/>
      <c r="N1318" s="157"/>
      <c r="O1318" s="157"/>
      <c r="Q1318" s="147"/>
      <c r="R1318" s="147"/>
      <c r="S1318" s="147"/>
      <c r="T1318" s="147"/>
      <c r="U1318" s="147"/>
      <c r="V1318" s="147"/>
    </row>
    <row r="1319" spans="1:22">
      <c r="A1319" s="157"/>
      <c r="F1319" s="3"/>
      <c r="G1319" s="3"/>
      <c r="N1319" s="157"/>
      <c r="O1319" s="157"/>
      <c r="Q1319" s="147"/>
      <c r="R1319" s="147"/>
      <c r="S1319" s="147"/>
      <c r="T1319" s="147"/>
      <c r="U1319" s="147"/>
      <c r="V1319" s="147"/>
    </row>
    <row r="1320" spans="1:22">
      <c r="A1320" s="157"/>
      <c r="F1320" s="3"/>
      <c r="G1320" s="3"/>
      <c r="N1320" s="157"/>
      <c r="O1320" s="157"/>
      <c r="Q1320" s="147"/>
      <c r="R1320" s="147"/>
      <c r="S1320" s="147"/>
      <c r="T1320" s="147"/>
      <c r="U1320" s="147"/>
      <c r="V1320" s="147"/>
    </row>
    <row r="1321" spans="1:22">
      <c r="A1321" s="157"/>
      <c r="F1321" s="3"/>
      <c r="G1321" s="3"/>
      <c r="N1321" s="157"/>
      <c r="O1321" s="157"/>
      <c r="Q1321" s="147"/>
      <c r="R1321" s="147"/>
      <c r="S1321" s="147"/>
      <c r="T1321" s="147"/>
      <c r="U1321" s="147"/>
      <c r="V1321" s="147"/>
    </row>
    <row r="1322" spans="1:22">
      <c r="A1322" s="157"/>
      <c r="F1322" s="3"/>
      <c r="G1322" s="3"/>
      <c r="N1322" s="157"/>
      <c r="O1322" s="157"/>
      <c r="Q1322" s="147"/>
      <c r="R1322" s="147"/>
      <c r="S1322" s="147"/>
      <c r="T1322" s="147"/>
      <c r="U1322" s="147"/>
      <c r="V1322" s="147"/>
    </row>
    <row r="1323" spans="1:22">
      <c r="A1323" s="157"/>
      <c r="F1323" s="3"/>
      <c r="G1323" s="3"/>
      <c r="N1323" s="157"/>
      <c r="O1323" s="157"/>
      <c r="Q1323" s="147"/>
      <c r="R1323" s="147"/>
      <c r="S1323" s="147"/>
      <c r="T1323" s="147"/>
      <c r="U1323" s="147"/>
      <c r="V1323" s="147"/>
    </row>
    <row r="1324" spans="1:22">
      <c r="A1324" s="157"/>
      <c r="F1324" s="3"/>
      <c r="G1324" s="3"/>
      <c r="N1324" s="157"/>
      <c r="O1324" s="157"/>
      <c r="Q1324" s="147"/>
      <c r="R1324" s="147"/>
      <c r="S1324" s="147"/>
      <c r="T1324" s="147"/>
      <c r="U1324" s="147"/>
      <c r="V1324" s="147"/>
    </row>
    <row r="1325" spans="1:22">
      <c r="A1325" s="157"/>
      <c r="F1325" s="3"/>
      <c r="G1325" s="3"/>
      <c r="N1325" s="157"/>
      <c r="O1325" s="157"/>
      <c r="Q1325" s="147"/>
      <c r="R1325" s="147"/>
      <c r="S1325" s="147"/>
      <c r="T1325" s="147"/>
      <c r="U1325" s="147"/>
      <c r="V1325" s="147"/>
    </row>
    <row r="1326" spans="1:22">
      <c r="A1326" s="157"/>
      <c r="F1326" s="3"/>
      <c r="G1326" s="3"/>
      <c r="N1326" s="157"/>
      <c r="O1326" s="157"/>
      <c r="Q1326" s="147"/>
      <c r="R1326" s="147"/>
      <c r="S1326" s="147"/>
      <c r="T1326" s="147"/>
      <c r="U1326" s="147"/>
      <c r="V1326" s="147"/>
    </row>
    <row r="1327" spans="1:22">
      <c r="A1327" s="157"/>
      <c r="F1327" s="3"/>
      <c r="G1327" s="3"/>
      <c r="N1327" s="157"/>
      <c r="O1327" s="157"/>
      <c r="Q1327" s="147"/>
      <c r="R1327" s="147"/>
      <c r="S1327" s="147"/>
      <c r="T1327" s="147"/>
      <c r="U1327" s="147"/>
      <c r="V1327" s="147"/>
    </row>
    <row r="1328" spans="1:22">
      <c r="A1328" s="157"/>
      <c r="F1328" s="3"/>
      <c r="G1328" s="3"/>
      <c r="N1328" s="157"/>
      <c r="O1328" s="157"/>
      <c r="Q1328" s="147"/>
      <c r="R1328" s="147"/>
      <c r="S1328" s="147"/>
      <c r="T1328" s="147"/>
      <c r="U1328" s="147"/>
      <c r="V1328" s="147"/>
    </row>
    <row r="1329" spans="1:22">
      <c r="A1329" s="157"/>
      <c r="F1329" s="3"/>
      <c r="G1329" s="3"/>
      <c r="N1329" s="157"/>
      <c r="O1329" s="157"/>
      <c r="Q1329" s="147"/>
      <c r="R1329" s="147"/>
      <c r="S1329" s="147"/>
      <c r="T1329" s="147"/>
      <c r="U1329" s="147"/>
      <c r="V1329" s="147"/>
    </row>
    <row r="1330" spans="1:22">
      <c r="A1330" s="157"/>
      <c r="F1330" s="3"/>
      <c r="G1330" s="3"/>
      <c r="N1330" s="157"/>
      <c r="O1330" s="157"/>
      <c r="Q1330" s="147"/>
      <c r="R1330" s="147"/>
      <c r="S1330" s="147"/>
      <c r="T1330" s="147"/>
      <c r="U1330" s="147"/>
      <c r="V1330" s="147"/>
    </row>
    <row r="1331" spans="1:22">
      <c r="A1331" s="157"/>
      <c r="F1331" s="3"/>
      <c r="G1331" s="3"/>
      <c r="N1331" s="157"/>
      <c r="O1331" s="157"/>
      <c r="Q1331" s="147"/>
      <c r="R1331" s="147"/>
      <c r="S1331" s="147"/>
      <c r="T1331" s="147"/>
      <c r="U1331" s="147"/>
      <c r="V1331" s="147"/>
    </row>
    <row r="1332" spans="1:22">
      <c r="A1332" s="157"/>
      <c r="F1332" s="3"/>
      <c r="G1332" s="3"/>
      <c r="N1332" s="157"/>
      <c r="O1332" s="157"/>
      <c r="Q1332" s="147"/>
      <c r="R1332" s="147"/>
      <c r="S1332" s="147"/>
      <c r="T1332" s="147"/>
      <c r="U1332" s="147"/>
      <c r="V1332" s="147"/>
    </row>
    <row r="1333" spans="1:22">
      <c r="A1333" s="157"/>
      <c r="F1333" s="3"/>
      <c r="G1333" s="3"/>
      <c r="N1333" s="157"/>
      <c r="O1333" s="157"/>
      <c r="Q1333" s="147"/>
      <c r="R1333" s="147"/>
      <c r="S1333" s="147"/>
      <c r="T1333" s="147"/>
      <c r="U1333" s="147"/>
      <c r="V1333" s="147"/>
    </row>
    <row r="1334" spans="1:22">
      <c r="A1334" s="157"/>
      <c r="F1334" s="3"/>
      <c r="G1334" s="3"/>
      <c r="N1334" s="157"/>
      <c r="O1334" s="157"/>
      <c r="Q1334" s="147"/>
      <c r="R1334" s="147"/>
      <c r="S1334" s="147"/>
      <c r="T1334" s="147"/>
      <c r="U1334" s="147"/>
      <c r="V1334" s="147"/>
    </row>
    <row r="1335" spans="1:22">
      <c r="A1335" s="157"/>
      <c r="F1335" s="3"/>
      <c r="G1335" s="3"/>
      <c r="N1335" s="157"/>
      <c r="O1335" s="157"/>
      <c r="Q1335" s="147"/>
      <c r="R1335" s="147"/>
      <c r="S1335" s="147"/>
      <c r="T1335" s="147"/>
      <c r="U1335" s="147"/>
      <c r="V1335" s="147"/>
    </row>
    <row r="1336" spans="1:22">
      <c r="A1336" s="157"/>
      <c r="F1336" s="3"/>
      <c r="G1336" s="3"/>
      <c r="N1336" s="157"/>
      <c r="O1336" s="157"/>
      <c r="Q1336" s="147"/>
      <c r="R1336" s="147"/>
      <c r="S1336" s="147"/>
      <c r="T1336" s="147"/>
      <c r="U1336" s="147"/>
      <c r="V1336" s="147"/>
    </row>
    <row r="1337" spans="1:22">
      <c r="A1337" s="157"/>
      <c r="F1337" s="3"/>
      <c r="G1337" s="3"/>
      <c r="N1337" s="157"/>
      <c r="O1337" s="157"/>
      <c r="Q1337" s="147"/>
      <c r="R1337" s="147"/>
      <c r="S1337" s="147"/>
      <c r="T1337" s="147"/>
      <c r="U1337" s="147"/>
      <c r="V1337" s="147"/>
    </row>
    <row r="1338" spans="1:22">
      <c r="A1338" s="157"/>
      <c r="F1338" s="3"/>
      <c r="G1338" s="3"/>
      <c r="N1338" s="157"/>
      <c r="O1338" s="157"/>
      <c r="Q1338" s="147"/>
      <c r="R1338" s="147"/>
      <c r="S1338" s="147"/>
      <c r="T1338" s="147"/>
      <c r="U1338" s="147"/>
      <c r="V1338" s="147"/>
    </row>
    <row r="1339" spans="1:22">
      <c r="A1339" s="157"/>
      <c r="F1339" s="3"/>
      <c r="G1339" s="3"/>
      <c r="N1339" s="157"/>
      <c r="O1339" s="157"/>
      <c r="Q1339" s="147"/>
      <c r="R1339" s="147"/>
      <c r="S1339" s="147"/>
      <c r="T1339" s="147"/>
      <c r="U1339" s="147"/>
      <c r="V1339" s="147"/>
    </row>
    <row r="1340" spans="1:22">
      <c r="A1340" s="157"/>
      <c r="F1340" s="3"/>
      <c r="G1340" s="3"/>
      <c r="N1340" s="157"/>
      <c r="O1340" s="157"/>
      <c r="Q1340" s="147"/>
      <c r="R1340" s="147"/>
      <c r="S1340" s="147"/>
      <c r="T1340" s="147"/>
      <c r="U1340" s="147"/>
      <c r="V1340" s="147"/>
    </row>
    <row r="1341" spans="1:22">
      <c r="A1341" s="157"/>
      <c r="F1341" s="3"/>
      <c r="G1341" s="3"/>
      <c r="N1341" s="157"/>
      <c r="O1341" s="157"/>
      <c r="Q1341" s="147"/>
      <c r="R1341" s="147"/>
      <c r="S1341" s="147"/>
      <c r="T1341" s="147"/>
      <c r="U1341" s="147"/>
      <c r="V1341" s="147"/>
    </row>
    <row r="1342" spans="1:22">
      <c r="A1342" s="157"/>
      <c r="F1342" s="3"/>
      <c r="G1342" s="3"/>
      <c r="N1342" s="157"/>
      <c r="O1342" s="157"/>
      <c r="Q1342" s="147"/>
      <c r="R1342" s="147"/>
      <c r="S1342" s="147"/>
      <c r="T1342" s="147"/>
      <c r="U1342" s="147"/>
      <c r="V1342" s="147"/>
    </row>
    <row r="1343" spans="1:22">
      <c r="A1343" s="157"/>
      <c r="F1343" s="3"/>
      <c r="G1343" s="3"/>
      <c r="N1343" s="157"/>
      <c r="O1343" s="157"/>
      <c r="Q1343" s="147"/>
      <c r="R1343" s="147"/>
      <c r="S1343" s="147"/>
      <c r="T1343" s="147"/>
      <c r="U1343" s="147"/>
      <c r="V1343" s="147"/>
    </row>
    <row r="1344" spans="1:22">
      <c r="A1344" s="157"/>
      <c r="F1344" s="3"/>
      <c r="G1344" s="3"/>
      <c r="N1344" s="157"/>
      <c r="O1344" s="157"/>
      <c r="Q1344" s="147"/>
      <c r="R1344" s="147"/>
      <c r="S1344" s="147"/>
      <c r="T1344" s="147"/>
      <c r="U1344" s="147"/>
      <c r="V1344" s="147"/>
    </row>
    <row r="1345" spans="1:22">
      <c r="A1345" s="157"/>
      <c r="F1345" s="3"/>
      <c r="G1345" s="3"/>
      <c r="N1345" s="157"/>
      <c r="O1345" s="157"/>
      <c r="Q1345" s="147"/>
      <c r="R1345" s="147"/>
      <c r="S1345" s="147"/>
      <c r="T1345" s="147"/>
      <c r="U1345" s="147"/>
      <c r="V1345" s="147"/>
    </row>
    <row r="1346" spans="1:22">
      <c r="A1346" s="157"/>
      <c r="F1346" s="3"/>
      <c r="G1346" s="3"/>
      <c r="N1346" s="157"/>
      <c r="O1346" s="157"/>
      <c r="Q1346" s="147"/>
      <c r="R1346" s="147"/>
      <c r="S1346" s="147"/>
      <c r="T1346" s="147"/>
      <c r="U1346" s="147"/>
      <c r="V1346" s="147"/>
    </row>
    <row r="1347" spans="1:22">
      <c r="A1347" s="157"/>
      <c r="F1347" s="3"/>
      <c r="G1347" s="3"/>
      <c r="N1347" s="157"/>
      <c r="O1347" s="157"/>
      <c r="Q1347" s="147"/>
      <c r="R1347" s="147"/>
      <c r="S1347" s="147"/>
      <c r="T1347" s="147"/>
      <c r="U1347" s="147"/>
      <c r="V1347" s="147"/>
    </row>
    <row r="1348" spans="1:22">
      <c r="A1348" s="157"/>
      <c r="F1348" s="3"/>
      <c r="G1348" s="3"/>
      <c r="N1348" s="157"/>
      <c r="O1348" s="157"/>
      <c r="Q1348" s="147"/>
      <c r="R1348" s="147"/>
      <c r="S1348" s="147"/>
      <c r="T1348" s="147"/>
      <c r="U1348" s="147"/>
      <c r="V1348" s="147"/>
    </row>
    <row r="1349" spans="1:22">
      <c r="A1349" s="157"/>
      <c r="F1349" s="3"/>
      <c r="G1349" s="3"/>
      <c r="N1349" s="157"/>
      <c r="O1349" s="157"/>
      <c r="Q1349" s="147"/>
      <c r="R1349" s="147"/>
      <c r="S1349" s="147"/>
      <c r="T1349" s="147"/>
      <c r="U1349" s="147"/>
      <c r="V1349" s="147"/>
    </row>
    <row r="1350" spans="1:22">
      <c r="A1350" s="157"/>
      <c r="F1350" s="3"/>
      <c r="G1350" s="3"/>
      <c r="N1350" s="157"/>
      <c r="O1350" s="157"/>
      <c r="Q1350" s="147"/>
      <c r="R1350" s="147"/>
      <c r="S1350" s="147"/>
      <c r="T1350" s="147"/>
      <c r="U1350" s="147"/>
      <c r="V1350" s="147"/>
    </row>
    <row r="1351" spans="1:22">
      <c r="A1351" s="157"/>
      <c r="F1351" s="3"/>
      <c r="G1351" s="3"/>
      <c r="N1351" s="157"/>
      <c r="O1351" s="157"/>
      <c r="Q1351" s="147"/>
      <c r="R1351" s="147"/>
      <c r="S1351" s="147"/>
      <c r="T1351" s="147"/>
      <c r="U1351" s="147"/>
      <c r="V1351" s="147"/>
    </row>
    <row r="1352" spans="1:22">
      <c r="A1352" s="157"/>
      <c r="F1352" s="3"/>
      <c r="G1352" s="3"/>
      <c r="N1352" s="157"/>
      <c r="O1352" s="157"/>
      <c r="Q1352" s="147"/>
      <c r="R1352" s="147"/>
      <c r="S1352" s="147"/>
      <c r="T1352" s="147"/>
      <c r="U1352" s="147"/>
      <c r="V1352" s="147"/>
    </row>
    <row r="1353" spans="1:22">
      <c r="A1353" s="157"/>
      <c r="F1353" s="3"/>
      <c r="G1353" s="3"/>
      <c r="N1353" s="157"/>
      <c r="O1353" s="157"/>
      <c r="Q1353" s="147"/>
      <c r="R1353" s="147"/>
      <c r="S1353" s="147"/>
      <c r="T1353" s="147"/>
      <c r="U1353" s="147"/>
      <c r="V1353" s="147"/>
    </row>
    <row r="1354" spans="1:22">
      <c r="A1354" s="157"/>
      <c r="F1354" s="3"/>
      <c r="G1354" s="3"/>
      <c r="N1354" s="157"/>
      <c r="O1354" s="157"/>
      <c r="Q1354" s="147"/>
      <c r="R1354" s="147"/>
      <c r="S1354" s="147"/>
      <c r="T1354" s="147"/>
      <c r="U1354" s="147"/>
      <c r="V1354" s="147"/>
    </row>
    <row r="1355" spans="1:22">
      <c r="A1355" s="157"/>
      <c r="F1355" s="3"/>
      <c r="G1355" s="3"/>
      <c r="N1355" s="157"/>
      <c r="O1355" s="157"/>
      <c r="Q1355" s="147"/>
      <c r="R1355" s="147"/>
      <c r="S1355" s="147"/>
      <c r="T1355" s="147"/>
      <c r="U1355" s="147"/>
      <c r="V1355" s="147"/>
    </row>
    <row r="1356" spans="1:22">
      <c r="A1356" s="157"/>
      <c r="F1356" s="3"/>
      <c r="G1356" s="3"/>
      <c r="N1356" s="157"/>
      <c r="O1356" s="157"/>
      <c r="Q1356" s="147"/>
      <c r="R1356" s="147"/>
      <c r="S1356" s="147"/>
      <c r="T1356" s="147"/>
      <c r="U1356" s="147"/>
      <c r="V1356" s="147"/>
    </row>
    <row r="1357" spans="1:22">
      <c r="A1357" s="157"/>
      <c r="F1357" s="3"/>
      <c r="G1357" s="3"/>
      <c r="N1357" s="157"/>
      <c r="O1357" s="157"/>
      <c r="Q1357" s="147"/>
      <c r="R1357" s="147"/>
      <c r="S1357" s="147"/>
      <c r="T1357" s="147"/>
      <c r="U1357" s="147"/>
      <c r="V1357" s="147"/>
    </row>
    <row r="1358" spans="1:22">
      <c r="A1358" s="157"/>
      <c r="F1358" s="3"/>
      <c r="G1358" s="3"/>
      <c r="N1358" s="157"/>
      <c r="O1358" s="157"/>
      <c r="Q1358" s="147"/>
      <c r="R1358" s="147"/>
      <c r="S1358" s="147"/>
      <c r="T1358" s="147"/>
      <c r="U1358" s="147"/>
      <c r="V1358" s="147"/>
    </row>
    <row r="1359" spans="1:22">
      <c r="A1359" s="157"/>
      <c r="F1359" s="3"/>
      <c r="G1359" s="3"/>
      <c r="N1359" s="157"/>
      <c r="O1359" s="157"/>
      <c r="Q1359" s="147"/>
      <c r="R1359" s="147"/>
      <c r="S1359" s="147"/>
      <c r="T1359" s="147"/>
      <c r="U1359" s="147"/>
      <c r="V1359" s="147"/>
    </row>
    <row r="1360" spans="1:22">
      <c r="A1360" s="157"/>
      <c r="F1360" s="3"/>
      <c r="G1360" s="3"/>
      <c r="N1360" s="157"/>
      <c r="O1360" s="157"/>
      <c r="Q1360" s="147"/>
      <c r="R1360" s="147"/>
      <c r="S1360" s="147"/>
      <c r="T1360" s="147"/>
      <c r="U1360" s="147"/>
      <c r="V1360" s="147"/>
    </row>
    <row r="1361" spans="1:22">
      <c r="A1361" s="157"/>
      <c r="F1361" s="3"/>
      <c r="G1361" s="3"/>
      <c r="N1361" s="157"/>
      <c r="O1361" s="157"/>
      <c r="Q1361" s="147"/>
      <c r="R1361" s="147"/>
      <c r="S1361" s="147"/>
      <c r="T1361" s="147"/>
      <c r="U1361" s="147"/>
      <c r="V1361" s="147"/>
    </row>
    <row r="1362" spans="1:22">
      <c r="A1362" s="157"/>
      <c r="F1362" s="3"/>
      <c r="G1362" s="3"/>
      <c r="N1362" s="157"/>
      <c r="O1362" s="157"/>
      <c r="Q1362" s="147"/>
      <c r="R1362" s="147"/>
      <c r="S1362" s="147"/>
      <c r="T1362" s="147"/>
      <c r="U1362" s="147"/>
      <c r="V1362" s="147"/>
    </row>
    <row r="1363" spans="1:22">
      <c r="A1363" s="157"/>
      <c r="F1363" s="3"/>
      <c r="G1363" s="3"/>
      <c r="N1363" s="157"/>
      <c r="O1363" s="157"/>
      <c r="Q1363" s="147"/>
      <c r="R1363" s="147"/>
      <c r="S1363" s="147"/>
      <c r="T1363" s="147"/>
      <c r="U1363" s="147"/>
      <c r="V1363" s="147"/>
    </row>
    <row r="1364" spans="1:22">
      <c r="A1364" s="157"/>
      <c r="F1364" s="3"/>
      <c r="G1364" s="3"/>
      <c r="N1364" s="157"/>
      <c r="O1364" s="157"/>
      <c r="Q1364" s="147"/>
      <c r="R1364" s="147"/>
      <c r="S1364" s="147"/>
      <c r="T1364" s="147"/>
      <c r="U1364" s="147"/>
      <c r="V1364" s="147"/>
    </row>
    <row r="1365" spans="1:22">
      <c r="A1365" s="157"/>
      <c r="F1365" s="3"/>
      <c r="G1365" s="3"/>
      <c r="N1365" s="157"/>
      <c r="O1365" s="157"/>
      <c r="Q1365" s="147"/>
      <c r="R1365" s="147"/>
      <c r="S1365" s="147"/>
      <c r="T1365" s="147"/>
      <c r="U1365" s="147"/>
      <c r="V1365" s="147"/>
    </row>
    <row r="1366" spans="1:22">
      <c r="A1366" s="157"/>
      <c r="F1366" s="3"/>
      <c r="G1366" s="3"/>
      <c r="N1366" s="157"/>
      <c r="O1366" s="157"/>
      <c r="Q1366" s="147"/>
      <c r="R1366" s="147"/>
      <c r="S1366" s="147"/>
      <c r="T1366" s="147"/>
      <c r="U1366" s="147"/>
      <c r="V1366" s="147"/>
    </row>
    <row r="1367" spans="1:22">
      <c r="A1367" s="157"/>
      <c r="F1367" s="3"/>
      <c r="G1367" s="3"/>
      <c r="N1367" s="157"/>
      <c r="O1367" s="157"/>
      <c r="Q1367" s="147"/>
      <c r="R1367" s="147"/>
      <c r="S1367" s="147"/>
      <c r="T1367" s="147"/>
      <c r="U1367" s="147"/>
      <c r="V1367" s="147"/>
    </row>
    <row r="1368" spans="1:22">
      <c r="A1368" s="157"/>
      <c r="F1368" s="3"/>
      <c r="G1368" s="3"/>
      <c r="N1368" s="157"/>
      <c r="O1368" s="157"/>
      <c r="Q1368" s="147"/>
      <c r="R1368" s="147"/>
      <c r="S1368" s="147"/>
      <c r="T1368" s="147"/>
      <c r="U1368" s="147"/>
      <c r="V1368" s="147"/>
    </row>
    <row r="1369" spans="1:22">
      <c r="A1369" s="157"/>
      <c r="F1369" s="3"/>
      <c r="G1369" s="3"/>
      <c r="N1369" s="157"/>
      <c r="O1369" s="157"/>
      <c r="Q1369" s="147"/>
      <c r="R1369" s="147"/>
      <c r="S1369" s="147"/>
      <c r="T1369" s="147"/>
      <c r="U1369" s="147"/>
      <c r="V1369" s="147"/>
    </row>
    <row r="1370" spans="1:22">
      <c r="A1370" s="157"/>
      <c r="F1370" s="3"/>
      <c r="G1370" s="3"/>
      <c r="N1370" s="157"/>
      <c r="O1370" s="157"/>
      <c r="Q1370" s="147"/>
      <c r="R1370" s="147"/>
      <c r="S1370" s="147"/>
      <c r="T1370" s="147"/>
      <c r="U1370" s="147"/>
      <c r="V1370" s="147"/>
    </row>
    <row r="1371" spans="1:22">
      <c r="A1371" s="157"/>
      <c r="F1371" s="3"/>
      <c r="G1371" s="3"/>
      <c r="N1371" s="157"/>
      <c r="O1371" s="157"/>
      <c r="Q1371" s="147"/>
      <c r="R1371" s="147"/>
      <c r="S1371" s="147"/>
      <c r="T1371" s="147"/>
      <c r="U1371" s="147"/>
      <c r="V1371" s="147"/>
    </row>
    <row r="1372" spans="1:22">
      <c r="A1372" s="157"/>
      <c r="F1372" s="3"/>
      <c r="G1372" s="3"/>
      <c r="N1372" s="157"/>
      <c r="O1372" s="157"/>
      <c r="Q1372" s="147"/>
      <c r="R1372" s="147"/>
      <c r="S1372" s="147"/>
      <c r="T1372" s="147"/>
      <c r="U1372" s="147"/>
      <c r="V1372" s="147"/>
    </row>
    <row r="1373" spans="1:22">
      <c r="A1373" s="157"/>
      <c r="F1373" s="3"/>
      <c r="G1373" s="3"/>
      <c r="N1373" s="157"/>
      <c r="O1373" s="157"/>
      <c r="Q1373" s="147"/>
      <c r="R1373" s="147"/>
      <c r="S1373" s="147"/>
      <c r="T1373" s="147"/>
      <c r="U1373" s="147"/>
      <c r="V1373" s="147"/>
    </row>
    <row r="1374" spans="1:22">
      <c r="A1374" s="157"/>
      <c r="F1374" s="3"/>
      <c r="G1374" s="3"/>
      <c r="N1374" s="157"/>
      <c r="O1374" s="157"/>
      <c r="Q1374" s="147"/>
      <c r="R1374" s="147"/>
      <c r="S1374" s="147"/>
      <c r="T1374" s="147"/>
      <c r="U1374" s="147"/>
      <c r="V1374" s="147"/>
    </row>
    <row r="1375" spans="1:22">
      <c r="A1375" s="157"/>
      <c r="F1375" s="3"/>
      <c r="G1375" s="3"/>
      <c r="N1375" s="157"/>
      <c r="O1375" s="157"/>
      <c r="Q1375" s="147"/>
      <c r="R1375" s="147"/>
      <c r="S1375" s="147"/>
      <c r="T1375" s="147"/>
      <c r="U1375" s="147"/>
      <c r="V1375" s="147"/>
    </row>
    <row r="1376" spans="1:22">
      <c r="A1376" s="157"/>
      <c r="F1376" s="3"/>
      <c r="G1376" s="3"/>
      <c r="N1376" s="157"/>
      <c r="O1376" s="157"/>
      <c r="Q1376" s="147"/>
      <c r="R1376" s="147"/>
      <c r="S1376" s="147"/>
      <c r="T1376" s="147"/>
      <c r="U1376" s="147"/>
      <c r="V1376" s="147"/>
    </row>
    <row r="1377" spans="1:22">
      <c r="A1377" s="157"/>
      <c r="F1377" s="3"/>
      <c r="G1377" s="3"/>
      <c r="N1377" s="157"/>
      <c r="O1377" s="157"/>
      <c r="Q1377" s="147"/>
      <c r="R1377" s="147"/>
      <c r="S1377" s="147"/>
      <c r="T1377" s="147"/>
      <c r="U1377" s="147"/>
      <c r="V1377" s="147"/>
    </row>
    <row r="1378" spans="1:22">
      <c r="A1378" s="157"/>
      <c r="F1378" s="3"/>
      <c r="G1378" s="3"/>
      <c r="N1378" s="157"/>
      <c r="O1378" s="157"/>
      <c r="Q1378" s="147"/>
      <c r="R1378" s="147"/>
      <c r="S1378" s="147"/>
      <c r="T1378" s="147"/>
      <c r="U1378" s="147"/>
      <c r="V1378" s="147"/>
    </row>
    <row r="1379" spans="1:22">
      <c r="A1379" s="157"/>
      <c r="F1379" s="3"/>
      <c r="G1379" s="3"/>
      <c r="N1379" s="157"/>
      <c r="O1379" s="157"/>
      <c r="Q1379" s="147"/>
      <c r="R1379" s="147"/>
      <c r="S1379" s="147"/>
      <c r="T1379" s="147"/>
      <c r="U1379" s="147"/>
      <c r="V1379" s="147"/>
    </row>
    <row r="1380" spans="1:22">
      <c r="A1380" s="157"/>
      <c r="F1380" s="3"/>
      <c r="G1380" s="3"/>
      <c r="N1380" s="157"/>
      <c r="O1380" s="157"/>
      <c r="Q1380" s="147"/>
      <c r="R1380" s="147"/>
      <c r="S1380" s="147"/>
      <c r="T1380" s="147"/>
      <c r="U1380" s="147"/>
      <c r="V1380" s="147"/>
    </row>
    <row r="1381" spans="1:22">
      <c r="A1381" s="157"/>
      <c r="F1381" s="3"/>
      <c r="G1381" s="3"/>
      <c r="N1381" s="157"/>
      <c r="O1381" s="157"/>
      <c r="Q1381" s="147"/>
      <c r="R1381" s="147"/>
      <c r="S1381" s="147"/>
      <c r="T1381" s="147"/>
      <c r="U1381" s="147"/>
      <c r="V1381" s="147"/>
    </row>
    <row r="1382" spans="1:22">
      <c r="A1382" s="157"/>
      <c r="F1382" s="3"/>
      <c r="G1382" s="3"/>
      <c r="N1382" s="157"/>
      <c r="O1382" s="157"/>
      <c r="Q1382" s="147"/>
      <c r="R1382" s="147"/>
      <c r="S1382" s="147"/>
      <c r="T1382" s="147"/>
      <c r="U1382" s="147"/>
      <c r="V1382" s="147"/>
    </row>
    <row r="1383" spans="1:22">
      <c r="A1383" s="157"/>
      <c r="F1383" s="3"/>
      <c r="G1383" s="3"/>
      <c r="N1383" s="157"/>
      <c r="O1383" s="157"/>
      <c r="Q1383" s="147"/>
      <c r="R1383" s="147"/>
      <c r="S1383" s="147"/>
      <c r="T1383" s="147"/>
      <c r="U1383" s="147"/>
      <c r="V1383" s="147"/>
    </row>
    <row r="1384" spans="1:22">
      <c r="A1384" s="157"/>
      <c r="F1384" s="3"/>
      <c r="G1384" s="3"/>
      <c r="N1384" s="157"/>
      <c r="O1384" s="157"/>
      <c r="Q1384" s="147"/>
      <c r="R1384" s="147"/>
      <c r="S1384" s="147"/>
      <c r="T1384" s="147"/>
      <c r="U1384" s="147"/>
      <c r="V1384" s="147"/>
    </row>
    <row r="1385" spans="1:22">
      <c r="A1385" s="157"/>
      <c r="F1385" s="3"/>
      <c r="G1385" s="3"/>
      <c r="N1385" s="157"/>
      <c r="O1385" s="157"/>
      <c r="Q1385" s="147"/>
      <c r="R1385" s="147"/>
      <c r="S1385" s="147"/>
      <c r="T1385" s="147"/>
      <c r="U1385" s="147"/>
      <c r="V1385" s="147"/>
    </row>
    <row r="1386" spans="1:22">
      <c r="A1386" s="157"/>
      <c r="F1386" s="3"/>
      <c r="G1386" s="3"/>
      <c r="N1386" s="157"/>
      <c r="O1386" s="157"/>
      <c r="Q1386" s="147"/>
      <c r="R1386" s="147"/>
      <c r="S1386" s="147"/>
      <c r="T1386" s="147"/>
      <c r="U1386" s="147"/>
      <c r="V1386" s="147"/>
    </row>
    <row r="1387" spans="1:22">
      <c r="A1387" s="157"/>
      <c r="F1387" s="3"/>
      <c r="G1387" s="3"/>
      <c r="N1387" s="157"/>
      <c r="O1387" s="157"/>
      <c r="Q1387" s="147"/>
      <c r="R1387" s="147"/>
      <c r="S1387" s="147"/>
      <c r="T1387" s="147"/>
      <c r="U1387" s="147"/>
      <c r="V1387" s="147"/>
    </row>
    <row r="1388" spans="1:22">
      <c r="A1388" s="157"/>
      <c r="F1388" s="3"/>
      <c r="G1388" s="3"/>
      <c r="N1388" s="157"/>
      <c r="O1388" s="157"/>
      <c r="Q1388" s="147"/>
      <c r="R1388" s="147"/>
      <c r="S1388" s="147"/>
      <c r="T1388" s="147"/>
      <c r="U1388" s="147"/>
      <c r="V1388" s="147"/>
    </row>
    <row r="1389" spans="1:22">
      <c r="A1389" s="157"/>
      <c r="F1389" s="3"/>
      <c r="G1389" s="3"/>
      <c r="N1389" s="157"/>
      <c r="O1389" s="157"/>
      <c r="Q1389" s="147"/>
      <c r="R1389" s="147"/>
      <c r="S1389" s="147"/>
      <c r="T1389" s="147"/>
      <c r="U1389" s="147"/>
      <c r="V1389" s="147"/>
    </row>
    <row r="1390" spans="1:22">
      <c r="A1390" s="157"/>
      <c r="F1390" s="3"/>
      <c r="G1390" s="3"/>
      <c r="N1390" s="157"/>
      <c r="O1390" s="157"/>
      <c r="Q1390" s="147"/>
      <c r="R1390" s="147"/>
      <c r="S1390" s="147"/>
      <c r="T1390" s="147"/>
      <c r="U1390" s="147"/>
      <c r="V1390" s="147"/>
    </row>
    <row r="1391" spans="1:22">
      <c r="A1391" s="157"/>
      <c r="F1391" s="3"/>
      <c r="G1391" s="3"/>
      <c r="N1391" s="157"/>
      <c r="O1391" s="157"/>
      <c r="Q1391" s="147"/>
      <c r="R1391" s="147"/>
      <c r="S1391" s="147"/>
      <c r="T1391" s="147"/>
      <c r="U1391" s="147"/>
      <c r="V1391" s="147"/>
    </row>
    <row r="1392" spans="1:22">
      <c r="A1392" s="157"/>
      <c r="F1392" s="3"/>
      <c r="G1392" s="3"/>
      <c r="N1392" s="157"/>
      <c r="O1392" s="157"/>
      <c r="Q1392" s="147"/>
      <c r="R1392" s="147"/>
      <c r="S1392" s="147"/>
      <c r="T1392" s="147"/>
      <c r="U1392" s="147"/>
      <c r="V1392" s="147"/>
    </row>
    <row r="1393" spans="1:22">
      <c r="A1393" s="157"/>
      <c r="F1393" s="3"/>
      <c r="G1393" s="3"/>
      <c r="N1393" s="157"/>
      <c r="O1393" s="157"/>
      <c r="Q1393" s="147"/>
      <c r="R1393" s="147"/>
      <c r="S1393" s="147"/>
      <c r="T1393" s="147"/>
      <c r="U1393" s="147"/>
      <c r="V1393" s="147"/>
    </row>
    <row r="1394" spans="1:22">
      <c r="A1394" s="157"/>
      <c r="F1394" s="3"/>
      <c r="G1394" s="3"/>
      <c r="N1394" s="157"/>
      <c r="O1394" s="157"/>
      <c r="Q1394" s="147"/>
      <c r="R1394" s="147"/>
      <c r="S1394" s="147"/>
      <c r="T1394" s="147"/>
      <c r="U1394" s="147"/>
      <c r="V1394" s="147"/>
    </row>
    <row r="1395" spans="1:22">
      <c r="A1395" s="157"/>
      <c r="F1395" s="3"/>
      <c r="G1395" s="3"/>
      <c r="N1395" s="157"/>
      <c r="O1395" s="157"/>
      <c r="Q1395" s="147"/>
      <c r="R1395" s="147"/>
      <c r="S1395" s="147"/>
      <c r="T1395" s="147"/>
      <c r="U1395" s="147"/>
      <c r="V1395" s="147"/>
    </row>
    <row r="1396" spans="1:22">
      <c r="A1396" s="157"/>
      <c r="F1396" s="3"/>
      <c r="G1396" s="3"/>
      <c r="N1396" s="157"/>
      <c r="O1396" s="157"/>
      <c r="Q1396" s="147"/>
      <c r="R1396" s="147"/>
      <c r="S1396" s="147"/>
      <c r="T1396" s="147"/>
      <c r="U1396" s="147"/>
      <c r="V1396" s="147"/>
    </row>
    <row r="1397" spans="1:22">
      <c r="A1397" s="157"/>
      <c r="F1397" s="3"/>
      <c r="G1397" s="3"/>
      <c r="N1397" s="157"/>
      <c r="O1397" s="157"/>
      <c r="Q1397" s="147"/>
      <c r="R1397" s="147"/>
      <c r="S1397" s="147"/>
      <c r="T1397" s="147"/>
      <c r="U1397" s="147"/>
      <c r="V1397" s="147"/>
    </row>
    <row r="1398" spans="1:22">
      <c r="A1398" s="157"/>
      <c r="F1398" s="3"/>
      <c r="G1398" s="3"/>
      <c r="N1398" s="157"/>
      <c r="O1398" s="157"/>
      <c r="Q1398" s="147"/>
      <c r="R1398" s="147"/>
      <c r="S1398" s="147"/>
      <c r="T1398" s="147"/>
      <c r="U1398" s="147"/>
      <c r="V1398" s="147"/>
    </row>
    <row r="1399" spans="1:22">
      <c r="A1399" s="157"/>
      <c r="F1399" s="3"/>
      <c r="G1399" s="3"/>
      <c r="N1399" s="157"/>
      <c r="O1399" s="157"/>
      <c r="Q1399" s="147"/>
      <c r="R1399" s="147"/>
      <c r="S1399" s="147"/>
      <c r="T1399" s="147"/>
      <c r="U1399" s="147"/>
      <c r="V1399" s="147"/>
    </row>
    <row r="1400" spans="1:22">
      <c r="A1400" s="157"/>
      <c r="F1400" s="3"/>
      <c r="G1400" s="3"/>
      <c r="N1400" s="157"/>
      <c r="O1400" s="157"/>
      <c r="Q1400" s="147"/>
      <c r="R1400" s="147"/>
      <c r="S1400" s="147"/>
      <c r="T1400" s="147"/>
      <c r="U1400" s="147"/>
      <c r="V1400" s="147"/>
    </row>
    <row r="1401" spans="1:22">
      <c r="A1401" s="157"/>
      <c r="F1401" s="3"/>
      <c r="G1401" s="3"/>
      <c r="N1401" s="157"/>
      <c r="O1401" s="157"/>
      <c r="Q1401" s="147"/>
      <c r="R1401" s="147"/>
      <c r="S1401" s="147"/>
      <c r="T1401" s="147"/>
      <c r="U1401" s="147"/>
      <c r="V1401" s="147"/>
    </row>
    <row r="1402" spans="1:22">
      <c r="A1402" s="157"/>
      <c r="F1402" s="3"/>
      <c r="G1402" s="3"/>
      <c r="N1402" s="157"/>
      <c r="O1402" s="157"/>
      <c r="Q1402" s="147"/>
      <c r="R1402" s="147"/>
      <c r="S1402" s="147"/>
      <c r="T1402" s="147"/>
      <c r="U1402" s="147"/>
      <c r="V1402" s="147"/>
    </row>
    <row r="1403" spans="1:22">
      <c r="A1403" s="157"/>
      <c r="F1403" s="3"/>
      <c r="G1403" s="3"/>
      <c r="N1403" s="157"/>
      <c r="O1403" s="157"/>
      <c r="Q1403" s="147"/>
      <c r="R1403" s="147"/>
      <c r="S1403" s="147"/>
      <c r="T1403" s="147"/>
      <c r="U1403" s="147"/>
      <c r="V1403" s="147"/>
    </row>
    <row r="1404" spans="1:22">
      <c r="A1404" s="157"/>
      <c r="F1404" s="3"/>
      <c r="G1404" s="3"/>
      <c r="N1404" s="157"/>
      <c r="O1404" s="157"/>
      <c r="Q1404" s="147"/>
      <c r="R1404" s="147"/>
      <c r="S1404" s="147"/>
      <c r="T1404" s="147"/>
      <c r="U1404" s="147"/>
      <c r="V1404" s="147"/>
    </row>
    <row r="1405" spans="1:22">
      <c r="A1405" s="157"/>
      <c r="F1405" s="3"/>
      <c r="G1405" s="3"/>
      <c r="N1405" s="157"/>
      <c r="O1405" s="157"/>
      <c r="Q1405" s="147"/>
      <c r="R1405" s="147"/>
      <c r="S1405" s="147"/>
      <c r="T1405" s="147"/>
      <c r="U1405" s="147"/>
      <c r="V1405" s="147"/>
    </row>
    <row r="1406" spans="1:22">
      <c r="A1406" s="157"/>
      <c r="F1406" s="3"/>
      <c r="G1406" s="3"/>
      <c r="N1406" s="157"/>
      <c r="O1406" s="157"/>
      <c r="Q1406" s="147"/>
      <c r="R1406" s="147"/>
      <c r="S1406" s="147"/>
      <c r="T1406" s="147"/>
      <c r="U1406" s="147"/>
      <c r="V1406" s="147"/>
    </row>
    <row r="1407" spans="1:22">
      <c r="A1407" s="157"/>
      <c r="F1407" s="3"/>
      <c r="G1407" s="3"/>
      <c r="N1407" s="157"/>
      <c r="O1407" s="157"/>
      <c r="Q1407" s="147"/>
      <c r="R1407" s="147"/>
      <c r="S1407" s="147"/>
      <c r="T1407" s="147"/>
      <c r="U1407" s="147"/>
      <c r="V1407" s="147"/>
    </row>
    <row r="1408" spans="1:22">
      <c r="A1408" s="157"/>
      <c r="F1408" s="3"/>
      <c r="G1408" s="3"/>
      <c r="N1408" s="157"/>
      <c r="O1408" s="157"/>
      <c r="Q1408" s="147"/>
      <c r="R1408" s="147"/>
      <c r="S1408" s="147"/>
      <c r="T1408" s="147"/>
      <c r="U1408" s="147"/>
      <c r="V1408" s="147"/>
    </row>
    <row r="1409" spans="1:22">
      <c r="A1409" s="157"/>
      <c r="F1409" s="3"/>
      <c r="G1409" s="3"/>
      <c r="N1409" s="157"/>
      <c r="O1409" s="157"/>
      <c r="Q1409" s="147"/>
      <c r="R1409" s="147"/>
      <c r="S1409" s="147"/>
      <c r="T1409" s="147"/>
      <c r="U1409" s="147"/>
      <c r="V1409" s="147"/>
    </row>
    <row r="1410" spans="1:22">
      <c r="A1410" s="157"/>
      <c r="F1410" s="3"/>
      <c r="G1410" s="3"/>
      <c r="N1410" s="157"/>
      <c r="O1410" s="157"/>
      <c r="Q1410" s="147"/>
      <c r="R1410" s="147"/>
      <c r="S1410" s="147"/>
      <c r="T1410" s="147"/>
      <c r="U1410" s="147"/>
      <c r="V1410" s="147"/>
    </row>
    <row r="1411" spans="1:22">
      <c r="A1411" s="157"/>
      <c r="F1411" s="3"/>
      <c r="G1411" s="3"/>
      <c r="N1411" s="157"/>
      <c r="O1411" s="157"/>
      <c r="Q1411" s="147"/>
      <c r="R1411" s="147"/>
      <c r="S1411" s="147"/>
      <c r="T1411" s="147"/>
      <c r="U1411" s="147"/>
      <c r="V1411" s="147"/>
    </row>
    <row r="1412" spans="1:22">
      <c r="A1412" s="157"/>
      <c r="F1412" s="3"/>
      <c r="G1412" s="3"/>
      <c r="N1412" s="157"/>
      <c r="O1412" s="157"/>
      <c r="Q1412" s="147"/>
      <c r="R1412" s="147"/>
      <c r="S1412" s="147"/>
      <c r="T1412" s="147"/>
      <c r="U1412" s="147"/>
      <c r="V1412" s="147"/>
    </row>
    <row r="1413" spans="1:22">
      <c r="A1413" s="157"/>
      <c r="F1413" s="3"/>
      <c r="G1413" s="3"/>
      <c r="N1413" s="157"/>
      <c r="O1413" s="157"/>
      <c r="Q1413" s="147"/>
      <c r="R1413" s="147"/>
      <c r="S1413" s="147"/>
      <c r="T1413" s="147"/>
      <c r="U1413" s="147"/>
      <c r="V1413" s="147"/>
    </row>
    <row r="1414" spans="1:22">
      <c r="A1414" s="157"/>
      <c r="F1414" s="3"/>
      <c r="G1414" s="3"/>
      <c r="N1414" s="157"/>
      <c r="O1414" s="157"/>
      <c r="Q1414" s="147"/>
      <c r="R1414" s="147"/>
      <c r="S1414" s="147"/>
      <c r="T1414" s="147"/>
      <c r="U1414" s="147"/>
      <c r="V1414" s="147"/>
    </row>
    <row r="1415" spans="1:22">
      <c r="A1415" s="157"/>
      <c r="F1415" s="3"/>
      <c r="G1415" s="3"/>
      <c r="N1415" s="157"/>
      <c r="O1415" s="157"/>
      <c r="Q1415" s="147"/>
      <c r="R1415" s="147"/>
      <c r="S1415" s="147"/>
      <c r="T1415" s="147"/>
      <c r="U1415" s="147"/>
      <c r="V1415" s="147"/>
    </row>
    <row r="1416" spans="1:22">
      <c r="A1416" s="157"/>
      <c r="F1416" s="3"/>
      <c r="G1416" s="3"/>
      <c r="N1416" s="157"/>
      <c r="O1416" s="157"/>
      <c r="Q1416" s="147"/>
      <c r="R1416" s="147"/>
      <c r="S1416" s="147"/>
      <c r="T1416" s="147"/>
      <c r="U1416" s="147"/>
      <c r="V1416" s="147"/>
    </row>
    <row r="1417" spans="1:22">
      <c r="A1417" s="157"/>
      <c r="F1417" s="3"/>
      <c r="G1417" s="3"/>
      <c r="N1417" s="157"/>
      <c r="O1417" s="157"/>
      <c r="Q1417" s="147"/>
      <c r="R1417" s="147"/>
      <c r="S1417" s="147"/>
      <c r="T1417" s="147"/>
      <c r="U1417" s="147"/>
      <c r="V1417" s="147"/>
    </row>
    <row r="1418" spans="1:22">
      <c r="A1418" s="157"/>
      <c r="F1418" s="3"/>
      <c r="G1418" s="3"/>
      <c r="N1418" s="157"/>
      <c r="O1418" s="157"/>
      <c r="Q1418" s="147"/>
      <c r="R1418" s="147"/>
      <c r="S1418" s="147"/>
      <c r="T1418" s="147"/>
      <c r="U1418" s="147"/>
      <c r="V1418" s="147"/>
    </row>
    <row r="1419" spans="1:22">
      <c r="A1419" s="157"/>
      <c r="F1419" s="3"/>
      <c r="G1419" s="3"/>
      <c r="N1419" s="157"/>
      <c r="O1419" s="157"/>
      <c r="Q1419" s="147"/>
      <c r="R1419" s="147"/>
      <c r="S1419" s="147"/>
      <c r="T1419" s="147"/>
      <c r="U1419" s="147"/>
      <c r="V1419" s="147"/>
    </row>
    <row r="1420" spans="1:22">
      <c r="A1420" s="157"/>
      <c r="F1420" s="3"/>
      <c r="G1420" s="3"/>
      <c r="N1420" s="157"/>
      <c r="O1420" s="157"/>
      <c r="Q1420" s="147"/>
      <c r="R1420" s="147"/>
      <c r="S1420" s="147"/>
      <c r="T1420" s="147"/>
      <c r="U1420" s="147"/>
      <c r="V1420" s="147"/>
    </row>
    <row r="1421" spans="1:22">
      <c r="A1421" s="157"/>
      <c r="F1421" s="3"/>
      <c r="G1421" s="3"/>
      <c r="N1421" s="157"/>
      <c r="O1421" s="157"/>
      <c r="Q1421" s="147"/>
      <c r="R1421" s="147"/>
      <c r="S1421" s="147"/>
      <c r="T1421" s="147"/>
      <c r="U1421" s="147"/>
      <c r="V1421" s="147"/>
    </row>
    <row r="1422" spans="1:22">
      <c r="A1422" s="157"/>
      <c r="F1422" s="3"/>
      <c r="G1422" s="3"/>
      <c r="N1422" s="157"/>
      <c r="O1422" s="157"/>
      <c r="Q1422" s="147"/>
      <c r="R1422" s="147"/>
      <c r="S1422" s="147"/>
      <c r="T1422" s="147"/>
      <c r="U1422" s="147"/>
      <c r="V1422" s="147"/>
    </row>
    <row r="1423" spans="1:22">
      <c r="A1423" s="157"/>
      <c r="F1423" s="3"/>
      <c r="G1423" s="3"/>
      <c r="N1423" s="157"/>
      <c r="O1423" s="157"/>
      <c r="Q1423" s="147"/>
      <c r="R1423" s="147"/>
      <c r="S1423" s="147"/>
      <c r="T1423" s="147"/>
      <c r="U1423" s="147"/>
      <c r="V1423" s="147"/>
    </row>
    <row r="1424" spans="1:22">
      <c r="A1424" s="157"/>
      <c r="F1424" s="3"/>
      <c r="G1424" s="3"/>
      <c r="N1424" s="157"/>
      <c r="O1424" s="157"/>
      <c r="Q1424" s="147"/>
      <c r="R1424" s="147"/>
      <c r="S1424" s="147"/>
      <c r="T1424" s="147"/>
      <c r="U1424" s="147"/>
      <c r="V1424" s="147"/>
    </row>
    <row r="1425" spans="1:22">
      <c r="A1425" s="157"/>
      <c r="F1425" s="3"/>
      <c r="G1425" s="3"/>
      <c r="N1425" s="157"/>
      <c r="O1425" s="157"/>
      <c r="Q1425" s="147"/>
      <c r="R1425" s="147"/>
      <c r="S1425" s="147"/>
      <c r="T1425" s="147"/>
      <c r="U1425" s="147"/>
      <c r="V1425" s="147"/>
    </row>
    <row r="1426" spans="1:22">
      <c r="A1426" s="157"/>
      <c r="F1426" s="3"/>
      <c r="G1426" s="3"/>
      <c r="N1426" s="157"/>
      <c r="O1426" s="157"/>
      <c r="Q1426" s="147"/>
      <c r="R1426" s="147"/>
      <c r="S1426" s="147"/>
      <c r="T1426" s="147"/>
      <c r="U1426" s="147"/>
      <c r="V1426" s="147"/>
    </row>
    <row r="1427" spans="1:22">
      <c r="A1427" s="157"/>
      <c r="F1427" s="3"/>
      <c r="G1427" s="3"/>
      <c r="N1427" s="157"/>
      <c r="O1427" s="157"/>
      <c r="Q1427" s="147"/>
      <c r="R1427" s="147"/>
      <c r="S1427" s="147"/>
      <c r="T1427" s="147"/>
      <c r="U1427" s="147"/>
      <c r="V1427" s="147"/>
    </row>
    <row r="1428" spans="1:22">
      <c r="A1428" s="157"/>
      <c r="F1428" s="3"/>
      <c r="G1428" s="3"/>
      <c r="N1428" s="157"/>
      <c r="O1428" s="157"/>
      <c r="Q1428" s="147"/>
      <c r="R1428" s="147"/>
      <c r="S1428" s="147"/>
      <c r="T1428" s="147"/>
      <c r="U1428" s="147"/>
      <c r="V1428" s="147"/>
    </row>
    <row r="1429" spans="1:22">
      <c r="A1429" s="157"/>
      <c r="F1429" s="3"/>
      <c r="G1429" s="3"/>
      <c r="N1429" s="157"/>
      <c r="O1429" s="157"/>
      <c r="Q1429" s="147"/>
      <c r="R1429" s="147"/>
      <c r="S1429" s="147"/>
      <c r="T1429" s="147"/>
      <c r="U1429" s="147"/>
      <c r="V1429" s="147"/>
    </row>
    <row r="1430" spans="1:22">
      <c r="A1430" s="157"/>
      <c r="F1430" s="3"/>
      <c r="G1430" s="3"/>
      <c r="N1430" s="157"/>
      <c r="O1430" s="157"/>
      <c r="Q1430" s="147"/>
      <c r="R1430" s="147"/>
      <c r="S1430" s="147"/>
      <c r="T1430" s="147"/>
      <c r="U1430" s="147"/>
      <c r="V1430" s="147"/>
    </row>
    <row r="1431" spans="1:22">
      <c r="A1431" s="157"/>
      <c r="F1431" s="3"/>
      <c r="G1431" s="3"/>
      <c r="N1431" s="157"/>
      <c r="O1431" s="157"/>
      <c r="Q1431" s="147"/>
      <c r="R1431" s="147"/>
      <c r="S1431" s="147"/>
      <c r="T1431" s="147"/>
      <c r="U1431" s="147"/>
      <c r="V1431" s="147"/>
    </row>
    <row r="1432" spans="1:22">
      <c r="A1432" s="157"/>
      <c r="F1432" s="3"/>
      <c r="G1432" s="3"/>
      <c r="N1432" s="157"/>
      <c r="O1432" s="157"/>
      <c r="Q1432" s="147"/>
      <c r="R1432" s="147"/>
      <c r="S1432" s="147"/>
      <c r="T1432" s="147"/>
      <c r="U1432" s="147"/>
      <c r="V1432" s="147"/>
    </row>
    <row r="1433" spans="1:22">
      <c r="A1433" s="157"/>
      <c r="F1433" s="3"/>
      <c r="G1433" s="3"/>
      <c r="N1433" s="157"/>
      <c r="O1433" s="157"/>
      <c r="Q1433" s="147"/>
      <c r="R1433" s="147"/>
      <c r="S1433" s="147"/>
      <c r="T1433" s="147"/>
      <c r="U1433" s="147"/>
      <c r="V1433" s="147"/>
    </row>
    <row r="1434" spans="1:22">
      <c r="A1434" s="157"/>
      <c r="F1434" s="3"/>
      <c r="G1434" s="3"/>
      <c r="N1434" s="157"/>
      <c r="O1434" s="157"/>
      <c r="Q1434" s="147"/>
      <c r="R1434" s="147"/>
      <c r="S1434" s="147"/>
      <c r="T1434" s="147"/>
      <c r="U1434" s="147"/>
      <c r="V1434" s="147"/>
    </row>
    <row r="1435" spans="1:22">
      <c r="A1435" s="157"/>
      <c r="F1435" s="3"/>
      <c r="G1435" s="3"/>
      <c r="N1435" s="157"/>
      <c r="O1435" s="157"/>
      <c r="Q1435" s="147"/>
      <c r="R1435" s="147"/>
      <c r="S1435" s="147"/>
      <c r="T1435" s="147"/>
      <c r="U1435" s="147"/>
      <c r="V1435" s="147"/>
    </row>
    <row r="1436" spans="1:22">
      <c r="A1436" s="157"/>
      <c r="F1436" s="3"/>
      <c r="G1436" s="3"/>
      <c r="N1436" s="157"/>
      <c r="O1436" s="157"/>
      <c r="Q1436" s="147"/>
      <c r="R1436" s="147"/>
      <c r="S1436" s="147"/>
      <c r="T1436" s="147"/>
      <c r="U1436" s="147"/>
      <c r="V1436" s="147"/>
    </row>
    <row r="1437" spans="1:22">
      <c r="A1437" s="157"/>
      <c r="F1437" s="3"/>
      <c r="G1437" s="3"/>
      <c r="N1437" s="157"/>
      <c r="O1437" s="157"/>
      <c r="Q1437" s="147"/>
      <c r="R1437" s="147"/>
      <c r="S1437" s="147"/>
      <c r="T1437" s="147"/>
      <c r="U1437" s="147"/>
      <c r="V1437" s="147"/>
    </row>
    <row r="1438" spans="1:22">
      <c r="A1438" s="157"/>
      <c r="F1438" s="3"/>
      <c r="G1438" s="3"/>
      <c r="N1438" s="157"/>
      <c r="O1438" s="157"/>
      <c r="Q1438" s="147"/>
      <c r="R1438" s="147"/>
      <c r="S1438" s="147"/>
      <c r="T1438" s="147"/>
      <c r="U1438" s="147"/>
      <c r="V1438" s="147"/>
    </row>
    <row r="1439" spans="1:22">
      <c r="A1439" s="157"/>
      <c r="F1439" s="3"/>
      <c r="G1439" s="3"/>
      <c r="N1439" s="157"/>
      <c r="O1439" s="157"/>
      <c r="Q1439" s="147"/>
      <c r="R1439" s="147"/>
      <c r="S1439" s="147"/>
      <c r="T1439" s="147"/>
      <c r="U1439" s="147"/>
      <c r="V1439" s="147"/>
    </row>
    <row r="1440" spans="1:22">
      <c r="A1440" s="157"/>
      <c r="F1440" s="3"/>
      <c r="G1440" s="3"/>
      <c r="N1440" s="157"/>
      <c r="O1440" s="157"/>
      <c r="Q1440" s="147"/>
      <c r="R1440" s="147"/>
      <c r="S1440" s="147"/>
      <c r="T1440" s="147"/>
      <c r="U1440" s="147"/>
      <c r="V1440" s="147"/>
    </row>
    <row r="1441" spans="1:22">
      <c r="A1441" s="157"/>
      <c r="F1441" s="3"/>
      <c r="G1441" s="3"/>
      <c r="N1441" s="157"/>
      <c r="O1441" s="157"/>
      <c r="Q1441" s="147"/>
      <c r="R1441" s="147"/>
      <c r="S1441" s="147"/>
      <c r="T1441" s="147"/>
      <c r="U1441" s="147"/>
      <c r="V1441" s="147"/>
    </row>
    <row r="1442" spans="1:22">
      <c r="A1442" s="157"/>
      <c r="F1442" s="3"/>
      <c r="G1442" s="3"/>
      <c r="N1442" s="157"/>
      <c r="O1442" s="157"/>
      <c r="Q1442" s="147"/>
      <c r="R1442" s="147"/>
      <c r="S1442" s="147"/>
      <c r="T1442" s="147"/>
      <c r="U1442" s="147"/>
      <c r="V1442" s="147"/>
    </row>
    <row r="1443" spans="1:22">
      <c r="A1443" s="157"/>
      <c r="F1443" s="3"/>
      <c r="G1443" s="3"/>
      <c r="N1443" s="157"/>
      <c r="O1443" s="157"/>
      <c r="Q1443" s="147"/>
      <c r="R1443" s="147"/>
      <c r="S1443" s="147"/>
      <c r="T1443" s="147"/>
      <c r="U1443" s="147"/>
      <c r="V1443" s="147"/>
    </row>
    <row r="1444" spans="1:22">
      <c r="A1444" s="157"/>
      <c r="F1444" s="3"/>
      <c r="G1444" s="3"/>
      <c r="N1444" s="157"/>
      <c r="O1444" s="157"/>
      <c r="Q1444" s="147"/>
      <c r="R1444" s="147"/>
      <c r="S1444" s="147"/>
      <c r="T1444" s="147"/>
      <c r="U1444" s="147"/>
      <c r="V1444" s="147"/>
    </row>
    <row r="1445" spans="1:22">
      <c r="A1445" s="157"/>
      <c r="F1445" s="3"/>
      <c r="G1445" s="3"/>
      <c r="N1445" s="157"/>
      <c r="O1445" s="157"/>
      <c r="Q1445" s="147"/>
      <c r="R1445" s="147"/>
      <c r="S1445" s="147"/>
      <c r="T1445" s="147"/>
      <c r="U1445" s="147"/>
      <c r="V1445" s="147"/>
    </row>
    <row r="1446" spans="1:22">
      <c r="A1446" s="157"/>
      <c r="F1446" s="3"/>
      <c r="G1446" s="3"/>
      <c r="N1446" s="157"/>
      <c r="O1446" s="157"/>
      <c r="Q1446" s="147"/>
      <c r="R1446" s="147"/>
      <c r="S1446" s="147"/>
      <c r="T1446" s="147"/>
      <c r="U1446" s="147"/>
      <c r="V1446" s="147"/>
    </row>
    <row r="1447" spans="1:22">
      <c r="A1447" s="157"/>
      <c r="F1447" s="3"/>
      <c r="G1447" s="3"/>
      <c r="N1447" s="157"/>
      <c r="O1447" s="157"/>
      <c r="Q1447" s="147"/>
      <c r="R1447" s="147"/>
      <c r="S1447" s="147"/>
      <c r="T1447" s="147"/>
      <c r="U1447" s="147"/>
      <c r="V1447" s="147"/>
    </row>
    <row r="1448" spans="1:22">
      <c r="A1448" s="157"/>
      <c r="F1448" s="3"/>
      <c r="G1448" s="3"/>
      <c r="N1448" s="157"/>
      <c r="O1448" s="157"/>
      <c r="Q1448" s="147"/>
      <c r="R1448" s="147"/>
      <c r="S1448" s="147"/>
      <c r="T1448" s="147"/>
      <c r="U1448" s="147"/>
      <c r="V1448" s="147"/>
    </row>
    <row r="1449" spans="1:22">
      <c r="A1449" s="157"/>
      <c r="F1449" s="3"/>
      <c r="G1449" s="3"/>
      <c r="N1449" s="157"/>
      <c r="O1449" s="157"/>
      <c r="Q1449" s="147"/>
      <c r="R1449" s="147"/>
      <c r="S1449" s="147"/>
      <c r="T1449" s="147"/>
      <c r="U1449" s="147"/>
      <c r="V1449" s="147"/>
    </row>
    <row r="1450" spans="1:22">
      <c r="A1450" s="157"/>
      <c r="F1450" s="3"/>
      <c r="G1450" s="3"/>
      <c r="N1450" s="157"/>
      <c r="O1450" s="157"/>
      <c r="Q1450" s="147"/>
      <c r="R1450" s="147"/>
      <c r="S1450" s="147"/>
      <c r="T1450" s="147"/>
      <c r="U1450" s="147"/>
      <c r="V1450" s="147"/>
    </row>
    <row r="1451" spans="1:22">
      <c r="A1451" s="157"/>
      <c r="F1451" s="3"/>
      <c r="G1451" s="3"/>
      <c r="N1451" s="157"/>
      <c r="O1451" s="157"/>
      <c r="Q1451" s="147"/>
      <c r="R1451" s="147"/>
      <c r="S1451" s="147"/>
      <c r="T1451" s="147"/>
      <c r="U1451" s="147"/>
      <c r="V1451" s="147"/>
    </row>
    <row r="1452" spans="1:22">
      <c r="A1452" s="157"/>
      <c r="F1452" s="3"/>
      <c r="G1452" s="3"/>
      <c r="N1452" s="157"/>
      <c r="O1452" s="157"/>
      <c r="Q1452" s="147"/>
      <c r="R1452" s="147"/>
      <c r="S1452" s="147"/>
      <c r="T1452" s="147"/>
      <c r="U1452" s="147"/>
      <c r="V1452" s="147"/>
    </row>
    <row r="1453" spans="1:22">
      <c r="A1453" s="157"/>
      <c r="F1453" s="3"/>
      <c r="G1453" s="3"/>
      <c r="N1453" s="157"/>
      <c r="O1453" s="157"/>
      <c r="Q1453" s="147"/>
      <c r="R1453" s="147"/>
      <c r="S1453" s="147"/>
      <c r="T1453" s="147"/>
      <c r="U1453" s="147"/>
      <c r="V1453" s="147"/>
    </row>
    <row r="1454" spans="1:22">
      <c r="A1454" s="157"/>
      <c r="F1454" s="3"/>
      <c r="G1454" s="3"/>
      <c r="N1454" s="157"/>
      <c r="O1454" s="157"/>
      <c r="Q1454" s="147"/>
      <c r="R1454" s="147"/>
      <c r="S1454" s="147"/>
      <c r="T1454" s="147"/>
      <c r="U1454" s="147"/>
      <c r="V1454" s="147"/>
    </row>
    <row r="1455" spans="1:22">
      <c r="A1455" s="157"/>
      <c r="F1455" s="3"/>
      <c r="G1455" s="3"/>
      <c r="N1455" s="157"/>
      <c r="O1455" s="157"/>
      <c r="Q1455" s="147"/>
      <c r="R1455" s="147"/>
      <c r="S1455" s="147"/>
      <c r="T1455" s="147"/>
      <c r="U1455" s="147"/>
      <c r="V1455" s="147"/>
    </row>
    <row r="1456" spans="1:22">
      <c r="A1456" s="157"/>
      <c r="F1456" s="3"/>
      <c r="G1456" s="3"/>
      <c r="N1456" s="157"/>
      <c r="O1456" s="157"/>
      <c r="Q1456" s="147"/>
      <c r="R1456" s="147"/>
      <c r="S1456" s="147"/>
      <c r="T1456" s="147"/>
      <c r="U1456" s="147"/>
      <c r="V1456" s="147"/>
    </row>
    <row r="1457" spans="1:22">
      <c r="A1457" s="157"/>
      <c r="F1457" s="3"/>
      <c r="G1457" s="3"/>
      <c r="N1457" s="157"/>
      <c r="O1457" s="157"/>
      <c r="Q1457" s="147"/>
      <c r="R1457" s="147"/>
      <c r="S1457" s="147"/>
      <c r="T1457" s="147"/>
      <c r="U1457" s="147"/>
      <c r="V1457" s="147"/>
    </row>
    <row r="1458" spans="1:22">
      <c r="A1458" s="157"/>
      <c r="F1458" s="3"/>
      <c r="G1458" s="3"/>
      <c r="N1458" s="157"/>
      <c r="O1458" s="157"/>
      <c r="Q1458" s="147"/>
      <c r="R1458" s="147"/>
      <c r="S1458" s="147"/>
      <c r="T1458" s="147"/>
      <c r="U1458" s="147"/>
      <c r="V1458" s="147"/>
    </row>
    <row r="1459" spans="1:22">
      <c r="A1459" s="157"/>
      <c r="F1459" s="3"/>
      <c r="G1459" s="3"/>
      <c r="N1459" s="157"/>
      <c r="O1459" s="157"/>
      <c r="Q1459" s="147"/>
      <c r="R1459" s="147"/>
      <c r="S1459" s="147"/>
      <c r="T1459" s="147"/>
      <c r="U1459" s="147"/>
      <c r="V1459" s="147"/>
    </row>
    <row r="1460" spans="1:22">
      <c r="A1460" s="157"/>
      <c r="F1460" s="3"/>
      <c r="G1460" s="3"/>
      <c r="N1460" s="157"/>
      <c r="O1460" s="157"/>
      <c r="Q1460" s="147"/>
      <c r="R1460" s="147"/>
      <c r="S1460" s="147"/>
      <c r="T1460" s="147"/>
      <c r="U1460" s="147"/>
      <c r="V1460" s="147"/>
    </row>
    <row r="1461" spans="1:22">
      <c r="A1461" s="157"/>
      <c r="F1461" s="3"/>
      <c r="G1461" s="3"/>
      <c r="N1461" s="157"/>
      <c r="O1461" s="157"/>
      <c r="Q1461" s="147"/>
      <c r="R1461" s="147"/>
      <c r="S1461" s="147"/>
      <c r="T1461" s="147"/>
      <c r="U1461" s="147"/>
      <c r="V1461" s="147"/>
    </row>
    <row r="1462" spans="1:22">
      <c r="A1462" s="157"/>
      <c r="F1462" s="3"/>
      <c r="G1462" s="3"/>
      <c r="N1462" s="157"/>
      <c r="O1462" s="157"/>
      <c r="Q1462" s="147"/>
      <c r="R1462" s="147"/>
      <c r="S1462" s="147"/>
      <c r="T1462" s="147"/>
      <c r="U1462" s="147"/>
      <c r="V1462" s="147"/>
    </row>
    <row r="1463" spans="1:22">
      <c r="A1463" s="157"/>
      <c r="F1463" s="3"/>
      <c r="G1463" s="3"/>
      <c r="N1463" s="157"/>
      <c r="O1463" s="157"/>
      <c r="Q1463" s="147"/>
      <c r="R1463" s="147"/>
      <c r="S1463" s="147"/>
      <c r="T1463" s="147"/>
      <c r="U1463" s="147"/>
      <c r="V1463" s="147"/>
    </row>
    <row r="1464" spans="1:22">
      <c r="A1464" s="157"/>
      <c r="F1464" s="3"/>
      <c r="G1464" s="3"/>
      <c r="N1464" s="157"/>
      <c r="O1464" s="157"/>
      <c r="Q1464" s="147"/>
      <c r="R1464" s="147"/>
      <c r="S1464" s="147"/>
      <c r="T1464" s="147"/>
      <c r="U1464" s="147"/>
      <c r="V1464" s="147"/>
    </row>
    <row r="1465" spans="1:22">
      <c r="A1465" s="157"/>
      <c r="F1465" s="3"/>
      <c r="G1465" s="3"/>
      <c r="N1465" s="157"/>
      <c r="O1465" s="157"/>
      <c r="Q1465" s="147"/>
      <c r="R1465" s="147"/>
      <c r="S1465" s="147"/>
      <c r="T1465" s="147"/>
      <c r="U1465" s="147"/>
      <c r="V1465" s="147"/>
    </row>
    <row r="1466" spans="1:22">
      <c r="A1466" s="157"/>
      <c r="F1466" s="3"/>
      <c r="G1466" s="3"/>
      <c r="N1466" s="157"/>
      <c r="O1466" s="157"/>
      <c r="Q1466" s="147"/>
      <c r="R1466" s="147"/>
      <c r="S1466" s="147"/>
      <c r="T1466" s="147"/>
      <c r="U1466" s="147"/>
      <c r="V1466" s="147"/>
    </row>
    <row r="1467" spans="1:22">
      <c r="A1467" s="157"/>
      <c r="F1467" s="3"/>
      <c r="G1467" s="3"/>
      <c r="N1467" s="157"/>
      <c r="O1467" s="157"/>
      <c r="Q1467" s="147"/>
      <c r="R1467" s="147"/>
      <c r="S1467" s="147"/>
      <c r="T1467" s="147"/>
      <c r="U1467" s="147"/>
      <c r="V1467" s="147"/>
    </row>
    <row r="1468" spans="1:22">
      <c r="A1468" s="157"/>
      <c r="F1468" s="3"/>
      <c r="G1468" s="3"/>
      <c r="N1468" s="157"/>
      <c r="O1468" s="157"/>
      <c r="Q1468" s="147"/>
      <c r="R1468" s="147"/>
      <c r="S1468" s="147"/>
      <c r="T1468" s="147"/>
      <c r="U1468" s="147"/>
      <c r="V1468" s="147"/>
    </row>
    <row r="1469" spans="1:22">
      <c r="A1469" s="157"/>
      <c r="F1469" s="3"/>
      <c r="G1469" s="3"/>
      <c r="N1469" s="157"/>
      <c r="O1469" s="157"/>
      <c r="Q1469" s="147"/>
      <c r="R1469" s="147"/>
      <c r="S1469" s="147"/>
      <c r="T1469" s="147"/>
      <c r="U1469" s="147"/>
      <c r="V1469" s="147"/>
    </row>
    <row r="1470" spans="1:22">
      <c r="A1470" s="157"/>
      <c r="F1470" s="3"/>
      <c r="G1470" s="3"/>
      <c r="N1470" s="157"/>
      <c r="O1470" s="157"/>
      <c r="Q1470" s="147"/>
      <c r="R1470" s="147"/>
      <c r="S1470" s="147"/>
      <c r="T1470" s="147"/>
      <c r="U1470" s="147"/>
      <c r="V1470" s="147"/>
    </row>
    <row r="1471" spans="1:22">
      <c r="A1471" s="157"/>
      <c r="F1471" s="3"/>
      <c r="G1471" s="3"/>
      <c r="N1471" s="157"/>
      <c r="O1471" s="157"/>
      <c r="Q1471" s="147"/>
      <c r="R1471" s="147"/>
      <c r="S1471" s="147"/>
      <c r="T1471" s="147"/>
      <c r="U1471" s="147"/>
      <c r="V1471" s="147"/>
    </row>
    <row r="1472" spans="1:22">
      <c r="A1472" s="157"/>
      <c r="F1472" s="3"/>
      <c r="G1472" s="3"/>
      <c r="N1472" s="157"/>
      <c r="O1472" s="157"/>
      <c r="Q1472" s="147"/>
      <c r="R1472" s="147"/>
      <c r="S1472" s="147"/>
      <c r="T1472" s="147"/>
      <c r="U1472" s="147"/>
      <c r="V1472" s="147"/>
    </row>
    <row r="1473" spans="1:22">
      <c r="A1473" s="157"/>
      <c r="F1473" s="3"/>
      <c r="G1473" s="3"/>
      <c r="N1473" s="157"/>
      <c r="O1473" s="157"/>
      <c r="Q1473" s="147"/>
      <c r="R1473" s="147"/>
      <c r="S1473" s="147"/>
      <c r="T1473" s="147"/>
      <c r="U1473" s="147"/>
      <c r="V1473" s="147"/>
    </row>
    <row r="1474" spans="1:22">
      <c r="A1474" s="157"/>
      <c r="F1474" s="3"/>
      <c r="G1474" s="3"/>
      <c r="N1474" s="157"/>
      <c r="O1474" s="157"/>
      <c r="Q1474" s="147"/>
      <c r="R1474" s="147"/>
      <c r="S1474" s="147"/>
      <c r="T1474" s="147"/>
      <c r="U1474" s="147"/>
      <c r="V1474" s="147"/>
    </row>
    <row r="1475" spans="1:22">
      <c r="A1475" s="157"/>
      <c r="F1475" s="3"/>
      <c r="G1475" s="3"/>
      <c r="N1475" s="157"/>
      <c r="O1475" s="157"/>
      <c r="Q1475" s="147"/>
      <c r="R1475" s="147"/>
      <c r="S1475" s="147"/>
      <c r="T1475" s="147"/>
      <c r="U1475" s="147"/>
      <c r="V1475" s="147"/>
    </row>
    <row r="1476" spans="1:22">
      <c r="A1476" s="157"/>
      <c r="F1476" s="3"/>
      <c r="G1476" s="3"/>
      <c r="N1476" s="157"/>
      <c r="O1476" s="157"/>
      <c r="Q1476" s="147"/>
      <c r="R1476" s="147"/>
      <c r="S1476" s="147"/>
      <c r="T1476" s="147"/>
      <c r="U1476" s="147"/>
      <c r="V1476" s="147"/>
    </row>
    <row r="1477" spans="1:22">
      <c r="A1477" s="157"/>
      <c r="F1477" s="3"/>
      <c r="G1477" s="3"/>
      <c r="N1477" s="157"/>
      <c r="O1477" s="157"/>
      <c r="Q1477" s="147"/>
      <c r="R1477" s="147"/>
      <c r="S1477" s="147"/>
      <c r="T1477" s="147"/>
      <c r="U1477" s="147"/>
      <c r="V1477" s="147"/>
    </row>
    <row r="1478" spans="1:22">
      <c r="A1478" s="157"/>
      <c r="F1478" s="3"/>
      <c r="G1478" s="3"/>
      <c r="N1478" s="157"/>
      <c r="O1478" s="157"/>
      <c r="Q1478" s="147"/>
      <c r="R1478" s="147"/>
      <c r="S1478" s="147"/>
      <c r="T1478" s="147"/>
      <c r="U1478" s="147"/>
      <c r="V1478" s="147"/>
    </row>
    <row r="1479" spans="1:22">
      <c r="A1479" s="157"/>
      <c r="F1479" s="3"/>
      <c r="G1479" s="3"/>
      <c r="N1479" s="157"/>
      <c r="O1479" s="157"/>
      <c r="Q1479" s="147"/>
      <c r="R1479" s="147"/>
      <c r="S1479" s="147"/>
      <c r="T1479" s="147"/>
      <c r="U1479" s="147"/>
      <c r="V1479" s="147"/>
    </row>
    <row r="1480" spans="1:22">
      <c r="A1480" s="157"/>
      <c r="F1480" s="3"/>
      <c r="G1480" s="3"/>
      <c r="N1480" s="157"/>
      <c r="O1480" s="157"/>
      <c r="Q1480" s="147"/>
      <c r="R1480" s="147"/>
      <c r="S1480" s="147"/>
      <c r="T1480" s="147"/>
      <c r="U1480" s="147"/>
      <c r="V1480" s="147"/>
    </row>
    <row r="1481" spans="1:22">
      <c r="A1481" s="157"/>
      <c r="F1481" s="3"/>
      <c r="G1481" s="3"/>
      <c r="N1481" s="157"/>
      <c r="O1481" s="157"/>
      <c r="Q1481" s="147"/>
      <c r="R1481" s="147"/>
      <c r="S1481" s="147"/>
      <c r="T1481" s="147"/>
      <c r="U1481" s="147"/>
      <c r="V1481" s="147"/>
    </row>
    <row r="1482" spans="1:22">
      <c r="A1482" s="157"/>
      <c r="F1482" s="3"/>
      <c r="G1482" s="3"/>
      <c r="N1482" s="157"/>
      <c r="O1482" s="157"/>
      <c r="Q1482" s="147"/>
      <c r="R1482" s="147"/>
      <c r="S1482" s="147"/>
      <c r="T1482" s="147"/>
      <c r="U1482" s="147"/>
      <c r="V1482" s="147"/>
    </row>
    <row r="1483" spans="1:22">
      <c r="A1483" s="157"/>
      <c r="F1483" s="3"/>
      <c r="G1483" s="3"/>
      <c r="N1483" s="157"/>
      <c r="O1483" s="157"/>
      <c r="Q1483" s="147"/>
      <c r="R1483" s="147"/>
      <c r="S1483" s="147"/>
      <c r="T1483" s="147"/>
      <c r="U1483" s="147"/>
      <c r="V1483" s="147"/>
    </row>
    <row r="1484" spans="1:22">
      <c r="A1484" s="157"/>
      <c r="F1484" s="3"/>
      <c r="G1484" s="3"/>
      <c r="N1484" s="157"/>
      <c r="O1484" s="157"/>
      <c r="Q1484" s="147"/>
      <c r="R1484" s="147"/>
      <c r="S1484" s="147"/>
      <c r="T1484" s="147"/>
      <c r="U1484" s="147"/>
      <c r="V1484" s="147"/>
    </row>
    <row r="1485" spans="1:22">
      <c r="A1485" s="157"/>
      <c r="F1485" s="3"/>
      <c r="G1485" s="3"/>
      <c r="N1485" s="157"/>
      <c r="O1485" s="157"/>
      <c r="Q1485" s="147"/>
      <c r="R1485" s="147"/>
      <c r="S1485" s="147"/>
      <c r="T1485" s="147"/>
      <c r="U1485" s="147"/>
      <c r="V1485" s="147"/>
    </row>
    <row r="1486" spans="1:22">
      <c r="A1486" s="157"/>
      <c r="F1486" s="3"/>
      <c r="G1486" s="3"/>
      <c r="N1486" s="157"/>
      <c r="O1486" s="157"/>
      <c r="Q1486" s="147"/>
      <c r="R1486" s="147"/>
      <c r="S1486" s="147"/>
      <c r="T1486" s="147"/>
      <c r="U1486" s="147"/>
      <c r="V1486" s="147"/>
    </row>
    <row r="1487" spans="1:22">
      <c r="A1487" s="157"/>
      <c r="F1487" s="3"/>
      <c r="G1487" s="3"/>
      <c r="N1487" s="157"/>
      <c r="O1487" s="157"/>
      <c r="Q1487" s="147"/>
      <c r="R1487" s="147"/>
      <c r="S1487" s="147"/>
      <c r="T1487" s="147"/>
      <c r="U1487" s="147"/>
      <c r="V1487" s="147"/>
    </row>
    <row r="1488" spans="1:22">
      <c r="A1488" s="157"/>
      <c r="F1488" s="3"/>
      <c r="G1488" s="3"/>
      <c r="N1488" s="157"/>
      <c r="O1488" s="157"/>
      <c r="Q1488" s="147"/>
      <c r="R1488" s="147"/>
      <c r="S1488" s="147"/>
      <c r="T1488" s="147"/>
      <c r="U1488" s="147"/>
      <c r="V1488" s="147"/>
    </row>
    <row r="1489" spans="1:22">
      <c r="A1489" s="157"/>
      <c r="F1489" s="3"/>
      <c r="G1489" s="3"/>
      <c r="N1489" s="157"/>
      <c r="O1489" s="157"/>
      <c r="Q1489" s="147"/>
      <c r="R1489" s="147"/>
      <c r="S1489" s="147"/>
      <c r="T1489" s="147"/>
      <c r="U1489" s="147"/>
      <c r="V1489" s="147"/>
    </row>
    <row r="1490" spans="1:22">
      <c r="A1490" s="157"/>
      <c r="F1490" s="3"/>
      <c r="G1490" s="3"/>
      <c r="N1490" s="157"/>
      <c r="O1490" s="157"/>
      <c r="Q1490" s="147"/>
      <c r="R1490" s="147"/>
      <c r="S1490" s="147"/>
      <c r="T1490" s="147"/>
      <c r="U1490" s="147"/>
      <c r="V1490" s="147"/>
    </row>
    <row r="1491" spans="1:22">
      <c r="A1491" s="157"/>
      <c r="F1491" s="3"/>
      <c r="G1491" s="3"/>
      <c r="N1491" s="157"/>
      <c r="O1491" s="157"/>
      <c r="Q1491" s="147"/>
      <c r="R1491" s="147"/>
      <c r="S1491" s="147"/>
      <c r="T1491" s="147"/>
      <c r="U1491" s="147"/>
      <c r="V1491" s="147"/>
    </row>
    <row r="1492" spans="1:22">
      <c r="A1492" s="157"/>
      <c r="F1492" s="3"/>
      <c r="G1492" s="3"/>
      <c r="N1492" s="157"/>
      <c r="O1492" s="157"/>
      <c r="Q1492" s="147"/>
      <c r="R1492" s="147"/>
      <c r="S1492" s="147"/>
      <c r="T1492" s="147"/>
      <c r="U1492" s="147"/>
      <c r="V1492" s="147"/>
    </row>
    <row r="1493" spans="1:22">
      <c r="A1493" s="157"/>
      <c r="F1493" s="3"/>
      <c r="G1493" s="3"/>
      <c r="N1493" s="157"/>
      <c r="O1493" s="157"/>
      <c r="Q1493" s="147"/>
      <c r="R1493" s="147"/>
      <c r="S1493" s="147"/>
      <c r="T1493" s="147"/>
      <c r="U1493" s="147"/>
      <c r="V1493" s="147"/>
    </row>
    <row r="1494" spans="1:22">
      <c r="A1494" s="157"/>
      <c r="F1494" s="3"/>
      <c r="G1494" s="3"/>
      <c r="N1494" s="157"/>
      <c r="O1494" s="157"/>
      <c r="Q1494" s="147"/>
      <c r="R1494" s="147"/>
      <c r="S1494" s="147"/>
      <c r="T1494" s="147"/>
      <c r="U1494" s="147"/>
      <c r="V1494" s="147"/>
    </row>
    <row r="1495" spans="1:22">
      <c r="A1495" s="157"/>
      <c r="F1495" s="3"/>
      <c r="G1495" s="3"/>
      <c r="N1495" s="157"/>
      <c r="O1495" s="157"/>
      <c r="Q1495" s="147"/>
      <c r="R1495" s="147"/>
      <c r="S1495" s="147"/>
      <c r="T1495" s="147"/>
      <c r="U1495" s="147"/>
      <c r="V1495" s="147"/>
    </row>
    <row r="1496" spans="1:22">
      <c r="A1496" s="157"/>
      <c r="F1496" s="3"/>
      <c r="G1496" s="3"/>
      <c r="N1496" s="157"/>
      <c r="O1496" s="157"/>
      <c r="Q1496" s="147"/>
      <c r="R1496" s="147"/>
      <c r="S1496" s="147"/>
      <c r="T1496" s="147"/>
      <c r="U1496" s="147"/>
      <c r="V1496" s="147"/>
    </row>
    <row r="1497" spans="1:22">
      <c r="A1497" s="157"/>
      <c r="F1497" s="3"/>
      <c r="G1497" s="3"/>
      <c r="N1497" s="157"/>
      <c r="O1497" s="157"/>
      <c r="Q1497" s="147"/>
      <c r="R1497" s="147"/>
      <c r="S1497" s="147"/>
      <c r="T1497" s="147"/>
      <c r="U1497" s="147"/>
      <c r="V1497" s="147"/>
    </row>
    <row r="1498" spans="1:22">
      <c r="A1498" s="157"/>
      <c r="F1498" s="3"/>
      <c r="G1498" s="3"/>
      <c r="N1498" s="157"/>
      <c r="O1498" s="157"/>
      <c r="Q1498" s="147"/>
      <c r="R1498" s="147"/>
      <c r="S1498" s="147"/>
      <c r="T1498" s="147"/>
      <c r="U1498" s="147"/>
      <c r="V1498" s="147"/>
    </row>
    <row r="1499" spans="1:22">
      <c r="A1499" s="157"/>
      <c r="F1499" s="3"/>
      <c r="G1499" s="3"/>
      <c r="N1499" s="157"/>
      <c r="O1499" s="157"/>
      <c r="Q1499" s="147"/>
      <c r="R1499" s="147"/>
      <c r="S1499" s="147"/>
      <c r="T1499" s="147"/>
      <c r="U1499" s="147"/>
      <c r="V1499" s="147"/>
    </row>
    <row r="1500" spans="1:22">
      <c r="A1500" s="157"/>
      <c r="F1500" s="3"/>
      <c r="G1500" s="3"/>
      <c r="N1500" s="157"/>
      <c r="O1500" s="157"/>
      <c r="Q1500" s="147"/>
      <c r="R1500" s="147"/>
      <c r="S1500" s="147"/>
      <c r="T1500" s="147"/>
      <c r="U1500" s="147"/>
      <c r="V1500" s="147"/>
    </row>
    <row r="1501" spans="1:22">
      <c r="A1501" s="157"/>
      <c r="F1501" s="3"/>
      <c r="G1501" s="3"/>
      <c r="N1501" s="157"/>
      <c r="O1501" s="157"/>
      <c r="Q1501" s="147"/>
      <c r="R1501" s="147"/>
      <c r="S1501" s="147"/>
      <c r="T1501" s="147"/>
      <c r="U1501" s="147"/>
      <c r="V1501" s="147"/>
    </row>
    <row r="1502" spans="1:22">
      <c r="A1502" s="157"/>
      <c r="F1502" s="3"/>
      <c r="G1502" s="3"/>
      <c r="N1502" s="157"/>
      <c r="O1502" s="157"/>
      <c r="Q1502" s="147"/>
      <c r="R1502" s="147"/>
      <c r="S1502" s="147"/>
      <c r="T1502" s="147"/>
      <c r="U1502" s="147"/>
      <c r="V1502" s="147"/>
    </row>
    <row r="1503" spans="1:22">
      <c r="A1503" s="157"/>
      <c r="F1503" s="3"/>
      <c r="G1503" s="3"/>
      <c r="N1503" s="157"/>
      <c r="O1503" s="157"/>
      <c r="Q1503" s="147"/>
      <c r="R1503" s="147"/>
      <c r="S1503" s="147"/>
      <c r="T1503" s="147"/>
      <c r="U1503" s="147"/>
      <c r="V1503" s="147"/>
    </row>
    <row r="1504" spans="1:22">
      <c r="A1504" s="157"/>
      <c r="F1504" s="3"/>
      <c r="G1504" s="3"/>
      <c r="N1504" s="157"/>
      <c r="O1504" s="157"/>
      <c r="Q1504" s="147"/>
      <c r="R1504" s="147"/>
      <c r="S1504" s="147"/>
      <c r="T1504" s="147"/>
      <c r="U1504" s="147"/>
      <c r="V1504" s="147"/>
    </row>
    <row r="1505" spans="1:22">
      <c r="A1505" s="157"/>
      <c r="F1505" s="3"/>
      <c r="G1505" s="3"/>
      <c r="N1505" s="157"/>
      <c r="O1505" s="157"/>
      <c r="Q1505" s="147"/>
      <c r="R1505" s="147"/>
      <c r="S1505" s="147"/>
      <c r="T1505" s="147"/>
      <c r="U1505" s="147"/>
      <c r="V1505" s="147"/>
    </row>
    <row r="1506" spans="1:22">
      <c r="A1506" s="157"/>
      <c r="F1506" s="3"/>
      <c r="G1506" s="3"/>
      <c r="N1506" s="157"/>
      <c r="O1506" s="157"/>
      <c r="Q1506" s="147"/>
      <c r="R1506" s="147"/>
      <c r="S1506" s="147"/>
      <c r="T1506" s="147"/>
      <c r="U1506" s="147"/>
      <c r="V1506" s="147"/>
    </row>
    <row r="1507" spans="1:22">
      <c r="A1507" s="157"/>
      <c r="F1507" s="3"/>
      <c r="G1507" s="3"/>
      <c r="N1507" s="157"/>
      <c r="O1507" s="157"/>
      <c r="Q1507" s="147"/>
      <c r="R1507" s="147"/>
      <c r="S1507" s="147"/>
      <c r="T1507" s="147"/>
      <c r="U1507" s="147"/>
      <c r="V1507" s="147"/>
    </row>
    <row r="1508" spans="1:22">
      <c r="A1508" s="157"/>
      <c r="F1508" s="3"/>
      <c r="G1508" s="3"/>
      <c r="N1508" s="157"/>
      <c r="O1508" s="157"/>
      <c r="Q1508" s="147"/>
      <c r="R1508" s="147"/>
      <c r="S1508" s="147"/>
      <c r="T1508" s="147"/>
      <c r="U1508" s="147"/>
      <c r="V1508" s="147"/>
    </row>
    <row r="1509" spans="1:22">
      <c r="A1509" s="157"/>
      <c r="F1509" s="3"/>
      <c r="G1509" s="3"/>
      <c r="N1509" s="157"/>
      <c r="O1509" s="157"/>
      <c r="Q1509" s="147"/>
      <c r="R1509" s="147"/>
      <c r="S1509" s="147"/>
      <c r="T1509" s="147"/>
      <c r="U1509" s="147"/>
      <c r="V1509" s="147"/>
    </row>
    <row r="1510" spans="1:22">
      <c r="A1510" s="157"/>
      <c r="F1510" s="3"/>
      <c r="G1510" s="3"/>
      <c r="N1510" s="157"/>
      <c r="O1510" s="157"/>
      <c r="Q1510" s="147"/>
      <c r="R1510" s="147"/>
      <c r="S1510" s="147"/>
      <c r="T1510" s="147"/>
      <c r="U1510" s="147"/>
      <c r="V1510" s="147"/>
    </row>
    <row r="1511" spans="1:22">
      <c r="A1511" s="157"/>
      <c r="F1511" s="3"/>
      <c r="G1511" s="3"/>
      <c r="N1511" s="157"/>
      <c r="O1511" s="157"/>
      <c r="Q1511" s="147"/>
      <c r="R1511" s="147"/>
      <c r="S1511" s="147"/>
      <c r="T1511" s="147"/>
      <c r="U1511" s="147"/>
      <c r="V1511" s="147"/>
    </row>
    <row r="1512" spans="1:22">
      <c r="A1512" s="157"/>
      <c r="F1512" s="3"/>
      <c r="G1512" s="3"/>
      <c r="N1512" s="157"/>
      <c r="O1512" s="157"/>
      <c r="Q1512" s="147"/>
      <c r="R1512" s="147"/>
      <c r="S1512" s="147"/>
      <c r="T1512" s="147"/>
      <c r="U1512" s="147"/>
      <c r="V1512" s="147"/>
    </row>
    <row r="1513" spans="1:22">
      <c r="A1513" s="157"/>
      <c r="F1513" s="3"/>
      <c r="G1513" s="3"/>
      <c r="N1513" s="157"/>
      <c r="O1513" s="157"/>
      <c r="Q1513" s="147"/>
      <c r="R1513" s="147"/>
      <c r="S1513" s="147"/>
      <c r="T1513" s="147"/>
      <c r="U1513" s="147"/>
      <c r="V1513" s="147"/>
    </row>
    <row r="1514" spans="1:22">
      <c r="A1514" s="157"/>
      <c r="F1514" s="3"/>
      <c r="G1514" s="3"/>
      <c r="N1514" s="157"/>
      <c r="O1514" s="157"/>
      <c r="Q1514" s="147"/>
      <c r="R1514" s="147"/>
      <c r="S1514" s="147"/>
      <c r="T1514" s="147"/>
      <c r="U1514" s="147"/>
      <c r="V1514" s="147"/>
    </row>
    <row r="1515" spans="1:22">
      <c r="A1515" s="157"/>
      <c r="F1515" s="3"/>
      <c r="G1515" s="3"/>
      <c r="N1515" s="157"/>
      <c r="O1515" s="157"/>
      <c r="Q1515" s="147"/>
      <c r="R1515" s="147"/>
      <c r="S1515" s="147"/>
      <c r="T1515" s="147"/>
      <c r="U1515" s="147"/>
      <c r="V1515" s="147"/>
    </row>
    <row r="1516" spans="1:22">
      <c r="A1516" s="157"/>
      <c r="F1516" s="3"/>
      <c r="G1516" s="3"/>
      <c r="N1516" s="157"/>
      <c r="O1516" s="157"/>
      <c r="Q1516" s="147"/>
      <c r="R1516" s="147"/>
      <c r="S1516" s="147"/>
      <c r="T1516" s="147"/>
      <c r="U1516" s="147"/>
      <c r="V1516" s="147"/>
    </row>
    <row r="1517" spans="1:22">
      <c r="A1517" s="157"/>
      <c r="F1517" s="3"/>
      <c r="G1517" s="3"/>
      <c r="N1517" s="157"/>
      <c r="O1517" s="157"/>
      <c r="Q1517" s="147"/>
      <c r="R1517" s="147"/>
      <c r="S1517" s="147"/>
      <c r="T1517" s="147"/>
      <c r="U1517" s="147"/>
      <c r="V1517" s="147"/>
    </row>
    <row r="1518" spans="1:22">
      <c r="A1518" s="157"/>
      <c r="F1518" s="3"/>
      <c r="G1518" s="3"/>
      <c r="N1518" s="157"/>
      <c r="O1518" s="157"/>
      <c r="Q1518" s="147"/>
      <c r="R1518" s="147"/>
      <c r="S1518" s="147"/>
      <c r="T1518" s="147"/>
      <c r="U1518" s="147"/>
      <c r="V1518" s="147"/>
    </row>
    <row r="1519" spans="1:22">
      <c r="A1519" s="157"/>
      <c r="F1519" s="3"/>
      <c r="G1519" s="3"/>
      <c r="N1519" s="157"/>
      <c r="O1519" s="157"/>
      <c r="Q1519" s="147"/>
      <c r="R1519" s="147"/>
      <c r="S1519" s="147"/>
      <c r="T1519" s="147"/>
      <c r="U1519" s="147"/>
      <c r="V1519" s="147"/>
    </row>
    <row r="1520" spans="1:22">
      <c r="A1520" s="157"/>
      <c r="F1520" s="3"/>
      <c r="G1520" s="3"/>
      <c r="N1520" s="157"/>
      <c r="O1520" s="157"/>
      <c r="Q1520" s="147"/>
      <c r="R1520" s="147"/>
      <c r="S1520" s="147"/>
      <c r="T1520" s="147"/>
      <c r="U1520" s="147"/>
      <c r="V1520" s="147"/>
    </row>
    <row r="1521" spans="1:22">
      <c r="A1521" s="157"/>
      <c r="F1521" s="3"/>
      <c r="G1521" s="3"/>
      <c r="N1521" s="157"/>
      <c r="O1521" s="157"/>
      <c r="Q1521" s="147"/>
      <c r="R1521" s="147"/>
      <c r="S1521" s="147"/>
      <c r="T1521" s="147"/>
      <c r="U1521" s="147"/>
      <c r="V1521" s="147"/>
    </row>
    <row r="1522" spans="1:22">
      <c r="A1522" s="157"/>
      <c r="F1522" s="3"/>
      <c r="G1522" s="3"/>
      <c r="N1522" s="157"/>
      <c r="O1522" s="157"/>
      <c r="Q1522" s="147"/>
      <c r="R1522" s="147"/>
      <c r="S1522" s="147"/>
      <c r="T1522" s="147"/>
      <c r="U1522" s="147"/>
      <c r="V1522" s="147"/>
    </row>
    <row r="1523" spans="1:22">
      <c r="A1523" s="157"/>
      <c r="F1523" s="3"/>
      <c r="G1523" s="3"/>
      <c r="N1523" s="157"/>
      <c r="O1523" s="157"/>
      <c r="Q1523" s="147"/>
      <c r="R1523" s="147"/>
      <c r="S1523" s="147"/>
      <c r="T1523" s="147"/>
      <c r="U1523" s="147"/>
      <c r="V1523" s="147"/>
    </row>
    <row r="1524" spans="1:22">
      <c r="A1524" s="157"/>
      <c r="F1524" s="3"/>
      <c r="G1524" s="3"/>
      <c r="N1524" s="157"/>
      <c r="O1524" s="157"/>
      <c r="Q1524" s="147"/>
      <c r="R1524" s="147"/>
      <c r="S1524" s="147"/>
      <c r="T1524" s="147"/>
      <c r="U1524" s="147"/>
      <c r="V1524" s="147"/>
    </row>
    <row r="1525" spans="1:22">
      <c r="A1525" s="157"/>
      <c r="F1525" s="3"/>
      <c r="G1525" s="3"/>
      <c r="N1525" s="157"/>
      <c r="O1525" s="157"/>
      <c r="Q1525" s="147"/>
      <c r="R1525" s="147"/>
      <c r="S1525" s="147"/>
      <c r="T1525" s="147"/>
      <c r="U1525" s="147"/>
      <c r="V1525" s="147"/>
    </row>
    <row r="1526" spans="1:22">
      <c r="A1526" s="157"/>
      <c r="F1526" s="3"/>
      <c r="G1526" s="3"/>
      <c r="N1526" s="157"/>
      <c r="O1526" s="157"/>
      <c r="Q1526" s="147"/>
      <c r="R1526" s="147"/>
      <c r="S1526" s="147"/>
      <c r="T1526" s="147"/>
      <c r="U1526" s="147"/>
      <c r="V1526" s="147"/>
    </row>
    <row r="1527" spans="1:22">
      <c r="A1527" s="157"/>
      <c r="F1527" s="3"/>
      <c r="G1527" s="3"/>
      <c r="N1527" s="157"/>
      <c r="O1527" s="157"/>
      <c r="Q1527" s="147"/>
      <c r="R1527" s="147"/>
      <c r="S1527" s="147"/>
      <c r="T1527" s="147"/>
      <c r="U1527" s="147"/>
      <c r="V1527" s="147"/>
    </row>
    <row r="1528" spans="1:22">
      <c r="A1528" s="157"/>
      <c r="F1528" s="3"/>
      <c r="G1528" s="3"/>
      <c r="N1528" s="157"/>
      <c r="O1528" s="157"/>
      <c r="Q1528" s="147"/>
      <c r="R1528" s="147"/>
      <c r="S1528" s="147"/>
      <c r="T1528" s="147"/>
      <c r="U1528" s="147"/>
      <c r="V1528" s="147"/>
    </row>
    <row r="1529" spans="1:22">
      <c r="A1529" s="157"/>
      <c r="F1529" s="3"/>
      <c r="G1529" s="3"/>
      <c r="N1529" s="157"/>
      <c r="O1529" s="157"/>
      <c r="Q1529" s="147"/>
      <c r="R1529" s="147"/>
      <c r="S1529" s="147"/>
      <c r="T1529" s="147"/>
      <c r="U1529" s="147"/>
      <c r="V1529" s="147"/>
    </row>
    <row r="1530" spans="1:22">
      <c r="A1530" s="157"/>
      <c r="F1530" s="3"/>
      <c r="G1530" s="3"/>
      <c r="N1530" s="157"/>
      <c r="O1530" s="157"/>
      <c r="Q1530" s="147"/>
      <c r="R1530" s="147"/>
      <c r="S1530" s="147"/>
      <c r="T1530" s="147"/>
      <c r="U1530" s="147"/>
      <c r="V1530" s="147"/>
    </row>
    <row r="1531" spans="1:22">
      <c r="A1531" s="157"/>
      <c r="F1531" s="3"/>
      <c r="G1531" s="3"/>
      <c r="N1531" s="157"/>
      <c r="O1531" s="157"/>
      <c r="Q1531" s="147"/>
      <c r="R1531" s="147"/>
      <c r="S1531" s="147"/>
      <c r="T1531" s="147"/>
      <c r="U1531" s="147"/>
      <c r="V1531" s="147"/>
    </row>
    <row r="1532" spans="1:22">
      <c r="A1532" s="157"/>
      <c r="F1532" s="3"/>
      <c r="G1532" s="3"/>
      <c r="N1532" s="157"/>
      <c r="O1532" s="157"/>
      <c r="Q1532" s="147"/>
      <c r="R1532" s="147"/>
      <c r="S1532" s="147"/>
      <c r="T1532" s="147"/>
      <c r="U1532" s="147"/>
      <c r="V1532" s="147"/>
    </row>
    <row r="1533" spans="1:22">
      <c r="A1533" s="157"/>
      <c r="F1533" s="3"/>
      <c r="G1533" s="3"/>
      <c r="N1533" s="157"/>
      <c r="O1533" s="157"/>
      <c r="Q1533" s="147"/>
      <c r="R1533" s="147"/>
      <c r="S1533" s="147"/>
      <c r="T1533" s="147"/>
      <c r="U1533" s="147"/>
      <c r="V1533" s="147"/>
    </row>
    <row r="1534" spans="1:22">
      <c r="A1534" s="157"/>
      <c r="F1534" s="3"/>
      <c r="G1534" s="3"/>
      <c r="N1534" s="157"/>
      <c r="O1534" s="157"/>
      <c r="Q1534" s="147"/>
      <c r="R1534" s="147"/>
      <c r="S1534" s="147"/>
      <c r="T1534" s="147"/>
      <c r="U1534" s="147"/>
      <c r="V1534" s="147"/>
    </row>
    <row r="1535" spans="1:22">
      <c r="A1535" s="157"/>
      <c r="F1535" s="3"/>
      <c r="G1535" s="3"/>
      <c r="N1535" s="157"/>
      <c r="O1535" s="157"/>
      <c r="Q1535" s="147"/>
      <c r="R1535" s="147"/>
      <c r="S1535" s="147"/>
      <c r="T1535" s="147"/>
      <c r="U1535" s="147"/>
      <c r="V1535" s="147"/>
    </row>
    <row r="1536" spans="1:22">
      <c r="A1536" s="157"/>
      <c r="F1536" s="3"/>
      <c r="G1536" s="3"/>
      <c r="N1536" s="157"/>
      <c r="O1536" s="157"/>
      <c r="Q1536" s="147"/>
      <c r="R1536" s="147"/>
      <c r="S1536" s="147"/>
      <c r="T1536" s="147"/>
      <c r="U1536" s="147"/>
      <c r="V1536" s="147"/>
    </row>
    <row r="1537" spans="1:22">
      <c r="A1537" s="157"/>
      <c r="F1537" s="3"/>
      <c r="G1537" s="3"/>
      <c r="N1537" s="157"/>
      <c r="O1537" s="157"/>
      <c r="Q1537" s="147"/>
      <c r="R1537" s="147"/>
      <c r="S1537" s="147"/>
      <c r="T1537" s="147"/>
      <c r="U1537" s="147"/>
      <c r="V1537" s="147"/>
    </row>
    <row r="1538" spans="1:22">
      <c r="A1538" s="157"/>
      <c r="F1538" s="3"/>
      <c r="G1538" s="3"/>
      <c r="N1538" s="157"/>
      <c r="O1538" s="157"/>
      <c r="Q1538" s="147"/>
      <c r="R1538" s="147"/>
      <c r="S1538" s="147"/>
      <c r="T1538" s="147"/>
      <c r="U1538" s="147"/>
      <c r="V1538" s="147"/>
    </row>
    <row r="1539" spans="1:22">
      <c r="A1539" s="157"/>
      <c r="F1539" s="3"/>
      <c r="G1539" s="3"/>
      <c r="N1539" s="157"/>
      <c r="O1539" s="157"/>
      <c r="Q1539" s="147"/>
      <c r="R1539" s="147"/>
      <c r="S1539" s="147"/>
      <c r="T1539" s="147"/>
      <c r="U1539" s="147"/>
      <c r="V1539" s="147"/>
    </row>
    <row r="1540" spans="1:22">
      <c r="A1540" s="157"/>
      <c r="F1540" s="3"/>
      <c r="G1540" s="3"/>
      <c r="N1540" s="157"/>
      <c r="O1540" s="157"/>
      <c r="Q1540" s="147"/>
      <c r="R1540" s="147"/>
      <c r="S1540" s="147"/>
      <c r="T1540" s="147"/>
      <c r="U1540" s="147"/>
      <c r="V1540" s="147"/>
    </row>
    <row r="1541" spans="1:22">
      <c r="A1541" s="157"/>
      <c r="F1541" s="3"/>
      <c r="G1541" s="3"/>
      <c r="N1541" s="157"/>
      <c r="O1541" s="157"/>
      <c r="Q1541" s="147"/>
      <c r="R1541" s="147"/>
      <c r="S1541" s="147"/>
      <c r="T1541" s="147"/>
      <c r="U1541" s="147"/>
      <c r="V1541" s="147"/>
    </row>
    <row r="1542" spans="1:22">
      <c r="A1542" s="157"/>
      <c r="F1542" s="3"/>
      <c r="G1542" s="3"/>
      <c r="N1542" s="157"/>
      <c r="O1542" s="157"/>
      <c r="Q1542" s="147"/>
      <c r="R1542" s="147"/>
      <c r="S1542" s="147"/>
      <c r="T1542" s="147"/>
      <c r="U1542" s="147"/>
      <c r="V1542" s="147"/>
    </row>
    <row r="1543" spans="1:22">
      <c r="A1543" s="157"/>
      <c r="F1543" s="3"/>
      <c r="G1543" s="3"/>
      <c r="N1543" s="157"/>
      <c r="O1543" s="157"/>
      <c r="Q1543" s="147"/>
      <c r="R1543" s="147"/>
      <c r="S1543" s="147"/>
      <c r="T1543" s="147"/>
      <c r="U1543" s="147"/>
      <c r="V1543" s="147"/>
    </row>
    <row r="1544" spans="1:22">
      <c r="A1544" s="157"/>
      <c r="F1544" s="3"/>
      <c r="G1544" s="3"/>
      <c r="N1544" s="157"/>
      <c r="O1544" s="157"/>
      <c r="Q1544" s="147"/>
      <c r="R1544" s="147"/>
      <c r="S1544" s="147"/>
      <c r="T1544" s="147"/>
      <c r="U1544" s="147"/>
      <c r="V1544" s="147"/>
    </row>
    <row r="1545" spans="1:22">
      <c r="A1545" s="157"/>
      <c r="F1545" s="3"/>
      <c r="G1545" s="3"/>
      <c r="N1545" s="157"/>
      <c r="O1545" s="157"/>
      <c r="Q1545" s="147"/>
      <c r="R1545" s="147"/>
      <c r="S1545" s="147"/>
      <c r="T1545" s="147"/>
      <c r="U1545" s="147"/>
      <c r="V1545" s="147"/>
    </row>
    <row r="1546" spans="1:22">
      <c r="A1546" s="157"/>
      <c r="F1546" s="3"/>
      <c r="G1546" s="3"/>
      <c r="N1546" s="157"/>
      <c r="O1546" s="157"/>
      <c r="Q1546" s="147"/>
      <c r="R1546" s="147"/>
      <c r="S1546" s="147"/>
      <c r="T1546" s="147"/>
      <c r="U1546" s="147"/>
      <c r="V1546" s="147"/>
    </row>
    <row r="1547" spans="1:22">
      <c r="A1547" s="157"/>
      <c r="F1547" s="3"/>
      <c r="G1547" s="3"/>
      <c r="N1547" s="157"/>
      <c r="O1547" s="157"/>
      <c r="Q1547" s="147"/>
      <c r="R1547" s="147"/>
      <c r="S1547" s="147"/>
      <c r="T1547" s="147"/>
      <c r="U1547" s="147"/>
      <c r="V1547" s="147"/>
    </row>
    <row r="1548" spans="1:22">
      <c r="A1548" s="157"/>
      <c r="F1548" s="3"/>
      <c r="G1548" s="3"/>
      <c r="N1548" s="157"/>
      <c r="O1548" s="157"/>
      <c r="Q1548" s="147"/>
      <c r="R1548" s="147"/>
      <c r="S1548" s="147"/>
      <c r="T1548" s="147"/>
      <c r="U1548" s="147"/>
      <c r="V1548" s="147"/>
    </row>
    <row r="1549" spans="1:22">
      <c r="A1549" s="157"/>
      <c r="F1549" s="3"/>
      <c r="G1549" s="3"/>
      <c r="N1549" s="157"/>
      <c r="O1549" s="157"/>
      <c r="Q1549" s="147"/>
      <c r="R1549" s="147"/>
      <c r="S1549" s="147"/>
      <c r="T1549" s="147"/>
      <c r="U1549" s="147"/>
      <c r="V1549" s="147"/>
    </row>
    <row r="1550" spans="1:22">
      <c r="A1550" s="157"/>
      <c r="F1550" s="3"/>
      <c r="G1550" s="3"/>
      <c r="N1550" s="157"/>
      <c r="O1550" s="157"/>
      <c r="Q1550" s="147"/>
      <c r="R1550" s="147"/>
      <c r="S1550" s="147"/>
      <c r="T1550" s="147"/>
      <c r="U1550" s="147"/>
      <c r="V1550" s="147"/>
    </row>
    <row r="1551" spans="1:22">
      <c r="A1551" s="157"/>
      <c r="F1551" s="3"/>
      <c r="G1551" s="3"/>
      <c r="N1551" s="157"/>
      <c r="O1551" s="157"/>
      <c r="Q1551" s="147"/>
      <c r="R1551" s="147"/>
      <c r="S1551" s="147"/>
      <c r="T1551" s="147"/>
      <c r="U1551" s="147"/>
      <c r="V1551" s="147"/>
    </row>
    <row r="1552" spans="1:22">
      <c r="A1552" s="157"/>
      <c r="F1552" s="3"/>
      <c r="G1552" s="3"/>
      <c r="N1552" s="157"/>
      <c r="O1552" s="157"/>
      <c r="Q1552" s="147"/>
      <c r="R1552" s="147"/>
      <c r="S1552" s="147"/>
      <c r="T1552" s="147"/>
      <c r="U1552" s="147"/>
      <c r="V1552" s="147"/>
    </row>
    <row r="1553" spans="1:22">
      <c r="A1553" s="157"/>
      <c r="F1553" s="3"/>
      <c r="G1553" s="3"/>
      <c r="N1553" s="157"/>
      <c r="O1553" s="157"/>
      <c r="Q1553" s="147"/>
      <c r="R1553" s="147"/>
      <c r="S1553" s="147"/>
      <c r="T1553" s="147"/>
      <c r="U1553" s="147"/>
      <c r="V1553" s="147"/>
    </row>
    <row r="1554" spans="1:22">
      <c r="A1554" s="157"/>
      <c r="F1554" s="3"/>
      <c r="G1554" s="3"/>
      <c r="N1554" s="157"/>
      <c r="O1554" s="157"/>
      <c r="Q1554" s="147"/>
      <c r="R1554" s="147"/>
      <c r="S1554" s="147"/>
      <c r="T1554" s="147"/>
      <c r="U1554" s="147"/>
      <c r="V1554" s="147"/>
    </row>
    <row r="1555" spans="1:22">
      <c r="A1555" s="157"/>
      <c r="F1555" s="3"/>
      <c r="G1555" s="3"/>
      <c r="N1555" s="157"/>
      <c r="O1555" s="157"/>
      <c r="Q1555" s="147"/>
      <c r="R1555" s="147"/>
      <c r="S1555" s="147"/>
      <c r="T1555" s="147"/>
      <c r="U1555" s="147"/>
      <c r="V1555" s="147"/>
    </row>
    <row r="1556" spans="1:22">
      <c r="A1556" s="157"/>
      <c r="F1556" s="3"/>
      <c r="G1556" s="3"/>
      <c r="N1556" s="157"/>
      <c r="O1556" s="157"/>
      <c r="Q1556" s="147"/>
      <c r="R1556" s="147"/>
      <c r="S1556" s="147"/>
      <c r="T1556" s="147"/>
      <c r="U1556" s="147"/>
      <c r="V1556" s="147"/>
    </row>
    <row r="1557" spans="1:22">
      <c r="A1557" s="157"/>
      <c r="F1557" s="3"/>
      <c r="G1557" s="3"/>
      <c r="N1557" s="157"/>
      <c r="O1557" s="157"/>
      <c r="Q1557" s="147"/>
      <c r="R1557" s="147"/>
      <c r="S1557" s="147"/>
      <c r="T1557" s="147"/>
      <c r="U1557" s="147"/>
      <c r="V1557" s="147"/>
    </row>
    <row r="1558" spans="1:22">
      <c r="A1558" s="157"/>
      <c r="F1558" s="3"/>
      <c r="G1558" s="3"/>
      <c r="N1558" s="157"/>
      <c r="O1558" s="157"/>
      <c r="Q1558" s="147"/>
      <c r="R1558" s="147"/>
      <c r="S1558" s="147"/>
      <c r="T1558" s="147"/>
      <c r="U1558" s="147"/>
      <c r="V1558" s="147"/>
    </row>
    <row r="1559" spans="1:22">
      <c r="A1559" s="157"/>
      <c r="F1559" s="3"/>
      <c r="G1559" s="3"/>
      <c r="N1559" s="157"/>
      <c r="O1559" s="157"/>
      <c r="Q1559" s="147"/>
      <c r="R1559" s="147"/>
      <c r="S1559" s="147"/>
      <c r="T1559" s="147"/>
      <c r="U1559" s="147"/>
      <c r="V1559" s="147"/>
    </row>
    <row r="1560" spans="1:22">
      <c r="A1560" s="157"/>
      <c r="F1560" s="3"/>
      <c r="G1560" s="3"/>
      <c r="N1560" s="157"/>
      <c r="O1560" s="157"/>
      <c r="Q1560" s="147"/>
      <c r="R1560" s="147"/>
      <c r="S1560" s="147"/>
      <c r="T1560" s="147"/>
      <c r="U1560" s="147"/>
      <c r="V1560" s="147"/>
    </row>
    <row r="1561" spans="1:22">
      <c r="A1561" s="157"/>
      <c r="F1561" s="3"/>
      <c r="G1561" s="3"/>
      <c r="N1561" s="157"/>
      <c r="O1561" s="157"/>
      <c r="Q1561" s="147"/>
      <c r="R1561" s="147"/>
      <c r="S1561" s="147"/>
      <c r="T1561" s="147"/>
      <c r="U1561" s="147"/>
      <c r="V1561" s="147"/>
    </row>
    <row r="1562" spans="1:22">
      <c r="A1562" s="157"/>
      <c r="F1562" s="3"/>
      <c r="G1562" s="3"/>
      <c r="N1562" s="157"/>
      <c r="O1562" s="157"/>
      <c r="Q1562" s="147"/>
      <c r="R1562" s="147"/>
      <c r="S1562" s="147"/>
      <c r="T1562" s="147"/>
      <c r="U1562" s="147"/>
      <c r="V1562" s="147"/>
    </row>
    <row r="1563" spans="1:22">
      <c r="A1563" s="157"/>
      <c r="F1563" s="3"/>
      <c r="G1563" s="3"/>
      <c r="N1563" s="157"/>
      <c r="O1563" s="157"/>
      <c r="Q1563" s="147"/>
      <c r="R1563" s="147"/>
      <c r="S1563" s="147"/>
      <c r="T1563" s="147"/>
      <c r="U1563" s="147"/>
      <c r="V1563" s="147"/>
    </row>
    <row r="1564" spans="1:22">
      <c r="A1564" s="157"/>
      <c r="F1564" s="3"/>
      <c r="G1564" s="3"/>
      <c r="N1564" s="157"/>
      <c r="O1564" s="157"/>
      <c r="Q1564" s="147"/>
      <c r="R1564" s="147"/>
      <c r="S1564" s="147"/>
      <c r="T1564" s="147"/>
      <c r="U1564" s="147"/>
      <c r="V1564" s="147"/>
    </row>
    <row r="1565" spans="1:22">
      <c r="A1565" s="157"/>
      <c r="F1565" s="3"/>
      <c r="G1565" s="3"/>
      <c r="N1565" s="157"/>
      <c r="O1565" s="157"/>
      <c r="Q1565" s="147"/>
      <c r="R1565" s="147"/>
      <c r="S1565" s="147"/>
      <c r="T1565" s="147"/>
      <c r="U1565" s="147"/>
      <c r="V1565" s="147"/>
    </row>
    <row r="1566" spans="1:22">
      <c r="A1566" s="157"/>
      <c r="F1566" s="3"/>
      <c r="G1566" s="3"/>
      <c r="N1566" s="157"/>
      <c r="O1566" s="157"/>
      <c r="Q1566" s="147"/>
      <c r="R1566" s="147"/>
      <c r="S1566" s="147"/>
      <c r="T1566" s="147"/>
      <c r="U1566" s="147"/>
      <c r="V1566" s="147"/>
    </row>
    <row r="1567" spans="1:22">
      <c r="A1567" s="157"/>
      <c r="F1567" s="3"/>
      <c r="G1567" s="3"/>
      <c r="N1567" s="157"/>
      <c r="O1567" s="157"/>
      <c r="Q1567" s="147"/>
      <c r="R1567" s="147"/>
      <c r="S1567" s="147"/>
      <c r="T1567" s="147"/>
      <c r="U1567" s="147"/>
      <c r="V1567" s="147"/>
    </row>
    <row r="1568" spans="1:22">
      <c r="A1568" s="157"/>
      <c r="F1568" s="3"/>
      <c r="G1568" s="3"/>
      <c r="N1568" s="157"/>
      <c r="O1568" s="157"/>
      <c r="Q1568" s="147"/>
      <c r="R1568" s="147"/>
      <c r="S1568" s="147"/>
      <c r="T1568" s="147"/>
      <c r="U1568" s="147"/>
      <c r="V1568" s="147"/>
    </row>
    <row r="1569" spans="1:22">
      <c r="A1569" s="157"/>
      <c r="F1569" s="3"/>
      <c r="G1569" s="3"/>
      <c r="N1569" s="157"/>
      <c r="O1569" s="157"/>
      <c r="Q1569" s="147"/>
      <c r="R1569" s="147"/>
      <c r="S1569" s="147"/>
      <c r="T1569" s="147"/>
      <c r="U1569" s="147"/>
      <c r="V1569" s="147"/>
    </row>
    <row r="1570" spans="1:22">
      <c r="A1570" s="157"/>
      <c r="F1570" s="3"/>
      <c r="G1570" s="3"/>
      <c r="N1570" s="157"/>
      <c r="O1570" s="157"/>
      <c r="Q1570" s="147"/>
      <c r="R1570" s="147"/>
      <c r="S1570" s="147"/>
      <c r="T1570" s="147"/>
      <c r="U1570" s="147"/>
      <c r="V1570" s="147"/>
    </row>
    <row r="1571" spans="1:22">
      <c r="A1571" s="157"/>
      <c r="F1571" s="3"/>
      <c r="G1571" s="3"/>
      <c r="N1571" s="157"/>
      <c r="O1571" s="157"/>
      <c r="Q1571" s="147"/>
      <c r="R1571" s="147"/>
      <c r="S1571" s="147"/>
      <c r="T1571" s="147"/>
      <c r="U1571" s="147"/>
      <c r="V1571" s="147"/>
    </row>
    <row r="1572" spans="1:22">
      <c r="A1572" s="157"/>
      <c r="F1572" s="3"/>
      <c r="G1572" s="3"/>
      <c r="N1572" s="157"/>
      <c r="O1572" s="157"/>
      <c r="Q1572" s="147"/>
      <c r="R1572" s="147"/>
      <c r="S1572" s="147"/>
      <c r="T1572" s="147"/>
      <c r="U1572" s="147"/>
      <c r="V1572" s="147"/>
    </row>
    <row r="1573" spans="1:22">
      <c r="A1573" s="157"/>
      <c r="F1573" s="3"/>
      <c r="G1573" s="3"/>
      <c r="N1573" s="157"/>
      <c r="O1573" s="157"/>
      <c r="Q1573" s="147"/>
      <c r="R1573" s="147"/>
      <c r="S1573" s="147"/>
      <c r="T1573" s="147"/>
      <c r="U1573" s="147"/>
      <c r="V1573" s="147"/>
    </row>
    <row r="1574" spans="1:22">
      <c r="A1574" s="157"/>
      <c r="F1574" s="3"/>
      <c r="G1574" s="3"/>
      <c r="N1574" s="157"/>
      <c r="O1574" s="157"/>
      <c r="Q1574" s="147"/>
      <c r="R1574" s="147"/>
      <c r="S1574" s="147"/>
      <c r="T1574" s="147"/>
      <c r="U1574" s="147"/>
      <c r="V1574" s="147"/>
    </row>
    <row r="1575" spans="1:22">
      <c r="A1575" s="157"/>
      <c r="F1575" s="3"/>
      <c r="G1575" s="3"/>
      <c r="N1575" s="157"/>
      <c r="O1575" s="157"/>
      <c r="Q1575" s="147"/>
      <c r="R1575" s="147"/>
      <c r="S1575" s="147"/>
      <c r="T1575" s="147"/>
      <c r="U1575" s="147"/>
      <c r="V1575" s="147"/>
    </row>
    <row r="1576" spans="1:22">
      <c r="A1576" s="157"/>
      <c r="F1576" s="3"/>
      <c r="G1576" s="3"/>
      <c r="N1576" s="157"/>
      <c r="O1576" s="157"/>
      <c r="Q1576" s="147"/>
      <c r="R1576" s="147"/>
      <c r="S1576" s="147"/>
      <c r="T1576" s="147"/>
      <c r="U1576" s="147"/>
      <c r="V1576" s="147"/>
    </row>
    <row r="1577" spans="1:22">
      <c r="A1577" s="157"/>
      <c r="F1577" s="3"/>
      <c r="G1577" s="3"/>
      <c r="N1577" s="157"/>
      <c r="O1577" s="157"/>
      <c r="Q1577" s="147"/>
      <c r="R1577" s="147"/>
      <c r="S1577" s="147"/>
      <c r="T1577" s="147"/>
      <c r="U1577" s="147"/>
      <c r="V1577" s="147"/>
    </row>
    <row r="1578" spans="1:22">
      <c r="A1578" s="157"/>
      <c r="F1578" s="3"/>
      <c r="G1578" s="3"/>
      <c r="N1578" s="157"/>
      <c r="O1578" s="157"/>
      <c r="Q1578" s="147"/>
      <c r="R1578" s="147"/>
      <c r="S1578" s="147"/>
      <c r="T1578" s="147"/>
      <c r="U1578" s="147"/>
      <c r="V1578" s="147"/>
    </row>
    <row r="1579" spans="1:22">
      <c r="A1579" s="157"/>
      <c r="F1579" s="3"/>
      <c r="G1579" s="3"/>
      <c r="N1579" s="157"/>
      <c r="O1579" s="157"/>
      <c r="Q1579" s="147"/>
      <c r="R1579" s="147"/>
      <c r="S1579" s="147"/>
      <c r="T1579" s="147"/>
      <c r="U1579" s="147"/>
      <c r="V1579" s="147"/>
    </row>
    <row r="1580" spans="1:22">
      <c r="A1580" s="157"/>
      <c r="F1580" s="3"/>
      <c r="G1580" s="3"/>
      <c r="N1580" s="157"/>
      <c r="O1580" s="157"/>
      <c r="Q1580" s="147"/>
      <c r="R1580" s="147"/>
      <c r="S1580" s="147"/>
      <c r="T1580" s="147"/>
      <c r="U1580" s="147"/>
      <c r="V1580" s="147"/>
    </row>
    <row r="1581" spans="1:22">
      <c r="A1581" s="157"/>
      <c r="F1581" s="3"/>
      <c r="G1581" s="3"/>
      <c r="N1581" s="157"/>
      <c r="O1581" s="157"/>
      <c r="Q1581" s="147"/>
      <c r="R1581" s="147"/>
      <c r="S1581" s="147"/>
      <c r="T1581" s="147"/>
      <c r="U1581" s="147"/>
      <c r="V1581" s="147"/>
    </row>
    <row r="1582" spans="1:22">
      <c r="A1582" s="157"/>
      <c r="F1582" s="3"/>
      <c r="G1582" s="3"/>
      <c r="N1582" s="157"/>
      <c r="O1582" s="157"/>
      <c r="Q1582" s="147"/>
      <c r="R1582" s="147"/>
      <c r="S1582" s="147"/>
      <c r="T1582" s="147"/>
      <c r="U1582" s="147"/>
      <c r="V1582" s="147"/>
    </row>
    <row r="1583" spans="1:22">
      <c r="A1583" s="157"/>
      <c r="F1583" s="3"/>
      <c r="G1583" s="3"/>
      <c r="N1583" s="157"/>
      <c r="O1583" s="157"/>
      <c r="Q1583" s="147"/>
      <c r="R1583" s="147"/>
      <c r="S1583" s="147"/>
      <c r="T1583" s="147"/>
      <c r="U1583" s="147"/>
      <c r="V1583" s="147"/>
    </row>
    <row r="1584" spans="1:22">
      <c r="A1584" s="157"/>
      <c r="F1584" s="3"/>
      <c r="G1584" s="3"/>
      <c r="N1584" s="157"/>
      <c r="O1584" s="157"/>
      <c r="Q1584" s="147"/>
      <c r="R1584" s="147"/>
      <c r="S1584" s="147"/>
      <c r="T1584" s="147"/>
      <c r="U1584" s="147"/>
      <c r="V1584" s="147"/>
    </row>
    <row r="1585" spans="1:22">
      <c r="A1585" s="157"/>
      <c r="F1585" s="3"/>
      <c r="G1585" s="3"/>
      <c r="N1585" s="157"/>
      <c r="O1585" s="157"/>
      <c r="Q1585" s="147"/>
      <c r="R1585" s="147"/>
      <c r="S1585" s="147"/>
      <c r="T1585" s="147"/>
      <c r="U1585" s="147"/>
      <c r="V1585" s="147"/>
    </row>
    <row r="1586" spans="1:22">
      <c r="A1586" s="157"/>
      <c r="F1586" s="3"/>
      <c r="G1586" s="3"/>
      <c r="N1586" s="157"/>
      <c r="O1586" s="157"/>
      <c r="Q1586" s="147"/>
      <c r="R1586" s="147"/>
      <c r="S1586" s="147"/>
      <c r="T1586" s="147"/>
      <c r="U1586" s="147"/>
      <c r="V1586" s="147"/>
    </row>
    <row r="1587" spans="1:22">
      <c r="A1587" s="157"/>
      <c r="F1587" s="3"/>
      <c r="G1587" s="3"/>
      <c r="N1587" s="157"/>
      <c r="O1587" s="157"/>
      <c r="Q1587" s="147"/>
      <c r="R1587" s="147"/>
      <c r="S1587" s="147"/>
      <c r="T1587" s="147"/>
      <c r="U1587" s="147"/>
      <c r="V1587" s="147"/>
    </row>
    <row r="1588" spans="1:22">
      <c r="A1588" s="157"/>
      <c r="F1588" s="3"/>
      <c r="G1588" s="3"/>
      <c r="N1588" s="157"/>
      <c r="O1588" s="157"/>
      <c r="Q1588" s="147"/>
      <c r="R1588" s="147"/>
      <c r="S1588" s="147"/>
      <c r="T1588" s="147"/>
      <c r="U1588" s="147"/>
      <c r="V1588" s="147"/>
    </row>
    <row r="1589" spans="1:22">
      <c r="A1589" s="157"/>
      <c r="F1589" s="3"/>
      <c r="G1589" s="3"/>
      <c r="N1589" s="157"/>
      <c r="O1589" s="157"/>
      <c r="Q1589" s="147"/>
      <c r="R1589" s="147"/>
      <c r="S1589" s="147"/>
      <c r="T1589" s="147"/>
      <c r="U1589" s="147"/>
      <c r="V1589" s="147"/>
    </row>
    <row r="1590" spans="1:22">
      <c r="A1590" s="157"/>
      <c r="F1590" s="3"/>
      <c r="G1590" s="3"/>
      <c r="N1590" s="157"/>
      <c r="O1590" s="157"/>
      <c r="Q1590" s="147"/>
      <c r="R1590" s="147"/>
      <c r="S1590" s="147"/>
      <c r="T1590" s="147"/>
      <c r="U1590" s="147"/>
      <c r="V1590" s="147"/>
    </row>
    <row r="1591" spans="1:22">
      <c r="A1591" s="157"/>
      <c r="F1591" s="3"/>
      <c r="G1591" s="3"/>
      <c r="N1591" s="157"/>
      <c r="O1591" s="157"/>
      <c r="Q1591" s="147"/>
      <c r="R1591" s="147"/>
      <c r="S1591" s="147"/>
      <c r="T1591" s="147"/>
      <c r="U1591" s="147"/>
      <c r="V1591" s="147"/>
    </row>
    <row r="1592" spans="1:22">
      <c r="A1592" s="157"/>
      <c r="F1592" s="3"/>
      <c r="G1592" s="3"/>
      <c r="N1592" s="157"/>
      <c r="O1592" s="157"/>
      <c r="Q1592" s="147"/>
      <c r="R1592" s="147"/>
      <c r="S1592" s="147"/>
      <c r="T1592" s="147"/>
      <c r="U1592" s="147"/>
      <c r="V1592" s="147"/>
    </row>
    <row r="1593" spans="1:22">
      <c r="A1593" s="157"/>
      <c r="F1593" s="3"/>
      <c r="G1593" s="3"/>
      <c r="N1593" s="157"/>
      <c r="O1593" s="157"/>
      <c r="Q1593" s="147"/>
      <c r="R1593" s="147"/>
      <c r="S1593" s="147"/>
      <c r="T1593" s="147"/>
      <c r="U1593" s="147"/>
      <c r="V1593" s="147"/>
    </row>
    <row r="1594" spans="1:22">
      <c r="A1594" s="157"/>
      <c r="F1594" s="3"/>
      <c r="G1594" s="3"/>
      <c r="N1594" s="157"/>
      <c r="O1594" s="157"/>
      <c r="Q1594" s="147"/>
      <c r="R1594" s="147"/>
      <c r="S1594" s="147"/>
      <c r="T1594" s="147"/>
      <c r="U1594" s="147"/>
      <c r="V1594" s="147"/>
    </row>
    <row r="1595" spans="1:22">
      <c r="A1595" s="157"/>
      <c r="F1595" s="3"/>
      <c r="G1595" s="3"/>
      <c r="N1595" s="157"/>
      <c r="O1595" s="157"/>
      <c r="Q1595" s="147"/>
      <c r="R1595" s="147"/>
      <c r="S1595" s="147"/>
      <c r="T1595" s="147"/>
      <c r="U1595" s="147"/>
      <c r="V1595" s="147"/>
    </row>
    <row r="1596" spans="1:22">
      <c r="A1596" s="157"/>
      <c r="F1596" s="3"/>
      <c r="G1596" s="3"/>
      <c r="N1596" s="157"/>
      <c r="O1596" s="157"/>
      <c r="Q1596" s="147"/>
      <c r="R1596" s="147"/>
      <c r="S1596" s="147"/>
      <c r="T1596" s="147"/>
      <c r="U1596" s="147"/>
      <c r="V1596" s="147"/>
    </row>
    <row r="1597" spans="1:22">
      <c r="A1597" s="157"/>
      <c r="F1597" s="3"/>
      <c r="G1597" s="3"/>
      <c r="N1597" s="157"/>
      <c r="O1597" s="157"/>
      <c r="Q1597" s="147"/>
      <c r="R1597" s="147"/>
      <c r="S1597" s="147"/>
      <c r="T1597" s="147"/>
      <c r="U1597" s="147"/>
      <c r="V1597" s="147"/>
    </row>
    <row r="1598" spans="1:22">
      <c r="A1598" s="157"/>
      <c r="F1598" s="3"/>
      <c r="G1598" s="3"/>
      <c r="N1598" s="157"/>
      <c r="O1598" s="157"/>
      <c r="Q1598" s="147"/>
      <c r="R1598" s="147"/>
      <c r="S1598" s="147"/>
      <c r="T1598" s="147"/>
      <c r="U1598" s="147"/>
      <c r="V1598" s="147"/>
    </row>
    <row r="1599" spans="1:22">
      <c r="A1599" s="157"/>
      <c r="F1599" s="3"/>
      <c r="G1599" s="3"/>
      <c r="N1599" s="157"/>
      <c r="O1599" s="157"/>
      <c r="Q1599" s="147"/>
      <c r="R1599" s="147"/>
      <c r="S1599" s="147"/>
      <c r="T1599" s="147"/>
      <c r="U1599" s="147"/>
      <c r="V1599" s="147"/>
    </row>
  </sheetData>
  <autoFilter ref="A1:O543" xr:uid="{00000000-0009-0000-0000-000009000000}"/>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LEVEL_HELPER!$A$2:$A$15</xm:f>
          </x14:formula1>
          <xm:sqref>F2:G1599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Q1581"/>
  <sheetViews>
    <sheetView workbookViewId="0"/>
  </sheetViews>
  <sheetFormatPr defaultColWidth="14.42578125" defaultRowHeight="15" customHeight="1"/>
  <cols>
    <col min="2" max="2" width="27.5703125" customWidth="1"/>
    <col min="5" max="5" width="18.85546875" customWidth="1"/>
    <col min="6" max="6" width="23.28515625" customWidth="1"/>
    <col min="7" max="7" width="25.140625" customWidth="1"/>
    <col min="8" max="13" width="22.5703125" customWidth="1"/>
    <col min="14" max="15" width="10.7109375" customWidth="1"/>
    <col min="18" max="18" width="15.140625" customWidth="1"/>
    <col min="19" max="21" width="12.42578125" customWidth="1"/>
    <col min="22" max="22" width="3.42578125" customWidth="1"/>
    <col min="23" max="23" width="12.5703125" customWidth="1"/>
    <col min="24" max="43" width="8.7109375" customWidth="1"/>
  </cols>
  <sheetData>
    <row r="1" spans="1:43" ht="45">
      <c r="A1" s="139" t="str">
        <f ca="1">IFERROR(__xludf.DUMMYFUNCTION("importrange(""https://docs.google.com/spreadsheets/d/1U9dtfrPAvBHmGv6-XSDU5YSEKouwLDJQ5nbhWdww6DY/edit?gid=338215880#gid=338215880"",""sheet2!A:O"")"),"Emp Code")</f>
        <v>Emp Code</v>
      </c>
      <c r="B1" s="138" t="str">
        <f ca="1">IFERROR(__xludf.DUMMYFUNCTION("""COMPUTED_VALUE"""),"Full Name")</f>
        <v>Full Name</v>
      </c>
      <c r="C1" s="138" t="str">
        <f ca="1">IFERROR(__xludf.DUMMYFUNCTION("""COMPUTED_VALUE"""),"Class Code")</f>
        <v>Class Code</v>
      </c>
      <c r="D1" s="138" t="str">
        <f ca="1">IFERROR(__xludf.DUMMYFUNCTION("""COMPUTED_VALUE"""),"PIC")</f>
        <v>PIC</v>
      </c>
      <c r="E1" s="138" t="str">
        <f ca="1">IFERROR(__xludf.DUMMYFUNCTION("""COMPUTED_VALUE"""),"Course Name")</f>
        <v>Course Name</v>
      </c>
      <c r="F1" s="138" t="str">
        <f ca="1">IFERROR(__xludf.DUMMYFUNCTION("""COMPUTED_VALUE"""),"Entrance Level")</f>
        <v>Entrance Level</v>
      </c>
      <c r="G1" s="138" t="str">
        <f ca="1">IFERROR(__xludf.DUMMYFUNCTION("""COMPUTED_VALUE"""),"Final Level")</f>
        <v>Final Level</v>
      </c>
      <c r="H1" s="138" t="str">
        <f ca="1">IFERROR(__xludf.DUMMYFUNCTION("""COMPUTED_VALUE"""),"start date")</f>
        <v>start date</v>
      </c>
      <c r="I1" s="138" t="str">
        <f ca="1">IFERROR(__xludf.DUMMYFUNCTION("""COMPUTED_VALUE"""),"First Class Start Date")</f>
        <v>First Class Start Date</v>
      </c>
      <c r="J1" s="138" t="str">
        <f ca="1">IFERROR(__xludf.DUMMYFUNCTION("""COMPUTED_VALUE"""),"Entrance Numeric ")</f>
        <v xml:space="preserve">Entrance Numeric </v>
      </c>
      <c r="K1" s="138" t="str">
        <f ca="1">IFERROR(__xludf.DUMMYFUNCTION("""COMPUTED_VALUE"""),"Final Numeric")</f>
        <v>Final Numeric</v>
      </c>
      <c r="L1" s="138" t="str">
        <f ca="1">IFERROR(__xludf.DUMMYFUNCTION("""COMPUTED_VALUE"""),"Role")</f>
        <v>Role</v>
      </c>
      <c r="M1" s="138" t="str">
        <f ca="1">IFERROR(__xludf.DUMMYFUNCTION("""COMPUTED_VALUE"""),"BU")</f>
        <v>BU</v>
      </c>
      <c r="N1" s="138" t="str">
        <f ca="1">IFERROR(__xludf.DUMMYFUNCTION("""COMPUTED_VALUE"""),"First Entrance Numeric")</f>
        <v>First Entrance Numeric</v>
      </c>
      <c r="O1" s="138" t="str">
        <f ca="1">IFERROR(__xludf.DUMMYFUNCTION("""COMPUTED_VALUE"""),"Best Final Numeric")</f>
        <v>Best Final Numeric</v>
      </c>
      <c r="P1" s="138"/>
      <c r="R1" s="38" t="s">
        <v>906</v>
      </c>
      <c r="S1" s="38" t="s">
        <v>971</v>
      </c>
      <c r="T1" s="38" t="s">
        <v>908</v>
      </c>
      <c r="U1" s="38" t="s">
        <v>972</v>
      </c>
      <c r="X1" s="147"/>
      <c r="Y1" s="147"/>
      <c r="Z1" s="147"/>
      <c r="AA1" s="147"/>
      <c r="AB1" s="147"/>
      <c r="AC1" s="147"/>
      <c r="AD1" s="147"/>
      <c r="AE1" s="147"/>
      <c r="AF1" s="147"/>
      <c r="AG1" s="147"/>
      <c r="AH1" s="147"/>
      <c r="AI1" s="147"/>
      <c r="AJ1" s="147"/>
      <c r="AK1" s="147"/>
      <c r="AL1" s="147"/>
      <c r="AM1" s="147"/>
      <c r="AN1" s="147"/>
      <c r="AO1" s="147"/>
      <c r="AP1" s="147"/>
      <c r="AQ1" s="147"/>
    </row>
    <row r="2" spans="1:43">
      <c r="A2" s="155" t="str">
        <f ca="1">IFERROR(__xludf.DUMMYFUNCTION("""COMPUTED_VALUE"""),"227155")</f>
        <v>227155</v>
      </c>
      <c r="B2" s="154" t="str">
        <f ca="1">IFERROR(__xludf.DUMMYFUNCTION("""COMPUTED_VALUE"""),"VŨ TÚ ANH")</f>
        <v>VŨ TÚ ANH</v>
      </c>
      <c r="C2" s="155" t="str">
        <f ca="1">IFERROR(__xludf.DUMMYFUNCTION("""COMPUTED_VALUE"""),"EL001")</f>
        <v>EL001</v>
      </c>
      <c r="D2" s="155" t="str">
        <f ca="1">IFERROR(__xludf.DUMMYFUNCTION("""COMPUTED_VALUE"""),"Anh Vu")</f>
        <v>Anh Vu</v>
      </c>
      <c r="E2" s="154" t="str">
        <f ca="1">IFERROR(__xludf.DUMMYFUNCTION("""COMPUTED_VALUE"""),"Communication 1")</f>
        <v>Communication 1</v>
      </c>
      <c r="F2" s="3" t="str">
        <f ca="1">IFERROR(__xludf.DUMMYFUNCTION("""COMPUTED_VALUE"""),"Pre-Intermediate")</f>
        <v>Pre-Intermediate</v>
      </c>
      <c r="G2" s="3" t="str">
        <f ca="1">IFERROR(__xludf.DUMMYFUNCTION("""COMPUTED_VALUE"""),"Pre-Intermediate 1")</f>
        <v>Pre-Intermediate 1</v>
      </c>
      <c r="H2" s="156">
        <f ca="1">IFERROR(__xludf.DUMMYFUNCTION("""COMPUTED_VALUE"""),45700.4166666666)</f>
        <v>45700.416666666599</v>
      </c>
      <c r="I2" s="156">
        <f ca="1">IFERROR(__xludf.DUMMYFUNCTION("""COMPUTED_VALUE"""),45700.4166666666)</f>
        <v>45700.416666666599</v>
      </c>
      <c r="J2" s="3">
        <f ca="1">IFERROR(__xludf.DUMMYFUNCTION("""COMPUTED_VALUE"""),2.5)</f>
        <v>2.5</v>
      </c>
      <c r="K2" s="3">
        <f ca="1">IFERROR(__xludf.DUMMYFUNCTION("""COMPUTED_VALUE"""),3)</f>
        <v>3</v>
      </c>
      <c r="L2" s="3" t="str">
        <f ca="1">IFERROR(__xludf.DUMMYFUNCTION("""COMPUTED_VALUE"""),"QC")</f>
        <v>QC</v>
      </c>
      <c r="M2" s="3" t="str">
        <f ca="1">IFERROR(__xludf.DUMMYFUNCTION("""COMPUTED_VALUE"""),"POC")</f>
        <v>POC</v>
      </c>
      <c r="N2" s="157">
        <f ca="1">IFERROR(__xludf.DUMMYFUNCTION("""COMPUTED_VALUE"""),2.5)</f>
        <v>2.5</v>
      </c>
      <c r="O2" s="157">
        <f ca="1">IFERROR(__xludf.DUMMYFUNCTION("""COMPUTED_VALUE"""),3.5)</f>
        <v>3.5</v>
      </c>
      <c r="P2" s="157"/>
      <c r="Q2" s="3">
        <f t="shared" ref="Q2:Q256" ca="1" si="0">COUNTIF($R$2:R2,R2)</f>
        <v>1</v>
      </c>
      <c r="R2" s="148" t="e">
        <f t="array" aca="1" ref="R2:R306" ca="1">_xludf.unique(A2:A1581)</f>
        <v>#NAME?</v>
      </c>
      <c r="S2" s="147" t="e">
        <f t="shared" ref="S2:S256" ca="1" si="1">VLOOKUP(R2,$A$2:$P1581,12,0)</f>
        <v>#NAME?</v>
      </c>
      <c r="T2" s="147" t="e">
        <f t="shared" ref="T2:T256" ca="1" si="2">_xludf.IFS(S2="QC","QC",OR(S2="BA",S2="BC"),"BA, BC",OR(S2="DEV",S2="TA"),"DEV, TA",OR(S2="HR",S2="Admin",S2="Management"),"HR, GA, Mgt",S2="GSD","GSD",OR(S2="PPO",S2="SM",S2="IM"),"PPO, SM, IM ",OR(S2="UI/UX",S2="Designer"),"UI/UX, Des")</f>
        <v>#NAME?</v>
      </c>
      <c r="U2" s="147" t="e">
        <f t="shared" ref="U2:U256" ca="1" si="3">VLOOKUP(R2,$A$2:$P1581,13,0)</f>
        <v>#NAME?</v>
      </c>
      <c r="W2" s="235" t="s">
        <v>906</v>
      </c>
      <c r="X2" s="234" t="s">
        <v>1000</v>
      </c>
      <c r="AE2" s="147"/>
      <c r="AF2" s="147"/>
      <c r="AG2" s="147"/>
      <c r="AH2" s="147"/>
      <c r="AI2" s="147"/>
      <c r="AJ2" s="147"/>
      <c r="AK2" s="147"/>
      <c r="AL2" s="147"/>
      <c r="AM2" s="147"/>
      <c r="AN2" s="147"/>
      <c r="AO2" s="147"/>
      <c r="AP2" s="147"/>
      <c r="AQ2" s="147"/>
    </row>
    <row r="3" spans="1:43">
      <c r="A3" s="160" t="str">
        <f ca="1">IFERROR(__xludf.DUMMYFUNCTION("""COMPUTED_VALUE"""),"173230")</f>
        <v>173230</v>
      </c>
      <c r="B3" s="3" t="str">
        <f ca="1">IFERROR(__xludf.DUMMYFUNCTION("""COMPUTED_VALUE"""),"LÊ THỊ THU HIỀN")</f>
        <v>LÊ THỊ THU HIỀN</v>
      </c>
      <c r="C3" s="160" t="str">
        <f ca="1">IFERROR(__xludf.DUMMYFUNCTION("""COMPUTED_VALUE"""),"EL001")</f>
        <v>EL001</v>
      </c>
      <c r="D3" s="160" t="str">
        <f ca="1">IFERROR(__xludf.DUMMYFUNCTION("""COMPUTED_VALUE"""),"Anh Vu")</f>
        <v>Anh Vu</v>
      </c>
      <c r="E3" s="3" t="str">
        <f ca="1">IFERROR(__xludf.DUMMYFUNCTION("""COMPUTED_VALUE"""),"Communication 1")</f>
        <v>Communication 1</v>
      </c>
      <c r="F3" s="3" t="str">
        <f ca="1">IFERROR(__xludf.DUMMYFUNCTION("""COMPUTED_VALUE"""),"Beginner")</f>
        <v>Beginner</v>
      </c>
      <c r="G3" s="3" t="str">
        <f ca="1">IFERROR(__xludf.DUMMYFUNCTION("""COMPUTED_VALUE"""),"Pre-Intermediate 1")</f>
        <v>Pre-Intermediate 1</v>
      </c>
      <c r="H3" s="156">
        <f ca="1">IFERROR(__xludf.DUMMYFUNCTION("""COMPUTED_VALUE"""),45700.4166666666)</f>
        <v>45700.416666666599</v>
      </c>
      <c r="I3" s="156">
        <f ca="1">IFERROR(__xludf.DUMMYFUNCTION("""COMPUTED_VALUE"""),45700.4166666666)</f>
        <v>45700.416666666599</v>
      </c>
      <c r="J3" s="3">
        <f ca="1">IFERROR(__xludf.DUMMYFUNCTION("""COMPUTED_VALUE"""),1)</f>
        <v>1</v>
      </c>
      <c r="K3" s="3">
        <f ca="1">IFERROR(__xludf.DUMMYFUNCTION("""COMPUTED_VALUE"""),3)</f>
        <v>3</v>
      </c>
      <c r="L3" s="3" t="str">
        <f ca="1">IFERROR(__xludf.DUMMYFUNCTION("""COMPUTED_VALUE"""),"QC")</f>
        <v>QC</v>
      </c>
      <c r="M3" s="3" t="str">
        <f ca="1">IFERROR(__xludf.DUMMYFUNCTION("""COMPUTED_VALUE"""),"POC")</f>
        <v>POC</v>
      </c>
      <c r="N3" s="157">
        <f ca="1">IFERROR(__xludf.DUMMYFUNCTION("""COMPUTED_VALUE"""),1)</f>
        <v>1</v>
      </c>
      <c r="O3" s="157">
        <f ca="1">IFERROR(__xludf.DUMMYFUNCTION("""COMPUTED_VALUE"""),3.5)</f>
        <v>3.5</v>
      </c>
      <c r="P3" s="157"/>
      <c r="Q3" s="3">
        <f t="shared" ca="1" si="0"/>
        <v>2</v>
      </c>
      <c r="R3" s="148" t="e">
        <f ca="1"/>
        <v>#NAME?</v>
      </c>
      <c r="S3" s="147" t="e">
        <f t="shared" ca="1" si="1"/>
        <v>#NAME?</v>
      </c>
      <c r="T3" s="147" t="e">
        <f t="shared" ca="1" si="2"/>
        <v>#NAME?</v>
      </c>
      <c r="U3" s="147" t="e">
        <f t="shared" ca="1" si="3"/>
        <v>#NAME?</v>
      </c>
      <c r="AE3" s="147"/>
      <c r="AF3" s="147"/>
      <c r="AG3" s="147"/>
      <c r="AH3" s="147"/>
      <c r="AI3" s="147"/>
      <c r="AJ3" s="147"/>
      <c r="AK3" s="147"/>
      <c r="AL3" s="147"/>
      <c r="AM3" s="147"/>
      <c r="AN3" s="147"/>
      <c r="AO3" s="147"/>
      <c r="AP3" s="147"/>
      <c r="AQ3" s="147"/>
    </row>
    <row r="4" spans="1:43">
      <c r="A4" s="160" t="str">
        <f ca="1">IFERROR(__xludf.DUMMYFUNCTION("""COMPUTED_VALUE"""),"143079")</f>
        <v>143079</v>
      </c>
      <c r="B4" s="3" t="str">
        <f ca="1">IFERROR(__xludf.DUMMYFUNCTION("""COMPUTED_VALUE"""),"LÝ THỊ DIỄM MY")</f>
        <v>LÝ THỊ DIỄM MY</v>
      </c>
      <c r="C4" s="160" t="str">
        <f ca="1">IFERROR(__xludf.DUMMYFUNCTION("""COMPUTED_VALUE"""),"EL001")</f>
        <v>EL001</v>
      </c>
      <c r="D4" s="160" t="str">
        <f ca="1">IFERROR(__xludf.DUMMYFUNCTION("""COMPUTED_VALUE"""),"Anh Vu")</f>
        <v>Anh Vu</v>
      </c>
      <c r="E4" s="3" t="str">
        <f ca="1">IFERROR(__xludf.DUMMYFUNCTION("""COMPUTED_VALUE"""),"Communication 1")</f>
        <v>Communication 1</v>
      </c>
      <c r="F4" s="3" t="str">
        <f ca="1">IFERROR(__xludf.DUMMYFUNCTION("""COMPUTED_VALUE"""),"Beginner")</f>
        <v>Beginner</v>
      </c>
      <c r="G4" s="3" t="str">
        <f ca="1">IFERROR(__xludf.DUMMYFUNCTION("""COMPUTED_VALUE"""),"Beginner 2")</f>
        <v>Beginner 2</v>
      </c>
      <c r="H4" s="156">
        <f ca="1">IFERROR(__xludf.DUMMYFUNCTION("""COMPUTED_VALUE"""),45700.4166666666)</f>
        <v>45700.416666666599</v>
      </c>
      <c r="I4" s="156">
        <f ca="1">IFERROR(__xludf.DUMMYFUNCTION("""COMPUTED_VALUE"""),45700.4166666666)</f>
        <v>45700.416666666599</v>
      </c>
      <c r="J4" s="3">
        <f ca="1">IFERROR(__xludf.DUMMYFUNCTION("""COMPUTED_VALUE"""),1)</f>
        <v>1</v>
      </c>
      <c r="K4" s="3">
        <f ca="1">IFERROR(__xludf.DUMMYFUNCTION("""COMPUTED_VALUE"""),1.5)</f>
        <v>1.5</v>
      </c>
      <c r="L4" s="3" t="str">
        <f ca="1">IFERROR(__xludf.DUMMYFUNCTION("""COMPUTED_VALUE"""),"QC")</f>
        <v>QC</v>
      </c>
      <c r="M4" s="3" t="str">
        <f ca="1">IFERROR(__xludf.DUMMYFUNCTION("""COMPUTED_VALUE"""),"POC")</f>
        <v>POC</v>
      </c>
      <c r="N4" s="157">
        <f ca="1">IFERROR(__xludf.DUMMYFUNCTION("""COMPUTED_VALUE"""),1)</f>
        <v>1</v>
      </c>
      <c r="O4" s="157">
        <f ca="1">IFERROR(__xludf.DUMMYFUNCTION("""COMPUTED_VALUE"""),2)</f>
        <v>2</v>
      </c>
      <c r="P4" s="157"/>
      <c r="Q4" s="3">
        <f t="shared" ca="1" si="0"/>
        <v>3</v>
      </c>
      <c r="R4" s="148" t="e">
        <f ca="1"/>
        <v>#NAME?</v>
      </c>
      <c r="S4" s="147" t="e">
        <f t="shared" ca="1" si="1"/>
        <v>#NAME?</v>
      </c>
      <c r="T4" s="147" t="e">
        <f t="shared" ca="1" si="2"/>
        <v>#NAME?</v>
      </c>
      <c r="U4" s="147" t="e">
        <f t="shared" ca="1" si="3"/>
        <v>#NAME?</v>
      </c>
      <c r="W4" s="230" t="s">
        <v>998</v>
      </c>
      <c r="X4" s="231" t="s">
        <v>911</v>
      </c>
      <c r="AE4" s="147"/>
      <c r="AF4" s="147"/>
      <c r="AG4" s="147"/>
      <c r="AH4" s="147"/>
      <c r="AI4" s="147"/>
      <c r="AJ4" s="147"/>
      <c r="AK4" s="147"/>
      <c r="AL4" s="147"/>
      <c r="AM4" s="147"/>
      <c r="AN4" s="147"/>
      <c r="AO4" s="147"/>
      <c r="AP4" s="147"/>
      <c r="AQ4" s="147"/>
    </row>
    <row r="5" spans="1:43">
      <c r="A5" s="160" t="str">
        <f ca="1">IFERROR(__xludf.DUMMYFUNCTION("""COMPUTED_VALUE"""),"227122")</f>
        <v>227122</v>
      </c>
      <c r="B5" s="3" t="str">
        <f ca="1">IFERROR(__xludf.DUMMYFUNCTION("""COMPUTED_VALUE"""),"NGUYỄN THỊ NGỌC DUNG")</f>
        <v>NGUYỄN THỊ NGỌC DUNG</v>
      </c>
      <c r="C5" s="160" t="str">
        <f ca="1">IFERROR(__xludf.DUMMYFUNCTION("""COMPUTED_VALUE"""),"EL001")</f>
        <v>EL001</v>
      </c>
      <c r="D5" s="160" t="str">
        <f ca="1">IFERROR(__xludf.DUMMYFUNCTION("""COMPUTED_VALUE"""),"Anh Vu")</f>
        <v>Anh Vu</v>
      </c>
      <c r="E5" s="3" t="str">
        <f ca="1">IFERROR(__xludf.DUMMYFUNCTION("""COMPUTED_VALUE"""),"Communication 1")</f>
        <v>Communication 1</v>
      </c>
      <c r="F5" s="3" t="str">
        <f ca="1">IFERROR(__xludf.DUMMYFUNCTION("""COMPUTED_VALUE"""),"Beginner")</f>
        <v>Beginner</v>
      </c>
      <c r="G5" s="3" t="str">
        <f ca="1">IFERROR(__xludf.DUMMYFUNCTION("""COMPUTED_VALUE"""),"Pre-Intermediate 1")</f>
        <v>Pre-Intermediate 1</v>
      </c>
      <c r="H5" s="156">
        <f ca="1">IFERROR(__xludf.DUMMYFUNCTION("""COMPUTED_VALUE"""),45700.4166666666)</f>
        <v>45700.416666666599</v>
      </c>
      <c r="I5" s="156">
        <f ca="1">IFERROR(__xludf.DUMMYFUNCTION("""COMPUTED_VALUE"""),45700.4166666666)</f>
        <v>45700.416666666599</v>
      </c>
      <c r="J5" s="3">
        <f ca="1">IFERROR(__xludf.DUMMYFUNCTION("""COMPUTED_VALUE"""),1)</f>
        <v>1</v>
      </c>
      <c r="K5" s="3">
        <f ca="1">IFERROR(__xludf.DUMMYFUNCTION("""COMPUTED_VALUE"""),3)</f>
        <v>3</v>
      </c>
      <c r="L5" s="3" t="str">
        <f ca="1">IFERROR(__xludf.DUMMYFUNCTION("""COMPUTED_VALUE"""),"QC")</f>
        <v>QC</v>
      </c>
      <c r="M5" s="3" t="str">
        <f ca="1">IFERROR(__xludf.DUMMYFUNCTION("""COMPUTED_VALUE"""),"POC")</f>
        <v>POC</v>
      </c>
      <c r="N5" s="157">
        <f ca="1">IFERROR(__xludf.DUMMYFUNCTION("""COMPUTED_VALUE"""),1)</f>
        <v>1</v>
      </c>
      <c r="O5" s="157">
        <f ca="1">IFERROR(__xludf.DUMMYFUNCTION("""COMPUTED_VALUE"""),3.5)</f>
        <v>3.5</v>
      </c>
      <c r="P5" s="157"/>
      <c r="Q5" s="3">
        <f t="shared" ca="1" si="0"/>
        <v>4</v>
      </c>
      <c r="R5" s="148" t="e">
        <f ca="1"/>
        <v>#NAME?</v>
      </c>
      <c r="S5" s="147" t="e">
        <f t="shared" ca="1" si="1"/>
        <v>#NAME?</v>
      </c>
      <c r="T5" s="147" t="e">
        <f t="shared" ca="1" si="2"/>
        <v>#NAME?</v>
      </c>
      <c r="U5" s="147" t="e">
        <f t="shared" ca="1" si="3"/>
        <v>#NAME?</v>
      </c>
      <c r="W5" s="230" t="s">
        <v>908</v>
      </c>
      <c r="X5" s="232"/>
      <c r="AE5" s="147"/>
      <c r="AF5" s="147"/>
      <c r="AG5" s="147"/>
      <c r="AH5" s="147"/>
      <c r="AI5" s="147"/>
      <c r="AJ5" s="147"/>
      <c r="AK5" s="147"/>
      <c r="AL5" s="147"/>
      <c r="AM5" s="147"/>
      <c r="AN5" s="147"/>
      <c r="AO5" s="147"/>
      <c r="AP5" s="147"/>
      <c r="AQ5" s="147"/>
    </row>
    <row r="6" spans="1:43">
      <c r="A6" s="160" t="str">
        <f ca="1">IFERROR(__xludf.DUMMYFUNCTION("""COMPUTED_VALUE"""),"237050")</f>
        <v>237050</v>
      </c>
      <c r="B6" s="3" t="str">
        <f ca="1">IFERROR(__xludf.DUMMYFUNCTION("""COMPUTED_VALUE"""),"TRẦN THỊ THANH NGA")</f>
        <v>TRẦN THỊ THANH NGA</v>
      </c>
      <c r="C6" s="160" t="str">
        <f ca="1">IFERROR(__xludf.DUMMYFUNCTION("""COMPUTED_VALUE"""),"EL001")</f>
        <v>EL001</v>
      </c>
      <c r="D6" s="160" t="str">
        <f ca="1">IFERROR(__xludf.DUMMYFUNCTION("""COMPUTED_VALUE"""),"Anh Vu")</f>
        <v>Anh Vu</v>
      </c>
      <c r="E6" s="3" t="str">
        <f ca="1">IFERROR(__xludf.DUMMYFUNCTION("""COMPUTED_VALUE"""),"Communication 1")</f>
        <v>Communication 1</v>
      </c>
      <c r="F6" s="3" t="str">
        <f ca="1">IFERROR(__xludf.DUMMYFUNCTION("""COMPUTED_VALUE"""),"Intermediate")</f>
        <v>Intermediate</v>
      </c>
      <c r="G6" s="3" t="str">
        <f ca="1">IFERROR(__xludf.DUMMYFUNCTION("""COMPUTED_VALUE"""),"Intermediate")</f>
        <v>Intermediate</v>
      </c>
      <c r="H6" s="156">
        <f ca="1">IFERROR(__xludf.DUMMYFUNCTION("""COMPUTED_VALUE"""),45700.4166666666)</f>
        <v>45700.416666666599</v>
      </c>
      <c r="I6" s="156">
        <f ca="1">IFERROR(__xludf.DUMMYFUNCTION("""COMPUTED_VALUE"""),45700.4166666666)</f>
        <v>45700.416666666599</v>
      </c>
      <c r="J6" s="3">
        <f ca="1">IFERROR(__xludf.DUMMYFUNCTION("""COMPUTED_VALUE"""),4.5)</f>
        <v>4.5</v>
      </c>
      <c r="K6" s="3">
        <f ca="1">IFERROR(__xludf.DUMMYFUNCTION("""COMPUTED_VALUE"""),4.5)</f>
        <v>4.5</v>
      </c>
      <c r="L6" s="3" t="str">
        <f ca="1">IFERROR(__xludf.DUMMYFUNCTION("""COMPUTED_VALUE"""),"QC")</f>
        <v>QC</v>
      </c>
      <c r="M6" s="3" t="str">
        <f ca="1">IFERROR(__xludf.DUMMYFUNCTION("""COMPUTED_VALUE"""),"POC")</f>
        <v>POC</v>
      </c>
      <c r="N6" s="157">
        <f ca="1">IFERROR(__xludf.DUMMYFUNCTION("""COMPUTED_VALUE"""),4.5)</f>
        <v>4.5</v>
      </c>
      <c r="O6" s="157">
        <f ca="1">IFERROR(__xludf.DUMMYFUNCTION("""COMPUTED_VALUE"""),5.5)</f>
        <v>5.5</v>
      </c>
      <c r="P6" s="157"/>
      <c r="Q6" s="3">
        <f t="shared" ca="1" si="0"/>
        <v>5</v>
      </c>
      <c r="R6" s="148" t="e">
        <f ca="1"/>
        <v>#NAME?</v>
      </c>
      <c r="S6" s="147" t="e">
        <f t="shared" ca="1" si="1"/>
        <v>#NAME?</v>
      </c>
      <c r="T6" s="147" t="e">
        <f t="shared" ca="1" si="2"/>
        <v>#NAME?</v>
      </c>
      <c r="U6" s="147" t="e">
        <f t="shared" ca="1" si="3"/>
        <v>#NAME?</v>
      </c>
      <c r="W6" s="233" t="s">
        <v>999</v>
      </c>
      <c r="X6" s="234"/>
      <c r="AE6" s="147"/>
      <c r="AF6" s="147"/>
      <c r="AG6" s="147"/>
      <c r="AH6" s="147"/>
      <c r="AI6" s="147"/>
      <c r="AJ6" s="147"/>
      <c r="AK6" s="147"/>
      <c r="AL6" s="147"/>
      <c r="AM6" s="147"/>
      <c r="AN6" s="147"/>
      <c r="AO6" s="147"/>
      <c r="AP6" s="147"/>
      <c r="AQ6" s="147"/>
    </row>
    <row r="7" spans="1:43">
      <c r="A7" s="160" t="str">
        <f ca="1">IFERROR(__xludf.DUMMYFUNCTION("""COMPUTED_VALUE"""),"227148")</f>
        <v>227148</v>
      </c>
      <c r="B7" s="3" t="str">
        <f ca="1">IFERROR(__xludf.DUMMYFUNCTION("""COMPUTED_VALUE"""),"TRẦN THỊ THÙY DUNG")</f>
        <v>TRẦN THỊ THÙY DUNG</v>
      </c>
      <c r="C7" s="160" t="str">
        <f ca="1">IFERROR(__xludf.DUMMYFUNCTION("""COMPUTED_VALUE"""),"EL001")</f>
        <v>EL001</v>
      </c>
      <c r="D7" s="160" t="str">
        <f ca="1">IFERROR(__xludf.DUMMYFUNCTION("""COMPUTED_VALUE"""),"Anh Vu")</f>
        <v>Anh Vu</v>
      </c>
      <c r="E7" s="3" t="str">
        <f ca="1">IFERROR(__xludf.DUMMYFUNCTION("""COMPUTED_VALUE"""),"Communication 1")</f>
        <v>Communication 1</v>
      </c>
      <c r="F7" s="3" t="str">
        <f ca="1">IFERROR(__xludf.DUMMYFUNCTION("""COMPUTED_VALUE"""),"Beginner")</f>
        <v>Beginner</v>
      </c>
      <c r="G7" s="3" t="str">
        <f ca="1">IFERROR(__xludf.DUMMYFUNCTION("""COMPUTED_VALUE"""),"Pre-Intermediate 2")</f>
        <v>Pre-Intermediate 2</v>
      </c>
      <c r="H7" s="156">
        <f ca="1">IFERROR(__xludf.DUMMYFUNCTION("""COMPUTED_VALUE"""),45700.4166666666)</f>
        <v>45700.416666666599</v>
      </c>
      <c r="I7" s="156">
        <f ca="1">IFERROR(__xludf.DUMMYFUNCTION("""COMPUTED_VALUE"""),45700.4166666666)</f>
        <v>45700.416666666599</v>
      </c>
      <c r="J7" s="3">
        <f ca="1">IFERROR(__xludf.DUMMYFUNCTION("""COMPUTED_VALUE"""),1)</f>
        <v>1</v>
      </c>
      <c r="K7" s="3">
        <f ca="1">IFERROR(__xludf.DUMMYFUNCTION("""COMPUTED_VALUE"""),3.5)</f>
        <v>3.5</v>
      </c>
      <c r="L7" s="3" t="str">
        <f ca="1">IFERROR(__xludf.DUMMYFUNCTION("""COMPUTED_VALUE"""),"QC")</f>
        <v>QC</v>
      </c>
      <c r="M7" s="3" t="str">
        <f ca="1">IFERROR(__xludf.DUMMYFUNCTION("""COMPUTED_VALUE"""),"POC")</f>
        <v>POC</v>
      </c>
      <c r="N7" s="157">
        <f ca="1">IFERROR(__xludf.DUMMYFUNCTION("""COMPUTED_VALUE"""),1)</f>
        <v>1</v>
      </c>
      <c r="O7" s="157">
        <f ca="1">IFERROR(__xludf.DUMMYFUNCTION("""COMPUTED_VALUE"""),5)</f>
        <v>5</v>
      </c>
      <c r="P7" s="157"/>
      <c r="Q7" s="3">
        <f t="shared" ca="1" si="0"/>
        <v>6</v>
      </c>
      <c r="R7" s="148" t="e">
        <f ca="1"/>
        <v>#NAME?</v>
      </c>
      <c r="S7" s="147" t="e">
        <f t="shared" ca="1" si="1"/>
        <v>#NAME?</v>
      </c>
      <c r="T7" s="147" t="e">
        <f t="shared" ca="1" si="2"/>
        <v>#NAME?</v>
      </c>
      <c r="U7" s="147" t="e">
        <f t="shared" ca="1" si="3"/>
        <v>#NAME?</v>
      </c>
      <c r="AE7" s="147"/>
      <c r="AF7" s="147"/>
      <c r="AG7" s="147"/>
      <c r="AH7" s="147"/>
      <c r="AI7" s="147"/>
      <c r="AJ7" s="147"/>
      <c r="AK7" s="147"/>
      <c r="AL7" s="147"/>
      <c r="AM7" s="147"/>
      <c r="AN7" s="147"/>
      <c r="AO7" s="147"/>
      <c r="AP7" s="147"/>
      <c r="AQ7" s="147"/>
    </row>
    <row r="8" spans="1:43">
      <c r="A8" s="155" t="str">
        <f ca="1">IFERROR(__xludf.DUMMYFUNCTION("""COMPUTED_VALUE"""),"227155")</f>
        <v>227155</v>
      </c>
      <c r="B8" s="154" t="str">
        <f ca="1">IFERROR(__xludf.DUMMYFUNCTION("""COMPUTED_VALUE"""),"VŨ TÚ ANH")</f>
        <v>VŨ TÚ ANH</v>
      </c>
      <c r="C8" s="155" t="str">
        <f ca="1">IFERROR(__xludf.DUMMYFUNCTION("""COMPUTED_VALUE"""),"EL001")</f>
        <v>EL001</v>
      </c>
      <c r="D8" s="155" t="str">
        <f ca="1">IFERROR(__xludf.DUMMYFUNCTION("""COMPUTED_VALUE"""),"Anh Vu")</f>
        <v>Anh Vu</v>
      </c>
      <c r="E8" s="154" t="str">
        <f ca="1">IFERROR(__xludf.DUMMYFUNCTION("""COMPUTED_VALUE"""),"Communication 2")</f>
        <v>Communication 2</v>
      </c>
      <c r="F8" s="3" t="str">
        <f ca="1">IFERROR(__xludf.DUMMYFUNCTION("""COMPUTED_VALUE"""),"Pre-Intermediate 1")</f>
        <v>Pre-Intermediate 1</v>
      </c>
      <c r="G8" s="3" t="str">
        <f ca="1">IFERROR(__xludf.DUMMYFUNCTION("""COMPUTED_VALUE"""),"Pre-Intermediate 2")</f>
        <v>Pre-Intermediate 2</v>
      </c>
      <c r="H8" s="156">
        <f ca="1">IFERROR(__xludf.DUMMYFUNCTION("""COMPUTED_VALUE"""),45889.4583333333)</f>
        <v>45889.458333333299</v>
      </c>
      <c r="I8" s="156">
        <f ca="1">IFERROR(__xludf.DUMMYFUNCTION("""COMPUTED_VALUE"""),45700.4166666666)</f>
        <v>45700.416666666599</v>
      </c>
      <c r="J8" s="3">
        <f ca="1">IFERROR(__xludf.DUMMYFUNCTION("""COMPUTED_VALUE"""),3)</f>
        <v>3</v>
      </c>
      <c r="K8" s="3">
        <f ca="1">IFERROR(__xludf.DUMMYFUNCTION("""COMPUTED_VALUE"""),3.5)</f>
        <v>3.5</v>
      </c>
      <c r="L8" s="3" t="str">
        <f ca="1">IFERROR(__xludf.DUMMYFUNCTION("""COMPUTED_VALUE"""),"QC")</f>
        <v>QC</v>
      </c>
      <c r="M8" s="3" t="str">
        <f ca="1">IFERROR(__xludf.DUMMYFUNCTION("""COMPUTED_VALUE"""),"POC")</f>
        <v>POC</v>
      </c>
      <c r="N8" s="157">
        <f ca="1">IFERROR(__xludf.DUMMYFUNCTION("""COMPUTED_VALUE"""),2.5)</f>
        <v>2.5</v>
      </c>
      <c r="O8" s="157">
        <f ca="1">IFERROR(__xludf.DUMMYFUNCTION("""COMPUTED_VALUE"""),3.5)</f>
        <v>3.5</v>
      </c>
      <c r="P8" s="157"/>
      <c r="Q8" s="3">
        <f t="shared" ca="1" si="0"/>
        <v>7</v>
      </c>
      <c r="R8" s="148" t="e">
        <f ca="1"/>
        <v>#NAME?</v>
      </c>
      <c r="S8" s="147" t="e">
        <f t="shared" ca="1" si="1"/>
        <v>#NAME?</v>
      </c>
      <c r="T8" s="147" t="e">
        <f t="shared" ca="1" si="2"/>
        <v>#NAME?</v>
      </c>
      <c r="U8" s="147" t="e">
        <f t="shared" ca="1" si="3"/>
        <v>#NAME?</v>
      </c>
      <c r="AE8" s="147"/>
      <c r="AF8" s="147"/>
      <c r="AG8" s="147"/>
      <c r="AH8" s="147"/>
      <c r="AI8" s="147"/>
      <c r="AJ8" s="147"/>
      <c r="AK8" s="147"/>
      <c r="AL8" s="147"/>
      <c r="AM8" s="147"/>
      <c r="AN8" s="147"/>
      <c r="AO8" s="147"/>
      <c r="AP8" s="147"/>
      <c r="AQ8" s="147"/>
    </row>
    <row r="9" spans="1:43">
      <c r="A9" s="160" t="str">
        <f ca="1">IFERROR(__xludf.DUMMYFUNCTION("""COMPUTED_VALUE"""),"173230")</f>
        <v>173230</v>
      </c>
      <c r="B9" s="3" t="str">
        <f ca="1">IFERROR(__xludf.DUMMYFUNCTION("""COMPUTED_VALUE"""),"LÊ THỊ THU HIỀN")</f>
        <v>LÊ THỊ THU HIỀN</v>
      </c>
      <c r="C9" s="160" t="str">
        <f ca="1">IFERROR(__xludf.DUMMYFUNCTION("""COMPUTED_VALUE"""),"EL001")</f>
        <v>EL001</v>
      </c>
      <c r="D9" s="160" t="str">
        <f ca="1">IFERROR(__xludf.DUMMYFUNCTION("""COMPUTED_VALUE"""),"Anh Vu")</f>
        <v>Anh Vu</v>
      </c>
      <c r="E9" s="3" t="str">
        <f ca="1">IFERROR(__xludf.DUMMYFUNCTION("""COMPUTED_VALUE"""),"Communication 2")</f>
        <v>Communication 2</v>
      </c>
      <c r="F9" s="3" t="str">
        <f ca="1">IFERROR(__xludf.DUMMYFUNCTION("""COMPUTED_VALUE"""),"Pre-Intermediate 1")</f>
        <v>Pre-Intermediate 1</v>
      </c>
      <c r="G9" s="3" t="str">
        <f ca="1">IFERROR(__xludf.DUMMYFUNCTION("""COMPUTED_VALUE"""),"Pre-Intermediate 2")</f>
        <v>Pre-Intermediate 2</v>
      </c>
      <c r="H9" s="156">
        <f ca="1">IFERROR(__xludf.DUMMYFUNCTION("""COMPUTED_VALUE"""),45889.4583333333)</f>
        <v>45889.458333333299</v>
      </c>
      <c r="I9" s="156">
        <f ca="1">IFERROR(__xludf.DUMMYFUNCTION("""COMPUTED_VALUE"""),45700.4166666666)</f>
        <v>45700.416666666599</v>
      </c>
      <c r="J9" s="3">
        <f ca="1">IFERROR(__xludf.DUMMYFUNCTION("""COMPUTED_VALUE"""),3)</f>
        <v>3</v>
      </c>
      <c r="K9" s="3">
        <f ca="1">IFERROR(__xludf.DUMMYFUNCTION("""COMPUTED_VALUE"""),3.5)</f>
        <v>3.5</v>
      </c>
      <c r="L9" s="3" t="str">
        <f ca="1">IFERROR(__xludf.DUMMYFUNCTION("""COMPUTED_VALUE"""),"QC")</f>
        <v>QC</v>
      </c>
      <c r="M9" s="3" t="str">
        <f ca="1">IFERROR(__xludf.DUMMYFUNCTION("""COMPUTED_VALUE"""),"POC")</f>
        <v>POC</v>
      </c>
      <c r="N9" s="157">
        <f ca="1">IFERROR(__xludf.DUMMYFUNCTION("""COMPUTED_VALUE"""),1)</f>
        <v>1</v>
      </c>
      <c r="O9" s="157">
        <f ca="1">IFERROR(__xludf.DUMMYFUNCTION("""COMPUTED_VALUE"""),3.5)</f>
        <v>3.5</v>
      </c>
      <c r="P9" s="157"/>
      <c r="Q9" s="3">
        <f t="shared" ca="1" si="0"/>
        <v>8</v>
      </c>
      <c r="R9" s="148" t="e">
        <f ca="1"/>
        <v>#NAME?</v>
      </c>
      <c r="S9" s="147" t="e">
        <f t="shared" ca="1" si="1"/>
        <v>#NAME?</v>
      </c>
      <c r="T9" s="147" t="e">
        <f t="shared" ca="1" si="2"/>
        <v>#NAME?</v>
      </c>
      <c r="U9" s="147" t="e">
        <f t="shared" ca="1" si="3"/>
        <v>#NAME?</v>
      </c>
      <c r="AE9" s="147"/>
      <c r="AF9" s="147"/>
      <c r="AG9" s="147"/>
      <c r="AH9" s="147"/>
      <c r="AI9" s="147"/>
      <c r="AJ9" s="147"/>
      <c r="AK9" s="147"/>
      <c r="AL9" s="147"/>
      <c r="AM9" s="147"/>
      <c r="AN9" s="147"/>
      <c r="AO9" s="147"/>
      <c r="AP9" s="147"/>
      <c r="AQ9" s="147"/>
    </row>
    <row r="10" spans="1:43">
      <c r="A10" s="160" t="str">
        <f ca="1">IFERROR(__xludf.DUMMYFUNCTION("""COMPUTED_VALUE"""),"143079")</f>
        <v>143079</v>
      </c>
      <c r="B10" s="3" t="str">
        <f ca="1">IFERROR(__xludf.DUMMYFUNCTION("""COMPUTED_VALUE"""),"LÝ THỊ DIỄM MY")</f>
        <v>LÝ THỊ DIỄM MY</v>
      </c>
      <c r="C10" s="160" t="str">
        <f ca="1">IFERROR(__xludf.DUMMYFUNCTION("""COMPUTED_VALUE"""),"EL001")</f>
        <v>EL001</v>
      </c>
      <c r="D10" s="160" t="str">
        <f ca="1">IFERROR(__xludf.DUMMYFUNCTION("""COMPUTED_VALUE"""),"Anh Vu")</f>
        <v>Anh Vu</v>
      </c>
      <c r="E10" s="3" t="str">
        <f ca="1">IFERROR(__xludf.DUMMYFUNCTION("""COMPUTED_VALUE"""),"Communication 2")</f>
        <v>Communication 2</v>
      </c>
      <c r="F10" s="3" t="str">
        <f ca="1">IFERROR(__xludf.DUMMYFUNCTION("""COMPUTED_VALUE"""),"Beginner 2")</f>
        <v>Beginner 2</v>
      </c>
      <c r="G10" s="3" t="str">
        <f ca="1">IFERROR(__xludf.DUMMYFUNCTION("""COMPUTED_VALUE"""),"Beginner 3")</f>
        <v>Beginner 3</v>
      </c>
      <c r="H10" s="156">
        <f ca="1">IFERROR(__xludf.DUMMYFUNCTION("""COMPUTED_VALUE"""),45889.4583333333)</f>
        <v>45889.458333333299</v>
      </c>
      <c r="I10" s="156">
        <f ca="1">IFERROR(__xludf.DUMMYFUNCTION("""COMPUTED_VALUE"""),45700.4166666666)</f>
        <v>45700.416666666599</v>
      </c>
      <c r="J10" s="3">
        <f ca="1">IFERROR(__xludf.DUMMYFUNCTION("""COMPUTED_VALUE"""),1.5)</f>
        <v>1.5</v>
      </c>
      <c r="K10" s="3">
        <f ca="1">IFERROR(__xludf.DUMMYFUNCTION("""COMPUTED_VALUE"""),2)</f>
        <v>2</v>
      </c>
      <c r="L10" s="3" t="str">
        <f ca="1">IFERROR(__xludf.DUMMYFUNCTION("""COMPUTED_VALUE"""),"QC")</f>
        <v>QC</v>
      </c>
      <c r="M10" s="3" t="str">
        <f ca="1">IFERROR(__xludf.DUMMYFUNCTION("""COMPUTED_VALUE"""),"POC")</f>
        <v>POC</v>
      </c>
      <c r="N10" s="157">
        <f ca="1">IFERROR(__xludf.DUMMYFUNCTION("""COMPUTED_VALUE"""),1)</f>
        <v>1</v>
      </c>
      <c r="O10" s="157">
        <f ca="1">IFERROR(__xludf.DUMMYFUNCTION("""COMPUTED_VALUE"""),2)</f>
        <v>2</v>
      </c>
      <c r="P10" s="157"/>
      <c r="Q10" s="3">
        <f t="shared" ca="1" si="0"/>
        <v>9</v>
      </c>
      <c r="R10" s="148" t="e">
        <f ca="1"/>
        <v>#NAME?</v>
      </c>
      <c r="S10" s="147" t="e">
        <f t="shared" ca="1" si="1"/>
        <v>#NAME?</v>
      </c>
      <c r="T10" s="147" t="e">
        <f t="shared" ca="1" si="2"/>
        <v>#NAME?</v>
      </c>
      <c r="U10" s="147" t="e">
        <f t="shared" ca="1" si="3"/>
        <v>#NAME?</v>
      </c>
      <c r="AE10" s="147"/>
      <c r="AF10" s="147"/>
      <c r="AG10" s="147"/>
      <c r="AH10" s="147"/>
      <c r="AI10" s="147"/>
      <c r="AJ10" s="147"/>
      <c r="AK10" s="147"/>
      <c r="AL10" s="147"/>
      <c r="AM10" s="147"/>
      <c r="AN10" s="147"/>
      <c r="AO10" s="147"/>
      <c r="AP10" s="147"/>
      <c r="AQ10" s="147"/>
    </row>
    <row r="11" spans="1:43">
      <c r="A11" s="160" t="str">
        <f ca="1">IFERROR(__xludf.DUMMYFUNCTION("""COMPUTED_VALUE"""),"227122")</f>
        <v>227122</v>
      </c>
      <c r="B11" s="3" t="str">
        <f ca="1">IFERROR(__xludf.DUMMYFUNCTION("""COMPUTED_VALUE"""),"NGUYỄN THỊ NGỌC DUNG")</f>
        <v>NGUYỄN THỊ NGỌC DUNG</v>
      </c>
      <c r="C11" s="160" t="str">
        <f ca="1">IFERROR(__xludf.DUMMYFUNCTION("""COMPUTED_VALUE"""),"EL001")</f>
        <v>EL001</v>
      </c>
      <c r="D11" s="160" t="str">
        <f ca="1">IFERROR(__xludf.DUMMYFUNCTION("""COMPUTED_VALUE"""),"Anh Vu")</f>
        <v>Anh Vu</v>
      </c>
      <c r="E11" s="3" t="str">
        <f ca="1">IFERROR(__xludf.DUMMYFUNCTION("""COMPUTED_VALUE"""),"Communication 2")</f>
        <v>Communication 2</v>
      </c>
      <c r="F11" s="3" t="str">
        <f ca="1">IFERROR(__xludf.DUMMYFUNCTION("""COMPUTED_VALUE"""),"Pre-Intermediate 1")</f>
        <v>Pre-Intermediate 1</v>
      </c>
      <c r="G11" s="3" t="str">
        <f ca="1">IFERROR(__xludf.DUMMYFUNCTION("""COMPUTED_VALUE"""),"Pre-Intermediate 2")</f>
        <v>Pre-Intermediate 2</v>
      </c>
      <c r="H11" s="156">
        <f ca="1">IFERROR(__xludf.DUMMYFUNCTION("""COMPUTED_VALUE"""),45889.4583333333)</f>
        <v>45889.458333333299</v>
      </c>
      <c r="I11" s="156">
        <f ca="1">IFERROR(__xludf.DUMMYFUNCTION("""COMPUTED_VALUE"""),45700.4166666666)</f>
        <v>45700.416666666599</v>
      </c>
      <c r="J11" s="3">
        <f ca="1">IFERROR(__xludf.DUMMYFUNCTION("""COMPUTED_VALUE"""),3)</f>
        <v>3</v>
      </c>
      <c r="K11" s="3">
        <f ca="1">IFERROR(__xludf.DUMMYFUNCTION("""COMPUTED_VALUE"""),3.5)</f>
        <v>3.5</v>
      </c>
      <c r="L11" s="3" t="str">
        <f ca="1">IFERROR(__xludf.DUMMYFUNCTION("""COMPUTED_VALUE"""),"QC")</f>
        <v>QC</v>
      </c>
      <c r="M11" s="3" t="str">
        <f ca="1">IFERROR(__xludf.DUMMYFUNCTION("""COMPUTED_VALUE"""),"POC")</f>
        <v>POC</v>
      </c>
      <c r="N11" s="157">
        <f ca="1">IFERROR(__xludf.DUMMYFUNCTION("""COMPUTED_VALUE"""),1)</f>
        <v>1</v>
      </c>
      <c r="O11" s="157">
        <f ca="1">IFERROR(__xludf.DUMMYFUNCTION("""COMPUTED_VALUE"""),3.5)</f>
        <v>3.5</v>
      </c>
      <c r="P11" s="157"/>
      <c r="Q11" s="3">
        <f t="shared" ca="1" si="0"/>
        <v>10</v>
      </c>
      <c r="R11" s="148" t="e">
        <f ca="1"/>
        <v>#NAME?</v>
      </c>
      <c r="S11" s="147" t="e">
        <f t="shared" ca="1" si="1"/>
        <v>#NAME?</v>
      </c>
      <c r="T11" s="147" t="e">
        <f t="shared" ca="1" si="2"/>
        <v>#NAME?</v>
      </c>
      <c r="U11" s="147" t="e">
        <f t="shared" ca="1" si="3"/>
        <v>#NAME?</v>
      </c>
      <c r="AE11" s="147"/>
      <c r="AF11" s="147"/>
      <c r="AG11" s="147">
        <f>SUM(X11:AF11)</f>
        <v>0</v>
      </c>
      <c r="AH11" s="147"/>
      <c r="AI11" s="147"/>
      <c r="AJ11" s="147"/>
      <c r="AK11" s="147"/>
      <c r="AL11" s="147"/>
      <c r="AM11" s="147"/>
      <c r="AN11" s="147"/>
      <c r="AO11" s="147"/>
      <c r="AP11" s="147"/>
      <c r="AQ11" s="147"/>
    </row>
    <row r="12" spans="1:43">
      <c r="A12" s="160" t="str">
        <f ca="1">IFERROR(__xludf.DUMMYFUNCTION("""COMPUTED_VALUE"""),"237050")</f>
        <v>237050</v>
      </c>
      <c r="B12" s="3" t="str">
        <f ca="1">IFERROR(__xludf.DUMMYFUNCTION("""COMPUTED_VALUE"""),"TRẦN THỊ THANH NGA")</f>
        <v>TRẦN THỊ THANH NGA</v>
      </c>
      <c r="C12" s="160" t="str">
        <f ca="1">IFERROR(__xludf.DUMMYFUNCTION("""COMPUTED_VALUE"""),"EL001")</f>
        <v>EL001</v>
      </c>
      <c r="D12" s="160" t="str">
        <f ca="1">IFERROR(__xludf.DUMMYFUNCTION("""COMPUTED_VALUE"""),"Anh Vu")</f>
        <v>Anh Vu</v>
      </c>
      <c r="E12" s="3" t="str">
        <f ca="1">IFERROR(__xludf.DUMMYFUNCTION("""COMPUTED_VALUE"""),"Communication 2")</f>
        <v>Communication 2</v>
      </c>
      <c r="F12" s="3" t="str">
        <f ca="1">IFERROR(__xludf.DUMMYFUNCTION("""COMPUTED_VALUE"""),"Intermediate")</f>
        <v>Intermediate</v>
      </c>
      <c r="G12" s="3" t="str">
        <f ca="1">IFERROR(__xludf.DUMMYFUNCTION("""COMPUTED_VALUE"""),"Intermediate 2")</f>
        <v>Intermediate 2</v>
      </c>
      <c r="H12" s="156">
        <f ca="1">IFERROR(__xludf.DUMMYFUNCTION("""COMPUTED_VALUE"""),45889.4583333333)</f>
        <v>45889.458333333299</v>
      </c>
      <c r="I12" s="156">
        <f ca="1">IFERROR(__xludf.DUMMYFUNCTION("""COMPUTED_VALUE"""),45700.4166666666)</f>
        <v>45700.416666666599</v>
      </c>
      <c r="J12" s="3">
        <f ca="1">IFERROR(__xludf.DUMMYFUNCTION("""COMPUTED_VALUE"""),4.5)</f>
        <v>4.5</v>
      </c>
      <c r="K12" s="3">
        <f ca="1">IFERROR(__xludf.DUMMYFUNCTION("""COMPUTED_VALUE"""),5.5)</f>
        <v>5.5</v>
      </c>
      <c r="L12" s="3" t="str">
        <f ca="1">IFERROR(__xludf.DUMMYFUNCTION("""COMPUTED_VALUE"""),"QC")</f>
        <v>QC</v>
      </c>
      <c r="M12" s="3" t="str">
        <f ca="1">IFERROR(__xludf.DUMMYFUNCTION("""COMPUTED_VALUE"""),"POC")</f>
        <v>POC</v>
      </c>
      <c r="N12" s="157">
        <f ca="1">IFERROR(__xludf.DUMMYFUNCTION("""COMPUTED_VALUE"""),4.5)</f>
        <v>4.5</v>
      </c>
      <c r="O12" s="157">
        <f ca="1">IFERROR(__xludf.DUMMYFUNCTION("""COMPUTED_VALUE"""),5.5)</f>
        <v>5.5</v>
      </c>
      <c r="P12" s="157"/>
      <c r="Q12" s="3">
        <f t="shared" ca="1" si="0"/>
        <v>11</v>
      </c>
      <c r="R12" s="148" t="e">
        <f ca="1"/>
        <v>#NAME?</v>
      </c>
      <c r="S12" s="147" t="e">
        <f t="shared" ca="1" si="1"/>
        <v>#NAME?</v>
      </c>
      <c r="T12" s="147" t="e">
        <f t="shared" ca="1" si="2"/>
        <v>#NAME?</v>
      </c>
      <c r="U12" s="147" t="e">
        <f t="shared" ca="1" si="3"/>
        <v>#NAME?</v>
      </c>
      <c r="AE12" s="147"/>
      <c r="AF12" s="147"/>
      <c r="AG12" s="147"/>
      <c r="AH12" s="147"/>
      <c r="AI12" s="147"/>
      <c r="AJ12" s="147"/>
      <c r="AK12" s="147"/>
      <c r="AL12" s="147"/>
      <c r="AM12" s="147"/>
      <c r="AN12" s="147"/>
      <c r="AO12" s="147"/>
      <c r="AP12" s="147"/>
      <c r="AQ12" s="147"/>
    </row>
    <row r="13" spans="1:43">
      <c r="A13" s="160" t="str">
        <f ca="1">IFERROR(__xludf.DUMMYFUNCTION("""COMPUTED_VALUE"""),"227148")</f>
        <v>227148</v>
      </c>
      <c r="B13" s="3" t="str">
        <f ca="1">IFERROR(__xludf.DUMMYFUNCTION("""COMPUTED_VALUE"""),"TRẦN THỊ THÙY DUNG")</f>
        <v>TRẦN THỊ THÙY DUNG</v>
      </c>
      <c r="C13" s="160" t="str">
        <f ca="1">IFERROR(__xludf.DUMMYFUNCTION("""COMPUTED_VALUE"""),"EL001")</f>
        <v>EL001</v>
      </c>
      <c r="D13" s="160" t="str">
        <f ca="1">IFERROR(__xludf.DUMMYFUNCTION("""COMPUTED_VALUE"""),"Anh Vu")</f>
        <v>Anh Vu</v>
      </c>
      <c r="E13" s="3" t="str">
        <f ca="1">IFERROR(__xludf.DUMMYFUNCTION("""COMPUTED_VALUE"""),"Communication 2")</f>
        <v>Communication 2</v>
      </c>
      <c r="F13" s="3" t="str">
        <f ca="1">IFERROR(__xludf.DUMMYFUNCTION("""COMPUTED_VALUE"""),"Pre-Intermediate 2")</f>
        <v>Pre-Intermediate 2</v>
      </c>
      <c r="G13" s="3" t="str">
        <f ca="1">IFERROR(__xludf.DUMMYFUNCTION("""COMPUTED_VALUE"""),"Intermediate 1")</f>
        <v>Intermediate 1</v>
      </c>
      <c r="H13" s="156">
        <f ca="1">IFERROR(__xludf.DUMMYFUNCTION("""COMPUTED_VALUE"""),45889.4583333333)</f>
        <v>45889.458333333299</v>
      </c>
      <c r="I13" s="156">
        <f ca="1">IFERROR(__xludf.DUMMYFUNCTION("""COMPUTED_VALUE"""),45700.4166666666)</f>
        <v>45700.416666666599</v>
      </c>
      <c r="J13" s="3">
        <f ca="1">IFERROR(__xludf.DUMMYFUNCTION("""COMPUTED_VALUE"""),3.5)</f>
        <v>3.5</v>
      </c>
      <c r="K13" s="3">
        <f ca="1">IFERROR(__xludf.DUMMYFUNCTION("""COMPUTED_VALUE"""),5)</f>
        <v>5</v>
      </c>
      <c r="L13" s="3" t="str">
        <f ca="1">IFERROR(__xludf.DUMMYFUNCTION("""COMPUTED_VALUE"""),"QC")</f>
        <v>QC</v>
      </c>
      <c r="M13" s="3" t="str">
        <f ca="1">IFERROR(__xludf.DUMMYFUNCTION("""COMPUTED_VALUE"""),"POC")</f>
        <v>POC</v>
      </c>
      <c r="N13" s="157">
        <f ca="1">IFERROR(__xludf.DUMMYFUNCTION("""COMPUTED_VALUE"""),1)</f>
        <v>1</v>
      </c>
      <c r="O13" s="157">
        <f ca="1">IFERROR(__xludf.DUMMYFUNCTION("""COMPUTED_VALUE"""),5)</f>
        <v>5</v>
      </c>
      <c r="P13" s="157"/>
      <c r="Q13" s="3">
        <f t="shared" ca="1" si="0"/>
        <v>12</v>
      </c>
      <c r="R13" s="148" t="e">
        <f ca="1"/>
        <v>#NAME?</v>
      </c>
      <c r="S13" s="147" t="e">
        <f t="shared" ca="1" si="1"/>
        <v>#NAME?</v>
      </c>
      <c r="T13" s="147" t="e">
        <f t="shared" ca="1" si="2"/>
        <v>#NAME?</v>
      </c>
      <c r="U13" s="147" t="e">
        <f t="shared" ca="1" si="3"/>
        <v>#NAME?</v>
      </c>
      <c r="AE13" s="147"/>
      <c r="AF13" s="147"/>
      <c r="AG13" s="147"/>
      <c r="AH13" s="147"/>
      <c r="AI13" s="147"/>
      <c r="AJ13" s="147"/>
      <c r="AK13" s="147"/>
      <c r="AL13" s="147"/>
      <c r="AM13" s="147"/>
      <c r="AN13" s="147"/>
      <c r="AO13" s="147"/>
      <c r="AP13" s="147"/>
      <c r="AQ13" s="147"/>
    </row>
    <row r="14" spans="1:43">
      <c r="A14" s="155" t="str">
        <f ca="1">IFERROR(__xludf.DUMMYFUNCTION("""COMPUTED_VALUE"""),"227155")</f>
        <v>227155</v>
      </c>
      <c r="B14" s="154" t="str">
        <f ca="1">IFERROR(__xludf.DUMMYFUNCTION("""COMPUTED_VALUE"""),"VŨ TÚ ANH")</f>
        <v>VŨ TÚ ANH</v>
      </c>
      <c r="C14" s="155" t="str">
        <f ca="1">IFERROR(__xludf.DUMMYFUNCTION("""COMPUTED_VALUE"""),"EL001")</f>
        <v>EL001</v>
      </c>
      <c r="D14" s="155" t="str">
        <f ca="1">IFERROR(__xludf.DUMMYFUNCTION("""COMPUTED_VALUE"""),"Anh Vu")</f>
        <v>Anh Vu</v>
      </c>
      <c r="E14" s="154" t="str">
        <f ca="1">IFERROR(__xludf.DUMMYFUNCTION("""COMPUTED_VALUE"""),"Business English")</f>
        <v>Business English</v>
      </c>
      <c r="F14" s="3"/>
      <c r="G14" s="3"/>
      <c r="H14" s="156">
        <f ca="1">IFERROR(__xludf.DUMMYFUNCTION("""COMPUTED_VALUE"""),46084.5416666666)</f>
        <v>46084.541666666599</v>
      </c>
      <c r="I14" s="156">
        <f ca="1">IFERROR(__xludf.DUMMYFUNCTION("""COMPUTED_VALUE"""),45700.4166666666)</f>
        <v>45700.416666666599</v>
      </c>
      <c r="J14" s="3" t="str">
        <f ca="1">IFERROR(__xludf.DUMMYFUNCTION("""COMPUTED_VALUE"""),"")</f>
        <v/>
      </c>
      <c r="K14" s="3" t="str">
        <f ca="1">IFERROR(__xludf.DUMMYFUNCTION("""COMPUTED_VALUE"""),"")</f>
        <v/>
      </c>
      <c r="L14" s="3" t="str">
        <f ca="1">IFERROR(__xludf.DUMMYFUNCTION("""COMPUTED_VALUE"""),"QC")</f>
        <v>QC</v>
      </c>
      <c r="M14" s="3" t="str">
        <f ca="1">IFERROR(__xludf.DUMMYFUNCTION("""COMPUTED_VALUE"""),"POC")</f>
        <v>POC</v>
      </c>
      <c r="N14" s="157">
        <f ca="1">IFERROR(__xludf.DUMMYFUNCTION("""COMPUTED_VALUE"""),2.5)</f>
        <v>2.5</v>
      </c>
      <c r="O14" s="157">
        <f ca="1">IFERROR(__xludf.DUMMYFUNCTION("""COMPUTED_VALUE"""),3.5)</f>
        <v>3.5</v>
      </c>
      <c r="P14" s="157"/>
      <c r="Q14" s="3">
        <f t="shared" ca="1" si="0"/>
        <v>13</v>
      </c>
      <c r="R14" s="148" t="e">
        <f ca="1"/>
        <v>#NAME?</v>
      </c>
      <c r="S14" s="147" t="e">
        <f t="shared" ca="1" si="1"/>
        <v>#NAME?</v>
      </c>
      <c r="T14" s="147" t="e">
        <f t="shared" ca="1" si="2"/>
        <v>#NAME?</v>
      </c>
      <c r="U14" s="147" t="e">
        <f t="shared" ca="1" si="3"/>
        <v>#NAME?</v>
      </c>
      <c r="X14" s="147"/>
      <c r="Y14" s="147"/>
      <c r="Z14" s="147"/>
      <c r="AA14" s="147"/>
      <c r="AB14" s="147"/>
      <c r="AC14" s="147"/>
      <c r="AD14" s="147"/>
      <c r="AE14" s="147"/>
      <c r="AF14" s="147"/>
      <c r="AG14" s="147"/>
      <c r="AH14" s="147"/>
      <c r="AI14" s="147"/>
      <c r="AJ14" s="147"/>
      <c r="AK14" s="147"/>
      <c r="AL14" s="147"/>
      <c r="AM14" s="147"/>
      <c r="AN14" s="147"/>
      <c r="AO14" s="147"/>
      <c r="AP14" s="147"/>
      <c r="AQ14" s="147"/>
    </row>
    <row r="15" spans="1:43">
      <c r="A15" s="160" t="str">
        <f ca="1">IFERROR(__xludf.DUMMYFUNCTION("""COMPUTED_VALUE"""),"237050")</f>
        <v>237050</v>
      </c>
      <c r="B15" s="3" t="str">
        <f ca="1">IFERROR(__xludf.DUMMYFUNCTION("""COMPUTED_VALUE"""),"TRẦN THỊ THANH NGA")</f>
        <v>TRẦN THỊ THANH NGA</v>
      </c>
      <c r="C15" s="160" t="str">
        <f ca="1">IFERROR(__xludf.DUMMYFUNCTION("""COMPUTED_VALUE"""),"EL001")</f>
        <v>EL001</v>
      </c>
      <c r="D15" s="160" t="str">
        <f ca="1">IFERROR(__xludf.DUMMYFUNCTION("""COMPUTED_VALUE"""),"Anh Vu")</f>
        <v>Anh Vu</v>
      </c>
      <c r="E15" s="3" t="str">
        <f ca="1">IFERROR(__xludf.DUMMYFUNCTION("""COMPUTED_VALUE"""),"Business English")</f>
        <v>Business English</v>
      </c>
      <c r="F15" s="3"/>
      <c r="G15" s="3"/>
      <c r="H15" s="156">
        <f ca="1">IFERROR(__xludf.DUMMYFUNCTION("""COMPUTED_VALUE"""),46084.5416666666)</f>
        <v>46084.541666666599</v>
      </c>
      <c r="I15" s="156">
        <f ca="1">IFERROR(__xludf.DUMMYFUNCTION("""COMPUTED_VALUE"""),45700.4166666666)</f>
        <v>45700.416666666599</v>
      </c>
      <c r="J15" s="3" t="str">
        <f ca="1">IFERROR(__xludf.DUMMYFUNCTION("""COMPUTED_VALUE"""),"")</f>
        <v/>
      </c>
      <c r="K15" s="3" t="str">
        <f ca="1">IFERROR(__xludf.DUMMYFUNCTION("""COMPUTED_VALUE"""),"")</f>
        <v/>
      </c>
      <c r="L15" s="3" t="str">
        <f ca="1">IFERROR(__xludf.DUMMYFUNCTION("""COMPUTED_VALUE"""),"QC")</f>
        <v>QC</v>
      </c>
      <c r="M15" s="3" t="str">
        <f ca="1">IFERROR(__xludf.DUMMYFUNCTION("""COMPUTED_VALUE"""),"POC")</f>
        <v>POC</v>
      </c>
      <c r="N15" s="157">
        <f ca="1">IFERROR(__xludf.DUMMYFUNCTION("""COMPUTED_VALUE"""),4.5)</f>
        <v>4.5</v>
      </c>
      <c r="O15" s="157">
        <f ca="1">IFERROR(__xludf.DUMMYFUNCTION("""COMPUTED_VALUE"""),5.5)</f>
        <v>5.5</v>
      </c>
      <c r="P15" s="157"/>
      <c r="Q15" s="3">
        <f t="shared" ca="1" si="0"/>
        <v>14</v>
      </c>
      <c r="R15" s="148" t="e">
        <f ca="1"/>
        <v>#NAME?</v>
      </c>
      <c r="S15" s="147" t="e">
        <f t="shared" ca="1" si="1"/>
        <v>#NAME?</v>
      </c>
      <c r="T15" s="147" t="e">
        <f t="shared" ca="1" si="2"/>
        <v>#NAME?</v>
      </c>
      <c r="U15" s="147" t="e">
        <f t="shared" ca="1" si="3"/>
        <v>#NAME?</v>
      </c>
      <c r="X15" s="147"/>
      <c r="Y15" s="147"/>
      <c r="Z15" s="147"/>
      <c r="AA15" s="147"/>
      <c r="AB15" s="147"/>
      <c r="AC15" s="147"/>
      <c r="AD15" s="147"/>
      <c r="AE15" s="147"/>
      <c r="AF15" s="147"/>
      <c r="AG15" s="147"/>
      <c r="AH15" s="147"/>
      <c r="AI15" s="147"/>
      <c r="AJ15" s="147"/>
      <c r="AK15" s="147"/>
      <c r="AL15" s="147"/>
      <c r="AM15" s="147"/>
      <c r="AN15" s="147"/>
      <c r="AO15" s="147"/>
      <c r="AP15" s="147"/>
      <c r="AQ15" s="147"/>
    </row>
    <row r="16" spans="1:43">
      <c r="A16" s="160" t="str">
        <f ca="1">IFERROR(__xludf.DUMMYFUNCTION("""COMPUTED_VALUE"""),"227148")</f>
        <v>227148</v>
      </c>
      <c r="B16" s="3" t="str">
        <f ca="1">IFERROR(__xludf.DUMMYFUNCTION("""COMPUTED_VALUE"""),"TRẦN THỊ THÙY DUNG")</f>
        <v>TRẦN THỊ THÙY DUNG</v>
      </c>
      <c r="C16" s="160" t="str">
        <f ca="1">IFERROR(__xludf.DUMMYFUNCTION("""COMPUTED_VALUE"""),"EL001")</f>
        <v>EL001</v>
      </c>
      <c r="D16" s="160" t="str">
        <f ca="1">IFERROR(__xludf.DUMMYFUNCTION("""COMPUTED_VALUE"""),"Anh Vu")</f>
        <v>Anh Vu</v>
      </c>
      <c r="E16" s="3" t="str">
        <f ca="1">IFERROR(__xludf.DUMMYFUNCTION("""COMPUTED_VALUE"""),"Business English")</f>
        <v>Business English</v>
      </c>
      <c r="F16" s="3"/>
      <c r="G16" s="3"/>
      <c r="H16" s="156">
        <f ca="1">IFERROR(__xludf.DUMMYFUNCTION("""COMPUTED_VALUE"""),46084.5416666666)</f>
        <v>46084.541666666599</v>
      </c>
      <c r="I16" s="156">
        <f ca="1">IFERROR(__xludf.DUMMYFUNCTION("""COMPUTED_VALUE"""),45700.4166666666)</f>
        <v>45700.416666666599</v>
      </c>
      <c r="J16" s="3" t="str">
        <f ca="1">IFERROR(__xludf.DUMMYFUNCTION("""COMPUTED_VALUE"""),"")</f>
        <v/>
      </c>
      <c r="K16" s="3" t="str">
        <f ca="1">IFERROR(__xludf.DUMMYFUNCTION("""COMPUTED_VALUE"""),"")</f>
        <v/>
      </c>
      <c r="L16" s="3" t="str">
        <f ca="1">IFERROR(__xludf.DUMMYFUNCTION("""COMPUTED_VALUE"""),"QC")</f>
        <v>QC</v>
      </c>
      <c r="M16" s="3" t="str">
        <f ca="1">IFERROR(__xludf.DUMMYFUNCTION("""COMPUTED_VALUE"""),"POC")</f>
        <v>POC</v>
      </c>
      <c r="N16" s="157">
        <f ca="1">IFERROR(__xludf.DUMMYFUNCTION("""COMPUTED_VALUE"""),1)</f>
        <v>1</v>
      </c>
      <c r="O16" s="157">
        <f ca="1">IFERROR(__xludf.DUMMYFUNCTION("""COMPUTED_VALUE"""),5)</f>
        <v>5</v>
      </c>
      <c r="P16" s="157"/>
      <c r="Q16" s="3">
        <f t="shared" ca="1" si="0"/>
        <v>15</v>
      </c>
      <c r="R16" s="148" t="e">
        <f ca="1"/>
        <v>#NAME?</v>
      </c>
      <c r="S16" s="147" t="e">
        <f t="shared" ca="1" si="1"/>
        <v>#NAME?</v>
      </c>
      <c r="T16" s="147" t="e">
        <f t="shared" ca="1" si="2"/>
        <v>#NAME?</v>
      </c>
      <c r="U16" s="147" t="e">
        <f t="shared" ca="1" si="3"/>
        <v>#NAME?</v>
      </c>
      <c r="X16" s="147"/>
      <c r="Y16" s="147"/>
      <c r="Z16" s="147"/>
      <c r="AA16" s="147"/>
      <c r="AB16" s="147"/>
      <c r="AC16" s="147"/>
      <c r="AD16" s="147"/>
      <c r="AE16" s="147"/>
      <c r="AF16" s="147"/>
      <c r="AG16" s="147"/>
      <c r="AH16" s="147"/>
      <c r="AI16" s="147"/>
      <c r="AJ16" s="147"/>
      <c r="AK16" s="147"/>
      <c r="AL16" s="147"/>
      <c r="AM16" s="147"/>
      <c r="AN16" s="147"/>
      <c r="AO16" s="147"/>
      <c r="AP16" s="147"/>
      <c r="AQ16" s="147"/>
    </row>
    <row r="17" spans="1:43">
      <c r="A17" s="155" t="str">
        <f ca="1">IFERROR(__xludf.DUMMYFUNCTION("""COMPUTED_VALUE"""),"247300")</f>
        <v>247300</v>
      </c>
      <c r="B17" s="154" t="str">
        <f ca="1">IFERROR(__xludf.DUMMYFUNCTION("""COMPUTED_VALUE"""),"ĐỖ CHÂU BỬU")</f>
        <v>ĐỖ CHÂU BỬU</v>
      </c>
      <c r="C17" s="155" t="str">
        <f ca="1">IFERROR(__xludf.DUMMYFUNCTION("""COMPUTED_VALUE"""),"EL002")</f>
        <v>EL002</v>
      </c>
      <c r="D17" s="155" t="str">
        <f ca="1">IFERROR(__xludf.DUMMYFUNCTION("""COMPUTED_VALUE"""),"Buu Do 1")</f>
        <v>Buu Do 1</v>
      </c>
      <c r="E17" s="154" t="str">
        <f ca="1">IFERROR(__xludf.DUMMYFUNCTION("""COMPUTED_VALUE"""),"Communication 1")</f>
        <v>Communication 1</v>
      </c>
      <c r="F17" s="3" t="str">
        <f ca="1">IFERROR(__xludf.DUMMYFUNCTION("""COMPUTED_VALUE"""),"Pre-Intermediate")</f>
        <v>Pre-Intermediate</v>
      </c>
      <c r="G17" s="3"/>
      <c r="H17" s="156">
        <f ca="1">IFERROR(__xludf.DUMMYFUNCTION("""COMPUTED_VALUE"""),45715.4166666666)</f>
        <v>45715.416666666599</v>
      </c>
      <c r="I17" s="156">
        <f ca="1">IFERROR(__xludf.DUMMYFUNCTION("""COMPUTED_VALUE"""),45715.4166666666)</f>
        <v>45715.416666666599</v>
      </c>
      <c r="J17" s="3">
        <f ca="1">IFERROR(__xludf.DUMMYFUNCTION("""COMPUTED_VALUE"""),2.5)</f>
        <v>2.5</v>
      </c>
      <c r="K17" s="3" t="str">
        <f ca="1">IFERROR(__xludf.DUMMYFUNCTION("""COMPUTED_VALUE"""),"")</f>
        <v/>
      </c>
      <c r="L17" s="3" t="str">
        <f ca="1">IFERROR(__xludf.DUMMYFUNCTION("""COMPUTED_VALUE"""),"SM")</f>
        <v>SM</v>
      </c>
      <c r="M17" s="3" t="str">
        <f ca="1">IFERROR(__xludf.DUMMYFUNCTION("""COMPUTED_VALUE"""),"CHORUS")</f>
        <v>CHORUS</v>
      </c>
      <c r="N17" s="157">
        <f ca="1">IFERROR(__xludf.DUMMYFUNCTION("""COMPUTED_VALUE"""),2.5)</f>
        <v>2.5</v>
      </c>
      <c r="O17" s="157">
        <f ca="1">IFERROR(__xludf.DUMMYFUNCTION("""COMPUTED_VALUE"""),0)</f>
        <v>0</v>
      </c>
      <c r="P17" s="157"/>
      <c r="Q17" s="3">
        <f t="shared" ca="1" si="0"/>
        <v>16</v>
      </c>
      <c r="R17" s="148" t="e">
        <f ca="1"/>
        <v>#NAME?</v>
      </c>
      <c r="S17" s="147" t="e">
        <f t="shared" ca="1" si="1"/>
        <v>#NAME?</v>
      </c>
      <c r="T17" s="147" t="e">
        <f t="shared" ca="1" si="2"/>
        <v>#NAME?</v>
      </c>
      <c r="U17" s="147" t="e">
        <f t="shared" ca="1" si="3"/>
        <v>#NAME?</v>
      </c>
      <c r="X17" s="147"/>
      <c r="Y17" s="147"/>
      <c r="Z17" s="147"/>
      <c r="AA17" s="147"/>
      <c r="AB17" s="147"/>
      <c r="AC17" s="147"/>
      <c r="AD17" s="147"/>
      <c r="AE17" s="147"/>
      <c r="AF17" s="147"/>
      <c r="AG17" s="147"/>
      <c r="AH17" s="147"/>
      <c r="AI17" s="147"/>
      <c r="AJ17" s="147"/>
      <c r="AK17" s="147"/>
      <c r="AL17" s="147"/>
      <c r="AM17" s="147"/>
      <c r="AN17" s="147"/>
      <c r="AO17" s="147"/>
      <c r="AP17" s="147"/>
      <c r="AQ17" s="147"/>
    </row>
    <row r="18" spans="1:43">
      <c r="A18" s="160" t="str">
        <f ca="1">IFERROR(__xludf.DUMMYFUNCTION("""COMPUTED_VALUE"""),"247196")</f>
        <v>247196</v>
      </c>
      <c r="B18" s="3" t="str">
        <f ca="1">IFERROR(__xludf.DUMMYFUNCTION("""COMPUTED_VALUE"""),"ĐOÀN TRẦN BÁ ĐẠT")</f>
        <v>ĐOÀN TRẦN BÁ ĐẠT</v>
      </c>
      <c r="C18" s="160" t="str">
        <f ca="1">IFERROR(__xludf.DUMMYFUNCTION("""COMPUTED_VALUE"""),"EL002")</f>
        <v>EL002</v>
      </c>
      <c r="D18" s="160" t="str">
        <f ca="1">IFERROR(__xludf.DUMMYFUNCTION("""COMPUTED_VALUE"""),"Buu Do 1")</f>
        <v>Buu Do 1</v>
      </c>
      <c r="E18" s="3" t="str">
        <f ca="1">IFERROR(__xludf.DUMMYFUNCTION("""COMPUTED_VALUE"""),"Communication 1")</f>
        <v>Communication 1</v>
      </c>
      <c r="F18" s="3" t="str">
        <f ca="1">IFERROR(__xludf.DUMMYFUNCTION("""COMPUTED_VALUE"""),"Beginner")</f>
        <v>Beginner</v>
      </c>
      <c r="G18" s="3" t="str">
        <f ca="1">IFERROR(__xludf.DUMMYFUNCTION("""COMPUTED_VALUE"""),"Intermediate")</f>
        <v>Intermediate</v>
      </c>
      <c r="H18" s="156">
        <f ca="1">IFERROR(__xludf.DUMMYFUNCTION("""COMPUTED_VALUE"""),45715.4166666666)</f>
        <v>45715.416666666599</v>
      </c>
      <c r="I18" s="156">
        <f ca="1">IFERROR(__xludf.DUMMYFUNCTION("""COMPUTED_VALUE"""),45715.4166666666)</f>
        <v>45715.416666666599</v>
      </c>
      <c r="J18" s="3">
        <f ca="1">IFERROR(__xludf.DUMMYFUNCTION("""COMPUTED_VALUE"""),1)</f>
        <v>1</v>
      </c>
      <c r="K18" s="3">
        <f ca="1">IFERROR(__xludf.DUMMYFUNCTION("""COMPUTED_VALUE"""),4.5)</f>
        <v>4.5</v>
      </c>
      <c r="L18" s="3" t="str">
        <f ca="1">IFERROR(__xludf.DUMMYFUNCTION("""COMPUTED_VALUE"""),"DEV")</f>
        <v>DEV</v>
      </c>
      <c r="M18" s="3" t="str">
        <f ca="1">IFERROR(__xludf.DUMMYFUNCTION("""COMPUTED_VALUE"""),"CHORUS")</f>
        <v>CHORUS</v>
      </c>
      <c r="N18" s="157">
        <f ca="1">IFERROR(__xludf.DUMMYFUNCTION("""COMPUTED_VALUE"""),1)</f>
        <v>1</v>
      </c>
      <c r="O18" s="157">
        <f ca="1">IFERROR(__xludf.DUMMYFUNCTION("""COMPUTED_VALUE"""),4.5)</f>
        <v>4.5</v>
      </c>
      <c r="P18" s="157"/>
      <c r="Q18" s="3">
        <f t="shared" ca="1" si="0"/>
        <v>17</v>
      </c>
      <c r="R18" s="148" t="e">
        <f ca="1"/>
        <v>#NAME?</v>
      </c>
      <c r="S18" s="147" t="e">
        <f t="shared" ca="1" si="1"/>
        <v>#NAME?</v>
      </c>
      <c r="T18" s="147" t="e">
        <f t="shared" ca="1" si="2"/>
        <v>#NAME?</v>
      </c>
      <c r="U18" s="147" t="e">
        <f t="shared" ca="1" si="3"/>
        <v>#NAME?</v>
      </c>
      <c r="X18" s="147"/>
      <c r="Y18" s="147"/>
      <c r="Z18" s="147"/>
      <c r="AA18" s="147"/>
      <c r="AB18" s="147"/>
      <c r="AC18" s="147"/>
      <c r="AD18" s="147"/>
      <c r="AE18" s="147"/>
      <c r="AF18" s="147"/>
      <c r="AG18" s="147"/>
      <c r="AH18" s="147"/>
      <c r="AI18" s="147"/>
      <c r="AJ18" s="147"/>
      <c r="AK18" s="147"/>
      <c r="AL18" s="147"/>
      <c r="AM18" s="147"/>
      <c r="AN18" s="147"/>
      <c r="AO18" s="147"/>
      <c r="AP18" s="147"/>
      <c r="AQ18" s="147"/>
    </row>
    <row r="19" spans="1:43">
      <c r="A19" s="160" t="str">
        <f ca="1">IFERROR(__xludf.DUMMYFUNCTION("""COMPUTED_VALUE"""),"247200")</f>
        <v>247200</v>
      </c>
      <c r="B19" s="3" t="str">
        <f ca="1">IFERROR(__xludf.DUMMYFUNCTION("""COMPUTED_VALUE"""),"NGÔ TRỌNG NGHĨA")</f>
        <v>NGÔ TRỌNG NGHĨA</v>
      </c>
      <c r="C19" s="160" t="str">
        <f ca="1">IFERROR(__xludf.DUMMYFUNCTION("""COMPUTED_VALUE"""),"EL002")</f>
        <v>EL002</v>
      </c>
      <c r="D19" s="160" t="str">
        <f ca="1">IFERROR(__xludf.DUMMYFUNCTION("""COMPUTED_VALUE"""),"Buu Do 1")</f>
        <v>Buu Do 1</v>
      </c>
      <c r="E19" s="3" t="str">
        <f ca="1">IFERROR(__xludf.DUMMYFUNCTION("""COMPUTED_VALUE"""),"Communication 1")</f>
        <v>Communication 1</v>
      </c>
      <c r="F19" s="3" t="str">
        <f ca="1">IFERROR(__xludf.DUMMYFUNCTION("""COMPUTED_VALUE"""),"Beginner")</f>
        <v>Beginner</v>
      </c>
      <c r="G19" s="3" t="str">
        <f ca="1">IFERROR(__xludf.DUMMYFUNCTION("""COMPUTED_VALUE"""),"Pre-Intermediate 1")</f>
        <v>Pre-Intermediate 1</v>
      </c>
      <c r="H19" s="156">
        <f ca="1">IFERROR(__xludf.DUMMYFUNCTION("""COMPUTED_VALUE"""),45715.4166666666)</f>
        <v>45715.416666666599</v>
      </c>
      <c r="I19" s="156">
        <f ca="1">IFERROR(__xludf.DUMMYFUNCTION("""COMPUTED_VALUE"""),45715.4166666666)</f>
        <v>45715.416666666599</v>
      </c>
      <c r="J19" s="3">
        <f ca="1">IFERROR(__xludf.DUMMYFUNCTION("""COMPUTED_VALUE"""),1)</f>
        <v>1</v>
      </c>
      <c r="K19" s="3">
        <f ca="1">IFERROR(__xludf.DUMMYFUNCTION("""COMPUTED_VALUE"""),3)</f>
        <v>3</v>
      </c>
      <c r="L19" s="3" t="str">
        <f ca="1">IFERROR(__xludf.DUMMYFUNCTION("""COMPUTED_VALUE"""),"DEV")</f>
        <v>DEV</v>
      </c>
      <c r="M19" s="3" t="str">
        <f ca="1">IFERROR(__xludf.DUMMYFUNCTION("""COMPUTED_VALUE"""),"CHORUS")</f>
        <v>CHORUS</v>
      </c>
      <c r="N19" s="157">
        <f ca="1">IFERROR(__xludf.DUMMYFUNCTION("""COMPUTED_VALUE"""),1)</f>
        <v>1</v>
      </c>
      <c r="O19" s="157">
        <f ca="1">IFERROR(__xludf.DUMMYFUNCTION("""COMPUTED_VALUE"""),3)</f>
        <v>3</v>
      </c>
      <c r="P19" s="157"/>
      <c r="Q19" s="3">
        <f t="shared" ca="1" si="0"/>
        <v>18</v>
      </c>
      <c r="R19" s="148" t="e">
        <f ca="1"/>
        <v>#NAME?</v>
      </c>
      <c r="S19" s="147" t="e">
        <f t="shared" ca="1" si="1"/>
        <v>#NAME?</v>
      </c>
      <c r="T19" s="147" t="e">
        <f t="shared" ca="1" si="2"/>
        <v>#NAME?</v>
      </c>
      <c r="U19" s="147" t="e">
        <f t="shared" ca="1" si="3"/>
        <v>#NAME?</v>
      </c>
      <c r="X19" s="147"/>
      <c r="Y19" s="147"/>
      <c r="Z19" s="147"/>
      <c r="AA19" s="147"/>
      <c r="AB19" s="147"/>
      <c r="AC19" s="147"/>
      <c r="AD19" s="147"/>
      <c r="AE19" s="147"/>
      <c r="AF19" s="147"/>
      <c r="AG19" s="147"/>
      <c r="AH19" s="147"/>
      <c r="AI19" s="147"/>
      <c r="AJ19" s="147"/>
      <c r="AK19" s="147"/>
      <c r="AL19" s="147"/>
      <c r="AM19" s="147"/>
      <c r="AN19" s="147"/>
      <c r="AO19" s="147"/>
      <c r="AP19" s="147"/>
      <c r="AQ19" s="147"/>
    </row>
    <row r="20" spans="1:43">
      <c r="A20" s="160" t="str">
        <f ca="1">IFERROR(__xludf.DUMMYFUNCTION("""COMPUTED_VALUE"""),"247156")</f>
        <v>247156</v>
      </c>
      <c r="B20" s="3" t="str">
        <f ca="1">IFERROR(__xludf.DUMMYFUNCTION("""COMPUTED_VALUE"""),"NGUYỄN VĂN HOÀNG")</f>
        <v>NGUYỄN VĂN HOÀNG</v>
      </c>
      <c r="C20" s="160" t="str">
        <f ca="1">IFERROR(__xludf.DUMMYFUNCTION("""COMPUTED_VALUE"""),"EL002")</f>
        <v>EL002</v>
      </c>
      <c r="D20" s="160" t="str">
        <f ca="1">IFERROR(__xludf.DUMMYFUNCTION("""COMPUTED_VALUE"""),"Buu Do 1")</f>
        <v>Buu Do 1</v>
      </c>
      <c r="E20" s="3" t="str">
        <f ca="1">IFERROR(__xludf.DUMMYFUNCTION("""COMPUTED_VALUE"""),"Communication 1")</f>
        <v>Communication 1</v>
      </c>
      <c r="F20" s="3" t="str">
        <f ca="1">IFERROR(__xludf.DUMMYFUNCTION("""COMPUTED_VALUE"""),"Beginner")</f>
        <v>Beginner</v>
      </c>
      <c r="G20" s="3"/>
      <c r="H20" s="156">
        <f ca="1">IFERROR(__xludf.DUMMYFUNCTION("""COMPUTED_VALUE"""),45715.4166666666)</f>
        <v>45715.416666666599</v>
      </c>
      <c r="I20" s="156">
        <f ca="1">IFERROR(__xludf.DUMMYFUNCTION("""COMPUTED_VALUE"""),45715.4166666666)</f>
        <v>45715.416666666599</v>
      </c>
      <c r="J20" s="3">
        <f ca="1">IFERROR(__xludf.DUMMYFUNCTION("""COMPUTED_VALUE"""),1)</f>
        <v>1</v>
      </c>
      <c r="K20" s="3" t="str">
        <f ca="1">IFERROR(__xludf.DUMMYFUNCTION("""COMPUTED_VALUE"""),"")</f>
        <v/>
      </c>
      <c r="L20" s="3" t="str">
        <f ca="1">IFERROR(__xludf.DUMMYFUNCTION("""COMPUTED_VALUE"""),"TA")</f>
        <v>TA</v>
      </c>
      <c r="M20" s="3" t="str">
        <f ca="1">IFERROR(__xludf.DUMMYFUNCTION("""COMPUTED_VALUE"""),"CHORUS")</f>
        <v>CHORUS</v>
      </c>
      <c r="N20" s="157">
        <f ca="1">IFERROR(__xludf.DUMMYFUNCTION("""COMPUTED_VALUE"""),1)</f>
        <v>1</v>
      </c>
      <c r="O20" s="157">
        <f ca="1">IFERROR(__xludf.DUMMYFUNCTION("""COMPUTED_VALUE"""),0)</f>
        <v>0</v>
      </c>
      <c r="P20" s="157"/>
      <c r="Q20" s="3">
        <f t="shared" ca="1" si="0"/>
        <v>19</v>
      </c>
      <c r="R20" s="148" t="e">
        <f ca="1"/>
        <v>#NAME?</v>
      </c>
      <c r="S20" s="147" t="e">
        <f t="shared" ca="1" si="1"/>
        <v>#NAME?</v>
      </c>
      <c r="T20" s="147" t="e">
        <f t="shared" ca="1" si="2"/>
        <v>#NAME?</v>
      </c>
      <c r="U20" s="147" t="e">
        <f t="shared" ca="1" si="3"/>
        <v>#NAME?</v>
      </c>
      <c r="X20" s="147"/>
      <c r="Y20" s="147"/>
      <c r="Z20" s="147"/>
      <c r="AA20" s="147"/>
      <c r="AB20" s="147"/>
      <c r="AC20" s="147"/>
      <c r="AD20" s="147"/>
      <c r="AE20" s="147"/>
      <c r="AF20" s="147"/>
      <c r="AG20" s="147"/>
      <c r="AH20" s="147"/>
      <c r="AI20" s="147"/>
      <c r="AJ20" s="147"/>
      <c r="AK20" s="147"/>
      <c r="AL20" s="147"/>
      <c r="AM20" s="147"/>
      <c r="AN20" s="147"/>
      <c r="AO20" s="147"/>
      <c r="AP20" s="147"/>
      <c r="AQ20" s="147"/>
    </row>
    <row r="21" spans="1:43">
      <c r="A21" s="160" t="str">
        <f ca="1">IFERROR(__xludf.DUMMYFUNCTION("""COMPUTED_VALUE"""),"247192")</f>
        <v>247192</v>
      </c>
      <c r="B21" s="3" t="str">
        <f ca="1">IFERROR(__xludf.DUMMYFUNCTION("""COMPUTED_VALUE"""),"TRẦN ĐỨC LỢI")</f>
        <v>TRẦN ĐỨC LỢI</v>
      </c>
      <c r="C21" s="160" t="str">
        <f ca="1">IFERROR(__xludf.DUMMYFUNCTION("""COMPUTED_VALUE"""),"EL002")</f>
        <v>EL002</v>
      </c>
      <c r="D21" s="160" t="str">
        <f ca="1">IFERROR(__xludf.DUMMYFUNCTION("""COMPUTED_VALUE"""),"Buu Do 1")</f>
        <v>Buu Do 1</v>
      </c>
      <c r="E21" s="3" t="str">
        <f ca="1">IFERROR(__xludf.DUMMYFUNCTION("""COMPUTED_VALUE"""),"Communication 1")</f>
        <v>Communication 1</v>
      </c>
      <c r="F21" s="3" t="str">
        <f ca="1">IFERROR(__xludf.DUMMYFUNCTION("""COMPUTED_VALUE"""),"Beginner")</f>
        <v>Beginner</v>
      </c>
      <c r="G21" s="3"/>
      <c r="H21" s="156">
        <f ca="1">IFERROR(__xludf.DUMMYFUNCTION("""COMPUTED_VALUE"""),45715.4166666666)</f>
        <v>45715.416666666599</v>
      </c>
      <c r="I21" s="156">
        <f ca="1">IFERROR(__xludf.DUMMYFUNCTION("""COMPUTED_VALUE"""),45715.4166666666)</f>
        <v>45715.416666666599</v>
      </c>
      <c r="J21" s="3">
        <f ca="1">IFERROR(__xludf.DUMMYFUNCTION("""COMPUTED_VALUE"""),1)</f>
        <v>1</v>
      </c>
      <c r="K21" s="3" t="str">
        <f ca="1">IFERROR(__xludf.DUMMYFUNCTION("""COMPUTED_VALUE"""),"")</f>
        <v/>
      </c>
      <c r="L21" s="3" t="str">
        <f ca="1">IFERROR(__xludf.DUMMYFUNCTION("""COMPUTED_VALUE"""),"DEV")</f>
        <v>DEV</v>
      </c>
      <c r="M21" s="3" t="str">
        <f ca="1">IFERROR(__xludf.DUMMYFUNCTION("""COMPUTED_VALUE"""),"LBU")</f>
        <v>LBU</v>
      </c>
      <c r="N21" s="157">
        <f ca="1">IFERROR(__xludf.DUMMYFUNCTION("""COMPUTED_VALUE"""),1)</f>
        <v>1</v>
      </c>
      <c r="O21" s="157">
        <f ca="1">IFERROR(__xludf.DUMMYFUNCTION("""COMPUTED_VALUE"""),0)</f>
        <v>0</v>
      </c>
      <c r="P21" s="157"/>
      <c r="Q21" s="3">
        <f t="shared" ca="1" si="0"/>
        <v>20</v>
      </c>
      <c r="R21" s="148" t="e">
        <f ca="1"/>
        <v>#NAME?</v>
      </c>
      <c r="S21" s="147" t="e">
        <f t="shared" ca="1" si="1"/>
        <v>#NAME?</v>
      </c>
      <c r="T21" s="147" t="e">
        <f t="shared" ca="1" si="2"/>
        <v>#NAME?</v>
      </c>
      <c r="U21" s="147" t="e">
        <f t="shared" ca="1" si="3"/>
        <v>#NAME?</v>
      </c>
      <c r="X21" s="147"/>
      <c r="Y21" s="147"/>
      <c r="Z21" s="147"/>
      <c r="AA21" s="147"/>
      <c r="AB21" s="147"/>
      <c r="AC21" s="147"/>
      <c r="AD21" s="147"/>
      <c r="AE21" s="147"/>
      <c r="AF21" s="147"/>
      <c r="AG21" s="147"/>
      <c r="AH21" s="147"/>
      <c r="AI21" s="147"/>
      <c r="AJ21" s="147"/>
      <c r="AK21" s="147"/>
      <c r="AL21" s="147"/>
      <c r="AM21" s="147"/>
      <c r="AN21" s="147"/>
      <c r="AO21" s="147"/>
      <c r="AP21" s="147"/>
      <c r="AQ21" s="147"/>
    </row>
    <row r="22" spans="1:43">
      <c r="A22" s="160" t="str">
        <f ca="1">IFERROR(__xludf.DUMMYFUNCTION("""COMPUTED_VALUE"""),"247195")</f>
        <v>247195</v>
      </c>
      <c r="B22" s="3" t="str">
        <f ca="1">IFERROR(__xludf.DUMMYFUNCTION("""COMPUTED_VALUE"""),"TRƯƠNG ĐĂNG QUANG")</f>
        <v>TRƯƠNG ĐĂNG QUANG</v>
      </c>
      <c r="C22" s="160" t="str">
        <f ca="1">IFERROR(__xludf.DUMMYFUNCTION("""COMPUTED_VALUE"""),"EL002")</f>
        <v>EL002</v>
      </c>
      <c r="D22" s="160" t="str">
        <f ca="1">IFERROR(__xludf.DUMMYFUNCTION("""COMPUTED_VALUE"""),"Buu Do 1")</f>
        <v>Buu Do 1</v>
      </c>
      <c r="E22" s="3" t="str">
        <f ca="1">IFERROR(__xludf.DUMMYFUNCTION("""COMPUTED_VALUE"""),"Communication 1")</f>
        <v>Communication 1</v>
      </c>
      <c r="F22" s="3" t="str">
        <f ca="1">IFERROR(__xludf.DUMMYFUNCTION("""COMPUTED_VALUE"""),"Beginner")</f>
        <v>Beginner</v>
      </c>
      <c r="G22" s="3" t="str">
        <f ca="1">IFERROR(__xludf.DUMMYFUNCTION("""COMPUTED_VALUE"""),"Pre-Intermediate 1")</f>
        <v>Pre-Intermediate 1</v>
      </c>
      <c r="H22" s="156">
        <f ca="1">IFERROR(__xludf.DUMMYFUNCTION("""COMPUTED_VALUE"""),45715.4166666666)</f>
        <v>45715.416666666599</v>
      </c>
      <c r="I22" s="156">
        <f ca="1">IFERROR(__xludf.DUMMYFUNCTION("""COMPUTED_VALUE"""),45715.4166666666)</f>
        <v>45715.416666666599</v>
      </c>
      <c r="J22" s="3">
        <f ca="1">IFERROR(__xludf.DUMMYFUNCTION("""COMPUTED_VALUE"""),1)</f>
        <v>1</v>
      </c>
      <c r="K22" s="3">
        <f ca="1">IFERROR(__xludf.DUMMYFUNCTION("""COMPUTED_VALUE"""),3)</f>
        <v>3</v>
      </c>
      <c r="L22" s="3" t="str">
        <f ca="1">IFERROR(__xludf.DUMMYFUNCTION("""COMPUTED_VALUE"""),"DEV")</f>
        <v>DEV</v>
      </c>
      <c r="M22" s="3" t="str">
        <f ca="1">IFERROR(__xludf.DUMMYFUNCTION("""COMPUTED_VALUE"""),"CHORUS")</f>
        <v>CHORUS</v>
      </c>
      <c r="N22" s="157">
        <f ca="1">IFERROR(__xludf.DUMMYFUNCTION("""COMPUTED_VALUE"""),1)</f>
        <v>1</v>
      </c>
      <c r="O22" s="157">
        <f ca="1">IFERROR(__xludf.DUMMYFUNCTION("""COMPUTED_VALUE"""),3)</f>
        <v>3</v>
      </c>
      <c r="P22" s="157"/>
      <c r="Q22" s="3">
        <f t="shared" ca="1" si="0"/>
        <v>21</v>
      </c>
      <c r="R22" s="148" t="e">
        <f ca="1"/>
        <v>#NAME?</v>
      </c>
      <c r="S22" s="147" t="e">
        <f t="shared" ca="1" si="1"/>
        <v>#NAME?</v>
      </c>
      <c r="T22" s="147" t="e">
        <f t="shared" ca="1" si="2"/>
        <v>#NAME?</v>
      </c>
      <c r="U22" s="147" t="e">
        <f t="shared" ca="1" si="3"/>
        <v>#NAME?</v>
      </c>
      <c r="X22" s="147"/>
      <c r="Y22" s="147"/>
      <c r="Z22" s="147"/>
      <c r="AA22" s="147"/>
      <c r="AB22" s="147"/>
      <c r="AC22" s="147"/>
      <c r="AD22" s="147"/>
      <c r="AE22" s="147"/>
      <c r="AF22" s="147"/>
      <c r="AG22" s="147"/>
      <c r="AH22" s="147"/>
      <c r="AI22" s="147"/>
      <c r="AJ22" s="147"/>
      <c r="AK22" s="147"/>
      <c r="AL22" s="147"/>
      <c r="AM22" s="147"/>
      <c r="AN22" s="147"/>
      <c r="AO22" s="147"/>
      <c r="AP22" s="147"/>
      <c r="AQ22" s="147"/>
    </row>
    <row r="23" spans="1:43">
      <c r="A23" s="160" t="str">
        <f ca="1">IFERROR(__xludf.DUMMYFUNCTION("""COMPUTED_VALUE"""),"193547")</f>
        <v>193547</v>
      </c>
      <c r="B23" s="3" t="str">
        <f ca="1">IFERROR(__xludf.DUMMYFUNCTION("""COMPUTED_VALUE"""),"VĂN TÂN LỢI")</f>
        <v>VĂN TÂN LỢI</v>
      </c>
      <c r="C23" s="160" t="str">
        <f ca="1">IFERROR(__xludf.DUMMYFUNCTION("""COMPUTED_VALUE"""),"EL002")</f>
        <v>EL002</v>
      </c>
      <c r="D23" s="160" t="str">
        <f ca="1">IFERROR(__xludf.DUMMYFUNCTION("""COMPUTED_VALUE"""),"Buu Do 1")</f>
        <v>Buu Do 1</v>
      </c>
      <c r="E23" s="3" t="str">
        <f ca="1">IFERROR(__xludf.DUMMYFUNCTION("""COMPUTED_VALUE"""),"Communication 1")</f>
        <v>Communication 1</v>
      </c>
      <c r="F23" s="3" t="str">
        <f ca="1">IFERROR(__xludf.DUMMYFUNCTION("""COMPUTED_VALUE"""),"Beginner")</f>
        <v>Beginner</v>
      </c>
      <c r="G23" s="3" t="str">
        <f ca="1">IFERROR(__xludf.DUMMYFUNCTION("""COMPUTED_VALUE"""),"Pre-Intermediate 1")</f>
        <v>Pre-Intermediate 1</v>
      </c>
      <c r="H23" s="156">
        <f ca="1">IFERROR(__xludf.DUMMYFUNCTION("""COMPUTED_VALUE"""),45715.4166666666)</f>
        <v>45715.416666666599</v>
      </c>
      <c r="I23" s="156">
        <f ca="1">IFERROR(__xludf.DUMMYFUNCTION("""COMPUTED_VALUE"""),45715.4166666666)</f>
        <v>45715.416666666599</v>
      </c>
      <c r="J23" s="3">
        <f ca="1">IFERROR(__xludf.DUMMYFUNCTION("""COMPUTED_VALUE"""),1)</f>
        <v>1</v>
      </c>
      <c r="K23" s="3">
        <f ca="1">IFERROR(__xludf.DUMMYFUNCTION("""COMPUTED_VALUE"""),3)</f>
        <v>3</v>
      </c>
      <c r="L23" s="3" t="str">
        <f ca="1">IFERROR(__xludf.DUMMYFUNCTION("""COMPUTED_VALUE"""),"DEV")</f>
        <v>DEV</v>
      </c>
      <c r="M23" s="3" t="str">
        <f ca="1">IFERROR(__xludf.DUMMYFUNCTION("""COMPUTED_VALUE"""),"CHORUS")</f>
        <v>CHORUS</v>
      </c>
      <c r="N23" s="157">
        <f ca="1">IFERROR(__xludf.DUMMYFUNCTION("""COMPUTED_VALUE"""),1)</f>
        <v>1</v>
      </c>
      <c r="O23" s="157">
        <f ca="1">IFERROR(__xludf.DUMMYFUNCTION("""COMPUTED_VALUE"""),3)</f>
        <v>3</v>
      </c>
      <c r="P23" s="157"/>
      <c r="Q23" s="3">
        <f t="shared" ca="1" si="0"/>
        <v>22</v>
      </c>
      <c r="R23" s="148" t="e">
        <f ca="1"/>
        <v>#NAME?</v>
      </c>
      <c r="S23" s="147" t="e">
        <f t="shared" ca="1" si="1"/>
        <v>#NAME?</v>
      </c>
      <c r="T23" s="147" t="e">
        <f t="shared" ca="1" si="2"/>
        <v>#NAME?</v>
      </c>
      <c r="U23" s="147" t="e">
        <f t="shared" ca="1" si="3"/>
        <v>#NAME?</v>
      </c>
      <c r="X23" s="147"/>
      <c r="Y23" s="147"/>
      <c r="Z23" s="147"/>
      <c r="AA23" s="147"/>
      <c r="AB23" s="147"/>
      <c r="AC23" s="147"/>
      <c r="AD23" s="147"/>
      <c r="AE23" s="147"/>
      <c r="AF23" s="147"/>
      <c r="AG23" s="147"/>
      <c r="AH23" s="147"/>
      <c r="AI23" s="147"/>
      <c r="AJ23" s="147"/>
      <c r="AK23" s="147"/>
      <c r="AL23" s="147"/>
      <c r="AM23" s="147"/>
      <c r="AN23" s="147"/>
      <c r="AO23" s="147"/>
      <c r="AP23" s="147"/>
      <c r="AQ23" s="147"/>
    </row>
    <row r="24" spans="1:43">
      <c r="A24" s="160" t="str">
        <f ca="1">IFERROR(__xludf.DUMMYFUNCTION("""COMPUTED_VALUE"""),"247199")</f>
        <v>247199</v>
      </c>
      <c r="B24" s="3" t="str">
        <f ca="1">IFERROR(__xludf.DUMMYFUNCTION("""COMPUTED_VALUE"""),"VÕ PHÚ PHÁT")</f>
        <v>VÕ PHÚ PHÁT</v>
      </c>
      <c r="C24" s="160" t="str">
        <f ca="1">IFERROR(__xludf.DUMMYFUNCTION("""COMPUTED_VALUE"""),"EL002")</f>
        <v>EL002</v>
      </c>
      <c r="D24" s="160" t="str">
        <f ca="1">IFERROR(__xludf.DUMMYFUNCTION("""COMPUTED_VALUE"""),"Buu Do 1")</f>
        <v>Buu Do 1</v>
      </c>
      <c r="E24" s="3" t="str">
        <f ca="1">IFERROR(__xludf.DUMMYFUNCTION("""COMPUTED_VALUE"""),"Communication 1")</f>
        <v>Communication 1</v>
      </c>
      <c r="F24" s="3" t="str">
        <f ca="1">IFERROR(__xludf.DUMMYFUNCTION("""COMPUTED_VALUE"""),"Beginner")</f>
        <v>Beginner</v>
      </c>
      <c r="G24" s="3" t="str">
        <f ca="1">IFERROR(__xludf.DUMMYFUNCTION("""COMPUTED_VALUE"""),"Pre-Intermediate 2")</f>
        <v>Pre-Intermediate 2</v>
      </c>
      <c r="H24" s="156">
        <f ca="1">IFERROR(__xludf.DUMMYFUNCTION("""COMPUTED_VALUE"""),45715.4166666666)</f>
        <v>45715.416666666599</v>
      </c>
      <c r="I24" s="156">
        <f ca="1">IFERROR(__xludf.DUMMYFUNCTION("""COMPUTED_VALUE"""),45715.4166666666)</f>
        <v>45715.416666666599</v>
      </c>
      <c r="J24" s="3">
        <f ca="1">IFERROR(__xludf.DUMMYFUNCTION("""COMPUTED_VALUE"""),1)</f>
        <v>1</v>
      </c>
      <c r="K24" s="3">
        <f ca="1">IFERROR(__xludf.DUMMYFUNCTION("""COMPUTED_VALUE"""),3.5)</f>
        <v>3.5</v>
      </c>
      <c r="L24" s="3" t="str">
        <f ca="1">IFERROR(__xludf.DUMMYFUNCTION("""COMPUTED_VALUE"""),"DEV")</f>
        <v>DEV</v>
      </c>
      <c r="M24" s="3" t="str">
        <f ca="1">IFERROR(__xludf.DUMMYFUNCTION("""COMPUTED_VALUE"""),"CHORUS")</f>
        <v>CHORUS</v>
      </c>
      <c r="N24" s="157">
        <f ca="1">IFERROR(__xludf.DUMMYFUNCTION("""COMPUTED_VALUE"""),1)</f>
        <v>1</v>
      </c>
      <c r="O24" s="157">
        <f ca="1">IFERROR(__xludf.DUMMYFUNCTION("""COMPUTED_VALUE"""),3.5)</f>
        <v>3.5</v>
      </c>
      <c r="P24" s="157"/>
      <c r="Q24" s="3">
        <f t="shared" ca="1" si="0"/>
        <v>23</v>
      </c>
      <c r="R24" s="148" t="e">
        <f ca="1"/>
        <v>#NAME?</v>
      </c>
      <c r="S24" s="147" t="e">
        <f t="shared" ca="1" si="1"/>
        <v>#NAME?</v>
      </c>
      <c r="T24" s="147" t="e">
        <f t="shared" ca="1" si="2"/>
        <v>#NAME?</v>
      </c>
      <c r="U24" s="147" t="e">
        <f t="shared" ca="1" si="3"/>
        <v>#NAME?</v>
      </c>
      <c r="X24" s="147"/>
      <c r="Y24" s="147"/>
      <c r="Z24" s="147"/>
      <c r="AA24" s="147"/>
      <c r="AB24" s="147"/>
      <c r="AC24" s="147"/>
      <c r="AD24" s="147"/>
      <c r="AE24" s="147"/>
      <c r="AF24" s="147"/>
      <c r="AG24" s="147"/>
      <c r="AH24" s="147"/>
      <c r="AI24" s="147"/>
      <c r="AJ24" s="147"/>
      <c r="AK24" s="147"/>
      <c r="AL24" s="147"/>
      <c r="AM24" s="147"/>
      <c r="AN24" s="147"/>
      <c r="AO24" s="147"/>
      <c r="AP24" s="147"/>
      <c r="AQ24" s="147"/>
    </row>
    <row r="25" spans="1:43">
      <c r="A25" s="155" t="str">
        <f ca="1">IFERROR(__xludf.DUMMYFUNCTION("""COMPUTED_VALUE"""),"247405")</f>
        <v>247405</v>
      </c>
      <c r="B25" s="154" t="str">
        <f ca="1">IFERROR(__xludf.DUMMYFUNCTION("""COMPUTED_VALUE"""),"PHẠM LÊ HOÀI PHƯƠNG")</f>
        <v>PHẠM LÊ HOÀI PHƯƠNG</v>
      </c>
      <c r="C25" s="155" t="str">
        <f ca="1">IFERROR(__xludf.DUMMYFUNCTION("""COMPUTED_VALUE"""),"EL003")</f>
        <v>EL003</v>
      </c>
      <c r="D25" s="155" t="str">
        <f ca="1">IFERROR(__xludf.DUMMYFUNCTION("""COMPUTED_VALUE"""),"Buu Do 2")</f>
        <v>Buu Do 2</v>
      </c>
      <c r="E25" s="154" t="str">
        <f ca="1">IFERROR(__xludf.DUMMYFUNCTION("""COMPUTED_VALUE"""),"Communication 1")</f>
        <v>Communication 1</v>
      </c>
      <c r="F25" s="3" t="str">
        <f ca="1">IFERROR(__xludf.DUMMYFUNCTION("""COMPUTED_VALUE"""),"Beginner")</f>
        <v>Beginner</v>
      </c>
      <c r="G25" s="3" t="str">
        <f ca="1">IFERROR(__xludf.DUMMYFUNCTION("""COMPUTED_VALUE"""),"Pre-Intermediate 1")</f>
        <v>Pre-Intermediate 1</v>
      </c>
      <c r="H25" s="156">
        <f ca="1">IFERROR(__xludf.DUMMYFUNCTION("""COMPUTED_VALUE"""),45715.4583333333)</f>
        <v>45715.458333333299</v>
      </c>
      <c r="I25" s="156">
        <f ca="1">IFERROR(__xludf.DUMMYFUNCTION("""COMPUTED_VALUE"""),45715.4583333333)</f>
        <v>45715.458333333299</v>
      </c>
      <c r="J25" s="3">
        <f ca="1">IFERROR(__xludf.DUMMYFUNCTION("""COMPUTED_VALUE"""),1)</f>
        <v>1</v>
      </c>
      <c r="K25" s="3">
        <f ca="1">IFERROR(__xludf.DUMMYFUNCTION("""COMPUTED_VALUE"""),3)</f>
        <v>3</v>
      </c>
      <c r="L25" s="3" t="str">
        <f ca="1">IFERROR(__xludf.DUMMYFUNCTION("""COMPUTED_VALUE"""),"QC")</f>
        <v>QC</v>
      </c>
      <c r="M25" s="3" t="str">
        <f ca="1">IFERROR(__xludf.DUMMYFUNCTION("""COMPUTED_VALUE"""),"LBU")</f>
        <v>LBU</v>
      </c>
      <c r="N25" s="157">
        <f ca="1">IFERROR(__xludf.DUMMYFUNCTION("""COMPUTED_VALUE"""),1)</f>
        <v>1</v>
      </c>
      <c r="O25" s="157">
        <f ca="1">IFERROR(__xludf.DUMMYFUNCTION("""COMPUTED_VALUE"""),3)</f>
        <v>3</v>
      </c>
      <c r="P25" s="157"/>
      <c r="Q25" s="3">
        <f t="shared" ca="1" si="0"/>
        <v>24</v>
      </c>
      <c r="R25" s="148" t="e">
        <f ca="1"/>
        <v>#NAME?</v>
      </c>
      <c r="S25" s="147" t="e">
        <f t="shared" ca="1" si="1"/>
        <v>#NAME?</v>
      </c>
      <c r="T25" s="147" t="e">
        <f t="shared" ca="1" si="2"/>
        <v>#NAME?</v>
      </c>
      <c r="U25" s="147" t="e">
        <f t="shared" ca="1" si="3"/>
        <v>#NAME?</v>
      </c>
      <c r="X25" s="147"/>
      <c r="Y25" s="147"/>
      <c r="Z25" s="147"/>
      <c r="AA25" s="147"/>
      <c r="AB25" s="147"/>
      <c r="AC25" s="147"/>
      <c r="AD25" s="147"/>
      <c r="AE25" s="147"/>
      <c r="AF25" s="147"/>
      <c r="AG25" s="147"/>
      <c r="AH25" s="147"/>
      <c r="AI25" s="147"/>
      <c r="AJ25" s="147"/>
      <c r="AK25" s="147"/>
      <c r="AL25" s="147"/>
      <c r="AM25" s="147"/>
      <c r="AN25" s="147"/>
      <c r="AO25" s="147"/>
      <c r="AP25" s="147"/>
      <c r="AQ25" s="147"/>
    </row>
    <row r="26" spans="1:43">
      <c r="A26" s="160" t="str">
        <f ca="1">IFERROR(__xludf.DUMMYFUNCTION("""COMPUTED_VALUE"""),"247265")</f>
        <v>247265</v>
      </c>
      <c r="B26" s="3" t="str">
        <f ca="1">IFERROR(__xludf.DUMMYFUNCTION("""COMPUTED_VALUE"""),"NGÔ THỤY THANH NHƯ")</f>
        <v>NGÔ THỤY THANH NHƯ</v>
      </c>
      <c r="C26" s="160" t="str">
        <f ca="1">IFERROR(__xludf.DUMMYFUNCTION("""COMPUTED_VALUE"""),"EL003")</f>
        <v>EL003</v>
      </c>
      <c r="D26" s="160" t="str">
        <f ca="1">IFERROR(__xludf.DUMMYFUNCTION("""COMPUTED_VALUE"""),"Buu Do 2")</f>
        <v>Buu Do 2</v>
      </c>
      <c r="E26" s="3" t="str">
        <f ca="1">IFERROR(__xludf.DUMMYFUNCTION("""COMPUTED_VALUE"""),"Communication 1")</f>
        <v>Communication 1</v>
      </c>
      <c r="F26" s="3" t="str">
        <f ca="1">IFERROR(__xludf.DUMMYFUNCTION("""COMPUTED_VALUE"""),"Beginner")</f>
        <v>Beginner</v>
      </c>
      <c r="G26" s="3" t="str">
        <f ca="1">IFERROR(__xludf.DUMMYFUNCTION("""COMPUTED_VALUE"""),"Beginner")</f>
        <v>Beginner</v>
      </c>
      <c r="H26" s="156">
        <f ca="1">IFERROR(__xludf.DUMMYFUNCTION("""COMPUTED_VALUE"""),45715.4583333333)</f>
        <v>45715.458333333299</v>
      </c>
      <c r="I26" s="156">
        <f ca="1">IFERROR(__xludf.DUMMYFUNCTION("""COMPUTED_VALUE"""),45715.4583333333)</f>
        <v>45715.458333333299</v>
      </c>
      <c r="J26" s="3">
        <f ca="1">IFERROR(__xludf.DUMMYFUNCTION("""COMPUTED_VALUE"""),1)</f>
        <v>1</v>
      </c>
      <c r="K26" s="3">
        <f ca="1">IFERROR(__xludf.DUMMYFUNCTION("""COMPUTED_VALUE"""),1)</f>
        <v>1</v>
      </c>
      <c r="L26" s="3" t="str">
        <f ca="1">IFERROR(__xludf.DUMMYFUNCTION("""COMPUTED_VALUE"""),"UI/UX")</f>
        <v>UI/UX</v>
      </c>
      <c r="M26" s="3" t="str">
        <f ca="1">IFERROR(__xludf.DUMMYFUNCTION("""COMPUTED_VALUE"""),"CHORUS")</f>
        <v>CHORUS</v>
      </c>
      <c r="N26" s="157">
        <f ca="1">IFERROR(__xludf.DUMMYFUNCTION("""COMPUTED_VALUE"""),1)</f>
        <v>1</v>
      </c>
      <c r="O26" s="157">
        <f ca="1">IFERROR(__xludf.DUMMYFUNCTION("""COMPUTED_VALUE"""),3.5)</f>
        <v>3.5</v>
      </c>
      <c r="P26" s="157"/>
      <c r="Q26" s="3">
        <f t="shared" ca="1" si="0"/>
        <v>25</v>
      </c>
      <c r="R26" s="148" t="e">
        <f ca="1"/>
        <v>#NAME?</v>
      </c>
      <c r="S26" s="147" t="e">
        <f t="shared" ca="1" si="1"/>
        <v>#NAME?</v>
      </c>
      <c r="T26" s="147" t="e">
        <f t="shared" ca="1" si="2"/>
        <v>#NAME?</v>
      </c>
      <c r="U26" s="147" t="e">
        <f t="shared" ca="1" si="3"/>
        <v>#NAME?</v>
      </c>
      <c r="X26" s="147"/>
      <c r="Y26" s="147"/>
      <c r="Z26" s="147"/>
      <c r="AA26" s="147"/>
      <c r="AB26" s="147"/>
      <c r="AC26" s="147"/>
      <c r="AD26" s="147"/>
      <c r="AE26" s="147"/>
      <c r="AF26" s="147"/>
      <c r="AG26" s="147"/>
      <c r="AH26" s="147"/>
      <c r="AI26" s="147"/>
      <c r="AJ26" s="147"/>
      <c r="AK26" s="147"/>
      <c r="AL26" s="147"/>
      <c r="AM26" s="147"/>
      <c r="AN26" s="147"/>
      <c r="AO26" s="147"/>
      <c r="AP26" s="147"/>
      <c r="AQ26" s="147"/>
    </row>
    <row r="27" spans="1:43">
      <c r="A27" s="160" t="str">
        <f ca="1">IFERROR(__xludf.DUMMYFUNCTION("""COMPUTED_VALUE"""),"247264")</f>
        <v>247264</v>
      </c>
      <c r="B27" s="3" t="str">
        <f ca="1">IFERROR(__xludf.DUMMYFUNCTION("""COMPUTED_VALUE"""),"NGUYỄN NGỌC NGUYỆT NGÂN")</f>
        <v>NGUYỄN NGỌC NGUYỆT NGÂN</v>
      </c>
      <c r="C27" s="160" t="str">
        <f ca="1">IFERROR(__xludf.DUMMYFUNCTION("""COMPUTED_VALUE"""),"EL003")</f>
        <v>EL003</v>
      </c>
      <c r="D27" s="160" t="str">
        <f ca="1">IFERROR(__xludf.DUMMYFUNCTION("""COMPUTED_VALUE"""),"Buu Do 2")</f>
        <v>Buu Do 2</v>
      </c>
      <c r="E27" s="3" t="str">
        <f ca="1">IFERROR(__xludf.DUMMYFUNCTION("""COMPUTED_VALUE"""),"Communication 1")</f>
        <v>Communication 1</v>
      </c>
      <c r="F27" s="3" t="str">
        <f ca="1">IFERROR(__xludf.DUMMYFUNCTION("""COMPUTED_VALUE"""),"Beginner")</f>
        <v>Beginner</v>
      </c>
      <c r="G27" s="3" t="str">
        <f ca="1">IFERROR(__xludf.DUMMYFUNCTION("""COMPUTED_VALUE"""),"Beginner")</f>
        <v>Beginner</v>
      </c>
      <c r="H27" s="156">
        <f ca="1">IFERROR(__xludf.DUMMYFUNCTION("""COMPUTED_VALUE"""),45715.4583333333)</f>
        <v>45715.458333333299</v>
      </c>
      <c r="I27" s="156">
        <f ca="1">IFERROR(__xludf.DUMMYFUNCTION("""COMPUTED_VALUE"""),45715.4583333333)</f>
        <v>45715.458333333299</v>
      </c>
      <c r="J27" s="3">
        <f ca="1">IFERROR(__xludf.DUMMYFUNCTION("""COMPUTED_VALUE"""),1)</f>
        <v>1</v>
      </c>
      <c r="K27" s="3">
        <f ca="1">IFERROR(__xludf.DUMMYFUNCTION("""COMPUTED_VALUE"""),1)</f>
        <v>1</v>
      </c>
      <c r="L27" s="3" t="str">
        <f ca="1">IFERROR(__xludf.DUMMYFUNCTION("""COMPUTED_VALUE"""),"QC")</f>
        <v>QC</v>
      </c>
      <c r="M27" s="3" t="str">
        <f ca="1">IFERROR(__xludf.DUMMYFUNCTION("""COMPUTED_VALUE"""),"CHORUS")</f>
        <v>CHORUS</v>
      </c>
      <c r="N27" s="157">
        <f ca="1">IFERROR(__xludf.DUMMYFUNCTION("""COMPUTED_VALUE"""),1)</f>
        <v>1</v>
      </c>
      <c r="O27" s="157">
        <f ca="1">IFERROR(__xludf.DUMMYFUNCTION("""COMPUTED_VALUE"""),1)</f>
        <v>1</v>
      </c>
      <c r="P27" s="157"/>
      <c r="Q27" s="3">
        <f t="shared" ca="1" si="0"/>
        <v>26</v>
      </c>
      <c r="R27" s="148" t="e">
        <f ca="1"/>
        <v>#NAME?</v>
      </c>
      <c r="S27" s="147" t="e">
        <f t="shared" ca="1" si="1"/>
        <v>#NAME?</v>
      </c>
      <c r="T27" s="147" t="e">
        <f t="shared" ca="1" si="2"/>
        <v>#NAME?</v>
      </c>
      <c r="U27" s="147" t="e">
        <f t="shared" ca="1" si="3"/>
        <v>#NAME?</v>
      </c>
      <c r="X27" s="147"/>
      <c r="Y27" s="147"/>
      <c r="Z27" s="147"/>
      <c r="AA27" s="147"/>
      <c r="AB27" s="147"/>
      <c r="AC27" s="147"/>
      <c r="AD27" s="147"/>
      <c r="AE27" s="147"/>
      <c r="AF27" s="147"/>
      <c r="AG27" s="147"/>
      <c r="AH27" s="147"/>
      <c r="AI27" s="147"/>
      <c r="AJ27" s="147"/>
      <c r="AK27" s="147"/>
      <c r="AL27" s="147"/>
      <c r="AM27" s="147"/>
      <c r="AN27" s="147"/>
      <c r="AO27" s="147"/>
      <c r="AP27" s="147"/>
      <c r="AQ27" s="147"/>
    </row>
    <row r="28" spans="1:43">
      <c r="A28" s="160" t="str">
        <f ca="1">IFERROR(__xludf.DUMMYFUNCTION("""COMPUTED_VALUE"""),"247415")</f>
        <v>247415</v>
      </c>
      <c r="B28" s="3" t="str">
        <f ca="1">IFERROR(__xludf.DUMMYFUNCTION("""COMPUTED_VALUE"""),"NGUYỄN THỊ HIỀN NI")</f>
        <v>NGUYỄN THỊ HIỀN NI</v>
      </c>
      <c r="C28" s="160" t="str">
        <f ca="1">IFERROR(__xludf.DUMMYFUNCTION("""COMPUTED_VALUE"""),"EL003")</f>
        <v>EL003</v>
      </c>
      <c r="D28" s="160" t="str">
        <f ca="1">IFERROR(__xludf.DUMMYFUNCTION("""COMPUTED_VALUE"""),"Buu Do 2")</f>
        <v>Buu Do 2</v>
      </c>
      <c r="E28" s="3" t="str">
        <f ca="1">IFERROR(__xludf.DUMMYFUNCTION("""COMPUTED_VALUE"""),"Communication 1")</f>
        <v>Communication 1</v>
      </c>
      <c r="F28" s="3" t="str">
        <f ca="1">IFERROR(__xludf.DUMMYFUNCTION("""COMPUTED_VALUE"""),"Beginner")</f>
        <v>Beginner</v>
      </c>
      <c r="G28" s="3" t="str">
        <f ca="1">IFERROR(__xludf.DUMMYFUNCTION("""COMPUTED_VALUE"""),"Beginner")</f>
        <v>Beginner</v>
      </c>
      <c r="H28" s="156">
        <f ca="1">IFERROR(__xludf.DUMMYFUNCTION("""COMPUTED_VALUE"""),45715.4583333333)</f>
        <v>45715.458333333299</v>
      </c>
      <c r="I28" s="156">
        <f ca="1">IFERROR(__xludf.DUMMYFUNCTION("""COMPUTED_VALUE"""),45715.4583333333)</f>
        <v>45715.458333333299</v>
      </c>
      <c r="J28" s="3">
        <f ca="1">IFERROR(__xludf.DUMMYFUNCTION("""COMPUTED_VALUE"""),1)</f>
        <v>1</v>
      </c>
      <c r="K28" s="3">
        <f ca="1">IFERROR(__xludf.DUMMYFUNCTION("""COMPUTED_VALUE"""),1)</f>
        <v>1</v>
      </c>
      <c r="L28" s="3" t="str">
        <f ca="1">IFERROR(__xludf.DUMMYFUNCTION("""COMPUTED_VALUE"""),"QC")</f>
        <v>QC</v>
      </c>
      <c r="M28" s="3" t="str">
        <f ca="1">IFERROR(__xludf.DUMMYFUNCTION("""COMPUTED_VALUE"""),"LBU")</f>
        <v>LBU</v>
      </c>
      <c r="N28" s="157">
        <f ca="1">IFERROR(__xludf.DUMMYFUNCTION("""COMPUTED_VALUE"""),1)</f>
        <v>1</v>
      </c>
      <c r="O28" s="157">
        <f ca="1">IFERROR(__xludf.DUMMYFUNCTION("""COMPUTED_VALUE"""),3.5)</f>
        <v>3.5</v>
      </c>
      <c r="P28" s="157"/>
      <c r="Q28" s="3">
        <f t="shared" ca="1" si="0"/>
        <v>27</v>
      </c>
      <c r="R28" s="148" t="e">
        <f ca="1"/>
        <v>#NAME?</v>
      </c>
      <c r="S28" s="147" t="e">
        <f t="shared" ca="1" si="1"/>
        <v>#NAME?</v>
      </c>
      <c r="T28" s="147" t="e">
        <f t="shared" ca="1" si="2"/>
        <v>#NAME?</v>
      </c>
      <c r="U28" s="147" t="e">
        <f t="shared" ca="1" si="3"/>
        <v>#NAME?</v>
      </c>
      <c r="X28" s="147"/>
      <c r="Y28" s="147"/>
      <c r="Z28" s="147"/>
      <c r="AA28" s="147"/>
      <c r="AB28" s="147"/>
      <c r="AC28" s="147"/>
      <c r="AD28" s="147"/>
      <c r="AE28" s="147"/>
      <c r="AF28" s="147"/>
      <c r="AG28" s="147"/>
      <c r="AH28" s="147"/>
      <c r="AI28" s="147"/>
      <c r="AJ28" s="147"/>
      <c r="AK28" s="147"/>
      <c r="AL28" s="147"/>
      <c r="AM28" s="147"/>
      <c r="AN28" s="147"/>
      <c r="AO28" s="147"/>
      <c r="AP28" s="147"/>
      <c r="AQ28" s="147"/>
    </row>
    <row r="29" spans="1:43">
      <c r="A29" s="160" t="str">
        <f ca="1">IFERROR(__xludf.DUMMYFUNCTION("""COMPUTED_VALUE"""),"247360")</f>
        <v>247360</v>
      </c>
      <c r="B29" s="3" t="str">
        <f ca="1">IFERROR(__xludf.DUMMYFUNCTION("""COMPUTED_VALUE"""),"PHAN HỮU CƯỜNG")</f>
        <v>PHAN HỮU CƯỜNG</v>
      </c>
      <c r="C29" s="160" t="str">
        <f ca="1">IFERROR(__xludf.DUMMYFUNCTION("""COMPUTED_VALUE"""),"EL003")</f>
        <v>EL003</v>
      </c>
      <c r="D29" s="160" t="str">
        <f ca="1">IFERROR(__xludf.DUMMYFUNCTION("""COMPUTED_VALUE"""),"Buu Do 2")</f>
        <v>Buu Do 2</v>
      </c>
      <c r="E29" s="3" t="str">
        <f ca="1">IFERROR(__xludf.DUMMYFUNCTION("""COMPUTED_VALUE"""),"Communication 1")</f>
        <v>Communication 1</v>
      </c>
      <c r="F29" s="3" t="str">
        <f ca="1">IFERROR(__xludf.DUMMYFUNCTION("""COMPUTED_VALUE"""),"Beginner")</f>
        <v>Beginner</v>
      </c>
      <c r="G29" s="3" t="str">
        <f ca="1">IFERROR(__xludf.DUMMYFUNCTION("""COMPUTED_VALUE"""),"Beginner")</f>
        <v>Beginner</v>
      </c>
      <c r="H29" s="156">
        <f ca="1">IFERROR(__xludf.DUMMYFUNCTION("""COMPUTED_VALUE"""),45715.4583333333)</f>
        <v>45715.458333333299</v>
      </c>
      <c r="I29" s="156">
        <f ca="1">IFERROR(__xludf.DUMMYFUNCTION("""COMPUTED_VALUE"""),45715.4583333333)</f>
        <v>45715.458333333299</v>
      </c>
      <c r="J29" s="3">
        <f ca="1">IFERROR(__xludf.DUMMYFUNCTION("""COMPUTED_VALUE"""),1)</f>
        <v>1</v>
      </c>
      <c r="K29" s="3">
        <f ca="1">IFERROR(__xludf.DUMMYFUNCTION("""COMPUTED_VALUE"""),1)</f>
        <v>1</v>
      </c>
      <c r="L29" s="3" t="str">
        <f ca="1">IFERROR(__xludf.DUMMYFUNCTION("""COMPUTED_VALUE"""),"QC")</f>
        <v>QC</v>
      </c>
      <c r="M29" s="3" t="str">
        <f ca="1">IFERROR(__xludf.DUMMYFUNCTION("""COMPUTED_VALUE"""),"CHORUS")</f>
        <v>CHORUS</v>
      </c>
      <c r="N29" s="157">
        <f ca="1">IFERROR(__xludf.DUMMYFUNCTION("""COMPUTED_VALUE"""),1)</f>
        <v>1</v>
      </c>
      <c r="O29" s="157">
        <f ca="1">IFERROR(__xludf.DUMMYFUNCTION("""COMPUTED_VALUE"""),1)</f>
        <v>1</v>
      </c>
      <c r="P29" s="157"/>
      <c r="Q29" s="3">
        <f t="shared" ca="1" si="0"/>
        <v>28</v>
      </c>
      <c r="R29" s="148" t="e">
        <f ca="1"/>
        <v>#NAME?</v>
      </c>
      <c r="S29" s="147" t="e">
        <f t="shared" ca="1" si="1"/>
        <v>#NAME?</v>
      </c>
      <c r="T29" s="147" t="e">
        <f t="shared" ca="1" si="2"/>
        <v>#NAME?</v>
      </c>
      <c r="U29" s="147" t="e">
        <f t="shared" ca="1" si="3"/>
        <v>#NAME?</v>
      </c>
      <c r="X29" s="147"/>
      <c r="Y29" s="147"/>
      <c r="Z29" s="147"/>
      <c r="AA29" s="147"/>
      <c r="AB29" s="147"/>
      <c r="AC29" s="147"/>
      <c r="AD29" s="147"/>
      <c r="AE29" s="147"/>
      <c r="AF29" s="147"/>
      <c r="AG29" s="147"/>
      <c r="AH29" s="147"/>
      <c r="AI29" s="147"/>
      <c r="AJ29" s="147"/>
      <c r="AK29" s="147"/>
      <c r="AL29" s="147"/>
      <c r="AM29" s="147"/>
      <c r="AN29" s="147"/>
      <c r="AO29" s="147"/>
      <c r="AP29" s="147"/>
      <c r="AQ29" s="147"/>
    </row>
    <row r="30" spans="1:43">
      <c r="A30" s="160" t="str">
        <f ca="1">IFERROR(__xludf.DUMMYFUNCTION("""COMPUTED_VALUE"""),"247298")</f>
        <v>247298</v>
      </c>
      <c r="B30" s="3" t="str">
        <f ca="1">IFERROR(__xludf.DUMMYFUNCTION("""COMPUTED_VALUE"""),"NGUYỄN LÊ KHOA")</f>
        <v>NGUYỄN LÊ KHOA</v>
      </c>
      <c r="C30" s="160" t="str">
        <f ca="1">IFERROR(__xludf.DUMMYFUNCTION("""COMPUTED_VALUE"""),"EL003")</f>
        <v>EL003</v>
      </c>
      <c r="D30" s="160" t="str">
        <f ca="1">IFERROR(__xludf.DUMMYFUNCTION("""COMPUTED_VALUE"""),"Buu Do 2")</f>
        <v>Buu Do 2</v>
      </c>
      <c r="E30" s="3" t="str">
        <f ca="1">IFERROR(__xludf.DUMMYFUNCTION("""COMPUTED_VALUE"""),"Communication 1")</f>
        <v>Communication 1</v>
      </c>
      <c r="F30" s="3" t="str">
        <f ca="1">IFERROR(__xludf.DUMMYFUNCTION("""COMPUTED_VALUE"""),"Pre-Intermediate")</f>
        <v>Pre-Intermediate</v>
      </c>
      <c r="G30" s="3" t="str">
        <f ca="1">IFERROR(__xludf.DUMMYFUNCTION("""COMPUTED_VALUE"""),"Pre-Intermediate 2")</f>
        <v>Pre-Intermediate 2</v>
      </c>
      <c r="H30" s="156">
        <f ca="1">IFERROR(__xludf.DUMMYFUNCTION("""COMPUTED_VALUE"""),45715.4583333333)</f>
        <v>45715.458333333299</v>
      </c>
      <c r="I30" s="156">
        <f ca="1">IFERROR(__xludf.DUMMYFUNCTION("""COMPUTED_VALUE"""),45715.4583333333)</f>
        <v>45715.458333333299</v>
      </c>
      <c r="J30" s="3">
        <f ca="1">IFERROR(__xludf.DUMMYFUNCTION("""COMPUTED_VALUE"""),2.5)</f>
        <v>2.5</v>
      </c>
      <c r="K30" s="3">
        <f ca="1">IFERROR(__xludf.DUMMYFUNCTION("""COMPUTED_VALUE"""),3.5)</f>
        <v>3.5</v>
      </c>
      <c r="L30" s="3" t="str">
        <f ca="1">IFERROR(__xludf.DUMMYFUNCTION("""COMPUTED_VALUE"""),"UI/UX")</f>
        <v>UI/UX</v>
      </c>
      <c r="M30" s="3" t="str">
        <f ca="1">IFERROR(__xludf.DUMMYFUNCTION("""COMPUTED_VALUE"""),"LBU")</f>
        <v>LBU</v>
      </c>
      <c r="N30" s="157">
        <f ca="1">IFERROR(__xludf.DUMMYFUNCTION("""COMPUTED_VALUE"""),2.5)</f>
        <v>2.5</v>
      </c>
      <c r="O30" s="157">
        <f ca="1">IFERROR(__xludf.DUMMYFUNCTION("""COMPUTED_VALUE"""),3.5)</f>
        <v>3.5</v>
      </c>
      <c r="P30" s="157"/>
      <c r="Q30" s="3">
        <f t="shared" ca="1" si="0"/>
        <v>29</v>
      </c>
      <c r="R30" s="148" t="e">
        <f ca="1"/>
        <v>#NAME?</v>
      </c>
      <c r="S30" s="147" t="e">
        <f t="shared" ca="1" si="1"/>
        <v>#NAME?</v>
      </c>
      <c r="T30" s="147" t="e">
        <f t="shared" ca="1" si="2"/>
        <v>#NAME?</v>
      </c>
      <c r="U30" s="147" t="e">
        <f t="shared" ca="1" si="3"/>
        <v>#NAME?</v>
      </c>
      <c r="X30" s="147"/>
      <c r="Y30" s="147"/>
      <c r="Z30" s="147"/>
      <c r="AA30" s="147"/>
      <c r="AB30" s="147"/>
      <c r="AC30" s="147"/>
      <c r="AD30" s="147"/>
      <c r="AE30" s="147"/>
      <c r="AF30" s="147"/>
      <c r="AG30" s="147"/>
      <c r="AH30" s="147"/>
      <c r="AI30" s="147"/>
      <c r="AJ30" s="147"/>
      <c r="AK30" s="147"/>
      <c r="AL30" s="147"/>
      <c r="AM30" s="147"/>
      <c r="AN30" s="147"/>
      <c r="AO30" s="147"/>
      <c r="AP30" s="147"/>
      <c r="AQ30" s="147"/>
    </row>
    <row r="31" spans="1:43">
      <c r="A31" s="155" t="str">
        <f ca="1">IFERROR(__xludf.DUMMYFUNCTION("""COMPUTED_VALUE"""),"193529")</f>
        <v>193529</v>
      </c>
      <c r="B31" s="154" t="str">
        <f ca="1">IFERROR(__xludf.DUMMYFUNCTION("""COMPUTED_VALUE"""),"NGUYỄN VĂN MẠNH CƯỜNG")</f>
        <v>NGUYỄN VĂN MẠNH CƯỜNG</v>
      </c>
      <c r="C31" s="155" t="str">
        <f ca="1">IFERROR(__xludf.DUMMYFUNCTION("""COMPUTED_VALUE"""),"EL004")</f>
        <v>EL004</v>
      </c>
      <c r="D31" s="155" t="str">
        <f ca="1">IFERROR(__xludf.DUMMYFUNCTION("""COMPUTED_VALUE"""),"Cuong Nguyen")</f>
        <v>Cuong Nguyen</v>
      </c>
      <c r="E31" s="154" t="str">
        <f ca="1">IFERROR(__xludf.DUMMYFUNCTION("""COMPUTED_VALUE"""),"Communication 1")</f>
        <v>Communication 1</v>
      </c>
      <c r="F31" s="3" t="str">
        <f ca="1">IFERROR(__xludf.DUMMYFUNCTION("""COMPUTED_VALUE"""),"Pre-Intermediate")</f>
        <v>Pre-Intermediate</v>
      </c>
      <c r="G31" s="3" t="str">
        <f ca="1">IFERROR(__xludf.DUMMYFUNCTION("""COMPUTED_VALUE"""),"Pre-Intermediate 2")</f>
        <v>Pre-Intermediate 2</v>
      </c>
      <c r="H31" s="156">
        <f ca="1">IFERROR(__xludf.DUMMYFUNCTION("""COMPUTED_VALUE"""),45639.5833333333)</f>
        <v>45639.583333333299</v>
      </c>
      <c r="I31" s="156">
        <f ca="1">IFERROR(__xludf.DUMMYFUNCTION("""COMPUTED_VALUE"""),45639.5833333333)</f>
        <v>45639.583333333299</v>
      </c>
      <c r="J31" s="3">
        <f ca="1">IFERROR(__xludf.DUMMYFUNCTION("""COMPUTED_VALUE"""),2.5)</f>
        <v>2.5</v>
      </c>
      <c r="K31" s="3">
        <f ca="1">IFERROR(__xludf.DUMMYFUNCTION("""COMPUTED_VALUE"""),3.5)</f>
        <v>3.5</v>
      </c>
      <c r="L31" s="3" t="str">
        <f ca="1">IFERROR(__xludf.DUMMYFUNCTION("""COMPUTED_VALUE"""),"DEV")</f>
        <v>DEV</v>
      </c>
      <c r="M31" s="3" t="str">
        <f ca="1">IFERROR(__xludf.DUMMYFUNCTION("""COMPUTED_VALUE"""),"ONC")</f>
        <v>ONC</v>
      </c>
      <c r="N31" s="157">
        <f ca="1">IFERROR(__xludf.DUMMYFUNCTION("""COMPUTED_VALUE"""),2.5)</f>
        <v>2.5</v>
      </c>
      <c r="O31" s="157">
        <f ca="1">IFERROR(__xludf.DUMMYFUNCTION("""COMPUTED_VALUE"""),5)</f>
        <v>5</v>
      </c>
      <c r="P31" s="157"/>
      <c r="Q31" s="3">
        <f t="shared" ca="1" si="0"/>
        <v>30</v>
      </c>
      <c r="R31" s="148" t="e">
        <f ca="1"/>
        <v>#NAME?</v>
      </c>
      <c r="S31" s="147" t="e">
        <f t="shared" ca="1" si="1"/>
        <v>#NAME?</v>
      </c>
      <c r="T31" s="147" t="e">
        <f t="shared" ca="1" si="2"/>
        <v>#NAME?</v>
      </c>
      <c r="U31" s="147" t="e">
        <f t="shared" ca="1" si="3"/>
        <v>#NAME?</v>
      </c>
      <c r="X31" s="147"/>
      <c r="Y31" s="147"/>
      <c r="Z31" s="147"/>
      <c r="AA31" s="147"/>
      <c r="AB31" s="147"/>
      <c r="AC31" s="147"/>
      <c r="AD31" s="147"/>
      <c r="AE31" s="147"/>
      <c r="AF31" s="147"/>
      <c r="AG31" s="147"/>
      <c r="AH31" s="147"/>
      <c r="AI31" s="147"/>
      <c r="AJ31" s="147"/>
      <c r="AK31" s="147"/>
      <c r="AL31" s="147"/>
      <c r="AM31" s="147"/>
      <c r="AN31" s="147"/>
      <c r="AO31" s="147"/>
      <c r="AP31" s="147"/>
      <c r="AQ31" s="147"/>
    </row>
    <row r="32" spans="1:43">
      <c r="A32" s="160" t="str">
        <f ca="1">IFERROR(__xludf.DUMMYFUNCTION("""COMPUTED_VALUE"""),"193479")</f>
        <v>193479</v>
      </c>
      <c r="B32" s="3" t="str">
        <f ca="1">IFERROR(__xludf.DUMMYFUNCTION("""COMPUTED_VALUE"""),"BÙI NGỌC QUỐC")</f>
        <v>BÙI NGỌC QUỐC</v>
      </c>
      <c r="C32" s="160" t="str">
        <f ca="1">IFERROR(__xludf.DUMMYFUNCTION("""COMPUTED_VALUE"""),"EL004")</f>
        <v>EL004</v>
      </c>
      <c r="D32" s="160" t="str">
        <f ca="1">IFERROR(__xludf.DUMMYFUNCTION("""COMPUTED_VALUE"""),"Cuong Nguyen")</f>
        <v>Cuong Nguyen</v>
      </c>
      <c r="E32" s="3" t="str">
        <f ca="1">IFERROR(__xludf.DUMMYFUNCTION("""COMPUTED_VALUE"""),"Communication 1")</f>
        <v>Communication 1</v>
      </c>
      <c r="F32" s="3" t="str">
        <f ca="1">IFERROR(__xludf.DUMMYFUNCTION("""COMPUTED_VALUE"""),"Beginner")</f>
        <v>Beginner</v>
      </c>
      <c r="G32" s="3" t="str">
        <f ca="1">IFERROR(__xludf.DUMMYFUNCTION("""COMPUTED_VALUE"""),"Beginner")</f>
        <v>Beginner</v>
      </c>
      <c r="H32" s="156">
        <f ca="1">IFERROR(__xludf.DUMMYFUNCTION("""COMPUTED_VALUE"""),45639.5833333333)</f>
        <v>45639.583333333299</v>
      </c>
      <c r="I32" s="156">
        <f ca="1">IFERROR(__xludf.DUMMYFUNCTION("""COMPUTED_VALUE"""),45639.5833333333)</f>
        <v>45639.583333333299</v>
      </c>
      <c r="J32" s="3">
        <f ca="1">IFERROR(__xludf.DUMMYFUNCTION("""COMPUTED_VALUE"""),1)</f>
        <v>1</v>
      </c>
      <c r="K32" s="3">
        <f ca="1">IFERROR(__xludf.DUMMYFUNCTION("""COMPUTED_VALUE"""),1)</f>
        <v>1</v>
      </c>
      <c r="L32" s="3" t="str">
        <f ca="1">IFERROR(__xludf.DUMMYFUNCTION("""COMPUTED_VALUE"""),"DEV")</f>
        <v>DEV</v>
      </c>
      <c r="M32" s="3" t="str">
        <f ca="1">IFERROR(__xludf.DUMMYFUNCTION("""COMPUTED_VALUE"""),"ONC")</f>
        <v>ONC</v>
      </c>
      <c r="N32" s="157">
        <f ca="1">IFERROR(__xludf.DUMMYFUNCTION("""COMPUTED_VALUE"""),1)</f>
        <v>1</v>
      </c>
      <c r="O32" s="157">
        <f ca="1">IFERROR(__xludf.DUMMYFUNCTION("""COMPUTED_VALUE"""),3.5)</f>
        <v>3.5</v>
      </c>
      <c r="P32" s="157"/>
      <c r="Q32" s="3">
        <f t="shared" ca="1" si="0"/>
        <v>31</v>
      </c>
      <c r="R32" s="148" t="e">
        <f ca="1"/>
        <v>#NAME?</v>
      </c>
      <c r="S32" s="147" t="e">
        <f t="shared" ca="1" si="1"/>
        <v>#NAME?</v>
      </c>
      <c r="T32" s="147" t="e">
        <f t="shared" ca="1" si="2"/>
        <v>#NAME?</v>
      </c>
      <c r="U32" s="147" t="e">
        <f t="shared" ca="1" si="3"/>
        <v>#NAME?</v>
      </c>
      <c r="X32" s="147"/>
      <c r="Y32" s="147"/>
      <c r="Z32" s="147"/>
      <c r="AA32" s="147"/>
      <c r="AB32" s="147"/>
      <c r="AC32" s="147"/>
      <c r="AD32" s="147"/>
      <c r="AE32" s="147"/>
      <c r="AF32" s="147"/>
      <c r="AG32" s="147"/>
      <c r="AH32" s="147"/>
      <c r="AI32" s="147"/>
      <c r="AJ32" s="147"/>
      <c r="AK32" s="147"/>
      <c r="AL32" s="147"/>
      <c r="AM32" s="147"/>
      <c r="AN32" s="147"/>
      <c r="AO32" s="147"/>
      <c r="AP32" s="147"/>
      <c r="AQ32" s="147"/>
    </row>
    <row r="33" spans="1:43">
      <c r="A33" s="160" t="str">
        <f ca="1">IFERROR(__xludf.DUMMYFUNCTION("""COMPUTED_VALUE"""),"213811")</f>
        <v>213811</v>
      </c>
      <c r="B33" s="3" t="str">
        <f ca="1">IFERROR(__xludf.DUMMYFUNCTION("""COMPUTED_VALUE"""),"ĐẶNG QUỐC MẠNH")</f>
        <v>ĐẶNG QUỐC MẠNH</v>
      </c>
      <c r="C33" s="160" t="str">
        <f ca="1">IFERROR(__xludf.DUMMYFUNCTION("""COMPUTED_VALUE"""),"EL004")</f>
        <v>EL004</v>
      </c>
      <c r="D33" s="160" t="str">
        <f ca="1">IFERROR(__xludf.DUMMYFUNCTION("""COMPUTED_VALUE"""),"Cuong Nguyen")</f>
        <v>Cuong Nguyen</v>
      </c>
      <c r="E33" s="3" t="str">
        <f ca="1">IFERROR(__xludf.DUMMYFUNCTION("""COMPUTED_VALUE"""),"Communication 1")</f>
        <v>Communication 1</v>
      </c>
      <c r="F33" s="3" t="str">
        <f ca="1">IFERROR(__xludf.DUMMYFUNCTION("""COMPUTED_VALUE"""),"Beginner")</f>
        <v>Beginner</v>
      </c>
      <c r="G33" s="3" t="str">
        <f ca="1">IFERROR(__xludf.DUMMYFUNCTION("""COMPUTED_VALUE"""),"Intermediate 1")</f>
        <v>Intermediate 1</v>
      </c>
      <c r="H33" s="156">
        <f ca="1">IFERROR(__xludf.DUMMYFUNCTION("""COMPUTED_VALUE"""),45639.5833333333)</f>
        <v>45639.583333333299</v>
      </c>
      <c r="I33" s="156">
        <f ca="1">IFERROR(__xludf.DUMMYFUNCTION("""COMPUTED_VALUE"""),45639.5833333333)</f>
        <v>45639.583333333299</v>
      </c>
      <c r="J33" s="3">
        <f ca="1">IFERROR(__xludf.DUMMYFUNCTION("""COMPUTED_VALUE"""),1)</f>
        <v>1</v>
      </c>
      <c r="K33" s="3">
        <f ca="1">IFERROR(__xludf.DUMMYFUNCTION("""COMPUTED_VALUE"""),5)</f>
        <v>5</v>
      </c>
      <c r="L33" s="3" t="str">
        <f ca="1">IFERROR(__xludf.DUMMYFUNCTION("""COMPUTED_VALUE"""),"DEV")</f>
        <v>DEV</v>
      </c>
      <c r="M33" s="3" t="str">
        <f ca="1">IFERROR(__xludf.DUMMYFUNCTION("""COMPUTED_VALUE"""),"ONC")</f>
        <v>ONC</v>
      </c>
      <c r="N33" s="157">
        <f ca="1">IFERROR(__xludf.DUMMYFUNCTION("""COMPUTED_VALUE"""),1)</f>
        <v>1</v>
      </c>
      <c r="O33" s="157">
        <f ca="1">IFERROR(__xludf.DUMMYFUNCTION("""COMPUTED_VALUE"""),5)</f>
        <v>5</v>
      </c>
      <c r="P33" s="157"/>
      <c r="Q33" s="3">
        <f t="shared" ca="1" si="0"/>
        <v>32</v>
      </c>
      <c r="R33" s="148" t="e">
        <f ca="1"/>
        <v>#NAME?</v>
      </c>
      <c r="S33" s="147" t="e">
        <f t="shared" ca="1" si="1"/>
        <v>#NAME?</v>
      </c>
      <c r="T33" s="147" t="e">
        <f t="shared" ca="1" si="2"/>
        <v>#NAME?</v>
      </c>
      <c r="U33" s="147" t="e">
        <f t="shared" ca="1" si="3"/>
        <v>#NAME?</v>
      </c>
      <c r="X33" s="147"/>
      <c r="Y33" s="147"/>
      <c r="Z33" s="147"/>
      <c r="AA33" s="147"/>
      <c r="AB33" s="147"/>
      <c r="AC33" s="147"/>
      <c r="AD33" s="147"/>
      <c r="AE33" s="147"/>
      <c r="AF33" s="147"/>
      <c r="AG33" s="147"/>
      <c r="AH33" s="147"/>
      <c r="AI33" s="147"/>
      <c r="AJ33" s="147"/>
      <c r="AK33" s="147"/>
      <c r="AL33" s="147"/>
      <c r="AM33" s="147"/>
      <c r="AN33" s="147"/>
      <c r="AO33" s="147"/>
      <c r="AP33" s="147"/>
      <c r="AQ33" s="147"/>
    </row>
    <row r="34" spans="1:43">
      <c r="A34" s="160" t="str">
        <f ca="1">IFERROR(__xludf.DUMMYFUNCTION("""COMPUTED_VALUE"""),"183431")</f>
        <v>183431</v>
      </c>
      <c r="B34" s="3" t="str">
        <f ca="1">IFERROR(__xludf.DUMMYFUNCTION("""COMPUTED_VALUE"""),"HOÀNG XUÂN MẪN")</f>
        <v>HOÀNG XUÂN MẪN</v>
      </c>
      <c r="C34" s="160" t="str">
        <f ca="1">IFERROR(__xludf.DUMMYFUNCTION("""COMPUTED_VALUE"""),"EL004")</f>
        <v>EL004</v>
      </c>
      <c r="D34" s="160" t="str">
        <f ca="1">IFERROR(__xludf.DUMMYFUNCTION("""COMPUTED_VALUE"""),"Cuong Nguyen")</f>
        <v>Cuong Nguyen</v>
      </c>
      <c r="E34" s="3" t="str">
        <f ca="1">IFERROR(__xludf.DUMMYFUNCTION("""COMPUTED_VALUE"""),"Communication 1")</f>
        <v>Communication 1</v>
      </c>
      <c r="F34" s="3" t="str">
        <f ca="1">IFERROR(__xludf.DUMMYFUNCTION("""COMPUTED_VALUE"""),"Beginner")</f>
        <v>Beginner</v>
      </c>
      <c r="G34" s="3" t="str">
        <f ca="1">IFERROR(__xludf.DUMMYFUNCTION("""COMPUTED_VALUE"""),"Beginner 2")</f>
        <v>Beginner 2</v>
      </c>
      <c r="H34" s="156">
        <f ca="1">IFERROR(__xludf.DUMMYFUNCTION("""COMPUTED_VALUE"""),45639.5833333333)</f>
        <v>45639.583333333299</v>
      </c>
      <c r="I34" s="156">
        <f ca="1">IFERROR(__xludf.DUMMYFUNCTION("""COMPUTED_VALUE"""),45639.5833333333)</f>
        <v>45639.583333333299</v>
      </c>
      <c r="J34" s="3">
        <f ca="1">IFERROR(__xludf.DUMMYFUNCTION("""COMPUTED_VALUE"""),1)</f>
        <v>1</v>
      </c>
      <c r="K34" s="3">
        <f ca="1">IFERROR(__xludf.DUMMYFUNCTION("""COMPUTED_VALUE"""),1.5)</f>
        <v>1.5</v>
      </c>
      <c r="L34" s="3" t="str">
        <f ca="1">IFERROR(__xludf.DUMMYFUNCTION("""COMPUTED_VALUE"""),"DEV")</f>
        <v>DEV</v>
      </c>
      <c r="M34" s="3" t="str">
        <f ca="1">IFERROR(__xludf.DUMMYFUNCTION("""COMPUTED_VALUE"""),"ONC")</f>
        <v>ONC</v>
      </c>
      <c r="N34" s="157">
        <f ca="1">IFERROR(__xludf.DUMMYFUNCTION("""COMPUTED_VALUE"""),1)</f>
        <v>1</v>
      </c>
      <c r="O34" s="157">
        <f ca="1">IFERROR(__xludf.DUMMYFUNCTION("""COMPUTED_VALUE"""),3.5)</f>
        <v>3.5</v>
      </c>
      <c r="P34" s="157"/>
      <c r="Q34" s="3">
        <f t="shared" ca="1" si="0"/>
        <v>33</v>
      </c>
      <c r="R34" s="148" t="e">
        <f ca="1"/>
        <v>#NAME?</v>
      </c>
      <c r="S34" s="147" t="e">
        <f t="shared" ca="1" si="1"/>
        <v>#NAME?</v>
      </c>
      <c r="T34" s="147" t="e">
        <f t="shared" ca="1" si="2"/>
        <v>#NAME?</v>
      </c>
      <c r="U34" s="147" t="e">
        <f t="shared" ca="1" si="3"/>
        <v>#NAME?</v>
      </c>
      <c r="X34" s="147"/>
      <c r="Y34" s="147"/>
      <c r="Z34" s="147"/>
      <c r="AA34" s="147"/>
      <c r="AB34" s="147"/>
      <c r="AC34" s="147"/>
      <c r="AD34" s="147"/>
      <c r="AE34" s="147"/>
      <c r="AF34" s="147"/>
      <c r="AG34" s="147"/>
      <c r="AH34" s="147"/>
      <c r="AI34" s="147"/>
      <c r="AJ34" s="147"/>
      <c r="AK34" s="147"/>
      <c r="AL34" s="147"/>
      <c r="AM34" s="147"/>
      <c r="AN34" s="147"/>
      <c r="AO34" s="147"/>
      <c r="AP34" s="147"/>
      <c r="AQ34" s="147"/>
    </row>
    <row r="35" spans="1:43">
      <c r="A35" s="160" t="str">
        <f ca="1">IFERROR(__xludf.DUMMYFUNCTION("""COMPUTED_VALUE"""),"193499")</f>
        <v>193499</v>
      </c>
      <c r="B35" s="3" t="str">
        <f ca="1">IFERROR(__xludf.DUMMYFUNCTION("""COMPUTED_VALUE"""),"HUỲNH TUẤN KHANH")</f>
        <v>HUỲNH TUẤN KHANH</v>
      </c>
      <c r="C35" s="160" t="str">
        <f ca="1">IFERROR(__xludf.DUMMYFUNCTION("""COMPUTED_VALUE"""),"EL004")</f>
        <v>EL004</v>
      </c>
      <c r="D35" s="160" t="str">
        <f ca="1">IFERROR(__xludf.DUMMYFUNCTION("""COMPUTED_VALUE"""),"Cuong Nguyen")</f>
        <v>Cuong Nguyen</v>
      </c>
      <c r="E35" s="3" t="str">
        <f ca="1">IFERROR(__xludf.DUMMYFUNCTION("""COMPUTED_VALUE"""),"Communication 1")</f>
        <v>Communication 1</v>
      </c>
      <c r="F35" s="3" t="str">
        <f ca="1">IFERROR(__xludf.DUMMYFUNCTION("""COMPUTED_VALUE"""),"Beginner")</f>
        <v>Beginner</v>
      </c>
      <c r="G35" s="3" t="str">
        <f ca="1">IFERROR(__xludf.DUMMYFUNCTION("""COMPUTED_VALUE"""),"Beginner")</f>
        <v>Beginner</v>
      </c>
      <c r="H35" s="156">
        <f ca="1">IFERROR(__xludf.DUMMYFUNCTION("""COMPUTED_VALUE"""),45639.5833333333)</f>
        <v>45639.583333333299</v>
      </c>
      <c r="I35" s="156">
        <f ca="1">IFERROR(__xludf.DUMMYFUNCTION("""COMPUTED_VALUE"""),45639.5833333333)</f>
        <v>45639.583333333299</v>
      </c>
      <c r="J35" s="3">
        <f ca="1">IFERROR(__xludf.DUMMYFUNCTION("""COMPUTED_VALUE"""),1)</f>
        <v>1</v>
      </c>
      <c r="K35" s="3">
        <f ca="1">IFERROR(__xludf.DUMMYFUNCTION("""COMPUTED_VALUE"""),1)</f>
        <v>1</v>
      </c>
      <c r="L35" s="3" t="str">
        <f ca="1">IFERROR(__xludf.DUMMYFUNCTION("""COMPUTED_VALUE"""),"DEV")</f>
        <v>DEV</v>
      </c>
      <c r="M35" s="3" t="str">
        <f ca="1">IFERROR(__xludf.DUMMYFUNCTION("""COMPUTED_VALUE"""),"ONC")</f>
        <v>ONC</v>
      </c>
      <c r="N35" s="157">
        <f ca="1">IFERROR(__xludf.DUMMYFUNCTION("""COMPUTED_VALUE"""),1)</f>
        <v>1</v>
      </c>
      <c r="O35" s="157">
        <f ca="1">IFERROR(__xludf.DUMMYFUNCTION("""COMPUTED_VALUE"""),3)</f>
        <v>3</v>
      </c>
      <c r="P35" s="157"/>
      <c r="Q35" s="3">
        <f t="shared" ca="1" si="0"/>
        <v>34</v>
      </c>
      <c r="R35" s="148" t="e">
        <f ca="1"/>
        <v>#NAME?</v>
      </c>
      <c r="S35" s="147" t="e">
        <f t="shared" ca="1" si="1"/>
        <v>#NAME?</v>
      </c>
      <c r="T35" s="147" t="e">
        <f t="shared" ca="1" si="2"/>
        <v>#NAME?</v>
      </c>
      <c r="U35" s="147" t="e">
        <f t="shared" ca="1" si="3"/>
        <v>#NAME?</v>
      </c>
      <c r="X35" s="147"/>
      <c r="Y35" s="147"/>
      <c r="Z35" s="147"/>
      <c r="AA35" s="147"/>
      <c r="AB35" s="147"/>
      <c r="AC35" s="147"/>
      <c r="AD35" s="147"/>
      <c r="AE35" s="147"/>
      <c r="AF35" s="147"/>
      <c r="AG35" s="147"/>
      <c r="AH35" s="147"/>
      <c r="AI35" s="147"/>
      <c r="AJ35" s="147"/>
      <c r="AK35" s="147"/>
      <c r="AL35" s="147"/>
      <c r="AM35" s="147"/>
      <c r="AN35" s="147"/>
      <c r="AO35" s="147"/>
      <c r="AP35" s="147"/>
      <c r="AQ35" s="147"/>
    </row>
    <row r="36" spans="1:43">
      <c r="A36" s="160" t="str">
        <f ca="1">IFERROR(__xludf.DUMMYFUNCTION("""COMPUTED_VALUE"""),"227141")</f>
        <v>227141</v>
      </c>
      <c r="B36" s="3" t="str">
        <f ca="1">IFERROR(__xludf.DUMMYFUNCTION("""COMPUTED_VALUE"""),"NGUYỄN ĐÔNG HỒ")</f>
        <v>NGUYỄN ĐÔNG HỒ</v>
      </c>
      <c r="C36" s="160" t="str">
        <f ca="1">IFERROR(__xludf.DUMMYFUNCTION("""COMPUTED_VALUE"""),"EL004")</f>
        <v>EL004</v>
      </c>
      <c r="D36" s="160" t="str">
        <f ca="1">IFERROR(__xludf.DUMMYFUNCTION("""COMPUTED_VALUE"""),"Cuong Nguyen")</f>
        <v>Cuong Nguyen</v>
      </c>
      <c r="E36" s="3" t="str">
        <f ca="1">IFERROR(__xludf.DUMMYFUNCTION("""COMPUTED_VALUE"""),"Communication 1")</f>
        <v>Communication 1</v>
      </c>
      <c r="F36" s="3" t="str">
        <f ca="1">IFERROR(__xludf.DUMMYFUNCTION("""COMPUTED_VALUE"""),"Beginner")</f>
        <v>Beginner</v>
      </c>
      <c r="G36" s="3" t="str">
        <f ca="1">IFERROR(__xludf.DUMMYFUNCTION("""COMPUTED_VALUE"""),"Beginner 2")</f>
        <v>Beginner 2</v>
      </c>
      <c r="H36" s="156">
        <f ca="1">IFERROR(__xludf.DUMMYFUNCTION("""COMPUTED_VALUE"""),45639.5833333333)</f>
        <v>45639.583333333299</v>
      </c>
      <c r="I36" s="156">
        <f ca="1">IFERROR(__xludf.DUMMYFUNCTION("""COMPUTED_VALUE"""),45639.5833333333)</f>
        <v>45639.583333333299</v>
      </c>
      <c r="J36" s="3">
        <f ca="1">IFERROR(__xludf.DUMMYFUNCTION("""COMPUTED_VALUE"""),1)</f>
        <v>1</v>
      </c>
      <c r="K36" s="3">
        <f ca="1">IFERROR(__xludf.DUMMYFUNCTION("""COMPUTED_VALUE"""),1.5)</f>
        <v>1.5</v>
      </c>
      <c r="L36" s="3" t="str">
        <f ca="1">IFERROR(__xludf.DUMMYFUNCTION("""COMPUTED_VALUE"""),"DEV")</f>
        <v>DEV</v>
      </c>
      <c r="M36" s="3" t="str">
        <f ca="1">IFERROR(__xludf.DUMMYFUNCTION("""COMPUTED_VALUE"""),"ONC")</f>
        <v>ONC</v>
      </c>
      <c r="N36" s="157">
        <f ca="1">IFERROR(__xludf.DUMMYFUNCTION("""COMPUTED_VALUE"""),1)</f>
        <v>1</v>
      </c>
      <c r="O36" s="157">
        <f ca="1">IFERROR(__xludf.DUMMYFUNCTION("""COMPUTED_VALUE"""),3)</f>
        <v>3</v>
      </c>
      <c r="P36" s="157"/>
      <c r="Q36" s="3">
        <f t="shared" ca="1" si="0"/>
        <v>35</v>
      </c>
      <c r="R36" s="148" t="e">
        <f ca="1"/>
        <v>#NAME?</v>
      </c>
      <c r="S36" s="147" t="e">
        <f t="shared" ca="1" si="1"/>
        <v>#NAME?</v>
      </c>
      <c r="T36" s="147" t="e">
        <f t="shared" ca="1" si="2"/>
        <v>#NAME?</v>
      </c>
      <c r="U36" s="147" t="e">
        <f t="shared" ca="1" si="3"/>
        <v>#NAME?</v>
      </c>
      <c r="X36" s="147"/>
      <c r="Y36" s="147"/>
      <c r="Z36" s="147"/>
      <c r="AA36" s="147"/>
      <c r="AB36" s="147"/>
      <c r="AC36" s="147"/>
      <c r="AD36" s="147"/>
      <c r="AE36" s="147"/>
      <c r="AF36" s="147"/>
      <c r="AG36" s="147"/>
      <c r="AH36" s="147"/>
      <c r="AI36" s="147"/>
      <c r="AJ36" s="147"/>
      <c r="AK36" s="147"/>
      <c r="AL36" s="147"/>
      <c r="AM36" s="147"/>
      <c r="AN36" s="147"/>
      <c r="AO36" s="147"/>
      <c r="AP36" s="147"/>
      <c r="AQ36" s="147"/>
    </row>
    <row r="37" spans="1:43">
      <c r="A37" s="160" t="str">
        <f ca="1">IFERROR(__xludf.DUMMYFUNCTION("""COMPUTED_VALUE"""),"183427")</f>
        <v>183427</v>
      </c>
      <c r="B37" s="3" t="str">
        <f ca="1">IFERROR(__xludf.DUMMYFUNCTION("""COMPUTED_VALUE"""),"PHAN CÔNG TOẠI")</f>
        <v>PHAN CÔNG TOẠI</v>
      </c>
      <c r="C37" s="160" t="str">
        <f ca="1">IFERROR(__xludf.DUMMYFUNCTION("""COMPUTED_VALUE"""),"EL004")</f>
        <v>EL004</v>
      </c>
      <c r="D37" s="160" t="str">
        <f ca="1">IFERROR(__xludf.DUMMYFUNCTION("""COMPUTED_VALUE"""),"Cuong Nguyen")</f>
        <v>Cuong Nguyen</v>
      </c>
      <c r="E37" s="3" t="str">
        <f ca="1">IFERROR(__xludf.DUMMYFUNCTION("""COMPUTED_VALUE"""),"Communication 1")</f>
        <v>Communication 1</v>
      </c>
      <c r="F37" s="3" t="str">
        <f ca="1">IFERROR(__xludf.DUMMYFUNCTION("""COMPUTED_VALUE"""),"Beginner")</f>
        <v>Beginner</v>
      </c>
      <c r="G37" s="3" t="str">
        <f ca="1">IFERROR(__xludf.DUMMYFUNCTION("""COMPUTED_VALUE"""),"Pre-Intermediate 2")</f>
        <v>Pre-Intermediate 2</v>
      </c>
      <c r="H37" s="156">
        <f ca="1">IFERROR(__xludf.DUMMYFUNCTION("""COMPUTED_VALUE"""),45639.5833333333)</f>
        <v>45639.583333333299</v>
      </c>
      <c r="I37" s="156">
        <f ca="1">IFERROR(__xludf.DUMMYFUNCTION("""COMPUTED_VALUE"""),45639.5833333333)</f>
        <v>45639.583333333299</v>
      </c>
      <c r="J37" s="3">
        <f ca="1">IFERROR(__xludf.DUMMYFUNCTION("""COMPUTED_VALUE"""),1)</f>
        <v>1</v>
      </c>
      <c r="K37" s="3">
        <f ca="1">IFERROR(__xludf.DUMMYFUNCTION("""COMPUTED_VALUE"""),3.5)</f>
        <v>3.5</v>
      </c>
      <c r="L37" s="3" t="str">
        <f ca="1">IFERROR(__xludf.DUMMYFUNCTION("""COMPUTED_VALUE"""),"DEV")</f>
        <v>DEV</v>
      </c>
      <c r="M37" s="3" t="str">
        <f ca="1">IFERROR(__xludf.DUMMYFUNCTION("""COMPUTED_VALUE"""),"ONC")</f>
        <v>ONC</v>
      </c>
      <c r="N37" s="157">
        <f ca="1">IFERROR(__xludf.DUMMYFUNCTION("""COMPUTED_VALUE"""),1)</f>
        <v>1</v>
      </c>
      <c r="O37" s="157">
        <f ca="1">IFERROR(__xludf.DUMMYFUNCTION("""COMPUTED_VALUE"""),5)</f>
        <v>5</v>
      </c>
      <c r="P37" s="157"/>
      <c r="Q37" s="3">
        <f t="shared" ca="1" si="0"/>
        <v>36</v>
      </c>
      <c r="R37" s="148" t="e">
        <f ca="1"/>
        <v>#NAME?</v>
      </c>
      <c r="S37" s="147" t="e">
        <f t="shared" ca="1" si="1"/>
        <v>#NAME?</v>
      </c>
      <c r="T37" s="147" t="e">
        <f t="shared" ca="1" si="2"/>
        <v>#NAME?</v>
      </c>
      <c r="U37" s="147" t="e">
        <f t="shared" ca="1" si="3"/>
        <v>#NAME?</v>
      </c>
      <c r="X37" s="147"/>
      <c r="Y37" s="147"/>
      <c r="Z37" s="147"/>
      <c r="AA37" s="147"/>
      <c r="AB37" s="147"/>
      <c r="AC37" s="147"/>
      <c r="AD37" s="147"/>
      <c r="AE37" s="147"/>
      <c r="AF37" s="147"/>
      <c r="AG37" s="147"/>
      <c r="AH37" s="147"/>
      <c r="AI37" s="147"/>
      <c r="AJ37" s="147"/>
      <c r="AK37" s="147"/>
      <c r="AL37" s="147"/>
      <c r="AM37" s="147"/>
      <c r="AN37" s="147"/>
      <c r="AO37" s="147"/>
      <c r="AP37" s="147"/>
      <c r="AQ37" s="147"/>
    </row>
    <row r="38" spans="1:43">
      <c r="A38" s="160" t="str">
        <f ca="1">IFERROR(__xludf.DUMMYFUNCTION("""COMPUTED_VALUE"""),"237130")</f>
        <v>237130</v>
      </c>
      <c r="B38" s="3" t="str">
        <f ca="1">IFERROR(__xludf.DUMMYFUNCTION("""COMPUTED_VALUE"""),"TRẦN KHANG")</f>
        <v>TRẦN KHANG</v>
      </c>
      <c r="C38" s="160" t="str">
        <f ca="1">IFERROR(__xludf.DUMMYFUNCTION("""COMPUTED_VALUE"""),"EL004")</f>
        <v>EL004</v>
      </c>
      <c r="D38" s="160" t="str">
        <f ca="1">IFERROR(__xludf.DUMMYFUNCTION("""COMPUTED_VALUE"""),"Cuong Nguyen")</f>
        <v>Cuong Nguyen</v>
      </c>
      <c r="E38" s="3" t="str">
        <f ca="1">IFERROR(__xludf.DUMMYFUNCTION("""COMPUTED_VALUE"""),"Communication 1")</f>
        <v>Communication 1</v>
      </c>
      <c r="F38" s="3" t="str">
        <f ca="1">IFERROR(__xludf.DUMMYFUNCTION("""COMPUTED_VALUE"""),"Beginner")</f>
        <v>Beginner</v>
      </c>
      <c r="G38" s="3" t="str">
        <f ca="1">IFERROR(__xludf.DUMMYFUNCTION("""COMPUTED_VALUE"""),"Pre-Intermediate 1")</f>
        <v>Pre-Intermediate 1</v>
      </c>
      <c r="H38" s="156">
        <f ca="1">IFERROR(__xludf.DUMMYFUNCTION("""COMPUTED_VALUE"""),45639.5833333333)</f>
        <v>45639.583333333299</v>
      </c>
      <c r="I38" s="156">
        <f ca="1">IFERROR(__xludf.DUMMYFUNCTION("""COMPUTED_VALUE"""),45639.5833333333)</f>
        <v>45639.583333333299</v>
      </c>
      <c r="J38" s="3">
        <f ca="1">IFERROR(__xludf.DUMMYFUNCTION("""COMPUTED_VALUE"""),1)</f>
        <v>1</v>
      </c>
      <c r="K38" s="3">
        <f ca="1">IFERROR(__xludf.DUMMYFUNCTION("""COMPUTED_VALUE"""),3)</f>
        <v>3</v>
      </c>
      <c r="L38" s="3" t="str">
        <f ca="1">IFERROR(__xludf.DUMMYFUNCTION("""COMPUTED_VALUE"""),"DEV")</f>
        <v>DEV</v>
      </c>
      <c r="M38" s="3" t="str">
        <f ca="1">IFERROR(__xludf.DUMMYFUNCTION("""COMPUTED_VALUE"""),"ONC")</f>
        <v>ONC</v>
      </c>
      <c r="N38" s="157">
        <f ca="1">IFERROR(__xludf.DUMMYFUNCTION("""COMPUTED_VALUE"""),1)</f>
        <v>1</v>
      </c>
      <c r="O38" s="157">
        <f ca="1">IFERROR(__xludf.DUMMYFUNCTION("""COMPUTED_VALUE"""),3.5)</f>
        <v>3.5</v>
      </c>
      <c r="P38" s="157"/>
      <c r="Q38" s="3">
        <f t="shared" ca="1" si="0"/>
        <v>37</v>
      </c>
      <c r="R38" s="148" t="e">
        <f ca="1"/>
        <v>#NAME?</v>
      </c>
      <c r="S38" s="147" t="e">
        <f t="shared" ca="1" si="1"/>
        <v>#NAME?</v>
      </c>
      <c r="T38" s="147" t="e">
        <f t="shared" ca="1" si="2"/>
        <v>#NAME?</v>
      </c>
      <c r="U38" s="147" t="e">
        <f t="shared" ca="1" si="3"/>
        <v>#NAME?</v>
      </c>
      <c r="X38" s="147"/>
      <c r="Y38" s="147"/>
      <c r="Z38" s="147"/>
      <c r="AA38" s="147"/>
      <c r="AB38" s="147"/>
      <c r="AC38" s="147"/>
      <c r="AD38" s="147"/>
      <c r="AE38" s="147"/>
      <c r="AF38" s="147"/>
      <c r="AG38" s="147"/>
      <c r="AH38" s="147"/>
      <c r="AI38" s="147"/>
      <c r="AJ38" s="147"/>
      <c r="AK38" s="147"/>
      <c r="AL38" s="147"/>
      <c r="AM38" s="147"/>
      <c r="AN38" s="147"/>
      <c r="AO38" s="147"/>
      <c r="AP38" s="147"/>
      <c r="AQ38" s="147"/>
    </row>
    <row r="39" spans="1:43">
      <c r="A39" s="160" t="str">
        <f ca="1">IFERROR(__xludf.DUMMYFUNCTION("""COMPUTED_VALUE"""),"237097")</f>
        <v>237097</v>
      </c>
      <c r="B39" s="3" t="str">
        <f ca="1">IFERROR(__xludf.DUMMYFUNCTION("""COMPUTED_VALUE"""),"VÕ ĐỒNG ĐỨC DUY")</f>
        <v>VÕ ĐỒNG ĐỨC DUY</v>
      </c>
      <c r="C39" s="160" t="str">
        <f ca="1">IFERROR(__xludf.DUMMYFUNCTION("""COMPUTED_VALUE"""),"EL004")</f>
        <v>EL004</v>
      </c>
      <c r="D39" s="160" t="str">
        <f ca="1">IFERROR(__xludf.DUMMYFUNCTION("""COMPUTED_VALUE"""),"Cuong Nguyen")</f>
        <v>Cuong Nguyen</v>
      </c>
      <c r="E39" s="3" t="str">
        <f ca="1">IFERROR(__xludf.DUMMYFUNCTION("""COMPUTED_VALUE"""),"Communication 1")</f>
        <v>Communication 1</v>
      </c>
      <c r="F39" s="3"/>
      <c r="G39" s="3"/>
      <c r="H39" s="156">
        <f ca="1">IFERROR(__xludf.DUMMYFUNCTION("""COMPUTED_VALUE"""),45639.5833333333)</f>
        <v>45639.583333333299</v>
      </c>
      <c r="I39" s="156">
        <f ca="1">IFERROR(__xludf.DUMMYFUNCTION("""COMPUTED_VALUE"""),45639.5833333333)</f>
        <v>45639.583333333299</v>
      </c>
      <c r="J39" s="3" t="str">
        <f ca="1">IFERROR(__xludf.DUMMYFUNCTION("""COMPUTED_VALUE"""),"")</f>
        <v/>
      </c>
      <c r="K39" s="3" t="str">
        <f ca="1">IFERROR(__xludf.DUMMYFUNCTION("""COMPUTED_VALUE"""),"")</f>
        <v/>
      </c>
      <c r="L39" s="3" t="str">
        <f ca="1">IFERROR(__xludf.DUMMYFUNCTION("""COMPUTED_VALUE"""),"DEV")</f>
        <v>DEV</v>
      </c>
      <c r="M39" s="3" t="str">
        <f ca="1">IFERROR(__xludf.DUMMYFUNCTION("""COMPUTED_VALUE"""),"ONC")</f>
        <v>ONC</v>
      </c>
      <c r="N39" s="157" t="str">
        <f ca="1">IFERROR(__xludf.DUMMYFUNCTION("""COMPUTED_VALUE"""),"")</f>
        <v/>
      </c>
      <c r="O39" s="157">
        <f ca="1">IFERROR(__xludf.DUMMYFUNCTION("""COMPUTED_VALUE"""),0)</f>
        <v>0</v>
      </c>
      <c r="P39" s="157"/>
      <c r="Q39" s="3">
        <f t="shared" ca="1" si="0"/>
        <v>38</v>
      </c>
      <c r="R39" s="148" t="e">
        <f ca="1"/>
        <v>#NAME?</v>
      </c>
      <c r="S39" s="147" t="e">
        <f t="shared" ca="1" si="1"/>
        <v>#NAME?</v>
      </c>
      <c r="T39" s="147" t="e">
        <f t="shared" ca="1" si="2"/>
        <v>#NAME?</v>
      </c>
      <c r="U39" s="147" t="e">
        <f t="shared" ca="1" si="3"/>
        <v>#NAME?</v>
      </c>
      <c r="X39" s="147"/>
      <c r="Y39" s="147"/>
      <c r="Z39" s="147"/>
      <c r="AA39" s="147"/>
      <c r="AB39" s="147"/>
      <c r="AC39" s="147"/>
      <c r="AD39" s="147"/>
      <c r="AE39" s="147"/>
      <c r="AF39" s="147"/>
      <c r="AG39" s="147"/>
      <c r="AH39" s="147"/>
      <c r="AI39" s="147"/>
      <c r="AJ39" s="147"/>
      <c r="AK39" s="147"/>
      <c r="AL39" s="147"/>
      <c r="AM39" s="147"/>
      <c r="AN39" s="147"/>
      <c r="AO39" s="147"/>
      <c r="AP39" s="147"/>
      <c r="AQ39" s="147"/>
    </row>
    <row r="40" spans="1:43">
      <c r="A40" s="155" t="str">
        <f ca="1">IFERROR(__xludf.DUMMYFUNCTION("""COMPUTED_VALUE"""),"193529")</f>
        <v>193529</v>
      </c>
      <c r="B40" s="154" t="str">
        <f ca="1">IFERROR(__xludf.DUMMYFUNCTION("""COMPUTED_VALUE"""),"NGUYỄN VĂN MẠNH CƯỜNG")</f>
        <v>NGUYỄN VĂN MẠNH CƯỜNG</v>
      </c>
      <c r="C40" s="155" t="str">
        <f ca="1">IFERROR(__xludf.DUMMYFUNCTION("""COMPUTED_VALUE"""),"EL004")</f>
        <v>EL004</v>
      </c>
      <c r="D40" s="155" t="str">
        <f ca="1">IFERROR(__xludf.DUMMYFUNCTION("""COMPUTED_VALUE"""),"Cuong Nguyen")</f>
        <v>Cuong Nguyen</v>
      </c>
      <c r="E40" s="154" t="str">
        <f ca="1">IFERROR(__xludf.DUMMYFUNCTION("""COMPUTED_VALUE"""),"Communication 2")</f>
        <v>Communication 2</v>
      </c>
      <c r="F40" s="3" t="str">
        <f ca="1">IFERROR(__xludf.DUMMYFUNCTION("""COMPUTED_VALUE"""),"Pre-Intermediate 2")</f>
        <v>Pre-Intermediate 2</v>
      </c>
      <c r="G40" s="3" t="str">
        <f ca="1">IFERROR(__xludf.DUMMYFUNCTION("""COMPUTED_VALUE"""),"Intermediate 1")</f>
        <v>Intermediate 1</v>
      </c>
      <c r="H40" s="156">
        <f ca="1">IFERROR(__xludf.DUMMYFUNCTION("""COMPUTED_VALUE"""),45869.5833333333)</f>
        <v>45869.583333333299</v>
      </c>
      <c r="I40" s="156">
        <f ca="1">IFERROR(__xludf.DUMMYFUNCTION("""COMPUTED_VALUE"""),45639.5833333333)</f>
        <v>45639.583333333299</v>
      </c>
      <c r="J40" s="3">
        <f ca="1">IFERROR(__xludf.DUMMYFUNCTION("""COMPUTED_VALUE"""),3.5)</f>
        <v>3.5</v>
      </c>
      <c r="K40" s="3">
        <f ca="1">IFERROR(__xludf.DUMMYFUNCTION("""COMPUTED_VALUE"""),5)</f>
        <v>5</v>
      </c>
      <c r="L40" s="3" t="str">
        <f ca="1">IFERROR(__xludf.DUMMYFUNCTION("""COMPUTED_VALUE"""),"DEV")</f>
        <v>DEV</v>
      </c>
      <c r="M40" s="3" t="str">
        <f ca="1">IFERROR(__xludf.DUMMYFUNCTION("""COMPUTED_VALUE"""),"ONC")</f>
        <v>ONC</v>
      </c>
      <c r="N40" s="157">
        <f ca="1">IFERROR(__xludf.DUMMYFUNCTION("""COMPUTED_VALUE"""),2.5)</f>
        <v>2.5</v>
      </c>
      <c r="O40" s="157">
        <f ca="1">IFERROR(__xludf.DUMMYFUNCTION("""COMPUTED_VALUE"""),5)</f>
        <v>5</v>
      </c>
      <c r="P40" s="157"/>
      <c r="Q40" s="3">
        <f t="shared" ca="1" si="0"/>
        <v>39</v>
      </c>
      <c r="R40" s="148" t="e">
        <f ca="1"/>
        <v>#NAME?</v>
      </c>
      <c r="S40" s="147" t="e">
        <f t="shared" ca="1" si="1"/>
        <v>#NAME?</v>
      </c>
      <c r="T40" s="147" t="e">
        <f t="shared" ca="1" si="2"/>
        <v>#NAME?</v>
      </c>
      <c r="U40" s="147" t="e">
        <f t="shared" ca="1" si="3"/>
        <v>#NAME?</v>
      </c>
      <c r="X40" s="147"/>
      <c r="Y40" s="147"/>
      <c r="Z40" s="147"/>
      <c r="AA40" s="147"/>
      <c r="AB40" s="147"/>
      <c r="AC40" s="147"/>
      <c r="AD40" s="147"/>
      <c r="AE40" s="147"/>
      <c r="AF40" s="147"/>
      <c r="AG40" s="147"/>
      <c r="AH40" s="147"/>
      <c r="AI40" s="147"/>
      <c r="AJ40" s="147"/>
      <c r="AK40" s="147"/>
      <c r="AL40" s="147"/>
      <c r="AM40" s="147"/>
      <c r="AN40" s="147"/>
      <c r="AO40" s="147"/>
      <c r="AP40" s="147"/>
      <c r="AQ40" s="147"/>
    </row>
    <row r="41" spans="1:43">
      <c r="A41" s="160" t="str">
        <f ca="1">IFERROR(__xludf.DUMMYFUNCTION("""COMPUTED_VALUE"""),"193479")</f>
        <v>193479</v>
      </c>
      <c r="B41" s="3" t="str">
        <f ca="1">IFERROR(__xludf.DUMMYFUNCTION("""COMPUTED_VALUE"""),"BÙI NGỌC QUỐC")</f>
        <v>BÙI NGỌC QUỐC</v>
      </c>
      <c r="C41" s="160" t="str">
        <f ca="1">IFERROR(__xludf.DUMMYFUNCTION("""COMPUTED_VALUE"""),"EL004")</f>
        <v>EL004</v>
      </c>
      <c r="D41" s="160" t="str">
        <f ca="1">IFERROR(__xludf.DUMMYFUNCTION("""COMPUTED_VALUE"""),"Cuong Nguyen")</f>
        <v>Cuong Nguyen</v>
      </c>
      <c r="E41" s="3" t="str">
        <f ca="1">IFERROR(__xludf.DUMMYFUNCTION("""COMPUTED_VALUE"""),"Communication 2")</f>
        <v>Communication 2</v>
      </c>
      <c r="F41" s="3" t="str">
        <f ca="1">IFERROR(__xludf.DUMMYFUNCTION("""COMPUTED_VALUE"""),"Beginner")</f>
        <v>Beginner</v>
      </c>
      <c r="G41" s="3" t="str">
        <f ca="1">IFERROR(__xludf.DUMMYFUNCTION("""COMPUTED_VALUE"""),"Pre-Intermediate 2")</f>
        <v>Pre-Intermediate 2</v>
      </c>
      <c r="H41" s="156">
        <f ca="1">IFERROR(__xludf.DUMMYFUNCTION("""COMPUTED_VALUE"""),45869.5833333333)</f>
        <v>45869.583333333299</v>
      </c>
      <c r="I41" s="156">
        <f ca="1">IFERROR(__xludf.DUMMYFUNCTION("""COMPUTED_VALUE"""),45639.5833333333)</f>
        <v>45639.583333333299</v>
      </c>
      <c r="J41" s="3">
        <f ca="1">IFERROR(__xludf.DUMMYFUNCTION("""COMPUTED_VALUE"""),1)</f>
        <v>1</v>
      </c>
      <c r="K41" s="3">
        <f ca="1">IFERROR(__xludf.DUMMYFUNCTION("""COMPUTED_VALUE"""),3.5)</f>
        <v>3.5</v>
      </c>
      <c r="L41" s="3" t="str">
        <f ca="1">IFERROR(__xludf.DUMMYFUNCTION("""COMPUTED_VALUE"""),"DEV")</f>
        <v>DEV</v>
      </c>
      <c r="M41" s="3" t="str">
        <f ca="1">IFERROR(__xludf.DUMMYFUNCTION("""COMPUTED_VALUE"""),"ONC")</f>
        <v>ONC</v>
      </c>
      <c r="N41" s="157">
        <f ca="1">IFERROR(__xludf.DUMMYFUNCTION("""COMPUTED_VALUE"""),1)</f>
        <v>1</v>
      </c>
      <c r="O41" s="157">
        <f ca="1">IFERROR(__xludf.DUMMYFUNCTION("""COMPUTED_VALUE"""),3.5)</f>
        <v>3.5</v>
      </c>
      <c r="P41" s="157"/>
      <c r="Q41" s="3">
        <f t="shared" ca="1" si="0"/>
        <v>40</v>
      </c>
      <c r="R41" s="148" t="e">
        <f ca="1"/>
        <v>#NAME?</v>
      </c>
      <c r="S41" s="147" t="e">
        <f t="shared" ca="1" si="1"/>
        <v>#NAME?</v>
      </c>
      <c r="T41" s="147" t="e">
        <f t="shared" ca="1" si="2"/>
        <v>#NAME?</v>
      </c>
      <c r="U41" s="147" t="e">
        <f t="shared" ca="1" si="3"/>
        <v>#NAME?</v>
      </c>
      <c r="X41" s="147"/>
      <c r="Y41" s="147"/>
      <c r="Z41" s="147"/>
      <c r="AA41" s="147"/>
      <c r="AB41" s="147"/>
      <c r="AC41" s="147"/>
      <c r="AD41" s="147"/>
      <c r="AE41" s="147"/>
      <c r="AF41" s="147"/>
      <c r="AG41" s="147"/>
      <c r="AH41" s="147"/>
      <c r="AI41" s="147"/>
      <c r="AJ41" s="147"/>
      <c r="AK41" s="147"/>
      <c r="AL41" s="147"/>
      <c r="AM41" s="147"/>
      <c r="AN41" s="147"/>
      <c r="AO41" s="147"/>
      <c r="AP41" s="147"/>
      <c r="AQ41" s="147"/>
    </row>
    <row r="42" spans="1:43">
      <c r="A42" s="160" t="str">
        <f ca="1">IFERROR(__xludf.DUMMYFUNCTION("""COMPUTED_VALUE"""),"213811")</f>
        <v>213811</v>
      </c>
      <c r="B42" s="3" t="str">
        <f ca="1">IFERROR(__xludf.DUMMYFUNCTION("""COMPUTED_VALUE"""),"ĐẶNG QUỐC MẠNH")</f>
        <v>ĐẶNG QUỐC MẠNH</v>
      </c>
      <c r="C42" s="160" t="str">
        <f ca="1">IFERROR(__xludf.DUMMYFUNCTION("""COMPUTED_VALUE"""),"EL004")</f>
        <v>EL004</v>
      </c>
      <c r="D42" s="160" t="str">
        <f ca="1">IFERROR(__xludf.DUMMYFUNCTION("""COMPUTED_VALUE"""),"Cuong Nguyen")</f>
        <v>Cuong Nguyen</v>
      </c>
      <c r="E42" s="3" t="str">
        <f ca="1">IFERROR(__xludf.DUMMYFUNCTION("""COMPUTED_VALUE"""),"Communication 2")</f>
        <v>Communication 2</v>
      </c>
      <c r="F42" s="3" t="str">
        <f ca="1">IFERROR(__xludf.DUMMYFUNCTION("""COMPUTED_VALUE"""),"Pre-Intermediate 1")</f>
        <v>Pre-Intermediate 1</v>
      </c>
      <c r="G42" s="3" t="str">
        <f ca="1">IFERROR(__xludf.DUMMYFUNCTION("""COMPUTED_VALUE"""),"Pre-Intermediate 1")</f>
        <v>Pre-Intermediate 1</v>
      </c>
      <c r="H42" s="156">
        <f ca="1">IFERROR(__xludf.DUMMYFUNCTION("""COMPUTED_VALUE"""),45869.5833333333)</f>
        <v>45869.583333333299</v>
      </c>
      <c r="I42" s="156">
        <f ca="1">IFERROR(__xludf.DUMMYFUNCTION("""COMPUTED_VALUE"""),45639.5833333333)</f>
        <v>45639.583333333299</v>
      </c>
      <c r="J42" s="3">
        <f ca="1">IFERROR(__xludf.DUMMYFUNCTION("""COMPUTED_VALUE"""),3)</f>
        <v>3</v>
      </c>
      <c r="K42" s="3">
        <f ca="1">IFERROR(__xludf.DUMMYFUNCTION("""COMPUTED_VALUE"""),3)</f>
        <v>3</v>
      </c>
      <c r="L42" s="3" t="str">
        <f ca="1">IFERROR(__xludf.DUMMYFUNCTION("""COMPUTED_VALUE"""),"DEV")</f>
        <v>DEV</v>
      </c>
      <c r="M42" s="3" t="str">
        <f ca="1">IFERROR(__xludf.DUMMYFUNCTION("""COMPUTED_VALUE"""),"ONC")</f>
        <v>ONC</v>
      </c>
      <c r="N42" s="157">
        <f ca="1">IFERROR(__xludf.DUMMYFUNCTION("""COMPUTED_VALUE"""),1)</f>
        <v>1</v>
      </c>
      <c r="O42" s="157">
        <f ca="1">IFERROR(__xludf.DUMMYFUNCTION("""COMPUTED_VALUE"""),5)</f>
        <v>5</v>
      </c>
      <c r="P42" s="157"/>
      <c r="Q42" s="3">
        <f t="shared" ca="1" si="0"/>
        <v>41</v>
      </c>
      <c r="R42" s="148" t="e">
        <f ca="1"/>
        <v>#NAME?</v>
      </c>
      <c r="S42" s="147" t="e">
        <f t="shared" ca="1" si="1"/>
        <v>#NAME?</v>
      </c>
      <c r="T42" s="147" t="e">
        <f t="shared" ca="1" si="2"/>
        <v>#NAME?</v>
      </c>
      <c r="U42" s="147" t="e">
        <f t="shared" ca="1" si="3"/>
        <v>#NAME?</v>
      </c>
      <c r="X42" s="147"/>
      <c r="Y42" s="147"/>
      <c r="Z42" s="147"/>
      <c r="AA42" s="147"/>
      <c r="AB42" s="147"/>
      <c r="AC42" s="147"/>
      <c r="AD42" s="147"/>
      <c r="AE42" s="147"/>
      <c r="AF42" s="147"/>
      <c r="AG42" s="147"/>
      <c r="AH42" s="147"/>
      <c r="AI42" s="147"/>
      <c r="AJ42" s="147"/>
      <c r="AK42" s="147"/>
      <c r="AL42" s="147"/>
      <c r="AM42" s="147"/>
      <c r="AN42" s="147"/>
      <c r="AO42" s="147"/>
      <c r="AP42" s="147"/>
      <c r="AQ42" s="147"/>
    </row>
    <row r="43" spans="1:43">
      <c r="A43" s="160" t="str">
        <f ca="1">IFERROR(__xludf.DUMMYFUNCTION("""COMPUTED_VALUE"""),"183431")</f>
        <v>183431</v>
      </c>
      <c r="B43" s="3" t="str">
        <f ca="1">IFERROR(__xludf.DUMMYFUNCTION("""COMPUTED_VALUE"""),"HOÀNG XUÂN MẪN")</f>
        <v>HOÀNG XUÂN MẪN</v>
      </c>
      <c r="C43" s="160" t="str">
        <f ca="1">IFERROR(__xludf.DUMMYFUNCTION("""COMPUTED_VALUE"""),"EL004")</f>
        <v>EL004</v>
      </c>
      <c r="D43" s="160" t="str">
        <f ca="1">IFERROR(__xludf.DUMMYFUNCTION("""COMPUTED_VALUE"""),"Cuong Nguyen")</f>
        <v>Cuong Nguyen</v>
      </c>
      <c r="E43" s="3" t="str">
        <f ca="1">IFERROR(__xludf.DUMMYFUNCTION("""COMPUTED_VALUE"""),"Communication 2")</f>
        <v>Communication 2</v>
      </c>
      <c r="F43" s="3" t="str">
        <f ca="1">IFERROR(__xludf.DUMMYFUNCTION("""COMPUTED_VALUE"""),"Beginner 2")</f>
        <v>Beginner 2</v>
      </c>
      <c r="G43" s="3" t="str">
        <f ca="1">IFERROR(__xludf.DUMMYFUNCTION("""COMPUTED_VALUE"""),"Pre-Intermediate 2")</f>
        <v>Pre-Intermediate 2</v>
      </c>
      <c r="H43" s="156">
        <f ca="1">IFERROR(__xludf.DUMMYFUNCTION("""COMPUTED_VALUE"""),45869.5833333333)</f>
        <v>45869.583333333299</v>
      </c>
      <c r="I43" s="156">
        <f ca="1">IFERROR(__xludf.DUMMYFUNCTION("""COMPUTED_VALUE"""),45639.5833333333)</f>
        <v>45639.583333333299</v>
      </c>
      <c r="J43" s="3">
        <f ca="1">IFERROR(__xludf.DUMMYFUNCTION("""COMPUTED_VALUE"""),1.5)</f>
        <v>1.5</v>
      </c>
      <c r="K43" s="3">
        <f ca="1">IFERROR(__xludf.DUMMYFUNCTION("""COMPUTED_VALUE"""),3.5)</f>
        <v>3.5</v>
      </c>
      <c r="L43" s="3" t="str">
        <f ca="1">IFERROR(__xludf.DUMMYFUNCTION("""COMPUTED_VALUE"""),"DEV")</f>
        <v>DEV</v>
      </c>
      <c r="M43" s="3" t="str">
        <f ca="1">IFERROR(__xludf.DUMMYFUNCTION("""COMPUTED_VALUE"""),"ONC")</f>
        <v>ONC</v>
      </c>
      <c r="N43" s="157">
        <f ca="1">IFERROR(__xludf.DUMMYFUNCTION("""COMPUTED_VALUE"""),1)</f>
        <v>1</v>
      </c>
      <c r="O43" s="157">
        <f ca="1">IFERROR(__xludf.DUMMYFUNCTION("""COMPUTED_VALUE"""),3.5)</f>
        <v>3.5</v>
      </c>
      <c r="P43" s="157"/>
      <c r="Q43" s="3">
        <f t="shared" ca="1" si="0"/>
        <v>42</v>
      </c>
      <c r="R43" s="148" t="e">
        <f ca="1"/>
        <v>#NAME?</v>
      </c>
      <c r="S43" s="147" t="e">
        <f t="shared" ca="1" si="1"/>
        <v>#NAME?</v>
      </c>
      <c r="T43" s="147" t="e">
        <f t="shared" ca="1" si="2"/>
        <v>#NAME?</v>
      </c>
      <c r="U43" s="147" t="e">
        <f t="shared" ca="1" si="3"/>
        <v>#NAME?</v>
      </c>
      <c r="X43" s="147"/>
      <c r="Y43" s="147"/>
      <c r="Z43" s="147"/>
      <c r="AA43" s="147"/>
      <c r="AB43" s="147"/>
      <c r="AC43" s="147"/>
      <c r="AD43" s="147"/>
      <c r="AE43" s="147"/>
      <c r="AF43" s="147"/>
      <c r="AG43" s="147"/>
      <c r="AH43" s="147"/>
      <c r="AI43" s="147"/>
      <c r="AJ43" s="147"/>
      <c r="AK43" s="147"/>
      <c r="AL43" s="147"/>
      <c r="AM43" s="147"/>
      <c r="AN43" s="147"/>
      <c r="AO43" s="147"/>
      <c r="AP43" s="147"/>
      <c r="AQ43" s="147"/>
    </row>
    <row r="44" spans="1:43">
      <c r="A44" s="160" t="str">
        <f ca="1">IFERROR(__xludf.DUMMYFUNCTION("""COMPUTED_VALUE"""),"193499")</f>
        <v>193499</v>
      </c>
      <c r="B44" s="3" t="str">
        <f ca="1">IFERROR(__xludf.DUMMYFUNCTION("""COMPUTED_VALUE"""),"HUỲNH TUẤN KHANH")</f>
        <v>HUỲNH TUẤN KHANH</v>
      </c>
      <c r="C44" s="160" t="str">
        <f ca="1">IFERROR(__xludf.DUMMYFUNCTION("""COMPUTED_VALUE"""),"EL004")</f>
        <v>EL004</v>
      </c>
      <c r="D44" s="160" t="str">
        <f ca="1">IFERROR(__xludf.DUMMYFUNCTION("""COMPUTED_VALUE"""),"Cuong Nguyen")</f>
        <v>Cuong Nguyen</v>
      </c>
      <c r="E44" s="3" t="str">
        <f ca="1">IFERROR(__xludf.DUMMYFUNCTION("""COMPUTED_VALUE"""),"Communication 2")</f>
        <v>Communication 2</v>
      </c>
      <c r="F44" s="3" t="str">
        <f ca="1">IFERROR(__xludf.DUMMYFUNCTION("""COMPUTED_VALUE"""),"Beginner")</f>
        <v>Beginner</v>
      </c>
      <c r="G44" s="3" t="str">
        <f ca="1">IFERROR(__xludf.DUMMYFUNCTION("""COMPUTED_VALUE"""),"Pre-Intermediate 1")</f>
        <v>Pre-Intermediate 1</v>
      </c>
      <c r="H44" s="156">
        <f ca="1">IFERROR(__xludf.DUMMYFUNCTION("""COMPUTED_VALUE"""),45869.5833333333)</f>
        <v>45869.583333333299</v>
      </c>
      <c r="I44" s="156">
        <f ca="1">IFERROR(__xludf.DUMMYFUNCTION("""COMPUTED_VALUE"""),45639.5833333333)</f>
        <v>45639.583333333299</v>
      </c>
      <c r="J44" s="3">
        <f ca="1">IFERROR(__xludf.DUMMYFUNCTION("""COMPUTED_VALUE"""),1)</f>
        <v>1</v>
      </c>
      <c r="K44" s="3">
        <f ca="1">IFERROR(__xludf.DUMMYFUNCTION("""COMPUTED_VALUE"""),3)</f>
        <v>3</v>
      </c>
      <c r="L44" s="3" t="str">
        <f ca="1">IFERROR(__xludf.DUMMYFUNCTION("""COMPUTED_VALUE"""),"DEV")</f>
        <v>DEV</v>
      </c>
      <c r="M44" s="3" t="str">
        <f ca="1">IFERROR(__xludf.DUMMYFUNCTION("""COMPUTED_VALUE"""),"ONC")</f>
        <v>ONC</v>
      </c>
      <c r="N44" s="157">
        <f ca="1">IFERROR(__xludf.DUMMYFUNCTION("""COMPUTED_VALUE"""),1)</f>
        <v>1</v>
      </c>
      <c r="O44" s="157">
        <f ca="1">IFERROR(__xludf.DUMMYFUNCTION("""COMPUTED_VALUE"""),3)</f>
        <v>3</v>
      </c>
      <c r="P44" s="157"/>
      <c r="Q44" s="3">
        <f t="shared" ca="1" si="0"/>
        <v>43</v>
      </c>
      <c r="R44" s="148" t="e">
        <f ca="1"/>
        <v>#NAME?</v>
      </c>
      <c r="S44" s="147" t="e">
        <f t="shared" ca="1" si="1"/>
        <v>#NAME?</v>
      </c>
      <c r="T44" s="147" t="e">
        <f t="shared" ca="1" si="2"/>
        <v>#NAME?</v>
      </c>
      <c r="U44" s="147" t="e">
        <f t="shared" ca="1" si="3"/>
        <v>#NAME?</v>
      </c>
      <c r="X44" s="147"/>
      <c r="Y44" s="147"/>
      <c r="Z44" s="147"/>
      <c r="AA44" s="147"/>
      <c r="AB44" s="147"/>
      <c r="AC44" s="147"/>
      <c r="AD44" s="147"/>
      <c r="AE44" s="147"/>
      <c r="AF44" s="147"/>
      <c r="AG44" s="147"/>
      <c r="AH44" s="147"/>
      <c r="AI44" s="147"/>
      <c r="AJ44" s="147"/>
      <c r="AK44" s="147"/>
      <c r="AL44" s="147"/>
      <c r="AM44" s="147"/>
      <c r="AN44" s="147"/>
      <c r="AO44" s="147"/>
      <c r="AP44" s="147"/>
      <c r="AQ44" s="147"/>
    </row>
    <row r="45" spans="1:43">
      <c r="A45" s="160" t="str">
        <f ca="1">IFERROR(__xludf.DUMMYFUNCTION("""COMPUTED_VALUE"""),"227141")</f>
        <v>227141</v>
      </c>
      <c r="B45" s="3" t="str">
        <f ca="1">IFERROR(__xludf.DUMMYFUNCTION("""COMPUTED_VALUE"""),"NGUYỄN ĐÔNG HỒ")</f>
        <v>NGUYỄN ĐÔNG HỒ</v>
      </c>
      <c r="C45" s="160" t="str">
        <f ca="1">IFERROR(__xludf.DUMMYFUNCTION("""COMPUTED_VALUE"""),"EL004")</f>
        <v>EL004</v>
      </c>
      <c r="D45" s="160" t="str">
        <f ca="1">IFERROR(__xludf.DUMMYFUNCTION("""COMPUTED_VALUE"""),"Cuong Nguyen")</f>
        <v>Cuong Nguyen</v>
      </c>
      <c r="E45" s="3" t="str">
        <f ca="1">IFERROR(__xludf.DUMMYFUNCTION("""COMPUTED_VALUE"""),"Communication 2")</f>
        <v>Communication 2</v>
      </c>
      <c r="F45" s="3" t="str">
        <f ca="1">IFERROR(__xludf.DUMMYFUNCTION("""COMPUTED_VALUE"""),"Beginner 2")</f>
        <v>Beginner 2</v>
      </c>
      <c r="G45" s="3" t="str">
        <f ca="1">IFERROR(__xludf.DUMMYFUNCTION("""COMPUTED_VALUE"""),"Pre-Intermediate 1")</f>
        <v>Pre-Intermediate 1</v>
      </c>
      <c r="H45" s="156">
        <f ca="1">IFERROR(__xludf.DUMMYFUNCTION("""COMPUTED_VALUE"""),45869.5833333333)</f>
        <v>45869.583333333299</v>
      </c>
      <c r="I45" s="156">
        <f ca="1">IFERROR(__xludf.DUMMYFUNCTION("""COMPUTED_VALUE"""),45639.5833333333)</f>
        <v>45639.583333333299</v>
      </c>
      <c r="J45" s="3">
        <f ca="1">IFERROR(__xludf.DUMMYFUNCTION("""COMPUTED_VALUE"""),1.5)</f>
        <v>1.5</v>
      </c>
      <c r="K45" s="3">
        <f ca="1">IFERROR(__xludf.DUMMYFUNCTION("""COMPUTED_VALUE"""),3)</f>
        <v>3</v>
      </c>
      <c r="L45" s="3" t="str">
        <f ca="1">IFERROR(__xludf.DUMMYFUNCTION("""COMPUTED_VALUE"""),"DEV")</f>
        <v>DEV</v>
      </c>
      <c r="M45" s="3" t="str">
        <f ca="1">IFERROR(__xludf.DUMMYFUNCTION("""COMPUTED_VALUE"""),"ONC")</f>
        <v>ONC</v>
      </c>
      <c r="N45" s="157">
        <f ca="1">IFERROR(__xludf.DUMMYFUNCTION("""COMPUTED_VALUE"""),1)</f>
        <v>1</v>
      </c>
      <c r="O45" s="157">
        <f ca="1">IFERROR(__xludf.DUMMYFUNCTION("""COMPUTED_VALUE"""),3)</f>
        <v>3</v>
      </c>
      <c r="P45" s="157"/>
      <c r="Q45" s="3">
        <f t="shared" ca="1" si="0"/>
        <v>44</v>
      </c>
      <c r="R45" s="148" t="e">
        <f ca="1"/>
        <v>#NAME?</v>
      </c>
      <c r="S45" s="147" t="e">
        <f t="shared" ca="1" si="1"/>
        <v>#NAME?</v>
      </c>
      <c r="T45" s="147" t="e">
        <f t="shared" ca="1" si="2"/>
        <v>#NAME?</v>
      </c>
      <c r="U45" s="147" t="e">
        <f t="shared" ca="1" si="3"/>
        <v>#NAME?</v>
      </c>
      <c r="X45" s="147"/>
      <c r="Y45" s="147"/>
      <c r="Z45" s="147"/>
      <c r="AA45" s="147"/>
      <c r="AB45" s="147"/>
      <c r="AC45" s="147"/>
      <c r="AD45" s="147"/>
      <c r="AE45" s="147"/>
      <c r="AF45" s="147"/>
      <c r="AG45" s="147"/>
      <c r="AH45" s="147"/>
      <c r="AI45" s="147"/>
      <c r="AJ45" s="147"/>
      <c r="AK45" s="147"/>
      <c r="AL45" s="147"/>
      <c r="AM45" s="147"/>
      <c r="AN45" s="147"/>
      <c r="AO45" s="147"/>
      <c r="AP45" s="147"/>
      <c r="AQ45" s="147"/>
    </row>
    <row r="46" spans="1:43">
      <c r="A46" s="160" t="str">
        <f ca="1">IFERROR(__xludf.DUMMYFUNCTION("""COMPUTED_VALUE"""),"183427")</f>
        <v>183427</v>
      </c>
      <c r="B46" s="3" t="str">
        <f ca="1">IFERROR(__xludf.DUMMYFUNCTION("""COMPUTED_VALUE"""),"PHAN CÔNG TOẠI")</f>
        <v>PHAN CÔNG TOẠI</v>
      </c>
      <c r="C46" s="160" t="str">
        <f ca="1">IFERROR(__xludf.DUMMYFUNCTION("""COMPUTED_VALUE"""),"EL004")</f>
        <v>EL004</v>
      </c>
      <c r="D46" s="160" t="str">
        <f ca="1">IFERROR(__xludf.DUMMYFUNCTION("""COMPUTED_VALUE"""),"Cuong Nguyen")</f>
        <v>Cuong Nguyen</v>
      </c>
      <c r="E46" s="3" t="str">
        <f ca="1">IFERROR(__xludf.DUMMYFUNCTION("""COMPUTED_VALUE"""),"Communication 2")</f>
        <v>Communication 2</v>
      </c>
      <c r="F46" s="3" t="str">
        <f ca="1">IFERROR(__xludf.DUMMYFUNCTION("""COMPUTED_VALUE"""),"Pre-Intermediate 2")</f>
        <v>Pre-Intermediate 2</v>
      </c>
      <c r="G46" s="3" t="str">
        <f ca="1">IFERROR(__xludf.DUMMYFUNCTION("""COMPUTED_VALUE"""),"Intermediate 1")</f>
        <v>Intermediate 1</v>
      </c>
      <c r="H46" s="156">
        <f ca="1">IFERROR(__xludf.DUMMYFUNCTION("""COMPUTED_VALUE"""),45869.5833333333)</f>
        <v>45869.583333333299</v>
      </c>
      <c r="I46" s="156">
        <f ca="1">IFERROR(__xludf.DUMMYFUNCTION("""COMPUTED_VALUE"""),45639.5833333333)</f>
        <v>45639.583333333299</v>
      </c>
      <c r="J46" s="3">
        <f ca="1">IFERROR(__xludf.DUMMYFUNCTION("""COMPUTED_VALUE"""),3.5)</f>
        <v>3.5</v>
      </c>
      <c r="K46" s="3">
        <f ca="1">IFERROR(__xludf.DUMMYFUNCTION("""COMPUTED_VALUE"""),5)</f>
        <v>5</v>
      </c>
      <c r="L46" s="3" t="str">
        <f ca="1">IFERROR(__xludf.DUMMYFUNCTION("""COMPUTED_VALUE"""),"DEV")</f>
        <v>DEV</v>
      </c>
      <c r="M46" s="3" t="str">
        <f ca="1">IFERROR(__xludf.DUMMYFUNCTION("""COMPUTED_VALUE"""),"ONC")</f>
        <v>ONC</v>
      </c>
      <c r="N46" s="157">
        <f ca="1">IFERROR(__xludf.DUMMYFUNCTION("""COMPUTED_VALUE"""),1)</f>
        <v>1</v>
      </c>
      <c r="O46" s="157">
        <f ca="1">IFERROR(__xludf.DUMMYFUNCTION("""COMPUTED_VALUE"""),5)</f>
        <v>5</v>
      </c>
      <c r="P46" s="157"/>
      <c r="Q46" s="3">
        <f t="shared" ca="1" si="0"/>
        <v>45</v>
      </c>
      <c r="R46" s="148" t="e">
        <f ca="1"/>
        <v>#NAME?</v>
      </c>
      <c r="S46" s="147" t="e">
        <f t="shared" ca="1" si="1"/>
        <v>#NAME?</v>
      </c>
      <c r="T46" s="147" t="e">
        <f t="shared" ca="1" si="2"/>
        <v>#NAME?</v>
      </c>
      <c r="U46" s="147" t="e">
        <f t="shared" ca="1" si="3"/>
        <v>#NAME?</v>
      </c>
      <c r="X46" s="147"/>
      <c r="Y46" s="147"/>
      <c r="Z46" s="147"/>
      <c r="AA46" s="147"/>
      <c r="AB46" s="147"/>
      <c r="AC46" s="147"/>
      <c r="AD46" s="147"/>
      <c r="AE46" s="147"/>
      <c r="AF46" s="147"/>
      <c r="AG46" s="147"/>
      <c r="AH46" s="147"/>
      <c r="AI46" s="147"/>
      <c r="AJ46" s="147"/>
      <c r="AK46" s="147"/>
      <c r="AL46" s="147"/>
      <c r="AM46" s="147"/>
      <c r="AN46" s="147"/>
      <c r="AO46" s="147"/>
      <c r="AP46" s="147"/>
      <c r="AQ46" s="147"/>
    </row>
    <row r="47" spans="1:43">
      <c r="A47" s="160" t="str">
        <f ca="1">IFERROR(__xludf.DUMMYFUNCTION("""COMPUTED_VALUE"""),"237130")</f>
        <v>237130</v>
      </c>
      <c r="B47" s="3" t="str">
        <f ca="1">IFERROR(__xludf.DUMMYFUNCTION("""COMPUTED_VALUE"""),"TRẦN KHANG")</f>
        <v>TRẦN KHANG</v>
      </c>
      <c r="C47" s="160" t="str">
        <f ca="1">IFERROR(__xludf.DUMMYFUNCTION("""COMPUTED_VALUE"""),"EL004")</f>
        <v>EL004</v>
      </c>
      <c r="D47" s="160" t="str">
        <f ca="1">IFERROR(__xludf.DUMMYFUNCTION("""COMPUTED_VALUE"""),"Cuong Nguyen")</f>
        <v>Cuong Nguyen</v>
      </c>
      <c r="E47" s="3" t="str">
        <f ca="1">IFERROR(__xludf.DUMMYFUNCTION("""COMPUTED_VALUE"""),"Communication 2")</f>
        <v>Communication 2</v>
      </c>
      <c r="F47" s="3" t="str">
        <f ca="1">IFERROR(__xludf.DUMMYFUNCTION("""COMPUTED_VALUE"""),"Pre-Intermediate 1")</f>
        <v>Pre-Intermediate 1</v>
      </c>
      <c r="G47" s="3" t="str">
        <f ca="1">IFERROR(__xludf.DUMMYFUNCTION("""COMPUTED_VALUE"""),"Pre-Intermediate 2")</f>
        <v>Pre-Intermediate 2</v>
      </c>
      <c r="H47" s="156">
        <f ca="1">IFERROR(__xludf.DUMMYFUNCTION("""COMPUTED_VALUE"""),45869.5833333333)</f>
        <v>45869.583333333299</v>
      </c>
      <c r="I47" s="156">
        <f ca="1">IFERROR(__xludf.DUMMYFUNCTION("""COMPUTED_VALUE"""),45639.5833333333)</f>
        <v>45639.583333333299</v>
      </c>
      <c r="J47" s="3">
        <f ca="1">IFERROR(__xludf.DUMMYFUNCTION("""COMPUTED_VALUE"""),3)</f>
        <v>3</v>
      </c>
      <c r="K47" s="3">
        <f ca="1">IFERROR(__xludf.DUMMYFUNCTION("""COMPUTED_VALUE"""),3.5)</f>
        <v>3.5</v>
      </c>
      <c r="L47" s="3" t="str">
        <f ca="1">IFERROR(__xludf.DUMMYFUNCTION("""COMPUTED_VALUE"""),"DEV")</f>
        <v>DEV</v>
      </c>
      <c r="M47" s="3" t="str">
        <f ca="1">IFERROR(__xludf.DUMMYFUNCTION("""COMPUTED_VALUE"""),"ONC")</f>
        <v>ONC</v>
      </c>
      <c r="N47" s="157">
        <f ca="1">IFERROR(__xludf.DUMMYFUNCTION("""COMPUTED_VALUE"""),1)</f>
        <v>1</v>
      </c>
      <c r="O47" s="157">
        <f ca="1">IFERROR(__xludf.DUMMYFUNCTION("""COMPUTED_VALUE"""),3.5)</f>
        <v>3.5</v>
      </c>
      <c r="P47" s="157"/>
      <c r="Q47" s="3">
        <f t="shared" ca="1" si="0"/>
        <v>46</v>
      </c>
      <c r="R47" s="148" t="e">
        <f ca="1"/>
        <v>#NAME?</v>
      </c>
      <c r="S47" s="147" t="e">
        <f t="shared" ca="1" si="1"/>
        <v>#NAME?</v>
      </c>
      <c r="T47" s="147" t="e">
        <f t="shared" ca="1" si="2"/>
        <v>#NAME?</v>
      </c>
      <c r="U47" s="147" t="e">
        <f t="shared" ca="1" si="3"/>
        <v>#NAME?</v>
      </c>
      <c r="X47" s="147"/>
      <c r="Y47" s="147"/>
      <c r="Z47" s="147"/>
      <c r="AA47" s="147"/>
      <c r="AB47" s="147"/>
      <c r="AC47" s="147"/>
      <c r="AD47" s="147"/>
      <c r="AE47" s="147"/>
      <c r="AF47" s="147"/>
      <c r="AG47" s="147"/>
      <c r="AH47" s="147"/>
      <c r="AI47" s="147"/>
      <c r="AJ47" s="147"/>
      <c r="AK47" s="147"/>
      <c r="AL47" s="147"/>
      <c r="AM47" s="147"/>
      <c r="AN47" s="147"/>
      <c r="AO47" s="147"/>
      <c r="AP47" s="147"/>
      <c r="AQ47" s="147"/>
    </row>
    <row r="48" spans="1:43">
      <c r="A48" s="160" t="str">
        <f ca="1">IFERROR(__xludf.DUMMYFUNCTION("""COMPUTED_VALUE"""),"237097")</f>
        <v>237097</v>
      </c>
      <c r="B48" s="3" t="str">
        <f ca="1">IFERROR(__xludf.DUMMYFUNCTION("""COMPUTED_VALUE"""),"VÕ ĐỒNG ĐỨC DUY")</f>
        <v>VÕ ĐỒNG ĐỨC DUY</v>
      </c>
      <c r="C48" s="160" t="str">
        <f ca="1">IFERROR(__xludf.DUMMYFUNCTION("""COMPUTED_VALUE"""),"EL004")</f>
        <v>EL004</v>
      </c>
      <c r="D48" s="160" t="str">
        <f ca="1">IFERROR(__xludf.DUMMYFUNCTION("""COMPUTED_VALUE"""),"Cuong Nguyen")</f>
        <v>Cuong Nguyen</v>
      </c>
      <c r="E48" s="3" t="str">
        <f ca="1">IFERROR(__xludf.DUMMYFUNCTION("""COMPUTED_VALUE"""),"Communication 2")</f>
        <v>Communication 2</v>
      </c>
      <c r="F48" s="3"/>
      <c r="G48" s="3"/>
      <c r="H48" s="156">
        <f ca="1">IFERROR(__xludf.DUMMYFUNCTION("""COMPUTED_VALUE"""),45869.5833333333)</f>
        <v>45869.583333333299</v>
      </c>
      <c r="I48" s="156">
        <f ca="1">IFERROR(__xludf.DUMMYFUNCTION("""COMPUTED_VALUE"""),45639.5833333333)</f>
        <v>45639.583333333299</v>
      </c>
      <c r="J48" s="3" t="str">
        <f ca="1">IFERROR(__xludf.DUMMYFUNCTION("""COMPUTED_VALUE"""),"")</f>
        <v/>
      </c>
      <c r="K48" s="3" t="str">
        <f ca="1">IFERROR(__xludf.DUMMYFUNCTION("""COMPUTED_VALUE"""),"")</f>
        <v/>
      </c>
      <c r="L48" s="3" t="str">
        <f ca="1">IFERROR(__xludf.DUMMYFUNCTION("""COMPUTED_VALUE"""),"DEV")</f>
        <v>DEV</v>
      </c>
      <c r="M48" s="3" t="str">
        <f ca="1">IFERROR(__xludf.DUMMYFUNCTION("""COMPUTED_VALUE"""),"ONC")</f>
        <v>ONC</v>
      </c>
      <c r="N48" s="157" t="str">
        <f ca="1">IFERROR(__xludf.DUMMYFUNCTION("""COMPUTED_VALUE"""),"")</f>
        <v/>
      </c>
      <c r="O48" s="157">
        <f ca="1">IFERROR(__xludf.DUMMYFUNCTION("""COMPUTED_VALUE"""),0)</f>
        <v>0</v>
      </c>
      <c r="P48" s="157"/>
      <c r="Q48" s="3">
        <f t="shared" ca="1" si="0"/>
        <v>47</v>
      </c>
      <c r="R48" s="148" t="e">
        <f ca="1"/>
        <v>#NAME?</v>
      </c>
      <c r="S48" s="147" t="e">
        <f t="shared" ca="1" si="1"/>
        <v>#NAME?</v>
      </c>
      <c r="T48" s="147" t="e">
        <f t="shared" ca="1" si="2"/>
        <v>#NAME?</v>
      </c>
      <c r="U48" s="147" t="e">
        <f t="shared" ca="1" si="3"/>
        <v>#NAME?</v>
      </c>
      <c r="X48" s="147"/>
      <c r="Y48" s="147"/>
      <c r="Z48" s="147"/>
      <c r="AA48" s="147"/>
      <c r="AB48" s="147"/>
      <c r="AC48" s="147"/>
      <c r="AD48" s="147"/>
      <c r="AE48" s="147"/>
      <c r="AF48" s="147"/>
      <c r="AG48" s="147"/>
      <c r="AH48" s="147"/>
      <c r="AI48" s="147"/>
      <c r="AJ48" s="147"/>
      <c r="AK48" s="147"/>
      <c r="AL48" s="147"/>
      <c r="AM48" s="147"/>
      <c r="AN48" s="147"/>
      <c r="AO48" s="147"/>
      <c r="AP48" s="147"/>
      <c r="AQ48" s="147"/>
    </row>
    <row r="49" spans="1:43">
      <c r="A49" s="155" t="str">
        <f ca="1">IFERROR(__xludf.DUMMYFUNCTION("""COMPUTED_VALUE"""),"193447")</f>
        <v>193447</v>
      </c>
      <c r="B49" s="154" t="str">
        <f ca="1">IFERROR(__xludf.DUMMYFUNCTION("""COMPUTED_VALUE"""),"NGUYỄN ANH ĐỨC")</f>
        <v>NGUYỄN ANH ĐỨC</v>
      </c>
      <c r="C49" s="155" t="str">
        <f ca="1">IFERROR(__xludf.DUMMYFUNCTION("""COMPUTED_VALUE"""),"EL005")</f>
        <v>EL005</v>
      </c>
      <c r="D49" s="155" t="str">
        <f ca="1">IFERROR(__xludf.DUMMYFUNCTION("""COMPUTED_VALUE"""),"Duc Nguyen")</f>
        <v>Duc Nguyen</v>
      </c>
      <c r="E49" s="154" t="str">
        <f ca="1">IFERROR(__xludf.DUMMYFUNCTION("""COMPUTED_VALUE"""),"Communication 1")</f>
        <v>Communication 1</v>
      </c>
      <c r="F49" s="3" t="str">
        <f ca="1">IFERROR(__xludf.DUMMYFUNCTION("""COMPUTED_VALUE"""),"Pre-Intermediate")</f>
        <v>Pre-Intermediate</v>
      </c>
      <c r="G49" s="3" t="str">
        <f ca="1">IFERROR(__xludf.DUMMYFUNCTION("""COMPUTED_VALUE"""),"Intermediate")</f>
        <v>Intermediate</v>
      </c>
      <c r="H49" s="156">
        <f ca="1">IFERROR(__xludf.DUMMYFUNCTION("""COMPUTED_VALUE"""),45637.4166666666)</f>
        <v>45637.416666666599</v>
      </c>
      <c r="I49" s="156">
        <f ca="1">IFERROR(__xludf.DUMMYFUNCTION("""COMPUTED_VALUE"""),45637.4166666666)</f>
        <v>45637.416666666599</v>
      </c>
      <c r="J49" s="3">
        <f ca="1">IFERROR(__xludf.DUMMYFUNCTION("""COMPUTED_VALUE"""),2.5)</f>
        <v>2.5</v>
      </c>
      <c r="K49" s="3">
        <f ca="1">IFERROR(__xludf.DUMMYFUNCTION("""COMPUTED_VALUE"""),4.5)</f>
        <v>4.5</v>
      </c>
      <c r="L49" s="3" t="str">
        <f ca="1">IFERROR(__xludf.DUMMYFUNCTION("""COMPUTED_VALUE"""),"DEV")</f>
        <v>DEV</v>
      </c>
      <c r="M49" s="3" t="str">
        <f ca="1">IFERROR(__xludf.DUMMYFUNCTION("""COMPUTED_VALUE"""),"LBU")</f>
        <v>LBU</v>
      </c>
      <c r="N49" s="157">
        <f ca="1">IFERROR(__xludf.DUMMYFUNCTION("""COMPUTED_VALUE"""),2.5)</f>
        <v>2.5</v>
      </c>
      <c r="O49" s="157">
        <f ca="1">IFERROR(__xludf.DUMMYFUNCTION("""COMPUTED_VALUE"""),5.5)</f>
        <v>5.5</v>
      </c>
      <c r="P49" s="157"/>
      <c r="Q49" s="3">
        <f t="shared" ca="1" si="0"/>
        <v>48</v>
      </c>
      <c r="R49" s="148" t="e">
        <f ca="1"/>
        <v>#NAME?</v>
      </c>
      <c r="S49" s="147" t="e">
        <f t="shared" ca="1" si="1"/>
        <v>#NAME?</v>
      </c>
      <c r="T49" s="147" t="e">
        <f t="shared" ca="1" si="2"/>
        <v>#NAME?</v>
      </c>
      <c r="U49" s="147" t="e">
        <f t="shared" ca="1" si="3"/>
        <v>#NAME?</v>
      </c>
      <c r="X49" s="147"/>
      <c r="Y49" s="147"/>
      <c r="Z49" s="147"/>
      <c r="AA49" s="147"/>
      <c r="AB49" s="147"/>
      <c r="AC49" s="147"/>
      <c r="AD49" s="147"/>
      <c r="AE49" s="147"/>
      <c r="AF49" s="147"/>
      <c r="AG49" s="147"/>
      <c r="AH49" s="147"/>
      <c r="AI49" s="147"/>
      <c r="AJ49" s="147"/>
      <c r="AK49" s="147"/>
      <c r="AL49" s="147"/>
      <c r="AM49" s="147"/>
      <c r="AN49" s="147"/>
      <c r="AO49" s="147"/>
      <c r="AP49" s="147"/>
      <c r="AQ49" s="147"/>
    </row>
    <row r="50" spans="1:43">
      <c r="A50" s="160" t="str">
        <f ca="1">IFERROR(__xludf.DUMMYFUNCTION("""COMPUTED_VALUE"""),"227160")</f>
        <v>227160</v>
      </c>
      <c r="B50" s="3" t="str">
        <f ca="1">IFERROR(__xludf.DUMMYFUNCTION("""COMPUTED_VALUE"""),"LÊ THỊ LAN HƯƠNG")</f>
        <v>LÊ THỊ LAN HƯƠNG</v>
      </c>
      <c r="C50" s="160" t="str">
        <f ca="1">IFERROR(__xludf.DUMMYFUNCTION("""COMPUTED_VALUE"""),"EL005")</f>
        <v>EL005</v>
      </c>
      <c r="D50" s="160" t="str">
        <f ca="1">IFERROR(__xludf.DUMMYFUNCTION("""COMPUTED_VALUE"""),"Duc Nguyen")</f>
        <v>Duc Nguyen</v>
      </c>
      <c r="E50" s="3" t="str">
        <f ca="1">IFERROR(__xludf.DUMMYFUNCTION("""COMPUTED_VALUE"""),"Communication 1")</f>
        <v>Communication 1</v>
      </c>
      <c r="F50" s="3" t="str">
        <f ca="1">IFERROR(__xludf.DUMMYFUNCTION("""COMPUTED_VALUE"""),"Beginner")</f>
        <v>Beginner</v>
      </c>
      <c r="G50" s="3" t="str">
        <f ca="1">IFERROR(__xludf.DUMMYFUNCTION("""COMPUTED_VALUE"""),"Beginner 2")</f>
        <v>Beginner 2</v>
      </c>
      <c r="H50" s="156">
        <f ca="1">IFERROR(__xludf.DUMMYFUNCTION("""COMPUTED_VALUE"""),45637.4166666666)</f>
        <v>45637.416666666599</v>
      </c>
      <c r="I50" s="156">
        <f ca="1">IFERROR(__xludf.DUMMYFUNCTION("""COMPUTED_VALUE"""),45637.4166666666)</f>
        <v>45637.416666666599</v>
      </c>
      <c r="J50" s="3">
        <f ca="1">IFERROR(__xludf.DUMMYFUNCTION("""COMPUTED_VALUE"""),1)</f>
        <v>1</v>
      </c>
      <c r="K50" s="3">
        <f ca="1">IFERROR(__xludf.DUMMYFUNCTION("""COMPUTED_VALUE"""),1.5)</f>
        <v>1.5</v>
      </c>
      <c r="L50" s="3" t="str">
        <f ca="1">IFERROR(__xludf.DUMMYFUNCTION("""COMPUTED_VALUE"""),"GSD")</f>
        <v>GSD</v>
      </c>
      <c r="M50" s="3" t="str">
        <f ca="1">IFERROR(__xludf.DUMMYFUNCTION("""COMPUTED_VALUE"""),"LBU")</f>
        <v>LBU</v>
      </c>
      <c r="N50" s="157">
        <f ca="1">IFERROR(__xludf.DUMMYFUNCTION("""COMPUTED_VALUE"""),1)</f>
        <v>1</v>
      </c>
      <c r="O50" s="157">
        <f ca="1">IFERROR(__xludf.DUMMYFUNCTION("""COMPUTED_VALUE"""),3)</f>
        <v>3</v>
      </c>
      <c r="P50" s="157"/>
      <c r="Q50" s="3">
        <f t="shared" ca="1" si="0"/>
        <v>49</v>
      </c>
      <c r="R50" s="148" t="e">
        <f ca="1"/>
        <v>#NAME?</v>
      </c>
      <c r="S50" s="147" t="e">
        <f t="shared" ca="1" si="1"/>
        <v>#NAME?</v>
      </c>
      <c r="T50" s="147" t="e">
        <f t="shared" ca="1" si="2"/>
        <v>#NAME?</v>
      </c>
      <c r="U50" s="147" t="e">
        <f t="shared" ca="1" si="3"/>
        <v>#NAME?</v>
      </c>
      <c r="X50" s="147"/>
      <c r="Y50" s="147"/>
      <c r="Z50" s="147"/>
      <c r="AA50" s="147"/>
      <c r="AB50" s="147"/>
      <c r="AC50" s="147"/>
      <c r="AD50" s="147"/>
      <c r="AE50" s="147"/>
      <c r="AF50" s="147"/>
      <c r="AG50" s="147"/>
      <c r="AH50" s="147"/>
      <c r="AI50" s="147"/>
      <c r="AJ50" s="147"/>
      <c r="AK50" s="147"/>
      <c r="AL50" s="147"/>
      <c r="AM50" s="147"/>
      <c r="AN50" s="147"/>
      <c r="AO50" s="147"/>
      <c r="AP50" s="147"/>
      <c r="AQ50" s="147"/>
    </row>
    <row r="51" spans="1:43">
      <c r="A51" s="160" t="str">
        <f ca="1">IFERROR(__xludf.DUMMYFUNCTION("""COMPUTED_VALUE"""),"247187")</f>
        <v>247187</v>
      </c>
      <c r="B51" s="3" t="str">
        <f ca="1">IFERROR(__xludf.DUMMYFUNCTION("""COMPUTED_VALUE"""),"NGUYỄN MINH THƯ")</f>
        <v>NGUYỄN MINH THƯ</v>
      </c>
      <c r="C51" s="160" t="str">
        <f ca="1">IFERROR(__xludf.DUMMYFUNCTION("""COMPUTED_VALUE"""),"EL005")</f>
        <v>EL005</v>
      </c>
      <c r="D51" s="160" t="str">
        <f ca="1">IFERROR(__xludf.DUMMYFUNCTION("""COMPUTED_VALUE"""),"Duc Nguyen")</f>
        <v>Duc Nguyen</v>
      </c>
      <c r="E51" s="3" t="str">
        <f ca="1">IFERROR(__xludf.DUMMYFUNCTION("""COMPUTED_VALUE"""),"Communication 1")</f>
        <v>Communication 1</v>
      </c>
      <c r="F51" s="3" t="str">
        <f ca="1">IFERROR(__xludf.DUMMYFUNCTION("""COMPUTED_VALUE"""),"Pre-Intermediate")</f>
        <v>Pre-Intermediate</v>
      </c>
      <c r="G51" s="3" t="str">
        <f ca="1">IFERROR(__xludf.DUMMYFUNCTION("""COMPUTED_VALUE"""),"Beginner 2")</f>
        <v>Beginner 2</v>
      </c>
      <c r="H51" s="156">
        <f ca="1">IFERROR(__xludf.DUMMYFUNCTION("""COMPUTED_VALUE"""),45637.4166666666)</f>
        <v>45637.416666666599</v>
      </c>
      <c r="I51" s="156">
        <f ca="1">IFERROR(__xludf.DUMMYFUNCTION("""COMPUTED_VALUE"""),45637.4166666666)</f>
        <v>45637.416666666599</v>
      </c>
      <c r="J51" s="3">
        <f ca="1">IFERROR(__xludf.DUMMYFUNCTION("""COMPUTED_VALUE"""),2.5)</f>
        <v>2.5</v>
      </c>
      <c r="K51" s="3">
        <f ca="1">IFERROR(__xludf.DUMMYFUNCTION("""COMPUTED_VALUE"""),1.5)</f>
        <v>1.5</v>
      </c>
      <c r="L51" s="3" t="str">
        <f ca="1">IFERROR(__xludf.DUMMYFUNCTION("""COMPUTED_VALUE"""),"GSD")</f>
        <v>GSD</v>
      </c>
      <c r="M51" s="3" t="str">
        <f ca="1">IFERROR(__xludf.DUMMYFUNCTION("""COMPUTED_VALUE"""),"LBU")</f>
        <v>LBU</v>
      </c>
      <c r="N51" s="157">
        <f ca="1">IFERROR(__xludf.DUMMYFUNCTION("""COMPUTED_VALUE"""),2.5)</f>
        <v>2.5</v>
      </c>
      <c r="O51" s="157">
        <f ca="1">IFERROR(__xludf.DUMMYFUNCTION("""COMPUTED_VALUE"""),5)</f>
        <v>5</v>
      </c>
      <c r="P51" s="157"/>
      <c r="Q51" s="3">
        <f t="shared" ca="1" si="0"/>
        <v>50</v>
      </c>
      <c r="R51" s="148" t="e">
        <f ca="1"/>
        <v>#NAME?</v>
      </c>
      <c r="S51" s="147" t="e">
        <f t="shared" ca="1" si="1"/>
        <v>#NAME?</v>
      </c>
      <c r="T51" s="147" t="e">
        <f t="shared" ca="1" si="2"/>
        <v>#NAME?</v>
      </c>
      <c r="U51" s="147" t="e">
        <f t="shared" ca="1" si="3"/>
        <v>#NAME?</v>
      </c>
      <c r="X51" s="147"/>
      <c r="Y51" s="147"/>
      <c r="Z51" s="147"/>
      <c r="AA51" s="147"/>
      <c r="AB51" s="147"/>
      <c r="AC51" s="147"/>
      <c r="AD51" s="147"/>
      <c r="AE51" s="147"/>
      <c r="AF51" s="147"/>
      <c r="AG51" s="147"/>
      <c r="AH51" s="147"/>
      <c r="AI51" s="147"/>
      <c r="AJ51" s="147"/>
      <c r="AK51" s="147"/>
      <c r="AL51" s="147"/>
      <c r="AM51" s="147"/>
      <c r="AN51" s="147"/>
      <c r="AO51" s="147"/>
      <c r="AP51" s="147"/>
      <c r="AQ51" s="147"/>
    </row>
    <row r="52" spans="1:43">
      <c r="A52" s="160" t="str">
        <f ca="1">IFERROR(__xludf.DUMMYFUNCTION("""COMPUTED_VALUE"""),"237182")</f>
        <v>237182</v>
      </c>
      <c r="B52" s="3" t="str">
        <f ca="1">IFERROR(__xludf.DUMMYFUNCTION("""COMPUTED_VALUE"""),"NGUYỄN TRỌNG BÌNH NGUYÊN")</f>
        <v>NGUYỄN TRỌNG BÌNH NGUYÊN</v>
      </c>
      <c r="C52" s="160" t="str">
        <f ca="1">IFERROR(__xludf.DUMMYFUNCTION("""COMPUTED_VALUE"""),"EL005")</f>
        <v>EL005</v>
      </c>
      <c r="D52" s="160" t="str">
        <f ca="1">IFERROR(__xludf.DUMMYFUNCTION("""COMPUTED_VALUE"""),"Duc Nguyen")</f>
        <v>Duc Nguyen</v>
      </c>
      <c r="E52" s="3" t="str">
        <f ca="1">IFERROR(__xludf.DUMMYFUNCTION("""COMPUTED_VALUE"""),"Communication 1")</f>
        <v>Communication 1</v>
      </c>
      <c r="F52" s="3"/>
      <c r="G52" s="3"/>
      <c r="H52" s="156">
        <f ca="1">IFERROR(__xludf.DUMMYFUNCTION("""COMPUTED_VALUE"""),45637.4166666666)</f>
        <v>45637.416666666599</v>
      </c>
      <c r="I52" s="156">
        <f ca="1">IFERROR(__xludf.DUMMYFUNCTION("""COMPUTED_VALUE"""),45637.4166666666)</f>
        <v>45637.416666666599</v>
      </c>
      <c r="J52" s="3" t="str">
        <f ca="1">IFERROR(__xludf.DUMMYFUNCTION("""COMPUTED_VALUE"""),"")</f>
        <v/>
      </c>
      <c r="K52" s="3" t="str">
        <f ca="1">IFERROR(__xludf.DUMMYFUNCTION("""COMPUTED_VALUE"""),"")</f>
        <v/>
      </c>
      <c r="L52" s="3" t="str">
        <f ca="1">IFERROR(__xludf.DUMMYFUNCTION("""COMPUTED_VALUE"""),"GSD")</f>
        <v>GSD</v>
      </c>
      <c r="M52" s="3" t="str">
        <f ca="1">IFERROR(__xludf.DUMMYFUNCTION("""COMPUTED_VALUE"""),"ONC")</f>
        <v>ONC</v>
      </c>
      <c r="N52" s="157" t="str">
        <f ca="1">IFERROR(__xludf.DUMMYFUNCTION("""COMPUTED_VALUE"""),"")</f>
        <v/>
      </c>
      <c r="O52" s="157">
        <f ca="1">IFERROR(__xludf.DUMMYFUNCTION("""COMPUTED_VALUE"""),0)</f>
        <v>0</v>
      </c>
      <c r="P52" s="157"/>
      <c r="Q52" s="3">
        <f t="shared" ca="1" si="0"/>
        <v>51</v>
      </c>
      <c r="R52" s="148" t="e">
        <f ca="1"/>
        <v>#NAME?</v>
      </c>
      <c r="S52" s="147" t="e">
        <f t="shared" ca="1" si="1"/>
        <v>#NAME?</v>
      </c>
      <c r="T52" s="147" t="e">
        <f t="shared" ca="1" si="2"/>
        <v>#NAME?</v>
      </c>
      <c r="U52" s="147" t="e">
        <f t="shared" ca="1" si="3"/>
        <v>#NAME?</v>
      </c>
      <c r="X52" s="147"/>
      <c r="Y52" s="147"/>
      <c r="Z52" s="147"/>
      <c r="AA52" s="147"/>
      <c r="AB52" s="147"/>
      <c r="AC52" s="147"/>
      <c r="AD52" s="147"/>
      <c r="AE52" s="147"/>
      <c r="AF52" s="147"/>
      <c r="AG52" s="147"/>
      <c r="AH52" s="147"/>
      <c r="AI52" s="147"/>
      <c r="AJ52" s="147"/>
      <c r="AK52" s="147"/>
      <c r="AL52" s="147"/>
      <c r="AM52" s="147"/>
      <c r="AN52" s="147"/>
      <c r="AO52" s="147"/>
      <c r="AP52" s="147"/>
      <c r="AQ52" s="147"/>
    </row>
    <row r="53" spans="1:43">
      <c r="A53" s="160" t="str">
        <f ca="1">IFERROR(__xludf.DUMMYFUNCTION("""COMPUTED_VALUE"""),"227092")</f>
        <v>227092</v>
      </c>
      <c r="B53" s="3" t="str">
        <f ca="1">IFERROR(__xludf.DUMMYFUNCTION("""COMPUTED_VALUE"""),"PHẠM THỊ BÍCH THÚY")</f>
        <v>PHẠM THỊ BÍCH THÚY</v>
      </c>
      <c r="C53" s="160" t="str">
        <f ca="1">IFERROR(__xludf.DUMMYFUNCTION("""COMPUTED_VALUE"""),"EL005")</f>
        <v>EL005</v>
      </c>
      <c r="D53" s="160" t="str">
        <f ca="1">IFERROR(__xludf.DUMMYFUNCTION("""COMPUTED_VALUE"""),"Duc Nguyen")</f>
        <v>Duc Nguyen</v>
      </c>
      <c r="E53" s="3" t="str">
        <f ca="1">IFERROR(__xludf.DUMMYFUNCTION("""COMPUTED_VALUE"""),"Communication 1")</f>
        <v>Communication 1</v>
      </c>
      <c r="F53" s="3" t="str">
        <f ca="1">IFERROR(__xludf.DUMMYFUNCTION("""COMPUTED_VALUE"""),"Intermediate")</f>
        <v>Intermediate</v>
      </c>
      <c r="G53" s="3" t="str">
        <f ca="1">IFERROR(__xludf.DUMMYFUNCTION("""COMPUTED_VALUE"""),"Intermediate")</f>
        <v>Intermediate</v>
      </c>
      <c r="H53" s="156">
        <f ca="1">IFERROR(__xludf.DUMMYFUNCTION("""COMPUTED_VALUE"""),45637.4166666666)</f>
        <v>45637.416666666599</v>
      </c>
      <c r="I53" s="156">
        <f ca="1">IFERROR(__xludf.DUMMYFUNCTION("""COMPUTED_VALUE"""),45637.4166666666)</f>
        <v>45637.416666666599</v>
      </c>
      <c r="J53" s="3">
        <f ca="1">IFERROR(__xludf.DUMMYFUNCTION("""COMPUTED_VALUE"""),4.5)</f>
        <v>4.5</v>
      </c>
      <c r="K53" s="3">
        <f ca="1">IFERROR(__xludf.DUMMYFUNCTION("""COMPUTED_VALUE"""),4.5)</f>
        <v>4.5</v>
      </c>
      <c r="L53" s="3" t="str">
        <f ca="1">IFERROR(__xludf.DUMMYFUNCTION("""COMPUTED_VALUE"""),"GSD")</f>
        <v>GSD</v>
      </c>
      <c r="M53" s="3" t="str">
        <f ca="1">IFERROR(__xludf.DUMMYFUNCTION("""COMPUTED_VALUE"""),"LBU")</f>
        <v>LBU</v>
      </c>
      <c r="N53" s="157">
        <f ca="1">IFERROR(__xludf.DUMMYFUNCTION("""COMPUTED_VALUE"""),4.5)</f>
        <v>4.5</v>
      </c>
      <c r="O53" s="157">
        <f ca="1">IFERROR(__xludf.DUMMYFUNCTION("""COMPUTED_VALUE"""),5)</f>
        <v>5</v>
      </c>
      <c r="P53" s="157"/>
      <c r="Q53" s="3">
        <f t="shared" ca="1" si="0"/>
        <v>52</v>
      </c>
      <c r="R53" s="148" t="e">
        <f ca="1"/>
        <v>#NAME?</v>
      </c>
      <c r="S53" s="147" t="e">
        <f t="shared" ca="1" si="1"/>
        <v>#NAME?</v>
      </c>
      <c r="T53" s="147" t="e">
        <f t="shared" ca="1" si="2"/>
        <v>#NAME?</v>
      </c>
      <c r="U53" s="147" t="e">
        <f t="shared" ca="1" si="3"/>
        <v>#NAME?</v>
      </c>
      <c r="X53" s="147"/>
      <c r="Y53" s="147"/>
      <c r="Z53" s="147"/>
      <c r="AA53" s="147"/>
      <c r="AB53" s="147"/>
      <c r="AC53" s="147"/>
      <c r="AD53" s="147"/>
      <c r="AE53" s="147"/>
      <c r="AF53" s="147"/>
      <c r="AG53" s="147"/>
      <c r="AH53" s="147"/>
      <c r="AI53" s="147"/>
      <c r="AJ53" s="147"/>
      <c r="AK53" s="147"/>
      <c r="AL53" s="147"/>
      <c r="AM53" s="147"/>
      <c r="AN53" s="147"/>
      <c r="AO53" s="147"/>
      <c r="AP53" s="147"/>
      <c r="AQ53" s="147"/>
    </row>
    <row r="54" spans="1:43">
      <c r="A54" s="155" t="str">
        <f ca="1">IFERROR(__xludf.DUMMYFUNCTION("""COMPUTED_VALUE"""),"183421")</f>
        <v>183421</v>
      </c>
      <c r="B54" s="154" t="str">
        <f ca="1">IFERROR(__xludf.DUMMYFUNCTION("""COMPUTED_VALUE"""),"NGUYỄN TẤT ĐẠT")</f>
        <v>NGUYỄN TẤT ĐẠT</v>
      </c>
      <c r="C54" s="155" t="str">
        <f ca="1">IFERROR(__xludf.DUMMYFUNCTION("""COMPUTED_VALUE"""),"EL006")</f>
        <v>EL006</v>
      </c>
      <c r="D54" s="155" t="str">
        <f ca="1">IFERROR(__xludf.DUMMYFUNCTION("""COMPUTED_VALUE"""),"Dat Nguyen")</f>
        <v>Dat Nguyen</v>
      </c>
      <c r="E54" s="154" t="str">
        <f ca="1">IFERROR(__xludf.DUMMYFUNCTION("""COMPUTED_VALUE"""),"Communication 1")</f>
        <v>Communication 1</v>
      </c>
      <c r="F54" s="3" t="str">
        <f ca="1">IFERROR(__xludf.DUMMYFUNCTION("""COMPUTED_VALUE"""),"Intermediate")</f>
        <v>Intermediate</v>
      </c>
      <c r="G54" s="3" t="str">
        <f ca="1">IFERROR(__xludf.DUMMYFUNCTION("""COMPUTED_VALUE"""),"Intermediate")</f>
        <v>Intermediate</v>
      </c>
      <c r="H54" s="156">
        <f ca="1">IFERROR(__xludf.DUMMYFUNCTION("""COMPUTED_VALUE"""),45639.4166666666)</f>
        <v>45639.416666666599</v>
      </c>
      <c r="I54" s="156">
        <f ca="1">IFERROR(__xludf.DUMMYFUNCTION("""COMPUTED_VALUE"""),45639.4166666666)</f>
        <v>45639.416666666599</v>
      </c>
      <c r="J54" s="3">
        <f ca="1">IFERROR(__xludf.DUMMYFUNCTION("""COMPUTED_VALUE"""),4.5)</f>
        <v>4.5</v>
      </c>
      <c r="K54" s="3">
        <f ca="1">IFERROR(__xludf.DUMMYFUNCTION("""COMPUTED_VALUE"""),4.5)</f>
        <v>4.5</v>
      </c>
      <c r="L54" s="3" t="str">
        <f ca="1">IFERROR(__xludf.DUMMYFUNCTION("""COMPUTED_VALUE"""),"DEV")</f>
        <v>DEV</v>
      </c>
      <c r="M54" s="3" t="str">
        <f ca="1">IFERROR(__xludf.DUMMYFUNCTION("""COMPUTED_VALUE"""),"LBU")</f>
        <v>LBU</v>
      </c>
      <c r="N54" s="157">
        <f ca="1">IFERROR(__xludf.DUMMYFUNCTION("""COMPUTED_VALUE"""),4.5)</f>
        <v>4.5</v>
      </c>
      <c r="O54" s="157">
        <f ca="1">IFERROR(__xludf.DUMMYFUNCTION("""COMPUTED_VALUE"""),4.5)</f>
        <v>4.5</v>
      </c>
      <c r="P54" s="157"/>
      <c r="Q54" s="3">
        <f t="shared" ca="1" si="0"/>
        <v>53</v>
      </c>
      <c r="R54" s="148" t="e">
        <f ca="1"/>
        <v>#NAME?</v>
      </c>
      <c r="S54" s="147" t="e">
        <f t="shared" ca="1" si="1"/>
        <v>#NAME?</v>
      </c>
      <c r="T54" s="147" t="e">
        <f t="shared" ca="1" si="2"/>
        <v>#NAME?</v>
      </c>
      <c r="U54" s="147" t="e">
        <f t="shared" ca="1" si="3"/>
        <v>#NAME?</v>
      </c>
      <c r="X54" s="147"/>
      <c r="Y54" s="147"/>
      <c r="Z54" s="147"/>
      <c r="AA54" s="147"/>
      <c r="AB54" s="147"/>
      <c r="AC54" s="147"/>
      <c r="AD54" s="147"/>
      <c r="AE54" s="147"/>
      <c r="AF54" s="147"/>
      <c r="AG54" s="147"/>
      <c r="AH54" s="147"/>
      <c r="AI54" s="147"/>
      <c r="AJ54" s="147"/>
      <c r="AK54" s="147"/>
      <c r="AL54" s="147"/>
      <c r="AM54" s="147"/>
      <c r="AN54" s="147"/>
      <c r="AO54" s="147"/>
      <c r="AP54" s="147"/>
      <c r="AQ54" s="147"/>
    </row>
    <row r="55" spans="1:43">
      <c r="A55" s="160" t="str">
        <f ca="1">IFERROR(__xludf.DUMMYFUNCTION("""COMPUTED_VALUE"""),"247026")</f>
        <v>247026</v>
      </c>
      <c r="B55" s="3" t="str">
        <f ca="1">IFERROR(__xludf.DUMMYFUNCTION("""COMPUTED_VALUE"""),"ĐỖ HOÀNG MINH HUY")</f>
        <v>ĐỖ HOÀNG MINH HUY</v>
      </c>
      <c r="C55" s="160" t="str">
        <f ca="1">IFERROR(__xludf.DUMMYFUNCTION("""COMPUTED_VALUE"""),"EL006")</f>
        <v>EL006</v>
      </c>
      <c r="D55" s="160" t="str">
        <f ca="1">IFERROR(__xludf.DUMMYFUNCTION("""COMPUTED_VALUE"""),"Dat Nguyen")</f>
        <v>Dat Nguyen</v>
      </c>
      <c r="E55" s="3" t="str">
        <f ca="1">IFERROR(__xludf.DUMMYFUNCTION("""COMPUTED_VALUE"""),"Communication 1")</f>
        <v>Communication 1</v>
      </c>
      <c r="F55" s="3" t="str">
        <f ca="1">IFERROR(__xludf.DUMMYFUNCTION("""COMPUTED_VALUE"""),"Pre-Intermediate")</f>
        <v>Pre-Intermediate</v>
      </c>
      <c r="G55" s="3" t="str">
        <f ca="1">IFERROR(__xludf.DUMMYFUNCTION("""COMPUTED_VALUE"""),"Intermediate")</f>
        <v>Intermediate</v>
      </c>
      <c r="H55" s="156">
        <f ca="1">IFERROR(__xludf.DUMMYFUNCTION("""COMPUTED_VALUE"""),45639.4166666666)</f>
        <v>45639.416666666599</v>
      </c>
      <c r="I55" s="156">
        <f ca="1">IFERROR(__xludf.DUMMYFUNCTION("""COMPUTED_VALUE"""),45639.4166666666)</f>
        <v>45639.416666666599</v>
      </c>
      <c r="J55" s="3">
        <f ca="1">IFERROR(__xludf.DUMMYFUNCTION("""COMPUTED_VALUE"""),2.5)</f>
        <v>2.5</v>
      </c>
      <c r="K55" s="3">
        <f ca="1">IFERROR(__xludf.DUMMYFUNCTION("""COMPUTED_VALUE"""),4.5)</f>
        <v>4.5</v>
      </c>
      <c r="L55" s="3" t="str">
        <f ca="1">IFERROR(__xludf.DUMMYFUNCTION("""COMPUTED_VALUE"""),"GSD")</f>
        <v>GSD</v>
      </c>
      <c r="M55" s="3" t="str">
        <f ca="1">IFERROR(__xludf.DUMMYFUNCTION("""COMPUTED_VALUE"""),"LBU")</f>
        <v>LBU</v>
      </c>
      <c r="N55" s="157">
        <f ca="1">IFERROR(__xludf.DUMMYFUNCTION("""COMPUTED_VALUE"""),2.5)</f>
        <v>2.5</v>
      </c>
      <c r="O55" s="157">
        <f ca="1">IFERROR(__xludf.DUMMYFUNCTION("""COMPUTED_VALUE"""),4.5)</f>
        <v>4.5</v>
      </c>
      <c r="P55" s="157"/>
      <c r="Q55" s="3">
        <f t="shared" ca="1" si="0"/>
        <v>54</v>
      </c>
      <c r="R55" s="148" t="e">
        <f ca="1"/>
        <v>#NAME?</v>
      </c>
      <c r="S55" s="147" t="e">
        <f t="shared" ca="1" si="1"/>
        <v>#NAME?</v>
      </c>
      <c r="T55" s="147" t="e">
        <f t="shared" ca="1" si="2"/>
        <v>#NAME?</v>
      </c>
      <c r="U55" s="147" t="e">
        <f t="shared" ca="1" si="3"/>
        <v>#NAME?</v>
      </c>
      <c r="X55" s="147"/>
      <c r="Y55" s="147"/>
      <c r="Z55" s="147"/>
      <c r="AA55" s="147"/>
      <c r="AB55" s="147"/>
      <c r="AC55" s="147"/>
      <c r="AD55" s="147"/>
      <c r="AE55" s="147"/>
      <c r="AF55" s="147"/>
      <c r="AG55" s="147"/>
      <c r="AH55" s="147"/>
      <c r="AI55" s="147"/>
      <c r="AJ55" s="147"/>
      <c r="AK55" s="147"/>
      <c r="AL55" s="147"/>
      <c r="AM55" s="147"/>
      <c r="AN55" s="147"/>
      <c r="AO55" s="147"/>
      <c r="AP55" s="147"/>
      <c r="AQ55" s="147"/>
    </row>
    <row r="56" spans="1:43">
      <c r="A56" s="160" t="str">
        <f ca="1">IFERROR(__xludf.DUMMYFUNCTION("""COMPUTED_VALUE"""),"237043")</f>
        <v>237043</v>
      </c>
      <c r="B56" s="3" t="str">
        <f ca="1">IFERROR(__xludf.DUMMYFUNCTION("""COMPUTED_VALUE"""),"HUỲNH BỬU BỬU")</f>
        <v>HUỲNH BỬU BỬU</v>
      </c>
      <c r="C56" s="160" t="str">
        <f ca="1">IFERROR(__xludf.DUMMYFUNCTION("""COMPUTED_VALUE"""),"EL006")</f>
        <v>EL006</v>
      </c>
      <c r="D56" s="160" t="str">
        <f ca="1">IFERROR(__xludf.DUMMYFUNCTION("""COMPUTED_VALUE"""),"Dat Nguyen")</f>
        <v>Dat Nguyen</v>
      </c>
      <c r="E56" s="3" t="str">
        <f ca="1">IFERROR(__xludf.DUMMYFUNCTION("""COMPUTED_VALUE"""),"Communication 1")</f>
        <v>Communication 1</v>
      </c>
      <c r="F56" s="3" t="str">
        <f ca="1">IFERROR(__xludf.DUMMYFUNCTION("""COMPUTED_VALUE"""),"Beginner")</f>
        <v>Beginner</v>
      </c>
      <c r="G56" s="3" t="str">
        <f ca="1">IFERROR(__xludf.DUMMYFUNCTION("""COMPUTED_VALUE"""),"Pre-Intermediate 1")</f>
        <v>Pre-Intermediate 1</v>
      </c>
      <c r="H56" s="156">
        <f ca="1">IFERROR(__xludf.DUMMYFUNCTION("""COMPUTED_VALUE"""),45639.4166666666)</f>
        <v>45639.416666666599</v>
      </c>
      <c r="I56" s="156">
        <f ca="1">IFERROR(__xludf.DUMMYFUNCTION("""COMPUTED_VALUE"""),45639.4166666666)</f>
        <v>45639.416666666599</v>
      </c>
      <c r="J56" s="3">
        <f ca="1">IFERROR(__xludf.DUMMYFUNCTION("""COMPUTED_VALUE"""),1)</f>
        <v>1</v>
      </c>
      <c r="K56" s="3">
        <f ca="1">IFERROR(__xludf.DUMMYFUNCTION("""COMPUTED_VALUE"""),3)</f>
        <v>3</v>
      </c>
      <c r="L56" s="3" t="str">
        <f ca="1">IFERROR(__xludf.DUMMYFUNCTION("""COMPUTED_VALUE"""),"DEV")</f>
        <v>DEV</v>
      </c>
      <c r="M56" s="3" t="str">
        <f ca="1">IFERROR(__xludf.DUMMYFUNCTION("""COMPUTED_VALUE"""),"LBU")</f>
        <v>LBU</v>
      </c>
      <c r="N56" s="157">
        <f ca="1">IFERROR(__xludf.DUMMYFUNCTION("""COMPUTED_VALUE"""),1)</f>
        <v>1</v>
      </c>
      <c r="O56" s="157">
        <f ca="1">IFERROR(__xludf.DUMMYFUNCTION("""COMPUTED_VALUE"""),3)</f>
        <v>3</v>
      </c>
      <c r="P56" s="157"/>
      <c r="Q56" s="3">
        <f t="shared" ca="1" si="0"/>
        <v>55</v>
      </c>
      <c r="R56" s="148" t="e">
        <f ca="1"/>
        <v>#NAME?</v>
      </c>
      <c r="S56" s="147" t="e">
        <f t="shared" ca="1" si="1"/>
        <v>#NAME?</v>
      </c>
      <c r="T56" s="147" t="e">
        <f t="shared" ca="1" si="2"/>
        <v>#NAME?</v>
      </c>
      <c r="U56" s="147" t="e">
        <f t="shared" ca="1" si="3"/>
        <v>#NAME?</v>
      </c>
      <c r="X56" s="147"/>
      <c r="Y56" s="147"/>
      <c r="Z56" s="147"/>
      <c r="AA56" s="147"/>
      <c r="AB56" s="147"/>
      <c r="AC56" s="147"/>
      <c r="AD56" s="147"/>
      <c r="AE56" s="147"/>
      <c r="AF56" s="147"/>
      <c r="AG56" s="147"/>
      <c r="AH56" s="147"/>
      <c r="AI56" s="147"/>
      <c r="AJ56" s="147"/>
      <c r="AK56" s="147"/>
      <c r="AL56" s="147"/>
      <c r="AM56" s="147"/>
      <c r="AN56" s="147"/>
      <c r="AO56" s="147"/>
      <c r="AP56" s="147"/>
      <c r="AQ56" s="147"/>
    </row>
    <row r="57" spans="1:43">
      <c r="A57" s="160" t="str">
        <f ca="1">IFERROR(__xludf.DUMMYFUNCTION("""COMPUTED_VALUE"""),"193548")</f>
        <v>193548</v>
      </c>
      <c r="B57" s="3" t="str">
        <f ca="1">IFERROR(__xludf.DUMMYFUNCTION("""COMPUTED_VALUE"""),"NGUYỄN THIÊN ÂN")</f>
        <v>NGUYỄN THIÊN ÂN</v>
      </c>
      <c r="C57" s="160" t="str">
        <f ca="1">IFERROR(__xludf.DUMMYFUNCTION("""COMPUTED_VALUE"""),"EL006")</f>
        <v>EL006</v>
      </c>
      <c r="D57" s="160" t="str">
        <f ca="1">IFERROR(__xludf.DUMMYFUNCTION("""COMPUTED_VALUE"""),"Dat Nguyen")</f>
        <v>Dat Nguyen</v>
      </c>
      <c r="E57" s="3" t="str">
        <f ca="1">IFERROR(__xludf.DUMMYFUNCTION("""COMPUTED_VALUE"""),"Communication 1")</f>
        <v>Communication 1</v>
      </c>
      <c r="F57" s="3" t="str">
        <f ca="1">IFERROR(__xludf.DUMMYFUNCTION("""COMPUTED_VALUE"""),"Pre-Intermediate")</f>
        <v>Pre-Intermediate</v>
      </c>
      <c r="G57" s="3" t="str">
        <f ca="1">IFERROR(__xludf.DUMMYFUNCTION("""COMPUTED_VALUE"""),"Pre-Intermediate 2")</f>
        <v>Pre-Intermediate 2</v>
      </c>
      <c r="H57" s="156">
        <f ca="1">IFERROR(__xludf.DUMMYFUNCTION("""COMPUTED_VALUE"""),45639.4166666666)</f>
        <v>45639.416666666599</v>
      </c>
      <c r="I57" s="156">
        <f ca="1">IFERROR(__xludf.DUMMYFUNCTION("""COMPUTED_VALUE"""),45639.4166666666)</f>
        <v>45639.416666666599</v>
      </c>
      <c r="J57" s="3">
        <f ca="1">IFERROR(__xludf.DUMMYFUNCTION("""COMPUTED_VALUE"""),2.5)</f>
        <v>2.5</v>
      </c>
      <c r="K57" s="3">
        <f ca="1">IFERROR(__xludf.DUMMYFUNCTION("""COMPUTED_VALUE"""),3.5)</f>
        <v>3.5</v>
      </c>
      <c r="L57" s="3" t="str">
        <f ca="1">IFERROR(__xludf.DUMMYFUNCTION("""COMPUTED_VALUE"""),"QC")</f>
        <v>QC</v>
      </c>
      <c r="M57" s="3" t="str">
        <f ca="1">IFERROR(__xludf.DUMMYFUNCTION("""COMPUTED_VALUE"""),"TBU")</f>
        <v>TBU</v>
      </c>
      <c r="N57" s="157">
        <f ca="1">IFERROR(__xludf.DUMMYFUNCTION("""COMPUTED_VALUE"""),2.5)</f>
        <v>2.5</v>
      </c>
      <c r="O57" s="157">
        <f ca="1">IFERROR(__xludf.DUMMYFUNCTION("""COMPUTED_VALUE"""),3.5)</f>
        <v>3.5</v>
      </c>
      <c r="P57" s="157"/>
      <c r="Q57" s="3">
        <f t="shared" ca="1" si="0"/>
        <v>56</v>
      </c>
      <c r="R57" s="148" t="e">
        <f ca="1"/>
        <v>#NAME?</v>
      </c>
      <c r="S57" s="147" t="e">
        <f t="shared" ca="1" si="1"/>
        <v>#NAME?</v>
      </c>
      <c r="T57" s="147" t="e">
        <f t="shared" ca="1" si="2"/>
        <v>#NAME?</v>
      </c>
      <c r="U57" s="147" t="e">
        <f t="shared" ca="1" si="3"/>
        <v>#NAME?</v>
      </c>
      <c r="X57" s="147"/>
      <c r="Y57" s="147"/>
      <c r="Z57" s="147"/>
      <c r="AA57" s="147"/>
      <c r="AB57" s="147"/>
      <c r="AC57" s="147"/>
      <c r="AD57" s="147"/>
      <c r="AE57" s="147"/>
      <c r="AF57" s="147"/>
      <c r="AG57" s="147"/>
      <c r="AH57" s="147"/>
      <c r="AI57" s="147"/>
      <c r="AJ57" s="147"/>
      <c r="AK57" s="147"/>
      <c r="AL57" s="147"/>
      <c r="AM57" s="147"/>
      <c r="AN57" s="147"/>
      <c r="AO57" s="147"/>
      <c r="AP57" s="147"/>
      <c r="AQ57" s="147"/>
    </row>
    <row r="58" spans="1:43">
      <c r="A58" s="155" t="str">
        <f ca="1">IFERROR(__xludf.DUMMYFUNCTION("""COMPUTED_VALUE"""),"247198")</f>
        <v>247198</v>
      </c>
      <c r="B58" s="154" t="str">
        <f ca="1">IFERROR(__xludf.DUMMYFUNCTION("""COMPUTED_VALUE"""),"NGUYỄN ĐỨC NHẬT")</f>
        <v>NGUYỄN ĐỨC NHẬT</v>
      </c>
      <c r="C58" s="155" t="str">
        <f ca="1">IFERROR(__xludf.DUMMYFUNCTION("""COMPUTED_VALUE"""),"EL007")</f>
        <v>EL007</v>
      </c>
      <c r="D58" s="155" t="str">
        <f ca="1">IFERROR(__xludf.DUMMYFUNCTION("""COMPUTED_VALUE"""),"Nhat Nguyen")</f>
        <v>Nhat Nguyen</v>
      </c>
      <c r="E58" s="154" t="str">
        <f ca="1">IFERROR(__xludf.DUMMYFUNCTION("""COMPUTED_VALUE"""),"Communication 1")</f>
        <v>Communication 1</v>
      </c>
      <c r="F58" s="3" t="str">
        <f ca="1">IFERROR(__xludf.DUMMYFUNCTION("""COMPUTED_VALUE"""),"Pre-Intermediate")</f>
        <v>Pre-Intermediate</v>
      </c>
      <c r="G58" s="3" t="str">
        <f ca="1">IFERROR(__xludf.DUMMYFUNCTION("""COMPUTED_VALUE"""),"Pre-Intermediate 2")</f>
        <v>Pre-Intermediate 2</v>
      </c>
      <c r="H58" s="156">
        <f ca="1">IFERROR(__xludf.DUMMYFUNCTION("""COMPUTED_VALUE"""),45702.4583333333)</f>
        <v>45702.458333333299</v>
      </c>
      <c r="I58" s="156">
        <f ca="1">IFERROR(__xludf.DUMMYFUNCTION("""COMPUTED_VALUE"""),45702.4583333333)</f>
        <v>45702.458333333299</v>
      </c>
      <c r="J58" s="3">
        <f ca="1">IFERROR(__xludf.DUMMYFUNCTION("""COMPUTED_VALUE"""),2.5)</f>
        <v>2.5</v>
      </c>
      <c r="K58" s="3">
        <f ca="1">IFERROR(__xludf.DUMMYFUNCTION("""COMPUTED_VALUE"""),3.5)</f>
        <v>3.5</v>
      </c>
      <c r="L58" s="3" t="str">
        <f ca="1">IFERROR(__xludf.DUMMYFUNCTION("""COMPUTED_VALUE"""),"DEV")</f>
        <v>DEV</v>
      </c>
      <c r="M58" s="3" t="str">
        <f ca="1">IFERROR(__xludf.DUMMYFUNCTION("""COMPUTED_VALUE"""),"CHORUS")</f>
        <v>CHORUS</v>
      </c>
      <c r="N58" s="157">
        <f ca="1">IFERROR(__xludf.DUMMYFUNCTION("""COMPUTED_VALUE"""),2.5)</f>
        <v>2.5</v>
      </c>
      <c r="O58" s="157">
        <f ca="1">IFERROR(__xludf.DUMMYFUNCTION("""COMPUTED_VALUE"""),3.5)</f>
        <v>3.5</v>
      </c>
      <c r="P58" s="157"/>
      <c r="Q58" s="3">
        <f t="shared" ca="1" si="0"/>
        <v>57</v>
      </c>
      <c r="R58" s="148" t="e">
        <f ca="1"/>
        <v>#NAME?</v>
      </c>
      <c r="S58" s="147" t="e">
        <f t="shared" ca="1" si="1"/>
        <v>#NAME?</v>
      </c>
      <c r="T58" s="147" t="e">
        <f t="shared" ca="1" si="2"/>
        <v>#NAME?</v>
      </c>
      <c r="U58" s="147" t="e">
        <f t="shared" ca="1" si="3"/>
        <v>#NAME?</v>
      </c>
      <c r="X58" s="147"/>
      <c r="Y58" s="147"/>
      <c r="Z58" s="147"/>
      <c r="AA58" s="147"/>
      <c r="AB58" s="147"/>
      <c r="AC58" s="147"/>
      <c r="AD58" s="147"/>
      <c r="AE58" s="147"/>
      <c r="AF58" s="147"/>
      <c r="AG58" s="147"/>
      <c r="AH58" s="147"/>
      <c r="AI58" s="147"/>
      <c r="AJ58" s="147"/>
      <c r="AK58" s="147"/>
      <c r="AL58" s="147"/>
      <c r="AM58" s="147"/>
      <c r="AN58" s="147"/>
      <c r="AO58" s="147"/>
      <c r="AP58" s="147"/>
      <c r="AQ58" s="147"/>
    </row>
    <row r="59" spans="1:43">
      <c r="A59" s="160" t="str">
        <f ca="1">IFERROR(__xludf.DUMMYFUNCTION("""COMPUTED_VALUE"""),"247190")</f>
        <v>247190</v>
      </c>
      <c r="B59" s="3" t="str">
        <f ca="1">IFERROR(__xludf.DUMMYFUNCTION("""COMPUTED_VALUE"""),"HUỲNH NGUYÊN KHANG")</f>
        <v>HUỲNH NGUYÊN KHANG</v>
      </c>
      <c r="C59" s="160" t="str">
        <f ca="1">IFERROR(__xludf.DUMMYFUNCTION("""COMPUTED_VALUE"""),"EL007")</f>
        <v>EL007</v>
      </c>
      <c r="D59" s="160" t="str">
        <f ca="1">IFERROR(__xludf.DUMMYFUNCTION("""COMPUTED_VALUE"""),"Nhat Nguyen")</f>
        <v>Nhat Nguyen</v>
      </c>
      <c r="E59" s="3" t="str">
        <f ca="1">IFERROR(__xludf.DUMMYFUNCTION("""COMPUTED_VALUE"""),"Communication 1")</f>
        <v>Communication 1</v>
      </c>
      <c r="F59" s="3" t="str">
        <f ca="1">IFERROR(__xludf.DUMMYFUNCTION("""COMPUTED_VALUE"""),"Beginner")</f>
        <v>Beginner</v>
      </c>
      <c r="G59" s="3" t="str">
        <f ca="1">IFERROR(__xludf.DUMMYFUNCTION("""COMPUTED_VALUE"""),"Pre-Intermediate 1")</f>
        <v>Pre-Intermediate 1</v>
      </c>
      <c r="H59" s="156">
        <f ca="1">IFERROR(__xludf.DUMMYFUNCTION("""COMPUTED_VALUE"""),45702.4583333333)</f>
        <v>45702.458333333299</v>
      </c>
      <c r="I59" s="156">
        <f ca="1">IFERROR(__xludf.DUMMYFUNCTION("""COMPUTED_VALUE"""),45702.4583333333)</f>
        <v>45702.458333333299</v>
      </c>
      <c r="J59" s="3">
        <f ca="1">IFERROR(__xludf.DUMMYFUNCTION("""COMPUTED_VALUE"""),1)</f>
        <v>1</v>
      </c>
      <c r="K59" s="3">
        <f ca="1">IFERROR(__xludf.DUMMYFUNCTION("""COMPUTED_VALUE"""),3)</f>
        <v>3</v>
      </c>
      <c r="L59" s="3" t="str">
        <f ca="1">IFERROR(__xludf.DUMMYFUNCTION("""COMPUTED_VALUE"""),"DEV")</f>
        <v>DEV</v>
      </c>
      <c r="M59" s="3" t="str">
        <f ca="1">IFERROR(__xludf.DUMMYFUNCTION("""COMPUTED_VALUE"""),"CHORUS")</f>
        <v>CHORUS</v>
      </c>
      <c r="N59" s="157">
        <f ca="1">IFERROR(__xludf.DUMMYFUNCTION("""COMPUTED_VALUE"""),1)</f>
        <v>1</v>
      </c>
      <c r="O59" s="157">
        <f ca="1">IFERROR(__xludf.DUMMYFUNCTION("""COMPUTED_VALUE"""),3)</f>
        <v>3</v>
      </c>
      <c r="P59" s="157"/>
      <c r="Q59" s="3">
        <f t="shared" ca="1" si="0"/>
        <v>58</v>
      </c>
      <c r="R59" s="148" t="e">
        <f ca="1"/>
        <v>#NAME?</v>
      </c>
      <c r="S59" s="147" t="e">
        <f t="shared" ca="1" si="1"/>
        <v>#NAME?</v>
      </c>
      <c r="T59" s="147" t="e">
        <f t="shared" ca="1" si="2"/>
        <v>#NAME?</v>
      </c>
      <c r="U59" s="147" t="e">
        <f t="shared" ca="1" si="3"/>
        <v>#NAME?</v>
      </c>
      <c r="X59" s="147"/>
      <c r="Y59" s="147"/>
      <c r="Z59" s="147"/>
      <c r="AA59" s="147"/>
      <c r="AB59" s="147"/>
      <c r="AC59" s="147"/>
      <c r="AD59" s="147"/>
      <c r="AE59" s="147"/>
      <c r="AF59" s="147"/>
      <c r="AG59" s="147"/>
      <c r="AH59" s="147"/>
      <c r="AI59" s="147"/>
      <c r="AJ59" s="147"/>
      <c r="AK59" s="147"/>
      <c r="AL59" s="147"/>
      <c r="AM59" s="147"/>
      <c r="AN59" s="147"/>
      <c r="AO59" s="147"/>
      <c r="AP59" s="147"/>
      <c r="AQ59" s="147"/>
    </row>
    <row r="60" spans="1:43">
      <c r="A60" s="160" t="str">
        <f ca="1">IFERROR(__xludf.DUMMYFUNCTION("""COMPUTED_VALUE"""),"203759")</f>
        <v>203759</v>
      </c>
      <c r="B60" s="3" t="str">
        <f ca="1">IFERROR(__xludf.DUMMYFUNCTION("""COMPUTED_VALUE"""),"PHAN THẾ AN")</f>
        <v>PHAN THẾ AN</v>
      </c>
      <c r="C60" s="160" t="str">
        <f ca="1">IFERROR(__xludf.DUMMYFUNCTION("""COMPUTED_VALUE"""),"EL007")</f>
        <v>EL007</v>
      </c>
      <c r="D60" s="160" t="str">
        <f ca="1">IFERROR(__xludf.DUMMYFUNCTION("""COMPUTED_VALUE"""),"Nhat Nguyen")</f>
        <v>Nhat Nguyen</v>
      </c>
      <c r="E60" s="3" t="str">
        <f ca="1">IFERROR(__xludf.DUMMYFUNCTION("""COMPUTED_VALUE"""),"Communication 1")</f>
        <v>Communication 1</v>
      </c>
      <c r="F60" s="3" t="str">
        <f ca="1">IFERROR(__xludf.DUMMYFUNCTION("""COMPUTED_VALUE"""),"Beginner")</f>
        <v>Beginner</v>
      </c>
      <c r="G60" s="3" t="str">
        <f ca="1">IFERROR(__xludf.DUMMYFUNCTION("""COMPUTED_VALUE"""),"Pre-Intermediate 1")</f>
        <v>Pre-Intermediate 1</v>
      </c>
      <c r="H60" s="156">
        <f ca="1">IFERROR(__xludf.DUMMYFUNCTION("""COMPUTED_VALUE"""),45702.4583333333)</f>
        <v>45702.458333333299</v>
      </c>
      <c r="I60" s="156">
        <f ca="1">IFERROR(__xludf.DUMMYFUNCTION("""COMPUTED_VALUE"""),45702.4583333333)</f>
        <v>45702.458333333299</v>
      </c>
      <c r="J60" s="3">
        <f ca="1">IFERROR(__xludf.DUMMYFUNCTION("""COMPUTED_VALUE"""),1)</f>
        <v>1</v>
      </c>
      <c r="K60" s="3">
        <f ca="1">IFERROR(__xludf.DUMMYFUNCTION("""COMPUTED_VALUE"""),3)</f>
        <v>3</v>
      </c>
      <c r="L60" s="3" t="str">
        <f ca="1">IFERROR(__xludf.DUMMYFUNCTION("""COMPUTED_VALUE"""),"DEV")</f>
        <v>DEV</v>
      </c>
      <c r="M60" s="3" t="str">
        <f ca="1">IFERROR(__xludf.DUMMYFUNCTION("""COMPUTED_VALUE"""),"LBU")</f>
        <v>LBU</v>
      </c>
      <c r="N60" s="157">
        <f ca="1">IFERROR(__xludf.DUMMYFUNCTION("""COMPUTED_VALUE"""),1)</f>
        <v>1</v>
      </c>
      <c r="O60" s="157">
        <f ca="1">IFERROR(__xludf.DUMMYFUNCTION("""COMPUTED_VALUE"""),5)</f>
        <v>5</v>
      </c>
      <c r="P60" s="157"/>
      <c r="Q60" s="3">
        <f t="shared" ca="1" si="0"/>
        <v>59</v>
      </c>
      <c r="R60" s="148" t="e">
        <f ca="1"/>
        <v>#NAME?</v>
      </c>
      <c r="S60" s="147" t="e">
        <f t="shared" ca="1" si="1"/>
        <v>#NAME?</v>
      </c>
      <c r="T60" s="147" t="e">
        <f t="shared" ca="1" si="2"/>
        <v>#NAME?</v>
      </c>
      <c r="U60" s="147" t="e">
        <f t="shared" ca="1" si="3"/>
        <v>#NAME?</v>
      </c>
      <c r="X60" s="147"/>
      <c r="Y60" s="147"/>
      <c r="Z60" s="147"/>
      <c r="AA60" s="147"/>
      <c r="AB60" s="147"/>
      <c r="AC60" s="147"/>
      <c r="AD60" s="147"/>
      <c r="AE60" s="147"/>
      <c r="AF60" s="147"/>
      <c r="AG60" s="147"/>
      <c r="AH60" s="147"/>
      <c r="AI60" s="147"/>
      <c r="AJ60" s="147"/>
      <c r="AK60" s="147"/>
      <c r="AL60" s="147"/>
      <c r="AM60" s="147"/>
      <c r="AN60" s="147"/>
      <c r="AO60" s="147"/>
      <c r="AP60" s="147"/>
      <c r="AQ60" s="147"/>
    </row>
    <row r="61" spans="1:43">
      <c r="A61" s="160" t="str">
        <f ca="1">IFERROR(__xludf.DUMMYFUNCTION("""COMPUTED_VALUE"""),"247191")</f>
        <v>247191</v>
      </c>
      <c r="B61" s="3" t="str">
        <f ca="1">IFERROR(__xludf.DUMMYFUNCTION("""COMPUTED_VALUE"""),"TRẦN NGỌC PHƯỚC HOÀNG")</f>
        <v>TRẦN NGỌC PHƯỚC HOÀNG</v>
      </c>
      <c r="C61" s="160" t="str">
        <f ca="1">IFERROR(__xludf.DUMMYFUNCTION("""COMPUTED_VALUE"""),"EL007")</f>
        <v>EL007</v>
      </c>
      <c r="D61" s="160" t="str">
        <f ca="1">IFERROR(__xludf.DUMMYFUNCTION("""COMPUTED_VALUE"""),"Nhat Nguyen")</f>
        <v>Nhat Nguyen</v>
      </c>
      <c r="E61" s="3" t="str">
        <f ca="1">IFERROR(__xludf.DUMMYFUNCTION("""COMPUTED_VALUE"""),"Communication 1")</f>
        <v>Communication 1</v>
      </c>
      <c r="F61" s="3" t="str">
        <f ca="1">IFERROR(__xludf.DUMMYFUNCTION("""COMPUTED_VALUE"""),"Beginner")</f>
        <v>Beginner</v>
      </c>
      <c r="G61" s="3" t="str">
        <f ca="1">IFERROR(__xludf.DUMMYFUNCTION("""COMPUTED_VALUE"""),"Pre-Intermediate 1")</f>
        <v>Pre-Intermediate 1</v>
      </c>
      <c r="H61" s="156">
        <f ca="1">IFERROR(__xludf.DUMMYFUNCTION("""COMPUTED_VALUE"""),45702.4583333333)</f>
        <v>45702.458333333299</v>
      </c>
      <c r="I61" s="156">
        <f ca="1">IFERROR(__xludf.DUMMYFUNCTION("""COMPUTED_VALUE"""),45702.4583333333)</f>
        <v>45702.458333333299</v>
      </c>
      <c r="J61" s="3">
        <f ca="1">IFERROR(__xludf.DUMMYFUNCTION("""COMPUTED_VALUE"""),1)</f>
        <v>1</v>
      </c>
      <c r="K61" s="3">
        <f ca="1">IFERROR(__xludf.DUMMYFUNCTION("""COMPUTED_VALUE"""),3)</f>
        <v>3</v>
      </c>
      <c r="L61" s="3" t="str">
        <f ca="1">IFERROR(__xludf.DUMMYFUNCTION("""COMPUTED_VALUE"""),"DEV")</f>
        <v>DEV</v>
      </c>
      <c r="M61" s="3" t="str">
        <f ca="1">IFERROR(__xludf.DUMMYFUNCTION("""COMPUTED_VALUE"""),"CHORUS")</f>
        <v>CHORUS</v>
      </c>
      <c r="N61" s="157">
        <f ca="1">IFERROR(__xludf.DUMMYFUNCTION("""COMPUTED_VALUE"""),1)</f>
        <v>1</v>
      </c>
      <c r="O61" s="157">
        <f ca="1">IFERROR(__xludf.DUMMYFUNCTION("""COMPUTED_VALUE"""),3)</f>
        <v>3</v>
      </c>
      <c r="P61" s="157"/>
      <c r="Q61" s="3">
        <f t="shared" ca="1" si="0"/>
        <v>60</v>
      </c>
      <c r="R61" s="148" t="e">
        <f ca="1"/>
        <v>#NAME?</v>
      </c>
      <c r="S61" s="147" t="e">
        <f t="shared" ca="1" si="1"/>
        <v>#NAME?</v>
      </c>
      <c r="T61" s="147" t="e">
        <f t="shared" ca="1" si="2"/>
        <v>#NAME?</v>
      </c>
      <c r="U61" s="147" t="e">
        <f t="shared" ca="1" si="3"/>
        <v>#NAME?</v>
      </c>
      <c r="X61" s="147"/>
      <c r="Y61" s="147"/>
      <c r="Z61" s="147"/>
      <c r="AA61" s="147"/>
      <c r="AB61" s="147"/>
      <c r="AC61" s="147"/>
      <c r="AD61" s="147"/>
      <c r="AE61" s="147"/>
      <c r="AF61" s="147"/>
      <c r="AG61" s="147"/>
      <c r="AH61" s="147"/>
      <c r="AI61" s="147"/>
      <c r="AJ61" s="147"/>
      <c r="AK61" s="147"/>
      <c r="AL61" s="147"/>
      <c r="AM61" s="147"/>
      <c r="AN61" s="147"/>
      <c r="AO61" s="147"/>
      <c r="AP61" s="147"/>
      <c r="AQ61" s="147"/>
    </row>
    <row r="62" spans="1:43">
      <c r="A62" s="160" t="str">
        <f ca="1">IFERROR(__xludf.DUMMYFUNCTION("""COMPUTED_VALUE"""),"247388")</f>
        <v>247388</v>
      </c>
      <c r="B62" s="3" t="str">
        <f ca="1">IFERROR(__xludf.DUMMYFUNCTION("""COMPUTED_VALUE"""),"TRANG KỲ ANH")</f>
        <v>TRANG KỲ ANH</v>
      </c>
      <c r="C62" s="160" t="str">
        <f ca="1">IFERROR(__xludf.DUMMYFUNCTION("""COMPUTED_VALUE"""),"EL007")</f>
        <v>EL007</v>
      </c>
      <c r="D62" s="160" t="str">
        <f ca="1">IFERROR(__xludf.DUMMYFUNCTION("""COMPUTED_VALUE"""),"Nhat Nguyen")</f>
        <v>Nhat Nguyen</v>
      </c>
      <c r="E62" s="3" t="str">
        <f ca="1">IFERROR(__xludf.DUMMYFUNCTION("""COMPUTED_VALUE"""),"Communication 1")</f>
        <v>Communication 1</v>
      </c>
      <c r="F62" s="3" t="str">
        <f ca="1">IFERROR(__xludf.DUMMYFUNCTION("""COMPUTED_VALUE"""),"Pre-Intermediate")</f>
        <v>Pre-Intermediate</v>
      </c>
      <c r="G62" s="3" t="str">
        <f ca="1">IFERROR(__xludf.DUMMYFUNCTION("""COMPUTED_VALUE"""),"Pre-Intermediate 1")</f>
        <v>Pre-Intermediate 1</v>
      </c>
      <c r="H62" s="156">
        <f ca="1">IFERROR(__xludf.DUMMYFUNCTION("""COMPUTED_VALUE"""),45702.4583333333)</f>
        <v>45702.458333333299</v>
      </c>
      <c r="I62" s="156">
        <f ca="1">IFERROR(__xludf.DUMMYFUNCTION("""COMPUTED_VALUE"""),45702.4583333333)</f>
        <v>45702.458333333299</v>
      </c>
      <c r="J62" s="3">
        <f ca="1">IFERROR(__xludf.DUMMYFUNCTION("""COMPUTED_VALUE"""),2.5)</f>
        <v>2.5</v>
      </c>
      <c r="K62" s="3">
        <f ca="1">IFERROR(__xludf.DUMMYFUNCTION("""COMPUTED_VALUE"""),3)</f>
        <v>3</v>
      </c>
      <c r="L62" s="3" t="str">
        <f ca="1">IFERROR(__xludf.DUMMYFUNCTION("""COMPUTED_VALUE"""),"QC")</f>
        <v>QC</v>
      </c>
      <c r="M62" s="3" t="str">
        <f ca="1">IFERROR(__xludf.DUMMYFUNCTION("""COMPUTED_VALUE"""),"MOC")</f>
        <v>MOC</v>
      </c>
      <c r="N62" s="157">
        <f ca="1">IFERROR(__xludf.DUMMYFUNCTION("""COMPUTED_VALUE"""),2.5)</f>
        <v>2.5</v>
      </c>
      <c r="O62" s="157">
        <f ca="1">IFERROR(__xludf.DUMMYFUNCTION("""COMPUTED_VALUE"""),3)</f>
        <v>3</v>
      </c>
      <c r="P62" s="157"/>
      <c r="Q62" s="3">
        <f t="shared" ca="1" si="0"/>
        <v>61</v>
      </c>
      <c r="R62" s="148" t="e">
        <f ca="1"/>
        <v>#NAME?</v>
      </c>
      <c r="S62" s="147" t="e">
        <f t="shared" ca="1" si="1"/>
        <v>#NAME?</v>
      </c>
      <c r="T62" s="147" t="e">
        <f t="shared" ca="1" si="2"/>
        <v>#NAME?</v>
      </c>
      <c r="U62" s="147" t="e">
        <f t="shared" ca="1" si="3"/>
        <v>#NAME?</v>
      </c>
      <c r="X62" s="147"/>
      <c r="Y62" s="147"/>
      <c r="Z62" s="147"/>
      <c r="AA62" s="147"/>
      <c r="AB62" s="147"/>
      <c r="AC62" s="147"/>
      <c r="AD62" s="147"/>
      <c r="AE62" s="147"/>
      <c r="AF62" s="147"/>
      <c r="AG62" s="147"/>
      <c r="AH62" s="147"/>
      <c r="AI62" s="147"/>
      <c r="AJ62" s="147"/>
      <c r="AK62" s="147"/>
      <c r="AL62" s="147"/>
      <c r="AM62" s="147"/>
      <c r="AN62" s="147"/>
      <c r="AO62" s="147"/>
      <c r="AP62" s="147"/>
      <c r="AQ62" s="147"/>
    </row>
    <row r="63" spans="1:43">
      <c r="A63" s="155" t="str">
        <f ca="1">IFERROR(__xludf.DUMMYFUNCTION("""COMPUTED_VALUE"""),"247198")</f>
        <v>247198</v>
      </c>
      <c r="B63" s="154" t="str">
        <f ca="1">IFERROR(__xludf.DUMMYFUNCTION("""COMPUTED_VALUE"""),"NGUYỄN ĐỨC NHẬT")</f>
        <v>NGUYỄN ĐỨC NHẬT</v>
      </c>
      <c r="C63" s="155" t="str">
        <f ca="1">IFERROR(__xludf.DUMMYFUNCTION("""COMPUTED_VALUE"""),"EL007")</f>
        <v>EL007</v>
      </c>
      <c r="D63" s="155" t="str">
        <f ca="1">IFERROR(__xludf.DUMMYFUNCTION("""COMPUTED_VALUE"""),"Nhat Nguyen")</f>
        <v>Nhat Nguyen</v>
      </c>
      <c r="E63" s="154" t="str">
        <f ca="1">IFERROR(__xludf.DUMMYFUNCTION("""COMPUTED_VALUE"""),"Communication 2")</f>
        <v>Communication 2</v>
      </c>
      <c r="F63" s="3" t="str">
        <f ca="1">IFERROR(__xludf.DUMMYFUNCTION("""COMPUTED_VALUE"""),"Pre-Intermediate 2")</f>
        <v>Pre-Intermediate 2</v>
      </c>
      <c r="G63" s="3"/>
      <c r="H63" s="156">
        <f ca="1">IFERROR(__xludf.DUMMYFUNCTION("""COMPUTED_VALUE"""),45841.5833333333)</f>
        <v>45841.583333333299</v>
      </c>
      <c r="I63" s="156">
        <f ca="1">IFERROR(__xludf.DUMMYFUNCTION("""COMPUTED_VALUE"""),45702.4583333333)</f>
        <v>45702.458333333299</v>
      </c>
      <c r="J63" s="3">
        <f ca="1">IFERROR(__xludf.DUMMYFUNCTION("""COMPUTED_VALUE"""),3.5)</f>
        <v>3.5</v>
      </c>
      <c r="K63" s="3" t="str">
        <f ca="1">IFERROR(__xludf.DUMMYFUNCTION("""COMPUTED_VALUE"""),"")</f>
        <v/>
      </c>
      <c r="L63" s="3" t="str">
        <f ca="1">IFERROR(__xludf.DUMMYFUNCTION("""COMPUTED_VALUE"""),"DEV")</f>
        <v>DEV</v>
      </c>
      <c r="M63" s="3" t="str">
        <f ca="1">IFERROR(__xludf.DUMMYFUNCTION("""COMPUTED_VALUE"""),"CHORUS")</f>
        <v>CHORUS</v>
      </c>
      <c r="N63" s="157">
        <f ca="1">IFERROR(__xludf.DUMMYFUNCTION("""COMPUTED_VALUE"""),2.5)</f>
        <v>2.5</v>
      </c>
      <c r="O63" s="157">
        <f ca="1">IFERROR(__xludf.DUMMYFUNCTION("""COMPUTED_VALUE"""),3.5)</f>
        <v>3.5</v>
      </c>
      <c r="P63" s="157"/>
      <c r="Q63" s="3">
        <f t="shared" ca="1" si="0"/>
        <v>62</v>
      </c>
      <c r="R63" s="148" t="e">
        <f ca="1"/>
        <v>#NAME?</v>
      </c>
      <c r="S63" s="147" t="e">
        <f t="shared" ca="1" si="1"/>
        <v>#NAME?</v>
      </c>
      <c r="T63" s="147" t="e">
        <f t="shared" ca="1" si="2"/>
        <v>#NAME?</v>
      </c>
      <c r="U63" s="147" t="e">
        <f t="shared" ca="1" si="3"/>
        <v>#NAME?</v>
      </c>
      <c r="X63" s="147"/>
      <c r="Y63" s="147"/>
      <c r="Z63" s="147"/>
      <c r="AA63" s="147"/>
      <c r="AB63" s="147"/>
      <c r="AC63" s="147"/>
      <c r="AD63" s="147"/>
      <c r="AE63" s="147"/>
      <c r="AF63" s="147"/>
      <c r="AG63" s="147"/>
      <c r="AH63" s="147"/>
      <c r="AI63" s="147"/>
      <c r="AJ63" s="147"/>
      <c r="AK63" s="147"/>
      <c r="AL63" s="147"/>
      <c r="AM63" s="147"/>
      <c r="AN63" s="147"/>
      <c r="AO63" s="147"/>
      <c r="AP63" s="147"/>
      <c r="AQ63" s="147"/>
    </row>
    <row r="64" spans="1:43">
      <c r="A64" s="160" t="str">
        <f ca="1">IFERROR(__xludf.DUMMYFUNCTION("""COMPUTED_VALUE"""),"247389")</f>
        <v>247389</v>
      </c>
      <c r="B64" s="3" t="str">
        <f ca="1">IFERROR(__xludf.DUMMYFUNCTION("""COMPUTED_VALUE"""),"ĐINH TRƯƠNG THANH TUYỀN")</f>
        <v>ĐINH TRƯƠNG THANH TUYỀN</v>
      </c>
      <c r="C64" s="160" t="str">
        <f ca="1">IFERROR(__xludf.DUMMYFUNCTION("""COMPUTED_VALUE"""),"EL007")</f>
        <v>EL007</v>
      </c>
      <c r="D64" s="160" t="str">
        <f ca="1">IFERROR(__xludf.DUMMYFUNCTION("""COMPUTED_VALUE"""),"Nhat Nguyen")</f>
        <v>Nhat Nguyen</v>
      </c>
      <c r="E64" s="3" t="str">
        <f ca="1">IFERROR(__xludf.DUMMYFUNCTION("""COMPUTED_VALUE"""),"Communication 2")</f>
        <v>Communication 2</v>
      </c>
      <c r="F64" s="3"/>
      <c r="G64" s="3"/>
      <c r="H64" s="156">
        <f ca="1">IFERROR(__xludf.DUMMYFUNCTION("""COMPUTED_VALUE"""),45841.5833333333)</f>
        <v>45841.583333333299</v>
      </c>
      <c r="I64" s="156">
        <f ca="1">IFERROR(__xludf.DUMMYFUNCTION("""COMPUTED_VALUE"""),45638.4166666666)</f>
        <v>45638.416666666599</v>
      </c>
      <c r="J64" s="3" t="str">
        <f ca="1">IFERROR(__xludf.DUMMYFUNCTION("""COMPUTED_VALUE"""),"")</f>
        <v/>
      </c>
      <c r="K64" s="3" t="str">
        <f ca="1">IFERROR(__xludf.DUMMYFUNCTION("""COMPUTED_VALUE"""),"")</f>
        <v/>
      </c>
      <c r="L64" s="3" t="str">
        <f ca="1">IFERROR(__xludf.DUMMYFUNCTION("""COMPUTED_VALUE"""),"QC")</f>
        <v>QC</v>
      </c>
      <c r="M64" s="3" t="str">
        <f ca="1">IFERROR(__xludf.DUMMYFUNCTION("""COMPUTED_VALUE"""),"LBU")</f>
        <v>LBU</v>
      </c>
      <c r="N64" s="157">
        <f ca="1">IFERROR(__xludf.DUMMYFUNCTION("""COMPUTED_VALUE"""),1)</f>
        <v>1</v>
      </c>
      <c r="O64" s="157">
        <f ca="1">IFERROR(__xludf.DUMMYFUNCTION("""COMPUTED_VALUE"""),1.5)</f>
        <v>1.5</v>
      </c>
      <c r="P64" s="157"/>
      <c r="Q64" s="3">
        <f t="shared" ca="1" si="0"/>
        <v>63</v>
      </c>
      <c r="R64" s="148" t="e">
        <f ca="1"/>
        <v>#NAME?</v>
      </c>
      <c r="S64" s="147" t="e">
        <f t="shared" ca="1" si="1"/>
        <v>#NAME?</v>
      </c>
      <c r="T64" s="147" t="e">
        <f t="shared" ca="1" si="2"/>
        <v>#NAME?</v>
      </c>
      <c r="U64" s="147" t="e">
        <f t="shared" ca="1" si="3"/>
        <v>#NAME?</v>
      </c>
      <c r="X64" s="147"/>
      <c r="Y64" s="147"/>
      <c r="Z64" s="147"/>
      <c r="AA64" s="147"/>
      <c r="AB64" s="147"/>
      <c r="AC64" s="147"/>
      <c r="AD64" s="147"/>
      <c r="AE64" s="147"/>
      <c r="AF64" s="147"/>
      <c r="AG64" s="147"/>
      <c r="AH64" s="147"/>
      <c r="AI64" s="147"/>
      <c r="AJ64" s="147"/>
      <c r="AK64" s="147"/>
      <c r="AL64" s="147"/>
      <c r="AM64" s="147"/>
      <c r="AN64" s="147"/>
      <c r="AO64" s="147"/>
      <c r="AP64" s="147"/>
      <c r="AQ64" s="147"/>
    </row>
    <row r="65" spans="1:43">
      <c r="A65" s="160" t="str">
        <f ca="1">IFERROR(__xludf.DUMMYFUNCTION("""COMPUTED_VALUE"""),"227183")</f>
        <v>227183</v>
      </c>
      <c r="B65" s="3" t="str">
        <f ca="1">IFERROR(__xludf.DUMMYFUNCTION("""COMPUTED_VALUE"""),"ĐỖ VŨ GIA LONG")</f>
        <v>ĐỖ VŨ GIA LONG</v>
      </c>
      <c r="C65" s="160" t="str">
        <f ca="1">IFERROR(__xludf.DUMMYFUNCTION("""COMPUTED_VALUE"""),"EL007")</f>
        <v>EL007</v>
      </c>
      <c r="D65" s="160" t="str">
        <f ca="1">IFERROR(__xludf.DUMMYFUNCTION("""COMPUTED_VALUE"""),"Nhat Nguyen")</f>
        <v>Nhat Nguyen</v>
      </c>
      <c r="E65" s="3" t="str">
        <f ca="1">IFERROR(__xludf.DUMMYFUNCTION("""COMPUTED_VALUE"""),"Communication 2")</f>
        <v>Communication 2</v>
      </c>
      <c r="F65" s="3"/>
      <c r="G65" s="3"/>
      <c r="H65" s="156">
        <f ca="1">IFERROR(__xludf.DUMMYFUNCTION("""COMPUTED_VALUE"""),45841.5833333333)</f>
        <v>45841.583333333299</v>
      </c>
      <c r="I65" s="156">
        <f ca="1">IFERROR(__xludf.DUMMYFUNCTION("""COMPUTED_VALUE"""),45638.4166666666)</f>
        <v>45638.416666666599</v>
      </c>
      <c r="J65" s="3" t="str">
        <f ca="1">IFERROR(__xludf.DUMMYFUNCTION("""COMPUTED_VALUE"""),"")</f>
        <v/>
      </c>
      <c r="K65" s="3" t="str">
        <f ca="1">IFERROR(__xludf.DUMMYFUNCTION("""COMPUTED_VALUE"""),"")</f>
        <v/>
      </c>
      <c r="L65" s="3" t="str">
        <f ca="1">IFERROR(__xludf.DUMMYFUNCTION("""COMPUTED_VALUE"""),"DEV")</f>
        <v>DEV</v>
      </c>
      <c r="M65" s="3" t="str">
        <f ca="1">IFERROR(__xludf.DUMMYFUNCTION("""COMPUTED_VALUE"""),"TBU")</f>
        <v>TBU</v>
      </c>
      <c r="N65" s="157">
        <f ca="1">IFERROR(__xludf.DUMMYFUNCTION("""COMPUTED_VALUE"""),1)</f>
        <v>1</v>
      </c>
      <c r="O65" s="157">
        <f ca="1">IFERROR(__xludf.DUMMYFUNCTION("""COMPUTED_VALUE"""),3.5)</f>
        <v>3.5</v>
      </c>
      <c r="P65" s="157"/>
      <c r="Q65" s="3">
        <f t="shared" ca="1" si="0"/>
        <v>64</v>
      </c>
      <c r="R65" s="148" t="e">
        <f ca="1"/>
        <v>#NAME?</v>
      </c>
      <c r="S65" s="147" t="e">
        <f t="shared" ca="1" si="1"/>
        <v>#NAME?</v>
      </c>
      <c r="T65" s="147" t="e">
        <f t="shared" ca="1" si="2"/>
        <v>#NAME?</v>
      </c>
      <c r="U65" s="147" t="e">
        <f t="shared" ca="1" si="3"/>
        <v>#NAME?</v>
      </c>
      <c r="X65" s="147"/>
      <c r="Y65" s="147"/>
      <c r="Z65" s="147"/>
      <c r="AA65" s="147"/>
      <c r="AB65" s="147"/>
      <c r="AC65" s="147"/>
      <c r="AD65" s="147"/>
      <c r="AE65" s="147"/>
      <c r="AF65" s="147"/>
      <c r="AG65" s="147"/>
      <c r="AH65" s="147"/>
      <c r="AI65" s="147"/>
      <c r="AJ65" s="147"/>
      <c r="AK65" s="147"/>
      <c r="AL65" s="147"/>
      <c r="AM65" s="147"/>
      <c r="AN65" s="147"/>
      <c r="AO65" s="147"/>
      <c r="AP65" s="147"/>
      <c r="AQ65" s="147"/>
    </row>
    <row r="66" spans="1:43">
      <c r="A66" s="160" t="str">
        <f ca="1">IFERROR(__xludf.DUMMYFUNCTION("""COMPUTED_VALUE"""),"247390")</f>
        <v>247390</v>
      </c>
      <c r="B66" s="3" t="str">
        <f ca="1">IFERROR(__xludf.DUMMYFUNCTION("""COMPUTED_VALUE"""),"ĐOÀN KHÁNH NGUYÊN")</f>
        <v>ĐOÀN KHÁNH NGUYÊN</v>
      </c>
      <c r="C66" s="160" t="str">
        <f ca="1">IFERROR(__xludf.DUMMYFUNCTION("""COMPUTED_VALUE"""),"EL007")</f>
        <v>EL007</v>
      </c>
      <c r="D66" s="160" t="str">
        <f ca="1">IFERROR(__xludf.DUMMYFUNCTION("""COMPUTED_VALUE"""),"Nhat Nguyen")</f>
        <v>Nhat Nguyen</v>
      </c>
      <c r="E66" s="3" t="str">
        <f ca="1">IFERROR(__xludf.DUMMYFUNCTION("""COMPUTED_VALUE"""),"Communication 2")</f>
        <v>Communication 2</v>
      </c>
      <c r="F66" s="3"/>
      <c r="G66" s="3"/>
      <c r="H66" s="156">
        <f ca="1">IFERROR(__xludf.DUMMYFUNCTION("""COMPUTED_VALUE"""),45841.5833333333)</f>
        <v>45841.583333333299</v>
      </c>
      <c r="I66" s="156">
        <f ca="1">IFERROR(__xludf.DUMMYFUNCTION("""COMPUTED_VALUE"""),45638.4166666666)</f>
        <v>45638.416666666599</v>
      </c>
      <c r="J66" s="3" t="str">
        <f ca="1">IFERROR(__xludf.DUMMYFUNCTION("""COMPUTED_VALUE"""),"")</f>
        <v/>
      </c>
      <c r="K66" s="3" t="str">
        <f ca="1">IFERROR(__xludf.DUMMYFUNCTION("""COMPUTED_VALUE"""),"")</f>
        <v/>
      </c>
      <c r="L66" s="3" t="str">
        <f ca="1">IFERROR(__xludf.DUMMYFUNCTION("""COMPUTED_VALUE"""),"QC")</f>
        <v>QC</v>
      </c>
      <c r="M66" s="3" t="str">
        <f ca="1">IFERROR(__xludf.DUMMYFUNCTION("""COMPUTED_VALUE"""),"LBU")</f>
        <v>LBU</v>
      </c>
      <c r="N66" s="157">
        <f ca="1">IFERROR(__xludf.DUMMYFUNCTION("""COMPUTED_VALUE"""),1)</f>
        <v>1</v>
      </c>
      <c r="O66" s="157">
        <f ca="1">IFERROR(__xludf.DUMMYFUNCTION("""COMPUTED_VALUE"""),3.5)</f>
        <v>3.5</v>
      </c>
      <c r="P66" s="157"/>
      <c r="Q66" s="3">
        <f t="shared" ca="1" si="0"/>
        <v>65</v>
      </c>
      <c r="R66" s="148" t="e">
        <f ca="1"/>
        <v>#NAME?</v>
      </c>
      <c r="S66" s="147" t="e">
        <f t="shared" ca="1" si="1"/>
        <v>#NAME?</v>
      </c>
      <c r="T66" s="147" t="e">
        <f t="shared" ca="1" si="2"/>
        <v>#NAME?</v>
      </c>
      <c r="U66" s="147" t="e">
        <f t="shared" ca="1" si="3"/>
        <v>#NAME?</v>
      </c>
      <c r="X66" s="147"/>
      <c r="Y66" s="147"/>
      <c r="Z66" s="147"/>
      <c r="AA66" s="147"/>
      <c r="AB66" s="147"/>
      <c r="AC66" s="147"/>
      <c r="AD66" s="147"/>
      <c r="AE66" s="147"/>
      <c r="AF66" s="147"/>
      <c r="AG66" s="147"/>
      <c r="AH66" s="147"/>
      <c r="AI66" s="147"/>
      <c r="AJ66" s="147"/>
      <c r="AK66" s="147"/>
      <c r="AL66" s="147"/>
      <c r="AM66" s="147"/>
      <c r="AN66" s="147"/>
      <c r="AO66" s="147"/>
      <c r="AP66" s="147"/>
      <c r="AQ66" s="147"/>
    </row>
    <row r="67" spans="1:43">
      <c r="A67" s="160" t="str">
        <f ca="1">IFERROR(__xludf.DUMMYFUNCTION("""COMPUTED_VALUE"""),"247190")</f>
        <v>247190</v>
      </c>
      <c r="B67" s="3" t="str">
        <f ca="1">IFERROR(__xludf.DUMMYFUNCTION("""COMPUTED_VALUE"""),"HUỲNH NGUYÊN KHANG")</f>
        <v>HUỲNH NGUYÊN KHANG</v>
      </c>
      <c r="C67" s="160" t="str">
        <f ca="1">IFERROR(__xludf.DUMMYFUNCTION("""COMPUTED_VALUE"""),"EL007")</f>
        <v>EL007</v>
      </c>
      <c r="D67" s="160" t="str">
        <f ca="1">IFERROR(__xludf.DUMMYFUNCTION("""COMPUTED_VALUE"""),"Nhat Nguyen")</f>
        <v>Nhat Nguyen</v>
      </c>
      <c r="E67" s="3" t="str">
        <f ca="1">IFERROR(__xludf.DUMMYFUNCTION("""COMPUTED_VALUE"""),"Communication 2")</f>
        <v>Communication 2</v>
      </c>
      <c r="F67" s="3" t="str">
        <f ca="1">IFERROR(__xludf.DUMMYFUNCTION("""COMPUTED_VALUE"""),"Pre-Intermediate 1")</f>
        <v>Pre-Intermediate 1</v>
      </c>
      <c r="G67" s="3"/>
      <c r="H67" s="156">
        <f ca="1">IFERROR(__xludf.DUMMYFUNCTION("""COMPUTED_VALUE"""),45841.5833333333)</f>
        <v>45841.583333333299</v>
      </c>
      <c r="I67" s="156">
        <f ca="1">IFERROR(__xludf.DUMMYFUNCTION("""COMPUTED_VALUE"""),45702.4583333333)</f>
        <v>45702.458333333299</v>
      </c>
      <c r="J67" s="3">
        <f ca="1">IFERROR(__xludf.DUMMYFUNCTION("""COMPUTED_VALUE"""),3)</f>
        <v>3</v>
      </c>
      <c r="K67" s="3" t="str">
        <f ca="1">IFERROR(__xludf.DUMMYFUNCTION("""COMPUTED_VALUE"""),"")</f>
        <v/>
      </c>
      <c r="L67" s="3" t="str">
        <f ca="1">IFERROR(__xludf.DUMMYFUNCTION("""COMPUTED_VALUE"""),"DEV")</f>
        <v>DEV</v>
      </c>
      <c r="M67" s="3" t="str">
        <f ca="1">IFERROR(__xludf.DUMMYFUNCTION("""COMPUTED_VALUE"""),"CHORUS")</f>
        <v>CHORUS</v>
      </c>
      <c r="N67" s="157">
        <f ca="1">IFERROR(__xludf.DUMMYFUNCTION("""COMPUTED_VALUE"""),1)</f>
        <v>1</v>
      </c>
      <c r="O67" s="157">
        <f ca="1">IFERROR(__xludf.DUMMYFUNCTION("""COMPUTED_VALUE"""),3)</f>
        <v>3</v>
      </c>
      <c r="P67" s="157"/>
      <c r="Q67" s="3">
        <f t="shared" ca="1" si="0"/>
        <v>66</v>
      </c>
      <c r="R67" s="148" t="e">
        <f ca="1"/>
        <v>#NAME?</v>
      </c>
      <c r="S67" s="147" t="e">
        <f t="shared" ca="1" si="1"/>
        <v>#NAME?</v>
      </c>
      <c r="T67" s="147" t="e">
        <f t="shared" ca="1" si="2"/>
        <v>#NAME?</v>
      </c>
      <c r="U67" s="147" t="e">
        <f t="shared" ca="1" si="3"/>
        <v>#NAME?</v>
      </c>
      <c r="X67" s="147"/>
      <c r="Y67" s="147"/>
      <c r="Z67" s="147"/>
      <c r="AA67" s="147"/>
      <c r="AB67" s="147"/>
      <c r="AC67" s="147"/>
      <c r="AD67" s="147"/>
      <c r="AE67" s="147"/>
      <c r="AF67" s="147"/>
      <c r="AG67" s="147"/>
      <c r="AH67" s="147"/>
      <c r="AI67" s="147"/>
      <c r="AJ67" s="147"/>
      <c r="AK67" s="147"/>
      <c r="AL67" s="147"/>
      <c r="AM67" s="147"/>
      <c r="AN67" s="147"/>
      <c r="AO67" s="147"/>
      <c r="AP67" s="147"/>
      <c r="AQ67" s="147"/>
    </row>
    <row r="68" spans="1:43">
      <c r="A68" s="160" t="str">
        <f ca="1">IFERROR(__xludf.DUMMYFUNCTION("""COMPUTED_VALUE"""),"203759")</f>
        <v>203759</v>
      </c>
      <c r="B68" s="3" t="str">
        <f ca="1">IFERROR(__xludf.DUMMYFUNCTION("""COMPUTED_VALUE"""),"PHAN THẾ AN")</f>
        <v>PHAN THẾ AN</v>
      </c>
      <c r="C68" s="160" t="str">
        <f ca="1">IFERROR(__xludf.DUMMYFUNCTION("""COMPUTED_VALUE"""),"EL007")</f>
        <v>EL007</v>
      </c>
      <c r="D68" s="160" t="str">
        <f ca="1">IFERROR(__xludf.DUMMYFUNCTION("""COMPUTED_VALUE"""),"Nhat Nguyen")</f>
        <v>Nhat Nguyen</v>
      </c>
      <c r="E68" s="3" t="str">
        <f ca="1">IFERROR(__xludf.DUMMYFUNCTION("""COMPUTED_VALUE"""),"Communication 2")</f>
        <v>Communication 2</v>
      </c>
      <c r="F68" s="3" t="str">
        <f ca="1">IFERROR(__xludf.DUMMYFUNCTION("""COMPUTED_VALUE"""),"Pre-Intermediate 1")</f>
        <v>Pre-Intermediate 1</v>
      </c>
      <c r="G68" s="3" t="str">
        <f ca="1">IFERROR(__xludf.DUMMYFUNCTION("""COMPUTED_VALUE"""),"Intermediate 1")</f>
        <v>Intermediate 1</v>
      </c>
      <c r="H68" s="156">
        <f ca="1">IFERROR(__xludf.DUMMYFUNCTION("""COMPUTED_VALUE"""),45841.5833333333)</f>
        <v>45841.583333333299</v>
      </c>
      <c r="I68" s="156">
        <f ca="1">IFERROR(__xludf.DUMMYFUNCTION("""COMPUTED_VALUE"""),45702.4583333333)</f>
        <v>45702.458333333299</v>
      </c>
      <c r="J68" s="3">
        <f ca="1">IFERROR(__xludf.DUMMYFUNCTION("""COMPUTED_VALUE"""),3)</f>
        <v>3</v>
      </c>
      <c r="K68" s="3">
        <f ca="1">IFERROR(__xludf.DUMMYFUNCTION("""COMPUTED_VALUE"""),5)</f>
        <v>5</v>
      </c>
      <c r="L68" s="3" t="str">
        <f ca="1">IFERROR(__xludf.DUMMYFUNCTION("""COMPUTED_VALUE"""),"DEV")</f>
        <v>DEV</v>
      </c>
      <c r="M68" s="3" t="str">
        <f ca="1">IFERROR(__xludf.DUMMYFUNCTION("""COMPUTED_VALUE"""),"LBU")</f>
        <v>LBU</v>
      </c>
      <c r="N68" s="157">
        <f ca="1">IFERROR(__xludf.DUMMYFUNCTION("""COMPUTED_VALUE"""),1)</f>
        <v>1</v>
      </c>
      <c r="O68" s="157">
        <f ca="1">IFERROR(__xludf.DUMMYFUNCTION("""COMPUTED_VALUE"""),5)</f>
        <v>5</v>
      </c>
      <c r="P68" s="157"/>
      <c r="Q68" s="3">
        <f t="shared" ca="1" si="0"/>
        <v>67</v>
      </c>
      <c r="R68" s="148" t="e">
        <f ca="1"/>
        <v>#NAME?</v>
      </c>
      <c r="S68" s="147" t="e">
        <f t="shared" ca="1" si="1"/>
        <v>#NAME?</v>
      </c>
      <c r="T68" s="147" t="e">
        <f t="shared" ca="1" si="2"/>
        <v>#NAME?</v>
      </c>
      <c r="U68" s="147" t="e">
        <f t="shared" ca="1" si="3"/>
        <v>#NAME?</v>
      </c>
      <c r="X68" s="147"/>
      <c r="Y68" s="147"/>
      <c r="Z68" s="147"/>
      <c r="AA68" s="147"/>
      <c r="AB68" s="147"/>
      <c r="AC68" s="147"/>
      <c r="AD68" s="147"/>
      <c r="AE68" s="147"/>
      <c r="AF68" s="147"/>
      <c r="AG68" s="147"/>
      <c r="AH68" s="147"/>
      <c r="AI68" s="147"/>
      <c r="AJ68" s="147"/>
      <c r="AK68" s="147"/>
      <c r="AL68" s="147"/>
      <c r="AM68" s="147"/>
      <c r="AN68" s="147"/>
      <c r="AO68" s="147"/>
      <c r="AP68" s="147"/>
      <c r="AQ68" s="147"/>
    </row>
    <row r="69" spans="1:43">
      <c r="A69" s="160" t="str">
        <f ca="1">IFERROR(__xludf.DUMMYFUNCTION("""COMPUTED_VALUE"""),"247191")</f>
        <v>247191</v>
      </c>
      <c r="B69" s="3" t="str">
        <f ca="1">IFERROR(__xludf.DUMMYFUNCTION("""COMPUTED_VALUE"""),"TRẦN NGỌC PHƯỚC HOÀNG")</f>
        <v>TRẦN NGỌC PHƯỚC HOÀNG</v>
      </c>
      <c r="C69" s="160" t="str">
        <f ca="1">IFERROR(__xludf.DUMMYFUNCTION("""COMPUTED_VALUE"""),"EL007")</f>
        <v>EL007</v>
      </c>
      <c r="D69" s="160" t="str">
        <f ca="1">IFERROR(__xludf.DUMMYFUNCTION("""COMPUTED_VALUE"""),"Nhat Nguyen")</f>
        <v>Nhat Nguyen</v>
      </c>
      <c r="E69" s="3" t="str">
        <f ca="1">IFERROR(__xludf.DUMMYFUNCTION("""COMPUTED_VALUE"""),"Communication 2")</f>
        <v>Communication 2</v>
      </c>
      <c r="F69" s="3" t="str">
        <f ca="1">IFERROR(__xludf.DUMMYFUNCTION("""COMPUTED_VALUE"""),"Pre-Intermediate 1")</f>
        <v>Pre-Intermediate 1</v>
      </c>
      <c r="G69" s="3"/>
      <c r="H69" s="156">
        <f ca="1">IFERROR(__xludf.DUMMYFUNCTION("""COMPUTED_VALUE"""),45841.5833333333)</f>
        <v>45841.583333333299</v>
      </c>
      <c r="I69" s="156">
        <f ca="1">IFERROR(__xludf.DUMMYFUNCTION("""COMPUTED_VALUE"""),45702.4583333333)</f>
        <v>45702.458333333299</v>
      </c>
      <c r="J69" s="3">
        <f ca="1">IFERROR(__xludf.DUMMYFUNCTION("""COMPUTED_VALUE"""),3)</f>
        <v>3</v>
      </c>
      <c r="K69" s="3" t="str">
        <f ca="1">IFERROR(__xludf.DUMMYFUNCTION("""COMPUTED_VALUE"""),"")</f>
        <v/>
      </c>
      <c r="L69" s="3" t="str">
        <f ca="1">IFERROR(__xludf.DUMMYFUNCTION("""COMPUTED_VALUE"""),"DEV")</f>
        <v>DEV</v>
      </c>
      <c r="M69" s="3" t="str">
        <f ca="1">IFERROR(__xludf.DUMMYFUNCTION("""COMPUTED_VALUE"""),"CHORUS")</f>
        <v>CHORUS</v>
      </c>
      <c r="N69" s="157">
        <f ca="1">IFERROR(__xludf.DUMMYFUNCTION("""COMPUTED_VALUE"""),1)</f>
        <v>1</v>
      </c>
      <c r="O69" s="157">
        <f ca="1">IFERROR(__xludf.DUMMYFUNCTION("""COMPUTED_VALUE"""),3)</f>
        <v>3</v>
      </c>
      <c r="P69" s="157"/>
      <c r="Q69" s="3">
        <f t="shared" ca="1" si="0"/>
        <v>68</v>
      </c>
      <c r="R69" s="148" t="e">
        <f ca="1"/>
        <v>#NAME?</v>
      </c>
      <c r="S69" s="147" t="e">
        <f t="shared" ca="1" si="1"/>
        <v>#NAME?</v>
      </c>
      <c r="T69" s="147" t="e">
        <f t="shared" ca="1" si="2"/>
        <v>#NAME?</v>
      </c>
      <c r="U69" s="147" t="e">
        <f t="shared" ca="1" si="3"/>
        <v>#NAME?</v>
      </c>
      <c r="X69" s="147"/>
      <c r="Y69" s="147"/>
      <c r="Z69" s="147"/>
      <c r="AA69" s="147"/>
      <c r="AB69" s="147"/>
      <c r="AC69" s="147"/>
      <c r="AD69" s="147"/>
      <c r="AE69" s="147"/>
      <c r="AF69" s="147"/>
      <c r="AG69" s="147"/>
      <c r="AH69" s="147"/>
      <c r="AI69" s="147"/>
      <c r="AJ69" s="147"/>
      <c r="AK69" s="147"/>
      <c r="AL69" s="147"/>
      <c r="AM69" s="147"/>
      <c r="AN69" s="147"/>
      <c r="AO69" s="147"/>
      <c r="AP69" s="147"/>
      <c r="AQ69" s="147"/>
    </row>
    <row r="70" spans="1:43">
      <c r="A70" s="160" t="str">
        <f ca="1">IFERROR(__xludf.DUMMYFUNCTION("""COMPUTED_VALUE"""),"213891")</f>
        <v>213891</v>
      </c>
      <c r="B70" s="3" t="str">
        <f ca="1">IFERROR(__xludf.DUMMYFUNCTION("""COMPUTED_VALUE"""),"VÕ DUY KIỆT")</f>
        <v>VÕ DUY KIỆT</v>
      </c>
      <c r="C70" s="160" t="str">
        <f ca="1">IFERROR(__xludf.DUMMYFUNCTION("""COMPUTED_VALUE"""),"EL007")</f>
        <v>EL007</v>
      </c>
      <c r="D70" s="160" t="str">
        <f ca="1">IFERROR(__xludf.DUMMYFUNCTION("""COMPUTED_VALUE"""),"Nhat Nguyen")</f>
        <v>Nhat Nguyen</v>
      </c>
      <c r="E70" s="3" t="str">
        <f ca="1">IFERROR(__xludf.DUMMYFUNCTION("""COMPUTED_VALUE"""),"Communication 2")</f>
        <v>Communication 2</v>
      </c>
      <c r="F70" s="3"/>
      <c r="G70" s="3"/>
      <c r="H70" s="156">
        <f ca="1">IFERROR(__xludf.DUMMYFUNCTION("""COMPUTED_VALUE"""),45841.5833333333)</f>
        <v>45841.583333333299</v>
      </c>
      <c r="I70" s="156">
        <f ca="1">IFERROR(__xludf.DUMMYFUNCTION("""COMPUTED_VALUE"""),45638.4166666666)</f>
        <v>45638.416666666599</v>
      </c>
      <c r="J70" s="3" t="str">
        <f ca="1">IFERROR(__xludf.DUMMYFUNCTION("""COMPUTED_VALUE"""),"")</f>
        <v/>
      </c>
      <c r="K70" s="3" t="str">
        <f ca="1">IFERROR(__xludf.DUMMYFUNCTION("""COMPUTED_VALUE"""),"")</f>
        <v/>
      </c>
      <c r="L70" s="3" t="str">
        <f ca="1">IFERROR(__xludf.DUMMYFUNCTION("""COMPUTED_VALUE"""),"DEV")</f>
        <v>DEV</v>
      </c>
      <c r="M70" s="3" t="str">
        <f ca="1">IFERROR(__xludf.DUMMYFUNCTION("""COMPUTED_VALUE"""),"TBU")</f>
        <v>TBU</v>
      </c>
      <c r="N70" s="157">
        <f ca="1">IFERROR(__xludf.DUMMYFUNCTION("""COMPUTED_VALUE"""),1)</f>
        <v>1</v>
      </c>
      <c r="O70" s="157">
        <f ca="1">IFERROR(__xludf.DUMMYFUNCTION("""COMPUTED_VALUE"""),3)</f>
        <v>3</v>
      </c>
      <c r="P70" s="157"/>
      <c r="Q70" s="3">
        <f t="shared" ca="1" si="0"/>
        <v>69</v>
      </c>
      <c r="R70" s="148" t="e">
        <f ca="1"/>
        <v>#NAME?</v>
      </c>
      <c r="S70" s="147" t="e">
        <f t="shared" ca="1" si="1"/>
        <v>#NAME?</v>
      </c>
      <c r="T70" s="147" t="e">
        <f t="shared" ca="1" si="2"/>
        <v>#NAME?</v>
      </c>
      <c r="U70" s="147" t="e">
        <f t="shared" ca="1" si="3"/>
        <v>#NAME?</v>
      </c>
      <c r="X70" s="147"/>
      <c r="Y70" s="147"/>
      <c r="Z70" s="147"/>
      <c r="AA70" s="147"/>
      <c r="AB70" s="147"/>
      <c r="AC70" s="147"/>
      <c r="AD70" s="147"/>
      <c r="AE70" s="147"/>
      <c r="AF70" s="147"/>
      <c r="AG70" s="147"/>
      <c r="AH70" s="147"/>
      <c r="AI70" s="147"/>
      <c r="AJ70" s="147"/>
      <c r="AK70" s="147"/>
      <c r="AL70" s="147"/>
      <c r="AM70" s="147"/>
      <c r="AN70" s="147"/>
      <c r="AO70" s="147"/>
      <c r="AP70" s="147"/>
      <c r="AQ70" s="147"/>
    </row>
    <row r="71" spans="1:43">
      <c r="A71" s="155" t="str">
        <f ca="1">IFERROR(__xludf.DUMMYFUNCTION("""COMPUTED_VALUE"""),"193526")</f>
        <v>193526</v>
      </c>
      <c r="B71" s="154" t="str">
        <f ca="1">IFERROR(__xludf.DUMMYFUNCTION("""COMPUTED_VALUE"""),"TRẦN ĐÌNH CHIẾN")</f>
        <v>TRẦN ĐÌNH CHIẾN</v>
      </c>
      <c r="C71" s="155" t="str">
        <f ca="1">IFERROR(__xludf.DUMMYFUNCTION("""COMPUTED_VALUE"""),"EL008")</f>
        <v>EL008</v>
      </c>
      <c r="D71" s="155" t="str">
        <f ca="1">IFERROR(__xludf.DUMMYFUNCTION("""COMPUTED_VALUE"""),"Hung Nguyen")</f>
        <v>Hung Nguyen</v>
      </c>
      <c r="E71" s="154" t="str">
        <f ca="1">IFERROR(__xludf.DUMMYFUNCTION("""COMPUTED_VALUE"""),"Business English")</f>
        <v>Business English</v>
      </c>
      <c r="F71" s="3"/>
      <c r="G71" s="3"/>
      <c r="H71" s="156">
        <f ca="1">IFERROR(__xludf.DUMMYFUNCTION("""COMPUTED_VALUE"""),0)</f>
        <v>0</v>
      </c>
      <c r="I71" s="156">
        <f ca="1">IFERROR(__xludf.DUMMYFUNCTION("""COMPUTED_VALUE"""),45772.5833333333)</f>
        <v>45772.583333333299</v>
      </c>
      <c r="J71" s="3" t="str">
        <f ca="1">IFERROR(__xludf.DUMMYFUNCTION("""COMPUTED_VALUE"""),"")</f>
        <v/>
      </c>
      <c r="K71" s="3" t="str">
        <f ca="1">IFERROR(__xludf.DUMMYFUNCTION("""COMPUTED_VALUE"""),"")</f>
        <v/>
      </c>
      <c r="L71" s="3" t="str">
        <f ca="1">IFERROR(__xludf.DUMMYFUNCTION("""COMPUTED_VALUE"""),"DEV")</f>
        <v>DEV</v>
      </c>
      <c r="M71" s="3" t="str">
        <f ca="1">IFERROR(__xludf.DUMMYFUNCTION("""COMPUTED_VALUE"""),"TBU")</f>
        <v>TBU</v>
      </c>
      <c r="N71" s="157">
        <f ca="1">IFERROR(__xludf.DUMMYFUNCTION("""COMPUTED_VALUE"""),1)</f>
        <v>1</v>
      </c>
      <c r="O71" s="157">
        <f ca="1">IFERROR(__xludf.DUMMYFUNCTION("""COMPUTED_VALUE"""),5)</f>
        <v>5</v>
      </c>
      <c r="P71" s="157"/>
      <c r="Q71" s="3">
        <f t="shared" ca="1" si="0"/>
        <v>70</v>
      </c>
      <c r="R71" s="148" t="e">
        <f ca="1"/>
        <v>#NAME?</v>
      </c>
      <c r="S71" s="147" t="e">
        <f t="shared" ca="1" si="1"/>
        <v>#NAME?</v>
      </c>
      <c r="T71" s="147" t="e">
        <f t="shared" ca="1" si="2"/>
        <v>#NAME?</v>
      </c>
      <c r="U71" s="147" t="e">
        <f t="shared" ca="1" si="3"/>
        <v>#NAME?</v>
      </c>
      <c r="X71" s="147"/>
      <c r="Y71" s="147"/>
      <c r="Z71" s="147"/>
      <c r="AA71" s="147"/>
      <c r="AB71" s="147"/>
      <c r="AC71" s="147"/>
      <c r="AD71" s="147"/>
      <c r="AE71" s="147"/>
      <c r="AF71" s="147"/>
      <c r="AG71" s="147"/>
      <c r="AH71" s="147"/>
      <c r="AI71" s="147"/>
      <c r="AJ71" s="147"/>
      <c r="AK71" s="147"/>
      <c r="AL71" s="147"/>
      <c r="AM71" s="147"/>
      <c r="AN71" s="147"/>
      <c r="AO71" s="147"/>
      <c r="AP71" s="147"/>
      <c r="AQ71" s="147"/>
    </row>
    <row r="72" spans="1:43">
      <c r="A72" s="160" t="str">
        <f ca="1">IFERROR(__xludf.DUMMYFUNCTION("""COMPUTED_VALUE"""),"237117")</f>
        <v>237117</v>
      </c>
      <c r="B72" s="3" t="str">
        <f ca="1">IFERROR(__xludf.DUMMYFUNCTION("""COMPUTED_VALUE"""),"HUỲNH TẤN PHÁT")</f>
        <v>HUỲNH TẤN PHÁT</v>
      </c>
      <c r="C72" s="160" t="str">
        <f ca="1">IFERROR(__xludf.DUMMYFUNCTION("""COMPUTED_VALUE"""),"EL008")</f>
        <v>EL008</v>
      </c>
      <c r="D72" s="160" t="str">
        <f ca="1">IFERROR(__xludf.DUMMYFUNCTION("""COMPUTED_VALUE"""),"Hung Nguyen")</f>
        <v>Hung Nguyen</v>
      </c>
      <c r="E72" s="3" t="str">
        <f ca="1">IFERROR(__xludf.DUMMYFUNCTION("""COMPUTED_VALUE"""),"Business English")</f>
        <v>Business English</v>
      </c>
      <c r="F72" s="3"/>
      <c r="G72" s="3"/>
      <c r="H72" s="156">
        <f ca="1">IFERROR(__xludf.DUMMYFUNCTION("""COMPUTED_VALUE"""),0)</f>
        <v>0</v>
      </c>
      <c r="I72" s="156">
        <f ca="1">IFERROR(__xludf.DUMMYFUNCTION("""COMPUTED_VALUE"""),45772.5833333333)</f>
        <v>45772.583333333299</v>
      </c>
      <c r="J72" s="3" t="str">
        <f ca="1">IFERROR(__xludf.DUMMYFUNCTION("""COMPUTED_VALUE"""),"")</f>
        <v/>
      </c>
      <c r="K72" s="3" t="str">
        <f ca="1">IFERROR(__xludf.DUMMYFUNCTION("""COMPUTED_VALUE"""),"")</f>
        <v/>
      </c>
      <c r="L72" s="3" t="str">
        <f ca="1">IFERROR(__xludf.DUMMYFUNCTION("""COMPUTED_VALUE"""),"DEV")</f>
        <v>DEV</v>
      </c>
      <c r="M72" s="3" t="str">
        <f ca="1">IFERROR(__xludf.DUMMYFUNCTION("""COMPUTED_VALUE"""),"TBU")</f>
        <v>TBU</v>
      </c>
      <c r="N72" s="157">
        <f ca="1">IFERROR(__xludf.DUMMYFUNCTION("""COMPUTED_VALUE"""),1)</f>
        <v>1</v>
      </c>
      <c r="O72" s="157">
        <f ca="1">IFERROR(__xludf.DUMMYFUNCTION("""COMPUTED_VALUE"""),5)</f>
        <v>5</v>
      </c>
      <c r="P72" s="157"/>
      <c r="Q72" s="3">
        <f t="shared" ca="1" si="0"/>
        <v>71</v>
      </c>
      <c r="R72" s="148" t="e">
        <f ca="1"/>
        <v>#NAME?</v>
      </c>
      <c r="S72" s="147" t="e">
        <f t="shared" ca="1" si="1"/>
        <v>#NAME?</v>
      </c>
      <c r="T72" s="147" t="e">
        <f t="shared" ca="1" si="2"/>
        <v>#NAME?</v>
      </c>
      <c r="U72" s="147" t="e">
        <f t="shared" ca="1" si="3"/>
        <v>#NAME?</v>
      </c>
      <c r="X72" s="147"/>
      <c r="Y72" s="147"/>
      <c r="Z72" s="147"/>
      <c r="AA72" s="147"/>
      <c r="AB72" s="147"/>
      <c r="AC72" s="147"/>
      <c r="AD72" s="147"/>
      <c r="AE72" s="147"/>
      <c r="AF72" s="147"/>
      <c r="AG72" s="147"/>
      <c r="AH72" s="147"/>
      <c r="AI72" s="147"/>
      <c r="AJ72" s="147"/>
      <c r="AK72" s="147"/>
      <c r="AL72" s="147"/>
      <c r="AM72" s="147"/>
      <c r="AN72" s="147"/>
      <c r="AO72" s="147"/>
      <c r="AP72" s="147"/>
      <c r="AQ72" s="147"/>
    </row>
    <row r="73" spans="1:43">
      <c r="A73" s="160" t="str">
        <f ca="1">IFERROR(__xludf.DUMMYFUNCTION("""COMPUTED_VALUE"""),"203780")</f>
        <v>203780</v>
      </c>
      <c r="B73" s="3" t="str">
        <f ca="1">IFERROR(__xludf.DUMMYFUNCTION("""COMPUTED_VALUE"""),"LÊ HOÀNG NGUYỄN")</f>
        <v>LÊ HOÀNG NGUYỄN</v>
      </c>
      <c r="C73" s="160" t="str">
        <f ca="1">IFERROR(__xludf.DUMMYFUNCTION("""COMPUTED_VALUE"""),"EL008")</f>
        <v>EL008</v>
      </c>
      <c r="D73" s="160" t="str">
        <f ca="1">IFERROR(__xludf.DUMMYFUNCTION("""COMPUTED_VALUE"""),"Hung Nguyen")</f>
        <v>Hung Nguyen</v>
      </c>
      <c r="E73" s="3" t="str">
        <f ca="1">IFERROR(__xludf.DUMMYFUNCTION("""COMPUTED_VALUE"""),"Business English")</f>
        <v>Business English</v>
      </c>
      <c r="F73" s="3"/>
      <c r="G73" s="3"/>
      <c r="H73" s="156">
        <f ca="1">IFERROR(__xludf.DUMMYFUNCTION("""COMPUTED_VALUE"""),0)</f>
        <v>0</v>
      </c>
      <c r="I73" s="156">
        <f ca="1">IFERROR(__xludf.DUMMYFUNCTION("""COMPUTED_VALUE"""),45772.5833333333)</f>
        <v>45772.583333333299</v>
      </c>
      <c r="J73" s="3" t="str">
        <f ca="1">IFERROR(__xludf.DUMMYFUNCTION("""COMPUTED_VALUE"""),"")</f>
        <v/>
      </c>
      <c r="K73" s="3" t="str">
        <f ca="1">IFERROR(__xludf.DUMMYFUNCTION("""COMPUTED_VALUE"""),"")</f>
        <v/>
      </c>
      <c r="L73" s="3" t="str">
        <f ca="1">IFERROR(__xludf.DUMMYFUNCTION("""COMPUTED_VALUE"""),"QC")</f>
        <v>QC</v>
      </c>
      <c r="M73" s="3" t="str">
        <f ca="1">IFERROR(__xludf.DUMMYFUNCTION("""COMPUTED_VALUE"""),"TBU")</f>
        <v>TBU</v>
      </c>
      <c r="N73" s="157">
        <f ca="1">IFERROR(__xludf.DUMMYFUNCTION("""COMPUTED_VALUE"""),1)</f>
        <v>1</v>
      </c>
      <c r="O73" s="157">
        <f ca="1">IFERROR(__xludf.DUMMYFUNCTION("""COMPUTED_VALUE"""),4.5)</f>
        <v>4.5</v>
      </c>
      <c r="P73" s="157"/>
      <c r="Q73" s="3">
        <f t="shared" ca="1" si="0"/>
        <v>72</v>
      </c>
      <c r="R73" s="148" t="e">
        <f ca="1"/>
        <v>#NAME?</v>
      </c>
      <c r="S73" s="147" t="e">
        <f t="shared" ca="1" si="1"/>
        <v>#NAME?</v>
      </c>
      <c r="T73" s="147" t="e">
        <f t="shared" ca="1" si="2"/>
        <v>#NAME?</v>
      </c>
      <c r="U73" s="147" t="e">
        <f t="shared" ca="1" si="3"/>
        <v>#NAME?</v>
      </c>
      <c r="X73" s="147"/>
      <c r="Y73" s="147"/>
      <c r="Z73" s="147"/>
      <c r="AA73" s="147"/>
      <c r="AB73" s="147"/>
      <c r="AC73" s="147"/>
      <c r="AD73" s="147"/>
      <c r="AE73" s="147"/>
      <c r="AF73" s="147"/>
      <c r="AG73" s="147"/>
      <c r="AH73" s="147"/>
      <c r="AI73" s="147"/>
      <c r="AJ73" s="147"/>
      <c r="AK73" s="147"/>
      <c r="AL73" s="147"/>
      <c r="AM73" s="147"/>
      <c r="AN73" s="147"/>
      <c r="AO73" s="147"/>
      <c r="AP73" s="147"/>
      <c r="AQ73" s="147"/>
    </row>
    <row r="74" spans="1:43">
      <c r="A74" s="160" t="str">
        <f ca="1">IFERROR(__xludf.DUMMYFUNCTION("""COMPUTED_VALUE"""),"247313")</f>
        <v>247313</v>
      </c>
      <c r="B74" s="3" t="str">
        <f ca="1">IFERROR(__xludf.DUMMYFUNCTION("""COMPUTED_VALUE"""),"Nguyễn Hồng Mỹ")</f>
        <v>Nguyễn Hồng Mỹ</v>
      </c>
      <c r="C74" s="160" t="str">
        <f ca="1">IFERROR(__xludf.DUMMYFUNCTION("""COMPUTED_VALUE"""),"EL008")</f>
        <v>EL008</v>
      </c>
      <c r="D74" s="160" t="str">
        <f ca="1">IFERROR(__xludf.DUMMYFUNCTION("""COMPUTED_VALUE"""),"Hung Nguyen")</f>
        <v>Hung Nguyen</v>
      </c>
      <c r="E74" s="3" t="str">
        <f ca="1">IFERROR(__xludf.DUMMYFUNCTION("""COMPUTED_VALUE"""),"Business English")</f>
        <v>Business English</v>
      </c>
      <c r="F74" s="3"/>
      <c r="G74" s="3"/>
      <c r="H74" s="156">
        <f ca="1">IFERROR(__xludf.DUMMYFUNCTION("""COMPUTED_VALUE"""),0)</f>
        <v>0</v>
      </c>
      <c r="I74" s="156">
        <f ca="1">IFERROR(__xludf.DUMMYFUNCTION("""COMPUTED_VALUE"""),45813.4583333333)</f>
        <v>45813.458333333299</v>
      </c>
      <c r="J74" s="3" t="str">
        <f ca="1">IFERROR(__xludf.DUMMYFUNCTION("""COMPUTED_VALUE"""),"")</f>
        <v/>
      </c>
      <c r="K74" s="3" t="str">
        <f ca="1">IFERROR(__xludf.DUMMYFUNCTION("""COMPUTED_VALUE"""),"")</f>
        <v/>
      </c>
      <c r="L74" s="3" t="str">
        <f ca="1">IFERROR(__xludf.DUMMYFUNCTION("""COMPUTED_VALUE"""),"SM")</f>
        <v>SM</v>
      </c>
      <c r="M74" s="3" t="str">
        <f ca="1">IFERROR(__xludf.DUMMYFUNCTION("""COMPUTED_VALUE"""),"TBU")</f>
        <v>TBU</v>
      </c>
      <c r="N74" s="157">
        <f ca="1">IFERROR(__xludf.DUMMYFUNCTION("""COMPUTED_VALUE"""),4.5)</f>
        <v>4.5</v>
      </c>
      <c r="O74" s="157">
        <f ca="1">IFERROR(__xludf.DUMMYFUNCTION("""COMPUTED_VALUE"""),5.5)</f>
        <v>5.5</v>
      </c>
      <c r="P74" s="157"/>
      <c r="Q74" s="3">
        <f t="shared" ca="1" si="0"/>
        <v>73</v>
      </c>
      <c r="R74" s="148" t="e">
        <f ca="1"/>
        <v>#NAME?</v>
      </c>
      <c r="S74" s="147" t="e">
        <f t="shared" ca="1" si="1"/>
        <v>#NAME?</v>
      </c>
      <c r="T74" s="147" t="e">
        <f t="shared" ca="1" si="2"/>
        <v>#NAME?</v>
      </c>
      <c r="U74" s="147" t="e">
        <f t="shared" ca="1" si="3"/>
        <v>#NAME?</v>
      </c>
      <c r="X74" s="147"/>
      <c r="Y74" s="147"/>
      <c r="Z74" s="147"/>
      <c r="AA74" s="147"/>
      <c r="AB74" s="147"/>
      <c r="AC74" s="147"/>
      <c r="AD74" s="147"/>
      <c r="AE74" s="147"/>
      <c r="AF74" s="147"/>
      <c r="AG74" s="147"/>
      <c r="AH74" s="147"/>
      <c r="AI74" s="147"/>
      <c r="AJ74" s="147"/>
      <c r="AK74" s="147"/>
      <c r="AL74" s="147"/>
      <c r="AM74" s="147"/>
      <c r="AN74" s="147"/>
      <c r="AO74" s="147"/>
      <c r="AP74" s="147"/>
      <c r="AQ74" s="147"/>
    </row>
    <row r="75" spans="1:43">
      <c r="A75" s="160" t="str">
        <f ca="1">IFERROR(__xludf.DUMMYFUNCTION("""COMPUTED_VALUE"""),"193523")</f>
        <v>193523</v>
      </c>
      <c r="B75" s="3" t="str">
        <f ca="1">IFERROR(__xludf.DUMMYFUNCTION("""COMPUTED_VALUE"""),"PHẠM HỮU TUẤN")</f>
        <v>PHẠM HỮU TUẤN</v>
      </c>
      <c r="C75" s="160" t="str">
        <f ca="1">IFERROR(__xludf.DUMMYFUNCTION("""COMPUTED_VALUE"""),"EL008")</f>
        <v>EL008</v>
      </c>
      <c r="D75" s="160" t="str">
        <f ca="1">IFERROR(__xludf.DUMMYFUNCTION("""COMPUTED_VALUE"""),"Hung Nguyen")</f>
        <v>Hung Nguyen</v>
      </c>
      <c r="E75" s="3" t="str">
        <f ca="1">IFERROR(__xludf.DUMMYFUNCTION("""COMPUTED_VALUE"""),"Business English")</f>
        <v>Business English</v>
      </c>
      <c r="F75" s="3"/>
      <c r="G75" s="3"/>
      <c r="H75" s="156">
        <f ca="1">IFERROR(__xludf.DUMMYFUNCTION("""COMPUTED_VALUE"""),0)</f>
        <v>0</v>
      </c>
      <c r="I75" s="156">
        <f ca="1">IFERROR(__xludf.DUMMYFUNCTION("""COMPUTED_VALUE"""),45772.5833333333)</f>
        <v>45772.583333333299</v>
      </c>
      <c r="J75" s="3" t="str">
        <f ca="1">IFERROR(__xludf.DUMMYFUNCTION("""COMPUTED_VALUE"""),"")</f>
        <v/>
      </c>
      <c r="K75" s="3" t="str">
        <f ca="1">IFERROR(__xludf.DUMMYFUNCTION("""COMPUTED_VALUE"""),"")</f>
        <v/>
      </c>
      <c r="L75" s="3" t="str">
        <f ca="1">IFERROR(__xludf.DUMMYFUNCTION("""COMPUTED_VALUE"""),"DEV")</f>
        <v>DEV</v>
      </c>
      <c r="M75" s="3" t="str">
        <f ca="1">IFERROR(__xludf.DUMMYFUNCTION("""COMPUTED_VALUE"""),"TBU")</f>
        <v>TBU</v>
      </c>
      <c r="N75" s="157">
        <f ca="1">IFERROR(__xludf.DUMMYFUNCTION("""COMPUTED_VALUE"""),1)</f>
        <v>1</v>
      </c>
      <c r="O75" s="157">
        <f ca="1">IFERROR(__xludf.DUMMYFUNCTION("""COMPUTED_VALUE"""),5)</f>
        <v>5</v>
      </c>
      <c r="P75" s="157"/>
      <c r="Q75" s="3">
        <f t="shared" ca="1" si="0"/>
        <v>74</v>
      </c>
      <c r="R75" s="148" t="e">
        <f ca="1"/>
        <v>#NAME?</v>
      </c>
      <c r="S75" s="147" t="e">
        <f t="shared" ca="1" si="1"/>
        <v>#NAME?</v>
      </c>
      <c r="T75" s="147" t="e">
        <f t="shared" ca="1" si="2"/>
        <v>#NAME?</v>
      </c>
      <c r="U75" s="147" t="e">
        <f t="shared" ca="1" si="3"/>
        <v>#NAME?</v>
      </c>
      <c r="X75" s="147"/>
      <c r="Y75" s="147"/>
      <c r="Z75" s="147"/>
      <c r="AA75" s="147"/>
      <c r="AB75" s="147"/>
      <c r="AC75" s="147"/>
      <c r="AD75" s="147"/>
      <c r="AE75" s="147"/>
      <c r="AF75" s="147"/>
      <c r="AG75" s="147"/>
      <c r="AH75" s="147"/>
      <c r="AI75" s="147"/>
      <c r="AJ75" s="147"/>
      <c r="AK75" s="147"/>
      <c r="AL75" s="147"/>
      <c r="AM75" s="147"/>
      <c r="AN75" s="147"/>
      <c r="AO75" s="147"/>
      <c r="AP75" s="147"/>
      <c r="AQ75" s="147"/>
    </row>
    <row r="76" spans="1:43">
      <c r="A76" s="160" t="str">
        <f ca="1">IFERROR(__xludf.DUMMYFUNCTION("""COMPUTED_VALUE"""),"237161")</f>
        <v>237161</v>
      </c>
      <c r="B76" s="3" t="str">
        <f ca="1">IFERROR(__xludf.DUMMYFUNCTION("""COMPUTED_VALUE"""),"TRẦN VĂN HÀ")</f>
        <v>TRẦN VĂN HÀ</v>
      </c>
      <c r="C76" s="160" t="str">
        <f ca="1">IFERROR(__xludf.DUMMYFUNCTION("""COMPUTED_VALUE"""),"EL008")</f>
        <v>EL008</v>
      </c>
      <c r="D76" s="160" t="str">
        <f ca="1">IFERROR(__xludf.DUMMYFUNCTION("""COMPUTED_VALUE"""),"Hung Nguyen")</f>
        <v>Hung Nguyen</v>
      </c>
      <c r="E76" s="3" t="str">
        <f ca="1">IFERROR(__xludf.DUMMYFUNCTION("""COMPUTED_VALUE"""),"Business English")</f>
        <v>Business English</v>
      </c>
      <c r="F76" s="3"/>
      <c r="G76" s="3"/>
      <c r="H76" s="156">
        <f ca="1">IFERROR(__xludf.DUMMYFUNCTION("""COMPUTED_VALUE"""),0)</f>
        <v>0</v>
      </c>
      <c r="I76" s="156">
        <f ca="1">IFERROR(__xludf.DUMMYFUNCTION("""COMPUTED_VALUE"""),45772.5833333333)</f>
        <v>45772.583333333299</v>
      </c>
      <c r="J76" s="3" t="str">
        <f ca="1">IFERROR(__xludf.DUMMYFUNCTION("""COMPUTED_VALUE"""),"")</f>
        <v/>
      </c>
      <c r="K76" s="3" t="str">
        <f ca="1">IFERROR(__xludf.DUMMYFUNCTION("""COMPUTED_VALUE"""),"")</f>
        <v/>
      </c>
      <c r="L76" s="3" t="str">
        <f ca="1">IFERROR(__xludf.DUMMYFUNCTION("""COMPUTED_VALUE"""),"DEV")</f>
        <v>DEV</v>
      </c>
      <c r="M76" s="3" t="str">
        <f ca="1">IFERROR(__xludf.DUMMYFUNCTION("""COMPUTED_VALUE"""),"TBU")</f>
        <v>TBU</v>
      </c>
      <c r="N76" s="157">
        <f ca="1">IFERROR(__xludf.DUMMYFUNCTION("""COMPUTED_VALUE"""),1)</f>
        <v>1</v>
      </c>
      <c r="O76" s="157">
        <f ca="1">IFERROR(__xludf.DUMMYFUNCTION("""COMPUTED_VALUE"""),5)</f>
        <v>5</v>
      </c>
      <c r="P76" s="157"/>
      <c r="Q76" s="3">
        <f t="shared" ca="1" si="0"/>
        <v>75</v>
      </c>
      <c r="R76" s="148" t="e">
        <f ca="1"/>
        <v>#NAME?</v>
      </c>
      <c r="S76" s="147" t="e">
        <f t="shared" ca="1" si="1"/>
        <v>#NAME?</v>
      </c>
      <c r="T76" s="147" t="e">
        <f t="shared" ca="1" si="2"/>
        <v>#NAME?</v>
      </c>
      <c r="U76" s="147" t="e">
        <f t="shared" ca="1" si="3"/>
        <v>#NAME?</v>
      </c>
      <c r="X76" s="147"/>
      <c r="Y76" s="147"/>
      <c r="Z76" s="147"/>
      <c r="AA76" s="147"/>
      <c r="AB76" s="147"/>
      <c r="AC76" s="147"/>
      <c r="AD76" s="147"/>
      <c r="AE76" s="147"/>
      <c r="AF76" s="147"/>
      <c r="AG76" s="147"/>
      <c r="AH76" s="147"/>
      <c r="AI76" s="147"/>
      <c r="AJ76" s="147"/>
      <c r="AK76" s="147"/>
      <c r="AL76" s="147"/>
      <c r="AM76" s="147"/>
      <c r="AN76" s="147"/>
      <c r="AO76" s="147"/>
      <c r="AP76" s="147"/>
      <c r="AQ76" s="147"/>
    </row>
    <row r="77" spans="1:43">
      <c r="A77" s="155" t="str">
        <f ca="1">IFERROR(__xludf.DUMMYFUNCTION("""COMPUTED_VALUE"""),"193526")</f>
        <v>193526</v>
      </c>
      <c r="B77" s="154" t="str">
        <f ca="1">IFERROR(__xludf.DUMMYFUNCTION("""COMPUTED_VALUE"""),"TRẦN ĐÌNH CHIẾN")</f>
        <v>TRẦN ĐÌNH CHIẾN</v>
      </c>
      <c r="C77" s="155" t="str">
        <f ca="1">IFERROR(__xludf.DUMMYFUNCTION("""COMPUTED_VALUE"""),"EL008")</f>
        <v>EL008</v>
      </c>
      <c r="D77" s="155" t="str">
        <f ca="1">IFERROR(__xludf.DUMMYFUNCTION("""COMPUTED_VALUE"""),"Hung Nguyen")</f>
        <v>Hung Nguyen</v>
      </c>
      <c r="E77" s="154" t="str">
        <f ca="1">IFERROR(__xludf.DUMMYFUNCTION("""COMPUTED_VALUE"""),"Communication 1")</f>
        <v>Communication 1</v>
      </c>
      <c r="F77" s="3" t="str">
        <f ca="1">IFERROR(__xludf.DUMMYFUNCTION("""COMPUTED_VALUE"""),"Beginner")</f>
        <v>Beginner</v>
      </c>
      <c r="G77" s="3" t="str">
        <f ca="1">IFERROR(__xludf.DUMMYFUNCTION("""COMPUTED_VALUE"""),"Pre-Intermediate 1")</f>
        <v>Pre-Intermediate 1</v>
      </c>
      <c r="H77" s="156">
        <f ca="1">IFERROR(__xludf.DUMMYFUNCTION("""COMPUTED_VALUE"""),45772.5833333333)</f>
        <v>45772.583333333299</v>
      </c>
      <c r="I77" s="156">
        <f ca="1">IFERROR(__xludf.DUMMYFUNCTION("""COMPUTED_VALUE"""),45772.5833333333)</f>
        <v>45772.583333333299</v>
      </c>
      <c r="J77" s="3">
        <f ca="1">IFERROR(__xludf.DUMMYFUNCTION("""COMPUTED_VALUE"""),1)</f>
        <v>1</v>
      </c>
      <c r="K77" s="3">
        <f ca="1">IFERROR(__xludf.DUMMYFUNCTION("""COMPUTED_VALUE"""),3)</f>
        <v>3</v>
      </c>
      <c r="L77" s="3" t="str">
        <f ca="1">IFERROR(__xludf.DUMMYFUNCTION("""COMPUTED_VALUE"""),"DEV")</f>
        <v>DEV</v>
      </c>
      <c r="M77" s="3" t="str">
        <f ca="1">IFERROR(__xludf.DUMMYFUNCTION("""COMPUTED_VALUE"""),"TBU")</f>
        <v>TBU</v>
      </c>
      <c r="N77" s="157">
        <f ca="1">IFERROR(__xludf.DUMMYFUNCTION("""COMPUTED_VALUE"""),1)</f>
        <v>1</v>
      </c>
      <c r="O77" s="157">
        <f ca="1">IFERROR(__xludf.DUMMYFUNCTION("""COMPUTED_VALUE"""),5)</f>
        <v>5</v>
      </c>
      <c r="P77" s="157"/>
      <c r="Q77" s="3">
        <f t="shared" ca="1" si="0"/>
        <v>76</v>
      </c>
      <c r="R77" s="148" t="e">
        <f ca="1"/>
        <v>#NAME?</v>
      </c>
      <c r="S77" s="147" t="e">
        <f t="shared" ca="1" si="1"/>
        <v>#NAME?</v>
      </c>
      <c r="T77" s="147" t="e">
        <f t="shared" ca="1" si="2"/>
        <v>#NAME?</v>
      </c>
      <c r="U77" s="147" t="e">
        <f t="shared" ca="1" si="3"/>
        <v>#NAME?</v>
      </c>
      <c r="X77" s="147"/>
      <c r="Y77" s="147"/>
      <c r="Z77" s="147"/>
      <c r="AA77" s="147"/>
      <c r="AB77" s="147"/>
      <c r="AC77" s="147"/>
      <c r="AD77" s="147"/>
      <c r="AE77" s="147"/>
      <c r="AF77" s="147"/>
      <c r="AG77" s="147"/>
      <c r="AH77" s="147"/>
      <c r="AI77" s="147"/>
      <c r="AJ77" s="147"/>
      <c r="AK77" s="147"/>
      <c r="AL77" s="147"/>
      <c r="AM77" s="147"/>
      <c r="AN77" s="147"/>
      <c r="AO77" s="147"/>
      <c r="AP77" s="147"/>
      <c r="AQ77" s="147"/>
    </row>
    <row r="78" spans="1:43">
      <c r="A78" s="160" t="str">
        <f ca="1">IFERROR(__xludf.DUMMYFUNCTION("""COMPUTED_VALUE"""),"237117")</f>
        <v>237117</v>
      </c>
      <c r="B78" s="3" t="str">
        <f ca="1">IFERROR(__xludf.DUMMYFUNCTION("""COMPUTED_VALUE"""),"HUỲNH TẤN PHÁT")</f>
        <v>HUỲNH TẤN PHÁT</v>
      </c>
      <c r="C78" s="160" t="str">
        <f ca="1">IFERROR(__xludf.DUMMYFUNCTION("""COMPUTED_VALUE"""),"EL008")</f>
        <v>EL008</v>
      </c>
      <c r="D78" s="160" t="str">
        <f ca="1">IFERROR(__xludf.DUMMYFUNCTION("""COMPUTED_VALUE"""),"Hung Nguyen")</f>
        <v>Hung Nguyen</v>
      </c>
      <c r="E78" s="3" t="str">
        <f ca="1">IFERROR(__xludf.DUMMYFUNCTION("""COMPUTED_VALUE"""),"Communication 1")</f>
        <v>Communication 1</v>
      </c>
      <c r="F78" s="3" t="str">
        <f ca="1">IFERROR(__xludf.DUMMYFUNCTION("""COMPUTED_VALUE"""),"Beginner")</f>
        <v>Beginner</v>
      </c>
      <c r="G78" s="3" t="str">
        <f ca="1">IFERROR(__xludf.DUMMYFUNCTION("""COMPUTED_VALUE"""),"Beginner 2")</f>
        <v>Beginner 2</v>
      </c>
      <c r="H78" s="156">
        <f ca="1">IFERROR(__xludf.DUMMYFUNCTION("""COMPUTED_VALUE"""),45772.5833333333)</f>
        <v>45772.583333333299</v>
      </c>
      <c r="I78" s="156">
        <f ca="1">IFERROR(__xludf.DUMMYFUNCTION("""COMPUTED_VALUE"""),45772.5833333333)</f>
        <v>45772.583333333299</v>
      </c>
      <c r="J78" s="3">
        <f ca="1">IFERROR(__xludf.DUMMYFUNCTION("""COMPUTED_VALUE"""),1)</f>
        <v>1</v>
      </c>
      <c r="K78" s="3">
        <f ca="1">IFERROR(__xludf.DUMMYFUNCTION("""COMPUTED_VALUE"""),1.5)</f>
        <v>1.5</v>
      </c>
      <c r="L78" s="3" t="str">
        <f ca="1">IFERROR(__xludf.DUMMYFUNCTION("""COMPUTED_VALUE"""),"DEV")</f>
        <v>DEV</v>
      </c>
      <c r="M78" s="3" t="str">
        <f ca="1">IFERROR(__xludf.DUMMYFUNCTION("""COMPUTED_VALUE"""),"TBU")</f>
        <v>TBU</v>
      </c>
      <c r="N78" s="157">
        <f ca="1">IFERROR(__xludf.DUMMYFUNCTION("""COMPUTED_VALUE"""),1)</f>
        <v>1</v>
      </c>
      <c r="O78" s="157">
        <f ca="1">IFERROR(__xludf.DUMMYFUNCTION("""COMPUTED_VALUE"""),5)</f>
        <v>5</v>
      </c>
      <c r="P78" s="157"/>
      <c r="Q78" s="3">
        <f t="shared" ca="1" si="0"/>
        <v>77</v>
      </c>
      <c r="R78" s="148" t="e">
        <f ca="1"/>
        <v>#NAME?</v>
      </c>
      <c r="S78" s="147" t="e">
        <f t="shared" ca="1" si="1"/>
        <v>#NAME?</v>
      </c>
      <c r="T78" s="147" t="e">
        <f t="shared" ca="1" si="2"/>
        <v>#NAME?</v>
      </c>
      <c r="U78" s="147" t="e">
        <f t="shared" ca="1" si="3"/>
        <v>#NAME?</v>
      </c>
      <c r="X78" s="147"/>
      <c r="Y78" s="147"/>
      <c r="Z78" s="147"/>
      <c r="AA78" s="147"/>
      <c r="AB78" s="147"/>
      <c r="AC78" s="147"/>
      <c r="AD78" s="147"/>
      <c r="AE78" s="147"/>
      <c r="AF78" s="147"/>
      <c r="AG78" s="147"/>
      <c r="AH78" s="147"/>
      <c r="AI78" s="147"/>
      <c r="AJ78" s="147"/>
      <c r="AK78" s="147"/>
      <c r="AL78" s="147"/>
      <c r="AM78" s="147"/>
      <c r="AN78" s="147"/>
      <c r="AO78" s="147"/>
      <c r="AP78" s="147"/>
      <c r="AQ78" s="147"/>
    </row>
    <row r="79" spans="1:43">
      <c r="A79" s="160" t="str">
        <f ca="1">IFERROR(__xludf.DUMMYFUNCTION("""COMPUTED_VALUE"""),"203780")</f>
        <v>203780</v>
      </c>
      <c r="B79" s="3" t="str">
        <f ca="1">IFERROR(__xludf.DUMMYFUNCTION("""COMPUTED_VALUE"""),"LÊ HOÀNG NGUYỄN")</f>
        <v>LÊ HOÀNG NGUYỄN</v>
      </c>
      <c r="C79" s="160" t="str">
        <f ca="1">IFERROR(__xludf.DUMMYFUNCTION("""COMPUTED_VALUE"""),"EL008")</f>
        <v>EL008</v>
      </c>
      <c r="D79" s="160" t="str">
        <f ca="1">IFERROR(__xludf.DUMMYFUNCTION("""COMPUTED_VALUE"""),"Hung Nguyen")</f>
        <v>Hung Nguyen</v>
      </c>
      <c r="E79" s="3" t="str">
        <f ca="1">IFERROR(__xludf.DUMMYFUNCTION("""COMPUTED_VALUE"""),"Communication 1")</f>
        <v>Communication 1</v>
      </c>
      <c r="F79" s="3" t="str">
        <f ca="1">IFERROR(__xludf.DUMMYFUNCTION("""COMPUTED_VALUE"""),"Beginner")</f>
        <v>Beginner</v>
      </c>
      <c r="G79" s="3" t="str">
        <f ca="1">IFERROR(__xludf.DUMMYFUNCTION("""COMPUTED_VALUE"""),"Pre-Intermediate 1")</f>
        <v>Pre-Intermediate 1</v>
      </c>
      <c r="H79" s="156">
        <f ca="1">IFERROR(__xludf.DUMMYFUNCTION("""COMPUTED_VALUE"""),45772.5833333333)</f>
        <v>45772.583333333299</v>
      </c>
      <c r="I79" s="156">
        <f ca="1">IFERROR(__xludf.DUMMYFUNCTION("""COMPUTED_VALUE"""),45772.5833333333)</f>
        <v>45772.583333333299</v>
      </c>
      <c r="J79" s="3">
        <f ca="1">IFERROR(__xludf.DUMMYFUNCTION("""COMPUTED_VALUE"""),1)</f>
        <v>1</v>
      </c>
      <c r="K79" s="3">
        <f ca="1">IFERROR(__xludf.DUMMYFUNCTION("""COMPUTED_VALUE"""),3)</f>
        <v>3</v>
      </c>
      <c r="L79" s="3" t="str">
        <f ca="1">IFERROR(__xludf.DUMMYFUNCTION("""COMPUTED_VALUE"""),"QC")</f>
        <v>QC</v>
      </c>
      <c r="M79" s="3" t="str">
        <f ca="1">IFERROR(__xludf.DUMMYFUNCTION("""COMPUTED_VALUE"""),"TBU")</f>
        <v>TBU</v>
      </c>
      <c r="N79" s="157">
        <f ca="1">IFERROR(__xludf.DUMMYFUNCTION("""COMPUTED_VALUE"""),1)</f>
        <v>1</v>
      </c>
      <c r="O79" s="157">
        <f ca="1">IFERROR(__xludf.DUMMYFUNCTION("""COMPUTED_VALUE"""),4.5)</f>
        <v>4.5</v>
      </c>
      <c r="P79" s="157"/>
      <c r="Q79" s="3">
        <f t="shared" ca="1" si="0"/>
        <v>78</v>
      </c>
      <c r="R79" s="148" t="e">
        <f ca="1"/>
        <v>#NAME?</v>
      </c>
      <c r="S79" s="147" t="e">
        <f t="shared" ca="1" si="1"/>
        <v>#NAME?</v>
      </c>
      <c r="T79" s="147" t="e">
        <f t="shared" ca="1" si="2"/>
        <v>#NAME?</v>
      </c>
      <c r="U79" s="147" t="e">
        <f t="shared" ca="1" si="3"/>
        <v>#NAME?</v>
      </c>
      <c r="X79" s="147"/>
      <c r="Y79" s="147"/>
      <c r="Z79" s="147"/>
      <c r="AA79" s="147"/>
      <c r="AB79" s="147"/>
      <c r="AC79" s="147"/>
      <c r="AD79" s="147"/>
      <c r="AE79" s="147"/>
      <c r="AF79" s="147"/>
      <c r="AG79" s="147"/>
      <c r="AH79" s="147"/>
      <c r="AI79" s="147"/>
      <c r="AJ79" s="147"/>
      <c r="AK79" s="147"/>
      <c r="AL79" s="147"/>
      <c r="AM79" s="147"/>
      <c r="AN79" s="147"/>
      <c r="AO79" s="147"/>
      <c r="AP79" s="147"/>
      <c r="AQ79" s="147"/>
    </row>
    <row r="80" spans="1:43">
      <c r="A80" s="160" t="str">
        <f ca="1">IFERROR(__xludf.DUMMYFUNCTION("""COMPUTED_VALUE"""),"193523")</f>
        <v>193523</v>
      </c>
      <c r="B80" s="3" t="str">
        <f ca="1">IFERROR(__xludf.DUMMYFUNCTION("""COMPUTED_VALUE"""),"PHẠM HỮU TUẤN")</f>
        <v>PHẠM HỮU TUẤN</v>
      </c>
      <c r="C80" s="160" t="str">
        <f ca="1">IFERROR(__xludf.DUMMYFUNCTION("""COMPUTED_VALUE"""),"EL008")</f>
        <v>EL008</v>
      </c>
      <c r="D80" s="160" t="str">
        <f ca="1">IFERROR(__xludf.DUMMYFUNCTION("""COMPUTED_VALUE"""),"Hung Nguyen")</f>
        <v>Hung Nguyen</v>
      </c>
      <c r="E80" s="3" t="str">
        <f ca="1">IFERROR(__xludf.DUMMYFUNCTION("""COMPUTED_VALUE"""),"Communication 1")</f>
        <v>Communication 1</v>
      </c>
      <c r="F80" s="3" t="str">
        <f ca="1">IFERROR(__xludf.DUMMYFUNCTION("""COMPUTED_VALUE"""),"Beginner")</f>
        <v>Beginner</v>
      </c>
      <c r="G80" s="3" t="str">
        <f ca="1">IFERROR(__xludf.DUMMYFUNCTION("""COMPUTED_VALUE"""),"Beginner 2")</f>
        <v>Beginner 2</v>
      </c>
      <c r="H80" s="156">
        <f ca="1">IFERROR(__xludf.DUMMYFUNCTION("""COMPUTED_VALUE"""),45772.5833333333)</f>
        <v>45772.583333333299</v>
      </c>
      <c r="I80" s="156">
        <f ca="1">IFERROR(__xludf.DUMMYFUNCTION("""COMPUTED_VALUE"""),45772.5833333333)</f>
        <v>45772.583333333299</v>
      </c>
      <c r="J80" s="3">
        <f ca="1">IFERROR(__xludf.DUMMYFUNCTION("""COMPUTED_VALUE"""),1)</f>
        <v>1</v>
      </c>
      <c r="K80" s="3">
        <f ca="1">IFERROR(__xludf.DUMMYFUNCTION("""COMPUTED_VALUE"""),1.5)</f>
        <v>1.5</v>
      </c>
      <c r="L80" s="3" t="str">
        <f ca="1">IFERROR(__xludf.DUMMYFUNCTION("""COMPUTED_VALUE"""),"DEV")</f>
        <v>DEV</v>
      </c>
      <c r="M80" s="3" t="str">
        <f ca="1">IFERROR(__xludf.DUMMYFUNCTION("""COMPUTED_VALUE"""),"TBU")</f>
        <v>TBU</v>
      </c>
      <c r="N80" s="157">
        <f ca="1">IFERROR(__xludf.DUMMYFUNCTION("""COMPUTED_VALUE"""),1)</f>
        <v>1</v>
      </c>
      <c r="O80" s="157">
        <f ca="1">IFERROR(__xludf.DUMMYFUNCTION("""COMPUTED_VALUE"""),5)</f>
        <v>5</v>
      </c>
      <c r="P80" s="157"/>
      <c r="Q80" s="3">
        <f t="shared" ca="1" si="0"/>
        <v>79</v>
      </c>
      <c r="R80" s="148" t="e">
        <f ca="1"/>
        <v>#NAME?</v>
      </c>
      <c r="S80" s="147" t="e">
        <f t="shared" ca="1" si="1"/>
        <v>#NAME?</v>
      </c>
      <c r="T80" s="147" t="e">
        <f t="shared" ca="1" si="2"/>
        <v>#NAME?</v>
      </c>
      <c r="U80" s="147" t="e">
        <f t="shared" ca="1" si="3"/>
        <v>#NAME?</v>
      </c>
      <c r="X80" s="147"/>
      <c r="Y80" s="147"/>
      <c r="Z80" s="147"/>
      <c r="AA80" s="147"/>
      <c r="AB80" s="147"/>
      <c r="AC80" s="147"/>
      <c r="AD80" s="147"/>
      <c r="AE80" s="147"/>
      <c r="AF80" s="147"/>
      <c r="AG80" s="147"/>
      <c r="AH80" s="147"/>
      <c r="AI80" s="147"/>
      <c r="AJ80" s="147"/>
      <c r="AK80" s="147"/>
      <c r="AL80" s="147"/>
      <c r="AM80" s="147"/>
      <c r="AN80" s="147"/>
      <c r="AO80" s="147"/>
      <c r="AP80" s="147"/>
      <c r="AQ80" s="147"/>
    </row>
    <row r="81" spans="1:43">
      <c r="A81" s="160" t="str">
        <f ca="1">IFERROR(__xludf.DUMMYFUNCTION("""COMPUTED_VALUE"""),"237161")</f>
        <v>237161</v>
      </c>
      <c r="B81" s="3" t="str">
        <f ca="1">IFERROR(__xludf.DUMMYFUNCTION("""COMPUTED_VALUE"""),"TRẦN VĂN HÀ")</f>
        <v>TRẦN VĂN HÀ</v>
      </c>
      <c r="C81" s="160" t="str">
        <f ca="1">IFERROR(__xludf.DUMMYFUNCTION("""COMPUTED_VALUE"""),"EL008")</f>
        <v>EL008</v>
      </c>
      <c r="D81" s="160" t="str">
        <f ca="1">IFERROR(__xludf.DUMMYFUNCTION("""COMPUTED_VALUE"""),"Hung Nguyen")</f>
        <v>Hung Nguyen</v>
      </c>
      <c r="E81" s="3" t="str">
        <f ca="1">IFERROR(__xludf.DUMMYFUNCTION("""COMPUTED_VALUE"""),"Communication 1")</f>
        <v>Communication 1</v>
      </c>
      <c r="F81" s="3" t="str">
        <f ca="1">IFERROR(__xludf.DUMMYFUNCTION("""COMPUTED_VALUE"""),"Beginner")</f>
        <v>Beginner</v>
      </c>
      <c r="G81" s="3" t="str">
        <f ca="1">IFERROR(__xludf.DUMMYFUNCTION("""COMPUTED_VALUE"""),"Pre-Intermediate 2")</f>
        <v>Pre-Intermediate 2</v>
      </c>
      <c r="H81" s="156">
        <f ca="1">IFERROR(__xludf.DUMMYFUNCTION("""COMPUTED_VALUE"""),45772.5833333333)</f>
        <v>45772.583333333299</v>
      </c>
      <c r="I81" s="156">
        <f ca="1">IFERROR(__xludf.DUMMYFUNCTION("""COMPUTED_VALUE"""),45772.5833333333)</f>
        <v>45772.583333333299</v>
      </c>
      <c r="J81" s="3">
        <f ca="1">IFERROR(__xludf.DUMMYFUNCTION("""COMPUTED_VALUE"""),1)</f>
        <v>1</v>
      </c>
      <c r="K81" s="3">
        <f ca="1">IFERROR(__xludf.DUMMYFUNCTION("""COMPUTED_VALUE"""),3.5)</f>
        <v>3.5</v>
      </c>
      <c r="L81" s="3" t="str">
        <f ca="1">IFERROR(__xludf.DUMMYFUNCTION("""COMPUTED_VALUE"""),"DEV")</f>
        <v>DEV</v>
      </c>
      <c r="M81" s="3" t="str">
        <f ca="1">IFERROR(__xludf.DUMMYFUNCTION("""COMPUTED_VALUE"""),"TBU")</f>
        <v>TBU</v>
      </c>
      <c r="N81" s="157">
        <f ca="1">IFERROR(__xludf.DUMMYFUNCTION("""COMPUTED_VALUE"""),1)</f>
        <v>1</v>
      </c>
      <c r="O81" s="157">
        <f ca="1">IFERROR(__xludf.DUMMYFUNCTION("""COMPUTED_VALUE"""),5)</f>
        <v>5</v>
      </c>
      <c r="P81" s="157"/>
      <c r="Q81" s="3">
        <f t="shared" ca="1" si="0"/>
        <v>80</v>
      </c>
      <c r="R81" s="148" t="e">
        <f ca="1"/>
        <v>#NAME?</v>
      </c>
      <c r="S81" s="147" t="e">
        <f t="shared" ca="1" si="1"/>
        <v>#NAME?</v>
      </c>
      <c r="T81" s="147" t="e">
        <f t="shared" ca="1" si="2"/>
        <v>#NAME?</v>
      </c>
      <c r="U81" s="147" t="e">
        <f t="shared" ca="1" si="3"/>
        <v>#NAME?</v>
      </c>
      <c r="X81" s="147"/>
      <c r="Y81" s="147"/>
      <c r="Z81" s="147"/>
      <c r="AA81" s="147"/>
      <c r="AB81" s="147"/>
      <c r="AC81" s="147"/>
      <c r="AD81" s="147"/>
      <c r="AE81" s="147"/>
      <c r="AF81" s="147"/>
      <c r="AG81" s="147"/>
      <c r="AH81" s="147"/>
      <c r="AI81" s="147"/>
      <c r="AJ81" s="147"/>
      <c r="AK81" s="147"/>
      <c r="AL81" s="147"/>
      <c r="AM81" s="147"/>
      <c r="AN81" s="147"/>
      <c r="AO81" s="147"/>
      <c r="AP81" s="147"/>
      <c r="AQ81" s="147"/>
    </row>
    <row r="82" spans="1:43">
      <c r="A82" s="155" t="str">
        <f ca="1">IFERROR(__xludf.DUMMYFUNCTION("""COMPUTED_VALUE"""),"193526")</f>
        <v>193526</v>
      </c>
      <c r="B82" s="154" t="str">
        <f ca="1">IFERROR(__xludf.DUMMYFUNCTION("""COMPUTED_VALUE"""),"TRẦN ĐÌNH CHIẾN")</f>
        <v>TRẦN ĐÌNH CHIẾN</v>
      </c>
      <c r="C82" s="155" t="str">
        <f ca="1">IFERROR(__xludf.DUMMYFUNCTION("""COMPUTED_VALUE"""),"EL008")</f>
        <v>EL008</v>
      </c>
      <c r="D82" s="155" t="str">
        <f ca="1">IFERROR(__xludf.DUMMYFUNCTION("""COMPUTED_VALUE"""),"Hung Nguyen")</f>
        <v>Hung Nguyen</v>
      </c>
      <c r="E82" s="154" t="str">
        <f ca="1">IFERROR(__xludf.DUMMYFUNCTION("""COMPUTED_VALUE"""),"Communication 2")</f>
        <v>Communication 2</v>
      </c>
      <c r="F82" s="3" t="str">
        <f ca="1">IFERROR(__xludf.DUMMYFUNCTION("""COMPUTED_VALUE"""),"Pre-Intermediate 1")</f>
        <v>Pre-Intermediate 1</v>
      </c>
      <c r="G82" s="3" t="str">
        <f ca="1">IFERROR(__xludf.DUMMYFUNCTION("""COMPUTED_VALUE"""),"Intermediate 1")</f>
        <v>Intermediate 1</v>
      </c>
      <c r="H82" s="156">
        <f ca="1">IFERROR(__xludf.DUMMYFUNCTION("""COMPUTED_VALUE"""),45946.4583333333)</f>
        <v>45946.458333333299</v>
      </c>
      <c r="I82" s="156">
        <f ca="1">IFERROR(__xludf.DUMMYFUNCTION("""COMPUTED_VALUE"""),45772.5833333333)</f>
        <v>45772.583333333299</v>
      </c>
      <c r="J82" s="3">
        <f ca="1">IFERROR(__xludf.DUMMYFUNCTION("""COMPUTED_VALUE"""),3)</f>
        <v>3</v>
      </c>
      <c r="K82" s="3">
        <f ca="1">IFERROR(__xludf.DUMMYFUNCTION("""COMPUTED_VALUE"""),5)</f>
        <v>5</v>
      </c>
      <c r="L82" s="3" t="str">
        <f ca="1">IFERROR(__xludf.DUMMYFUNCTION("""COMPUTED_VALUE"""),"DEV")</f>
        <v>DEV</v>
      </c>
      <c r="M82" s="3" t="str">
        <f ca="1">IFERROR(__xludf.DUMMYFUNCTION("""COMPUTED_VALUE"""),"TBU")</f>
        <v>TBU</v>
      </c>
      <c r="N82" s="157">
        <f ca="1">IFERROR(__xludf.DUMMYFUNCTION("""COMPUTED_VALUE"""),1)</f>
        <v>1</v>
      </c>
      <c r="O82" s="157">
        <f ca="1">IFERROR(__xludf.DUMMYFUNCTION("""COMPUTED_VALUE"""),5)</f>
        <v>5</v>
      </c>
      <c r="P82" s="157"/>
      <c r="Q82" s="3">
        <f t="shared" ca="1" si="0"/>
        <v>81</v>
      </c>
      <c r="R82" s="148" t="e">
        <f ca="1"/>
        <v>#NAME?</v>
      </c>
      <c r="S82" s="147" t="e">
        <f t="shared" ca="1" si="1"/>
        <v>#NAME?</v>
      </c>
      <c r="T82" s="147" t="e">
        <f t="shared" ca="1" si="2"/>
        <v>#NAME?</v>
      </c>
      <c r="U82" s="147" t="e">
        <f t="shared" ca="1" si="3"/>
        <v>#NAME?</v>
      </c>
      <c r="X82" s="147"/>
      <c r="Y82" s="147"/>
      <c r="Z82" s="147"/>
      <c r="AA82" s="147"/>
      <c r="AB82" s="147"/>
      <c r="AC82" s="147"/>
      <c r="AD82" s="147"/>
      <c r="AE82" s="147"/>
      <c r="AF82" s="147"/>
      <c r="AG82" s="147"/>
      <c r="AH82" s="147"/>
      <c r="AI82" s="147"/>
      <c r="AJ82" s="147"/>
      <c r="AK82" s="147"/>
      <c r="AL82" s="147"/>
      <c r="AM82" s="147"/>
      <c r="AN82" s="147"/>
      <c r="AO82" s="147"/>
      <c r="AP82" s="147"/>
      <c r="AQ82" s="147"/>
    </row>
    <row r="83" spans="1:43">
      <c r="A83" s="160" t="str">
        <f ca="1">IFERROR(__xludf.DUMMYFUNCTION("""COMPUTED_VALUE"""),"237117")</f>
        <v>237117</v>
      </c>
      <c r="B83" s="3" t="str">
        <f ca="1">IFERROR(__xludf.DUMMYFUNCTION("""COMPUTED_VALUE"""),"HUỲNH TẤN PHÁT")</f>
        <v>HUỲNH TẤN PHÁT</v>
      </c>
      <c r="C83" s="160" t="str">
        <f ca="1">IFERROR(__xludf.DUMMYFUNCTION("""COMPUTED_VALUE"""),"EL008")</f>
        <v>EL008</v>
      </c>
      <c r="D83" s="160" t="str">
        <f ca="1">IFERROR(__xludf.DUMMYFUNCTION("""COMPUTED_VALUE"""),"Hung Nguyen")</f>
        <v>Hung Nguyen</v>
      </c>
      <c r="E83" s="3" t="str">
        <f ca="1">IFERROR(__xludf.DUMMYFUNCTION("""COMPUTED_VALUE"""),"Communication 2")</f>
        <v>Communication 2</v>
      </c>
      <c r="F83" s="3" t="str">
        <f ca="1">IFERROR(__xludf.DUMMYFUNCTION("""COMPUTED_VALUE"""),"Beginner 2")</f>
        <v>Beginner 2</v>
      </c>
      <c r="G83" s="3" t="str">
        <f ca="1">IFERROR(__xludf.DUMMYFUNCTION("""COMPUTED_VALUE"""),"Intermediate 1")</f>
        <v>Intermediate 1</v>
      </c>
      <c r="H83" s="156">
        <f ca="1">IFERROR(__xludf.DUMMYFUNCTION("""COMPUTED_VALUE"""),45946.4583333333)</f>
        <v>45946.458333333299</v>
      </c>
      <c r="I83" s="156">
        <f ca="1">IFERROR(__xludf.DUMMYFUNCTION("""COMPUTED_VALUE"""),45772.5833333333)</f>
        <v>45772.583333333299</v>
      </c>
      <c r="J83" s="3">
        <f ca="1">IFERROR(__xludf.DUMMYFUNCTION("""COMPUTED_VALUE"""),1.5)</f>
        <v>1.5</v>
      </c>
      <c r="K83" s="3">
        <f ca="1">IFERROR(__xludf.DUMMYFUNCTION("""COMPUTED_VALUE"""),5)</f>
        <v>5</v>
      </c>
      <c r="L83" s="3" t="str">
        <f ca="1">IFERROR(__xludf.DUMMYFUNCTION("""COMPUTED_VALUE"""),"DEV")</f>
        <v>DEV</v>
      </c>
      <c r="M83" s="3" t="str">
        <f ca="1">IFERROR(__xludf.DUMMYFUNCTION("""COMPUTED_VALUE"""),"TBU")</f>
        <v>TBU</v>
      </c>
      <c r="N83" s="157">
        <f ca="1">IFERROR(__xludf.DUMMYFUNCTION("""COMPUTED_VALUE"""),1)</f>
        <v>1</v>
      </c>
      <c r="O83" s="157">
        <f ca="1">IFERROR(__xludf.DUMMYFUNCTION("""COMPUTED_VALUE"""),5)</f>
        <v>5</v>
      </c>
      <c r="P83" s="157"/>
      <c r="Q83" s="3">
        <f t="shared" ca="1" si="0"/>
        <v>82</v>
      </c>
      <c r="R83" s="148" t="e">
        <f ca="1"/>
        <v>#NAME?</v>
      </c>
      <c r="S83" s="147" t="e">
        <f t="shared" ca="1" si="1"/>
        <v>#NAME?</v>
      </c>
      <c r="T83" s="147" t="e">
        <f t="shared" ca="1" si="2"/>
        <v>#NAME?</v>
      </c>
      <c r="U83" s="147" t="e">
        <f t="shared" ca="1" si="3"/>
        <v>#NAME?</v>
      </c>
      <c r="X83" s="147"/>
      <c r="Y83" s="147"/>
      <c r="Z83" s="147"/>
      <c r="AA83" s="147"/>
      <c r="AB83" s="147"/>
      <c r="AC83" s="147"/>
      <c r="AD83" s="147"/>
      <c r="AE83" s="147"/>
      <c r="AF83" s="147"/>
      <c r="AG83" s="147"/>
      <c r="AH83" s="147"/>
      <c r="AI83" s="147"/>
      <c r="AJ83" s="147"/>
      <c r="AK83" s="147"/>
      <c r="AL83" s="147"/>
      <c r="AM83" s="147"/>
      <c r="AN83" s="147"/>
      <c r="AO83" s="147"/>
      <c r="AP83" s="147"/>
      <c r="AQ83" s="147"/>
    </row>
    <row r="84" spans="1:43">
      <c r="A84" s="160" t="str">
        <f ca="1">IFERROR(__xludf.DUMMYFUNCTION("""COMPUTED_VALUE"""),"203780")</f>
        <v>203780</v>
      </c>
      <c r="B84" s="3" t="str">
        <f ca="1">IFERROR(__xludf.DUMMYFUNCTION("""COMPUTED_VALUE"""),"LÊ HOÀNG NGUYỄN")</f>
        <v>LÊ HOÀNG NGUYỄN</v>
      </c>
      <c r="C84" s="160" t="str">
        <f ca="1">IFERROR(__xludf.DUMMYFUNCTION("""COMPUTED_VALUE"""),"EL008")</f>
        <v>EL008</v>
      </c>
      <c r="D84" s="160" t="str">
        <f ca="1">IFERROR(__xludf.DUMMYFUNCTION("""COMPUTED_VALUE"""),"Hung Nguyen")</f>
        <v>Hung Nguyen</v>
      </c>
      <c r="E84" s="3" t="str">
        <f ca="1">IFERROR(__xludf.DUMMYFUNCTION("""COMPUTED_VALUE"""),"Communication 2")</f>
        <v>Communication 2</v>
      </c>
      <c r="F84" s="3" t="str">
        <f ca="1">IFERROR(__xludf.DUMMYFUNCTION("""COMPUTED_VALUE"""),"Pre-Intermediate 1")</f>
        <v>Pre-Intermediate 1</v>
      </c>
      <c r="G84" s="3" t="str">
        <f ca="1">IFERROR(__xludf.DUMMYFUNCTION("""COMPUTED_VALUE"""),"Intermediate")</f>
        <v>Intermediate</v>
      </c>
      <c r="H84" s="156">
        <f ca="1">IFERROR(__xludf.DUMMYFUNCTION("""COMPUTED_VALUE"""),45946.4583333333)</f>
        <v>45946.458333333299</v>
      </c>
      <c r="I84" s="156">
        <f ca="1">IFERROR(__xludf.DUMMYFUNCTION("""COMPUTED_VALUE"""),45772.5833333333)</f>
        <v>45772.583333333299</v>
      </c>
      <c r="J84" s="3">
        <f ca="1">IFERROR(__xludf.DUMMYFUNCTION("""COMPUTED_VALUE"""),3)</f>
        <v>3</v>
      </c>
      <c r="K84" s="3">
        <f ca="1">IFERROR(__xludf.DUMMYFUNCTION("""COMPUTED_VALUE"""),4.5)</f>
        <v>4.5</v>
      </c>
      <c r="L84" s="3" t="str">
        <f ca="1">IFERROR(__xludf.DUMMYFUNCTION("""COMPUTED_VALUE"""),"QC")</f>
        <v>QC</v>
      </c>
      <c r="M84" s="3" t="str">
        <f ca="1">IFERROR(__xludf.DUMMYFUNCTION("""COMPUTED_VALUE"""),"TBU")</f>
        <v>TBU</v>
      </c>
      <c r="N84" s="157">
        <f ca="1">IFERROR(__xludf.DUMMYFUNCTION("""COMPUTED_VALUE"""),1)</f>
        <v>1</v>
      </c>
      <c r="O84" s="157">
        <f ca="1">IFERROR(__xludf.DUMMYFUNCTION("""COMPUTED_VALUE"""),4.5)</f>
        <v>4.5</v>
      </c>
      <c r="P84" s="157"/>
      <c r="Q84" s="3">
        <f t="shared" ca="1" si="0"/>
        <v>83</v>
      </c>
      <c r="R84" s="148" t="e">
        <f ca="1"/>
        <v>#NAME?</v>
      </c>
      <c r="S84" s="147" t="e">
        <f t="shared" ca="1" si="1"/>
        <v>#NAME?</v>
      </c>
      <c r="T84" s="147" t="e">
        <f t="shared" ca="1" si="2"/>
        <v>#NAME?</v>
      </c>
      <c r="U84" s="147" t="e">
        <f t="shared" ca="1" si="3"/>
        <v>#NAME?</v>
      </c>
      <c r="X84" s="147"/>
      <c r="Y84" s="147"/>
      <c r="Z84" s="147"/>
      <c r="AA84" s="147"/>
      <c r="AB84" s="147"/>
      <c r="AC84" s="147"/>
      <c r="AD84" s="147"/>
      <c r="AE84" s="147"/>
      <c r="AF84" s="147"/>
      <c r="AG84" s="147"/>
      <c r="AH84" s="147"/>
      <c r="AI84" s="147"/>
      <c r="AJ84" s="147"/>
      <c r="AK84" s="147"/>
      <c r="AL84" s="147"/>
      <c r="AM84" s="147"/>
      <c r="AN84" s="147"/>
      <c r="AO84" s="147"/>
      <c r="AP84" s="147"/>
      <c r="AQ84" s="147"/>
    </row>
    <row r="85" spans="1:43">
      <c r="A85" s="160" t="str">
        <f ca="1">IFERROR(__xludf.DUMMYFUNCTION("""COMPUTED_VALUE"""),"193523")</f>
        <v>193523</v>
      </c>
      <c r="B85" s="3" t="str">
        <f ca="1">IFERROR(__xludf.DUMMYFUNCTION("""COMPUTED_VALUE"""),"PHẠM HỮU TUẤN")</f>
        <v>PHẠM HỮU TUẤN</v>
      </c>
      <c r="C85" s="160" t="str">
        <f ca="1">IFERROR(__xludf.DUMMYFUNCTION("""COMPUTED_VALUE"""),"EL008")</f>
        <v>EL008</v>
      </c>
      <c r="D85" s="160" t="str">
        <f ca="1">IFERROR(__xludf.DUMMYFUNCTION("""COMPUTED_VALUE"""),"Hung Nguyen")</f>
        <v>Hung Nguyen</v>
      </c>
      <c r="E85" s="3" t="str">
        <f ca="1">IFERROR(__xludf.DUMMYFUNCTION("""COMPUTED_VALUE"""),"Communication 2")</f>
        <v>Communication 2</v>
      </c>
      <c r="F85" s="3" t="str">
        <f ca="1">IFERROR(__xludf.DUMMYFUNCTION("""COMPUTED_VALUE"""),"Beginner 2")</f>
        <v>Beginner 2</v>
      </c>
      <c r="G85" s="3" t="str">
        <f ca="1">IFERROR(__xludf.DUMMYFUNCTION("""COMPUTED_VALUE"""),"Intermediate 1")</f>
        <v>Intermediate 1</v>
      </c>
      <c r="H85" s="156">
        <f ca="1">IFERROR(__xludf.DUMMYFUNCTION("""COMPUTED_VALUE"""),45946.4583333333)</f>
        <v>45946.458333333299</v>
      </c>
      <c r="I85" s="156">
        <f ca="1">IFERROR(__xludf.DUMMYFUNCTION("""COMPUTED_VALUE"""),45772.5833333333)</f>
        <v>45772.583333333299</v>
      </c>
      <c r="J85" s="3">
        <f ca="1">IFERROR(__xludf.DUMMYFUNCTION("""COMPUTED_VALUE"""),1.5)</f>
        <v>1.5</v>
      </c>
      <c r="K85" s="3">
        <f ca="1">IFERROR(__xludf.DUMMYFUNCTION("""COMPUTED_VALUE"""),5)</f>
        <v>5</v>
      </c>
      <c r="L85" s="3" t="str">
        <f ca="1">IFERROR(__xludf.DUMMYFUNCTION("""COMPUTED_VALUE"""),"DEV")</f>
        <v>DEV</v>
      </c>
      <c r="M85" s="3" t="str">
        <f ca="1">IFERROR(__xludf.DUMMYFUNCTION("""COMPUTED_VALUE"""),"TBU")</f>
        <v>TBU</v>
      </c>
      <c r="N85" s="157">
        <f ca="1">IFERROR(__xludf.DUMMYFUNCTION("""COMPUTED_VALUE"""),1)</f>
        <v>1</v>
      </c>
      <c r="O85" s="157">
        <f ca="1">IFERROR(__xludf.DUMMYFUNCTION("""COMPUTED_VALUE"""),5)</f>
        <v>5</v>
      </c>
      <c r="P85" s="157"/>
      <c r="Q85" s="3">
        <f t="shared" ca="1" si="0"/>
        <v>84</v>
      </c>
      <c r="R85" s="148" t="e">
        <f ca="1"/>
        <v>#NAME?</v>
      </c>
      <c r="S85" s="147" t="e">
        <f t="shared" ca="1" si="1"/>
        <v>#NAME?</v>
      </c>
      <c r="T85" s="147" t="e">
        <f t="shared" ca="1" si="2"/>
        <v>#NAME?</v>
      </c>
      <c r="U85" s="147" t="e">
        <f t="shared" ca="1" si="3"/>
        <v>#NAME?</v>
      </c>
      <c r="X85" s="147"/>
      <c r="Y85" s="147"/>
      <c r="Z85" s="147"/>
      <c r="AA85" s="147"/>
      <c r="AB85" s="147"/>
      <c r="AC85" s="147"/>
      <c r="AD85" s="147"/>
      <c r="AE85" s="147"/>
      <c r="AF85" s="147"/>
      <c r="AG85" s="147"/>
      <c r="AH85" s="147"/>
      <c r="AI85" s="147"/>
      <c r="AJ85" s="147"/>
      <c r="AK85" s="147"/>
      <c r="AL85" s="147"/>
      <c r="AM85" s="147"/>
      <c r="AN85" s="147"/>
      <c r="AO85" s="147"/>
      <c r="AP85" s="147"/>
      <c r="AQ85" s="147"/>
    </row>
    <row r="86" spans="1:43">
      <c r="A86" s="160" t="str">
        <f ca="1">IFERROR(__xludf.DUMMYFUNCTION("""COMPUTED_VALUE"""),"237161")</f>
        <v>237161</v>
      </c>
      <c r="B86" s="3" t="str">
        <f ca="1">IFERROR(__xludf.DUMMYFUNCTION("""COMPUTED_VALUE"""),"TRẦN VĂN HÀ")</f>
        <v>TRẦN VĂN HÀ</v>
      </c>
      <c r="C86" s="160" t="str">
        <f ca="1">IFERROR(__xludf.DUMMYFUNCTION("""COMPUTED_VALUE"""),"EL008")</f>
        <v>EL008</v>
      </c>
      <c r="D86" s="160" t="str">
        <f ca="1">IFERROR(__xludf.DUMMYFUNCTION("""COMPUTED_VALUE"""),"Hung Nguyen")</f>
        <v>Hung Nguyen</v>
      </c>
      <c r="E86" s="3" t="str">
        <f ca="1">IFERROR(__xludf.DUMMYFUNCTION("""COMPUTED_VALUE"""),"Communication 2")</f>
        <v>Communication 2</v>
      </c>
      <c r="F86" s="3" t="str">
        <f ca="1">IFERROR(__xludf.DUMMYFUNCTION("""COMPUTED_VALUE"""),"Pre-Intermediate 2")</f>
        <v>Pre-Intermediate 2</v>
      </c>
      <c r="G86" s="3" t="str">
        <f ca="1">IFERROR(__xludf.DUMMYFUNCTION("""COMPUTED_VALUE"""),"Intermediate 1")</f>
        <v>Intermediate 1</v>
      </c>
      <c r="H86" s="156">
        <f ca="1">IFERROR(__xludf.DUMMYFUNCTION("""COMPUTED_VALUE"""),45946.4583333333)</f>
        <v>45946.458333333299</v>
      </c>
      <c r="I86" s="156">
        <f ca="1">IFERROR(__xludf.DUMMYFUNCTION("""COMPUTED_VALUE"""),45772.5833333333)</f>
        <v>45772.583333333299</v>
      </c>
      <c r="J86" s="3">
        <f ca="1">IFERROR(__xludf.DUMMYFUNCTION("""COMPUTED_VALUE"""),3.5)</f>
        <v>3.5</v>
      </c>
      <c r="K86" s="3">
        <f ca="1">IFERROR(__xludf.DUMMYFUNCTION("""COMPUTED_VALUE"""),5)</f>
        <v>5</v>
      </c>
      <c r="L86" s="3" t="str">
        <f ca="1">IFERROR(__xludf.DUMMYFUNCTION("""COMPUTED_VALUE"""),"DEV")</f>
        <v>DEV</v>
      </c>
      <c r="M86" s="3" t="str">
        <f ca="1">IFERROR(__xludf.DUMMYFUNCTION("""COMPUTED_VALUE"""),"TBU")</f>
        <v>TBU</v>
      </c>
      <c r="N86" s="157">
        <f ca="1">IFERROR(__xludf.DUMMYFUNCTION("""COMPUTED_VALUE"""),1)</f>
        <v>1</v>
      </c>
      <c r="O86" s="157">
        <f ca="1">IFERROR(__xludf.DUMMYFUNCTION("""COMPUTED_VALUE"""),5)</f>
        <v>5</v>
      </c>
      <c r="P86" s="157"/>
      <c r="Q86" s="3">
        <f t="shared" ca="1" si="0"/>
        <v>85</v>
      </c>
      <c r="R86" s="148" t="e">
        <f ca="1"/>
        <v>#NAME?</v>
      </c>
      <c r="S86" s="147" t="e">
        <f t="shared" ca="1" si="1"/>
        <v>#NAME?</v>
      </c>
      <c r="T86" s="147" t="e">
        <f t="shared" ca="1" si="2"/>
        <v>#NAME?</v>
      </c>
      <c r="U86" s="147" t="e">
        <f t="shared" ca="1" si="3"/>
        <v>#NAME?</v>
      </c>
      <c r="X86" s="147"/>
      <c r="Y86" s="147"/>
      <c r="Z86" s="147"/>
      <c r="AA86" s="147"/>
      <c r="AB86" s="147"/>
      <c r="AC86" s="147"/>
      <c r="AD86" s="147"/>
      <c r="AE86" s="147"/>
      <c r="AF86" s="147"/>
      <c r="AG86" s="147"/>
      <c r="AH86" s="147"/>
      <c r="AI86" s="147"/>
      <c r="AJ86" s="147"/>
      <c r="AK86" s="147"/>
      <c r="AL86" s="147"/>
      <c r="AM86" s="147"/>
      <c r="AN86" s="147"/>
      <c r="AO86" s="147"/>
      <c r="AP86" s="147"/>
      <c r="AQ86" s="147"/>
    </row>
    <row r="87" spans="1:43">
      <c r="A87" s="155" t="str">
        <f ca="1">IFERROR(__xludf.DUMMYFUNCTION("""COMPUTED_VALUE"""),"237207")</f>
        <v>237207</v>
      </c>
      <c r="B87" s="154" t="str">
        <f ca="1">IFERROR(__xludf.DUMMYFUNCTION("""COMPUTED_VALUE"""),"NGUYỄN THÙY GIANG")</f>
        <v>NGUYỄN THÙY GIANG</v>
      </c>
      <c r="C87" s="155" t="str">
        <f ca="1">IFERROR(__xludf.DUMMYFUNCTION("""COMPUTED_VALUE"""),"EL009")</f>
        <v>EL009</v>
      </c>
      <c r="D87" s="155" t="str">
        <f ca="1">IFERROR(__xludf.DUMMYFUNCTION("""COMPUTED_VALUE"""),"Huong Le")</f>
        <v>Huong Le</v>
      </c>
      <c r="E87" s="154" t="str">
        <f ca="1">IFERROR(__xludf.DUMMYFUNCTION("""COMPUTED_VALUE"""),"Communication 1")</f>
        <v>Communication 1</v>
      </c>
      <c r="F87" s="3" t="str">
        <f ca="1">IFERROR(__xludf.DUMMYFUNCTION("""COMPUTED_VALUE"""),"Pre-Intermediate")</f>
        <v>Pre-Intermediate</v>
      </c>
      <c r="G87" s="3" t="str">
        <f ca="1">IFERROR(__xludf.DUMMYFUNCTION("""COMPUTED_VALUE"""),"Pre-Intermediate 2")</f>
        <v>Pre-Intermediate 2</v>
      </c>
      <c r="H87" s="156">
        <f ca="1">IFERROR(__xludf.DUMMYFUNCTION("""COMPUTED_VALUE"""),45663.5833333333)</f>
        <v>45663.583333333299</v>
      </c>
      <c r="I87" s="156">
        <f ca="1">IFERROR(__xludf.DUMMYFUNCTION("""COMPUTED_VALUE"""),45663.5833333333)</f>
        <v>45663.583333333299</v>
      </c>
      <c r="J87" s="3">
        <f ca="1">IFERROR(__xludf.DUMMYFUNCTION("""COMPUTED_VALUE"""),2.5)</f>
        <v>2.5</v>
      </c>
      <c r="K87" s="3">
        <f ca="1">IFERROR(__xludf.DUMMYFUNCTION("""COMPUTED_VALUE"""),3.5)</f>
        <v>3.5</v>
      </c>
      <c r="L87" s="3" t="str">
        <f ca="1">IFERROR(__xludf.DUMMYFUNCTION("""COMPUTED_VALUE"""),"GSD")</f>
        <v>GSD</v>
      </c>
      <c r="M87" s="3" t="str">
        <f ca="1">IFERROR(__xludf.DUMMYFUNCTION("""COMPUTED_VALUE"""),"ONC")</f>
        <v>ONC</v>
      </c>
      <c r="N87" s="157">
        <f ca="1">IFERROR(__xludf.DUMMYFUNCTION("""COMPUTED_VALUE"""),2.5)</f>
        <v>2.5</v>
      </c>
      <c r="O87" s="157">
        <f ca="1">IFERROR(__xludf.DUMMYFUNCTION("""COMPUTED_VALUE"""),3.5)</f>
        <v>3.5</v>
      </c>
      <c r="P87" s="157"/>
      <c r="Q87" s="3">
        <f t="shared" ca="1" si="0"/>
        <v>86</v>
      </c>
      <c r="R87" s="148" t="e">
        <f ca="1"/>
        <v>#NAME?</v>
      </c>
      <c r="S87" s="147" t="e">
        <f t="shared" ca="1" si="1"/>
        <v>#NAME?</v>
      </c>
      <c r="T87" s="147" t="e">
        <f t="shared" ca="1" si="2"/>
        <v>#NAME?</v>
      </c>
      <c r="U87" s="147" t="e">
        <f t="shared" ca="1" si="3"/>
        <v>#NAME?</v>
      </c>
      <c r="X87" s="147"/>
      <c r="Y87" s="147"/>
      <c r="Z87" s="147"/>
      <c r="AA87" s="147"/>
      <c r="AB87" s="147"/>
      <c r="AC87" s="147"/>
      <c r="AD87" s="147"/>
      <c r="AE87" s="147"/>
      <c r="AF87" s="147"/>
      <c r="AG87" s="147"/>
      <c r="AH87" s="147"/>
      <c r="AI87" s="147"/>
      <c r="AJ87" s="147"/>
      <c r="AK87" s="147"/>
      <c r="AL87" s="147"/>
      <c r="AM87" s="147"/>
      <c r="AN87" s="147"/>
      <c r="AO87" s="147"/>
      <c r="AP87" s="147"/>
      <c r="AQ87" s="147"/>
    </row>
    <row r="88" spans="1:43">
      <c r="A88" s="160" t="str">
        <f ca="1">IFERROR(__xludf.DUMMYFUNCTION("""COMPUTED_VALUE"""),"173272")</f>
        <v>173272</v>
      </c>
      <c r="B88" s="3" t="str">
        <f ca="1">IFERROR(__xludf.DUMMYFUNCTION("""COMPUTED_VALUE"""),"ĐÀO SỸ THỜI")</f>
        <v>ĐÀO SỸ THỜI</v>
      </c>
      <c r="C88" s="160" t="str">
        <f ca="1">IFERROR(__xludf.DUMMYFUNCTION("""COMPUTED_VALUE"""),"EL009")</f>
        <v>EL009</v>
      </c>
      <c r="D88" s="160" t="str">
        <f ca="1">IFERROR(__xludf.DUMMYFUNCTION("""COMPUTED_VALUE"""),"Huong Le")</f>
        <v>Huong Le</v>
      </c>
      <c r="E88" s="3" t="str">
        <f ca="1">IFERROR(__xludf.DUMMYFUNCTION("""COMPUTED_VALUE"""),"Communication 1")</f>
        <v>Communication 1</v>
      </c>
      <c r="F88" s="3" t="str">
        <f ca="1">IFERROR(__xludf.DUMMYFUNCTION("""COMPUTED_VALUE"""),"Beginner")</f>
        <v>Beginner</v>
      </c>
      <c r="G88" s="3" t="str">
        <f ca="1">IFERROR(__xludf.DUMMYFUNCTION("""COMPUTED_VALUE"""),"Pre-Intermediate 1")</f>
        <v>Pre-Intermediate 1</v>
      </c>
      <c r="H88" s="156">
        <f ca="1">IFERROR(__xludf.DUMMYFUNCTION("""COMPUTED_VALUE"""),45663.5833333333)</f>
        <v>45663.583333333299</v>
      </c>
      <c r="I88" s="156">
        <f ca="1">IFERROR(__xludf.DUMMYFUNCTION("""COMPUTED_VALUE"""),45663.5833333333)</f>
        <v>45663.583333333299</v>
      </c>
      <c r="J88" s="3">
        <f ca="1">IFERROR(__xludf.DUMMYFUNCTION("""COMPUTED_VALUE"""),1)</f>
        <v>1</v>
      </c>
      <c r="K88" s="3">
        <f ca="1">IFERROR(__xludf.DUMMYFUNCTION("""COMPUTED_VALUE"""),3)</f>
        <v>3</v>
      </c>
      <c r="L88" s="3" t="str">
        <f ca="1">IFERROR(__xludf.DUMMYFUNCTION("""COMPUTED_VALUE"""),"GSD")</f>
        <v>GSD</v>
      </c>
      <c r="M88" s="3" t="str">
        <f ca="1">IFERROR(__xludf.DUMMYFUNCTION("""COMPUTED_VALUE"""),"LBU")</f>
        <v>LBU</v>
      </c>
      <c r="N88" s="157">
        <f ca="1">IFERROR(__xludf.DUMMYFUNCTION("""COMPUTED_VALUE"""),1)</f>
        <v>1</v>
      </c>
      <c r="O88" s="157">
        <f ca="1">IFERROR(__xludf.DUMMYFUNCTION("""COMPUTED_VALUE"""),3)</f>
        <v>3</v>
      </c>
      <c r="P88" s="157"/>
      <c r="Q88" s="3">
        <f t="shared" ca="1" si="0"/>
        <v>87</v>
      </c>
      <c r="R88" s="148" t="e">
        <f ca="1"/>
        <v>#NAME?</v>
      </c>
      <c r="S88" s="147" t="e">
        <f t="shared" ca="1" si="1"/>
        <v>#NAME?</v>
      </c>
      <c r="T88" s="147" t="e">
        <f t="shared" ca="1" si="2"/>
        <v>#NAME?</v>
      </c>
      <c r="U88" s="147" t="e">
        <f t="shared" ca="1" si="3"/>
        <v>#NAME?</v>
      </c>
      <c r="X88" s="147"/>
      <c r="Y88" s="147"/>
      <c r="Z88" s="147"/>
      <c r="AA88" s="147"/>
      <c r="AB88" s="147"/>
      <c r="AC88" s="147"/>
      <c r="AD88" s="147"/>
      <c r="AE88" s="147"/>
      <c r="AF88" s="147"/>
      <c r="AG88" s="147"/>
      <c r="AH88" s="147"/>
      <c r="AI88" s="147"/>
      <c r="AJ88" s="147"/>
      <c r="AK88" s="147"/>
      <c r="AL88" s="147"/>
      <c r="AM88" s="147"/>
      <c r="AN88" s="147"/>
      <c r="AO88" s="147"/>
      <c r="AP88" s="147"/>
      <c r="AQ88" s="147"/>
    </row>
    <row r="89" spans="1:43">
      <c r="A89" s="160" t="str">
        <f ca="1">IFERROR(__xludf.DUMMYFUNCTION("""COMPUTED_VALUE"""),"237206")</f>
        <v>237206</v>
      </c>
      <c r="B89" s="3" t="str">
        <f ca="1">IFERROR(__xludf.DUMMYFUNCTION("""COMPUTED_VALUE"""),"LƯƠNG TRÀ VY")</f>
        <v>LƯƠNG TRÀ VY</v>
      </c>
      <c r="C89" s="160" t="str">
        <f ca="1">IFERROR(__xludf.DUMMYFUNCTION("""COMPUTED_VALUE"""),"EL009")</f>
        <v>EL009</v>
      </c>
      <c r="D89" s="160" t="str">
        <f ca="1">IFERROR(__xludf.DUMMYFUNCTION("""COMPUTED_VALUE"""),"Huong Le")</f>
        <v>Huong Le</v>
      </c>
      <c r="E89" s="3" t="str">
        <f ca="1">IFERROR(__xludf.DUMMYFUNCTION("""COMPUTED_VALUE"""),"Communication 1")</f>
        <v>Communication 1</v>
      </c>
      <c r="F89" s="3" t="str">
        <f ca="1">IFERROR(__xludf.DUMMYFUNCTION("""COMPUTED_VALUE"""),"Beginner")</f>
        <v>Beginner</v>
      </c>
      <c r="G89" s="3" t="str">
        <f ca="1">IFERROR(__xludf.DUMMYFUNCTION("""COMPUTED_VALUE"""),"Pre-Intermediate 1")</f>
        <v>Pre-Intermediate 1</v>
      </c>
      <c r="H89" s="156">
        <f ca="1">IFERROR(__xludf.DUMMYFUNCTION("""COMPUTED_VALUE"""),45663.5833333333)</f>
        <v>45663.583333333299</v>
      </c>
      <c r="I89" s="156">
        <f ca="1">IFERROR(__xludf.DUMMYFUNCTION("""COMPUTED_VALUE"""),45663.5833333333)</f>
        <v>45663.583333333299</v>
      </c>
      <c r="J89" s="3">
        <f ca="1">IFERROR(__xludf.DUMMYFUNCTION("""COMPUTED_VALUE"""),1)</f>
        <v>1</v>
      </c>
      <c r="K89" s="3">
        <f ca="1">IFERROR(__xludf.DUMMYFUNCTION("""COMPUTED_VALUE"""),3)</f>
        <v>3</v>
      </c>
      <c r="L89" s="3" t="str">
        <f ca="1">IFERROR(__xludf.DUMMYFUNCTION("""COMPUTED_VALUE"""),"GSD")</f>
        <v>GSD</v>
      </c>
      <c r="M89" s="3" t="str">
        <f ca="1">IFERROR(__xludf.DUMMYFUNCTION("""COMPUTED_VALUE"""),"LBU")</f>
        <v>LBU</v>
      </c>
      <c r="N89" s="157">
        <f ca="1">IFERROR(__xludf.DUMMYFUNCTION("""COMPUTED_VALUE"""),1)</f>
        <v>1</v>
      </c>
      <c r="O89" s="157">
        <f ca="1">IFERROR(__xludf.DUMMYFUNCTION("""COMPUTED_VALUE"""),5)</f>
        <v>5</v>
      </c>
      <c r="P89" s="157"/>
      <c r="Q89" s="3">
        <f t="shared" ca="1" si="0"/>
        <v>88</v>
      </c>
      <c r="R89" s="148" t="e">
        <f ca="1"/>
        <v>#NAME?</v>
      </c>
      <c r="S89" s="147" t="e">
        <f t="shared" ca="1" si="1"/>
        <v>#NAME?</v>
      </c>
      <c r="T89" s="147" t="e">
        <f t="shared" ca="1" si="2"/>
        <v>#NAME?</v>
      </c>
      <c r="U89" s="147" t="e">
        <f t="shared" ca="1" si="3"/>
        <v>#NAME?</v>
      </c>
      <c r="X89" s="147"/>
      <c r="Y89" s="147"/>
      <c r="Z89" s="147"/>
      <c r="AA89" s="147"/>
      <c r="AB89" s="147"/>
      <c r="AC89" s="147"/>
      <c r="AD89" s="147"/>
      <c r="AE89" s="147"/>
      <c r="AF89" s="147"/>
      <c r="AG89" s="147"/>
      <c r="AH89" s="147"/>
      <c r="AI89" s="147"/>
      <c r="AJ89" s="147"/>
      <c r="AK89" s="147"/>
      <c r="AL89" s="147"/>
      <c r="AM89" s="147"/>
      <c r="AN89" s="147"/>
      <c r="AO89" s="147"/>
      <c r="AP89" s="147"/>
      <c r="AQ89" s="147"/>
    </row>
    <row r="90" spans="1:43">
      <c r="A90" s="160" t="str">
        <f ca="1">IFERROR(__xludf.DUMMYFUNCTION("""COMPUTED_VALUE"""),"203790")</f>
        <v>203790</v>
      </c>
      <c r="B90" s="3" t="str">
        <f ca="1">IFERROR(__xludf.DUMMYFUNCTION("""COMPUTED_VALUE"""),"NGUYỄN QUANG TRUNG")</f>
        <v>NGUYỄN QUANG TRUNG</v>
      </c>
      <c r="C90" s="160" t="str">
        <f ca="1">IFERROR(__xludf.DUMMYFUNCTION("""COMPUTED_VALUE"""),"EL009")</f>
        <v>EL009</v>
      </c>
      <c r="D90" s="160" t="str">
        <f ca="1">IFERROR(__xludf.DUMMYFUNCTION("""COMPUTED_VALUE"""),"Huong Le")</f>
        <v>Huong Le</v>
      </c>
      <c r="E90" s="3" t="str">
        <f ca="1">IFERROR(__xludf.DUMMYFUNCTION("""COMPUTED_VALUE"""),"Communication 1")</f>
        <v>Communication 1</v>
      </c>
      <c r="F90" s="3" t="str">
        <f ca="1">IFERROR(__xludf.DUMMYFUNCTION("""COMPUTED_VALUE"""),"Pre-Intermediate")</f>
        <v>Pre-Intermediate</v>
      </c>
      <c r="G90" s="3" t="str">
        <f ca="1">IFERROR(__xludf.DUMMYFUNCTION("""COMPUTED_VALUE"""),"Pre-Intermediate 1")</f>
        <v>Pre-Intermediate 1</v>
      </c>
      <c r="H90" s="156">
        <f ca="1">IFERROR(__xludf.DUMMYFUNCTION("""COMPUTED_VALUE"""),45663.5833333333)</f>
        <v>45663.583333333299</v>
      </c>
      <c r="I90" s="156">
        <f ca="1">IFERROR(__xludf.DUMMYFUNCTION("""COMPUTED_VALUE"""),45663.5833333333)</f>
        <v>45663.583333333299</v>
      </c>
      <c r="J90" s="3">
        <f ca="1">IFERROR(__xludf.DUMMYFUNCTION("""COMPUTED_VALUE"""),2.5)</f>
        <v>2.5</v>
      </c>
      <c r="K90" s="3">
        <f ca="1">IFERROR(__xludf.DUMMYFUNCTION("""COMPUTED_VALUE"""),3)</f>
        <v>3</v>
      </c>
      <c r="L90" s="3" t="str">
        <f ca="1">IFERROR(__xludf.DUMMYFUNCTION("""COMPUTED_VALUE"""),"GSD")</f>
        <v>GSD</v>
      </c>
      <c r="M90" s="3" t="str">
        <f ca="1">IFERROR(__xludf.DUMMYFUNCTION("""COMPUTED_VALUE"""),"LBU")</f>
        <v>LBU</v>
      </c>
      <c r="N90" s="157">
        <f ca="1">IFERROR(__xludf.DUMMYFUNCTION("""COMPUTED_VALUE"""),2.5)</f>
        <v>2.5</v>
      </c>
      <c r="O90" s="157">
        <f ca="1">IFERROR(__xludf.DUMMYFUNCTION("""COMPUTED_VALUE"""),3.5)</f>
        <v>3.5</v>
      </c>
      <c r="P90" s="157"/>
      <c r="Q90" s="3">
        <f t="shared" ca="1" si="0"/>
        <v>89</v>
      </c>
      <c r="R90" s="148" t="e">
        <f ca="1"/>
        <v>#NAME?</v>
      </c>
      <c r="S90" s="147" t="e">
        <f t="shared" ca="1" si="1"/>
        <v>#NAME?</v>
      </c>
      <c r="T90" s="147" t="e">
        <f t="shared" ca="1" si="2"/>
        <v>#NAME?</v>
      </c>
      <c r="U90" s="147" t="e">
        <f t="shared" ca="1" si="3"/>
        <v>#NAME?</v>
      </c>
      <c r="X90" s="147"/>
      <c r="Y90" s="147"/>
      <c r="Z90" s="147"/>
      <c r="AA90" s="147"/>
      <c r="AB90" s="147"/>
      <c r="AC90" s="147"/>
      <c r="AD90" s="147"/>
      <c r="AE90" s="147"/>
      <c r="AF90" s="147"/>
      <c r="AG90" s="147"/>
      <c r="AH90" s="147"/>
      <c r="AI90" s="147"/>
      <c r="AJ90" s="147"/>
      <c r="AK90" s="147"/>
      <c r="AL90" s="147"/>
      <c r="AM90" s="147"/>
      <c r="AN90" s="147"/>
      <c r="AO90" s="147"/>
      <c r="AP90" s="147"/>
      <c r="AQ90" s="147"/>
    </row>
    <row r="91" spans="1:43">
      <c r="A91" s="160" t="str">
        <f ca="1">IFERROR(__xludf.DUMMYFUNCTION("""COMPUTED_VALUE"""),"237158")</f>
        <v>237158</v>
      </c>
      <c r="B91" s="3" t="str">
        <f ca="1">IFERROR(__xludf.DUMMYFUNCTION("""COMPUTED_VALUE"""),"NGUYỄN THÀNH PHI")</f>
        <v>NGUYỄN THÀNH PHI</v>
      </c>
      <c r="C91" s="160" t="str">
        <f ca="1">IFERROR(__xludf.DUMMYFUNCTION("""COMPUTED_VALUE"""),"EL009")</f>
        <v>EL009</v>
      </c>
      <c r="D91" s="160" t="str">
        <f ca="1">IFERROR(__xludf.DUMMYFUNCTION("""COMPUTED_VALUE"""),"Huong Le")</f>
        <v>Huong Le</v>
      </c>
      <c r="E91" s="3" t="str">
        <f ca="1">IFERROR(__xludf.DUMMYFUNCTION("""COMPUTED_VALUE"""),"Communication 1")</f>
        <v>Communication 1</v>
      </c>
      <c r="F91" s="3" t="str">
        <f ca="1">IFERROR(__xludf.DUMMYFUNCTION("""COMPUTED_VALUE"""),"Beginner")</f>
        <v>Beginner</v>
      </c>
      <c r="G91" s="3" t="str">
        <f ca="1">IFERROR(__xludf.DUMMYFUNCTION("""COMPUTED_VALUE"""),"Pre-Intermediate 2")</f>
        <v>Pre-Intermediate 2</v>
      </c>
      <c r="H91" s="156">
        <f ca="1">IFERROR(__xludf.DUMMYFUNCTION("""COMPUTED_VALUE"""),45663.5833333333)</f>
        <v>45663.583333333299</v>
      </c>
      <c r="I91" s="156">
        <f ca="1">IFERROR(__xludf.DUMMYFUNCTION("""COMPUTED_VALUE"""),45663.5833333333)</f>
        <v>45663.583333333299</v>
      </c>
      <c r="J91" s="3">
        <f ca="1">IFERROR(__xludf.DUMMYFUNCTION("""COMPUTED_VALUE"""),1)</f>
        <v>1</v>
      </c>
      <c r="K91" s="3">
        <f ca="1">IFERROR(__xludf.DUMMYFUNCTION("""COMPUTED_VALUE"""),3.5)</f>
        <v>3.5</v>
      </c>
      <c r="L91" s="3" t="str">
        <f ca="1">IFERROR(__xludf.DUMMYFUNCTION("""COMPUTED_VALUE"""),"GSD")</f>
        <v>GSD</v>
      </c>
      <c r="M91" s="3" t="str">
        <f ca="1">IFERROR(__xludf.DUMMYFUNCTION("""COMPUTED_VALUE"""),"LBU")</f>
        <v>LBU</v>
      </c>
      <c r="N91" s="157">
        <f ca="1">IFERROR(__xludf.DUMMYFUNCTION("""COMPUTED_VALUE"""),1)</f>
        <v>1</v>
      </c>
      <c r="O91" s="157">
        <f ca="1">IFERROR(__xludf.DUMMYFUNCTION("""COMPUTED_VALUE"""),5.5)</f>
        <v>5.5</v>
      </c>
      <c r="P91" s="157"/>
      <c r="Q91" s="3">
        <f t="shared" ca="1" si="0"/>
        <v>90</v>
      </c>
      <c r="R91" s="148" t="e">
        <f ca="1"/>
        <v>#NAME?</v>
      </c>
      <c r="S91" s="147" t="e">
        <f t="shared" ca="1" si="1"/>
        <v>#NAME?</v>
      </c>
      <c r="T91" s="147" t="e">
        <f t="shared" ca="1" si="2"/>
        <v>#NAME?</v>
      </c>
      <c r="U91" s="147" t="e">
        <f t="shared" ca="1" si="3"/>
        <v>#NAME?</v>
      </c>
      <c r="X91" s="147"/>
      <c r="Y91" s="147"/>
      <c r="Z91" s="147"/>
      <c r="AA91" s="147"/>
      <c r="AB91" s="147"/>
      <c r="AC91" s="147"/>
      <c r="AD91" s="147"/>
      <c r="AE91" s="147"/>
      <c r="AF91" s="147"/>
      <c r="AG91" s="147"/>
      <c r="AH91" s="147"/>
      <c r="AI91" s="147"/>
      <c r="AJ91" s="147"/>
      <c r="AK91" s="147"/>
      <c r="AL91" s="147"/>
      <c r="AM91" s="147"/>
      <c r="AN91" s="147"/>
      <c r="AO91" s="147"/>
      <c r="AP91" s="147"/>
      <c r="AQ91" s="147"/>
    </row>
    <row r="92" spans="1:43">
      <c r="A92" s="160" t="str">
        <f ca="1">IFERROR(__xludf.DUMMYFUNCTION("""COMPUTED_VALUE"""),"247043")</f>
        <v>247043</v>
      </c>
      <c r="B92" s="3" t="str">
        <f ca="1">IFERROR(__xludf.DUMMYFUNCTION("""COMPUTED_VALUE"""),"NGUYỄN THỊ HỒNG ĐÀO")</f>
        <v>NGUYỄN THỊ HỒNG ĐÀO</v>
      </c>
      <c r="C92" s="160" t="str">
        <f ca="1">IFERROR(__xludf.DUMMYFUNCTION("""COMPUTED_VALUE"""),"EL009")</f>
        <v>EL009</v>
      </c>
      <c r="D92" s="160" t="str">
        <f ca="1">IFERROR(__xludf.DUMMYFUNCTION("""COMPUTED_VALUE"""),"Huong Le")</f>
        <v>Huong Le</v>
      </c>
      <c r="E92" s="3" t="str">
        <f ca="1">IFERROR(__xludf.DUMMYFUNCTION("""COMPUTED_VALUE"""),"Communication 1")</f>
        <v>Communication 1</v>
      </c>
      <c r="F92" s="3" t="str">
        <f ca="1">IFERROR(__xludf.DUMMYFUNCTION("""COMPUTED_VALUE"""),"Beginner")</f>
        <v>Beginner</v>
      </c>
      <c r="G92" s="3" t="str">
        <f ca="1">IFERROR(__xludf.DUMMYFUNCTION("""COMPUTED_VALUE"""),"Beginner 2")</f>
        <v>Beginner 2</v>
      </c>
      <c r="H92" s="156">
        <f ca="1">IFERROR(__xludf.DUMMYFUNCTION("""COMPUTED_VALUE"""),45663.5833333333)</f>
        <v>45663.583333333299</v>
      </c>
      <c r="I92" s="156">
        <f ca="1">IFERROR(__xludf.DUMMYFUNCTION("""COMPUTED_VALUE"""),45663.5833333333)</f>
        <v>45663.583333333299</v>
      </c>
      <c r="J92" s="3">
        <f ca="1">IFERROR(__xludf.DUMMYFUNCTION("""COMPUTED_VALUE"""),1)</f>
        <v>1</v>
      </c>
      <c r="K92" s="3">
        <f ca="1">IFERROR(__xludf.DUMMYFUNCTION("""COMPUTED_VALUE"""),1.5)</f>
        <v>1.5</v>
      </c>
      <c r="L92" s="3" t="str">
        <f ca="1">IFERROR(__xludf.DUMMYFUNCTION("""COMPUTED_VALUE"""),"GSD")</f>
        <v>GSD</v>
      </c>
      <c r="M92" s="3" t="str">
        <f ca="1">IFERROR(__xludf.DUMMYFUNCTION("""COMPUTED_VALUE"""),"LBU")</f>
        <v>LBU</v>
      </c>
      <c r="N92" s="157">
        <f ca="1">IFERROR(__xludf.DUMMYFUNCTION("""COMPUTED_VALUE"""),1)</f>
        <v>1</v>
      </c>
      <c r="O92" s="157">
        <f ca="1">IFERROR(__xludf.DUMMYFUNCTION("""COMPUTED_VALUE"""),3)</f>
        <v>3</v>
      </c>
      <c r="P92" s="157"/>
      <c r="Q92" s="3">
        <f t="shared" ca="1" si="0"/>
        <v>91</v>
      </c>
      <c r="R92" s="148" t="e">
        <f ca="1"/>
        <v>#NAME?</v>
      </c>
      <c r="S92" s="147" t="e">
        <f t="shared" ca="1" si="1"/>
        <v>#NAME?</v>
      </c>
      <c r="T92" s="147" t="e">
        <f t="shared" ca="1" si="2"/>
        <v>#NAME?</v>
      </c>
      <c r="U92" s="147" t="e">
        <f t="shared" ca="1" si="3"/>
        <v>#NAME?</v>
      </c>
      <c r="X92" s="147"/>
      <c r="Y92" s="147"/>
      <c r="Z92" s="147"/>
      <c r="AA92" s="147"/>
      <c r="AB92" s="147"/>
      <c r="AC92" s="147"/>
      <c r="AD92" s="147"/>
      <c r="AE92" s="147"/>
      <c r="AF92" s="147"/>
      <c r="AG92" s="147"/>
      <c r="AH92" s="147"/>
      <c r="AI92" s="147"/>
      <c r="AJ92" s="147"/>
      <c r="AK92" s="147"/>
      <c r="AL92" s="147"/>
      <c r="AM92" s="147"/>
      <c r="AN92" s="147"/>
      <c r="AO92" s="147"/>
      <c r="AP92" s="147"/>
      <c r="AQ92" s="147"/>
    </row>
    <row r="93" spans="1:43">
      <c r="A93" s="155" t="str">
        <f ca="1">IFERROR(__xludf.DUMMYFUNCTION("""COMPUTED_VALUE"""),"193447")</f>
        <v>193447</v>
      </c>
      <c r="B93" s="154" t="str">
        <f ca="1">IFERROR(__xludf.DUMMYFUNCTION("""COMPUTED_VALUE"""),"NGUYỄN ANH ĐỨC")</f>
        <v>NGUYỄN ANH ĐỨC</v>
      </c>
      <c r="C93" s="155" t="str">
        <f ca="1">IFERROR(__xludf.DUMMYFUNCTION("""COMPUTED_VALUE"""),"EL009")</f>
        <v>EL009</v>
      </c>
      <c r="D93" s="155" t="str">
        <f ca="1">IFERROR(__xludf.DUMMYFUNCTION("""COMPUTED_VALUE"""),"Huong Le")</f>
        <v>Huong Le</v>
      </c>
      <c r="E93" s="154" t="str">
        <f ca="1">IFERROR(__xludf.DUMMYFUNCTION("""COMPUTED_VALUE"""),"Communication 2")</f>
        <v>Communication 2</v>
      </c>
      <c r="F93" s="3" t="str">
        <f ca="1">IFERROR(__xludf.DUMMYFUNCTION("""COMPUTED_VALUE"""),"Intermediate")</f>
        <v>Intermediate</v>
      </c>
      <c r="G93" s="3" t="str">
        <f ca="1">IFERROR(__xludf.DUMMYFUNCTION("""COMPUTED_VALUE"""),"Intermediate 2")</f>
        <v>Intermediate 2</v>
      </c>
      <c r="H93" s="156">
        <f ca="1">IFERROR(__xludf.DUMMYFUNCTION("""COMPUTED_VALUE"""),45915.5416666666)</f>
        <v>45915.541666666599</v>
      </c>
      <c r="I93" s="156">
        <f ca="1">IFERROR(__xludf.DUMMYFUNCTION("""COMPUTED_VALUE"""),45637.4166666666)</f>
        <v>45637.416666666599</v>
      </c>
      <c r="J93" s="3">
        <f ca="1">IFERROR(__xludf.DUMMYFUNCTION("""COMPUTED_VALUE"""),4.5)</f>
        <v>4.5</v>
      </c>
      <c r="K93" s="3">
        <f ca="1">IFERROR(__xludf.DUMMYFUNCTION("""COMPUTED_VALUE"""),5.5)</f>
        <v>5.5</v>
      </c>
      <c r="L93" s="3" t="str">
        <f ca="1">IFERROR(__xludf.DUMMYFUNCTION("""COMPUTED_VALUE"""),"DEV")</f>
        <v>DEV</v>
      </c>
      <c r="M93" s="3" t="str">
        <f ca="1">IFERROR(__xludf.DUMMYFUNCTION("""COMPUTED_VALUE"""),"LBU")</f>
        <v>LBU</v>
      </c>
      <c r="N93" s="157">
        <f ca="1">IFERROR(__xludf.DUMMYFUNCTION("""COMPUTED_VALUE"""),2.5)</f>
        <v>2.5</v>
      </c>
      <c r="O93" s="157">
        <f ca="1">IFERROR(__xludf.DUMMYFUNCTION("""COMPUTED_VALUE"""),5.5)</f>
        <v>5.5</v>
      </c>
      <c r="P93" s="157"/>
      <c r="Q93" s="3">
        <f t="shared" ca="1" si="0"/>
        <v>92</v>
      </c>
      <c r="R93" s="148" t="e">
        <f ca="1"/>
        <v>#NAME?</v>
      </c>
      <c r="S93" s="147" t="e">
        <f t="shared" ca="1" si="1"/>
        <v>#NAME?</v>
      </c>
      <c r="T93" s="147" t="e">
        <f t="shared" ca="1" si="2"/>
        <v>#NAME?</v>
      </c>
      <c r="U93" s="147" t="e">
        <f t="shared" ca="1" si="3"/>
        <v>#NAME?</v>
      </c>
      <c r="X93" s="147"/>
      <c r="Y93" s="147"/>
      <c r="Z93" s="147"/>
      <c r="AA93" s="147"/>
      <c r="AB93" s="147"/>
      <c r="AC93" s="147"/>
      <c r="AD93" s="147"/>
      <c r="AE93" s="147"/>
      <c r="AF93" s="147"/>
      <c r="AG93" s="147"/>
      <c r="AH93" s="147"/>
      <c r="AI93" s="147"/>
      <c r="AJ93" s="147"/>
      <c r="AK93" s="147"/>
      <c r="AL93" s="147"/>
      <c r="AM93" s="147"/>
      <c r="AN93" s="147"/>
      <c r="AO93" s="147"/>
      <c r="AP93" s="147"/>
      <c r="AQ93" s="147"/>
    </row>
    <row r="94" spans="1:43">
      <c r="A94" s="160" t="str">
        <f ca="1">IFERROR(__xludf.DUMMYFUNCTION("""COMPUTED_VALUE"""),"237008")</f>
        <v>237008</v>
      </c>
      <c r="B94" s="3" t="str">
        <f ca="1">IFERROR(__xludf.DUMMYFUNCTION("""COMPUTED_VALUE"""),"LẠC MINH HOÀNG")</f>
        <v>LẠC MINH HOÀNG</v>
      </c>
      <c r="C94" s="160" t="str">
        <f ca="1">IFERROR(__xludf.DUMMYFUNCTION("""COMPUTED_VALUE"""),"EL009")</f>
        <v>EL009</v>
      </c>
      <c r="D94" s="160" t="str">
        <f ca="1">IFERROR(__xludf.DUMMYFUNCTION("""COMPUTED_VALUE"""),"Huong Le")</f>
        <v>Huong Le</v>
      </c>
      <c r="E94" s="3" t="str">
        <f ca="1">IFERROR(__xludf.DUMMYFUNCTION("""COMPUTED_VALUE"""),"Communication 2")</f>
        <v>Communication 2</v>
      </c>
      <c r="F94" s="3" t="str">
        <f ca="1">IFERROR(__xludf.DUMMYFUNCTION("""COMPUTED_VALUE"""),"Beginner 2")</f>
        <v>Beginner 2</v>
      </c>
      <c r="G94" s="3" t="str">
        <f ca="1">IFERROR(__xludf.DUMMYFUNCTION("""COMPUTED_VALUE"""),"Beginner 2")</f>
        <v>Beginner 2</v>
      </c>
      <c r="H94" s="156">
        <f ca="1">IFERROR(__xludf.DUMMYFUNCTION("""COMPUTED_VALUE"""),45915.5416666666)</f>
        <v>45915.541666666599</v>
      </c>
      <c r="I94" s="156">
        <f ca="1">IFERROR(__xludf.DUMMYFUNCTION("""COMPUTED_VALUE"""),45715.5833333333)</f>
        <v>45715.583333333299</v>
      </c>
      <c r="J94" s="3">
        <f ca="1">IFERROR(__xludf.DUMMYFUNCTION("""COMPUTED_VALUE"""),1.5)</f>
        <v>1.5</v>
      </c>
      <c r="K94" s="3">
        <f ca="1">IFERROR(__xludf.DUMMYFUNCTION("""COMPUTED_VALUE"""),1.5)</f>
        <v>1.5</v>
      </c>
      <c r="L94" s="3" t="str">
        <f ca="1">IFERROR(__xludf.DUMMYFUNCTION("""COMPUTED_VALUE"""),"GSD")</f>
        <v>GSD</v>
      </c>
      <c r="M94" s="3" t="str">
        <f ca="1">IFERROR(__xludf.DUMMYFUNCTION("""COMPUTED_VALUE"""),"LBU")</f>
        <v>LBU</v>
      </c>
      <c r="N94" s="157">
        <f ca="1">IFERROR(__xludf.DUMMYFUNCTION("""COMPUTED_VALUE"""),1)</f>
        <v>1</v>
      </c>
      <c r="O94" s="157">
        <f ca="1">IFERROR(__xludf.DUMMYFUNCTION("""COMPUTED_VALUE"""),1.5)</f>
        <v>1.5</v>
      </c>
      <c r="P94" s="157"/>
      <c r="Q94" s="3">
        <f t="shared" ca="1" si="0"/>
        <v>93</v>
      </c>
      <c r="R94" s="148" t="e">
        <f ca="1"/>
        <v>#NAME?</v>
      </c>
      <c r="S94" s="147" t="e">
        <f t="shared" ca="1" si="1"/>
        <v>#NAME?</v>
      </c>
      <c r="T94" s="147" t="e">
        <f t="shared" ca="1" si="2"/>
        <v>#NAME?</v>
      </c>
      <c r="U94" s="147" t="e">
        <f t="shared" ca="1" si="3"/>
        <v>#NAME?</v>
      </c>
      <c r="X94" s="147"/>
      <c r="Y94" s="147"/>
      <c r="Z94" s="147"/>
      <c r="AA94" s="147"/>
      <c r="AB94" s="147"/>
      <c r="AC94" s="147"/>
      <c r="AD94" s="147"/>
      <c r="AE94" s="147"/>
      <c r="AF94" s="147"/>
      <c r="AG94" s="147"/>
      <c r="AH94" s="147"/>
      <c r="AI94" s="147"/>
      <c r="AJ94" s="147"/>
      <c r="AK94" s="147"/>
      <c r="AL94" s="147"/>
      <c r="AM94" s="147"/>
      <c r="AN94" s="147"/>
      <c r="AO94" s="147"/>
      <c r="AP94" s="147"/>
      <c r="AQ94" s="147"/>
    </row>
    <row r="95" spans="1:43">
      <c r="A95" s="160" t="str">
        <f ca="1">IFERROR(__xludf.DUMMYFUNCTION("""COMPUTED_VALUE"""),"227160")</f>
        <v>227160</v>
      </c>
      <c r="B95" s="3" t="str">
        <f ca="1">IFERROR(__xludf.DUMMYFUNCTION("""COMPUTED_VALUE"""),"LÊ THỊ LAN HƯƠNG")</f>
        <v>LÊ THỊ LAN HƯƠNG</v>
      </c>
      <c r="C95" s="160" t="str">
        <f ca="1">IFERROR(__xludf.DUMMYFUNCTION("""COMPUTED_VALUE"""),"EL009")</f>
        <v>EL009</v>
      </c>
      <c r="D95" s="160" t="str">
        <f ca="1">IFERROR(__xludf.DUMMYFUNCTION("""COMPUTED_VALUE"""),"Huong Le")</f>
        <v>Huong Le</v>
      </c>
      <c r="E95" s="3" t="str">
        <f ca="1">IFERROR(__xludf.DUMMYFUNCTION("""COMPUTED_VALUE"""),"Communication 2")</f>
        <v>Communication 2</v>
      </c>
      <c r="F95" s="3" t="str">
        <f ca="1">IFERROR(__xludf.DUMMYFUNCTION("""COMPUTED_VALUE"""),"Beginner 2")</f>
        <v>Beginner 2</v>
      </c>
      <c r="G95" s="3" t="str">
        <f ca="1">IFERROR(__xludf.DUMMYFUNCTION("""COMPUTED_VALUE"""),"Pre-Intermediate 1")</f>
        <v>Pre-Intermediate 1</v>
      </c>
      <c r="H95" s="156">
        <f ca="1">IFERROR(__xludf.DUMMYFUNCTION("""COMPUTED_VALUE"""),45915.5416666666)</f>
        <v>45915.541666666599</v>
      </c>
      <c r="I95" s="156">
        <f ca="1">IFERROR(__xludf.DUMMYFUNCTION("""COMPUTED_VALUE"""),45637.4166666666)</f>
        <v>45637.416666666599</v>
      </c>
      <c r="J95" s="3">
        <f ca="1">IFERROR(__xludf.DUMMYFUNCTION("""COMPUTED_VALUE"""),1.5)</f>
        <v>1.5</v>
      </c>
      <c r="K95" s="3">
        <f ca="1">IFERROR(__xludf.DUMMYFUNCTION("""COMPUTED_VALUE"""),3)</f>
        <v>3</v>
      </c>
      <c r="L95" s="3" t="str">
        <f ca="1">IFERROR(__xludf.DUMMYFUNCTION("""COMPUTED_VALUE"""),"GSD")</f>
        <v>GSD</v>
      </c>
      <c r="M95" s="3" t="str">
        <f ca="1">IFERROR(__xludf.DUMMYFUNCTION("""COMPUTED_VALUE"""),"LBU")</f>
        <v>LBU</v>
      </c>
      <c r="N95" s="157">
        <f ca="1">IFERROR(__xludf.DUMMYFUNCTION("""COMPUTED_VALUE"""),1)</f>
        <v>1</v>
      </c>
      <c r="O95" s="157">
        <f ca="1">IFERROR(__xludf.DUMMYFUNCTION("""COMPUTED_VALUE"""),3)</f>
        <v>3</v>
      </c>
      <c r="P95" s="157"/>
      <c r="Q95" s="3">
        <f t="shared" ca="1" si="0"/>
        <v>94</v>
      </c>
      <c r="R95" s="148" t="e">
        <f ca="1"/>
        <v>#NAME?</v>
      </c>
      <c r="S95" s="147" t="e">
        <f t="shared" ca="1" si="1"/>
        <v>#NAME?</v>
      </c>
      <c r="T95" s="147" t="e">
        <f t="shared" ca="1" si="2"/>
        <v>#NAME?</v>
      </c>
      <c r="U95" s="147" t="e">
        <f t="shared" ca="1" si="3"/>
        <v>#NAME?</v>
      </c>
      <c r="X95" s="147"/>
      <c r="Y95" s="147"/>
      <c r="Z95" s="147"/>
      <c r="AA95" s="147"/>
      <c r="AB95" s="147"/>
      <c r="AC95" s="147"/>
      <c r="AD95" s="147"/>
      <c r="AE95" s="147"/>
      <c r="AF95" s="147"/>
      <c r="AG95" s="147"/>
      <c r="AH95" s="147"/>
      <c r="AI95" s="147"/>
      <c r="AJ95" s="147"/>
      <c r="AK95" s="147"/>
      <c r="AL95" s="147"/>
      <c r="AM95" s="147"/>
      <c r="AN95" s="147"/>
      <c r="AO95" s="147"/>
      <c r="AP95" s="147"/>
      <c r="AQ95" s="147"/>
    </row>
    <row r="96" spans="1:43">
      <c r="A96" s="160" t="str">
        <f ca="1">IFERROR(__xludf.DUMMYFUNCTION("""COMPUTED_VALUE"""),"237206")</f>
        <v>237206</v>
      </c>
      <c r="B96" s="3" t="str">
        <f ca="1">IFERROR(__xludf.DUMMYFUNCTION("""COMPUTED_VALUE"""),"LƯƠNG TRÀ VY")</f>
        <v>LƯƠNG TRÀ VY</v>
      </c>
      <c r="C96" s="160" t="str">
        <f ca="1">IFERROR(__xludf.DUMMYFUNCTION("""COMPUTED_VALUE"""),"EL009")</f>
        <v>EL009</v>
      </c>
      <c r="D96" s="160" t="str">
        <f ca="1">IFERROR(__xludf.DUMMYFUNCTION("""COMPUTED_VALUE"""),"Huong Le")</f>
        <v>Huong Le</v>
      </c>
      <c r="E96" s="3" t="str">
        <f ca="1">IFERROR(__xludf.DUMMYFUNCTION("""COMPUTED_VALUE"""),"Communication 2")</f>
        <v>Communication 2</v>
      </c>
      <c r="F96" s="3" t="str">
        <f ca="1">IFERROR(__xludf.DUMMYFUNCTION("""COMPUTED_VALUE"""),"Pre-Intermediate 1")</f>
        <v>Pre-Intermediate 1</v>
      </c>
      <c r="G96" s="3" t="str">
        <f ca="1">IFERROR(__xludf.DUMMYFUNCTION("""COMPUTED_VALUE"""),"Intermediate 1")</f>
        <v>Intermediate 1</v>
      </c>
      <c r="H96" s="156">
        <f ca="1">IFERROR(__xludf.DUMMYFUNCTION("""COMPUTED_VALUE"""),45915.5416666666)</f>
        <v>45915.541666666599</v>
      </c>
      <c r="I96" s="156">
        <f ca="1">IFERROR(__xludf.DUMMYFUNCTION("""COMPUTED_VALUE"""),45663.5833333333)</f>
        <v>45663.583333333299</v>
      </c>
      <c r="J96" s="3">
        <f ca="1">IFERROR(__xludf.DUMMYFUNCTION("""COMPUTED_VALUE"""),3)</f>
        <v>3</v>
      </c>
      <c r="K96" s="3">
        <f ca="1">IFERROR(__xludf.DUMMYFUNCTION("""COMPUTED_VALUE"""),5)</f>
        <v>5</v>
      </c>
      <c r="L96" s="3" t="str">
        <f ca="1">IFERROR(__xludf.DUMMYFUNCTION("""COMPUTED_VALUE"""),"GSD")</f>
        <v>GSD</v>
      </c>
      <c r="M96" s="3" t="str">
        <f ca="1">IFERROR(__xludf.DUMMYFUNCTION("""COMPUTED_VALUE"""),"LBU")</f>
        <v>LBU</v>
      </c>
      <c r="N96" s="157">
        <f ca="1">IFERROR(__xludf.DUMMYFUNCTION("""COMPUTED_VALUE"""),1)</f>
        <v>1</v>
      </c>
      <c r="O96" s="157">
        <f ca="1">IFERROR(__xludf.DUMMYFUNCTION("""COMPUTED_VALUE"""),5)</f>
        <v>5</v>
      </c>
      <c r="P96" s="157"/>
      <c r="Q96" s="3">
        <f t="shared" ca="1" si="0"/>
        <v>95</v>
      </c>
      <c r="R96" s="148" t="e">
        <f ca="1"/>
        <v>#NAME?</v>
      </c>
      <c r="S96" s="147" t="e">
        <f t="shared" ca="1" si="1"/>
        <v>#NAME?</v>
      </c>
      <c r="T96" s="147" t="e">
        <f t="shared" ca="1" si="2"/>
        <v>#NAME?</v>
      </c>
      <c r="U96" s="147" t="e">
        <f t="shared" ca="1" si="3"/>
        <v>#NAME?</v>
      </c>
      <c r="X96" s="147"/>
      <c r="Y96" s="147"/>
      <c r="Z96" s="147"/>
      <c r="AA96" s="147"/>
      <c r="AB96" s="147"/>
      <c r="AC96" s="147"/>
      <c r="AD96" s="147"/>
      <c r="AE96" s="147"/>
      <c r="AF96" s="147"/>
      <c r="AG96" s="147"/>
      <c r="AH96" s="147"/>
      <c r="AI96" s="147"/>
      <c r="AJ96" s="147"/>
      <c r="AK96" s="147"/>
      <c r="AL96" s="147"/>
      <c r="AM96" s="147"/>
      <c r="AN96" s="147"/>
      <c r="AO96" s="147"/>
      <c r="AP96" s="147"/>
      <c r="AQ96" s="147"/>
    </row>
    <row r="97" spans="1:43">
      <c r="A97" s="160" t="str">
        <f ca="1">IFERROR(__xludf.DUMMYFUNCTION("""COMPUTED_VALUE"""),"247187")</f>
        <v>247187</v>
      </c>
      <c r="B97" s="3" t="str">
        <f ca="1">IFERROR(__xludf.DUMMYFUNCTION("""COMPUTED_VALUE"""),"NGUYỄN MINH THƯ")</f>
        <v>NGUYỄN MINH THƯ</v>
      </c>
      <c r="C97" s="160" t="str">
        <f ca="1">IFERROR(__xludf.DUMMYFUNCTION("""COMPUTED_VALUE"""),"EL009")</f>
        <v>EL009</v>
      </c>
      <c r="D97" s="160" t="str">
        <f ca="1">IFERROR(__xludf.DUMMYFUNCTION("""COMPUTED_VALUE"""),"Huong Le")</f>
        <v>Huong Le</v>
      </c>
      <c r="E97" s="3" t="str">
        <f ca="1">IFERROR(__xludf.DUMMYFUNCTION("""COMPUTED_VALUE"""),"Communication 2")</f>
        <v>Communication 2</v>
      </c>
      <c r="F97" s="3" t="str">
        <f ca="1">IFERROR(__xludf.DUMMYFUNCTION("""COMPUTED_VALUE"""),"Beginner 2")</f>
        <v>Beginner 2</v>
      </c>
      <c r="G97" s="3" t="str">
        <f ca="1">IFERROR(__xludf.DUMMYFUNCTION("""COMPUTED_VALUE"""),"Intermediate 1")</f>
        <v>Intermediate 1</v>
      </c>
      <c r="H97" s="156">
        <f ca="1">IFERROR(__xludf.DUMMYFUNCTION("""COMPUTED_VALUE"""),45915.5416666666)</f>
        <v>45915.541666666599</v>
      </c>
      <c r="I97" s="156">
        <f ca="1">IFERROR(__xludf.DUMMYFUNCTION("""COMPUTED_VALUE"""),45637.4166666666)</f>
        <v>45637.416666666599</v>
      </c>
      <c r="J97" s="3">
        <f ca="1">IFERROR(__xludf.DUMMYFUNCTION("""COMPUTED_VALUE"""),1.5)</f>
        <v>1.5</v>
      </c>
      <c r="K97" s="3">
        <f ca="1">IFERROR(__xludf.DUMMYFUNCTION("""COMPUTED_VALUE"""),5)</f>
        <v>5</v>
      </c>
      <c r="L97" s="3" t="str">
        <f ca="1">IFERROR(__xludf.DUMMYFUNCTION("""COMPUTED_VALUE"""),"GSD")</f>
        <v>GSD</v>
      </c>
      <c r="M97" s="3" t="str">
        <f ca="1">IFERROR(__xludf.DUMMYFUNCTION("""COMPUTED_VALUE"""),"LBU")</f>
        <v>LBU</v>
      </c>
      <c r="N97" s="157">
        <f ca="1">IFERROR(__xludf.DUMMYFUNCTION("""COMPUTED_VALUE"""),2.5)</f>
        <v>2.5</v>
      </c>
      <c r="O97" s="157">
        <f ca="1">IFERROR(__xludf.DUMMYFUNCTION("""COMPUTED_VALUE"""),5)</f>
        <v>5</v>
      </c>
      <c r="P97" s="157"/>
      <c r="Q97" s="3">
        <f t="shared" ca="1" si="0"/>
        <v>96</v>
      </c>
      <c r="R97" s="148" t="e">
        <f ca="1"/>
        <v>#NAME?</v>
      </c>
      <c r="S97" s="147" t="e">
        <f t="shared" ca="1" si="1"/>
        <v>#NAME?</v>
      </c>
      <c r="T97" s="147" t="e">
        <f t="shared" ca="1" si="2"/>
        <v>#NAME?</v>
      </c>
      <c r="U97" s="147" t="e">
        <f t="shared" ca="1" si="3"/>
        <v>#NAME?</v>
      </c>
      <c r="X97" s="147"/>
      <c r="Y97" s="147"/>
      <c r="Z97" s="147"/>
      <c r="AA97" s="147"/>
      <c r="AB97" s="147"/>
      <c r="AC97" s="147"/>
      <c r="AD97" s="147"/>
      <c r="AE97" s="147"/>
      <c r="AF97" s="147"/>
      <c r="AG97" s="147"/>
      <c r="AH97" s="147"/>
      <c r="AI97" s="147"/>
      <c r="AJ97" s="147"/>
      <c r="AK97" s="147"/>
      <c r="AL97" s="147"/>
      <c r="AM97" s="147"/>
      <c r="AN97" s="147"/>
      <c r="AO97" s="147"/>
      <c r="AP97" s="147"/>
      <c r="AQ97" s="147"/>
    </row>
    <row r="98" spans="1:43">
      <c r="A98" s="160" t="str">
        <f ca="1">IFERROR(__xludf.DUMMYFUNCTION("""COMPUTED_VALUE"""),"237158")</f>
        <v>237158</v>
      </c>
      <c r="B98" s="3" t="str">
        <f ca="1">IFERROR(__xludf.DUMMYFUNCTION("""COMPUTED_VALUE"""),"NGUYỄN THÀNH PHI")</f>
        <v>NGUYỄN THÀNH PHI</v>
      </c>
      <c r="C98" s="160" t="str">
        <f ca="1">IFERROR(__xludf.DUMMYFUNCTION("""COMPUTED_VALUE"""),"EL009")</f>
        <v>EL009</v>
      </c>
      <c r="D98" s="160" t="str">
        <f ca="1">IFERROR(__xludf.DUMMYFUNCTION("""COMPUTED_VALUE"""),"Huong Le")</f>
        <v>Huong Le</v>
      </c>
      <c r="E98" s="3" t="str">
        <f ca="1">IFERROR(__xludf.DUMMYFUNCTION("""COMPUTED_VALUE"""),"Communication 2")</f>
        <v>Communication 2</v>
      </c>
      <c r="F98" s="3" t="str">
        <f ca="1">IFERROR(__xludf.DUMMYFUNCTION("""COMPUTED_VALUE"""),"Pre-Intermediate 2")</f>
        <v>Pre-Intermediate 2</v>
      </c>
      <c r="G98" s="3" t="str">
        <f ca="1">IFERROR(__xludf.DUMMYFUNCTION("""COMPUTED_VALUE"""),"Intermediate 2")</f>
        <v>Intermediate 2</v>
      </c>
      <c r="H98" s="156">
        <f ca="1">IFERROR(__xludf.DUMMYFUNCTION("""COMPUTED_VALUE"""),45915.5416666666)</f>
        <v>45915.541666666599</v>
      </c>
      <c r="I98" s="156">
        <f ca="1">IFERROR(__xludf.DUMMYFUNCTION("""COMPUTED_VALUE"""),45663.5833333333)</f>
        <v>45663.583333333299</v>
      </c>
      <c r="J98" s="3">
        <f ca="1">IFERROR(__xludf.DUMMYFUNCTION("""COMPUTED_VALUE"""),3.5)</f>
        <v>3.5</v>
      </c>
      <c r="K98" s="3">
        <f ca="1">IFERROR(__xludf.DUMMYFUNCTION("""COMPUTED_VALUE"""),5.5)</f>
        <v>5.5</v>
      </c>
      <c r="L98" s="3" t="str">
        <f ca="1">IFERROR(__xludf.DUMMYFUNCTION("""COMPUTED_VALUE"""),"GSD")</f>
        <v>GSD</v>
      </c>
      <c r="M98" s="3" t="str">
        <f ca="1">IFERROR(__xludf.DUMMYFUNCTION("""COMPUTED_VALUE"""),"LBU")</f>
        <v>LBU</v>
      </c>
      <c r="N98" s="157">
        <f ca="1">IFERROR(__xludf.DUMMYFUNCTION("""COMPUTED_VALUE"""),1)</f>
        <v>1</v>
      </c>
      <c r="O98" s="157">
        <f ca="1">IFERROR(__xludf.DUMMYFUNCTION("""COMPUTED_VALUE"""),5.5)</f>
        <v>5.5</v>
      </c>
      <c r="P98" s="157"/>
      <c r="Q98" s="3">
        <f t="shared" ca="1" si="0"/>
        <v>97</v>
      </c>
      <c r="R98" s="148" t="e">
        <f ca="1"/>
        <v>#NAME?</v>
      </c>
      <c r="S98" s="147" t="e">
        <f t="shared" ca="1" si="1"/>
        <v>#NAME?</v>
      </c>
      <c r="T98" s="147" t="e">
        <f t="shared" ca="1" si="2"/>
        <v>#NAME?</v>
      </c>
      <c r="U98" s="147" t="e">
        <f t="shared" ca="1" si="3"/>
        <v>#NAME?</v>
      </c>
      <c r="X98" s="147"/>
      <c r="Y98" s="147"/>
      <c r="Z98" s="147"/>
      <c r="AA98" s="147"/>
      <c r="AB98" s="147"/>
      <c r="AC98" s="147"/>
      <c r="AD98" s="147"/>
      <c r="AE98" s="147"/>
      <c r="AF98" s="147"/>
      <c r="AG98" s="147"/>
      <c r="AH98" s="147"/>
      <c r="AI98" s="147"/>
      <c r="AJ98" s="147"/>
      <c r="AK98" s="147"/>
      <c r="AL98" s="147"/>
      <c r="AM98" s="147"/>
      <c r="AN98" s="147"/>
      <c r="AO98" s="147"/>
      <c r="AP98" s="147"/>
      <c r="AQ98" s="147"/>
    </row>
    <row r="99" spans="1:43">
      <c r="A99" s="160" t="str">
        <f ca="1">IFERROR(__xludf.DUMMYFUNCTION("""COMPUTED_VALUE"""),"247043")</f>
        <v>247043</v>
      </c>
      <c r="B99" s="3" t="str">
        <f ca="1">IFERROR(__xludf.DUMMYFUNCTION("""COMPUTED_VALUE"""),"NGUYỄN THỊ HỒNG ĐÀO")</f>
        <v>NGUYỄN THỊ HỒNG ĐÀO</v>
      </c>
      <c r="C99" s="160" t="str">
        <f ca="1">IFERROR(__xludf.DUMMYFUNCTION("""COMPUTED_VALUE"""),"EL009")</f>
        <v>EL009</v>
      </c>
      <c r="D99" s="160" t="str">
        <f ca="1">IFERROR(__xludf.DUMMYFUNCTION("""COMPUTED_VALUE"""),"Huong Le")</f>
        <v>Huong Le</v>
      </c>
      <c r="E99" s="3" t="str">
        <f ca="1">IFERROR(__xludf.DUMMYFUNCTION("""COMPUTED_VALUE"""),"Communication 2")</f>
        <v>Communication 2</v>
      </c>
      <c r="F99" s="3" t="str">
        <f ca="1">IFERROR(__xludf.DUMMYFUNCTION("""COMPUTED_VALUE"""),"Beginner 2")</f>
        <v>Beginner 2</v>
      </c>
      <c r="G99" s="3" t="str">
        <f ca="1">IFERROR(__xludf.DUMMYFUNCTION("""COMPUTED_VALUE"""),"Pre-Intermediate 1")</f>
        <v>Pre-Intermediate 1</v>
      </c>
      <c r="H99" s="156">
        <f ca="1">IFERROR(__xludf.DUMMYFUNCTION("""COMPUTED_VALUE"""),45915.5416666666)</f>
        <v>45915.541666666599</v>
      </c>
      <c r="I99" s="156">
        <f ca="1">IFERROR(__xludf.DUMMYFUNCTION("""COMPUTED_VALUE"""),45663.5833333333)</f>
        <v>45663.583333333299</v>
      </c>
      <c r="J99" s="3">
        <f ca="1">IFERROR(__xludf.DUMMYFUNCTION("""COMPUTED_VALUE"""),1.5)</f>
        <v>1.5</v>
      </c>
      <c r="K99" s="3">
        <f ca="1">IFERROR(__xludf.DUMMYFUNCTION("""COMPUTED_VALUE"""),3)</f>
        <v>3</v>
      </c>
      <c r="L99" s="3" t="str">
        <f ca="1">IFERROR(__xludf.DUMMYFUNCTION("""COMPUTED_VALUE"""),"GSD")</f>
        <v>GSD</v>
      </c>
      <c r="M99" s="3" t="str">
        <f ca="1">IFERROR(__xludf.DUMMYFUNCTION("""COMPUTED_VALUE"""),"LBU")</f>
        <v>LBU</v>
      </c>
      <c r="N99" s="157">
        <f ca="1">IFERROR(__xludf.DUMMYFUNCTION("""COMPUTED_VALUE"""),1)</f>
        <v>1</v>
      </c>
      <c r="O99" s="157">
        <f ca="1">IFERROR(__xludf.DUMMYFUNCTION("""COMPUTED_VALUE"""),3)</f>
        <v>3</v>
      </c>
      <c r="P99" s="157"/>
      <c r="Q99" s="3">
        <f t="shared" ca="1" si="0"/>
        <v>98</v>
      </c>
      <c r="R99" s="148" t="e">
        <f ca="1"/>
        <v>#NAME?</v>
      </c>
      <c r="S99" s="147" t="e">
        <f t="shared" ca="1" si="1"/>
        <v>#NAME?</v>
      </c>
      <c r="T99" s="147" t="e">
        <f t="shared" ca="1" si="2"/>
        <v>#NAME?</v>
      </c>
      <c r="U99" s="147" t="e">
        <f t="shared" ca="1" si="3"/>
        <v>#NAME?</v>
      </c>
      <c r="X99" s="147"/>
      <c r="Y99" s="147"/>
      <c r="Z99" s="147"/>
      <c r="AA99" s="147"/>
      <c r="AB99" s="147"/>
      <c r="AC99" s="147"/>
      <c r="AD99" s="147"/>
      <c r="AE99" s="147"/>
      <c r="AF99" s="147"/>
      <c r="AG99" s="147"/>
      <c r="AH99" s="147"/>
      <c r="AI99" s="147"/>
      <c r="AJ99" s="147"/>
      <c r="AK99" s="147"/>
      <c r="AL99" s="147"/>
      <c r="AM99" s="147"/>
      <c r="AN99" s="147"/>
      <c r="AO99" s="147"/>
      <c r="AP99" s="147"/>
      <c r="AQ99" s="147"/>
    </row>
    <row r="100" spans="1:43">
      <c r="A100" s="160" t="str">
        <f ca="1">IFERROR(__xludf.DUMMYFUNCTION("""COMPUTED_VALUE"""),"237207")</f>
        <v>237207</v>
      </c>
      <c r="B100" s="3" t="str">
        <f ca="1">IFERROR(__xludf.DUMMYFUNCTION("""COMPUTED_VALUE"""),"NGUYỄN THÙY GIANG")</f>
        <v>NGUYỄN THÙY GIANG</v>
      </c>
      <c r="C100" s="160" t="str">
        <f ca="1">IFERROR(__xludf.DUMMYFUNCTION("""COMPUTED_VALUE"""),"EL009")</f>
        <v>EL009</v>
      </c>
      <c r="D100" s="160" t="str">
        <f ca="1">IFERROR(__xludf.DUMMYFUNCTION("""COMPUTED_VALUE"""),"Huong Le")</f>
        <v>Huong Le</v>
      </c>
      <c r="E100" s="3" t="str">
        <f ca="1">IFERROR(__xludf.DUMMYFUNCTION("""COMPUTED_VALUE"""),"Communication 2")</f>
        <v>Communication 2</v>
      </c>
      <c r="F100" s="3" t="str">
        <f ca="1">IFERROR(__xludf.DUMMYFUNCTION("""COMPUTED_VALUE"""),"Pre-Intermediate 2")</f>
        <v>Pre-Intermediate 2</v>
      </c>
      <c r="G100" s="3" t="str">
        <f ca="1">IFERROR(__xludf.DUMMYFUNCTION("""COMPUTED_VALUE"""),"Pre-Intermediate 2")</f>
        <v>Pre-Intermediate 2</v>
      </c>
      <c r="H100" s="156">
        <f ca="1">IFERROR(__xludf.DUMMYFUNCTION("""COMPUTED_VALUE"""),45915.5416666666)</f>
        <v>45915.541666666599</v>
      </c>
      <c r="I100" s="156">
        <f ca="1">IFERROR(__xludf.DUMMYFUNCTION("""COMPUTED_VALUE"""),45663.5833333333)</f>
        <v>45663.583333333299</v>
      </c>
      <c r="J100" s="3">
        <f ca="1">IFERROR(__xludf.DUMMYFUNCTION("""COMPUTED_VALUE"""),3.5)</f>
        <v>3.5</v>
      </c>
      <c r="K100" s="3">
        <f ca="1">IFERROR(__xludf.DUMMYFUNCTION("""COMPUTED_VALUE"""),3.5)</f>
        <v>3.5</v>
      </c>
      <c r="L100" s="3" t="str">
        <f ca="1">IFERROR(__xludf.DUMMYFUNCTION("""COMPUTED_VALUE"""),"GSD")</f>
        <v>GSD</v>
      </c>
      <c r="M100" s="3" t="str">
        <f ca="1">IFERROR(__xludf.DUMMYFUNCTION("""COMPUTED_VALUE"""),"ONC")</f>
        <v>ONC</v>
      </c>
      <c r="N100" s="157">
        <f ca="1">IFERROR(__xludf.DUMMYFUNCTION("""COMPUTED_VALUE"""),2.5)</f>
        <v>2.5</v>
      </c>
      <c r="O100" s="157">
        <f ca="1">IFERROR(__xludf.DUMMYFUNCTION("""COMPUTED_VALUE"""),3.5)</f>
        <v>3.5</v>
      </c>
      <c r="P100" s="157"/>
      <c r="Q100" s="3">
        <f t="shared" ca="1" si="0"/>
        <v>99</v>
      </c>
      <c r="R100" s="148" t="e">
        <f ca="1"/>
        <v>#NAME?</v>
      </c>
      <c r="S100" s="147" t="e">
        <f t="shared" ca="1" si="1"/>
        <v>#NAME?</v>
      </c>
      <c r="T100" s="147" t="e">
        <f t="shared" ca="1" si="2"/>
        <v>#NAME?</v>
      </c>
      <c r="U100" s="147" t="e">
        <f t="shared" ca="1" si="3"/>
        <v>#NAME?</v>
      </c>
      <c r="X100" s="147"/>
      <c r="Y100" s="147"/>
      <c r="Z100" s="147"/>
      <c r="AA100" s="147"/>
      <c r="AB100" s="147"/>
      <c r="AC100" s="147"/>
      <c r="AD100" s="147"/>
      <c r="AE100" s="147"/>
      <c r="AF100" s="147"/>
      <c r="AG100" s="147"/>
      <c r="AH100" s="147"/>
      <c r="AI100" s="147"/>
      <c r="AJ100" s="147"/>
      <c r="AK100" s="147"/>
      <c r="AL100" s="147"/>
      <c r="AM100" s="147"/>
      <c r="AN100" s="147"/>
      <c r="AO100" s="147"/>
      <c r="AP100" s="147"/>
      <c r="AQ100" s="147"/>
    </row>
    <row r="101" spans="1:43">
      <c r="A101" s="160" t="str">
        <f ca="1">IFERROR(__xludf.DUMMYFUNCTION("""COMPUTED_VALUE"""),"227092")</f>
        <v>227092</v>
      </c>
      <c r="B101" s="3" t="str">
        <f ca="1">IFERROR(__xludf.DUMMYFUNCTION("""COMPUTED_VALUE"""),"PHẠM THỊ BÍCH THÚY")</f>
        <v>PHẠM THỊ BÍCH THÚY</v>
      </c>
      <c r="C101" s="160" t="str">
        <f ca="1">IFERROR(__xludf.DUMMYFUNCTION("""COMPUTED_VALUE"""),"EL009")</f>
        <v>EL009</v>
      </c>
      <c r="D101" s="160" t="str">
        <f ca="1">IFERROR(__xludf.DUMMYFUNCTION("""COMPUTED_VALUE"""),"Huong Le")</f>
        <v>Huong Le</v>
      </c>
      <c r="E101" s="3" t="str">
        <f ca="1">IFERROR(__xludf.DUMMYFUNCTION("""COMPUTED_VALUE"""),"Communication 2")</f>
        <v>Communication 2</v>
      </c>
      <c r="F101" s="3" t="str">
        <f ca="1">IFERROR(__xludf.DUMMYFUNCTION("""COMPUTED_VALUE"""),"Intermediate")</f>
        <v>Intermediate</v>
      </c>
      <c r="G101" s="3" t="str">
        <f ca="1">IFERROR(__xludf.DUMMYFUNCTION("""COMPUTED_VALUE"""),"Intermediate 1")</f>
        <v>Intermediate 1</v>
      </c>
      <c r="H101" s="156">
        <f ca="1">IFERROR(__xludf.DUMMYFUNCTION("""COMPUTED_VALUE"""),45915.5416666666)</f>
        <v>45915.541666666599</v>
      </c>
      <c r="I101" s="156">
        <f ca="1">IFERROR(__xludf.DUMMYFUNCTION("""COMPUTED_VALUE"""),45637.4166666666)</f>
        <v>45637.416666666599</v>
      </c>
      <c r="J101" s="3">
        <f ca="1">IFERROR(__xludf.DUMMYFUNCTION("""COMPUTED_VALUE"""),4.5)</f>
        <v>4.5</v>
      </c>
      <c r="K101" s="3">
        <f ca="1">IFERROR(__xludf.DUMMYFUNCTION("""COMPUTED_VALUE"""),5)</f>
        <v>5</v>
      </c>
      <c r="L101" s="3" t="str">
        <f ca="1">IFERROR(__xludf.DUMMYFUNCTION("""COMPUTED_VALUE"""),"GSD")</f>
        <v>GSD</v>
      </c>
      <c r="M101" s="3" t="str">
        <f ca="1">IFERROR(__xludf.DUMMYFUNCTION("""COMPUTED_VALUE"""),"LBU")</f>
        <v>LBU</v>
      </c>
      <c r="N101" s="157">
        <f ca="1">IFERROR(__xludf.DUMMYFUNCTION("""COMPUTED_VALUE"""),4.5)</f>
        <v>4.5</v>
      </c>
      <c r="O101" s="157">
        <f ca="1">IFERROR(__xludf.DUMMYFUNCTION("""COMPUTED_VALUE"""),5)</f>
        <v>5</v>
      </c>
      <c r="P101" s="157"/>
      <c r="Q101" s="3">
        <f t="shared" ca="1" si="0"/>
        <v>100</v>
      </c>
      <c r="R101" s="148" t="e">
        <f ca="1"/>
        <v>#NAME?</v>
      </c>
      <c r="S101" s="147" t="e">
        <f t="shared" ca="1" si="1"/>
        <v>#NAME?</v>
      </c>
      <c r="T101" s="147" t="e">
        <f t="shared" ca="1" si="2"/>
        <v>#NAME?</v>
      </c>
      <c r="U101" s="147" t="e">
        <f t="shared" ca="1" si="3"/>
        <v>#NAME?</v>
      </c>
      <c r="X101" s="147"/>
      <c r="Y101" s="147"/>
      <c r="Z101" s="147"/>
      <c r="AA101" s="147"/>
      <c r="AB101" s="147"/>
      <c r="AC101" s="147"/>
      <c r="AD101" s="147"/>
      <c r="AE101" s="147"/>
      <c r="AF101" s="147"/>
      <c r="AG101" s="147"/>
      <c r="AH101" s="147"/>
      <c r="AI101" s="147"/>
      <c r="AJ101" s="147"/>
      <c r="AK101" s="147"/>
      <c r="AL101" s="147"/>
      <c r="AM101" s="147"/>
      <c r="AN101" s="147"/>
      <c r="AO101" s="147"/>
      <c r="AP101" s="147"/>
      <c r="AQ101" s="147"/>
    </row>
    <row r="102" spans="1:43">
      <c r="A102" s="155" t="str">
        <f ca="1">IFERROR(__xludf.DUMMYFUNCTION("""COMPUTED_VALUE"""),"247260")</f>
        <v>247260</v>
      </c>
      <c r="B102" s="154" t="str">
        <f ca="1">IFERROR(__xludf.DUMMYFUNCTION("""COMPUTED_VALUE"""),"TRẦN NHƯ TRÂM ANH")</f>
        <v>TRẦN NHƯ TRÂM ANH</v>
      </c>
      <c r="C102" s="155" t="str">
        <f ca="1">IFERROR(__xludf.DUMMYFUNCTION("""COMPUTED_VALUE"""),"EL010")</f>
        <v>EL010</v>
      </c>
      <c r="D102" s="155" t="str">
        <f ca="1">IFERROR(__xludf.DUMMYFUNCTION("""COMPUTED_VALUE"""),"Huy Tran 1")</f>
        <v>Huy Tran 1</v>
      </c>
      <c r="E102" s="154" t="str">
        <f ca="1">IFERROR(__xludf.DUMMYFUNCTION("""COMPUTED_VALUE"""),"Communication 1")</f>
        <v>Communication 1</v>
      </c>
      <c r="F102" s="3" t="str">
        <f ca="1">IFERROR(__xludf.DUMMYFUNCTION("""COMPUTED_VALUE"""),"Beginner")</f>
        <v>Beginner</v>
      </c>
      <c r="G102" s="3" t="str">
        <f ca="1">IFERROR(__xludf.DUMMYFUNCTION("""COMPUTED_VALUE"""),"Pre-Intermediate")</f>
        <v>Pre-Intermediate</v>
      </c>
      <c r="H102" s="156">
        <f ca="1">IFERROR(__xludf.DUMMYFUNCTION("""COMPUTED_VALUE"""),45644.375)</f>
        <v>45644.375</v>
      </c>
      <c r="I102" s="156">
        <f ca="1">IFERROR(__xludf.DUMMYFUNCTION("""COMPUTED_VALUE"""),45644.375)</f>
        <v>45644.375</v>
      </c>
      <c r="J102" s="3">
        <f ca="1">IFERROR(__xludf.DUMMYFUNCTION("""COMPUTED_VALUE"""),1)</f>
        <v>1</v>
      </c>
      <c r="K102" s="3">
        <f ca="1">IFERROR(__xludf.DUMMYFUNCTION("""COMPUTED_VALUE"""),2.5)</f>
        <v>2.5</v>
      </c>
      <c r="L102" s="3" t="str">
        <f ca="1">IFERROR(__xludf.DUMMYFUNCTION("""COMPUTED_VALUE"""),"UI/UX")</f>
        <v>UI/UX</v>
      </c>
      <c r="M102" s="3" t="str">
        <f ca="1">IFERROR(__xludf.DUMMYFUNCTION("""COMPUTED_VALUE"""),"CHORUS")</f>
        <v>CHORUS</v>
      </c>
      <c r="N102" s="157">
        <f ca="1">IFERROR(__xludf.DUMMYFUNCTION("""COMPUTED_VALUE"""),1)</f>
        <v>1</v>
      </c>
      <c r="O102" s="157">
        <f ca="1">IFERROR(__xludf.DUMMYFUNCTION("""COMPUTED_VALUE"""),2.5)</f>
        <v>2.5</v>
      </c>
      <c r="P102" s="157"/>
      <c r="Q102" s="3">
        <f t="shared" ca="1" si="0"/>
        <v>101</v>
      </c>
      <c r="R102" s="148" t="e">
        <f ca="1"/>
        <v>#NAME?</v>
      </c>
      <c r="S102" s="147" t="e">
        <f t="shared" ca="1" si="1"/>
        <v>#NAME?</v>
      </c>
      <c r="T102" s="147" t="e">
        <f t="shared" ca="1" si="2"/>
        <v>#NAME?</v>
      </c>
      <c r="U102" s="147" t="e">
        <f t="shared" ca="1" si="3"/>
        <v>#NAME?</v>
      </c>
      <c r="X102" s="147"/>
      <c r="Y102" s="147"/>
      <c r="Z102" s="147"/>
      <c r="AA102" s="147"/>
      <c r="AB102" s="147"/>
      <c r="AC102" s="147"/>
      <c r="AD102" s="147"/>
      <c r="AE102" s="147"/>
      <c r="AF102" s="147"/>
      <c r="AG102" s="147"/>
      <c r="AH102" s="147"/>
      <c r="AI102" s="147"/>
      <c r="AJ102" s="147"/>
      <c r="AK102" s="147"/>
      <c r="AL102" s="147"/>
      <c r="AM102" s="147"/>
      <c r="AN102" s="147"/>
      <c r="AO102" s="147"/>
      <c r="AP102" s="147"/>
      <c r="AQ102" s="147"/>
    </row>
    <row r="103" spans="1:43">
      <c r="A103" s="160" t="str">
        <f ca="1">IFERROR(__xludf.DUMMYFUNCTION("""COMPUTED_VALUE"""),"247184")</f>
        <v>247184</v>
      </c>
      <c r="B103" s="3" t="str">
        <f ca="1">IFERROR(__xludf.DUMMYFUNCTION("""COMPUTED_VALUE"""),"HOÀNG MINH DUY")</f>
        <v>HOÀNG MINH DUY</v>
      </c>
      <c r="C103" s="160" t="str">
        <f ca="1">IFERROR(__xludf.DUMMYFUNCTION("""COMPUTED_VALUE"""),"EL010")</f>
        <v>EL010</v>
      </c>
      <c r="D103" s="160" t="str">
        <f ca="1">IFERROR(__xludf.DUMMYFUNCTION("""COMPUTED_VALUE"""),"Huy Tran 1")</f>
        <v>Huy Tran 1</v>
      </c>
      <c r="E103" s="3" t="str">
        <f ca="1">IFERROR(__xludf.DUMMYFUNCTION("""COMPUTED_VALUE"""),"Communication 1")</f>
        <v>Communication 1</v>
      </c>
      <c r="F103" s="3" t="str">
        <f ca="1">IFERROR(__xludf.DUMMYFUNCTION("""COMPUTED_VALUE"""),"Pre-Intermediate")</f>
        <v>Pre-Intermediate</v>
      </c>
      <c r="G103" s="3" t="str">
        <f ca="1">IFERROR(__xludf.DUMMYFUNCTION("""COMPUTED_VALUE"""),"Pre-Intermediate")</f>
        <v>Pre-Intermediate</v>
      </c>
      <c r="H103" s="156">
        <f ca="1">IFERROR(__xludf.DUMMYFUNCTION("""COMPUTED_VALUE"""),45644.375)</f>
        <v>45644.375</v>
      </c>
      <c r="I103" s="156">
        <f ca="1">IFERROR(__xludf.DUMMYFUNCTION("""COMPUTED_VALUE"""),45644.375)</f>
        <v>45644.375</v>
      </c>
      <c r="J103" s="3">
        <f ca="1">IFERROR(__xludf.DUMMYFUNCTION("""COMPUTED_VALUE"""),2.5)</f>
        <v>2.5</v>
      </c>
      <c r="K103" s="3">
        <f ca="1">IFERROR(__xludf.DUMMYFUNCTION("""COMPUTED_VALUE"""),2.5)</f>
        <v>2.5</v>
      </c>
      <c r="L103" s="3" t="str">
        <f ca="1">IFERROR(__xludf.DUMMYFUNCTION("""COMPUTED_VALUE"""),"DEV")</f>
        <v>DEV</v>
      </c>
      <c r="M103" s="3" t="str">
        <f ca="1">IFERROR(__xludf.DUMMYFUNCTION("""COMPUTED_VALUE"""),"CHORUS")</f>
        <v>CHORUS</v>
      </c>
      <c r="N103" s="157">
        <f ca="1">IFERROR(__xludf.DUMMYFUNCTION("""COMPUTED_VALUE"""),2.5)</f>
        <v>2.5</v>
      </c>
      <c r="O103" s="157">
        <f ca="1">IFERROR(__xludf.DUMMYFUNCTION("""COMPUTED_VALUE"""),2.5)</f>
        <v>2.5</v>
      </c>
      <c r="P103" s="157"/>
      <c r="Q103" s="3">
        <f t="shared" ca="1" si="0"/>
        <v>102</v>
      </c>
      <c r="R103" s="148" t="e">
        <f ca="1"/>
        <v>#NAME?</v>
      </c>
      <c r="S103" s="147" t="e">
        <f t="shared" ca="1" si="1"/>
        <v>#NAME?</v>
      </c>
      <c r="T103" s="147" t="e">
        <f t="shared" ca="1" si="2"/>
        <v>#NAME?</v>
      </c>
      <c r="U103" s="147" t="e">
        <f t="shared" ca="1" si="3"/>
        <v>#NAME?</v>
      </c>
      <c r="X103" s="147"/>
      <c r="Y103" s="147"/>
      <c r="Z103" s="147"/>
      <c r="AA103" s="147"/>
      <c r="AB103" s="147"/>
      <c r="AC103" s="147"/>
      <c r="AD103" s="147"/>
      <c r="AE103" s="147"/>
      <c r="AF103" s="147"/>
      <c r="AG103" s="147"/>
      <c r="AH103" s="147"/>
      <c r="AI103" s="147"/>
      <c r="AJ103" s="147"/>
      <c r="AK103" s="147"/>
      <c r="AL103" s="147"/>
      <c r="AM103" s="147"/>
      <c r="AN103" s="147"/>
      <c r="AO103" s="147"/>
      <c r="AP103" s="147"/>
      <c r="AQ103" s="147"/>
    </row>
    <row r="104" spans="1:43">
      <c r="A104" s="160" t="str">
        <f ca="1">IFERROR(__xludf.DUMMYFUNCTION("""COMPUTED_VALUE"""),"247161")</f>
        <v>247161</v>
      </c>
      <c r="B104" s="3" t="str">
        <f ca="1">IFERROR(__xludf.DUMMYFUNCTION("""COMPUTED_VALUE"""),"HUỲNH NHẬT DUY")</f>
        <v>HUỲNH NHẬT DUY</v>
      </c>
      <c r="C104" s="160" t="str">
        <f ca="1">IFERROR(__xludf.DUMMYFUNCTION("""COMPUTED_VALUE"""),"EL010")</f>
        <v>EL010</v>
      </c>
      <c r="D104" s="160" t="str">
        <f ca="1">IFERROR(__xludf.DUMMYFUNCTION("""COMPUTED_VALUE"""),"Huy Tran 1")</f>
        <v>Huy Tran 1</v>
      </c>
      <c r="E104" s="3" t="str">
        <f ca="1">IFERROR(__xludf.DUMMYFUNCTION("""COMPUTED_VALUE"""),"Communication 1")</f>
        <v>Communication 1</v>
      </c>
      <c r="F104" s="3" t="str">
        <f ca="1">IFERROR(__xludf.DUMMYFUNCTION("""COMPUTED_VALUE"""),"Beginner")</f>
        <v>Beginner</v>
      </c>
      <c r="G104" s="3" t="str">
        <f ca="1">IFERROR(__xludf.DUMMYFUNCTION("""COMPUTED_VALUE"""),"Pre-Intermediate")</f>
        <v>Pre-Intermediate</v>
      </c>
      <c r="H104" s="156">
        <f ca="1">IFERROR(__xludf.DUMMYFUNCTION("""COMPUTED_VALUE"""),45644.375)</f>
        <v>45644.375</v>
      </c>
      <c r="I104" s="156">
        <f ca="1">IFERROR(__xludf.DUMMYFUNCTION("""COMPUTED_VALUE"""),45644.375)</f>
        <v>45644.375</v>
      </c>
      <c r="J104" s="3">
        <f ca="1">IFERROR(__xludf.DUMMYFUNCTION("""COMPUTED_VALUE"""),1)</f>
        <v>1</v>
      </c>
      <c r="K104" s="3">
        <f ca="1">IFERROR(__xludf.DUMMYFUNCTION("""COMPUTED_VALUE"""),2.5)</f>
        <v>2.5</v>
      </c>
      <c r="L104" s="3" t="str">
        <f ca="1">IFERROR(__xludf.DUMMYFUNCTION("""COMPUTED_VALUE"""),"DEV")</f>
        <v>DEV</v>
      </c>
      <c r="M104" s="3" t="str">
        <f ca="1">IFERROR(__xludf.DUMMYFUNCTION("""COMPUTED_VALUE"""),"CHORUS")</f>
        <v>CHORUS</v>
      </c>
      <c r="N104" s="157">
        <f ca="1">IFERROR(__xludf.DUMMYFUNCTION("""COMPUTED_VALUE"""),1)</f>
        <v>1</v>
      </c>
      <c r="O104" s="157">
        <f ca="1">IFERROR(__xludf.DUMMYFUNCTION("""COMPUTED_VALUE"""),2.5)</f>
        <v>2.5</v>
      </c>
      <c r="P104" s="157"/>
      <c r="Q104" s="3">
        <f t="shared" ca="1" si="0"/>
        <v>103</v>
      </c>
      <c r="R104" s="148" t="e">
        <f ca="1"/>
        <v>#NAME?</v>
      </c>
      <c r="S104" s="147" t="e">
        <f t="shared" ca="1" si="1"/>
        <v>#NAME?</v>
      </c>
      <c r="T104" s="147" t="e">
        <f t="shared" ca="1" si="2"/>
        <v>#NAME?</v>
      </c>
      <c r="U104" s="147" t="e">
        <f t="shared" ca="1" si="3"/>
        <v>#NAME?</v>
      </c>
      <c r="X104" s="147"/>
      <c r="Y104" s="147"/>
      <c r="Z104" s="147"/>
      <c r="AA104" s="147"/>
      <c r="AB104" s="147"/>
      <c r="AC104" s="147"/>
      <c r="AD104" s="147"/>
      <c r="AE104" s="147"/>
      <c r="AF104" s="147"/>
      <c r="AG104" s="147"/>
      <c r="AH104" s="147"/>
      <c r="AI104" s="147"/>
      <c r="AJ104" s="147"/>
      <c r="AK104" s="147"/>
      <c r="AL104" s="147"/>
      <c r="AM104" s="147"/>
      <c r="AN104" s="147"/>
      <c r="AO104" s="147"/>
      <c r="AP104" s="147"/>
      <c r="AQ104" s="147"/>
    </row>
    <row r="105" spans="1:43">
      <c r="A105" s="160" t="str">
        <f ca="1">IFERROR(__xludf.DUMMYFUNCTION("""COMPUTED_VALUE"""),"247080")</f>
        <v>247080</v>
      </c>
      <c r="B105" s="3" t="str">
        <f ca="1">IFERROR(__xludf.DUMMYFUNCTION("""COMPUTED_VALUE"""),"MAI THỊ THÙY TRANG")</f>
        <v>MAI THỊ THÙY TRANG</v>
      </c>
      <c r="C105" s="160" t="str">
        <f ca="1">IFERROR(__xludf.DUMMYFUNCTION("""COMPUTED_VALUE"""),"EL010")</f>
        <v>EL010</v>
      </c>
      <c r="D105" s="160" t="str">
        <f ca="1">IFERROR(__xludf.DUMMYFUNCTION("""COMPUTED_VALUE"""),"Huy Tran 1")</f>
        <v>Huy Tran 1</v>
      </c>
      <c r="E105" s="3" t="str">
        <f ca="1">IFERROR(__xludf.DUMMYFUNCTION("""COMPUTED_VALUE"""),"Communication 1")</f>
        <v>Communication 1</v>
      </c>
      <c r="F105" s="3" t="str">
        <f ca="1">IFERROR(__xludf.DUMMYFUNCTION("""COMPUTED_VALUE"""),"Beginner")</f>
        <v>Beginner</v>
      </c>
      <c r="G105" s="3" t="str">
        <f ca="1">IFERROR(__xludf.DUMMYFUNCTION("""COMPUTED_VALUE"""),"Pre-Intermediate")</f>
        <v>Pre-Intermediate</v>
      </c>
      <c r="H105" s="156">
        <f ca="1">IFERROR(__xludf.DUMMYFUNCTION("""COMPUTED_VALUE"""),45644.375)</f>
        <v>45644.375</v>
      </c>
      <c r="I105" s="156">
        <f ca="1">IFERROR(__xludf.DUMMYFUNCTION("""COMPUTED_VALUE"""),45644.375)</f>
        <v>45644.375</v>
      </c>
      <c r="J105" s="3">
        <f ca="1">IFERROR(__xludf.DUMMYFUNCTION("""COMPUTED_VALUE"""),1)</f>
        <v>1</v>
      </c>
      <c r="K105" s="3">
        <f ca="1">IFERROR(__xludf.DUMMYFUNCTION("""COMPUTED_VALUE"""),2.5)</f>
        <v>2.5</v>
      </c>
      <c r="L105" s="3" t="str">
        <f ca="1">IFERROR(__xludf.DUMMYFUNCTION("""COMPUTED_VALUE"""),"QC")</f>
        <v>QC</v>
      </c>
      <c r="M105" s="3" t="str">
        <f ca="1">IFERROR(__xludf.DUMMYFUNCTION("""COMPUTED_VALUE"""),"CHORUS")</f>
        <v>CHORUS</v>
      </c>
      <c r="N105" s="157">
        <f ca="1">IFERROR(__xludf.DUMMYFUNCTION("""COMPUTED_VALUE"""),1)</f>
        <v>1</v>
      </c>
      <c r="O105" s="157">
        <f ca="1">IFERROR(__xludf.DUMMYFUNCTION("""COMPUTED_VALUE"""),2.5)</f>
        <v>2.5</v>
      </c>
      <c r="P105" s="157"/>
      <c r="Q105" s="3">
        <f t="shared" ca="1" si="0"/>
        <v>104</v>
      </c>
      <c r="R105" s="148" t="e">
        <f ca="1"/>
        <v>#NAME?</v>
      </c>
      <c r="S105" s="147" t="e">
        <f t="shared" ca="1" si="1"/>
        <v>#NAME?</v>
      </c>
      <c r="T105" s="147" t="e">
        <f t="shared" ca="1" si="2"/>
        <v>#NAME?</v>
      </c>
      <c r="U105" s="147" t="e">
        <f t="shared" ca="1" si="3"/>
        <v>#NAME?</v>
      </c>
      <c r="X105" s="147"/>
      <c r="Y105" s="147"/>
      <c r="Z105" s="147"/>
      <c r="AA105" s="147"/>
      <c r="AB105" s="147"/>
      <c r="AC105" s="147"/>
      <c r="AD105" s="147"/>
      <c r="AE105" s="147"/>
      <c r="AF105" s="147"/>
      <c r="AG105" s="147"/>
      <c r="AH105" s="147"/>
      <c r="AI105" s="147"/>
      <c r="AJ105" s="147"/>
      <c r="AK105" s="147"/>
      <c r="AL105" s="147"/>
      <c r="AM105" s="147"/>
      <c r="AN105" s="147"/>
      <c r="AO105" s="147"/>
      <c r="AP105" s="147"/>
      <c r="AQ105" s="147"/>
    </row>
    <row r="106" spans="1:43">
      <c r="A106" s="160" t="str">
        <f ca="1">IFERROR(__xludf.DUMMYFUNCTION("""COMPUTED_VALUE"""),"247079")</f>
        <v>247079</v>
      </c>
      <c r="B106" s="3" t="str">
        <f ca="1">IFERROR(__xludf.DUMMYFUNCTION("""COMPUTED_VALUE"""),"VÕ CAO TRÍ")</f>
        <v>VÕ CAO TRÍ</v>
      </c>
      <c r="C106" s="160" t="str">
        <f ca="1">IFERROR(__xludf.DUMMYFUNCTION("""COMPUTED_VALUE"""),"EL010")</f>
        <v>EL010</v>
      </c>
      <c r="D106" s="160" t="str">
        <f ca="1">IFERROR(__xludf.DUMMYFUNCTION("""COMPUTED_VALUE"""),"Huy Tran 1")</f>
        <v>Huy Tran 1</v>
      </c>
      <c r="E106" s="3" t="str">
        <f ca="1">IFERROR(__xludf.DUMMYFUNCTION("""COMPUTED_VALUE"""),"Communication 1")</f>
        <v>Communication 1</v>
      </c>
      <c r="F106" s="3" t="str">
        <f ca="1">IFERROR(__xludf.DUMMYFUNCTION("""COMPUTED_VALUE"""),"Beginner")</f>
        <v>Beginner</v>
      </c>
      <c r="G106" s="3" t="str">
        <f ca="1">IFERROR(__xludf.DUMMYFUNCTION("""COMPUTED_VALUE"""),"Pre-Intermediate")</f>
        <v>Pre-Intermediate</v>
      </c>
      <c r="H106" s="156">
        <f ca="1">IFERROR(__xludf.DUMMYFUNCTION("""COMPUTED_VALUE"""),45644.375)</f>
        <v>45644.375</v>
      </c>
      <c r="I106" s="156">
        <f ca="1">IFERROR(__xludf.DUMMYFUNCTION("""COMPUTED_VALUE"""),45644.375)</f>
        <v>45644.375</v>
      </c>
      <c r="J106" s="3">
        <f ca="1">IFERROR(__xludf.DUMMYFUNCTION("""COMPUTED_VALUE"""),1)</f>
        <v>1</v>
      </c>
      <c r="K106" s="3">
        <f ca="1">IFERROR(__xludf.DUMMYFUNCTION("""COMPUTED_VALUE"""),2.5)</f>
        <v>2.5</v>
      </c>
      <c r="L106" s="3" t="str">
        <f ca="1">IFERROR(__xludf.DUMMYFUNCTION("""COMPUTED_VALUE"""),"TA")</f>
        <v>TA</v>
      </c>
      <c r="M106" s="3" t="str">
        <f ca="1">IFERROR(__xludf.DUMMYFUNCTION("""COMPUTED_VALUE"""),"CHORUS")</f>
        <v>CHORUS</v>
      </c>
      <c r="N106" s="157">
        <f ca="1">IFERROR(__xludf.DUMMYFUNCTION("""COMPUTED_VALUE"""),1)</f>
        <v>1</v>
      </c>
      <c r="O106" s="157">
        <f ca="1">IFERROR(__xludf.DUMMYFUNCTION("""COMPUTED_VALUE"""),2.5)</f>
        <v>2.5</v>
      </c>
      <c r="P106" s="157"/>
      <c r="Q106" s="3">
        <f t="shared" ca="1" si="0"/>
        <v>105</v>
      </c>
      <c r="R106" s="148" t="e">
        <f ca="1"/>
        <v>#NAME?</v>
      </c>
      <c r="S106" s="147" t="e">
        <f t="shared" ca="1" si="1"/>
        <v>#NAME?</v>
      </c>
      <c r="T106" s="147" t="e">
        <f t="shared" ca="1" si="2"/>
        <v>#NAME?</v>
      </c>
      <c r="U106" s="147" t="e">
        <f t="shared" ca="1" si="3"/>
        <v>#NAME?</v>
      </c>
      <c r="X106" s="147"/>
      <c r="Y106" s="147"/>
      <c r="Z106" s="147"/>
      <c r="AA106" s="147"/>
      <c r="AB106" s="147"/>
      <c r="AC106" s="147"/>
      <c r="AD106" s="147"/>
      <c r="AE106" s="147"/>
      <c r="AF106" s="147"/>
      <c r="AG106" s="147"/>
      <c r="AH106" s="147"/>
      <c r="AI106" s="147"/>
      <c r="AJ106" s="147"/>
      <c r="AK106" s="147"/>
      <c r="AL106" s="147"/>
      <c r="AM106" s="147"/>
      <c r="AN106" s="147"/>
      <c r="AO106" s="147"/>
      <c r="AP106" s="147"/>
      <c r="AQ106" s="147"/>
    </row>
    <row r="107" spans="1:43">
      <c r="A107" s="155" t="str">
        <f ca="1">IFERROR(__xludf.DUMMYFUNCTION("""COMPUTED_VALUE"""),"247207")</f>
        <v>247207</v>
      </c>
      <c r="B107" s="154" t="str">
        <f ca="1">IFERROR(__xludf.DUMMYFUNCTION("""COMPUTED_VALUE"""),"NGUYỄN VĂN ĐỨC")</f>
        <v>NGUYỄN VĂN ĐỨC</v>
      </c>
      <c r="C107" s="155" t="str">
        <f ca="1">IFERROR(__xludf.DUMMYFUNCTION("""COMPUTED_VALUE"""),"EL010")</f>
        <v>EL010</v>
      </c>
      <c r="D107" s="155" t="str">
        <f ca="1">IFERROR(__xludf.DUMMYFUNCTION("""COMPUTED_VALUE"""),"Huy Tran 1")</f>
        <v>Huy Tran 1</v>
      </c>
      <c r="E107" s="154" t="str">
        <f ca="1">IFERROR(__xludf.DUMMYFUNCTION("""COMPUTED_VALUE"""),"Communication 2")</f>
        <v>Communication 2</v>
      </c>
      <c r="F107" s="3" t="str">
        <f ca="1">IFERROR(__xludf.DUMMYFUNCTION("""COMPUTED_VALUE"""),"Beginner")</f>
        <v>Beginner</v>
      </c>
      <c r="G107" s="3"/>
      <c r="H107" s="156">
        <f ca="1">IFERROR(__xludf.DUMMYFUNCTION("""COMPUTED_VALUE"""),45853.375)</f>
        <v>45853.375</v>
      </c>
      <c r="I107" s="156">
        <f ca="1">IFERROR(__xludf.DUMMYFUNCTION("""COMPUTED_VALUE"""),45644.375)</f>
        <v>45644.375</v>
      </c>
      <c r="J107" s="3">
        <f ca="1">IFERROR(__xludf.DUMMYFUNCTION("""COMPUTED_VALUE"""),1)</f>
        <v>1</v>
      </c>
      <c r="K107" s="3" t="str">
        <f ca="1">IFERROR(__xludf.DUMMYFUNCTION("""COMPUTED_VALUE"""),"")</f>
        <v/>
      </c>
      <c r="L107" s="3" t="str">
        <f ca="1">IFERROR(__xludf.DUMMYFUNCTION("""COMPUTED_VALUE"""),"DEV")</f>
        <v>DEV</v>
      </c>
      <c r="M107" s="3" t="str">
        <f ca="1">IFERROR(__xludf.DUMMYFUNCTION("""COMPUTED_VALUE"""),"CHORUS")</f>
        <v>CHORUS</v>
      </c>
      <c r="N107" s="157">
        <f ca="1">IFERROR(__xludf.DUMMYFUNCTION("""COMPUTED_VALUE"""),1)</f>
        <v>1</v>
      </c>
      <c r="O107" s="157">
        <f ca="1">IFERROR(__xludf.DUMMYFUNCTION("""COMPUTED_VALUE"""),1)</f>
        <v>1</v>
      </c>
      <c r="P107" s="157"/>
      <c r="Q107" s="3">
        <f t="shared" ca="1" si="0"/>
        <v>106</v>
      </c>
      <c r="R107" s="148" t="e">
        <f ca="1"/>
        <v>#NAME?</v>
      </c>
      <c r="S107" s="147" t="e">
        <f t="shared" ca="1" si="1"/>
        <v>#NAME?</v>
      </c>
      <c r="T107" s="147" t="e">
        <f t="shared" ca="1" si="2"/>
        <v>#NAME?</v>
      </c>
      <c r="U107" s="147" t="e">
        <f t="shared" ca="1" si="3"/>
        <v>#NAME?</v>
      </c>
      <c r="X107" s="147"/>
      <c r="Y107" s="147"/>
      <c r="Z107" s="147"/>
      <c r="AA107" s="147"/>
      <c r="AB107" s="147"/>
      <c r="AC107" s="147"/>
      <c r="AD107" s="147"/>
      <c r="AE107" s="147"/>
      <c r="AF107" s="147"/>
      <c r="AG107" s="147"/>
      <c r="AH107" s="147"/>
      <c r="AI107" s="147"/>
      <c r="AJ107" s="147"/>
      <c r="AK107" s="147"/>
      <c r="AL107" s="147"/>
      <c r="AM107" s="147"/>
      <c r="AN107" s="147"/>
      <c r="AO107" s="147"/>
      <c r="AP107" s="147"/>
      <c r="AQ107" s="147"/>
    </row>
    <row r="108" spans="1:43">
      <c r="A108" s="160" t="str">
        <f ca="1">IFERROR(__xludf.DUMMYFUNCTION("""COMPUTED_VALUE"""),"247037")</f>
        <v>247037</v>
      </c>
      <c r="B108" s="3" t="str">
        <f ca="1">IFERROR(__xludf.DUMMYFUNCTION("""COMPUTED_VALUE"""),"BÙI HUỲNH TRUNG TÍN")</f>
        <v>BÙI HUỲNH TRUNG TÍN</v>
      </c>
      <c r="C108" s="160" t="str">
        <f ca="1">IFERROR(__xludf.DUMMYFUNCTION("""COMPUTED_VALUE"""),"EL010")</f>
        <v>EL010</v>
      </c>
      <c r="D108" s="160" t="str">
        <f ca="1">IFERROR(__xludf.DUMMYFUNCTION("""COMPUTED_VALUE"""),"Huy Tran 1")</f>
        <v>Huy Tran 1</v>
      </c>
      <c r="E108" s="3" t="str">
        <f ca="1">IFERROR(__xludf.DUMMYFUNCTION("""COMPUTED_VALUE"""),"Communication 2")</f>
        <v>Communication 2</v>
      </c>
      <c r="F108" s="3" t="str">
        <f ca="1">IFERROR(__xludf.DUMMYFUNCTION("""COMPUTED_VALUE"""),"Pre-Intermediate")</f>
        <v>Pre-Intermediate</v>
      </c>
      <c r="G108" s="3"/>
      <c r="H108" s="156">
        <f ca="1">IFERROR(__xludf.DUMMYFUNCTION("""COMPUTED_VALUE"""),45853.375)</f>
        <v>45853.375</v>
      </c>
      <c r="I108" s="156">
        <f ca="1">IFERROR(__xludf.DUMMYFUNCTION("""COMPUTED_VALUE"""),45644.375)</f>
        <v>45644.375</v>
      </c>
      <c r="J108" s="3">
        <f ca="1">IFERROR(__xludf.DUMMYFUNCTION("""COMPUTED_VALUE"""),2.5)</f>
        <v>2.5</v>
      </c>
      <c r="K108" s="3" t="str">
        <f ca="1">IFERROR(__xludf.DUMMYFUNCTION("""COMPUTED_VALUE"""),"")</f>
        <v/>
      </c>
      <c r="L108" s="3" t="str">
        <f ca="1">IFERROR(__xludf.DUMMYFUNCTION("""COMPUTED_VALUE"""),"DEV")</f>
        <v>DEV</v>
      </c>
      <c r="M108" s="3" t="str">
        <f ca="1">IFERROR(__xludf.DUMMYFUNCTION("""COMPUTED_VALUE"""),"CHORUS")</f>
        <v>CHORUS</v>
      </c>
      <c r="N108" s="157">
        <f ca="1">IFERROR(__xludf.DUMMYFUNCTION("""COMPUTED_VALUE"""),1)</f>
        <v>1</v>
      </c>
      <c r="O108" s="157">
        <f ca="1">IFERROR(__xludf.DUMMYFUNCTION("""COMPUTED_VALUE"""),2.5)</f>
        <v>2.5</v>
      </c>
      <c r="P108" s="157"/>
      <c r="Q108" s="3">
        <f t="shared" ca="1" si="0"/>
        <v>107</v>
      </c>
      <c r="R108" s="148" t="e">
        <f ca="1"/>
        <v>#NAME?</v>
      </c>
      <c r="S108" s="147" t="e">
        <f t="shared" ca="1" si="1"/>
        <v>#NAME?</v>
      </c>
      <c r="T108" s="147" t="e">
        <f t="shared" ca="1" si="2"/>
        <v>#NAME?</v>
      </c>
      <c r="U108" s="147" t="e">
        <f t="shared" ca="1" si="3"/>
        <v>#NAME?</v>
      </c>
      <c r="X108" s="147"/>
      <c r="Y108" s="147"/>
      <c r="Z108" s="147"/>
      <c r="AA108" s="147"/>
      <c r="AB108" s="147"/>
      <c r="AC108" s="147"/>
      <c r="AD108" s="147"/>
      <c r="AE108" s="147"/>
      <c r="AF108" s="147"/>
      <c r="AG108" s="147"/>
      <c r="AH108" s="147"/>
      <c r="AI108" s="147"/>
      <c r="AJ108" s="147"/>
      <c r="AK108" s="147"/>
      <c r="AL108" s="147"/>
      <c r="AM108" s="147"/>
      <c r="AN108" s="147"/>
      <c r="AO108" s="147"/>
      <c r="AP108" s="147"/>
      <c r="AQ108" s="147"/>
    </row>
    <row r="109" spans="1:43">
      <c r="A109" s="160" t="str">
        <f ca="1">IFERROR(__xludf.DUMMYFUNCTION("""COMPUTED_VALUE"""),"247184")</f>
        <v>247184</v>
      </c>
      <c r="B109" s="3" t="str">
        <f ca="1">IFERROR(__xludf.DUMMYFUNCTION("""COMPUTED_VALUE"""),"HOÀNG MINH DUY")</f>
        <v>HOÀNG MINH DUY</v>
      </c>
      <c r="C109" s="160" t="str">
        <f ca="1">IFERROR(__xludf.DUMMYFUNCTION("""COMPUTED_VALUE"""),"EL010")</f>
        <v>EL010</v>
      </c>
      <c r="D109" s="160" t="str">
        <f ca="1">IFERROR(__xludf.DUMMYFUNCTION("""COMPUTED_VALUE"""),"Huy Tran 1")</f>
        <v>Huy Tran 1</v>
      </c>
      <c r="E109" s="3" t="str">
        <f ca="1">IFERROR(__xludf.DUMMYFUNCTION("""COMPUTED_VALUE"""),"Communication 2")</f>
        <v>Communication 2</v>
      </c>
      <c r="F109" s="3" t="str">
        <f ca="1">IFERROR(__xludf.DUMMYFUNCTION("""COMPUTED_VALUE"""),"Pre-Intermediate")</f>
        <v>Pre-Intermediate</v>
      </c>
      <c r="G109" s="3"/>
      <c r="H109" s="156">
        <f ca="1">IFERROR(__xludf.DUMMYFUNCTION("""COMPUTED_VALUE"""),45853.375)</f>
        <v>45853.375</v>
      </c>
      <c r="I109" s="156">
        <f ca="1">IFERROR(__xludf.DUMMYFUNCTION("""COMPUTED_VALUE"""),45644.375)</f>
        <v>45644.375</v>
      </c>
      <c r="J109" s="3">
        <f ca="1">IFERROR(__xludf.DUMMYFUNCTION("""COMPUTED_VALUE"""),2.5)</f>
        <v>2.5</v>
      </c>
      <c r="K109" s="3" t="str">
        <f ca="1">IFERROR(__xludf.DUMMYFUNCTION("""COMPUTED_VALUE"""),"")</f>
        <v/>
      </c>
      <c r="L109" s="3" t="str">
        <f ca="1">IFERROR(__xludf.DUMMYFUNCTION("""COMPUTED_VALUE"""),"DEV")</f>
        <v>DEV</v>
      </c>
      <c r="M109" s="3" t="str">
        <f ca="1">IFERROR(__xludf.DUMMYFUNCTION("""COMPUTED_VALUE"""),"CHORUS")</f>
        <v>CHORUS</v>
      </c>
      <c r="N109" s="157">
        <f ca="1">IFERROR(__xludf.DUMMYFUNCTION("""COMPUTED_VALUE"""),2.5)</f>
        <v>2.5</v>
      </c>
      <c r="O109" s="157">
        <f ca="1">IFERROR(__xludf.DUMMYFUNCTION("""COMPUTED_VALUE"""),2.5)</f>
        <v>2.5</v>
      </c>
      <c r="P109" s="157"/>
      <c r="Q109" s="3">
        <f t="shared" ca="1" si="0"/>
        <v>108</v>
      </c>
      <c r="R109" s="148" t="e">
        <f ca="1"/>
        <v>#NAME?</v>
      </c>
      <c r="S109" s="147" t="e">
        <f t="shared" ca="1" si="1"/>
        <v>#NAME?</v>
      </c>
      <c r="T109" s="147" t="e">
        <f t="shared" ca="1" si="2"/>
        <v>#NAME?</v>
      </c>
      <c r="U109" s="147" t="e">
        <f t="shared" ca="1" si="3"/>
        <v>#NAME?</v>
      </c>
      <c r="X109" s="147"/>
      <c r="Y109" s="147"/>
      <c r="Z109" s="147"/>
      <c r="AA109" s="147"/>
      <c r="AB109" s="147"/>
      <c r="AC109" s="147"/>
      <c r="AD109" s="147"/>
      <c r="AE109" s="147"/>
      <c r="AF109" s="147"/>
      <c r="AG109" s="147"/>
      <c r="AH109" s="147"/>
      <c r="AI109" s="147"/>
      <c r="AJ109" s="147"/>
      <c r="AK109" s="147"/>
      <c r="AL109" s="147"/>
      <c r="AM109" s="147"/>
      <c r="AN109" s="147"/>
      <c r="AO109" s="147"/>
      <c r="AP109" s="147"/>
      <c r="AQ109" s="147"/>
    </row>
    <row r="110" spans="1:43">
      <c r="A110" s="160" t="str">
        <f ca="1">IFERROR(__xludf.DUMMYFUNCTION("""COMPUTED_VALUE"""),"247161")</f>
        <v>247161</v>
      </c>
      <c r="B110" s="3" t="str">
        <f ca="1">IFERROR(__xludf.DUMMYFUNCTION("""COMPUTED_VALUE"""),"HUỲNH NHẬT DUY")</f>
        <v>HUỲNH NHẬT DUY</v>
      </c>
      <c r="C110" s="160" t="str">
        <f ca="1">IFERROR(__xludf.DUMMYFUNCTION("""COMPUTED_VALUE"""),"EL010")</f>
        <v>EL010</v>
      </c>
      <c r="D110" s="160" t="str">
        <f ca="1">IFERROR(__xludf.DUMMYFUNCTION("""COMPUTED_VALUE"""),"Huy Tran 1")</f>
        <v>Huy Tran 1</v>
      </c>
      <c r="E110" s="3" t="str">
        <f ca="1">IFERROR(__xludf.DUMMYFUNCTION("""COMPUTED_VALUE"""),"Communication 2")</f>
        <v>Communication 2</v>
      </c>
      <c r="F110" s="3" t="str">
        <f ca="1">IFERROR(__xludf.DUMMYFUNCTION("""COMPUTED_VALUE"""),"Pre-Intermediate")</f>
        <v>Pre-Intermediate</v>
      </c>
      <c r="G110" s="3"/>
      <c r="H110" s="156">
        <f ca="1">IFERROR(__xludf.DUMMYFUNCTION("""COMPUTED_VALUE"""),45853.375)</f>
        <v>45853.375</v>
      </c>
      <c r="I110" s="156">
        <f ca="1">IFERROR(__xludf.DUMMYFUNCTION("""COMPUTED_VALUE"""),45644.375)</f>
        <v>45644.375</v>
      </c>
      <c r="J110" s="3">
        <f ca="1">IFERROR(__xludf.DUMMYFUNCTION("""COMPUTED_VALUE"""),2.5)</f>
        <v>2.5</v>
      </c>
      <c r="K110" s="3" t="str">
        <f ca="1">IFERROR(__xludf.DUMMYFUNCTION("""COMPUTED_VALUE"""),"")</f>
        <v/>
      </c>
      <c r="L110" s="3" t="str">
        <f ca="1">IFERROR(__xludf.DUMMYFUNCTION("""COMPUTED_VALUE"""),"DEV")</f>
        <v>DEV</v>
      </c>
      <c r="M110" s="3" t="str">
        <f ca="1">IFERROR(__xludf.DUMMYFUNCTION("""COMPUTED_VALUE"""),"CHORUS")</f>
        <v>CHORUS</v>
      </c>
      <c r="N110" s="157">
        <f ca="1">IFERROR(__xludf.DUMMYFUNCTION("""COMPUTED_VALUE"""),1)</f>
        <v>1</v>
      </c>
      <c r="O110" s="157">
        <f ca="1">IFERROR(__xludf.DUMMYFUNCTION("""COMPUTED_VALUE"""),2.5)</f>
        <v>2.5</v>
      </c>
      <c r="P110" s="157"/>
      <c r="Q110" s="3">
        <f t="shared" ca="1" si="0"/>
        <v>109</v>
      </c>
      <c r="R110" s="148" t="e">
        <f ca="1"/>
        <v>#NAME?</v>
      </c>
      <c r="S110" s="147" t="e">
        <f t="shared" ca="1" si="1"/>
        <v>#NAME?</v>
      </c>
      <c r="T110" s="147" t="e">
        <f t="shared" ca="1" si="2"/>
        <v>#NAME?</v>
      </c>
      <c r="U110" s="147" t="e">
        <f t="shared" ca="1" si="3"/>
        <v>#NAME?</v>
      </c>
      <c r="X110" s="147"/>
      <c r="Y110" s="147"/>
      <c r="Z110" s="147"/>
      <c r="AA110" s="147"/>
      <c r="AB110" s="147"/>
      <c r="AC110" s="147"/>
      <c r="AD110" s="147"/>
      <c r="AE110" s="147"/>
      <c r="AF110" s="147"/>
      <c r="AG110" s="147"/>
      <c r="AH110" s="147"/>
      <c r="AI110" s="147"/>
      <c r="AJ110" s="147"/>
      <c r="AK110" s="147"/>
      <c r="AL110" s="147"/>
      <c r="AM110" s="147"/>
      <c r="AN110" s="147"/>
      <c r="AO110" s="147"/>
      <c r="AP110" s="147"/>
      <c r="AQ110" s="147"/>
    </row>
    <row r="111" spans="1:43">
      <c r="A111" s="160" t="str">
        <f ca="1">IFERROR(__xludf.DUMMYFUNCTION("""COMPUTED_VALUE"""),"247080")</f>
        <v>247080</v>
      </c>
      <c r="B111" s="3" t="str">
        <f ca="1">IFERROR(__xludf.DUMMYFUNCTION("""COMPUTED_VALUE"""),"MAI THỊ THÙY TRANG")</f>
        <v>MAI THỊ THÙY TRANG</v>
      </c>
      <c r="C111" s="160" t="str">
        <f ca="1">IFERROR(__xludf.DUMMYFUNCTION("""COMPUTED_VALUE"""),"EL010")</f>
        <v>EL010</v>
      </c>
      <c r="D111" s="160" t="str">
        <f ca="1">IFERROR(__xludf.DUMMYFUNCTION("""COMPUTED_VALUE"""),"Huy Tran 1")</f>
        <v>Huy Tran 1</v>
      </c>
      <c r="E111" s="3" t="str">
        <f ca="1">IFERROR(__xludf.DUMMYFUNCTION("""COMPUTED_VALUE"""),"Communication 2")</f>
        <v>Communication 2</v>
      </c>
      <c r="F111" s="3" t="str">
        <f ca="1">IFERROR(__xludf.DUMMYFUNCTION("""COMPUTED_VALUE"""),"Pre-Intermediate")</f>
        <v>Pre-Intermediate</v>
      </c>
      <c r="G111" s="3"/>
      <c r="H111" s="156">
        <f ca="1">IFERROR(__xludf.DUMMYFUNCTION("""COMPUTED_VALUE"""),45853.375)</f>
        <v>45853.375</v>
      </c>
      <c r="I111" s="156">
        <f ca="1">IFERROR(__xludf.DUMMYFUNCTION("""COMPUTED_VALUE"""),45644.375)</f>
        <v>45644.375</v>
      </c>
      <c r="J111" s="3">
        <f ca="1">IFERROR(__xludf.DUMMYFUNCTION("""COMPUTED_VALUE"""),2.5)</f>
        <v>2.5</v>
      </c>
      <c r="K111" s="3" t="str">
        <f ca="1">IFERROR(__xludf.DUMMYFUNCTION("""COMPUTED_VALUE"""),"")</f>
        <v/>
      </c>
      <c r="L111" s="3" t="str">
        <f ca="1">IFERROR(__xludf.DUMMYFUNCTION("""COMPUTED_VALUE"""),"QC")</f>
        <v>QC</v>
      </c>
      <c r="M111" s="3" t="str">
        <f ca="1">IFERROR(__xludf.DUMMYFUNCTION("""COMPUTED_VALUE"""),"CHORUS")</f>
        <v>CHORUS</v>
      </c>
      <c r="N111" s="157">
        <f ca="1">IFERROR(__xludf.DUMMYFUNCTION("""COMPUTED_VALUE"""),1)</f>
        <v>1</v>
      </c>
      <c r="O111" s="157">
        <f ca="1">IFERROR(__xludf.DUMMYFUNCTION("""COMPUTED_VALUE"""),2.5)</f>
        <v>2.5</v>
      </c>
      <c r="P111" s="157"/>
      <c r="Q111" s="3">
        <f t="shared" ca="1" si="0"/>
        <v>110</v>
      </c>
      <c r="R111" s="148" t="e">
        <f ca="1"/>
        <v>#NAME?</v>
      </c>
      <c r="S111" s="147" t="e">
        <f t="shared" ca="1" si="1"/>
        <v>#NAME?</v>
      </c>
      <c r="T111" s="147" t="e">
        <f t="shared" ca="1" si="2"/>
        <v>#NAME?</v>
      </c>
      <c r="U111" s="147" t="e">
        <f t="shared" ca="1" si="3"/>
        <v>#NAME?</v>
      </c>
      <c r="X111" s="147"/>
      <c r="Y111" s="147"/>
      <c r="Z111" s="147"/>
      <c r="AA111" s="147"/>
      <c r="AB111" s="147"/>
      <c r="AC111" s="147"/>
      <c r="AD111" s="147"/>
      <c r="AE111" s="147"/>
      <c r="AF111" s="147"/>
      <c r="AG111" s="147"/>
      <c r="AH111" s="147"/>
      <c r="AI111" s="147"/>
      <c r="AJ111" s="147"/>
      <c r="AK111" s="147"/>
      <c r="AL111" s="147"/>
      <c r="AM111" s="147"/>
      <c r="AN111" s="147"/>
      <c r="AO111" s="147"/>
      <c r="AP111" s="147"/>
      <c r="AQ111" s="147"/>
    </row>
    <row r="112" spans="1:43">
      <c r="A112" s="160" t="str">
        <f ca="1">IFERROR(__xludf.DUMMYFUNCTION("""COMPUTED_VALUE"""),"247078")</f>
        <v>247078</v>
      </c>
      <c r="B112" s="3" t="str">
        <f ca="1">IFERROR(__xludf.DUMMYFUNCTION("""COMPUTED_VALUE"""),"NGUYỄN CÔNG ĐOÀN")</f>
        <v>NGUYỄN CÔNG ĐOÀN</v>
      </c>
      <c r="C112" s="160" t="str">
        <f ca="1">IFERROR(__xludf.DUMMYFUNCTION("""COMPUTED_VALUE"""),"EL010")</f>
        <v>EL010</v>
      </c>
      <c r="D112" s="160" t="str">
        <f ca="1">IFERROR(__xludf.DUMMYFUNCTION("""COMPUTED_VALUE"""),"Huy Tran 1")</f>
        <v>Huy Tran 1</v>
      </c>
      <c r="E112" s="3" t="str">
        <f ca="1">IFERROR(__xludf.DUMMYFUNCTION("""COMPUTED_VALUE"""),"Communication 2")</f>
        <v>Communication 2</v>
      </c>
      <c r="F112" s="3" t="str">
        <f ca="1">IFERROR(__xludf.DUMMYFUNCTION("""COMPUTED_VALUE"""),"Pre-Intermediate")</f>
        <v>Pre-Intermediate</v>
      </c>
      <c r="G112" s="3"/>
      <c r="H112" s="156">
        <f ca="1">IFERROR(__xludf.DUMMYFUNCTION("""COMPUTED_VALUE"""),45853.375)</f>
        <v>45853.375</v>
      </c>
      <c r="I112" s="156">
        <f ca="1">IFERROR(__xludf.DUMMYFUNCTION("""COMPUTED_VALUE"""),45644.375)</f>
        <v>45644.375</v>
      </c>
      <c r="J112" s="3">
        <f ca="1">IFERROR(__xludf.DUMMYFUNCTION("""COMPUTED_VALUE"""),2.5)</f>
        <v>2.5</v>
      </c>
      <c r="K112" s="3" t="str">
        <f ca="1">IFERROR(__xludf.DUMMYFUNCTION("""COMPUTED_VALUE"""),"")</f>
        <v/>
      </c>
      <c r="L112" s="3" t="str">
        <f ca="1">IFERROR(__xludf.DUMMYFUNCTION("""COMPUTED_VALUE"""),"DEV")</f>
        <v>DEV</v>
      </c>
      <c r="M112" s="3" t="str">
        <f ca="1">IFERROR(__xludf.DUMMYFUNCTION("""COMPUTED_VALUE"""),"CHORUS")</f>
        <v>CHORUS</v>
      </c>
      <c r="N112" s="157">
        <f ca="1">IFERROR(__xludf.DUMMYFUNCTION("""COMPUTED_VALUE"""),1)</f>
        <v>1</v>
      </c>
      <c r="O112" s="157">
        <f ca="1">IFERROR(__xludf.DUMMYFUNCTION("""COMPUTED_VALUE"""),2.5)</f>
        <v>2.5</v>
      </c>
      <c r="P112" s="157"/>
      <c r="Q112" s="3">
        <f t="shared" ca="1" si="0"/>
        <v>111</v>
      </c>
      <c r="R112" s="148" t="e">
        <f ca="1"/>
        <v>#NAME?</v>
      </c>
      <c r="S112" s="147" t="e">
        <f t="shared" ca="1" si="1"/>
        <v>#NAME?</v>
      </c>
      <c r="T112" s="147" t="e">
        <f t="shared" ca="1" si="2"/>
        <v>#NAME?</v>
      </c>
      <c r="U112" s="147" t="e">
        <f t="shared" ca="1" si="3"/>
        <v>#NAME?</v>
      </c>
      <c r="X112" s="147"/>
      <c r="Y112" s="147"/>
      <c r="Z112" s="147"/>
      <c r="AA112" s="147"/>
      <c r="AB112" s="147"/>
      <c r="AC112" s="147"/>
      <c r="AD112" s="147"/>
      <c r="AE112" s="147"/>
      <c r="AF112" s="147"/>
      <c r="AG112" s="147"/>
      <c r="AH112" s="147"/>
      <c r="AI112" s="147"/>
      <c r="AJ112" s="147"/>
      <c r="AK112" s="147"/>
      <c r="AL112" s="147"/>
      <c r="AM112" s="147"/>
      <c r="AN112" s="147"/>
      <c r="AO112" s="147"/>
      <c r="AP112" s="147"/>
      <c r="AQ112" s="147"/>
    </row>
    <row r="113" spans="1:43">
      <c r="A113" s="160" t="str">
        <f ca="1">IFERROR(__xludf.DUMMYFUNCTION("""COMPUTED_VALUE"""),"247106")</f>
        <v>247106</v>
      </c>
      <c r="B113" s="3" t="str">
        <f ca="1">IFERROR(__xludf.DUMMYFUNCTION("""COMPUTED_VALUE"""),"NGUYỄN KHÁNH UYÊN")</f>
        <v>NGUYỄN KHÁNH UYÊN</v>
      </c>
      <c r="C113" s="160" t="str">
        <f ca="1">IFERROR(__xludf.DUMMYFUNCTION("""COMPUTED_VALUE"""),"EL010")</f>
        <v>EL010</v>
      </c>
      <c r="D113" s="160" t="str">
        <f ca="1">IFERROR(__xludf.DUMMYFUNCTION("""COMPUTED_VALUE"""),"Huy Tran 1")</f>
        <v>Huy Tran 1</v>
      </c>
      <c r="E113" s="3" t="str">
        <f ca="1">IFERROR(__xludf.DUMMYFUNCTION("""COMPUTED_VALUE"""),"Communication 2")</f>
        <v>Communication 2</v>
      </c>
      <c r="F113" s="3" t="str">
        <f ca="1">IFERROR(__xludf.DUMMYFUNCTION("""COMPUTED_VALUE"""),"Pre-Intermediate")</f>
        <v>Pre-Intermediate</v>
      </c>
      <c r="G113" s="3"/>
      <c r="H113" s="156">
        <f ca="1">IFERROR(__xludf.DUMMYFUNCTION("""COMPUTED_VALUE"""),45853.375)</f>
        <v>45853.375</v>
      </c>
      <c r="I113" s="156">
        <f ca="1">IFERROR(__xludf.DUMMYFUNCTION("""COMPUTED_VALUE"""),45644.375)</f>
        <v>45644.375</v>
      </c>
      <c r="J113" s="3">
        <f ca="1">IFERROR(__xludf.DUMMYFUNCTION("""COMPUTED_VALUE"""),2.5)</f>
        <v>2.5</v>
      </c>
      <c r="K113" s="3" t="str">
        <f ca="1">IFERROR(__xludf.DUMMYFUNCTION("""COMPUTED_VALUE"""),"")</f>
        <v/>
      </c>
      <c r="L113" s="3" t="str">
        <f ca="1">IFERROR(__xludf.DUMMYFUNCTION("""COMPUTED_VALUE"""),"QC")</f>
        <v>QC</v>
      </c>
      <c r="M113" s="3" t="str">
        <f ca="1">IFERROR(__xludf.DUMMYFUNCTION("""COMPUTED_VALUE"""),"CHORUS")</f>
        <v>CHORUS</v>
      </c>
      <c r="N113" s="157">
        <f ca="1">IFERROR(__xludf.DUMMYFUNCTION("""COMPUTED_VALUE"""),2.5)</f>
        <v>2.5</v>
      </c>
      <c r="O113" s="157">
        <f ca="1">IFERROR(__xludf.DUMMYFUNCTION("""COMPUTED_VALUE"""),2.5)</f>
        <v>2.5</v>
      </c>
      <c r="P113" s="157"/>
      <c r="Q113" s="3">
        <f t="shared" ca="1" si="0"/>
        <v>112</v>
      </c>
      <c r="R113" s="148" t="e">
        <f ca="1"/>
        <v>#NAME?</v>
      </c>
      <c r="S113" s="147" t="e">
        <f t="shared" ca="1" si="1"/>
        <v>#NAME?</v>
      </c>
      <c r="T113" s="147" t="e">
        <f t="shared" ca="1" si="2"/>
        <v>#NAME?</v>
      </c>
      <c r="U113" s="147" t="e">
        <f t="shared" ca="1" si="3"/>
        <v>#NAME?</v>
      </c>
      <c r="X113" s="147"/>
      <c r="Y113" s="147"/>
      <c r="Z113" s="147"/>
      <c r="AA113" s="147"/>
      <c r="AB113" s="147"/>
      <c r="AC113" s="147"/>
      <c r="AD113" s="147"/>
      <c r="AE113" s="147"/>
      <c r="AF113" s="147"/>
      <c r="AG113" s="147"/>
      <c r="AH113" s="147"/>
      <c r="AI113" s="147"/>
      <c r="AJ113" s="147"/>
      <c r="AK113" s="147"/>
      <c r="AL113" s="147"/>
      <c r="AM113" s="147"/>
      <c r="AN113" s="147"/>
      <c r="AO113" s="147"/>
      <c r="AP113" s="147"/>
      <c r="AQ113" s="147"/>
    </row>
    <row r="114" spans="1:43">
      <c r="A114" s="160" t="str">
        <f ca="1">IFERROR(__xludf.DUMMYFUNCTION("""COMPUTED_VALUE"""),"247038")</f>
        <v>247038</v>
      </c>
      <c r="B114" s="3" t="str">
        <f ca="1">IFERROR(__xludf.DUMMYFUNCTION("""COMPUTED_VALUE"""),"TĂNG HOÀNG YẾN")</f>
        <v>TĂNG HOÀNG YẾN</v>
      </c>
      <c r="C114" s="160" t="str">
        <f ca="1">IFERROR(__xludf.DUMMYFUNCTION("""COMPUTED_VALUE"""),"EL010")</f>
        <v>EL010</v>
      </c>
      <c r="D114" s="160" t="str">
        <f ca="1">IFERROR(__xludf.DUMMYFUNCTION("""COMPUTED_VALUE"""),"Huy Tran 1")</f>
        <v>Huy Tran 1</v>
      </c>
      <c r="E114" s="3" t="str">
        <f ca="1">IFERROR(__xludf.DUMMYFUNCTION("""COMPUTED_VALUE"""),"Communication 2")</f>
        <v>Communication 2</v>
      </c>
      <c r="F114" s="3" t="str">
        <f ca="1">IFERROR(__xludf.DUMMYFUNCTION("""COMPUTED_VALUE"""),"Intermediate")</f>
        <v>Intermediate</v>
      </c>
      <c r="G114" s="3"/>
      <c r="H114" s="156">
        <f ca="1">IFERROR(__xludf.DUMMYFUNCTION("""COMPUTED_VALUE"""),45853.375)</f>
        <v>45853.375</v>
      </c>
      <c r="I114" s="156">
        <f ca="1">IFERROR(__xludf.DUMMYFUNCTION("""COMPUTED_VALUE"""),45644.375)</f>
        <v>45644.375</v>
      </c>
      <c r="J114" s="3">
        <f ca="1">IFERROR(__xludf.DUMMYFUNCTION("""COMPUTED_VALUE"""),4.5)</f>
        <v>4.5</v>
      </c>
      <c r="K114" s="3" t="str">
        <f ca="1">IFERROR(__xludf.DUMMYFUNCTION("""COMPUTED_VALUE"""),"")</f>
        <v/>
      </c>
      <c r="L114" s="3" t="str">
        <f ca="1">IFERROR(__xludf.DUMMYFUNCTION("""COMPUTED_VALUE"""),"DEV")</f>
        <v>DEV</v>
      </c>
      <c r="M114" s="3" t="str">
        <f ca="1">IFERROR(__xludf.DUMMYFUNCTION("""COMPUTED_VALUE"""),"CHORUS")</f>
        <v>CHORUS</v>
      </c>
      <c r="N114" s="157">
        <f ca="1">IFERROR(__xludf.DUMMYFUNCTION("""COMPUTED_VALUE"""),2.5)</f>
        <v>2.5</v>
      </c>
      <c r="O114" s="157">
        <f ca="1">IFERROR(__xludf.DUMMYFUNCTION("""COMPUTED_VALUE"""),4.5)</f>
        <v>4.5</v>
      </c>
      <c r="P114" s="157"/>
      <c r="Q114" s="3">
        <f t="shared" ca="1" si="0"/>
        <v>113</v>
      </c>
      <c r="R114" s="148" t="e">
        <f ca="1"/>
        <v>#NAME?</v>
      </c>
      <c r="S114" s="147" t="e">
        <f t="shared" ca="1" si="1"/>
        <v>#NAME?</v>
      </c>
      <c r="T114" s="147" t="e">
        <f t="shared" ca="1" si="2"/>
        <v>#NAME?</v>
      </c>
      <c r="U114" s="147" t="e">
        <f t="shared" ca="1" si="3"/>
        <v>#NAME?</v>
      </c>
      <c r="X114" s="147"/>
      <c r="Y114" s="147"/>
      <c r="Z114" s="147"/>
      <c r="AA114" s="147"/>
      <c r="AB114" s="147"/>
      <c r="AC114" s="147"/>
      <c r="AD114" s="147"/>
      <c r="AE114" s="147"/>
      <c r="AF114" s="147"/>
      <c r="AG114" s="147"/>
      <c r="AH114" s="147"/>
      <c r="AI114" s="147"/>
      <c r="AJ114" s="147"/>
      <c r="AK114" s="147"/>
      <c r="AL114" s="147"/>
      <c r="AM114" s="147"/>
      <c r="AN114" s="147"/>
      <c r="AO114" s="147"/>
      <c r="AP114" s="147"/>
      <c r="AQ114" s="147"/>
    </row>
    <row r="115" spans="1:43">
      <c r="A115" s="155" t="str">
        <f ca="1">IFERROR(__xludf.DUMMYFUNCTION("""COMPUTED_VALUE"""),"247106")</f>
        <v>247106</v>
      </c>
      <c r="B115" s="154" t="str">
        <f ca="1">IFERROR(__xludf.DUMMYFUNCTION("""COMPUTED_VALUE"""),"NGUYỄN KHÁNH UYÊN")</f>
        <v>NGUYỄN KHÁNH UYÊN</v>
      </c>
      <c r="C115" s="155" t="str">
        <f ca="1">IFERROR(__xludf.DUMMYFUNCTION("""COMPUTED_VALUE"""),"EL011")</f>
        <v>EL011</v>
      </c>
      <c r="D115" s="155" t="str">
        <f ca="1">IFERROR(__xludf.DUMMYFUNCTION("""COMPUTED_VALUE"""),"Huy Tran 2")</f>
        <v>Huy Tran 2</v>
      </c>
      <c r="E115" s="154" t="str">
        <f ca="1">IFERROR(__xludf.DUMMYFUNCTION("""COMPUTED_VALUE"""),"Communication 1")</f>
        <v>Communication 1</v>
      </c>
      <c r="F115" s="3" t="str">
        <f ca="1">IFERROR(__xludf.DUMMYFUNCTION("""COMPUTED_VALUE"""),"Pre-Intermediate")</f>
        <v>Pre-Intermediate</v>
      </c>
      <c r="G115" s="3" t="str">
        <f ca="1">IFERROR(__xludf.DUMMYFUNCTION("""COMPUTED_VALUE"""),"Pre-Intermediate")</f>
        <v>Pre-Intermediate</v>
      </c>
      <c r="H115" s="156">
        <f ca="1">IFERROR(__xludf.DUMMYFUNCTION("""COMPUTED_VALUE"""),45644.375)</f>
        <v>45644.375</v>
      </c>
      <c r="I115" s="156">
        <f ca="1">IFERROR(__xludf.DUMMYFUNCTION("""COMPUTED_VALUE"""),45644.375)</f>
        <v>45644.375</v>
      </c>
      <c r="J115" s="3">
        <f ca="1">IFERROR(__xludf.DUMMYFUNCTION("""COMPUTED_VALUE"""),2.5)</f>
        <v>2.5</v>
      </c>
      <c r="K115" s="3">
        <f ca="1">IFERROR(__xludf.DUMMYFUNCTION("""COMPUTED_VALUE"""),2.5)</f>
        <v>2.5</v>
      </c>
      <c r="L115" s="3" t="str">
        <f ca="1">IFERROR(__xludf.DUMMYFUNCTION("""COMPUTED_VALUE"""),"QC")</f>
        <v>QC</v>
      </c>
      <c r="M115" s="3" t="str">
        <f ca="1">IFERROR(__xludf.DUMMYFUNCTION("""COMPUTED_VALUE"""),"CHORUS")</f>
        <v>CHORUS</v>
      </c>
      <c r="N115" s="157">
        <f ca="1">IFERROR(__xludf.DUMMYFUNCTION("""COMPUTED_VALUE"""),2.5)</f>
        <v>2.5</v>
      </c>
      <c r="O115" s="157">
        <f ca="1">IFERROR(__xludf.DUMMYFUNCTION("""COMPUTED_VALUE"""),2.5)</f>
        <v>2.5</v>
      </c>
      <c r="P115" s="157"/>
      <c r="Q115" s="3">
        <f t="shared" ca="1" si="0"/>
        <v>114</v>
      </c>
      <c r="R115" s="148" t="e">
        <f ca="1"/>
        <v>#NAME?</v>
      </c>
      <c r="S115" s="147" t="e">
        <f t="shared" ca="1" si="1"/>
        <v>#NAME?</v>
      </c>
      <c r="T115" s="147" t="e">
        <f t="shared" ca="1" si="2"/>
        <v>#NAME?</v>
      </c>
      <c r="U115" s="147" t="e">
        <f t="shared" ca="1" si="3"/>
        <v>#NAME?</v>
      </c>
      <c r="X115" s="147"/>
      <c r="Y115" s="147"/>
      <c r="Z115" s="147"/>
      <c r="AA115" s="147"/>
      <c r="AB115" s="147"/>
      <c r="AC115" s="147"/>
      <c r="AD115" s="147"/>
      <c r="AE115" s="147"/>
      <c r="AF115" s="147"/>
      <c r="AG115" s="147"/>
      <c r="AH115" s="147"/>
      <c r="AI115" s="147"/>
      <c r="AJ115" s="147"/>
      <c r="AK115" s="147"/>
      <c r="AL115" s="147"/>
      <c r="AM115" s="147"/>
      <c r="AN115" s="147"/>
      <c r="AO115" s="147"/>
      <c r="AP115" s="147"/>
      <c r="AQ115" s="147"/>
    </row>
    <row r="116" spans="1:43">
      <c r="A116" s="160" t="str">
        <f ca="1">IFERROR(__xludf.DUMMYFUNCTION("""COMPUTED_VALUE"""),"247037")</f>
        <v>247037</v>
      </c>
      <c r="B116" s="3" t="str">
        <f ca="1">IFERROR(__xludf.DUMMYFUNCTION("""COMPUTED_VALUE"""),"BÙI HUỲNH TRUNG TÍN")</f>
        <v>BÙI HUỲNH TRUNG TÍN</v>
      </c>
      <c r="C116" s="160" t="str">
        <f ca="1">IFERROR(__xludf.DUMMYFUNCTION("""COMPUTED_VALUE"""),"EL011")</f>
        <v>EL011</v>
      </c>
      <c r="D116" s="160" t="str">
        <f ca="1">IFERROR(__xludf.DUMMYFUNCTION("""COMPUTED_VALUE"""),"Huy Tran 2")</f>
        <v>Huy Tran 2</v>
      </c>
      <c r="E116" s="3" t="str">
        <f ca="1">IFERROR(__xludf.DUMMYFUNCTION("""COMPUTED_VALUE"""),"Communication 1")</f>
        <v>Communication 1</v>
      </c>
      <c r="F116" s="3" t="str">
        <f ca="1">IFERROR(__xludf.DUMMYFUNCTION("""COMPUTED_VALUE"""),"Beginner")</f>
        <v>Beginner</v>
      </c>
      <c r="G116" s="3" t="str">
        <f ca="1">IFERROR(__xludf.DUMMYFUNCTION("""COMPUTED_VALUE"""),"Pre-Intermediate")</f>
        <v>Pre-Intermediate</v>
      </c>
      <c r="H116" s="156">
        <f ca="1">IFERROR(__xludf.DUMMYFUNCTION("""COMPUTED_VALUE"""),45644.375)</f>
        <v>45644.375</v>
      </c>
      <c r="I116" s="156">
        <f ca="1">IFERROR(__xludf.DUMMYFUNCTION("""COMPUTED_VALUE"""),45644.375)</f>
        <v>45644.375</v>
      </c>
      <c r="J116" s="3">
        <f ca="1">IFERROR(__xludf.DUMMYFUNCTION("""COMPUTED_VALUE"""),1)</f>
        <v>1</v>
      </c>
      <c r="K116" s="3">
        <f ca="1">IFERROR(__xludf.DUMMYFUNCTION("""COMPUTED_VALUE"""),2.5)</f>
        <v>2.5</v>
      </c>
      <c r="L116" s="3" t="str">
        <f ca="1">IFERROR(__xludf.DUMMYFUNCTION("""COMPUTED_VALUE"""),"DEV")</f>
        <v>DEV</v>
      </c>
      <c r="M116" s="3" t="str">
        <f ca="1">IFERROR(__xludf.DUMMYFUNCTION("""COMPUTED_VALUE"""),"CHORUS")</f>
        <v>CHORUS</v>
      </c>
      <c r="N116" s="157">
        <f ca="1">IFERROR(__xludf.DUMMYFUNCTION("""COMPUTED_VALUE"""),1)</f>
        <v>1</v>
      </c>
      <c r="O116" s="157">
        <f ca="1">IFERROR(__xludf.DUMMYFUNCTION("""COMPUTED_VALUE"""),2.5)</f>
        <v>2.5</v>
      </c>
      <c r="P116" s="157"/>
      <c r="Q116" s="3">
        <f t="shared" ca="1" si="0"/>
        <v>115</v>
      </c>
      <c r="R116" s="148" t="e">
        <f ca="1"/>
        <v>#NAME?</v>
      </c>
      <c r="S116" s="147" t="e">
        <f t="shared" ca="1" si="1"/>
        <v>#NAME?</v>
      </c>
      <c r="T116" s="147" t="e">
        <f t="shared" ca="1" si="2"/>
        <v>#NAME?</v>
      </c>
      <c r="U116" s="147" t="e">
        <f t="shared" ca="1" si="3"/>
        <v>#NAME?</v>
      </c>
      <c r="X116" s="147"/>
      <c r="Y116" s="147"/>
      <c r="Z116" s="147"/>
      <c r="AA116" s="147"/>
      <c r="AB116" s="147"/>
      <c r="AC116" s="147"/>
      <c r="AD116" s="147"/>
      <c r="AE116" s="147"/>
      <c r="AF116" s="147"/>
      <c r="AG116" s="147"/>
      <c r="AH116" s="147"/>
      <c r="AI116" s="147"/>
      <c r="AJ116" s="147"/>
      <c r="AK116" s="147"/>
      <c r="AL116" s="147"/>
      <c r="AM116" s="147"/>
      <c r="AN116" s="147"/>
      <c r="AO116" s="147"/>
      <c r="AP116" s="147"/>
      <c r="AQ116" s="147"/>
    </row>
    <row r="117" spans="1:43">
      <c r="A117" s="160" t="str">
        <f ca="1">IFERROR(__xludf.DUMMYFUNCTION("""COMPUTED_VALUE"""),"247078")</f>
        <v>247078</v>
      </c>
      <c r="B117" s="3" t="str">
        <f ca="1">IFERROR(__xludf.DUMMYFUNCTION("""COMPUTED_VALUE"""),"NGUYỄN CÔNG ĐOÀN")</f>
        <v>NGUYỄN CÔNG ĐOÀN</v>
      </c>
      <c r="C117" s="160" t="str">
        <f ca="1">IFERROR(__xludf.DUMMYFUNCTION("""COMPUTED_VALUE"""),"EL011")</f>
        <v>EL011</v>
      </c>
      <c r="D117" s="160" t="str">
        <f ca="1">IFERROR(__xludf.DUMMYFUNCTION("""COMPUTED_VALUE"""),"Huy Tran 2")</f>
        <v>Huy Tran 2</v>
      </c>
      <c r="E117" s="3" t="str">
        <f ca="1">IFERROR(__xludf.DUMMYFUNCTION("""COMPUTED_VALUE"""),"Communication 1")</f>
        <v>Communication 1</v>
      </c>
      <c r="F117" s="3" t="str">
        <f ca="1">IFERROR(__xludf.DUMMYFUNCTION("""COMPUTED_VALUE"""),"Beginner")</f>
        <v>Beginner</v>
      </c>
      <c r="G117" s="3" t="str">
        <f ca="1">IFERROR(__xludf.DUMMYFUNCTION("""COMPUTED_VALUE"""),"Pre-Intermediate")</f>
        <v>Pre-Intermediate</v>
      </c>
      <c r="H117" s="156">
        <f ca="1">IFERROR(__xludf.DUMMYFUNCTION("""COMPUTED_VALUE"""),45644.375)</f>
        <v>45644.375</v>
      </c>
      <c r="I117" s="156">
        <f ca="1">IFERROR(__xludf.DUMMYFUNCTION("""COMPUTED_VALUE"""),45644.375)</f>
        <v>45644.375</v>
      </c>
      <c r="J117" s="3">
        <f ca="1">IFERROR(__xludf.DUMMYFUNCTION("""COMPUTED_VALUE"""),1)</f>
        <v>1</v>
      </c>
      <c r="K117" s="3">
        <f ca="1">IFERROR(__xludf.DUMMYFUNCTION("""COMPUTED_VALUE"""),2.5)</f>
        <v>2.5</v>
      </c>
      <c r="L117" s="3" t="str">
        <f ca="1">IFERROR(__xludf.DUMMYFUNCTION("""COMPUTED_VALUE"""),"DEV")</f>
        <v>DEV</v>
      </c>
      <c r="M117" s="3" t="str">
        <f ca="1">IFERROR(__xludf.DUMMYFUNCTION("""COMPUTED_VALUE"""),"CHORUS")</f>
        <v>CHORUS</v>
      </c>
      <c r="N117" s="157">
        <f ca="1">IFERROR(__xludf.DUMMYFUNCTION("""COMPUTED_VALUE"""),1)</f>
        <v>1</v>
      </c>
      <c r="O117" s="157">
        <f ca="1">IFERROR(__xludf.DUMMYFUNCTION("""COMPUTED_VALUE"""),2.5)</f>
        <v>2.5</v>
      </c>
      <c r="P117" s="157"/>
      <c r="Q117" s="3">
        <f t="shared" ca="1" si="0"/>
        <v>116</v>
      </c>
      <c r="R117" s="148" t="e">
        <f ca="1"/>
        <v>#NAME?</v>
      </c>
      <c r="S117" s="147" t="e">
        <f t="shared" ca="1" si="1"/>
        <v>#NAME?</v>
      </c>
      <c r="T117" s="147" t="e">
        <f t="shared" ca="1" si="2"/>
        <v>#NAME?</v>
      </c>
      <c r="U117" s="147" t="e">
        <f t="shared" ca="1" si="3"/>
        <v>#NAME?</v>
      </c>
      <c r="X117" s="147"/>
      <c r="Y117" s="147"/>
      <c r="Z117" s="147"/>
      <c r="AA117" s="147"/>
      <c r="AB117" s="147"/>
      <c r="AC117" s="147"/>
      <c r="AD117" s="147"/>
      <c r="AE117" s="147"/>
      <c r="AF117" s="147"/>
      <c r="AG117" s="147"/>
      <c r="AH117" s="147"/>
      <c r="AI117" s="147"/>
      <c r="AJ117" s="147"/>
      <c r="AK117" s="147"/>
      <c r="AL117" s="147"/>
      <c r="AM117" s="147"/>
      <c r="AN117" s="147"/>
      <c r="AO117" s="147"/>
      <c r="AP117" s="147"/>
      <c r="AQ117" s="147"/>
    </row>
    <row r="118" spans="1:43">
      <c r="A118" s="160" t="str">
        <f ca="1">IFERROR(__xludf.DUMMYFUNCTION("""COMPUTED_VALUE"""),"247207")</f>
        <v>247207</v>
      </c>
      <c r="B118" s="3" t="str">
        <f ca="1">IFERROR(__xludf.DUMMYFUNCTION("""COMPUTED_VALUE"""),"NGUYỄN VĂN ĐỨC")</f>
        <v>NGUYỄN VĂN ĐỨC</v>
      </c>
      <c r="C118" s="160" t="str">
        <f ca="1">IFERROR(__xludf.DUMMYFUNCTION("""COMPUTED_VALUE"""),"EL011")</f>
        <v>EL011</v>
      </c>
      <c r="D118" s="160" t="str">
        <f ca="1">IFERROR(__xludf.DUMMYFUNCTION("""COMPUTED_VALUE"""),"Huy Tran 2")</f>
        <v>Huy Tran 2</v>
      </c>
      <c r="E118" s="3" t="str">
        <f ca="1">IFERROR(__xludf.DUMMYFUNCTION("""COMPUTED_VALUE"""),"Communication 1")</f>
        <v>Communication 1</v>
      </c>
      <c r="F118" s="3" t="str">
        <f ca="1">IFERROR(__xludf.DUMMYFUNCTION("""COMPUTED_VALUE"""),"Beginner")</f>
        <v>Beginner</v>
      </c>
      <c r="G118" s="3" t="str">
        <f ca="1">IFERROR(__xludf.DUMMYFUNCTION("""COMPUTED_VALUE"""),"Beginner")</f>
        <v>Beginner</v>
      </c>
      <c r="H118" s="156">
        <f ca="1">IFERROR(__xludf.DUMMYFUNCTION("""COMPUTED_VALUE"""),45644.375)</f>
        <v>45644.375</v>
      </c>
      <c r="I118" s="156">
        <f ca="1">IFERROR(__xludf.DUMMYFUNCTION("""COMPUTED_VALUE"""),45644.375)</f>
        <v>45644.375</v>
      </c>
      <c r="J118" s="3">
        <f ca="1">IFERROR(__xludf.DUMMYFUNCTION("""COMPUTED_VALUE"""),1)</f>
        <v>1</v>
      </c>
      <c r="K118" s="3">
        <f ca="1">IFERROR(__xludf.DUMMYFUNCTION("""COMPUTED_VALUE"""),1)</f>
        <v>1</v>
      </c>
      <c r="L118" s="3" t="str">
        <f ca="1">IFERROR(__xludf.DUMMYFUNCTION("""COMPUTED_VALUE"""),"DEV")</f>
        <v>DEV</v>
      </c>
      <c r="M118" s="3" t="str">
        <f ca="1">IFERROR(__xludf.DUMMYFUNCTION("""COMPUTED_VALUE"""),"CHORUS")</f>
        <v>CHORUS</v>
      </c>
      <c r="N118" s="157">
        <f ca="1">IFERROR(__xludf.DUMMYFUNCTION("""COMPUTED_VALUE"""),1)</f>
        <v>1</v>
      </c>
      <c r="O118" s="157">
        <f ca="1">IFERROR(__xludf.DUMMYFUNCTION("""COMPUTED_VALUE"""),1)</f>
        <v>1</v>
      </c>
      <c r="P118" s="157"/>
      <c r="Q118" s="3">
        <f t="shared" ca="1" si="0"/>
        <v>117</v>
      </c>
      <c r="R118" s="148" t="e">
        <f ca="1"/>
        <v>#NAME?</v>
      </c>
      <c r="S118" s="147" t="e">
        <f t="shared" ca="1" si="1"/>
        <v>#NAME?</v>
      </c>
      <c r="T118" s="147" t="e">
        <f t="shared" ca="1" si="2"/>
        <v>#NAME?</v>
      </c>
      <c r="U118" s="147" t="e">
        <f t="shared" ca="1" si="3"/>
        <v>#NAME?</v>
      </c>
      <c r="X118" s="147"/>
      <c r="Y118" s="147"/>
      <c r="Z118" s="147"/>
      <c r="AA118" s="147"/>
      <c r="AB118" s="147"/>
      <c r="AC118" s="147"/>
      <c r="AD118" s="147"/>
      <c r="AE118" s="147"/>
      <c r="AF118" s="147"/>
      <c r="AG118" s="147"/>
      <c r="AH118" s="147"/>
      <c r="AI118" s="147"/>
      <c r="AJ118" s="147"/>
      <c r="AK118" s="147"/>
      <c r="AL118" s="147"/>
      <c r="AM118" s="147"/>
      <c r="AN118" s="147"/>
      <c r="AO118" s="147"/>
      <c r="AP118" s="147"/>
      <c r="AQ118" s="147"/>
    </row>
    <row r="119" spans="1:43">
      <c r="A119" s="160" t="str">
        <f ca="1">IFERROR(__xludf.DUMMYFUNCTION("""COMPUTED_VALUE"""),"247038")</f>
        <v>247038</v>
      </c>
      <c r="B119" s="3" t="str">
        <f ca="1">IFERROR(__xludf.DUMMYFUNCTION("""COMPUTED_VALUE"""),"TĂNG HOÀNG YẾN")</f>
        <v>TĂNG HOÀNG YẾN</v>
      </c>
      <c r="C119" s="160" t="str">
        <f ca="1">IFERROR(__xludf.DUMMYFUNCTION("""COMPUTED_VALUE"""),"EL011")</f>
        <v>EL011</v>
      </c>
      <c r="D119" s="160" t="str">
        <f ca="1">IFERROR(__xludf.DUMMYFUNCTION("""COMPUTED_VALUE"""),"Huy Tran 2")</f>
        <v>Huy Tran 2</v>
      </c>
      <c r="E119" s="3" t="str">
        <f ca="1">IFERROR(__xludf.DUMMYFUNCTION("""COMPUTED_VALUE"""),"Communication 1")</f>
        <v>Communication 1</v>
      </c>
      <c r="F119" s="3" t="str">
        <f ca="1">IFERROR(__xludf.DUMMYFUNCTION("""COMPUTED_VALUE"""),"Pre-Intermediate")</f>
        <v>Pre-Intermediate</v>
      </c>
      <c r="G119" s="3" t="str">
        <f ca="1">IFERROR(__xludf.DUMMYFUNCTION("""COMPUTED_VALUE"""),"Intermediate")</f>
        <v>Intermediate</v>
      </c>
      <c r="H119" s="156">
        <f ca="1">IFERROR(__xludf.DUMMYFUNCTION("""COMPUTED_VALUE"""),45644.375)</f>
        <v>45644.375</v>
      </c>
      <c r="I119" s="156">
        <f ca="1">IFERROR(__xludf.DUMMYFUNCTION("""COMPUTED_VALUE"""),45644.375)</f>
        <v>45644.375</v>
      </c>
      <c r="J119" s="3">
        <f ca="1">IFERROR(__xludf.DUMMYFUNCTION("""COMPUTED_VALUE"""),2.5)</f>
        <v>2.5</v>
      </c>
      <c r="K119" s="3">
        <f ca="1">IFERROR(__xludf.DUMMYFUNCTION("""COMPUTED_VALUE"""),4.5)</f>
        <v>4.5</v>
      </c>
      <c r="L119" s="3" t="str">
        <f ca="1">IFERROR(__xludf.DUMMYFUNCTION("""COMPUTED_VALUE"""),"DEV")</f>
        <v>DEV</v>
      </c>
      <c r="M119" s="3" t="str">
        <f ca="1">IFERROR(__xludf.DUMMYFUNCTION("""COMPUTED_VALUE"""),"CHORUS")</f>
        <v>CHORUS</v>
      </c>
      <c r="N119" s="157">
        <f ca="1">IFERROR(__xludf.DUMMYFUNCTION("""COMPUTED_VALUE"""),2.5)</f>
        <v>2.5</v>
      </c>
      <c r="O119" s="157">
        <f ca="1">IFERROR(__xludf.DUMMYFUNCTION("""COMPUTED_VALUE"""),4.5)</f>
        <v>4.5</v>
      </c>
      <c r="P119" s="157"/>
      <c r="Q119" s="3">
        <f t="shared" ca="1" si="0"/>
        <v>118</v>
      </c>
      <c r="R119" s="148" t="e">
        <f ca="1"/>
        <v>#NAME?</v>
      </c>
      <c r="S119" s="147" t="e">
        <f t="shared" ca="1" si="1"/>
        <v>#NAME?</v>
      </c>
      <c r="T119" s="147" t="e">
        <f t="shared" ca="1" si="2"/>
        <v>#NAME?</v>
      </c>
      <c r="U119" s="147" t="e">
        <f t="shared" ca="1" si="3"/>
        <v>#NAME?</v>
      </c>
      <c r="X119" s="147"/>
      <c r="Y119" s="147"/>
      <c r="Z119" s="147"/>
      <c r="AA119" s="147"/>
      <c r="AB119" s="147"/>
      <c r="AC119" s="147"/>
      <c r="AD119" s="147"/>
      <c r="AE119" s="147"/>
      <c r="AF119" s="147"/>
      <c r="AG119" s="147"/>
      <c r="AH119" s="147"/>
      <c r="AI119" s="147"/>
      <c r="AJ119" s="147"/>
      <c r="AK119" s="147"/>
      <c r="AL119" s="147"/>
      <c r="AM119" s="147"/>
      <c r="AN119" s="147"/>
      <c r="AO119" s="147"/>
      <c r="AP119" s="147"/>
      <c r="AQ119" s="147"/>
    </row>
    <row r="120" spans="1:43">
      <c r="A120" s="155" t="str">
        <f ca="1">IFERROR(__xludf.DUMMYFUNCTION("""COMPUTED_VALUE"""),"237169")</f>
        <v>237169</v>
      </c>
      <c r="B120" s="154" t="str">
        <f ca="1">IFERROR(__xludf.DUMMYFUNCTION("""COMPUTED_VALUE"""),"LƯƠNG ANH TUẤN")</f>
        <v>LƯƠNG ANH TUẤN</v>
      </c>
      <c r="C120" s="155" t="str">
        <f ca="1">IFERROR(__xludf.DUMMYFUNCTION("""COMPUTED_VALUE"""),"EL012")</f>
        <v>EL012</v>
      </c>
      <c r="D120" s="155" t="str">
        <f ca="1">IFERROR(__xludf.DUMMYFUNCTION("""COMPUTED_VALUE"""),"Huyen Vo")</f>
        <v>Huyen Vo</v>
      </c>
      <c r="E120" s="154" t="str">
        <f ca="1">IFERROR(__xludf.DUMMYFUNCTION("""COMPUTED_VALUE"""),"Communication 1")</f>
        <v>Communication 1</v>
      </c>
      <c r="F120" s="3" t="str">
        <f ca="1">IFERROR(__xludf.DUMMYFUNCTION("""COMPUTED_VALUE"""),"Pre-Intermediate")</f>
        <v>Pre-Intermediate</v>
      </c>
      <c r="G120" s="3" t="str">
        <f ca="1">IFERROR(__xludf.DUMMYFUNCTION("""COMPUTED_VALUE"""),"Pre-Intermediate 2")</f>
        <v>Pre-Intermediate 2</v>
      </c>
      <c r="H120" s="156">
        <f ca="1">IFERROR(__xludf.DUMMYFUNCTION("""COMPUTED_VALUE"""),45646.375)</f>
        <v>45646.375</v>
      </c>
      <c r="I120" s="156">
        <f ca="1">IFERROR(__xludf.DUMMYFUNCTION("""COMPUTED_VALUE"""),45646.375)</f>
        <v>45646.375</v>
      </c>
      <c r="J120" s="3">
        <f ca="1">IFERROR(__xludf.DUMMYFUNCTION("""COMPUTED_VALUE"""),2.5)</f>
        <v>2.5</v>
      </c>
      <c r="K120" s="3">
        <f ca="1">IFERROR(__xludf.DUMMYFUNCTION("""COMPUTED_VALUE"""),3.5)</f>
        <v>3.5</v>
      </c>
      <c r="L120" s="3" t="str">
        <f ca="1">IFERROR(__xludf.DUMMYFUNCTION("""COMPUTED_VALUE"""),"DEV")</f>
        <v>DEV</v>
      </c>
      <c r="M120" s="3" t="str">
        <f ca="1">IFERROR(__xludf.DUMMYFUNCTION("""COMPUTED_VALUE"""),"CHORUS")</f>
        <v>CHORUS</v>
      </c>
      <c r="N120" s="157">
        <f ca="1">IFERROR(__xludf.DUMMYFUNCTION("""COMPUTED_VALUE"""),2.5)</f>
        <v>2.5</v>
      </c>
      <c r="O120" s="157">
        <f ca="1">IFERROR(__xludf.DUMMYFUNCTION("""COMPUTED_VALUE"""),3.5)</f>
        <v>3.5</v>
      </c>
      <c r="P120" s="157"/>
      <c r="Q120" s="3">
        <f t="shared" ca="1" si="0"/>
        <v>119</v>
      </c>
      <c r="R120" s="148" t="e">
        <f ca="1"/>
        <v>#NAME?</v>
      </c>
      <c r="S120" s="147" t="e">
        <f t="shared" ca="1" si="1"/>
        <v>#NAME?</v>
      </c>
      <c r="T120" s="147" t="e">
        <f t="shared" ca="1" si="2"/>
        <v>#NAME?</v>
      </c>
      <c r="U120" s="147" t="e">
        <f t="shared" ca="1" si="3"/>
        <v>#NAME?</v>
      </c>
      <c r="X120" s="147"/>
      <c r="Y120" s="147"/>
      <c r="Z120" s="147"/>
      <c r="AA120" s="147"/>
      <c r="AB120" s="147"/>
      <c r="AC120" s="147"/>
      <c r="AD120" s="147"/>
      <c r="AE120" s="147"/>
      <c r="AF120" s="147"/>
      <c r="AG120" s="147"/>
      <c r="AH120" s="147"/>
      <c r="AI120" s="147"/>
      <c r="AJ120" s="147"/>
      <c r="AK120" s="147"/>
      <c r="AL120" s="147"/>
      <c r="AM120" s="147"/>
      <c r="AN120" s="147"/>
      <c r="AO120" s="147"/>
      <c r="AP120" s="147"/>
      <c r="AQ120" s="147"/>
    </row>
    <row r="121" spans="1:43">
      <c r="A121" s="160" t="str">
        <f ca="1">IFERROR(__xludf.DUMMYFUNCTION("""COMPUTED_VALUE"""),"237222")</f>
        <v>237222</v>
      </c>
      <c r="B121" s="3" t="str">
        <f ca="1">IFERROR(__xludf.DUMMYFUNCTION("""COMPUTED_VALUE"""),"ĐOÀN NHẬT QUANG")</f>
        <v>ĐOÀN NHẬT QUANG</v>
      </c>
      <c r="C121" s="160" t="str">
        <f ca="1">IFERROR(__xludf.DUMMYFUNCTION("""COMPUTED_VALUE"""),"EL012")</f>
        <v>EL012</v>
      </c>
      <c r="D121" s="160" t="str">
        <f ca="1">IFERROR(__xludf.DUMMYFUNCTION("""COMPUTED_VALUE"""),"Huyen Vo")</f>
        <v>Huyen Vo</v>
      </c>
      <c r="E121" s="3" t="str">
        <f ca="1">IFERROR(__xludf.DUMMYFUNCTION("""COMPUTED_VALUE"""),"Communication 1")</f>
        <v>Communication 1</v>
      </c>
      <c r="F121" s="3" t="str">
        <f ca="1">IFERROR(__xludf.DUMMYFUNCTION("""COMPUTED_VALUE"""),"Beginner")</f>
        <v>Beginner</v>
      </c>
      <c r="G121" s="3"/>
      <c r="H121" s="156">
        <f ca="1">IFERROR(__xludf.DUMMYFUNCTION("""COMPUTED_VALUE"""),45646.375)</f>
        <v>45646.375</v>
      </c>
      <c r="I121" s="156">
        <f ca="1">IFERROR(__xludf.DUMMYFUNCTION("""COMPUTED_VALUE"""),45646.375)</f>
        <v>45646.375</v>
      </c>
      <c r="J121" s="3">
        <f ca="1">IFERROR(__xludf.DUMMYFUNCTION("""COMPUTED_VALUE"""),1)</f>
        <v>1</v>
      </c>
      <c r="K121" s="3" t="str">
        <f ca="1">IFERROR(__xludf.DUMMYFUNCTION("""COMPUTED_VALUE"""),"")</f>
        <v/>
      </c>
      <c r="L121" s="3" t="str">
        <f ca="1">IFERROR(__xludf.DUMMYFUNCTION("""COMPUTED_VALUE"""),"TA")</f>
        <v>TA</v>
      </c>
      <c r="M121" s="3" t="str">
        <f ca="1">IFERROR(__xludf.DUMMYFUNCTION("""COMPUTED_VALUE"""),"CHORUS")</f>
        <v>CHORUS</v>
      </c>
      <c r="N121" s="157">
        <f ca="1">IFERROR(__xludf.DUMMYFUNCTION("""COMPUTED_VALUE"""),1)</f>
        <v>1</v>
      </c>
      <c r="O121" s="157">
        <f ca="1">IFERROR(__xludf.DUMMYFUNCTION("""COMPUTED_VALUE"""),0)</f>
        <v>0</v>
      </c>
      <c r="P121" s="157"/>
      <c r="Q121" s="3">
        <f t="shared" ca="1" si="0"/>
        <v>120</v>
      </c>
      <c r="R121" s="148" t="e">
        <f ca="1"/>
        <v>#NAME?</v>
      </c>
      <c r="S121" s="147" t="e">
        <f t="shared" ca="1" si="1"/>
        <v>#NAME?</v>
      </c>
      <c r="T121" s="147" t="e">
        <f t="shared" ca="1" si="2"/>
        <v>#NAME?</v>
      </c>
      <c r="U121" s="147" t="e">
        <f t="shared" ca="1" si="3"/>
        <v>#NAME?</v>
      </c>
      <c r="X121" s="147"/>
      <c r="Y121" s="147"/>
      <c r="Z121" s="147"/>
      <c r="AA121" s="147"/>
      <c r="AB121" s="147"/>
      <c r="AC121" s="147"/>
      <c r="AD121" s="147"/>
      <c r="AE121" s="147"/>
      <c r="AF121" s="147"/>
      <c r="AG121" s="147"/>
      <c r="AH121" s="147"/>
      <c r="AI121" s="147"/>
      <c r="AJ121" s="147"/>
      <c r="AK121" s="147"/>
      <c r="AL121" s="147"/>
      <c r="AM121" s="147"/>
      <c r="AN121" s="147"/>
      <c r="AO121" s="147"/>
      <c r="AP121" s="147"/>
      <c r="AQ121" s="147"/>
    </row>
    <row r="122" spans="1:43">
      <c r="A122" s="160" t="str">
        <f ca="1">IFERROR(__xludf.DUMMYFUNCTION("""COMPUTED_VALUE"""),"237227")</f>
        <v>237227</v>
      </c>
      <c r="B122" s="3" t="str">
        <f ca="1">IFERROR(__xludf.DUMMYFUNCTION("""COMPUTED_VALUE"""),"DƯƠNG HOÀNG LONG")</f>
        <v>DƯƠNG HOÀNG LONG</v>
      </c>
      <c r="C122" s="160" t="str">
        <f ca="1">IFERROR(__xludf.DUMMYFUNCTION("""COMPUTED_VALUE"""),"EL012")</f>
        <v>EL012</v>
      </c>
      <c r="D122" s="160" t="str">
        <f ca="1">IFERROR(__xludf.DUMMYFUNCTION("""COMPUTED_VALUE"""),"Huyen Vo")</f>
        <v>Huyen Vo</v>
      </c>
      <c r="E122" s="3" t="str">
        <f ca="1">IFERROR(__xludf.DUMMYFUNCTION("""COMPUTED_VALUE"""),"Communication 1")</f>
        <v>Communication 1</v>
      </c>
      <c r="F122" s="3" t="str">
        <f ca="1">IFERROR(__xludf.DUMMYFUNCTION("""COMPUTED_VALUE"""),"Pre-Intermediate")</f>
        <v>Pre-Intermediate</v>
      </c>
      <c r="G122" s="3"/>
      <c r="H122" s="156">
        <f ca="1">IFERROR(__xludf.DUMMYFUNCTION("""COMPUTED_VALUE"""),45646.375)</f>
        <v>45646.375</v>
      </c>
      <c r="I122" s="156">
        <f ca="1">IFERROR(__xludf.DUMMYFUNCTION("""COMPUTED_VALUE"""),45646.375)</f>
        <v>45646.375</v>
      </c>
      <c r="J122" s="3">
        <f ca="1">IFERROR(__xludf.DUMMYFUNCTION("""COMPUTED_VALUE"""),2.5)</f>
        <v>2.5</v>
      </c>
      <c r="K122" s="3" t="str">
        <f ca="1">IFERROR(__xludf.DUMMYFUNCTION("""COMPUTED_VALUE"""),"")</f>
        <v/>
      </c>
      <c r="L122" s="3" t="str">
        <f ca="1">IFERROR(__xludf.DUMMYFUNCTION("""COMPUTED_VALUE"""),"DEV")</f>
        <v>DEV</v>
      </c>
      <c r="M122" s="3" t="str">
        <f ca="1">IFERROR(__xludf.DUMMYFUNCTION("""COMPUTED_VALUE"""),"TBU")</f>
        <v>TBU</v>
      </c>
      <c r="N122" s="157">
        <f ca="1">IFERROR(__xludf.DUMMYFUNCTION("""COMPUTED_VALUE"""),2.5)</f>
        <v>2.5</v>
      </c>
      <c r="O122" s="157">
        <f ca="1">IFERROR(__xludf.DUMMYFUNCTION("""COMPUTED_VALUE"""),0)</f>
        <v>0</v>
      </c>
      <c r="P122" s="157"/>
      <c r="Q122" s="3">
        <f t="shared" ca="1" si="0"/>
        <v>121</v>
      </c>
      <c r="R122" s="148" t="e">
        <f ca="1"/>
        <v>#NAME?</v>
      </c>
      <c r="S122" s="147" t="e">
        <f t="shared" ca="1" si="1"/>
        <v>#NAME?</v>
      </c>
      <c r="T122" s="147" t="e">
        <f t="shared" ca="1" si="2"/>
        <v>#NAME?</v>
      </c>
      <c r="U122" s="147" t="e">
        <f t="shared" ca="1" si="3"/>
        <v>#NAME?</v>
      </c>
      <c r="X122" s="147"/>
      <c r="Y122" s="147"/>
      <c r="Z122" s="147"/>
      <c r="AA122" s="147"/>
      <c r="AB122" s="147"/>
      <c r="AC122" s="147"/>
      <c r="AD122" s="147"/>
      <c r="AE122" s="147"/>
      <c r="AF122" s="147"/>
      <c r="AG122" s="147"/>
      <c r="AH122" s="147"/>
      <c r="AI122" s="147"/>
      <c r="AJ122" s="147"/>
      <c r="AK122" s="147"/>
      <c r="AL122" s="147"/>
      <c r="AM122" s="147"/>
      <c r="AN122" s="147"/>
      <c r="AO122" s="147"/>
      <c r="AP122" s="147"/>
      <c r="AQ122" s="147"/>
    </row>
    <row r="123" spans="1:43">
      <c r="A123" s="160" t="str">
        <f ca="1">IFERROR(__xludf.DUMMYFUNCTION("""COMPUTED_VALUE"""),"237235")</f>
        <v>237235</v>
      </c>
      <c r="B123" s="3" t="str">
        <f ca="1">IFERROR(__xludf.DUMMYFUNCTION("""COMPUTED_VALUE"""),"HUỲNH TẤN LỘC")</f>
        <v>HUỲNH TẤN LỘC</v>
      </c>
      <c r="C123" s="160" t="str">
        <f ca="1">IFERROR(__xludf.DUMMYFUNCTION("""COMPUTED_VALUE"""),"EL012")</f>
        <v>EL012</v>
      </c>
      <c r="D123" s="160" t="str">
        <f ca="1">IFERROR(__xludf.DUMMYFUNCTION("""COMPUTED_VALUE"""),"Huyen Vo")</f>
        <v>Huyen Vo</v>
      </c>
      <c r="E123" s="3" t="str">
        <f ca="1">IFERROR(__xludf.DUMMYFUNCTION("""COMPUTED_VALUE"""),"Communication 1")</f>
        <v>Communication 1</v>
      </c>
      <c r="F123" s="3" t="str">
        <f ca="1">IFERROR(__xludf.DUMMYFUNCTION("""COMPUTED_VALUE"""),"Pre-Intermediate")</f>
        <v>Pre-Intermediate</v>
      </c>
      <c r="G123" s="3"/>
      <c r="H123" s="156">
        <f ca="1">IFERROR(__xludf.DUMMYFUNCTION("""COMPUTED_VALUE"""),45646.375)</f>
        <v>45646.375</v>
      </c>
      <c r="I123" s="156">
        <f ca="1">IFERROR(__xludf.DUMMYFUNCTION("""COMPUTED_VALUE"""),45646.375)</f>
        <v>45646.375</v>
      </c>
      <c r="J123" s="3">
        <f ca="1">IFERROR(__xludf.DUMMYFUNCTION("""COMPUTED_VALUE"""),2.5)</f>
        <v>2.5</v>
      </c>
      <c r="K123" s="3" t="str">
        <f ca="1">IFERROR(__xludf.DUMMYFUNCTION("""COMPUTED_VALUE"""),"")</f>
        <v/>
      </c>
      <c r="L123" s="3" t="str">
        <f ca="1">IFERROR(__xludf.DUMMYFUNCTION("""COMPUTED_VALUE"""),"QC")</f>
        <v>QC</v>
      </c>
      <c r="M123" s="3" t="str">
        <f ca="1">IFERROR(__xludf.DUMMYFUNCTION("""COMPUTED_VALUE"""),"CHORUS")</f>
        <v>CHORUS</v>
      </c>
      <c r="N123" s="157">
        <f ca="1">IFERROR(__xludf.DUMMYFUNCTION("""COMPUTED_VALUE"""),2.5)</f>
        <v>2.5</v>
      </c>
      <c r="O123" s="157">
        <f ca="1">IFERROR(__xludf.DUMMYFUNCTION("""COMPUTED_VALUE"""),0)</f>
        <v>0</v>
      </c>
      <c r="P123" s="157"/>
      <c r="Q123" s="3">
        <f t="shared" ca="1" si="0"/>
        <v>122</v>
      </c>
      <c r="R123" s="148" t="e">
        <f ca="1"/>
        <v>#NAME?</v>
      </c>
      <c r="S123" s="147" t="e">
        <f t="shared" ca="1" si="1"/>
        <v>#NAME?</v>
      </c>
      <c r="T123" s="147" t="e">
        <f t="shared" ca="1" si="2"/>
        <v>#NAME?</v>
      </c>
      <c r="U123" s="147" t="e">
        <f t="shared" ca="1" si="3"/>
        <v>#NAME?</v>
      </c>
      <c r="X123" s="147"/>
      <c r="Y123" s="147"/>
      <c r="Z123" s="147"/>
      <c r="AA123" s="147"/>
      <c r="AB123" s="147"/>
      <c r="AC123" s="147"/>
      <c r="AD123" s="147"/>
      <c r="AE123" s="147"/>
      <c r="AF123" s="147"/>
      <c r="AG123" s="147"/>
      <c r="AH123" s="147"/>
      <c r="AI123" s="147"/>
      <c r="AJ123" s="147"/>
      <c r="AK123" s="147"/>
      <c r="AL123" s="147"/>
      <c r="AM123" s="147"/>
      <c r="AN123" s="147"/>
      <c r="AO123" s="147"/>
      <c r="AP123" s="147"/>
      <c r="AQ123" s="147"/>
    </row>
    <row r="124" spans="1:43">
      <c r="A124" s="160" t="str">
        <f ca="1">IFERROR(__xludf.DUMMYFUNCTION("""COMPUTED_VALUE"""),"237238")</f>
        <v>237238</v>
      </c>
      <c r="B124" s="3" t="str">
        <f ca="1">IFERROR(__xludf.DUMMYFUNCTION("""COMPUTED_VALUE"""),"LẠI MINH HIẾU")</f>
        <v>LẠI MINH HIẾU</v>
      </c>
      <c r="C124" s="160" t="str">
        <f ca="1">IFERROR(__xludf.DUMMYFUNCTION("""COMPUTED_VALUE"""),"EL012")</f>
        <v>EL012</v>
      </c>
      <c r="D124" s="160" t="str">
        <f ca="1">IFERROR(__xludf.DUMMYFUNCTION("""COMPUTED_VALUE"""),"Huyen Vo")</f>
        <v>Huyen Vo</v>
      </c>
      <c r="E124" s="3" t="str">
        <f ca="1">IFERROR(__xludf.DUMMYFUNCTION("""COMPUTED_VALUE"""),"Communication 1")</f>
        <v>Communication 1</v>
      </c>
      <c r="F124" s="3" t="str">
        <f ca="1">IFERROR(__xludf.DUMMYFUNCTION("""COMPUTED_VALUE"""),"Beginner")</f>
        <v>Beginner</v>
      </c>
      <c r="G124" s="3"/>
      <c r="H124" s="156">
        <f ca="1">IFERROR(__xludf.DUMMYFUNCTION("""COMPUTED_VALUE"""),45646.375)</f>
        <v>45646.375</v>
      </c>
      <c r="I124" s="156">
        <f ca="1">IFERROR(__xludf.DUMMYFUNCTION("""COMPUTED_VALUE"""),45646.375)</f>
        <v>45646.375</v>
      </c>
      <c r="J124" s="3">
        <f ca="1">IFERROR(__xludf.DUMMYFUNCTION("""COMPUTED_VALUE"""),1)</f>
        <v>1</v>
      </c>
      <c r="K124" s="3" t="str">
        <f ca="1">IFERROR(__xludf.DUMMYFUNCTION("""COMPUTED_VALUE"""),"")</f>
        <v/>
      </c>
      <c r="L124" s="3" t="str">
        <f ca="1">IFERROR(__xludf.DUMMYFUNCTION("""COMPUTED_VALUE"""),"DEV")</f>
        <v>DEV</v>
      </c>
      <c r="M124" s="3" t="str">
        <f ca="1">IFERROR(__xludf.DUMMYFUNCTION("""COMPUTED_VALUE"""),"CHORUS")</f>
        <v>CHORUS</v>
      </c>
      <c r="N124" s="157">
        <f ca="1">IFERROR(__xludf.DUMMYFUNCTION("""COMPUTED_VALUE"""),1)</f>
        <v>1</v>
      </c>
      <c r="O124" s="157">
        <f ca="1">IFERROR(__xludf.DUMMYFUNCTION("""COMPUTED_VALUE"""),0)</f>
        <v>0</v>
      </c>
      <c r="P124" s="157"/>
      <c r="Q124" s="3">
        <f t="shared" ca="1" si="0"/>
        <v>123</v>
      </c>
      <c r="R124" s="148" t="e">
        <f ca="1"/>
        <v>#NAME?</v>
      </c>
      <c r="S124" s="147" t="e">
        <f t="shared" ca="1" si="1"/>
        <v>#NAME?</v>
      </c>
      <c r="T124" s="147" t="e">
        <f t="shared" ca="1" si="2"/>
        <v>#NAME?</v>
      </c>
      <c r="U124" s="147" t="e">
        <f t="shared" ca="1" si="3"/>
        <v>#NAME?</v>
      </c>
      <c r="X124" s="147"/>
      <c r="Y124" s="147"/>
      <c r="Z124" s="147"/>
      <c r="AA124" s="147"/>
      <c r="AB124" s="147"/>
      <c r="AC124" s="147"/>
      <c r="AD124" s="147"/>
      <c r="AE124" s="147"/>
      <c r="AF124" s="147"/>
      <c r="AG124" s="147"/>
      <c r="AH124" s="147"/>
      <c r="AI124" s="147"/>
      <c r="AJ124" s="147"/>
      <c r="AK124" s="147"/>
      <c r="AL124" s="147"/>
      <c r="AM124" s="147"/>
      <c r="AN124" s="147"/>
      <c r="AO124" s="147"/>
      <c r="AP124" s="147"/>
      <c r="AQ124" s="147"/>
    </row>
    <row r="125" spans="1:43">
      <c r="A125" s="160" t="str">
        <f ca="1">IFERROR(__xludf.DUMMYFUNCTION("""COMPUTED_VALUE"""),"227153")</f>
        <v>227153</v>
      </c>
      <c r="B125" s="3" t="str">
        <f ca="1">IFERROR(__xludf.DUMMYFUNCTION("""COMPUTED_VALUE"""),"NGUYỄN HOÀNG HẠ UYÊN")</f>
        <v>NGUYỄN HOÀNG HẠ UYÊN</v>
      </c>
      <c r="C125" s="160" t="str">
        <f ca="1">IFERROR(__xludf.DUMMYFUNCTION("""COMPUTED_VALUE"""),"EL012")</f>
        <v>EL012</v>
      </c>
      <c r="D125" s="160" t="str">
        <f ca="1">IFERROR(__xludf.DUMMYFUNCTION("""COMPUTED_VALUE"""),"Huyen Vo")</f>
        <v>Huyen Vo</v>
      </c>
      <c r="E125" s="3" t="str">
        <f ca="1">IFERROR(__xludf.DUMMYFUNCTION("""COMPUTED_VALUE"""),"Communication 1")</f>
        <v>Communication 1</v>
      </c>
      <c r="F125" s="3" t="str">
        <f ca="1">IFERROR(__xludf.DUMMYFUNCTION("""COMPUTED_VALUE"""),"Beginner")</f>
        <v>Beginner</v>
      </c>
      <c r="G125" s="3"/>
      <c r="H125" s="156">
        <f ca="1">IFERROR(__xludf.DUMMYFUNCTION("""COMPUTED_VALUE"""),45646.375)</f>
        <v>45646.375</v>
      </c>
      <c r="I125" s="156">
        <f ca="1">IFERROR(__xludf.DUMMYFUNCTION("""COMPUTED_VALUE"""),45646.375)</f>
        <v>45646.375</v>
      </c>
      <c r="J125" s="3">
        <f ca="1">IFERROR(__xludf.DUMMYFUNCTION("""COMPUTED_VALUE"""),1)</f>
        <v>1</v>
      </c>
      <c r="K125" s="3" t="str">
        <f ca="1">IFERROR(__xludf.DUMMYFUNCTION("""COMPUTED_VALUE"""),"")</f>
        <v/>
      </c>
      <c r="L125" s="3" t="str">
        <f ca="1">IFERROR(__xludf.DUMMYFUNCTION("""COMPUTED_VALUE"""),"QC")</f>
        <v>QC</v>
      </c>
      <c r="M125" s="3" t="str">
        <f ca="1">IFERROR(__xludf.DUMMYFUNCTION("""COMPUTED_VALUE"""),"CHORUS")</f>
        <v>CHORUS</v>
      </c>
      <c r="N125" s="157">
        <f ca="1">IFERROR(__xludf.DUMMYFUNCTION("""COMPUTED_VALUE"""),1)</f>
        <v>1</v>
      </c>
      <c r="O125" s="157">
        <f ca="1">IFERROR(__xludf.DUMMYFUNCTION("""COMPUTED_VALUE"""),0)</f>
        <v>0</v>
      </c>
      <c r="P125" s="157"/>
      <c r="Q125" s="3">
        <f t="shared" ca="1" si="0"/>
        <v>124</v>
      </c>
      <c r="R125" s="148" t="e">
        <f ca="1"/>
        <v>#NAME?</v>
      </c>
      <c r="S125" s="147" t="e">
        <f t="shared" ca="1" si="1"/>
        <v>#NAME?</v>
      </c>
      <c r="T125" s="147" t="e">
        <f t="shared" ca="1" si="2"/>
        <v>#NAME?</v>
      </c>
      <c r="U125" s="147" t="e">
        <f t="shared" ca="1" si="3"/>
        <v>#NAME?</v>
      </c>
      <c r="X125" s="147"/>
      <c r="Y125" s="147"/>
      <c r="Z125" s="147"/>
      <c r="AA125" s="147"/>
      <c r="AB125" s="147"/>
      <c r="AC125" s="147"/>
      <c r="AD125" s="147"/>
      <c r="AE125" s="147"/>
      <c r="AF125" s="147"/>
      <c r="AG125" s="147"/>
      <c r="AH125" s="147"/>
      <c r="AI125" s="147"/>
      <c r="AJ125" s="147"/>
      <c r="AK125" s="147"/>
      <c r="AL125" s="147"/>
      <c r="AM125" s="147"/>
      <c r="AN125" s="147"/>
      <c r="AO125" s="147"/>
      <c r="AP125" s="147"/>
      <c r="AQ125" s="147"/>
    </row>
    <row r="126" spans="1:43">
      <c r="A126" s="160" t="str">
        <f ca="1">IFERROR(__xludf.DUMMYFUNCTION("""COMPUTED_VALUE"""),"247379")</f>
        <v>247379</v>
      </c>
      <c r="B126" s="3" t="str">
        <f ca="1">IFERROR(__xludf.DUMMYFUNCTION("""COMPUTED_VALUE"""),"NGUYỄN HỮU NGHỊ")</f>
        <v>NGUYỄN HỮU NGHỊ</v>
      </c>
      <c r="C126" s="160" t="str">
        <f ca="1">IFERROR(__xludf.DUMMYFUNCTION("""COMPUTED_VALUE"""),"EL012")</f>
        <v>EL012</v>
      </c>
      <c r="D126" s="160" t="str">
        <f ca="1">IFERROR(__xludf.DUMMYFUNCTION("""COMPUTED_VALUE"""),"Huyen Vo")</f>
        <v>Huyen Vo</v>
      </c>
      <c r="E126" s="3" t="str">
        <f ca="1">IFERROR(__xludf.DUMMYFUNCTION("""COMPUTED_VALUE"""),"Communication 1")</f>
        <v>Communication 1</v>
      </c>
      <c r="F126" s="3" t="str">
        <f ca="1">IFERROR(__xludf.DUMMYFUNCTION("""COMPUTED_VALUE"""),"Beginner")</f>
        <v>Beginner</v>
      </c>
      <c r="G126" s="3" t="str">
        <f ca="1">IFERROR(__xludf.DUMMYFUNCTION("""COMPUTED_VALUE"""),"Beginner 2")</f>
        <v>Beginner 2</v>
      </c>
      <c r="H126" s="156">
        <f ca="1">IFERROR(__xludf.DUMMYFUNCTION("""COMPUTED_VALUE"""),45646.375)</f>
        <v>45646.375</v>
      </c>
      <c r="I126" s="156">
        <f ca="1">IFERROR(__xludf.DUMMYFUNCTION("""COMPUTED_VALUE"""),45646.375)</f>
        <v>45646.375</v>
      </c>
      <c r="J126" s="3">
        <f ca="1">IFERROR(__xludf.DUMMYFUNCTION("""COMPUTED_VALUE"""),1)</f>
        <v>1</v>
      </c>
      <c r="K126" s="3">
        <f ca="1">IFERROR(__xludf.DUMMYFUNCTION("""COMPUTED_VALUE"""),1.5)</f>
        <v>1.5</v>
      </c>
      <c r="L126" s="3" t="str">
        <f ca="1">IFERROR(__xludf.DUMMYFUNCTION("""COMPUTED_VALUE"""),"DEV")</f>
        <v>DEV</v>
      </c>
      <c r="M126" s="3" t="str">
        <f ca="1">IFERROR(__xludf.DUMMYFUNCTION("""COMPUTED_VALUE"""),"CHORUS")</f>
        <v>CHORUS</v>
      </c>
      <c r="N126" s="157">
        <f ca="1">IFERROR(__xludf.DUMMYFUNCTION("""COMPUTED_VALUE"""),1)</f>
        <v>1</v>
      </c>
      <c r="O126" s="157">
        <f ca="1">IFERROR(__xludf.DUMMYFUNCTION("""COMPUTED_VALUE"""),1.5)</f>
        <v>1.5</v>
      </c>
      <c r="P126" s="157"/>
      <c r="Q126" s="3">
        <f t="shared" ca="1" si="0"/>
        <v>125</v>
      </c>
      <c r="R126" s="148" t="e">
        <f ca="1"/>
        <v>#NAME?</v>
      </c>
      <c r="S126" s="147" t="e">
        <f t="shared" ca="1" si="1"/>
        <v>#NAME?</v>
      </c>
      <c r="T126" s="147" t="e">
        <f t="shared" ca="1" si="2"/>
        <v>#NAME?</v>
      </c>
      <c r="U126" s="147" t="e">
        <f t="shared" ca="1" si="3"/>
        <v>#NAME?</v>
      </c>
      <c r="X126" s="147"/>
      <c r="Y126" s="147"/>
      <c r="Z126" s="147"/>
      <c r="AA126" s="147"/>
      <c r="AB126" s="147"/>
      <c r="AC126" s="147"/>
      <c r="AD126" s="147"/>
      <c r="AE126" s="147"/>
      <c r="AF126" s="147"/>
      <c r="AG126" s="147"/>
      <c r="AH126" s="147"/>
      <c r="AI126" s="147"/>
      <c r="AJ126" s="147"/>
      <c r="AK126" s="147"/>
      <c r="AL126" s="147"/>
      <c r="AM126" s="147"/>
      <c r="AN126" s="147"/>
      <c r="AO126" s="147"/>
      <c r="AP126" s="147"/>
      <c r="AQ126" s="147"/>
    </row>
    <row r="127" spans="1:43">
      <c r="A127" s="155" t="str">
        <f ca="1">IFERROR(__xludf.DUMMYFUNCTION("""COMPUTED_VALUE"""),"183422")</f>
        <v>183422</v>
      </c>
      <c r="B127" s="154" t="str">
        <f ca="1">IFERROR(__xludf.DUMMYFUNCTION("""COMPUTED_VALUE"""),"LÊ TRẦN XUÂN LÃNH")</f>
        <v>LÊ TRẦN XUÂN LÃNH</v>
      </c>
      <c r="C127" s="155" t="str">
        <f ca="1">IFERROR(__xludf.DUMMYFUNCTION("""COMPUTED_VALUE"""),"EL013")</f>
        <v>EL013</v>
      </c>
      <c r="D127" s="155" t="str">
        <f ca="1">IFERROR(__xludf.DUMMYFUNCTION("""COMPUTED_VALUE"""),"Lanh Le")</f>
        <v>Lanh Le</v>
      </c>
      <c r="E127" s="154" t="str">
        <f ca="1">IFERROR(__xludf.DUMMYFUNCTION("""COMPUTED_VALUE"""),"Communication 1")</f>
        <v>Communication 1</v>
      </c>
      <c r="F127" s="3" t="str">
        <f ca="1">IFERROR(__xludf.DUMMYFUNCTION("""COMPUTED_VALUE"""),"Beginner")</f>
        <v>Beginner</v>
      </c>
      <c r="G127" s="3" t="str">
        <f ca="1">IFERROR(__xludf.DUMMYFUNCTION("""COMPUTED_VALUE"""),"Pre-Intermediate 1")</f>
        <v>Pre-Intermediate 1</v>
      </c>
      <c r="H127" s="156">
        <f ca="1">IFERROR(__xludf.DUMMYFUNCTION("""COMPUTED_VALUE"""),45636.4583333333)</f>
        <v>45636.458333333299</v>
      </c>
      <c r="I127" s="156">
        <f ca="1">IFERROR(__xludf.DUMMYFUNCTION("""COMPUTED_VALUE"""),45636.4583333333)</f>
        <v>45636.458333333299</v>
      </c>
      <c r="J127" s="3">
        <f ca="1">IFERROR(__xludf.DUMMYFUNCTION("""COMPUTED_VALUE"""),1)</f>
        <v>1</v>
      </c>
      <c r="K127" s="3">
        <f ca="1">IFERROR(__xludf.DUMMYFUNCTION("""COMPUTED_VALUE"""),3)</f>
        <v>3</v>
      </c>
      <c r="L127" s="3" t="str">
        <f ca="1">IFERROR(__xludf.DUMMYFUNCTION("""COMPUTED_VALUE"""),"DEV")</f>
        <v>DEV</v>
      </c>
      <c r="M127" s="3" t="str">
        <f ca="1">IFERROR(__xludf.DUMMYFUNCTION("""COMPUTED_VALUE"""),"ONC")</f>
        <v>ONC</v>
      </c>
      <c r="N127" s="157">
        <f ca="1">IFERROR(__xludf.DUMMYFUNCTION("""COMPUTED_VALUE"""),1)</f>
        <v>1</v>
      </c>
      <c r="O127" s="157">
        <f ca="1">IFERROR(__xludf.DUMMYFUNCTION("""COMPUTED_VALUE"""),3.5)</f>
        <v>3.5</v>
      </c>
      <c r="P127" s="157"/>
      <c r="Q127" s="3">
        <f t="shared" ca="1" si="0"/>
        <v>126</v>
      </c>
      <c r="R127" s="148" t="e">
        <f ca="1"/>
        <v>#NAME?</v>
      </c>
      <c r="S127" s="147" t="e">
        <f t="shared" ca="1" si="1"/>
        <v>#NAME?</v>
      </c>
      <c r="T127" s="147" t="e">
        <f t="shared" ca="1" si="2"/>
        <v>#NAME?</v>
      </c>
      <c r="U127" s="147" t="e">
        <f t="shared" ca="1" si="3"/>
        <v>#NAME?</v>
      </c>
      <c r="X127" s="147"/>
      <c r="Y127" s="147"/>
      <c r="Z127" s="147"/>
      <c r="AA127" s="147"/>
      <c r="AB127" s="147"/>
      <c r="AC127" s="147"/>
      <c r="AD127" s="147"/>
      <c r="AE127" s="147"/>
      <c r="AF127" s="147"/>
      <c r="AG127" s="147"/>
      <c r="AH127" s="147"/>
      <c r="AI127" s="147"/>
      <c r="AJ127" s="147"/>
      <c r="AK127" s="147"/>
      <c r="AL127" s="147"/>
      <c r="AM127" s="147"/>
      <c r="AN127" s="147"/>
      <c r="AO127" s="147"/>
      <c r="AP127" s="147"/>
      <c r="AQ127" s="147"/>
    </row>
    <row r="128" spans="1:43">
      <c r="A128" s="160" t="str">
        <f ca="1">IFERROR(__xludf.DUMMYFUNCTION("""COMPUTED_VALUE"""),"213893")</f>
        <v>213893</v>
      </c>
      <c r="B128" s="3" t="str">
        <f ca="1">IFERROR(__xludf.DUMMYFUNCTION("""COMPUTED_VALUE"""),"HOÀNG NGỌC THẲNG")</f>
        <v>HOÀNG NGỌC THẲNG</v>
      </c>
      <c r="C128" s="160" t="str">
        <f ca="1">IFERROR(__xludf.DUMMYFUNCTION("""COMPUTED_VALUE"""),"EL013")</f>
        <v>EL013</v>
      </c>
      <c r="D128" s="160" t="str">
        <f ca="1">IFERROR(__xludf.DUMMYFUNCTION("""COMPUTED_VALUE"""),"Lanh Le")</f>
        <v>Lanh Le</v>
      </c>
      <c r="E128" s="3" t="str">
        <f ca="1">IFERROR(__xludf.DUMMYFUNCTION("""COMPUTED_VALUE"""),"Communication 1")</f>
        <v>Communication 1</v>
      </c>
      <c r="F128" s="3" t="str">
        <f ca="1">IFERROR(__xludf.DUMMYFUNCTION("""COMPUTED_VALUE"""),"Beginner")</f>
        <v>Beginner</v>
      </c>
      <c r="G128" s="3" t="str">
        <f ca="1">IFERROR(__xludf.DUMMYFUNCTION("""COMPUTED_VALUE"""),"Beginner 2")</f>
        <v>Beginner 2</v>
      </c>
      <c r="H128" s="156">
        <f ca="1">IFERROR(__xludf.DUMMYFUNCTION("""COMPUTED_VALUE"""),45636.4583333333)</f>
        <v>45636.458333333299</v>
      </c>
      <c r="I128" s="156">
        <f ca="1">IFERROR(__xludf.DUMMYFUNCTION("""COMPUTED_VALUE"""),45636.4583333333)</f>
        <v>45636.458333333299</v>
      </c>
      <c r="J128" s="3">
        <f ca="1">IFERROR(__xludf.DUMMYFUNCTION("""COMPUTED_VALUE"""),1)</f>
        <v>1</v>
      </c>
      <c r="K128" s="3">
        <f ca="1">IFERROR(__xludf.DUMMYFUNCTION("""COMPUTED_VALUE"""),1.5)</f>
        <v>1.5</v>
      </c>
      <c r="L128" s="3" t="str">
        <f ca="1">IFERROR(__xludf.DUMMYFUNCTION("""COMPUTED_VALUE"""),"DEV")</f>
        <v>DEV</v>
      </c>
      <c r="M128" s="3" t="str">
        <f ca="1">IFERROR(__xludf.DUMMYFUNCTION("""COMPUTED_VALUE"""),"ONC")</f>
        <v>ONC</v>
      </c>
      <c r="N128" s="157">
        <f ca="1">IFERROR(__xludf.DUMMYFUNCTION("""COMPUTED_VALUE"""),1)</f>
        <v>1</v>
      </c>
      <c r="O128" s="157">
        <f ca="1">IFERROR(__xludf.DUMMYFUNCTION("""COMPUTED_VALUE"""),3)</f>
        <v>3</v>
      </c>
      <c r="P128" s="157"/>
      <c r="Q128" s="3">
        <f t="shared" ca="1" si="0"/>
        <v>127</v>
      </c>
      <c r="R128" s="148" t="e">
        <f ca="1"/>
        <v>#NAME?</v>
      </c>
      <c r="S128" s="147" t="e">
        <f t="shared" ca="1" si="1"/>
        <v>#NAME?</v>
      </c>
      <c r="T128" s="147" t="e">
        <f t="shared" ca="1" si="2"/>
        <v>#NAME?</v>
      </c>
      <c r="U128" s="147" t="e">
        <f t="shared" ca="1" si="3"/>
        <v>#NAME?</v>
      </c>
      <c r="X128" s="147"/>
      <c r="Y128" s="147"/>
      <c r="Z128" s="147"/>
      <c r="AA128" s="147"/>
      <c r="AB128" s="147"/>
      <c r="AC128" s="147"/>
      <c r="AD128" s="147"/>
      <c r="AE128" s="147"/>
      <c r="AF128" s="147"/>
      <c r="AG128" s="147"/>
      <c r="AH128" s="147"/>
      <c r="AI128" s="147"/>
      <c r="AJ128" s="147"/>
      <c r="AK128" s="147"/>
      <c r="AL128" s="147"/>
      <c r="AM128" s="147"/>
      <c r="AN128" s="147"/>
      <c r="AO128" s="147"/>
      <c r="AP128" s="147"/>
      <c r="AQ128" s="147"/>
    </row>
    <row r="129" spans="1:43">
      <c r="A129" s="160" t="str">
        <f ca="1">IFERROR(__xludf.DUMMYFUNCTION("""COMPUTED_VALUE"""),"227244")</f>
        <v>227244</v>
      </c>
      <c r="B129" s="3" t="str">
        <f ca="1">IFERROR(__xludf.DUMMYFUNCTION("""COMPUTED_VALUE"""),"HUỲNH PHÚC TRƯỜNG")</f>
        <v>HUỲNH PHÚC TRƯỜNG</v>
      </c>
      <c r="C129" s="160" t="str">
        <f ca="1">IFERROR(__xludf.DUMMYFUNCTION("""COMPUTED_VALUE"""),"EL013")</f>
        <v>EL013</v>
      </c>
      <c r="D129" s="160" t="str">
        <f ca="1">IFERROR(__xludf.DUMMYFUNCTION("""COMPUTED_VALUE"""),"Lanh Le")</f>
        <v>Lanh Le</v>
      </c>
      <c r="E129" s="3" t="str">
        <f ca="1">IFERROR(__xludf.DUMMYFUNCTION("""COMPUTED_VALUE"""),"Communication 1")</f>
        <v>Communication 1</v>
      </c>
      <c r="F129" s="3" t="str">
        <f ca="1">IFERROR(__xludf.DUMMYFUNCTION("""COMPUTED_VALUE"""),"Pre-Intermediate")</f>
        <v>Pre-Intermediate</v>
      </c>
      <c r="G129" s="3" t="str">
        <f ca="1">IFERROR(__xludf.DUMMYFUNCTION("""COMPUTED_VALUE"""),"Pre-Intermediate 1")</f>
        <v>Pre-Intermediate 1</v>
      </c>
      <c r="H129" s="156">
        <f ca="1">IFERROR(__xludf.DUMMYFUNCTION("""COMPUTED_VALUE"""),45636.4583333333)</f>
        <v>45636.458333333299</v>
      </c>
      <c r="I129" s="156">
        <f ca="1">IFERROR(__xludf.DUMMYFUNCTION("""COMPUTED_VALUE"""),45636.4583333333)</f>
        <v>45636.458333333299</v>
      </c>
      <c r="J129" s="3">
        <f ca="1">IFERROR(__xludf.DUMMYFUNCTION("""COMPUTED_VALUE"""),2.5)</f>
        <v>2.5</v>
      </c>
      <c r="K129" s="3">
        <f ca="1">IFERROR(__xludf.DUMMYFUNCTION("""COMPUTED_VALUE"""),3)</f>
        <v>3</v>
      </c>
      <c r="L129" s="3" t="str">
        <f ca="1">IFERROR(__xludf.DUMMYFUNCTION("""COMPUTED_VALUE"""),"DEV")</f>
        <v>DEV</v>
      </c>
      <c r="M129" s="3" t="str">
        <f ca="1">IFERROR(__xludf.DUMMYFUNCTION("""COMPUTED_VALUE"""),"ONC")</f>
        <v>ONC</v>
      </c>
      <c r="N129" s="157">
        <f ca="1">IFERROR(__xludf.DUMMYFUNCTION("""COMPUTED_VALUE"""),2.5)</f>
        <v>2.5</v>
      </c>
      <c r="O129" s="157">
        <f ca="1">IFERROR(__xludf.DUMMYFUNCTION("""COMPUTED_VALUE"""),3.5)</f>
        <v>3.5</v>
      </c>
      <c r="P129" s="157"/>
      <c r="Q129" s="3">
        <f t="shared" ca="1" si="0"/>
        <v>128</v>
      </c>
      <c r="R129" s="148" t="e">
        <f ca="1"/>
        <v>#NAME?</v>
      </c>
      <c r="S129" s="147" t="e">
        <f t="shared" ca="1" si="1"/>
        <v>#NAME?</v>
      </c>
      <c r="T129" s="147" t="e">
        <f t="shared" ca="1" si="2"/>
        <v>#NAME?</v>
      </c>
      <c r="U129" s="147" t="e">
        <f t="shared" ca="1" si="3"/>
        <v>#NAME?</v>
      </c>
      <c r="X129" s="147"/>
      <c r="Y129" s="147"/>
      <c r="Z129" s="147"/>
      <c r="AA129" s="147"/>
      <c r="AB129" s="147"/>
      <c r="AC129" s="147"/>
      <c r="AD129" s="147"/>
      <c r="AE129" s="147"/>
      <c r="AF129" s="147"/>
      <c r="AG129" s="147"/>
      <c r="AH129" s="147"/>
      <c r="AI129" s="147"/>
      <c r="AJ129" s="147"/>
      <c r="AK129" s="147"/>
      <c r="AL129" s="147"/>
      <c r="AM129" s="147"/>
      <c r="AN129" s="147"/>
      <c r="AO129" s="147"/>
      <c r="AP129" s="147"/>
      <c r="AQ129" s="147"/>
    </row>
    <row r="130" spans="1:43">
      <c r="A130" s="160" t="str">
        <f ca="1">IFERROR(__xludf.DUMMYFUNCTION("""COMPUTED_VALUE"""),"213936")</f>
        <v>213936</v>
      </c>
      <c r="B130" s="3" t="str">
        <f ca="1">IFERROR(__xludf.DUMMYFUNCTION("""COMPUTED_VALUE"""),"NGUYỄN QUỐC TUẤN")</f>
        <v>NGUYỄN QUỐC TUẤN</v>
      </c>
      <c r="C130" s="160" t="str">
        <f ca="1">IFERROR(__xludf.DUMMYFUNCTION("""COMPUTED_VALUE"""),"EL013")</f>
        <v>EL013</v>
      </c>
      <c r="D130" s="160" t="str">
        <f ca="1">IFERROR(__xludf.DUMMYFUNCTION("""COMPUTED_VALUE"""),"Lanh Le")</f>
        <v>Lanh Le</v>
      </c>
      <c r="E130" s="3" t="str">
        <f ca="1">IFERROR(__xludf.DUMMYFUNCTION("""COMPUTED_VALUE"""),"Communication 1")</f>
        <v>Communication 1</v>
      </c>
      <c r="F130" s="3" t="str">
        <f ca="1">IFERROR(__xludf.DUMMYFUNCTION("""COMPUTED_VALUE"""),"Beginner")</f>
        <v>Beginner</v>
      </c>
      <c r="G130" s="3" t="str">
        <f ca="1">IFERROR(__xludf.DUMMYFUNCTION("""COMPUTED_VALUE"""),"Beginner 2")</f>
        <v>Beginner 2</v>
      </c>
      <c r="H130" s="156">
        <f ca="1">IFERROR(__xludf.DUMMYFUNCTION("""COMPUTED_VALUE"""),45636.4583333333)</f>
        <v>45636.458333333299</v>
      </c>
      <c r="I130" s="156">
        <f ca="1">IFERROR(__xludf.DUMMYFUNCTION("""COMPUTED_VALUE"""),45636.4583333333)</f>
        <v>45636.458333333299</v>
      </c>
      <c r="J130" s="3">
        <f ca="1">IFERROR(__xludf.DUMMYFUNCTION("""COMPUTED_VALUE"""),1)</f>
        <v>1</v>
      </c>
      <c r="K130" s="3">
        <f ca="1">IFERROR(__xludf.DUMMYFUNCTION("""COMPUTED_VALUE"""),1.5)</f>
        <v>1.5</v>
      </c>
      <c r="L130" s="3" t="str">
        <f ca="1">IFERROR(__xludf.DUMMYFUNCTION("""COMPUTED_VALUE"""),"DEV")</f>
        <v>DEV</v>
      </c>
      <c r="M130" s="3" t="str">
        <f ca="1">IFERROR(__xludf.DUMMYFUNCTION("""COMPUTED_VALUE"""),"ONC")</f>
        <v>ONC</v>
      </c>
      <c r="N130" s="157">
        <f ca="1">IFERROR(__xludf.DUMMYFUNCTION("""COMPUTED_VALUE"""),1)</f>
        <v>1</v>
      </c>
      <c r="O130" s="157">
        <f ca="1">IFERROR(__xludf.DUMMYFUNCTION("""COMPUTED_VALUE"""),1.5)</f>
        <v>1.5</v>
      </c>
      <c r="P130" s="157"/>
      <c r="Q130" s="3">
        <f t="shared" ca="1" si="0"/>
        <v>129</v>
      </c>
      <c r="R130" s="148" t="e">
        <f ca="1"/>
        <v>#NAME?</v>
      </c>
      <c r="S130" s="147" t="e">
        <f t="shared" ca="1" si="1"/>
        <v>#NAME?</v>
      </c>
      <c r="T130" s="147" t="e">
        <f t="shared" ca="1" si="2"/>
        <v>#NAME?</v>
      </c>
      <c r="U130" s="147" t="e">
        <f t="shared" ca="1" si="3"/>
        <v>#NAME?</v>
      </c>
      <c r="X130" s="147"/>
      <c r="Y130" s="147"/>
      <c r="Z130" s="147"/>
      <c r="AA130" s="147"/>
      <c r="AB130" s="147"/>
      <c r="AC130" s="147"/>
      <c r="AD130" s="147"/>
      <c r="AE130" s="147"/>
      <c r="AF130" s="147"/>
      <c r="AG130" s="147"/>
      <c r="AH130" s="147"/>
      <c r="AI130" s="147"/>
      <c r="AJ130" s="147"/>
      <c r="AK130" s="147"/>
      <c r="AL130" s="147"/>
      <c r="AM130" s="147"/>
      <c r="AN130" s="147"/>
      <c r="AO130" s="147"/>
      <c r="AP130" s="147"/>
      <c r="AQ130" s="147"/>
    </row>
    <row r="131" spans="1:43">
      <c r="A131" s="160" t="str">
        <f ca="1">IFERROR(__xludf.DUMMYFUNCTION("""COMPUTED_VALUE"""),"193516")</f>
        <v>193516</v>
      </c>
      <c r="B131" s="3" t="str">
        <f ca="1">IFERROR(__xludf.DUMMYFUNCTION("""COMPUTED_VALUE"""),"TRẦN ANH DUY")</f>
        <v>TRẦN ANH DUY</v>
      </c>
      <c r="C131" s="160" t="str">
        <f ca="1">IFERROR(__xludf.DUMMYFUNCTION("""COMPUTED_VALUE"""),"EL013")</f>
        <v>EL013</v>
      </c>
      <c r="D131" s="160" t="str">
        <f ca="1">IFERROR(__xludf.DUMMYFUNCTION("""COMPUTED_VALUE"""),"Lanh Le")</f>
        <v>Lanh Le</v>
      </c>
      <c r="E131" s="3" t="str">
        <f ca="1">IFERROR(__xludf.DUMMYFUNCTION("""COMPUTED_VALUE"""),"Communication 1")</f>
        <v>Communication 1</v>
      </c>
      <c r="F131" s="3" t="str">
        <f ca="1">IFERROR(__xludf.DUMMYFUNCTION("""COMPUTED_VALUE"""),"Pre-Intermediate")</f>
        <v>Pre-Intermediate</v>
      </c>
      <c r="G131" s="3" t="str">
        <f ca="1">IFERROR(__xludf.DUMMYFUNCTION("""COMPUTED_VALUE"""),"Pre-Intermediate 2")</f>
        <v>Pre-Intermediate 2</v>
      </c>
      <c r="H131" s="156">
        <f ca="1">IFERROR(__xludf.DUMMYFUNCTION("""COMPUTED_VALUE"""),45636.4583333333)</f>
        <v>45636.458333333299</v>
      </c>
      <c r="I131" s="156">
        <f ca="1">IFERROR(__xludf.DUMMYFUNCTION("""COMPUTED_VALUE"""),45636.4583333333)</f>
        <v>45636.458333333299</v>
      </c>
      <c r="J131" s="3">
        <f ca="1">IFERROR(__xludf.DUMMYFUNCTION("""COMPUTED_VALUE"""),2.5)</f>
        <v>2.5</v>
      </c>
      <c r="K131" s="3">
        <f ca="1">IFERROR(__xludf.DUMMYFUNCTION("""COMPUTED_VALUE"""),3.5)</f>
        <v>3.5</v>
      </c>
      <c r="L131" s="3" t="str">
        <f ca="1">IFERROR(__xludf.DUMMYFUNCTION("""COMPUTED_VALUE"""),"DEV")</f>
        <v>DEV</v>
      </c>
      <c r="M131" s="3" t="str">
        <f ca="1">IFERROR(__xludf.DUMMYFUNCTION("""COMPUTED_VALUE"""),"ONC")</f>
        <v>ONC</v>
      </c>
      <c r="N131" s="157">
        <f ca="1">IFERROR(__xludf.DUMMYFUNCTION("""COMPUTED_VALUE"""),2.5)</f>
        <v>2.5</v>
      </c>
      <c r="O131" s="157">
        <f ca="1">IFERROR(__xludf.DUMMYFUNCTION("""COMPUTED_VALUE"""),3.5)</f>
        <v>3.5</v>
      </c>
      <c r="P131" s="157"/>
      <c r="Q131" s="3">
        <f t="shared" ca="1" si="0"/>
        <v>130</v>
      </c>
      <c r="R131" s="148" t="e">
        <f ca="1"/>
        <v>#NAME?</v>
      </c>
      <c r="S131" s="147" t="e">
        <f t="shared" ca="1" si="1"/>
        <v>#NAME?</v>
      </c>
      <c r="T131" s="147" t="e">
        <f t="shared" ca="1" si="2"/>
        <v>#NAME?</v>
      </c>
      <c r="U131" s="147" t="e">
        <f t="shared" ca="1" si="3"/>
        <v>#NAME?</v>
      </c>
      <c r="X131" s="147"/>
      <c r="Y131" s="147"/>
      <c r="Z131" s="147"/>
      <c r="AA131" s="147"/>
      <c r="AB131" s="147"/>
      <c r="AC131" s="147"/>
      <c r="AD131" s="147"/>
      <c r="AE131" s="147"/>
      <c r="AF131" s="147"/>
      <c r="AG131" s="147"/>
      <c r="AH131" s="147"/>
      <c r="AI131" s="147"/>
      <c r="AJ131" s="147"/>
      <c r="AK131" s="147"/>
      <c r="AL131" s="147"/>
      <c r="AM131" s="147"/>
      <c r="AN131" s="147"/>
      <c r="AO131" s="147"/>
      <c r="AP131" s="147"/>
      <c r="AQ131" s="147"/>
    </row>
    <row r="132" spans="1:43">
      <c r="A132" s="160" t="str">
        <f ca="1">IFERROR(__xludf.DUMMYFUNCTION("""COMPUTED_VALUE"""),"247234")</f>
        <v>247234</v>
      </c>
      <c r="B132" s="3" t="str">
        <f ca="1">IFERROR(__xludf.DUMMYFUNCTION("""COMPUTED_VALUE"""),"TRẦN DƯƠNG HOÀN MỸ")</f>
        <v>TRẦN DƯƠNG HOÀN MỸ</v>
      </c>
      <c r="C132" s="160" t="str">
        <f ca="1">IFERROR(__xludf.DUMMYFUNCTION("""COMPUTED_VALUE"""),"EL013")</f>
        <v>EL013</v>
      </c>
      <c r="D132" s="160" t="str">
        <f ca="1">IFERROR(__xludf.DUMMYFUNCTION("""COMPUTED_VALUE"""),"Lanh Le")</f>
        <v>Lanh Le</v>
      </c>
      <c r="E132" s="3" t="str">
        <f ca="1">IFERROR(__xludf.DUMMYFUNCTION("""COMPUTED_VALUE"""),"Communication 1")</f>
        <v>Communication 1</v>
      </c>
      <c r="F132" s="3" t="str">
        <f ca="1">IFERROR(__xludf.DUMMYFUNCTION("""COMPUTED_VALUE"""),"Beginner")</f>
        <v>Beginner</v>
      </c>
      <c r="G132" s="3" t="str">
        <f ca="1">IFERROR(__xludf.DUMMYFUNCTION("""COMPUTED_VALUE"""),"Pre-Intermediate 2")</f>
        <v>Pre-Intermediate 2</v>
      </c>
      <c r="H132" s="156">
        <f ca="1">IFERROR(__xludf.DUMMYFUNCTION("""COMPUTED_VALUE"""),45636.4583333333)</f>
        <v>45636.458333333299</v>
      </c>
      <c r="I132" s="156">
        <f ca="1">IFERROR(__xludf.DUMMYFUNCTION("""COMPUTED_VALUE"""),45636.4583333333)</f>
        <v>45636.458333333299</v>
      </c>
      <c r="J132" s="3">
        <f ca="1">IFERROR(__xludf.DUMMYFUNCTION("""COMPUTED_VALUE"""),1)</f>
        <v>1</v>
      </c>
      <c r="K132" s="3">
        <f ca="1">IFERROR(__xludf.DUMMYFUNCTION("""COMPUTED_VALUE"""),3.5)</f>
        <v>3.5</v>
      </c>
      <c r="L132" s="3" t="str">
        <f ca="1">IFERROR(__xludf.DUMMYFUNCTION("""COMPUTED_VALUE"""),"QC")</f>
        <v>QC</v>
      </c>
      <c r="M132" s="3" t="str">
        <f ca="1">IFERROR(__xludf.DUMMYFUNCTION("""COMPUTED_VALUE"""),"LBU")</f>
        <v>LBU</v>
      </c>
      <c r="N132" s="157">
        <f ca="1">IFERROR(__xludf.DUMMYFUNCTION("""COMPUTED_VALUE"""),1)</f>
        <v>1</v>
      </c>
      <c r="O132" s="157">
        <f ca="1">IFERROR(__xludf.DUMMYFUNCTION("""COMPUTED_VALUE"""),5)</f>
        <v>5</v>
      </c>
      <c r="P132" s="157"/>
      <c r="Q132" s="3">
        <f t="shared" ca="1" si="0"/>
        <v>131</v>
      </c>
      <c r="R132" s="148" t="e">
        <f ca="1"/>
        <v>#NAME?</v>
      </c>
      <c r="S132" s="147" t="e">
        <f t="shared" ca="1" si="1"/>
        <v>#NAME?</v>
      </c>
      <c r="T132" s="147" t="e">
        <f t="shared" ca="1" si="2"/>
        <v>#NAME?</v>
      </c>
      <c r="U132" s="147" t="e">
        <f t="shared" ca="1" si="3"/>
        <v>#NAME?</v>
      </c>
      <c r="X132" s="147"/>
      <c r="Y132" s="147"/>
      <c r="Z132" s="147"/>
      <c r="AA132" s="147"/>
      <c r="AB132" s="147"/>
      <c r="AC132" s="147"/>
      <c r="AD132" s="147"/>
      <c r="AE132" s="147"/>
      <c r="AF132" s="147"/>
      <c r="AG132" s="147"/>
      <c r="AH132" s="147"/>
      <c r="AI132" s="147"/>
      <c r="AJ132" s="147"/>
      <c r="AK132" s="147"/>
      <c r="AL132" s="147"/>
      <c r="AM132" s="147"/>
      <c r="AN132" s="147"/>
      <c r="AO132" s="147"/>
      <c r="AP132" s="147"/>
      <c r="AQ132" s="147"/>
    </row>
    <row r="133" spans="1:43">
      <c r="A133" s="155" t="str">
        <f ca="1">IFERROR(__xludf.DUMMYFUNCTION("""COMPUTED_VALUE"""),"183422")</f>
        <v>183422</v>
      </c>
      <c r="B133" s="154" t="str">
        <f ca="1">IFERROR(__xludf.DUMMYFUNCTION("""COMPUTED_VALUE"""),"LÊ TRẦN XUÂN LÃNH")</f>
        <v>LÊ TRẦN XUÂN LÃNH</v>
      </c>
      <c r="C133" s="155" t="str">
        <f ca="1">IFERROR(__xludf.DUMMYFUNCTION("""COMPUTED_VALUE"""),"EL013")</f>
        <v>EL013</v>
      </c>
      <c r="D133" s="155" t="str">
        <f ca="1">IFERROR(__xludf.DUMMYFUNCTION("""COMPUTED_VALUE"""),"Lanh Le")</f>
        <v>Lanh Le</v>
      </c>
      <c r="E133" s="154" t="str">
        <f ca="1">IFERROR(__xludf.DUMMYFUNCTION("""COMPUTED_VALUE"""),"Communication 2")</f>
        <v>Communication 2</v>
      </c>
      <c r="F133" s="3" t="str">
        <f ca="1">IFERROR(__xludf.DUMMYFUNCTION("""COMPUTED_VALUE"""),"Pre-Intermediate 1")</f>
        <v>Pre-Intermediate 1</v>
      </c>
      <c r="G133" s="3" t="str">
        <f ca="1">IFERROR(__xludf.DUMMYFUNCTION("""COMPUTED_VALUE"""),"Pre-Intermediate 2")</f>
        <v>Pre-Intermediate 2</v>
      </c>
      <c r="H133" s="156">
        <f ca="1">IFERROR(__xludf.DUMMYFUNCTION("""COMPUTED_VALUE"""),45841.375)</f>
        <v>45841.375</v>
      </c>
      <c r="I133" s="156">
        <f ca="1">IFERROR(__xludf.DUMMYFUNCTION("""COMPUTED_VALUE"""),45636.4583333333)</f>
        <v>45636.458333333299</v>
      </c>
      <c r="J133" s="3">
        <f ca="1">IFERROR(__xludf.DUMMYFUNCTION("""COMPUTED_VALUE"""),3)</f>
        <v>3</v>
      </c>
      <c r="K133" s="3">
        <f ca="1">IFERROR(__xludf.DUMMYFUNCTION("""COMPUTED_VALUE"""),3.5)</f>
        <v>3.5</v>
      </c>
      <c r="L133" s="3" t="str">
        <f ca="1">IFERROR(__xludf.DUMMYFUNCTION("""COMPUTED_VALUE"""),"DEV")</f>
        <v>DEV</v>
      </c>
      <c r="M133" s="3" t="str">
        <f ca="1">IFERROR(__xludf.DUMMYFUNCTION("""COMPUTED_VALUE"""),"ONC")</f>
        <v>ONC</v>
      </c>
      <c r="N133" s="157">
        <f ca="1">IFERROR(__xludf.DUMMYFUNCTION("""COMPUTED_VALUE"""),1)</f>
        <v>1</v>
      </c>
      <c r="O133" s="157">
        <f ca="1">IFERROR(__xludf.DUMMYFUNCTION("""COMPUTED_VALUE"""),3.5)</f>
        <v>3.5</v>
      </c>
      <c r="P133" s="157"/>
      <c r="Q133" s="3">
        <f t="shared" ca="1" si="0"/>
        <v>132</v>
      </c>
      <c r="R133" s="148" t="e">
        <f ca="1"/>
        <v>#NAME?</v>
      </c>
      <c r="S133" s="147" t="e">
        <f t="shared" ca="1" si="1"/>
        <v>#NAME?</v>
      </c>
      <c r="T133" s="147" t="e">
        <f t="shared" ca="1" si="2"/>
        <v>#NAME?</v>
      </c>
      <c r="U133" s="147" t="e">
        <f t="shared" ca="1" si="3"/>
        <v>#NAME?</v>
      </c>
      <c r="X133" s="147"/>
      <c r="Y133" s="147"/>
      <c r="Z133" s="147"/>
      <c r="AA133" s="147"/>
      <c r="AB133" s="147"/>
      <c r="AC133" s="147"/>
      <c r="AD133" s="147"/>
      <c r="AE133" s="147"/>
      <c r="AF133" s="147"/>
      <c r="AG133" s="147"/>
      <c r="AH133" s="147"/>
      <c r="AI133" s="147"/>
      <c r="AJ133" s="147"/>
      <c r="AK133" s="147"/>
      <c r="AL133" s="147"/>
      <c r="AM133" s="147"/>
      <c r="AN133" s="147"/>
      <c r="AO133" s="147"/>
      <c r="AP133" s="147"/>
      <c r="AQ133" s="147"/>
    </row>
    <row r="134" spans="1:43">
      <c r="A134" s="160" t="str">
        <f ca="1">IFERROR(__xludf.DUMMYFUNCTION("""COMPUTED_VALUE"""),"213893")</f>
        <v>213893</v>
      </c>
      <c r="B134" s="3" t="str">
        <f ca="1">IFERROR(__xludf.DUMMYFUNCTION("""COMPUTED_VALUE"""),"HOÀNG NGỌC THẲNG")</f>
        <v>HOÀNG NGỌC THẲNG</v>
      </c>
      <c r="C134" s="160" t="str">
        <f ca="1">IFERROR(__xludf.DUMMYFUNCTION("""COMPUTED_VALUE"""),"EL013")</f>
        <v>EL013</v>
      </c>
      <c r="D134" s="160" t="str">
        <f ca="1">IFERROR(__xludf.DUMMYFUNCTION("""COMPUTED_VALUE"""),"Lanh Le")</f>
        <v>Lanh Le</v>
      </c>
      <c r="E134" s="3" t="str">
        <f ca="1">IFERROR(__xludf.DUMMYFUNCTION("""COMPUTED_VALUE"""),"Communication 2")</f>
        <v>Communication 2</v>
      </c>
      <c r="F134" s="3" t="str">
        <f ca="1">IFERROR(__xludf.DUMMYFUNCTION("""COMPUTED_VALUE"""),"Beginner 2")</f>
        <v>Beginner 2</v>
      </c>
      <c r="G134" s="3" t="str">
        <f ca="1">IFERROR(__xludf.DUMMYFUNCTION("""COMPUTED_VALUE"""),"Pre-Intermediate 1")</f>
        <v>Pre-Intermediate 1</v>
      </c>
      <c r="H134" s="156">
        <f ca="1">IFERROR(__xludf.DUMMYFUNCTION("""COMPUTED_VALUE"""),45841.375)</f>
        <v>45841.375</v>
      </c>
      <c r="I134" s="156">
        <f ca="1">IFERROR(__xludf.DUMMYFUNCTION("""COMPUTED_VALUE"""),45636.4583333333)</f>
        <v>45636.458333333299</v>
      </c>
      <c r="J134" s="3">
        <f ca="1">IFERROR(__xludf.DUMMYFUNCTION("""COMPUTED_VALUE"""),1.5)</f>
        <v>1.5</v>
      </c>
      <c r="K134" s="3">
        <f ca="1">IFERROR(__xludf.DUMMYFUNCTION("""COMPUTED_VALUE"""),3)</f>
        <v>3</v>
      </c>
      <c r="L134" s="3" t="str">
        <f ca="1">IFERROR(__xludf.DUMMYFUNCTION("""COMPUTED_VALUE"""),"DEV")</f>
        <v>DEV</v>
      </c>
      <c r="M134" s="3" t="str">
        <f ca="1">IFERROR(__xludf.DUMMYFUNCTION("""COMPUTED_VALUE"""),"ONC")</f>
        <v>ONC</v>
      </c>
      <c r="N134" s="157">
        <f ca="1">IFERROR(__xludf.DUMMYFUNCTION("""COMPUTED_VALUE"""),1)</f>
        <v>1</v>
      </c>
      <c r="O134" s="157">
        <f ca="1">IFERROR(__xludf.DUMMYFUNCTION("""COMPUTED_VALUE"""),3)</f>
        <v>3</v>
      </c>
      <c r="P134" s="157"/>
      <c r="Q134" s="3">
        <f t="shared" ca="1" si="0"/>
        <v>133</v>
      </c>
      <c r="R134" s="148" t="e">
        <f ca="1"/>
        <v>#NAME?</v>
      </c>
      <c r="S134" s="147" t="e">
        <f t="shared" ca="1" si="1"/>
        <v>#NAME?</v>
      </c>
      <c r="T134" s="147" t="e">
        <f t="shared" ca="1" si="2"/>
        <v>#NAME?</v>
      </c>
      <c r="U134" s="147" t="e">
        <f t="shared" ca="1" si="3"/>
        <v>#NAME?</v>
      </c>
      <c r="X134" s="147"/>
      <c r="Y134" s="147"/>
      <c r="Z134" s="147"/>
      <c r="AA134" s="147"/>
      <c r="AB134" s="147"/>
      <c r="AC134" s="147"/>
      <c r="AD134" s="147"/>
      <c r="AE134" s="147"/>
      <c r="AF134" s="147"/>
      <c r="AG134" s="147"/>
      <c r="AH134" s="147"/>
      <c r="AI134" s="147"/>
      <c r="AJ134" s="147"/>
      <c r="AK134" s="147"/>
      <c r="AL134" s="147"/>
      <c r="AM134" s="147"/>
      <c r="AN134" s="147"/>
      <c r="AO134" s="147"/>
      <c r="AP134" s="147"/>
      <c r="AQ134" s="147"/>
    </row>
    <row r="135" spans="1:43">
      <c r="A135" s="160" t="str">
        <f ca="1">IFERROR(__xludf.DUMMYFUNCTION("""COMPUTED_VALUE"""),"227244")</f>
        <v>227244</v>
      </c>
      <c r="B135" s="3" t="str">
        <f ca="1">IFERROR(__xludf.DUMMYFUNCTION("""COMPUTED_VALUE"""),"HUỲNH PHÚC TRƯỜNG")</f>
        <v>HUỲNH PHÚC TRƯỜNG</v>
      </c>
      <c r="C135" s="160" t="str">
        <f ca="1">IFERROR(__xludf.DUMMYFUNCTION("""COMPUTED_VALUE"""),"EL013")</f>
        <v>EL013</v>
      </c>
      <c r="D135" s="160" t="str">
        <f ca="1">IFERROR(__xludf.DUMMYFUNCTION("""COMPUTED_VALUE"""),"Lanh Le")</f>
        <v>Lanh Le</v>
      </c>
      <c r="E135" s="3" t="str">
        <f ca="1">IFERROR(__xludf.DUMMYFUNCTION("""COMPUTED_VALUE"""),"Communication 2")</f>
        <v>Communication 2</v>
      </c>
      <c r="F135" s="3" t="str">
        <f ca="1">IFERROR(__xludf.DUMMYFUNCTION("""COMPUTED_VALUE"""),"Pre-Intermediate 1")</f>
        <v>Pre-Intermediate 1</v>
      </c>
      <c r="G135" s="3" t="str">
        <f ca="1">IFERROR(__xludf.DUMMYFUNCTION("""COMPUTED_VALUE"""),"Pre-Intermediate 2")</f>
        <v>Pre-Intermediate 2</v>
      </c>
      <c r="H135" s="156">
        <f ca="1">IFERROR(__xludf.DUMMYFUNCTION("""COMPUTED_VALUE"""),45841.375)</f>
        <v>45841.375</v>
      </c>
      <c r="I135" s="156">
        <f ca="1">IFERROR(__xludf.DUMMYFUNCTION("""COMPUTED_VALUE"""),45636.4583333333)</f>
        <v>45636.458333333299</v>
      </c>
      <c r="J135" s="3">
        <f ca="1">IFERROR(__xludf.DUMMYFUNCTION("""COMPUTED_VALUE"""),3)</f>
        <v>3</v>
      </c>
      <c r="K135" s="3">
        <f ca="1">IFERROR(__xludf.DUMMYFUNCTION("""COMPUTED_VALUE"""),3.5)</f>
        <v>3.5</v>
      </c>
      <c r="L135" s="3" t="str">
        <f ca="1">IFERROR(__xludf.DUMMYFUNCTION("""COMPUTED_VALUE"""),"DEV")</f>
        <v>DEV</v>
      </c>
      <c r="M135" s="3" t="str">
        <f ca="1">IFERROR(__xludf.DUMMYFUNCTION("""COMPUTED_VALUE"""),"ONC")</f>
        <v>ONC</v>
      </c>
      <c r="N135" s="157">
        <f ca="1">IFERROR(__xludf.DUMMYFUNCTION("""COMPUTED_VALUE"""),2.5)</f>
        <v>2.5</v>
      </c>
      <c r="O135" s="157">
        <f ca="1">IFERROR(__xludf.DUMMYFUNCTION("""COMPUTED_VALUE"""),3.5)</f>
        <v>3.5</v>
      </c>
      <c r="P135" s="157"/>
      <c r="Q135" s="3">
        <f t="shared" ca="1" si="0"/>
        <v>134</v>
      </c>
      <c r="R135" s="148" t="e">
        <f ca="1"/>
        <v>#NAME?</v>
      </c>
      <c r="S135" s="147" t="e">
        <f t="shared" ca="1" si="1"/>
        <v>#NAME?</v>
      </c>
      <c r="T135" s="147" t="e">
        <f t="shared" ca="1" si="2"/>
        <v>#NAME?</v>
      </c>
      <c r="U135" s="147" t="e">
        <f t="shared" ca="1" si="3"/>
        <v>#NAME?</v>
      </c>
      <c r="X135" s="147"/>
      <c r="Y135" s="147"/>
      <c r="Z135" s="147"/>
      <c r="AA135" s="147"/>
      <c r="AB135" s="147"/>
      <c r="AC135" s="147"/>
      <c r="AD135" s="147"/>
      <c r="AE135" s="147"/>
      <c r="AF135" s="147"/>
      <c r="AG135" s="147"/>
      <c r="AH135" s="147"/>
      <c r="AI135" s="147"/>
      <c r="AJ135" s="147"/>
      <c r="AK135" s="147"/>
      <c r="AL135" s="147"/>
      <c r="AM135" s="147"/>
      <c r="AN135" s="147"/>
      <c r="AO135" s="147"/>
      <c r="AP135" s="147"/>
      <c r="AQ135" s="147"/>
    </row>
    <row r="136" spans="1:43">
      <c r="A136" s="160" t="str">
        <f ca="1">IFERROR(__xludf.DUMMYFUNCTION("""COMPUTED_VALUE"""),"213936")</f>
        <v>213936</v>
      </c>
      <c r="B136" s="3" t="str">
        <f ca="1">IFERROR(__xludf.DUMMYFUNCTION("""COMPUTED_VALUE"""),"NGUYỄN QUỐC TUẤN")</f>
        <v>NGUYỄN QUỐC TUẤN</v>
      </c>
      <c r="C136" s="160" t="str">
        <f ca="1">IFERROR(__xludf.DUMMYFUNCTION("""COMPUTED_VALUE"""),"EL013")</f>
        <v>EL013</v>
      </c>
      <c r="D136" s="160" t="str">
        <f ca="1">IFERROR(__xludf.DUMMYFUNCTION("""COMPUTED_VALUE"""),"Lanh Le")</f>
        <v>Lanh Le</v>
      </c>
      <c r="E136" s="3" t="str">
        <f ca="1">IFERROR(__xludf.DUMMYFUNCTION("""COMPUTED_VALUE"""),"Communication 2")</f>
        <v>Communication 2</v>
      </c>
      <c r="F136" s="3" t="str">
        <f ca="1">IFERROR(__xludf.DUMMYFUNCTION("""COMPUTED_VALUE"""),"Beginner 2")</f>
        <v>Beginner 2</v>
      </c>
      <c r="G136" s="3"/>
      <c r="H136" s="156">
        <f ca="1">IFERROR(__xludf.DUMMYFUNCTION("""COMPUTED_VALUE"""),45841.375)</f>
        <v>45841.375</v>
      </c>
      <c r="I136" s="156">
        <f ca="1">IFERROR(__xludf.DUMMYFUNCTION("""COMPUTED_VALUE"""),45636.4583333333)</f>
        <v>45636.458333333299</v>
      </c>
      <c r="J136" s="3">
        <f ca="1">IFERROR(__xludf.DUMMYFUNCTION("""COMPUTED_VALUE"""),1.5)</f>
        <v>1.5</v>
      </c>
      <c r="K136" s="3" t="str">
        <f ca="1">IFERROR(__xludf.DUMMYFUNCTION("""COMPUTED_VALUE"""),"")</f>
        <v/>
      </c>
      <c r="L136" s="3" t="str">
        <f ca="1">IFERROR(__xludf.DUMMYFUNCTION("""COMPUTED_VALUE"""),"DEV")</f>
        <v>DEV</v>
      </c>
      <c r="M136" s="3" t="str">
        <f ca="1">IFERROR(__xludf.DUMMYFUNCTION("""COMPUTED_VALUE"""),"ONC")</f>
        <v>ONC</v>
      </c>
      <c r="N136" s="157">
        <f ca="1">IFERROR(__xludf.DUMMYFUNCTION("""COMPUTED_VALUE"""),1)</f>
        <v>1</v>
      </c>
      <c r="O136" s="157">
        <f ca="1">IFERROR(__xludf.DUMMYFUNCTION("""COMPUTED_VALUE"""),1.5)</f>
        <v>1.5</v>
      </c>
      <c r="P136" s="157"/>
      <c r="Q136" s="3">
        <f t="shared" ca="1" si="0"/>
        <v>135</v>
      </c>
      <c r="R136" s="148" t="e">
        <f ca="1"/>
        <v>#NAME?</v>
      </c>
      <c r="S136" s="147" t="e">
        <f t="shared" ca="1" si="1"/>
        <v>#NAME?</v>
      </c>
      <c r="T136" s="147" t="e">
        <f t="shared" ca="1" si="2"/>
        <v>#NAME?</v>
      </c>
      <c r="U136" s="147" t="e">
        <f t="shared" ca="1" si="3"/>
        <v>#NAME?</v>
      </c>
      <c r="X136" s="147"/>
      <c r="Y136" s="147"/>
      <c r="Z136" s="147"/>
      <c r="AA136" s="147"/>
      <c r="AB136" s="147"/>
      <c r="AC136" s="147"/>
      <c r="AD136" s="147"/>
      <c r="AE136" s="147"/>
      <c r="AF136" s="147"/>
      <c r="AG136" s="147"/>
      <c r="AH136" s="147"/>
      <c r="AI136" s="147"/>
      <c r="AJ136" s="147"/>
      <c r="AK136" s="147"/>
      <c r="AL136" s="147"/>
      <c r="AM136" s="147"/>
      <c r="AN136" s="147"/>
      <c r="AO136" s="147"/>
      <c r="AP136" s="147"/>
      <c r="AQ136" s="147"/>
    </row>
    <row r="137" spans="1:43">
      <c r="A137" s="160" t="str">
        <f ca="1">IFERROR(__xludf.DUMMYFUNCTION("""COMPUTED_VALUE"""),"193516")</f>
        <v>193516</v>
      </c>
      <c r="B137" s="3" t="str">
        <f ca="1">IFERROR(__xludf.DUMMYFUNCTION("""COMPUTED_VALUE"""),"TRẦN ANH DUY")</f>
        <v>TRẦN ANH DUY</v>
      </c>
      <c r="C137" s="160" t="str">
        <f ca="1">IFERROR(__xludf.DUMMYFUNCTION("""COMPUTED_VALUE"""),"EL013")</f>
        <v>EL013</v>
      </c>
      <c r="D137" s="160" t="str">
        <f ca="1">IFERROR(__xludf.DUMMYFUNCTION("""COMPUTED_VALUE"""),"Lanh Le")</f>
        <v>Lanh Le</v>
      </c>
      <c r="E137" s="3" t="str">
        <f ca="1">IFERROR(__xludf.DUMMYFUNCTION("""COMPUTED_VALUE"""),"Communication 2")</f>
        <v>Communication 2</v>
      </c>
      <c r="F137" s="3" t="str">
        <f ca="1">IFERROR(__xludf.DUMMYFUNCTION("""COMPUTED_VALUE"""),"Pre-Intermediate 2")</f>
        <v>Pre-Intermediate 2</v>
      </c>
      <c r="G137" s="3" t="str">
        <f ca="1">IFERROR(__xludf.DUMMYFUNCTION("""COMPUTED_VALUE"""),"Pre-Intermediate 2")</f>
        <v>Pre-Intermediate 2</v>
      </c>
      <c r="H137" s="156">
        <f ca="1">IFERROR(__xludf.DUMMYFUNCTION("""COMPUTED_VALUE"""),45841.375)</f>
        <v>45841.375</v>
      </c>
      <c r="I137" s="156">
        <f ca="1">IFERROR(__xludf.DUMMYFUNCTION("""COMPUTED_VALUE"""),45636.4583333333)</f>
        <v>45636.458333333299</v>
      </c>
      <c r="J137" s="3">
        <f ca="1">IFERROR(__xludf.DUMMYFUNCTION("""COMPUTED_VALUE"""),3.5)</f>
        <v>3.5</v>
      </c>
      <c r="K137" s="3">
        <f ca="1">IFERROR(__xludf.DUMMYFUNCTION("""COMPUTED_VALUE"""),3.5)</f>
        <v>3.5</v>
      </c>
      <c r="L137" s="3" t="str">
        <f ca="1">IFERROR(__xludf.DUMMYFUNCTION("""COMPUTED_VALUE"""),"DEV")</f>
        <v>DEV</v>
      </c>
      <c r="M137" s="3" t="str">
        <f ca="1">IFERROR(__xludf.DUMMYFUNCTION("""COMPUTED_VALUE"""),"ONC")</f>
        <v>ONC</v>
      </c>
      <c r="N137" s="157">
        <f ca="1">IFERROR(__xludf.DUMMYFUNCTION("""COMPUTED_VALUE"""),2.5)</f>
        <v>2.5</v>
      </c>
      <c r="O137" s="157">
        <f ca="1">IFERROR(__xludf.DUMMYFUNCTION("""COMPUTED_VALUE"""),3.5)</f>
        <v>3.5</v>
      </c>
      <c r="P137" s="157"/>
      <c r="Q137" s="3">
        <f t="shared" ca="1" si="0"/>
        <v>136</v>
      </c>
      <c r="R137" s="148" t="e">
        <f ca="1"/>
        <v>#NAME?</v>
      </c>
      <c r="S137" s="147" t="e">
        <f t="shared" ca="1" si="1"/>
        <v>#NAME?</v>
      </c>
      <c r="T137" s="147" t="e">
        <f t="shared" ca="1" si="2"/>
        <v>#NAME?</v>
      </c>
      <c r="U137" s="147" t="e">
        <f t="shared" ca="1" si="3"/>
        <v>#NAME?</v>
      </c>
      <c r="X137" s="147"/>
      <c r="Y137" s="147"/>
      <c r="Z137" s="147"/>
      <c r="AA137" s="147"/>
      <c r="AB137" s="147"/>
      <c r="AC137" s="147"/>
      <c r="AD137" s="147"/>
      <c r="AE137" s="147"/>
      <c r="AF137" s="147"/>
      <c r="AG137" s="147"/>
      <c r="AH137" s="147"/>
      <c r="AI137" s="147"/>
      <c r="AJ137" s="147"/>
      <c r="AK137" s="147"/>
      <c r="AL137" s="147"/>
      <c r="AM137" s="147"/>
      <c r="AN137" s="147"/>
      <c r="AO137" s="147"/>
      <c r="AP137" s="147"/>
      <c r="AQ137" s="147"/>
    </row>
    <row r="138" spans="1:43">
      <c r="A138" s="160" t="str">
        <f ca="1">IFERROR(__xludf.DUMMYFUNCTION("""COMPUTED_VALUE"""),"247234")</f>
        <v>247234</v>
      </c>
      <c r="B138" s="3" t="str">
        <f ca="1">IFERROR(__xludf.DUMMYFUNCTION("""COMPUTED_VALUE"""),"TRẦN DƯƠNG HOÀN MỸ")</f>
        <v>TRẦN DƯƠNG HOÀN MỸ</v>
      </c>
      <c r="C138" s="160" t="str">
        <f ca="1">IFERROR(__xludf.DUMMYFUNCTION("""COMPUTED_VALUE"""),"EL013")</f>
        <v>EL013</v>
      </c>
      <c r="D138" s="160" t="str">
        <f ca="1">IFERROR(__xludf.DUMMYFUNCTION("""COMPUTED_VALUE"""),"Lanh Le")</f>
        <v>Lanh Le</v>
      </c>
      <c r="E138" s="3" t="str">
        <f ca="1">IFERROR(__xludf.DUMMYFUNCTION("""COMPUTED_VALUE"""),"Communication 2")</f>
        <v>Communication 2</v>
      </c>
      <c r="F138" s="3" t="str">
        <f ca="1">IFERROR(__xludf.DUMMYFUNCTION("""COMPUTED_VALUE"""),"Pre-Intermediate 2")</f>
        <v>Pre-Intermediate 2</v>
      </c>
      <c r="G138" s="3" t="str">
        <f ca="1">IFERROR(__xludf.DUMMYFUNCTION("""COMPUTED_VALUE"""),"Intermediate 1")</f>
        <v>Intermediate 1</v>
      </c>
      <c r="H138" s="156">
        <f ca="1">IFERROR(__xludf.DUMMYFUNCTION("""COMPUTED_VALUE"""),45841.375)</f>
        <v>45841.375</v>
      </c>
      <c r="I138" s="156">
        <f ca="1">IFERROR(__xludf.DUMMYFUNCTION("""COMPUTED_VALUE"""),45636.4583333333)</f>
        <v>45636.458333333299</v>
      </c>
      <c r="J138" s="3">
        <f ca="1">IFERROR(__xludf.DUMMYFUNCTION("""COMPUTED_VALUE"""),3.5)</f>
        <v>3.5</v>
      </c>
      <c r="K138" s="3">
        <f ca="1">IFERROR(__xludf.DUMMYFUNCTION("""COMPUTED_VALUE"""),5)</f>
        <v>5</v>
      </c>
      <c r="L138" s="3" t="str">
        <f ca="1">IFERROR(__xludf.DUMMYFUNCTION("""COMPUTED_VALUE"""),"QC")</f>
        <v>QC</v>
      </c>
      <c r="M138" s="3" t="str">
        <f ca="1">IFERROR(__xludf.DUMMYFUNCTION("""COMPUTED_VALUE"""),"LBU")</f>
        <v>LBU</v>
      </c>
      <c r="N138" s="157">
        <f ca="1">IFERROR(__xludf.DUMMYFUNCTION("""COMPUTED_VALUE"""),1)</f>
        <v>1</v>
      </c>
      <c r="O138" s="157">
        <f ca="1">IFERROR(__xludf.DUMMYFUNCTION("""COMPUTED_VALUE"""),5)</f>
        <v>5</v>
      </c>
      <c r="P138" s="157"/>
      <c r="Q138" s="3">
        <f t="shared" ca="1" si="0"/>
        <v>137</v>
      </c>
      <c r="R138" s="148" t="e">
        <f ca="1"/>
        <v>#NAME?</v>
      </c>
      <c r="S138" s="147" t="e">
        <f t="shared" ca="1" si="1"/>
        <v>#NAME?</v>
      </c>
      <c r="T138" s="147" t="e">
        <f t="shared" ca="1" si="2"/>
        <v>#NAME?</v>
      </c>
      <c r="U138" s="147" t="e">
        <f t="shared" ca="1" si="3"/>
        <v>#NAME?</v>
      </c>
      <c r="X138" s="147"/>
      <c r="Y138" s="147"/>
      <c r="Z138" s="147"/>
      <c r="AA138" s="147"/>
      <c r="AB138" s="147"/>
      <c r="AC138" s="147"/>
      <c r="AD138" s="147"/>
      <c r="AE138" s="147"/>
      <c r="AF138" s="147"/>
      <c r="AG138" s="147"/>
      <c r="AH138" s="147"/>
      <c r="AI138" s="147"/>
      <c r="AJ138" s="147"/>
      <c r="AK138" s="147"/>
      <c r="AL138" s="147"/>
      <c r="AM138" s="147"/>
      <c r="AN138" s="147"/>
      <c r="AO138" s="147"/>
      <c r="AP138" s="147"/>
      <c r="AQ138" s="147"/>
    </row>
    <row r="139" spans="1:43">
      <c r="A139" s="155" t="str">
        <f ca="1">IFERROR(__xludf.DUMMYFUNCTION("""COMPUTED_VALUE"""),"183422")</f>
        <v>183422</v>
      </c>
      <c r="B139" s="154" t="str">
        <f ca="1">IFERROR(__xludf.DUMMYFUNCTION("""COMPUTED_VALUE"""),"LÊ TRẦN XUÂN LÃNH")</f>
        <v>LÊ TRẦN XUÂN LÃNH</v>
      </c>
      <c r="C139" s="155" t="str">
        <f ca="1">IFERROR(__xludf.DUMMYFUNCTION("""COMPUTED_VALUE"""),"EL013")</f>
        <v>EL013</v>
      </c>
      <c r="D139" s="155" t="str">
        <f ca="1">IFERROR(__xludf.DUMMYFUNCTION("""COMPUTED_VALUE"""),"Lanh Le")</f>
        <v>Lanh Le</v>
      </c>
      <c r="E139" s="154" t="str">
        <f ca="1">IFERROR(__xludf.DUMMYFUNCTION("""COMPUTED_VALUE"""),"Communication 3")</f>
        <v>Communication 3</v>
      </c>
      <c r="F139" s="3"/>
      <c r="G139" s="3"/>
      <c r="H139" s="156">
        <f ca="1">IFERROR(__xludf.DUMMYFUNCTION("""COMPUTED_VALUE"""),45729.4583333333)</f>
        <v>45729.458333333299</v>
      </c>
      <c r="I139" s="156">
        <f ca="1">IFERROR(__xludf.DUMMYFUNCTION("""COMPUTED_VALUE"""),45636.4583333333)</f>
        <v>45636.458333333299</v>
      </c>
      <c r="J139" s="3" t="str">
        <f ca="1">IFERROR(__xludf.DUMMYFUNCTION("""COMPUTED_VALUE"""),"")</f>
        <v/>
      </c>
      <c r="K139" s="3" t="str">
        <f ca="1">IFERROR(__xludf.DUMMYFUNCTION("""COMPUTED_VALUE"""),"")</f>
        <v/>
      </c>
      <c r="L139" s="3" t="str">
        <f ca="1">IFERROR(__xludf.DUMMYFUNCTION("""COMPUTED_VALUE"""),"DEV")</f>
        <v>DEV</v>
      </c>
      <c r="M139" s="3" t="str">
        <f ca="1">IFERROR(__xludf.DUMMYFUNCTION("""COMPUTED_VALUE"""),"ONC")</f>
        <v>ONC</v>
      </c>
      <c r="N139" s="157">
        <f ca="1">IFERROR(__xludf.DUMMYFUNCTION("""COMPUTED_VALUE"""),1)</f>
        <v>1</v>
      </c>
      <c r="O139" s="157">
        <f ca="1">IFERROR(__xludf.DUMMYFUNCTION("""COMPUTED_VALUE"""),3.5)</f>
        <v>3.5</v>
      </c>
      <c r="P139" s="157"/>
      <c r="Q139" s="3">
        <f t="shared" ca="1" si="0"/>
        <v>138</v>
      </c>
      <c r="R139" s="148" t="e">
        <f ca="1"/>
        <v>#NAME?</v>
      </c>
      <c r="S139" s="147" t="e">
        <f t="shared" ca="1" si="1"/>
        <v>#NAME?</v>
      </c>
      <c r="T139" s="147" t="e">
        <f t="shared" ca="1" si="2"/>
        <v>#NAME?</v>
      </c>
      <c r="U139" s="147" t="e">
        <f t="shared" ca="1" si="3"/>
        <v>#NAME?</v>
      </c>
      <c r="X139" s="147"/>
      <c r="Y139" s="147"/>
      <c r="Z139" s="147"/>
      <c r="AA139" s="147"/>
      <c r="AB139" s="147"/>
      <c r="AC139" s="147"/>
      <c r="AD139" s="147"/>
      <c r="AE139" s="147"/>
      <c r="AF139" s="147"/>
      <c r="AG139" s="147"/>
      <c r="AH139" s="147"/>
      <c r="AI139" s="147"/>
      <c r="AJ139" s="147"/>
      <c r="AK139" s="147"/>
      <c r="AL139" s="147"/>
      <c r="AM139" s="147"/>
      <c r="AN139" s="147"/>
      <c r="AO139" s="147"/>
      <c r="AP139" s="147"/>
      <c r="AQ139" s="147"/>
    </row>
    <row r="140" spans="1:43">
      <c r="A140" s="160" t="str">
        <f ca="1">IFERROR(__xludf.DUMMYFUNCTION("""COMPUTED_VALUE"""),"213893")</f>
        <v>213893</v>
      </c>
      <c r="B140" s="3" t="str">
        <f ca="1">IFERROR(__xludf.DUMMYFUNCTION("""COMPUTED_VALUE"""),"HOÀNG NGỌC THẲNG")</f>
        <v>HOÀNG NGỌC THẲNG</v>
      </c>
      <c r="C140" s="160" t="str">
        <f ca="1">IFERROR(__xludf.DUMMYFUNCTION("""COMPUTED_VALUE"""),"EL013")</f>
        <v>EL013</v>
      </c>
      <c r="D140" s="160" t="str">
        <f ca="1">IFERROR(__xludf.DUMMYFUNCTION("""COMPUTED_VALUE"""),"Lanh Le")</f>
        <v>Lanh Le</v>
      </c>
      <c r="E140" s="3" t="str">
        <f ca="1">IFERROR(__xludf.DUMMYFUNCTION("""COMPUTED_VALUE"""),"Communication 3")</f>
        <v>Communication 3</v>
      </c>
      <c r="F140" s="3"/>
      <c r="G140" s="3"/>
      <c r="H140" s="156">
        <f ca="1">IFERROR(__xludf.DUMMYFUNCTION("""COMPUTED_VALUE"""),45729.4583333333)</f>
        <v>45729.458333333299</v>
      </c>
      <c r="I140" s="156">
        <f ca="1">IFERROR(__xludf.DUMMYFUNCTION("""COMPUTED_VALUE"""),45636.4583333333)</f>
        <v>45636.458333333299</v>
      </c>
      <c r="J140" s="3" t="str">
        <f ca="1">IFERROR(__xludf.DUMMYFUNCTION("""COMPUTED_VALUE"""),"")</f>
        <v/>
      </c>
      <c r="K140" s="3" t="str">
        <f ca="1">IFERROR(__xludf.DUMMYFUNCTION("""COMPUTED_VALUE"""),"")</f>
        <v/>
      </c>
      <c r="L140" s="3" t="str">
        <f ca="1">IFERROR(__xludf.DUMMYFUNCTION("""COMPUTED_VALUE"""),"DEV")</f>
        <v>DEV</v>
      </c>
      <c r="M140" s="3" t="str">
        <f ca="1">IFERROR(__xludf.DUMMYFUNCTION("""COMPUTED_VALUE"""),"ONC")</f>
        <v>ONC</v>
      </c>
      <c r="N140" s="157">
        <f ca="1">IFERROR(__xludf.DUMMYFUNCTION("""COMPUTED_VALUE"""),1)</f>
        <v>1</v>
      </c>
      <c r="O140" s="157">
        <f ca="1">IFERROR(__xludf.DUMMYFUNCTION("""COMPUTED_VALUE"""),3)</f>
        <v>3</v>
      </c>
      <c r="P140" s="157"/>
      <c r="Q140" s="3">
        <f t="shared" ca="1" si="0"/>
        <v>139</v>
      </c>
      <c r="R140" s="148" t="e">
        <f ca="1"/>
        <v>#NAME?</v>
      </c>
      <c r="S140" s="147" t="e">
        <f t="shared" ca="1" si="1"/>
        <v>#NAME?</v>
      </c>
      <c r="T140" s="147" t="e">
        <f t="shared" ca="1" si="2"/>
        <v>#NAME?</v>
      </c>
      <c r="U140" s="147" t="e">
        <f t="shared" ca="1" si="3"/>
        <v>#NAME?</v>
      </c>
      <c r="X140" s="147"/>
      <c r="Y140" s="147"/>
      <c r="Z140" s="147"/>
      <c r="AA140" s="147"/>
      <c r="AB140" s="147"/>
      <c r="AC140" s="147"/>
      <c r="AD140" s="147"/>
      <c r="AE140" s="147"/>
      <c r="AF140" s="147"/>
      <c r="AG140" s="147"/>
      <c r="AH140" s="147"/>
      <c r="AI140" s="147"/>
      <c r="AJ140" s="147"/>
      <c r="AK140" s="147"/>
      <c r="AL140" s="147"/>
      <c r="AM140" s="147"/>
      <c r="AN140" s="147"/>
      <c r="AO140" s="147"/>
      <c r="AP140" s="147"/>
      <c r="AQ140" s="147"/>
    </row>
    <row r="141" spans="1:43">
      <c r="A141" s="160" t="str">
        <f ca="1">IFERROR(__xludf.DUMMYFUNCTION("""COMPUTED_VALUE"""),"227244")</f>
        <v>227244</v>
      </c>
      <c r="B141" s="3" t="str">
        <f ca="1">IFERROR(__xludf.DUMMYFUNCTION("""COMPUTED_VALUE"""),"HUỲNH PHÚC TRƯỜNG")</f>
        <v>HUỲNH PHÚC TRƯỜNG</v>
      </c>
      <c r="C141" s="160" t="str">
        <f ca="1">IFERROR(__xludf.DUMMYFUNCTION("""COMPUTED_VALUE"""),"EL013")</f>
        <v>EL013</v>
      </c>
      <c r="D141" s="160" t="str">
        <f ca="1">IFERROR(__xludf.DUMMYFUNCTION("""COMPUTED_VALUE"""),"Lanh Le")</f>
        <v>Lanh Le</v>
      </c>
      <c r="E141" s="3" t="str">
        <f ca="1">IFERROR(__xludf.DUMMYFUNCTION("""COMPUTED_VALUE"""),"Communication 3")</f>
        <v>Communication 3</v>
      </c>
      <c r="F141" s="3"/>
      <c r="G141" s="3"/>
      <c r="H141" s="156">
        <f ca="1">IFERROR(__xludf.DUMMYFUNCTION("""COMPUTED_VALUE"""),45729.4583333333)</f>
        <v>45729.458333333299</v>
      </c>
      <c r="I141" s="156">
        <f ca="1">IFERROR(__xludf.DUMMYFUNCTION("""COMPUTED_VALUE"""),45636.4583333333)</f>
        <v>45636.458333333299</v>
      </c>
      <c r="J141" s="3" t="str">
        <f ca="1">IFERROR(__xludf.DUMMYFUNCTION("""COMPUTED_VALUE"""),"")</f>
        <v/>
      </c>
      <c r="K141" s="3" t="str">
        <f ca="1">IFERROR(__xludf.DUMMYFUNCTION("""COMPUTED_VALUE"""),"")</f>
        <v/>
      </c>
      <c r="L141" s="3" t="str">
        <f ca="1">IFERROR(__xludf.DUMMYFUNCTION("""COMPUTED_VALUE"""),"DEV")</f>
        <v>DEV</v>
      </c>
      <c r="M141" s="3" t="str">
        <f ca="1">IFERROR(__xludf.DUMMYFUNCTION("""COMPUTED_VALUE"""),"ONC")</f>
        <v>ONC</v>
      </c>
      <c r="N141" s="157">
        <f ca="1">IFERROR(__xludf.DUMMYFUNCTION("""COMPUTED_VALUE"""),2.5)</f>
        <v>2.5</v>
      </c>
      <c r="O141" s="157">
        <f ca="1">IFERROR(__xludf.DUMMYFUNCTION("""COMPUTED_VALUE"""),3.5)</f>
        <v>3.5</v>
      </c>
      <c r="P141" s="157"/>
      <c r="Q141" s="3">
        <f t="shared" ca="1" si="0"/>
        <v>140</v>
      </c>
      <c r="R141" s="148" t="e">
        <f ca="1"/>
        <v>#NAME?</v>
      </c>
      <c r="S141" s="147" t="e">
        <f t="shared" ca="1" si="1"/>
        <v>#NAME?</v>
      </c>
      <c r="T141" s="147" t="e">
        <f t="shared" ca="1" si="2"/>
        <v>#NAME?</v>
      </c>
      <c r="U141" s="147" t="e">
        <f t="shared" ca="1" si="3"/>
        <v>#NAME?</v>
      </c>
      <c r="X141" s="147"/>
      <c r="Y141" s="147"/>
      <c r="Z141" s="147"/>
      <c r="AA141" s="147"/>
      <c r="AB141" s="147"/>
      <c r="AC141" s="147"/>
      <c r="AD141" s="147"/>
      <c r="AE141" s="147"/>
      <c r="AF141" s="147"/>
      <c r="AG141" s="147"/>
      <c r="AH141" s="147"/>
      <c r="AI141" s="147"/>
      <c r="AJ141" s="147"/>
      <c r="AK141" s="147"/>
      <c r="AL141" s="147"/>
      <c r="AM141" s="147"/>
      <c r="AN141" s="147"/>
      <c r="AO141" s="147"/>
      <c r="AP141" s="147"/>
      <c r="AQ141" s="147"/>
    </row>
    <row r="142" spans="1:43">
      <c r="A142" s="160" t="str">
        <f ca="1">IFERROR(__xludf.DUMMYFUNCTION("""COMPUTED_VALUE"""),"183427")</f>
        <v>183427</v>
      </c>
      <c r="B142" s="3" t="str">
        <f ca="1">IFERROR(__xludf.DUMMYFUNCTION("""COMPUTED_VALUE"""),"PHAN CÔNG TOẠI")</f>
        <v>PHAN CÔNG TOẠI</v>
      </c>
      <c r="C142" s="160" t="str">
        <f ca="1">IFERROR(__xludf.DUMMYFUNCTION("""COMPUTED_VALUE"""),"EL013")</f>
        <v>EL013</v>
      </c>
      <c r="D142" s="160" t="str">
        <f ca="1">IFERROR(__xludf.DUMMYFUNCTION("""COMPUTED_VALUE"""),"Lanh Le")</f>
        <v>Lanh Le</v>
      </c>
      <c r="E142" s="3" t="str">
        <f ca="1">IFERROR(__xludf.DUMMYFUNCTION("""COMPUTED_VALUE"""),"Communication 3")</f>
        <v>Communication 3</v>
      </c>
      <c r="F142" s="3"/>
      <c r="G142" s="3"/>
      <c r="H142" s="156">
        <f ca="1">IFERROR(__xludf.DUMMYFUNCTION("""COMPUTED_VALUE"""),45729.4583333333)</f>
        <v>45729.458333333299</v>
      </c>
      <c r="I142" s="156">
        <f ca="1">IFERROR(__xludf.DUMMYFUNCTION("""COMPUTED_VALUE"""),45639.5833333333)</f>
        <v>45639.583333333299</v>
      </c>
      <c r="J142" s="3" t="str">
        <f ca="1">IFERROR(__xludf.DUMMYFUNCTION("""COMPUTED_VALUE"""),"")</f>
        <v/>
      </c>
      <c r="K142" s="3" t="str">
        <f ca="1">IFERROR(__xludf.DUMMYFUNCTION("""COMPUTED_VALUE"""),"")</f>
        <v/>
      </c>
      <c r="L142" s="3" t="str">
        <f ca="1">IFERROR(__xludf.DUMMYFUNCTION("""COMPUTED_VALUE"""),"DEV")</f>
        <v>DEV</v>
      </c>
      <c r="M142" s="3" t="str">
        <f ca="1">IFERROR(__xludf.DUMMYFUNCTION("""COMPUTED_VALUE"""),"ONC")</f>
        <v>ONC</v>
      </c>
      <c r="N142" s="157">
        <f ca="1">IFERROR(__xludf.DUMMYFUNCTION("""COMPUTED_VALUE"""),1)</f>
        <v>1</v>
      </c>
      <c r="O142" s="157">
        <f ca="1">IFERROR(__xludf.DUMMYFUNCTION("""COMPUTED_VALUE"""),5)</f>
        <v>5</v>
      </c>
      <c r="P142" s="157"/>
      <c r="Q142" s="3">
        <f t="shared" ca="1" si="0"/>
        <v>141</v>
      </c>
      <c r="R142" s="148" t="e">
        <f ca="1"/>
        <v>#NAME?</v>
      </c>
      <c r="S142" s="147" t="e">
        <f t="shared" ca="1" si="1"/>
        <v>#NAME?</v>
      </c>
      <c r="T142" s="147" t="e">
        <f t="shared" ca="1" si="2"/>
        <v>#NAME?</v>
      </c>
      <c r="U142" s="147" t="e">
        <f t="shared" ca="1" si="3"/>
        <v>#NAME?</v>
      </c>
      <c r="X142" s="147"/>
      <c r="Y142" s="147"/>
      <c r="Z142" s="147"/>
      <c r="AA142" s="147"/>
      <c r="AB142" s="147"/>
      <c r="AC142" s="147"/>
      <c r="AD142" s="147"/>
      <c r="AE142" s="147"/>
      <c r="AF142" s="147"/>
      <c r="AG142" s="147"/>
      <c r="AH142" s="147"/>
      <c r="AI142" s="147"/>
      <c r="AJ142" s="147"/>
      <c r="AK142" s="147"/>
      <c r="AL142" s="147"/>
      <c r="AM142" s="147"/>
      <c r="AN142" s="147"/>
      <c r="AO142" s="147"/>
      <c r="AP142" s="147"/>
      <c r="AQ142" s="147"/>
    </row>
    <row r="143" spans="1:43">
      <c r="A143" s="160" t="str">
        <f ca="1">IFERROR(__xludf.DUMMYFUNCTION("""COMPUTED_VALUE"""),"193516")</f>
        <v>193516</v>
      </c>
      <c r="B143" s="3" t="str">
        <f ca="1">IFERROR(__xludf.DUMMYFUNCTION("""COMPUTED_VALUE"""),"TRẦN ANH DUY")</f>
        <v>TRẦN ANH DUY</v>
      </c>
      <c r="C143" s="160" t="str">
        <f ca="1">IFERROR(__xludf.DUMMYFUNCTION("""COMPUTED_VALUE"""),"EL013")</f>
        <v>EL013</v>
      </c>
      <c r="D143" s="160" t="str">
        <f ca="1">IFERROR(__xludf.DUMMYFUNCTION("""COMPUTED_VALUE"""),"Lanh Le")</f>
        <v>Lanh Le</v>
      </c>
      <c r="E143" s="3" t="str">
        <f ca="1">IFERROR(__xludf.DUMMYFUNCTION("""COMPUTED_VALUE"""),"Communication 3")</f>
        <v>Communication 3</v>
      </c>
      <c r="F143" s="3"/>
      <c r="G143" s="3"/>
      <c r="H143" s="156">
        <f ca="1">IFERROR(__xludf.DUMMYFUNCTION("""COMPUTED_VALUE"""),45729.4583333333)</f>
        <v>45729.458333333299</v>
      </c>
      <c r="I143" s="156">
        <f ca="1">IFERROR(__xludf.DUMMYFUNCTION("""COMPUTED_VALUE"""),45636.4583333333)</f>
        <v>45636.458333333299</v>
      </c>
      <c r="J143" s="3" t="str">
        <f ca="1">IFERROR(__xludf.DUMMYFUNCTION("""COMPUTED_VALUE"""),"")</f>
        <v/>
      </c>
      <c r="K143" s="3" t="str">
        <f ca="1">IFERROR(__xludf.DUMMYFUNCTION("""COMPUTED_VALUE"""),"")</f>
        <v/>
      </c>
      <c r="L143" s="3" t="str">
        <f ca="1">IFERROR(__xludf.DUMMYFUNCTION("""COMPUTED_VALUE"""),"DEV")</f>
        <v>DEV</v>
      </c>
      <c r="M143" s="3" t="str">
        <f ca="1">IFERROR(__xludf.DUMMYFUNCTION("""COMPUTED_VALUE"""),"ONC")</f>
        <v>ONC</v>
      </c>
      <c r="N143" s="157">
        <f ca="1">IFERROR(__xludf.DUMMYFUNCTION("""COMPUTED_VALUE"""),2.5)</f>
        <v>2.5</v>
      </c>
      <c r="O143" s="157">
        <f ca="1">IFERROR(__xludf.DUMMYFUNCTION("""COMPUTED_VALUE"""),3.5)</f>
        <v>3.5</v>
      </c>
      <c r="P143" s="157"/>
      <c r="Q143" s="3">
        <f t="shared" ca="1" si="0"/>
        <v>142</v>
      </c>
      <c r="R143" s="148" t="e">
        <f ca="1"/>
        <v>#NAME?</v>
      </c>
      <c r="S143" s="147" t="e">
        <f t="shared" ca="1" si="1"/>
        <v>#NAME?</v>
      </c>
      <c r="T143" s="147" t="e">
        <f t="shared" ca="1" si="2"/>
        <v>#NAME?</v>
      </c>
      <c r="U143" s="147" t="e">
        <f t="shared" ca="1" si="3"/>
        <v>#NAME?</v>
      </c>
      <c r="X143" s="147"/>
      <c r="Y143" s="147"/>
      <c r="Z143" s="147"/>
      <c r="AA143" s="147"/>
      <c r="AB143" s="147"/>
      <c r="AC143" s="147"/>
      <c r="AD143" s="147"/>
      <c r="AE143" s="147"/>
      <c r="AF143" s="147"/>
      <c r="AG143" s="147"/>
      <c r="AH143" s="147"/>
      <c r="AI143" s="147"/>
      <c r="AJ143" s="147"/>
      <c r="AK143" s="147"/>
      <c r="AL143" s="147"/>
      <c r="AM143" s="147"/>
      <c r="AN143" s="147"/>
      <c r="AO143" s="147"/>
      <c r="AP143" s="147"/>
      <c r="AQ143" s="147"/>
    </row>
    <row r="144" spans="1:43">
      <c r="A144" s="160" t="str">
        <f ca="1">IFERROR(__xludf.DUMMYFUNCTION("""COMPUTED_VALUE"""),"247234")</f>
        <v>247234</v>
      </c>
      <c r="B144" s="3" t="str">
        <f ca="1">IFERROR(__xludf.DUMMYFUNCTION("""COMPUTED_VALUE"""),"TRẦN DƯƠNG HOÀN MỸ")</f>
        <v>TRẦN DƯƠNG HOÀN MỸ</v>
      </c>
      <c r="C144" s="160" t="str">
        <f ca="1">IFERROR(__xludf.DUMMYFUNCTION("""COMPUTED_VALUE"""),"EL013")</f>
        <v>EL013</v>
      </c>
      <c r="D144" s="160" t="str">
        <f ca="1">IFERROR(__xludf.DUMMYFUNCTION("""COMPUTED_VALUE"""),"Lanh Le")</f>
        <v>Lanh Le</v>
      </c>
      <c r="E144" s="3" t="str">
        <f ca="1">IFERROR(__xludf.DUMMYFUNCTION("""COMPUTED_VALUE"""),"Communication 3")</f>
        <v>Communication 3</v>
      </c>
      <c r="F144" s="3"/>
      <c r="G144" s="3"/>
      <c r="H144" s="156">
        <f ca="1">IFERROR(__xludf.DUMMYFUNCTION("""COMPUTED_VALUE"""),45729.4583333333)</f>
        <v>45729.458333333299</v>
      </c>
      <c r="I144" s="156">
        <f ca="1">IFERROR(__xludf.DUMMYFUNCTION("""COMPUTED_VALUE"""),45636.4583333333)</f>
        <v>45636.458333333299</v>
      </c>
      <c r="J144" s="3" t="str">
        <f ca="1">IFERROR(__xludf.DUMMYFUNCTION("""COMPUTED_VALUE"""),"")</f>
        <v/>
      </c>
      <c r="K144" s="3" t="str">
        <f ca="1">IFERROR(__xludf.DUMMYFUNCTION("""COMPUTED_VALUE"""),"")</f>
        <v/>
      </c>
      <c r="L144" s="3" t="str">
        <f ca="1">IFERROR(__xludf.DUMMYFUNCTION("""COMPUTED_VALUE"""),"QC")</f>
        <v>QC</v>
      </c>
      <c r="M144" s="3" t="str">
        <f ca="1">IFERROR(__xludf.DUMMYFUNCTION("""COMPUTED_VALUE"""),"LBU")</f>
        <v>LBU</v>
      </c>
      <c r="N144" s="157">
        <f ca="1">IFERROR(__xludf.DUMMYFUNCTION("""COMPUTED_VALUE"""),1)</f>
        <v>1</v>
      </c>
      <c r="O144" s="157">
        <f ca="1">IFERROR(__xludf.DUMMYFUNCTION("""COMPUTED_VALUE"""),5)</f>
        <v>5</v>
      </c>
      <c r="P144" s="157"/>
      <c r="Q144" s="3">
        <f t="shared" ca="1" si="0"/>
        <v>143</v>
      </c>
      <c r="R144" s="148" t="e">
        <f ca="1"/>
        <v>#NAME?</v>
      </c>
      <c r="S144" s="147" t="e">
        <f t="shared" ca="1" si="1"/>
        <v>#NAME?</v>
      </c>
      <c r="T144" s="147" t="e">
        <f t="shared" ca="1" si="2"/>
        <v>#NAME?</v>
      </c>
      <c r="U144" s="147" t="e">
        <f t="shared" ca="1" si="3"/>
        <v>#NAME?</v>
      </c>
      <c r="X144" s="147"/>
      <c r="Y144" s="147"/>
      <c r="Z144" s="147"/>
      <c r="AA144" s="147"/>
      <c r="AB144" s="147"/>
      <c r="AC144" s="147"/>
      <c r="AD144" s="147"/>
      <c r="AE144" s="147"/>
      <c r="AF144" s="147"/>
      <c r="AG144" s="147"/>
      <c r="AH144" s="147"/>
      <c r="AI144" s="147"/>
      <c r="AJ144" s="147"/>
      <c r="AK144" s="147"/>
      <c r="AL144" s="147"/>
      <c r="AM144" s="147"/>
      <c r="AN144" s="147"/>
      <c r="AO144" s="147"/>
      <c r="AP144" s="147"/>
      <c r="AQ144" s="147"/>
    </row>
    <row r="145" spans="1:43">
      <c r="A145" s="155" t="str">
        <f ca="1">IFERROR(__xludf.DUMMYFUNCTION("""COMPUTED_VALUE"""),"213820")</f>
        <v>213820</v>
      </c>
      <c r="B145" s="154" t="str">
        <f ca="1">IFERROR(__xludf.DUMMYFUNCTION("""COMPUTED_VALUE"""),"TRẦN THỊ NI NA")</f>
        <v>TRẦN THỊ NI NA</v>
      </c>
      <c r="C145" s="155" t="str">
        <f ca="1">IFERROR(__xludf.DUMMYFUNCTION("""COMPUTED_VALUE"""),"EL014")</f>
        <v>EL014</v>
      </c>
      <c r="D145" s="155" t="str">
        <f ca="1">IFERROR(__xludf.DUMMYFUNCTION("""COMPUTED_VALUE"""),"Thao Vu 1")</f>
        <v>Thao Vu 1</v>
      </c>
      <c r="E145" s="154" t="str">
        <f ca="1">IFERROR(__xludf.DUMMYFUNCTION("""COMPUTED_VALUE"""),"Communication 1")</f>
        <v>Communication 1</v>
      </c>
      <c r="F145" s="3" t="str">
        <f ca="1">IFERROR(__xludf.DUMMYFUNCTION("""COMPUTED_VALUE"""),"Beginner")</f>
        <v>Beginner</v>
      </c>
      <c r="G145" s="3" t="str">
        <f ca="1">IFERROR(__xludf.DUMMYFUNCTION("""COMPUTED_VALUE"""),"Beginner")</f>
        <v>Beginner</v>
      </c>
      <c r="H145" s="156">
        <f ca="1">IFERROR(__xludf.DUMMYFUNCTION("""COMPUTED_VALUE"""),45635.4375)</f>
        <v>45635.4375</v>
      </c>
      <c r="I145" s="156">
        <f ca="1">IFERROR(__xludf.DUMMYFUNCTION("""COMPUTED_VALUE"""),45635.4375)</f>
        <v>45635.4375</v>
      </c>
      <c r="J145" s="3">
        <f ca="1">IFERROR(__xludf.DUMMYFUNCTION("""COMPUTED_VALUE"""),1)</f>
        <v>1</v>
      </c>
      <c r="K145" s="3">
        <f ca="1">IFERROR(__xludf.DUMMYFUNCTION("""COMPUTED_VALUE"""),1)</f>
        <v>1</v>
      </c>
      <c r="L145" s="3" t="str">
        <f ca="1">IFERROR(__xludf.DUMMYFUNCTION("""COMPUTED_VALUE"""),"QC")</f>
        <v>QC</v>
      </c>
      <c r="M145" s="3" t="str">
        <f ca="1">IFERROR(__xludf.DUMMYFUNCTION("""COMPUTED_VALUE"""),"LBU")</f>
        <v>LBU</v>
      </c>
      <c r="N145" s="157">
        <f ca="1">IFERROR(__xludf.DUMMYFUNCTION("""COMPUTED_VALUE"""),1)</f>
        <v>1</v>
      </c>
      <c r="O145" s="157">
        <f ca="1">IFERROR(__xludf.DUMMYFUNCTION("""COMPUTED_VALUE"""),1)</f>
        <v>1</v>
      </c>
      <c r="P145" s="157"/>
      <c r="Q145" s="3">
        <f t="shared" ca="1" si="0"/>
        <v>144</v>
      </c>
      <c r="R145" s="148" t="e">
        <f ca="1"/>
        <v>#NAME?</v>
      </c>
      <c r="S145" s="147" t="e">
        <f t="shared" ca="1" si="1"/>
        <v>#NAME?</v>
      </c>
      <c r="T145" s="147" t="e">
        <f t="shared" ca="1" si="2"/>
        <v>#NAME?</v>
      </c>
      <c r="U145" s="147" t="e">
        <f t="shared" ca="1" si="3"/>
        <v>#NAME?</v>
      </c>
      <c r="X145" s="147"/>
      <c r="Y145" s="147"/>
      <c r="Z145" s="147"/>
      <c r="AA145" s="147"/>
      <c r="AB145" s="147"/>
      <c r="AC145" s="147"/>
      <c r="AD145" s="147"/>
      <c r="AE145" s="147"/>
      <c r="AF145" s="147"/>
      <c r="AG145" s="147"/>
      <c r="AH145" s="147"/>
      <c r="AI145" s="147"/>
      <c r="AJ145" s="147"/>
      <c r="AK145" s="147"/>
      <c r="AL145" s="147"/>
      <c r="AM145" s="147"/>
      <c r="AN145" s="147"/>
      <c r="AO145" s="147"/>
      <c r="AP145" s="147"/>
      <c r="AQ145" s="147"/>
    </row>
    <row r="146" spans="1:43">
      <c r="A146" s="160" t="str">
        <f ca="1">IFERROR(__xludf.DUMMYFUNCTION("""COMPUTED_VALUE"""),"193443")</f>
        <v>193443</v>
      </c>
      <c r="B146" s="3" t="str">
        <f ca="1">IFERROR(__xludf.DUMMYFUNCTION("""COMPUTED_VALUE"""),"LÝ THỊ BÉ XÍU")</f>
        <v>LÝ THỊ BÉ XÍU</v>
      </c>
      <c r="C146" s="160" t="str">
        <f ca="1">IFERROR(__xludf.DUMMYFUNCTION("""COMPUTED_VALUE"""),"EL014")</f>
        <v>EL014</v>
      </c>
      <c r="D146" s="160" t="str">
        <f ca="1">IFERROR(__xludf.DUMMYFUNCTION("""COMPUTED_VALUE"""),"Thao Vu 1")</f>
        <v>Thao Vu 1</v>
      </c>
      <c r="E146" s="3" t="str">
        <f ca="1">IFERROR(__xludf.DUMMYFUNCTION("""COMPUTED_VALUE"""),"Communication 1")</f>
        <v>Communication 1</v>
      </c>
      <c r="F146" s="3" t="str">
        <f ca="1">IFERROR(__xludf.DUMMYFUNCTION("""COMPUTED_VALUE"""),"Beginner")</f>
        <v>Beginner</v>
      </c>
      <c r="G146" s="3" t="str">
        <f ca="1">IFERROR(__xludf.DUMMYFUNCTION("""COMPUTED_VALUE"""),"Beginner")</f>
        <v>Beginner</v>
      </c>
      <c r="H146" s="156">
        <f ca="1">IFERROR(__xludf.DUMMYFUNCTION("""COMPUTED_VALUE"""),45635.4375)</f>
        <v>45635.4375</v>
      </c>
      <c r="I146" s="156">
        <f ca="1">IFERROR(__xludf.DUMMYFUNCTION("""COMPUTED_VALUE"""),45635.4375)</f>
        <v>45635.4375</v>
      </c>
      <c r="J146" s="3">
        <f ca="1">IFERROR(__xludf.DUMMYFUNCTION("""COMPUTED_VALUE"""),1)</f>
        <v>1</v>
      </c>
      <c r="K146" s="3">
        <f ca="1">IFERROR(__xludf.DUMMYFUNCTION("""COMPUTED_VALUE"""),1)</f>
        <v>1</v>
      </c>
      <c r="L146" s="3" t="str">
        <f ca="1">IFERROR(__xludf.DUMMYFUNCTION("""COMPUTED_VALUE"""),"QC")</f>
        <v>QC</v>
      </c>
      <c r="M146" s="3" t="str">
        <f ca="1">IFERROR(__xludf.DUMMYFUNCTION("""COMPUTED_VALUE"""),"ONC")</f>
        <v>ONC</v>
      </c>
      <c r="N146" s="157">
        <f ca="1">IFERROR(__xludf.DUMMYFUNCTION("""COMPUTED_VALUE"""),1)</f>
        <v>1</v>
      </c>
      <c r="O146" s="157">
        <f ca="1">IFERROR(__xludf.DUMMYFUNCTION("""COMPUTED_VALUE"""),1)</f>
        <v>1</v>
      </c>
      <c r="P146" s="157"/>
      <c r="Q146" s="3">
        <f t="shared" ca="1" si="0"/>
        <v>145</v>
      </c>
      <c r="R146" s="148" t="e">
        <f ca="1"/>
        <v>#NAME?</v>
      </c>
      <c r="S146" s="147" t="e">
        <f t="shared" ca="1" si="1"/>
        <v>#NAME?</v>
      </c>
      <c r="T146" s="147" t="e">
        <f t="shared" ca="1" si="2"/>
        <v>#NAME?</v>
      </c>
      <c r="U146" s="147" t="e">
        <f t="shared" ca="1" si="3"/>
        <v>#NAME?</v>
      </c>
      <c r="X146" s="147"/>
      <c r="Y146" s="147"/>
      <c r="Z146" s="147"/>
      <c r="AA146" s="147"/>
      <c r="AB146" s="147"/>
      <c r="AC146" s="147"/>
      <c r="AD146" s="147"/>
      <c r="AE146" s="147"/>
      <c r="AF146" s="147"/>
      <c r="AG146" s="147"/>
      <c r="AH146" s="147"/>
      <c r="AI146" s="147"/>
      <c r="AJ146" s="147"/>
      <c r="AK146" s="147"/>
      <c r="AL146" s="147"/>
      <c r="AM146" s="147"/>
      <c r="AN146" s="147"/>
      <c r="AO146" s="147"/>
      <c r="AP146" s="147"/>
      <c r="AQ146" s="147"/>
    </row>
    <row r="147" spans="1:43">
      <c r="A147" s="160" t="str">
        <f ca="1">IFERROR(__xludf.DUMMYFUNCTION("""COMPUTED_VALUE"""),"193451")</f>
        <v>193451</v>
      </c>
      <c r="B147" s="3" t="str">
        <f ca="1">IFERROR(__xludf.DUMMYFUNCTION("""COMPUTED_VALUE"""),"NGUYỄN CÔNG HẬU")</f>
        <v>NGUYỄN CÔNG HẬU</v>
      </c>
      <c r="C147" s="160" t="str">
        <f ca="1">IFERROR(__xludf.DUMMYFUNCTION("""COMPUTED_VALUE"""),"EL014")</f>
        <v>EL014</v>
      </c>
      <c r="D147" s="160" t="str">
        <f ca="1">IFERROR(__xludf.DUMMYFUNCTION("""COMPUTED_VALUE"""),"Thao Vu 1")</f>
        <v>Thao Vu 1</v>
      </c>
      <c r="E147" s="3" t="str">
        <f ca="1">IFERROR(__xludf.DUMMYFUNCTION("""COMPUTED_VALUE"""),"Communication 1")</f>
        <v>Communication 1</v>
      </c>
      <c r="F147" s="3" t="str">
        <f ca="1">IFERROR(__xludf.DUMMYFUNCTION("""COMPUTED_VALUE"""),"Beginner")</f>
        <v>Beginner</v>
      </c>
      <c r="G147" s="3" t="str">
        <f ca="1">IFERROR(__xludf.DUMMYFUNCTION("""COMPUTED_VALUE"""),"Beginner")</f>
        <v>Beginner</v>
      </c>
      <c r="H147" s="156">
        <f ca="1">IFERROR(__xludf.DUMMYFUNCTION("""COMPUTED_VALUE"""),45635.4375)</f>
        <v>45635.4375</v>
      </c>
      <c r="I147" s="156">
        <f ca="1">IFERROR(__xludf.DUMMYFUNCTION("""COMPUTED_VALUE"""),45635.4375)</f>
        <v>45635.4375</v>
      </c>
      <c r="J147" s="3">
        <f ca="1">IFERROR(__xludf.DUMMYFUNCTION("""COMPUTED_VALUE"""),1)</f>
        <v>1</v>
      </c>
      <c r="K147" s="3">
        <f ca="1">IFERROR(__xludf.DUMMYFUNCTION("""COMPUTED_VALUE"""),1)</f>
        <v>1</v>
      </c>
      <c r="L147" s="3" t="str">
        <f ca="1">IFERROR(__xludf.DUMMYFUNCTION("""COMPUTED_VALUE"""),"QC")</f>
        <v>QC</v>
      </c>
      <c r="M147" s="3" t="str">
        <f ca="1">IFERROR(__xludf.DUMMYFUNCTION("""COMPUTED_VALUE"""),"MOC")</f>
        <v>MOC</v>
      </c>
      <c r="N147" s="157">
        <f ca="1">IFERROR(__xludf.DUMMYFUNCTION("""COMPUTED_VALUE"""),1)</f>
        <v>1</v>
      </c>
      <c r="O147" s="157">
        <f ca="1">IFERROR(__xludf.DUMMYFUNCTION("""COMPUTED_VALUE"""),1)</f>
        <v>1</v>
      </c>
      <c r="P147" s="157"/>
      <c r="Q147" s="3">
        <f t="shared" ca="1" si="0"/>
        <v>146</v>
      </c>
      <c r="R147" s="148" t="e">
        <f ca="1"/>
        <v>#NAME?</v>
      </c>
      <c r="S147" s="147" t="e">
        <f t="shared" ca="1" si="1"/>
        <v>#NAME?</v>
      </c>
      <c r="T147" s="147" t="e">
        <f t="shared" ca="1" si="2"/>
        <v>#NAME?</v>
      </c>
      <c r="U147" s="147" t="e">
        <f t="shared" ca="1" si="3"/>
        <v>#NAME?</v>
      </c>
      <c r="X147" s="147"/>
      <c r="Y147" s="147"/>
      <c r="Z147" s="147"/>
      <c r="AA147" s="147"/>
      <c r="AB147" s="147"/>
      <c r="AC147" s="147"/>
      <c r="AD147" s="147"/>
      <c r="AE147" s="147"/>
      <c r="AF147" s="147"/>
      <c r="AG147" s="147"/>
      <c r="AH147" s="147"/>
      <c r="AI147" s="147"/>
      <c r="AJ147" s="147"/>
      <c r="AK147" s="147"/>
      <c r="AL147" s="147"/>
      <c r="AM147" s="147"/>
      <c r="AN147" s="147"/>
      <c r="AO147" s="147"/>
      <c r="AP147" s="147"/>
      <c r="AQ147" s="147"/>
    </row>
    <row r="148" spans="1:43">
      <c r="A148" s="160" t="str">
        <f ca="1">IFERROR(__xludf.DUMMYFUNCTION("""COMPUTED_VALUE"""),"193633")</f>
        <v>193633</v>
      </c>
      <c r="B148" s="3" t="str">
        <f ca="1">IFERROR(__xludf.DUMMYFUNCTION("""COMPUTED_VALUE"""),"Nguyen Hoai Nam")</f>
        <v>Nguyen Hoai Nam</v>
      </c>
      <c r="C148" s="160" t="str">
        <f ca="1">IFERROR(__xludf.DUMMYFUNCTION("""COMPUTED_VALUE"""),"EL014")</f>
        <v>EL014</v>
      </c>
      <c r="D148" s="160" t="str">
        <f ca="1">IFERROR(__xludf.DUMMYFUNCTION("""COMPUTED_VALUE"""),"Thao Vu 1")</f>
        <v>Thao Vu 1</v>
      </c>
      <c r="E148" s="3" t="str">
        <f ca="1">IFERROR(__xludf.DUMMYFUNCTION("""COMPUTED_VALUE"""),"Communication 1")</f>
        <v>Communication 1</v>
      </c>
      <c r="F148" s="3" t="str">
        <f ca="1">IFERROR(__xludf.DUMMYFUNCTION("""COMPUTED_VALUE"""),"Beginner")</f>
        <v>Beginner</v>
      </c>
      <c r="G148" s="3" t="str">
        <f ca="1">IFERROR(__xludf.DUMMYFUNCTION("""COMPUTED_VALUE"""),"Beginner")</f>
        <v>Beginner</v>
      </c>
      <c r="H148" s="156">
        <f ca="1">IFERROR(__xludf.DUMMYFUNCTION("""COMPUTED_VALUE"""),45635.4375)</f>
        <v>45635.4375</v>
      </c>
      <c r="I148" s="156">
        <f ca="1">IFERROR(__xludf.DUMMYFUNCTION("""COMPUTED_VALUE"""),45635.4375)</f>
        <v>45635.4375</v>
      </c>
      <c r="J148" s="3">
        <f ca="1">IFERROR(__xludf.DUMMYFUNCTION("""COMPUTED_VALUE"""),1)</f>
        <v>1</v>
      </c>
      <c r="K148" s="3">
        <f ca="1">IFERROR(__xludf.DUMMYFUNCTION("""COMPUTED_VALUE"""),1)</f>
        <v>1</v>
      </c>
      <c r="L148" s="3" t="str">
        <f ca="1">IFERROR(__xludf.DUMMYFUNCTION("""COMPUTED_VALUE"""),"QC")</f>
        <v>QC</v>
      </c>
      <c r="M148" s="3" t="str">
        <f ca="1">IFERROR(__xludf.DUMMYFUNCTION("""COMPUTED_VALUE"""),"ONC")</f>
        <v>ONC</v>
      </c>
      <c r="N148" s="157">
        <f ca="1">IFERROR(__xludf.DUMMYFUNCTION("""COMPUTED_VALUE"""),1)</f>
        <v>1</v>
      </c>
      <c r="O148" s="157">
        <f ca="1">IFERROR(__xludf.DUMMYFUNCTION("""COMPUTED_VALUE"""),1)</f>
        <v>1</v>
      </c>
      <c r="P148" s="157"/>
      <c r="Q148" s="3">
        <f t="shared" ca="1" si="0"/>
        <v>147</v>
      </c>
      <c r="R148" s="148" t="e">
        <f ca="1"/>
        <v>#NAME?</v>
      </c>
      <c r="S148" s="147" t="e">
        <f t="shared" ca="1" si="1"/>
        <v>#NAME?</v>
      </c>
      <c r="T148" s="147" t="e">
        <f t="shared" ca="1" si="2"/>
        <v>#NAME?</v>
      </c>
      <c r="U148" s="147" t="e">
        <f t="shared" ca="1" si="3"/>
        <v>#NAME?</v>
      </c>
      <c r="X148" s="147"/>
      <c r="Y148" s="147"/>
      <c r="Z148" s="147"/>
      <c r="AA148" s="147"/>
      <c r="AB148" s="147"/>
      <c r="AC148" s="147"/>
      <c r="AD148" s="147"/>
      <c r="AE148" s="147"/>
      <c r="AF148" s="147"/>
      <c r="AG148" s="147"/>
      <c r="AH148" s="147"/>
      <c r="AI148" s="147"/>
      <c r="AJ148" s="147"/>
      <c r="AK148" s="147"/>
      <c r="AL148" s="147"/>
      <c r="AM148" s="147"/>
      <c r="AN148" s="147"/>
      <c r="AO148" s="147"/>
      <c r="AP148" s="147"/>
      <c r="AQ148" s="147"/>
    </row>
    <row r="149" spans="1:43">
      <c r="A149" s="160" t="str">
        <f ca="1">IFERROR(__xludf.DUMMYFUNCTION("""COMPUTED_VALUE"""),"213938")</f>
        <v>213938</v>
      </c>
      <c r="B149" s="3" t="str">
        <f ca="1">IFERROR(__xludf.DUMMYFUNCTION("""COMPUTED_VALUE"""),"VŨ THANH THẢO")</f>
        <v>VŨ THANH THẢO</v>
      </c>
      <c r="C149" s="160" t="str">
        <f ca="1">IFERROR(__xludf.DUMMYFUNCTION("""COMPUTED_VALUE"""),"EL014")</f>
        <v>EL014</v>
      </c>
      <c r="D149" s="160" t="str">
        <f ca="1">IFERROR(__xludf.DUMMYFUNCTION("""COMPUTED_VALUE"""),"Thao Vu 1")</f>
        <v>Thao Vu 1</v>
      </c>
      <c r="E149" s="3" t="str">
        <f ca="1">IFERROR(__xludf.DUMMYFUNCTION("""COMPUTED_VALUE"""),"Communication 1")</f>
        <v>Communication 1</v>
      </c>
      <c r="F149" s="3" t="str">
        <f ca="1">IFERROR(__xludf.DUMMYFUNCTION("""COMPUTED_VALUE"""),"Intermediate")</f>
        <v>Intermediate</v>
      </c>
      <c r="G149" s="3" t="str">
        <f ca="1">IFERROR(__xludf.DUMMYFUNCTION("""COMPUTED_VALUE"""),"Pre-Intermediate")</f>
        <v>Pre-Intermediate</v>
      </c>
      <c r="H149" s="156">
        <f ca="1">IFERROR(__xludf.DUMMYFUNCTION("""COMPUTED_VALUE"""),45635.4375)</f>
        <v>45635.4375</v>
      </c>
      <c r="I149" s="156">
        <f ca="1">IFERROR(__xludf.DUMMYFUNCTION("""COMPUTED_VALUE"""),45635.4375)</f>
        <v>45635.4375</v>
      </c>
      <c r="J149" s="3">
        <f ca="1">IFERROR(__xludf.DUMMYFUNCTION("""COMPUTED_VALUE"""),4.5)</f>
        <v>4.5</v>
      </c>
      <c r="K149" s="3">
        <f ca="1">IFERROR(__xludf.DUMMYFUNCTION("""COMPUTED_VALUE"""),2.5)</f>
        <v>2.5</v>
      </c>
      <c r="L149" s="3" t="str">
        <f ca="1">IFERROR(__xludf.DUMMYFUNCTION("""COMPUTED_VALUE"""),"QC")</f>
        <v>QC</v>
      </c>
      <c r="M149" s="3" t="str">
        <f ca="1">IFERROR(__xludf.DUMMYFUNCTION("""COMPUTED_VALUE"""),"ONC")</f>
        <v>ONC</v>
      </c>
      <c r="N149" s="157">
        <f ca="1">IFERROR(__xludf.DUMMYFUNCTION("""COMPUTED_VALUE"""),4.5)</f>
        <v>4.5</v>
      </c>
      <c r="O149" s="157">
        <f ca="1">IFERROR(__xludf.DUMMYFUNCTION("""COMPUTED_VALUE"""),2.5)</f>
        <v>2.5</v>
      </c>
      <c r="P149" s="157"/>
      <c r="Q149" s="3">
        <f t="shared" ca="1" si="0"/>
        <v>148</v>
      </c>
      <c r="R149" s="148" t="e">
        <f ca="1"/>
        <v>#NAME?</v>
      </c>
      <c r="S149" s="147" t="e">
        <f t="shared" ca="1" si="1"/>
        <v>#NAME?</v>
      </c>
      <c r="T149" s="147" t="e">
        <f t="shared" ca="1" si="2"/>
        <v>#NAME?</v>
      </c>
      <c r="U149" s="147" t="e">
        <f t="shared" ca="1" si="3"/>
        <v>#NAME?</v>
      </c>
      <c r="X149" s="147"/>
      <c r="Y149" s="147"/>
      <c r="Z149" s="147"/>
      <c r="AA149" s="147"/>
      <c r="AB149" s="147"/>
      <c r="AC149" s="147"/>
      <c r="AD149" s="147"/>
      <c r="AE149" s="147"/>
      <c r="AF149" s="147"/>
      <c r="AG149" s="147"/>
      <c r="AH149" s="147"/>
      <c r="AI149" s="147"/>
      <c r="AJ149" s="147"/>
      <c r="AK149" s="147"/>
      <c r="AL149" s="147"/>
      <c r="AM149" s="147"/>
      <c r="AN149" s="147"/>
      <c r="AO149" s="147"/>
      <c r="AP149" s="147"/>
      <c r="AQ149" s="147"/>
    </row>
    <row r="150" spans="1:43">
      <c r="A150" s="155" t="str">
        <f ca="1">IFERROR(__xludf.DUMMYFUNCTION("""COMPUTED_VALUE"""),"213856")</f>
        <v>213856</v>
      </c>
      <c r="B150" s="154" t="str">
        <f ca="1">IFERROR(__xludf.DUMMYFUNCTION("""COMPUTED_VALUE"""),"Chu Thị Lệ Quỳnh")</f>
        <v>Chu Thị Lệ Quỳnh</v>
      </c>
      <c r="C150" s="155" t="str">
        <f ca="1">IFERROR(__xludf.DUMMYFUNCTION("""COMPUTED_VALUE"""),"EL015")</f>
        <v>EL015</v>
      </c>
      <c r="D150" s="155" t="str">
        <f ca="1">IFERROR(__xludf.DUMMYFUNCTION("""COMPUTED_VALUE"""),"Thao Vu 2")</f>
        <v>Thao Vu 2</v>
      </c>
      <c r="E150" s="154" t="str">
        <f ca="1">IFERROR(__xludf.DUMMYFUNCTION("""COMPUTED_VALUE"""),"Communication 1")</f>
        <v>Communication 1</v>
      </c>
      <c r="F150" s="3" t="str">
        <f ca="1">IFERROR(__xludf.DUMMYFUNCTION("""COMPUTED_VALUE"""),"Beginner")</f>
        <v>Beginner</v>
      </c>
      <c r="G150" s="3" t="str">
        <f ca="1">IFERROR(__xludf.DUMMYFUNCTION("""COMPUTED_VALUE"""),"Pre-Intermediate")</f>
        <v>Pre-Intermediate</v>
      </c>
      <c r="H150" s="156">
        <f ca="1">IFERROR(__xludf.DUMMYFUNCTION("""COMPUTED_VALUE"""),45637.375)</f>
        <v>45637.375</v>
      </c>
      <c r="I150" s="156">
        <f ca="1">IFERROR(__xludf.DUMMYFUNCTION("""COMPUTED_VALUE"""),45637.375)</f>
        <v>45637.375</v>
      </c>
      <c r="J150" s="3">
        <f ca="1">IFERROR(__xludf.DUMMYFUNCTION("""COMPUTED_VALUE"""),1)</f>
        <v>1</v>
      </c>
      <c r="K150" s="3">
        <f ca="1">IFERROR(__xludf.DUMMYFUNCTION("""COMPUTED_VALUE"""),2.5)</f>
        <v>2.5</v>
      </c>
      <c r="L150" s="3" t="str">
        <f ca="1">IFERROR(__xludf.DUMMYFUNCTION("""COMPUTED_VALUE"""),"QC")</f>
        <v>QC</v>
      </c>
      <c r="M150" s="3" t="str">
        <f ca="1">IFERROR(__xludf.DUMMYFUNCTION("""COMPUTED_VALUE"""),"ONC")</f>
        <v>ONC</v>
      </c>
      <c r="N150" s="157">
        <f ca="1">IFERROR(__xludf.DUMMYFUNCTION("""COMPUTED_VALUE"""),1)</f>
        <v>1</v>
      </c>
      <c r="O150" s="157">
        <f ca="1">IFERROR(__xludf.DUMMYFUNCTION("""COMPUTED_VALUE"""),2.5)</f>
        <v>2.5</v>
      </c>
      <c r="P150" s="157"/>
      <c r="Q150" s="3">
        <f t="shared" ca="1" si="0"/>
        <v>149</v>
      </c>
      <c r="R150" s="148" t="e">
        <f ca="1"/>
        <v>#NAME?</v>
      </c>
      <c r="S150" s="147" t="e">
        <f t="shared" ca="1" si="1"/>
        <v>#NAME?</v>
      </c>
      <c r="T150" s="147" t="e">
        <f t="shared" ca="1" si="2"/>
        <v>#NAME?</v>
      </c>
      <c r="U150" s="147" t="e">
        <f t="shared" ca="1" si="3"/>
        <v>#NAME?</v>
      </c>
      <c r="X150" s="147"/>
      <c r="Y150" s="147"/>
      <c r="Z150" s="147"/>
      <c r="AA150" s="147"/>
      <c r="AB150" s="147"/>
      <c r="AC150" s="147"/>
      <c r="AD150" s="147"/>
      <c r="AE150" s="147"/>
      <c r="AF150" s="147"/>
      <c r="AG150" s="147"/>
      <c r="AH150" s="147"/>
      <c r="AI150" s="147"/>
      <c r="AJ150" s="147"/>
      <c r="AK150" s="147"/>
      <c r="AL150" s="147"/>
      <c r="AM150" s="147"/>
      <c r="AN150" s="147"/>
      <c r="AO150" s="147"/>
      <c r="AP150" s="147"/>
      <c r="AQ150" s="147"/>
    </row>
    <row r="151" spans="1:43">
      <c r="A151" s="160" t="str">
        <f ca="1">IFERROR(__xludf.DUMMYFUNCTION("""COMPUTED_VALUE"""),"227130")</f>
        <v>227130</v>
      </c>
      <c r="B151" s="3" t="str">
        <f ca="1">IFERROR(__xludf.DUMMYFUNCTION("""COMPUTED_VALUE"""),"HỒ MẠNH DŨNG")</f>
        <v>HỒ MẠNH DŨNG</v>
      </c>
      <c r="C151" s="160" t="str">
        <f ca="1">IFERROR(__xludf.DUMMYFUNCTION("""COMPUTED_VALUE"""),"EL015")</f>
        <v>EL015</v>
      </c>
      <c r="D151" s="160" t="str">
        <f ca="1">IFERROR(__xludf.DUMMYFUNCTION("""COMPUTED_VALUE"""),"Thao Vu 2")</f>
        <v>Thao Vu 2</v>
      </c>
      <c r="E151" s="3" t="str">
        <f ca="1">IFERROR(__xludf.DUMMYFUNCTION("""COMPUTED_VALUE"""),"Communication 1")</f>
        <v>Communication 1</v>
      </c>
      <c r="F151" s="3" t="str">
        <f ca="1">IFERROR(__xludf.DUMMYFUNCTION("""COMPUTED_VALUE"""),"Beginner")</f>
        <v>Beginner</v>
      </c>
      <c r="G151" s="3" t="str">
        <f ca="1">IFERROR(__xludf.DUMMYFUNCTION("""COMPUTED_VALUE"""),"Pre-Intermediate")</f>
        <v>Pre-Intermediate</v>
      </c>
      <c r="H151" s="156">
        <f ca="1">IFERROR(__xludf.DUMMYFUNCTION("""COMPUTED_VALUE"""),45637.375)</f>
        <v>45637.375</v>
      </c>
      <c r="I151" s="156">
        <f ca="1">IFERROR(__xludf.DUMMYFUNCTION("""COMPUTED_VALUE"""),45637.375)</f>
        <v>45637.375</v>
      </c>
      <c r="J151" s="3">
        <f ca="1">IFERROR(__xludf.DUMMYFUNCTION("""COMPUTED_VALUE"""),1)</f>
        <v>1</v>
      </c>
      <c r="K151" s="3">
        <f ca="1">IFERROR(__xludf.DUMMYFUNCTION("""COMPUTED_VALUE"""),2.5)</f>
        <v>2.5</v>
      </c>
      <c r="L151" s="3" t="str">
        <f ca="1">IFERROR(__xludf.DUMMYFUNCTION("""COMPUTED_VALUE"""),"QC")</f>
        <v>QC</v>
      </c>
      <c r="M151" s="3" t="str">
        <f ca="1">IFERROR(__xludf.DUMMYFUNCTION("""COMPUTED_VALUE"""),"ONC")</f>
        <v>ONC</v>
      </c>
      <c r="N151" s="157">
        <f ca="1">IFERROR(__xludf.DUMMYFUNCTION("""COMPUTED_VALUE"""),1)</f>
        <v>1</v>
      </c>
      <c r="O151" s="157">
        <f ca="1">IFERROR(__xludf.DUMMYFUNCTION("""COMPUTED_VALUE"""),2.5)</f>
        <v>2.5</v>
      </c>
      <c r="P151" s="157"/>
      <c r="Q151" s="3">
        <f t="shared" ca="1" si="0"/>
        <v>150</v>
      </c>
      <c r="R151" s="148" t="e">
        <f ca="1"/>
        <v>#NAME?</v>
      </c>
      <c r="S151" s="147" t="e">
        <f t="shared" ca="1" si="1"/>
        <v>#NAME?</v>
      </c>
      <c r="T151" s="147" t="e">
        <f t="shared" ca="1" si="2"/>
        <v>#NAME?</v>
      </c>
      <c r="U151" s="147" t="e">
        <f t="shared" ca="1" si="3"/>
        <v>#NAME?</v>
      </c>
      <c r="X151" s="147"/>
      <c r="Y151" s="147"/>
      <c r="Z151" s="147"/>
      <c r="AA151" s="147"/>
      <c r="AB151" s="147"/>
      <c r="AC151" s="147"/>
      <c r="AD151" s="147"/>
      <c r="AE151" s="147"/>
      <c r="AF151" s="147"/>
      <c r="AG151" s="147"/>
      <c r="AH151" s="147"/>
      <c r="AI151" s="147"/>
      <c r="AJ151" s="147"/>
      <c r="AK151" s="147"/>
      <c r="AL151" s="147"/>
      <c r="AM151" s="147"/>
      <c r="AN151" s="147"/>
      <c r="AO151" s="147"/>
      <c r="AP151" s="147"/>
      <c r="AQ151" s="147"/>
    </row>
    <row r="152" spans="1:43">
      <c r="A152" s="160" t="str">
        <f ca="1">IFERROR(__xludf.DUMMYFUNCTION("""COMPUTED_VALUE"""),"247185")</f>
        <v>247185</v>
      </c>
      <c r="B152" s="3" t="str">
        <f ca="1">IFERROR(__xludf.DUMMYFUNCTION("""COMPUTED_VALUE"""),"LÊ MINH DUY")</f>
        <v>LÊ MINH DUY</v>
      </c>
      <c r="C152" s="160" t="str">
        <f ca="1">IFERROR(__xludf.DUMMYFUNCTION("""COMPUTED_VALUE"""),"EL015")</f>
        <v>EL015</v>
      </c>
      <c r="D152" s="160" t="str">
        <f ca="1">IFERROR(__xludf.DUMMYFUNCTION("""COMPUTED_VALUE"""),"Thao Vu 2")</f>
        <v>Thao Vu 2</v>
      </c>
      <c r="E152" s="3" t="str">
        <f ca="1">IFERROR(__xludf.DUMMYFUNCTION("""COMPUTED_VALUE"""),"Communication 1")</f>
        <v>Communication 1</v>
      </c>
      <c r="F152" s="3" t="str">
        <f ca="1">IFERROR(__xludf.DUMMYFUNCTION("""COMPUTED_VALUE"""),"Beginner")</f>
        <v>Beginner</v>
      </c>
      <c r="G152" s="3" t="str">
        <f ca="1">IFERROR(__xludf.DUMMYFUNCTION("""COMPUTED_VALUE"""),"Pre-Intermediate")</f>
        <v>Pre-Intermediate</v>
      </c>
      <c r="H152" s="156">
        <f ca="1">IFERROR(__xludf.DUMMYFUNCTION("""COMPUTED_VALUE"""),45637.375)</f>
        <v>45637.375</v>
      </c>
      <c r="I152" s="156">
        <f ca="1">IFERROR(__xludf.DUMMYFUNCTION("""COMPUTED_VALUE"""),45637.375)</f>
        <v>45637.375</v>
      </c>
      <c r="J152" s="3">
        <f ca="1">IFERROR(__xludf.DUMMYFUNCTION("""COMPUTED_VALUE"""),1)</f>
        <v>1</v>
      </c>
      <c r="K152" s="3">
        <f ca="1">IFERROR(__xludf.DUMMYFUNCTION("""COMPUTED_VALUE"""),2.5)</f>
        <v>2.5</v>
      </c>
      <c r="L152" s="3" t="str">
        <f ca="1">IFERROR(__xludf.DUMMYFUNCTION("""COMPUTED_VALUE"""),"QC")</f>
        <v>QC</v>
      </c>
      <c r="M152" s="3" t="str">
        <f ca="1">IFERROR(__xludf.DUMMYFUNCTION("""COMPUTED_VALUE"""),"ONC")</f>
        <v>ONC</v>
      </c>
      <c r="N152" s="157">
        <f ca="1">IFERROR(__xludf.DUMMYFUNCTION("""COMPUTED_VALUE"""),1)</f>
        <v>1</v>
      </c>
      <c r="O152" s="157">
        <f ca="1">IFERROR(__xludf.DUMMYFUNCTION("""COMPUTED_VALUE"""),2.5)</f>
        <v>2.5</v>
      </c>
      <c r="P152" s="157"/>
      <c r="Q152" s="3">
        <f t="shared" ca="1" si="0"/>
        <v>151</v>
      </c>
      <c r="R152" s="148" t="e">
        <f ca="1"/>
        <v>#NAME?</v>
      </c>
      <c r="S152" s="147" t="e">
        <f t="shared" ca="1" si="1"/>
        <v>#NAME?</v>
      </c>
      <c r="T152" s="147" t="e">
        <f t="shared" ca="1" si="2"/>
        <v>#NAME?</v>
      </c>
      <c r="U152" s="147" t="e">
        <f t="shared" ca="1" si="3"/>
        <v>#NAME?</v>
      </c>
      <c r="X152" s="147"/>
      <c r="Y152" s="147"/>
      <c r="Z152" s="147"/>
      <c r="AA152" s="147"/>
      <c r="AB152" s="147"/>
      <c r="AC152" s="147"/>
      <c r="AD152" s="147"/>
      <c r="AE152" s="147"/>
      <c r="AF152" s="147"/>
      <c r="AG152" s="147"/>
      <c r="AH152" s="147"/>
      <c r="AI152" s="147"/>
      <c r="AJ152" s="147"/>
      <c r="AK152" s="147"/>
      <c r="AL152" s="147"/>
      <c r="AM152" s="147"/>
      <c r="AN152" s="147"/>
      <c r="AO152" s="147"/>
      <c r="AP152" s="147"/>
      <c r="AQ152" s="147"/>
    </row>
    <row r="153" spans="1:43">
      <c r="A153" s="160" t="str">
        <f ca="1">IFERROR(__xludf.DUMMYFUNCTION("""COMPUTED_VALUE"""),"227177")</f>
        <v>227177</v>
      </c>
      <c r="B153" s="3" t="str">
        <f ca="1">IFERROR(__xludf.DUMMYFUNCTION("""COMPUTED_VALUE"""),"NGUYỄN NGỌC HOÀNG BẢO TRÂN")</f>
        <v>NGUYỄN NGỌC HOÀNG BẢO TRÂN</v>
      </c>
      <c r="C153" s="160" t="str">
        <f ca="1">IFERROR(__xludf.DUMMYFUNCTION("""COMPUTED_VALUE"""),"EL015")</f>
        <v>EL015</v>
      </c>
      <c r="D153" s="160" t="str">
        <f ca="1">IFERROR(__xludf.DUMMYFUNCTION("""COMPUTED_VALUE"""),"Thao Vu 2")</f>
        <v>Thao Vu 2</v>
      </c>
      <c r="E153" s="3" t="str">
        <f ca="1">IFERROR(__xludf.DUMMYFUNCTION("""COMPUTED_VALUE"""),"Communication 1")</f>
        <v>Communication 1</v>
      </c>
      <c r="F153" s="3" t="str">
        <f ca="1">IFERROR(__xludf.DUMMYFUNCTION("""COMPUTED_VALUE"""),"Beginner")</f>
        <v>Beginner</v>
      </c>
      <c r="G153" s="3" t="str">
        <f ca="1">IFERROR(__xludf.DUMMYFUNCTION("""COMPUTED_VALUE"""),"Pre-Intermediate")</f>
        <v>Pre-Intermediate</v>
      </c>
      <c r="H153" s="156">
        <f ca="1">IFERROR(__xludf.DUMMYFUNCTION("""COMPUTED_VALUE"""),45637.375)</f>
        <v>45637.375</v>
      </c>
      <c r="I153" s="156">
        <f ca="1">IFERROR(__xludf.DUMMYFUNCTION("""COMPUTED_VALUE"""),45637.375)</f>
        <v>45637.375</v>
      </c>
      <c r="J153" s="3">
        <f ca="1">IFERROR(__xludf.DUMMYFUNCTION("""COMPUTED_VALUE"""),1)</f>
        <v>1</v>
      </c>
      <c r="K153" s="3">
        <f ca="1">IFERROR(__xludf.DUMMYFUNCTION("""COMPUTED_VALUE"""),2.5)</f>
        <v>2.5</v>
      </c>
      <c r="L153" s="3" t="str">
        <f ca="1">IFERROR(__xludf.DUMMYFUNCTION("""COMPUTED_VALUE"""),"QC")</f>
        <v>QC</v>
      </c>
      <c r="M153" s="3" t="str">
        <f ca="1">IFERROR(__xludf.DUMMYFUNCTION("""COMPUTED_VALUE"""),"ONC")</f>
        <v>ONC</v>
      </c>
      <c r="N153" s="157">
        <f ca="1">IFERROR(__xludf.DUMMYFUNCTION("""COMPUTED_VALUE"""),1)</f>
        <v>1</v>
      </c>
      <c r="O153" s="157">
        <f ca="1">IFERROR(__xludf.DUMMYFUNCTION("""COMPUTED_VALUE"""),2.5)</f>
        <v>2.5</v>
      </c>
      <c r="P153" s="157"/>
      <c r="Q153" s="3">
        <f t="shared" ca="1" si="0"/>
        <v>152</v>
      </c>
      <c r="R153" s="148" t="e">
        <f ca="1"/>
        <v>#NAME?</v>
      </c>
      <c r="S153" s="147" t="e">
        <f t="shared" ca="1" si="1"/>
        <v>#NAME?</v>
      </c>
      <c r="T153" s="147" t="e">
        <f t="shared" ca="1" si="2"/>
        <v>#NAME?</v>
      </c>
      <c r="U153" s="147" t="e">
        <f t="shared" ca="1" si="3"/>
        <v>#NAME?</v>
      </c>
      <c r="X153" s="147"/>
      <c r="Y153" s="147"/>
      <c r="Z153" s="147"/>
      <c r="AA153" s="147"/>
      <c r="AB153" s="147"/>
      <c r="AC153" s="147"/>
      <c r="AD153" s="147"/>
      <c r="AE153" s="147"/>
      <c r="AF153" s="147"/>
      <c r="AG153" s="147"/>
      <c r="AH153" s="147"/>
      <c r="AI153" s="147"/>
      <c r="AJ153" s="147"/>
      <c r="AK153" s="147"/>
      <c r="AL153" s="147"/>
      <c r="AM153" s="147"/>
      <c r="AN153" s="147"/>
      <c r="AO153" s="147"/>
      <c r="AP153" s="147"/>
      <c r="AQ153" s="147"/>
    </row>
    <row r="154" spans="1:43">
      <c r="A154" s="160" t="str">
        <f ca="1">IFERROR(__xludf.DUMMYFUNCTION("""COMPUTED_VALUE"""),"247163")</f>
        <v>247163</v>
      </c>
      <c r="B154" s="3" t="str">
        <f ca="1">IFERROR(__xludf.DUMMYFUNCTION("""COMPUTED_VALUE"""),"TRẦN ĐÌNH AN")</f>
        <v>TRẦN ĐÌNH AN</v>
      </c>
      <c r="C154" s="160" t="str">
        <f ca="1">IFERROR(__xludf.DUMMYFUNCTION("""COMPUTED_VALUE"""),"EL015")</f>
        <v>EL015</v>
      </c>
      <c r="D154" s="160" t="str">
        <f ca="1">IFERROR(__xludf.DUMMYFUNCTION("""COMPUTED_VALUE"""),"Thao Vu 2")</f>
        <v>Thao Vu 2</v>
      </c>
      <c r="E154" s="3" t="str">
        <f ca="1">IFERROR(__xludf.DUMMYFUNCTION("""COMPUTED_VALUE"""),"Communication 1")</f>
        <v>Communication 1</v>
      </c>
      <c r="F154" s="3" t="str">
        <f ca="1">IFERROR(__xludf.DUMMYFUNCTION("""COMPUTED_VALUE"""),"Intermediate")</f>
        <v>Intermediate</v>
      </c>
      <c r="G154" s="3"/>
      <c r="H154" s="156">
        <f ca="1">IFERROR(__xludf.DUMMYFUNCTION("""COMPUTED_VALUE"""),45637.375)</f>
        <v>45637.375</v>
      </c>
      <c r="I154" s="156">
        <f ca="1">IFERROR(__xludf.DUMMYFUNCTION("""COMPUTED_VALUE"""),45637.375)</f>
        <v>45637.375</v>
      </c>
      <c r="J154" s="3">
        <f ca="1">IFERROR(__xludf.DUMMYFUNCTION("""COMPUTED_VALUE"""),4.5)</f>
        <v>4.5</v>
      </c>
      <c r="K154" s="3" t="str">
        <f ca="1">IFERROR(__xludf.DUMMYFUNCTION("""COMPUTED_VALUE"""),"")</f>
        <v/>
      </c>
      <c r="L154" s="3" t="str">
        <f ca="1">IFERROR(__xludf.DUMMYFUNCTION("""COMPUTED_VALUE"""),"QC")</f>
        <v>QC</v>
      </c>
      <c r="M154" s="3" t="str">
        <f ca="1">IFERROR(__xludf.DUMMYFUNCTION("""COMPUTED_VALUE"""),"LBU")</f>
        <v>LBU</v>
      </c>
      <c r="N154" s="157">
        <f ca="1">IFERROR(__xludf.DUMMYFUNCTION("""COMPUTED_VALUE"""),4.5)</f>
        <v>4.5</v>
      </c>
      <c r="O154" s="157">
        <f ca="1">IFERROR(__xludf.DUMMYFUNCTION("""COMPUTED_VALUE"""),0)</f>
        <v>0</v>
      </c>
      <c r="P154" s="157"/>
      <c r="Q154" s="3">
        <f t="shared" ca="1" si="0"/>
        <v>153</v>
      </c>
      <c r="R154" s="148" t="e">
        <f ca="1"/>
        <v>#NAME?</v>
      </c>
      <c r="S154" s="147" t="e">
        <f t="shared" ca="1" si="1"/>
        <v>#NAME?</v>
      </c>
      <c r="T154" s="147" t="e">
        <f t="shared" ca="1" si="2"/>
        <v>#NAME?</v>
      </c>
      <c r="U154" s="147" t="e">
        <f t="shared" ca="1" si="3"/>
        <v>#NAME?</v>
      </c>
      <c r="X154" s="147"/>
      <c r="Y154" s="147"/>
      <c r="Z154" s="147"/>
      <c r="AA154" s="147"/>
      <c r="AB154" s="147"/>
      <c r="AC154" s="147"/>
      <c r="AD154" s="147"/>
      <c r="AE154" s="147"/>
      <c r="AF154" s="147"/>
      <c r="AG154" s="147"/>
      <c r="AH154" s="147"/>
      <c r="AI154" s="147"/>
      <c r="AJ154" s="147"/>
      <c r="AK154" s="147"/>
      <c r="AL154" s="147"/>
      <c r="AM154" s="147"/>
      <c r="AN154" s="147"/>
      <c r="AO154" s="147"/>
      <c r="AP154" s="147"/>
      <c r="AQ154" s="147"/>
    </row>
    <row r="155" spans="1:43">
      <c r="A155" s="160" t="str">
        <f ca="1">IFERROR(__xludf.DUMMYFUNCTION("""COMPUTED_VALUE"""),"247384")</f>
        <v>247384</v>
      </c>
      <c r="B155" s="3" t="str">
        <f ca="1">IFERROR(__xludf.DUMMYFUNCTION("""COMPUTED_VALUE"""),"VÕ NGUYỄN DUY ANH")</f>
        <v>VÕ NGUYỄN DUY ANH</v>
      </c>
      <c r="C155" s="160" t="str">
        <f ca="1">IFERROR(__xludf.DUMMYFUNCTION("""COMPUTED_VALUE"""),"EL015")</f>
        <v>EL015</v>
      </c>
      <c r="D155" s="160" t="str">
        <f ca="1">IFERROR(__xludf.DUMMYFUNCTION("""COMPUTED_VALUE"""),"Thao Vu 2")</f>
        <v>Thao Vu 2</v>
      </c>
      <c r="E155" s="3" t="str">
        <f ca="1">IFERROR(__xludf.DUMMYFUNCTION("""COMPUTED_VALUE"""),"Communication 1")</f>
        <v>Communication 1</v>
      </c>
      <c r="F155" s="3" t="str">
        <f ca="1">IFERROR(__xludf.DUMMYFUNCTION("""COMPUTED_VALUE"""),"Pre-Intermediate")</f>
        <v>Pre-Intermediate</v>
      </c>
      <c r="G155" s="3" t="str">
        <f ca="1">IFERROR(__xludf.DUMMYFUNCTION("""COMPUTED_VALUE"""),"Intermediate")</f>
        <v>Intermediate</v>
      </c>
      <c r="H155" s="156">
        <f ca="1">IFERROR(__xludf.DUMMYFUNCTION("""COMPUTED_VALUE"""),45637.375)</f>
        <v>45637.375</v>
      </c>
      <c r="I155" s="156">
        <f ca="1">IFERROR(__xludf.DUMMYFUNCTION("""COMPUTED_VALUE"""),45637.375)</f>
        <v>45637.375</v>
      </c>
      <c r="J155" s="3">
        <f ca="1">IFERROR(__xludf.DUMMYFUNCTION("""COMPUTED_VALUE"""),2.5)</f>
        <v>2.5</v>
      </c>
      <c r="K155" s="3">
        <f ca="1">IFERROR(__xludf.DUMMYFUNCTION("""COMPUTED_VALUE"""),4.5)</f>
        <v>4.5</v>
      </c>
      <c r="L155" s="3" t="str">
        <f ca="1">IFERROR(__xludf.DUMMYFUNCTION("""COMPUTED_VALUE"""),"QC")</f>
        <v>QC</v>
      </c>
      <c r="M155" s="3" t="str">
        <f ca="1">IFERROR(__xludf.DUMMYFUNCTION("""COMPUTED_VALUE"""),"LBU")</f>
        <v>LBU</v>
      </c>
      <c r="N155" s="157">
        <f ca="1">IFERROR(__xludf.DUMMYFUNCTION("""COMPUTED_VALUE"""),2.5)</f>
        <v>2.5</v>
      </c>
      <c r="O155" s="157">
        <f ca="1">IFERROR(__xludf.DUMMYFUNCTION("""COMPUTED_VALUE"""),4.5)</f>
        <v>4.5</v>
      </c>
      <c r="P155" s="157"/>
      <c r="Q155" s="3">
        <f t="shared" ca="1" si="0"/>
        <v>154</v>
      </c>
      <c r="R155" s="148" t="e">
        <f ca="1"/>
        <v>#NAME?</v>
      </c>
      <c r="S155" s="147" t="e">
        <f t="shared" ca="1" si="1"/>
        <v>#NAME?</v>
      </c>
      <c r="T155" s="147" t="e">
        <f t="shared" ca="1" si="2"/>
        <v>#NAME?</v>
      </c>
      <c r="U155" s="147" t="e">
        <f t="shared" ca="1" si="3"/>
        <v>#NAME?</v>
      </c>
      <c r="X155" s="147"/>
      <c r="Y155" s="147"/>
      <c r="Z155" s="147"/>
      <c r="AA155" s="147"/>
      <c r="AB155" s="147"/>
      <c r="AC155" s="147"/>
      <c r="AD155" s="147"/>
      <c r="AE155" s="147"/>
      <c r="AF155" s="147"/>
      <c r="AG155" s="147"/>
      <c r="AH155" s="147"/>
      <c r="AI155" s="147"/>
      <c r="AJ155" s="147"/>
      <c r="AK155" s="147"/>
      <c r="AL155" s="147"/>
      <c r="AM155" s="147"/>
      <c r="AN155" s="147"/>
      <c r="AO155" s="147"/>
      <c r="AP155" s="147"/>
      <c r="AQ155" s="147"/>
    </row>
    <row r="156" spans="1:43">
      <c r="A156" s="155" t="str">
        <f ca="1">IFERROR(__xludf.DUMMYFUNCTION("""COMPUTED_VALUE"""),"227177")</f>
        <v>227177</v>
      </c>
      <c r="B156" s="154" t="str">
        <f ca="1">IFERROR(__xludf.DUMMYFUNCTION("""COMPUTED_VALUE"""),"NGUYỄN NGỌC HOÀNG BẢO TRÂN")</f>
        <v>NGUYỄN NGỌC HOÀNG BẢO TRÂN</v>
      </c>
      <c r="C156" s="155" t="str">
        <f ca="1">IFERROR(__xludf.DUMMYFUNCTION("""COMPUTED_VALUE"""),"EL015")</f>
        <v>EL015</v>
      </c>
      <c r="D156" s="155" t="str">
        <f ca="1">IFERROR(__xludf.DUMMYFUNCTION("""COMPUTED_VALUE"""),"Thao Vu 2")</f>
        <v>Thao Vu 2</v>
      </c>
      <c r="E156" s="154" t="str">
        <f ca="1">IFERROR(__xludf.DUMMYFUNCTION("""COMPUTED_VALUE"""),"Communication 2")</f>
        <v>Communication 2</v>
      </c>
      <c r="F156" s="3" t="str">
        <f ca="1">IFERROR(__xludf.DUMMYFUNCTION("""COMPUTED_VALUE"""),"Pre-Intermediate")</f>
        <v>Pre-Intermediate</v>
      </c>
      <c r="G156" s="3" t="str">
        <f ca="1">IFERROR(__xludf.DUMMYFUNCTION("""COMPUTED_VALUE"""),"Pre-Intermediate")</f>
        <v>Pre-Intermediate</v>
      </c>
      <c r="H156" s="156">
        <f ca="1">IFERROR(__xludf.DUMMYFUNCTION("""COMPUTED_VALUE"""),45839.375)</f>
        <v>45839.375</v>
      </c>
      <c r="I156" s="156">
        <f ca="1">IFERROR(__xludf.DUMMYFUNCTION("""COMPUTED_VALUE"""),45637.375)</f>
        <v>45637.375</v>
      </c>
      <c r="J156" s="3">
        <f ca="1">IFERROR(__xludf.DUMMYFUNCTION("""COMPUTED_VALUE"""),2.5)</f>
        <v>2.5</v>
      </c>
      <c r="K156" s="3">
        <f ca="1">IFERROR(__xludf.DUMMYFUNCTION("""COMPUTED_VALUE"""),2.5)</f>
        <v>2.5</v>
      </c>
      <c r="L156" s="3" t="str">
        <f ca="1">IFERROR(__xludf.DUMMYFUNCTION("""COMPUTED_VALUE"""),"QC")</f>
        <v>QC</v>
      </c>
      <c r="M156" s="3" t="str">
        <f ca="1">IFERROR(__xludf.DUMMYFUNCTION("""COMPUTED_VALUE"""),"ONC")</f>
        <v>ONC</v>
      </c>
      <c r="N156" s="157">
        <f ca="1">IFERROR(__xludf.DUMMYFUNCTION("""COMPUTED_VALUE"""),1)</f>
        <v>1</v>
      </c>
      <c r="O156" s="157">
        <f ca="1">IFERROR(__xludf.DUMMYFUNCTION("""COMPUTED_VALUE"""),2.5)</f>
        <v>2.5</v>
      </c>
      <c r="P156" s="157"/>
      <c r="Q156" s="3">
        <f t="shared" ca="1" si="0"/>
        <v>155</v>
      </c>
      <c r="R156" s="148" t="e">
        <f ca="1"/>
        <v>#NAME?</v>
      </c>
      <c r="S156" s="147" t="e">
        <f t="shared" ca="1" si="1"/>
        <v>#NAME?</v>
      </c>
      <c r="T156" s="147" t="e">
        <f t="shared" ca="1" si="2"/>
        <v>#NAME?</v>
      </c>
      <c r="U156" s="147" t="e">
        <f t="shared" ca="1" si="3"/>
        <v>#NAME?</v>
      </c>
      <c r="X156" s="147"/>
      <c r="Y156" s="147"/>
      <c r="Z156" s="147"/>
      <c r="AA156" s="147"/>
      <c r="AB156" s="147"/>
      <c r="AC156" s="147"/>
      <c r="AD156" s="147"/>
      <c r="AE156" s="147"/>
      <c r="AF156" s="147"/>
      <c r="AG156" s="147"/>
      <c r="AH156" s="147"/>
      <c r="AI156" s="147"/>
      <c r="AJ156" s="147"/>
      <c r="AK156" s="147"/>
      <c r="AL156" s="147"/>
      <c r="AM156" s="147"/>
      <c r="AN156" s="147"/>
      <c r="AO156" s="147"/>
      <c r="AP156" s="147"/>
      <c r="AQ156" s="147"/>
    </row>
    <row r="157" spans="1:43">
      <c r="A157" s="160" t="str">
        <f ca="1">IFERROR(__xludf.DUMMYFUNCTION("""COMPUTED_VALUE"""),"227130")</f>
        <v>227130</v>
      </c>
      <c r="B157" s="3" t="str">
        <f ca="1">IFERROR(__xludf.DUMMYFUNCTION("""COMPUTED_VALUE"""),"HỒ MẠNH DŨNG")</f>
        <v>HỒ MẠNH DŨNG</v>
      </c>
      <c r="C157" s="160" t="str">
        <f ca="1">IFERROR(__xludf.DUMMYFUNCTION("""COMPUTED_VALUE"""),"EL015")</f>
        <v>EL015</v>
      </c>
      <c r="D157" s="160" t="str">
        <f ca="1">IFERROR(__xludf.DUMMYFUNCTION("""COMPUTED_VALUE"""),"Thao Vu 2")</f>
        <v>Thao Vu 2</v>
      </c>
      <c r="E157" s="3" t="str">
        <f ca="1">IFERROR(__xludf.DUMMYFUNCTION("""COMPUTED_VALUE"""),"Communication 2")</f>
        <v>Communication 2</v>
      </c>
      <c r="F157" s="3" t="str">
        <f ca="1">IFERROR(__xludf.DUMMYFUNCTION("""COMPUTED_VALUE"""),"Pre-Intermediate")</f>
        <v>Pre-Intermediate</v>
      </c>
      <c r="G157" s="3" t="str">
        <f ca="1">IFERROR(__xludf.DUMMYFUNCTION("""COMPUTED_VALUE"""),"Pre-Intermediate")</f>
        <v>Pre-Intermediate</v>
      </c>
      <c r="H157" s="156">
        <f ca="1">IFERROR(__xludf.DUMMYFUNCTION("""COMPUTED_VALUE"""),45839.375)</f>
        <v>45839.375</v>
      </c>
      <c r="I157" s="156">
        <f ca="1">IFERROR(__xludf.DUMMYFUNCTION("""COMPUTED_VALUE"""),45637.375)</f>
        <v>45637.375</v>
      </c>
      <c r="J157" s="3">
        <f ca="1">IFERROR(__xludf.DUMMYFUNCTION("""COMPUTED_VALUE"""),2.5)</f>
        <v>2.5</v>
      </c>
      <c r="K157" s="3">
        <f ca="1">IFERROR(__xludf.DUMMYFUNCTION("""COMPUTED_VALUE"""),2.5)</f>
        <v>2.5</v>
      </c>
      <c r="L157" s="3" t="str">
        <f ca="1">IFERROR(__xludf.DUMMYFUNCTION("""COMPUTED_VALUE"""),"QC")</f>
        <v>QC</v>
      </c>
      <c r="M157" s="3" t="str">
        <f ca="1">IFERROR(__xludf.DUMMYFUNCTION("""COMPUTED_VALUE"""),"ONC")</f>
        <v>ONC</v>
      </c>
      <c r="N157" s="157">
        <f ca="1">IFERROR(__xludf.DUMMYFUNCTION("""COMPUTED_VALUE"""),1)</f>
        <v>1</v>
      </c>
      <c r="O157" s="157">
        <f ca="1">IFERROR(__xludf.DUMMYFUNCTION("""COMPUTED_VALUE"""),2.5)</f>
        <v>2.5</v>
      </c>
      <c r="P157" s="157"/>
      <c r="Q157" s="3">
        <f t="shared" ca="1" si="0"/>
        <v>156</v>
      </c>
      <c r="R157" s="148" t="e">
        <f ca="1"/>
        <v>#NAME?</v>
      </c>
      <c r="S157" s="147" t="e">
        <f t="shared" ca="1" si="1"/>
        <v>#NAME?</v>
      </c>
      <c r="T157" s="147" t="e">
        <f t="shared" ca="1" si="2"/>
        <v>#NAME?</v>
      </c>
      <c r="U157" s="147" t="e">
        <f t="shared" ca="1" si="3"/>
        <v>#NAME?</v>
      </c>
      <c r="X157" s="147"/>
      <c r="Y157" s="147"/>
      <c r="Z157" s="147"/>
      <c r="AA157" s="147"/>
      <c r="AB157" s="147"/>
      <c r="AC157" s="147"/>
      <c r="AD157" s="147"/>
      <c r="AE157" s="147"/>
      <c r="AF157" s="147"/>
      <c r="AG157" s="147"/>
      <c r="AH157" s="147"/>
      <c r="AI157" s="147"/>
      <c r="AJ157" s="147"/>
      <c r="AK157" s="147"/>
      <c r="AL157" s="147"/>
      <c r="AM157" s="147"/>
      <c r="AN157" s="147"/>
      <c r="AO157" s="147"/>
      <c r="AP157" s="147"/>
      <c r="AQ157" s="147"/>
    </row>
    <row r="158" spans="1:43">
      <c r="A158" s="160" t="str">
        <f ca="1">IFERROR(__xludf.DUMMYFUNCTION("""COMPUTED_VALUE"""),"247185")</f>
        <v>247185</v>
      </c>
      <c r="B158" s="3" t="str">
        <f ca="1">IFERROR(__xludf.DUMMYFUNCTION("""COMPUTED_VALUE"""),"LÊ MINH DUY")</f>
        <v>LÊ MINH DUY</v>
      </c>
      <c r="C158" s="160" t="str">
        <f ca="1">IFERROR(__xludf.DUMMYFUNCTION("""COMPUTED_VALUE"""),"EL015")</f>
        <v>EL015</v>
      </c>
      <c r="D158" s="160" t="str">
        <f ca="1">IFERROR(__xludf.DUMMYFUNCTION("""COMPUTED_VALUE"""),"Thao Vu 2")</f>
        <v>Thao Vu 2</v>
      </c>
      <c r="E158" s="3" t="str">
        <f ca="1">IFERROR(__xludf.DUMMYFUNCTION("""COMPUTED_VALUE"""),"Communication 2")</f>
        <v>Communication 2</v>
      </c>
      <c r="F158" s="3" t="str">
        <f ca="1">IFERROR(__xludf.DUMMYFUNCTION("""COMPUTED_VALUE"""),"Pre-Intermediate")</f>
        <v>Pre-Intermediate</v>
      </c>
      <c r="G158" s="3" t="str">
        <f ca="1">IFERROR(__xludf.DUMMYFUNCTION("""COMPUTED_VALUE"""),"Pre-Intermediate")</f>
        <v>Pre-Intermediate</v>
      </c>
      <c r="H158" s="156">
        <f ca="1">IFERROR(__xludf.DUMMYFUNCTION("""COMPUTED_VALUE"""),45839.375)</f>
        <v>45839.375</v>
      </c>
      <c r="I158" s="156">
        <f ca="1">IFERROR(__xludf.DUMMYFUNCTION("""COMPUTED_VALUE"""),45637.375)</f>
        <v>45637.375</v>
      </c>
      <c r="J158" s="3">
        <f ca="1">IFERROR(__xludf.DUMMYFUNCTION("""COMPUTED_VALUE"""),2.5)</f>
        <v>2.5</v>
      </c>
      <c r="K158" s="3">
        <f ca="1">IFERROR(__xludf.DUMMYFUNCTION("""COMPUTED_VALUE"""),2.5)</f>
        <v>2.5</v>
      </c>
      <c r="L158" s="3" t="str">
        <f ca="1">IFERROR(__xludf.DUMMYFUNCTION("""COMPUTED_VALUE"""),"QC")</f>
        <v>QC</v>
      </c>
      <c r="M158" s="3" t="str">
        <f ca="1">IFERROR(__xludf.DUMMYFUNCTION("""COMPUTED_VALUE"""),"ONC")</f>
        <v>ONC</v>
      </c>
      <c r="N158" s="157">
        <f ca="1">IFERROR(__xludf.DUMMYFUNCTION("""COMPUTED_VALUE"""),1)</f>
        <v>1</v>
      </c>
      <c r="O158" s="157">
        <f ca="1">IFERROR(__xludf.DUMMYFUNCTION("""COMPUTED_VALUE"""),2.5)</f>
        <v>2.5</v>
      </c>
      <c r="P158" s="157"/>
      <c r="Q158" s="3">
        <f t="shared" ca="1" si="0"/>
        <v>157</v>
      </c>
      <c r="R158" s="148" t="e">
        <f ca="1"/>
        <v>#NAME?</v>
      </c>
      <c r="S158" s="147" t="e">
        <f t="shared" ca="1" si="1"/>
        <v>#NAME?</v>
      </c>
      <c r="T158" s="147" t="e">
        <f t="shared" ca="1" si="2"/>
        <v>#NAME?</v>
      </c>
      <c r="U158" s="147" t="e">
        <f t="shared" ca="1" si="3"/>
        <v>#NAME?</v>
      </c>
      <c r="X158" s="147"/>
      <c r="Y158" s="147"/>
      <c r="Z158" s="147"/>
      <c r="AA158" s="147"/>
      <c r="AB158" s="147"/>
      <c r="AC158" s="147"/>
      <c r="AD158" s="147"/>
      <c r="AE158" s="147"/>
      <c r="AF158" s="147"/>
      <c r="AG158" s="147"/>
      <c r="AH158" s="147"/>
      <c r="AI158" s="147"/>
      <c r="AJ158" s="147"/>
      <c r="AK158" s="147"/>
      <c r="AL158" s="147"/>
      <c r="AM158" s="147"/>
      <c r="AN158" s="147"/>
      <c r="AO158" s="147"/>
      <c r="AP158" s="147"/>
      <c r="AQ158" s="147"/>
    </row>
    <row r="159" spans="1:43">
      <c r="A159" s="160" t="str">
        <f ca="1">IFERROR(__xludf.DUMMYFUNCTION("""COMPUTED_VALUE"""),"247384")</f>
        <v>247384</v>
      </c>
      <c r="B159" s="3" t="str">
        <f ca="1">IFERROR(__xludf.DUMMYFUNCTION("""COMPUTED_VALUE"""),"VÕ NGUYỄN DUY ANH")</f>
        <v>VÕ NGUYỄN DUY ANH</v>
      </c>
      <c r="C159" s="160" t="str">
        <f ca="1">IFERROR(__xludf.DUMMYFUNCTION("""COMPUTED_VALUE"""),"EL015")</f>
        <v>EL015</v>
      </c>
      <c r="D159" s="160" t="str">
        <f ca="1">IFERROR(__xludf.DUMMYFUNCTION("""COMPUTED_VALUE"""),"Thao Vu 2")</f>
        <v>Thao Vu 2</v>
      </c>
      <c r="E159" s="3" t="str">
        <f ca="1">IFERROR(__xludf.DUMMYFUNCTION("""COMPUTED_VALUE"""),"Communication 2")</f>
        <v>Communication 2</v>
      </c>
      <c r="F159" s="3" t="str">
        <f ca="1">IFERROR(__xludf.DUMMYFUNCTION("""COMPUTED_VALUE"""),"Intermediate")</f>
        <v>Intermediate</v>
      </c>
      <c r="G159" s="3" t="str">
        <f ca="1">IFERROR(__xludf.DUMMYFUNCTION("""COMPUTED_VALUE"""),"Intermediate")</f>
        <v>Intermediate</v>
      </c>
      <c r="H159" s="156">
        <f ca="1">IFERROR(__xludf.DUMMYFUNCTION("""COMPUTED_VALUE"""),45839.375)</f>
        <v>45839.375</v>
      </c>
      <c r="I159" s="156">
        <f ca="1">IFERROR(__xludf.DUMMYFUNCTION("""COMPUTED_VALUE"""),45637.375)</f>
        <v>45637.375</v>
      </c>
      <c r="J159" s="3">
        <f ca="1">IFERROR(__xludf.DUMMYFUNCTION("""COMPUTED_VALUE"""),4.5)</f>
        <v>4.5</v>
      </c>
      <c r="K159" s="3">
        <f ca="1">IFERROR(__xludf.DUMMYFUNCTION("""COMPUTED_VALUE"""),4.5)</f>
        <v>4.5</v>
      </c>
      <c r="L159" s="3" t="str">
        <f ca="1">IFERROR(__xludf.DUMMYFUNCTION("""COMPUTED_VALUE"""),"QC")</f>
        <v>QC</v>
      </c>
      <c r="M159" s="3" t="str">
        <f ca="1">IFERROR(__xludf.DUMMYFUNCTION("""COMPUTED_VALUE"""),"LBU")</f>
        <v>LBU</v>
      </c>
      <c r="N159" s="157">
        <f ca="1">IFERROR(__xludf.DUMMYFUNCTION("""COMPUTED_VALUE"""),2.5)</f>
        <v>2.5</v>
      </c>
      <c r="O159" s="157">
        <f ca="1">IFERROR(__xludf.DUMMYFUNCTION("""COMPUTED_VALUE"""),4.5)</f>
        <v>4.5</v>
      </c>
      <c r="P159" s="157"/>
      <c r="Q159" s="3">
        <f t="shared" ca="1" si="0"/>
        <v>158</v>
      </c>
      <c r="R159" s="148" t="e">
        <f ca="1"/>
        <v>#NAME?</v>
      </c>
      <c r="S159" s="147" t="e">
        <f t="shared" ca="1" si="1"/>
        <v>#NAME?</v>
      </c>
      <c r="T159" s="147" t="e">
        <f t="shared" ca="1" si="2"/>
        <v>#NAME?</v>
      </c>
      <c r="U159" s="147" t="e">
        <f t="shared" ca="1" si="3"/>
        <v>#NAME?</v>
      </c>
      <c r="X159" s="147"/>
      <c r="Y159" s="147"/>
      <c r="Z159" s="147"/>
      <c r="AA159" s="147"/>
      <c r="AB159" s="147"/>
      <c r="AC159" s="147"/>
      <c r="AD159" s="147"/>
      <c r="AE159" s="147"/>
      <c r="AF159" s="147"/>
      <c r="AG159" s="147"/>
      <c r="AH159" s="147"/>
      <c r="AI159" s="147"/>
      <c r="AJ159" s="147"/>
      <c r="AK159" s="147"/>
      <c r="AL159" s="147"/>
      <c r="AM159" s="147"/>
      <c r="AN159" s="147"/>
      <c r="AO159" s="147"/>
      <c r="AP159" s="147"/>
      <c r="AQ159" s="147"/>
    </row>
    <row r="160" spans="1:43">
      <c r="A160" s="155" t="str">
        <f ca="1">IFERROR(__xludf.DUMMYFUNCTION("""COMPUTED_VALUE"""),"237237")</f>
        <v>237237</v>
      </c>
      <c r="B160" s="154" t="str">
        <f ca="1">IFERROR(__xludf.DUMMYFUNCTION("""COMPUTED_VALUE"""),"NGUYỄN ĐẶNG NGỌC MINH")</f>
        <v>NGUYỄN ĐẶNG NGỌC MINH</v>
      </c>
      <c r="C160" s="155" t="str">
        <f ca="1">IFERROR(__xludf.DUMMYFUNCTION("""COMPUTED_VALUE"""),"EL016")</f>
        <v>EL016</v>
      </c>
      <c r="D160" s="155" t="str">
        <f ca="1">IFERROR(__xludf.DUMMYFUNCTION("""COMPUTED_VALUE"""),"Minh Nguyen")</f>
        <v>Minh Nguyen</v>
      </c>
      <c r="E160" s="154" t="str">
        <f ca="1">IFERROR(__xludf.DUMMYFUNCTION("""COMPUTED_VALUE"""),"Communication 1")</f>
        <v>Communication 1</v>
      </c>
      <c r="F160" s="3"/>
      <c r="G160" s="3"/>
      <c r="H160" s="156">
        <f ca="1">IFERROR(__xludf.DUMMYFUNCTION("""COMPUTED_VALUE"""),45693.4583333333)</f>
        <v>45693.458333333299</v>
      </c>
      <c r="I160" s="156">
        <f ca="1">IFERROR(__xludf.DUMMYFUNCTION("""COMPUTED_VALUE"""),45693.4583333333)</f>
        <v>45693.458333333299</v>
      </c>
      <c r="J160" s="3" t="str">
        <f ca="1">IFERROR(__xludf.DUMMYFUNCTION("""COMPUTED_VALUE"""),"")</f>
        <v/>
      </c>
      <c r="K160" s="3" t="str">
        <f ca="1">IFERROR(__xludf.DUMMYFUNCTION("""COMPUTED_VALUE"""),"")</f>
        <v/>
      </c>
      <c r="L160" s="3" t="str">
        <f ca="1">IFERROR(__xludf.DUMMYFUNCTION("""COMPUTED_VALUE"""),"BA")</f>
        <v>BA</v>
      </c>
      <c r="M160" s="3" t="str">
        <f ca="1">IFERROR(__xludf.DUMMYFUNCTION("""COMPUTED_VALUE"""),"TBU")</f>
        <v>TBU</v>
      </c>
      <c r="N160" s="157" t="str">
        <f ca="1">IFERROR(__xludf.DUMMYFUNCTION("""COMPUTED_VALUE"""),"")</f>
        <v/>
      </c>
      <c r="O160" s="157">
        <f ca="1">IFERROR(__xludf.DUMMYFUNCTION("""COMPUTED_VALUE"""),0)</f>
        <v>0</v>
      </c>
      <c r="P160" s="157"/>
      <c r="Q160" s="3">
        <f t="shared" ca="1" si="0"/>
        <v>159</v>
      </c>
      <c r="R160" s="148" t="e">
        <f ca="1"/>
        <v>#NAME?</v>
      </c>
      <c r="S160" s="147" t="e">
        <f t="shared" ca="1" si="1"/>
        <v>#NAME?</v>
      </c>
      <c r="T160" s="147" t="e">
        <f t="shared" ca="1" si="2"/>
        <v>#NAME?</v>
      </c>
      <c r="U160" s="147" t="e">
        <f t="shared" ca="1" si="3"/>
        <v>#NAME?</v>
      </c>
      <c r="X160" s="147"/>
      <c r="Y160" s="147"/>
      <c r="Z160" s="147"/>
      <c r="AA160" s="147"/>
      <c r="AB160" s="147"/>
      <c r="AC160" s="147"/>
      <c r="AD160" s="147"/>
      <c r="AE160" s="147"/>
      <c r="AF160" s="147"/>
      <c r="AG160" s="147"/>
      <c r="AH160" s="147"/>
      <c r="AI160" s="147"/>
      <c r="AJ160" s="147"/>
      <c r="AK160" s="147"/>
      <c r="AL160" s="147"/>
      <c r="AM160" s="147"/>
      <c r="AN160" s="147"/>
      <c r="AO160" s="147"/>
      <c r="AP160" s="147"/>
      <c r="AQ160" s="147"/>
    </row>
    <row r="161" spans="1:43">
      <c r="A161" s="160" t="str">
        <f ca="1">IFERROR(__xludf.DUMMYFUNCTION("""COMPUTED_VALUE"""),"213895")</f>
        <v>213895</v>
      </c>
      <c r="B161" s="3" t="str">
        <f ca="1">IFERROR(__xludf.DUMMYFUNCTION("""COMPUTED_VALUE"""),"NGUYỄN VĂN THÁI")</f>
        <v>NGUYỄN VĂN THÁI</v>
      </c>
      <c r="C161" s="160" t="str">
        <f ca="1">IFERROR(__xludf.DUMMYFUNCTION("""COMPUTED_VALUE"""),"EL016")</f>
        <v>EL016</v>
      </c>
      <c r="D161" s="160" t="str">
        <f ca="1">IFERROR(__xludf.DUMMYFUNCTION("""COMPUTED_VALUE"""),"Minh Nguyen")</f>
        <v>Minh Nguyen</v>
      </c>
      <c r="E161" s="3" t="str">
        <f ca="1">IFERROR(__xludf.DUMMYFUNCTION("""COMPUTED_VALUE"""),"Communication 1")</f>
        <v>Communication 1</v>
      </c>
      <c r="F161" s="3"/>
      <c r="G161" s="3"/>
      <c r="H161" s="156">
        <f ca="1">IFERROR(__xludf.DUMMYFUNCTION("""COMPUTED_VALUE"""),45693.4583333333)</f>
        <v>45693.458333333299</v>
      </c>
      <c r="I161" s="156">
        <f ca="1">IFERROR(__xludf.DUMMYFUNCTION("""COMPUTED_VALUE"""),45693.4583333333)</f>
        <v>45693.458333333299</v>
      </c>
      <c r="J161" s="3" t="str">
        <f ca="1">IFERROR(__xludf.DUMMYFUNCTION("""COMPUTED_VALUE"""),"")</f>
        <v/>
      </c>
      <c r="K161" s="3" t="str">
        <f ca="1">IFERROR(__xludf.DUMMYFUNCTION("""COMPUTED_VALUE"""),"")</f>
        <v/>
      </c>
      <c r="L161" s="3" t="str">
        <f ca="1">IFERROR(__xludf.DUMMYFUNCTION("""COMPUTED_VALUE"""),"DEV")</f>
        <v>DEV</v>
      </c>
      <c r="M161" s="3" t="str">
        <f ca="1">IFERROR(__xludf.DUMMYFUNCTION("""COMPUTED_VALUE"""),"TBU")</f>
        <v>TBU</v>
      </c>
      <c r="N161" s="157" t="str">
        <f ca="1">IFERROR(__xludf.DUMMYFUNCTION("""COMPUTED_VALUE"""),"")</f>
        <v/>
      </c>
      <c r="O161" s="157">
        <f ca="1">IFERROR(__xludf.DUMMYFUNCTION("""COMPUTED_VALUE"""),0)</f>
        <v>0</v>
      </c>
      <c r="P161" s="157"/>
      <c r="Q161" s="3">
        <f t="shared" ca="1" si="0"/>
        <v>160</v>
      </c>
      <c r="R161" s="148" t="e">
        <f ca="1"/>
        <v>#NAME?</v>
      </c>
      <c r="S161" s="147" t="e">
        <f t="shared" ca="1" si="1"/>
        <v>#NAME?</v>
      </c>
      <c r="T161" s="147" t="e">
        <f t="shared" ca="1" si="2"/>
        <v>#NAME?</v>
      </c>
      <c r="U161" s="147" t="e">
        <f t="shared" ca="1" si="3"/>
        <v>#NAME?</v>
      </c>
      <c r="X161" s="147"/>
      <c r="Y161" s="147"/>
      <c r="Z161" s="147"/>
      <c r="AA161" s="147"/>
      <c r="AB161" s="147"/>
      <c r="AC161" s="147"/>
      <c r="AD161" s="147"/>
      <c r="AE161" s="147"/>
      <c r="AF161" s="147"/>
      <c r="AG161" s="147"/>
      <c r="AH161" s="147"/>
      <c r="AI161" s="147"/>
      <c r="AJ161" s="147"/>
      <c r="AK161" s="147"/>
      <c r="AL161" s="147"/>
      <c r="AM161" s="147"/>
      <c r="AN161" s="147"/>
      <c r="AO161" s="147"/>
      <c r="AP161" s="147"/>
      <c r="AQ161" s="147"/>
    </row>
    <row r="162" spans="1:43">
      <c r="A162" s="160" t="str">
        <f ca="1">IFERROR(__xludf.DUMMYFUNCTION("""COMPUTED_VALUE"""),"213991")</f>
        <v>213991</v>
      </c>
      <c r="B162" s="3" t="str">
        <f ca="1">IFERROR(__xludf.DUMMYFUNCTION("""COMPUTED_VALUE"""),"ÔNG HOÀI THỊNH")</f>
        <v>ÔNG HOÀI THỊNH</v>
      </c>
      <c r="C162" s="160" t="str">
        <f ca="1">IFERROR(__xludf.DUMMYFUNCTION("""COMPUTED_VALUE"""),"EL016")</f>
        <v>EL016</v>
      </c>
      <c r="D162" s="160" t="str">
        <f ca="1">IFERROR(__xludf.DUMMYFUNCTION("""COMPUTED_VALUE"""),"Minh Nguyen")</f>
        <v>Minh Nguyen</v>
      </c>
      <c r="E162" s="3" t="str">
        <f ca="1">IFERROR(__xludf.DUMMYFUNCTION("""COMPUTED_VALUE"""),"Communication 1")</f>
        <v>Communication 1</v>
      </c>
      <c r="F162" s="3"/>
      <c r="G162" s="3"/>
      <c r="H162" s="156">
        <f ca="1">IFERROR(__xludf.DUMMYFUNCTION("""COMPUTED_VALUE"""),45693.4583333333)</f>
        <v>45693.458333333299</v>
      </c>
      <c r="I162" s="156">
        <f ca="1">IFERROR(__xludf.DUMMYFUNCTION("""COMPUTED_VALUE"""),45693.4583333333)</f>
        <v>45693.458333333299</v>
      </c>
      <c r="J162" s="3" t="str">
        <f ca="1">IFERROR(__xludf.DUMMYFUNCTION("""COMPUTED_VALUE"""),"")</f>
        <v/>
      </c>
      <c r="K162" s="3" t="str">
        <f ca="1">IFERROR(__xludf.DUMMYFUNCTION("""COMPUTED_VALUE"""),"")</f>
        <v/>
      </c>
      <c r="L162" s="3" t="str">
        <f ca="1">IFERROR(__xludf.DUMMYFUNCTION("""COMPUTED_VALUE"""),"DEV")</f>
        <v>DEV</v>
      </c>
      <c r="M162" s="3" t="str">
        <f ca="1">IFERROR(__xludf.DUMMYFUNCTION("""COMPUTED_VALUE"""),"TBU")</f>
        <v>TBU</v>
      </c>
      <c r="N162" s="157" t="str">
        <f ca="1">IFERROR(__xludf.DUMMYFUNCTION("""COMPUTED_VALUE"""),"")</f>
        <v/>
      </c>
      <c r="O162" s="157">
        <f ca="1">IFERROR(__xludf.DUMMYFUNCTION("""COMPUTED_VALUE"""),0)</f>
        <v>0</v>
      </c>
      <c r="P162" s="157"/>
      <c r="Q162" s="3">
        <f t="shared" ca="1" si="0"/>
        <v>161</v>
      </c>
      <c r="R162" s="148" t="e">
        <f ca="1"/>
        <v>#NAME?</v>
      </c>
      <c r="S162" s="147" t="e">
        <f t="shared" ca="1" si="1"/>
        <v>#NAME?</v>
      </c>
      <c r="T162" s="147" t="e">
        <f t="shared" ca="1" si="2"/>
        <v>#NAME?</v>
      </c>
      <c r="U162" s="147" t="e">
        <f t="shared" ca="1" si="3"/>
        <v>#NAME?</v>
      </c>
      <c r="X162" s="147"/>
      <c r="Y162" s="147"/>
      <c r="Z162" s="147"/>
      <c r="AA162" s="147"/>
      <c r="AB162" s="147"/>
      <c r="AC162" s="147"/>
      <c r="AD162" s="147"/>
      <c r="AE162" s="147"/>
      <c r="AF162" s="147"/>
      <c r="AG162" s="147"/>
      <c r="AH162" s="147"/>
      <c r="AI162" s="147"/>
      <c r="AJ162" s="147"/>
      <c r="AK162" s="147"/>
      <c r="AL162" s="147"/>
      <c r="AM162" s="147"/>
      <c r="AN162" s="147"/>
      <c r="AO162" s="147"/>
      <c r="AP162" s="147"/>
      <c r="AQ162" s="147"/>
    </row>
    <row r="163" spans="1:43">
      <c r="A163" s="160" t="str">
        <f ca="1">IFERROR(__xludf.DUMMYFUNCTION("""COMPUTED_VALUE"""),"247036")</f>
        <v>247036</v>
      </c>
      <c r="B163" s="3" t="str">
        <f ca="1">IFERROR(__xludf.DUMMYFUNCTION("""COMPUTED_VALUE"""),"PHẠM HỒ LƯỢNG")</f>
        <v>PHẠM HỒ LƯỢNG</v>
      </c>
      <c r="C163" s="160" t="str">
        <f ca="1">IFERROR(__xludf.DUMMYFUNCTION("""COMPUTED_VALUE"""),"EL016")</f>
        <v>EL016</v>
      </c>
      <c r="D163" s="160" t="str">
        <f ca="1">IFERROR(__xludf.DUMMYFUNCTION("""COMPUTED_VALUE"""),"Minh Nguyen")</f>
        <v>Minh Nguyen</v>
      </c>
      <c r="E163" s="3" t="str">
        <f ca="1">IFERROR(__xludf.DUMMYFUNCTION("""COMPUTED_VALUE"""),"Communication 1")</f>
        <v>Communication 1</v>
      </c>
      <c r="F163" s="3"/>
      <c r="G163" s="3"/>
      <c r="H163" s="156">
        <f ca="1">IFERROR(__xludf.DUMMYFUNCTION("""COMPUTED_VALUE"""),45693.4583333333)</f>
        <v>45693.458333333299</v>
      </c>
      <c r="I163" s="156">
        <f ca="1">IFERROR(__xludf.DUMMYFUNCTION("""COMPUTED_VALUE"""),45693.4583333333)</f>
        <v>45693.458333333299</v>
      </c>
      <c r="J163" s="3" t="str">
        <f ca="1">IFERROR(__xludf.DUMMYFUNCTION("""COMPUTED_VALUE"""),"")</f>
        <v/>
      </c>
      <c r="K163" s="3" t="str">
        <f ca="1">IFERROR(__xludf.DUMMYFUNCTION("""COMPUTED_VALUE"""),"")</f>
        <v/>
      </c>
      <c r="L163" s="3" t="str">
        <f ca="1">IFERROR(__xludf.DUMMYFUNCTION("""COMPUTED_VALUE"""),"DEV")</f>
        <v>DEV</v>
      </c>
      <c r="M163" s="3" t="str">
        <f ca="1">IFERROR(__xludf.DUMMYFUNCTION("""COMPUTED_VALUE"""),"TBU")</f>
        <v>TBU</v>
      </c>
      <c r="N163" s="157" t="str">
        <f ca="1">IFERROR(__xludf.DUMMYFUNCTION("""COMPUTED_VALUE"""),"")</f>
        <v/>
      </c>
      <c r="O163" s="157">
        <f ca="1">IFERROR(__xludf.DUMMYFUNCTION("""COMPUTED_VALUE"""),0)</f>
        <v>0</v>
      </c>
      <c r="P163" s="157"/>
      <c r="Q163" s="3">
        <f t="shared" ca="1" si="0"/>
        <v>162</v>
      </c>
      <c r="R163" s="148" t="e">
        <f ca="1"/>
        <v>#NAME?</v>
      </c>
      <c r="S163" s="147" t="e">
        <f t="shared" ca="1" si="1"/>
        <v>#NAME?</v>
      </c>
      <c r="T163" s="147" t="e">
        <f t="shared" ca="1" si="2"/>
        <v>#NAME?</v>
      </c>
      <c r="U163" s="147" t="e">
        <f t="shared" ca="1" si="3"/>
        <v>#NAME?</v>
      </c>
      <c r="X163" s="147"/>
      <c r="Y163" s="147"/>
      <c r="Z163" s="147"/>
      <c r="AA163" s="147"/>
      <c r="AB163" s="147"/>
      <c r="AC163" s="147"/>
      <c r="AD163" s="147"/>
      <c r="AE163" s="147"/>
      <c r="AF163" s="147"/>
      <c r="AG163" s="147"/>
      <c r="AH163" s="147"/>
      <c r="AI163" s="147"/>
      <c r="AJ163" s="147"/>
      <c r="AK163" s="147"/>
      <c r="AL163" s="147"/>
      <c r="AM163" s="147"/>
      <c r="AN163" s="147"/>
      <c r="AO163" s="147"/>
      <c r="AP163" s="147"/>
      <c r="AQ163" s="147"/>
    </row>
    <row r="164" spans="1:43">
      <c r="A164" s="160" t="str">
        <f ca="1">IFERROR(__xludf.DUMMYFUNCTION("""COMPUTED_VALUE"""),"247127")</f>
        <v>247127</v>
      </c>
      <c r="B164" s="3" t="str">
        <f ca="1">IFERROR(__xludf.DUMMYFUNCTION("""COMPUTED_VALUE"""),"THÁI TRẦN HỒNG PHÚC")</f>
        <v>THÁI TRẦN HỒNG PHÚC</v>
      </c>
      <c r="C164" s="160" t="str">
        <f ca="1">IFERROR(__xludf.DUMMYFUNCTION("""COMPUTED_VALUE"""),"EL016")</f>
        <v>EL016</v>
      </c>
      <c r="D164" s="160" t="str">
        <f ca="1">IFERROR(__xludf.DUMMYFUNCTION("""COMPUTED_VALUE"""),"Minh Nguyen")</f>
        <v>Minh Nguyen</v>
      </c>
      <c r="E164" s="3" t="str">
        <f ca="1">IFERROR(__xludf.DUMMYFUNCTION("""COMPUTED_VALUE"""),"Communication 1")</f>
        <v>Communication 1</v>
      </c>
      <c r="F164" s="3"/>
      <c r="G164" s="3"/>
      <c r="H164" s="156">
        <f ca="1">IFERROR(__xludf.DUMMYFUNCTION("""COMPUTED_VALUE"""),45693.4583333333)</f>
        <v>45693.458333333299</v>
      </c>
      <c r="I164" s="156">
        <f ca="1">IFERROR(__xludf.DUMMYFUNCTION("""COMPUTED_VALUE"""),45693.4583333333)</f>
        <v>45693.458333333299</v>
      </c>
      <c r="J164" s="3" t="str">
        <f ca="1">IFERROR(__xludf.DUMMYFUNCTION("""COMPUTED_VALUE"""),"")</f>
        <v/>
      </c>
      <c r="K164" s="3" t="str">
        <f ca="1">IFERROR(__xludf.DUMMYFUNCTION("""COMPUTED_VALUE"""),"")</f>
        <v/>
      </c>
      <c r="L164" s="3" t="str">
        <f ca="1">IFERROR(__xludf.DUMMYFUNCTION("""COMPUTED_VALUE"""),"DEV")</f>
        <v>DEV</v>
      </c>
      <c r="M164" s="3" t="str">
        <f ca="1">IFERROR(__xludf.DUMMYFUNCTION("""COMPUTED_VALUE"""),"TBU")</f>
        <v>TBU</v>
      </c>
      <c r="N164" s="157" t="str">
        <f ca="1">IFERROR(__xludf.DUMMYFUNCTION("""COMPUTED_VALUE"""),"")</f>
        <v/>
      </c>
      <c r="O164" s="157">
        <f ca="1">IFERROR(__xludf.DUMMYFUNCTION("""COMPUTED_VALUE"""),0)</f>
        <v>0</v>
      </c>
      <c r="P164" s="157"/>
      <c r="Q164" s="3">
        <f t="shared" ca="1" si="0"/>
        <v>163</v>
      </c>
      <c r="R164" s="148" t="e">
        <f ca="1"/>
        <v>#NAME?</v>
      </c>
      <c r="S164" s="147" t="e">
        <f t="shared" ca="1" si="1"/>
        <v>#NAME?</v>
      </c>
      <c r="T164" s="147" t="e">
        <f t="shared" ca="1" si="2"/>
        <v>#NAME?</v>
      </c>
      <c r="U164" s="147" t="e">
        <f t="shared" ca="1" si="3"/>
        <v>#NAME?</v>
      </c>
      <c r="X164" s="147"/>
      <c r="Y164" s="147"/>
      <c r="Z164" s="147"/>
      <c r="AA164" s="147"/>
      <c r="AB164" s="147"/>
      <c r="AC164" s="147"/>
      <c r="AD164" s="147"/>
      <c r="AE164" s="147"/>
      <c r="AF164" s="147"/>
      <c r="AG164" s="147"/>
      <c r="AH164" s="147"/>
      <c r="AI164" s="147"/>
      <c r="AJ164" s="147"/>
      <c r="AK164" s="147"/>
      <c r="AL164" s="147"/>
      <c r="AM164" s="147"/>
      <c r="AN164" s="147"/>
      <c r="AO164" s="147"/>
      <c r="AP164" s="147"/>
      <c r="AQ164" s="147"/>
    </row>
    <row r="165" spans="1:43">
      <c r="A165" s="160" t="str">
        <f ca="1">IFERROR(__xludf.DUMMYFUNCTION("""COMPUTED_VALUE"""),"247076")</f>
        <v>247076</v>
      </c>
      <c r="B165" s="3" t="str">
        <f ca="1">IFERROR(__xludf.DUMMYFUNCTION("""COMPUTED_VALUE"""),"TRẦN THẾ ANH")</f>
        <v>TRẦN THẾ ANH</v>
      </c>
      <c r="C165" s="160" t="str">
        <f ca="1">IFERROR(__xludf.DUMMYFUNCTION("""COMPUTED_VALUE"""),"EL016")</f>
        <v>EL016</v>
      </c>
      <c r="D165" s="160" t="str">
        <f ca="1">IFERROR(__xludf.DUMMYFUNCTION("""COMPUTED_VALUE"""),"Minh Nguyen")</f>
        <v>Minh Nguyen</v>
      </c>
      <c r="E165" s="3" t="str">
        <f ca="1">IFERROR(__xludf.DUMMYFUNCTION("""COMPUTED_VALUE"""),"Communication 1")</f>
        <v>Communication 1</v>
      </c>
      <c r="F165" s="3"/>
      <c r="G165" s="3"/>
      <c r="H165" s="156">
        <f ca="1">IFERROR(__xludf.DUMMYFUNCTION("""COMPUTED_VALUE"""),45693.4583333333)</f>
        <v>45693.458333333299</v>
      </c>
      <c r="I165" s="156">
        <f ca="1">IFERROR(__xludf.DUMMYFUNCTION("""COMPUTED_VALUE"""),45693.4583333333)</f>
        <v>45693.458333333299</v>
      </c>
      <c r="J165" s="3" t="str">
        <f ca="1">IFERROR(__xludf.DUMMYFUNCTION("""COMPUTED_VALUE"""),"")</f>
        <v/>
      </c>
      <c r="K165" s="3" t="str">
        <f ca="1">IFERROR(__xludf.DUMMYFUNCTION("""COMPUTED_VALUE"""),"")</f>
        <v/>
      </c>
      <c r="L165" s="3" t="str">
        <f ca="1">IFERROR(__xludf.DUMMYFUNCTION("""COMPUTED_VALUE"""),"DEV")</f>
        <v>DEV</v>
      </c>
      <c r="M165" s="3" t="str">
        <f ca="1">IFERROR(__xludf.DUMMYFUNCTION("""COMPUTED_VALUE"""),"TBU")</f>
        <v>TBU</v>
      </c>
      <c r="N165" s="157" t="str">
        <f ca="1">IFERROR(__xludf.DUMMYFUNCTION("""COMPUTED_VALUE"""),"")</f>
        <v/>
      </c>
      <c r="O165" s="157">
        <f ca="1">IFERROR(__xludf.DUMMYFUNCTION("""COMPUTED_VALUE"""),0)</f>
        <v>0</v>
      </c>
      <c r="P165" s="157"/>
      <c r="Q165" s="3">
        <f t="shared" ca="1" si="0"/>
        <v>164</v>
      </c>
      <c r="R165" s="148" t="e">
        <f ca="1"/>
        <v>#NAME?</v>
      </c>
      <c r="S165" s="147" t="e">
        <f t="shared" ca="1" si="1"/>
        <v>#NAME?</v>
      </c>
      <c r="T165" s="147" t="e">
        <f t="shared" ca="1" si="2"/>
        <v>#NAME?</v>
      </c>
      <c r="U165" s="147" t="e">
        <f t="shared" ca="1" si="3"/>
        <v>#NAME?</v>
      </c>
      <c r="X165" s="147"/>
      <c r="Y165" s="147"/>
      <c r="Z165" s="147"/>
      <c r="AA165" s="147"/>
      <c r="AB165" s="147"/>
      <c r="AC165" s="147"/>
      <c r="AD165" s="147"/>
      <c r="AE165" s="147"/>
      <c r="AF165" s="147"/>
      <c r="AG165" s="147"/>
      <c r="AH165" s="147"/>
      <c r="AI165" s="147"/>
      <c r="AJ165" s="147"/>
      <c r="AK165" s="147"/>
      <c r="AL165" s="147"/>
      <c r="AM165" s="147"/>
      <c r="AN165" s="147"/>
      <c r="AO165" s="147"/>
      <c r="AP165" s="147"/>
      <c r="AQ165" s="147"/>
    </row>
    <row r="166" spans="1:43">
      <c r="A166" s="155" t="str">
        <f ca="1">IFERROR(__xludf.DUMMYFUNCTION("""COMPUTED_VALUE"""),"212007")</f>
        <v>212007</v>
      </c>
      <c r="B166" s="154" t="str">
        <f ca="1">IFERROR(__xludf.DUMMYFUNCTION("""COMPUTED_VALUE"""),"BÙI MINH NHẬT")</f>
        <v>BÙI MINH NHẬT</v>
      </c>
      <c r="C166" s="155" t="str">
        <f ca="1">IFERROR(__xludf.DUMMYFUNCTION("""COMPUTED_VALUE"""),"EL017")</f>
        <v>EL017</v>
      </c>
      <c r="D166" s="155" t="str">
        <f ca="1">IFERROR(__xludf.DUMMYFUNCTION("""COMPUTED_VALUE"""),"Nhat Bui")</f>
        <v>Nhat Bui</v>
      </c>
      <c r="E166" s="154" t="str">
        <f ca="1">IFERROR(__xludf.DUMMYFUNCTION("""COMPUTED_VALUE"""),"Communication 1")</f>
        <v>Communication 1</v>
      </c>
      <c r="F166" s="3" t="str">
        <f ca="1">IFERROR(__xludf.DUMMYFUNCTION("""COMPUTED_VALUE"""),"Pre-Intermediate")</f>
        <v>Pre-Intermediate</v>
      </c>
      <c r="G166" s="3" t="str">
        <f ca="1">IFERROR(__xludf.DUMMYFUNCTION("""COMPUTED_VALUE"""),"Pre-Intermediate")</f>
        <v>Pre-Intermediate</v>
      </c>
      <c r="H166" s="156">
        <f ca="1">IFERROR(__xludf.DUMMYFUNCTION("""COMPUTED_VALUE"""),45639.4583333333)</f>
        <v>45639.458333333299</v>
      </c>
      <c r="I166" s="156">
        <f ca="1">IFERROR(__xludf.DUMMYFUNCTION("""COMPUTED_VALUE"""),45639.4583333333)</f>
        <v>45639.458333333299</v>
      </c>
      <c r="J166" s="3">
        <f ca="1">IFERROR(__xludf.DUMMYFUNCTION("""COMPUTED_VALUE"""),2.5)</f>
        <v>2.5</v>
      </c>
      <c r="K166" s="3">
        <f ca="1">IFERROR(__xludf.DUMMYFUNCTION("""COMPUTED_VALUE"""),2.5)</f>
        <v>2.5</v>
      </c>
      <c r="L166" s="3" t="str">
        <f ca="1">IFERROR(__xludf.DUMMYFUNCTION("""COMPUTED_VALUE"""),"HR")</f>
        <v>HR</v>
      </c>
      <c r="M166" s="3" t="str">
        <f ca="1">IFERROR(__xludf.DUMMYFUNCTION("""COMPUTED_VALUE"""),"BSG")</f>
        <v>BSG</v>
      </c>
      <c r="N166" s="157">
        <f ca="1">IFERROR(__xludf.DUMMYFUNCTION("""COMPUTED_VALUE"""),2.5)</f>
        <v>2.5</v>
      </c>
      <c r="O166" s="157">
        <f ca="1">IFERROR(__xludf.DUMMYFUNCTION("""COMPUTED_VALUE"""),2.5)</f>
        <v>2.5</v>
      </c>
      <c r="P166" s="157"/>
      <c r="Q166" s="3">
        <f t="shared" ca="1" si="0"/>
        <v>165</v>
      </c>
      <c r="R166" s="148" t="e">
        <f ca="1"/>
        <v>#NAME?</v>
      </c>
      <c r="S166" s="147" t="e">
        <f t="shared" ca="1" si="1"/>
        <v>#NAME?</v>
      </c>
      <c r="T166" s="147" t="e">
        <f t="shared" ca="1" si="2"/>
        <v>#NAME?</v>
      </c>
      <c r="U166" s="147" t="e">
        <f t="shared" ca="1" si="3"/>
        <v>#NAME?</v>
      </c>
      <c r="X166" s="147"/>
      <c r="Y166" s="147"/>
      <c r="Z166" s="147"/>
      <c r="AA166" s="147"/>
      <c r="AB166" s="147"/>
      <c r="AC166" s="147"/>
      <c r="AD166" s="147"/>
      <c r="AE166" s="147"/>
      <c r="AF166" s="147"/>
      <c r="AG166" s="147"/>
      <c r="AH166" s="147"/>
      <c r="AI166" s="147"/>
      <c r="AJ166" s="147"/>
      <c r="AK166" s="147"/>
      <c r="AL166" s="147"/>
      <c r="AM166" s="147"/>
      <c r="AN166" s="147"/>
      <c r="AO166" s="147"/>
      <c r="AP166" s="147"/>
      <c r="AQ166" s="147"/>
    </row>
    <row r="167" spans="1:43">
      <c r="A167" s="160" t="str">
        <f ca="1">IFERROR(__xludf.DUMMYFUNCTION("""COMPUTED_VALUE"""),"242009")</f>
        <v>242009</v>
      </c>
      <c r="B167" s="3" t="str">
        <f ca="1">IFERROR(__xludf.DUMMYFUNCTION("""COMPUTED_VALUE"""),"DƯƠNG THỊ HƯƠNG LAN")</f>
        <v>DƯƠNG THỊ HƯƠNG LAN</v>
      </c>
      <c r="C167" s="160" t="str">
        <f ca="1">IFERROR(__xludf.DUMMYFUNCTION("""COMPUTED_VALUE"""),"EL017")</f>
        <v>EL017</v>
      </c>
      <c r="D167" s="160" t="str">
        <f ca="1">IFERROR(__xludf.DUMMYFUNCTION("""COMPUTED_VALUE"""),"Nhat Bui")</f>
        <v>Nhat Bui</v>
      </c>
      <c r="E167" s="3" t="str">
        <f ca="1">IFERROR(__xludf.DUMMYFUNCTION("""COMPUTED_VALUE"""),"Communication 1")</f>
        <v>Communication 1</v>
      </c>
      <c r="F167" s="3"/>
      <c r="G167" s="3"/>
      <c r="H167" s="156">
        <f ca="1">IFERROR(__xludf.DUMMYFUNCTION("""COMPUTED_VALUE"""),45639.4583333333)</f>
        <v>45639.458333333299</v>
      </c>
      <c r="I167" s="156">
        <f ca="1">IFERROR(__xludf.DUMMYFUNCTION("""COMPUTED_VALUE"""),45639.4583333333)</f>
        <v>45639.458333333299</v>
      </c>
      <c r="J167" s="3" t="str">
        <f ca="1">IFERROR(__xludf.DUMMYFUNCTION("""COMPUTED_VALUE"""),"")</f>
        <v/>
      </c>
      <c r="K167" s="3" t="str">
        <f ca="1">IFERROR(__xludf.DUMMYFUNCTION("""COMPUTED_VALUE"""),"")</f>
        <v/>
      </c>
      <c r="L167" s="3" t="str">
        <f ca="1">IFERROR(__xludf.DUMMYFUNCTION("""COMPUTED_VALUE"""),"HR")</f>
        <v>HR</v>
      </c>
      <c r="M167" s="3" t="str">
        <f ca="1">IFERROR(__xludf.DUMMYFUNCTION("""COMPUTED_VALUE"""),"LBU")</f>
        <v>LBU</v>
      </c>
      <c r="N167" s="157" t="str">
        <f ca="1">IFERROR(__xludf.DUMMYFUNCTION("""COMPUTED_VALUE"""),"")</f>
        <v/>
      </c>
      <c r="O167" s="157">
        <f ca="1">IFERROR(__xludf.DUMMYFUNCTION("""COMPUTED_VALUE"""),0)</f>
        <v>0</v>
      </c>
      <c r="P167" s="157"/>
      <c r="Q167" s="3">
        <f t="shared" ca="1" si="0"/>
        <v>166</v>
      </c>
      <c r="R167" s="148" t="e">
        <f ca="1"/>
        <v>#NAME?</v>
      </c>
      <c r="S167" s="147" t="e">
        <f t="shared" ca="1" si="1"/>
        <v>#NAME?</v>
      </c>
      <c r="T167" s="147" t="e">
        <f t="shared" ca="1" si="2"/>
        <v>#NAME?</v>
      </c>
      <c r="U167" s="147" t="e">
        <f t="shared" ca="1" si="3"/>
        <v>#NAME?</v>
      </c>
      <c r="X167" s="147"/>
      <c r="Y167" s="147"/>
      <c r="Z167" s="147"/>
      <c r="AA167" s="147"/>
      <c r="AB167" s="147"/>
      <c r="AC167" s="147"/>
      <c r="AD167" s="147"/>
      <c r="AE167" s="147"/>
      <c r="AF167" s="147"/>
      <c r="AG167" s="147"/>
      <c r="AH167" s="147"/>
      <c r="AI167" s="147"/>
      <c r="AJ167" s="147"/>
      <c r="AK167" s="147"/>
      <c r="AL167" s="147"/>
      <c r="AM167" s="147"/>
      <c r="AN167" s="147"/>
      <c r="AO167" s="147"/>
      <c r="AP167" s="147"/>
      <c r="AQ167" s="147"/>
    </row>
    <row r="168" spans="1:43">
      <c r="A168" s="160" t="str">
        <f ca="1">IFERROR(__xludf.DUMMYFUNCTION("""COMPUTED_VALUE"""),"232002")</f>
        <v>232002</v>
      </c>
      <c r="B168" s="3" t="str">
        <f ca="1">IFERROR(__xludf.DUMMYFUNCTION("""COMPUTED_VALUE"""),"HOÀNG NHƯ QUỲNH")</f>
        <v>HOÀNG NHƯ QUỲNH</v>
      </c>
      <c r="C168" s="160" t="str">
        <f ca="1">IFERROR(__xludf.DUMMYFUNCTION("""COMPUTED_VALUE"""),"EL017")</f>
        <v>EL017</v>
      </c>
      <c r="D168" s="160" t="str">
        <f ca="1">IFERROR(__xludf.DUMMYFUNCTION("""COMPUTED_VALUE"""),"Nhat Bui")</f>
        <v>Nhat Bui</v>
      </c>
      <c r="E168" s="3" t="str">
        <f ca="1">IFERROR(__xludf.DUMMYFUNCTION("""COMPUTED_VALUE"""),"Communication 1")</f>
        <v>Communication 1</v>
      </c>
      <c r="F168" s="3" t="str">
        <f ca="1">IFERROR(__xludf.DUMMYFUNCTION("""COMPUTED_VALUE"""),"Beginner")</f>
        <v>Beginner</v>
      </c>
      <c r="G168" s="3" t="str">
        <f ca="1">IFERROR(__xludf.DUMMYFUNCTION("""COMPUTED_VALUE"""),"Beginner")</f>
        <v>Beginner</v>
      </c>
      <c r="H168" s="156">
        <f ca="1">IFERROR(__xludf.DUMMYFUNCTION("""COMPUTED_VALUE"""),45639.4583333333)</f>
        <v>45639.458333333299</v>
      </c>
      <c r="I168" s="156">
        <f ca="1">IFERROR(__xludf.DUMMYFUNCTION("""COMPUTED_VALUE"""),45639.4583333333)</f>
        <v>45639.458333333299</v>
      </c>
      <c r="J168" s="3">
        <f ca="1">IFERROR(__xludf.DUMMYFUNCTION("""COMPUTED_VALUE"""),1)</f>
        <v>1</v>
      </c>
      <c r="K168" s="3">
        <f ca="1">IFERROR(__xludf.DUMMYFUNCTION("""COMPUTED_VALUE"""),1)</f>
        <v>1</v>
      </c>
      <c r="L168" s="3" t="str">
        <f ca="1">IFERROR(__xludf.DUMMYFUNCTION("""COMPUTED_VALUE"""),"HR")</f>
        <v>HR</v>
      </c>
      <c r="M168" s="3" t="str">
        <f ca="1">IFERROR(__xludf.DUMMYFUNCTION("""COMPUTED_VALUE"""),"BSG")</f>
        <v>BSG</v>
      </c>
      <c r="N168" s="157">
        <f ca="1">IFERROR(__xludf.DUMMYFUNCTION("""COMPUTED_VALUE"""),1)</f>
        <v>1</v>
      </c>
      <c r="O168" s="157">
        <f ca="1">IFERROR(__xludf.DUMMYFUNCTION("""COMPUTED_VALUE"""),1)</f>
        <v>1</v>
      </c>
      <c r="P168" s="157"/>
      <c r="Q168" s="3">
        <f t="shared" ca="1" si="0"/>
        <v>167</v>
      </c>
      <c r="R168" s="148" t="e">
        <f ca="1"/>
        <v>#NAME?</v>
      </c>
      <c r="S168" s="147" t="e">
        <f t="shared" ca="1" si="1"/>
        <v>#NAME?</v>
      </c>
      <c r="T168" s="147" t="e">
        <f t="shared" ca="1" si="2"/>
        <v>#NAME?</v>
      </c>
      <c r="U168" s="147" t="e">
        <f t="shared" ca="1" si="3"/>
        <v>#NAME?</v>
      </c>
      <c r="X168" s="147"/>
      <c r="Y168" s="147"/>
      <c r="Z168" s="147"/>
      <c r="AA168" s="147"/>
      <c r="AB168" s="147"/>
      <c r="AC168" s="147"/>
      <c r="AD168" s="147"/>
      <c r="AE168" s="147"/>
      <c r="AF168" s="147"/>
      <c r="AG168" s="147"/>
      <c r="AH168" s="147"/>
      <c r="AI168" s="147"/>
      <c r="AJ168" s="147"/>
      <c r="AK168" s="147"/>
      <c r="AL168" s="147"/>
      <c r="AM168" s="147"/>
      <c r="AN168" s="147"/>
      <c r="AO168" s="147"/>
      <c r="AP168" s="147"/>
      <c r="AQ168" s="147"/>
    </row>
    <row r="169" spans="1:43">
      <c r="A169" s="160" t="str">
        <f ca="1">IFERROR(__xludf.DUMMYFUNCTION("""COMPUTED_VALUE"""),"222010")</f>
        <v>222010</v>
      </c>
      <c r="B169" s="3" t="str">
        <f ca="1">IFERROR(__xludf.DUMMYFUNCTION("""COMPUTED_VALUE"""),"LÊ THỊ LAN ANH")</f>
        <v>LÊ THỊ LAN ANH</v>
      </c>
      <c r="C169" s="160" t="str">
        <f ca="1">IFERROR(__xludf.DUMMYFUNCTION("""COMPUTED_VALUE"""),"EL017")</f>
        <v>EL017</v>
      </c>
      <c r="D169" s="160" t="str">
        <f ca="1">IFERROR(__xludf.DUMMYFUNCTION("""COMPUTED_VALUE"""),"Nhat Bui")</f>
        <v>Nhat Bui</v>
      </c>
      <c r="E169" s="3" t="str">
        <f ca="1">IFERROR(__xludf.DUMMYFUNCTION("""COMPUTED_VALUE"""),"Communication 1")</f>
        <v>Communication 1</v>
      </c>
      <c r="F169" s="3" t="str">
        <f ca="1">IFERROR(__xludf.DUMMYFUNCTION("""COMPUTED_VALUE"""),"Beginner")</f>
        <v>Beginner</v>
      </c>
      <c r="G169" s="3" t="str">
        <f ca="1">IFERROR(__xludf.DUMMYFUNCTION("""COMPUTED_VALUE"""),"Pre-Intermediate")</f>
        <v>Pre-Intermediate</v>
      </c>
      <c r="H169" s="156">
        <f ca="1">IFERROR(__xludf.DUMMYFUNCTION("""COMPUTED_VALUE"""),45639.4583333333)</f>
        <v>45639.458333333299</v>
      </c>
      <c r="I169" s="156">
        <f ca="1">IFERROR(__xludf.DUMMYFUNCTION("""COMPUTED_VALUE"""),45639.4583333333)</f>
        <v>45639.458333333299</v>
      </c>
      <c r="J169" s="3">
        <f ca="1">IFERROR(__xludf.DUMMYFUNCTION("""COMPUTED_VALUE"""),1)</f>
        <v>1</v>
      </c>
      <c r="K169" s="3">
        <f ca="1">IFERROR(__xludf.DUMMYFUNCTION("""COMPUTED_VALUE"""),2.5)</f>
        <v>2.5</v>
      </c>
      <c r="L169" s="3" t="str">
        <f ca="1">IFERROR(__xludf.DUMMYFUNCTION("""COMPUTED_VALUE"""),"HR")</f>
        <v>HR</v>
      </c>
      <c r="M169" s="3" t="str">
        <f ca="1">IFERROR(__xludf.DUMMYFUNCTION("""COMPUTED_VALUE"""),"BSG")</f>
        <v>BSG</v>
      </c>
      <c r="N169" s="157">
        <f ca="1">IFERROR(__xludf.DUMMYFUNCTION("""COMPUTED_VALUE"""),1)</f>
        <v>1</v>
      </c>
      <c r="O169" s="157">
        <f ca="1">IFERROR(__xludf.DUMMYFUNCTION("""COMPUTED_VALUE"""),2.5)</f>
        <v>2.5</v>
      </c>
      <c r="P169" s="157"/>
      <c r="Q169" s="3">
        <f t="shared" ca="1" si="0"/>
        <v>168</v>
      </c>
      <c r="R169" s="148" t="e">
        <f ca="1"/>
        <v>#NAME?</v>
      </c>
      <c r="S169" s="147" t="e">
        <f t="shared" ca="1" si="1"/>
        <v>#NAME?</v>
      </c>
      <c r="T169" s="147" t="e">
        <f t="shared" ca="1" si="2"/>
        <v>#NAME?</v>
      </c>
      <c r="U169" s="147" t="e">
        <f t="shared" ca="1" si="3"/>
        <v>#NAME?</v>
      </c>
      <c r="X169" s="147"/>
      <c r="Y169" s="147"/>
      <c r="Z169" s="147"/>
      <c r="AA169" s="147"/>
      <c r="AB169" s="147"/>
      <c r="AC169" s="147"/>
      <c r="AD169" s="147"/>
      <c r="AE169" s="147"/>
      <c r="AF169" s="147"/>
      <c r="AG169" s="147"/>
      <c r="AH169" s="147"/>
      <c r="AI169" s="147"/>
      <c r="AJ169" s="147"/>
      <c r="AK169" s="147"/>
      <c r="AL169" s="147"/>
      <c r="AM169" s="147"/>
      <c r="AN169" s="147"/>
      <c r="AO169" s="147"/>
      <c r="AP169" s="147"/>
      <c r="AQ169" s="147"/>
    </row>
    <row r="170" spans="1:43">
      <c r="A170" s="160" t="str">
        <f ca="1">IFERROR(__xludf.DUMMYFUNCTION("""COMPUTED_VALUE"""),"242001")</f>
        <v>242001</v>
      </c>
      <c r="B170" s="3" t="str">
        <f ca="1">IFERROR(__xludf.DUMMYFUNCTION("""COMPUTED_VALUE"""),"NGUYỄN ĐẠT THỊNH")</f>
        <v>NGUYỄN ĐẠT THỊNH</v>
      </c>
      <c r="C170" s="160" t="str">
        <f ca="1">IFERROR(__xludf.DUMMYFUNCTION("""COMPUTED_VALUE"""),"EL017")</f>
        <v>EL017</v>
      </c>
      <c r="D170" s="160" t="str">
        <f ca="1">IFERROR(__xludf.DUMMYFUNCTION("""COMPUTED_VALUE"""),"Nhat Bui")</f>
        <v>Nhat Bui</v>
      </c>
      <c r="E170" s="3" t="str">
        <f ca="1">IFERROR(__xludf.DUMMYFUNCTION("""COMPUTED_VALUE"""),"Communication 1")</f>
        <v>Communication 1</v>
      </c>
      <c r="F170" s="3" t="str">
        <f ca="1">IFERROR(__xludf.DUMMYFUNCTION("""COMPUTED_VALUE"""),"Pre-Intermediate")</f>
        <v>Pre-Intermediate</v>
      </c>
      <c r="G170" s="3" t="str">
        <f ca="1">IFERROR(__xludf.DUMMYFUNCTION("""COMPUTED_VALUE"""),"Intermediate")</f>
        <v>Intermediate</v>
      </c>
      <c r="H170" s="156">
        <f ca="1">IFERROR(__xludf.DUMMYFUNCTION("""COMPUTED_VALUE"""),45639.4583333333)</f>
        <v>45639.458333333299</v>
      </c>
      <c r="I170" s="156">
        <f ca="1">IFERROR(__xludf.DUMMYFUNCTION("""COMPUTED_VALUE"""),45639.4583333333)</f>
        <v>45639.458333333299</v>
      </c>
      <c r="J170" s="3">
        <f ca="1">IFERROR(__xludf.DUMMYFUNCTION("""COMPUTED_VALUE"""),2.5)</f>
        <v>2.5</v>
      </c>
      <c r="K170" s="3">
        <f ca="1">IFERROR(__xludf.DUMMYFUNCTION("""COMPUTED_VALUE"""),4.5)</f>
        <v>4.5</v>
      </c>
      <c r="L170" s="3" t="str">
        <f ca="1">IFERROR(__xludf.DUMMYFUNCTION("""COMPUTED_VALUE"""),"HR")</f>
        <v>HR</v>
      </c>
      <c r="M170" s="3" t="str">
        <f ca="1">IFERROR(__xludf.DUMMYFUNCTION("""COMPUTED_VALUE"""),"BSG")</f>
        <v>BSG</v>
      </c>
      <c r="N170" s="157">
        <f ca="1">IFERROR(__xludf.DUMMYFUNCTION("""COMPUTED_VALUE"""),2.5)</f>
        <v>2.5</v>
      </c>
      <c r="O170" s="157">
        <f ca="1">IFERROR(__xludf.DUMMYFUNCTION("""COMPUTED_VALUE"""),4.5)</f>
        <v>4.5</v>
      </c>
      <c r="P170" s="157"/>
      <c r="Q170" s="3">
        <f t="shared" ca="1" si="0"/>
        <v>169</v>
      </c>
      <c r="R170" s="148" t="e">
        <f ca="1"/>
        <v>#NAME?</v>
      </c>
      <c r="S170" s="147" t="e">
        <f t="shared" ca="1" si="1"/>
        <v>#NAME?</v>
      </c>
      <c r="T170" s="147" t="e">
        <f t="shared" ca="1" si="2"/>
        <v>#NAME?</v>
      </c>
      <c r="U170" s="147" t="e">
        <f t="shared" ca="1" si="3"/>
        <v>#NAME?</v>
      </c>
      <c r="X170" s="147"/>
      <c r="Y170" s="147"/>
      <c r="Z170" s="147"/>
      <c r="AA170" s="147"/>
      <c r="AB170" s="147"/>
      <c r="AC170" s="147"/>
      <c r="AD170" s="147"/>
      <c r="AE170" s="147"/>
      <c r="AF170" s="147"/>
      <c r="AG170" s="147"/>
      <c r="AH170" s="147"/>
      <c r="AI170" s="147"/>
      <c r="AJ170" s="147"/>
      <c r="AK170" s="147"/>
      <c r="AL170" s="147"/>
      <c r="AM170" s="147"/>
      <c r="AN170" s="147"/>
      <c r="AO170" s="147"/>
      <c r="AP170" s="147"/>
      <c r="AQ170" s="147"/>
    </row>
    <row r="171" spans="1:43">
      <c r="A171" s="160" t="str">
        <f ca="1">IFERROR(__xludf.DUMMYFUNCTION("""COMPUTED_VALUE"""),"222014")</f>
        <v>222014</v>
      </c>
      <c r="B171" s="3" t="str">
        <f ca="1">IFERROR(__xludf.DUMMYFUNCTION("""COMPUTED_VALUE"""),"NGUYỄN THỊ THÙY TRANG")</f>
        <v>NGUYỄN THỊ THÙY TRANG</v>
      </c>
      <c r="C171" s="160" t="str">
        <f ca="1">IFERROR(__xludf.DUMMYFUNCTION("""COMPUTED_VALUE"""),"EL017")</f>
        <v>EL017</v>
      </c>
      <c r="D171" s="160" t="str">
        <f ca="1">IFERROR(__xludf.DUMMYFUNCTION("""COMPUTED_VALUE"""),"Nhat Bui")</f>
        <v>Nhat Bui</v>
      </c>
      <c r="E171" s="3" t="str">
        <f ca="1">IFERROR(__xludf.DUMMYFUNCTION("""COMPUTED_VALUE"""),"Communication 1")</f>
        <v>Communication 1</v>
      </c>
      <c r="F171" s="3" t="str">
        <f ca="1">IFERROR(__xludf.DUMMYFUNCTION("""COMPUTED_VALUE"""),"Beginner")</f>
        <v>Beginner</v>
      </c>
      <c r="G171" s="3" t="str">
        <f ca="1">IFERROR(__xludf.DUMMYFUNCTION("""COMPUTED_VALUE"""),"Beginner")</f>
        <v>Beginner</v>
      </c>
      <c r="H171" s="156">
        <f ca="1">IFERROR(__xludf.DUMMYFUNCTION("""COMPUTED_VALUE"""),45639.4583333333)</f>
        <v>45639.458333333299</v>
      </c>
      <c r="I171" s="156">
        <f ca="1">IFERROR(__xludf.DUMMYFUNCTION("""COMPUTED_VALUE"""),45639.4583333333)</f>
        <v>45639.458333333299</v>
      </c>
      <c r="J171" s="3">
        <f ca="1">IFERROR(__xludf.DUMMYFUNCTION("""COMPUTED_VALUE"""),1)</f>
        <v>1</v>
      </c>
      <c r="K171" s="3">
        <f ca="1">IFERROR(__xludf.DUMMYFUNCTION("""COMPUTED_VALUE"""),1)</f>
        <v>1</v>
      </c>
      <c r="L171" s="3" t="str">
        <f ca="1">IFERROR(__xludf.DUMMYFUNCTION("""COMPUTED_VALUE"""),"HR")</f>
        <v>HR</v>
      </c>
      <c r="M171" s="3" t="str">
        <f ca="1">IFERROR(__xludf.DUMMYFUNCTION("""COMPUTED_VALUE"""),"BSG")</f>
        <v>BSG</v>
      </c>
      <c r="N171" s="157">
        <f ca="1">IFERROR(__xludf.DUMMYFUNCTION("""COMPUTED_VALUE"""),1)</f>
        <v>1</v>
      </c>
      <c r="O171" s="157">
        <f ca="1">IFERROR(__xludf.DUMMYFUNCTION("""COMPUTED_VALUE"""),1)</f>
        <v>1</v>
      </c>
      <c r="P171" s="157"/>
      <c r="Q171" s="3">
        <f t="shared" ca="1" si="0"/>
        <v>170</v>
      </c>
      <c r="R171" s="148" t="e">
        <f ca="1"/>
        <v>#NAME?</v>
      </c>
      <c r="S171" s="147" t="e">
        <f t="shared" ca="1" si="1"/>
        <v>#NAME?</v>
      </c>
      <c r="T171" s="147" t="e">
        <f t="shared" ca="1" si="2"/>
        <v>#NAME?</v>
      </c>
      <c r="U171" s="147" t="e">
        <f t="shared" ca="1" si="3"/>
        <v>#NAME?</v>
      </c>
      <c r="X171" s="147"/>
      <c r="Y171" s="147"/>
      <c r="Z171" s="147"/>
      <c r="AA171" s="147"/>
      <c r="AB171" s="147"/>
      <c r="AC171" s="147"/>
      <c r="AD171" s="147"/>
      <c r="AE171" s="147"/>
      <c r="AF171" s="147"/>
      <c r="AG171" s="147"/>
      <c r="AH171" s="147"/>
      <c r="AI171" s="147"/>
      <c r="AJ171" s="147"/>
      <c r="AK171" s="147"/>
      <c r="AL171" s="147"/>
      <c r="AM171" s="147"/>
      <c r="AN171" s="147"/>
      <c r="AO171" s="147"/>
      <c r="AP171" s="147"/>
      <c r="AQ171" s="147"/>
    </row>
    <row r="172" spans="1:43">
      <c r="A172" s="160" t="str">
        <f ca="1">IFERROR(__xludf.DUMMYFUNCTION("""COMPUTED_VALUE"""),"242006")</f>
        <v>242006</v>
      </c>
      <c r="B172" s="3" t="str">
        <f ca="1">IFERROR(__xludf.DUMMYFUNCTION("""COMPUTED_VALUE"""),"PHAN LÊ HỒNG LEL")</f>
        <v>PHAN LÊ HỒNG LEL</v>
      </c>
      <c r="C172" s="160" t="str">
        <f ca="1">IFERROR(__xludf.DUMMYFUNCTION("""COMPUTED_VALUE"""),"EL017")</f>
        <v>EL017</v>
      </c>
      <c r="D172" s="160" t="str">
        <f ca="1">IFERROR(__xludf.DUMMYFUNCTION("""COMPUTED_VALUE"""),"Nhat Bui")</f>
        <v>Nhat Bui</v>
      </c>
      <c r="E172" s="3" t="str">
        <f ca="1">IFERROR(__xludf.DUMMYFUNCTION("""COMPUTED_VALUE"""),"Communication 1")</f>
        <v>Communication 1</v>
      </c>
      <c r="F172" s="3" t="str">
        <f ca="1">IFERROR(__xludf.DUMMYFUNCTION("""COMPUTED_VALUE"""),"Beginner")</f>
        <v>Beginner</v>
      </c>
      <c r="G172" s="3"/>
      <c r="H172" s="156">
        <f ca="1">IFERROR(__xludf.DUMMYFUNCTION("""COMPUTED_VALUE"""),45639.4583333333)</f>
        <v>45639.458333333299</v>
      </c>
      <c r="I172" s="156">
        <f ca="1">IFERROR(__xludf.DUMMYFUNCTION("""COMPUTED_VALUE"""),45639.4583333333)</f>
        <v>45639.458333333299</v>
      </c>
      <c r="J172" s="3">
        <f ca="1">IFERROR(__xludf.DUMMYFUNCTION("""COMPUTED_VALUE"""),1)</f>
        <v>1</v>
      </c>
      <c r="K172" s="3" t="str">
        <f ca="1">IFERROR(__xludf.DUMMYFUNCTION("""COMPUTED_VALUE"""),"")</f>
        <v/>
      </c>
      <c r="L172" s="3" t="str">
        <f ca="1">IFERROR(__xludf.DUMMYFUNCTION("""COMPUTED_VALUE"""),"Admin")</f>
        <v>Admin</v>
      </c>
      <c r="M172" s="3" t="str">
        <f ca="1">IFERROR(__xludf.DUMMYFUNCTION("""COMPUTED_VALUE"""),"BSG")</f>
        <v>BSG</v>
      </c>
      <c r="N172" s="157">
        <f ca="1">IFERROR(__xludf.DUMMYFUNCTION("""COMPUTED_VALUE"""),1)</f>
        <v>1</v>
      </c>
      <c r="O172" s="157">
        <f ca="1">IFERROR(__xludf.DUMMYFUNCTION("""COMPUTED_VALUE"""),0)</f>
        <v>0</v>
      </c>
      <c r="P172" s="157"/>
      <c r="Q172" s="3">
        <f t="shared" ca="1" si="0"/>
        <v>171</v>
      </c>
      <c r="R172" s="148" t="e">
        <f ca="1"/>
        <v>#NAME?</v>
      </c>
      <c r="S172" s="147" t="e">
        <f t="shared" ca="1" si="1"/>
        <v>#NAME?</v>
      </c>
      <c r="T172" s="147" t="e">
        <f t="shared" ca="1" si="2"/>
        <v>#NAME?</v>
      </c>
      <c r="U172" s="147" t="e">
        <f t="shared" ca="1" si="3"/>
        <v>#NAME?</v>
      </c>
      <c r="X172" s="147"/>
      <c r="Y172" s="147"/>
      <c r="Z172" s="147"/>
      <c r="AA172" s="147"/>
      <c r="AB172" s="147"/>
      <c r="AC172" s="147"/>
      <c r="AD172" s="147"/>
      <c r="AE172" s="147"/>
      <c r="AF172" s="147"/>
      <c r="AG172" s="147"/>
      <c r="AH172" s="147"/>
      <c r="AI172" s="147"/>
      <c r="AJ172" s="147"/>
      <c r="AK172" s="147"/>
      <c r="AL172" s="147"/>
      <c r="AM172" s="147"/>
      <c r="AN172" s="147"/>
      <c r="AO172" s="147"/>
      <c r="AP172" s="147"/>
      <c r="AQ172" s="147"/>
    </row>
    <row r="173" spans="1:43">
      <c r="A173" s="160" t="str">
        <f ca="1">IFERROR(__xludf.DUMMYFUNCTION("""COMPUTED_VALUE"""),"242003")</f>
        <v>242003</v>
      </c>
      <c r="B173" s="3" t="str">
        <f ca="1">IFERROR(__xludf.DUMMYFUNCTION("""COMPUTED_VALUE"""),"TRẦN THỊ ÁNH NGUYỆT")</f>
        <v>TRẦN THỊ ÁNH NGUYỆT</v>
      </c>
      <c r="C173" s="160" t="str">
        <f ca="1">IFERROR(__xludf.DUMMYFUNCTION("""COMPUTED_VALUE"""),"EL017")</f>
        <v>EL017</v>
      </c>
      <c r="D173" s="160" t="str">
        <f ca="1">IFERROR(__xludf.DUMMYFUNCTION("""COMPUTED_VALUE"""),"Nhat Bui")</f>
        <v>Nhat Bui</v>
      </c>
      <c r="E173" s="3" t="str">
        <f ca="1">IFERROR(__xludf.DUMMYFUNCTION("""COMPUTED_VALUE"""),"Communication 1")</f>
        <v>Communication 1</v>
      </c>
      <c r="F173" s="3" t="str">
        <f ca="1">IFERROR(__xludf.DUMMYFUNCTION("""COMPUTED_VALUE"""),"Beginner")</f>
        <v>Beginner</v>
      </c>
      <c r="G173" s="3"/>
      <c r="H173" s="156">
        <f ca="1">IFERROR(__xludf.DUMMYFUNCTION("""COMPUTED_VALUE"""),45639.4583333333)</f>
        <v>45639.458333333299</v>
      </c>
      <c r="I173" s="156">
        <f ca="1">IFERROR(__xludf.DUMMYFUNCTION("""COMPUTED_VALUE"""),45639.4583333333)</f>
        <v>45639.458333333299</v>
      </c>
      <c r="J173" s="3">
        <f ca="1">IFERROR(__xludf.DUMMYFUNCTION("""COMPUTED_VALUE"""),1)</f>
        <v>1</v>
      </c>
      <c r="K173" s="3" t="str">
        <f ca="1">IFERROR(__xludf.DUMMYFUNCTION("""COMPUTED_VALUE"""),"")</f>
        <v/>
      </c>
      <c r="L173" s="3" t="str">
        <f ca="1">IFERROR(__xludf.DUMMYFUNCTION("""COMPUTED_VALUE"""),"Admin")</f>
        <v>Admin</v>
      </c>
      <c r="M173" s="3" t="str">
        <f ca="1">IFERROR(__xludf.DUMMYFUNCTION("""COMPUTED_VALUE"""),"BSG")</f>
        <v>BSG</v>
      </c>
      <c r="N173" s="157">
        <f ca="1">IFERROR(__xludf.DUMMYFUNCTION("""COMPUTED_VALUE"""),1)</f>
        <v>1</v>
      </c>
      <c r="O173" s="157">
        <f ca="1">IFERROR(__xludf.DUMMYFUNCTION("""COMPUTED_VALUE"""),0)</f>
        <v>0</v>
      </c>
      <c r="P173" s="157"/>
      <c r="Q173" s="3">
        <f t="shared" ca="1" si="0"/>
        <v>172</v>
      </c>
      <c r="R173" s="148" t="e">
        <f ca="1"/>
        <v>#NAME?</v>
      </c>
      <c r="S173" s="147" t="e">
        <f t="shared" ca="1" si="1"/>
        <v>#NAME?</v>
      </c>
      <c r="T173" s="147" t="e">
        <f t="shared" ca="1" si="2"/>
        <v>#NAME?</v>
      </c>
      <c r="U173" s="147" t="e">
        <f t="shared" ca="1" si="3"/>
        <v>#NAME?</v>
      </c>
      <c r="X173" s="147"/>
      <c r="Y173" s="147"/>
      <c r="Z173" s="147"/>
      <c r="AA173" s="147"/>
      <c r="AB173" s="147"/>
      <c r="AC173" s="147"/>
      <c r="AD173" s="147"/>
      <c r="AE173" s="147"/>
      <c r="AF173" s="147"/>
      <c r="AG173" s="147"/>
      <c r="AH173" s="147"/>
      <c r="AI173" s="147"/>
      <c r="AJ173" s="147"/>
      <c r="AK173" s="147"/>
      <c r="AL173" s="147"/>
      <c r="AM173" s="147"/>
      <c r="AN173" s="147"/>
      <c r="AO173" s="147"/>
      <c r="AP173" s="147"/>
      <c r="AQ173" s="147"/>
    </row>
    <row r="174" spans="1:43">
      <c r="A174" s="155" t="str">
        <f ca="1">IFERROR(__xludf.DUMMYFUNCTION("""COMPUTED_VALUE"""),"183432")</f>
        <v>183432</v>
      </c>
      <c r="B174" s="154" t="str">
        <f ca="1">IFERROR(__xludf.DUMMYFUNCTION("""COMPUTED_VALUE"""),"PHAN ĐÌNH MINH NHẬT")</f>
        <v>PHAN ĐÌNH MINH NHẬT</v>
      </c>
      <c r="C174" s="155" t="str">
        <f ca="1">IFERROR(__xludf.DUMMYFUNCTION("""COMPUTED_VALUE"""),"EL018")</f>
        <v>EL018</v>
      </c>
      <c r="D174" s="155" t="str">
        <f ca="1">IFERROR(__xludf.DUMMYFUNCTION("""COMPUTED_VALUE"""),"Nhat Phan 1")</f>
        <v>Nhat Phan 1</v>
      </c>
      <c r="E174" s="154" t="str">
        <f ca="1">IFERROR(__xludf.DUMMYFUNCTION("""COMPUTED_VALUE"""),"Communication 1")</f>
        <v>Communication 1</v>
      </c>
      <c r="F174" s="3" t="str">
        <f ca="1">IFERROR(__xludf.DUMMYFUNCTION("""COMPUTED_VALUE"""),"Pre-Intermediate")</f>
        <v>Pre-Intermediate</v>
      </c>
      <c r="G174" s="3" t="str">
        <f ca="1">IFERROR(__xludf.DUMMYFUNCTION("""COMPUTED_VALUE"""),"Pre-Intermediate 2")</f>
        <v>Pre-Intermediate 2</v>
      </c>
      <c r="H174" s="156">
        <f ca="1">IFERROR(__xludf.DUMMYFUNCTION("""COMPUTED_VALUE"""),45645.4166666666)</f>
        <v>45645.416666666599</v>
      </c>
      <c r="I174" s="156">
        <f ca="1">IFERROR(__xludf.DUMMYFUNCTION("""COMPUTED_VALUE"""),45645.4166666666)</f>
        <v>45645.416666666599</v>
      </c>
      <c r="J174" s="3">
        <f ca="1">IFERROR(__xludf.DUMMYFUNCTION("""COMPUTED_VALUE"""),2.5)</f>
        <v>2.5</v>
      </c>
      <c r="K174" s="3">
        <f ca="1">IFERROR(__xludf.DUMMYFUNCTION("""COMPUTED_VALUE"""),3.5)</f>
        <v>3.5</v>
      </c>
      <c r="L174" s="3" t="str">
        <f ca="1">IFERROR(__xludf.DUMMYFUNCTION("""COMPUTED_VALUE"""),"DEV")</f>
        <v>DEV</v>
      </c>
      <c r="M174" s="3" t="str">
        <f ca="1">IFERROR(__xludf.DUMMYFUNCTION("""COMPUTED_VALUE"""),"ONC")</f>
        <v>ONC</v>
      </c>
      <c r="N174" s="157">
        <f ca="1">IFERROR(__xludf.DUMMYFUNCTION("""COMPUTED_VALUE"""),2.5)</f>
        <v>2.5</v>
      </c>
      <c r="O174" s="157">
        <f ca="1">IFERROR(__xludf.DUMMYFUNCTION("""COMPUTED_VALUE"""),3.5)</f>
        <v>3.5</v>
      </c>
      <c r="P174" s="157"/>
      <c r="Q174" s="3">
        <f t="shared" ca="1" si="0"/>
        <v>173</v>
      </c>
      <c r="R174" s="148" t="e">
        <f ca="1"/>
        <v>#NAME?</v>
      </c>
      <c r="S174" s="147" t="e">
        <f t="shared" ca="1" si="1"/>
        <v>#NAME?</v>
      </c>
      <c r="T174" s="147" t="e">
        <f t="shared" ca="1" si="2"/>
        <v>#NAME?</v>
      </c>
      <c r="U174" s="147" t="e">
        <f t="shared" ca="1" si="3"/>
        <v>#NAME?</v>
      </c>
      <c r="X174" s="147"/>
      <c r="Y174" s="147"/>
      <c r="Z174" s="147"/>
      <c r="AA174" s="147"/>
      <c r="AB174" s="147"/>
      <c r="AC174" s="147"/>
      <c r="AD174" s="147"/>
      <c r="AE174" s="147"/>
      <c r="AF174" s="147"/>
      <c r="AG174" s="147"/>
      <c r="AH174" s="147"/>
      <c r="AI174" s="147"/>
      <c r="AJ174" s="147"/>
      <c r="AK174" s="147"/>
      <c r="AL174" s="147"/>
      <c r="AM174" s="147"/>
      <c r="AN174" s="147"/>
      <c r="AO174" s="147"/>
      <c r="AP174" s="147"/>
      <c r="AQ174" s="147"/>
    </row>
    <row r="175" spans="1:43">
      <c r="A175" s="160" t="str">
        <f ca="1">IFERROR(__xludf.DUMMYFUNCTION("""COMPUTED_VALUE"""),"227023")</f>
        <v>227023</v>
      </c>
      <c r="B175" s="3" t="str">
        <f ca="1">IFERROR(__xludf.DUMMYFUNCTION("""COMPUTED_VALUE"""),"HOÀNG NAM VƯƠNG")</f>
        <v>HOÀNG NAM VƯƠNG</v>
      </c>
      <c r="C175" s="160" t="str">
        <f ca="1">IFERROR(__xludf.DUMMYFUNCTION("""COMPUTED_VALUE"""),"EL018")</f>
        <v>EL018</v>
      </c>
      <c r="D175" s="160" t="str">
        <f ca="1">IFERROR(__xludf.DUMMYFUNCTION("""COMPUTED_VALUE"""),"Nhat Phan 1")</f>
        <v>Nhat Phan 1</v>
      </c>
      <c r="E175" s="3" t="str">
        <f ca="1">IFERROR(__xludf.DUMMYFUNCTION("""COMPUTED_VALUE"""),"Communication 1")</f>
        <v>Communication 1</v>
      </c>
      <c r="F175" s="3" t="str">
        <f ca="1">IFERROR(__xludf.DUMMYFUNCTION("""COMPUTED_VALUE"""),"Beginner")</f>
        <v>Beginner</v>
      </c>
      <c r="G175" s="3" t="str">
        <f ca="1">IFERROR(__xludf.DUMMYFUNCTION("""COMPUTED_VALUE"""),"Pre-Intermediate 2")</f>
        <v>Pre-Intermediate 2</v>
      </c>
      <c r="H175" s="156">
        <f ca="1">IFERROR(__xludf.DUMMYFUNCTION("""COMPUTED_VALUE"""),45645.4166666666)</f>
        <v>45645.416666666599</v>
      </c>
      <c r="I175" s="156">
        <f ca="1">IFERROR(__xludf.DUMMYFUNCTION("""COMPUTED_VALUE"""),45645.4166666666)</f>
        <v>45645.416666666599</v>
      </c>
      <c r="J175" s="3">
        <f ca="1">IFERROR(__xludf.DUMMYFUNCTION("""COMPUTED_VALUE"""),1)</f>
        <v>1</v>
      </c>
      <c r="K175" s="3">
        <f ca="1">IFERROR(__xludf.DUMMYFUNCTION("""COMPUTED_VALUE"""),3.5)</f>
        <v>3.5</v>
      </c>
      <c r="L175" s="3" t="str">
        <f ca="1">IFERROR(__xludf.DUMMYFUNCTION("""COMPUTED_VALUE"""),"DEV")</f>
        <v>DEV</v>
      </c>
      <c r="M175" s="3" t="str">
        <f ca="1">IFERROR(__xludf.DUMMYFUNCTION("""COMPUTED_VALUE"""),"ONC")</f>
        <v>ONC</v>
      </c>
      <c r="N175" s="157">
        <f ca="1">IFERROR(__xludf.DUMMYFUNCTION("""COMPUTED_VALUE"""),1)</f>
        <v>1</v>
      </c>
      <c r="O175" s="157">
        <f ca="1">IFERROR(__xludf.DUMMYFUNCTION("""COMPUTED_VALUE"""),3.5)</f>
        <v>3.5</v>
      </c>
      <c r="P175" s="157"/>
      <c r="Q175" s="3">
        <f t="shared" ca="1" si="0"/>
        <v>174</v>
      </c>
      <c r="R175" s="148" t="e">
        <f ca="1"/>
        <v>#NAME?</v>
      </c>
      <c r="S175" s="147" t="e">
        <f t="shared" ca="1" si="1"/>
        <v>#NAME?</v>
      </c>
      <c r="T175" s="147" t="e">
        <f t="shared" ca="1" si="2"/>
        <v>#NAME?</v>
      </c>
      <c r="U175" s="147" t="e">
        <f t="shared" ca="1" si="3"/>
        <v>#NAME?</v>
      </c>
      <c r="X175" s="147"/>
      <c r="Y175" s="147"/>
      <c r="Z175" s="147"/>
      <c r="AA175" s="147"/>
      <c r="AB175" s="147"/>
      <c r="AC175" s="147"/>
      <c r="AD175" s="147"/>
      <c r="AE175" s="147"/>
      <c r="AF175" s="147"/>
      <c r="AG175" s="147"/>
      <c r="AH175" s="147"/>
      <c r="AI175" s="147"/>
      <c r="AJ175" s="147"/>
      <c r="AK175" s="147"/>
      <c r="AL175" s="147"/>
      <c r="AM175" s="147"/>
      <c r="AN175" s="147"/>
      <c r="AO175" s="147"/>
      <c r="AP175" s="147"/>
      <c r="AQ175" s="147"/>
    </row>
    <row r="176" spans="1:43">
      <c r="A176" s="160" t="str">
        <f ca="1">IFERROR(__xludf.DUMMYFUNCTION("""COMPUTED_VALUE"""),"183440")</f>
        <v>183440</v>
      </c>
      <c r="B176" s="3" t="str">
        <f ca="1">IFERROR(__xludf.DUMMYFUNCTION("""COMPUTED_VALUE"""),"NGUYỄN HOÀNG GIANG")</f>
        <v>NGUYỄN HOÀNG GIANG</v>
      </c>
      <c r="C176" s="160" t="str">
        <f ca="1">IFERROR(__xludf.DUMMYFUNCTION("""COMPUTED_VALUE"""),"EL018")</f>
        <v>EL018</v>
      </c>
      <c r="D176" s="160" t="str">
        <f ca="1">IFERROR(__xludf.DUMMYFUNCTION("""COMPUTED_VALUE"""),"Nhat Phan 1")</f>
        <v>Nhat Phan 1</v>
      </c>
      <c r="E176" s="3" t="str">
        <f ca="1">IFERROR(__xludf.DUMMYFUNCTION("""COMPUTED_VALUE"""),"Communication 1")</f>
        <v>Communication 1</v>
      </c>
      <c r="F176" s="3"/>
      <c r="G176" s="3"/>
      <c r="H176" s="156">
        <f ca="1">IFERROR(__xludf.DUMMYFUNCTION("""COMPUTED_VALUE"""),45645.4166666666)</f>
        <v>45645.416666666599</v>
      </c>
      <c r="I176" s="156">
        <f ca="1">IFERROR(__xludf.DUMMYFUNCTION("""COMPUTED_VALUE"""),45645.4166666666)</f>
        <v>45645.416666666599</v>
      </c>
      <c r="J176" s="3" t="str">
        <f ca="1">IFERROR(__xludf.DUMMYFUNCTION("""COMPUTED_VALUE"""),"")</f>
        <v/>
      </c>
      <c r="K176" s="3" t="str">
        <f ca="1">IFERROR(__xludf.DUMMYFUNCTION("""COMPUTED_VALUE"""),"")</f>
        <v/>
      </c>
      <c r="L176" s="3" t="str">
        <f ca="1">IFERROR(__xludf.DUMMYFUNCTION("""COMPUTED_VALUE"""),"DEV")</f>
        <v>DEV</v>
      </c>
      <c r="M176" s="3" t="str">
        <f ca="1">IFERROR(__xludf.DUMMYFUNCTION("""COMPUTED_VALUE"""),"ONC")</f>
        <v>ONC</v>
      </c>
      <c r="N176" s="157" t="str">
        <f ca="1">IFERROR(__xludf.DUMMYFUNCTION("""COMPUTED_VALUE"""),"")</f>
        <v/>
      </c>
      <c r="O176" s="157">
        <f ca="1">IFERROR(__xludf.DUMMYFUNCTION("""COMPUTED_VALUE"""),0)</f>
        <v>0</v>
      </c>
      <c r="P176" s="157"/>
      <c r="Q176" s="3">
        <f t="shared" ca="1" si="0"/>
        <v>175</v>
      </c>
      <c r="R176" s="148" t="e">
        <f ca="1"/>
        <v>#NAME?</v>
      </c>
      <c r="S176" s="147" t="e">
        <f t="shared" ca="1" si="1"/>
        <v>#NAME?</v>
      </c>
      <c r="T176" s="147" t="e">
        <f t="shared" ca="1" si="2"/>
        <v>#NAME?</v>
      </c>
      <c r="U176" s="147" t="e">
        <f t="shared" ca="1" si="3"/>
        <v>#NAME?</v>
      </c>
      <c r="X176" s="147"/>
      <c r="Y176" s="147"/>
      <c r="Z176" s="147"/>
      <c r="AA176" s="147"/>
      <c r="AB176" s="147"/>
      <c r="AC176" s="147"/>
      <c r="AD176" s="147"/>
      <c r="AE176" s="147"/>
      <c r="AF176" s="147"/>
      <c r="AG176" s="147"/>
      <c r="AH176" s="147"/>
      <c r="AI176" s="147"/>
      <c r="AJ176" s="147"/>
      <c r="AK176" s="147"/>
      <c r="AL176" s="147"/>
      <c r="AM176" s="147"/>
      <c r="AN176" s="147"/>
      <c r="AO176" s="147"/>
      <c r="AP176" s="147"/>
      <c r="AQ176" s="147"/>
    </row>
    <row r="177" spans="1:43">
      <c r="A177" s="160" t="str">
        <f ca="1">IFERROR(__xludf.DUMMYFUNCTION("""COMPUTED_VALUE"""),"183400")</f>
        <v>183400</v>
      </c>
      <c r="B177" s="3" t="str">
        <f ca="1">IFERROR(__xludf.DUMMYFUNCTION("""COMPUTED_VALUE"""),"TRẦN THANH HIẾU")</f>
        <v>TRẦN THANH HIẾU</v>
      </c>
      <c r="C177" s="160" t="str">
        <f ca="1">IFERROR(__xludf.DUMMYFUNCTION("""COMPUTED_VALUE"""),"EL018")</f>
        <v>EL018</v>
      </c>
      <c r="D177" s="160" t="str">
        <f ca="1">IFERROR(__xludf.DUMMYFUNCTION("""COMPUTED_VALUE"""),"Nhat Phan 1")</f>
        <v>Nhat Phan 1</v>
      </c>
      <c r="E177" s="3" t="str">
        <f ca="1">IFERROR(__xludf.DUMMYFUNCTION("""COMPUTED_VALUE"""),"Communication 1")</f>
        <v>Communication 1</v>
      </c>
      <c r="F177" s="3" t="str">
        <f ca="1">IFERROR(__xludf.DUMMYFUNCTION("""COMPUTED_VALUE"""),"Beginner")</f>
        <v>Beginner</v>
      </c>
      <c r="G177" s="3" t="str">
        <f ca="1">IFERROR(__xludf.DUMMYFUNCTION("""COMPUTED_VALUE"""),"Pre-Intermediate 1")</f>
        <v>Pre-Intermediate 1</v>
      </c>
      <c r="H177" s="156">
        <f ca="1">IFERROR(__xludf.DUMMYFUNCTION("""COMPUTED_VALUE"""),45645.4166666666)</f>
        <v>45645.416666666599</v>
      </c>
      <c r="I177" s="156">
        <f ca="1">IFERROR(__xludf.DUMMYFUNCTION("""COMPUTED_VALUE"""),45645.4166666666)</f>
        <v>45645.416666666599</v>
      </c>
      <c r="J177" s="3">
        <f ca="1">IFERROR(__xludf.DUMMYFUNCTION("""COMPUTED_VALUE"""),1)</f>
        <v>1</v>
      </c>
      <c r="K177" s="3">
        <f ca="1">IFERROR(__xludf.DUMMYFUNCTION("""COMPUTED_VALUE"""),3)</f>
        <v>3</v>
      </c>
      <c r="L177" s="3" t="str">
        <f ca="1">IFERROR(__xludf.DUMMYFUNCTION("""COMPUTED_VALUE"""),"DEV")</f>
        <v>DEV</v>
      </c>
      <c r="M177" s="3" t="str">
        <f ca="1">IFERROR(__xludf.DUMMYFUNCTION("""COMPUTED_VALUE"""),"ONC")</f>
        <v>ONC</v>
      </c>
      <c r="N177" s="157">
        <f ca="1">IFERROR(__xludf.DUMMYFUNCTION("""COMPUTED_VALUE"""),1)</f>
        <v>1</v>
      </c>
      <c r="O177" s="157">
        <f ca="1">IFERROR(__xludf.DUMMYFUNCTION("""COMPUTED_VALUE"""),3)</f>
        <v>3</v>
      </c>
      <c r="P177" s="157"/>
      <c r="Q177" s="3">
        <f t="shared" ca="1" si="0"/>
        <v>176</v>
      </c>
      <c r="R177" s="148" t="e">
        <f ca="1"/>
        <v>#NAME?</v>
      </c>
      <c r="S177" s="147" t="e">
        <f t="shared" ca="1" si="1"/>
        <v>#NAME?</v>
      </c>
      <c r="T177" s="147" t="e">
        <f t="shared" ca="1" si="2"/>
        <v>#NAME?</v>
      </c>
      <c r="U177" s="147" t="e">
        <f t="shared" ca="1" si="3"/>
        <v>#NAME?</v>
      </c>
      <c r="X177" s="147"/>
      <c r="Y177" s="147"/>
      <c r="Z177" s="147"/>
      <c r="AA177" s="147"/>
      <c r="AB177" s="147"/>
      <c r="AC177" s="147"/>
      <c r="AD177" s="147"/>
      <c r="AE177" s="147"/>
      <c r="AF177" s="147"/>
      <c r="AG177" s="147"/>
      <c r="AH177" s="147"/>
      <c r="AI177" s="147"/>
      <c r="AJ177" s="147"/>
      <c r="AK177" s="147"/>
      <c r="AL177" s="147"/>
      <c r="AM177" s="147"/>
      <c r="AN177" s="147"/>
      <c r="AO177" s="147"/>
      <c r="AP177" s="147"/>
      <c r="AQ177" s="147"/>
    </row>
    <row r="178" spans="1:43">
      <c r="A178" s="155" t="str">
        <f ca="1">IFERROR(__xludf.DUMMYFUNCTION("""COMPUTED_VALUE"""),"183432")</f>
        <v>183432</v>
      </c>
      <c r="B178" s="154" t="str">
        <f ca="1">IFERROR(__xludf.DUMMYFUNCTION("""COMPUTED_VALUE"""),"PHAN ĐÌNH MINH NHẬT")</f>
        <v>PHAN ĐÌNH MINH NHẬT</v>
      </c>
      <c r="C178" s="155" t="str">
        <f ca="1">IFERROR(__xludf.DUMMYFUNCTION("""COMPUTED_VALUE"""),"EL018")</f>
        <v>EL018</v>
      </c>
      <c r="D178" s="155" t="str">
        <f ca="1">IFERROR(__xludf.DUMMYFUNCTION("""COMPUTED_VALUE"""),"Nhat Phan 1")</f>
        <v>Nhat Phan 1</v>
      </c>
      <c r="E178" s="154" t="str">
        <f ca="1">IFERROR(__xludf.DUMMYFUNCTION("""COMPUTED_VALUE"""),"Communication 2")</f>
        <v>Communication 2</v>
      </c>
      <c r="F178" s="3" t="str">
        <f ca="1">IFERROR(__xludf.DUMMYFUNCTION("""COMPUTED_VALUE"""),"Pre-Intermediate 2")</f>
        <v>Pre-Intermediate 2</v>
      </c>
      <c r="G178" s="3"/>
      <c r="H178" s="156">
        <f ca="1">IFERROR(__xludf.DUMMYFUNCTION("""COMPUTED_VALUE"""),45887.375)</f>
        <v>45887.375</v>
      </c>
      <c r="I178" s="156">
        <f ca="1">IFERROR(__xludf.DUMMYFUNCTION("""COMPUTED_VALUE"""),45645.4166666666)</f>
        <v>45645.416666666599</v>
      </c>
      <c r="J178" s="3">
        <f ca="1">IFERROR(__xludf.DUMMYFUNCTION("""COMPUTED_VALUE"""),3.5)</f>
        <v>3.5</v>
      </c>
      <c r="K178" s="3" t="str">
        <f ca="1">IFERROR(__xludf.DUMMYFUNCTION("""COMPUTED_VALUE"""),"")</f>
        <v/>
      </c>
      <c r="L178" s="3" t="str">
        <f ca="1">IFERROR(__xludf.DUMMYFUNCTION("""COMPUTED_VALUE"""),"DEV")</f>
        <v>DEV</v>
      </c>
      <c r="M178" s="3" t="str">
        <f ca="1">IFERROR(__xludf.DUMMYFUNCTION("""COMPUTED_VALUE"""),"ONC")</f>
        <v>ONC</v>
      </c>
      <c r="N178" s="157">
        <f ca="1">IFERROR(__xludf.DUMMYFUNCTION("""COMPUTED_VALUE"""),2.5)</f>
        <v>2.5</v>
      </c>
      <c r="O178" s="157">
        <f ca="1">IFERROR(__xludf.DUMMYFUNCTION("""COMPUTED_VALUE"""),3.5)</f>
        <v>3.5</v>
      </c>
      <c r="P178" s="157"/>
      <c r="Q178" s="3">
        <f t="shared" ca="1" si="0"/>
        <v>177</v>
      </c>
      <c r="R178" s="148" t="e">
        <f ca="1"/>
        <v>#NAME?</v>
      </c>
      <c r="S178" s="147" t="e">
        <f t="shared" ca="1" si="1"/>
        <v>#NAME?</v>
      </c>
      <c r="T178" s="147" t="e">
        <f t="shared" ca="1" si="2"/>
        <v>#NAME?</v>
      </c>
      <c r="U178" s="147" t="e">
        <f t="shared" ca="1" si="3"/>
        <v>#NAME?</v>
      </c>
      <c r="X178" s="147"/>
      <c r="Y178" s="147"/>
      <c r="Z178" s="147"/>
      <c r="AA178" s="147"/>
      <c r="AB178" s="147"/>
      <c r="AC178" s="147"/>
      <c r="AD178" s="147"/>
      <c r="AE178" s="147"/>
      <c r="AF178" s="147"/>
      <c r="AG178" s="147"/>
      <c r="AH178" s="147"/>
      <c r="AI178" s="147"/>
      <c r="AJ178" s="147"/>
      <c r="AK178" s="147"/>
      <c r="AL178" s="147"/>
      <c r="AM178" s="147"/>
      <c r="AN178" s="147"/>
      <c r="AO178" s="147"/>
      <c r="AP178" s="147"/>
      <c r="AQ178" s="147"/>
    </row>
    <row r="179" spans="1:43">
      <c r="A179" s="160" t="str">
        <f ca="1">IFERROR(__xludf.DUMMYFUNCTION("""COMPUTED_VALUE"""),"227023")</f>
        <v>227023</v>
      </c>
      <c r="B179" s="3" t="str">
        <f ca="1">IFERROR(__xludf.DUMMYFUNCTION("""COMPUTED_VALUE"""),"HOÀNG NAM VƯƠNG")</f>
        <v>HOÀNG NAM VƯƠNG</v>
      </c>
      <c r="C179" s="160" t="str">
        <f ca="1">IFERROR(__xludf.DUMMYFUNCTION("""COMPUTED_VALUE"""),"EL018")</f>
        <v>EL018</v>
      </c>
      <c r="D179" s="160" t="str">
        <f ca="1">IFERROR(__xludf.DUMMYFUNCTION("""COMPUTED_VALUE"""),"Nhat Phan 1")</f>
        <v>Nhat Phan 1</v>
      </c>
      <c r="E179" s="3" t="str">
        <f ca="1">IFERROR(__xludf.DUMMYFUNCTION("""COMPUTED_VALUE"""),"Communication 2")</f>
        <v>Communication 2</v>
      </c>
      <c r="F179" s="3" t="str">
        <f ca="1">IFERROR(__xludf.DUMMYFUNCTION("""COMPUTED_VALUE"""),"Beginner")</f>
        <v>Beginner</v>
      </c>
      <c r="G179" s="3"/>
      <c r="H179" s="156">
        <f ca="1">IFERROR(__xludf.DUMMYFUNCTION("""COMPUTED_VALUE"""),45887.375)</f>
        <v>45887.375</v>
      </c>
      <c r="I179" s="156">
        <f ca="1">IFERROR(__xludf.DUMMYFUNCTION("""COMPUTED_VALUE"""),45645.4166666666)</f>
        <v>45645.416666666599</v>
      </c>
      <c r="J179" s="3">
        <f ca="1">IFERROR(__xludf.DUMMYFUNCTION("""COMPUTED_VALUE"""),1)</f>
        <v>1</v>
      </c>
      <c r="K179" s="3" t="str">
        <f ca="1">IFERROR(__xludf.DUMMYFUNCTION("""COMPUTED_VALUE"""),"")</f>
        <v/>
      </c>
      <c r="L179" s="3" t="str">
        <f ca="1">IFERROR(__xludf.DUMMYFUNCTION("""COMPUTED_VALUE"""),"DEV")</f>
        <v>DEV</v>
      </c>
      <c r="M179" s="3" t="str">
        <f ca="1">IFERROR(__xludf.DUMMYFUNCTION("""COMPUTED_VALUE"""),"ONC")</f>
        <v>ONC</v>
      </c>
      <c r="N179" s="157">
        <f ca="1">IFERROR(__xludf.DUMMYFUNCTION("""COMPUTED_VALUE"""),1)</f>
        <v>1</v>
      </c>
      <c r="O179" s="157">
        <f ca="1">IFERROR(__xludf.DUMMYFUNCTION("""COMPUTED_VALUE"""),3.5)</f>
        <v>3.5</v>
      </c>
      <c r="P179" s="157"/>
      <c r="Q179" s="3">
        <f t="shared" ca="1" si="0"/>
        <v>178</v>
      </c>
      <c r="R179" s="148" t="e">
        <f ca="1"/>
        <v>#NAME?</v>
      </c>
      <c r="S179" s="147" t="e">
        <f t="shared" ca="1" si="1"/>
        <v>#NAME?</v>
      </c>
      <c r="T179" s="147" t="e">
        <f t="shared" ca="1" si="2"/>
        <v>#NAME?</v>
      </c>
      <c r="U179" s="147" t="e">
        <f t="shared" ca="1" si="3"/>
        <v>#NAME?</v>
      </c>
      <c r="X179" s="147"/>
      <c r="Y179" s="147"/>
      <c r="Z179" s="147"/>
      <c r="AA179" s="147"/>
      <c r="AB179" s="147"/>
      <c r="AC179" s="147"/>
      <c r="AD179" s="147"/>
      <c r="AE179" s="147"/>
      <c r="AF179" s="147"/>
      <c r="AG179" s="147"/>
      <c r="AH179" s="147"/>
      <c r="AI179" s="147"/>
      <c r="AJ179" s="147"/>
      <c r="AK179" s="147"/>
      <c r="AL179" s="147"/>
      <c r="AM179" s="147"/>
      <c r="AN179" s="147"/>
      <c r="AO179" s="147"/>
      <c r="AP179" s="147"/>
      <c r="AQ179" s="147"/>
    </row>
    <row r="180" spans="1:43">
      <c r="A180" s="160" t="str">
        <f ca="1">IFERROR(__xludf.DUMMYFUNCTION("""COMPUTED_VALUE"""),"247357")</f>
        <v>247357</v>
      </c>
      <c r="B180" s="3" t="str">
        <f ca="1">IFERROR(__xludf.DUMMYFUNCTION("""COMPUTED_VALUE"""),"NGÔ MINH HIẾU")</f>
        <v>NGÔ MINH HIẾU</v>
      </c>
      <c r="C180" s="160" t="str">
        <f ca="1">IFERROR(__xludf.DUMMYFUNCTION("""COMPUTED_VALUE"""),"EL018")</f>
        <v>EL018</v>
      </c>
      <c r="D180" s="160" t="str">
        <f ca="1">IFERROR(__xludf.DUMMYFUNCTION("""COMPUTED_VALUE"""),"Nhat Phan 1")</f>
        <v>Nhat Phan 1</v>
      </c>
      <c r="E180" s="3" t="str">
        <f ca="1">IFERROR(__xludf.DUMMYFUNCTION("""COMPUTED_VALUE"""),"Communication 2")</f>
        <v>Communication 2</v>
      </c>
      <c r="F180" s="3" t="str">
        <f ca="1">IFERROR(__xludf.DUMMYFUNCTION("""COMPUTED_VALUE"""),"Beginner")</f>
        <v>Beginner</v>
      </c>
      <c r="G180" s="3"/>
      <c r="H180" s="156">
        <f ca="1">IFERROR(__xludf.DUMMYFUNCTION("""COMPUTED_VALUE"""),45887.375)</f>
        <v>45887.375</v>
      </c>
      <c r="I180" s="156">
        <f ca="1">IFERROR(__xludf.DUMMYFUNCTION("""COMPUTED_VALUE"""),45663.4166666666)</f>
        <v>45663.416666666599</v>
      </c>
      <c r="J180" s="3">
        <f ca="1">IFERROR(__xludf.DUMMYFUNCTION("""COMPUTED_VALUE"""),1)</f>
        <v>1</v>
      </c>
      <c r="K180" s="3" t="str">
        <f ca="1">IFERROR(__xludf.DUMMYFUNCTION("""COMPUTED_VALUE"""),"")</f>
        <v/>
      </c>
      <c r="L180" s="3" t="str">
        <f ca="1">IFERROR(__xludf.DUMMYFUNCTION("""COMPUTED_VALUE"""),"DEV")</f>
        <v>DEV</v>
      </c>
      <c r="M180" s="3" t="str">
        <f ca="1">IFERROR(__xludf.DUMMYFUNCTION("""COMPUTED_VALUE"""),"ONC")</f>
        <v>ONC</v>
      </c>
      <c r="N180" s="157">
        <f ca="1">IFERROR(__xludf.DUMMYFUNCTION("""COMPUTED_VALUE"""),1)</f>
        <v>1</v>
      </c>
      <c r="O180" s="157">
        <f ca="1">IFERROR(__xludf.DUMMYFUNCTION("""COMPUTED_VALUE"""),1)</f>
        <v>1</v>
      </c>
      <c r="P180" s="157"/>
      <c r="Q180" s="3">
        <f t="shared" ca="1" si="0"/>
        <v>179</v>
      </c>
      <c r="R180" s="148" t="e">
        <f ca="1"/>
        <v>#NAME?</v>
      </c>
      <c r="S180" s="147" t="e">
        <f t="shared" ca="1" si="1"/>
        <v>#NAME?</v>
      </c>
      <c r="T180" s="147" t="e">
        <f t="shared" ca="1" si="2"/>
        <v>#NAME?</v>
      </c>
      <c r="U180" s="147" t="e">
        <f t="shared" ca="1" si="3"/>
        <v>#NAME?</v>
      </c>
      <c r="X180" s="147"/>
      <c r="Y180" s="147"/>
      <c r="Z180" s="147"/>
      <c r="AA180" s="147"/>
      <c r="AB180" s="147"/>
      <c r="AC180" s="147"/>
      <c r="AD180" s="147"/>
      <c r="AE180" s="147"/>
      <c r="AF180" s="147"/>
      <c r="AG180" s="147"/>
      <c r="AH180" s="147"/>
      <c r="AI180" s="147"/>
      <c r="AJ180" s="147"/>
      <c r="AK180" s="147"/>
      <c r="AL180" s="147"/>
      <c r="AM180" s="147"/>
      <c r="AN180" s="147"/>
      <c r="AO180" s="147"/>
      <c r="AP180" s="147"/>
      <c r="AQ180" s="147"/>
    </row>
    <row r="181" spans="1:43">
      <c r="A181" s="160" t="str">
        <f ca="1">IFERROR(__xludf.DUMMYFUNCTION("""COMPUTED_VALUE"""),"227024")</f>
        <v>227024</v>
      </c>
      <c r="B181" s="3" t="str">
        <f ca="1">IFERROR(__xludf.DUMMYFUNCTION("""COMPUTED_VALUE"""),"TRẦN QUỐC VIỆT")</f>
        <v>TRẦN QUỐC VIỆT</v>
      </c>
      <c r="C181" s="160" t="str">
        <f ca="1">IFERROR(__xludf.DUMMYFUNCTION("""COMPUTED_VALUE"""),"EL018")</f>
        <v>EL018</v>
      </c>
      <c r="D181" s="160" t="str">
        <f ca="1">IFERROR(__xludf.DUMMYFUNCTION("""COMPUTED_VALUE"""),"Nhat Phan 1")</f>
        <v>Nhat Phan 1</v>
      </c>
      <c r="E181" s="3" t="str">
        <f ca="1">IFERROR(__xludf.DUMMYFUNCTION("""COMPUTED_VALUE"""),"Communication 2")</f>
        <v>Communication 2</v>
      </c>
      <c r="F181" s="3" t="str">
        <f ca="1">IFERROR(__xludf.DUMMYFUNCTION("""COMPUTED_VALUE"""),"Pre-Intermediate")</f>
        <v>Pre-Intermediate</v>
      </c>
      <c r="G181" s="3"/>
      <c r="H181" s="156">
        <f ca="1">IFERROR(__xludf.DUMMYFUNCTION("""COMPUTED_VALUE"""),45887.375)</f>
        <v>45887.375</v>
      </c>
      <c r="I181" s="156">
        <f ca="1">IFERROR(__xludf.DUMMYFUNCTION("""COMPUTED_VALUE"""),45663.4166666666)</f>
        <v>45663.416666666599</v>
      </c>
      <c r="J181" s="3">
        <f ca="1">IFERROR(__xludf.DUMMYFUNCTION("""COMPUTED_VALUE"""),2.5)</f>
        <v>2.5</v>
      </c>
      <c r="K181" s="3" t="str">
        <f ca="1">IFERROR(__xludf.DUMMYFUNCTION("""COMPUTED_VALUE"""),"")</f>
        <v/>
      </c>
      <c r="L181" s="3" t="str">
        <f ca="1">IFERROR(__xludf.DUMMYFUNCTION("""COMPUTED_VALUE"""),"DEV")</f>
        <v>DEV</v>
      </c>
      <c r="M181" s="3" t="str">
        <f ca="1">IFERROR(__xludf.DUMMYFUNCTION("""COMPUTED_VALUE"""),"ONC")</f>
        <v>ONC</v>
      </c>
      <c r="N181" s="157">
        <f ca="1">IFERROR(__xludf.DUMMYFUNCTION("""COMPUTED_VALUE"""),1)</f>
        <v>1</v>
      </c>
      <c r="O181" s="157">
        <f ca="1">IFERROR(__xludf.DUMMYFUNCTION("""COMPUTED_VALUE"""),2.5)</f>
        <v>2.5</v>
      </c>
      <c r="P181" s="157"/>
      <c r="Q181" s="3">
        <f t="shared" ca="1" si="0"/>
        <v>180</v>
      </c>
      <c r="R181" s="148" t="e">
        <f ca="1"/>
        <v>#NAME?</v>
      </c>
      <c r="S181" s="147" t="e">
        <f t="shared" ca="1" si="1"/>
        <v>#NAME?</v>
      </c>
      <c r="T181" s="147" t="e">
        <f t="shared" ca="1" si="2"/>
        <v>#NAME?</v>
      </c>
      <c r="U181" s="147" t="e">
        <f t="shared" ca="1" si="3"/>
        <v>#NAME?</v>
      </c>
      <c r="X181" s="147"/>
      <c r="Y181" s="147"/>
      <c r="Z181" s="147"/>
      <c r="AA181" s="147"/>
      <c r="AB181" s="147"/>
      <c r="AC181" s="147"/>
      <c r="AD181" s="147"/>
      <c r="AE181" s="147"/>
      <c r="AF181" s="147"/>
      <c r="AG181" s="147"/>
      <c r="AH181" s="147"/>
      <c r="AI181" s="147"/>
      <c r="AJ181" s="147"/>
      <c r="AK181" s="147"/>
      <c r="AL181" s="147"/>
      <c r="AM181" s="147"/>
      <c r="AN181" s="147"/>
      <c r="AO181" s="147"/>
      <c r="AP181" s="147"/>
      <c r="AQ181" s="147"/>
    </row>
    <row r="182" spans="1:43">
      <c r="A182" s="160" t="str">
        <f ca="1">IFERROR(__xludf.DUMMYFUNCTION("""COMPUTED_VALUE"""),"183400")</f>
        <v>183400</v>
      </c>
      <c r="B182" s="3" t="str">
        <f ca="1">IFERROR(__xludf.DUMMYFUNCTION("""COMPUTED_VALUE"""),"TRẦN THANH HIẾU")</f>
        <v>TRẦN THANH HIẾU</v>
      </c>
      <c r="C182" s="160" t="str">
        <f ca="1">IFERROR(__xludf.DUMMYFUNCTION("""COMPUTED_VALUE"""),"EL018")</f>
        <v>EL018</v>
      </c>
      <c r="D182" s="160" t="str">
        <f ca="1">IFERROR(__xludf.DUMMYFUNCTION("""COMPUTED_VALUE"""),"Nhat Phan 1")</f>
        <v>Nhat Phan 1</v>
      </c>
      <c r="E182" s="3" t="str">
        <f ca="1">IFERROR(__xludf.DUMMYFUNCTION("""COMPUTED_VALUE"""),"Communication 2")</f>
        <v>Communication 2</v>
      </c>
      <c r="F182" s="3" t="str">
        <f ca="1">IFERROR(__xludf.DUMMYFUNCTION("""COMPUTED_VALUE"""),"Pre-Intermediate 1")</f>
        <v>Pre-Intermediate 1</v>
      </c>
      <c r="G182" s="3"/>
      <c r="H182" s="156">
        <f ca="1">IFERROR(__xludf.DUMMYFUNCTION("""COMPUTED_VALUE"""),45887.375)</f>
        <v>45887.375</v>
      </c>
      <c r="I182" s="156">
        <f ca="1">IFERROR(__xludf.DUMMYFUNCTION("""COMPUTED_VALUE"""),45645.4166666666)</f>
        <v>45645.416666666599</v>
      </c>
      <c r="J182" s="3">
        <f ca="1">IFERROR(__xludf.DUMMYFUNCTION("""COMPUTED_VALUE"""),3)</f>
        <v>3</v>
      </c>
      <c r="K182" s="3" t="str">
        <f ca="1">IFERROR(__xludf.DUMMYFUNCTION("""COMPUTED_VALUE"""),"")</f>
        <v/>
      </c>
      <c r="L182" s="3" t="str">
        <f ca="1">IFERROR(__xludf.DUMMYFUNCTION("""COMPUTED_VALUE"""),"DEV")</f>
        <v>DEV</v>
      </c>
      <c r="M182" s="3" t="str">
        <f ca="1">IFERROR(__xludf.DUMMYFUNCTION("""COMPUTED_VALUE"""),"ONC")</f>
        <v>ONC</v>
      </c>
      <c r="N182" s="157">
        <f ca="1">IFERROR(__xludf.DUMMYFUNCTION("""COMPUTED_VALUE"""),1)</f>
        <v>1</v>
      </c>
      <c r="O182" s="157">
        <f ca="1">IFERROR(__xludf.DUMMYFUNCTION("""COMPUTED_VALUE"""),3)</f>
        <v>3</v>
      </c>
      <c r="P182" s="157"/>
      <c r="Q182" s="3">
        <f t="shared" ca="1" si="0"/>
        <v>181</v>
      </c>
      <c r="R182" s="148" t="e">
        <f ca="1"/>
        <v>#NAME?</v>
      </c>
      <c r="S182" s="147" t="e">
        <f t="shared" ca="1" si="1"/>
        <v>#NAME?</v>
      </c>
      <c r="T182" s="147" t="e">
        <f t="shared" ca="1" si="2"/>
        <v>#NAME?</v>
      </c>
      <c r="U182" s="147" t="e">
        <f t="shared" ca="1" si="3"/>
        <v>#NAME?</v>
      </c>
      <c r="X182" s="147"/>
      <c r="Y182" s="147"/>
      <c r="Z182" s="147"/>
      <c r="AA182" s="147"/>
      <c r="AB182" s="147"/>
      <c r="AC182" s="147"/>
      <c r="AD182" s="147"/>
      <c r="AE182" s="147"/>
      <c r="AF182" s="147"/>
      <c r="AG182" s="147"/>
      <c r="AH182" s="147"/>
      <c r="AI182" s="147"/>
      <c r="AJ182" s="147"/>
      <c r="AK182" s="147"/>
      <c r="AL182" s="147"/>
      <c r="AM182" s="147"/>
      <c r="AN182" s="147"/>
      <c r="AO182" s="147"/>
      <c r="AP182" s="147"/>
      <c r="AQ182" s="147"/>
    </row>
    <row r="183" spans="1:43">
      <c r="A183" s="160" t="str">
        <f ca="1">IFERROR(__xludf.DUMMYFUNCTION("""COMPUTED_VALUE"""),"227032")</f>
        <v>227032</v>
      </c>
      <c r="B183" s="3" t="str">
        <f ca="1">IFERROR(__xludf.DUMMYFUNCTION("""COMPUTED_VALUE"""),"VŨ NHẬT MINH TRƯỜNG")</f>
        <v>VŨ NHẬT MINH TRƯỜNG</v>
      </c>
      <c r="C183" s="160" t="str">
        <f ca="1">IFERROR(__xludf.DUMMYFUNCTION("""COMPUTED_VALUE"""),"EL018")</f>
        <v>EL018</v>
      </c>
      <c r="D183" s="160" t="str">
        <f ca="1">IFERROR(__xludf.DUMMYFUNCTION("""COMPUTED_VALUE"""),"Nhat Phan 1")</f>
        <v>Nhat Phan 1</v>
      </c>
      <c r="E183" s="3" t="str">
        <f ca="1">IFERROR(__xludf.DUMMYFUNCTION("""COMPUTED_VALUE"""),"Communication 2")</f>
        <v>Communication 2</v>
      </c>
      <c r="F183" s="3" t="str">
        <f ca="1">IFERROR(__xludf.DUMMYFUNCTION("""COMPUTED_VALUE"""),"Pre-Intermediate")</f>
        <v>Pre-Intermediate</v>
      </c>
      <c r="G183" s="3"/>
      <c r="H183" s="156">
        <f ca="1">IFERROR(__xludf.DUMMYFUNCTION("""COMPUTED_VALUE"""),45887.375)</f>
        <v>45887.375</v>
      </c>
      <c r="I183" s="156">
        <f ca="1">IFERROR(__xludf.DUMMYFUNCTION("""COMPUTED_VALUE"""),45663.4166666666)</f>
        <v>45663.416666666599</v>
      </c>
      <c r="J183" s="3">
        <f ca="1">IFERROR(__xludf.DUMMYFUNCTION("""COMPUTED_VALUE"""),2.5)</f>
        <v>2.5</v>
      </c>
      <c r="K183" s="3" t="str">
        <f ca="1">IFERROR(__xludf.DUMMYFUNCTION("""COMPUTED_VALUE"""),"")</f>
        <v/>
      </c>
      <c r="L183" s="3" t="str">
        <f ca="1">IFERROR(__xludf.DUMMYFUNCTION("""COMPUTED_VALUE"""),"DEV")</f>
        <v>DEV</v>
      </c>
      <c r="M183" s="3" t="str">
        <f ca="1">IFERROR(__xludf.DUMMYFUNCTION("""COMPUTED_VALUE"""),"ONC")</f>
        <v>ONC</v>
      </c>
      <c r="N183" s="157">
        <f ca="1">IFERROR(__xludf.DUMMYFUNCTION("""COMPUTED_VALUE"""),2.5)</f>
        <v>2.5</v>
      </c>
      <c r="O183" s="157">
        <f ca="1">IFERROR(__xludf.DUMMYFUNCTION("""COMPUTED_VALUE"""),2.5)</f>
        <v>2.5</v>
      </c>
      <c r="P183" s="157"/>
      <c r="Q183" s="3">
        <f t="shared" ca="1" si="0"/>
        <v>182</v>
      </c>
      <c r="R183" s="148" t="e">
        <f ca="1"/>
        <v>#NAME?</v>
      </c>
      <c r="S183" s="147" t="e">
        <f t="shared" ca="1" si="1"/>
        <v>#NAME?</v>
      </c>
      <c r="T183" s="147" t="e">
        <f t="shared" ca="1" si="2"/>
        <v>#NAME?</v>
      </c>
      <c r="U183" s="147" t="e">
        <f t="shared" ca="1" si="3"/>
        <v>#NAME?</v>
      </c>
      <c r="X183" s="147"/>
      <c r="Y183" s="147"/>
      <c r="Z183" s="147"/>
      <c r="AA183" s="147"/>
      <c r="AB183" s="147"/>
      <c r="AC183" s="147"/>
      <c r="AD183" s="147"/>
      <c r="AE183" s="147"/>
      <c r="AF183" s="147"/>
      <c r="AG183" s="147"/>
      <c r="AH183" s="147"/>
      <c r="AI183" s="147"/>
      <c r="AJ183" s="147"/>
      <c r="AK183" s="147"/>
      <c r="AL183" s="147"/>
      <c r="AM183" s="147"/>
      <c r="AN183" s="147"/>
      <c r="AO183" s="147"/>
      <c r="AP183" s="147"/>
      <c r="AQ183" s="147"/>
    </row>
    <row r="184" spans="1:43">
      <c r="A184" s="155" t="str">
        <f ca="1">IFERROR(__xludf.DUMMYFUNCTION("""COMPUTED_VALUE"""),"173286")</f>
        <v>173286</v>
      </c>
      <c r="B184" s="154" t="str">
        <f ca="1">IFERROR(__xludf.DUMMYFUNCTION("""COMPUTED_VALUE"""),"LÊ ANH TIẾN")</f>
        <v>LÊ ANH TIẾN</v>
      </c>
      <c r="C184" s="155" t="str">
        <f ca="1">IFERROR(__xludf.DUMMYFUNCTION("""COMPUTED_VALUE"""),"EL019")</f>
        <v>EL019</v>
      </c>
      <c r="D184" s="155" t="str">
        <f ca="1">IFERROR(__xludf.DUMMYFUNCTION("""COMPUTED_VALUE"""),"Nhat Phan 2")</f>
        <v>Nhat Phan 2</v>
      </c>
      <c r="E184" s="154" t="str">
        <f ca="1">IFERROR(__xludf.DUMMYFUNCTION("""COMPUTED_VALUE"""),"Communication 1")</f>
        <v>Communication 1</v>
      </c>
      <c r="F184" s="3" t="str">
        <f ca="1">IFERROR(__xludf.DUMMYFUNCTION("""COMPUTED_VALUE"""),"Pre-Intermediate")</f>
        <v>Pre-Intermediate</v>
      </c>
      <c r="G184" s="3" t="str">
        <f ca="1">IFERROR(__xludf.DUMMYFUNCTION("""COMPUTED_VALUE"""),"Intermediate")</f>
        <v>Intermediate</v>
      </c>
      <c r="H184" s="156">
        <f ca="1">IFERROR(__xludf.DUMMYFUNCTION("""COMPUTED_VALUE"""),45663.4166666666)</f>
        <v>45663.416666666599</v>
      </c>
      <c r="I184" s="156">
        <f ca="1">IFERROR(__xludf.DUMMYFUNCTION("""COMPUTED_VALUE"""),45663.4166666666)</f>
        <v>45663.416666666599</v>
      </c>
      <c r="J184" s="3">
        <f ca="1">IFERROR(__xludf.DUMMYFUNCTION("""COMPUTED_VALUE"""),2.5)</f>
        <v>2.5</v>
      </c>
      <c r="K184" s="3">
        <f ca="1">IFERROR(__xludf.DUMMYFUNCTION("""COMPUTED_VALUE"""),4.5)</f>
        <v>4.5</v>
      </c>
      <c r="L184" s="3" t="str">
        <f ca="1">IFERROR(__xludf.DUMMYFUNCTION("""COMPUTED_VALUE"""),"DEV")</f>
        <v>DEV</v>
      </c>
      <c r="M184" s="3" t="str">
        <f ca="1">IFERROR(__xludf.DUMMYFUNCTION("""COMPUTED_VALUE"""),"ONC")</f>
        <v>ONC</v>
      </c>
      <c r="N184" s="157">
        <f ca="1">IFERROR(__xludf.DUMMYFUNCTION("""COMPUTED_VALUE"""),2.5)</f>
        <v>2.5</v>
      </c>
      <c r="O184" s="157">
        <f ca="1">IFERROR(__xludf.DUMMYFUNCTION("""COMPUTED_VALUE"""),4.5)</f>
        <v>4.5</v>
      </c>
      <c r="P184" s="157"/>
      <c r="Q184" s="3">
        <f t="shared" ca="1" si="0"/>
        <v>183</v>
      </c>
      <c r="R184" s="148" t="e">
        <f ca="1"/>
        <v>#NAME?</v>
      </c>
      <c r="S184" s="147" t="e">
        <f t="shared" ca="1" si="1"/>
        <v>#NAME?</v>
      </c>
      <c r="T184" s="147" t="e">
        <f t="shared" ca="1" si="2"/>
        <v>#NAME?</v>
      </c>
      <c r="U184" s="147" t="e">
        <f t="shared" ca="1" si="3"/>
        <v>#NAME?</v>
      </c>
      <c r="X184" s="147"/>
      <c r="Y184" s="147"/>
      <c r="Z184" s="147"/>
      <c r="AA184" s="147"/>
      <c r="AB184" s="147"/>
      <c r="AC184" s="147"/>
      <c r="AD184" s="147"/>
      <c r="AE184" s="147"/>
      <c r="AF184" s="147"/>
      <c r="AG184" s="147"/>
      <c r="AH184" s="147"/>
      <c r="AI184" s="147"/>
      <c r="AJ184" s="147"/>
      <c r="AK184" s="147"/>
      <c r="AL184" s="147"/>
      <c r="AM184" s="147"/>
      <c r="AN184" s="147"/>
      <c r="AO184" s="147"/>
      <c r="AP184" s="147"/>
      <c r="AQ184" s="147"/>
    </row>
    <row r="185" spans="1:43">
      <c r="A185" s="160" t="str">
        <f ca="1">IFERROR(__xludf.DUMMYFUNCTION("""COMPUTED_VALUE"""),"193519")</f>
        <v>193519</v>
      </c>
      <c r="B185" s="3" t="str">
        <f ca="1">IFERROR(__xludf.DUMMYFUNCTION("""COMPUTED_VALUE"""),"LƯƠNG MINH QUÂN")</f>
        <v>LƯƠNG MINH QUÂN</v>
      </c>
      <c r="C185" s="160" t="str">
        <f ca="1">IFERROR(__xludf.DUMMYFUNCTION("""COMPUTED_VALUE"""),"EL019")</f>
        <v>EL019</v>
      </c>
      <c r="D185" s="160" t="str">
        <f ca="1">IFERROR(__xludf.DUMMYFUNCTION("""COMPUTED_VALUE"""),"Nhat Phan 2")</f>
        <v>Nhat Phan 2</v>
      </c>
      <c r="E185" s="3" t="str">
        <f ca="1">IFERROR(__xludf.DUMMYFUNCTION("""COMPUTED_VALUE"""),"Communication 1")</f>
        <v>Communication 1</v>
      </c>
      <c r="F185" s="3" t="str">
        <f ca="1">IFERROR(__xludf.DUMMYFUNCTION("""COMPUTED_VALUE"""),"Beginner")</f>
        <v>Beginner</v>
      </c>
      <c r="G185" s="3" t="str">
        <f ca="1">IFERROR(__xludf.DUMMYFUNCTION("""COMPUTED_VALUE"""),"Beginner")</f>
        <v>Beginner</v>
      </c>
      <c r="H185" s="156">
        <f ca="1">IFERROR(__xludf.DUMMYFUNCTION("""COMPUTED_VALUE"""),45663.4166666666)</f>
        <v>45663.416666666599</v>
      </c>
      <c r="I185" s="156">
        <f ca="1">IFERROR(__xludf.DUMMYFUNCTION("""COMPUTED_VALUE"""),45663.4166666666)</f>
        <v>45663.416666666599</v>
      </c>
      <c r="J185" s="3">
        <f ca="1">IFERROR(__xludf.DUMMYFUNCTION("""COMPUTED_VALUE"""),1)</f>
        <v>1</v>
      </c>
      <c r="K185" s="3">
        <f ca="1">IFERROR(__xludf.DUMMYFUNCTION("""COMPUTED_VALUE"""),1)</f>
        <v>1</v>
      </c>
      <c r="L185" s="3" t="str">
        <f ca="1">IFERROR(__xludf.DUMMYFUNCTION("""COMPUTED_VALUE"""),"DEV")</f>
        <v>DEV</v>
      </c>
      <c r="M185" s="3" t="str">
        <f ca="1">IFERROR(__xludf.DUMMYFUNCTION("""COMPUTED_VALUE"""),"ONC")</f>
        <v>ONC</v>
      </c>
      <c r="N185" s="157">
        <f ca="1">IFERROR(__xludf.DUMMYFUNCTION("""COMPUTED_VALUE"""),1)</f>
        <v>1</v>
      </c>
      <c r="O185" s="157">
        <f ca="1">IFERROR(__xludf.DUMMYFUNCTION("""COMPUTED_VALUE"""),1)</f>
        <v>1</v>
      </c>
      <c r="P185" s="157"/>
      <c r="Q185" s="3">
        <f t="shared" ca="1" si="0"/>
        <v>184</v>
      </c>
      <c r="R185" s="148" t="e">
        <f ca="1"/>
        <v>#NAME?</v>
      </c>
      <c r="S185" s="147" t="e">
        <f t="shared" ca="1" si="1"/>
        <v>#NAME?</v>
      </c>
      <c r="T185" s="147" t="e">
        <f t="shared" ca="1" si="2"/>
        <v>#NAME?</v>
      </c>
      <c r="U185" s="147" t="e">
        <f t="shared" ca="1" si="3"/>
        <v>#NAME?</v>
      </c>
      <c r="X185" s="147"/>
      <c r="Y185" s="147"/>
      <c r="Z185" s="147"/>
      <c r="AA185" s="147"/>
      <c r="AB185" s="147"/>
      <c r="AC185" s="147"/>
      <c r="AD185" s="147"/>
      <c r="AE185" s="147"/>
      <c r="AF185" s="147"/>
      <c r="AG185" s="147"/>
      <c r="AH185" s="147"/>
      <c r="AI185" s="147"/>
      <c r="AJ185" s="147"/>
      <c r="AK185" s="147"/>
      <c r="AL185" s="147"/>
      <c r="AM185" s="147"/>
      <c r="AN185" s="147"/>
      <c r="AO185" s="147"/>
      <c r="AP185" s="147"/>
      <c r="AQ185" s="147"/>
    </row>
    <row r="186" spans="1:43">
      <c r="A186" s="160" t="str">
        <f ca="1">IFERROR(__xludf.DUMMYFUNCTION("""COMPUTED_VALUE"""),"247357")</f>
        <v>247357</v>
      </c>
      <c r="B186" s="3" t="str">
        <f ca="1">IFERROR(__xludf.DUMMYFUNCTION("""COMPUTED_VALUE"""),"NGÔ MINH HIẾU")</f>
        <v>NGÔ MINH HIẾU</v>
      </c>
      <c r="C186" s="160" t="str">
        <f ca="1">IFERROR(__xludf.DUMMYFUNCTION("""COMPUTED_VALUE"""),"EL019")</f>
        <v>EL019</v>
      </c>
      <c r="D186" s="160" t="str">
        <f ca="1">IFERROR(__xludf.DUMMYFUNCTION("""COMPUTED_VALUE"""),"Nhat Phan 2")</f>
        <v>Nhat Phan 2</v>
      </c>
      <c r="E186" s="3" t="str">
        <f ca="1">IFERROR(__xludf.DUMMYFUNCTION("""COMPUTED_VALUE"""),"Communication 1")</f>
        <v>Communication 1</v>
      </c>
      <c r="F186" s="3" t="str">
        <f ca="1">IFERROR(__xludf.DUMMYFUNCTION("""COMPUTED_VALUE"""),"Beginner")</f>
        <v>Beginner</v>
      </c>
      <c r="G186" s="3" t="str">
        <f ca="1">IFERROR(__xludf.DUMMYFUNCTION("""COMPUTED_VALUE"""),"Beginner")</f>
        <v>Beginner</v>
      </c>
      <c r="H186" s="156">
        <f ca="1">IFERROR(__xludf.DUMMYFUNCTION("""COMPUTED_VALUE"""),45663.4166666666)</f>
        <v>45663.416666666599</v>
      </c>
      <c r="I186" s="156">
        <f ca="1">IFERROR(__xludf.DUMMYFUNCTION("""COMPUTED_VALUE"""),45663.4166666666)</f>
        <v>45663.416666666599</v>
      </c>
      <c r="J186" s="3">
        <f ca="1">IFERROR(__xludf.DUMMYFUNCTION("""COMPUTED_VALUE"""),1)</f>
        <v>1</v>
      </c>
      <c r="K186" s="3">
        <f ca="1">IFERROR(__xludf.DUMMYFUNCTION("""COMPUTED_VALUE"""),1)</f>
        <v>1</v>
      </c>
      <c r="L186" s="3" t="str">
        <f ca="1">IFERROR(__xludf.DUMMYFUNCTION("""COMPUTED_VALUE"""),"DEV")</f>
        <v>DEV</v>
      </c>
      <c r="M186" s="3" t="str">
        <f ca="1">IFERROR(__xludf.DUMMYFUNCTION("""COMPUTED_VALUE"""),"ONC")</f>
        <v>ONC</v>
      </c>
      <c r="N186" s="157">
        <f ca="1">IFERROR(__xludf.DUMMYFUNCTION("""COMPUTED_VALUE"""),1)</f>
        <v>1</v>
      </c>
      <c r="O186" s="157">
        <f ca="1">IFERROR(__xludf.DUMMYFUNCTION("""COMPUTED_VALUE"""),1)</f>
        <v>1</v>
      </c>
      <c r="P186" s="157"/>
      <c r="Q186" s="3">
        <f t="shared" ca="1" si="0"/>
        <v>185</v>
      </c>
      <c r="R186" s="148" t="e">
        <f ca="1"/>
        <v>#NAME?</v>
      </c>
      <c r="S186" s="147" t="e">
        <f t="shared" ca="1" si="1"/>
        <v>#NAME?</v>
      </c>
      <c r="T186" s="147" t="e">
        <f t="shared" ca="1" si="2"/>
        <v>#NAME?</v>
      </c>
      <c r="U186" s="147" t="e">
        <f t="shared" ca="1" si="3"/>
        <v>#NAME?</v>
      </c>
      <c r="X186" s="147"/>
      <c r="Y186" s="147"/>
      <c r="Z186" s="147"/>
      <c r="AA186" s="147"/>
      <c r="AB186" s="147"/>
      <c r="AC186" s="147"/>
      <c r="AD186" s="147"/>
      <c r="AE186" s="147"/>
      <c r="AF186" s="147"/>
      <c r="AG186" s="147"/>
      <c r="AH186" s="147"/>
      <c r="AI186" s="147"/>
      <c r="AJ186" s="147"/>
      <c r="AK186" s="147"/>
      <c r="AL186" s="147"/>
      <c r="AM186" s="147"/>
      <c r="AN186" s="147"/>
      <c r="AO186" s="147"/>
      <c r="AP186" s="147"/>
      <c r="AQ186" s="147"/>
    </row>
    <row r="187" spans="1:43">
      <c r="A187" s="160" t="str">
        <f ca="1">IFERROR(__xludf.DUMMYFUNCTION("""COMPUTED_VALUE"""),"213810")</f>
        <v>213810</v>
      </c>
      <c r="B187" s="3" t="str">
        <f ca="1">IFERROR(__xludf.DUMMYFUNCTION("""COMPUTED_VALUE"""),"NGUYỄN MINH DUY")</f>
        <v>NGUYỄN MINH DUY</v>
      </c>
      <c r="C187" s="160" t="str">
        <f ca="1">IFERROR(__xludf.DUMMYFUNCTION("""COMPUTED_VALUE"""),"EL019")</f>
        <v>EL019</v>
      </c>
      <c r="D187" s="160" t="str">
        <f ca="1">IFERROR(__xludf.DUMMYFUNCTION("""COMPUTED_VALUE"""),"Nhat Phan 2")</f>
        <v>Nhat Phan 2</v>
      </c>
      <c r="E187" s="3" t="str">
        <f ca="1">IFERROR(__xludf.DUMMYFUNCTION("""COMPUTED_VALUE"""),"Communication 1")</f>
        <v>Communication 1</v>
      </c>
      <c r="F187" s="3" t="str">
        <f ca="1">IFERROR(__xludf.DUMMYFUNCTION("""COMPUTED_VALUE"""),"Pre-Intermediate")</f>
        <v>Pre-Intermediate</v>
      </c>
      <c r="G187" s="3" t="str">
        <f ca="1">IFERROR(__xludf.DUMMYFUNCTION("""COMPUTED_VALUE"""),"Intermediate")</f>
        <v>Intermediate</v>
      </c>
      <c r="H187" s="156">
        <f ca="1">IFERROR(__xludf.DUMMYFUNCTION("""COMPUTED_VALUE"""),45663.4166666666)</f>
        <v>45663.416666666599</v>
      </c>
      <c r="I187" s="156">
        <f ca="1">IFERROR(__xludf.DUMMYFUNCTION("""COMPUTED_VALUE"""),45663.4166666666)</f>
        <v>45663.416666666599</v>
      </c>
      <c r="J187" s="3">
        <f ca="1">IFERROR(__xludf.DUMMYFUNCTION("""COMPUTED_VALUE"""),2.5)</f>
        <v>2.5</v>
      </c>
      <c r="K187" s="3">
        <f ca="1">IFERROR(__xludf.DUMMYFUNCTION("""COMPUTED_VALUE"""),4.5)</f>
        <v>4.5</v>
      </c>
      <c r="L187" s="3" t="str">
        <f ca="1">IFERROR(__xludf.DUMMYFUNCTION("""COMPUTED_VALUE"""),"DEV")</f>
        <v>DEV</v>
      </c>
      <c r="M187" s="3" t="str">
        <f ca="1">IFERROR(__xludf.DUMMYFUNCTION("""COMPUTED_VALUE"""),"ONC")</f>
        <v>ONC</v>
      </c>
      <c r="N187" s="157">
        <f ca="1">IFERROR(__xludf.DUMMYFUNCTION("""COMPUTED_VALUE"""),2.5)</f>
        <v>2.5</v>
      </c>
      <c r="O187" s="157">
        <f ca="1">IFERROR(__xludf.DUMMYFUNCTION("""COMPUTED_VALUE"""),4.5)</f>
        <v>4.5</v>
      </c>
      <c r="P187" s="157"/>
      <c r="Q187" s="3">
        <f t="shared" ca="1" si="0"/>
        <v>186</v>
      </c>
      <c r="R187" s="148" t="e">
        <f ca="1"/>
        <v>#NAME?</v>
      </c>
      <c r="S187" s="147" t="e">
        <f t="shared" ca="1" si="1"/>
        <v>#NAME?</v>
      </c>
      <c r="T187" s="147" t="e">
        <f t="shared" ca="1" si="2"/>
        <v>#NAME?</v>
      </c>
      <c r="U187" s="147" t="e">
        <f t="shared" ca="1" si="3"/>
        <v>#NAME?</v>
      </c>
      <c r="X187" s="147"/>
      <c r="Y187" s="147"/>
      <c r="Z187" s="147"/>
      <c r="AA187" s="147"/>
      <c r="AB187" s="147"/>
      <c r="AC187" s="147"/>
      <c r="AD187" s="147"/>
      <c r="AE187" s="147"/>
      <c r="AF187" s="147"/>
      <c r="AG187" s="147"/>
      <c r="AH187" s="147"/>
      <c r="AI187" s="147"/>
      <c r="AJ187" s="147"/>
      <c r="AK187" s="147"/>
      <c r="AL187" s="147"/>
      <c r="AM187" s="147"/>
      <c r="AN187" s="147"/>
      <c r="AO187" s="147"/>
      <c r="AP187" s="147"/>
      <c r="AQ187" s="147"/>
    </row>
    <row r="188" spans="1:43">
      <c r="A188" s="160" t="str">
        <f ca="1">IFERROR(__xludf.DUMMYFUNCTION("""COMPUTED_VALUE"""),"227024")</f>
        <v>227024</v>
      </c>
      <c r="B188" s="3" t="str">
        <f ca="1">IFERROR(__xludf.DUMMYFUNCTION("""COMPUTED_VALUE"""),"TRẦN QUỐC VIỆT")</f>
        <v>TRẦN QUỐC VIỆT</v>
      </c>
      <c r="C188" s="160" t="str">
        <f ca="1">IFERROR(__xludf.DUMMYFUNCTION("""COMPUTED_VALUE"""),"EL019")</f>
        <v>EL019</v>
      </c>
      <c r="D188" s="160" t="str">
        <f ca="1">IFERROR(__xludf.DUMMYFUNCTION("""COMPUTED_VALUE"""),"Nhat Phan 2")</f>
        <v>Nhat Phan 2</v>
      </c>
      <c r="E188" s="3" t="str">
        <f ca="1">IFERROR(__xludf.DUMMYFUNCTION("""COMPUTED_VALUE"""),"Communication 1")</f>
        <v>Communication 1</v>
      </c>
      <c r="F188" s="3" t="str">
        <f ca="1">IFERROR(__xludf.DUMMYFUNCTION("""COMPUTED_VALUE"""),"Beginner")</f>
        <v>Beginner</v>
      </c>
      <c r="G188" s="3" t="str">
        <f ca="1">IFERROR(__xludf.DUMMYFUNCTION("""COMPUTED_VALUE"""),"Pre-Intermediate")</f>
        <v>Pre-Intermediate</v>
      </c>
      <c r="H188" s="156">
        <f ca="1">IFERROR(__xludf.DUMMYFUNCTION("""COMPUTED_VALUE"""),45663.4166666666)</f>
        <v>45663.416666666599</v>
      </c>
      <c r="I188" s="156">
        <f ca="1">IFERROR(__xludf.DUMMYFUNCTION("""COMPUTED_VALUE"""),45663.4166666666)</f>
        <v>45663.416666666599</v>
      </c>
      <c r="J188" s="3">
        <f ca="1">IFERROR(__xludf.DUMMYFUNCTION("""COMPUTED_VALUE"""),1)</f>
        <v>1</v>
      </c>
      <c r="K188" s="3">
        <f ca="1">IFERROR(__xludf.DUMMYFUNCTION("""COMPUTED_VALUE"""),2.5)</f>
        <v>2.5</v>
      </c>
      <c r="L188" s="3" t="str">
        <f ca="1">IFERROR(__xludf.DUMMYFUNCTION("""COMPUTED_VALUE"""),"DEV")</f>
        <v>DEV</v>
      </c>
      <c r="M188" s="3" t="str">
        <f ca="1">IFERROR(__xludf.DUMMYFUNCTION("""COMPUTED_VALUE"""),"ONC")</f>
        <v>ONC</v>
      </c>
      <c r="N188" s="157">
        <f ca="1">IFERROR(__xludf.DUMMYFUNCTION("""COMPUTED_VALUE"""),1)</f>
        <v>1</v>
      </c>
      <c r="O188" s="157">
        <f ca="1">IFERROR(__xludf.DUMMYFUNCTION("""COMPUTED_VALUE"""),2.5)</f>
        <v>2.5</v>
      </c>
      <c r="P188" s="157"/>
      <c r="Q188" s="3">
        <f t="shared" ca="1" si="0"/>
        <v>187</v>
      </c>
      <c r="R188" s="148" t="e">
        <f ca="1"/>
        <v>#NAME?</v>
      </c>
      <c r="S188" s="147" t="e">
        <f t="shared" ca="1" si="1"/>
        <v>#NAME?</v>
      </c>
      <c r="T188" s="147" t="e">
        <f t="shared" ca="1" si="2"/>
        <v>#NAME?</v>
      </c>
      <c r="U188" s="147" t="e">
        <f t="shared" ca="1" si="3"/>
        <v>#NAME?</v>
      </c>
      <c r="X188" s="147"/>
      <c r="Y188" s="147"/>
      <c r="Z188" s="147"/>
      <c r="AA188" s="147"/>
      <c r="AB188" s="147"/>
      <c r="AC188" s="147"/>
      <c r="AD188" s="147"/>
      <c r="AE188" s="147"/>
      <c r="AF188" s="147"/>
      <c r="AG188" s="147"/>
      <c r="AH188" s="147"/>
      <c r="AI188" s="147"/>
      <c r="AJ188" s="147"/>
      <c r="AK188" s="147"/>
      <c r="AL188" s="147"/>
      <c r="AM188" s="147"/>
      <c r="AN188" s="147"/>
      <c r="AO188" s="147"/>
      <c r="AP188" s="147"/>
      <c r="AQ188" s="147"/>
    </row>
    <row r="189" spans="1:43">
      <c r="A189" s="160" t="str">
        <f ca="1">IFERROR(__xludf.DUMMYFUNCTION("""COMPUTED_VALUE"""),"227032")</f>
        <v>227032</v>
      </c>
      <c r="B189" s="3" t="str">
        <f ca="1">IFERROR(__xludf.DUMMYFUNCTION("""COMPUTED_VALUE"""),"VŨ NHẬT MINH TRƯỜNG")</f>
        <v>VŨ NHẬT MINH TRƯỜNG</v>
      </c>
      <c r="C189" s="160" t="str">
        <f ca="1">IFERROR(__xludf.DUMMYFUNCTION("""COMPUTED_VALUE"""),"EL019")</f>
        <v>EL019</v>
      </c>
      <c r="D189" s="160" t="str">
        <f ca="1">IFERROR(__xludf.DUMMYFUNCTION("""COMPUTED_VALUE"""),"Nhat Phan 2")</f>
        <v>Nhat Phan 2</v>
      </c>
      <c r="E189" s="3" t="str">
        <f ca="1">IFERROR(__xludf.DUMMYFUNCTION("""COMPUTED_VALUE"""),"Communication 1")</f>
        <v>Communication 1</v>
      </c>
      <c r="F189" s="3" t="str">
        <f ca="1">IFERROR(__xludf.DUMMYFUNCTION("""COMPUTED_VALUE"""),"Pre-Intermediate")</f>
        <v>Pre-Intermediate</v>
      </c>
      <c r="G189" s="3" t="str">
        <f ca="1">IFERROR(__xludf.DUMMYFUNCTION("""COMPUTED_VALUE"""),"Pre-Intermediate")</f>
        <v>Pre-Intermediate</v>
      </c>
      <c r="H189" s="156">
        <f ca="1">IFERROR(__xludf.DUMMYFUNCTION("""COMPUTED_VALUE"""),45663.4166666666)</f>
        <v>45663.416666666599</v>
      </c>
      <c r="I189" s="156">
        <f ca="1">IFERROR(__xludf.DUMMYFUNCTION("""COMPUTED_VALUE"""),45663.4166666666)</f>
        <v>45663.416666666599</v>
      </c>
      <c r="J189" s="3">
        <f ca="1">IFERROR(__xludf.DUMMYFUNCTION("""COMPUTED_VALUE"""),2.5)</f>
        <v>2.5</v>
      </c>
      <c r="K189" s="3">
        <f ca="1">IFERROR(__xludf.DUMMYFUNCTION("""COMPUTED_VALUE"""),2.5)</f>
        <v>2.5</v>
      </c>
      <c r="L189" s="3" t="str">
        <f ca="1">IFERROR(__xludf.DUMMYFUNCTION("""COMPUTED_VALUE"""),"DEV")</f>
        <v>DEV</v>
      </c>
      <c r="M189" s="3" t="str">
        <f ca="1">IFERROR(__xludf.DUMMYFUNCTION("""COMPUTED_VALUE"""),"ONC")</f>
        <v>ONC</v>
      </c>
      <c r="N189" s="157">
        <f ca="1">IFERROR(__xludf.DUMMYFUNCTION("""COMPUTED_VALUE"""),2.5)</f>
        <v>2.5</v>
      </c>
      <c r="O189" s="157">
        <f ca="1">IFERROR(__xludf.DUMMYFUNCTION("""COMPUTED_VALUE"""),2.5)</f>
        <v>2.5</v>
      </c>
      <c r="P189" s="157"/>
      <c r="Q189" s="3">
        <f t="shared" ca="1" si="0"/>
        <v>188</v>
      </c>
      <c r="R189" s="148" t="e">
        <f ca="1"/>
        <v>#NAME?</v>
      </c>
      <c r="S189" s="147" t="e">
        <f t="shared" ca="1" si="1"/>
        <v>#NAME?</v>
      </c>
      <c r="T189" s="147" t="e">
        <f t="shared" ca="1" si="2"/>
        <v>#NAME?</v>
      </c>
      <c r="U189" s="147" t="e">
        <f t="shared" ca="1" si="3"/>
        <v>#NAME?</v>
      </c>
      <c r="X189" s="147"/>
      <c r="Y189" s="147"/>
      <c r="Z189" s="147"/>
      <c r="AA189" s="147"/>
      <c r="AB189" s="147"/>
      <c r="AC189" s="147"/>
      <c r="AD189" s="147"/>
      <c r="AE189" s="147"/>
      <c r="AF189" s="147"/>
      <c r="AG189" s="147"/>
      <c r="AH189" s="147"/>
      <c r="AI189" s="147"/>
      <c r="AJ189" s="147"/>
      <c r="AK189" s="147"/>
      <c r="AL189" s="147"/>
      <c r="AM189" s="147"/>
      <c r="AN189" s="147"/>
      <c r="AO189" s="147"/>
      <c r="AP189" s="147"/>
      <c r="AQ189" s="147"/>
    </row>
    <row r="190" spans="1:43">
      <c r="A190" s="155" t="str">
        <f ca="1">IFERROR(__xludf.DUMMYFUNCTION("""COMPUTED_VALUE"""),"213974")</f>
        <v>213974</v>
      </c>
      <c r="B190" s="154" t="str">
        <f ca="1">IFERROR(__xludf.DUMMYFUNCTION("""COMPUTED_VALUE"""),"NGUYỄN QUÍ EM")</f>
        <v>NGUYỄN QUÍ EM</v>
      </c>
      <c r="C190" s="155" t="str">
        <f ca="1">IFERROR(__xludf.DUMMYFUNCTION("""COMPUTED_VALUE"""),"EL020")</f>
        <v>EL020</v>
      </c>
      <c r="D190" s="155" t="str">
        <f ca="1">IFERROR(__xludf.DUMMYFUNCTION("""COMPUTED_VALUE"""),"Qui Em")</f>
        <v>Qui Em</v>
      </c>
      <c r="E190" s="154" t="str">
        <f ca="1">IFERROR(__xludf.DUMMYFUNCTION("""COMPUTED_VALUE"""),"Communication 1")</f>
        <v>Communication 1</v>
      </c>
      <c r="F190" s="3" t="str">
        <f ca="1">IFERROR(__xludf.DUMMYFUNCTION("""COMPUTED_VALUE"""),"Beginner")</f>
        <v>Beginner</v>
      </c>
      <c r="G190" s="3" t="str">
        <f ca="1">IFERROR(__xludf.DUMMYFUNCTION("""COMPUTED_VALUE"""),"Pre-Intermediate 2")</f>
        <v>Pre-Intermediate 2</v>
      </c>
      <c r="H190" s="156">
        <f ca="1">IFERROR(__xludf.DUMMYFUNCTION("""COMPUTED_VALUE"""),45638.4166666666)</f>
        <v>45638.416666666599</v>
      </c>
      <c r="I190" s="156">
        <f ca="1">IFERROR(__xludf.DUMMYFUNCTION("""COMPUTED_VALUE"""),45638.4166666666)</f>
        <v>45638.416666666599</v>
      </c>
      <c r="J190" s="3">
        <f ca="1">IFERROR(__xludf.DUMMYFUNCTION("""COMPUTED_VALUE"""),1)</f>
        <v>1</v>
      </c>
      <c r="K190" s="3">
        <f ca="1">IFERROR(__xludf.DUMMYFUNCTION("""COMPUTED_VALUE"""),3.5)</f>
        <v>3.5</v>
      </c>
      <c r="L190" s="3" t="str">
        <f ca="1">IFERROR(__xludf.DUMMYFUNCTION("""COMPUTED_VALUE"""),"DEV")</f>
        <v>DEV</v>
      </c>
      <c r="M190" s="3" t="str">
        <f ca="1">IFERROR(__xludf.DUMMYFUNCTION("""COMPUTED_VALUE"""),"TBU")</f>
        <v>TBU</v>
      </c>
      <c r="N190" s="157">
        <f ca="1">IFERROR(__xludf.DUMMYFUNCTION("""COMPUTED_VALUE"""),1)</f>
        <v>1</v>
      </c>
      <c r="O190" s="157">
        <f ca="1">IFERROR(__xludf.DUMMYFUNCTION("""COMPUTED_VALUE"""),3.5)</f>
        <v>3.5</v>
      </c>
      <c r="P190" s="157"/>
      <c r="Q190" s="3">
        <f t="shared" ca="1" si="0"/>
        <v>189</v>
      </c>
      <c r="R190" s="148" t="e">
        <f ca="1"/>
        <v>#NAME?</v>
      </c>
      <c r="S190" s="147" t="e">
        <f t="shared" ca="1" si="1"/>
        <v>#NAME?</v>
      </c>
      <c r="T190" s="147" t="e">
        <f t="shared" ca="1" si="2"/>
        <v>#NAME?</v>
      </c>
      <c r="U190" s="147" t="e">
        <f t="shared" ca="1" si="3"/>
        <v>#NAME?</v>
      </c>
      <c r="X190" s="147"/>
      <c r="Y190" s="147"/>
      <c r="Z190" s="147"/>
      <c r="AA190" s="147"/>
      <c r="AB190" s="147"/>
      <c r="AC190" s="147"/>
      <c r="AD190" s="147"/>
      <c r="AE190" s="147"/>
      <c r="AF190" s="147"/>
      <c r="AG190" s="147"/>
      <c r="AH190" s="147"/>
      <c r="AI190" s="147"/>
      <c r="AJ190" s="147"/>
      <c r="AK190" s="147"/>
      <c r="AL190" s="147"/>
      <c r="AM190" s="147"/>
      <c r="AN190" s="147"/>
      <c r="AO190" s="147"/>
      <c r="AP190" s="147"/>
      <c r="AQ190" s="147"/>
    </row>
    <row r="191" spans="1:43">
      <c r="A191" s="160" t="str">
        <f ca="1">IFERROR(__xludf.DUMMYFUNCTION("""COMPUTED_VALUE"""),"247389")</f>
        <v>247389</v>
      </c>
      <c r="B191" s="3" t="str">
        <f ca="1">IFERROR(__xludf.DUMMYFUNCTION("""COMPUTED_VALUE"""),"ĐINH TRƯƠNG THANH TUYỀN")</f>
        <v>ĐINH TRƯƠNG THANH TUYỀN</v>
      </c>
      <c r="C191" s="160" t="str">
        <f ca="1">IFERROR(__xludf.DUMMYFUNCTION("""COMPUTED_VALUE"""),"EL020")</f>
        <v>EL020</v>
      </c>
      <c r="D191" s="160" t="str">
        <f ca="1">IFERROR(__xludf.DUMMYFUNCTION("""COMPUTED_VALUE"""),"Qui Em")</f>
        <v>Qui Em</v>
      </c>
      <c r="E191" s="3" t="str">
        <f ca="1">IFERROR(__xludf.DUMMYFUNCTION("""COMPUTED_VALUE"""),"Communication 1")</f>
        <v>Communication 1</v>
      </c>
      <c r="F191" s="3" t="str">
        <f ca="1">IFERROR(__xludf.DUMMYFUNCTION("""COMPUTED_VALUE"""),"Beginner")</f>
        <v>Beginner</v>
      </c>
      <c r="G191" s="3" t="str">
        <f ca="1">IFERROR(__xludf.DUMMYFUNCTION("""COMPUTED_VALUE"""),"Beginner 2")</f>
        <v>Beginner 2</v>
      </c>
      <c r="H191" s="156">
        <f ca="1">IFERROR(__xludf.DUMMYFUNCTION("""COMPUTED_VALUE"""),45638.4166666666)</f>
        <v>45638.416666666599</v>
      </c>
      <c r="I191" s="156">
        <f ca="1">IFERROR(__xludf.DUMMYFUNCTION("""COMPUTED_VALUE"""),45638.4166666666)</f>
        <v>45638.416666666599</v>
      </c>
      <c r="J191" s="3">
        <f ca="1">IFERROR(__xludf.DUMMYFUNCTION("""COMPUTED_VALUE"""),1)</f>
        <v>1</v>
      </c>
      <c r="K191" s="3">
        <f ca="1">IFERROR(__xludf.DUMMYFUNCTION("""COMPUTED_VALUE"""),1.5)</f>
        <v>1.5</v>
      </c>
      <c r="L191" s="3" t="str">
        <f ca="1">IFERROR(__xludf.DUMMYFUNCTION("""COMPUTED_VALUE"""),"QC")</f>
        <v>QC</v>
      </c>
      <c r="M191" s="3" t="str">
        <f ca="1">IFERROR(__xludf.DUMMYFUNCTION("""COMPUTED_VALUE"""),"LBU")</f>
        <v>LBU</v>
      </c>
      <c r="N191" s="157">
        <f ca="1">IFERROR(__xludf.DUMMYFUNCTION("""COMPUTED_VALUE"""),1)</f>
        <v>1</v>
      </c>
      <c r="O191" s="157">
        <f ca="1">IFERROR(__xludf.DUMMYFUNCTION("""COMPUTED_VALUE"""),1.5)</f>
        <v>1.5</v>
      </c>
      <c r="P191" s="157"/>
      <c r="Q191" s="3">
        <f t="shared" ca="1" si="0"/>
        <v>190</v>
      </c>
      <c r="R191" s="148" t="e">
        <f ca="1"/>
        <v>#NAME?</v>
      </c>
      <c r="S191" s="147" t="e">
        <f t="shared" ca="1" si="1"/>
        <v>#NAME?</v>
      </c>
      <c r="T191" s="147" t="e">
        <f t="shared" ca="1" si="2"/>
        <v>#NAME?</v>
      </c>
      <c r="U191" s="147" t="e">
        <f t="shared" ca="1" si="3"/>
        <v>#NAME?</v>
      </c>
      <c r="X191" s="147"/>
      <c r="Y191" s="147"/>
      <c r="Z191" s="147"/>
      <c r="AA191" s="147"/>
      <c r="AB191" s="147"/>
      <c r="AC191" s="147"/>
      <c r="AD191" s="147"/>
      <c r="AE191" s="147"/>
      <c r="AF191" s="147"/>
      <c r="AG191" s="147"/>
      <c r="AH191" s="147"/>
      <c r="AI191" s="147"/>
      <c r="AJ191" s="147"/>
      <c r="AK191" s="147"/>
      <c r="AL191" s="147"/>
      <c r="AM191" s="147"/>
      <c r="AN191" s="147"/>
      <c r="AO191" s="147"/>
      <c r="AP191" s="147"/>
      <c r="AQ191" s="147"/>
    </row>
    <row r="192" spans="1:43">
      <c r="A192" s="160" t="str">
        <f ca="1">IFERROR(__xludf.DUMMYFUNCTION("""COMPUTED_VALUE"""),"227183")</f>
        <v>227183</v>
      </c>
      <c r="B192" s="3" t="str">
        <f ca="1">IFERROR(__xludf.DUMMYFUNCTION("""COMPUTED_VALUE"""),"ĐỖ VŨ GIA LONG")</f>
        <v>ĐỖ VŨ GIA LONG</v>
      </c>
      <c r="C192" s="160" t="str">
        <f ca="1">IFERROR(__xludf.DUMMYFUNCTION("""COMPUTED_VALUE"""),"EL020")</f>
        <v>EL020</v>
      </c>
      <c r="D192" s="160" t="str">
        <f ca="1">IFERROR(__xludf.DUMMYFUNCTION("""COMPUTED_VALUE"""),"Qui Em")</f>
        <v>Qui Em</v>
      </c>
      <c r="E192" s="3" t="str">
        <f ca="1">IFERROR(__xludf.DUMMYFUNCTION("""COMPUTED_VALUE"""),"Communication 1")</f>
        <v>Communication 1</v>
      </c>
      <c r="F192" s="3" t="str">
        <f ca="1">IFERROR(__xludf.DUMMYFUNCTION("""COMPUTED_VALUE"""),"Beginner")</f>
        <v>Beginner</v>
      </c>
      <c r="G192" s="3" t="str">
        <f ca="1">IFERROR(__xludf.DUMMYFUNCTION("""COMPUTED_VALUE"""),"Pre-Intermediate 2")</f>
        <v>Pre-Intermediate 2</v>
      </c>
      <c r="H192" s="156">
        <f ca="1">IFERROR(__xludf.DUMMYFUNCTION("""COMPUTED_VALUE"""),45638.4166666666)</f>
        <v>45638.416666666599</v>
      </c>
      <c r="I192" s="156">
        <f ca="1">IFERROR(__xludf.DUMMYFUNCTION("""COMPUTED_VALUE"""),45638.4166666666)</f>
        <v>45638.416666666599</v>
      </c>
      <c r="J192" s="3">
        <f ca="1">IFERROR(__xludf.DUMMYFUNCTION("""COMPUTED_VALUE"""),1)</f>
        <v>1</v>
      </c>
      <c r="K192" s="3">
        <f ca="1">IFERROR(__xludf.DUMMYFUNCTION("""COMPUTED_VALUE"""),3.5)</f>
        <v>3.5</v>
      </c>
      <c r="L192" s="3" t="str">
        <f ca="1">IFERROR(__xludf.DUMMYFUNCTION("""COMPUTED_VALUE"""),"DEV")</f>
        <v>DEV</v>
      </c>
      <c r="M192" s="3" t="str">
        <f ca="1">IFERROR(__xludf.DUMMYFUNCTION("""COMPUTED_VALUE"""),"TBU")</f>
        <v>TBU</v>
      </c>
      <c r="N192" s="157">
        <f ca="1">IFERROR(__xludf.DUMMYFUNCTION("""COMPUTED_VALUE"""),1)</f>
        <v>1</v>
      </c>
      <c r="O192" s="157">
        <f ca="1">IFERROR(__xludf.DUMMYFUNCTION("""COMPUTED_VALUE"""),3.5)</f>
        <v>3.5</v>
      </c>
      <c r="P192" s="157"/>
      <c r="Q192" s="3">
        <f t="shared" ca="1" si="0"/>
        <v>191</v>
      </c>
      <c r="R192" s="148" t="e">
        <f ca="1"/>
        <v>#NAME?</v>
      </c>
      <c r="S192" s="147" t="e">
        <f t="shared" ca="1" si="1"/>
        <v>#NAME?</v>
      </c>
      <c r="T192" s="147" t="e">
        <f t="shared" ca="1" si="2"/>
        <v>#NAME?</v>
      </c>
      <c r="U192" s="147" t="e">
        <f t="shared" ca="1" si="3"/>
        <v>#NAME?</v>
      </c>
      <c r="X192" s="147"/>
      <c r="Y192" s="147"/>
      <c r="Z192" s="147"/>
      <c r="AA192" s="147"/>
      <c r="AB192" s="147"/>
      <c r="AC192" s="147"/>
      <c r="AD192" s="147"/>
      <c r="AE192" s="147"/>
      <c r="AF192" s="147"/>
      <c r="AG192" s="147"/>
      <c r="AH192" s="147"/>
      <c r="AI192" s="147"/>
      <c r="AJ192" s="147"/>
      <c r="AK192" s="147"/>
      <c r="AL192" s="147"/>
      <c r="AM192" s="147"/>
      <c r="AN192" s="147"/>
      <c r="AO192" s="147"/>
      <c r="AP192" s="147"/>
      <c r="AQ192" s="147"/>
    </row>
    <row r="193" spans="1:43">
      <c r="A193" s="160" t="str">
        <f ca="1">IFERROR(__xludf.DUMMYFUNCTION("""COMPUTED_VALUE"""),"247390")</f>
        <v>247390</v>
      </c>
      <c r="B193" s="3" t="str">
        <f ca="1">IFERROR(__xludf.DUMMYFUNCTION("""COMPUTED_VALUE"""),"ĐOÀN KHÁNH NGUYÊN")</f>
        <v>ĐOÀN KHÁNH NGUYÊN</v>
      </c>
      <c r="C193" s="160" t="str">
        <f ca="1">IFERROR(__xludf.DUMMYFUNCTION("""COMPUTED_VALUE"""),"EL020")</f>
        <v>EL020</v>
      </c>
      <c r="D193" s="160" t="str">
        <f ca="1">IFERROR(__xludf.DUMMYFUNCTION("""COMPUTED_VALUE"""),"Qui Em")</f>
        <v>Qui Em</v>
      </c>
      <c r="E193" s="3" t="str">
        <f ca="1">IFERROR(__xludf.DUMMYFUNCTION("""COMPUTED_VALUE"""),"Communication 1")</f>
        <v>Communication 1</v>
      </c>
      <c r="F193" s="3" t="str">
        <f ca="1">IFERROR(__xludf.DUMMYFUNCTION("""COMPUTED_VALUE"""),"Beginner")</f>
        <v>Beginner</v>
      </c>
      <c r="G193" s="3" t="str">
        <f ca="1">IFERROR(__xludf.DUMMYFUNCTION("""COMPUTED_VALUE"""),"Pre-Intermediate 2")</f>
        <v>Pre-Intermediate 2</v>
      </c>
      <c r="H193" s="156">
        <f ca="1">IFERROR(__xludf.DUMMYFUNCTION("""COMPUTED_VALUE"""),45638.4166666666)</f>
        <v>45638.416666666599</v>
      </c>
      <c r="I193" s="156">
        <f ca="1">IFERROR(__xludf.DUMMYFUNCTION("""COMPUTED_VALUE"""),45638.4166666666)</f>
        <v>45638.416666666599</v>
      </c>
      <c r="J193" s="3">
        <f ca="1">IFERROR(__xludf.DUMMYFUNCTION("""COMPUTED_VALUE"""),1)</f>
        <v>1</v>
      </c>
      <c r="K193" s="3">
        <f ca="1">IFERROR(__xludf.DUMMYFUNCTION("""COMPUTED_VALUE"""),3.5)</f>
        <v>3.5</v>
      </c>
      <c r="L193" s="3" t="str">
        <f ca="1">IFERROR(__xludf.DUMMYFUNCTION("""COMPUTED_VALUE"""),"QC")</f>
        <v>QC</v>
      </c>
      <c r="M193" s="3" t="str">
        <f ca="1">IFERROR(__xludf.DUMMYFUNCTION("""COMPUTED_VALUE"""),"LBU")</f>
        <v>LBU</v>
      </c>
      <c r="N193" s="157">
        <f ca="1">IFERROR(__xludf.DUMMYFUNCTION("""COMPUTED_VALUE"""),1)</f>
        <v>1</v>
      </c>
      <c r="O193" s="157">
        <f ca="1">IFERROR(__xludf.DUMMYFUNCTION("""COMPUTED_VALUE"""),3.5)</f>
        <v>3.5</v>
      </c>
      <c r="P193" s="157"/>
      <c r="Q193" s="3">
        <f t="shared" ca="1" si="0"/>
        <v>192</v>
      </c>
      <c r="R193" s="148" t="e">
        <f ca="1"/>
        <v>#NAME?</v>
      </c>
      <c r="S193" s="147" t="e">
        <f t="shared" ca="1" si="1"/>
        <v>#NAME?</v>
      </c>
      <c r="T193" s="147" t="e">
        <f t="shared" ca="1" si="2"/>
        <v>#NAME?</v>
      </c>
      <c r="U193" s="147" t="e">
        <f t="shared" ca="1" si="3"/>
        <v>#NAME?</v>
      </c>
      <c r="X193" s="147"/>
      <c r="Y193" s="147"/>
      <c r="Z193" s="147"/>
      <c r="AA193" s="147"/>
      <c r="AB193" s="147"/>
      <c r="AC193" s="147"/>
      <c r="AD193" s="147"/>
      <c r="AE193" s="147"/>
      <c r="AF193" s="147"/>
      <c r="AG193" s="147"/>
      <c r="AH193" s="147"/>
      <c r="AI193" s="147"/>
      <c r="AJ193" s="147"/>
      <c r="AK193" s="147"/>
      <c r="AL193" s="147"/>
      <c r="AM193" s="147"/>
      <c r="AN193" s="147"/>
      <c r="AO193" s="147"/>
      <c r="AP193" s="147"/>
      <c r="AQ193" s="147"/>
    </row>
    <row r="194" spans="1:43">
      <c r="A194" s="160" t="str">
        <f ca="1">IFERROR(__xludf.DUMMYFUNCTION("""COMPUTED_VALUE"""),"213954")</f>
        <v>213954</v>
      </c>
      <c r="B194" s="3" t="str">
        <f ca="1">IFERROR(__xludf.DUMMYFUNCTION("""COMPUTED_VALUE"""),"ĐOÀN QUANG TUẤN")</f>
        <v>ĐOÀN QUANG TUẤN</v>
      </c>
      <c r="C194" s="160" t="str">
        <f ca="1">IFERROR(__xludf.DUMMYFUNCTION("""COMPUTED_VALUE"""),"EL020")</f>
        <v>EL020</v>
      </c>
      <c r="D194" s="160" t="str">
        <f ca="1">IFERROR(__xludf.DUMMYFUNCTION("""COMPUTED_VALUE"""),"Qui Em")</f>
        <v>Qui Em</v>
      </c>
      <c r="E194" s="3" t="str">
        <f ca="1">IFERROR(__xludf.DUMMYFUNCTION("""COMPUTED_VALUE"""),"Communication 1")</f>
        <v>Communication 1</v>
      </c>
      <c r="F194" s="3" t="str">
        <f ca="1">IFERROR(__xludf.DUMMYFUNCTION("""COMPUTED_VALUE"""),"Beginner")</f>
        <v>Beginner</v>
      </c>
      <c r="G194" s="3" t="str">
        <f ca="1">IFERROR(__xludf.DUMMYFUNCTION("""COMPUTED_VALUE"""),"Pre-Intermediate 1")</f>
        <v>Pre-Intermediate 1</v>
      </c>
      <c r="H194" s="156">
        <f ca="1">IFERROR(__xludf.DUMMYFUNCTION("""COMPUTED_VALUE"""),45638.4166666666)</f>
        <v>45638.416666666599</v>
      </c>
      <c r="I194" s="156">
        <f ca="1">IFERROR(__xludf.DUMMYFUNCTION("""COMPUTED_VALUE"""),45638.4166666666)</f>
        <v>45638.416666666599</v>
      </c>
      <c r="J194" s="3">
        <f ca="1">IFERROR(__xludf.DUMMYFUNCTION("""COMPUTED_VALUE"""),1)</f>
        <v>1</v>
      </c>
      <c r="K194" s="3">
        <f ca="1">IFERROR(__xludf.DUMMYFUNCTION("""COMPUTED_VALUE"""),3)</f>
        <v>3</v>
      </c>
      <c r="L194" s="3" t="str">
        <f ca="1">IFERROR(__xludf.DUMMYFUNCTION("""COMPUTED_VALUE"""),"DEV")</f>
        <v>DEV</v>
      </c>
      <c r="M194" s="3" t="str">
        <f ca="1">IFERROR(__xludf.DUMMYFUNCTION("""COMPUTED_VALUE"""),"LBU")</f>
        <v>LBU</v>
      </c>
      <c r="N194" s="157">
        <f ca="1">IFERROR(__xludf.DUMMYFUNCTION("""COMPUTED_VALUE"""),1)</f>
        <v>1</v>
      </c>
      <c r="O194" s="157">
        <f ca="1">IFERROR(__xludf.DUMMYFUNCTION("""COMPUTED_VALUE"""),3)</f>
        <v>3</v>
      </c>
      <c r="P194" s="157"/>
      <c r="Q194" s="3">
        <f t="shared" ca="1" si="0"/>
        <v>193</v>
      </c>
      <c r="R194" s="148" t="e">
        <f ca="1"/>
        <v>#NAME?</v>
      </c>
      <c r="S194" s="147" t="e">
        <f t="shared" ca="1" si="1"/>
        <v>#NAME?</v>
      </c>
      <c r="T194" s="147" t="e">
        <f t="shared" ca="1" si="2"/>
        <v>#NAME?</v>
      </c>
      <c r="U194" s="147" t="e">
        <f t="shared" ca="1" si="3"/>
        <v>#NAME?</v>
      </c>
      <c r="X194" s="147"/>
      <c r="Y194" s="147"/>
      <c r="Z194" s="147"/>
      <c r="AA194" s="147"/>
      <c r="AB194" s="147"/>
      <c r="AC194" s="147"/>
      <c r="AD194" s="147"/>
      <c r="AE194" s="147"/>
      <c r="AF194" s="147"/>
      <c r="AG194" s="147"/>
      <c r="AH194" s="147"/>
      <c r="AI194" s="147"/>
      <c r="AJ194" s="147"/>
      <c r="AK194" s="147"/>
      <c r="AL194" s="147"/>
      <c r="AM194" s="147"/>
      <c r="AN194" s="147"/>
      <c r="AO194" s="147"/>
      <c r="AP194" s="147"/>
      <c r="AQ194" s="147"/>
    </row>
    <row r="195" spans="1:43">
      <c r="A195" s="160" t="str">
        <f ca="1">IFERROR(__xludf.DUMMYFUNCTION("""COMPUTED_VALUE"""),"193579")</f>
        <v>193579</v>
      </c>
      <c r="B195" s="3" t="str">
        <f ca="1">IFERROR(__xludf.DUMMYFUNCTION("""COMPUTED_VALUE"""),"ĐƯỜNG QUANG HUY")</f>
        <v>ĐƯỜNG QUANG HUY</v>
      </c>
      <c r="C195" s="160" t="str">
        <f ca="1">IFERROR(__xludf.DUMMYFUNCTION("""COMPUTED_VALUE"""),"EL020")</f>
        <v>EL020</v>
      </c>
      <c r="D195" s="160" t="str">
        <f ca="1">IFERROR(__xludf.DUMMYFUNCTION("""COMPUTED_VALUE"""),"Qui Em")</f>
        <v>Qui Em</v>
      </c>
      <c r="E195" s="3" t="str">
        <f ca="1">IFERROR(__xludf.DUMMYFUNCTION("""COMPUTED_VALUE"""),"Communication 1")</f>
        <v>Communication 1</v>
      </c>
      <c r="F195" s="3" t="str">
        <f ca="1">IFERROR(__xludf.DUMMYFUNCTION("""COMPUTED_VALUE"""),"Intermediate")</f>
        <v>Intermediate</v>
      </c>
      <c r="G195" s="3" t="str">
        <f ca="1">IFERROR(__xludf.DUMMYFUNCTION("""COMPUTED_VALUE"""),"Intermediate")</f>
        <v>Intermediate</v>
      </c>
      <c r="H195" s="156">
        <f ca="1">IFERROR(__xludf.DUMMYFUNCTION("""COMPUTED_VALUE"""),45638.4166666666)</f>
        <v>45638.416666666599</v>
      </c>
      <c r="I195" s="156">
        <f ca="1">IFERROR(__xludf.DUMMYFUNCTION("""COMPUTED_VALUE"""),45638.4166666666)</f>
        <v>45638.416666666599</v>
      </c>
      <c r="J195" s="3">
        <f ca="1">IFERROR(__xludf.DUMMYFUNCTION("""COMPUTED_VALUE"""),4.5)</f>
        <v>4.5</v>
      </c>
      <c r="K195" s="3">
        <f ca="1">IFERROR(__xludf.DUMMYFUNCTION("""COMPUTED_VALUE"""),4.5)</f>
        <v>4.5</v>
      </c>
      <c r="L195" s="3" t="str">
        <f ca="1">IFERROR(__xludf.DUMMYFUNCTION("""COMPUTED_VALUE"""),"DEV")</f>
        <v>DEV</v>
      </c>
      <c r="M195" s="3" t="str">
        <f ca="1">IFERROR(__xludf.DUMMYFUNCTION("""COMPUTED_VALUE"""),"TBU")</f>
        <v>TBU</v>
      </c>
      <c r="N195" s="157">
        <f ca="1">IFERROR(__xludf.DUMMYFUNCTION("""COMPUTED_VALUE"""),4.5)</f>
        <v>4.5</v>
      </c>
      <c r="O195" s="157">
        <f ca="1">IFERROR(__xludf.DUMMYFUNCTION("""COMPUTED_VALUE"""),4.5)</f>
        <v>4.5</v>
      </c>
      <c r="P195" s="157"/>
      <c r="Q195" s="3">
        <f t="shared" ca="1" si="0"/>
        <v>194</v>
      </c>
      <c r="R195" s="148" t="e">
        <f ca="1"/>
        <v>#NAME?</v>
      </c>
      <c r="S195" s="147" t="e">
        <f t="shared" ca="1" si="1"/>
        <v>#NAME?</v>
      </c>
      <c r="T195" s="147" t="e">
        <f t="shared" ca="1" si="2"/>
        <v>#NAME?</v>
      </c>
      <c r="U195" s="147" t="e">
        <f t="shared" ca="1" si="3"/>
        <v>#NAME?</v>
      </c>
      <c r="X195" s="147"/>
      <c r="Y195" s="147"/>
      <c r="Z195" s="147"/>
      <c r="AA195" s="147"/>
      <c r="AB195" s="147"/>
      <c r="AC195" s="147"/>
      <c r="AD195" s="147"/>
      <c r="AE195" s="147"/>
      <c r="AF195" s="147"/>
      <c r="AG195" s="147"/>
      <c r="AH195" s="147"/>
      <c r="AI195" s="147"/>
      <c r="AJ195" s="147"/>
      <c r="AK195" s="147"/>
      <c r="AL195" s="147"/>
      <c r="AM195" s="147"/>
      <c r="AN195" s="147"/>
      <c r="AO195" s="147"/>
      <c r="AP195" s="147"/>
      <c r="AQ195" s="147"/>
    </row>
    <row r="196" spans="1:43">
      <c r="A196" s="160" t="str">
        <f ca="1">IFERROR(__xludf.DUMMYFUNCTION("""COMPUTED_VALUE"""),"227112")</f>
        <v>227112</v>
      </c>
      <c r="B196" s="3" t="str">
        <f ca="1">IFERROR(__xludf.DUMMYFUNCTION("""COMPUTED_VALUE"""),"TRẦN ĐỨC NAM")</f>
        <v>TRẦN ĐỨC NAM</v>
      </c>
      <c r="C196" s="160" t="str">
        <f ca="1">IFERROR(__xludf.DUMMYFUNCTION("""COMPUTED_VALUE"""),"EL020")</f>
        <v>EL020</v>
      </c>
      <c r="D196" s="160" t="str">
        <f ca="1">IFERROR(__xludf.DUMMYFUNCTION("""COMPUTED_VALUE"""),"Qui Em")</f>
        <v>Qui Em</v>
      </c>
      <c r="E196" s="3" t="str">
        <f ca="1">IFERROR(__xludf.DUMMYFUNCTION("""COMPUTED_VALUE"""),"Communication 1")</f>
        <v>Communication 1</v>
      </c>
      <c r="F196" s="3" t="str">
        <f ca="1">IFERROR(__xludf.DUMMYFUNCTION("""COMPUTED_VALUE"""),"Beginner")</f>
        <v>Beginner</v>
      </c>
      <c r="G196" s="3" t="str">
        <f ca="1">IFERROR(__xludf.DUMMYFUNCTION("""COMPUTED_VALUE"""),"Pre-Intermediate 2")</f>
        <v>Pre-Intermediate 2</v>
      </c>
      <c r="H196" s="156">
        <f ca="1">IFERROR(__xludf.DUMMYFUNCTION("""COMPUTED_VALUE"""),45638.4166666666)</f>
        <v>45638.416666666599</v>
      </c>
      <c r="I196" s="156">
        <f ca="1">IFERROR(__xludf.DUMMYFUNCTION("""COMPUTED_VALUE"""),45638.4166666666)</f>
        <v>45638.416666666599</v>
      </c>
      <c r="J196" s="3">
        <f ca="1">IFERROR(__xludf.DUMMYFUNCTION("""COMPUTED_VALUE"""),1)</f>
        <v>1</v>
      </c>
      <c r="K196" s="3">
        <f ca="1">IFERROR(__xludf.DUMMYFUNCTION("""COMPUTED_VALUE"""),3.5)</f>
        <v>3.5</v>
      </c>
      <c r="L196" s="3" t="str">
        <f ca="1">IFERROR(__xludf.DUMMYFUNCTION("""COMPUTED_VALUE"""),"DEV")</f>
        <v>DEV</v>
      </c>
      <c r="M196" s="3" t="str">
        <f ca="1">IFERROR(__xludf.DUMMYFUNCTION("""COMPUTED_VALUE"""),"CHORUS")</f>
        <v>CHORUS</v>
      </c>
      <c r="N196" s="157">
        <f ca="1">IFERROR(__xludf.DUMMYFUNCTION("""COMPUTED_VALUE"""),1)</f>
        <v>1</v>
      </c>
      <c r="O196" s="157">
        <f ca="1">IFERROR(__xludf.DUMMYFUNCTION("""COMPUTED_VALUE"""),3.5)</f>
        <v>3.5</v>
      </c>
      <c r="P196" s="157"/>
      <c r="Q196" s="3">
        <f t="shared" ca="1" si="0"/>
        <v>195</v>
      </c>
      <c r="R196" s="148" t="e">
        <f ca="1"/>
        <v>#NAME?</v>
      </c>
      <c r="S196" s="147" t="e">
        <f t="shared" ca="1" si="1"/>
        <v>#NAME?</v>
      </c>
      <c r="T196" s="147" t="e">
        <f t="shared" ca="1" si="2"/>
        <v>#NAME?</v>
      </c>
      <c r="U196" s="147" t="e">
        <f t="shared" ca="1" si="3"/>
        <v>#NAME?</v>
      </c>
      <c r="X196" s="147"/>
      <c r="Y196" s="147"/>
      <c r="Z196" s="147"/>
      <c r="AA196" s="147"/>
      <c r="AB196" s="147"/>
      <c r="AC196" s="147"/>
      <c r="AD196" s="147"/>
      <c r="AE196" s="147"/>
      <c r="AF196" s="147"/>
      <c r="AG196" s="147"/>
      <c r="AH196" s="147"/>
      <c r="AI196" s="147"/>
      <c r="AJ196" s="147"/>
      <c r="AK196" s="147"/>
      <c r="AL196" s="147"/>
      <c r="AM196" s="147"/>
      <c r="AN196" s="147"/>
      <c r="AO196" s="147"/>
      <c r="AP196" s="147"/>
      <c r="AQ196" s="147"/>
    </row>
    <row r="197" spans="1:43">
      <c r="A197" s="160" t="str">
        <f ca="1">IFERROR(__xludf.DUMMYFUNCTION("""COMPUTED_VALUE"""),"213891")</f>
        <v>213891</v>
      </c>
      <c r="B197" s="3" t="str">
        <f ca="1">IFERROR(__xludf.DUMMYFUNCTION("""COMPUTED_VALUE"""),"VÕ DUY KIỆT")</f>
        <v>VÕ DUY KIỆT</v>
      </c>
      <c r="C197" s="160" t="str">
        <f ca="1">IFERROR(__xludf.DUMMYFUNCTION("""COMPUTED_VALUE"""),"EL020")</f>
        <v>EL020</v>
      </c>
      <c r="D197" s="160" t="str">
        <f ca="1">IFERROR(__xludf.DUMMYFUNCTION("""COMPUTED_VALUE"""),"Qui Em")</f>
        <v>Qui Em</v>
      </c>
      <c r="E197" s="3" t="str">
        <f ca="1">IFERROR(__xludf.DUMMYFUNCTION("""COMPUTED_VALUE"""),"Communication 1")</f>
        <v>Communication 1</v>
      </c>
      <c r="F197" s="3" t="str">
        <f ca="1">IFERROR(__xludf.DUMMYFUNCTION("""COMPUTED_VALUE"""),"Beginner")</f>
        <v>Beginner</v>
      </c>
      <c r="G197" s="3" t="str">
        <f ca="1">IFERROR(__xludf.DUMMYFUNCTION("""COMPUTED_VALUE"""),"Pre-Intermediate 1")</f>
        <v>Pre-Intermediate 1</v>
      </c>
      <c r="H197" s="156">
        <f ca="1">IFERROR(__xludf.DUMMYFUNCTION("""COMPUTED_VALUE"""),45638.4166666666)</f>
        <v>45638.416666666599</v>
      </c>
      <c r="I197" s="156">
        <f ca="1">IFERROR(__xludf.DUMMYFUNCTION("""COMPUTED_VALUE"""),45638.4166666666)</f>
        <v>45638.416666666599</v>
      </c>
      <c r="J197" s="3">
        <f ca="1">IFERROR(__xludf.DUMMYFUNCTION("""COMPUTED_VALUE"""),1)</f>
        <v>1</v>
      </c>
      <c r="K197" s="3">
        <f ca="1">IFERROR(__xludf.DUMMYFUNCTION("""COMPUTED_VALUE"""),3)</f>
        <v>3</v>
      </c>
      <c r="L197" s="3" t="str">
        <f ca="1">IFERROR(__xludf.DUMMYFUNCTION("""COMPUTED_VALUE"""),"DEV")</f>
        <v>DEV</v>
      </c>
      <c r="M197" s="3" t="str">
        <f ca="1">IFERROR(__xludf.DUMMYFUNCTION("""COMPUTED_VALUE"""),"TBU")</f>
        <v>TBU</v>
      </c>
      <c r="N197" s="157">
        <f ca="1">IFERROR(__xludf.DUMMYFUNCTION("""COMPUTED_VALUE"""),1)</f>
        <v>1</v>
      </c>
      <c r="O197" s="157">
        <f ca="1">IFERROR(__xludf.DUMMYFUNCTION("""COMPUTED_VALUE"""),3)</f>
        <v>3</v>
      </c>
      <c r="P197" s="157"/>
      <c r="Q197" s="3">
        <f t="shared" ca="1" si="0"/>
        <v>196</v>
      </c>
      <c r="R197" s="148" t="e">
        <f ca="1"/>
        <v>#NAME?</v>
      </c>
      <c r="S197" s="147" t="e">
        <f t="shared" ca="1" si="1"/>
        <v>#NAME?</v>
      </c>
      <c r="T197" s="147" t="e">
        <f t="shared" ca="1" si="2"/>
        <v>#NAME?</v>
      </c>
      <c r="U197" s="147" t="e">
        <f t="shared" ca="1" si="3"/>
        <v>#NAME?</v>
      </c>
      <c r="X197" s="147"/>
      <c r="Y197" s="147"/>
      <c r="Z197" s="147"/>
      <c r="AA197" s="147"/>
      <c r="AB197" s="147"/>
      <c r="AC197" s="147"/>
      <c r="AD197" s="147"/>
      <c r="AE197" s="147"/>
      <c r="AF197" s="147"/>
      <c r="AG197" s="147"/>
      <c r="AH197" s="147"/>
      <c r="AI197" s="147"/>
      <c r="AJ197" s="147"/>
      <c r="AK197" s="147"/>
      <c r="AL197" s="147"/>
      <c r="AM197" s="147"/>
      <c r="AN197" s="147"/>
      <c r="AO197" s="147"/>
      <c r="AP197" s="147"/>
      <c r="AQ197" s="147"/>
    </row>
    <row r="198" spans="1:43">
      <c r="A198" s="155" t="str">
        <f ca="1">IFERROR(__xludf.DUMMYFUNCTION("""COMPUTED_VALUE"""),"213974")</f>
        <v>213974</v>
      </c>
      <c r="B198" s="154" t="str">
        <f ca="1">IFERROR(__xludf.DUMMYFUNCTION("""COMPUTED_VALUE"""),"NGUYỄN QUÍ EM")</f>
        <v>NGUYỄN QUÍ EM</v>
      </c>
      <c r="C198" s="155" t="str">
        <f ca="1">IFERROR(__xludf.DUMMYFUNCTION("""COMPUTED_VALUE"""),"EL020")</f>
        <v>EL020</v>
      </c>
      <c r="D198" s="155" t="str">
        <f ca="1">IFERROR(__xludf.DUMMYFUNCTION("""COMPUTED_VALUE"""),"Qui Em")</f>
        <v>Qui Em</v>
      </c>
      <c r="E198" s="154" t="str">
        <f ca="1">IFERROR(__xludf.DUMMYFUNCTION("""COMPUTED_VALUE"""),"Communication 2")</f>
        <v>Communication 2</v>
      </c>
      <c r="F198" s="3" t="str">
        <f ca="1">IFERROR(__xludf.DUMMYFUNCTION("""COMPUTED_VALUE"""),"Pre-Intermediate 2")</f>
        <v>Pre-Intermediate 2</v>
      </c>
      <c r="G198" s="3"/>
      <c r="H198" s="156">
        <f ca="1">IFERROR(__xludf.DUMMYFUNCTION("""COMPUTED_VALUE"""),45841.5833333333)</f>
        <v>45841.583333333299</v>
      </c>
      <c r="I198" s="156">
        <f ca="1">IFERROR(__xludf.DUMMYFUNCTION("""COMPUTED_VALUE"""),45638.4166666666)</f>
        <v>45638.416666666599</v>
      </c>
      <c r="J198" s="3">
        <f ca="1">IFERROR(__xludf.DUMMYFUNCTION("""COMPUTED_VALUE"""),3.5)</f>
        <v>3.5</v>
      </c>
      <c r="K198" s="3" t="str">
        <f ca="1">IFERROR(__xludf.DUMMYFUNCTION("""COMPUTED_VALUE"""),"")</f>
        <v/>
      </c>
      <c r="L198" s="3" t="str">
        <f ca="1">IFERROR(__xludf.DUMMYFUNCTION("""COMPUTED_VALUE"""),"DEV")</f>
        <v>DEV</v>
      </c>
      <c r="M198" s="3" t="str">
        <f ca="1">IFERROR(__xludf.DUMMYFUNCTION("""COMPUTED_VALUE"""),"TBU")</f>
        <v>TBU</v>
      </c>
      <c r="N198" s="157">
        <f ca="1">IFERROR(__xludf.DUMMYFUNCTION("""COMPUTED_VALUE"""),1)</f>
        <v>1</v>
      </c>
      <c r="O198" s="157">
        <f ca="1">IFERROR(__xludf.DUMMYFUNCTION("""COMPUTED_VALUE"""),3.5)</f>
        <v>3.5</v>
      </c>
      <c r="P198" s="157"/>
      <c r="Q198" s="3">
        <f t="shared" ca="1" si="0"/>
        <v>197</v>
      </c>
      <c r="R198" s="148" t="e">
        <f ca="1"/>
        <v>#NAME?</v>
      </c>
      <c r="S198" s="147" t="e">
        <f t="shared" ca="1" si="1"/>
        <v>#NAME?</v>
      </c>
      <c r="T198" s="147" t="e">
        <f t="shared" ca="1" si="2"/>
        <v>#NAME?</v>
      </c>
      <c r="U198" s="147" t="e">
        <f t="shared" ca="1" si="3"/>
        <v>#NAME?</v>
      </c>
      <c r="X198" s="147"/>
      <c r="Y198" s="147"/>
      <c r="Z198" s="147"/>
      <c r="AA198" s="147"/>
      <c r="AB198" s="147"/>
      <c r="AC198" s="147"/>
      <c r="AD198" s="147"/>
      <c r="AE198" s="147"/>
      <c r="AF198" s="147"/>
      <c r="AG198" s="147"/>
      <c r="AH198" s="147"/>
      <c r="AI198" s="147"/>
      <c r="AJ198" s="147"/>
      <c r="AK198" s="147"/>
      <c r="AL198" s="147"/>
      <c r="AM198" s="147"/>
      <c r="AN198" s="147"/>
      <c r="AO198" s="147"/>
      <c r="AP198" s="147"/>
      <c r="AQ198" s="147"/>
    </row>
    <row r="199" spans="1:43">
      <c r="A199" s="160" t="str">
        <f ca="1">IFERROR(__xludf.DUMMYFUNCTION("""COMPUTED_VALUE"""),"247389")</f>
        <v>247389</v>
      </c>
      <c r="B199" s="3" t="str">
        <f ca="1">IFERROR(__xludf.DUMMYFUNCTION("""COMPUTED_VALUE"""),"ĐINH TRƯƠNG THANH TUYỀN")</f>
        <v>ĐINH TRƯƠNG THANH TUYỀN</v>
      </c>
      <c r="C199" s="160" t="str">
        <f ca="1">IFERROR(__xludf.DUMMYFUNCTION("""COMPUTED_VALUE"""),"EL020")</f>
        <v>EL020</v>
      </c>
      <c r="D199" s="160" t="str">
        <f ca="1">IFERROR(__xludf.DUMMYFUNCTION("""COMPUTED_VALUE"""),"Qui Em")</f>
        <v>Qui Em</v>
      </c>
      <c r="E199" s="3" t="str">
        <f ca="1">IFERROR(__xludf.DUMMYFUNCTION("""COMPUTED_VALUE"""),"Communication 2")</f>
        <v>Communication 2</v>
      </c>
      <c r="F199" s="3" t="str">
        <f ca="1">IFERROR(__xludf.DUMMYFUNCTION("""COMPUTED_VALUE"""),"Beginner 2")</f>
        <v>Beginner 2</v>
      </c>
      <c r="G199" s="3" t="str">
        <f ca="1">IFERROR(__xludf.DUMMYFUNCTION("""COMPUTED_VALUE"""),"Beginner 2")</f>
        <v>Beginner 2</v>
      </c>
      <c r="H199" s="156">
        <f ca="1">IFERROR(__xludf.DUMMYFUNCTION("""COMPUTED_VALUE"""),45841.5833333333)</f>
        <v>45841.583333333299</v>
      </c>
      <c r="I199" s="156">
        <f ca="1">IFERROR(__xludf.DUMMYFUNCTION("""COMPUTED_VALUE"""),45638.4166666666)</f>
        <v>45638.416666666599</v>
      </c>
      <c r="J199" s="3">
        <f ca="1">IFERROR(__xludf.DUMMYFUNCTION("""COMPUTED_VALUE"""),1.5)</f>
        <v>1.5</v>
      </c>
      <c r="K199" s="3">
        <f ca="1">IFERROR(__xludf.DUMMYFUNCTION("""COMPUTED_VALUE"""),1.5)</f>
        <v>1.5</v>
      </c>
      <c r="L199" s="3" t="str">
        <f ca="1">IFERROR(__xludf.DUMMYFUNCTION("""COMPUTED_VALUE"""),"QC")</f>
        <v>QC</v>
      </c>
      <c r="M199" s="3" t="str">
        <f ca="1">IFERROR(__xludf.DUMMYFUNCTION("""COMPUTED_VALUE"""),"LBU")</f>
        <v>LBU</v>
      </c>
      <c r="N199" s="157">
        <f ca="1">IFERROR(__xludf.DUMMYFUNCTION("""COMPUTED_VALUE"""),1)</f>
        <v>1</v>
      </c>
      <c r="O199" s="157">
        <f ca="1">IFERROR(__xludf.DUMMYFUNCTION("""COMPUTED_VALUE"""),1.5)</f>
        <v>1.5</v>
      </c>
      <c r="P199" s="157"/>
      <c r="Q199" s="3">
        <f t="shared" ca="1" si="0"/>
        <v>198</v>
      </c>
      <c r="R199" s="148" t="e">
        <f ca="1"/>
        <v>#NAME?</v>
      </c>
      <c r="S199" s="147" t="e">
        <f t="shared" ca="1" si="1"/>
        <v>#NAME?</v>
      </c>
      <c r="T199" s="147" t="e">
        <f t="shared" ca="1" si="2"/>
        <v>#NAME?</v>
      </c>
      <c r="U199" s="147" t="e">
        <f t="shared" ca="1" si="3"/>
        <v>#NAME?</v>
      </c>
      <c r="X199" s="147"/>
      <c r="Y199" s="147"/>
      <c r="Z199" s="147"/>
      <c r="AA199" s="147"/>
      <c r="AB199" s="147"/>
      <c r="AC199" s="147"/>
      <c r="AD199" s="147"/>
      <c r="AE199" s="147"/>
      <c r="AF199" s="147"/>
      <c r="AG199" s="147"/>
      <c r="AH199" s="147"/>
      <c r="AI199" s="147"/>
      <c r="AJ199" s="147"/>
      <c r="AK199" s="147"/>
      <c r="AL199" s="147"/>
      <c r="AM199" s="147"/>
      <c r="AN199" s="147"/>
      <c r="AO199" s="147"/>
      <c r="AP199" s="147"/>
      <c r="AQ199" s="147"/>
    </row>
    <row r="200" spans="1:43">
      <c r="A200" s="160" t="str">
        <f ca="1">IFERROR(__xludf.DUMMYFUNCTION("""COMPUTED_VALUE"""),"227183")</f>
        <v>227183</v>
      </c>
      <c r="B200" s="3" t="str">
        <f ca="1">IFERROR(__xludf.DUMMYFUNCTION("""COMPUTED_VALUE"""),"ĐỖ VŨ GIA LONG")</f>
        <v>ĐỖ VŨ GIA LONG</v>
      </c>
      <c r="C200" s="160" t="str">
        <f ca="1">IFERROR(__xludf.DUMMYFUNCTION("""COMPUTED_VALUE"""),"EL020")</f>
        <v>EL020</v>
      </c>
      <c r="D200" s="160" t="str">
        <f ca="1">IFERROR(__xludf.DUMMYFUNCTION("""COMPUTED_VALUE"""),"Qui Em")</f>
        <v>Qui Em</v>
      </c>
      <c r="E200" s="3" t="str">
        <f ca="1">IFERROR(__xludf.DUMMYFUNCTION("""COMPUTED_VALUE"""),"Communication 2")</f>
        <v>Communication 2</v>
      </c>
      <c r="F200" s="3" t="str">
        <f ca="1">IFERROR(__xludf.DUMMYFUNCTION("""COMPUTED_VALUE"""),"Pre-Intermediate 2")</f>
        <v>Pre-Intermediate 2</v>
      </c>
      <c r="G200" s="3"/>
      <c r="H200" s="156">
        <f ca="1">IFERROR(__xludf.DUMMYFUNCTION("""COMPUTED_VALUE"""),45841.5833333333)</f>
        <v>45841.583333333299</v>
      </c>
      <c r="I200" s="156">
        <f ca="1">IFERROR(__xludf.DUMMYFUNCTION("""COMPUTED_VALUE"""),45638.4166666666)</f>
        <v>45638.416666666599</v>
      </c>
      <c r="J200" s="3">
        <f ca="1">IFERROR(__xludf.DUMMYFUNCTION("""COMPUTED_VALUE"""),3.5)</f>
        <v>3.5</v>
      </c>
      <c r="K200" s="3" t="str">
        <f ca="1">IFERROR(__xludf.DUMMYFUNCTION("""COMPUTED_VALUE"""),"")</f>
        <v/>
      </c>
      <c r="L200" s="3" t="str">
        <f ca="1">IFERROR(__xludf.DUMMYFUNCTION("""COMPUTED_VALUE"""),"DEV")</f>
        <v>DEV</v>
      </c>
      <c r="M200" s="3" t="str">
        <f ca="1">IFERROR(__xludf.DUMMYFUNCTION("""COMPUTED_VALUE"""),"TBU")</f>
        <v>TBU</v>
      </c>
      <c r="N200" s="157">
        <f ca="1">IFERROR(__xludf.DUMMYFUNCTION("""COMPUTED_VALUE"""),1)</f>
        <v>1</v>
      </c>
      <c r="O200" s="157">
        <f ca="1">IFERROR(__xludf.DUMMYFUNCTION("""COMPUTED_VALUE"""),3.5)</f>
        <v>3.5</v>
      </c>
      <c r="P200" s="157"/>
      <c r="Q200" s="3">
        <f t="shared" ca="1" si="0"/>
        <v>199</v>
      </c>
      <c r="R200" s="148" t="e">
        <f ca="1"/>
        <v>#NAME?</v>
      </c>
      <c r="S200" s="147" t="e">
        <f t="shared" ca="1" si="1"/>
        <v>#NAME?</v>
      </c>
      <c r="T200" s="147" t="e">
        <f t="shared" ca="1" si="2"/>
        <v>#NAME?</v>
      </c>
      <c r="U200" s="147" t="e">
        <f t="shared" ca="1" si="3"/>
        <v>#NAME?</v>
      </c>
      <c r="X200" s="147"/>
      <c r="Y200" s="147"/>
      <c r="Z200" s="147"/>
      <c r="AA200" s="147"/>
      <c r="AB200" s="147"/>
      <c r="AC200" s="147"/>
      <c r="AD200" s="147"/>
      <c r="AE200" s="147"/>
      <c r="AF200" s="147"/>
      <c r="AG200" s="147"/>
      <c r="AH200" s="147"/>
      <c r="AI200" s="147"/>
      <c r="AJ200" s="147"/>
      <c r="AK200" s="147"/>
      <c r="AL200" s="147"/>
      <c r="AM200" s="147"/>
      <c r="AN200" s="147"/>
      <c r="AO200" s="147"/>
      <c r="AP200" s="147"/>
      <c r="AQ200" s="147"/>
    </row>
    <row r="201" spans="1:43">
      <c r="A201" s="160" t="str">
        <f ca="1">IFERROR(__xludf.DUMMYFUNCTION("""COMPUTED_VALUE"""),"247390")</f>
        <v>247390</v>
      </c>
      <c r="B201" s="3" t="str">
        <f ca="1">IFERROR(__xludf.DUMMYFUNCTION("""COMPUTED_VALUE"""),"ĐOÀN KHÁNH NGUYÊN")</f>
        <v>ĐOÀN KHÁNH NGUYÊN</v>
      </c>
      <c r="C201" s="160" t="str">
        <f ca="1">IFERROR(__xludf.DUMMYFUNCTION("""COMPUTED_VALUE"""),"EL020")</f>
        <v>EL020</v>
      </c>
      <c r="D201" s="160" t="str">
        <f ca="1">IFERROR(__xludf.DUMMYFUNCTION("""COMPUTED_VALUE"""),"Qui Em")</f>
        <v>Qui Em</v>
      </c>
      <c r="E201" s="3" t="str">
        <f ca="1">IFERROR(__xludf.DUMMYFUNCTION("""COMPUTED_VALUE"""),"Communication 2")</f>
        <v>Communication 2</v>
      </c>
      <c r="F201" s="3" t="str">
        <f ca="1">IFERROR(__xludf.DUMMYFUNCTION("""COMPUTED_VALUE"""),"Pre-Intermediate 2")</f>
        <v>Pre-Intermediate 2</v>
      </c>
      <c r="G201" s="3"/>
      <c r="H201" s="156">
        <f ca="1">IFERROR(__xludf.DUMMYFUNCTION("""COMPUTED_VALUE"""),45841.5833333333)</f>
        <v>45841.583333333299</v>
      </c>
      <c r="I201" s="156">
        <f ca="1">IFERROR(__xludf.DUMMYFUNCTION("""COMPUTED_VALUE"""),45638.4166666666)</f>
        <v>45638.416666666599</v>
      </c>
      <c r="J201" s="3">
        <f ca="1">IFERROR(__xludf.DUMMYFUNCTION("""COMPUTED_VALUE"""),3.5)</f>
        <v>3.5</v>
      </c>
      <c r="K201" s="3" t="str">
        <f ca="1">IFERROR(__xludf.DUMMYFUNCTION("""COMPUTED_VALUE"""),"")</f>
        <v/>
      </c>
      <c r="L201" s="3" t="str">
        <f ca="1">IFERROR(__xludf.DUMMYFUNCTION("""COMPUTED_VALUE"""),"QC")</f>
        <v>QC</v>
      </c>
      <c r="M201" s="3" t="str">
        <f ca="1">IFERROR(__xludf.DUMMYFUNCTION("""COMPUTED_VALUE"""),"LBU")</f>
        <v>LBU</v>
      </c>
      <c r="N201" s="157">
        <f ca="1">IFERROR(__xludf.DUMMYFUNCTION("""COMPUTED_VALUE"""),1)</f>
        <v>1</v>
      </c>
      <c r="O201" s="157">
        <f ca="1">IFERROR(__xludf.DUMMYFUNCTION("""COMPUTED_VALUE"""),3.5)</f>
        <v>3.5</v>
      </c>
      <c r="P201" s="157"/>
      <c r="Q201" s="3">
        <f t="shared" ca="1" si="0"/>
        <v>200</v>
      </c>
      <c r="R201" s="148" t="e">
        <f ca="1"/>
        <v>#NAME?</v>
      </c>
      <c r="S201" s="147" t="e">
        <f t="shared" ca="1" si="1"/>
        <v>#NAME?</v>
      </c>
      <c r="T201" s="147" t="e">
        <f t="shared" ca="1" si="2"/>
        <v>#NAME?</v>
      </c>
      <c r="U201" s="147" t="e">
        <f t="shared" ca="1" si="3"/>
        <v>#NAME?</v>
      </c>
      <c r="X201" s="147"/>
      <c r="Y201" s="147"/>
      <c r="Z201" s="147"/>
      <c r="AA201" s="147"/>
      <c r="AB201" s="147"/>
      <c r="AC201" s="147"/>
      <c r="AD201" s="147"/>
      <c r="AE201" s="147"/>
      <c r="AF201" s="147"/>
      <c r="AG201" s="147"/>
      <c r="AH201" s="147"/>
      <c r="AI201" s="147"/>
      <c r="AJ201" s="147"/>
      <c r="AK201" s="147"/>
      <c r="AL201" s="147"/>
      <c r="AM201" s="147"/>
      <c r="AN201" s="147"/>
      <c r="AO201" s="147"/>
      <c r="AP201" s="147"/>
      <c r="AQ201" s="147"/>
    </row>
    <row r="202" spans="1:43">
      <c r="A202" s="160" t="str">
        <f ca="1">IFERROR(__xludf.DUMMYFUNCTION("""COMPUTED_VALUE"""),"213891")</f>
        <v>213891</v>
      </c>
      <c r="B202" s="3" t="str">
        <f ca="1">IFERROR(__xludf.DUMMYFUNCTION("""COMPUTED_VALUE"""),"VÕ DUY KIỆT")</f>
        <v>VÕ DUY KIỆT</v>
      </c>
      <c r="C202" s="160" t="str">
        <f ca="1">IFERROR(__xludf.DUMMYFUNCTION("""COMPUTED_VALUE"""),"EL020")</f>
        <v>EL020</v>
      </c>
      <c r="D202" s="160" t="str">
        <f ca="1">IFERROR(__xludf.DUMMYFUNCTION("""COMPUTED_VALUE"""),"Qui Em")</f>
        <v>Qui Em</v>
      </c>
      <c r="E202" s="3" t="str">
        <f ca="1">IFERROR(__xludf.DUMMYFUNCTION("""COMPUTED_VALUE"""),"Communication 2")</f>
        <v>Communication 2</v>
      </c>
      <c r="F202" s="3" t="str">
        <f ca="1">IFERROR(__xludf.DUMMYFUNCTION("""COMPUTED_VALUE"""),"Pre-Intermediate 2")</f>
        <v>Pre-Intermediate 2</v>
      </c>
      <c r="G202" s="3"/>
      <c r="H202" s="156">
        <f ca="1">IFERROR(__xludf.DUMMYFUNCTION("""COMPUTED_VALUE"""),45841.5833333333)</f>
        <v>45841.583333333299</v>
      </c>
      <c r="I202" s="156">
        <f ca="1">IFERROR(__xludf.DUMMYFUNCTION("""COMPUTED_VALUE"""),45638.4166666666)</f>
        <v>45638.416666666599</v>
      </c>
      <c r="J202" s="3">
        <f ca="1">IFERROR(__xludf.DUMMYFUNCTION("""COMPUTED_VALUE"""),3.5)</f>
        <v>3.5</v>
      </c>
      <c r="K202" s="3" t="str">
        <f ca="1">IFERROR(__xludf.DUMMYFUNCTION("""COMPUTED_VALUE"""),"")</f>
        <v/>
      </c>
      <c r="L202" s="3" t="str">
        <f ca="1">IFERROR(__xludf.DUMMYFUNCTION("""COMPUTED_VALUE"""),"DEV")</f>
        <v>DEV</v>
      </c>
      <c r="M202" s="3" t="str">
        <f ca="1">IFERROR(__xludf.DUMMYFUNCTION("""COMPUTED_VALUE"""),"TBU")</f>
        <v>TBU</v>
      </c>
      <c r="N202" s="157">
        <f ca="1">IFERROR(__xludf.DUMMYFUNCTION("""COMPUTED_VALUE"""),1)</f>
        <v>1</v>
      </c>
      <c r="O202" s="157">
        <f ca="1">IFERROR(__xludf.DUMMYFUNCTION("""COMPUTED_VALUE"""),3)</f>
        <v>3</v>
      </c>
      <c r="P202" s="157"/>
      <c r="Q202" s="3">
        <f t="shared" ca="1" si="0"/>
        <v>201</v>
      </c>
      <c r="R202" s="148" t="e">
        <f ca="1"/>
        <v>#NAME?</v>
      </c>
      <c r="S202" s="147" t="e">
        <f t="shared" ca="1" si="1"/>
        <v>#NAME?</v>
      </c>
      <c r="T202" s="147" t="e">
        <f t="shared" ca="1" si="2"/>
        <v>#NAME?</v>
      </c>
      <c r="U202" s="147" t="e">
        <f t="shared" ca="1" si="3"/>
        <v>#NAME?</v>
      </c>
      <c r="X202" s="147"/>
      <c r="Y202" s="147"/>
      <c r="Z202" s="147"/>
      <c r="AA202" s="147"/>
      <c r="AB202" s="147"/>
      <c r="AC202" s="147"/>
      <c r="AD202" s="147"/>
      <c r="AE202" s="147"/>
      <c r="AF202" s="147"/>
      <c r="AG202" s="147"/>
      <c r="AH202" s="147"/>
      <c r="AI202" s="147"/>
      <c r="AJ202" s="147"/>
      <c r="AK202" s="147"/>
      <c r="AL202" s="147"/>
      <c r="AM202" s="147"/>
      <c r="AN202" s="147"/>
      <c r="AO202" s="147"/>
      <c r="AP202" s="147"/>
      <c r="AQ202" s="147"/>
    </row>
    <row r="203" spans="1:43">
      <c r="A203" s="155" t="str">
        <f ca="1">IFERROR(__xludf.DUMMYFUNCTION("""COMPUTED_VALUE"""),"247377")</f>
        <v>247377</v>
      </c>
      <c r="B203" s="154" t="str">
        <f ca="1">IFERROR(__xludf.DUMMYFUNCTION("""COMPUTED_VALUE"""),"TRẦN NHỰT TÂN")</f>
        <v>TRẦN NHỰT TÂN</v>
      </c>
      <c r="C203" s="155" t="str">
        <f ca="1">IFERROR(__xludf.DUMMYFUNCTION("""COMPUTED_VALUE"""),"EL021")</f>
        <v>EL021</v>
      </c>
      <c r="D203" s="155" t="str">
        <f ca="1">IFERROR(__xludf.DUMMYFUNCTION("""COMPUTED_VALUE"""),"Tan Tran")</f>
        <v>Tan Tran</v>
      </c>
      <c r="E203" s="154" t="str">
        <f ca="1">IFERROR(__xludf.DUMMYFUNCTION("""COMPUTED_VALUE"""),"Business English")</f>
        <v>Business English</v>
      </c>
      <c r="F203" s="3" t="str">
        <f ca="1">IFERROR(__xludf.DUMMYFUNCTION("""COMPUTED_VALUE"""),"Intermediate")</f>
        <v>Intermediate</v>
      </c>
      <c r="G203" s="3" t="str">
        <f ca="1">IFERROR(__xludf.DUMMYFUNCTION("""COMPUTED_VALUE"""),"Upper-Intermediate")</f>
        <v>Upper-Intermediate</v>
      </c>
      <c r="H203" s="156">
        <f ca="1">IFERROR(__xludf.DUMMYFUNCTION("""COMPUTED_VALUE"""),45713.5833333333)</f>
        <v>45713.583333333299</v>
      </c>
      <c r="I203" s="156">
        <f ca="1">IFERROR(__xludf.DUMMYFUNCTION("""COMPUTED_VALUE"""),45713.5833333333)</f>
        <v>45713.583333333299</v>
      </c>
      <c r="J203" s="3">
        <f ca="1">IFERROR(__xludf.DUMMYFUNCTION("""COMPUTED_VALUE"""),4.5)</f>
        <v>4.5</v>
      </c>
      <c r="K203" s="3">
        <f ca="1">IFERROR(__xludf.DUMMYFUNCTION("""COMPUTED_VALUE"""),6)</f>
        <v>6</v>
      </c>
      <c r="L203" s="3" t="str">
        <f ca="1">IFERROR(__xludf.DUMMYFUNCTION("""COMPUTED_VALUE"""),"Designer")</f>
        <v>Designer</v>
      </c>
      <c r="M203" s="3" t="str">
        <f ca="1">IFERROR(__xludf.DUMMYFUNCTION("""COMPUTED_VALUE"""),"LBU")</f>
        <v>LBU</v>
      </c>
      <c r="N203" s="157">
        <f ca="1">IFERROR(__xludf.DUMMYFUNCTION("""COMPUTED_VALUE"""),4.5)</f>
        <v>4.5</v>
      </c>
      <c r="O203" s="157">
        <f ca="1">IFERROR(__xludf.DUMMYFUNCTION("""COMPUTED_VALUE"""),6)</f>
        <v>6</v>
      </c>
      <c r="P203" s="157"/>
      <c r="Q203" s="3">
        <f t="shared" ca="1" si="0"/>
        <v>202</v>
      </c>
      <c r="R203" s="148" t="e">
        <f ca="1"/>
        <v>#NAME?</v>
      </c>
      <c r="S203" s="147" t="e">
        <f t="shared" ca="1" si="1"/>
        <v>#NAME?</v>
      </c>
      <c r="T203" s="147" t="e">
        <f t="shared" ca="1" si="2"/>
        <v>#NAME?</v>
      </c>
      <c r="U203" s="147" t="e">
        <f t="shared" ca="1" si="3"/>
        <v>#NAME?</v>
      </c>
      <c r="X203" s="147"/>
      <c r="Y203" s="147"/>
      <c r="Z203" s="147"/>
      <c r="AA203" s="147"/>
      <c r="AB203" s="147"/>
      <c r="AC203" s="147"/>
      <c r="AD203" s="147"/>
      <c r="AE203" s="147"/>
      <c r="AF203" s="147"/>
      <c r="AG203" s="147"/>
      <c r="AH203" s="147"/>
      <c r="AI203" s="147"/>
      <c r="AJ203" s="147"/>
      <c r="AK203" s="147"/>
      <c r="AL203" s="147"/>
      <c r="AM203" s="147"/>
      <c r="AN203" s="147"/>
      <c r="AO203" s="147"/>
      <c r="AP203" s="147"/>
      <c r="AQ203" s="147"/>
    </row>
    <row r="204" spans="1:43">
      <c r="A204" s="160" t="str">
        <f ca="1">IFERROR(__xludf.DUMMYFUNCTION("""COMPUTED_VALUE"""),"237056")</f>
        <v>237056</v>
      </c>
      <c r="B204" s="3" t="str">
        <f ca="1">IFERROR(__xludf.DUMMYFUNCTION("""COMPUTED_VALUE"""),"LÊ THỊ DIỄM QUYÊN")</f>
        <v>LÊ THỊ DIỄM QUYÊN</v>
      </c>
      <c r="C204" s="160" t="str">
        <f ca="1">IFERROR(__xludf.DUMMYFUNCTION("""COMPUTED_VALUE"""),"EL021")</f>
        <v>EL021</v>
      </c>
      <c r="D204" s="160" t="str">
        <f ca="1">IFERROR(__xludf.DUMMYFUNCTION("""COMPUTED_VALUE"""),"Tan Tran")</f>
        <v>Tan Tran</v>
      </c>
      <c r="E204" s="3" t="str">
        <f ca="1">IFERROR(__xludf.DUMMYFUNCTION("""COMPUTED_VALUE"""),"Business English")</f>
        <v>Business English</v>
      </c>
      <c r="F204" s="3" t="str">
        <f ca="1">IFERROR(__xludf.DUMMYFUNCTION("""COMPUTED_VALUE"""),"Intermediate")</f>
        <v>Intermediate</v>
      </c>
      <c r="G204" s="3" t="str">
        <f ca="1">IFERROR(__xludf.DUMMYFUNCTION("""COMPUTED_VALUE"""),"Upper-Intermediate")</f>
        <v>Upper-Intermediate</v>
      </c>
      <c r="H204" s="156">
        <f ca="1">IFERROR(__xludf.DUMMYFUNCTION("""COMPUTED_VALUE"""),45713.5833333333)</f>
        <v>45713.583333333299</v>
      </c>
      <c r="I204" s="156">
        <f ca="1">IFERROR(__xludf.DUMMYFUNCTION("""COMPUTED_VALUE"""),45713.5833333333)</f>
        <v>45713.583333333299</v>
      </c>
      <c r="J204" s="3">
        <f ca="1">IFERROR(__xludf.DUMMYFUNCTION("""COMPUTED_VALUE"""),4.5)</f>
        <v>4.5</v>
      </c>
      <c r="K204" s="3">
        <f ca="1">IFERROR(__xludf.DUMMYFUNCTION("""COMPUTED_VALUE"""),6)</f>
        <v>6</v>
      </c>
      <c r="L204" s="3" t="str">
        <f ca="1">IFERROR(__xludf.DUMMYFUNCTION("""COMPUTED_VALUE"""),"Designer")</f>
        <v>Designer</v>
      </c>
      <c r="M204" s="3" t="str">
        <f ca="1">IFERROR(__xludf.DUMMYFUNCTION("""COMPUTED_VALUE"""),"LBU")</f>
        <v>LBU</v>
      </c>
      <c r="N204" s="157">
        <f ca="1">IFERROR(__xludf.DUMMYFUNCTION("""COMPUTED_VALUE"""),4.5)</f>
        <v>4.5</v>
      </c>
      <c r="O204" s="157">
        <f ca="1">IFERROR(__xludf.DUMMYFUNCTION("""COMPUTED_VALUE"""),6)</f>
        <v>6</v>
      </c>
      <c r="P204" s="157"/>
      <c r="Q204" s="3">
        <f t="shared" ca="1" si="0"/>
        <v>203</v>
      </c>
      <c r="R204" s="148" t="e">
        <f ca="1"/>
        <v>#NAME?</v>
      </c>
      <c r="S204" s="147" t="e">
        <f t="shared" ca="1" si="1"/>
        <v>#NAME?</v>
      </c>
      <c r="T204" s="147" t="e">
        <f t="shared" ca="1" si="2"/>
        <v>#NAME?</v>
      </c>
      <c r="U204" s="147" t="e">
        <f t="shared" ca="1" si="3"/>
        <v>#NAME?</v>
      </c>
      <c r="X204" s="147"/>
      <c r="Y204" s="147"/>
      <c r="Z204" s="147"/>
      <c r="AA204" s="147"/>
      <c r="AB204" s="147"/>
      <c r="AC204" s="147"/>
      <c r="AD204" s="147"/>
      <c r="AE204" s="147"/>
      <c r="AF204" s="147"/>
      <c r="AG204" s="147"/>
      <c r="AH204" s="147"/>
      <c r="AI204" s="147"/>
      <c r="AJ204" s="147"/>
      <c r="AK204" s="147"/>
      <c r="AL204" s="147"/>
      <c r="AM204" s="147"/>
      <c r="AN204" s="147"/>
      <c r="AO204" s="147"/>
      <c r="AP204" s="147"/>
      <c r="AQ204" s="147"/>
    </row>
    <row r="205" spans="1:43">
      <c r="A205" s="160" t="str">
        <f ca="1">IFERROR(__xludf.DUMMYFUNCTION("""COMPUTED_VALUE"""),"242001")</f>
        <v>242001</v>
      </c>
      <c r="B205" s="3" t="str">
        <f ca="1">IFERROR(__xludf.DUMMYFUNCTION("""COMPUTED_VALUE"""),"NGUYỄN ĐẠT THỊNH")</f>
        <v>NGUYỄN ĐẠT THỊNH</v>
      </c>
      <c r="C205" s="160" t="str">
        <f ca="1">IFERROR(__xludf.DUMMYFUNCTION("""COMPUTED_VALUE"""),"EL021")</f>
        <v>EL021</v>
      </c>
      <c r="D205" s="160" t="str">
        <f ca="1">IFERROR(__xludf.DUMMYFUNCTION("""COMPUTED_VALUE"""),"Tan Tran")</f>
        <v>Tan Tran</v>
      </c>
      <c r="E205" s="3" t="str">
        <f ca="1">IFERROR(__xludf.DUMMYFUNCTION("""COMPUTED_VALUE"""),"Business English")</f>
        <v>Business English</v>
      </c>
      <c r="F205" s="3" t="str">
        <f ca="1">IFERROR(__xludf.DUMMYFUNCTION("""COMPUTED_VALUE"""),"Intermediate")</f>
        <v>Intermediate</v>
      </c>
      <c r="G205" s="3"/>
      <c r="H205" s="156">
        <f ca="1">IFERROR(__xludf.DUMMYFUNCTION("""COMPUTED_VALUE"""),45713.5833333333)</f>
        <v>45713.583333333299</v>
      </c>
      <c r="I205" s="156">
        <f ca="1">IFERROR(__xludf.DUMMYFUNCTION("""COMPUTED_VALUE"""),45639.4583333333)</f>
        <v>45639.458333333299</v>
      </c>
      <c r="J205" s="3">
        <f ca="1">IFERROR(__xludf.DUMMYFUNCTION("""COMPUTED_VALUE"""),4.5)</f>
        <v>4.5</v>
      </c>
      <c r="K205" s="3" t="str">
        <f ca="1">IFERROR(__xludf.DUMMYFUNCTION("""COMPUTED_VALUE"""),"")</f>
        <v/>
      </c>
      <c r="L205" s="3" t="str">
        <f ca="1">IFERROR(__xludf.DUMMYFUNCTION("""COMPUTED_VALUE"""),"-")</f>
        <v>-</v>
      </c>
      <c r="M205" s="3" t="str">
        <f ca="1">IFERROR(__xludf.DUMMYFUNCTION("""COMPUTED_VALUE"""),"BSG")</f>
        <v>BSG</v>
      </c>
      <c r="N205" s="157">
        <f ca="1">IFERROR(__xludf.DUMMYFUNCTION("""COMPUTED_VALUE"""),2.5)</f>
        <v>2.5</v>
      </c>
      <c r="O205" s="157">
        <f ca="1">IFERROR(__xludf.DUMMYFUNCTION("""COMPUTED_VALUE"""),4.5)</f>
        <v>4.5</v>
      </c>
      <c r="P205" s="157"/>
      <c r="Q205" s="3">
        <f t="shared" ca="1" si="0"/>
        <v>204</v>
      </c>
      <c r="R205" s="148" t="e">
        <f ca="1"/>
        <v>#NAME?</v>
      </c>
      <c r="S205" s="147" t="e">
        <f t="shared" ca="1" si="1"/>
        <v>#NAME?</v>
      </c>
      <c r="T205" s="147" t="e">
        <f t="shared" ca="1" si="2"/>
        <v>#NAME?</v>
      </c>
      <c r="U205" s="147" t="e">
        <f t="shared" ca="1" si="3"/>
        <v>#NAME?</v>
      </c>
      <c r="X205" s="147"/>
      <c r="Y205" s="147"/>
      <c r="Z205" s="147"/>
      <c r="AA205" s="147"/>
      <c r="AB205" s="147"/>
      <c r="AC205" s="147"/>
      <c r="AD205" s="147"/>
      <c r="AE205" s="147"/>
      <c r="AF205" s="147"/>
      <c r="AG205" s="147"/>
      <c r="AH205" s="147"/>
      <c r="AI205" s="147"/>
      <c r="AJ205" s="147"/>
      <c r="AK205" s="147"/>
      <c r="AL205" s="147"/>
      <c r="AM205" s="147"/>
      <c r="AN205" s="147"/>
      <c r="AO205" s="147"/>
      <c r="AP205" s="147"/>
      <c r="AQ205" s="147"/>
    </row>
    <row r="206" spans="1:43">
      <c r="A206" s="160" t="str">
        <f ca="1">IFERROR(__xludf.DUMMYFUNCTION("""COMPUTED_VALUE"""),"247183")</f>
        <v>247183</v>
      </c>
      <c r="B206" s="3" t="str">
        <f ca="1">IFERROR(__xludf.DUMMYFUNCTION("""COMPUTED_VALUE"""),"PHAN THU THẢO")</f>
        <v>PHAN THU THẢO</v>
      </c>
      <c r="C206" s="160" t="str">
        <f ca="1">IFERROR(__xludf.DUMMYFUNCTION("""COMPUTED_VALUE"""),"EL021")</f>
        <v>EL021</v>
      </c>
      <c r="D206" s="160" t="str">
        <f ca="1">IFERROR(__xludf.DUMMYFUNCTION("""COMPUTED_VALUE"""),"Tan Tran")</f>
        <v>Tan Tran</v>
      </c>
      <c r="E206" s="3" t="str">
        <f ca="1">IFERROR(__xludf.DUMMYFUNCTION("""COMPUTED_VALUE"""),"Business English")</f>
        <v>Business English</v>
      </c>
      <c r="F206" s="3" t="str">
        <f ca="1">IFERROR(__xludf.DUMMYFUNCTION("""COMPUTED_VALUE"""),"Intermediate")</f>
        <v>Intermediate</v>
      </c>
      <c r="G206" s="3" t="str">
        <f ca="1">IFERROR(__xludf.DUMMYFUNCTION("""COMPUTED_VALUE"""),"Upper-Intermediate")</f>
        <v>Upper-Intermediate</v>
      </c>
      <c r="H206" s="156">
        <f ca="1">IFERROR(__xludf.DUMMYFUNCTION("""COMPUTED_VALUE"""),45713.5833333333)</f>
        <v>45713.583333333299</v>
      </c>
      <c r="I206" s="156">
        <f ca="1">IFERROR(__xludf.DUMMYFUNCTION("""COMPUTED_VALUE"""),45713.5833333333)</f>
        <v>45713.583333333299</v>
      </c>
      <c r="J206" s="3">
        <f ca="1">IFERROR(__xludf.DUMMYFUNCTION("""COMPUTED_VALUE"""),4.5)</f>
        <v>4.5</v>
      </c>
      <c r="K206" s="3">
        <f ca="1">IFERROR(__xludf.DUMMYFUNCTION("""COMPUTED_VALUE"""),6)</f>
        <v>6</v>
      </c>
      <c r="L206" s="3" t="str">
        <f ca="1">IFERROR(__xludf.DUMMYFUNCTION("""COMPUTED_VALUE"""),"Designer")</f>
        <v>Designer</v>
      </c>
      <c r="M206" s="3" t="str">
        <f ca="1">IFERROR(__xludf.DUMMYFUNCTION("""COMPUTED_VALUE"""),"CHORUS")</f>
        <v>CHORUS</v>
      </c>
      <c r="N206" s="157">
        <f ca="1">IFERROR(__xludf.DUMMYFUNCTION("""COMPUTED_VALUE"""),4.5)</f>
        <v>4.5</v>
      </c>
      <c r="O206" s="157">
        <f ca="1">IFERROR(__xludf.DUMMYFUNCTION("""COMPUTED_VALUE"""),6)</f>
        <v>6</v>
      </c>
      <c r="P206" s="157"/>
      <c r="Q206" s="3">
        <f t="shared" ca="1" si="0"/>
        <v>205</v>
      </c>
      <c r="R206" s="148" t="e">
        <f ca="1"/>
        <v>#NAME?</v>
      </c>
      <c r="S206" s="147" t="e">
        <f t="shared" ca="1" si="1"/>
        <v>#NAME?</v>
      </c>
      <c r="T206" s="147" t="e">
        <f t="shared" ca="1" si="2"/>
        <v>#NAME?</v>
      </c>
      <c r="U206" s="147" t="e">
        <f t="shared" ca="1" si="3"/>
        <v>#NAME?</v>
      </c>
      <c r="X206" s="147"/>
      <c r="Y206" s="147"/>
      <c r="Z206" s="147"/>
      <c r="AA206" s="147"/>
      <c r="AB206" s="147"/>
      <c r="AC206" s="147"/>
      <c r="AD206" s="147"/>
      <c r="AE206" s="147"/>
      <c r="AF206" s="147"/>
      <c r="AG206" s="147"/>
      <c r="AH206" s="147"/>
      <c r="AI206" s="147"/>
      <c r="AJ206" s="147"/>
      <c r="AK206" s="147"/>
      <c r="AL206" s="147"/>
      <c r="AM206" s="147"/>
      <c r="AN206" s="147"/>
      <c r="AO206" s="147"/>
      <c r="AP206" s="147"/>
      <c r="AQ206" s="147"/>
    </row>
    <row r="207" spans="1:43">
      <c r="A207" s="160" t="str">
        <f ca="1">IFERROR(__xludf.DUMMYFUNCTION("""COMPUTED_VALUE"""),"237230")</f>
        <v>237230</v>
      </c>
      <c r="B207" s="3" t="str">
        <f ca="1">IFERROR(__xludf.DUMMYFUNCTION("""COMPUTED_VALUE"""),"TRẦN KIM HẰNG")</f>
        <v>TRẦN KIM HẰNG</v>
      </c>
      <c r="C207" s="160" t="str">
        <f ca="1">IFERROR(__xludf.DUMMYFUNCTION("""COMPUTED_VALUE"""),"EL021")</f>
        <v>EL021</v>
      </c>
      <c r="D207" s="160" t="str">
        <f ca="1">IFERROR(__xludf.DUMMYFUNCTION("""COMPUTED_VALUE"""),"Tan Tran")</f>
        <v>Tan Tran</v>
      </c>
      <c r="E207" s="3" t="str">
        <f ca="1">IFERROR(__xludf.DUMMYFUNCTION("""COMPUTED_VALUE"""),"Business English")</f>
        <v>Business English</v>
      </c>
      <c r="F207" s="3" t="str">
        <f ca="1">IFERROR(__xludf.DUMMYFUNCTION("""COMPUTED_VALUE"""),"Intermediate")</f>
        <v>Intermediate</v>
      </c>
      <c r="G207" s="3" t="str">
        <f ca="1">IFERROR(__xludf.DUMMYFUNCTION("""COMPUTED_VALUE"""),"Upper-Intermediate")</f>
        <v>Upper-Intermediate</v>
      </c>
      <c r="H207" s="156">
        <f ca="1">IFERROR(__xludf.DUMMYFUNCTION("""COMPUTED_VALUE"""),45713.5833333333)</f>
        <v>45713.583333333299</v>
      </c>
      <c r="I207" s="156">
        <f ca="1">IFERROR(__xludf.DUMMYFUNCTION("""COMPUTED_VALUE"""),45713.5833333333)</f>
        <v>45713.583333333299</v>
      </c>
      <c r="J207" s="3">
        <f ca="1">IFERROR(__xludf.DUMMYFUNCTION("""COMPUTED_VALUE"""),4.5)</f>
        <v>4.5</v>
      </c>
      <c r="K207" s="3">
        <f ca="1">IFERROR(__xludf.DUMMYFUNCTION("""COMPUTED_VALUE"""),6)</f>
        <v>6</v>
      </c>
      <c r="L207" s="3" t="str">
        <f ca="1">IFERROR(__xludf.DUMMYFUNCTION("""COMPUTED_VALUE"""),"Designer")</f>
        <v>Designer</v>
      </c>
      <c r="M207" s="3" t="str">
        <f ca="1">IFERROR(__xludf.DUMMYFUNCTION("""COMPUTED_VALUE"""),"LBU")</f>
        <v>LBU</v>
      </c>
      <c r="N207" s="157">
        <f ca="1">IFERROR(__xludf.DUMMYFUNCTION("""COMPUTED_VALUE"""),4.5)</f>
        <v>4.5</v>
      </c>
      <c r="O207" s="157">
        <f ca="1">IFERROR(__xludf.DUMMYFUNCTION("""COMPUTED_VALUE"""),6)</f>
        <v>6</v>
      </c>
      <c r="P207" s="157"/>
      <c r="Q207" s="3">
        <f t="shared" ca="1" si="0"/>
        <v>206</v>
      </c>
      <c r="R207" s="148" t="e">
        <f ca="1"/>
        <v>#NAME?</v>
      </c>
      <c r="S207" s="147" t="e">
        <f t="shared" ca="1" si="1"/>
        <v>#NAME?</v>
      </c>
      <c r="T207" s="147" t="e">
        <f t="shared" ca="1" si="2"/>
        <v>#NAME?</v>
      </c>
      <c r="U207" s="147" t="e">
        <f t="shared" ca="1" si="3"/>
        <v>#NAME?</v>
      </c>
      <c r="X207" s="147"/>
      <c r="Y207" s="147"/>
      <c r="Z207" s="147"/>
      <c r="AA207" s="147"/>
      <c r="AB207" s="147"/>
      <c r="AC207" s="147"/>
      <c r="AD207" s="147"/>
      <c r="AE207" s="147"/>
      <c r="AF207" s="147"/>
      <c r="AG207" s="147"/>
      <c r="AH207" s="147"/>
      <c r="AI207" s="147"/>
      <c r="AJ207" s="147"/>
      <c r="AK207" s="147"/>
      <c r="AL207" s="147"/>
      <c r="AM207" s="147"/>
      <c r="AN207" s="147"/>
      <c r="AO207" s="147"/>
      <c r="AP207" s="147"/>
      <c r="AQ207" s="147"/>
    </row>
    <row r="208" spans="1:43">
      <c r="A208" s="160" t="str">
        <f ca="1">IFERROR(__xludf.DUMMYFUNCTION("""COMPUTED_VALUE"""),"247412")</f>
        <v>247412</v>
      </c>
      <c r="B208" s="3" t="str">
        <f ca="1">IFERROR(__xludf.DUMMYFUNCTION("""COMPUTED_VALUE"""),"TRẦN QUANG TỐNG")</f>
        <v>TRẦN QUANG TỐNG</v>
      </c>
      <c r="C208" s="160" t="str">
        <f ca="1">IFERROR(__xludf.DUMMYFUNCTION("""COMPUTED_VALUE"""),"EL021")</f>
        <v>EL021</v>
      </c>
      <c r="D208" s="160" t="str">
        <f ca="1">IFERROR(__xludf.DUMMYFUNCTION("""COMPUTED_VALUE"""),"Tan Tran")</f>
        <v>Tan Tran</v>
      </c>
      <c r="E208" s="3" t="str">
        <f ca="1">IFERROR(__xludf.DUMMYFUNCTION("""COMPUTED_VALUE"""),"Business English")</f>
        <v>Business English</v>
      </c>
      <c r="F208" s="3" t="str">
        <f ca="1">IFERROR(__xludf.DUMMYFUNCTION("""COMPUTED_VALUE"""),"Intermediate")</f>
        <v>Intermediate</v>
      </c>
      <c r="G208" s="3" t="str">
        <f ca="1">IFERROR(__xludf.DUMMYFUNCTION("""COMPUTED_VALUE"""),"Upper-Intermediate")</f>
        <v>Upper-Intermediate</v>
      </c>
      <c r="H208" s="156">
        <f ca="1">IFERROR(__xludf.DUMMYFUNCTION("""COMPUTED_VALUE"""),45713.5833333333)</f>
        <v>45713.583333333299</v>
      </c>
      <c r="I208" s="156">
        <f ca="1">IFERROR(__xludf.DUMMYFUNCTION("""COMPUTED_VALUE"""),45713.5833333333)</f>
        <v>45713.583333333299</v>
      </c>
      <c r="J208" s="3">
        <f ca="1">IFERROR(__xludf.DUMMYFUNCTION("""COMPUTED_VALUE"""),4.5)</f>
        <v>4.5</v>
      </c>
      <c r="K208" s="3">
        <f ca="1">IFERROR(__xludf.DUMMYFUNCTION("""COMPUTED_VALUE"""),6)</f>
        <v>6</v>
      </c>
      <c r="L208" s="3" t="str">
        <f ca="1">IFERROR(__xludf.DUMMYFUNCTION("""COMPUTED_VALUE"""),"QC")</f>
        <v>QC</v>
      </c>
      <c r="M208" s="3" t="str">
        <f ca="1">IFERROR(__xludf.DUMMYFUNCTION("""COMPUTED_VALUE"""),"LBU")</f>
        <v>LBU</v>
      </c>
      <c r="N208" s="157">
        <f ca="1">IFERROR(__xludf.DUMMYFUNCTION("""COMPUTED_VALUE"""),4.5)</f>
        <v>4.5</v>
      </c>
      <c r="O208" s="157">
        <f ca="1">IFERROR(__xludf.DUMMYFUNCTION("""COMPUTED_VALUE"""),6)</f>
        <v>6</v>
      </c>
      <c r="P208" s="157"/>
      <c r="Q208" s="3">
        <f t="shared" ca="1" si="0"/>
        <v>207</v>
      </c>
      <c r="R208" s="148" t="e">
        <f ca="1"/>
        <v>#NAME?</v>
      </c>
      <c r="S208" s="147" t="e">
        <f t="shared" ca="1" si="1"/>
        <v>#NAME?</v>
      </c>
      <c r="T208" s="147" t="e">
        <f t="shared" ca="1" si="2"/>
        <v>#NAME?</v>
      </c>
      <c r="U208" s="147" t="e">
        <f t="shared" ca="1" si="3"/>
        <v>#NAME?</v>
      </c>
      <c r="X208" s="147"/>
      <c r="Y208" s="147"/>
      <c r="Z208" s="147"/>
      <c r="AA208" s="147"/>
      <c r="AB208" s="147"/>
      <c r="AC208" s="147"/>
      <c r="AD208" s="147"/>
      <c r="AE208" s="147"/>
      <c r="AF208" s="147"/>
      <c r="AG208" s="147"/>
      <c r="AH208" s="147"/>
      <c r="AI208" s="147"/>
      <c r="AJ208" s="147"/>
      <c r="AK208" s="147"/>
      <c r="AL208" s="147"/>
      <c r="AM208" s="147"/>
      <c r="AN208" s="147"/>
      <c r="AO208" s="147"/>
      <c r="AP208" s="147"/>
      <c r="AQ208" s="147"/>
    </row>
    <row r="209" spans="1:43">
      <c r="A209" s="160" t="str">
        <f ca="1">IFERROR(__xludf.DUMMYFUNCTION("""COMPUTED_VALUE"""),"247358")</f>
        <v>247358</v>
      </c>
      <c r="B209" s="3" t="str">
        <f ca="1">IFERROR(__xludf.DUMMYFUNCTION("""COMPUTED_VALUE"""),"TRẦN VĨNH PHÚC")</f>
        <v>TRẦN VĨNH PHÚC</v>
      </c>
      <c r="C209" s="160" t="str">
        <f ca="1">IFERROR(__xludf.DUMMYFUNCTION("""COMPUTED_VALUE"""),"EL021")</f>
        <v>EL021</v>
      </c>
      <c r="D209" s="160" t="str">
        <f ca="1">IFERROR(__xludf.DUMMYFUNCTION("""COMPUTED_VALUE"""),"Tan Tran")</f>
        <v>Tan Tran</v>
      </c>
      <c r="E209" s="3" t="str">
        <f ca="1">IFERROR(__xludf.DUMMYFUNCTION("""COMPUTED_VALUE"""),"Business English")</f>
        <v>Business English</v>
      </c>
      <c r="F209" s="3" t="str">
        <f ca="1">IFERROR(__xludf.DUMMYFUNCTION("""COMPUTED_VALUE"""),"Intermediate")</f>
        <v>Intermediate</v>
      </c>
      <c r="G209" s="3" t="str">
        <f ca="1">IFERROR(__xludf.DUMMYFUNCTION("""COMPUTED_VALUE"""),"Upper-Intermediate")</f>
        <v>Upper-Intermediate</v>
      </c>
      <c r="H209" s="156">
        <f ca="1">IFERROR(__xludf.DUMMYFUNCTION("""COMPUTED_VALUE"""),45713.5833333333)</f>
        <v>45713.583333333299</v>
      </c>
      <c r="I209" s="156">
        <f ca="1">IFERROR(__xludf.DUMMYFUNCTION("""COMPUTED_VALUE"""),45713.5833333333)</f>
        <v>45713.583333333299</v>
      </c>
      <c r="J209" s="3">
        <f ca="1">IFERROR(__xludf.DUMMYFUNCTION("""COMPUTED_VALUE"""),4.5)</f>
        <v>4.5</v>
      </c>
      <c r="K209" s="3">
        <f ca="1">IFERROR(__xludf.DUMMYFUNCTION("""COMPUTED_VALUE"""),6)</f>
        <v>6</v>
      </c>
      <c r="L209" s="3" t="str">
        <f ca="1">IFERROR(__xludf.DUMMYFUNCTION("""COMPUTED_VALUE"""),"UI/UX")</f>
        <v>UI/UX</v>
      </c>
      <c r="M209" s="3" t="str">
        <f ca="1">IFERROR(__xludf.DUMMYFUNCTION("""COMPUTED_VALUE"""),"CHORUS")</f>
        <v>CHORUS</v>
      </c>
      <c r="N209" s="157">
        <f ca="1">IFERROR(__xludf.DUMMYFUNCTION("""COMPUTED_VALUE"""),4.5)</f>
        <v>4.5</v>
      </c>
      <c r="O209" s="157">
        <f ca="1">IFERROR(__xludf.DUMMYFUNCTION("""COMPUTED_VALUE"""),6)</f>
        <v>6</v>
      </c>
      <c r="P209" s="157"/>
      <c r="Q209" s="3">
        <f t="shared" ca="1" si="0"/>
        <v>208</v>
      </c>
      <c r="R209" s="148" t="e">
        <f ca="1"/>
        <v>#NAME?</v>
      </c>
      <c r="S209" s="147" t="e">
        <f t="shared" ca="1" si="1"/>
        <v>#NAME?</v>
      </c>
      <c r="T209" s="147" t="e">
        <f t="shared" ca="1" si="2"/>
        <v>#NAME?</v>
      </c>
      <c r="U209" s="147" t="e">
        <f t="shared" ca="1" si="3"/>
        <v>#NAME?</v>
      </c>
      <c r="X209" s="147"/>
      <c r="Y209" s="147"/>
      <c r="Z209" s="147"/>
      <c r="AA209" s="147"/>
      <c r="AB209" s="147"/>
      <c r="AC209" s="147"/>
      <c r="AD209" s="147"/>
      <c r="AE209" s="147"/>
      <c r="AF209" s="147"/>
      <c r="AG209" s="147"/>
      <c r="AH209" s="147"/>
      <c r="AI209" s="147"/>
      <c r="AJ209" s="147"/>
      <c r="AK209" s="147"/>
      <c r="AL209" s="147"/>
      <c r="AM209" s="147"/>
      <c r="AN209" s="147"/>
      <c r="AO209" s="147"/>
      <c r="AP209" s="147"/>
      <c r="AQ209" s="147"/>
    </row>
    <row r="210" spans="1:43">
      <c r="A210" s="155" t="str">
        <f ca="1">IFERROR(__xludf.DUMMYFUNCTION("""COMPUTED_VALUE"""),"183340")</f>
        <v>183340</v>
      </c>
      <c r="B210" s="154" t="str">
        <f ca="1">IFERROR(__xludf.DUMMYFUNCTION("""COMPUTED_VALUE"""),"TRƯƠNG TRUNG THIÊN")</f>
        <v>TRƯƠNG TRUNG THIÊN</v>
      </c>
      <c r="C210" s="155" t="str">
        <f ca="1">IFERROR(__xludf.DUMMYFUNCTION("""COMPUTED_VALUE"""),"EL022")</f>
        <v>EL022</v>
      </c>
      <c r="D210" s="155" t="str">
        <f ca="1">IFERROR(__xludf.DUMMYFUNCTION("""COMPUTED_VALUE"""),"Thien Truong")</f>
        <v>Thien Truong</v>
      </c>
      <c r="E210" s="154" t="str">
        <f ca="1">IFERROR(__xludf.DUMMYFUNCTION("""COMPUTED_VALUE"""),"Communication 1")</f>
        <v>Communication 1</v>
      </c>
      <c r="F210" s="3" t="str">
        <f ca="1">IFERROR(__xludf.DUMMYFUNCTION("""COMPUTED_VALUE"""),"Beginner")</f>
        <v>Beginner</v>
      </c>
      <c r="G210" s="3" t="str">
        <f ca="1">IFERROR(__xludf.DUMMYFUNCTION("""COMPUTED_VALUE"""),"Pre-Intermediate 1")</f>
        <v>Pre-Intermediate 1</v>
      </c>
      <c r="H210" s="156">
        <f ca="1">IFERROR(__xludf.DUMMYFUNCTION("""COMPUTED_VALUE"""),45670.5416666666)</f>
        <v>45670.541666666599</v>
      </c>
      <c r="I210" s="156">
        <f ca="1">IFERROR(__xludf.DUMMYFUNCTION("""COMPUTED_VALUE"""),45670.5416666666)</f>
        <v>45670.541666666599</v>
      </c>
      <c r="J210" s="3">
        <f ca="1">IFERROR(__xludf.DUMMYFUNCTION("""COMPUTED_VALUE"""),1)</f>
        <v>1</v>
      </c>
      <c r="K210" s="3">
        <f ca="1">IFERROR(__xludf.DUMMYFUNCTION("""COMPUTED_VALUE"""),3)</f>
        <v>3</v>
      </c>
      <c r="L210" s="3" t="str">
        <f ca="1">IFERROR(__xludf.DUMMYFUNCTION("""COMPUTED_VALUE"""),"DEV")</f>
        <v>DEV</v>
      </c>
      <c r="M210" s="3" t="str">
        <f ca="1">IFERROR(__xludf.DUMMYFUNCTION("""COMPUTED_VALUE"""),"POC")</f>
        <v>POC</v>
      </c>
      <c r="N210" s="157">
        <f ca="1">IFERROR(__xludf.DUMMYFUNCTION("""COMPUTED_VALUE"""),1)</f>
        <v>1</v>
      </c>
      <c r="O210" s="157">
        <f ca="1">IFERROR(__xludf.DUMMYFUNCTION("""COMPUTED_VALUE"""),3.5)</f>
        <v>3.5</v>
      </c>
      <c r="P210" s="157"/>
      <c r="Q210" s="3">
        <f t="shared" ca="1" si="0"/>
        <v>209</v>
      </c>
      <c r="R210" s="148" t="e">
        <f ca="1"/>
        <v>#NAME?</v>
      </c>
      <c r="S210" s="147" t="e">
        <f t="shared" ca="1" si="1"/>
        <v>#NAME?</v>
      </c>
      <c r="T210" s="147" t="e">
        <f t="shared" ca="1" si="2"/>
        <v>#NAME?</v>
      </c>
      <c r="U210" s="147" t="e">
        <f t="shared" ca="1" si="3"/>
        <v>#NAME?</v>
      </c>
      <c r="X210" s="147"/>
      <c r="Y210" s="147"/>
      <c r="Z210" s="147"/>
      <c r="AA210" s="147"/>
      <c r="AB210" s="147"/>
      <c r="AC210" s="147"/>
      <c r="AD210" s="147"/>
      <c r="AE210" s="147"/>
      <c r="AF210" s="147"/>
      <c r="AG210" s="147"/>
      <c r="AH210" s="147"/>
      <c r="AI210" s="147"/>
      <c r="AJ210" s="147"/>
      <c r="AK210" s="147"/>
      <c r="AL210" s="147"/>
      <c r="AM210" s="147"/>
      <c r="AN210" s="147"/>
      <c r="AO210" s="147"/>
      <c r="AP210" s="147"/>
      <c r="AQ210" s="147"/>
    </row>
    <row r="211" spans="1:43">
      <c r="A211" s="160" t="str">
        <f ca="1">IFERROR(__xludf.DUMMYFUNCTION("""COMPUTED_VALUE"""),"193534")</f>
        <v>193534</v>
      </c>
      <c r="B211" s="3" t="str">
        <f ca="1">IFERROR(__xludf.DUMMYFUNCTION("""COMPUTED_VALUE"""),"LÊ HỒNG QUÂN")</f>
        <v>LÊ HỒNG QUÂN</v>
      </c>
      <c r="C211" s="160" t="str">
        <f ca="1">IFERROR(__xludf.DUMMYFUNCTION("""COMPUTED_VALUE"""),"EL022")</f>
        <v>EL022</v>
      </c>
      <c r="D211" s="160" t="str">
        <f ca="1">IFERROR(__xludf.DUMMYFUNCTION("""COMPUTED_VALUE"""),"Thien Truong")</f>
        <v>Thien Truong</v>
      </c>
      <c r="E211" s="3" t="str">
        <f ca="1">IFERROR(__xludf.DUMMYFUNCTION("""COMPUTED_VALUE"""),"Communication 1")</f>
        <v>Communication 1</v>
      </c>
      <c r="F211" s="3" t="str">
        <f ca="1">IFERROR(__xludf.DUMMYFUNCTION("""COMPUTED_VALUE"""),"Beginner")</f>
        <v>Beginner</v>
      </c>
      <c r="G211" s="3" t="str">
        <f ca="1">IFERROR(__xludf.DUMMYFUNCTION("""COMPUTED_VALUE"""),"Pre-Intermediate 1")</f>
        <v>Pre-Intermediate 1</v>
      </c>
      <c r="H211" s="156">
        <f ca="1">IFERROR(__xludf.DUMMYFUNCTION("""COMPUTED_VALUE"""),45670.5416666666)</f>
        <v>45670.541666666599</v>
      </c>
      <c r="I211" s="156">
        <f ca="1">IFERROR(__xludf.DUMMYFUNCTION("""COMPUTED_VALUE"""),45670.5416666666)</f>
        <v>45670.541666666599</v>
      </c>
      <c r="J211" s="3">
        <f ca="1">IFERROR(__xludf.DUMMYFUNCTION("""COMPUTED_VALUE"""),1)</f>
        <v>1</v>
      </c>
      <c r="K211" s="3">
        <f ca="1">IFERROR(__xludf.DUMMYFUNCTION("""COMPUTED_VALUE"""),3)</f>
        <v>3</v>
      </c>
      <c r="L211" s="3" t="str">
        <f ca="1">IFERROR(__xludf.DUMMYFUNCTION("""COMPUTED_VALUE"""),"DEV")</f>
        <v>DEV</v>
      </c>
      <c r="M211" s="3" t="str">
        <f ca="1">IFERROR(__xludf.DUMMYFUNCTION("""COMPUTED_VALUE"""),"POC")</f>
        <v>POC</v>
      </c>
      <c r="N211" s="157">
        <f ca="1">IFERROR(__xludf.DUMMYFUNCTION("""COMPUTED_VALUE"""),1)</f>
        <v>1</v>
      </c>
      <c r="O211" s="157">
        <f ca="1">IFERROR(__xludf.DUMMYFUNCTION("""COMPUTED_VALUE"""),3.5)</f>
        <v>3.5</v>
      </c>
      <c r="P211" s="157"/>
      <c r="Q211" s="3">
        <f t="shared" ca="1" si="0"/>
        <v>210</v>
      </c>
      <c r="R211" s="148" t="e">
        <f ca="1"/>
        <v>#NAME?</v>
      </c>
      <c r="S211" s="147" t="e">
        <f t="shared" ca="1" si="1"/>
        <v>#NAME?</v>
      </c>
      <c r="T211" s="147" t="e">
        <f t="shared" ca="1" si="2"/>
        <v>#NAME?</v>
      </c>
      <c r="U211" s="147" t="e">
        <f t="shared" ca="1" si="3"/>
        <v>#NAME?</v>
      </c>
      <c r="X211" s="147"/>
      <c r="Y211" s="147"/>
      <c r="Z211" s="147"/>
      <c r="AA211" s="147"/>
      <c r="AB211" s="147"/>
      <c r="AC211" s="147"/>
      <c r="AD211" s="147"/>
      <c r="AE211" s="147"/>
      <c r="AF211" s="147"/>
      <c r="AG211" s="147"/>
      <c r="AH211" s="147"/>
      <c r="AI211" s="147"/>
      <c r="AJ211" s="147"/>
      <c r="AK211" s="147"/>
      <c r="AL211" s="147"/>
      <c r="AM211" s="147"/>
      <c r="AN211" s="147"/>
      <c r="AO211" s="147"/>
      <c r="AP211" s="147"/>
      <c r="AQ211" s="147"/>
    </row>
    <row r="212" spans="1:43">
      <c r="A212" s="160" t="str">
        <f ca="1">IFERROR(__xludf.DUMMYFUNCTION("""COMPUTED_VALUE"""),"227047")</f>
        <v>227047</v>
      </c>
      <c r="B212" s="3" t="str">
        <f ca="1">IFERROR(__xludf.DUMMYFUNCTION("""COMPUTED_VALUE"""),"LÊ THANH SƠN")</f>
        <v>LÊ THANH SƠN</v>
      </c>
      <c r="C212" s="160" t="str">
        <f ca="1">IFERROR(__xludf.DUMMYFUNCTION("""COMPUTED_VALUE"""),"EL022")</f>
        <v>EL022</v>
      </c>
      <c r="D212" s="160" t="str">
        <f ca="1">IFERROR(__xludf.DUMMYFUNCTION("""COMPUTED_VALUE"""),"Thien Truong")</f>
        <v>Thien Truong</v>
      </c>
      <c r="E212" s="3" t="str">
        <f ca="1">IFERROR(__xludf.DUMMYFUNCTION("""COMPUTED_VALUE"""),"Communication 1")</f>
        <v>Communication 1</v>
      </c>
      <c r="F212" s="3" t="str">
        <f ca="1">IFERROR(__xludf.DUMMYFUNCTION("""COMPUTED_VALUE"""),"Beginner")</f>
        <v>Beginner</v>
      </c>
      <c r="G212" s="3" t="str">
        <f ca="1">IFERROR(__xludf.DUMMYFUNCTION("""COMPUTED_VALUE"""),"Pre-Intermediate 1")</f>
        <v>Pre-Intermediate 1</v>
      </c>
      <c r="H212" s="156">
        <f ca="1">IFERROR(__xludf.DUMMYFUNCTION("""COMPUTED_VALUE"""),45670.5416666666)</f>
        <v>45670.541666666599</v>
      </c>
      <c r="I212" s="156">
        <f ca="1">IFERROR(__xludf.DUMMYFUNCTION("""COMPUTED_VALUE"""),45670.5416666666)</f>
        <v>45670.541666666599</v>
      </c>
      <c r="J212" s="3">
        <f ca="1">IFERROR(__xludf.DUMMYFUNCTION("""COMPUTED_VALUE"""),1)</f>
        <v>1</v>
      </c>
      <c r="K212" s="3">
        <f ca="1">IFERROR(__xludf.DUMMYFUNCTION("""COMPUTED_VALUE"""),3)</f>
        <v>3</v>
      </c>
      <c r="L212" s="3" t="str">
        <f ca="1">IFERROR(__xludf.DUMMYFUNCTION("""COMPUTED_VALUE"""),"DEV")</f>
        <v>DEV</v>
      </c>
      <c r="M212" s="3" t="str">
        <f ca="1">IFERROR(__xludf.DUMMYFUNCTION("""COMPUTED_VALUE"""),"POC")</f>
        <v>POC</v>
      </c>
      <c r="N212" s="157">
        <f ca="1">IFERROR(__xludf.DUMMYFUNCTION("""COMPUTED_VALUE"""),1)</f>
        <v>1</v>
      </c>
      <c r="O212" s="157">
        <f ca="1">IFERROR(__xludf.DUMMYFUNCTION("""COMPUTED_VALUE"""),3.5)</f>
        <v>3.5</v>
      </c>
      <c r="P212" s="157"/>
      <c r="Q212" s="3">
        <f t="shared" ca="1" si="0"/>
        <v>211</v>
      </c>
      <c r="R212" s="148" t="e">
        <f ca="1"/>
        <v>#NAME?</v>
      </c>
      <c r="S212" s="147" t="e">
        <f t="shared" ca="1" si="1"/>
        <v>#NAME?</v>
      </c>
      <c r="T212" s="147" t="e">
        <f t="shared" ca="1" si="2"/>
        <v>#NAME?</v>
      </c>
      <c r="U212" s="147" t="e">
        <f t="shared" ca="1" si="3"/>
        <v>#NAME?</v>
      </c>
      <c r="X212" s="147"/>
      <c r="Y212" s="147"/>
      <c r="Z212" s="147"/>
      <c r="AA212" s="147"/>
      <c r="AB212" s="147"/>
      <c r="AC212" s="147"/>
      <c r="AD212" s="147"/>
      <c r="AE212" s="147"/>
      <c r="AF212" s="147"/>
      <c r="AG212" s="147"/>
      <c r="AH212" s="147"/>
      <c r="AI212" s="147"/>
      <c r="AJ212" s="147"/>
      <c r="AK212" s="147"/>
      <c r="AL212" s="147"/>
      <c r="AM212" s="147"/>
      <c r="AN212" s="147"/>
      <c r="AO212" s="147"/>
      <c r="AP212" s="147"/>
      <c r="AQ212" s="147"/>
    </row>
    <row r="213" spans="1:43">
      <c r="A213" s="160" t="str">
        <f ca="1">IFERROR(__xludf.DUMMYFUNCTION("""COMPUTED_VALUE"""),"133051")</f>
        <v>133051</v>
      </c>
      <c r="B213" s="3" t="str">
        <f ca="1">IFERROR(__xludf.DUMMYFUNCTION("""COMPUTED_VALUE"""),"LÝ KHÁNH LONG")</f>
        <v>LÝ KHÁNH LONG</v>
      </c>
      <c r="C213" s="160" t="str">
        <f ca="1">IFERROR(__xludf.DUMMYFUNCTION("""COMPUTED_VALUE"""),"EL022")</f>
        <v>EL022</v>
      </c>
      <c r="D213" s="160" t="str">
        <f ca="1">IFERROR(__xludf.DUMMYFUNCTION("""COMPUTED_VALUE"""),"Thien Truong")</f>
        <v>Thien Truong</v>
      </c>
      <c r="E213" s="3" t="str">
        <f ca="1">IFERROR(__xludf.DUMMYFUNCTION("""COMPUTED_VALUE"""),"Communication 1")</f>
        <v>Communication 1</v>
      </c>
      <c r="F213" s="3" t="str">
        <f ca="1">IFERROR(__xludf.DUMMYFUNCTION("""COMPUTED_VALUE"""),"Beginner")</f>
        <v>Beginner</v>
      </c>
      <c r="G213" s="3" t="str">
        <f ca="1">IFERROR(__xludf.DUMMYFUNCTION("""COMPUTED_VALUE"""),"Beginner 2")</f>
        <v>Beginner 2</v>
      </c>
      <c r="H213" s="156">
        <f ca="1">IFERROR(__xludf.DUMMYFUNCTION("""COMPUTED_VALUE"""),45670.5416666666)</f>
        <v>45670.541666666599</v>
      </c>
      <c r="I213" s="156">
        <f ca="1">IFERROR(__xludf.DUMMYFUNCTION("""COMPUTED_VALUE"""),45670.5416666666)</f>
        <v>45670.541666666599</v>
      </c>
      <c r="J213" s="3">
        <f ca="1">IFERROR(__xludf.DUMMYFUNCTION("""COMPUTED_VALUE"""),1)</f>
        <v>1</v>
      </c>
      <c r="K213" s="3">
        <f ca="1">IFERROR(__xludf.DUMMYFUNCTION("""COMPUTED_VALUE"""),1.5)</f>
        <v>1.5</v>
      </c>
      <c r="L213" s="3" t="str">
        <f ca="1">IFERROR(__xludf.DUMMYFUNCTION("""COMPUTED_VALUE"""),"DEV")</f>
        <v>DEV</v>
      </c>
      <c r="M213" s="3" t="str">
        <f ca="1">IFERROR(__xludf.DUMMYFUNCTION("""COMPUTED_VALUE"""),"TBU")</f>
        <v>TBU</v>
      </c>
      <c r="N213" s="157">
        <f ca="1">IFERROR(__xludf.DUMMYFUNCTION("""COMPUTED_VALUE"""),1)</f>
        <v>1</v>
      </c>
      <c r="O213" s="157">
        <f ca="1">IFERROR(__xludf.DUMMYFUNCTION("""COMPUTED_VALUE"""),1.5)</f>
        <v>1.5</v>
      </c>
      <c r="P213" s="157"/>
      <c r="Q213" s="3">
        <f t="shared" ca="1" si="0"/>
        <v>212</v>
      </c>
      <c r="R213" s="148" t="e">
        <f ca="1"/>
        <v>#NAME?</v>
      </c>
      <c r="S213" s="147" t="e">
        <f t="shared" ca="1" si="1"/>
        <v>#NAME?</v>
      </c>
      <c r="T213" s="147" t="e">
        <f t="shared" ca="1" si="2"/>
        <v>#NAME?</v>
      </c>
      <c r="U213" s="147" t="e">
        <f t="shared" ca="1" si="3"/>
        <v>#NAME?</v>
      </c>
      <c r="X213" s="147"/>
      <c r="Y213" s="147"/>
      <c r="Z213" s="147"/>
      <c r="AA213" s="147"/>
      <c r="AB213" s="147"/>
      <c r="AC213" s="147"/>
      <c r="AD213" s="147"/>
      <c r="AE213" s="147"/>
      <c r="AF213" s="147"/>
      <c r="AG213" s="147"/>
      <c r="AH213" s="147"/>
      <c r="AI213" s="147"/>
      <c r="AJ213" s="147"/>
      <c r="AK213" s="147"/>
      <c r="AL213" s="147"/>
      <c r="AM213" s="147"/>
      <c r="AN213" s="147"/>
      <c r="AO213" s="147"/>
      <c r="AP213" s="147"/>
      <c r="AQ213" s="147"/>
    </row>
    <row r="214" spans="1:43">
      <c r="A214" s="160" t="str">
        <f ca="1">IFERROR(__xludf.DUMMYFUNCTION("""COMPUTED_VALUE"""),"227080")</f>
        <v>227080</v>
      </c>
      <c r="B214" s="3" t="str">
        <f ca="1">IFERROR(__xludf.DUMMYFUNCTION("""COMPUTED_VALUE"""),"NGUYỄN BÁ PHI NHẬT")</f>
        <v>NGUYỄN BÁ PHI NHẬT</v>
      </c>
      <c r="C214" s="160" t="str">
        <f ca="1">IFERROR(__xludf.DUMMYFUNCTION("""COMPUTED_VALUE"""),"EL022")</f>
        <v>EL022</v>
      </c>
      <c r="D214" s="160" t="str">
        <f ca="1">IFERROR(__xludf.DUMMYFUNCTION("""COMPUTED_VALUE"""),"Thien Truong")</f>
        <v>Thien Truong</v>
      </c>
      <c r="E214" s="3" t="str">
        <f ca="1">IFERROR(__xludf.DUMMYFUNCTION("""COMPUTED_VALUE"""),"Communication 1")</f>
        <v>Communication 1</v>
      </c>
      <c r="F214" s="3" t="str">
        <f ca="1">IFERROR(__xludf.DUMMYFUNCTION("""COMPUTED_VALUE"""),"Pre-Intermediate")</f>
        <v>Pre-Intermediate</v>
      </c>
      <c r="G214" s="3" t="str">
        <f ca="1">IFERROR(__xludf.DUMMYFUNCTION("""COMPUTED_VALUE"""),"Intermediate")</f>
        <v>Intermediate</v>
      </c>
      <c r="H214" s="156">
        <f ca="1">IFERROR(__xludf.DUMMYFUNCTION("""COMPUTED_VALUE"""),45670.5416666666)</f>
        <v>45670.541666666599</v>
      </c>
      <c r="I214" s="156">
        <f ca="1">IFERROR(__xludf.DUMMYFUNCTION("""COMPUTED_VALUE"""),45670.5416666666)</f>
        <v>45670.541666666599</v>
      </c>
      <c r="J214" s="3">
        <f ca="1">IFERROR(__xludf.DUMMYFUNCTION("""COMPUTED_VALUE"""),2.5)</f>
        <v>2.5</v>
      </c>
      <c r="K214" s="3">
        <f ca="1">IFERROR(__xludf.DUMMYFUNCTION("""COMPUTED_VALUE"""),4.5)</f>
        <v>4.5</v>
      </c>
      <c r="L214" s="3" t="str">
        <f ca="1">IFERROR(__xludf.DUMMYFUNCTION("""COMPUTED_VALUE"""),"DEV")</f>
        <v>DEV</v>
      </c>
      <c r="M214" s="3" t="str">
        <f ca="1">IFERROR(__xludf.DUMMYFUNCTION("""COMPUTED_VALUE"""),"TBU")</f>
        <v>TBU</v>
      </c>
      <c r="N214" s="157">
        <f ca="1">IFERROR(__xludf.DUMMYFUNCTION("""COMPUTED_VALUE"""),2.5)</f>
        <v>2.5</v>
      </c>
      <c r="O214" s="157">
        <f ca="1">IFERROR(__xludf.DUMMYFUNCTION("""COMPUTED_VALUE"""),4.5)</f>
        <v>4.5</v>
      </c>
      <c r="P214" s="157"/>
      <c r="Q214" s="3">
        <f t="shared" ca="1" si="0"/>
        <v>213</v>
      </c>
      <c r="R214" s="148" t="e">
        <f ca="1"/>
        <v>#NAME?</v>
      </c>
      <c r="S214" s="147" t="e">
        <f t="shared" ca="1" si="1"/>
        <v>#NAME?</v>
      </c>
      <c r="T214" s="147" t="e">
        <f t="shared" ca="1" si="2"/>
        <v>#NAME?</v>
      </c>
      <c r="U214" s="147" t="e">
        <f t="shared" ca="1" si="3"/>
        <v>#NAME?</v>
      </c>
      <c r="X214" s="147"/>
      <c r="Y214" s="147"/>
      <c r="Z214" s="147"/>
      <c r="AA214" s="147"/>
      <c r="AB214" s="147"/>
      <c r="AC214" s="147"/>
      <c r="AD214" s="147"/>
      <c r="AE214" s="147"/>
      <c r="AF214" s="147"/>
      <c r="AG214" s="147"/>
      <c r="AH214" s="147"/>
      <c r="AI214" s="147"/>
      <c r="AJ214" s="147"/>
      <c r="AK214" s="147"/>
      <c r="AL214" s="147"/>
      <c r="AM214" s="147"/>
      <c r="AN214" s="147"/>
      <c r="AO214" s="147"/>
      <c r="AP214" s="147"/>
      <c r="AQ214" s="147"/>
    </row>
    <row r="215" spans="1:43">
      <c r="A215" s="160" t="str">
        <f ca="1">IFERROR(__xludf.DUMMYFUNCTION("""COMPUTED_VALUE"""),"227048")</f>
        <v>227048</v>
      </c>
      <c r="B215" s="3" t="str">
        <f ca="1">IFERROR(__xludf.DUMMYFUNCTION("""COMPUTED_VALUE"""),"NGUYỄN LÝ KHÁNH HUY")</f>
        <v>NGUYỄN LÝ KHÁNH HUY</v>
      </c>
      <c r="C215" s="160" t="str">
        <f ca="1">IFERROR(__xludf.DUMMYFUNCTION("""COMPUTED_VALUE"""),"EL022")</f>
        <v>EL022</v>
      </c>
      <c r="D215" s="160" t="str">
        <f ca="1">IFERROR(__xludf.DUMMYFUNCTION("""COMPUTED_VALUE"""),"Thien Truong")</f>
        <v>Thien Truong</v>
      </c>
      <c r="E215" s="3" t="str">
        <f ca="1">IFERROR(__xludf.DUMMYFUNCTION("""COMPUTED_VALUE"""),"Communication 1")</f>
        <v>Communication 1</v>
      </c>
      <c r="F215" s="3" t="str">
        <f ca="1">IFERROR(__xludf.DUMMYFUNCTION("""COMPUTED_VALUE"""),"Beginner")</f>
        <v>Beginner</v>
      </c>
      <c r="G215" s="3" t="str">
        <f ca="1">IFERROR(__xludf.DUMMYFUNCTION("""COMPUTED_VALUE"""),"Pre-Intermediate 2")</f>
        <v>Pre-Intermediate 2</v>
      </c>
      <c r="H215" s="156">
        <f ca="1">IFERROR(__xludf.DUMMYFUNCTION("""COMPUTED_VALUE"""),45670.5416666666)</f>
        <v>45670.541666666599</v>
      </c>
      <c r="I215" s="156">
        <f ca="1">IFERROR(__xludf.DUMMYFUNCTION("""COMPUTED_VALUE"""),45670.5416666666)</f>
        <v>45670.541666666599</v>
      </c>
      <c r="J215" s="3">
        <f ca="1">IFERROR(__xludf.DUMMYFUNCTION("""COMPUTED_VALUE"""),1)</f>
        <v>1</v>
      </c>
      <c r="K215" s="3">
        <f ca="1">IFERROR(__xludf.DUMMYFUNCTION("""COMPUTED_VALUE"""),3.5)</f>
        <v>3.5</v>
      </c>
      <c r="L215" s="3" t="str">
        <f ca="1">IFERROR(__xludf.DUMMYFUNCTION("""COMPUTED_VALUE"""),"DEV")</f>
        <v>DEV</v>
      </c>
      <c r="M215" s="3" t="str">
        <f ca="1">IFERROR(__xludf.DUMMYFUNCTION("""COMPUTED_VALUE"""),"POC")</f>
        <v>POC</v>
      </c>
      <c r="N215" s="157">
        <f ca="1">IFERROR(__xludf.DUMMYFUNCTION("""COMPUTED_VALUE"""),1)</f>
        <v>1</v>
      </c>
      <c r="O215" s="157">
        <f ca="1">IFERROR(__xludf.DUMMYFUNCTION("""COMPUTED_VALUE"""),4)</f>
        <v>4</v>
      </c>
      <c r="P215" s="157"/>
      <c r="Q215" s="3">
        <f t="shared" ca="1" si="0"/>
        <v>214</v>
      </c>
      <c r="R215" s="148" t="e">
        <f ca="1"/>
        <v>#NAME?</v>
      </c>
      <c r="S215" s="147" t="e">
        <f t="shared" ca="1" si="1"/>
        <v>#NAME?</v>
      </c>
      <c r="T215" s="147" t="e">
        <f t="shared" ca="1" si="2"/>
        <v>#NAME?</v>
      </c>
      <c r="U215" s="147" t="e">
        <f t="shared" ca="1" si="3"/>
        <v>#NAME?</v>
      </c>
      <c r="X215" s="147"/>
      <c r="Y215" s="147"/>
      <c r="Z215" s="147"/>
      <c r="AA215" s="147"/>
      <c r="AB215" s="147"/>
      <c r="AC215" s="147"/>
      <c r="AD215" s="147"/>
      <c r="AE215" s="147"/>
      <c r="AF215" s="147"/>
      <c r="AG215" s="147"/>
      <c r="AH215" s="147"/>
      <c r="AI215" s="147"/>
      <c r="AJ215" s="147"/>
      <c r="AK215" s="147"/>
      <c r="AL215" s="147"/>
      <c r="AM215" s="147"/>
      <c r="AN215" s="147"/>
      <c r="AO215" s="147"/>
      <c r="AP215" s="147"/>
      <c r="AQ215" s="147"/>
    </row>
    <row r="216" spans="1:43">
      <c r="A216" s="160" t="str">
        <f ca="1">IFERROR(__xludf.DUMMYFUNCTION("""COMPUTED_VALUE"""),"227064")</f>
        <v>227064</v>
      </c>
      <c r="B216" s="3" t="str">
        <f ca="1">IFERROR(__xludf.DUMMYFUNCTION("""COMPUTED_VALUE"""),"PHÙNG ĐÌNH HUY")</f>
        <v>PHÙNG ĐÌNH HUY</v>
      </c>
      <c r="C216" s="160" t="str">
        <f ca="1">IFERROR(__xludf.DUMMYFUNCTION("""COMPUTED_VALUE"""),"EL022")</f>
        <v>EL022</v>
      </c>
      <c r="D216" s="160" t="str">
        <f ca="1">IFERROR(__xludf.DUMMYFUNCTION("""COMPUTED_VALUE"""),"Thien Truong")</f>
        <v>Thien Truong</v>
      </c>
      <c r="E216" s="3" t="str">
        <f ca="1">IFERROR(__xludf.DUMMYFUNCTION("""COMPUTED_VALUE"""),"Communication 1")</f>
        <v>Communication 1</v>
      </c>
      <c r="F216" s="3" t="str">
        <f ca="1">IFERROR(__xludf.DUMMYFUNCTION("""COMPUTED_VALUE"""),"Beginner")</f>
        <v>Beginner</v>
      </c>
      <c r="G216" s="3" t="str">
        <f ca="1">IFERROR(__xludf.DUMMYFUNCTION("""COMPUTED_VALUE"""),"Pre-Intermediate 1")</f>
        <v>Pre-Intermediate 1</v>
      </c>
      <c r="H216" s="156">
        <f ca="1">IFERROR(__xludf.DUMMYFUNCTION("""COMPUTED_VALUE"""),45670.5416666666)</f>
        <v>45670.541666666599</v>
      </c>
      <c r="I216" s="156">
        <f ca="1">IFERROR(__xludf.DUMMYFUNCTION("""COMPUTED_VALUE"""),45670.5416666666)</f>
        <v>45670.541666666599</v>
      </c>
      <c r="J216" s="3">
        <f ca="1">IFERROR(__xludf.DUMMYFUNCTION("""COMPUTED_VALUE"""),1)</f>
        <v>1</v>
      </c>
      <c r="K216" s="3">
        <f ca="1">IFERROR(__xludf.DUMMYFUNCTION("""COMPUTED_VALUE"""),3)</f>
        <v>3</v>
      </c>
      <c r="L216" s="3" t="str">
        <f ca="1">IFERROR(__xludf.DUMMYFUNCTION("""COMPUTED_VALUE"""),"DEV")</f>
        <v>DEV</v>
      </c>
      <c r="M216" s="3" t="str">
        <f ca="1">IFERROR(__xludf.DUMMYFUNCTION("""COMPUTED_VALUE"""),"TBU")</f>
        <v>TBU</v>
      </c>
      <c r="N216" s="157">
        <f ca="1">IFERROR(__xludf.DUMMYFUNCTION("""COMPUTED_VALUE"""),1)</f>
        <v>1</v>
      </c>
      <c r="O216" s="157">
        <f ca="1">IFERROR(__xludf.DUMMYFUNCTION("""COMPUTED_VALUE"""),3)</f>
        <v>3</v>
      </c>
      <c r="P216" s="157"/>
      <c r="Q216" s="3">
        <f t="shared" ca="1" si="0"/>
        <v>215</v>
      </c>
      <c r="R216" s="148" t="e">
        <f ca="1"/>
        <v>#NAME?</v>
      </c>
      <c r="S216" s="147" t="e">
        <f t="shared" ca="1" si="1"/>
        <v>#NAME?</v>
      </c>
      <c r="T216" s="147" t="e">
        <f t="shared" ca="1" si="2"/>
        <v>#NAME?</v>
      </c>
      <c r="U216" s="147" t="e">
        <f t="shared" ca="1" si="3"/>
        <v>#NAME?</v>
      </c>
      <c r="X216" s="147"/>
      <c r="Y216" s="147"/>
      <c r="Z216" s="147"/>
      <c r="AA216" s="147"/>
      <c r="AB216" s="147"/>
      <c r="AC216" s="147"/>
      <c r="AD216" s="147"/>
      <c r="AE216" s="147"/>
      <c r="AF216" s="147"/>
      <c r="AG216" s="147"/>
      <c r="AH216" s="147"/>
      <c r="AI216" s="147"/>
      <c r="AJ216" s="147"/>
      <c r="AK216" s="147"/>
      <c r="AL216" s="147"/>
      <c r="AM216" s="147"/>
      <c r="AN216" s="147"/>
      <c r="AO216" s="147"/>
      <c r="AP216" s="147"/>
      <c r="AQ216" s="147"/>
    </row>
    <row r="217" spans="1:43">
      <c r="A217" s="160" t="str">
        <f ca="1">IFERROR(__xludf.DUMMYFUNCTION("""COMPUTED_VALUE"""),"203693")</f>
        <v>203693</v>
      </c>
      <c r="B217" s="3" t="str">
        <f ca="1">IFERROR(__xludf.DUMMYFUNCTION("""COMPUTED_VALUE"""),"QUÁCH NHẬT TRUNG")</f>
        <v>QUÁCH NHẬT TRUNG</v>
      </c>
      <c r="C217" s="160" t="str">
        <f ca="1">IFERROR(__xludf.DUMMYFUNCTION("""COMPUTED_VALUE"""),"EL022")</f>
        <v>EL022</v>
      </c>
      <c r="D217" s="160" t="str">
        <f ca="1">IFERROR(__xludf.DUMMYFUNCTION("""COMPUTED_VALUE"""),"Thien Truong")</f>
        <v>Thien Truong</v>
      </c>
      <c r="E217" s="3" t="str">
        <f ca="1">IFERROR(__xludf.DUMMYFUNCTION("""COMPUTED_VALUE"""),"Communication 1")</f>
        <v>Communication 1</v>
      </c>
      <c r="F217" s="3" t="str">
        <f ca="1">IFERROR(__xludf.DUMMYFUNCTION("""COMPUTED_VALUE"""),"Pre-Intermediate")</f>
        <v>Pre-Intermediate</v>
      </c>
      <c r="G217" s="3" t="str">
        <f ca="1">IFERROR(__xludf.DUMMYFUNCTION("""COMPUTED_VALUE"""),"Pre-Intermediate 2")</f>
        <v>Pre-Intermediate 2</v>
      </c>
      <c r="H217" s="156">
        <f ca="1">IFERROR(__xludf.DUMMYFUNCTION("""COMPUTED_VALUE"""),45670.5416666666)</f>
        <v>45670.541666666599</v>
      </c>
      <c r="I217" s="156">
        <f ca="1">IFERROR(__xludf.DUMMYFUNCTION("""COMPUTED_VALUE"""),45670.5416666666)</f>
        <v>45670.541666666599</v>
      </c>
      <c r="J217" s="3">
        <f ca="1">IFERROR(__xludf.DUMMYFUNCTION("""COMPUTED_VALUE"""),2.5)</f>
        <v>2.5</v>
      </c>
      <c r="K217" s="3">
        <f ca="1">IFERROR(__xludf.DUMMYFUNCTION("""COMPUTED_VALUE"""),3.5)</f>
        <v>3.5</v>
      </c>
      <c r="L217" s="3" t="str">
        <f ca="1">IFERROR(__xludf.DUMMYFUNCTION("""COMPUTED_VALUE"""),"DEV")</f>
        <v>DEV</v>
      </c>
      <c r="M217" s="3" t="str">
        <f ca="1">IFERROR(__xludf.DUMMYFUNCTION("""COMPUTED_VALUE"""),"POC")</f>
        <v>POC</v>
      </c>
      <c r="N217" s="157">
        <f ca="1">IFERROR(__xludf.DUMMYFUNCTION("""COMPUTED_VALUE"""),2.5)</f>
        <v>2.5</v>
      </c>
      <c r="O217" s="157">
        <f ca="1">IFERROR(__xludf.DUMMYFUNCTION("""COMPUTED_VALUE"""),3.5)</f>
        <v>3.5</v>
      </c>
      <c r="P217" s="157"/>
      <c r="Q217" s="3">
        <f t="shared" ca="1" si="0"/>
        <v>216</v>
      </c>
      <c r="R217" s="148" t="e">
        <f ca="1"/>
        <v>#NAME?</v>
      </c>
      <c r="S217" s="147" t="e">
        <f t="shared" ca="1" si="1"/>
        <v>#NAME?</v>
      </c>
      <c r="T217" s="147" t="e">
        <f t="shared" ca="1" si="2"/>
        <v>#NAME?</v>
      </c>
      <c r="U217" s="147" t="e">
        <f t="shared" ca="1" si="3"/>
        <v>#NAME?</v>
      </c>
      <c r="X217" s="147"/>
      <c r="Y217" s="147"/>
      <c r="Z217" s="147"/>
      <c r="AA217" s="147"/>
      <c r="AB217" s="147"/>
      <c r="AC217" s="147"/>
      <c r="AD217" s="147"/>
      <c r="AE217" s="147"/>
      <c r="AF217" s="147"/>
      <c r="AG217" s="147"/>
      <c r="AH217" s="147"/>
      <c r="AI217" s="147"/>
      <c r="AJ217" s="147"/>
      <c r="AK217" s="147"/>
      <c r="AL217" s="147"/>
      <c r="AM217" s="147"/>
      <c r="AN217" s="147"/>
      <c r="AO217" s="147"/>
      <c r="AP217" s="147"/>
      <c r="AQ217" s="147"/>
    </row>
    <row r="218" spans="1:43">
      <c r="A218" s="155" t="str">
        <f ca="1">IFERROR(__xludf.DUMMYFUNCTION("""COMPUTED_VALUE"""),"183340")</f>
        <v>183340</v>
      </c>
      <c r="B218" s="154" t="str">
        <f ca="1">IFERROR(__xludf.DUMMYFUNCTION("""COMPUTED_VALUE"""),"TRƯƠNG TRUNG THIÊN")</f>
        <v>TRƯƠNG TRUNG THIÊN</v>
      </c>
      <c r="C218" s="155" t="str">
        <f ca="1">IFERROR(__xludf.DUMMYFUNCTION("""COMPUTED_VALUE"""),"EL022")</f>
        <v>EL022</v>
      </c>
      <c r="D218" s="155" t="str">
        <f ca="1">IFERROR(__xludf.DUMMYFUNCTION("""COMPUTED_VALUE"""),"Thien Truong")</f>
        <v>Thien Truong</v>
      </c>
      <c r="E218" s="154" t="str">
        <f ca="1">IFERROR(__xludf.DUMMYFUNCTION("""COMPUTED_VALUE"""),"Communication 2")</f>
        <v>Communication 2</v>
      </c>
      <c r="F218" s="3" t="str">
        <f ca="1">IFERROR(__xludf.DUMMYFUNCTION("""COMPUTED_VALUE"""),"Pre-Intermediate 1")</f>
        <v>Pre-Intermediate 1</v>
      </c>
      <c r="G218" s="3" t="str">
        <f ca="1">IFERROR(__xludf.DUMMYFUNCTION("""COMPUTED_VALUE"""),"Pre-Intermediate 2")</f>
        <v>Pre-Intermediate 2</v>
      </c>
      <c r="H218" s="156">
        <f ca="1">IFERROR(__xludf.DUMMYFUNCTION("""COMPUTED_VALUE"""),45866.5416666666)</f>
        <v>45866.541666666599</v>
      </c>
      <c r="I218" s="156">
        <f ca="1">IFERROR(__xludf.DUMMYFUNCTION("""COMPUTED_VALUE"""),45670.5416666666)</f>
        <v>45670.541666666599</v>
      </c>
      <c r="J218" s="3">
        <f ca="1">IFERROR(__xludf.DUMMYFUNCTION("""COMPUTED_VALUE"""),3)</f>
        <v>3</v>
      </c>
      <c r="K218" s="3">
        <f ca="1">IFERROR(__xludf.DUMMYFUNCTION("""COMPUTED_VALUE"""),3.5)</f>
        <v>3.5</v>
      </c>
      <c r="L218" s="3" t="str">
        <f ca="1">IFERROR(__xludf.DUMMYFUNCTION("""COMPUTED_VALUE"""),"DEV")</f>
        <v>DEV</v>
      </c>
      <c r="M218" s="3" t="str">
        <f ca="1">IFERROR(__xludf.DUMMYFUNCTION("""COMPUTED_VALUE"""),"POC")</f>
        <v>POC</v>
      </c>
      <c r="N218" s="157">
        <f ca="1">IFERROR(__xludf.DUMMYFUNCTION("""COMPUTED_VALUE"""),1)</f>
        <v>1</v>
      </c>
      <c r="O218" s="157">
        <f ca="1">IFERROR(__xludf.DUMMYFUNCTION("""COMPUTED_VALUE"""),3.5)</f>
        <v>3.5</v>
      </c>
      <c r="P218" s="157"/>
      <c r="Q218" s="3">
        <f t="shared" ca="1" si="0"/>
        <v>217</v>
      </c>
      <c r="R218" s="148" t="e">
        <f ca="1"/>
        <v>#NAME?</v>
      </c>
      <c r="S218" s="147" t="e">
        <f t="shared" ca="1" si="1"/>
        <v>#NAME?</v>
      </c>
      <c r="T218" s="147" t="e">
        <f t="shared" ca="1" si="2"/>
        <v>#NAME?</v>
      </c>
      <c r="U218" s="147" t="e">
        <f t="shared" ca="1" si="3"/>
        <v>#NAME?</v>
      </c>
      <c r="X218" s="147"/>
      <c r="Y218" s="147"/>
      <c r="Z218" s="147"/>
      <c r="AA218" s="147"/>
      <c r="AB218" s="147"/>
      <c r="AC218" s="147"/>
      <c r="AD218" s="147"/>
      <c r="AE218" s="147"/>
      <c r="AF218" s="147"/>
      <c r="AG218" s="147"/>
      <c r="AH218" s="147"/>
      <c r="AI218" s="147"/>
      <c r="AJ218" s="147"/>
      <c r="AK218" s="147"/>
      <c r="AL218" s="147"/>
      <c r="AM218" s="147"/>
      <c r="AN218" s="147"/>
      <c r="AO218" s="147"/>
      <c r="AP218" s="147"/>
      <c r="AQ218" s="147"/>
    </row>
    <row r="219" spans="1:43">
      <c r="A219" s="160" t="str">
        <f ca="1">IFERROR(__xludf.DUMMYFUNCTION("""COMPUTED_VALUE"""),"193534")</f>
        <v>193534</v>
      </c>
      <c r="B219" s="3" t="str">
        <f ca="1">IFERROR(__xludf.DUMMYFUNCTION("""COMPUTED_VALUE"""),"LÊ HỒNG QUÂN")</f>
        <v>LÊ HỒNG QUÂN</v>
      </c>
      <c r="C219" s="160" t="str">
        <f ca="1">IFERROR(__xludf.DUMMYFUNCTION("""COMPUTED_VALUE"""),"EL022")</f>
        <v>EL022</v>
      </c>
      <c r="D219" s="160" t="str">
        <f ca="1">IFERROR(__xludf.DUMMYFUNCTION("""COMPUTED_VALUE"""),"Thien Truong")</f>
        <v>Thien Truong</v>
      </c>
      <c r="E219" s="3" t="str">
        <f ca="1">IFERROR(__xludf.DUMMYFUNCTION("""COMPUTED_VALUE"""),"Communication 2")</f>
        <v>Communication 2</v>
      </c>
      <c r="F219" s="3" t="str">
        <f ca="1">IFERROR(__xludf.DUMMYFUNCTION("""COMPUTED_VALUE"""),"Pre-Intermediate 1")</f>
        <v>Pre-Intermediate 1</v>
      </c>
      <c r="G219" s="3" t="str">
        <f ca="1">IFERROR(__xludf.DUMMYFUNCTION("""COMPUTED_VALUE"""),"Pre-Intermediate 2")</f>
        <v>Pre-Intermediate 2</v>
      </c>
      <c r="H219" s="156">
        <f ca="1">IFERROR(__xludf.DUMMYFUNCTION("""COMPUTED_VALUE"""),45866.5416666666)</f>
        <v>45866.541666666599</v>
      </c>
      <c r="I219" s="156">
        <f ca="1">IFERROR(__xludf.DUMMYFUNCTION("""COMPUTED_VALUE"""),45670.5416666666)</f>
        <v>45670.541666666599</v>
      </c>
      <c r="J219" s="3">
        <f ca="1">IFERROR(__xludf.DUMMYFUNCTION("""COMPUTED_VALUE"""),3)</f>
        <v>3</v>
      </c>
      <c r="K219" s="3">
        <f ca="1">IFERROR(__xludf.DUMMYFUNCTION("""COMPUTED_VALUE"""),3.5)</f>
        <v>3.5</v>
      </c>
      <c r="L219" s="3" t="str">
        <f ca="1">IFERROR(__xludf.DUMMYFUNCTION("""COMPUTED_VALUE"""),"DEV")</f>
        <v>DEV</v>
      </c>
      <c r="M219" s="3" t="str">
        <f ca="1">IFERROR(__xludf.DUMMYFUNCTION("""COMPUTED_VALUE"""),"POC")</f>
        <v>POC</v>
      </c>
      <c r="N219" s="157">
        <f ca="1">IFERROR(__xludf.DUMMYFUNCTION("""COMPUTED_VALUE"""),1)</f>
        <v>1</v>
      </c>
      <c r="O219" s="157">
        <f ca="1">IFERROR(__xludf.DUMMYFUNCTION("""COMPUTED_VALUE"""),3.5)</f>
        <v>3.5</v>
      </c>
      <c r="P219" s="157"/>
      <c r="Q219" s="3">
        <f t="shared" ca="1" si="0"/>
        <v>218</v>
      </c>
      <c r="R219" s="148" t="e">
        <f ca="1"/>
        <v>#NAME?</v>
      </c>
      <c r="S219" s="147" t="e">
        <f t="shared" ca="1" si="1"/>
        <v>#NAME?</v>
      </c>
      <c r="T219" s="147" t="e">
        <f t="shared" ca="1" si="2"/>
        <v>#NAME?</v>
      </c>
      <c r="U219" s="147" t="e">
        <f t="shared" ca="1" si="3"/>
        <v>#NAME?</v>
      </c>
      <c r="X219" s="147"/>
      <c r="Y219" s="147"/>
      <c r="Z219" s="147"/>
      <c r="AA219" s="147"/>
      <c r="AB219" s="147"/>
      <c r="AC219" s="147"/>
      <c r="AD219" s="147"/>
      <c r="AE219" s="147"/>
      <c r="AF219" s="147"/>
      <c r="AG219" s="147"/>
      <c r="AH219" s="147"/>
      <c r="AI219" s="147"/>
      <c r="AJ219" s="147"/>
      <c r="AK219" s="147"/>
      <c r="AL219" s="147"/>
      <c r="AM219" s="147"/>
      <c r="AN219" s="147"/>
      <c r="AO219" s="147"/>
      <c r="AP219" s="147"/>
      <c r="AQ219" s="147"/>
    </row>
    <row r="220" spans="1:43">
      <c r="A220" s="160" t="str">
        <f ca="1">IFERROR(__xludf.DUMMYFUNCTION("""COMPUTED_VALUE"""),"227047")</f>
        <v>227047</v>
      </c>
      <c r="B220" s="3" t="str">
        <f ca="1">IFERROR(__xludf.DUMMYFUNCTION("""COMPUTED_VALUE"""),"LÊ THANH SƠN")</f>
        <v>LÊ THANH SƠN</v>
      </c>
      <c r="C220" s="160" t="str">
        <f ca="1">IFERROR(__xludf.DUMMYFUNCTION("""COMPUTED_VALUE"""),"EL022")</f>
        <v>EL022</v>
      </c>
      <c r="D220" s="160" t="str">
        <f ca="1">IFERROR(__xludf.DUMMYFUNCTION("""COMPUTED_VALUE"""),"Thien Truong")</f>
        <v>Thien Truong</v>
      </c>
      <c r="E220" s="3" t="str">
        <f ca="1">IFERROR(__xludf.DUMMYFUNCTION("""COMPUTED_VALUE"""),"Communication 2")</f>
        <v>Communication 2</v>
      </c>
      <c r="F220" s="3" t="str">
        <f ca="1">IFERROR(__xludf.DUMMYFUNCTION("""COMPUTED_VALUE"""),"Pre-Intermediate 1")</f>
        <v>Pre-Intermediate 1</v>
      </c>
      <c r="G220" s="3" t="str">
        <f ca="1">IFERROR(__xludf.DUMMYFUNCTION("""COMPUTED_VALUE"""),"Pre-Intermediate 2")</f>
        <v>Pre-Intermediate 2</v>
      </c>
      <c r="H220" s="156">
        <f ca="1">IFERROR(__xludf.DUMMYFUNCTION("""COMPUTED_VALUE"""),45866.5416666666)</f>
        <v>45866.541666666599</v>
      </c>
      <c r="I220" s="156">
        <f ca="1">IFERROR(__xludf.DUMMYFUNCTION("""COMPUTED_VALUE"""),45670.5416666666)</f>
        <v>45670.541666666599</v>
      </c>
      <c r="J220" s="3">
        <f ca="1">IFERROR(__xludf.DUMMYFUNCTION("""COMPUTED_VALUE"""),3)</f>
        <v>3</v>
      </c>
      <c r="K220" s="3">
        <f ca="1">IFERROR(__xludf.DUMMYFUNCTION("""COMPUTED_VALUE"""),3.5)</f>
        <v>3.5</v>
      </c>
      <c r="L220" s="3" t="str">
        <f ca="1">IFERROR(__xludf.DUMMYFUNCTION("""COMPUTED_VALUE"""),"DEV")</f>
        <v>DEV</v>
      </c>
      <c r="M220" s="3" t="str">
        <f ca="1">IFERROR(__xludf.DUMMYFUNCTION("""COMPUTED_VALUE"""),"POC")</f>
        <v>POC</v>
      </c>
      <c r="N220" s="157">
        <f ca="1">IFERROR(__xludf.DUMMYFUNCTION("""COMPUTED_VALUE"""),1)</f>
        <v>1</v>
      </c>
      <c r="O220" s="157">
        <f ca="1">IFERROR(__xludf.DUMMYFUNCTION("""COMPUTED_VALUE"""),3.5)</f>
        <v>3.5</v>
      </c>
      <c r="P220" s="157"/>
      <c r="Q220" s="3">
        <f t="shared" ca="1" si="0"/>
        <v>219</v>
      </c>
      <c r="R220" s="148" t="e">
        <f ca="1"/>
        <v>#NAME?</v>
      </c>
      <c r="S220" s="147" t="e">
        <f t="shared" ca="1" si="1"/>
        <v>#NAME?</v>
      </c>
      <c r="T220" s="147" t="e">
        <f t="shared" ca="1" si="2"/>
        <v>#NAME?</v>
      </c>
      <c r="U220" s="147" t="e">
        <f t="shared" ca="1" si="3"/>
        <v>#NAME?</v>
      </c>
      <c r="X220" s="147"/>
      <c r="Y220" s="147"/>
      <c r="Z220" s="147"/>
      <c r="AA220" s="147"/>
      <c r="AB220" s="147"/>
      <c r="AC220" s="147"/>
      <c r="AD220" s="147"/>
      <c r="AE220" s="147"/>
      <c r="AF220" s="147"/>
      <c r="AG220" s="147"/>
      <c r="AH220" s="147"/>
      <c r="AI220" s="147"/>
      <c r="AJ220" s="147"/>
      <c r="AK220" s="147"/>
      <c r="AL220" s="147"/>
      <c r="AM220" s="147"/>
      <c r="AN220" s="147"/>
      <c r="AO220" s="147"/>
      <c r="AP220" s="147"/>
      <c r="AQ220" s="147"/>
    </row>
    <row r="221" spans="1:43">
      <c r="A221" s="160" t="str">
        <f ca="1">IFERROR(__xludf.DUMMYFUNCTION("""COMPUTED_VALUE"""),"133051")</f>
        <v>133051</v>
      </c>
      <c r="B221" s="3" t="str">
        <f ca="1">IFERROR(__xludf.DUMMYFUNCTION("""COMPUTED_VALUE"""),"LÝ KHÁNH LONG")</f>
        <v>LÝ KHÁNH LONG</v>
      </c>
      <c r="C221" s="160" t="str">
        <f ca="1">IFERROR(__xludf.DUMMYFUNCTION("""COMPUTED_VALUE"""),"EL022")</f>
        <v>EL022</v>
      </c>
      <c r="D221" s="160" t="str">
        <f ca="1">IFERROR(__xludf.DUMMYFUNCTION("""COMPUTED_VALUE"""),"Thien Truong")</f>
        <v>Thien Truong</v>
      </c>
      <c r="E221" s="3" t="str">
        <f ca="1">IFERROR(__xludf.DUMMYFUNCTION("""COMPUTED_VALUE"""),"Communication 2")</f>
        <v>Communication 2</v>
      </c>
      <c r="F221" s="3" t="str">
        <f ca="1">IFERROR(__xludf.DUMMYFUNCTION("""COMPUTED_VALUE"""),"Beginner 2")</f>
        <v>Beginner 2</v>
      </c>
      <c r="G221" s="3" t="str">
        <f ca="1">IFERROR(__xludf.DUMMYFUNCTION("""COMPUTED_VALUE"""),"Beginner 2")</f>
        <v>Beginner 2</v>
      </c>
      <c r="H221" s="156">
        <f ca="1">IFERROR(__xludf.DUMMYFUNCTION("""COMPUTED_VALUE"""),45866.5416666666)</f>
        <v>45866.541666666599</v>
      </c>
      <c r="I221" s="156">
        <f ca="1">IFERROR(__xludf.DUMMYFUNCTION("""COMPUTED_VALUE"""),45670.5416666666)</f>
        <v>45670.541666666599</v>
      </c>
      <c r="J221" s="3">
        <f ca="1">IFERROR(__xludf.DUMMYFUNCTION("""COMPUTED_VALUE"""),1.5)</f>
        <v>1.5</v>
      </c>
      <c r="K221" s="3">
        <f ca="1">IFERROR(__xludf.DUMMYFUNCTION("""COMPUTED_VALUE"""),1.5)</f>
        <v>1.5</v>
      </c>
      <c r="L221" s="3" t="str">
        <f ca="1">IFERROR(__xludf.DUMMYFUNCTION("""COMPUTED_VALUE"""),"DEV")</f>
        <v>DEV</v>
      </c>
      <c r="M221" s="3" t="str">
        <f ca="1">IFERROR(__xludf.DUMMYFUNCTION("""COMPUTED_VALUE"""),"TBU")</f>
        <v>TBU</v>
      </c>
      <c r="N221" s="157">
        <f ca="1">IFERROR(__xludf.DUMMYFUNCTION("""COMPUTED_VALUE"""),1)</f>
        <v>1</v>
      </c>
      <c r="O221" s="157">
        <f ca="1">IFERROR(__xludf.DUMMYFUNCTION("""COMPUTED_VALUE"""),1.5)</f>
        <v>1.5</v>
      </c>
      <c r="P221" s="157"/>
      <c r="Q221" s="3">
        <f t="shared" ca="1" si="0"/>
        <v>220</v>
      </c>
      <c r="R221" s="148" t="e">
        <f ca="1"/>
        <v>#NAME?</v>
      </c>
      <c r="S221" s="147" t="e">
        <f t="shared" ca="1" si="1"/>
        <v>#NAME?</v>
      </c>
      <c r="T221" s="147" t="e">
        <f t="shared" ca="1" si="2"/>
        <v>#NAME?</v>
      </c>
      <c r="U221" s="147" t="e">
        <f t="shared" ca="1" si="3"/>
        <v>#NAME?</v>
      </c>
      <c r="X221" s="147"/>
      <c r="Y221" s="147"/>
      <c r="Z221" s="147"/>
      <c r="AA221" s="147"/>
      <c r="AB221" s="147"/>
      <c r="AC221" s="147"/>
      <c r="AD221" s="147"/>
      <c r="AE221" s="147"/>
      <c r="AF221" s="147"/>
      <c r="AG221" s="147"/>
      <c r="AH221" s="147"/>
      <c r="AI221" s="147"/>
      <c r="AJ221" s="147"/>
      <c r="AK221" s="147"/>
      <c r="AL221" s="147"/>
      <c r="AM221" s="147"/>
      <c r="AN221" s="147"/>
      <c r="AO221" s="147"/>
      <c r="AP221" s="147"/>
      <c r="AQ221" s="147"/>
    </row>
    <row r="222" spans="1:43">
      <c r="A222" s="160" t="str">
        <f ca="1">IFERROR(__xludf.DUMMYFUNCTION("""COMPUTED_VALUE"""),"227080")</f>
        <v>227080</v>
      </c>
      <c r="B222" s="3" t="str">
        <f ca="1">IFERROR(__xludf.DUMMYFUNCTION("""COMPUTED_VALUE"""),"NGUYỄN BÁ PHI NHẬT")</f>
        <v>NGUYỄN BÁ PHI NHẬT</v>
      </c>
      <c r="C222" s="160" t="str">
        <f ca="1">IFERROR(__xludf.DUMMYFUNCTION("""COMPUTED_VALUE"""),"EL022")</f>
        <v>EL022</v>
      </c>
      <c r="D222" s="160" t="str">
        <f ca="1">IFERROR(__xludf.DUMMYFUNCTION("""COMPUTED_VALUE"""),"Thien Truong")</f>
        <v>Thien Truong</v>
      </c>
      <c r="E222" s="3" t="str">
        <f ca="1">IFERROR(__xludf.DUMMYFUNCTION("""COMPUTED_VALUE"""),"Communication 2")</f>
        <v>Communication 2</v>
      </c>
      <c r="F222" s="3" t="str">
        <f ca="1">IFERROR(__xludf.DUMMYFUNCTION("""COMPUTED_VALUE"""),"Intermediate")</f>
        <v>Intermediate</v>
      </c>
      <c r="G222" s="3"/>
      <c r="H222" s="156">
        <f ca="1">IFERROR(__xludf.DUMMYFUNCTION("""COMPUTED_VALUE"""),45866.5416666666)</f>
        <v>45866.541666666599</v>
      </c>
      <c r="I222" s="156">
        <f ca="1">IFERROR(__xludf.DUMMYFUNCTION("""COMPUTED_VALUE"""),45670.5416666666)</f>
        <v>45670.541666666599</v>
      </c>
      <c r="J222" s="3">
        <f ca="1">IFERROR(__xludf.DUMMYFUNCTION("""COMPUTED_VALUE"""),4.5)</f>
        <v>4.5</v>
      </c>
      <c r="K222" s="3" t="str">
        <f ca="1">IFERROR(__xludf.DUMMYFUNCTION("""COMPUTED_VALUE"""),"")</f>
        <v/>
      </c>
      <c r="L222" s="3" t="str">
        <f ca="1">IFERROR(__xludf.DUMMYFUNCTION("""COMPUTED_VALUE"""),"DEV")</f>
        <v>DEV</v>
      </c>
      <c r="M222" s="3" t="str">
        <f ca="1">IFERROR(__xludf.DUMMYFUNCTION("""COMPUTED_VALUE"""),"TBU")</f>
        <v>TBU</v>
      </c>
      <c r="N222" s="157">
        <f ca="1">IFERROR(__xludf.DUMMYFUNCTION("""COMPUTED_VALUE"""),2.5)</f>
        <v>2.5</v>
      </c>
      <c r="O222" s="157">
        <f ca="1">IFERROR(__xludf.DUMMYFUNCTION("""COMPUTED_VALUE"""),4.5)</f>
        <v>4.5</v>
      </c>
      <c r="P222" s="157"/>
      <c r="Q222" s="3">
        <f t="shared" ca="1" si="0"/>
        <v>221</v>
      </c>
      <c r="R222" s="148" t="e">
        <f ca="1"/>
        <v>#NAME?</v>
      </c>
      <c r="S222" s="147" t="e">
        <f t="shared" ca="1" si="1"/>
        <v>#NAME?</v>
      </c>
      <c r="T222" s="147" t="e">
        <f t="shared" ca="1" si="2"/>
        <v>#NAME?</v>
      </c>
      <c r="U222" s="147" t="e">
        <f t="shared" ca="1" si="3"/>
        <v>#NAME?</v>
      </c>
      <c r="X222" s="147"/>
      <c r="Y222" s="147"/>
      <c r="Z222" s="147"/>
      <c r="AA222" s="147"/>
      <c r="AB222" s="147"/>
      <c r="AC222" s="147"/>
      <c r="AD222" s="147"/>
      <c r="AE222" s="147"/>
      <c r="AF222" s="147"/>
      <c r="AG222" s="147"/>
      <c r="AH222" s="147"/>
      <c r="AI222" s="147"/>
      <c r="AJ222" s="147"/>
      <c r="AK222" s="147"/>
      <c r="AL222" s="147"/>
      <c r="AM222" s="147"/>
      <c r="AN222" s="147"/>
      <c r="AO222" s="147"/>
      <c r="AP222" s="147"/>
      <c r="AQ222" s="147"/>
    </row>
    <row r="223" spans="1:43">
      <c r="A223" s="160" t="str">
        <f ca="1">IFERROR(__xludf.DUMMYFUNCTION("""COMPUTED_VALUE"""),"227048")</f>
        <v>227048</v>
      </c>
      <c r="B223" s="3" t="str">
        <f ca="1">IFERROR(__xludf.DUMMYFUNCTION("""COMPUTED_VALUE"""),"NGUYỄN LÝ KHÁNH HUY")</f>
        <v>NGUYỄN LÝ KHÁNH HUY</v>
      </c>
      <c r="C223" s="160" t="str">
        <f ca="1">IFERROR(__xludf.DUMMYFUNCTION("""COMPUTED_VALUE"""),"EL022")</f>
        <v>EL022</v>
      </c>
      <c r="D223" s="160" t="str">
        <f ca="1">IFERROR(__xludf.DUMMYFUNCTION("""COMPUTED_VALUE"""),"Thien Truong")</f>
        <v>Thien Truong</v>
      </c>
      <c r="E223" s="3" t="str">
        <f ca="1">IFERROR(__xludf.DUMMYFUNCTION("""COMPUTED_VALUE"""),"Communication 2")</f>
        <v>Communication 2</v>
      </c>
      <c r="F223" s="3" t="str">
        <f ca="1">IFERROR(__xludf.DUMMYFUNCTION("""COMPUTED_VALUE"""),"Pre-Intermediate 2")</f>
        <v>Pre-Intermediate 2</v>
      </c>
      <c r="G223" s="3" t="str">
        <f ca="1">IFERROR(__xludf.DUMMYFUNCTION("""COMPUTED_VALUE"""),"Pre-Intermediate 3")</f>
        <v>Pre-Intermediate 3</v>
      </c>
      <c r="H223" s="156">
        <f ca="1">IFERROR(__xludf.DUMMYFUNCTION("""COMPUTED_VALUE"""),45866.5416666666)</f>
        <v>45866.541666666599</v>
      </c>
      <c r="I223" s="156">
        <f ca="1">IFERROR(__xludf.DUMMYFUNCTION("""COMPUTED_VALUE"""),45670.5416666666)</f>
        <v>45670.541666666599</v>
      </c>
      <c r="J223" s="3">
        <f ca="1">IFERROR(__xludf.DUMMYFUNCTION("""COMPUTED_VALUE"""),3.5)</f>
        <v>3.5</v>
      </c>
      <c r="K223" s="3">
        <f ca="1">IFERROR(__xludf.DUMMYFUNCTION("""COMPUTED_VALUE"""),4)</f>
        <v>4</v>
      </c>
      <c r="L223" s="3" t="str">
        <f ca="1">IFERROR(__xludf.DUMMYFUNCTION("""COMPUTED_VALUE"""),"DEV")</f>
        <v>DEV</v>
      </c>
      <c r="M223" s="3" t="str">
        <f ca="1">IFERROR(__xludf.DUMMYFUNCTION("""COMPUTED_VALUE"""),"POC")</f>
        <v>POC</v>
      </c>
      <c r="N223" s="157">
        <f ca="1">IFERROR(__xludf.DUMMYFUNCTION("""COMPUTED_VALUE"""),1)</f>
        <v>1</v>
      </c>
      <c r="O223" s="157">
        <f ca="1">IFERROR(__xludf.DUMMYFUNCTION("""COMPUTED_VALUE"""),4)</f>
        <v>4</v>
      </c>
      <c r="P223" s="157"/>
      <c r="Q223" s="3">
        <f t="shared" ca="1" si="0"/>
        <v>222</v>
      </c>
      <c r="R223" s="148" t="e">
        <f ca="1"/>
        <v>#NAME?</v>
      </c>
      <c r="S223" s="147" t="e">
        <f t="shared" ca="1" si="1"/>
        <v>#NAME?</v>
      </c>
      <c r="T223" s="147" t="e">
        <f t="shared" ca="1" si="2"/>
        <v>#NAME?</v>
      </c>
      <c r="U223" s="147" t="e">
        <f t="shared" ca="1" si="3"/>
        <v>#NAME?</v>
      </c>
      <c r="X223" s="147"/>
      <c r="Y223" s="147"/>
      <c r="Z223" s="147"/>
      <c r="AA223" s="147"/>
      <c r="AB223" s="147"/>
      <c r="AC223" s="147"/>
      <c r="AD223" s="147"/>
      <c r="AE223" s="147"/>
      <c r="AF223" s="147"/>
      <c r="AG223" s="147"/>
      <c r="AH223" s="147"/>
      <c r="AI223" s="147"/>
      <c r="AJ223" s="147"/>
      <c r="AK223" s="147"/>
      <c r="AL223" s="147"/>
      <c r="AM223" s="147"/>
      <c r="AN223" s="147"/>
      <c r="AO223" s="147"/>
      <c r="AP223" s="147"/>
      <c r="AQ223" s="147"/>
    </row>
    <row r="224" spans="1:43">
      <c r="A224" s="160" t="str">
        <f ca="1">IFERROR(__xludf.DUMMYFUNCTION("""COMPUTED_VALUE"""),"227064")</f>
        <v>227064</v>
      </c>
      <c r="B224" s="3" t="str">
        <f ca="1">IFERROR(__xludf.DUMMYFUNCTION("""COMPUTED_VALUE"""),"PHÙNG ĐÌNH HUY")</f>
        <v>PHÙNG ĐÌNH HUY</v>
      </c>
      <c r="C224" s="160" t="str">
        <f ca="1">IFERROR(__xludf.DUMMYFUNCTION("""COMPUTED_VALUE"""),"EL022")</f>
        <v>EL022</v>
      </c>
      <c r="D224" s="160" t="str">
        <f ca="1">IFERROR(__xludf.DUMMYFUNCTION("""COMPUTED_VALUE"""),"Thien Truong")</f>
        <v>Thien Truong</v>
      </c>
      <c r="E224" s="3" t="str">
        <f ca="1">IFERROR(__xludf.DUMMYFUNCTION("""COMPUTED_VALUE"""),"Communication 2")</f>
        <v>Communication 2</v>
      </c>
      <c r="F224" s="3" t="str">
        <f ca="1">IFERROR(__xludf.DUMMYFUNCTION("""COMPUTED_VALUE"""),"Pre-Intermediate 1")</f>
        <v>Pre-Intermediate 1</v>
      </c>
      <c r="G224" s="3" t="str">
        <f ca="1">IFERROR(__xludf.DUMMYFUNCTION("""COMPUTED_VALUE"""),"Pre-Intermediate 1")</f>
        <v>Pre-Intermediate 1</v>
      </c>
      <c r="H224" s="156">
        <f ca="1">IFERROR(__xludf.DUMMYFUNCTION("""COMPUTED_VALUE"""),45866.5416666666)</f>
        <v>45866.541666666599</v>
      </c>
      <c r="I224" s="156">
        <f ca="1">IFERROR(__xludf.DUMMYFUNCTION("""COMPUTED_VALUE"""),45670.5416666666)</f>
        <v>45670.541666666599</v>
      </c>
      <c r="J224" s="3">
        <f ca="1">IFERROR(__xludf.DUMMYFUNCTION("""COMPUTED_VALUE"""),3)</f>
        <v>3</v>
      </c>
      <c r="K224" s="3">
        <f ca="1">IFERROR(__xludf.DUMMYFUNCTION("""COMPUTED_VALUE"""),3)</f>
        <v>3</v>
      </c>
      <c r="L224" s="3" t="str">
        <f ca="1">IFERROR(__xludf.DUMMYFUNCTION("""COMPUTED_VALUE"""),"DEV")</f>
        <v>DEV</v>
      </c>
      <c r="M224" s="3" t="str">
        <f ca="1">IFERROR(__xludf.DUMMYFUNCTION("""COMPUTED_VALUE"""),"TBU")</f>
        <v>TBU</v>
      </c>
      <c r="N224" s="157">
        <f ca="1">IFERROR(__xludf.DUMMYFUNCTION("""COMPUTED_VALUE"""),1)</f>
        <v>1</v>
      </c>
      <c r="O224" s="157">
        <f ca="1">IFERROR(__xludf.DUMMYFUNCTION("""COMPUTED_VALUE"""),3)</f>
        <v>3</v>
      </c>
      <c r="P224" s="157"/>
      <c r="Q224" s="3">
        <f t="shared" ca="1" si="0"/>
        <v>223</v>
      </c>
      <c r="R224" s="148" t="e">
        <f ca="1"/>
        <v>#NAME?</v>
      </c>
      <c r="S224" s="147" t="e">
        <f t="shared" ca="1" si="1"/>
        <v>#NAME?</v>
      </c>
      <c r="T224" s="147" t="e">
        <f t="shared" ca="1" si="2"/>
        <v>#NAME?</v>
      </c>
      <c r="U224" s="147" t="e">
        <f t="shared" ca="1" si="3"/>
        <v>#NAME?</v>
      </c>
      <c r="X224" s="147"/>
      <c r="Y224" s="147"/>
      <c r="Z224" s="147"/>
      <c r="AA224" s="147"/>
      <c r="AB224" s="147"/>
      <c r="AC224" s="147"/>
      <c r="AD224" s="147"/>
      <c r="AE224" s="147"/>
      <c r="AF224" s="147"/>
      <c r="AG224" s="147"/>
      <c r="AH224" s="147"/>
      <c r="AI224" s="147"/>
      <c r="AJ224" s="147"/>
      <c r="AK224" s="147"/>
      <c r="AL224" s="147"/>
      <c r="AM224" s="147"/>
      <c r="AN224" s="147"/>
      <c r="AO224" s="147"/>
      <c r="AP224" s="147"/>
      <c r="AQ224" s="147"/>
    </row>
    <row r="225" spans="1:43">
      <c r="A225" s="160" t="str">
        <f ca="1">IFERROR(__xludf.DUMMYFUNCTION("""COMPUTED_VALUE"""),"203693")</f>
        <v>203693</v>
      </c>
      <c r="B225" s="3" t="str">
        <f ca="1">IFERROR(__xludf.DUMMYFUNCTION("""COMPUTED_VALUE"""),"QUÁCH NHẬT TRUNG")</f>
        <v>QUÁCH NHẬT TRUNG</v>
      </c>
      <c r="C225" s="160" t="str">
        <f ca="1">IFERROR(__xludf.DUMMYFUNCTION("""COMPUTED_VALUE"""),"EL022")</f>
        <v>EL022</v>
      </c>
      <c r="D225" s="160" t="str">
        <f ca="1">IFERROR(__xludf.DUMMYFUNCTION("""COMPUTED_VALUE"""),"Thien Truong")</f>
        <v>Thien Truong</v>
      </c>
      <c r="E225" s="3" t="str">
        <f ca="1">IFERROR(__xludf.DUMMYFUNCTION("""COMPUTED_VALUE"""),"Communication 2")</f>
        <v>Communication 2</v>
      </c>
      <c r="F225" s="3" t="str">
        <f ca="1">IFERROR(__xludf.DUMMYFUNCTION("""COMPUTED_VALUE"""),"Pre-Intermediate 2")</f>
        <v>Pre-Intermediate 2</v>
      </c>
      <c r="G225" s="3" t="str">
        <f ca="1">IFERROR(__xludf.DUMMYFUNCTION("""COMPUTED_VALUE"""),"Pre-Intermediate 2")</f>
        <v>Pre-Intermediate 2</v>
      </c>
      <c r="H225" s="156">
        <f ca="1">IFERROR(__xludf.DUMMYFUNCTION("""COMPUTED_VALUE"""),45866.5416666666)</f>
        <v>45866.541666666599</v>
      </c>
      <c r="I225" s="156">
        <f ca="1">IFERROR(__xludf.DUMMYFUNCTION("""COMPUTED_VALUE"""),45670.5416666666)</f>
        <v>45670.541666666599</v>
      </c>
      <c r="J225" s="3">
        <f ca="1">IFERROR(__xludf.DUMMYFUNCTION("""COMPUTED_VALUE"""),3.5)</f>
        <v>3.5</v>
      </c>
      <c r="K225" s="3">
        <f ca="1">IFERROR(__xludf.DUMMYFUNCTION("""COMPUTED_VALUE"""),3.5)</f>
        <v>3.5</v>
      </c>
      <c r="L225" s="3" t="str">
        <f ca="1">IFERROR(__xludf.DUMMYFUNCTION("""COMPUTED_VALUE"""),"DEV")</f>
        <v>DEV</v>
      </c>
      <c r="M225" s="3" t="str">
        <f ca="1">IFERROR(__xludf.DUMMYFUNCTION("""COMPUTED_VALUE"""),"POC")</f>
        <v>POC</v>
      </c>
      <c r="N225" s="157">
        <f ca="1">IFERROR(__xludf.DUMMYFUNCTION("""COMPUTED_VALUE"""),2.5)</f>
        <v>2.5</v>
      </c>
      <c r="O225" s="157">
        <f ca="1">IFERROR(__xludf.DUMMYFUNCTION("""COMPUTED_VALUE"""),3.5)</f>
        <v>3.5</v>
      </c>
      <c r="P225" s="157"/>
      <c r="Q225" s="3">
        <f t="shared" ca="1" si="0"/>
        <v>224</v>
      </c>
      <c r="R225" s="148" t="e">
        <f ca="1"/>
        <v>#NAME?</v>
      </c>
      <c r="S225" s="147" t="e">
        <f t="shared" ca="1" si="1"/>
        <v>#NAME?</v>
      </c>
      <c r="T225" s="147" t="e">
        <f t="shared" ca="1" si="2"/>
        <v>#NAME?</v>
      </c>
      <c r="U225" s="147" t="e">
        <f t="shared" ca="1" si="3"/>
        <v>#NAME?</v>
      </c>
      <c r="X225" s="147"/>
      <c r="Y225" s="147"/>
      <c r="Z225" s="147"/>
      <c r="AA225" s="147"/>
      <c r="AB225" s="147"/>
      <c r="AC225" s="147"/>
      <c r="AD225" s="147"/>
      <c r="AE225" s="147"/>
      <c r="AF225" s="147"/>
      <c r="AG225" s="147"/>
      <c r="AH225" s="147"/>
      <c r="AI225" s="147"/>
      <c r="AJ225" s="147"/>
      <c r="AK225" s="147"/>
      <c r="AL225" s="147"/>
      <c r="AM225" s="147"/>
      <c r="AN225" s="147"/>
      <c r="AO225" s="147"/>
      <c r="AP225" s="147"/>
      <c r="AQ225" s="147"/>
    </row>
    <row r="226" spans="1:43">
      <c r="A226" s="155" t="str">
        <f ca="1">IFERROR(__xludf.DUMMYFUNCTION("""COMPUTED_VALUE"""),"183340")</f>
        <v>183340</v>
      </c>
      <c r="B226" s="154" t="str">
        <f ca="1">IFERROR(__xludf.DUMMYFUNCTION("""COMPUTED_VALUE"""),"TRƯƠNG TRUNG THIÊN")</f>
        <v>TRƯƠNG TRUNG THIÊN</v>
      </c>
      <c r="C226" s="155" t="str">
        <f ca="1">IFERROR(__xludf.DUMMYFUNCTION("""COMPUTED_VALUE"""),"EL022")</f>
        <v>EL022</v>
      </c>
      <c r="D226" s="155" t="str">
        <f ca="1">IFERROR(__xludf.DUMMYFUNCTION("""COMPUTED_VALUE"""),"Thien Truong")</f>
        <v>Thien Truong</v>
      </c>
      <c r="E226" s="154" t="str">
        <f ca="1">IFERROR(__xludf.DUMMYFUNCTION("""COMPUTED_VALUE"""),"Communication 3")</f>
        <v>Communication 3</v>
      </c>
      <c r="F226" s="3"/>
      <c r="G226" s="3"/>
      <c r="H226" s="156">
        <f ca="1">IFERROR(__xludf.DUMMYFUNCTION("""COMPUTED_VALUE"""),46084.5833333333)</f>
        <v>46084.583333333299</v>
      </c>
      <c r="I226" s="156">
        <f ca="1">IFERROR(__xludf.DUMMYFUNCTION("""COMPUTED_VALUE"""),45670.5416666666)</f>
        <v>45670.541666666599</v>
      </c>
      <c r="J226" s="3" t="str">
        <f ca="1">IFERROR(__xludf.DUMMYFUNCTION("""COMPUTED_VALUE"""),"")</f>
        <v/>
      </c>
      <c r="K226" s="3" t="str">
        <f ca="1">IFERROR(__xludf.DUMMYFUNCTION("""COMPUTED_VALUE"""),"")</f>
        <v/>
      </c>
      <c r="L226" s="3" t="str">
        <f ca="1">IFERROR(__xludf.DUMMYFUNCTION("""COMPUTED_VALUE"""),"DEV")</f>
        <v>DEV</v>
      </c>
      <c r="M226" s="3" t="str">
        <f ca="1">IFERROR(__xludf.DUMMYFUNCTION("""COMPUTED_VALUE"""),"POC")</f>
        <v>POC</v>
      </c>
      <c r="N226" s="157">
        <f ca="1">IFERROR(__xludf.DUMMYFUNCTION("""COMPUTED_VALUE"""),1)</f>
        <v>1</v>
      </c>
      <c r="O226" s="157">
        <f ca="1">IFERROR(__xludf.DUMMYFUNCTION("""COMPUTED_VALUE"""),3.5)</f>
        <v>3.5</v>
      </c>
      <c r="P226" s="157"/>
      <c r="Q226" s="3">
        <f t="shared" ca="1" si="0"/>
        <v>225</v>
      </c>
      <c r="R226" s="148" t="e">
        <f ca="1"/>
        <v>#NAME?</v>
      </c>
      <c r="S226" s="147" t="e">
        <f t="shared" ca="1" si="1"/>
        <v>#NAME?</v>
      </c>
      <c r="T226" s="147" t="e">
        <f t="shared" ca="1" si="2"/>
        <v>#NAME?</v>
      </c>
      <c r="U226" s="147" t="e">
        <f t="shared" ca="1" si="3"/>
        <v>#NAME?</v>
      </c>
      <c r="X226" s="147"/>
      <c r="Y226" s="147"/>
      <c r="Z226" s="147"/>
      <c r="AA226" s="147"/>
      <c r="AB226" s="147"/>
      <c r="AC226" s="147"/>
      <c r="AD226" s="147"/>
      <c r="AE226" s="147"/>
      <c r="AF226" s="147"/>
      <c r="AG226" s="147"/>
      <c r="AH226" s="147"/>
      <c r="AI226" s="147"/>
      <c r="AJ226" s="147"/>
      <c r="AK226" s="147"/>
      <c r="AL226" s="147"/>
      <c r="AM226" s="147"/>
      <c r="AN226" s="147"/>
      <c r="AO226" s="147"/>
      <c r="AP226" s="147"/>
      <c r="AQ226" s="147"/>
    </row>
    <row r="227" spans="1:43">
      <c r="A227" s="160" t="str">
        <f ca="1">IFERROR(__xludf.DUMMYFUNCTION("""COMPUTED_VALUE"""),"193534")</f>
        <v>193534</v>
      </c>
      <c r="B227" s="3" t="str">
        <f ca="1">IFERROR(__xludf.DUMMYFUNCTION("""COMPUTED_VALUE"""),"LÊ HỒNG QUÂN")</f>
        <v>LÊ HỒNG QUÂN</v>
      </c>
      <c r="C227" s="160" t="str">
        <f ca="1">IFERROR(__xludf.DUMMYFUNCTION("""COMPUTED_VALUE"""),"EL022")</f>
        <v>EL022</v>
      </c>
      <c r="D227" s="160" t="str">
        <f ca="1">IFERROR(__xludf.DUMMYFUNCTION("""COMPUTED_VALUE"""),"Thien Truong")</f>
        <v>Thien Truong</v>
      </c>
      <c r="E227" s="3" t="str">
        <f ca="1">IFERROR(__xludf.DUMMYFUNCTION("""COMPUTED_VALUE"""),"Communication 3")</f>
        <v>Communication 3</v>
      </c>
      <c r="F227" s="3"/>
      <c r="G227" s="3"/>
      <c r="H227" s="156">
        <f ca="1">IFERROR(__xludf.DUMMYFUNCTION("""COMPUTED_VALUE"""),46084.5833333333)</f>
        <v>46084.583333333299</v>
      </c>
      <c r="I227" s="156">
        <f ca="1">IFERROR(__xludf.DUMMYFUNCTION("""COMPUTED_VALUE"""),45670.5416666666)</f>
        <v>45670.541666666599</v>
      </c>
      <c r="J227" s="3" t="str">
        <f ca="1">IFERROR(__xludf.DUMMYFUNCTION("""COMPUTED_VALUE"""),"")</f>
        <v/>
      </c>
      <c r="K227" s="3" t="str">
        <f ca="1">IFERROR(__xludf.DUMMYFUNCTION("""COMPUTED_VALUE"""),"")</f>
        <v/>
      </c>
      <c r="L227" s="3" t="str">
        <f ca="1">IFERROR(__xludf.DUMMYFUNCTION("""COMPUTED_VALUE"""),"DEV")</f>
        <v>DEV</v>
      </c>
      <c r="M227" s="3" t="str">
        <f ca="1">IFERROR(__xludf.DUMMYFUNCTION("""COMPUTED_VALUE"""),"POC")</f>
        <v>POC</v>
      </c>
      <c r="N227" s="157">
        <f ca="1">IFERROR(__xludf.DUMMYFUNCTION("""COMPUTED_VALUE"""),1)</f>
        <v>1</v>
      </c>
      <c r="O227" s="157">
        <f ca="1">IFERROR(__xludf.DUMMYFUNCTION("""COMPUTED_VALUE"""),3.5)</f>
        <v>3.5</v>
      </c>
      <c r="P227" s="157"/>
      <c r="Q227" s="3">
        <f t="shared" ca="1" si="0"/>
        <v>226</v>
      </c>
      <c r="R227" s="148" t="e">
        <f ca="1"/>
        <v>#NAME?</v>
      </c>
      <c r="S227" s="147" t="e">
        <f t="shared" ca="1" si="1"/>
        <v>#NAME?</v>
      </c>
      <c r="T227" s="147" t="e">
        <f t="shared" ca="1" si="2"/>
        <v>#NAME?</v>
      </c>
      <c r="U227" s="147" t="e">
        <f t="shared" ca="1" si="3"/>
        <v>#NAME?</v>
      </c>
      <c r="X227" s="147"/>
      <c r="Y227" s="147"/>
      <c r="Z227" s="147"/>
      <c r="AA227" s="147"/>
      <c r="AB227" s="147"/>
      <c r="AC227" s="147"/>
      <c r="AD227" s="147"/>
      <c r="AE227" s="147"/>
      <c r="AF227" s="147"/>
      <c r="AG227" s="147"/>
      <c r="AH227" s="147"/>
      <c r="AI227" s="147"/>
      <c r="AJ227" s="147"/>
      <c r="AK227" s="147"/>
      <c r="AL227" s="147"/>
      <c r="AM227" s="147"/>
      <c r="AN227" s="147"/>
      <c r="AO227" s="147"/>
      <c r="AP227" s="147"/>
      <c r="AQ227" s="147"/>
    </row>
    <row r="228" spans="1:43">
      <c r="A228" s="160" t="str">
        <f ca="1">IFERROR(__xludf.DUMMYFUNCTION("""COMPUTED_VALUE"""),"227047")</f>
        <v>227047</v>
      </c>
      <c r="B228" s="3" t="str">
        <f ca="1">IFERROR(__xludf.DUMMYFUNCTION("""COMPUTED_VALUE"""),"LÊ THANH SƠN")</f>
        <v>LÊ THANH SƠN</v>
      </c>
      <c r="C228" s="160" t="str">
        <f ca="1">IFERROR(__xludf.DUMMYFUNCTION("""COMPUTED_VALUE"""),"EL022")</f>
        <v>EL022</v>
      </c>
      <c r="D228" s="160" t="str">
        <f ca="1">IFERROR(__xludf.DUMMYFUNCTION("""COMPUTED_VALUE"""),"Thien Truong")</f>
        <v>Thien Truong</v>
      </c>
      <c r="E228" s="3" t="str">
        <f ca="1">IFERROR(__xludf.DUMMYFUNCTION("""COMPUTED_VALUE"""),"Communication 3")</f>
        <v>Communication 3</v>
      </c>
      <c r="F228" s="3"/>
      <c r="G228" s="3"/>
      <c r="H228" s="156">
        <f ca="1">IFERROR(__xludf.DUMMYFUNCTION("""COMPUTED_VALUE"""),46084.5833333333)</f>
        <v>46084.583333333299</v>
      </c>
      <c r="I228" s="156">
        <f ca="1">IFERROR(__xludf.DUMMYFUNCTION("""COMPUTED_VALUE"""),45670.5416666666)</f>
        <v>45670.541666666599</v>
      </c>
      <c r="J228" s="3" t="str">
        <f ca="1">IFERROR(__xludf.DUMMYFUNCTION("""COMPUTED_VALUE"""),"")</f>
        <v/>
      </c>
      <c r="K228" s="3" t="str">
        <f ca="1">IFERROR(__xludf.DUMMYFUNCTION("""COMPUTED_VALUE"""),"")</f>
        <v/>
      </c>
      <c r="L228" s="3" t="str">
        <f ca="1">IFERROR(__xludf.DUMMYFUNCTION("""COMPUTED_VALUE"""),"DEV")</f>
        <v>DEV</v>
      </c>
      <c r="M228" s="3" t="str">
        <f ca="1">IFERROR(__xludf.DUMMYFUNCTION("""COMPUTED_VALUE"""),"POC")</f>
        <v>POC</v>
      </c>
      <c r="N228" s="157">
        <f ca="1">IFERROR(__xludf.DUMMYFUNCTION("""COMPUTED_VALUE"""),1)</f>
        <v>1</v>
      </c>
      <c r="O228" s="157">
        <f ca="1">IFERROR(__xludf.DUMMYFUNCTION("""COMPUTED_VALUE"""),3.5)</f>
        <v>3.5</v>
      </c>
      <c r="P228" s="157"/>
      <c r="Q228" s="3">
        <f t="shared" ca="1" si="0"/>
        <v>227</v>
      </c>
      <c r="R228" s="148" t="e">
        <f ca="1"/>
        <v>#NAME?</v>
      </c>
      <c r="S228" s="147" t="e">
        <f t="shared" ca="1" si="1"/>
        <v>#NAME?</v>
      </c>
      <c r="T228" s="147" t="e">
        <f t="shared" ca="1" si="2"/>
        <v>#NAME?</v>
      </c>
      <c r="U228" s="147" t="e">
        <f t="shared" ca="1" si="3"/>
        <v>#NAME?</v>
      </c>
      <c r="X228" s="147"/>
      <c r="Y228" s="147"/>
      <c r="Z228" s="147"/>
      <c r="AA228" s="147"/>
      <c r="AB228" s="147"/>
      <c r="AC228" s="147"/>
      <c r="AD228" s="147"/>
      <c r="AE228" s="147"/>
      <c r="AF228" s="147"/>
      <c r="AG228" s="147"/>
      <c r="AH228" s="147"/>
      <c r="AI228" s="147"/>
      <c r="AJ228" s="147"/>
      <c r="AK228" s="147"/>
      <c r="AL228" s="147"/>
      <c r="AM228" s="147"/>
      <c r="AN228" s="147"/>
      <c r="AO228" s="147"/>
      <c r="AP228" s="147"/>
      <c r="AQ228" s="147"/>
    </row>
    <row r="229" spans="1:43">
      <c r="A229" s="160" t="str">
        <f ca="1">IFERROR(__xludf.DUMMYFUNCTION("""COMPUTED_VALUE"""),"173230")</f>
        <v>173230</v>
      </c>
      <c r="B229" s="3" t="str">
        <f ca="1">IFERROR(__xludf.DUMMYFUNCTION("""COMPUTED_VALUE"""),"LÊ THỊ THU HIỀN")</f>
        <v>LÊ THỊ THU HIỀN</v>
      </c>
      <c r="C229" s="160" t="str">
        <f ca="1">IFERROR(__xludf.DUMMYFUNCTION("""COMPUTED_VALUE"""),"EL022")</f>
        <v>EL022</v>
      </c>
      <c r="D229" s="160" t="str">
        <f ca="1">IFERROR(__xludf.DUMMYFUNCTION("""COMPUTED_VALUE"""),"Thien Truong")</f>
        <v>Thien Truong</v>
      </c>
      <c r="E229" s="3" t="str">
        <f ca="1">IFERROR(__xludf.DUMMYFUNCTION("""COMPUTED_VALUE"""),"Communication 3")</f>
        <v>Communication 3</v>
      </c>
      <c r="F229" s="3"/>
      <c r="G229" s="3"/>
      <c r="H229" s="156">
        <f ca="1">IFERROR(__xludf.DUMMYFUNCTION("""COMPUTED_VALUE"""),46084.5833333333)</f>
        <v>46084.583333333299</v>
      </c>
      <c r="I229" s="156">
        <f ca="1">IFERROR(__xludf.DUMMYFUNCTION("""COMPUTED_VALUE"""),45700.4166666666)</f>
        <v>45700.416666666599</v>
      </c>
      <c r="J229" s="3" t="str">
        <f ca="1">IFERROR(__xludf.DUMMYFUNCTION("""COMPUTED_VALUE"""),"")</f>
        <v/>
      </c>
      <c r="K229" s="3" t="str">
        <f ca="1">IFERROR(__xludf.DUMMYFUNCTION("""COMPUTED_VALUE"""),"")</f>
        <v/>
      </c>
      <c r="L229" s="3" t="str">
        <f ca="1">IFERROR(__xludf.DUMMYFUNCTION("""COMPUTED_VALUE"""),"QC")</f>
        <v>QC</v>
      </c>
      <c r="M229" s="3" t="str">
        <f ca="1">IFERROR(__xludf.DUMMYFUNCTION("""COMPUTED_VALUE"""),"POC")</f>
        <v>POC</v>
      </c>
      <c r="N229" s="157">
        <f ca="1">IFERROR(__xludf.DUMMYFUNCTION("""COMPUTED_VALUE"""),1)</f>
        <v>1</v>
      </c>
      <c r="O229" s="157">
        <f ca="1">IFERROR(__xludf.DUMMYFUNCTION("""COMPUTED_VALUE"""),3.5)</f>
        <v>3.5</v>
      </c>
      <c r="P229" s="157"/>
      <c r="Q229" s="3">
        <f t="shared" ca="1" si="0"/>
        <v>228</v>
      </c>
      <c r="R229" s="148" t="e">
        <f ca="1"/>
        <v>#NAME?</v>
      </c>
      <c r="S229" s="147" t="e">
        <f t="shared" ca="1" si="1"/>
        <v>#NAME?</v>
      </c>
      <c r="T229" s="147" t="e">
        <f t="shared" ca="1" si="2"/>
        <v>#NAME?</v>
      </c>
      <c r="U229" s="147" t="e">
        <f t="shared" ca="1" si="3"/>
        <v>#NAME?</v>
      </c>
      <c r="X229" s="147"/>
      <c r="Y229" s="147"/>
      <c r="Z229" s="147"/>
      <c r="AA229" s="147"/>
      <c r="AB229" s="147"/>
      <c r="AC229" s="147"/>
      <c r="AD229" s="147"/>
      <c r="AE229" s="147"/>
      <c r="AF229" s="147"/>
      <c r="AG229" s="147"/>
      <c r="AH229" s="147"/>
      <c r="AI229" s="147"/>
      <c r="AJ229" s="147"/>
      <c r="AK229" s="147"/>
      <c r="AL229" s="147"/>
      <c r="AM229" s="147"/>
      <c r="AN229" s="147"/>
      <c r="AO229" s="147"/>
      <c r="AP229" s="147"/>
      <c r="AQ229" s="147"/>
    </row>
    <row r="230" spans="1:43">
      <c r="A230" s="160" t="str">
        <f ca="1">IFERROR(__xludf.DUMMYFUNCTION("""COMPUTED_VALUE"""),"133051")</f>
        <v>133051</v>
      </c>
      <c r="B230" s="3" t="str">
        <f ca="1">IFERROR(__xludf.DUMMYFUNCTION("""COMPUTED_VALUE"""),"LÝ KHÁNH LONG")</f>
        <v>LÝ KHÁNH LONG</v>
      </c>
      <c r="C230" s="160" t="str">
        <f ca="1">IFERROR(__xludf.DUMMYFUNCTION("""COMPUTED_VALUE"""),"EL022")</f>
        <v>EL022</v>
      </c>
      <c r="D230" s="160" t="str">
        <f ca="1">IFERROR(__xludf.DUMMYFUNCTION("""COMPUTED_VALUE"""),"Thien Truong")</f>
        <v>Thien Truong</v>
      </c>
      <c r="E230" s="3" t="str">
        <f ca="1">IFERROR(__xludf.DUMMYFUNCTION("""COMPUTED_VALUE"""),"Communication 3")</f>
        <v>Communication 3</v>
      </c>
      <c r="F230" s="3"/>
      <c r="G230" s="3"/>
      <c r="H230" s="156">
        <f ca="1">IFERROR(__xludf.DUMMYFUNCTION("""COMPUTED_VALUE"""),46084.5833333333)</f>
        <v>46084.583333333299</v>
      </c>
      <c r="I230" s="156">
        <f ca="1">IFERROR(__xludf.DUMMYFUNCTION("""COMPUTED_VALUE"""),45670.5416666666)</f>
        <v>45670.541666666599</v>
      </c>
      <c r="J230" s="3" t="str">
        <f ca="1">IFERROR(__xludf.DUMMYFUNCTION("""COMPUTED_VALUE"""),"")</f>
        <v/>
      </c>
      <c r="K230" s="3" t="str">
        <f ca="1">IFERROR(__xludf.DUMMYFUNCTION("""COMPUTED_VALUE"""),"")</f>
        <v/>
      </c>
      <c r="L230" s="3" t="str">
        <f ca="1">IFERROR(__xludf.DUMMYFUNCTION("""COMPUTED_VALUE"""),"DEV")</f>
        <v>DEV</v>
      </c>
      <c r="M230" s="3" t="str">
        <f ca="1">IFERROR(__xludf.DUMMYFUNCTION("""COMPUTED_VALUE"""),"TBU")</f>
        <v>TBU</v>
      </c>
      <c r="N230" s="157">
        <f ca="1">IFERROR(__xludf.DUMMYFUNCTION("""COMPUTED_VALUE"""),1)</f>
        <v>1</v>
      </c>
      <c r="O230" s="157">
        <f ca="1">IFERROR(__xludf.DUMMYFUNCTION("""COMPUTED_VALUE"""),1.5)</f>
        <v>1.5</v>
      </c>
      <c r="P230" s="157"/>
      <c r="Q230" s="3">
        <f t="shared" ca="1" si="0"/>
        <v>229</v>
      </c>
      <c r="R230" s="148" t="e">
        <f ca="1"/>
        <v>#NAME?</v>
      </c>
      <c r="S230" s="147" t="e">
        <f t="shared" ca="1" si="1"/>
        <v>#NAME?</v>
      </c>
      <c r="T230" s="147" t="e">
        <f t="shared" ca="1" si="2"/>
        <v>#NAME?</v>
      </c>
      <c r="U230" s="147" t="e">
        <f t="shared" ca="1" si="3"/>
        <v>#NAME?</v>
      </c>
      <c r="X230" s="147"/>
      <c r="Y230" s="147"/>
      <c r="Z230" s="147"/>
      <c r="AA230" s="147"/>
      <c r="AB230" s="147"/>
      <c r="AC230" s="147"/>
      <c r="AD230" s="147"/>
      <c r="AE230" s="147"/>
      <c r="AF230" s="147"/>
      <c r="AG230" s="147"/>
      <c r="AH230" s="147"/>
      <c r="AI230" s="147"/>
      <c r="AJ230" s="147"/>
      <c r="AK230" s="147"/>
      <c r="AL230" s="147"/>
      <c r="AM230" s="147"/>
      <c r="AN230" s="147"/>
      <c r="AO230" s="147"/>
      <c r="AP230" s="147"/>
      <c r="AQ230" s="147"/>
    </row>
    <row r="231" spans="1:43">
      <c r="A231" s="160" t="str">
        <f ca="1">IFERROR(__xludf.DUMMYFUNCTION("""COMPUTED_VALUE"""),"143079")</f>
        <v>143079</v>
      </c>
      <c r="B231" s="3" t="str">
        <f ca="1">IFERROR(__xludf.DUMMYFUNCTION("""COMPUTED_VALUE"""),"LÝ THỊ DIỄM MY")</f>
        <v>LÝ THỊ DIỄM MY</v>
      </c>
      <c r="C231" s="160" t="str">
        <f ca="1">IFERROR(__xludf.DUMMYFUNCTION("""COMPUTED_VALUE"""),"EL022")</f>
        <v>EL022</v>
      </c>
      <c r="D231" s="160" t="str">
        <f ca="1">IFERROR(__xludf.DUMMYFUNCTION("""COMPUTED_VALUE"""),"Thien Truong")</f>
        <v>Thien Truong</v>
      </c>
      <c r="E231" s="3" t="str">
        <f ca="1">IFERROR(__xludf.DUMMYFUNCTION("""COMPUTED_VALUE"""),"Communication 3")</f>
        <v>Communication 3</v>
      </c>
      <c r="F231" s="3"/>
      <c r="G231" s="3"/>
      <c r="H231" s="156">
        <f ca="1">IFERROR(__xludf.DUMMYFUNCTION("""COMPUTED_VALUE"""),46084.5833333333)</f>
        <v>46084.583333333299</v>
      </c>
      <c r="I231" s="156">
        <f ca="1">IFERROR(__xludf.DUMMYFUNCTION("""COMPUTED_VALUE"""),45700.4166666666)</f>
        <v>45700.416666666599</v>
      </c>
      <c r="J231" s="3" t="str">
        <f ca="1">IFERROR(__xludf.DUMMYFUNCTION("""COMPUTED_VALUE"""),"")</f>
        <v/>
      </c>
      <c r="K231" s="3" t="str">
        <f ca="1">IFERROR(__xludf.DUMMYFUNCTION("""COMPUTED_VALUE"""),"")</f>
        <v/>
      </c>
      <c r="L231" s="3" t="str">
        <f ca="1">IFERROR(__xludf.DUMMYFUNCTION("""COMPUTED_VALUE"""),"QC")</f>
        <v>QC</v>
      </c>
      <c r="M231" s="3" t="str">
        <f ca="1">IFERROR(__xludf.DUMMYFUNCTION("""COMPUTED_VALUE"""),"POC")</f>
        <v>POC</v>
      </c>
      <c r="N231" s="157">
        <f ca="1">IFERROR(__xludf.DUMMYFUNCTION("""COMPUTED_VALUE"""),1)</f>
        <v>1</v>
      </c>
      <c r="O231" s="157">
        <f ca="1">IFERROR(__xludf.DUMMYFUNCTION("""COMPUTED_VALUE"""),2)</f>
        <v>2</v>
      </c>
      <c r="P231" s="157"/>
      <c r="Q231" s="3">
        <f t="shared" ca="1" si="0"/>
        <v>230</v>
      </c>
      <c r="R231" s="148" t="e">
        <f ca="1"/>
        <v>#NAME?</v>
      </c>
      <c r="S231" s="147" t="e">
        <f t="shared" ca="1" si="1"/>
        <v>#NAME?</v>
      </c>
      <c r="T231" s="147" t="e">
        <f t="shared" ca="1" si="2"/>
        <v>#NAME?</v>
      </c>
      <c r="U231" s="147" t="e">
        <f t="shared" ca="1" si="3"/>
        <v>#NAME?</v>
      </c>
      <c r="X231" s="147"/>
      <c r="Y231" s="147"/>
      <c r="Z231" s="147"/>
      <c r="AA231" s="147"/>
      <c r="AB231" s="147"/>
      <c r="AC231" s="147"/>
      <c r="AD231" s="147"/>
      <c r="AE231" s="147"/>
      <c r="AF231" s="147"/>
      <c r="AG231" s="147"/>
      <c r="AH231" s="147"/>
      <c r="AI231" s="147"/>
      <c r="AJ231" s="147"/>
      <c r="AK231" s="147"/>
      <c r="AL231" s="147"/>
      <c r="AM231" s="147"/>
      <c r="AN231" s="147"/>
      <c r="AO231" s="147"/>
      <c r="AP231" s="147"/>
      <c r="AQ231" s="147"/>
    </row>
    <row r="232" spans="1:43">
      <c r="A232" s="160" t="str">
        <f ca="1">IFERROR(__xludf.DUMMYFUNCTION("""COMPUTED_VALUE"""),"227048")</f>
        <v>227048</v>
      </c>
      <c r="B232" s="3" t="str">
        <f ca="1">IFERROR(__xludf.DUMMYFUNCTION("""COMPUTED_VALUE"""),"NGUYỄN LÝ KHÁNH HUY")</f>
        <v>NGUYỄN LÝ KHÁNH HUY</v>
      </c>
      <c r="C232" s="160" t="str">
        <f ca="1">IFERROR(__xludf.DUMMYFUNCTION("""COMPUTED_VALUE"""),"EL022")</f>
        <v>EL022</v>
      </c>
      <c r="D232" s="160" t="str">
        <f ca="1">IFERROR(__xludf.DUMMYFUNCTION("""COMPUTED_VALUE"""),"Thien Truong")</f>
        <v>Thien Truong</v>
      </c>
      <c r="E232" s="3" t="str">
        <f ca="1">IFERROR(__xludf.DUMMYFUNCTION("""COMPUTED_VALUE"""),"Communication 3")</f>
        <v>Communication 3</v>
      </c>
      <c r="F232" s="3"/>
      <c r="G232" s="3"/>
      <c r="H232" s="156">
        <f ca="1">IFERROR(__xludf.DUMMYFUNCTION("""COMPUTED_VALUE"""),46084.5833333333)</f>
        <v>46084.583333333299</v>
      </c>
      <c r="I232" s="156">
        <f ca="1">IFERROR(__xludf.DUMMYFUNCTION("""COMPUTED_VALUE"""),45670.5416666666)</f>
        <v>45670.541666666599</v>
      </c>
      <c r="J232" s="3" t="str">
        <f ca="1">IFERROR(__xludf.DUMMYFUNCTION("""COMPUTED_VALUE"""),"")</f>
        <v/>
      </c>
      <c r="K232" s="3" t="str">
        <f ca="1">IFERROR(__xludf.DUMMYFUNCTION("""COMPUTED_VALUE"""),"")</f>
        <v/>
      </c>
      <c r="L232" s="3" t="str">
        <f ca="1">IFERROR(__xludf.DUMMYFUNCTION("""COMPUTED_VALUE"""),"DEV")</f>
        <v>DEV</v>
      </c>
      <c r="M232" s="3" t="str">
        <f ca="1">IFERROR(__xludf.DUMMYFUNCTION("""COMPUTED_VALUE"""),"POC")</f>
        <v>POC</v>
      </c>
      <c r="N232" s="157">
        <f ca="1">IFERROR(__xludf.DUMMYFUNCTION("""COMPUTED_VALUE"""),1)</f>
        <v>1</v>
      </c>
      <c r="O232" s="157">
        <f ca="1">IFERROR(__xludf.DUMMYFUNCTION("""COMPUTED_VALUE"""),4)</f>
        <v>4</v>
      </c>
      <c r="P232" s="157"/>
      <c r="Q232" s="3">
        <f t="shared" ca="1" si="0"/>
        <v>231</v>
      </c>
      <c r="R232" s="148" t="e">
        <f ca="1"/>
        <v>#NAME?</v>
      </c>
      <c r="S232" s="147" t="e">
        <f t="shared" ca="1" si="1"/>
        <v>#NAME?</v>
      </c>
      <c r="T232" s="147" t="e">
        <f t="shared" ca="1" si="2"/>
        <v>#NAME?</v>
      </c>
      <c r="U232" s="147" t="e">
        <f t="shared" ca="1" si="3"/>
        <v>#NAME?</v>
      </c>
      <c r="X232" s="147"/>
      <c r="Y232" s="147"/>
      <c r="Z232" s="147"/>
      <c r="AA232" s="147"/>
      <c r="AB232" s="147"/>
      <c r="AC232" s="147"/>
      <c r="AD232" s="147"/>
      <c r="AE232" s="147"/>
      <c r="AF232" s="147"/>
      <c r="AG232" s="147"/>
      <c r="AH232" s="147"/>
      <c r="AI232" s="147"/>
      <c r="AJ232" s="147"/>
      <c r="AK232" s="147"/>
      <c r="AL232" s="147"/>
      <c r="AM232" s="147"/>
      <c r="AN232" s="147"/>
      <c r="AO232" s="147"/>
      <c r="AP232" s="147"/>
      <c r="AQ232" s="147"/>
    </row>
    <row r="233" spans="1:43">
      <c r="A233" s="160" t="str">
        <f ca="1">IFERROR(__xludf.DUMMYFUNCTION("""COMPUTED_VALUE"""),"227122")</f>
        <v>227122</v>
      </c>
      <c r="B233" s="3" t="str">
        <f ca="1">IFERROR(__xludf.DUMMYFUNCTION("""COMPUTED_VALUE"""),"NGUYỄN THỊ NGỌC DUNG")</f>
        <v>NGUYỄN THỊ NGỌC DUNG</v>
      </c>
      <c r="C233" s="160" t="str">
        <f ca="1">IFERROR(__xludf.DUMMYFUNCTION("""COMPUTED_VALUE"""),"EL022")</f>
        <v>EL022</v>
      </c>
      <c r="D233" s="160" t="str">
        <f ca="1">IFERROR(__xludf.DUMMYFUNCTION("""COMPUTED_VALUE"""),"Thien Truong")</f>
        <v>Thien Truong</v>
      </c>
      <c r="E233" s="3" t="str">
        <f ca="1">IFERROR(__xludf.DUMMYFUNCTION("""COMPUTED_VALUE"""),"Communication 3")</f>
        <v>Communication 3</v>
      </c>
      <c r="F233" s="3"/>
      <c r="G233" s="3"/>
      <c r="H233" s="156">
        <f ca="1">IFERROR(__xludf.DUMMYFUNCTION("""COMPUTED_VALUE"""),46084.5833333333)</f>
        <v>46084.583333333299</v>
      </c>
      <c r="I233" s="156">
        <f ca="1">IFERROR(__xludf.DUMMYFUNCTION("""COMPUTED_VALUE"""),45700.4166666666)</f>
        <v>45700.416666666599</v>
      </c>
      <c r="J233" s="3" t="str">
        <f ca="1">IFERROR(__xludf.DUMMYFUNCTION("""COMPUTED_VALUE"""),"")</f>
        <v/>
      </c>
      <c r="K233" s="3" t="str">
        <f ca="1">IFERROR(__xludf.DUMMYFUNCTION("""COMPUTED_VALUE"""),"")</f>
        <v/>
      </c>
      <c r="L233" s="3" t="str">
        <f ca="1">IFERROR(__xludf.DUMMYFUNCTION("""COMPUTED_VALUE"""),"QC")</f>
        <v>QC</v>
      </c>
      <c r="M233" s="3" t="str">
        <f ca="1">IFERROR(__xludf.DUMMYFUNCTION("""COMPUTED_VALUE"""),"POC")</f>
        <v>POC</v>
      </c>
      <c r="N233" s="157">
        <f ca="1">IFERROR(__xludf.DUMMYFUNCTION("""COMPUTED_VALUE"""),1)</f>
        <v>1</v>
      </c>
      <c r="O233" s="157">
        <f ca="1">IFERROR(__xludf.DUMMYFUNCTION("""COMPUTED_VALUE"""),3.5)</f>
        <v>3.5</v>
      </c>
      <c r="P233" s="157"/>
      <c r="Q233" s="3">
        <f t="shared" ca="1" si="0"/>
        <v>232</v>
      </c>
      <c r="R233" s="148" t="e">
        <f ca="1"/>
        <v>#NAME?</v>
      </c>
      <c r="S233" s="147" t="e">
        <f t="shared" ca="1" si="1"/>
        <v>#NAME?</v>
      </c>
      <c r="T233" s="147" t="e">
        <f t="shared" ca="1" si="2"/>
        <v>#NAME?</v>
      </c>
      <c r="U233" s="147" t="e">
        <f t="shared" ca="1" si="3"/>
        <v>#NAME?</v>
      </c>
      <c r="X233" s="147"/>
      <c r="Y233" s="147"/>
      <c r="Z233" s="147"/>
      <c r="AA233" s="147"/>
      <c r="AB233" s="147"/>
      <c r="AC233" s="147"/>
      <c r="AD233" s="147"/>
      <c r="AE233" s="147"/>
      <c r="AF233" s="147"/>
      <c r="AG233" s="147"/>
      <c r="AH233" s="147"/>
      <c r="AI233" s="147"/>
      <c r="AJ233" s="147"/>
      <c r="AK233" s="147"/>
      <c r="AL233" s="147"/>
      <c r="AM233" s="147"/>
      <c r="AN233" s="147"/>
      <c r="AO233" s="147"/>
      <c r="AP233" s="147"/>
      <c r="AQ233" s="147"/>
    </row>
    <row r="234" spans="1:43">
      <c r="A234" s="155" t="str">
        <f ca="1">IFERROR(__xludf.DUMMYFUNCTION("""COMPUTED_VALUE"""),"163188")</f>
        <v>163188</v>
      </c>
      <c r="B234" s="154" t="str">
        <f ca="1">IFERROR(__xludf.DUMMYFUNCTION("""COMPUTED_VALUE"""),"LƯƠNG CÔNG KỲ")</f>
        <v>LƯƠNG CÔNG KỲ</v>
      </c>
      <c r="C234" s="155" t="str">
        <f ca="1">IFERROR(__xludf.DUMMYFUNCTION("""COMPUTED_VALUE"""),"EL023")</f>
        <v>EL023</v>
      </c>
      <c r="D234" s="155" t="str">
        <f ca="1">IFERROR(__xludf.DUMMYFUNCTION("""COMPUTED_VALUE"""),"Ky Luong")</f>
        <v>Ky Luong</v>
      </c>
      <c r="E234" s="154" t="str">
        <f ca="1">IFERROR(__xludf.DUMMYFUNCTION("""COMPUTED_VALUE"""),"Communication 1")</f>
        <v>Communication 1</v>
      </c>
      <c r="F234" s="3" t="str">
        <f ca="1">IFERROR(__xludf.DUMMYFUNCTION("""COMPUTED_VALUE"""),"Beginner")</f>
        <v>Beginner</v>
      </c>
      <c r="G234" s="3" t="str">
        <f ca="1">IFERROR(__xludf.DUMMYFUNCTION("""COMPUTED_VALUE"""),"Beginner 2")</f>
        <v>Beginner 2</v>
      </c>
      <c r="H234" s="156">
        <f ca="1">IFERROR(__xludf.DUMMYFUNCTION("""COMPUTED_VALUE"""),45765.375)</f>
        <v>45765.375</v>
      </c>
      <c r="I234" s="156">
        <f ca="1">IFERROR(__xludf.DUMMYFUNCTION("""COMPUTED_VALUE"""),45765.375)</f>
        <v>45765.375</v>
      </c>
      <c r="J234" s="3">
        <f ca="1">IFERROR(__xludf.DUMMYFUNCTION("""COMPUTED_VALUE"""),1)</f>
        <v>1</v>
      </c>
      <c r="K234" s="3">
        <f ca="1">IFERROR(__xludf.DUMMYFUNCTION("""COMPUTED_VALUE"""),1.5)</f>
        <v>1.5</v>
      </c>
      <c r="L234" s="3" t="str">
        <f ca="1">IFERROR(__xludf.DUMMYFUNCTION("""COMPUTED_VALUE"""),"DEV")</f>
        <v>DEV</v>
      </c>
      <c r="M234" s="3" t="str">
        <f ca="1">IFERROR(__xludf.DUMMYFUNCTION("""COMPUTED_VALUE"""),"MOC")</f>
        <v>MOC</v>
      </c>
      <c r="N234" s="157">
        <f ca="1">IFERROR(__xludf.DUMMYFUNCTION("""COMPUTED_VALUE"""),1)</f>
        <v>1</v>
      </c>
      <c r="O234" s="157">
        <f ca="1">IFERROR(__xludf.DUMMYFUNCTION("""COMPUTED_VALUE"""),5)</f>
        <v>5</v>
      </c>
      <c r="P234" s="157"/>
      <c r="Q234" s="3">
        <f t="shared" ca="1" si="0"/>
        <v>233</v>
      </c>
      <c r="R234" s="148" t="e">
        <f ca="1"/>
        <v>#NAME?</v>
      </c>
      <c r="S234" s="147" t="e">
        <f t="shared" ca="1" si="1"/>
        <v>#NAME?</v>
      </c>
      <c r="T234" s="147" t="e">
        <f t="shared" ca="1" si="2"/>
        <v>#NAME?</v>
      </c>
      <c r="U234" s="147" t="e">
        <f t="shared" ca="1" si="3"/>
        <v>#NAME?</v>
      </c>
      <c r="X234" s="147"/>
      <c r="Y234" s="147"/>
      <c r="Z234" s="147"/>
      <c r="AA234" s="147"/>
      <c r="AB234" s="147"/>
      <c r="AC234" s="147"/>
      <c r="AD234" s="147"/>
      <c r="AE234" s="147"/>
      <c r="AF234" s="147"/>
      <c r="AG234" s="147"/>
      <c r="AH234" s="147"/>
      <c r="AI234" s="147"/>
      <c r="AJ234" s="147"/>
      <c r="AK234" s="147"/>
      <c r="AL234" s="147"/>
      <c r="AM234" s="147"/>
      <c r="AN234" s="147"/>
      <c r="AO234" s="147"/>
      <c r="AP234" s="147"/>
      <c r="AQ234" s="147"/>
    </row>
    <row r="235" spans="1:43">
      <c r="A235" s="160" t="str">
        <f ca="1">IFERROR(__xludf.DUMMYFUNCTION("""COMPUTED_VALUE"""),"237157")</f>
        <v>237157</v>
      </c>
      <c r="B235" s="3" t="str">
        <f ca="1">IFERROR(__xludf.DUMMYFUNCTION("""COMPUTED_VALUE"""),"NGUYỄN BÁ NGỌC")</f>
        <v>NGUYỄN BÁ NGỌC</v>
      </c>
      <c r="C235" s="160" t="str">
        <f ca="1">IFERROR(__xludf.DUMMYFUNCTION("""COMPUTED_VALUE"""),"EL023")</f>
        <v>EL023</v>
      </c>
      <c r="D235" s="160" t="str">
        <f ca="1">IFERROR(__xludf.DUMMYFUNCTION("""COMPUTED_VALUE"""),"Ky Luong")</f>
        <v>Ky Luong</v>
      </c>
      <c r="E235" s="3" t="str">
        <f ca="1">IFERROR(__xludf.DUMMYFUNCTION("""COMPUTED_VALUE"""),"Communication 1")</f>
        <v>Communication 1</v>
      </c>
      <c r="F235" s="3" t="str">
        <f ca="1">IFERROR(__xludf.DUMMYFUNCTION("""COMPUTED_VALUE"""),"Beginner")</f>
        <v>Beginner</v>
      </c>
      <c r="G235" s="3" t="str">
        <f ca="1">IFERROR(__xludf.DUMMYFUNCTION("""COMPUTED_VALUE"""),"Pre-Intermediate 1")</f>
        <v>Pre-Intermediate 1</v>
      </c>
      <c r="H235" s="156">
        <f ca="1">IFERROR(__xludf.DUMMYFUNCTION("""COMPUTED_VALUE"""),45765.375)</f>
        <v>45765.375</v>
      </c>
      <c r="I235" s="156">
        <f ca="1">IFERROR(__xludf.DUMMYFUNCTION("""COMPUTED_VALUE"""),45765.375)</f>
        <v>45765.375</v>
      </c>
      <c r="J235" s="3">
        <f ca="1">IFERROR(__xludf.DUMMYFUNCTION("""COMPUTED_VALUE"""),1)</f>
        <v>1</v>
      </c>
      <c r="K235" s="3">
        <f ca="1">IFERROR(__xludf.DUMMYFUNCTION("""COMPUTED_VALUE"""),3)</f>
        <v>3</v>
      </c>
      <c r="L235" s="3" t="str">
        <f ca="1">IFERROR(__xludf.DUMMYFUNCTION("""COMPUTED_VALUE"""),"DEV")</f>
        <v>DEV</v>
      </c>
      <c r="M235" s="3" t="str">
        <f ca="1">IFERROR(__xludf.DUMMYFUNCTION("""COMPUTED_VALUE"""),"MOC")</f>
        <v>MOC</v>
      </c>
      <c r="N235" s="157">
        <f ca="1">IFERROR(__xludf.DUMMYFUNCTION("""COMPUTED_VALUE"""),1)</f>
        <v>1</v>
      </c>
      <c r="O235" s="157">
        <f ca="1">IFERROR(__xludf.DUMMYFUNCTION("""COMPUTED_VALUE"""),5)</f>
        <v>5</v>
      </c>
      <c r="P235" s="157"/>
      <c r="Q235" s="3">
        <f t="shared" ca="1" si="0"/>
        <v>234</v>
      </c>
      <c r="R235" s="148" t="e">
        <f ca="1"/>
        <v>#NAME?</v>
      </c>
      <c r="S235" s="147" t="e">
        <f t="shared" ca="1" si="1"/>
        <v>#NAME?</v>
      </c>
      <c r="T235" s="147" t="e">
        <f t="shared" ca="1" si="2"/>
        <v>#NAME?</v>
      </c>
      <c r="U235" s="147" t="e">
        <f t="shared" ca="1" si="3"/>
        <v>#NAME?</v>
      </c>
      <c r="X235" s="147"/>
      <c r="Y235" s="147"/>
      <c r="Z235" s="147"/>
      <c r="AA235" s="147"/>
      <c r="AB235" s="147"/>
      <c r="AC235" s="147"/>
      <c r="AD235" s="147"/>
      <c r="AE235" s="147"/>
      <c r="AF235" s="147"/>
      <c r="AG235" s="147"/>
      <c r="AH235" s="147"/>
      <c r="AI235" s="147"/>
      <c r="AJ235" s="147"/>
      <c r="AK235" s="147"/>
      <c r="AL235" s="147"/>
      <c r="AM235" s="147"/>
      <c r="AN235" s="147"/>
      <c r="AO235" s="147"/>
      <c r="AP235" s="147"/>
      <c r="AQ235" s="147"/>
    </row>
    <row r="236" spans="1:43">
      <c r="A236" s="160" t="str">
        <f ca="1">IFERROR(__xludf.DUMMYFUNCTION("""COMPUTED_VALUE"""),"227035")</f>
        <v>227035</v>
      </c>
      <c r="B236" s="3" t="str">
        <f ca="1">IFERROR(__xludf.DUMMYFUNCTION("""COMPUTED_VALUE"""),"NGUYỄN NHẬT HÀO")</f>
        <v>NGUYỄN NHẬT HÀO</v>
      </c>
      <c r="C236" s="160" t="str">
        <f ca="1">IFERROR(__xludf.DUMMYFUNCTION("""COMPUTED_VALUE"""),"EL023")</f>
        <v>EL023</v>
      </c>
      <c r="D236" s="160" t="str">
        <f ca="1">IFERROR(__xludf.DUMMYFUNCTION("""COMPUTED_VALUE"""),"Ky Luong")</f>
        <v>Ky Luong</v>
      </c>
      <c r="E236" s="3" t="str">
        <f ca="1">IFERROR(__xludf.DUMMYFUNCTION("""COMPUTED_VALUE"""),"Communication 1")</f>
        <v>Communication 1</v>
      </c>
      <c r="F236" s="3" t="str">
        <f ca="1">IFERROR(__xludf.DUMMYFUNCTION("""COMPUTED_VALUE"""),"Beginner")</f>
        <v>Beginner</v>
      </c>
      <c r="G236" s="3" t="str">
        <f ca="1">IFERROR(__xludf.DUMMYFUNCTION("""COMPUTED_VALUE"""),"Beginner")</f>
        <v>Beginner</v>
      </c>
      <c r="H236" s="156">
        <f ca="1">IFERROR(__xludf.DUMMYFUNCTION("""COMPUTED_VALUE"""),45765.375)</f>
        <v>45765.375</v>
      </c>
      <c r="I236" s="156">
        <f ca="1">IFERROR(__xludf.DUMMYFUNCTION("""COMPUTED_VALUE"""),45765.375)</f>
        <v>45765.375</v>
      </c>
      <c r="J236" s="3">
        <f ca="1">IFERROR(__xludf.DUMMYFUNCTION("""COMPUTED_VALUE"""),1)</f>
        <v>1</v>
      </c>
      <c r="K236" s="3">
        <f ca="1">IFERROR(__xludf.DUMMYFUNCTION("""COMPUTED_VALUE"""),1)</f>
        <v>1</v>
      </c>
      <c r="L236" s="3" t="str">
        <f ca="1">IFERROR(__xludf.DUMMYFUNCTION("""COMPUTED_VALUE"""),"DEV")</f>
        <v>DEV</v>
      </c>
      <c r="M236" s="3" t="str">
        <f ca="1">IFERROR(__xludf.DUMMYFUNCTION("""COMPUTED_VALUE"""),"LBU")</f>
        <v>LBU</v>
      </c>
      <c r="N236" s="157">
        <f ca="1">IFERROR(__xludf.DUMMYFUNCTION("""COMPUTED_VALUE"""),1)</f>
        <v>1</v>
      </c>
      <c r="O236" s="157">
        <f ca="1">IFERROR(__xludf.DUMMYFUNCTION("""COMPUTED_VALUE"""),3)</f>
        <v>3</v>
      </c>
      <c r="P236" s="157"/>
      <c r="Q236" s="3">
        <f t="shared" ca="1" si="0"/>
        <v>235</v>
      </c>
      <c r="R236" s="148" t="e">
        <f ca="1"/>
        <v>#NAME?</v>
      </c>
      <c r="S236" s="147" t="e">
        <f t="shared" ca="1" si="1"/>
        <v>#NAME?</v>
      </c>
      <c r="T236" s="147" t="e">
        <f t="shared" ca="1" si="2"/>
        <v>#NAME?</v>
      </c>
      <c r="U236" s="147" t="e">
        <f t="shared" ca="1" si="3"/>
        <v>#NAME?</v>
      </c>
      <c r="X236" s="147"/>
      <c r="Y236" s="147"/>
      <c r="Z236" s="147"/>
      <c r="AA236" s="147"/>
      <c r="AB236" s="147"/>
      <c r="AC236" s="147"/>
      <c r="AD236" s="147"/>
      <c r="AE236" s="147"/>
      <c r="AF236" s="147"/>
      <c r="AG236" s="147"/>
      <c r="AH236" s="147"/>
      <c r="AI236" s="147"/>
      <c r="AJ236" s="147"/>
      <c r="AK236" s="147"/>
      <c r="AL236" s="147"/>
      <c r="AM236" s="147"/>
      <c r="AN236" s="147"/>
      <c r="AO236" s="147"/>
      <c r="AP236" s="147"/>
      <c r="AQ236" s="147"/>
    </row>
    <row r="237" spans="1:43">
      <c r="A237" s="160" t="str">
        <f ca="1">IFERROR(__xludf.DUMMYFUNCTION("""COMPUTED_VALUE"""),"247203")</f>
        <v>247203</v>
      </c>
      <c r="B237" s="3" t="str">
        <f ca="1">IFERROR(__xludf.DUMMYFUNCTION("""COMPUTED_VALUE"""),"PHAN HUY NHÂN")</f>
        <v>PHAN HUY NHÂN</v>
      </c>
      <c r="C237" s="160" t="str">
        <f ca="1">IFERROR(__xludf.DUMMYFUNCTION("""COMPUTED_VALUE"""),"EL023")</f>
        <v>EL023</v>
      </c>
      <c r="D237" s="160" t="str">
        <f ca="1">IFERROR(__xludf.DUMMYFUNCTION("""COMPUTED_VALUE"""),"Ky Luong")</f>
        <v>Ky Luong</v>
      </c>
      <c r="E237" s="3" t="str">
        <f ca="1">IFERROR(__xludf.DUMMYFUNCTION("""COMPUTED_VALUE"""),"Communication 1")</f>
        <v>Communication 1</v>
      </c>
      <c r="F237" s="3" t="str">
        <f ca="1">IFERROR(__xludf.DUMMYFUNCTION("""COMPUTED_VALUE"""),"Beginner")</f>
        <v>Beginner</v>
      </c>
      <c r="G237" s="3" t="str">
        <f ca="1">IFERROR(__xludf.DUMMYFUNCTION("""COMPUTED_VALUE"""),"Pre-Intermediate 1")</f>
        <v>Pre-Intermediate 1</v>
      </c>
      <c r="H237" s="156">
        <f ca="1">IFERROR(__xludf.DUMMYFUNCTION("""COMPUTED_VALUE"""),45765.375)</f>
        <v>45765.375</v>
      </c>
      <c r="I237" s="156">
        <f ca="1">IFERROR(__xludf.DUMMYFUNCTION("""COMPUTED_VALUE"""),45765.375)</f>
        <v>45765.375</v>
      </c>
      <c r="J237" s="3">
        <f ca="1">IFERROR(__xludf.DUMMYFUNCTION("""COMPUTED_VALUE"""),1)</f>
        <v>1</v>
      </c>
      <c r="K237" s="3">
        <f ca="1">IFERROR(__xludf.DUMMYFUNCTION("""COMPUTED_VALUE"""),3)</f>
        <v>3</v>
      </c>
      <c r="L237" s="3" t="str">
        <f ca="1">IFERROR(__xludf.DUMMYFUNCTION("""COMPUTED_VALUE"""),"DEV")</f>
        <v>DEV</v>
      </c>
      <c r="M237" s="3" t="str">
        <f ca="1">IFERROR(__xludf.DUMMYFUNCTION("""COMPUTED_VALUE"""),"MOC")</f>
        <v>MOC</v>
      </c>
      <c r="N237" s="157">
        <f ca="1">IFERROR(__xludf.DUMMYFUNCTION("""COMPUTED_VALUE"""),1)</f>
        <v>1</v>
      </c>
      <c r="O237" s="157">
        <f ca="1">IFERROR(__xludf.DUMMYFUNCTION("""COMPUTED_VALUE"""),3.5)</f>
        <v>3.5</v>
      </c>
      <c r="P237" s="157"/>
      <c r="Q237" s="3">
        <f t="shared" ca="1" si="0"/>
        <v>236</v>
      </c>
      <c r="R237" s="148" t="e">
        <f ca="1"/>
        <v>#NAME?</v>
      </c>
      <c r="S237" s="147" t="e">
        <f t="shared" ca="1" si="1"/>
        <v>#NAME?</v>
      </c>
      <c r="T237" s="147" t="e">
        <f t="shared" ca="1" si="2"/>
        <v>#NAME?</v>
      </c>
      <c r="U237" s="147" t="e">
        <f t="shared" ca="1" si="3"/>
        <v>#NAME?</v>
      </c>
      <c r="X237" s="147"/>
      <c r="Y237" s="147"/>
      <c r="Z237" s="147"/>
      <c r="AA237" s="147"/>
      <c r="AB237" s="147"/>
      <c r="AC237" s="147"/>
      <c r="AD237" s="147"/>
      <c r="AE237" s="147"/>
      <c r="AF237" s="147"/>
      <c r="AG237" s="147"/>
      <c r="AH237" s="147"/>
      <c r="AI237" s="147"/>
      <c r="AJ237" s="147"/>
      <c r="AK237" s="147"/>
      <c r="AL237" s="147"/>
      <c r="AM237" s="147"/>
      <c r="AN237" s="147"/>
      <c r="AO237" s="147"/>
      <c r="AP237" s="147"/>
      <c r="AQ237" s="147"/>
    </row>
    <row r="238" spans="1:43">
      <c r="A238" s="160" t="str">
        <f ca="1">IFERROR(__xludf.DUMMYFUNCTION("""COMPUTED_VALUE"""),"237196")</f>
        <v>237196</v>
      </c>
      <c r="B238" s="3" t="str">
        <f ca="1">IFERROR(__xludf.DUMMYFUNCTION("""COMPUTED_VALUE"""),"VÕ CHÍ THIỆN")</f>
        <v>VÕ CHÍ THIỆN</v>
      </c>
      <c r="C238" s="160" t="str">
        <f ca="1">IFERROR(__xludf.DUMMYFUNCTION("""COMPUTED_VALUE"""),"EL023")</f>
        <v>EL023</v>
      </c>
      <c r="D238" s="160" t="str">
        <f ca="1">IFERROR(__xludf.DUMMYFUNCTION("""COMPUTED_VALUE"""),"Ky Luong")</f>
        <v>Ky Luong</v>
      </c>
      <c r="E238" s="3" t="str">
        <f ca="1">IFERROR(__xludf.DUMMYFUNCTION("""COMPUTED_VALUE"""),"Communication 1")</f>
        <v>Communication 1</v>
      </c>
      <c r="F238" s="3" t="str">
        <f ca="1">IFERROR(__xludf.DUMMYFUNCTION("""COMPUTED_VALUE"""),"Beginner")</f>
        <v>Beginner</v>
      </c>
      <c r="G238" s="3" t="str">
        <f ca="1">IFERROR(__xludf.DUMMYFUNCTION("""COMPUTED_VALUE"""),"Pre-Intermediate 1")</f>
        <v>Pre-Intermediate 1</v>
      </c>
      <c r="H238" s="156">
        <f ca="1">IFERROR(__xludf.DUMMYFUNCTION("""COMPUTED_VALUE"""),45765.375)</f>
        <v>45765.375</v>
      </c>
      <c r="I238" s="156">
        <f ca="1">IFERROR(__xludf.DUMMYFUNCTION("""COMPUTED_VALUE"""),45765.375)</f>
        <v>45765.375</v>
      </c>
      <c r="J238" s="3">
        <f ca="1">IFERROR(__xludf.DUMMYFUNCTION("""COMPUTED_VALUE"""),1)</f>
        <v>1</v>
      </c>
      <c r="K238" s="3">
        <f ca="1">IFERROR(__xludf.DUMMYFUNCTION("""COMPUTED_VALUE"""),3)</f>
        <v>3</v>
      </c>
      <c r="L238" s="3" t="str">
        <f ca="1">IFERROR(__xludf.DUMMYFUNCTION("""COMPUTED_VALUE"""),"DEV")</f>
        <v>DEV</v>
      </c>
      <c r="M238" s="3" t="str">
        <f ca="1">IFERROR(__xludf.DUMMYFUNCTION("""COMPUTED_VALUE"""),"MOC")</f>
        <v>MOC</v>
      </c>
      <c r="N238" s="157">
        <f ca="1">IFERROR(__xludf.DUMMYFUNCTION("""COMPUTED_VALUE"""),1)</f>
        <v>1</v>
      </c>
      <c r="O238" s="157">
        <f ca="1">IFERROR(__xludf.DUMMYFUNCTION("""COMPUTED_VALUE"""),3.5)</f>
        <v>3.5</v>
      </c>
      <c r="P238" s="157"/>
      <c r="Q238" s="3">
        <f t="shared" ca="1" si="0"/>
        <v>237</v>
      </c>
      <c r="R238" s="148" t="e">
        <f ca="1"/>
        <v>#NAME?</v>
      </c>
      <c r="S238" s="147" t="e">
        <f t="shared" ca="1" si="1"/>
        <v>#NAME?</v>
      </c>
      <c r="T238" s="147" t="e">
        <f t="shared" ca="1" si="2"/>
        <v>#NAME?</v>
      </c>
      <c r="U238" s="147" t="e">
        <f t="shared" ca="1" si="3"/>
        <v>#NAME?</v>
      </c>
      <c r="X238" s="147"/>
      <c r="Y238" s="147"/>
      <c r="Z238" s="147"/>
      <c r="AA238" s="147"/>
      <c r="AB238" s="147"/>
      <c r="AC238" s="147"/>
      <c r="AD238" s="147"/>
      <c r="AE238" s="147"/>
      <c r="AF238" s="147"/>
      <c r="AG238" s="147"/>
      <c r="AH238" s="147"/>
      <c r="AI238" s="147"/>
      <c r="AJ238" s="147"/>
      <c r="AK238" s="147"/>
      <c r="AL238" s="147"/>
      <c r="AM238" s="147"/>
      <c r="AN238" s="147"/>
      <c r="AO238" s="147"/>
      <c r="AP238" s="147"/>
      <c r="AQ238" s="147"/>
    </row>
    <row r="239" spans="1:43">
      <c r="A239" s="155" t="str">
        <f ca="1">IFERROR(__xludf.DUMMYFUNCTION("""COMPUTED_VALUE"""),"213901")</f>
        <v>213901</v>
      </c>
      <c r="B239" s="154" t="str">
        <f ca="1">IFERROR(__xludf.DUMMYFUNCTION("""COMPUTED_VALUE"""),"HOÀNG TIẾN DŨNG")</f>
        <v>HOÀNG TIẾN DŨNG</v>
      </c>
      <c r="C239" s="155" t="str">
        <f ca="1">IFERROR(__xludf.DUMMYFUNCTION("""COMPUTED_VALUE"""),"EL024")</f>
        <v>EL024</v>
      </c>
      <c r="D239" s="155" t="str">
        <f ca="1">IFERROR(__xludf.DUMMYFUNCTION("""COMPUTED_VALUE"""),"Dung Hoang")</f>
        <v>Dung Hoang</v>
      </c>
      <c r="E239" s="154" t="str">
        <f ca="1">IFERROR(__xludf.DUMMYFUNCTION("""COMPUTED_VALUE"""),"Foundation")</f>
        <v>Foundation</v>
      </c>
      <c r="F239" s="3" t="str">
        <f ca="1">IFERROR(__xludf.DUMMYFUNCTION("""COMPUTED_VALUE"""),"Beginner")</f>
        <v>Beginner</v>
      </c>
      <c r="G239" s="3" t="str">
        <f ca="1">IFERROR(__xludf.DUMMYFUNCTION("""COMPUTED_VALUE"""),"Beginner")</f>
        <v>Beginner</v>
      </c>
      <c r="H239" s="156">
        <f ca="1">IFERROR(__xludf.DUMMYFUNCTION("""COMPUTED_VALUE"""),45818.375)</f>
        <v>45818.375</v>
      </c>
      <c r="I239" s="156">
        <f ca="1">IFERROR(__xludf.DUMMYFUNCTION("""COMPUTED_VALUE"""),45813.375)</f>
        <v>45813.375</v>
      </c>
      <c r="J239" s="3">
        <f ca="1">IFERROR(__xludf.DUMMYFUNCTION("""COMPUTED_VALUE"""),1)</f>
        <v>1</v>
      </c>
      <c r="K239" s="3">
        <f ca="1">IFERROR(__xludf.DUMMYFUNCTION("""COMPUTED_VALUE"""),1)</f>
        <v>1</v>
      </c>
      <c r="L239" s="3" t="str">
        <f ca="1">IFERROR(__xludf.DUMMYFUNCTION("""COMPUTED_VALUE"""),"DEV")</f>
        <v>DEV</v>
      </c>
      <c r="M239" s="3" t="str">
        <f ca="1">IFERROR(__xludf.DUMMYFUNCTION("""COMPUTED_VALUE"""),"LBU")</f>
        <v>LBU</v>
      </c>
      <c r="N239" s="157">
        <f ca="1">IFERROR(__xludf.DUMMYFUNCTION("""COMPUTED_VALUE"""),1)</f>
        <v>1</v>
      </c>
      <c r="O239" s="157">
        <f ca="1">IFERROR(__xludf.DUMMYFUNCTION("""COMPUTED_VALUE"""),3)</f>
        <v>3</v>
      </c>
      <c r="P239" s="157"/>
      <c r="Q239" s="3">
        <f t="shared" ca="1" si="0"/>
        <v>238</v>
      </c>
      <c r="R239" s="148" t="e">
        <f ca="1"/>
        <v>#NAME?</v>
      </c>
      <c r="S239" s="147" t="e">
        <f t="shared" ca="1" si="1"/>
        <v>#NAME?</v>
      </c>
      <c r="T239" s="147" t="e">
        <f t="shared" ca="1" si="2"/>
        <v>#NAME?</v>
      </c>
      <c r="U239" s="147" t="e">
        <f t="shared" ca="1" si="3"/>
        <v>#NAME?</v>
      </c>
      <c r="X239" s="147"/>
      <c r="Y239" s="147"/>
      <c r="Z239" s="147"/>
      <c r="AA239" s="147"/>
      <c r="AB239" s="147"/>
      <c r="AC239" s="147"/>
      <c r="AD239" s="147"/>
      <c r="AE239" s="147"/>
      <c r="AF239" s="147"/>
      <c r="AG239" s="147"/>
      <c r="AH239" s="147"/>
      <c r="AI239" s="147"/>
      <c r="AJ239" s="147"/>
      <c r="AK239" s="147"/>
      <c r="AL239" s="147"/>
      <c r="AM239" s="147"/>
      <c r="AN239" s="147"/>
      <c r="AO239" s="147"/>
      <c r="AP239" s="147"/>
      <c r="AQ239" s="147"/>
    </row>
    <row r="240" spans="1:43">
      <c r="A240" s="160" t="str">
        <f ca="1">IFERROR(__xludf.DUMMYFUNCTION("""COMPUTED_VALUE"""),"213835")</f>
        <v>213835</v>
      </c>
      <c r="B240" s="3" t="str">
        <f ca="1">IFERROR(__xludf.DUMMYFUNCTION("""COMPUTED_VALUE"""),"ĐOÀN ANH MINH")</f>
        <v>ĐOÀN ANH MINH</v>
      </c>
      <c r="C240" s="160" t="str">
        <f ca="1">IFERROR(__xludf.DUMMYFUNCTION("""COMPUTED_VALUE"""),"EL024")</f>
        <v>EL024</v>
      </c>
      <c r="D240" s="160" t="str">
        <f ca="1">IFERROR(__xludf.DUMMYFUNCTION("""COMPUTED_VALUE"""),"Dung Hoang")</f>
        <v>Dung Hoang</v>
      </c>
      <c r="E240" s="3" t="str">
        <f ca="1">IFERROR(__xludf.DUMMYFUNCTION("""COMPUTED_VALUE"""),"Foundation")</f>
        <v>Foundation</v>
      </c>
      <c r="F240" s="3" t="str">
        <f ca="1">IFERROR(__xludf.DUMMYFUNCTION("""COMPUTED_VALUE"""),"Beginner")</f>
        <v>Beginner</v>
      </c>
      <c r="G240" s="3" t="str">
        <f ca="1">IFERROR(__xludf.DUMMYFUNCTION("""COMPUTED_VALUE"""),"Beginner")</f>
        <v>Beginner</v>
      </c>
      <c r="H240" s="156">
        <f ca="1">IFERROR(__xludf.DUMMYFUNCTION("""COMPUTED_VALUE"""),45818.375)</f>
        <v>45818.375</v>
      </c>
      <c r="I240" s="156">
        <f ca="1">IFERROR(__xludf.DUMMYFUNCTION("""COMPUTED_VALUE"""),45813.375)</f>
        <v>45813.375</v>
      </c>
      <c r="J240" s="3">
        <f ca="1">IFERROR(__xludf.DUMMYFUNCTION("""COMPUTED_VALUE"""),1)</f>
        <v>1</v>
      </c>
      <c r="K240" s="3">
        <f ca="1">IFERROR(__xludf.DUMMYFUNCTION("""COMPUTED_VALUE"""),1)</f>
        <v>1</v>
      </c>
      <c r="L240" s="3" t="str">
        <f ca="1">IFERROR(__xludf.DUMMYFUNCTION("""COMPUTED_VALUE"""),"DEV")</f>
        <v>DEV</v>
      </c>
      <c r="M240" s="3" t="str">
        <f ca="1">IFERROR(__xludf.DUMMYFUNCTION("""COMPUTED_VALUE"""),"MOC")</f>
        <v>MOC</v>
      </c>
      <c r="N240" s="157">
        <f ca="1">IFERROR(__xludf.DUMMYFUNCTION("""COMPUTED_VALUE"""),1)</f>
        <v>1</v>
      </c>
      <c r="O240" s="157">
        <f ca="1">IFERROR(__xludf.DUMMYFUNCTION("""COMPUTED_VALUE"""),3.5)</f>
        <v>3.5</v>
      </c>
      <c r="P240" s="157"/>
      <c r="Q240" s="3">
        <f t="shared" ca="1" si="0"/>
        <v>239</v>
      </c>
      <c r="R240" s="148" t="e">
        <f ca="1"/>
        <v>#NAME?</v>
      </c>
      <c r="S240" s="147" t="e">
        <f t="shared" ca="1" si="1"/>
        <v>#NAME?</v>
      </c>
      <c r="T240" s="147" t="e">
        <f t="shared" ca="1" si="2"/>
        <v>#NAME?</v>
      </c>
      <c r="U240" s="147" t="e">
        <f t="shared" ca="1" si="3"/>
        <v>#NAME?</v>
      </c>
      <c r="X240" s="147"/>
      <c r="Y240" s="147"/>
      <c r="Z240" s="147"/>
      <c r="AA240" s="147"/>
      <c r="AB240" s="147"/>
      <c r="AC240" s="147"/>
      <c r="AD240" s="147"/>
      <c r="AE240" s="147"/>
      <c r="AF240" s="147"/>
      <c r="AG240" s="147"/>
      <c r="AH240" s="147"/>
      <c r="AI240" s="147"/>
      <c r="AJ240" s="147"/>
      <c r="AK240" s="147"/>
      <c r="AL240" s="147"/>
      <c r="AM240" s="147"/>
      <c r="AN240" s="147"/>
      <c r="AO240" s="147"/>
      <c r="AP240" s="147"/>
      <c r="AQ240" s="147"/>
    </row>
    <row r="241" spans="1:43">
      <c r="A241" s="160" t="str">
        <f ca="1">IFERROR(__xludf.DUMMYFUNCTION("""COMPUTED_VALUE"""),"227081")</f>
        <v>227081</v>
      </c>
      <c r="B241" s="3" t="str">
        <f ca="1">IFERROR(__xludf.DUMMYFUNCTION("""COMPUTED_VALUE"""),"NGUYỄN HOÀNG PHÚC")</f>
        <v>NGUYỄN HOÀNG PHÚC</v>
      </c>
      <c r="C241" s="160" t="str">
        <f ca="1">IFERROR(__xludf.DUMMYFUNCTION("""COMPUTED_VALUE"""),"EL024")</f>
        <v>EL024</v>
      </c>
      <c r="D241" s="160" t="str">
        <f ca="1">IFERROR(__xludf.DUMMYFUNCTION("""COMPUTED_VALUE"""),"Dung Hoang")</f>
        <v>Dung Hoang</v>
      </c>
      <c r="E241" s="3" t="str">
        <f ca="1">IFERROR(__xludf.DUMMYFUNCTION("""COMPUTED_VALUE"""),"Foundation")</f>
        <v>Foundation</v>
      </c>
      <c r="F241" s="3" t="str">
        <f ca="1">IFERROR(__xludf.DUMMYFUNCTION("""COMPUTED_VALUE"""),"Beginner")</f>
        <v>Beginner</v>
      </c>
      <c r="G241" s="3" t="str">
        <f ca="1">IFERROR(__xludf.DUMMYFUNCTION("""COMPUTED_VALUE"""),"Beginner")</f>
        <v>Beginner</v>
      </c>
      <c r="H241" s="156">
        <f ca="1">IFERROR(__xludf.DUMMYFUNCTION("""COMPUTED_VALUE"""),45818.375)</f>
        <v>45818.375</v>
      </c>
      <c r="I241" s="156">
        <f ca="1">IFERROR(__xludf.DUMMYFUNCTION("""COMPUTED_VALUE"""),45813.375)</f>
        <v>45813.375</v>
      </c>
      <c r="J241" s="3">
        <f ca="1">IFERROR(__xludf.DUMMYFUNCTION("""COMPUTED_VALUE"""),1)</f>
        <v>1</v>
      </c>
      <c r="K241" s="3">
        <f ca="1">IFERROR(__xludf.DUMMYFUNCTION("""COMPUTED_VALUE"""),1)</f>
        <v>1</v>
      </c>
      <c r="L241" s="3" t="str">
        <f ca="1">IFERROR(__xludf.DUMMYFUNCTION("""COMPUTED_VALUE"""),"DEV")</f>
        <v>DEV</v>
      </c>
      <c r="M241" s="3" t="str">
        <f ca="1">IFERROR(__xludf.DUMMYFUNCTION("""COMPUTED_VALUE"""),"MOC")</f>
        <v>MOC</v>
      </c>
      <c r="N241" s="157">
        <f ca="1">IFERROR(__xludf.DUMMYFUNCTION("""COMPUTED_VALUE"""),1)</f>
        <v>1</v>
      </c>
      <c r="O241" s="157">
        <f ca="1">IFERROR(__xludf.DUMMYFUNCTION("""COMPUTED_VALUE"""),3)</f>
        <v>3</v>
      </c>
      <c r="P241" s="157"/>
      <c r="Q241" s="3">
        <f t="shared" ca="1" si="0"/>
        <v>240</v>
      </c>
      <c r="R241" s="148" t="e">
        <f ca="1"/>
        <v>#NAME?</v>
      </c>
      <c r="S241" s="147" t="e">
        <f t="shared" ca="1" si="1"/>
        <v>#NAME?</v>
      </c>
      <c r="T241" s="147" t="e">
        <f t="shared" ca="1" si="2"/>
        <v>#NAME?</v>
      </c>
      <c r="U241" s="147" t="e">
        <f t="shared" ca="1" si="3"/>
        <v>#NAME?</v>
      </c>
      <c r="X241" s="147"/>
      <c r="Y241" s="147"/>
      <c r="Z241" s="147"/>
      <c r="AA241" s="147"/>
      <c r="AB241" s="147"/>
      <c r="AC241" s="147"/>
      <c r="AD241" s="147"/>
      <c r="AE241" s="147"/>
      <c r="AF241" s="147"/>
      <c r="AG241" s="147"/>
      <c r="AH241" s="147"/>
      <c r="AI241" s="147"/>
      <c r="AJ241" s="147"/>
      <c r="AK241" s="147"/>
      <c r="AL241" s="147"/>
      <c r="AM241" s="147"/>
      <c r="AN241" s="147"/>
      <c r="AO241" s="147"/>
      <c r="AP241" s="147"/>
      <c r="AQ241" s="147"/>
    </row>
    <row r="242" spans="1:43">
      <c r="A242" s="160" t="str">
        <f ca="1">IFERROR(__xludf.DUMMYFUNCTION("""COMPUTED_VALUE"""),"247332")</f>
        <v>247332</v>
      </c>
      <c r="B242" s="3" t="str">
        <f ca="1">IFERROR(__xludf.DUMMYFUNCTION("""COMPUTED_VALUE"""),"NGUYỄN PHÚC THANH TOÀN")</f>
        <v>NGUYỄN PHÚC THANH TOÀN</v>
      </c>
      <c r="C242" s="160" t="str">
        <f ca="1">IFERROR(__xludf.DUMMYFUNCTION("""COMPUTED_VALUE"""),"EL024")</f>
        <v>EL024</v>
      </c>
      <c r="D242" s="160" t="str">
        <f ca="1">IFERROR(__xludf.DUMMYFUNCTION("""COMPUTED_VALUE"""),"Dung Hoang")</f>
        <v>Dung Hoang</v>
      </c>
      <c r="E242" s="3" t="str">
        <f ca="1">IFERROR(__xludf.DUMMYFUNCTION("""COMPUTED_VALUE"""),"Foundation")</f>
        <v>Foundation</v>
      </c>
      <c r="F242" s="3" t="str">
        <f ca="1">IFERROR(__xludf.DUMMYFUNCTION("""COMPUTED_VALUE"""),"Beginner")</f>
        <v>Beginner</v>
      </c>
      <c r="G242" s="3" t="str">
        <f ca="1">IFERROR(__xludf.DUMMYFUNCTION("""COMPUTED_VALUE"""),"Beginner")</f>
        <v>Beginner</v>
      </c>
      <c r="H242" s="156">
        <f ca="1">IFERROR(__xludf.DUMMYFUNCTION("""COMPUTED_VALUE"""),45818.375)</f>
        <v>45818.375</v>
      </c>
      <c r="I242" s="156">
        <f ca="1">IFERROR(__xludf.DUMMYFUNCTION("""COMPUTED_VALUE"""),45813.375)</f>
        <v>45813.375</v>
      </c>
      <c r="J242" s="3">
        <f ca="1">IFERROR(__xludf.DUMMYFUNCTION("""COMPUTED_VALUE"""),1)</f>
        <v>1</v>
      </c>
      <c r="K242" s="3">
        <f ca="1">IFERROR(__xludf.DUMMYFUNCTION("""COMPUTED_VALUE"""),1)</f>
        <v>1</v>
      </c>
      <c r="L242" s="3" t="str">
        <f ca="1">IFERROR(__xludf.DUMMYFUNCTION("""COMPUTED_VALUE"""),"DEV")</f>
        <v>DEV</v>
      </c>
      <c r="M242" s="3" t="str">
        <f ca="1">IFERROR(__xludf.DUMMYFUNCTION("""COMPUTED_VALUE"""),"LBU")</f>
        <v>LBU</v>
      </c>
      <c r="N242" s="157">
        <f ca="1">IFERROR(__xludf.DUMMYFUNCTION("""COMPUTED_VALUE"""),1)</f>
        <v>1</v>
      </c>
      <c r="O242" s="157">
        <f ca="1">IFERROR(__xludf.DUMMYFUNCTION("""COMPUTED_VALUE"""),3.5)</f>
        <v>3.5</v>
      </c>
      <c r="P242" s="157"/>
      <c r="Q242" s="3">
        <f t="shared" ca="1" si="0"/>
        <v>241</v>
      </c>
      <c r="R242" s="148" t="e">
        <f ca="1"/>
        <v>#NAME?</v>
      </c>
      <c r="S242" s="147" t="e">
        <f t="shared" ca="1" si="1"/>
        <v>#NAME?</v>
      </c>
      <c r="T242" s="147" t="e">
        <f t="shared" ca="1" si="2"/>
        <v>#NAME?</v>
      </c>
      <c r="U242" s="147" t="e">
        <f t="shared" ca="1" si="3"/>
        <v>#NAME?</v>
      </c>
      <c r="X242" s="147"/>
      <c r="Y242" s="147"/>
      <c r="Z242" s="147"/>
      <c r="AA242" s="147"/>
      <c r="AB242" s="147"/>
      <c r="AC242" s="147"/>
      <c r="AD242" s="147"/>
      <c r="AE242" s="147"/>
      <c r="AF242" s="147"/>
      <c r="AG242" s="147"/>
      <c r="AH242" s="147"/>
      <c r="AI242" s="147"/>
      <c r="AJ242" s="147"/>
      <c r="AK242" s="147"/>
      <c r="AL242" s="147"/>
      <c r="AM242" s="147"/>
      <c r="AN242" s="147"/>
      <c r="AO242" s="147"/>
      <c r="AP242" s="147"/>
      <c r="AQ242" s="147"/>
    </row>
    <row r="243" spans="1:43">
      <c r="A243" s="160" t="str">
        <f ca="1">IFERROR(__xludf.DUMMYFUNCTION("""COMPUTED_VALUE"""),"193613")</f>
        <v>193613</v>
      </c>
      <c r="B243" s="3" t="str">
        <f ca="1">IFERROR(__xludf.DUMMYFUNCTION("""COMPUTED_VALUE"""),"NGUYỄN QUANG TRUNG")</f>
        <v>NGUYỄN QUANG TRUNG</v>
      </c>
      <c r="C243" s="160" t="str">
        <f ca="1">IFERROR(__xludf.DUMMYFUNCTION("""COMPUTED_VALUE"""),"EL024")</f>
        <v>EL024</v>
      </c>
      <c r="D243" s="160" t="str">
        <f ca="1">IFERROR(__xludf.DUMMYFUNCTION("""COMPUTED_VALUE"""),"Dung Hoang")</f>
        <v>Dung Hoang</v>
      </c>
      <c r="E243" s="3" t="str">
        <f ca="1">IFERROR(__xludf.DUMMYFUNCTION("""COMPUTED_VALUE"""),"Foundation")</f>
        <v>Foundation</v>
      </c>
      <c r="F243" s="3" t="str">
        <f ca="1">IFERROR(__xludf.DUMMYFUNCTION("""COMPUTED_VALUE"""),"Beginner")</f>
        <v>Beginner</v>
      </c>
      <c r="G243" s="3" t="str">
        <f ca="1">IFERROR(__xludf.DUMMYFUNCTION("""COMPUTED_VALUE"""),"Beginner")</f>
        <v>Beginner</v>
      </c>
      <c r="H243" s="156">
        <f ca="1">IFERROR(__xludf.DUMMYFUNCTION("""COMPUTED_VALUE"""),45818.375)</f>
        <v>45818.375</v>
      </c>
      <c r="I243" s="156">
        <f ca="1">IFERROR(__xludf.DUMMYFUNCTION("""COMPUTED_VALUE"""),45813.375)</f>
        <v>45813.375</v>
      </c>
      <c r="J243" s="3">
        <f ca="1">IFERROR(__xludf.DUMMYFUNCTION("""COMPUTED_VALUE"""),1)</f>
        <v>1</v>
      </c>
      <c r="K243" s="3">
        <f ca="1">IFERROR(__xludf.DUMMYFUNCTION("""COMPUTED_VALUE"""),1)</f>
        <v>1</v>
      </c>
      <c r="L243" s="3" t="str">
        <f ca="1">IFERROR(__xludf.DUMMYFUNCTION("""COMPUTED_VALUE"""),"DEV")</f>
        <v>DEV</v>
      </c>
      <c r="M243" s="3" t="str">
        <f ca="1">IFERROR(__xludf.DUMMYFUNCTION("""COMPUTED_VALUE"""),"MOC")</f>
        <v>MOC</v>
      </c>
      <c r="N243" s="157">
        <f ca="1">IFERROR(__xludf.DUMMYFUNCTION("""COMPUTED_VALUE"""),1)</f>
        <v>1</v>
      </c>
      <c r="O243" s="157">
        <f ca="1">IFERROR(__xludf.DUMMYFUNCTION("""COMPUTED_VALUE"""),5)</f>
        <v>5</v>
      </c>
      <c r="P243" s="157"/>
      <c r="Q243" s="3">
        <f t="shared" ca="1" si="0"/>
        <v>242</v>
      </c>
      <c r="R243" s="148" t="e">
        <f ca="1"/>
        <v>#NAME?</v>
      </c>
      <c r="S243" s="147" t="e">
        <f t="shared" ca="1" si="1"/>
        <v>#NAME?</v>
      </c>
      <c r="T243" s="147" t="e">
        <f t="shared" ca="1" si="2"/>
        <v>#NAME?</v>
      </c>
      <c r="U243" s="147" t="e">
        <f t="shared" ca="1" si="3"/>
        <v>#NAME?</v>
      </c>
      <c r="X243" s="147"/>
      <c r="Y243" s="147"/>
      <c r="Z243" s="147"/>
      <c r="AA243" s="147"/>
      <c r="AB243" s="147"/>
      <c r="AC243" s="147"/>
      <c r="AD243" s="147"/>
      <c r="AE243" s="147"/>
      <c r="AF243" s="147"/>
      <c r="AG243" s="147"/>
      <c r="AH243" s="147"/>
      <c r="AI243" s="147"/>
      <c r="AJ243" s="147"/>
      <c r="AK243" s="147"/>
      <c r="AL243" s="147"/>
      <c r="AM243" s="147"/>
      <c r="AN243" s="147"/>
      <c r="AO243" s="147"/>
      <c r="AP243" s="147"/>
      <c r="AQ243" s="147"/>
    </row>
    <row r="244" spans="1:43">
      <c r="A244" s="160" t="str">
        <f ca="1">IFERROR(__xludf.DUMMYFUNCTION("""COMPUTED_VALUE"""),"247097")</f>
        <v>247097</v>
      </c>
      <c r="B244" s="3" t="str">
        <f ca="1">IFERROR(__xludf.DUMMYFUNCTION("""COMPUTED_VALUE"""),"NGUYỄN THÀNH PHƯỚC")</f>
        <v>NGUYỄN THÀNH PHƯỚC</v>
      </c>
      <c r="C244" s="160" t="str">
        <f ca="1">IFERROR(__xludf.DUMMYFUNCTION("""COMPUTED_VALUE"""),"EL024")</f>
        <v>EL024</v>
      </c>
      <c r="D244" s="160" t="str">
        <f ca="1">IFERROR(__xludf.DUMMYFUNCTION("""COMPUTED_VALUE"""),"Dung Hoang")</f>
        <v>Dung Hoang</v>
      </c>
      <c r="E244" s="3" t="str">
        <f ca="1">IFERROR(__xludf.DUMMYFUNCTION("""COMPUTED_VALUE"""),"Foundation")</f>
        <v>Foundation</v>
      </c>
      <c r="F244" s="3" t="str">
        <f ca="1">IFERROR(__xludf.DUMMYFUNCTION("""COMPUTED_VALUE"""),"Beginner")</f>
        <v>Beginner</v>
      </c>
      <c r="G244" s="3" t="str">
        <f ca="1">IFERROR(__xludf.DUMMYFUNCTION("""COMPUTED_VALUE"""),"Beginner")</f>
        <v>Beginner</v>
      </c>
      <c r="H244" s="156">
        <f ca="1">IFERROR(__xludf.DUMMYFUNCTION("""COMPUTED_VALUE"""),45818.375)</f>
        <v>45818.375</v>
      </c>
      <c r="I244" s="156">
        <f ca="1">IFERROR(__xludf.DUMMYFUNCTION("""COMPUTED_VALUE"""),45813.375)</f>
        <v>45813.375</v>
      </c>
      <c r="J244" s="3">
        <f ca="1">IFERROR(__xludf.DUMMYFUNCTION("""COMPUTED_VALUE"""),1)</f>
        <v>1</v>
      </c>
      <c r="K244" s="3">
        <f ca="1">IFERROR(__xludf.DUMMYFUNCTION("""COMPUTED_VALUE"""),1)</f>
        <v>1</v>
      </c>
      <c r="L244" s="3" t="str">
        <f ca="1">IFERROR(__xludf.DUMMYFUNCTION("""COMPUTED_VALUE"""),"DEV")</f>
        <v>DEV</v>
      </c>
      <c r="M244" s="3" t="str">
        <f ca="1">IFERROR(__xludf.DUMMYFUNCTION("""COMPUTED_VALUE"""),"MOC")</f>
        <v>MOC</v>
      </c>
      <c r="N244" s="157">
        <f ca="1">IFERROR(__xludf.DUMMYFUNCTION("""COMPUTED_VALUE"""),1)</f>
        <v>1</v>
      </c>
      <c r="O244" s="157">
        <f ca="1">IFERROR(__xludf.DUMMYFUNCTION("""COMPUTED_VALUE"""),3)</f>
        <v>3</v>
      </c>
      <c r="P244" s="157"/>
      <c r="Q244" s="3">
        <f t="shared" ca="1" si="0"/>
        <v>243</v>
      </c>
      <c r="R244" s="148" t="e">
        <f ca="1"/>
        <v>#NAME?</v>
      </c>
      <c r="S244" s="147" t="e">
        <f t="shared" ca="1" si="1"/>
        <v>#NAME?</v>
      </c>
      <c r="T244" s="147" t="e">
        <f t="shared" ca="1" si="2"/>
        <v>#NAME?</v>
      </c>
      <c r="U244" s="147" t="e">
        <f t="shared" ca="1" si="3"/>
        <v>#NAME?</v>
      </c>
      <c r="X244" s="147"/>
      <c r="Y244" s="147"/>
      <c r="Z244" s="147"/>
      <c r="AA244" s="147"/>
      <c r="AB244" s="147"/>
      <c r="AC244" s="147"/>
      <c r="AD244" s="147"/>
      <c r="AE244" s="147"/>
      <c r="AF244" s="147"/>
      <c r="AG244" s="147"/>
      <c r="AH244" s="147"/>
      <c r="AI244" s="147"/>
      <c r="AJ244" s="147"/>
      <c r="AK244" s="147"/>
      <c r="AL244" s="147"/>
      <c r="AM244" s="147"/>
      <c r="AN244" s="147"/>
      <c r="AO244" s="147"/>
      <c r="AP244" s="147"/>
      <c r="AQ244" s="147"/>
    </row>
    <row r="245" spans="1:43">
      <c r="A245" s="155" t="str">
        <f ca="1">IFERROR(__xludf.DUMMYFUNCTION("""COMPUTED_VALUE"""),"213901")</f>
        <v>213901</v>
      </c>
      <c r="B245" s="154" t="str">
        <f ca="1">IFERROR(__xludf.DUMMYFUNCTION("""COMPUTED_VALUE"""),"HOÀNG TIẾN DŨNG")</f>
        <v>HOÀNG TIẾN DŨNG</v>
      </c>
      <c r="C245" s="155" t="str">
        <f ca="1">IFERROR(__xludf.DUMMYFUNCTION("""COMPUTED_VALUE"""),"EL024")</f>
        <v>EL024</v>
      </c>
      <c r="D245" s="155" t="str">
        <f ca="1">IFERROR(__xludf.DUMMYFUNCTION("""COMPUTED_VALUE"""),"Dung Hoang")</f>
        <v>Dung Hoang</v>
      </c>
      <c r="E245" s="154" t="str">
        <f ca="1">IFERROR(__xludf.DUMMYFUNCTION("""COMPUTED_VALUE"""),"Communication 1")</f>
        <v>Communication 1</v>
      </c>
      <c r="F245" s="3" t="str">
        <f ca="1">IFERROR(__xludf.DUMMYFUNCTION("""COMPUTED_VALUE"""),"Beginner")</f>
        <v>Beginner</v>
      </c>
      <c r="G245" s="3" t="str">
        <f ca="1">IFERROR(__xludf.DUMMYFUNCTION("""COMPUTED_VALUE"""),"Pre-Intermediate 1")</f>
        <v>Pre-Intermediate 1</v>
      </c>
      <c r="H245" s="156">
        <f ca="1">IFERROR(__xludf.DUMMYFUNCTION("""COMPUTED_VALUE"""),45813.375)</f>
        <v>45813.375</v>
      </c>
      <c r="I245" s="156">
        <f ca="1">IFERROR(__xludf.DUMMYFUNCTION("""COMPUTED_VALUE"""),45813.375)</f>
        <v>45813.375</v>
      </c>
      <c r="J245" s="3">
        <f ca="1">IFERROR(__xludf.DUMMYFUNCTION("""COMPUTED_VALUE"""),1)</f>
        <v>1</v>
      </c>
      <c r="K245" s="3">
        <f ca="1">IFERROR(__xludf.DUMMYFUNCTION("""COMPUTED_VALUE"""),3)</f>
        <v>3</v>
      </c>
      <c r="L245" s="3" t="str">
        <f ca="1">IFERROR(__xludf.DUMMYFUNCTION("""COMPUTED_VALUE"""),"DEV")</f>
        <v>DEV</v>
      </c>
      <c r="M245" s="3" t="str">
        <f ca="1">IFERROR(__xludf.DUMMYFUNCTION("""COMPUTED_VALUE"""),"LBU")</f>
        <v>LBU</v>
      </c>
      <c r="N245" s="157">
        <f ca="1">IFERROR(__xludf.DUMMYFUNCTION("""COMPUTED_VALUE"""),1)</f>
        <v>1</v>
      </c>
      <c r="O245" s="157">
        <f ca="1">IFERROR(__xludf.DUMMYFUNCTION("""COMPUTED_VALUE"""),3)</f>
        <v>3</v>
      </c>
      <c r="P245" s="157"/>
      <c r="Q245" s="3">
        <f t="shared" ca="1" si="0"/>
        <v>244</v>
      </c>
      <c r="R245" s="148" t="e">
        <f ca="1"/>
        <v>#NAME?</v>
      </c>
      <c r="S245" s="147" t="e">
        <f t="shared" ca="1" si="1"/>
        <v>#NAME?</v>
      </c>
      <c r="T245" s="147" t="e">
        <f t="shared" ca="1" si="2"/>
        <v>#NAME?</v>
      </c>
      <c r="U245" s="147" t="e">
        <f t="shared" ca="1" si="3"/>
        <v>#NAME?</v>
      </c>
      <c r="X245" s="147"/>
      <c r="Y245" s="147"/>
      <c r="Z245" s="147"/>
      <c r="AA245" s="147"/>
      <c r="AB245" s="147"/>
      <c r="AC245" s="147"/>
      <c r="AD245" s="147"/>
      <c r="AE245" s="147"/>
      <c r="AF245" s="147"/>
      <c r="AG245" s="147"/>
      <c r="AH245" s="147"/>
      <c r="AI245" s="147"/>
      <c r="AJ245" s="147"/>
      <c r="AK245" s="147"/>
      <c r="AL245" s="147"/>
      <c r="AM245" s="147"/>
      <c r="AN245" s="147"/>
      <c r="AO245" s="147"/>
      <c r="AP245" s="147"/>
      <c r="AQ245" s="147"/>
    </row>
    <row r="246" spans="1:43">
      <c r="A246" s="160" t="str">
        <f ca="1">IFERROR(__xludf.DUMMYFUNCTION("""COMPUTED_VALUE"""),"213835")</f>
        <v>213835</v>
      </c>
      <c r="B246" s="3" t="str">
        <f ca="1">IFERROR(__xludf.DUMMYFUNCTION("""COMPUTED_VALUE"""),"ĐOÀN ANH MINH")</f>
        <v>ĐOÀN ANH MINH</v>
      </c>
      <c r="C246" s="160" t="str">
        <f ca="1">IFERROR(__xludf.DUMMYFUNCTION("""COMPUTED_VALUE"""),"EL024")</f>
        <v>EL024</v>
      </c>
      <c r="D246" s="160" t="str">
        <f ca="1">IFERROR(__xludf.DUMMYFUNCTION("""COMPUTED_VALUE"""),"Dung Hoang")</f>
        <v>Dung Hoang</v>
      </c>
      <c r="E246" s="3" t="str">
        <f ca="1">IFERROR(__xludf.DUMMYFUNCTION("""COMPUTED_VALUE"""),"Communication 1")</f>
        <v>Communication 1</v>
      </c>
      <c r="F246" s="3" t="str">
        <f ca="1">IFERROR(__xludf.DUMMYFUNCTION("""COMPUTED_VALUE"""),"Beginner")</f>
        <v>Beginner</v>
      </c>
      <c r="G246" s="3" t="str">
        <f ca="1">IFERROR(__xludf.DUMMYFUNCTION("""COMPUTED_VALUE"""),"Pre-Intermediate 2")</f>
        <v>Pre-Intermediate 2</v>
      </c>
      <c r="H246" s="156">
        <f ca="1">IFERROR(__xludf.DUMMYFUNCTION("""COMPUTED_VALUE"""),45813.375)</f>
        <v>45813.375</v>
      </c>
      <c r="I246" s="156">
        <f ca="1">IFERROR(__xludf.DUMMYFUNCTION("""COMPUTED_VALUE"""),45813.375)</f>
        <v>45813.375</v>
      </c>
      <c r="J246" s="3">
        <f ca="1">IFERROR(__xludf.DUMMYFUNCTION("""COMPUTED_VALUE"""),1)</f>
        <v>1</v>
      </c>
      <c r="K246" s="3">
        <f ca="1">IFERROR(__xludf.DUMMYFUNCTION("""COMPUTED_VALUE"""),3.5)</f>
        <v>3.5</v>
      </c>
      <c r="L246" s="3" t="str">
        <f ca="1">IFERROR(__xludf.DUMMYFUNCTION("""COMPUTED_VALUE"""),"DEV")</f>
        <v>DEV</v>
      </c>
      <c r="M246" s="3" t="str">
        <f ca="1">IFERROR(__xludf.DUMMYFUNCTION("""COMPUTED_VALUE"""),"MOC")</f>
        <v>MOC</v>
      </c>
      <c r="N246" s="157">
        <f ca="1">IFERROR(__xludf.DUMMYFUNCTION("""COMPUTED_VALUE"""),1)</f>
        <v>1</v>
      </c>
      <c r="O246" s="157">
        <f ca="1">IFERROR(__xludf.DUMMYFUNCTION("""COMPUTED_VALUE"""),3.5)</f>
        <v>3.5</v>
      </c>
      <c r="P246" s="157"/>
      <c r="Q246" s="3">
        <f t="shared" ca="1" si="0"/>
        <v>245</v>
      </c>
      <c r="R246" s="148" t="e">
        <f ca="1"/>
        <v>#NAME?</v>
      </c>
      <c r="S246" s="147" t="e">
        <f t="shared" ca="1" si="1"/>
        <v>#NAME?</v>
      </c>
      <c r="T246" s="147" t="e">
        <f t="shared" ca="1" si="2"/>
        <v>#NAME?</v>
      </c>
      <c r="U246" s="147" t="e">
        <f t="shared" ca="1" si="3"/>
        <v>#NAME?</v>
      </c>
      <c r="X246" s="147"/>
      <c r="Y246" s="147"/>
      <c r="Z246" s="147"/>
      <c r="AA246" s="147"/>
      <c r="AB246" s="147"/>
      <c r="AC246" s="147"/>
      <c r="AD246" s="147"/>
      <c r="AE246" s="147"/>
      <c r="AF246" s="147"/>
      <c r="AG246" s="147"/>
      <c r="AH246" s="147"/>
      <c r="AI246" s="147"/>
      <c r="AJ246" s="147"/>
      <c r="AK246" s="147"/>
      <c r="AL246" s="147"/>
      <c r="AM246" s="147"/>
      <c r="AN246" s="147"/>
      <c r="AO246" s="147"/>
      <c r="AP246" s="147"/>
      <c r="AQ246" s="147"/>
    </row>
    <row r="247" spans="1:43">
      <c r="A247" s="160" t="str">
        <f ca="1">IFERROR(__xludf.DUMMYFUNCTION("""COMPUTED_VALUE"""),"227081")</f>
        <v>227081</v>
      </c>
      <c r="B247" s="3" t="str">
        <f ca="1">IFERROR(__xludf.DUMMYFUNCTION("""COMPUTED_VALUE"""),"NGUYỄN HOÀNG PHÚC")</f>
        <v>NGUYỄN HOÀNG PHÚC</v>
      </c>
      <c r="C247" s="160" t="str">
        <f ca="1">IFERROR(__xludf.DUMMYFUNCTION("""COMPUTED_VALUE"""),"EL024")</f>
        <v>EL024</v>
      </c>
      <c r="D247" s="160" t="str">
        <f ca="1">IFERROR(__xludf.DUMMYFUNCTION("""COMPUTED_VALUE"""),"Dung Hoang")</f>
        <v>Dung Hoang</v>
      </c>
      <c r="E247" s="3" t="str">
        <f ca="1">IFERROR(__xludf.DUMMYFUNCTION("""COMPUTED_VALUE"""),"Communication 1")</f>
        <v>Communication 1</v>
      </c>
      <c r="F247" s="3" t="str">
        <f ca="1">IFERROR(__xludf.DUMMYFUNCTION("""COMPUTED_VALUE"""),"Beginner")</f>
        <v>Beginner</v>
      </c>
      <c r="G247" s="3" t="str">
        <f ca="1">IFERROR(__xludf.DUMMYFUNCTION("""COMPUTED_VALUE"""),"Pre-Intermediate 1")</f>
        <v>Pre-Intermediate 1</v>
      </c>
      <c r="H247" s="156">
        <f ca="1">IFERROR(__xludf.DUMMYFUNCTION("""COMPUTED_VALUE"""),45813.375)</f>
        <v>45813.375</v>
      </c>
      <c r="I247" s="156">
        <f ca="1">IFERROR(__xludf.DUMMYFUNCTION("""COMPUTED_VALUE"""),45813.375)</f>
        <v>45813.375</v>
      </c>
      <c r="J247" s="3">
        <f ca="1">IFERROR(__xludf.DUMMYFUNCTION("""COMPUTED_VALUE"""),1)</f>
        <v>1</v>
      </c>
      <c r="K247" s="3">
        <f ca="1">IFERROR(__xludf.DUMMYFUNCTION("""COMPUTED_VALUE"""),3)</f>
        <v>3</v>
      </c>
      <c r="L247" s="3" t="str">
        <f ca="1">IFERROR(__xludf.DUMMYFUNCTION("""COMPUTED_VALUE"""),"DEV")</f>
        <v>DEV</v>
      </c>
      <c r="M247" s="3" t="str">
        <f ca="1">IFERROR(__xludf.DUMMYFUNCTION("""COMPUTED_VALUE"""),"MOC")</f>
        <v>MOC</v>
      </c>
      <c r="N247" s="157">
        <f ca="1">IFERROR(__xludf.DUMMYFUNCTION("""COMPUTED_VALUE"""),1)</f>
        <v>1</v>
      </c>
      <c r="O247" s="157">
        <f ca="1">IFERROR(__xludf.DUMMYFUNCTION("""COMPUTED_VALUE"""),3)</f>
        <v>3</v>
      </c>
      <c r="P247" s="157"/>
      <c r="Q247" s="3">
        <f t="shared" ca="1" si="0"/>
        <v>246</v>
      </c>
      <c r="R247" s="148" t="e">
        <f ca="1"/>
        <v>#NAME?</v>
      </c>
      <c r="S247" s="147" t="e">
        <f t="shared" ca="1" si="1"/>
        <v>#NAME?</v>
      </c>
      <c r="T247" s="147" t="e">
        <f t="shared" ca="1" si="2"/>
        <v>#NAME?</v>
      </c>
      <c r="U247" s="147" t="e">
        <f t="shared" ca="1" si="3"/>
        <v>#NAME?</v>
      </c>
      <c r="X247" s="147"/>
      <c r="Y247" s="147"/>
      <c r="Z247" s="147"/>
      <c r="AA247" s="147"/>
      <c r="AB247" s="147"/>
      <c r="AC247" s="147"/>
      <c r="AD247" s="147"/>
      <c r="AE247" s="147"/>
      <c r="AF247" s="147"/>
      <c r="AG247" s="147"/>
      <c r="AH247" s="147"/>
      <c r="AI247" s="147"/>
      <c r="AJ247" s="147"/>
      <c r="AK247" s="147"/>
      <c r="AL247" s="147"/>
      <c r="AM247" s="147"/>
      <c r="AN247" s="147"/>
      <c r="AO247" s="147"/>
      <c r="AP247" s="147"/>
      <c r="AQ247" s="147"/>
    </row>
    <row r="248" spans="1:43">
      <c r="A248" s="160" t="str">
        <f ca="1">IFERROR(__xludf.DUMMYFUNCTION("""COMPUTED_VALUE"""),"247332")</f>
        <v>247332</v>
      </c>
      <c r="B248" s="3" t="str">
        <f ca="1">IFERROR(__xludf.DUMMYFUNCTION("""COMPUTED_VALUE"""),"NGUYỄN PHÚC THANH TOÀN")</f>
        <v>NGUYỄN PHÚC THANH TOÀN</v>
      </c>
      <c r="C248" s="160" t="str">
        <f ca="1">IFERROR(__xludf.DUMMYFUNCTION("""COMPUTED_VALUE"""),"EL024")</f>
        <v>EL024</v>
      </c>
      <c r="D248" s="160" t="str">
        <f ca="1">IFERROR(__xludf.DUMMYFUNCTION("""COMPUTED_VALUE"""),"Dung Hoang")</f>
        <v>Dung Hoang</v>
      </c>
      <c r="E248" s="3" t="str">
        <f ca="1">IFERROR(__xludf.DUMMYFUNCTION("""COMPUTED_VALUE"""),"Communication 1")</f>
        <v>Communication 1</v>
      </c>
      <c r="F248" s="3" t="str">
        <f ca="1">IFERROR(__xludf.DUMMYFUNCTION("""COMPUTED_VALUE"""),"Beginner")</f>
        <v>Beginner</v>
      </c>
      <c r="G248" s="3" t="str">
        <f ca="1">IFERROR(__xludf.DUMMYFUNCTION("""COMPUTED_VALUE"""),"Pre-Intermediate 2")</f>
        <v>Pre-Intermediate 2</v>
      </c>
      <c r="H248" s="156">
        <f ca="1">IFERROR(__xludf.DUMMYFUNCTION("""COMPUTED_VALUE"""),45813.375)</f>
        <v>45813.375</v>
      </c>
      <c r="I248" s="156">
        <f ca="1">IFERROR(__xludf.DUMMYFUNCTION("""COMPUTED_VALUE"""),45813.375)</f>
        <v>45813.375</v>
      </c>
      <c r="J248" s="3">
        <f ca="1">IFERROR(__xludf.DUMMYFUNCTION("""COMPUTED_VALUE"""),1)</f>
        <v>1</v>
      </c>
      <c r="K248" s="3">
        <f ca="1">IFERROR(__xludf.DUMMYFUNCTION("""COMPUTED_VALUE"""),3.5)</f>
        <v>3.5</v>
      </c>
      <c r="L248" s="3" t="str">
        <f ca="1">IFERROR(__xludf.DUMMYFUNCTION("""COMPUTED_VALUE"""),"DEV")</f>
        <v>DEV</v>
      </c>
      <c r="M248" s="3" t="str">
        <f ca="1">IFERROR(__xludf.DUMMYFUNCTION("""COMPUTED_VALUE"""),"LBU")</f>
        <v>LBU</v>
      </c>
      <c r="N248" s="157">
        <f ca="1">IFERROR(__xludf.DUMMYFUNCTION("""COMPUTED_VALUE"""),1)</f>
        <v>1</v>
      </c>
      <c r="O248" s="157">
        <f ca="1">IFERROR(__xludf.DUMMYFUNCTION("""COMPUTED_VALUE"""),3.5)</f>
        <v>3.5</v>
      </c>
      <c r="P248" s="157"/>
      <c r="Q248" s="3">
        <f t="shared" ca="1" si="0"/>
        <v>247</v>
      </c>
      <c r="R248" s="148" t="e">
        <f ca="1"/>
        <v>#NAME?</v>
      </c>
      <c r="S248" s="147" t="e">
        <f t="shared" ca="1" si="1"/>
        <v>#NAME?</v>
      </c>
      <c r="T248" s="147" t="e">
        <f t="shared" ca="1" si="2"/>
        <v>#NAME?</v>
      </c>
      <c r="U248" s="147" t="e">
        <f t="shared" ca="1" si="3"/>
        <v>#NAME?</v>
      </c>
      <c r="X248" s="147"/>
      <c r="Y248" s="147"/>
      <c r="Z248" s="147"/>
      <c r="AA248" s="147"/>
      <c r="AB248" s="147"/>
      <c r="AC248" s="147"/>
      <c r="AD248" s="147"/>
      <c r="AE248" s="147"/>
      <c r="AF248" s="147"/>
      <c r="AG248" s="147"/>
      <c r="AH248" s="147"/>
      <c r="AI248" s="147"/>
      <c r="AJ248" s="147"/>
      <c r="AK248" s="147"/>
      <c r="AL248" s="147"/>
      <c r="AM248" s="147"/>
      <c r="AN248" s="147"/>
      <c r="AO248" s="147"/>
      <c r="AP248" s="147"/>
      <c r="AQ248" s="147"/>
    </row>
    <row r="249" spans="1:43">
      <c r="A249" s="160" t="str">
        <f ca="1">IFERROR(__xludf.DUMMYFUNCTION("""COMPUTED_VALUE"""),"193613")</f>
        <v>193613</v>
      </c>
      <c r="B249" s="3" t="str">
        <f ca="1">IFERROR(__xludf.DUMMYFUNCTION("""COMPUTED_VALUE"""),"NGUYỄN QUANG TRUNG")</f>
        <v>NGUYỄN QUANG TRUNG</v>
      </c>
      <c r="C249" s="160" t="str">
        <f ca="1">IFERROR(__xludf.DUMMYFUNCTION("""COMPUTED_VALUE"""),"EL024")</f>
        <v>EL024</v>
      </c>
      <c r="D249" s="160" t="str">
        <f ca="1">IFERROR(__xludf.DUMMYFUNCTION("""COMPUTED_VALUE"""),"Dung Hoang")</f>
        <v>Dung Hoang</v>
      </c>
      <c r="E249" s="3" t="str">
        <f ca="1">IFERROR(__xludf.DUMMYFUNCTION("""COMPUTED_VALUE"""),"Communication 1")</f>
        <v>Communication 1</v>
      </c>
      <c r="F249" s="3" t="str">
        <f ca="1">IFERROR(__xludf.DUMMYFUNCTION("""COMPUTED_VALUE"""),"Beginner")</f>
        <v>Beginner</v>
      </c>
      <c r="G249" s="3" t="str">
        <f ca="1">IFERROR(__xludf.DUMMYFUNCTION("""COMPUTED_VALUE"""),"Intermediate 1")</f>
        <v>Intermediate 1</v>
      </c>
      <c r="H249" s="156">
        <f ca="1">IFERROR(__xludf.DUMMYFUNCTION("""COMPUTED_VALUE"""),45813.375)</f>
        <v>45813.375</v>
      </c>
      <c r="I249" s="156">
        <f ca="1">IFERROR(__xludf.DUMMYFUNCTION("""COMPUTED_VALUE"""),45813.375)</f>
        <v>45813.375</v>
      </c>
      <c r="J249" s="3">
        <f ca="1">IFERROR(__xludf.DUMMYFUNCTION("""COMPUTED_VALUE"""),1)</f>
        <v>1</v>
      </c>
      <c r="K249" s="3">
        <f ca="1">IFERROR(__xludf.DUMMYFUNCTION("""COMPUTED_VALUE"""),5)</f>
        <v>5</v>
      </c>
      <c r="L249" s="3" t="str">
        <f ca="1">IFERROR(__xludf.DUMMYFUNCTION("""COMPUTED_VALUE"""),"DEV")</f>
        <v>DEV</v>
      </c>
      <c r="M249" s="3" t="str">
        <f ca="1">IFERROR(__xludf.DUMMYFUNCTION("""COMPUTED_VALUE"""),"MOC")</f>
        <v>MOC</v>
      </c>
      <c r="N249" s="157">
        <f ca="1">IFERROR(__xludf.DUMMYFUNCTION("""COMPUTED_VALUE"""),1)</f>
        <v>1</v>
      </c>
      <c r="O249" s="157">
        <f ca="1">IFERROR(__xludf.DUMMYFUNCTION("""COMPUTED_VALUE"""),5)</f>
        <v>5</v>
      </c>
      <c r="P249" s="157"/>
      <c r="Q249" s="3">
        <f t="shared" ca="1" si="0"/>
        <v>248</v>
      </c>
      <c r="R249" s="148" t="e">
        <f ca="1"/>
        <v>#NAME?</v>
      </c>
      <c r="S249" s="147" t="e">
        <f t="shared" ca="1" si="1"/>
        <v>#NAME?</v>
      </c>
      <c r="T249" s="147" t="e">
        <f t="shared" ca="1" si="2"/>
        <v>#NAME?</v>
      </c>
      <c r="U249" s="147" t="e">
        <f t="shared" ca="1" si="3"/>
        <v>#NAME?</v>
      </c>
      <c r="X249" s="147"/>
      <c r="Y249" s="147"/>
      <c r="Z249" s="147"/>
      <c r="AA249" s="147"/>
      <c r="AB249" s="147"/>
      <c r="AC249" s="147"/>
      <c r="AD249" s="147"/>
      <c r="AE249" s="147"/>
      <c r="AF249" s="147"/>
      <c r="AG249" s="147"/>
      <c r="AH249" s="147"/>
      <c r="AI249" s="147"/>
      <c r="AJ249" s="147"/>
      <c r="AK249" s="147"/>
      <c r="AL249" s="147"/>
      <c r="AM249" s="147"/>
      <c r="AN249" s="147"/>
      <c r="AO249" s="147"/>
      <c r="AP249" s="147"/>
      <c r="AQ249" s="147"/>
    </row>
    <row r="250" spans="1:43">
      <c r="A250" s="160" t="str">
        <f ca="1">IFERROR(__xludf.DUMMYFUNCTION("""COMPUTED_VALUE"""),"247097")</f>
        <v>247097</v>
      </c>
      <c r="B250" s="3" t="str">
        <f ca="1">IFERROR(__xludf.DUMMYFUNCTION("""COMPUTED_VALUE"""),"NGUYỄN THÀNH PHƯỚC")</f>
        <v>NGUYỄN THÀNH PHƯỚC</v>
      </c>
      <c r="C250" s="160" t="str">
        <f ca="1">IFERROR(__xludf.DUMMYFUNCTION("""COMPUTED_VALUE"""),"EL024")</f>
        <v>EL024</v>
      </c>
      <c r="D250" s="160" t="str">
        <f ca="1">IFERROR(__xludf.DUMMYFUNCTION("""COMPUTED_VALUE"""),"Dung Hoang")</f>
        <v>Dung Hoang</v>
      </c>
      <c r="E250" s="3" t="str">
        <f ca="1">IFERROR(__xludf.DUMMYFUNCTION("""COMPUTED_VALUE"""),"Communication 1")</f>
        <v>Communication 1</v>
      </c>
      <c r="F250" s="3" t="str">
        <f ca="1">IFERROR(__xludf.DUMMYFUNCTION("""COMPUTED_VALUE"""),"Beginner")</f>
        <v>Beginner</v>
      </c>
      <c r="G250" s="3" t="str">
        <f ca="1">IFERROR(__xludf.DUMMYFUNCTION("""COMPUTED_VALUE"""),"Pre-Intermediate 1")</f>
        <v>Pre-Intermediate 1</v>
      </c>
      <c r="H250" s="156">
        <f ca="1">IFERROR(__xludf.DUMMYFUNCTION("""COMPUTED_VALUE"""),45813.375)</f>
        <v>45813.375</v>
      </c>
      <c r="I250" s="156">
        <f ca="1">IFERROR(__xludf.DUMMYFUNCTION("""COMPUTED_VALUE"""),45813.375)</f>
        <v>45813.375</v>
      </c>
      <c r="J250" s="3">
        <f ca="1">IFERROR(__xludf.DUMMYFUNCTION("""COMPUTED_VALUE"""),1)</f>
        <v>1</v>
      </c>
      <c r="K250" s="3">
        <f ca="1">IFERROR(__xludf.DUMMYFUNCTION("""COMPUTED_VALUE"""),3)</f>
        <v>3</v>
      </c>
      <c r="L250" s="3" t="str">
        <f ca="1">IFERROR(__xludf.DUMMYFUNCTION("""COMPUTED_VALUE"""),"DEV")</f>
        <v>DEV</v>
      </c>
      <c r="M250" s="3" t="str">
        <f ca="1">IFERROR(__xludf.DUMMYFUNCTION("""COMPUTED_VALUE"""),"MOC")</f>
        <v>MOC</v>
      </c>
      <c r="N250" s="157">
        <f ca="1">IFERROR(__xludf.DUMMYFUNCTION("""COMPUTED_VALUE"""),1)</f>
        <v>1</v>
      </c>
      <c r="O250" s="157">
        <f ca="1">IFERROR(__xludf.DUMMYFUNCTION("""COMPUTED_VALUE"""),3)</f>
        <v>3</v>
      </c>
      <c r="P250" s="157"/>
      <c r="Q250" s="3">
        <f t="shared" ca="1" si="0"/>
        <v>249</v>
      </c>
      <c r="R250" s="148" t="e">
        <f ca="1"/>
        <v>#NAME?</v>
      </c>
      <c r="S250" s="147" t="e">
        <f t="shared" ca="1" si="1"/>
        <v>#NAME?</v>
      </c>
      <c r="T250" s="147" t="e">
        <f t="shared" ca="1" si="2"/>
        <v>#NAME?</v>
      </c>
      <c r="U250" s="147" t="e">
        <f t="shared" ca="1" si="3"/>
        <v>#NAME?</v>
      </c>
      <c r="X250" s="147"/>
      <c r="Y250" s="147"/>
      <c r="Z250" s="147"/>
      <c r="AA250" s="147"/>
      <c r="AB250" s="147"/>
      <c r="AC250" s="147"/>
      <c r="AD250" s="147"/>
      <c r="AE250" s="147"/>
      <c r="AF250" s="147"/>
      <c r="AG250" s="147"/>
      <c r="AH250" s="147"/>
      <c r="AI250" s="147"/>
      <c r="AJ250" s="147"/>
      <c r="AK250" s="147"/>
      <c r="AL250" s="147"/>
      <c r="AM250" s="147"/>
      <c r="AN250" s="147"/>
      <c r="AO250" s="147"/>
      <c r="AP250" s="147"/>
      <c r="AQ250" s="147"/>
    </row>
    <row r="251" spans="1:43">
      <c r="A251" s="160" t="str">
        <f ca="1">IFERROR(__xludf.DUMMYFUNCTION("""COMPUTED_VALUE"""),"247085")</f>
        <v>247085</v>
      </c>
      <c r="B251" s="3" t="str">
        <f ca="1">IFERROR(__xludf.DUMMYFUNCTION("""COMPUTED_VALUE"""),"NGUYỄN TRẦN NGỌC HƯNG")</f>
        <v>NGUYỄN TRẦN NGỌC HƯNG</v>
      </c>
      <c r="C251" s="160" t="str">
        <f ca="1">IFERROR(__xludf.DUMMYFUNCTION("""COMPUTED_VALUE"""),"EL024")</f>
        <v>EL024</v>
      </c>
      <c r="D251" s="160" t="str">
        <f ca="1">IFERROR(__xludf.DUMMYFUNCTION("""COMPUTED_VALUE"""),"Dung Hoang")</f>
        <v>Dung Hoang</v>
      </c>
      <c r="E251" s="3" t="str">
        <f ca="1">IFERROR(__xludf.DUMMYFUNCTION("""COMPUTED_VALUE"""),"Communication 1")</f>
        <v>Communication 1</v>
      </c>
      <c r="F251" s="3"/>
      <c r="G251" s="3"/>
      <c r="H251" s="156">
        <f ca="1">IFERROR(__xludf.DUMMYFUNCTION("""COMPUTED_VALUE"""),45813.375)</f>
        <v>45813.375</v>
      </c>
      <c r="I251" s="156">
        <f ca="1">IFERROR(__xludf.DUMMYFUNCTION("""COMPUTED_VALUE"""),45813.375)</f>
        <v>45813.375</v>
      </c>
      <c r="J251" s="3" t="str">
        <f ca="1">IFERROR(__xludf.DUMMYFUNCTION("""COMPUTED_VALUE"""),"")</f>
        <v/>
      </c>
      <c r="K251" s="3" t="str">
        <f ca="1">IFERROR(__xludf.DUMMYFUNCTION("""COMPUTED_VALUE"""),"")</f>
        <v/>
      </c>
      <c r="L251" s="3" t="str">
        <f ca="1">IFERROR(__xludf.DUMMYFUNCTION("""COMPUTED_VALUE"""),"DEV")</f>
        <v>DEV</v>
      </c>
      <c r="M251" s="3" t="str">
        <f ca="1">IFERROR(__xludf.DUMMYFUNCTION("""COMPUTED_VALUE"""),"LBU")</f>
        <v>LBU</v>
      </c>
      <c r="N251" s="157" t="str">
        <f ca="1">IFERROR(__xludf.DUMMYFUNCTION("""COMPUTED_VALUE"""),"")</f>
        <v/>
      </c>
      <c r="O251" s="157">
        <f ca="1">IFERROR(__xludf.DUMMYFUNCTION("""COMPUTED_VALUE"""),0)</f>
        <v>0</v>
      </c>
      <c r="P251" s="157"/>
      <c r="Q251" s="3">
        <f t="shared" ca="1" si="0"/>
        <v>250</v>
      </c>
      <c r="R251" s="148" t="e">
        <f ca="1"/>
        <v>#NAME?</v>
      </c>
      <c r="S251" s="147" t="e">
        <f t="shared" ca="1" si="1"/>
        <v>#NAME?</v>
      </c>
      <c r="T251" s="147" t="e">
        <f t="shared" ca="1" si="2"/>
        <v>#NAME?</v>
      </c>
      <c r="U251" s="147" t="e">
        <f t="shared" ca="1" si="3"/>
        <v>#NAME?</v>
      </c>
      <c r="X251" s="147"/>
      <c r="Y251" s="147"/>
      <c r="Z251" s="147"/>
      <c r="AA251" s="147"/>
      <c r="AB251" s="147"/>
      <c r="AC251" s="147"/>
      <c r="AD251" s="147"/>
      <c r="AE251" s="147"/>
      <c r="AF251" s="147"/>
      <c r="AG251" s="147"/>
      <c r="AH251" s="147"/>
      <c r="AI251" s="147"/>
      <c r="AJ251" s="147"/>
      <c r="AK251" s="147"/>
      <c r="AL251" s="147"/>
      <c r="AM251" s="147"/>
      <c r="AN251" s="147"/>
      <c r="AO251" s="147"/>
      <c r="AP251" s="147"/>
      <c r="AQ251" s="147"/>
    </row>
    <row r="252" spans="1:43">
      <c r="A252" s="160" t="str">
        <f ca="1">IFERROR(__xludf.DUMMYFUNCTION("""COMPUTED_VALUE"""),"247086")</f>
        <v>247086</v>
      </c>
      <c r="B252" s="3" t="str">
        <f ca="1">IFERROR(__xludf.DUMMYFUNCTION("""COMPUTED_VALUE"""),"THỚI PHI LONG")</f>
        <v>THỚI PHI LONG</v>
      </c>
      <c r="C252" s="160" t="str">
        <f ca="1">IFERROR(__xludf.DUMMYFUNCTION("""COMPUTED_VALUE"""),"EL024")</f>
        <v>EL024</v>
      </c>
      <c r="D252" s="160" t="str">
        <f ca="1">IFERROR(__xludf.DUMMYFUNCTION("""COMPUTED_VALUE"""),"Dung Hoang")</f>
        <v>Dung Hoang</v>
      </c>
      <c r="E252" s="3" t="str">
        <f ca="1">IFERROR(__xludf.DUMMYFUNCTION("""COMPUTED_VALUE"""),"Communication 1")</f>
        <v>Communication 1</v>
      </c>
      <c r="F252" s="3"/>
      <c r="G252" s="3"/>
      <c r="H252" s="156">
        <f ca="1">IFERROR(__xludf.DUMMYFUNCTION("""COMPUTED_VALUE"""),45813.375)</f>
        <v>45813.375</v>
      </c>
      <c r="I252" s="156">
        <f ca="1">IFERROR(__xludf.DUMMYFUNCTION("""COMPUTED_VALUE"""),45813.375)</f>
        <v>45813.375</v>
      </c>
      <c r="J252" s="3" t="str">
        <f ca="1">IFERROR(__xludf.DUMMYFUNCTION("""COMPUTED_VALUE"""),"")</f>
        <v/>
      </c>
      <c r="K252" s="3" t="str">
        <f ca="1">IFERROR(__xludf.DUMMYFUNCTION("""COMPUTED_VALUE"""),"")</f>
        <v/>
      </c>
      <c r="L252" s="3" t="str">
        <f ca="1">IFERROR(__xludf.DUMMYFUNCTION("""COMPUTED_VALUE"""),"DEV")</f>
        <v>DEV</v>
      </c>
      <c r="M252" s="3" t="str">
        <f ca="1">IFERROR(__xludf.DUMMYFUNCTION("""COMPUTED_VALUE"""),"LBU")</f>
        <v>LBU</v>
      </c>
      <c r="N252" s="157" t="str">
        <f ca="1">IFERROR(__xludf.DUMMYFUNCTION("""COMPUTED_VALUE"""),"")</f>
        <v/>
      </c>
      <c r="O252" s="157">
        <f ca="1">IFERROR(__xludf.DUMMYFUNCTION("""COMPUTED_VALUE"""),0)</f>
        <v>0</v>
      </c>
      <c r="P252" s="157"/>
      <c r="Q252" s="3">
        <f t="shared" ca="1" si="0"/>
        <v>251</v>
      </c>
      <c r="R252" s="148" t="e">
        <f ca="1"/>
        <v>#NAME?</v>
      </c>
      <c r="S252" s="147" t="e">
        <f t="shared" ca="1" si="1"/>
        <v>#NAME?</v>
      </c>
      <c r="T252" s="147" t="e">
        <f t="shared" ca="1" si="2"/>
        <v>#NAME?</v>
      </c>
      <c r="U252" s="147" t="e">
        <f t="shared" ca="1" si="3"/>
        <v>#NAME?</v>
      </c>
      <c r="X252" s="147"/>
      <c r="Y252" s="147"/>
      <c r="Z252" s="147"/>
      <c r="AA252" s="147"/>
      <c r="AB252" s="147"/>
      <c r="AC252" s="147"/>
      <c r="AD252" s="147"/>
      <c r="AE252" s="147"/>
      <c r="AF252" s="147"/>
      <c r="AG252" s="147"/>
      <c r="AH252" s="147"/>
      <c r="AI252" s="147"/>
      <c r="AJ252" s="147"/>
      <c r="AK252" s="147"/>
      <c r="AL252" s="147"/>
      <c r="AM252" s="147"/>
      <c r="AN252" s="147"/>
      <c r="AO252" s="147"/>
      <c r="AP252" s="147"/>
      <c r="AQ252" s="147"/>
    </row>
    <row r="253" spans="1:43">
      <c r="A253" s="155" t="str">
        <f ca="1">IFERROR(__xludf.DUMMYFUNCTION("""COMPUTED_VALUE"""),"213901")</f>
        <v>213901</v>
      </c>
      <c r="B253" s="154" t="str">
        <f ca="1">IFERROR(__xludf.DUMMYFUNCTION("""COMPUTED_VALUE"""),"HOÀNG TIẾN DŨNG")</f>
        <v>HOÀNG TIẾN DŨNG</v>
      </c>
      <c r="C253" s="155" t="str">
        <f ca="1">IFERROR(__xludf.DUMMYFUNCTION("""COMPUTED_VALUE"""),"EL024")</f>
        <v>EL024</v>
      </c>
      <c r="D253" s="155" t="str">
        <f ca="1">IFERROR(__xludf.DUMMYFUNCTION("""COMPUTED_VALUE"""),"Dung Hoang")</f>
        <v>Dung Hoang</v>
      </c>
      <c r="E253" s="154" t="str">
        <f ca="1">IFERROR(__xludf.DUMMYFUNCTION("""COMPUTED_VALUE"""),"Communication 2")</f>
        <v>Communication 2</v>
      </c>
      <c r="F253" s="3"/>
      <c r="G253" s="3"/>
      <c r="H253" s="156">
        <f ca="1">IFERROR(__xludf.DUMMYFUNCTION("""COMPUTED_VALUE"""),46106.4166666666)</f>
        <v>46106.416666666599</v>
      </c>
      <c r="I253" s="156">
        <f ca="1">IFERROR(__xludf.DUMMYFUNCTION("""COMPUTED_VALUE"""),45813.375)</f>
        <v>45813.375</v>
      </c>
      <c r="J253" s="3" t="str">
        <f ca="1">IFERROR(__xludf.DUMMYFUNCTION("""COMPUTED_VALUE"""),"")</f>
        <v/>
      </c>
      <c r="K253" s="3" t="str">
        <f ca="1">IFERROR(__xludf.DUMMYFUNCTION("""COMPUTED_VALUE"""),"")</f>
        <v/>
      </c>
      <c r="L253" s="3" t="str">
        <f ca="1">IFERROR(__xludf.DUMMYFUNCTION("""COMPUTED_VALUE"""),"DEV")</f>
        <v>DEV</v>
      </c>
      <c r="M253" s="3" t="str">
        <f ca="1">IFERROR(__xludf.DUMMYFUNCTION("""COMPUTED_VALUE"""),"LBU")</f>
        <v>LBU</v>
      </c>
      <c r="N253" s="157">
        <f ca="1">IFERROR(__xludf.DUMMYFUNCTION("""COMPUTED_VALUE"""),1)</f>
        <v>1</v>
      </c>
      <c r="O253" s="157">
        <f ca="1">IFERROR(__xludf.DUMMYFUNCTION("""COMPUTED_VALUE"""),3)</f>
        <v>3</v>
      </c>
      <c r="P253" s="157"/>
      <c r="Q253" s="3">
        <f t="shared" ca="1" si="0"/>
        <v>252</v>
      </c>
      <c r="R253" s="148" t="e">
        <f ca="1"/>
        <v>#NAME?</v>
      </c>
      <c r="S253" s="147" t="e">
        <f t="shared" ca="1" si="1"/>
        <v>#NAME?</v>
      </c>
      <c r="T253" s="147" t="e">
        <f t="shared" ca="1" si="2"/>
        <v>#NAME?</v>
      </c>
      <c r="U253" s="147" t="e">
        <f t="shared" ca="1" si="3"/>
        <v>#NAME?</v>
      </c>
      <c r="X253" s="147"/>
      <c r="Y253" s="147"/>
      <c r="Z253" s="147"/>
      <c r="AA253" s="147"/>
      <c r="AB253" s="147"/>
      <c r="AC253" s="147"/>
      <c r="AD253" s="147"/>
      <c r="AE253" s="147"/>
      <c r="AF253" s="147"/>
      <c r="AG253" s="147"/>
      <c r="AH253" s="147"/>
      <c r="AI253" s="147"/>
      <c r="AJ253" s="147"/>
      <c r="AK253" s="147"/>
      <c r="AL253" s="147"/>
      <c r="AM253" s="147"/>
      <c r="AN253" s="147"/>
      <c r="AO253" s="147"/>
      <c r="AP253" s="147"/>
      <c r="AQ253" s="147"/>
    </row>
    <row r="254" spans="1:43">
      <c r="A254" s="160" t="str">
        <f ca="1">IFERROR(__xludf.DUMMYFUNCTION("""COMPUTED_VALUE"""),"213835")</f>
        <v>213835</v>
      </c>
      <c r="B254" s="3" t="str">
        <f ca="1">IFERROR(__xludf.DUMMYFUNCTION("""COMPUTED_VALUE"""),"ĐOÀN ANH MINH")</f>
        <v>ĐOÀN ANH MINH</v>
      </c>
      <c r="C254" s="160" t="str">
        <f ca="1">IFERROR(__xludf.DUMMYFUNCTION("""COMPUTED_VALUE"""),"EL024")</f>
        <v>EL024</v>
      </c>
      <c r="D254" s="160" t="str">
        <f ca="1">IFERROR(__xludf.DUMMYFUNCTION("""COMPUTED_VALUE"""),"Dung Hoang")</f>
        <v>Dung Hoang</v>
      </c>
      <c r="E254" s="3" t="str">
        <f ca="1">IFERROR(__xludf.DUMMYFUNCTION("""COMPUTED_VALUE"""),"Communication 2")</f>
        <v>Communication 2</v>
      </c>
      <c r="F254" s="3"/>
      <c r="G254" s="3"/>
      <c r="H254" s="156">
        <f ca="1">IFERROR(__xludf.DUMMYFUNCTION("""COMPUTED_VALUE"""),46106.4166666666)</f>
        <v>46106.416666666599</v>
      </c>
      <c r="I254" s="156">
        <f ca="1">IFERROR(__xludf.DUMMYFUNCTION("""COMPUTED_VALUE"""),45813.375)</f>
        <v>45813.375</v>
      </c>
      <c r="J254" s="3" t="str">
        <f ca="1">IFERROR(__xludf.DUMMYFUNCTION("""COMPUTED_VALUE"""),"")</f>
        <v/>
      </c>
      <c r="K254" s="3" t="str">
        <f ca="1">IFERROR(__xludf.DUMMYFUNCTION("""COMPUTED_VALUE"""),"")</f>
        <v/>
      </c>
      <c r="L254" s="3" t="str">
        <f ca="1">IFERROR(__xludf.DUMMYFUNCTION("""COMPUTED_VALUE"""),"DEV")</f>
        <v>DEV</v>
      </c>
      <c r="M254" s="3" t="str">
        <f ca="1">IFERROR(__xludf.DUMMYFUNCTION("""COMPUTED_VALUE"""),"MOC")</f>
        <v>MOC</v>
      </c>
      <c r="N254" s="157">
        <f ca="1">IFERROR(__xludf.DUMMYFUNCTION("""COMPUTED_VALUE"""),1)</f>
        <v>1</v>
      </c>
      <c r="O254" s="157">
        <f ca="1">IFERROR(__xludf.DUMMYFUNCTION("""COMPUTED_VALUE"""),3.5)</f>
        <v>3.5</v>
      </c>
      <c r="P254" s="157"/>
      <c r="Q254" s="3">
        <f t="shared" ca="1" si="0"/>
        <v>253</v>
      </c>
      <c r="R254" s="148" t="e">
        <f ca="1"/>
        <v>#NAME?</v>
      </c>
      <c r="S254" s="147" t="e">
        <f t="shared" ca="1" si="1"/>
        <v>#NAME?</v>
      </c>
      <c r="T254" s="147" t="e">
        <f t="shared" ca="1" si="2"/>
        <v>#NAME?</v>
      </c>
      <c r="U254" s="147" t="e">
        <f t="shared" ca="1" si="3"/>
        <v>#NAME?</v>
      </c>
      <c r="X254" s="147"/>
      <c r="Y254" s="147"/>
      <c r="Z254" s="147"/>
      <c r="AA254" s="147"/>
      <c r="AB254" s="147"/>
      <c r="AC254" s="147"/>
      <c r="AD254" s="147"/>
      <c r="AE254" s="147"/>
      <c r="AF254" s="147"/>
      <c r="AG254" s="147"/>
      <c r="AH254" s="147"/>
      <c r="AI254" s="147"/>
      <c r="AJ254" s="147"/>
      <c r="AK254" s="147"/>
      <c r="AL254" s="147"/>
      <c r="AM254" s="147"/>
      <c r="AN254" s="147"/>
      <c r="AO254" s="147"/>
      <c r="AP254" s="147"/>
      <c r="AQ254" s="147"/>
    </row>
    <row r="255" spans="1:43">
      <c r="A255" s="160" t="str">
        <f ca="1">IFERROR(__xludf.DUMMYFUNCTION("""COMPUTED_VALUE"""),"227081")</f>
        <v>227081</v>
      </c>
      <c r="B255" s="3" t="str">
        <f ca="1">IFERROR(__xludf.DUMMYFUNCTION("""COMPUTED_VALUE"""),"NGUYỄN HOÀNG PHÚC")</f>
        <v>NGUYỄN HOÀNG PHÚC</v>
      </c>
      <c r="C255" s="160" t="str">
        <f ca="1">IFERROR(__xludf.DUMMYFUNCTION("""COMPUTED_VALUE"""),"EL024")</f>
        <v>EL024</v>
      </c>
      <c r="D255" s="160" t="str">
        <f ca="1">IFERROR(__xludf.DUMMYFUNCTION("""COMPUTED_VALUE"""),"Dung Hoang")</f>
        <v>Dung Hoang</v>
      </c>
      <c r="E255" s="3" t="str">
        <f ca="1">IFERROR(__xludf.DUMMYFUNCTION("""COMPUTED_VALUE"""),"Communication 2")</f>
        <v>Communication 2</v>
      </c>
      <c r="F255" s="3"/>
      <c r="G255" s="3"/>
      <c r="H255" s="156">
        <f ca="1">IFERROR(__xludf.DUMMYFUNCTION("""COMPUTED_VALUE"""),46106.4166666666)</f>
        <v>46106.416666666599</v>
      </c>
      <c r="I255" s="156">
        <f ca="1">IFERROR(__xludf.DUMMYFUNCTION("""COMPUTED_VALUE"""),45813.375)</f>
        <v>45813.375</v>
      </c>
      <c r="J255" s="3" t="str">
        <f ca="1">IFERROR(__xludf.DUMMYFUNCTION("""COMPUTED_VALUE"""),"")</f>
        <v/>
      </c>
      <c r="K255" s="3" t="str">
        <f ca="1">IFERROR(__xludf.DUMMYFUNCTION("""COMPUTED_VALUE"""),"")</f>
        <v/>
      </c>
      <c r="L255" s="3" t="str">
        <f ca="1">IFERROR(__xludf.DUMMYFUNCTION("""COMPUTED_VALUE"""),"DEV")</f>
        <v>DEV</v>
      </c>
      <c r="M255" s="3" t="str">
        <f ca="1">IFERROR(__xludf.DUMMYFUNCTION("""COMPUTED_VALUE"""),"MOC")</f>
        <v>MOC</v>
      </c>
      <c r="N255" s="157">
        <f ca="1">IFERROR(__xludf.DUMMYFUNCTION("""COMPUTED_VALUE"""),1)</f>
        <v>1</v>
      </c>
      <c r="O255" s="157">
        <f ca="1">IFERROR(__xludf.DUMMYFUNCTION("""COMPUTED_VALUE"""),3)</f>
        <v>3</v>
      </c>
      <c r="P255" s="157"/>
      <c r="Q255" s="3">
        <f t="shared" ca="1" si="0"/>
        <v>254</v>
      </c>
      <c r="R255" s="148" t="e">
        <f ca="1"/>
        <v>#NAME?</v>
      </c>
      <c r="S255" s="147" t="e">
        <f t="shared" ca="1" si="1"/>
        <v>#NAME?</v>
      </c>
      <c r="T255" s="147" t="e">
        <f t="shared" ca="1" si="2"/>
        <v>#NAME?</v>
      </c>
      <c r="U255" s="147" t="e">
        <f t="shared" ca="1" si="3"/>
        <v>#NAME?</v>
      </c>
      <c r="X255" s="147"/>
      <c r="Y255" s="147"/>
      <c r="Z255" s="147"/>
      <c r="AA255" s="147"/>
      <c r="AB255" s="147"/>
      <c r="AC255" s="147"/>
      <c r="AD255" s="147"/>
      <c r="AE255" s="147"/>
      <c r="AF255" s="147"/>
      <c r="AG255" s="147"/>
      <c r="AH255" s="147"/>
      <c r="AI255" s="147"/>
      <c r="AJ255" s="147"/>
      <c r="AK255" s="147"/>
      <c r="AL255" s="147"/>
      <c r="AM255" s="147"/>
      <c r="AN255" s="147"/>
      <c r="AO255" s="147"/>
      <c r="AP255" s="147"/>
      <c r="AQ255" s="147"/>
    </row>
    <row r="256" spans="1:43">
      <c r="A256" s="160" t="str">
        <f ca="1">IFERROR(__xludf.DUMMYFUNCTION("""COMPUTED_VALUE"""),"247332")</f>
        <v>247332</v>
      </c>
      <c r="B256" s="3" t="str">
        <f ca="1">IFERROR(__xludf.DUMMYFUNCTION("""COMPUTED_VALUE"""),"NGUYỄN PHÚC THANH TOÀN")</f>
        <v>NGUYỄN PHÚC THANH TOÀN</v>
      </c>
      <c r="C256" s="160" t="str">
        <f ca="1">IFERROR(__xludf.DUMMYFUNCTION("""COMPUTED_VALUE"""),"EL024")</f>
        <v>EL024</v>
      </c>
      <c r="D256" s="160" t="str">
        <f ca="1">IFERROR(__xludf.DUMMYFUNCTION("""COMPUTED_VALUE"""),"Dung Hoang")</f>
        <v>Dung Hoang</v>
      </c>
      <c r="E256" s="3" t="str">
        <f ca="1">IFERROR(__xludf.DUMMYFUNCTION("""COMPUTED_VALUE"""),"Communication 2")</f>
        <v>Communication 2</v>
      </c>
      <c r="F256" s="3"/>
      <c r="G256" s="3"/>
      <c r="H256" s="156">
        <f ca="1">IFERROR(__xludf.DUMMYFUNCTION("""COMPUTED_VALUE"""),46106.4166666666)</f>
        <v>46106.416666666599</v>
      </c>
      <c r="I256" s="156">
        <f ca="1">IFERROR(__xludf.DUMMYFUNCTION("""COMPUTED_VALUE"""),45813.375)</f>
        <v>45813.375</v>
      </c>
      <c r="J256" s="3" t="str">
        <f ca="1">IFERROR(__xludf.DUMMYFUNCTION("""COMPUTED_VALUE"""),"")</f>
        <v/>
      </c>
      <c r="K256" s="3" t="str">
        <f ca="1">IFERROR(__xludf.DUMMYFUNCTION("""COMPUTED_VALUE"""),"")</f>
        <v/>
      </c>
      <c r="L256" s="3" t="str">
        <f ca="1">IFERROR(__xludf.DUMMYFUNCTION("""COMPUTED_VALUE"""),"DEV")</f>
        <v>DEV</v>
      </c>
      <c r="M256" s="3" t="str">
        <f ca="1">IFERROR(__xludf.DUMMYFUNCTION("""COMPUTED_VALUE"""),"LBU")</f>
        <v>LBU</v>
      </c>
      <c r="N256" s="157">
        <f ca="1">IFERROR(__xludf.DUMMYFUNCTION("""COMPUTED_VALUE"""),1)</f>
        <v>1</v>
      </c>
      <c r="O256" s="157">
        <f ca="1">IFERROR(__xludf.DUMMYFUNCTION("""COMPUTED_VALUE"""),3.5)</f>
        <v>3.5</v>
      </c>
      <c r="P256" s="157"/>
      <c r="Q256" s="3">
        <f t="shared" ca="1" si="0"/>
        <v>255</v>
      </c>
      <c r="R256" s="148" t="e">
        <f ca="1"/>
        <v>#NAME?</v>
      </c>
      <c r="S256" s="147" t="e">
        <f t="shared" ca="1" si="1"/>
        <v>#NAME?</v>
      </c>
      <c r="T256" s="147" t="e">
        <f t="shared" ca="1" si="2"/>
        <v>#NAME?</v>
      </c>
      <c r="U256" s="147" t="e">
        <f t="shared" ca="1" si="3"/>
        <v>#NAME?</v>
      </c>
      <c r="X256" s="147"/>
      <c r="Y256" s="147"/>
      <c r="Z256" s="147"/>
      <c r="AA256" s="147"/>
      <c r="AB256" s="147"/>
      <c r="AC256" s="147"/>
      <c r="AD256" s="147"/>
      <c r="AE256" s="147"/>
      <c r="AF256" s="147"/>
      <c r="AG256" s="147"/>
      <c r="AH256" s="147"/>
      <c r="AI256" s="147"/>
      <c r="AJ256" s="147"/>
      <c r="AK256" s="147"/>
      <c r="AL256" s="147"/>
      <c r="AM256" s="147"/>
      <c r="AN256" s="147"/>
      <c r="AO256" s="147"/>
      <c r="AP256" s="147"/>
      <c r="AQ256" s="147"/>
    </row>
    <row r="257" spans="1:43">
      <c r="A257" s="160" t="str">
        <f ca="1">IFERROR(__xludf.DUMMYFUNCTION("""COMPUTED_VALUE"""),"193613")</f>
        <v>193613</v>
      </c>
      <c r="B257" s="3" t="str">
        <f ca="1">IFERROR(__xludf.DUMMYFUNCTION("""COMPUTED_VALUE"""),"NGUYỄN QUANG TRUNG")</f>
        <v>NGUYỄN QUANG TRUNG</v>
      </c>
      <c r="C257" s="160" t="str">
        <f ca="1">IFERROR(__xludf.DUMMYFUNCTION("""COMPUTED_VALUE"""),"EL024")</f>
        <v>EL024</v>
      </c>
      <c r="D257" s="160" t="str">
        <f ca="1">IFERROR(__xludf.DUMMYFUNCTION("""COMPUTED_VALUE"""),"Dung Hoang")</f>
        <v>Dung Hoang</v>
      </c>
      <c r="E257" s="3" t="str">
        <f ca="1">IFERROR(__xludf.DUMMYFUNCTION("""COMPUTED_VALUE"""),"Communication 2")</f>
        <v>Communication 2</v>
      </c>
      <c r="F257" s="3"/>
      <c r="G257" s="3"/>
      <c r="H257" s="156">
        <f ca="1">IFERROR(__xludf.DUMMYFUNCTION("""COMPUTED_VALUE"""),46106.4166666666)</f>
        <v>46106.416666666599</v>
      </c>
      <c r="I257" s="156">
        <f ca="1">IFERROR(__xludf.DUMMYFUNCTION("""COMPUTED_VALUE"""),45813.375)</f>
        <v>45813.375</v>
      </c>
      <c r="J257" s="3" t="str">
        <f ca="1">IFERROR(__xludf.DUMMYFUNCTION("""COMPUTED_VALUE"""),"")</f>
        <v/>
      </c>
      <c r="K257" s="3" t="str">
        <f ca="1">IFERROR(__xludf.DUMMYFUNCTION("""COMPUTED_VALUE"""),"")</f>
        <v/>
      </c>
      <c r="L257" s="3" t="str">
        <f ca="1">IFERROR(__xludf.DUMMYFUNCTION("""COMPUTED_VALUE"""),"DEV")</f>
        <v>DEV</v>
      </c>
      <c r="M257" s="3" t="str">
        <f ca="1">IFERROR(__xludf.DUMMYFUNCTION("""COMPUTED_VALUE"""),"MOC")</f>
        <v>MOC</v>
      </c>
      <c r="N257" s="157">
        <f ca="1">IFERROR(__xludf.DUMMYFUNCTION("""COMPUTED_VALUE"""),1)</f>
        <v>1</v>
      </c>
      <c r="O257" s="157">
        <f ca="1">IFERROR(__xludf.DUMMYFUNCTION("""COMPUTED_VALUE"""),5)</f>
        <v>5</v>
      </c>
      <c r="P257" s="157"/>
      <c r="Q257" s="3">
        <f t="shared" ref="Q257:Q308" ca="1" si="4">COUNTIF($R$2:R257,R257)</f>
        <v>256</v>
      </c>
      <c r="R257" s="148" t="e">
        <f ca="1"/>
        <v>#NAME?</v>
      </c>
      <c r="S257" s="147" t="e">
        <f t="shared" ref="S257:S324" ca="1" si="5">VLOOKUP(R257,$A$2:$P1836,12,0)</f>
        <v>#NAME?</v>
      </c>
      <c r="T257" s="147" t="e">
        <f t="shared" ref="T257:T324" ca="1" si="6">_xludf.IFS(S257="QC","QC",OR(S257="BA",S257="BC"),"BA, BC",OR(S257="DEV",S257="TA"),"DEV, TA",OR(S257="HR",S257="Admin",S257="Management"),"HR, GA, Mgt",S257="GSD","GSD",OR(S257="PPO",S257="SM",S257="IM"),"PPO, SM, IM ",OR(S257="UI/UX",S257="Designer"),"UI/UX, Des")</f>
        <v>#NAME?</v>
      </c>
      <c r="U257" s="147" t="e">
        <f t="shared" ref="U257:U272" ca="1" si="7">VLOOKUP(R257,$A$2:$P1836,13,0)</f>
        <v>#NAME?</v>
      </c>
      <c r="X257" s="147"/>
      <c r="Y257" s="147"/>
      <c r="Z257" s="147"/>
      <c r="AA257" s="147"/>
      <c r="AB257" s="147"/>
      <c r="AC257" s="147"/>
      <c r="AD257" s="147"/>
      <c r="AE257" s="147"/>
      <c r="AF257" s="147"/>
      <c r="AG257" s="147"/>
      <c r="AH257" s="147"/>
      <c r="AI257" s="147"/>
      <c r="AJ257" s="147"/>
      <c r="AK257" s="147"/>
      <c r="AL257" s="147"/>
      <c r="AM257" s="147"/>
      <c r="AN257" s="147"/>
      <c r="AO257" s="147"/>
      <c r="AP257" s="147"/>
      <c r="AQ257" s="147"/>
    </row>
    <row r="258" spans="1:43">
      <c r="A258" s="160" t="str">
        <f ca="1">IFERROR(__xludf.DUMMYFUNCTION("""COMPUTED_VALUE"""),"247097")</f>
        <v>247097</v>
      </c>
      <c r="B258" s="3" t="str">
        <f ca="1">IFERROR(__xludf.DUMMYFUNCTION("""COMPUTED_VALUE"""),"NGUYỄN THÀNH PHƯỚC")</f>
        <v>NGUYỄN THÀNH PHƯỚC</v>
      </c>
      <c r="C258" s="160" t="str">
        <f ca="1">IFERROR(__xludf.DUMMYFUNCTION("""COMPUTED_VALUE"""),"EL024")</f>
        <v>EL024</v>
      </c>
      <c r="D258" s="160" t="str">
        <f ca="1">IFERROR(__xludf.DUMMYFUNCTION("""COMPUTED_VALUE"""),"Dung Hoang")</f>
        <v>Dung Hoang</v>
      </c>
      <c r="E258" s="3" t="str">
        <f ca="1">IFERROR(__xludf.DUMMYFUNCTION("""COMPUTED_VALUE"""),"Communication 2")</f>
        <v>Communication 2</v>
      </c>
      <c r="F258" s="3"/>
      <c r="G258" s="3"/>
      <c r="H258" s="156">
        <f ca="1">IFERROR(__xludf.DUMMYFUNCTION("""COMPUTED_VALUE"""),46106.4166666666)</f>
        <v>46106.416666666599</v>
      </c>
      <c r="I258" s="156">
        <f ca="1">IFERROR(__xludf.DUMMYFUNCTION("""COMPUTED_VALUE"""),45813.375)</f>
        <v>45813.375</v>
      </c>
      <c r="J258" s="3" t="str">
        <f ca="1">IFERROR(__xludf.DUMMYFUNCTION("""COMPUTED_VALUE"""),"")</f>
        <v/>
      </c>
      <c r="K258" s="3" t="str">
        <f ca="1">IFERROR(__xludf.DUMMYFUNCTION("""COMPUTED_VALUE"""),"")</f>
        <v/>
      </c>
      <c r="L258" s="3" t="str">
        <f ca="1">IFERROR(__xludf.DUMMYFUNCTION("""COMPUTED_VALUE"""),"DEV")</f>
        <v>DEV</v>
      </c>
      <c r="M258" s="3" t="str">
        <f ca="1">IFERROR(__xludf.DUMMYFUNCTION("""COMPUTED_VALUE"""),"MOC")</f>
        <v>MOC</v>
      </c>
      <c r="N258" s="157">
        <f ca="1">IFERROR(__xludf.DUMMYFUNCTION("""COMPUTED_VALUE"""),1)</f>
        <v>1</v>
      </c>
      <c r="O258" s="157">
        <f ca="1">IFERROR(__xludf.DUMMYFUNCTION("""COMPUTED_VALUE"""),3)</f>
        <v>3</v>
      </c>
      <c r="P258" s="157"/>
      <c r="Q258" s="3">
        <f t="shared" ca="1" si="4"/>
        <v>257</v>
      </c>
      <c r="R258" s="148" t="e">
        <f ca="1"/>
        <v>#NAME?</v>
      </c>
      <c r="S258" s="147" t="e">
        <f t="shared" ca="1" si="5"/>
        <v>#NAME?</v>
      </c>
      <c r="T258" s="147" t="e">
        <f t="shared" ca="1" si="6"/>
        <v>#NAME?</v>
      </c>
      <c r="U258" s="147" t="e">
        <f t="shared" ca="1" si="7"/>
        <v>#NAME?</v>
      </c>
      <c r="X258" s="147"/>
      <c r="Y258" s="147"/>
      <c r="Z258" s="147"/>
      <c r="AA258" s="147"/>
      <c r="AB258" s="147"/>
      <c r="AC258" s="147"/>
      <c r="AD258" s="147"/>
      <c r="AE258" s="147"/>
      <c r="AF258" s="147"/>
      <c r="AG258" s="147"/>
      <c r="AH258" s="147"/>
      <c r="AI258" s="147"/>
      <c r="AJ258" s="147"/>
      <c r="AK258" s="147"/>
      <c r="AL258" s="147"/>
      <c r="AM258" s="147"/>
      <c r="AN258" s="147"/>
      <c r="AO258" s="147"/>
      <c r="AP258" s="147"/>
      <c r="AQ258" s="147"/>
    </row>
    <row r="259" spans="1:43">
      <c r="A259" s="160" t="str">
        <f ca="1">IFERROR(__xludf.DUMMYFUNCTION("""COMPUTED_VALUE"""),"247085")</f>
        <v>247085</v>
      </c>
      <c r="B259" s="3" t="str">
        <f ca="1">IFERROR(__xludf.DUMMYFUNCTION("""COMPUTED_VALUE"""),"NGUYỄN TRẦN NGỌC HƯNG")</f>
        <v>NGUYỄN TRẦN NGỌC HƯNG</v>
      </c>
      <c r="C259" s="160" t="str">
        <f ca="1">IFERROR(__xludf.DUMMYFUNCTION("""COMPUTED_VALUE"""),"EL024")</f>
        <v>EL024</v>
      </c>
      <c r="D259" s="160" t="str">
        <f ca="1">IFERROR(__xludf.DUMMYFUNCTION("""COMPUTED_VALUE"""),"Dung Hoang")</f>
        <v>Dung Hoang</v>
      </c>
      <c r="E259" s="3" t="str">
        <f ca="1">IFERROR(__xludf.DUMMYFUNCTION("""COMPUTED_VALUE"""),"Communication 2")</f>
        <v>Communication 2</v>
      </c>
      <c r="F259" s="3"/>
      <c r="G259" s="3"/>
      <c r="H259" s="156">
        <f ca="1">IFERROR(__xludf.DUMMYFUNCTION("""COMPUTED_VALUE"""),46106.4166666666)</f>
        <v>46106.416666666599</v>
      </c>
      <c r="I259" s="156">
        <f ca="1">IFERROR(__xludf.DUMMYFUNCTION("""COMPUTED_VALUE"""),45813.375)</f>
        <v>45813.375</v>
      </c>
      <c r="J259" s="3" t="str">
        <f ca="1">IFERROR(__xludf.DUMMYFUNCTION("""COMPUTED_VALUE"""),"")</f>
        <v/>
      </c>
      <c r="K259" s="3" t="str">
        <f ca="1">IFERROR(__xludf.DUMMYFUNCTION("""COMPUTED_VALUE"""),"")</f>
        <v/>
      </c>
      <c r="L259" s="3" t="str">
        <f ca="1">IFERROR(__xludf.DUMMYFUNCTION("""COMPUTED_VALUE"""),"DEV")</f>
        <v>DEV</v>
      </c>
      <c r="M259" s="3" t="str">
        <f ca="1">IFERROR(__xludf.DUMMYFUNCTION("""COMPUTED_VALUE"""),"LBU")</f>
        <v>LBU</v>
      </c>
      <c r="N259" s="157" t="str">
        <f ca="1">IFERROR(__xludf.DUMMYFUNCTION("""COMPUTED_VALUE"""),"")</f>
        <v/>
      </c>
      <c r="O259" s="157">
        <f ca="1">IFERROR(__xludf.DUMMYFUNCTION("""COMPUTED_VALUE"""),0)</f>
        <v>0</v>
      </c>
      <c r="P259" s="157"/>
      <c r="Q259" s="3">
        <f t="shared" ca="1" si="4"/>
        <v>258</v>
      </c>
      <c r="R259" s="148" t="e">
        <f ca="1"/>
        <v>#NAME?</v>
      </c>
      <c r="S259" s="147" t="e">
        <f t="shared" ca="1" si="5"/>
        <v>#NAME?</v>
      </c>
      <c r="T259" s="147" t="e">
        <f t="shared" ca="1" si="6"/>
        <v>#NAME?</v>
      </c>
      <c r="U259" s="147" t="e">
        <f t="shared" ca="1" si="7"/>
        <v>#NAME?</v>
      </c>
      <c r="X259" s="147"/>
      <c r="Y259" s="147"/>
      <c r="Z259" s="147"/>
      <c r="AA259" s="147"/>
      <c r="AB259" s="147"/>
      <c r="AC259" s="147"/>
      <c r="AD259" s="147"/>
      <c r="AE259" s="147"/>
      <c r="AF259" s="147"/>
      <c r="AG259" s="147"/>
      <c r="AH259" s="147"/>
      <c r="AI259" s="147"/>
      <c r="AJ259" s="147"/>
      <c r="AK259" s="147"/>
      <c r="AL259" s="147"/>
      <c r="AM259" s="147"/>
      <c r="AN259" s="147"/>
      <c r="AO259" s="147"/>
      <c r="AP259" s="147"/>
      <c r="AQ259" s="147"/>
    </row>
    <row r="260" spans="1:43">
      <c r="A260" s="160" t="str">
        <f ca="1">IFERROR(__xludf.DUMMYFUNCTION("""COMPUTED_VALUE"""),"247086")</f>
        <v>247086</v>
      </c>
      <c r="B260" s="3" t="str">
        <f ca="1">IFERROR(__xludf.DUMMYFUNCTION("""COMPUTED_VALUE"""),"THỚI PHI LONG")</f>
        <v>THỚI PHI LONG</v>
      </c>
      <c r="C260" s="160" t="str">
        <f ca="1">IFERROR(__xludf.DUMMYFUNCTION("""COMPUTED_VALUE"""),"EL024")</f>
        <v>EL024</v>
      </c>
      <c r="D260" s="160" t="str">
        <f ca="1">IFERROR(__xludf.DUMMYFUNCTION("""COMPUTED_VALUE"""),"Dung Hoang")</f>
        <v>Dung Hoang</v>
      </c>
      <c r="E260" s="3" t="str">
        <f ca="1">IFERROR(__xludf.DUMMYFUNCTION("""COMPUTED_VALUE"""),"Communication 2")</f>
        <v>Communication 2</v>
      </c>
      <c r="F260" s="3"/>
      <c r="G260" s="3"/>
      <c r="H260" s="156">
        <f ca="1">IFERROR(__xludf.DUMMYFUNCTION("""COMPUTED_VALUE"""),46106.4166666666)</f>
        <v>46106.416666666599</v>
      </c>
      <c r="I260" s="156">
        <f ca="1">IFERROR(__xludf.DUMMYFUNCTION("""COMPUTED_VALUE"""),45813.375)</f>
        <v>45813.375</v>
      </c>
      <c r="J260" s="3" t="str">
        <f ca="1">IFERROR(__xludf.DUMMYFUNCTION("""COMPUTED_VALUE"""),"")</f>
        <v/>
      </c>
      <c r="K260" s="3" t="str">
        <f ca="1">IFERROR(__xludf.DUMMYFUNCTION("""COMPUTED_VALUE"""),"")</f>
        <v/>
      </c>
      <c r="L260" s="3" t="str">
        <f ca="1">IFERROR(__xludf.DUMMYFUNCTION("""COMPUTED_VALUE"""),"DEV")</f>
        <v>DEV</v>
      </c>
      <c r="M260" s="3" t="str">
        <f ca="1">IFERROR(__xludf.DUMMYFUNCTION("""COMPUTED_VALUE"""),"LBU")</f>
        <v>LBU</v>
      </c>
      <c r="N260" s="157" t="str">
        <f ca="1">IFERROR(__xludf.DUMMYFUNCTION("""COMPUTED_VALUE"""),"")</f>
        <v/>
      </c>
      <c r="O260" s="157">
        <f ca="1">IFERROR(__xludf.DUMMYFUNCTION("""COMPUTED_VALUE"""),0)</f>
        <v>0</v>
      </c>
      <c r="P260" s="157"/>
      <c r="Q260" s="3">
        <f t="shared" ca="1" si="4"/>
        <v>259</v>
      </c>
      <c r="R260" s="148" t="e">
        <f ca="1"/>
        <v>#NAME?</v>
      </c>
      <c r="S260" s="147" t="e">
        <f t="shared" ca="1" si="5"/>
        <v>#NAME?</v>
      </c>
      <c r="T260" s="147" t="e">
        <f t="shared" ca="1" si="6"/>
        <v>#NAME?</v>
      </c>
      <c r="U260" s="147" t="e">
        <f t="shared" ca="1" si="7"/>
        <v>#NAME?</v>
      </c>
      <c r="X260" s="147"/>
      <c r="Y260" s="147"/>
      <c r="Z260" s="147"/>
      <c r="AA260" s="147"/>
      <c r="AB260" s="147"/>
      <c r="AC260" s="147"/>
      <c r="AD260" s="147"/>
      <c r="AE260" s="147"/>
      <c r="AF260" s="147"/>
      <c r="AG260" s="147"/>
      <c r="AH260" s="147"/>
      <c r="AI260" s="147"/>
      <c r="AJ260" s="147"/>
      <c r="AK260" s="147"/>
      <c r="AL260" s="147"/>
      <c r="AM260" s="147"/>
      <c r="AN260" s="147"/>
      <c r="AO260" s="147"/>
      <c r="AP260" s="147"/>
      <c r="AQ260" s="147"/>
    </row>
    <row r="261" spans="1:43">
      <c r="A261" s="160" t="str">
        <f ca="1">IFERROR(__xludf.DUMMYFUNCTION("""COMPUTED_VALUE"""),"213876")</f>
        <v>213876</v>
      </c>
      <c r="B261" s="3" t="str">
        <f ca="1">IFERROR(__xludf.DUMMYFUNCTION("""COMPUTED_VALUE"""),"TÔ DIỆP THIÊN ANH")</f>
        <v>TÔ DIỆP THIÊN ANH</v>
      </c>
      <c r="C261" s="160" t="str">
        <f ca="1">IFERROR(__xludf.DUMMYFUNCTION("""COMPUTED_VALUE"""),"EL025")</f>
        <v>EL025</v>
      </c>
      <c r="D261" s="160" t="str">
        <f ca="1">IFERROR(__xludf.DUMMYFUNCTION("""COMPUTED_VALUE"""),"Anh To")</f>
        <v>Anh To</v>
      </c>
      <c r="E261" s="3" t="str">
        <f ca="1">IFERROR(__xludf.DUMMYFUNCTION("""COMPUTED_VALUE"""),"Communication 1")</f>
        <v>Communication 1</v>
      </c>
      <c r="F261" s="3" t="str">
        <f ca="1">IFERROR(__xludf.DUMMYFUNCTION("""COMPUTED_VALUE"""),"Beginner")</f>
        <v>Beginner</v>
      </c>
      <c r="G261" s="3" t="str">
        <f ca="1">IFERROR(__xludf.DUMMYFUNCTION("""COMPUTED_VALUE"""),"Beginner 2")</f>
        <v>Beginner 2</v>
      </c>
      <c r="H261" s="156">
        <f ca="1">IFERROR(__xludf.DUMMYFUNCTION("""COMPUTED_VALUE"""),45761.4166666666)</f>
        <v>45761.416666666599</v>
      </c>
      <c r="I261" s="156">
        <f ca="1">IFERROR(__xludf.DUMMYFUNCTION("""COMPUTED_VALUE"""),45761.4166666666)</f>
        <v>45761.416666666599</v>
      </c>
      <c r="J261" s="3">
        <f ca="1">IFERROR(__xludf.DUMMYFUNCTION("""COMPUTED_VALUE"""),1)</f>
        <v>1</v>
      </c>
      <c r="K261" s="3">
        <f ca="1">IFERROR(__xludf.DUMMYFUNCTION("""COMPUTED_VALUE"""),1.5)</f>
        <v>1.5</v>
      </c>
      <c r="L261" s="3" t="str">
        <f ca="1">IFERROR(__xludf.DUMMYFUNCTION("""COMPUTED_VALUE"""),"DEV")</f>
        <v>DEV</v>
      </c>
      <c r="M261" s="3" t="str">
        <f ca="1">IFERROR(__xludf.DUMMYFUNCTION("""COMPUTED_VALUE"""),"MOC")</f>
        <v>MOC</v>
      </c>
      <c r="N261" s="157">
        <f ca="1">IFERROR(__xludf.DUMMYFUNCTION("""COMPUTED_VALUE"""),1)</f>
        <v>1</v>
      </c>
      <c r="O261" s="157">
        <f ca="1">IFERROR(__xludf.DUMMYFUNCTION("""COMPUTED_VALUE"""),1.5)</f>
        <v>1.5</v>
      </c>
      <c r="P261" s="157"/>
      <c r="Q261" s="3">
        <f t="shared" ca="1" si="4"/>
        <v>260</v>
      </c>
      <c r="R261" s="148" t="e">
        <f ca="1"/>
        <v>#NAME?</v>
      </c>
      <c r="S261" s="147" t="e">
        <f t="shared" ca="1" si="5"/>
        <v>#NAME?</v>
      </c>
      <c r="T261" s="147" t="e">
        <f t="shared" ca="1" si="6"/>
        <v>#NAME?</v>
      </c>
      <c r="U261" s="147" t="e">
        <f t="shared" ca="1" si="7"/>
        <v>#NAME?</v>
      </c>
      <c r="X261" s="147"/>
      <c r="Y261" s="147"/>
      <c r="Z261" s="147"/>
      <c r="AA261" s="147"/>
      <c r="AB261" s="147"/>
      <c r="AC261" s="147"/>
      <c r="AD261" s="147"/>
      <c r="AE261" s="147"/>
      <c r="AF261" s="147"/>
      <c r="AG261" s="147"/>
      <c r="AH261" s="147"/>
      <c r="AI261" s="147"/>
      <c r="AJ261" s="147"/>
      <c r="AK261" s="147"/>
      <c r="AL261" s="147"/>
      <c r="AM261" s="147"/>
      <c r="AN261" s="147"/>
      <c r="AO261" s="147"/>
      <c r="AP261" s="147"/>
      <c r="AQ261" s="147"/>
    </row>
    <row r="262" spans="1:43">
      <c r="A262" s="160" t="str">
        <f ca="1">IFERROR(__xludf.DUMMYFUNCTION("""COMPUTED_VALUE"""),"203765")</f>
        <v>203765</v>
      </c>
      <c r="B262" s="3" t="str">
        <f ca="1">IFERROR(__xludf.DUMMYFUNCTION("""COMPUTED_VALUE"""),"ĐỖ GIA KHÁNH")</f>
        <v>ĐỖ GIA KHÁNH</v>
      </c>
      <c r="C262" s="160" t="str">
        <f ca="1">IFERROR(__xludf.DUMMYFUNCTION("""COMPUTED_VALUE"""),"EL025")</f>
        <v>EL025</v>
      </c>
      <c r="D262" s="160" t="str">
        <f ca="1">IFERROR(__xludf.DUMMYFUNCTION("""COMPUTED_VALUE"""),"Anh To")</f>
        <v>Anh To</v>
      </c>
      <c r="E262" s="3" t="str">
        <f ca="1">IFERROR(__xludf.DUMMYFUNCTION("""COMPUTED_VALUE"""),"Communication 1")</f>
        <v>Communication 1</v>
      </c>
      <c r="F262" s="3" t="str">
        <f ca="1">IFERROR(__xludf.DUMMYFUNCTION("""COMPUTED_VALUE"""),"Beginner")</f>
        <v>Beginner</v>
      </c>
      <c r="G262" s="3" t="str">
        <f ca="1">IFERROR(__xludf.DUMMYFUNCTION("""COMPUTED_VALUE"""),"Pre-Intermediate 1")</f>
        <v>Pre-Intermediate 1</v>
      </c>
      <c r="H262" s="156">
        <f ca="1">IFERROR(__xludf.DUMMYFUNCTION("""COMPUTED_VALUE"""),45761.4166666666)</f>
        <v>45761.416666666599</v>
      </c>
      <c r="I262" s="156">
        <f ca="1">IFERROR(__xludf.DUMMYFUNCTION("""COMPUTED_VALUE"""),45761.4166666666)</f>
        <v>45761.416666666599</v>
      </c>
      <c r="J262" s="3">
        <f ca="1">IFERROR(__xludf.DUMMYFUNCTION("""COMPUTED_VALUE"""),1)</f>
        <v>1</v>
      </c>
      <c r="K262" s="3">
        <f ca="1">IFERROR(__xludf.DUMMYFUNCTION("""COMPUTED_VALUE"""),3)</f>
        <v>3</v>
      </c>
      <c r="L262" s="3" t="str">
        <f ca="1">IFERROR(__xludf.DUMMYFUNCTION("""COMPUTED_VALUE"""),"DEV")</f>
        <v>DEV</v>
      </c>
      <c r="M262" s="3" t="str">
        <f ca="1">IFERROR(__xludf.DUMMYFUNCTION("""COMPUTED_VALUE"""),"MOC")</f>
        <v>MOC</v>
      </c>
      <c r="N262" s="157">
        <f ca="1">IFERROR(__xludf.DUMMYFUNCTION("""COMPUTED_VALUE"""),1)</f>
        <v>1</v>
      </c>
      <c r="O262" s="157">
        <f ca="1">IFERROR(__xludf.DUMMYFUNCTION("""COMPUTED_VALUE"""),3)</f>
        <v>3</v>
      </c>
      <c r="P262" s="157"/>
      <c r="Q262" s="3">
        <f t="shared" ca="1" si="4"/>
        <v>261</v>
      </c>
      <c r="R262" s="148" t="e">
        <f ca="1"/>
        <v>#NAME?</v>
      </c>
      <c r="S262" s="147" t="e">
        <f t="shared" ca="1" si="5"/>
        <v>#NAME?</v>
      </c>
      <c r="T262" s="147" t="e">
        <f t="shared" ca="1" si="6"/>
        <v>#NAME?</v>
      </c>
      <c r="U262" s="147" t="e">
        <f t="shared" ca="1" si="7"/>
        <v>#NAME?</v>
      </c>
      <c r="X262" s="147"/>
      <c r="Y262" s="147"/>
      <c r="Z262" s="147"/>
      <c r="AA262" s="147"/>
      <c r="AB262" s="147"/>
      <c r="AC262" s="147"/>
      <c r="AD262" s="147"/>
      <c r="AE262" s="147"/>
      <c r="AF262" s="147"/>
      <c r="AG262" s="147"/>
      <c r="AH262" s="147"/>
      <c r="AI262" s="147"/>
      <c r="AJ262" s="147"/>
      <c r="AK262" s="147"/>
      <c r="AL262" s="147"/>
      <c r="AM262" s="147"/>
      <c r="AN262" s="147"/>
      <c r="AO262" s="147"/>
      <c r="AP262" s="147"/>
      <c r="AQ262" s="147"/>
    </row>
    <row r="263" spans="1:43">
      <c r="A263" s="160" t="str">
        <f ca="1">IFERROR(__xludf.DUMMYFUNCTION("""COMPUTED_VALUE"""),"247225")</f>
        <v>247225</v>
      </c>
      <c r="B263" s="3" t="str">
        <f ca="1">IFERROR(__xludf.DUMMYFUNCTION("""COMPUTED_VALUE"""),"LÊ PHƯỚC THIỆN")</f>
        <v>LÊ PHƯỚC THIỆN</v>
      </c>
      <c r="C263" s="160" t="str">
        <f ca="1">IFERROR(__xludf.DUMMYFUNCTION("""COMPUTED_VALUE"""),"EL025")</f>
        <v>EL025</v>
      </c>
      <c r="D263" s="160" t="str">
        <f ca="1">IFERROR(__xludf.DUMMYFUNCTION("""COMPUTED_VALUE"""),"Anh To")</f>
        <v>Anh To</v>
      </c>
      <c r="E263" s="3" t="str">
        <f ca="1">IFERROR(__xludf.DUMMYFUNCTION("""COMPUTED_VALUE"""),"Communication 1")</f>
        <v>Communication 1</v>
      </c>
      <c r="F263" s="3" t="str">
        <f ca="1">IFERROR(__xludf.DUMMYFUNCTION("""COMPUTED_VALUE"""),"Beginner")</f>
        <v>Beginner</v>
      </c>
      <c r="G263" s="3" t="str">
        <f ca="1">IFERROR(__xludf.DUMMYFUNCTION("""COMPUTED_VALUE"""),"Pre-Intermediate 1")</f>
        <v>Pre-Intermediate 1</v>
      </c>
      <c r="H263" s="156">
        <f ca="1">IFERROR(__xludf.DUMMYFUNCTION("""COMPUTED_VALUE"""),45761.4166666666)</f>
        <v>45761.416666666599</v>
      </c>
      <c r="I263" s="156">
        <f ca="1">IFERROR(__xludf.DUMMYFUNCTION("""COMPUTED_VALUE"""),45761.4166666666)</f>
        <v>45761.416666666599</v>
      </c>
      <c r="J263" s="3">
        <f ca="1">IFERROR(__xludf.DUMMYFUNCTION("""COMPUTED_VALUE"""),1)</f>
        <v>1</v>
      </c>
      <c r="K263" s="3">
        <f ca="1">IFERROR(__xludf.DUMMYFUNCTION("""COMPUTED_VALUE"""),3)</f>
        <v>3</v>
      </c>
      <c r="L263" s="3" t="str">
        <f ca="1">IFERROR(__xludf.DUMMYFUNCTION("""COMPUTED_VALUE"""),"DEV")</f>
        <v>DEV</v>
      </c>
      <c r="M263" s="3" t="str">
        <f ca="1">IFERROR(__xludf.DUMMYFUNCTION("""COMPUTED_VALUE"""),"MOC")</f>
        <v>MOC</v>
      </c>
      <c r="N263" s="157">
        <f ca="1">IFERROR(__xludf.DUMMYFUNCTION("""COMPUTED_VALUE"""),1)</f>
        <v>1</v>
      </c>
      <c r="O263" s="157">
        <f ca="1">IFERROR(__xludf.DUMMYFUNCTION("""COMPUTED_VALUE"""),3)</f>
        <v>3</v>
      </c>
      <c r="P263" s="157"/>
      <c r="Q263" s="3">
        <f t="shared" ca="1" si="4"/>
        <v>262</v>
      </c>
      <c r="R263" s="148" t="e">
        <f ca="1"/>
        <v>#NAME?</v>
      </c>
      <c r="S263" s="147" t="e">
        <f t="shared" ca="1" si="5"/>
        <v>#NAME?</v>
      </c>
      <c r="T263" s="147" t="e">
        <f t="shared" ca="1" si="6"/>
        <v>#NAME?</v>
      </c>
      <c r="U263" s="147" t="e">
        <f t="shared" ca="1" si="7"/>
        <v>#NAME?</v>
      </c>
      <c r="X263" s="147"/>
      <c r="Y263" s="147"/>
      <c r="Z263" s="147"/>
      <c r="AA263" s="147"/>
      <c r="AB263" s="147"/>
      <c r="AC263" s="147"/>
      <c r="AD263" s="147"/>
      <c r="AE263" s="147"/>
      <c r="AF263" s="147"/>
      <c r="AG263" s="147"/>
      <c r="AH263" s="147"/>
      <c r="AI263" s="147"/>
      <c r="AJ263" s="147"/>
      <c r="AK263" s="147"/>
      <c r="AL263" s="147"/>
      <c r="AM263" s="147"/>
      <c r="AN263" s="147"/>
      <c r="AO263" s="147"/>
      <c r="AP263" s="147"/>
      <c r="AQ263" s="147"/>
    </row>
    <row r="264" spans="1:43">
      <c r="A264" s="160" t="str">
        <f ca="1">IFERROR(__xludf.DUMMYFUNCTION("""COMPUTED_VALUE"""),"247378")</f>
        <v>247378</v>
      </c>
      <c r="B264" s="3" t="str">
        <f ca="1">IFERROR(__xludf.DUMMYFUNCTION("""COMPUTED_VALUE"""),"NGUYỄN BẢO ĐẠT")</f>
        <v>NGUYỄN BẢO ĐẠT</v>
      </c>
      <c r="C264" s="160" t="str">
        <f ca="1">IFERROR(__xludf.DUMMYFUNCTION("""COMPUTED_VALUE"""),"EL025")</f>
        <v>EL025</v>
      </c>
      <c r="D264" s="160" t="str">
        <f ca="1">IFERROR(__xludf.DUMMYFUNCTION("""COMPUTED_VALUE"""),"Anh To")</f>
        <v>Anh To</v>
      </c>
      <c r="E264" s="3" t="str">
        <f ca="1">IFERROR(__xludf.DUMMYFUNCTION("""COMPUTED_VALUE"""),"Communication 1")</f>
        <v>Communication 1</v>
      </c>
      <c r="F264" s="3" t="str">
        <f ca="1">IFERROR(__xludf.DUMMYFUNCTION("""COMPUTED_VALUE"""),"Beginner")</f>
        <v>Beginner</v>
      </c>
      <c r="G264" s="3" t="str">
        <f ca="1">IFERROR(__xludf.DUMMYFUNCTION("""COMPUTED_VALUE"""),"Pre-Intermediate 2")</f>
        <v>Pre-Intermediate 2</v>
      </c>
      <c r="H264" s="156">
        <f ca="1">IFERROR(__xludf.DUMMYFUNCTION("""COMPUTED_VALUE"""),45761.4166666666)</f>
        <v>45761.416666666599</v>
      </c>
      <c r="I264" s="156">
        <f ca="1">IFERROR(__xludf.DUMMYFUNCTION("""COMPUTED_VALUE"""),45761.4166666666)</f>
        <v>45761.416666666599</v>
      </c>
      <c r="J264" s="3">
        <f ca="1">IFERROR(__xludf.DUMMYFUNCTION("""COMPUTED_VALUE"""),1)</f>
        <v>1</v>
      </c>
      <c r="K264" s="3">
        <f ca="1">IFERROR(__xludf.DUMMYFUNCTION("""COMPUTED_VALUE"""),3.5)</f>
        <v>3.5</v>
      </c>
      <c r="L264" s="3" t="str">
        <f ca="1">IFERROR(__xludf.DUMMYFUNCTION("""COMPUTED_VALUE"""),"QC")</f>
        <v>QC</v>
      </c>
      <c r="M264" s="3" t="str">
        <f ca="1">IFERROR(__xludf.DUMMYFUNCTION("""COMPUTED_VALUE"""),"MOC")</f>
        <v>MOC</v>
      </c>
      <c r="N264" s="157">
        <f ca="1">IFERROR(__xludf.DUMMYFUNCTION("""COMPUTED_VALUE"""),1)</f>
        <v>1</v>
      </c>
      <c r="O264" s="157">
        <f ca="1">IFERROR(__xludf.DUMMYFUNCTION("""COMPUTED_VALUE"""),3.5)</f>
        <v>3.5</v>
      </c>
      <c r="P264" s="157"/>
      <c r="Q264" s="3">
        <f t="shared" ca="1" si="4"/>
        <v>263</v>
      </c>
      <c r="R264" s="148" t="e">
        <f ca="1"/>
        <v>#NAME?</v>
      </c>
      <c r="S264" s="147" t="e">
        <f t="shared" ca="1" si="5"/>
        <v>#NAME?</v>
      </c>
      <c r="T264" s="147" t="e">
        <f t="shared" ca="1" si="6"/>
        <v>#NAME?</v>
      </c>
      <c r="U264" s="147" t="e">
        <f t="shared" ca="1" si="7"/>
        <v>#NAME?</v>
      </c>
      <c r="X264" s="147"/>
      <c r="Y264" s="147"/>
      <c r="Z264" s="147"/>
      <c r="AA264" s="147"/>
      <c r="AB264" s="147"/>
      <c r="AC264" s="147"/>
      <c r="AD264" s="147"/>
      <c r="AE264" s="147"/>
      <c r="AF264" s="147"/>
      <c r="AG264" s="147"/>
      <c r="AH264" s="147"/>
      <c r="AI264" s="147"/>
      <c r="AJ264" s="147"/>
      <c r="AK264" s="147"/>
      <c r="AL264" s="147"/>
      <c r="AM264" s="147"/>
      <c r="AN264" s="147"/>
      <c r="AO264" s="147"/>
      <c r="AP264" s="147"/>
      <c r="AQ264" s="147"/>
    </row>
    <row r="265" spans="1:43">
      <c r="A265" s="160" t="str">
        <f ca="1">IFERROR(__xludf.DUMMYFUNCTION("""COMPUTED_VALUE"""),"213947")</f>
        <v>213947</v>
      </c>
      <c r="B265" s="3" t="str">
        <f ca="1">IFERROR(__xludf.DUMMYFUNCTION("""COMPUTED_VALUE"""),"NGUYỄN NGỌC PHƯƠNG NHI")</f>
        <v>NGUYỄN NGỌC PHƯƠNG NHI</v>
      </c>
      <c r="C265" s="160" t="str">
        <f ca="1">IFERROR(__xludf.DUMMYFUNCTION("""COMPUTED_VALUE"""),"EL025")</f>
        <v>EL025</v>
      </c>
      <c r="D265" s="160" t="str">
        <f ca="1">IFERROR(__xludf.DUMMYFUNCTION("""COMPUTED_VALUE"""),"Anh To")</f>
        <v>Anh To</v>
      </c>
      <c r="E265" s="3" t="str">
        <f ca="1">IFERROR(__xludf.DUMMYFUNCTION("""COMPUTED_VALUE"""),"Communication 1")</f>
        <v>Communication 1</v>
      </c>
      <c r="F265" s="3" t="str">
        <f ca="1">IFERROR(__xludf.DUMMYFUNCTION("""COMPUTED_VALUE"""),"Beginner")</f>
        <v>Beginner</v>
      </c>
      <c r="G265" s="3" t="str">
        <f ca="1">IFERROR(__xludf.DUMMYFUNCTION("""COMPUTED_VALUE"""),"Beginner 2")</f>
        <v>Beginner 2</v>
      </c>
      <c r="H265" s="156">
        <f ca="1">IFERROR(__xludf.DUMMYFUNCTION("""COMPUTED_VALUE"""),45761.4166666666)</f>
        <v>45761.416666666599</v>
      </c>
      <c r="I265" s="156">
        <f ca="1">IFERROR(__xludf.DUMMYFUNCTION("""COMPUTED_VALUE"""),45761.4166666666)</f>
        <v>45761.416666666599</v>
      </c>
      <c r="J265" s="3">
        <f ca="1">IFERROR(__xludf.DUMMYFUNCTION("""COMPUTED_VALUE"""),1)</f>
        <v>1</v>
      </c>
      <c r="K265" s="3">
        <f ca="1">IFERROR(__xludf.DUMMYFUNCTION("""COMPUTED_VALUE"""),1.5)</f>
        <v>1.5</v>
      </c>
      <c r="L265" s="3" t="str">
        <f ca="1">IFERROR(__xludf.DUMMYFUNCTION("""COMPUTED_VALUE"""),"QC")</f>
        <v>QC</v>
      </c>
      <c r="M265" s="3" t="str">
        <f ca="1">IFERROR(__xludf.DUMMYFUNCTION("""COMPUTED_VALUE"""),"MOC")</f>
        <v>MOC</v>
      </c>
      <c r="N265" s="157">
        <f ca="1">IFERROR(__xludf.DUMMYFUNCTION("""COMPUTED_VALUE"""),1)</f>
        <v>1</v>
      </c>
      <c r="O265" s="157">
        <f ca="1">IFERROR(__xludf.DUMMYFUNCTION("""COMPUTED_VALUE"""),1.5)</f>
        <v>1.5</v>
      </c>
      <c r="P265" s="157"/>
      <c r="Q265" s="3">
        <f t="shared" ca="1" si="4"/>
        <v>264</v>
      </c>
      <c r="R265" s="148" t="e">
        <f ca="1"/>
        <v>#NAME?</v>
      </c>
      <c r="S265" s="147" t="e">
        <f t="shared" ca="1" si="5"/>
        <v>#NAME?</v>
      </c>
      <c r="T265" s="147" t="e">
        <f t="shared" ca="1" si="6"/>
        <v>#NAME?</v>
      </c>
      <c r="U265" s="147" t="e">
        <f t="shared" ca="1" si="7"/>
        <v>#NAME?</v>
      </c>
      <c r="X265" s="147"/>
      <c r="Y265" s="147"/>
      <c r="Z265" s="147"/>
      <c r="AA265" s="147"/>
      <c r="AB265" s="147"/>
      <c r="AC265" s="147"/>
      <c r="AD265" s="147"/>
      <c r="AE265" s="147"/>
      <c r="AF265" s="147"/>
      <c r="AG265" s="147"/>
      <c r="AH265" s="147"/>
      <c r="AI265" s="147"/>
      <c r="AJ265" s="147"/>
      <c r="AK265" s="147"/>
      <c r="AL265" s="147"/>
      <c r="AM265" s="147"/>
      <c r="AN265" s="147"/>
      <c r="AO265" s="147"/>
      <c r="AP265" s="147"/>
      <c r="AQ265" s="147"/>
    </row>
    <row r="266" spans="1:43">
      <c r="A266" s="160" t="str">
        <f ca="1">IFERROR(__xludf.DUMMYFUNCTION("""COMPUTED_VALUE"""),"247245")</f>
        <v>247245</v>
      </c>
      <c r="B266" s="3" t="str">
        <f ca="1">IFERROR(__xludf.DUMMYFUNCTION("""COMPUTED_VALUE"""),"THÁI NHẬT TÂN")</f>
        <v>THÁI NHẬT TÂN</v>
      </c>
      <c r="C266" s="160" t="str">
        <f ca="1">IFERROR(__xludf.DUMMYFUNCTION("""COMPUTED_VALUE"""),"EL025")</f>
        <v>EL025</v>
      </c>
      <c r="D266" s="160" t="str">
        <f ca="1">IFERROR(__xludf.DUMMYFUNCTION("""COMPUTED_VALUE"""),"Anh To")</f>
        <v>Anh To</v>
      </c>
      <c r="E266" s="3" t="str">
        <f ca="1">IFERROR(__xludf.DUMMYFUNCTION("""COMPUTED_VALUE"""),"Communication 1")</f>
        <v>Communication 1</v>
      </c>
      <c r="F266" s="3" t="str">
        <f ca="1">IFERROR(__xludf.DUMMYFUNCTION("""COMPUTED_VALUE"""),"Beginner")</f>
        <v>Beginner</v>
      </c>
      <c r="G266" s="3" t="str">
        <f ca="1">IFERROR(__xludf.DUMMYFUNCTION("""COMPUTED_VALUE"""),"Pre-Intermediate 1")</f>
        <v>Pre-Intermediate 1</v>
      </c>
      <c r="H266" s="156">
        <f ca="1">IFERROR(__xludf.DUMMYFUNCTION("""COMPUTED_VALUE"""),45761.4166666666)</f>
        <v>45761.416666666599</v>
      </c>
      <c r="I266" s="156">
        <f ca="1">IFERROR(__xludf.DUMMYFUNCTION("""COMPUTED_VALUE"""),45761.4166666666)</f>
        <v>45761.416666666599</v>
      </c>
      <c r="J266" s="3">
        <f ca="1">IFERROR(__xludf.DUMMYFUNCTION("""COMPUTED_VALUE"""),1)</f>
        <v>1</v>
      </c>
      <c r="K266" s="3">
        <f ca="1">IFERROR(__xludf.DUMMYFUNCTION("""COMPUTED_VALUE"""),3)</f>
        <v>3</v>
      </c>
      <c r="L266" s="3" t="str">
        <f ca="1">IFERROR(__xludf.DUMMYFUNCTION("""COMPUTED_VALUE"""),"DEV")</f>
        <v>DEV</v>
      </c>
      <c r="M266" s="3" t="str">
        <f ca="1">IFERROR(__xludf.DUMMYFUNCTION("""COMPUTED_VALUE"""),"LBU")</f>
        <v>LBU</v>
      </c>
      <c r="N266" s="157">
        <f ca="1">IFERROR(__xludf.DUMMYFUNCTION("""COMPUTED_VALUE"""),1)</f>
        <v>1</v>
      </c>
      <c r="O266" s="157">
        <f ca="1">IFERROR(__xludf.DUMMYFUNCTION("""COMPUTED_VALUE"""),3)</f>
        <v>3</v>
      </c>
      <c r="P266" s="157"/>
      <c r="Q266" s="3">
        <f t="shared" ca="1" si="4"/>
        <v>265</v>
      </c>
      <c r="R266" s="148" t="e">
        <f ca="1"/>
        <v>#NAME?</v>
      </c>
      <c r="S266" s="147" t="e">
        <f t="shared" ca="1" si="5"/>
        <v>#NAME?</v>
      </c>
      <c r="T266" s="147" t="e">
        <f t="shared" ca="1" si="6"/>
        <v>#NAME?</v>
      </c>
      <c r="U266" s="147" t="e">
        <f t="shared" ca="1" si="7"/>
        <v>#NAME?</v>
      </c>
      <c r="X266" s="147"/>
      <c r="Y266" s="147"/>
      <c r="Z266" s="147"/>
      <c r="AA266" s="147"/>
      <c r="AB266" s="147"/>
      <c r="AC266" s="147"/>
      <c r="AD266" s="147"/>
      <c r="AE266" s="147"/>
      <c r="AF266" s="147"/>
      <c r="AG266" s="147"/>
      <c r="AH266" s="147"/>
      <c r="AI266" s="147"/>
      <c r="AJ266" s="147"/>
      <c r="AK266" s="147"/>
      <c r="AL266" s="147"/>
      <c r="AM266" s="147"/>
      <c r="AN266" s="147"/>
      <c r="AO266" s="147"/>
      <c r="AP266" s="147"/>
      <c r="AQ266" s="147"/>
    </row>
    <row r="267" spans="1:43">
      <c r="A267" s="160" t="str">
        <f ca="1">IFERROR(__xludf.DUMMYFUNCTION("""COMPUTED_VALUE"""),"213876")</f>
        <v>213876</v>
      </c>
      <c r="B267" s="3" t="str">
        <f ca="1">IFERROR(__xludf.DUMMYFUNCTION("""COMPUTED_VALUE"""),"TÔ DIỆP THIÊN ANH")</f>
        <v>TÔ DIỆP THIÊN ANH</v>
      </c>
      <c r="C267" s="160" t="str">
        <f ca="1">IFERROR(__xludf.DUMMYFUNCTION("""COMPUTED_VALUE"""),"EL025")</f>
        <v>EL025</v>
      </c>
      <c r="D267" s="160" t="str">
        <f ca="1">IFERROR(__xludf.DUMMYFUNCTION("""COMPUTED_VALUE"""),"Anh To")</f>
        <v>Anh To</v>
      </c>
      <c r="E267" s="3" t="str">
        <f ca="1">IFERROR(__xludf.DUMMYFUNCTION("""COMPUTED_VALUE"""),"Communication 2")</f>
        <v>Communication 2</v>
      </c>
      <c r="F267" s="3" t="str">
        <f ca="1">IFERROR(__xludf.DUMMYFUNCTION("""COMPUTED_VALUE"""),"Beginner 2")</f>
        <v>Beginner 2</v>
      </c>
      <c r="G267" s="3"/>
      <c r="H267" s="156">
        <f ca="1">IFERROR(__xludf.DUMMYFUNCTION("""COMPUTED_VALUE"""),45922.4166666666)</f>
        <v>45922.416666666599</v>
      </c>
      <c r="I267" s="156">
        <f ca="1">IFERROR(__xludf.DUMMYFUNCTION("""COMPUTED_VALUE"""),45761.4166666666)</f>
        <v>45761.416666666599</v>
      </c>
      <c r="J267" s="3">
        <f ca="1">IFERROR(__xludf.DUMMYFUNCTION("""COMPUTED_VALUE"""),1.5)</f>
        <v>1.5</v>
      </c>
      <c r="K267" s="3" t="str">
        <f ca="1">IFERROR(__xludf.DUMMYFUNCTION("""COMPUTED_VALUE"""),"")</f>
        <v/>
      </c>
      <c r="L267" s="3" t="str">
        <f ca="1">IFERROR(__xludf.DUMMYFUNCTION("""COMPUTED_VALUE"""),"DEV")</f>
        <v>DEV</v>
      </c>
      <c r="M267" s="3" t="str">
        <f ca="1">IFERROR(__xludf.DUMMYFUNCTION("""COMPUTED_VALUE"""),"MOC")</f>
        <v>MOC</v>
      </c>
      <c r="N267" s="157">
        <f ca="1">IFERROR(__xludf.DUMMYFUNCTION("""COMPUTED_VALUE"""),1)</f>
        <v>1</v>
      </c>
      <c r="O267" s="157">
        <f ca="1">IFERROR(__xludf.DUMMYFUNCTION("""COMPUTED_VALUE"""),1.5)</f>
        <v>1.5</v>
      </c>
      <c r="P267" s="157"/>
      <c r="Q267" s="3">
        <f t="shared" ca="1" si="4"/>
        <v>266</v>
      </c>
      <c r="R267" s="148" t="e">
        <f ca="1"/>
        <v>#NAME?</v>
      </c>
      <c r="S267" s="147" t="e">
        <f t="shared" ca="1" si="5"/>
        <v>#NAME?</v>
      </c>
      <c r="T267" s="147" t="e">
        <f t="shared" ca="1" si="6"/>
        <v>#NAME?</v>
      </c>
      <c r="U267" s="147" t="e">
        <f t="shared" ca="1" si="7"/>
        <v>#NAME?</v>
      </c>
      <c r="X267" s="147"/>
      <c r="Y267" s="147"/>
      <c r="Z267" s="147"/>
      <c r="AA267" s="147"/>
      <c r="AB267" s="147"/>
      <c r="AC267" s="147"/>
      <c r="AD267" s="147"/>
      <c r="AE267" s="147"/>
      <c r="AF267" s="147"/>
      <c r="AG267" s="147"/>
      <c r="AH267" s="147"/>
      <c r="AI267" s="147"/>
      <c r="AJ267" s="147"/>
      <c r="AK267" s="147"/>
      <c r="AL267" s="147"/>
      <c r="AM267" s="147"/>
      <c r="AN267" s="147"/>
      <c r="AO267" s="147"/>
      <c r="AP267" s="147"/>
      <c r="AQ267" s="147"/>
    </row>
    <row r="268" spans="1:43">
      <c r="A268" s="160" t="str">
        <f ca="1">IFERROR(__xludf.DUMMYFUNCTION("""COMPUTED_VALUE"""),"203765")</f>
        <v>203765</v>
      </c>
      <c r="B268" s="3" t="str">
        <f ca="1">IFERROR(__xludf.DUMMYFUNCTION("""COMPUTED_VALUE"""),"ĐỖ GIA KHÁNH")</f>
        <v>ĐỖ GIA KHÁNH</v>
      </c>
      <c r="C268" s="160" t="str">
        <f ca="1">IFERROR(__xludf.DUMMYFUNCTION("""COMPUTED_VALUE"""),"EL025")</f>
        <v>EL025</v>
      </c>
      <c r="D268" s="160" t="str">
        <f ca="1">IFERROR(__xludf.DUMMYFUNCTION("""COMPUTED_VALUE"""),"Anh To")</f>
        <v>Anh To</v>
      </c>
      <c r="E268" s="3" t="str">
        <f ca="1">IFERROR(__xludf.DUMMYFUNCTION("""COMPUTED_VALUE"""),"Communication 2")</f>
        <v>Communication 2</v>
      </c>
      <c r="F268" s="3" t="str">
        <f ca="1">IFERROR(__xludf.DUMMYFUNCTION("""COMPUTED_VALUE"""),"Pre-Intermediate 1")</f>
        <v>Pre-Intermediate 1</v>
      </c>
      <c r="G268" s="3"/>
      <c r="H268" s="156">
        <f ca="1">IFERROR(__xludf.DUMMYFUNCTION("""COMPUTED_VALUE"""),45922.4166666666)</f>
        <v>45922.416666666599</v>
      </c>
      <c r="I268" s="156">
        <f ca="1">IFERROR(__xludf.DUMMYFUNCTION("""COMPUTED_VALUE"""),45761.4166666666)</f>
        <v>45761.416666666599</v>
      </c>
      <c r="J268" s="3">
        <f ca="1">IFERROR(__xludf.DUMMYFUNCTION("""COMPUTED_VALUE"""),3)</f>
        <v>3</v>
      </c>
      <c r="K268" s="3" t="str">
        <f ca="1">IFERROR(__xludf.DUMMYFUNCTION("""COMPUTED_VALUE"""),"")</f>
        <v/>
      </c>
      <c r="L268" s="3" t="str">
        <f ca="1">IFERROR(__xludf.DUMMYFUNCTION("""COMPUTED_VALUE"""),"DEV")</f>
        <v>DEV</v>
      </c>
      <c r="M268" s="3" t="str">
        <f ca="1">IFERROR(__xludf.DUMMYFUNCTION("""COMPUTED_VALUE"""),"MOC")</f>
        <v>MOC</v>
      </c>
      <c r="N268" s="157">
        <f ca="1">IFERROR(__xludf.DUMMYFUNCTION("""COMPUTED_VALUE"""),1)</f>
        <v>1</v>
      </c>
      <c r="O268" s="157">
        <f ca="1">IFERROR(__xludf.DUMMYFUNCTION("""COMPUTED_VALUE"""),3)</f>
        <v>3</v>
      </c>
      <c r="P268" s="157"/>
      <c r="Q268" s="3">
        <f t="shared" ca="1" si="4"/>
        <v>267</v>
      </c>
      <c r="R268" s="148" t="e">
        <f ca="1"/>
        <v>#NAME?</v>
      </c>
      <c r="S268" s="147" t="e">
        <f t="shared" ca="1" si="5"/>
        <v>#NAME?</v>
      </c>
      <c r="T268" s="147" t="e">
        <f t="shared" ca="1" si="6"/>
        <v>#NAME?</v>
      </c>
      <c r="U268" s="147" t="e">
        <f t="shared" ca="1" si="7"/>
        <v>#NAME?</v>
      </c>
      <c r="X268" s="147"/>
      <c r="Y268" s="147"/>
      <c r="Z268" s="147"/>
      <c r="AA268" s="147"/>
      <c r="AB268" s="147"/>
      <c r="AC268" s="147"/>
      <c r="AD268" s="147"/>
      <c r="AE268" s="147"/>
      <c r="AF268" s="147"/>
      <c r="AG268" s="147"/>
      <c r="AH268" s="147"/>
      <c r="AI268" s="147"/>
      <c r="AJ268" s="147"/>
      <c r="AK268" s="147"/>
      <c r="AL268" s="147"/>
      <c r="AM268" s="147"/>
      <c r="AN268" s="147"/>
      <c r="AO268" s="147"/>
      <c r="AP268" s="147"/>
      <c r="AQ268" s="147"/>
    </row>
    <row r="269" spans="1:43">
      <c r="A269" s="160" t="str">
        <f ca="1">IFERROR(__xludf.DUMMYFUNCTION("""COMPUTED_VALUE"""),"247225")</f>
        <v>247225</v>
      </c>
      <c r="B269" s="3" t="str">
        <f ca="1">IFERROR(__xludf.DUMMYFUNCTION("""COMPUTED_VALUE"""),"LÊ PHƯỚC THIỆN")</f>
        <v>LÊ PHƯỚC THIỆN</v>
      </c>
      <c r="C269" s="160" t="str">
        <f ca="1">IFERROR(__xludf.DUMMYFUNCTION("""COMPUTED_VALUE"""),"EL025")</f>
        <v>EL025</v>
      </c>
      <c r="D269" s="160" t="str">
        <f ca="1">IFERROR(__xludf.DUMMYFUNCTION("""COMPUTED_VALUE"""),"Anh To")</f>
        <v>Anh To</v>
      </c>
      <c r="E269" s="3" t="str">
        <f ca="1">IFERROR(__xludf.DUMMYFUNCTION("""COMPUTED_VALUE"""),"Communication 2")</f>
        <v>Communication 2</v>
      </c>
      <c r="F269" s="3" t="str">
        <f ca="1">IFERROR(__xludf.DUMMYFUNCTION("""COMPUTED_VALUE"""),"Pre-Intermediate 1")</f>
        <v>Pre-Intermediate 1</v>
      </c>
      <c r="G269" s="3"/>
      <c r="H269" s="156">
        <f ca="1">IFERROR(__xludf.DUMMYFUNCTION("""COMPUTED_VALUE"""),45922.4166666666)</f>
        <v>45922.416666666599</v>
      </c>
      <c r="I269" s="156">
        <f ca="1">IFERROR(__xludf.DUMMYFUNCTION("""COMPUTED_VALUE"""),45761.4166666666)</f>
        <v>45761.416666666599</v>
      </c>
      <c r="J269" s="3">
        <f ca="1">IFERROR(__xludf.DUMMYFUNCTION("""COMPUTED_VALUE"""),3)</f>
        <v>3</v>
      </c>
      <c r="K269" s="3" t="str">
        <f ca="1">IFERROR(__xludf.DUMMYFUNCTION("""COMPUTED_VALUE"""),"")</f>
        <v/>
      </c>
      <c r="L269" s="3" t="str">
        <f ca="1">IFERROR(__xludf.DUMMYFUNCTION("""COMPUTED_VALUE"""),"DEV")</f>
        <v>DEV</v>
      </c>
      <c r="M269" s="3" t="str">
        <f ca="1">IFERROR(__xludf.DUMMYFUNCTION("""COMPUTED_VALUE"""),"MOC")</f>
        <v>MOC</v>
      </c>
      <c r="N269" s="157">
        <f ca="1">IFERROR(__xludf.DUMMYFUNCTION("""COMPUTED_VALUE"""),1)</f>
        <v>1</v>
      </c>
      <c r="O269" s="157">
        <f ca="1">IFERROR(__xludf.DUMMYFUNCTION("""COMPUTED_VALUE"""),3)</f>
        <v>3</v>
      </c>
      <c r="P269" s="157"/>
      <c r="Q269" s="3">
        <f t="shared" ca="1" si="4"/>
        <v>268</v>
      </c>
      <c r="R269" s="148" t="e">
        <f ca="1"/>
        <v>#NAME?</v>
      </c>
      <c r="S269" s="147" t="e">
        <f t="shared" ca="1" si="5"/>
        <v>#NAME?</v>
      </c>
      <c r="T269" s="147" t="e">
        <f t="shared" ca="1" si="6"/>
        <v>#NAME?</v>
      </c>
      <c r="U269" s="147" t="e">
        <f t="shared" ca="1" si="7"/>
        <v>#NAME?</v>
      </c>
      <c r="X269" s="147"/>
      <c r="Y269" s="147"/>
      <c r="Z269" s="147"/>
      <c r="AA269" s="147"/>
      <c r="AB269" s="147"/>
      <c r="AC269" s="147"/>
      <c r="AD269" s="147"/>
      <c r="AE269" s="147"/>
      <c r="AF269" s="147"/>
      <c r="AG269" s="147"/>
      <c r="AH269" s="147"/>
      <c r="AI269" s="147"/>
      <c r="AJ269" s="147"/>
      <c r="AK269" s="147"/>
      <c r="AL269" s="147"/>
      <c r="AM269" s="147"/>
      <c r="AN269" s="147"/>
      <c r="AO269" s="147"/>
      <c r="AP269" s="147"/>
      <c r="AQ269" s="147"/>
    </row>
    <row r="270" spans="1:43">
      <c r="A270" s="160" t="str">
        <f ca="1">IFERROR(__xludf.DUMMYFUNCTION("""COMPUTED_VALUE"""),"247378")</f>
        <v>247378</v>
      </c>
      <c r="B270" s="3" t="str">
        <f ca="1">IFERROR(__xludf.DUMMYFUNCTION("""COMPUTED_VALUE"""),"NGUYỄN BẢO ĐẠT")</f>
        <v>NGUYỄN BẢO ĐẠT</v>
      </c>
      <c r="C270" s="160" t="str">
        <f ca="1">IFERROR(__xludf.DUMMYFUNCTION("""COMPUTED_VALUE"""),"EL025")</f>
        <v>EL025</v>
      </c>
      <c r="D270" s="160" t="str">
        <f ca="1">IFERROR(__xludf.DUMMYFUNCTION("""COMPUTED_VALUE"""),"Anh To")</f>
        <v>Anh To</v>
      </c>
      <c r="E270" s="3" t="str">
        <f ca="1">IFERROR(__xludf.DUMMYFUNCTION("""COMPUTED_VALUE"""),"Communication 2")</f>
        <v>Communication 2</v>
      </c>
      <c r="F270" s="3" t="str">
        <f ca="1">IFERROR(__xludf.DUMMYFUNCTION("""COMPUTED_VALUE"""),"Pre-Intermediate 2")</f>
        <v>Pre-Intermediate 2</v>
      </c>
      <c r="G270" s="3"/>
      <c r="H270" s="156">
        <f ca="1">IFERROR(__xludf.DUMMYFUNCTION("""COMPUTED_VALUE"""),45922.4166666666)</f>
        <v>45922.416666666599</v>
      </c>
      <c r="I270" s="156">
        <f ca="1">IFERROR(__xludf.DUMMYFUNCTION("""COMPUTED_VALUE"""),45761.4166666666)</f>
        <v>45761.416666666599</v>
      </c>
      <c r="J270" s="3">
        <f ca="1">IFERROR(__xludf.DUMMYFUNCTION("""COMPUTED_VALUE"""),3.5)</f>
        <v>3.5</v>
      </c>
      <c r="K270" s="3" t="str">
        <f ca="1">IFERROR(__xludf.DUMMYFUNCTION("""COMPUTED_VALUE"""),"")</f>
        <v/>
      </c>
      <c r="L270" s="3" t="str">
        <f ca="1">IFERROR(__xludf.DUMMYFUNCTION("""COMPUTED_VALUE"""),"QC")</f>
        <v>QC</v>
      </c>
      <c r="M270" s="3" t="str">
        <f ca="1">IFERROR(__xludf.DUMMYFUNCTION("""COMPUTED_VALUE"""),"MOC")</f>
        <v>MOC</v>
      </c>
      <c r="N270" s="157">
        <f ca="1">IFERROR(__xludf.DUMMYFUNCTION("""COMPUTED_VALUE"""),1)</f>
        <v>1</v>
      </c>
      <c r="O270" s="157">
        <f ca="1">IFERROR(__xludf.DUMMYFUNCTION("""COMPUTED_VALUE"""),3.5)</f>
        <v>3.5</v>
      </c>
      <c r="P270" s="157"/>
      <c r="Q270" s="3">
        <f t="shared" ca="1" si="4"/>
        <v>269</v>
      </c>
      <c r="R270" s="148" t="e">
        <f ca="1"/>
        <v>#NAME?</v>
      </c>
      <c r="S270" s="147" t="e">
        <f t="shared" ca="1" si="5"/>
        <v>#NAME?</v>
      </c>
      <c r="T270" s="147" t="e">
        <f t="shared" ca="1" si="6"/>
        <v>#NAME?</v>
      </c>
      <c r="U270" s="147" t="e">
        <f t="shared" ca="1" si="7"/>
        <v>#NAME?</v>
      </c>
      <c r="X270" s="147"/>
      <c r="Y270" s="147"/>
      <c r="Z270" s="147"/>
      <c r="AA270" s="147"/>
      <c r="AB270" s="147"/>
      <c r="AC270" s="147"/>
      <c r="AD270" s="147"/>
      <c r="AE270" s="147"/>
      <c r="AF270" s="147"/>
      <c r="AG270" s="147"/>
      <c r="AH270" s="147"/>
      <c r="AI270" s="147"/>
      <c r="AJ270" s="147"/>
      <c r="AK270" s="147"/>
      <c r="AL270" s="147"/>
      <c r="AM270" s="147"/>
      <c r="AN270" s="147"/>
      <c r="AO270" s="147"/>
      <c r="AP270" s="147"/>
      <c r="AQ270" s="147"/>
    </row>
    <row r="271" spans="1:43">
      <c r="A271" s="160" t="str">
        <f ca="1">IFERROR(__xludf.DUMMYFUNCTION("""COMPUTED_VALUE"""),"213947")</f>
        <v>213947</v>
      </c>
      <c r="B271" s="3" t="str">
        <f ca="1">IFERROR(__xludf.DUMMYFUNCTION("""COMPUTED_VALUE"""),"NGUYỄN NGỌC PHƯƠNG NHI")</f>
        <v>NGUYỄN NGỌC PHƯƠNG NHI</v>
      </c>
      <c r="C271" s="160" t="str">
        <f ca="1">IFERROR(__xludf.DUMMYFUNCTION("""COMPUTED_VALUE"""),"EL025")</f>
        <v>EL025</v>
      </c>
      <c r="D271" s="160" t="str">
        <f ca="1">IFERROR(__xludf.DUMMYFUNCTION("""COMPUTED_VALUE"""),"Anh To")</f>
        <v>Anh To</v>
      </c>
      <c r="E271" s="3" t="str">
        <f ca="1">IFERROR(__xludf.DUMMYFUNCTION("""COMPUTED_VALUE"""),"Communication 2")</f>
        <v>Communication 2</v>
      </c>
      <c r="F271" s="3" t="str">
        <f ca="1">IFERROR(__xludf.DUMMYFUNCTION("""COMPUTED_VALUE"""),"Beginner 2")</f>
        <v>Beginner 2</v>
      </c>
      <c r="G271" s="3"/>
      <c r="H271" s="156">
        <f ca="1">IFERROR(__xludf.DUMMYFUNCTION("""COMPUTED_VALUE"""),45922.4166666666)</f>
        <v>45922.416666666599</v>
      </c>
      <c r="I271" s="156">
        <f ca="1">IFERROR(__xludf.DUMMYFUNCTION("""COMPUTED_VALUE"""),45761.4166666666)</f>
        <v>45761.416666666599</v>
      </c>
      <c r="J271" s="3">
        <f ca="1">IFERROR(__xludf.DUMMYFUNCTION("""COMPUTED_VALUE"""),1.5)</f>
        <v>1.5</v>
      </c>
      <c r="K271" s="3" t="str">
        <f ca="1">IFERROR(__xludf.DUMMYFUNCTION("""COMPUTED_VALUE"""),"")</f>
        <v/>
      </c>
      <c r="L271" s="3" t="str">
        <f ca="1">IFERROR(__xludf.DUMMYFUNCTION("""COMPUTED_VALUE"""),"QC")</f>
        <v>QC</v>
      </c>
      <c r="M271" s="3" t="str">
        <f ca="1">IFERROR(__xludf.DUMMYFUNCTION("""COMPUTED_VALUE"""),"MOC")</f>
        <v>MOC</v>
      </c>
      <c r="N271" s="157">
        <f ca="1">IFERROR(__xludf.DUMMYFUNCTION("""COMPUTED_VALUE"""),1)</f>
        <v>1</v>
      </c>
      <c r="O271" s="157">
        <f ca="1">IFERROR(__xludf.DUMMYFUNCTION("""COMPUTED_VALUE"""),1.5)</f>
        <v>1.5</v>
      </c>
      <c r="P271" s="157"/>
      <c r="Q271" s="3">
        <f t="shared" ca="1" si="4"/>
        <v>270</v>
      </c>
      <c r="R271" s="148" t="e">
        <f ca="1"/>
        <v>#NAME?</v>
      </c>
      <c r="S271" s="147" t="e">
        <f t="shared" ca="1" si="5"/>
        <v>#NAME?</v>
      </c>
      <c r="T271" s="147" t="e">
        <f t="shared" ca="1" si="6"/>
        <v>#NAME?</v>
      </c>
      <c r="U271" s="147" t="e">
        <f t="shared" ca="1" si="7"/>
        <v>#NAME?</v>
      </c>
      <c r="X271" s="147"/>
      <c r="Y271" s="147"/>
      <c r="Z271" s="147"/>
      <c r="AA271" s="147"/>
      <c r="AB271" s="147"/>
      <c r="AC271" s="147"/>
      <c r="AD271" s="147"/>
      <c r="AE271" s="147"/>
      <c r="AF271" s="147"/>
      <c r="AG271" s="147"/>
      <c r="AH271" s="147"/>
      <c r="AI271" s="147"/>
      <c r="AJ271" s="147"/>
      <c r="AK271" s="147"/>
      <c r="AL271" s="147"/>
      <c r="AM271" s="147"/>
      <c r="AN271" s="147"/>
      <c r="AO271" s="147"/>
      <c r="AP271" s="147"/>
      <c r="AQ271" s="147"/>
    </row>
    <row r="272" spans="1:43">
      <c r="A272" s="160" t="str">
        <f ca="1">IFERROR(__xludf.DUMMYFUNCTION("""COMPUTED_VALUE"""),"247245")</f>
        <v>247245</v>
      </c>
      <c r="B272" s="3" t="str">
        <f ca="1">IFERROR(__xludf.DUMMYFUNCTION("""COMPUTED_VALUE"""),"THÁI NHẬT TÂN")</f>
        <v>THÁI NHẬT TÂN</v>
      </c>
      <c r="C272" s="160" t="str">
        <f ca="1">IFERROR(__xludf.DUMMYFUNCTION("""COMPUTED_VALUE"""),"EL025")</f>
        <v>EL025</v>
      </c>
      <c r="D272" s="160" t="str">
        <f ca="1">IFERROR(__xludf.DUMMYFUNCTION("""COMPUTED_VALUE"""),"Anh To")</f>
        <v>Anh To</v>
      </c>
      <c r="E272" s="3" t="str">
        <f ca="1">IFERROR(__xludf.DUMMYFUNCTION("""COMPUTED_VALUE"""),"Communication 2")</f>
        <v>Communication 2</v>
      </c>
      <c r="F272" s="3" t="str">
        <f ca="1">IFERROR(__xludf.DUMMYFUNCTION("""COMPUTED_VALUE"""),"Pre-Intermediate 1")</f>
        <v>Pre-Intermediate 1</v>
      </c>
      <c r="G272" s="3"/>
      <c r="H272" s="156">
        <f ca="1">IFERROR(__xludf.DUMMYFUNCTION("""COMPUTED_VALUE"""),45922.4166666666)</f>
        <v>45922.416666666599</v>
      </c>
      <c r="I272" s="156">
        <f ca="1">IFERROR(__xludf.DUMMYFUNCTION("""COMPUTED_VALUE"""),45761.4166666666)</f>
        <v>45761.416666666599</v>
      </c>
      <c r="J272" s="3">
        <f ca="1">IFERROR(__xludf.DUMMYFUNCTION("""COMPUTED_VALUE"""),3)</f>
        <v>3</v>
      </c>
      <c r="K272" s="3" t="str">
        <f ca="1">IFERROR(__xludf.DUMMYFUNCTION("""COMPUTED_VALUE"""),"")</f>
        <v/>
      </c>
      <c r="L272" s="3" t="str">
        <f ca="1">IFERROR(__xludf.DUMMYFUNCTION("""COMPUTED_VALUE"""),"DEV")</f>
        <v>DEV</v>
      </c>
      <c r="M272" s="3" t="str">
        <f ca="1">IFERROR(__xludf.DUMMYFUNCTION("""COMPUTED_VALUE"""),"LBU")</f>
        <v>LBU</v>
      </c>
      <c r="N272" s="157">
        <f ca="1">IFERROR(__xludf.DUMMYFUNCTION("""COMPUTED_VALUE"""),1)</f>
        <v>1</v>
      </c>
      <c r="O272" s="157">
        <f ca="1">IFERROR(__xludf.DUMMYFUNCTION("""COMPUTED_VALUE"""),3)</f>
        <v>3</v>
      </c>
      <c r="P272" s="157"/>
      <c r="Q272" s="3">
        <f t="shared" ca="1" si="4"/>
        <v>271</v>
      </c>
      <c r="R272" s="148" t="e">
        <f ca="1"/>
        <v>#NAME?</v>
      </c>
      <c r="S272" s="147" t="e">
        <f t="shared" ca="1" si="5"/>
        <v>#NAME?</v>
      </c>
      <c r="T272" s="147" t="e">
        <f t="shared" ca="1" si="6"/>
        <v>#NAME?</v>
      </c>
      <c r="U272" s="147" t="e">
        <f t="shared" ca="1" si="7"/>
        <v>#NAME?</v>
      </c>
      <c r="X272" s="147"/>
      <c r="Y272" s="147"/>
      <c r="Z272" s="147"/>
      <c r="AA272" s="147"/>
      <c r="AB272" s="147"/>
      <c r="AC272" s="147"/>
      <c r="AD272" s="147"/>
      <c r="AE272" s="147"/>
      <c r="AF272" s="147"/>
      <c r="AG272" s="147"/>
      <c r="AH272" s="147"/>
      <c r="AI272" s="147"/>
      <c r="AJ272" s="147"/>
      <c r="AK272" s="147"/>
      <c r="AL272" s="147"/>
      <c r="AM272" s="147"/>
      <c r="AN272" s="147"/>
      <c r="AO272" s="147"/>
      <c r="AP272" s="147"/>
      <c r="AQ272" s="147"/>
    </row>
    <row r="273" spans="1:43">
      <c r="A273" s="160" t="str">
        <f ca="1">IFERROR(__xludf.DUMMYFUNCTION("""COMPUTED_VALUE"""),"227144")</f>
        <v>227144</v>
      </c>
      <c r="B273" s="3" t="str">
        <f ca="1">IFERROR(__xludf.DUMMYFUNCTION("""COMPUTED_VALUE"""),"TRẦN THỊ HOÀN MỸ")</f>
        <v>TRẦN THỊ HOÀN MỸ</v>
      </c>
      <c r="C273" s="160" t="str">
        <f ca="1">IFERROR(__xludf.DUMMYFUNCTION("""COMPUTED_VALUE"""),"EL026")</f>
        <v>EL026</v>
      </c>
      <c r="D273" s="160" t="str">
        <f ca="1">IFERROR(__xludf.DUMMYFUNCTION("""COMPUTED_VALUE"""),"My Tran")</f>
        <v>My Tran</v>
      </c>
      <c r="E273" s="3" t="str">
        <f ca="1">IFERROR(__xludf.DUMMYFUNCTION("""COMPUTED_VALUE"""),"Communication 1")</f>
        <v>Communication 1</v>
      </c>
      <c r="F273" s="3" t="str">
        <f ca="1">IFERROR(__xludf.DUMMYFUNCTION("""COMPUTED_VALUE"""),"Beginner")</f>
        <v>Beginner</v>
      </c>
      <c r="G273" s="3" t="str">
        <f ca="1">IFERROR(__xludf.DUMMYFUNCTION("""COMPUTED_VALUE"""),"Pre-Intermediate 1")</f>
        <v>Pre-Intermediate 1</v>
      </c>
      <c r="H273" s="156">
        <f ca="1">IFERROR(__xludf.DUMMYFUNCTION("""COMPUTED_VALUE"""),45763.5416666666)</f>
        <v>45763.541666666599</v>
      </c>
      <c r="I273" s="156">
        <f ca="1">IFERROR(__xludf.DUMMYFUNCTION("""COMPUTED_VALUE"""),45763.5416666666)</f>
        <v>45763.541666666599</v>
      </c>
      <c r="J273" s="3">
        <f ca="1">IFERROR(__xludf.DUMMYFUNCTION("""COMPUTED_VALUE"""),1)</f>
        <v>1</v>
      </c>
      <c r="K273" s="3">
        <f ca="1">IFERROR(__xludf.DUMMYFUNCTION("""COMPUTED_VALUE"""),3)</f>
        <v>3</v>
      </c>
      <c r="L273" s="3" t="str">
        <f ca="1">IFERROR(__xludf.DUMMYFUNCTION("""COMPUTED_VALUE"""),"QC")</f>
        <v>QC</v>
      </c>
      <c r="M273" s="3" t="str">
        <f ca="1">IFERROR(__xludf.DUMMYFUNCTION("""COMPUTED_VALUE"""),"LBU")</f>
        <v>LBU</v>
      </c>
      <c r="N273" s="157">
        <f ca="1">IFERROR(__xludf.DUMMYFUNCTION("""COMPUTED_VALUE"""),1)</f>
        <v>1</v>
      </c>
      <c r="O273" s="157">
        <f ca="1">IFERROR(__xludf.DUMMYFUNCTION("""COMPUTED_VALUE"""),3)</f>
        <v>3</v>
      </c>
      <c r="P273" s="157"/>
      <c r="Q273" s="3">
        <f t="shared" ca="1" si="4"/>
        <v>272</v>
      </c>
      <c r="R273" s="148" t="e">
        <f ca="1"/>
        <v>#NAME?</v>
      </c>
      <c r="S273" s="147" t="e">
        <f t="shared" ca="1" si="5"/>
        <v>#NAME?</v>
      </c>
      <c r="T273" s="147" t="e">
        <f t="shared" ca="1" si="6"/>
        <v>#NAME?</v>
      </c>
      <c r="U273" s="147" t="s">
        <v>922</v>
      </c>
      <c r="X273" s="147"/>
      <c r="Y273" s="147"/>
      <c r="Z273" s="147"/>
      <c r="AA273" s="147"/>
      <c r="AB273" s="147"/>
      <c r="AC273" s="147"/>
      <c r="AD273" s="147"/>
      <c r="AE273" s="147"/>
      <c r="AF273" s="147"/>
      <c r="AG273" s="147"/>
      <c r="AH273" s="147"/>
      <c r="AI273" s="147"/>
      <c r="AJ273" s="147"/>
      <c r="AK273" s="147"/>
      <c r="AL273" s="147"/>
      <c r="AM273" s="147"/>
      <c r="AN273" s="147"/>
      <c r="AO273" s="147"/>
      <c r="AP273" s="147"/>
      <c r="AQ273" s="147"/>
    </row>
    <row r="274" spans="1:43">
      <c r="A274" s="155" t="str">
        <f ca="1">IFERROR(__xludf.DUMMYFUNCTION("""COMPUTED_VALUE"""),"247359")</f>
        <v>247359</v>
      </c>
      <c r="B274" s="154" t="str">
        <f ca="1">IFERROR(__xludf.DUMMYFUNCTION("""COMPUTED_VALUE"""),"HỒ HUỲNH THÔNG")</f>
        <v>HỒ HUỲNH THÔNG</v>
      </c>
      <c r="C274" s="155" t="str">
        <f ca="1">IFERROR(__xludf.DUMMYFUNCTION("""COMPUTED_VALUE"""),"EL026")</f>
        <v>EL026</v>
      </c>
      <c r="D274" s="155" t="str">
        <f ca="1">IFERROR(__xludf.DUMMYFUNCTION("""COMPUTED_VALUE"""),"My Tran")</f>
        <v>My Tran</v>
      </c>
      <c r="E274" s="154" t="str">
        <f ca="1">IFERROR(__xludf.DUMMYFUNCTION("""COMPUTED_VALUE"""),"Communication 1")</f>
        <v>Communication 1</v>
      </c>
      <c r="F274" s="3" t="str">
        <f ca="1">IFERROR(__xludf.DUMMYFUNCTION("""COMPUTED_VALUE"""),"Pre-Intermediate")</f>
        <v>Pre-Intermediate</v>
      </c>
      <c r="G274" s="3" t="str">
        <f ca="1">IFERROR(__xludf.DUMMYFUNCTION("""COMPUTED_VALUE"""),"Pre-Intermediate 1")</f>
        <v>Pre-Intermediate 1</v>
      </c>
      <c r="H274" s="156">
        <f ca="1">IFERROR(__xludf.DUMMYFUNCTION("""COMPUTED_VALUE"""),45763.5416666666)</f>
        <v>45763.541666666599</v>
      </c>
      <c r="I274" s="156">
        <f ca="1">IFERROR(__xludf.DUMMYFUNCTION("""COMPUTED_VALUE"""),45763.5416666666)</f>
        <v>45763.541666666599</v>
      </c>
      <c r="J274" s="3">
        <f ca="1">IFERROR(__xludf.DUMMYFUNCTION("""COMPUTED_VALUE"""),2.5)</f>
        <v>2.5</v>
      </c>
      <c r="K274" s="3">
        <f ca="1">IFERROR(__xludf.DUMMYFUNCTION("""COMPUTED_VALUE"""),3)</f>
        <v>3</v>
      </c>
      <c r="L274" s="3" t="str">
        <f ca="1">IFERROR(__xludf.DUMMYFUNCTION("""COMPUTED_VALUE"""),"DEV")</f>
        <v>DEV</v>
      </c>
      <c r="M274" s="3" t="str">
        <f ca="1">IFERROR(__xludf.DUMMYFUNCTION("""COMPUTED_VALUE"""),"LBU")</f>
        <v>LBU</v>
      </c>
      <c r="N274" s="157">
        <f ca="1">IFERROR(__xludf.DUMMYFUNCTION("""COMPUTED_VALUE"""),2.5)</f>
        <v>2.5</v>
      </c>
      <c r="O274" s="157">
        <f ca="1">IFERROR(__xludf.DUMMYFUNCTION("""COMPUTED_VALUE"""),3)</f>
        <v>3</v>
      </c>
      <c r="P274" s="157"/>
      <c r="Q274" s="3">
        <f t="shared" ca="1" si="4"/>
        <v>273</v>
      </c>
      <c r="R274" s="148" t="e">
        <f ca="1"/>
        <v>#NAME?</v>
      </c>
      <c r="S274" s="147" t="e">
        <f t="shared" ca="1" si="5"/>
        <v>#NAME?</v>
      </c>
      <c r="T274" s="147" t="e">
        <f t="shared" ca="1" si="6"/>
        <v>#NAME?</v>
      </c>
      <c r="U274" s="147" t="e">
        <f t="shared" ref="U274:U324" ca="1" si="8">VLOOKUP(R274,$A$2:$P1581,13,0)</f>
        <v>#NAME?</v>
      </c>
      <c r="X274" s="147"/>
      <c r="Y274" s="147"/>
      <c r="Z274" s="147"/>
      <c r="AA274" s="147"/>
      <c r="AB274" s="147"/>
      <c r="AC274" s="147"/>
      <c r="AD274" s="147"/>
      <c r="AE274" s="147"/>
      <c r="AF274" s="147"/>
      <c r="AG274" s="147"/>
      <c r="AH274" s="147"/>
      <c r="AI274" s="147"/>
      <c r="AJ274" s="147"/>
      <c r="AK274" s="147"/>
      <c r="AL274" s="147"/>
      <c r="AM274" s="147"/>
      <c r="AN274" s="147"/>
      <c r="AO274" s="147"/>
      <c r="AP274" s="147"/>
      <c r="AQ274" s="147"/>
    </row>
    <row r="275" spans="1:43">
      <c r="A275" s="160" t="str">
        <f ca="1">IFERROR(__xludf.DUMMYFUNCTION("""COMPUTED_VALUE"""),"237061")</f>
        <v>237061</v>
      </c>
      <c r="B275" s="3" t="str">
        <f ca="1">IFERROR(__xludf.DUMMYFUNCTION("""COMPUTED_VALUE"""),"NGUYỄN TẤN HUY")</f>
        <v>NGUYỄN TẤN HUY</v>
      </c>
      <c r="C275" s="160" t="str">
        <f ca="1">IFERROR(__xludf.DUMMYFUNCTION("""COMPUTED_VALUE"""),"EL026")</f>
        <v>EL026</v>
      </c>
      <c r="D275" s="160" t="str">
        <f ca="1">IFERROR(__xludf.DUMMYFUNCTION("""COMPUTED_VALUE"""),"My Tran")</f>
        <v>My Tran</v>
      </c>
      <c r="E275" s="3" t="str">
        <f ca="1">IFERROR(__xludf.DUMMYFUNCTION("""COMPUTED_VALUE"""),"Communication 1")</f>
        <v>Communication 1</v>
      </c>
      <c r="F275" s="3" t="str">
        <f ca="1">IFERROR(__xludf.DUMMYFUNCTION("""COMPUTED_VALUE"""),"Beginner")</f>
        <v>Beginner</v>
      </c>
      <c r="G275" s="3" t="str">
        <f ca="1">IFERROR(__xludf.DUMMYFUNCTION("""COMPUTED_VALUE"""),"Beginner")</f>
        <v>Beginner</v>
      </c>
      <c r="H275" s="156">
        <f ca="1">IFERROR(__xludf.DUMMYFUNCTION("""COMPUTED_VALUE"""),45763.5416666666)</f>
        <v>45763.541666666599</v>
      </c>
      <c r="I275" s="156">
        <f ca="1">IFERROR(__xludf.DUMMYFUNCTION("""COMPUTED_VALUE"""),45763.5416666666)</f>
        <v>45763.541666666599</v>
      </c>
      <c r="J275" s="3">
        <f ca="1">IFERROR(__xludf.DUMMYFUNCTION("""COMPUTED_VALUE"""),1)</f>
        <v>1</v>
      </c>
      <c r="K275" s="3">
        <f ca="1">IFERROR(__xludf.DUMMYFUNCTION("""COMPUTED_VALUE"""),1)</f>
        <v>1</v>
      </c>
      <c r="L275" s="3" t="str">
        <f ca="1">IFERROR(__xludf.DUMMYFUNCTION("""COMPUTED_VALUE"""),"DEV")</f>
        <v>DEV</v>
      </c>
      <c r="M275" s="3" t="str">
        <f ca="1">IFERROR(__xludf.DUMMYFUNCTION("""COMPUTED_VALUE"""),"LBU")</f>
        <v>LBU</v>
      </c>
      <c r="N275" s="157">
        <f ca="1">IFERROR(__xludf.DUMMYFUNCTION("""COMPUTED_VALUE"""),1)</f>
        <v>1</v>
      </c>
      <c r="O275" s="157">
        <f ca="1">IFERROR(__xludf.DUMMYFUNCTION("""COMPUTED_VALUE"""),1.5)</f>
        <v>1.5</v>
      </c>
      <c r="P275" s="157"/>
      <c r="Q275" s="3">
        <f t="shared" ca="1" si="4"/>
        <v>274</v>
      </c>
      <c r="R275" s="148" t="e">
        <f ca="1"/>
        <v>#NAME?</v>
      </c>
      <c r="S275" s="147" t="e">
        <f t="shared" ca="1" si="5"/>
        <v>#NAME?</v>
      </c>
      <c r="T275" s="147" t="e">
        <f t="shared" ca="1" si="6"/>
        <v>#NAME?</v>
      </c>
      <c r="U275" s="147" t="e">
        <f t="shared" ca="1" si="8"/>
        <v>#NAME?</v>
      </c>
      <c r="X275" s="147"/>
      <c r="Y275" s="147"/>
      <c r="Z275" s="147"/>
      <c r="AA275" s="147"/>
      <c r="AB275" s="147"/>
      <c r="AC275" s="147"/>
      <c r="AD275" s="147"/>
      <c r="AE275" s="147"/>
      <c r="AF275" s="147"/>
      <c r="AG275" s="147"/>
      <c r="AH275" s="147"/>
      <c r="AI275" s="147"/>
      <c r="AJ275" s="147"/>
      <c r="AK275" s="147"/>
      <c r="AL275" s="147"/>
      <c r="AM275" s="147"/>
      <c r="AN275" s="147"/>
      <c r="AO275" s="147"/>
      <c r="AP275" s="147"/>
      <c r="AQ275" s="147"/>
    </row>
    <row r="276" spans="1:43">
      <c r="A276" s="160" t="str">
        <f ca="1">IFERROR(__xludf.DUMMYFUNCTION("""COMPUTED_VALUE"""),"227008")</f>
        <v>227008</v>
      </c>
      <c r="B276" s="3" t="str">
        <f ca="1">IFERROR(__xludf.DUMMYFUNCTION("""COMPUTED_VALUE"""),"PHẠM ĐỨC ÁO")</f>
        <v>PHẠM ĐỨC ÁO</v>
      </c>
      <c r="C276" s="160" t="str">
        <f ca="1">IFERROR(__xludf.DUMMYFUNCTION("""COMPUTED_VALUE"""),"EL026")</f>
        <v>EL026</v>
      </c>
      <c r="D276" s="160" t="str">
        <f ca="1">IFERROR(__xludf.DUMMYFUNCTION("""COMPUTED_VALUE"""),"My Tran")</f>
        <v>My Tran</v>
      </c>
      <c r="E276" s="3" t="str">
        <f ca="1">IFERROR(__xludf.DUMMYFUNCTION("""COMPUTED_VALUE"""),"Communication 1")</f>
        <v>Communication 1</v>
      </c>
      <c r="F276" s="3" t="str">
        <f ca="1">IFERROR(__xludf.DUMMYFUNCTION("""COMPUTED_VALUE"""),"Beginner")</f>
        <v>Beginner</v>
      </c>
      <c r="G276" s="3" t="str">
        <f ca="1">IFERROR(__xludf.DUMMYFUNCTION("""COMPUTED_VALUE"""),"Beginner")</f>
        <v>Beginner</v>
      </c>
      <c r="H276" s="156">
        <f ca="1">IFERROR(__xludf.DUMMYFUNCTION("""COMPUTED_VALUE"""),45763.5416666666)</f>
        <v>45763.541666666599</v>
      </c>
      <c r="I276" s="156">
        <f ca="1">IFERROR(__xludf.DUMMYFUNCTION("""COMPUTED_VALUE"""),45763.5416666666)</f>
        <v>45763.541666666599</v>
      </c>
      <c r="J276" s="3">
        <f ca="1">IFERROR(__xludf.DUMMYFUNCTION("""COMPUTED_VALUE"""),1)</f>
        <v>1</v>
      </c>
      <c r="K276" s="3">
        <f ca="1">IFERROR(__xludf.DUMMYFUNCTION("""COMPUTED_VALUE"""),1)</f>
        <v>1</v>
      </c>
      <c r="L276" s="3" t="str">
        <f ca="1">IFERROR(__xludf.DUMMYFUNCTION("""COMPUTED_VALUE"""),"DEV")</f>
        <v>DEV</v>
      </c>
      <c r="M276" s="3" t="str">
        <f ca="1">IFERROR(__xludf.DUMMYFUNCTION("""COMPUTED_VALUE"""),"LBU")</f>
        <v>LBU</v>
      </c>
      <c r="N276" s="157">
        <f ca="1">IFERROR(__xludf.DUMMYFUNCTION("""COMPUTED_VALUE"""),1)</f>
        <v>1</v>
      </c>
      <c r="O276" s="157">
        <f ca="1">IFERROR(__xludf.DUMMYFUNCTION("""COMPUTED_VALUE"""),1)</f>
        <v>1</v>
      </c>
      <c r="P276" s="157"/>
      <c r="Q276" s="3">
        <f t="shared" ca="1" si="4"/>
        <v>275</v>
      </c>
      <c r="R276" s="148" t="e">
        <f ca="1"/>
        <v>#NAME?</v>
      </c>
      <c r="S276" s="147" t="e">
        <f t="shared" ca="1" si="5"/>
        <v>#NAME?</v>
      </c>
      <c r="T276" s="147" t="e">
        <f t="shared" ca="1" si="6"/>
        <v>#NAME?</v>
      </c>
      <c r="U276" s="147" t="e">
        <f t="shared" ca="1" si="8"/>
        <v>#NAME?</v>
      </c>
      <c r="X276" s="147"/>
      <c r="Y276" s="147"/>
      <c r="Z276" s="147"/>
      <c r="AA276" s="147"/>
      <c r="AB276" s="147"/>
      <c r="AC276" s="147"/>
      <c r="AD276" s="147"/>
      <c r="AE276" s="147"/>
      <c r="AF276" s="147"/>
      <c r="AG276" s="147"/>
      <c r="AH276" s="147"/>
      <c r="AI276" s="147"/>
      <c r="AJ276" s="147"/>
      <c r="AK276" s="147"/>
      <c r="AL276" s="147"/>
      <c r="AM276" s="147"/>
      <c r="AN276" s="147"/>
      <c r="AO276" s="147"/>
      <c r="AP276" s="147"/>
      <c r="AQ276" s="147"/>
    </row>
    <row r="277" spans="1:43">
      <c r="A277" s="160" t="str">
        <f ca="1">IFERROR(__xludf.DUMMYFUNCTION("""COMPUTED_VALUE"""),"227069")</f>
        <v>227069</v>
      </c>
      <c r="B277" s="3" t="str">
        <f ca="1">IFERROR(__xludf.DUMMYFUNCTION("""COMPUTED_VALUE"""),"TÔ PHƯỚC THÁI")</f>
        <v>TÔ PHƯỚC THÁI</v>
      </c>
      <c r="C277" s="160" t="str">
        <f ca="1">IFERROR(__xludf.DUMMYFUNCTION("""COMPUTED_VALUE"""),"EL026")</f>
        <v>EL026</v>
      </c>
      <c r="D277" s="160" t="str">
        <f ca="1">IFERROR(__xludf.DUMMYFUNCTION("""COMPUTED_VALUE"""),"My Tran")</f>
        <v>My Tran</v>
      </c>
      <c r="E277" s="3" t="str">
        <f ca="1">IFERROR(__xludf.DUMMYFUNCTION("""COMPUTED_VALUE"""),"Communication 1")</f>
        <v>Communication 1</v>
      </c>
      <c r="F277" s="3" t="str">
        <f ca="1">IFERROR(__xludf.DUMMYFUNCTION("""COMPUTED_VALUE"""),"Beginner")</f>
        <v>Beginner</v>
      </c>
      <c r="G277" s="3" t="str">
        <f ca="1">IFERROR(__xludf.DUMMYFUNCTION("""COMPUTED_VALUE"""),"Beginner")</f>
        <v>Beginner</v>
      </c>
      <c r="H277" s="156">
        <f ca="1">IFERROR(__xludf.DUMMYFUNCTION("""COMPUTED_VALUE"""),45763.5416666666)</f>
        <v>45763.541666666599</v>
      </c>
      <c r="I277" s="156">
        <f ca="1">IFERROR(__xludf.DUMMYFUNCTION("""COMPUTED_VALUE"""),45763.5416666666)</f>
        <v>45763.541666666599</v>
      </c>
      <c r="J277" s="3">
        <f ca="1">IFERROR(__xludf.DUMMYFUNCTION("""COMPUTED_VALUE"""),1)</f>
        <v>1</v>
      </c>
      <c r="K277" s="3">
        <f ca="1">IFERROR(__xludf.DUMMYFUNCTION("""COMPUTED_VALUE"""),1)</f>
        <v>1</v>
      </c>
      <c r="L277" s="3" t="str">
        <f ca="1">IFERROR(__xludf.DUMMYFUNCTION("""COMPUTED_VALUE"""),"DEV")</f>
        <v>DEV</v>
      </c>
      <c r="M277" s="3" t="str">
        <f ca="1">IFERROR(__xludf.DUMMYFUNCTION("""COMPUTED_VALUE"""),"LBU")</f>
        <v>LBU</v>
      </c>
      <c r="N277" s="157">
        <f ca="1">IFERROR(__xludf.DUMMYFUNCTION("""COMPUTED_VALUE"""),1)</f>
        <v>1</v>
      </c>
      <c r="O277" s="157">
        <f ca="1">IFERROR(__xludf.DUMMYFUNCTION("""COMPUTED_VALUE"""),1)</f>
        <v>1</v>
      </c>
      <c r="P277" s="157"/>
      <c r="Q277" s="3">
        <f t="shared" ca="1" si="4"/>
        <v>276</v>
      </c>
      <c r="R277" s="148" t="e">
        <f ca="1"/>
        <v>#NAME?</v>
      </c>
      <c r="S277" s="147" t="e">
        <f t="shared" ca="1" si="5"/>
        <v>#NAME?</v>
      </c>
      <c r="T277" s="147" t="e">
        <f t="shared" ca="1" si="6"/>
        <v>#NAME?</v>
      </c>
      <c r="U277" s="147" t="e">
        <f t="shared" ca="1" si="8"/>
        <v>#NAME?</v>
      </c>
      <c r="X277" s="147"/>
      <c r="Y277" s="147"/>
      <c r="Z277" s="147"/>
      <c r="AA277" s="147"/>
      <c r="AB277" s="147"/>
      <c r="AC277" s="147"/>
      <c r="AD277" s="147"/>
      <c r="AE277" s="147"/>
      <c r="AF277" s="147"/>
      <c r="AG277" s="147"/>
      <c r="AH277" s="147"/>
      <c r="AI277" s="147"/>
      <c r="AJ277" s="147"/>
      <c r="AK277" s="147"/>
      <c r="AL277" s="147"/>
      <c r="AM277" s="147"/>
      <c r="AN277" s="147"/>
      <c r="AO277" s="147"/>
      <c r="AP277" s="147"/>
      <c r="AQ277" s="147"/>
    </row>
    <row r="278" spans="1:43">
      <c r="A278" s="160" t="str">
        <f ca="1">IFERROR(__xludf.DUMMYFUNCTION("""COMPUTED_VALUE"""),"237246")</f>
        <v>237246</v>
      </c>
      <c r="B278" s="3" t="str">
        <f ca="1">IFERROR(__xludf.DUMMYFUNCTION("""COMPUTED_VALUE"""),"TRẦN HƯƠNG QUỲNH")</f>
        <v>TRẦN HƯƠNG QUỲNH</v>
      </c>
      <c r="C278" s="160" t="str">
        <f ca="1">IFERROR(__xludf.DUMMYFUNCTION("""COMPUTED_VALUE"""),"EL026")</f>
        <v>EL026</v>
      </c>
      <c r="D278" s="160" t="str">
        <f ca="1">IFERROR(__xludf.DUMMYFUNCTION("""COMPUTED_VALUE"""),"My Tran")</f>
        <v>My Tran</v>
      </c>
      <c r="E278" s="3" t="str">
        <f ca="1">IFERROR(__xludf.DUMMYFUNCTION("""COMPUTED_VALUE"""),"Communication 1")</f>
        <v>Communication 1</v>
      </c>
      <c r="F278" s="3" t="str">
        <f ca="1">IFERROR(__xludf.DUMMYFUNCTION("""COMPUTED_VALUE"""),"Beginner")</f>
        <v>Beginner</v>
      </c>
      <c r="G278" s="3" t="str">
        <f ca="1">IFERROR(__xludf.DUMMYFUNCTION("""COMPUTED_VALUE"""),"Pre-Intermediate 2")</f>
        <v>Pre-Intermediate 2</v>
      </c>
      <c r="H278" s="156">
        <f ca="1">IFERROR(__xludf.DUMMYFUNCTION("""COMPUTED_VALUE"""),45763.5416666666)</f>
        <v>45763.541666666599</v>
      </c>
      <c r="I278" s="156">
        <f ca="1">IFERROR(__xludf.DUMMYFUNCTION("""COMPUTED_VALUE"""),45763.5416666666)</f>
        <v>45763.541666666599</v>
      </c>
      <c r="J278" s="3">
        <f ca="1">IFERROR(__xludf.DUMMYFUNCTION("""COMPUTED_VALUE"""),1)</f>
        <v>1</v>
      </c>
      <c r="K278" s="3">
        <f ca="1">IFERROR(__xludf.DUMMYFUNCTION("""COMPUTED_VALUE"""),3.5)</f>
        <v>3.5</v>
      </c>
      <c r="L278" s="3" t="str">
        <f ca="1">IFERROR(__xludf.DUMMYFUNCTION("""COMPUTED_VALUE"""),"QC")</f>
        <v>QC</v>
      </c>
      <c r="M278" s="3" t="str">
        <f ca="1">IFERROR(__xludf.DUMMYFUNCTION("""COMPUTED_VALUE"""),"LBU")</f>
        <v>LBU</v>
      </c>
      <c r="N278" s="157">
        <f ca="1">IFERROR(__xludf.DUMMYFUNCTION("""COMPUTED_VALUE"""),1)</f>
        <v>1</v>
      </c>
      <c r="O278" s="157">
        <f ca="1">IFERROR(__xludf.DUMMYFUNCTION("""COMPUTED_VALUE"""),3.5)</f>
        <v>3.5</v>
      </c>
      <c r="P278" s="157"/>
      <c r="Q278" s="3">
        <f t="shared" ca="1" si="4"/>
        <v>277</v>
      </c>
      <c r="R278" s="148" t="e">
        <f ca="1"/>
        <v>#NAME?</v>
      </c>
      <c r="S278" s="147" t="e">
        <f t="shared" ca="1" si="5"/>
        <v>#NAME?</v>
      </c>
      <c r="T278" s="147" t="e">
        <f t="shared" ca="1" si="6"/>
        <v>#NAME?</v>
      </c>
      <c r="U278" s="147" t="e">
        <f t="shared" ca="1" si="8"/>
        <v>#NAME?</v>
      </c>
      <c r="X278" s="147"/>
      <c r="Y278" s="147"/>
      <c r="Z278" s="147"/>
      <c r="AA278" s="147"/>
      <c r="AB278" s="147"/>
      <c r="AC278" s="147"/>
      <c r="AD278" s="147"/>
      <c r="AE278" s="147"/>
      <c r="AF278" s="147"/>
      <c r="AG278" s="147"/>
      <c r="AH278" s="147"/>
      <c r="AI278" s="147"/>
      <c r="AJ278" s="147"/>
      <c r="AK278" s="147"/>
      <c r="AL278" s="147"/>
      <c r="AM278" s="147"/>
      <c r="AN278" s="147"/>
      <c r="AO278" s="147"/>
      <c r="AP278" s="147"/>
      <c r="AQ278" s="147"/>
    </row>
    <row r="279" spans="1:43">
      <c r="A279" s="160" t="str">
        <f ca="1">IFERROR(__xludf.DUMMYFUNCTION("""COMPUTED_VALUE"""),"237245")</f>
        <v>237245</v>
      </c>
      <c r="B279" s="3" t="str">
        <f ca="1">IFERROR(__xludf.DUMMYFUNCTION("""COMPUTED_VALUE"""),"TỪ NGUYỄN MINH NHẬT")</f>
        <v>TỪ NGUYỄN MINH NHẬT</v>
      </c>
      <c r="C279" s="160" t="str">
        <f ca="1">IFERROR(__xludf.DUMMYFUNCTION("""COMPUTED_VALUE"""),"EL026")</f>
        <v>EL026</v>
      </c>
      <c r="D279" s="160" t="str">
        <f ca="1">IFERROR(__xludf.DUMMYFUNCTION("""COMPUTED_VALUE"""),"My Tran")</f>
        <v>My Tran</v>
      </c>
      <c r="E279" s="3" t="str">
        <f ca="1">IFERROR(__xludf.DUMMYFUNCTION("""COMPUTED_VALUE"""),"Communication 1")</f>
        <v>Communication 1</v>
      </c>
      <c r="F279" s="3" t="str">
        <f ca="1">IFERROR(__xludf.DUMMYFUNCTION("""COMPUTED_VALUE"""),"Beginner")</f>
        <v>Beginner</v>
      </c>
      <c r="G279" s="3" t="str">
        <f ca="1">IFERROR(__xludf.DUMMYFUNCTION("""COMPUTED_VALUE"""),"Beginner")</f>
        <v>Beginner</v>
      </c>
      <c r="H279" s="156">
        <f ca="1">IFERROR(__xludf.DUMMYFUNCTION("""COMPUTED_VALUE"""),45763.5416666666)</f>
        <v>45763.541666666599</v>
      </c>
      <c r="I279" s="156">
        <f ca="1">IFERROR(__xludf.DUMMYFUNCTION("""COMPUTED_VALUE"""),45763.5416666666)</f>
        <v>45763.541666666599</v>
      </c>
      <c r="J279" s="3">
        <f ca="1">IFERROR(__xludf.DUMMYFUNCTION("""COMPUTED_VALUE"""),1)</f>
        <v>1</v>
      </c>
      <c r="K279" s="3">
        <f ca="1">IFERROR(__xludf.DUMMYFUNCTION("""COMPUTED_VALUE"""),1)</f>
        <v>1</v>
      </c>
      <c r="L279" s="3" t="str">
        <f ca="1">IFERROR(__xludf.DUMMYFUNCTION("""COMPUTED_VALUE"""),"DEV")</f>
        <v>DEV</v>
      </c>
      <c r="M279" s="3" t="str">
        <f ca="1">IFERROR(__xludf.DUMMYFUNCTION("""COMPUTED_VALUE"""),"LBU")</f>
        <v>LBU</v>
      </c>
      <c r="N279" s="157">
        <f ca="1">IFERROR(__xludf.DUMMYFUNCTION("""COMPUTED_VALUE"""),1)</f>
        <v>1</v>
      </c>
      <c r="O279" s="157">
        <f ca="1">IFERROR(__xludf.DUMMYFUNCTION("""COMPUTED_VALUE"""),1.5)</f>
        <v>1.5</v>
      </c>
      <c r="P279" s="157"/>
      <c r="Q279" s="3">
        <f t="shared" ca="1" si="4"/>
        <v>278</v>
      </c>
      <c r="R279" s="148" t="e">
        <f ca="1"/>
        <v>#NAME?</v>
      </c>
      <c r="S279" s="147" t="e">
        <f t="shared" ca="1" si="5"/>
        <v>#NAME?</v>
      </c>
      <c r="T279" s="147" t="e">
        <f t="shared" ca="1" si="6"/>
        <v>#NAME?</v>
      </c>
      <c r="U279" s="147" t="e">
        <f t="shared" ca="1" si="8"/>
        <v>#NAME?</v>
      </c>
      <c r="X279" s="147"/>
      <c r="Y279" s="147"/>
      <c r="Z279" s="147"/>
      <c r="AA279" s="147"/>
      <c r="AB279" s="147"/>
      <c r="AC279" s="147"/>
      <c r="AD279" s="147"/>
      <c r="AE279" s="147"/>
      <c r="AF279" s="147"/>
      <c r="AG279" s="147"/>
      <c r="AH279" s="147"/>
      <c r="AI279" s="147"/>
      <c r="AJ279" s="147"/>
      <c r="AK279" s="147"/>
      <c r="AL279" s="147"/>
      <c r="AM279" s="147"/>
      <c r="AN279" s="147"/>
      <c r="AO279" s="147"/>
      <c r="AP279" s="147"/>
      <c r="AQ279" s="147"/>
    </row>
    <row r="280" spans="1:43">
      <c r="A280" s="160" t="str">
        <f ca="1">IFERROR(__xludf.DUMMYFUNCTION("""COMPUTED_VALUE"""),"227188")</f>
        <v>227188</v>
      </c>
      <c r="B280" s="3" t="str">
        <f ca="1">IFERROR(__xludf.DUMMYFUNCTION("""COMPUTED_VALUE"""),"VÕ THỊ TUYẾT HỒNG")</f>
        <v>VÕ THỊ TUYẾT HỒNG</v>
      </c>
      <c r="C280" s="160" t="str">
        <f ca="1">IFERROR(__xludf.DUMMYFUNCTION("""COMPUTED_VALUE"""),"EL026")</f>
        <v>EL026</v>
      </c>
      <c r="D280" s="160" t="str">
        <f ca="1">IFERROR(__xludf.DUMMYFUNCTION("""COMPUTED_VALUE"""),"My Tran")</f>
        <v>My Tran</v>
      </c>
      <c r="E280" s="3" t="str">
        <f ca="1">IFERROR(__xludf.DUMMYFUNCTION("""COMPUTED_VALUE"""),"Communication 1")</f>
        <v>Communication 1</v>
      </c>
      <c r="F280" s="3" t="str">
        <f ca="1">IFERROR(__xludf.DUMMYFUNCTION("""COMPUTED_VALUE"""),"Beginner")</f>
        <v>Beginner</v>
      </c>
      <c r="G280" s="3" t="str">
        <f ca="1">IFERROR(__xludf.DUMMYFUNCTION("""COMPUTED_VALUE"""),"Beginner")</f>
        <v>Beginner</v>
      </c>
      <c r="H280" s="156">
        <f ca="1">IFERROR(__xludf.DUMMYFUNCTION("""COMPUTED_VALUE"""),45763.5416666666)</f>
        <v>45763.541666666599</v>
      </c>
      <c r="I280" s="156">
        <f ca="1">IFERROR(__xludf.DUMMYFUNCTION("""COMPUTED_VALUE"""),45763.5416666666)</f>
        <v>45763.541666666599</v>
      </c>
      <c r="J280" s="3">
        <f ca="1">IFERROR(__xludf.DUMMYFUNCTION("""COMPUTED_VALUE"""),1)</f>
        <v>1</v>
      </c>
      <c r="K280" s="3">
        <f ca="1">IFERROR(__xludf.DUMMYFUNCTION("""COMPUTED_VALUE"""),1)</f>
        <v>1</v>
      </c>
      <c r="L280" s="3" t="str">
        <f ca="1">IFERROR(__xludf.DUMMYFUNCTION("""COMPUTED_VALUE"""),"DEV")</f>
        <v>DEV</v>
      </c>
      <c r="M280" s="3" t="str">
        <f ca="1">IFERROR(__xludf.DUMMYFUNCTION("""COMPUTED_VALUE"""),"LBU")</f>
        <v>LBU</v>
      </c>
      <c r="N280" s="157">
        <f ca="1">IFERROR(__xludf.DUMMYFUNCTION("""COMPUTED_VALUE"""),1)</f>
        <v>1</v>
      </c>
      <c r="O280" s="157">
        <f ca="1">IFERROR(__xludf.DUMMYFUNCTION("""COMPUTED_VALUE"""),3.5)</f>
        <v>3.5</v>
      </c>
      <c r="P280" s="157"/>
      <c r="Q280" s="3">
        <f t="shared" ca="1" si="4"/>
        <v>279</v>
      </c>
      <c r="R280" s="148" t="e">
        <f ca="1"/>
        <v>#NAME?</v>
      </c>
      <c r="S280" s="147" t="e">
        <f t="shared" ca="1" si="5"/>
        <v>#NAME?</v>
      </c>
      <c r="T280" s="147" t="e">
        <f t="shared" ca="1" si="6"/>
        <v>#NAME?</v>
      </c>
      <c r="U280" s="147" t="e">
        <f t="shared" ca="1" si="8"/>
        <v>#NAME?</v>
      </c>
      <c r="X280" s="147"/>
      <c r="Y280" s="147"/>
      <c r="Z280" s="147"/>
      <c r="AA280" s="147"/>
      <c r="AB280" s="147"/>
      <c r="AC280" s="147"/>
      <c r="AD280" s="147"/>
      <c r="AE280" s="147"/>
      <c r="AF280" s="147"/>
      <c r="AG280" s="147"/>
      <c r="AH280" s="147"/>
      <c r="AI280" s="147"/>
      <c r="AJ280" s="147"/>
      <c r="AK280" s="147"/>
      <c r="AL280" s="147"/>
      <c r="AM280" s="147"/>
      <c r="AN280" s="147"/>
      <c r="AO280" s="147"/>
      <c r="AP280" s="147"/>
      <c r="AQ280" s="147"/>
    </row>
    <row r="281" spans="1:43">
      <c r="A281" s="160" t="str">
        <f ca="1">IFERROR(__xludf.DUMMYFUNCTION("""COMPUTED_VALUE"""),"247359")</f>
        <v>247359</v>
      </c>
      <c r="B281" s="3" t="str">
        <f ca="1">IFERROR(__xludf.DUMMYFUNCTION("""COMPUTED_VALUE"""),"HỒ HUỲNH THÔNG")</f>
        <v>HỒ HUỲNH THÔNG</v>
      </c>
      <c r="C281" s="160" t="str">
        <f ca="1">IFERROR(__xludf.DUMMYFUNCTION("""COMPUTED_VALUE"""),"EL026")</f>
        <v>EL026</v>
      </c>
      <c r="D281" s="160" t="str">
        <f ca="1">IFERROR(__xludf.DUMMYFUNCTION("""COMPUTED_VALUE"""),"My Tran")</f>
        <v>My Tran</v>
      </c>
      <c r="E281" s="3" t="str">
        <f ca="1">IFERROR(__xludf.DUMMYFUNCTION("""COMPUTED_VALUE"""),"Communication 2")</f>
        <v>Communication 2</v>
      </c>
      <c r="F281" s="3" t="str">
        <f ca="1">IFERROR(__xludf.DUMMYFUNCTION("""COMPUTED_VALUE"""),"Pre-Intermediate")</f>
        <v>Pre-Intermediate</v>
      </c>
      <c r="G281" s="3" t="str">
        <f ca="1">IFERROR(__xludf.DUMMYFUNCTION("""COMPUTED_VALUE"""),"Pre-Intermediate 1")</f>
        <v>Pre-Intermediate 1</v>
      </c>
      <c r="H281" s="156">
        <f ca="1">IFERROR(__xludf.DUMMYFUNCTION("""COMPUTED_VALUE"""),45895.5833333333)</f>
        <v>45895.583333333299</v>
      </c>
      <c r="I281" s="156">
        <f ca="1">IFERROR(__xludf.DUMMYFUNCTION("""COMPUTED_VALUE"""),45763.5416666666)</f>
        <v>45763.541666666599</v>
      </c>
      <c r="J281" s="3">
        <f ca="1">IFERROR(__xludf.DUMMYFUNCTION("""COMPUTED_VALUE"""),2.5)</f>
        <v>2.5</v>
      </c>
      <c r="K281" s="3">
        <f ca="1">IFERROR(__xludf.DUMMYFUNCTION("""COMPUTED_VALUE"""),3)</f>
        <v>3</v>
      </c>
      <c r="L281" s="3" t="str">
        <f ca="1">IFERROR(__xludf.DUMMYFUNCTION("""COMPUTED_VALUE"""),"DEV")</f>
        <v>DEV</v>
      </c>
      <c r="M281" s="3" t="str">
        <f ca="1">IFERROR(__xludf.DUMMYFUNCTION("""COMPUTED_VALUE"""),"LBU")</f>
        <v>LBU</v>
      </c>
      <c r="N281" s="157">
        <f ca="1">IFERROR(__xludf.DUMMYFUNCTION("""COMPUTED_VALUE"""),2.5)</f>
        <v>2.5</v>
      </c>
      <c r="O281" s="157">
        <f ca="1">IFERROR(__xludf.DUMMYFUNCTION("""COMPUTED_VALUE"""),3)</f>
        <v>3</v>
      </c>
      <c r="P281" s="157"/>
      <c r="Q281" s="3">
        <f t="shared" ca="1" si="4"/>
        <v>280</v>
      </c>
      <c r="R281" s="148" t="e">
        <f ca="1"/>
        <v>#NAME?</v>
      </c>
      <c r="S281" s="147" t="e">
        <f t="shared" ca="1" si="5"/>
        <v>#NAME?</v>
      </c>
      <c r="T281" s="147" t="e">
        <f t="shared" ca="1" si="6"/>
        <v>#NAME?</v>
      </c>
      <c r="U281" s="147" t="e">
        <f t="shared" ca="1" si="8"/>
        <v>#NAME?</v>
      </c>
      <c r="X281" s="147"/>
      <c r="Y281" s="147"/>
      <c r="Z281" s="147"/>
      <c r="AA281" s="147"/>
      <c r="AB281" s="147"/>
      <c r="AC281" s="147"/>
      <c r="AD281" s="147"/>
      <c r="AE281" s="147"/>
      <c r="AF281" s="147"/>
      <c r="AG281" s="147"/>
      <c r="AH281" s="147"/>
      <c r="AI281" s="147"/>
      <c r="AJ281" s="147"/>
      <c r="AK281" s="147"/>
      <c r="AL281" s="147"/>
      <c r="AM281" s="147"/>
      <c r="AN281" s="147"/>
      <c r="AO281" s="147"/>
      <c r="AP281" s="147"/>
      <c r="AQ281" s="147"/>
    </row>
    <row r="282" spans="1:43">
      <c r="A282" s="155" t="str">
        <f ca="1">IFERROR(__xludf.DUMMYFUNCTION("""COMPUTED_VALUE"""),"227144")</f>
        <v>227144</v>
      </c>
      <c r="B282" s="154" t="str">
        <f ca="1">IFERROR(__xludf.DUMMYFUNCTION("""COMPUTED_VALUE"""),"TRẦN THỊ HOÀN MỸ")</f>
        <v>TRẦN THỊ HOÀN MỸ</v>
      </c>
      <c r="C282" s="155" t="str">
        <f ca="1">IFERROR(__xludf.DUMMYFUNCTION("""COMPUTED_VALUE"""),"EL026")</f>
        <v>EL026</v>
      </c>
      <c r="D282" s="155" t="str">
        <f ca="1">IFERROR(__xludf.DUMMYFUNCTION("""COMPUTED_VALUE"""),"My Tran")</f>
        <v>My Tran</v>
      </c>
      <c r="E282" s="154" t="str">
        <f ca="1">IFERROR(__xludf.DUMMYFUNCTION("""COMPUTED_VALUE"""),"Communication 2")</f>
        <v>Communication 2</v>
      </c>
      <c r="F282" s="3" t="str">
        <f ca="1">IFERROR(__xludf.DUMMYFUNCTION("""COMPUTED_VALUE"""),"Pre-Intermediate 1")</f>
        <v>Pre-Intermediate 1</v>
      </c>
      <c r="G282" s="3"/>
      <c r="H282" s="156">
        <f ca="1">IFERROR(__xludf.DUMMYFUNCTION("""COMPUTED_VALUE"""),45895.5833333333)</f>
        <v>45895.583333333299</v>
      </c>
      <c r="I282" s="156">
        <f ca="1">IFERROR(__xludf.DUMMYFUNCTION("""COMPUTED_VALUE"""),45763.5416666666)</f>
        <v>45763.541666666599</v>
      </c>
      <c r="J282" s="3">
        <f ca="1">IFERROR(__xludf.DUMMYFUNCTION("""COMPUTED_VALUE"""),3)</f>
        <v>3</v>
      </c>
      <c r="K282" s="3" t="str">
        <f ca="1">IFERROR(__xludf.DUMMYFUNCTION("""COMPUTED_VALUE"""),"")</f>
        <v/>
      </c>
      <c r="L282" s="3" t="str">
        <f ca="1">IFERROR(__xludf.DUMMYFUNCTION("""COMPUTED_VALUE"""),"QC")</f>
        <v>QC</v>
      </c>
      <c r="M282" s="3" t="str">
        <f ca="1">IFERROR(__xludf.DUMMYFUNCTION("""COMPUTED_VALUE"""),"LBU")</f>
        <v>LBU</v>
      </c>
      <c r="N282" s="157">
        <f ca="1">IFERROR(__xludf.DUMMYFUNCTION("""COMPUTED_VALUE"""),1)</f>
        <v>1</v>
      </c>
      <c r="O282" s="157">
        <f ca="1">IFERROR(__xludf.DUMMYFUNCTION("""COMPUTED_VALUE"""),3)</f>
        <v>3</v>
      </c>
      <c r="P282" s="157"/>
      <c r="Q282" s="3">
        <f t="shared" ca="1" si="4"/>
        <v>281</v>
      </c>
      <c r="R282" s="148" t="e">
        <f ca="1"/>
        <v>#NAME?</v>
      </c>
      <c r="S282" s="147" t="e">
        <f t="shared" ca="1" si="5"/>
        <v>#NAME?</v>
      </c>
      <c r="T282" s="147" t="e">
        <f t="shared" ca="1" si="6"/>
        <v>#NAME?</v>
      </c>
      <c r="U282" s="147" t="e">
        <f t="shared" ca="1" si="8"/>
        <v>#NAME?</v>
      </c>
      <c r="X282" s="147"/>
      <c r="Y282" s="147"/>
      <c r="Z282" s="147"/>
      <c r="AA282" s="147"/>
      <c r="AB282" s="147"/>
      <c r="AC282" s="147"/>
      <c r="AD282" s="147"/>
      <c r="AE282" s="147"/>
      <c r="AF282" s="147"/>
      <c r="AG282" s="147"/>
      <c r="AH282" s="147"/>
      <c r="AI282" s="147"/>
      <c r="AJ282" s="147"/>
      <c r="AK282" s="147"/>
      <c r="AL282" s="147"/>
      <c r="AM282" s="147"/>
      <c r="AN282" s="147"/>
      <c r="AO282" s="147"/>
      <c r="AP282" s="147"/>
      <c r="AQ282" s="147"/>
    </row>
    <row r="283" spans="1:43">
      <c r="A283" s="160" t="str">
        <f ca="1">IFERROR(__xludf.DUMMYFUNCTION("""COMPUTED_VALUE"""),"237043")</f>
        <v>237043</v>
      </c>
      <c r="B283" s="3" t="str">
        <f ca="1">IFERROR(__xludf.DUMMYFUNCTION("""COMPUTED_VALUE"""),"HUỲNH BỬU BỬU")</f>
        <v>HUỲNH BỬU BỬU</v>
      </c>
      <c r="C283" s="160" t="str">
        <f ca="1">IFERROR(__xludf.DUMMYFUNCTION("""COMPUTED_VALUE"""),"EL026")</f>
        <v>EL026</v>
      </c>
      <c r="D283" s="160" t="str">
        <f ca="1">IFERROR(__xludf.DUMMYFUNCTION("""COMPUTED_VALUE"""),"My Tran")</f>
        <v>My Tran</v>
      </c>
      <c r="E283" s="3" t="str">
        <f ca="1">IFERROR(__xludf.DUMMYFUNCTION("""COMPUTED_VALUE"""),"Communication 2")</f>
        <v>Communication 2</v>
      </c>
      <c r="F283" s="3" t="str">
        <f ca="1">IFERROR(__xludf.DUMMYFUNCTION("""COMPUTED_VALUE"""),"Pre-Intermediate 1")</f>
        <v>Pre-Intermediate 1</v>
      </c>
      <c r="G283" s="3"/>
      <c r="H283" s="156">
        <f ca="1">IFERROR(__xludf.DUMMYFUNCTION("""COMPUTED_VALUE"""),45895.5833333333)</f>
        <v>45895.583333333299</v>
      </c>
      <c r="I283" s="156">
        <f ca="1">IFERROR(__xludf.DUMMYFUNCTION("""COMPUTED_VALUE"""),45639.4166666666)</f>
        <v>45639.416666666599</v>
      </c>
      <c r="J283" s="3">
        <f ca="1">IFERROR(__xludf.DUMMYFUNCTION("""COMPUTED_VALUE"""),3)</f>
        <v>3</v>
      </c>
      <c r="K283" s="3" t="str">
        <f ca="1">IFERROR(__xludf.DUMMYFUNCTION("""COMPUTED_VALUE"""),"")</f>
        <v/>
      </c>
      <c r="L283" s="3" t="str">
        <f ca="1">IFERROR(__xludf.DUMMYFUNCTION("""COMPUTED_VALUE"""),"DEV")</f>
        <v>DEV</v>
      </c>
      <c r="M283" s="3" t="str">
        <f ca="1">IFERROR(__xludf.DUMMYFUNCTION("""COMPUTED_VALUE"""),"LBU")</f>
        <v>LBU</v>
      </c>
      <c r="N283" s="157">
        <f ca="1">IFERROR(__xludf.DUMMYFUNCTION("""COMPUTED_VALUE"""),1)</f>
        <v>1</v>
      </c>
      <c r="O283" s="157">
        <f ca="1">IFERROR(__xludf.DUMMYFUNCTION("""COMPUTED_VALUE"""),3)</f>
        <v>3</v>
      </c>
      <c r="P283" s="157"/>
      <c r="Q283" s="3">
        <f t="shared" ca="1" si="4"/>
        <v>282</v>
      </c>
      <c r="R283" s="148" t="e">
        <f ca="1"/>
        <v>#NAME?</v>
      </c>
      <c r="S283" s="147" t="e">
        <f t="shared" ca="1" si="5"/>
        <v>#NAME?</v>
      </c>
      <c r="T283" s="147" t="e">
        <f t="shared" ca="1" si="6"/>
        <v>#NAME?</v>
      </c>
      <c r="U283" s="147" t="e">
        <f t="shared" ca="1" si="8"/>
        <v>#NAME?</v>
      </c>
      <c r="X283" s="147"/>
      <c r="Y283" s="147"/>
      <c r="Z283" s="147"/>
      <c r="AA283" s="147"/>
      <c r="AB283" s="147"/>
      <c r="AC283" s="147"/>
      <c r="AD283" s="147"/>
      <c r="AE283" s="147"/>
      <c r="AF283" s="147"/>
      <c r="AG283" s="147"/>
      <c r="AH283" s="147"/>
      <c r="AI283" s="147"/>
      <c r="AJ283" s="147"/>
      <c r="AK283" s="147"/>
      <c r="AL283" s="147"/>
      <c r="AM283" s="147"/>
      <c r="AN283" s="147"/>
      <c r="AO283" s="147"/>
      <c r="AP283" s="147"/>
      <c r="AQ283" s="147"/>
    </row>
    <row r="284" spans="1:43">
      <c r="A284" s="160" t="str">
        <f ca="1">IFERROR(__xludf.DUMMYFUNCTION("""COMPUTED_VALUE"""),"247298")</f>
        <v>247298</v>
      </c>
      <c r="B284" s="3" t="str">
        <f ca="1">IFERROR(__xludf.DUMMYFUNCTION("""COMPUTED_VALUE"""),"NGUYỄN LÊ KHOA")</f>
        <v>NGUYỄN LÊ KHOA</v>
      </c>
      <c r="C284" s="160" t="str">
        <f ca="1">IFERROR(__xludf.DUMMYFUNCTION("""COMPUTED_VALUE"""),"EL026")</f>
        <v>EL026</v>
      </c>
      <c r="D284" s="160" t="str">
        <f ca="1">IFERROR(__xludf.DUMMYFUNCTION("""COMPUTED_VALUE"""),"My Tran")</f>
        <v>My Tran</v>
      </c>
      <c r="E284" s="3" t="str">
        <f ca="1">IFERROR(__xludf.DUMMYFUNCTION("""COMPUTED_VALUE"""),"Communication 2")</f>
        <v>Communication 2</v>
      </c>
      <c r="F284" s="3" t="str">
        <f ca="1">IFERROR(__xludf.DUMMYFUNCTION("""COMPUTED_VALUE"""),"Pre-Intermediate 2")</f>
        <v>Pre-Intermediate 2</v>
      </c>
      <c r="G284" s="3"/>
      <c r="H284" s="156">
        <f ca="1">IFERROR(__xludf.DUMMYFUNCTION("""COMPUTED_VALUE"""),45895.5833333333)</f>
        <v>45895.583333333299</v>
      </c>
      <c r="I284" s="156">
        <f ca="1">IFERROR(__xludf.DUMMYFUNCTION("""COMPUTED_VALUE"""),45715.4583333333)</f>
        <v>45715.458333333299</v>
      </c>
      <c r="J284" s="3">
        <f ca="1">IFERROR(__xludf.DUMMYFUNCTION("""COMPUTED_VALUE"""),3.5)</f>
        <v>3.5</v>
      </c>
      <c r="K284" s="3" t="str">
        <f ca="1">IFERROR(__xludf.DUMMYFUNCTION("""COMPUTED_VALUE"""),"")</f>
        <v/>
      </c>
      <c r="L284" s="3" t="str">
        <f ca="1">IFERROR(__xludf.DUMMYFUNCTION("""COMPUTED_VALUE"""),"UI/UX")</f>
        <v>UI/UX</v>
      </c>
      <c r="M284" s="3" t="str">
        <f ca="1">IFERROR(__xludf.DUMMYFUNCTION("""COMPUTED_VALUE"""),"LBU")</f>
        <v>LBU</v>
      </c>
      <c r="N284" s="157">
        <f ca="1">IFERROR(__xludf.DUMMYFUNCTION("""COMPUTED_VALUE"""),2.5)</f>
        <v>2.5</v>
      </c>
      <c r="O284" s="157">
        <f ca="1">IFERROR(__xludf.DUMMYFUNCTION("""COMPUTED_VALUE"""),3.5)</f>
        <v>3.5</v>
      </c>
      <c r="P284" s="157"/>
      <c r="Q284" s="3">
        <f t="shared" ca="1" si="4"/>
        <v>283</v>
      </c>
      <c r="R284" s="148" t="e">
        <f ca="1"/>
        <v>#NAME?</v>
      </c>
      <c r="S284" s="147" t="e">
        <f t="shared" ca="1" si="5"/>
        <v>#NAME?</v>
      </c>
      <c r="T284" s="147" t="e">
        <f t="shared" ca="1" si="6"/>
        <v>#NAME?</v>
      </c>
      <c r="U284" s="147" t="e">
        <f t="shared" ca="1" si="8"/>
        <v>#NAME?</v>
      </c>
      <c r="X284" s="147"/>
      <c r="Y284" s="147"/>
      <c r="Z284" s="147"/>
      <c r="AA284" s="147"/>
      <c r="AB284" s="147"/>
      <c r="AC284" s="147"/>
      <c r="AD284" s="147"/>
      <c r="AE284" s="147"/>
      <c r="AF284" s="147"/>
      <c r="AG284" s="147"/>
      <c r="AH284" s="147"/>
      <c r="AI284" s="147"/>
      <c r="AJ284" s="147"/>
      <c r="AK284" s="147"/>
      <c r="AL284" s="147"/>
      <c r="AM284" s="147"/>
      <c r="AN284" s="147"/>
      <c r="AO284" s="147"/>
      <c r="AP284" s="147"/>
      <c r="AQ284" s="147"/>
    </row>
    <row r="285" spans="1:43" ht="14.25" customHeight="1">
      <c r="A285" s="160" t="str">
        <f ca="1">IFERROR(__xludf.DUMMYFUNCTION("""COMPUTED_VALUE"""),"247405")</f>
        <v>247405</v>
      </c>
      <c r="B285" s="3" t="str">
        <f ca="1">IFERROR(__xludf.DUMMYFUNCTION("""COMPUTED_VALUE"""),"PHẠM LÊ HOÀI PHƯƠNG")</f>
        <v>PHẠM LÊ HOÀI PHƯƠNG</v>
      </c>
      <c r="C285" s="160" t="str">
        <f ca="1">IFERROR(__xludf.DUMMYFUNCTION("""COMPUTED_VALUE"""),"EL026")</f>
        <v>EL026</v>
      </c>
      <c r="D285" s="160" t="str">
        <f ca="1">IFERROR(__xludf.DUMMYFUNCTION("""COMPUTED_VALUE"""),"My Tran")</f>
        <v>My Tran</v>
      </c>
      <c r="E285" s="3" t="str">
        <f ca="1">IFERROR(__xludf.DUMMYFUNCTION("""COMPUTED_VALUE"""),"Communication 2")</f>
        <v>Communication 2</v>
      </c>
      <c r="F285" s="3" t="str">
        <f ca="1">IFERROR(__xludf.DUMMYFUNCTION("""COMPUTED_VALUE"""),"Pre-Intermediate 1")</f>
        <v>Pre-Intermediate 1</v>
      </c>
      <c r="G285" s="3"/>
      <c r="H285" s="156">
        <f ca="1">IFERROR(__xludf.DUMMYFUNCTION("""COMPUTED_VALUE"""),45895.5833333333)</f>
        <v>45895.583333333299</v>
      </c>
      <c r="I285" s="156">
        <f ca="1">IFERROR(__xludf.DUMMYFUNCTION("""COMPUTED_VALUE"""),45715.4583333333)</f>
        <v>45715.458333333299</v>
      </c>
      <c r="J285" s="3">
        <f ca="1">IFERROR(__xludf.DUMMYFUNCTION("""COMPUTED_VALUE"""),3)</f>
        <v>3</v>
      </c>
      <c r="K285" s="3" t="str">
        <f ca="1">IFERROR(__xludf.DUMMYFUNCTION("""COMPUTED_VALUE"""),"")</f>
        <v/>
      </c>
      <c r="L285" s="3" t="str">
        <f ca="1">IFERROR(__xludf.DUMMYFUNCTION("""COMPUTED_VALUE"""),"QC")</f>
        <v>QC</v>
      </c>
      <c r="M285" s="3" t="str">
        <f ca="1">IFERROR(__xludf.DUMMYFUNCTION("""COMPUTED_VALUE"""),"LBU")</f>
        <v>LBU</v>
      </c>
      <c r="N285" s="157">
        <f ca="1">IFERROR(__xludf.DUMMYFUNCTION("""COMPUTED_VALUE"""),1)</f>
        <v>1</v>
      </c>
      <c r="O285" s="157">
        <f ca="1">IFERROR(__xludf.DUMMYFUNCTION("""COMPUTED_VALUE"""),3)</f>
        <v>3</v>
      </c>
      <c r="P285" s="157"/>
      <c r="Q285" s="3">
        <f t="shared" ca="1" si="4"/>
        <v>284</v>
      </c>
      <c r="R285" s="148" t="e">
        <f ca="1"/>
        <v>#NAME?</v>
      </c>
      <c r="S285" s="147" t="e">
        <f t="shared" ca="1" si="5"/>
        <v>#NAME?</v>
      </c>
      <c r="T285" s="147" t="e">
        <f t="shared" ca="1" si="6"/>
        <v>#NAME?</v>
      </c>
      <c r="U285" s="147" t="e">
        <f t="shared" ca="1" si="8"/>
        <v>#NAME?</v>
      </c>
      <c r="X285" s="147"/>
      <c r="Y285" s="147"/>
      <c r="Z285" s="147"/>
      <c r="AA285" s="147"/>
      <c r="AB285" s="147"/>
      <c r="AC285" s="147"/>
      <c r="AD285" s="147"/>
      <c r="AE285" s="147"/>
      <c r="AF285" s="147"/>
      <c r="AG285" s="147"/>
      <c r="AH285" s="147"/>
      <c r="AI285" s="147"/>
      <c r="AJ285" s="147"/>
      <c r="AK285" s="147"/>
      <c r="AL285" s="147"/>
      <c r="AM285" s="147"/>
      <c r="AN285" s="147"/>
      <c r="AO285" s="147"/>
      <c r="AP285" s="147"/>
      <c r="AQ285" s="147"/>
    </row>
    <row r="286" spans="1:43">
      <c r="A286" s="160" t="str">
        <f ca="1">IFERROR(__xludf.DUMMYFUNCTION("""COMPUTED_VALUE"""),"227069")</f>
        <v>227069</v>
      </c>
      <c r="B286" s="3" t="str">
        <f ca="1">IFERROR(__xludf.DUMMYFUNCTION("""COMPUTED_VALUE"""),"TÔ PHƯỚC THÁI")</f>
        <v>TÔ PHƯỚC THÁI</v>
      </c>
      <c r="C286" s="160" t="str">
        <f ca="1">IFERROR(__xludf.DUMMYFUNCTION("""COMPUTED_VALUE"""),"EL026")</f>
        <v>EL026</v>
      </c>
      <c r="D286" s="160" t="str">
        <f ca="1">IFERROR(__xludf.DUMMYFUNCTION("""COMPUTED_VALUE"""),"My Tran")</f>
        <v>My Tran</v>
      </c>
      <c r="E286" s="3" t="str">
        <f ca="1">IFERROR(__xludf.DUMMYFUNCTION("""COMPUTED_VALUE"""),"Communication 2")</f>
        <v>Communication 2</v>
      </c>
      <c r="F286" s="3" t="str">
        <f ca="1">IFERROR(__xludf.DUMMYFUNCTION("""COMPUTED_VALUE"""),"Beginner")</f>
        <v>Beginner</v>
      </c>
      <c r="G286" s="3"/>
      <c r="H286" s="156">
        <f ca="1">IFERROR(__xludf.DUMMYFUNCTION("""COMPUTED_VALUE"""),45895.5833333333)</f>
        <v>45895.583333333299</v>
      </c>
      <c r="I286" s="156">
        <f ca="1">IFERROR(__xludf.DUMMYFUNCTION("""COMPUTED_VALUE"""),45763.5416666666)</f>
        <v>45763.541666666599</v>
      </c>
      <c r="J286" s="3">
        <f ca="1">IFERROR(__xludf.DUMMYFUNCTION("""COMPUTED_VALUE"""),1)</f>
        <v>1</v>
      </c>
      <c r="K286" s="3" t="str">
        <f ca="1">IFERROR(__xludf.DUMMYFUNCTION("""COMPUTED_VALUE"""),"")</f>
        <v/>
      </c>
      <c r="L286" s="3" t="str">
        <f ca="1">IFERROR(__xludf.DUMMYFUNCTION("""COMPUTED_VALUE"""),"DEV")</f>
        <v>DEV</v>
      </c>
      <c r="M286" s="3" t="str">
        <f ca="1">IFERROR(__xludf.DUMMYFUNCTION("""COMPUTED_VALUE"""),"LBU")</f>
        <v>LBU</v>
      </c>
      <c r="N286" s="157">
        <f ca="1">IFERROR(__xludf.DUMMYFUNCTION("""COMPUTED_VALUE"""),1)</f>
        <v>1</v>
      </c>
      <c r="O286" s="157">
        <f ca="1">IFERROR(__xludf.DUMMYFUNCTION("""COMPUTED_VALUE"""),1)</f>
        <v>1</v>
      </c>
      <c r="P286" s="157"/>
      <c r="Q286" s="3">
        <f t="shared" ca="1" si="4"/>
        <v>285</v>
      </c>
      <c r="R286" s="148" t="e">
        <f ca="1"/>
        <v>#NAME?</v>
      </c>
      <c r="S286" s="147" t="e">
        <f t="shared" ca="1" si="5"/>
        <v>#NAME?</v>
      </c>
      <c r="T286" s="147" t="e">
        <f t="shared" ca="1" si="6"/>
        <v>#NAME?</v>
      </c>
      <c r="U286" s="147" t="e">
        <f t="shared" ca="1" si="8"/>
        <v>#NAME?</v>
      </c>
      <c r="X286" s="147"/>
      <c r="Y286" s="147"/>
      <c r="Z286" s="147"/>
      <c r="AA286" s="147"/>
      <c r="AB286" s="147"/>
      <c r="AC286" s="147"/>
      <c r="AD286" s="147"/>
      <c r="AE286" s="147"/>
      <c r="AF286" s="147"/>
      <c r="AG286" s="147"/>
      <c r="AH286" s="147"/>
      <c r="AI286" s="147"/>
      <c r="AJ286" s="147"/>
      <c r="AK286" s="147"/>
      <c r="AL286" s="147"/>
      <c r="AM286" s="147"/>
      <c r="AN286" s="147"/>
      <c r="AO286" s="147"/>
      <c r="AP286" s="147"/>
      <c r="AQ286" s="147"/>
    </row>
    <row r="287" spans="1:43">
      <c r="A287" s="160" t="str">
        <f ca="1">IFERROR(__xludf.DUMMYFUNCTION("""COMPUTED_VALUE"""),"237246")</f>
        <v>237246</v>
      </c>
      <c r="B287" s="3" t="str">
        <f ca="1">IFERROR(__xludf.DUMMYFUNCTION("""COMPUTED_VALUE"""),"TRẦN HƯƠNG QUỲNH")</f>
        <v>TRẦN HƯƠNG QUỲNH</v>
      </c>
      <c r="C287" s="160" t="str">
        <f ca="1">IFERROR(__xludf.DUMMYFUNCTION("""COMPUTED_VALUE"""),"EL026")</f>
        <v>EL026</v>
      </c>
      <c r="D287" s="160" t="str">
        <f ca="1">IFERROR(__xludf.DUMMYFUNCTION("""COMPUTED_VALUE"""),"My Tran")</f>
        <v>My Tran</v>
      </c>
      <c r="E287" s="3" t="str">
        <f ca="1">IFERROR(__xludf.DUMMYFUNCTION("""COMPUTED_VALUE"""),"Communication 2")</f>
        <v>Communication 2</v>
      </c>
      <c r="F287" s="3" t="str">
        <f ca="1">IFERROR(__xludf.DUMMYFUNCTION("""COMPUTED_VALUE"""),"Pre-Intermediate 2")</f>
        <v>Pre-Intermediate 2</v>
      </c>
      <c r="G287" s="3"/>
      <c r="H287" s="156">
        <f ca="1">IFERROR(__xludf.DUMMYFUNCTION("""COMPUTED_VALUE"""),45895.5833333333)</f>
        <v>45895.583333333299</v>
      </c>
      <c r="I287" s="156">
        <f ca="1">IFERROR(__xludf.DUMMYFUNCTION("""COMPUTED_VALUE"""),45763.5416666666)</f>
        <v>45763.541666666599</v>
      </c>
      <c r="J287" s="3">
        <f ca="1">IFERROR(__xludf.DUMMYFUNCTION("""COMPUTED_VALUE"""),3.5)</f>
        <v>3.5</v>
      </c>
      <c r="K287" s="3" t="str">
        <f ca="1">IFERROR(__xludf.DUMMYFUNCTION("""COMPUTED_VALUE"""),"")</f>
        <v/>
      </c>
      <c r="L287" s="3" t="str">
        <f ca="1">IFERROR(__xludf.DUMMYFUNCTION("""COMPUTED_VALUE"""),"QC")</f>
        <v>QC</v>
      </c>
      <c r="M287" s="3" t="str">
        <f ca="1">IFERROR(__xludf.DUMMYFUNCTION("""COMPUTED_VALUE"""),"LBU")</f>
        <v>LBU</v>
      </c>
      <c r="N287" s="157">
        <f ca="1">IFERROR(__xludf.DUMMYFUNCTION("""COMPUTED_VALUE"""),1)</f>
        <v>1</v>
      </c>
      <c r="O287" s="157">
        <f ca="1">IFERROR(__xludf.DUMMYFUNCTION("""COMPUTED_VALUE"""),3.5)</f>
        <v>3.5</v>
      </c>
      <c r="P287" s="157"/>
      <c r="Q287" s="3">
        <f t="shared" ca="1" si="4"/>
        <v>286</v>
      </c>
      <c r="R287" s="148" t="e">
        <f ca="1"/>
        <v>#NAME?</v>
      </c>
      <c r="S287" s="147" t="e">
        <f t="shared" ca="1" si="5"/>
        <v>#NAME?</v>
      </c>
      <c r="T287" s="147" t="e">
        <f t="shared" ca="1" si="6"/>
        <v>#NAME?</v>
      </c>
      <c r="U287" s="147" t="e">
        <f t="shared" ca="1" si="8"/>
        <v>#NAME?</v>
      </c>
      <c r="X287" s="147"/>
      <c r="Y287" s="147"/>
      <c r="Z287" s="147"/>
      <c r="AA287" s="147"/>
      <c r="AB287" s="147"/>
      <c r="AC287" s="147"/>
      <c r="AD287" s="147"/>
      <c r="AE287" s="147"/>
      <c r="AF287" s="147"/>
      <c r="AG287" s="147"/>
      <c r="AH287" s="147"/>
      <c r="AI287" s="147"/>
      <c r="AJ287" s="147"/>
      <c r="AK287" s="147"/>
      <c r="AL287" s="147"/>
      <c r="AM287" s="147"/>
      <c r="AN287" s="147"/>
      <c r="AO287" s="147"/>
      <c r="AP287" s="147"/>
      <c r="AQ287" s="147"/>
    </row>
    <row r="288" spans="1:43">
      <c r="A288" s="155" t="str">
        <f ca="1">IFERROR(__xludf.DUMMYFUNCTION("""COMPUTED_VALUE"""),"227214")</f>
        <v>227214</v>
      </c>
      <c r="B288" s="154" t="str">
        <f ca="1">IFERROR(__xludf.DUMMYFUNCTION("""COMPUTED_VALUE"""),"NGUYỄN PHAN THẾ VINH")</f>
        <v>NGUYỄN PHAN THẾ VINH</v>
      </c>
      <c r="C288" s="155" t="str">
        <f ca="1">IFERROR(__xludf.DUMMYFUNCTION("""COMPUTED_VALUE"""),"EL027")</f>
        <v>EL027</v>
      </c>
      <c r="D288" s="155" t="str">
        <f ca="1">IFERROR(__xludf.DUMMYFUNCTION("""COMPUTED_VALUE"""),"Vinh Nguyen")</f>
        <v>Vinh Nguyen</v>
      </c>
      <c r="E288" s="154" t="str">
        <f ca="1">IFERROR(__xludf.DUMMYFUNCTION("""COMPUTED_VALUE"""),"Communication 1")</f>
        <v>Communication 1</v>
      </c>
      <c r="F288" s="3" t="str">
        <f ca="1">IFERROR(__xludf.DUMMYFUNCTION("""COMPUTED_VALUE"""),"Beginner")</f>
        <v>Beginner</v>
      </c>
      <c r="G288" s="3" t="str">
        <f ca="1">IFERROR(__xludf.DUMMYFUNCTION("""COMPUTED_VALUE"""),"Pre-Intermediate 1")</f>
        <v>Pre-Intermediate 1</v>
      </c>
      <c r="H288" s="156">
        <f ca="1">IFERROR(__xludf.DUMMYFUNCTION("""COMPUTED_VALUE"""),45715.5833333333)</f>
        <v>45715.583333333299</v>
      </c>
      <c r="I288" s="156">
        <f ca="1">IFERROR(__xludf.DUMMYFUNCTION("""COMPUTED_VALUE"""),45715.5833333333)</f>
        <v>45715.583333333299</v>
      </c>
      <c r="J288" s="3">
        <f ca="1">IFERROR(__xludf.DUMMYFUNCTION("""COMPUTED_VALUE"""),1)</f>
        <v>1</v>
      </c>
      <c r="K288" s="3">
        <f ca="1">IFERROR(__xludf.DUMMYFUNCTION("""COMPUTED_VALUE"""),3)</f>
        <v>3</v>
      </c>
      <c r="L288" s="3" t="str">
        <f ca="1">IFERROR(__xludf.DUMMYFUNCTION("""COMPUTED_VALUE"""),"GSD")</f>
        <v>GSD</v>
      </c>
      <c r="M288" s="3" t="str">
        <f ca="1">IFERROR(__xludf.DUMMYFUNCTION("""COMPUTED_VALUE"""),"LBU")</f>
        <v>LBU</v>
      </c>
      <c r="N288" s="157">
        <f ca="1">IFERROR(__xludf.DUMMYFUNCTION("""COMPUTED_VALUE"""),1)</f>
        <v>1</v>
      </c>
      <c r="O288" s="157">
        <f ca="1">IFERROR(__xludf.DUMMYFUNCTION("""COMPUTED_VALUE"""),3.5)</f>
        <v>3.5</v>
      </c>
      <c r="P288" s="157"/>
      <c r="Q288" s="3">
        <f t="shared" ca="1" si="4"/>
        <v>287</v>
      </c>
      <c r="R288" s="148" t="e">
        <f ca="1"/>
        <v>#NAME?</v>
      </c>
      <c r="S288" s="147" t="e">
        <f t="shared" ca="1" si="5"/>
        <v>#NAME?</v>
      </c>
      <c r="T288" s="147" t="e">
        <f t="shared" ca="1" si="6"/>
        <v>#NAME?</v>
      </c>
      <c r="U288" s="147" t="e">
        <f t="shared" ca="1" si="8"/>
        <v>#NAME?</v>
      </c>
      <c r="X288" s="147"/>
      <c r="Y288" s="147"/>
      <c r="Z288" s="147"/>
      <c r="AA288" s="147"/>
      <c r="AB288" s="147"/>
      <c r="AC288" s="147"/>
      <c r="AD288" s="147"/>
      <c r="AE288" s="147"/>
      <c r="AF288" s="147"/>
      <c r="AG288" s="147"/>
      <c r="AH288" s="147"/>
      <c r="AI288" s="147"/>
      <c r="AJ288" s="147"/>
      <c r="AK288" s="147"/>
      <c r="AL288" s="147"/>
      <c r="AM288" s="147"/>
      <c r="AN288" s="147"/>
      <c r="AO288" s="147"/>
      <c r="AP288" s="147"/>
      <c r="AQ288" s="147"/>
    </row>
    <row r="289" spans="1:43">
      <c r="A289" s="160" t="str">
        <f ca="1">IFERROR(__xludf.DUMMYFUNCTION("""COMPUTED_VALUE"""),"237226")</f>
        <v>237226</v>
      </c>
      <c r="B289" s="3" t="str">
        <f ca="1">IFERROR(__xludf.DUMMYFUNCTION("""COMPUTED_VALUE"""),"CHU KHÁNH LINH")</f>
        <v>CHU KHÁNH LINH</v>
      </c>
      <c r="C289" s="160" t="str">
        <f ca="1">IFERROR(__xludf.DUMMYFUNCTION("""COMPUTED_VALUE"""),"EL027")</f>
        <v>EL027</v>
      </c>
      <c r="D289" s="160" t="str">
        <f ca="1">IFERROR(__xludf.DUMMYFUNCTION("""COMPUTED_VALUE"""),"Vinh Nguyen")</f>
        <v>Vinh Nguyen</v>
      </c>
      <c r="E289" s="3" t="str">
        <f ca="1">IFERROR(__xludf.DUMMYFUNCTION("""COMPUTED_VALUE"""),"Communication 1")</f>
        <v>Communication 1</v>
      </c>
      <c r="F289" s="3" t="str">
        <f ca="1">IFERROR(__xludf.DUMMYFUNCTION("""COMPUTED_VALUE"""),"Beginner")</f>
        <v>Beginner</v>
      </c>
      <c r="G289" s="3" t="str">
        <f ca="1">IFERROR(__xludf.DUMMYFUNCTION("""COMPUTED_VALUE"""),"Pre-Intermediate 1")</f>
        <v>Pre-Intermediate 1</v>
      </c>
      <c r="H289" s="156">
        <f ca="1">IFERROR(__xludf.DUMMYFUNCTION("""COMPUTED_VALUE"""),45715.5833333333)</f>
        <v>45715.583333333299</v>
      </c>
      <c r="I289" s="156">
        <f ca="1">IFERROR(__xludf.DUMMYFUNCTION("""COMPUTED_VALUE"""),45715.5833333333)</f>
        <v>45715.583333333299</v>
      </c>
      <c r="J289" s="3">
        <f ca="1">IFERROR(__xludf.DUMMYFUNCTION("""COMPUTED_VALUE"""),1)</f>
        <v>1</v>
      </c>
      <c r="K289" s="3">
        <f ca="1">IFERROR(__xludf.DUMMYFUNCTION("""COMPUTED_VALUE"""),3)</f>
        <v>3</v>
      </c>
      <c r="L289" s="3" t="str">
        <f ca="1">IFERROR(__xludf.DUMMYFUNCTION("""COMPUTED_VALUE"""),"GSD")</f>
        <v>GSD</v>
      </c>
      <c r="M289" s="3" t="str">
        <f ca="1">IFERROR(__xludf.DUMMYFUNCTION("""COMPUTED_VALUE"""),"LBU")</f>
        <v>LBU</v>
      </c>
      <c r="N289" s="157">
        <f ca="1">IFERROR(__xludf.DUMMYFUNCTION("""COMPUTED_VALUE"""),1)</f>
        <v>1</v>
      </c>
      <c r="O289" s="157">
        <f ca="1">IFERROR(__xludf.DUMMYFUNCTION("""COMPUTED_VALUE"""),3.5)</f>
        <v>3.5</v>
      </c>
      <c r="P289" s="157"/>
      <c r="Q289" s="3">
        <f t="shared" ca="1" si="4"/>
        <v>288</v>
      </c>
      <c r="R289" s="148" t="e">
        <f ca="1"/>
        <v>#NAME?</v>
      </c>
      <c r="S289" s="147" t="e">
        <f t="shared" ca="1" si="5"/>
        <v>#NAME?</v>
      </c>
      <c r="T289" s="147" t="e">
        <f t="shared" ca="1" si="6"/>
        <v>#NAME?</v>
      </c>
      <c r="U289" s="147" t="e">
        <f t="shared" ca="1" si="8"/>
        <v>#NAME?</v>
      </c>
      <c r="X289" s="147"/>
      <c r="Y289" s="147"/>
      <c r="Z289" s="147"/>
      <c r="AA289" s="147"/>
      <c r="AB289" s="147"/>
      <c r="AC289" s="147"/>
      <c r="AD289" s="147"/>
      <c r="AE289" s="147"/>
      <c r="AF289" s="147"/>
      <c r="AG289" s="147"/>
      <c r="AH289" s="147"/>
      <c r="AI289" s="147"/>
      <c r="AJ289" s="147"/>
      <c r="AK289" s="147"/>
      <c r="AL289" s="147"/>
      <c r="AM289" s="147"/>
      <c r="AN289" s="147"/>
      <c r="AO289" s="147"/>
      <c r="AP289" s="147"/>
      <c r="AQ289" s="147"/>
    </row>
    <row r="290" spans="1:43">
      <c r="A290" s="160" t="str">
        <f ca="1">IFERROR(__xludf.DUMMYFUNCTION("""COMPUTED_VALUE"""),"237008")</f>
        <v>237008</v>
      </c>
      <c r="B290" s="3" t="str">
        <f ca="1">IFERROR(__xludf.DUMMYFUNCTION("""COMPUTED_VALUE"""),"LẠC MINH HOÀNG")</f>
        <v>LẠC MINH HOÀNG</v>
      </c>
      <c r="C290" s="160" t="str">
        <f ca="1">IFERROR(__xludf.DUMMYFUNCTION("""COMPUTED_VALUE"""),"EL027")</f>
        <v>EL027</v>
      </c>
      <c r="D290" s="160" t="str">
        <f ca="1">IFERROR(__xludf.DUMMYFUNCTION("""COMPUTED_VALUE"""),"Vinh Nguyen")</f>
        <v>Vinh Nguyen</v>
      </c>
      <c r="E290" s="3" t="str">
        <f ca="1">IFERROR(__xludf.DUMMYFUNCTION("""COMPUTED_VALUE"""),"Communication 1")</f>
        <v>Communication 1</v>
      </c>
      <c r="F290" s="3" t="str">
        <f ca="1">IFERROR(__xludf.DUMMYFUNCTION("""COMPUTED_VALUE"""),"Beginner")</f>
        <v>Beginner</v>
      </c>
      <c r="G290" s="3" t="str">
        <f ca="1">IFERROR(__xludf.DUMMYFUNCTION("""COMPUTED_VALUE"""),"Beginner 2")</f>
        <v>Beginner 2</v>
      </c>
      <c r="H290" s="156">
        <f ca="1">IFERROR(__xludf.DUMMYFUNCTION("""COMPUTED_VALUE"""),45715.5833333333)</f>
        <v>45715.583333333299</v>
      </c>
      <c r="I290" s="156">
        <f ca="1">IFERROR(__xludf.DUMMYFUNCTION("""COMPUTED_VALUE"""),45715.5833333333)</f>
        <v>45715.583333333299</v>
      </c>
      <c r="J290" s="3">
        <f ca="1">IFERROR(__xludf.DUMMYFUNCTION("""COMPUTED_VALUE"""),1)</f>
        <v>1</v>
      </c>
      <c r="K290" s="3">
        <f ca="1">IFERROR(__xludf.DUMMYFUNCTION("""COMPUTED_VALUE"""),1.5)</f>
        <v>1.5</v>
      </c>
      <c r="L290" s="3" t="str">
        <f ca="1">IFERROR(__xludf.DUMMYFUNCTION("""COMPUTED_VALUE"""),"GSD")</f>
        <v>GSD</v>
      </c>
      <c r="M290" s="3" t="str">
        <f ca="1">IFERROR(__xludf.DUMMYFUNCTION("""COMPUTED_VALUE"""),"LBU")</f>
        <v>LBU</v>
      </c>
      <c r="N290" s="157">
        <f ca="1">IFERROR(__xludf.DUMMYFUNCTION("""COMPUTED_VALUE"""),1)</f>
        <v>1</v>
      </c>
      <c r="O290" s="157">
        <f ca="1">IFERROR(__xludf.DUMMYFUNCTION("""COMPUTED_VALUE"""),1.5)</f>
        <v>1.5</v>
      </c>
      <c r="P290" s="157"/>
      <c r="Q290" s="3">
        <f t="shared" ca="1" si="4"/>
        <v>289</v>
      </c>
      <c r="R290" s="148" t="e">
        <f ca="1"/>
        <v>#NAME?</v>
      </c>
      <c r="S290" s="147" t="e">
        <f t="shared" ca="1" si="5"/>
        <v>#NAME?</v>
      </c>
      <c r="T290" s="147" t="e">
        <f t="shared" ca="1" si="6"/>
        <v>#NAME?</v>
      </c>
      <c r="U290" s="147" t="e">
        <f t="shared" ca="1" si="8"/>
        <v>#NAME?</v>
      </c>
      <c r="X290" s="147"/>
      <c r="Y290" s="147"/>
      <c r="Z290" s="147"/>
      <c r="AA290" s="147"/>
      <c r="AB290" s="147"/>
      <c r="AC290" s="147"/>
      <c r="AD290" s="147"/>
      <c r="AE290" s="147"/>
      <c r="AF290" s="147"/>
      <c r="AG290" s="147"/>
      <c r="AH290" s="147"/>
      <c r="AI290" s="147"/>
      <c r="AJ290" s="147"/>
      <c r="AK290" s="147"/>
      <c r="AL290" s="147"/>
      <c r="AM290" s="147"/>
      <c r="AN290" s="147"/>
      <c r="AO290" s="147"/>
      <c r="AP290" s="147"/>
      <c r="AQ290" s="147"/>
    </row>
    <row r="291" spans="1:43">
      <c r="A291" s="160" t="str">
        <f ca="1">IFERROR(__xludf.DUMMYFUNCTION("""COMPUTED_VALUE"""),"193584")</f>
        <v>193584</v>
      </c>
      <c r="B291" s="3" t="str">
        <f ca="1">IFERROR(__xludf.DUMMYFUNCTION("""COMPUTED_VALUE"""),"LÂM VĂN TIẾN")</f>
        <v>LÂM VĂN TIẾN</v>
      </c>
      <c r="C291" s="160" t="str">
        <f ca="1">IFERROR(__xludf.DUMMYFUNCTION("""COMPUTED_VALUE"""),"EL027")</f>
        <v>EL027</v>
      </c>
      <c r="D291" s="160" t="str">
        <f ca="1">IFERROR(__xludf.DUMMYFUNCTION("""COMPUTED_VALUE"""),"Vinh Nguyen")</f>
        <v>Vinh Nguyen</v>
      </c>
      <c r="E291" s="3" t="str">
        <f ca="1">IFERROR(__xludf.DUMMYFUNCTION("""COMPUTED_VALUE"""),"Communication 1")</f>
        <v>Communication 1</v>
      </c>
      <c r="F291" s="3" t="str">
        <f ca="1">IFERROR(__xludf.DUMMYFUNCTION("""COMPUTED_VALUE"""),"Beginner")</f>
        <v>Beginner</v>
      </c>
      <c r="G291" s="3" t="str">
        <f ca="1">IFERROR(__xludf.DUMMYFUNCTION("""COMPUTED_VALUE"""),"Pre-Intermediate 1")</f>
        <v>Pre-Intermediate 1</v>
      </c>
      <c r="H291" s="156">
        <f ca="1">IFERROR(__xludf.DUMMYFUNCTION("""COMPUTED_VALUE"""),45715.5833333333)</f>
        <v>45715.583333333299</v>
      </c>
      <c r="I291" s="156">
        <f ca="1">IFERROR(__xludf.DUMMYFUNCTION("""COMPUTED_VALUE"""),45715.5833333333)</f>
        <v>45715.583333333299</v>
      </c>
      <c r="J291" s="3">
        <f ca="1">IFERROR(__xludf.DUMMYFUNCTION("""COMPUTED_VALUE"""),1)</f>
        <v>1</v>
      </c>
      <c r="K291" s="3">
        <f ca="1">IFERROR(__xludf.DUMMYFUNCTION("""COMPUTED_VALUE"""),3)</f>
        <v>3</v>
      </c>
      <c r="L291" s="3" t="str">
        <f ca="1">IFERROR(__xludf.DUMMYFUNCTION("""COMPUTED_VALUE"""),"GSD")</f>
        <v>GSD</v>
      </c>
      <c r="M291" s="3" t="str">
        <f ca="1">IFERROR(__xludf.DUMMYFUNCTION("""COMPUTED_VALUE"""),"LBU")</f>
        <v>LBU</v>
      </c>
      <c r="N291" s="157">
        <f ca="1">IFERROR(__xludf.DUMMYFUNCTION("""COMPUTED_VALUE"""),1)</f>
        <v>1</v>
      </c>
      <c r="O291" s="157">
        <f ca="1">IFERROR(__xludf.DUMMYFUNCTION("""COMPUTED_VALUE"""),3.5)</f>
        <v>3.5</v>
      </c>
      <c r="P291" s="157"/>
      <c r="Q291" s="3">
        <f t="shared" ca="1" si="4"/>
        <v>290</v>
      </c>
      <c r="R291" s="148" t="e">
        <f ca="1"/>
        <v>#NAME?</v>
      </c>
      <c r="S291" s="147" t="e">
        <f t="shared" ca="1" si="5"/>
        <v>#NAME?</v>
      </c>
      <c r="T291" s="147" t="e">
        <f t="shared" ca="1" si="6"/>
        <v>#NAME?</v>
      </c>
      <c r="U291" s="147" t="e">
        <f t="shared" ca="1" si="8"/>
        <v>#NAME?</v>
      </c>
      <c r="X291" s="147"/>
      <c r="Y291" s="147"/>
      <c r="Z291" s="147"/>
      <c r="AA291" s="147"/>
      <c r="AB291" s="147"/>
      <c r="AC291" s="147"/>
      <c r="AD291" s="147"/>
      <c r="AE291" s="147"/>
      <c r="AF291" s="147"/>
      <c r="AG291" s="147"/>
      <c r="AH291" s="147"/>
      <c r="AI291" s="147"/>
      <c r="AJ291" s="147"/>
      <c r="AK291" s="147"/>
      <c r="AL291" s="147"/>
      <c r="AM291" s="147"/>
      <c r="AN291" s="147"/>
      <c r="AO291" s="147"/>
      <c r="AP291" s="147"/>
      <c r="AQ291" s="147"/>
    </row>
    <row r="292" spans="1:43">
      <c r="A292" s="160" t="str">
        <f ca="1">IFERROR(__xludf.DUMMYFUNCTION("""COMPUTED_VALUE"""),"213929")</f>
        <v>213929</v>
      </c>
      <c r="B292" s="3" t="str">
        <f ca="1">IFERROR(__xludf.DUMMYFUNCTION("""COMPUTED_VALUE"""),"LE MINH TRUONG")</f>
        <v>LE MINH TRUONG</v>
      </c>
      <c r="C292" s="160" t="str">
        <f ca="1">IFERROR(__xludf.DUMMYFUNCTION("""COMPUTED_VALUE"""),"EL027")</f>
        <v>EL027</v>
      </c>
      <c r="D292" s="160" t="str">
        <f ca="1">IFERROR(__xludf.DUMMYFUNCTION("""COMPUTED_VALUE"""),"Vinh Nguyen")</f>
        <v>Vinh Nguyen</v>
      </c>
      <c r="E292" s="3" t="str">
        <f ca="1">IFERROR(__xludf.DUMMYFUNCTION("""COMPUTED_VALUE"""),"Communication 1")</f>
        <v>Communication 1</v>
      </c>
      <c r="F292" s="3" t="str">
        <f ca="1">IFERROR(__xludf.DUMMYFUNCTION("""COMPUTED_VALUE"""),"Foundation")</f>
        <v>Foundation</v>
      </c>
      <c r="G292" s="3" t="str">
        <f ca="1">IFERROR(__xludf.DUMMYFUNCTION("""COMPUTED_VALUE"""),"Foundation")</f>
        <v>Foundation</v>
      </c>
      <c r="H292" s="156">
        <f ca="1">IFERROR(__xludf.DUMMYFUNCTION("""COMPUTED_VALUE"""),45715.5833333333)</f>
        <v>45715.583333333299</v>
      </c>
      <c r="I292" s="156">
        <f ca="1">IFERROR(__xludf.DUMMYFUNCTION("""COMPUTED_VALUE"""),45715.5833333333)</f>
        <v>45715.583333333299</v>
      </c>
      <c r="J292" s="3">
        <f ca="1">IFERROR(__xludf.DUMMYFUNCTION("""COMPUTED_VALUE"""),0.5)</f>
        <v>0.5</v>
      </c>
      <c r="K292" s="3">
        <f ca="1">IFERROR(__xludf.DUMMYFUNCTION("""COMPUTED_VALUE"""),0.5)</f>
        <v>0.5</v>
      </c>
      <c r="L292" s="3" t="str">
        <f ca="1">IFERROR(__xludf.DUMMYFUNCTION("""COMPUTED_VALUE"""),"GSD")</f>
        <v>GSD</v>
      </c>
      <c r="M292" s="3" t="str">
        <f ca="1">IFERROR(__xludf.DUMMYFUNCTION("""COMPUTED_VALUE"""),"LBU")</f>
        <v>LBU</v>
      </c>
      <c r="N292" s="157">
        <f ca="1">IFERROR(__xludf.DUMMYFUNCTION("""COMPUTED_VALUE"""),0.5)</f>
        <v>0.5</v>
      </c>
      <c r="O292" s="157">
        <f ca="1">IFERROR(__xludf.DUMMYFUNCTION("""COMPUTED_VALUE"""),1)</f>
        <v>1</v>
      </c>
      <c r="P292" s="157"/>
      <c r="Q292" s="3">
        <f t="shared" ca="1" si="4"/>
        <v>291</v>
      </c>
      <c r="R292" s="148" t="e">
        <f ca="1"/>
        <v>#NAME?</v>
      </c>
      <c r="S292" s="147" t="e">
        <f t="shared" ca="1" si="5"/>
        <v>#NAME?</v>
      </c>
      <c r="T292" s="147" t="e">
        <f t="shared" ca="1" si="6"/>
        <v>#NAME?</v>
      </c>
      <c r="U292" s="147" t="e">
        <f t="shared" ca="1" si="8"/>
        <v>#NAME?</v>
      </c>
      <c r="X292" s="147"/>
      <c r="Y292" s="147"/>
      <c r="Z292" s="147"/>
      <c r="AA292" s="147"/>
      <c r="AB292" s="147"/>
      <c r="AC292" s="147"/>
      <c r="AD292" s="147"/>
      <c r="AE292" s="147"/>
      <c r="AF292" s="147"/>
      <c r="AG292" s="147"/>
      <c r="AH292" s="147"/>
      <c r="AI292" s="147"/>
      <c r="AJ292" s="147"/>
      <c r="AK292" s="147"/>
      <c r="AL292" s="147"/>
      <c r="AM292" s="147"/>
      <c r="AN292" s="147"/>
      <c r="AO292" s="147"/>
      <c r="AP292" s="147"/>
      <c r="AQ292" s="147"/>
    </row>
    <row r="293" spans="1:43">
      <c r="A293" s="160" t="str">
        <f ca="1">IFERROR(__xludf.DUMMYFUNCTION("""COMPUTED_VALUE"""),"227058")</f>
        <v>227058</v>
      </c>
      <c r="B293" s="3" t="str">
        <f ca="1">IFERROR(__xludf.DUMMYFUNCTION("""COMPUTED_VALUE"""),"LE VAN DONG TAM")</f>
        <v>LE VAN DONG TAM</v>
      </c>
      <c r="C293" s="160" t="str">
        <f ca="1">IFERROR(__xludf.DUMMYFUNCTION("""COMPUTED_VALUE"""),"EL027")</f>
        <v>EL027</v>
      </c>
      <c r="D293" s="160" t="str">
        <f ca="1">IFERROR(__xludf.DUMMYFUNCTION("""COMPUTED_VALUE"""),"Vinh Nguyen")</f>
        <v>Vinh Nguyen</v>
      </c>
      <c r="E293" s="3" t="str">
        <f ca="1">IFERROR(__xludf.DUMMYFUNCTION("""COMPUTED_VALUE"""),"Communication 1")</f>
        <v>Communication 1</v>
      </c>
      <c r="F293" s="3" t="str">
        <f ca="1">IFERROR(__xludf.DUMMYFUNCTION("""COMPUTED_VALUE"""),"Foundation")</f>
        <v>Foundation</v>
      </c>
      <c r="G293" s="3" t="str">
        <f ca="1">IFERROR(__xludf.DUMMYFUNCTION("""COMPUTED_VALUE"""),"Foundation")</f>
        <v>Foundation</v>
      </c>
      <c r="H293" s="156">
        <f ca="1">IFERROR(__xludf.DUMMYFUNCTION("""COMPUTED_VALUE"""),45715.5833333333)</f>
        <v>45715.583333333299</v>
      </c>
      <c r="I293" s="156">
        <f ca="1">IFERROR(__xludf.DUMMYFUNCTION("""COMPUTED_VALUE"""),45715.5833333333)</f>
        <v>45715.583333333299</v>
      </c>
      <c r="J293" s="3">
        <f ca="1">IFERROR(__xludf.DUMMYFUNCTION("""COMPUTED_VALUE"""),0.5)</f>
        <v>0.5</v>
      </c>
      <c r="K293" s="3">
        <f ca="1">IFERROR(__xludf.DUMMYFUNCTION("""COMPUTED_VALUE"""),0.5)</f>
        <v>0.5</v>
      </c>
      <c r="L293" s="3" t="str">
        <f ca="1">IFERROR(__xludf.DUMMYFUNCTION("""COMPUTED_VALUE"""),"BA")</f>
        <v>BA</v>
      </c>
      <c r="M293" s="3" t="str">
        <f ca="1">IFERROR(__xludf.DUMMYFUNCTION("""COMPUTED_VALUE"""),"LBU")</f>
        <v>LBU</v>
      </c>
      <c r="N293" s="157">
        <f ca="1">IFERROR(__xludf.DUMMYFUNCTION("""COMPUTED_VALUE"""),0.5)</f>
        <v>0.5</v>
      </c>
      <c r="O293" s="157">
        <f ca="1">IFERROR(__xludf.DUMMYFUNCTION("""COMPUTED_VALUE"""),0.5)</f>
        <v>0.5</v>
      </c>
      <c r="P293" s="157"/>
      <c r="Q293" s="3">
        <f t="shared" ca="1" si="4"/>
        <v>292</v>
      </c>
      <c r="R293" s="148" t="e">
        <f ca="1"/>
        <v>#NAME?</v>
      </c>
      <c r="S293" s="147" t="e">
        <f t="shared" ca="1" si="5"/>
        <v>#NAME?</v>
      </c>
      <c r="T293" s="147" t="e">
        <f t="shared" ca="1" si="6"/>
        <v>#NAME?</v>
      </c>
      <c r="U293" s="147" t="e">
        <f t="shared" ca="1" si="8"/>
        <v>#NAME?</v>
      </c>
      <c r="X293" s="147"/>
      <c r="Y293" s="147"/>
      <c r="Z293" s="147"/>
      <c r="AA293" s="147"/>
      <c r="AB293" s="147"/>
      <c r="AC293" s="147"/>
      <c r="AD293" s="147"/>
      <c r="AE293" s="147"/>
      <c r="AF293" s="147"/>
      <c r="AG293" s="147"/>
      <c r="AH293" s="147"/>
      <c r="AI293" s="147"/>
      <c r="AJ293" s="147"/>
      <c r="AK293" s="147"/>
      <c r="AL293" s="147"/>
      <c r="AM293" s="147"/>
      <c r="AN293" s="147"/>
      <c r="AO293" s="147"/>
      <c r="AP293" s="147"/>
      <c r="AQ293" s="147"/>
    </row>
    <row r="294" spans="1:43">
      <c r="A294" s="160" t="str">
        <f ca="1">IFERROR(__xludf.DUMMYFUNCTION("""COMPUTED_VALUE"""),"247083")</f>
        <v>247083</v>
      </c>
      <c r="B294" s="3" t="str">
        <f ca="1">IFERROR(__xludf.DUMMYFUNCTION("""COMPUTED_VALUE"""),"NGUYỄN TRANG QUỲNH NHƯ")</f>
        <v>NGUYỄN TRANG QUỲNH NHƯ</v>
      </c>
      <c r="C294" s="160" t="str">
        <f ca="1">IFERROR(__xludf.DUMMYFUNCTION("""COMPUTED_VALUE"""),"EL027")</f>
        <v>EL027</v>
      </c>
      <c r="D294" s="160" t="str">
        <f ca="1">IFERROR(__xludf.DUMMYFUNCTION("""COMPUTED_VALUE"""),"Vinh Nguyen")</f>
        <v>Vinh Nguyen</v>
      </c>
      <c r="E294" s="3" t="str">
        <f ca="1">IFERROR(__xludf.DUMMYFUNCTION("""COMPUTED_VALUE"""),"Communication 1")</f>
        <v>Communication 1</v>
      </c>
      <c r="F294" s="3" t="str">
        <f ca="1">IFERROR(__xludf.DUMMYFUNCTION("""COMPUTED_VALUE"""),"Beginner")</f>
        <v>Beginner</v>
      </c>
      <c r="G294" s="3" t="str">
        <f ca="1">IFERROR(__xludf.DUMMYFUNCTION("""COMPUTED_VALUE"""),"Pre-Intermediate 1")</f>
        <v>Pre-Intermediate 1</v>
      </c>
      <c r="H294" s="156">
        <f ca="1">IFERROR(__xludf.DUMMYFUNCTION("""COMPUTED_VALUE"""),45715.5833333333)</f>
        <v>45715.583333333299</v>
      </c>
      <c r="I294" s="156">
        <f ca="1">IFERROR(__xludf.DUMMYFUNCTION("""COMPUTED_VALUE"""),45715.5833333333)</f>
        <v>45715.583333333299</v>
      </c>
      <c r="J294" s="3">
        <f ca="1">IFERROR(__xludf.DUMMYFUNCTION("""COMPUTED_VALUE"""),1)</f>
        <v>1</v>
      </c>
      <c r="K294" s="3">
        <f ca="1">IFERROR(__xludf.DUMMYFUNCTION("""COMPUTED_VALUE"""),3)</f>
        <v>3</v>
      </c>
      <c r="L294" s="3" t="str">
        <f ca="1">IFERROR(__xludf.DUMMYFUNCTION("""COMPUTED_VALUE"""),"GSD")</f>
        <v>GSD</v>
      </c>
      <c r="M294" s="3" t="str">
        <f ca="1">IFERROR(__xludf.DUMMYFUNCTION("""COMPUTED_VALUE"""),"LBU")</f>
        <v>LBU</v>
      </c>
      <c r="N294" s="157">
        <f ca="1">IFERROR(__xludf.DUMMYFUNCTION("""COMPUTED_VALUE"""),1)</f>
        <v>1</v>
      </c>
      <c r="O294" s="157">
        <f ca="1">IFERROR(__xludf.DUMMYFUNCTION("""COMPUTED_VALUE"""),3.5)</f>
        <v>3.5</v>
      </c>
      <c r="P294" s="157"/>
      <c r="Q294" s="3">
        <f t="shared" ca="1" si="4"/>
        <v>293</v>
      </c>
      <c r="R294" s="148" t="e">
        <f ca="1"/>
        <v>#NAME?</v>
      </c>
      <c r="S294" s="147" t="e">
        <f t="shared" ca="1" si="5"/>
        <v>#NAME?</v>
      </c>
      <c r="T294" s="147" t="e">
        <f t="shared" ca="1" si="6"/>
        <v>#NAME?</v>
      </c>
      <c r="U294" s="147" t="e">
        <f t="shared" ca="1" si="8"/>
        <v>#NAME?</v>
      </c>
      <c r="X294" s="147"/>
      <c r="Y294" s="147"/>
      <c r="Z294" s="147"/>
      <c r="AA294" s="147"/>
      <c r="AB294" s="147"/>
      <c r="AC294" s="147"/>
      <c r="AD294" s="147"/>
      <c r="AE294" s="147"/>
      <c r="AF294" s="147"/>
      <c r="AG294" s="147"/>
      <c r="AH294" s="147"/>
      <c r="AI294" s="147"/>
      <c r="AJ294" s="147"/>
      <c r="AK294" s="147"/>
      <c r="AL294" s="147"/>
      <c r="AM294" s="147"/>
      <c r="AN294" s="147"/>
      <c r="AO294" s="147"/>
      <c r="AP294" s="147"/>
      <c r="AQ294" s="147"/>
    </row>
    <row r="295" spans="1:43">
      <c r="A295" s="160" t="str">
        <f ca="1">IFERROR(__xludf.DUMMYFUNCTION("""COMPUTED_VALUE"""),"247178")</f>
        <v>247178</v>
      </c>
      <c r="B295" s="3" t="str">
        <f ca="1">IFERROR(__xludf.DUMMYFUNCTION("""COMPUTED_VALUE"""),"NGUYỄN TRÚC DUYÊN")</f>
        <v>NGUYỄN TRÚC DUYÊN</v>
      </c>
      <c r="C295" s="160" t="str">
        <f ca="1">IFERROR(__xludf.DUMMYFUNCTION("""COMPUTED_VALUE"""),"EL027")</f>
        <v>EL027</v>
      </c>
      <c r="D295" s="160" t="str">
        <f ca="1">IFERROR(__xludf.DUMMYFUNCTION("""COMPUTED_VALUE"""),"Vinh Nguyen")</f>
        <v>Vinh Nguyen</v>
      </c>
      <c r="E295" s="3" t="str">
        <f ca="1">IFERROR(__xludf.DUMMYFUNCTION("""COMPUTED_VALUE"""),"Communication 1")</f>
        <v>Communication 1</v>
      </c>
      <c r="F295" s="3" t="str">
        <f ca="1">IFERROR(__xludf.DUMMYFUNCTION("""COMPUTED_VALUE"""),"Beginner")</f>
        <v>Beginner</v>
      </c>
      <c r="G295" s="3" t="str">
        <f ca="1">IFERROR(__xludf.DUMMYFUNCTION("""COMPUTED_VALUE"""),"Beginner 2")</f>
        <v>Beginner 2</v>
      </c>
      <c r="H295" s="156">
        <f ca="1">IFERROR(__xludf.DUMMYFUNCTION("""COMPUTED_VALUE"""),45715.5833333333)</f>
        <v>45715.583333333299</v>
      </c>
      <c r="I295" s="156">
        <f ca="1">IFERROR(__xludf.DUMMYFUNCTION("""COMPUTED_VALUE"""),45715.5833333333)</f>
        <v>45715.583333333299</v>
      </c>
      <c r="J295" s="3">
        <f ca="1">IFERROR(__xludf.DUMMYFUNCTION("""COMPUTED_VALUE"""),1)</f>
        <v>1</v>
      </c>
      <c r="K295" s="3">
        <f ca="1">IFERROR(__xludf.DUMMYFUNCTION("""COMPUTED_VALUE"""),1.5)</f>
        <v>1.5</v>
      </c>
      <c r="L295" s="3" t="str">
        <f ca="1">IFERROR(__xludf.DUMMYFUNCTION("""COMPUTED_VALUE"""),"GSD")</f>
        <v>GSD</v>
      </c>
      <c r="M295" s="3" t="str">
        <f ca="1">IFERROR(__xludf.DUMMYFUNCTION("""COMPUTED_VALUE"""),"LBU")</f>
        <v>LBU</v>
      </c>
      <c r="N295" s="157">
        <f ca="1">IFERROR(__xludf.DUMMYFUNCTION("""COMPUTED_VALUE"""),1)</f>
        <v>1</v>
      </c>
      <c r="O295" s="157">
        <f ca="1">IFERROR(__xludf.DUMMYFUNCTION("""COMPUTED_VALUE"""),3)</f>
        <v>3</v>
      </c>
      <c r="P295" s="157"/>
      <c r="Q295" s="3">
        <f t="shared" ca="1" si="4"/>
        <v>294</v>
      </c>
      <c r="R295" s="148" t="e">
        <f ca="1"/>
        <v>#NAME?</v>
      </c>
      <c r="S295" s="147" t="e">
        <f t="shared" ca="1" si="5"/>
        <v>#NAME?</v>
      </c>
      <c r="T295" s="147" t="e">
        <f t="shared" ca="1" si="6"/>
        <v>#NAME?</v>
      </c>
      <c r="U295" s="147" t="e">
        <f t="shared" ca="1" si="8"/>
        <v>#NAME?</v>
      </c>
      <c r="X295" s="147"/>
      <c r="Y295" s="147"/>
      <c r="Z295" s="147"/>
      <c r="AA295" s="147"/>
      <c r="AB295" s="147"/>
      <c r="AC295" s="147"/>
      <c r="AD295" s="147"/>
      <c r="AE295" s="147"/>
      <c r="AF295" s="147"/>
      <c r="AG295" s="147"/>
      <c r="AH295" s="147"/>
      <c r="AI295" s="147"/>
      <c r="AJ295" s="147"/>
      <c r="AK295" s="147"/>
      <c r="AL295" s="147"/>
      <c r="AM295" s="147"/>
      <c r="AN295" s="147"/>
      <c r="AO295" s="147"/>
      <c r="AP295" s="147"/>
      <c r="AQ295" s="147"/>
    </row>
    <row r="296" spans="1:43">
      <c r="A296" s="160" t="str">
        <f ca="1">IFERROR(__xludf.DUMMYFUNCTION("""COMPUTED_VALUE"""),"143084")</f>
        <v>143084</v>
      </c>
      <c r="B296" s="3" t="str">
        <f ca="1">IFERROR(__xludf.DUMMYFUNCTION("""COMPUTED_VALUE"""),"PHAN QUỐC BÌNH")</f>
        <v>PHAN QUỐC BÌNH</v>
      </c>
      <c r="C296" s="160" t="str">
        <f ca="1">IFERROR(__xludf.DUMMYFUNCTION("""COMPUTED_VALUE"""),"EL027")</f>
        <v>EL027</v>
      </c>
      <c r="D296" s="160" t="str">
        <f ca="1">IFERROR(__xludf.DUMMYFUNCTION("""COMPUTED_VALUE"""),"Vinh Nguyen")</f>
        <v>Vinh Nguyen</v>
      </c>
      <c r="E296" s="3" t="str">
        <f ca="1">IFERROR(__xludf.DUMMYFUNCTION("""COMPUTED_VALUE"""),"Communication 1")</f>
        <v>Communication 1</v>
      </c>
      <c r="F296" s="3" t="str">
        <f ca="1">IFERROR(__xludf.DUMMYFUNCTION("""COMPUTED_VALUE"""),"Beginner")</f>
        <v>Beginner</v>
      </c>
      <c r="G296" s="3" t="str">
        <f ca="1">IFERROR(__xludf.DUMMYFUNCTION("""COMPUTED_VALUE"""),"Beginner 2")</f>
        <v>Beginner 2</v>
      </c>
      <c r="H296" s="156">
        <f ca="1">IFERROR(__xludf.DUMMYFUNCTION("""COMPUTED_VALUE"""),45715.5833333333)</f>
        <v>45715.583333333299</v>
      </c>
      <c r="I296" s="156">
        <f ca="1">IFERROR(__xludf.DUMMYFUNCTION("""COMPUTED_VALUE"""),45715.5833333333)</f>
        <v>45715.583333333299</v>
      </c>
      <c r="J296" s="3">
        <f ca="1">IFERROR(__xludf.DUMMYFUNCTION("""COMPUTED_VALUE"""),1)</f>
        <v>1</v>
      </c>
      <c r="K296" s="3">
        <f ca="1">IFERROR(__xludf.DUMMYFUNCTION("""COMPUTED_VALUE"""),1.5)</f>
        <v>1.5</v>
      </c>
      <c r="L296" s="3" t="str">
        <f ca="1">IFERROR(__xludf.DUMMYFUNCTION("""COMPUTED_VALUE"""),"BA")</f>
        <v>BA</v>
      </c>
      <c r="M296" s="3" t="str">
        <f ca="1">IFERROR(__xludf.DUMMYFUNCTION("""COMPUTED_VALUE"""),"LBU")</f>
        <v>LBU</v>
      </c>
      <c r="N296" s="157">
        <f ca="1">IFERROR(__xludf.DUMMYFUNCTION("""COMPUTED_VALUE"""),1)</f>
        <v>1</v>
      </c>
      <c r="O296" s="157">
        <f ca="1">IFERROR(__xludf.DUMMYFUNCTION("""COMPUTED_VALUE"""),1.5)</f>
        <v>1.5</v>
      </c>
      <c r="P296" s="157"/>
      <c r="Q296" s="3">
        <f t="shared" ca="1" si="4"/>
        <v>295</v>
      </c>
      <c r="R296" s="148" t="e">
        <f ca="1"/>
        <v>#NAME?</v>
      </c>
      <c r="S296" s="147" t="e">
        <f t="shared" ca="1" si="5"/>
        <v>#NAME?</v>
      </c>
      <c r="T296" s="147" t="e">
        <f t="shared" ca="1" si="6"/>
        <v>#NAME?</v>
      </c>
      <c r="U296" s="147" t="e">
        <f t="shared" ca="1" si="8"/>
        <v>#NAME?</v>
      </c>
      <c r="X296" s="147"/>
      <c r="Y296" s="147"/>
      <c r="Z296" s="147"/>
      <c r="AA296" s="147"/>
      <c r="AB296" s="147"/>
      <c r="AC296" s="147"/>
      <c r="AD296" s="147"/>
      <c r="AE296" s="147"/>
      <c r="AF296" s="147"/>
      <c r="AG296" s="147"/>
      <c r="AH296" s="147"/>
      <c r="AI296" s="147"/>
      <c r="AJ296" s="147"/>
      <c r="AK296" s="147"/>
      <c r="AL296" s="147"/>
      <c r="AM296" s="147"/>
      <c r="AN296" s="147"/>
      <c r="AO296" s="147"/>
      <c r="AP296" s="147"/>
      <c r="AQ296" s="147"/>
    </row>
    <row r="297" spans="1:43">
      <c r="A297" s="155" t="str">
        <f ca="1">IFERROR(__xludf.DUMMYFUNCTION("""COMPUTED_VALUE"""),"227214")</f>
        <v>227214</v>
      </c>
      <c r="B297" s="154" t="str">
        <f ca="1">IFERROR(__xludf.DUMMYFUNCTION("""COMPUTED_VALUE"""),"NGUYỄN PHAN THẾ VINH")</f>
        <v>NGUYỄN PHAN THẾ VINH</v>
      </c>
      <c r="C297" s="155" t="str">
        <f ca="1">IFERROR(__xludf.DUMMYFUNCTION("""COMPUTED_VALUE"""),"EL027")</f>
        <v>EL027</v>
      </c>
      <c r="D297" s="155" t="str">
        <f ca="1">IFERROR(__xludf.DUMMYFUNCTION("""COMPUTED_VALUE"""),"Vinh Nguyen")</f>
        <v>Vinh Nguyen</v>
      </c>
      <c r="E297" s="154" t="str">
        <f ca="1">IFERROR(__xludf.DUMMYFUNCTION("""COMPUTED_VALUE"""),"Communication 2")</f>
        <v>Communication 2</v>
      </c>
      <c r="F297" s="3" t="str">
        <f ca="1">IFERROR(__xludf.DUMMYFUNCTION("""COMPUTED_VALUE"""),"Pre-Intermediate 1")</f>
        <v>Pre-Intermediate 1</v>
      </c>
      <c r="G297" s="3" t="str">
        <f ca="1">IFERROR(__xludf.DUMMYFUNCTION("""COMPUTED_VALUE"""),"Pre-Intermediate 2")</f>
        <v>Pre-Intermediate 2</v>
      </c>
      <c r="H297" s="156">
        <f ca="1">IFERROR(__xludf.DUMMYFUNCTION("""COMPUTED_VALUE"""),45890.5416666666)</f>
        <v>45890.541666666599</v>
      </c>
      <c r="I297" s="156">
        <f ca="1">IFERROR(__xludf.DUMMYFUNCTION("""COMPUTED_VALUE"""),45715.5833333333)</f>
        <v>45715.583333333299</v>
      </c>
      <c r="J297" s="3">
        <f ca="1">IFERROR(__xludf.DUMMYFUNCTION("""COMPUTED_VALUE"""),3)</f>
        <v>3</v>
      </c>
      <c r="K297" s="3">
        <f ca="1">IFERROR(__xludf.DUMMYFUNCTION("""COMPUTED_VALUE"""),3.5)</f>
        <v>3.5</v>
      </c>
      <c r="L297" s="3" t="str">
        <f ca="1">IFERROR(__xludf.DUMMYFUNCTION("""COMPUTED_VALUE"""),"GSD")</f>
        <v>GSD</v>
      </c>
      <c r="M297" s="3" t="str">
        <f ca="1">IFERROR(__xludf.DUMMYFUNCTION("""COMPUTED_VALUE"""),"LBU")</f>
        <v>LBU</v>
      </c>
      <c r="N297" s="157">
        <f ca="1">IFERROR(__xludf.DUMMYFUNCTION("""COMPUTED_VALUE"""),1)</f>
        <v>1</v>
      </c>
      <c r="O297" s="157">
        <f ca="1">IFERROR(__xludf.DUMMYFUNCTION("""COMPUTED_VALUE"""),3.5)</f>
        <v>3.5</v>
      </c>
      <c r="P297" s="157"/>
      <c r="Q297" s="3">
        <f t="shared" ca="1" si="4"/>
        <v>296</v>
      </c>
      <c r="R297" s="148" t="e">
        <f ca="1"/>
        <v>#NAME?</v>
      </c>
      <c r="S297" s="147" t="e">
        <f t="shared" ca="1" si="5"/>
        <v>#NAME?</v>
      </c>
      <c r="T297" s="147" t="e">
        <f t="shared" ca="1" si="6"/>
        <v>#NAME?</v>
      </c>
      <c r="U297" s="147" t="e">
        <f t="shared" ca="1" si="8"/>
        <v>#NAME?</v>
      </c>
      <c r="X297" s="147"/>
      <c r="Y297" s="147"/>
      <c r="Z297" s="147"/>
      <c r="AA297" s="147"/>
      <c r="AB297" s="147"/>
      <c r="AC297" s="147"/>
      <c r="AD297" s="147"/>
      <c r="AE297" s="147"/>
      <c r="AF297" s="147"/>
      <c r="AG297" s="147"/>
      <c r="AH297" s="147"/>
      <c r="AI297" s="147"/>
      <c r="AJ297" s="147"/>
      <c r="AK297" s="147"/>
      <c r="AL297" s="147"/>
      <c r="AM297" s="147"/>
      <c r="AN297" s="147"/>
      <c r="AO297" s="147"/>
      <c r="AP297" s="147"/>
      <c r="AQ297" s="147"/>
    </row>
    <row r="298" spans="1:43">
      <c r="A298" s="160" t="str">
        <f ca="1">IFERROR(__xludf.DUMMYFUNCTION("""COMPUTED_VALUE"""),"237226")</f>
        <v>237226</v>
      </c>
      <c r="B298" s="3" t="str">
        <f ca="1">IFERROR(__xludf.DUMMYFUNCTION("""COMPUTED_VALUE"""),"CHU KHÁNH LINH")</f>
        <v>CHU KHÁNH LINH</v>
      </c>
      <c r="C298" s="160" t="str">
        <f ca="1">IFERROR(__xludf.DUMMYFUNCTION("""COMPUTED_VALUE"""),"EL027")</f>
        <v>EL027</v>
      </c>
      <c r="D298" s="160" t="str">
        <f ca="1">IFERROR(__xludf.DUMMYFUNCTION("""COMPUTED_VALUE"""),"Vinh Nguyen")</f>
        <v>Vinh Nguyen</v>
      </c>
      <c r="E298" s="3" t="str">
        <f ca="1">IFERROR(__xludf.DUMMYFUNCTION("""COMPUTED_VALUE"""),"Communication 2")</f>
        <v>Communication 2</v>
      </c>
      <c r="F298" s="3" t="str">
        <f ca="1">IFERROR(__xludf.DUMMYFUNCTION("""COMPUTED_VALUE"""),"Pre-Intermediate 1")</f>
        <v>Pre-Intermediate 1</v>
      </c>
      <c r="G298" s="3" t="str">
        <f ca="1">IFERROR(__xludf.DUMMYFUNCTION("""COMPUTED_VALUE"""),"Pre-Intermediate 2")</f>
        <v>Pre-Intermediate 2</v>
      </c>
      <c r="H298" s="156">
        <f ca="1">IFERROR(__xludf.DUMMYFUNCTION("""COMPUTED_VALUE"""),45890.5416666666)</f>
        <v>45890.541666666599</v>
      </c>
      <c r="I298" s="156">
        <f ca="1">IFERROR(__xludf.DUMMYFUNCTION("""COMPUTED_VALUE"""),45715.5833333333)</f>
        <v>45715.583333333299</v>
      </c>
      <c r="J298" s="3">
        <f ca="1">IFERROR(__xludf.DUMMYFUNCTION("""COMPUTED_VALUE"""),3)</f>
        <v>3</v>
      </c>
      <c r="K298" s="3">
        <f ca="1">IFERROR(__xludf.DUMMYFUNCTION("""COMPUTED_VALUE"""),3.5)</f>
        <v>3.5</v>
      </c>
      <c r="L298" s="3" t="str">
        <f ca="1">IFERROR(__xludf.DUMMYFUNCTION("""COMPUTED_VALUE"""),"GSD")</f>
        <v>GSD</v>
      </c>
      <c r="M298" s="3" t="str">
        <f ca="1">IFERROR(__xludf.DUMMYFUNCTION("""COMPUTED_VALUE"""),"LBU")</f>
        <v>LBU</v>
      </c>
      <c r="N298" s="157">
        <f ca="1">IFERROR(__xludf.DUMMYFUNCTION("""COMPUTED_VALUE"""),1)</f>
        <v>1</v>
      </c>
      <c r="O298" s="157">
        <f ca="1">IFERROR(__xludf.DUMMYFUNCTION("""COMPUTED_VALUE"""),3.5)</f>
        <v>3.5</v>
      </c>
      <c r="P298" s="157"/>
      <c r="Q298" s="3">
        <f t="shared" ca="1" si="4"/>
        <v>297</v>
      </c>
      <c r="R298" s="148" t="e">
        <f ca="1"/>
        <v>#NAME?</v>
      </c>
      <c r="S298" s="147" t="e">
        <f t="shared" ca="1" si="5"/>
        <v>#NAME?</v>
      </c>
      <c r="T298" s="147" t="e">
        <f t="shared" ca="1" si="6"/>
        <v>#NAME?</v>
      </c>
      <c r="U298" s="147" t="e">
        <f t="shared" ca="1" si="8"/>
        <v>#NAME?</v>
      </c>
      <c r="X298" s="147"/>
      <c r="Y298" s="147"/>
      <c r="Z298" s="147"/>
      <c r="AA298" s="147"/>
      <c r="AB298" s="147"/>
      <c r="AC298" s="147"/>
      <c r="AD298" s="147"/>
      <c r="AE298" s="147"/>
      <c r="AF298" s="147"/>
      <c r="AG298" s="147"/>
      <c r="AH298" s="147"/>
      <c r="AI298" s="147"/>
      <c r="AJ298" s="147"/>
      <c r="AK298" s="147"/>
      <c r="AL298" s="147"/>
      <c r="AM298" s="147"/>
      <c r="AN298" s="147"/>
      <c r="AO298" s="147"/>
      <c r="AP298" s="147"/>
      <c r="AQ298" s="147"/>
    </row>
    <row r="299" spans="1:43">
      <c r="A299" s="160" t="str">
        <f ca="1">IFERROR(__xludf.DUMMYFUNCTION("""COMPUTED_VALUE"""),"173272")</f>
        <v>173272</v>
      </c>
      <c r="B299" s="3" t="str">
        <f ca="1">IFERROR(__xludf.DUMMYFUNCTION("""COMPUTED_VALUE"""),"ĐÀO SỸ THỜI")</f>
        <v>ĐÀO SỸ THỜI</v>
      </c>
      <c r="C299" s="160" t="str">
        <f ca="1">IFERROR(__xludf.DUMMYFUNCTION("""COMPUTED_VALUE"""),"EL027")</f>
        <v>EL027</v>
      </c>
      <c r="D299" s="160" t="str">
        <f ca="1">IFERROR(__xludf.DUMMYFUNCTION("""COMPUTED_VALUE"""),"Vinh Nguyen")</f>
        <v>Vinh Nguyen</v>
      </c>
      <c r="E299" s="3" t="str">
        <f ca="1">IFERROR(__xludf.DUMMYFUNCTION("""COMPUTED_VALUE"""),"Communication 2")</f>
        <v>Communication 2</v>
      </c>
      <c r="F299" s="3" t="str">
        <f ca="1">IFERROR(__xludf.DUMMYFUNCTION("""COMPUTED_VALUE"""),"Pre-Intermediate 1")</f>
        <v>Pre-Intermediate 1</v>
      </c>
      <c r="G299" s="3" t="str">
        <f ca="1">IFERROR(__xludf.DUMMYFUNCTION("""COMPUTED_VALUE"""),"Pre-Intermediate 1")</f>
        <v>Pre-Intermediate 1</v>
      </c>
      <c r="H299" s="156">
        <f ca="1">IFERROR(__xludf.DUMMYFUNCTION("""COMPUTED_VALUE"""),45890.5416666666)</f>
        <v>45890.541666666599</v>
      </c>
      <c r="I299" s="156">
        <f ca="1">IFERROR(__xludf.DUMMYFUNCTION("""COMPUTED_VALUE"""),45663.5833333333)</f>
        <v>45663.583333333299</v>
      </c>
      <c r="J299" s="3">
        <f ca="1">IFERROR(__xludf.DUMMYFUNCTION("""COMPUTED_VALUE"""),3)</f>
        <v>3</v>
      </c>
      <c r="K299" s="3">
        <f ca="1">IFERROR(__xludf.DUMMYFUNCTION("""COMPUTED_VALUE"""),3)</f>
        <v>3</v>
      </c>
      <c r="L299" s="3" t="str">
        <f ca="1">IFERROR(__xludf.DUMMYFUNCTION("""COMPUTED_VALUE"""),"GSD")</f>
        <v>GSD</v>
      </c>
      <c r="M299" s="3" t="str">
        <f ca="1">IFERROR(__xludf.DUMMYFUNCTION("""COMPUTED_VALUE"""),"LBU")</f>
        <v>LBU</v>
      </c>
      <c r="N299" s="157">
        <f ca="1">IFERROR(__xludf.DUMMYFUNCTION("""COMPUTED_VALUE"""),1)</f>
        <v>1</v>
      </c>
      <c r="O299" s="157">
        <f ca="1">IFERROR(__xludf.DUMMYFUNCTION("""COMPUTED_VALUE"""),3)</f>
        <v>3</v>
      </c>
      <c r="P299" s="157"/>
      <c r="Q299" s="3">
        <f t="shared" ca="1" si="4"/>
        <v>298</v>
      </c>
      <c r="R299" s="148" t="e">
        <f ca="1"/>
        <v>#NAME?</v>
      </c>
      <c r="S299" s="147" t="e">
        <f t="shared" ca="1" si="5"/>
        <v>#NAME?</v>
      </c>
      <c r="T299" s="147" t="e">
        <f t="shared" ca="1" si="6"/>
        <v>#NAME?</v>
      </c>
      <c r="U299" s="147" t="e">
        <f t="shared" ca="1" si="8"/>
        <v>#NAME?</v>
      </c>
      <c r="X299" s="147"/>
      <c r="Y299" s="147"/>
      <c r="Z299" s="147"/>
      <c r="AA299" s="147"/>
      <c r="AB299" s="147"/>
      <c r="AC299" s="147"/>
      <c r="AD299" s="147"/>
      <c r="AE299" s="147"/>
      <c r="AF299" s="147"/>
      <c r="AG299" s="147"/>
      <c r="AH299" s="147"/>
      <c r="AI299" s="147"/>
      <c r="AJ299" s="147"/>
      <c r="AK299" s="147"/>
      <c r="AL299" s="147"/>
      <c r="AM299" s="147"/>
      <c r="AN299" s="147"/>
      <c r="AO299" s="147"/>
      <c r="AP299" s="147"/>
      <c r="AQ299" s="147"/>
    </row>
    <row r="300" spans="1:43">
      <c r="A300" s="160" t="str">
        <f ca="1">IFERROR(__xludf.DUMMYFUNCTION("""COMPUTED_VALUE"""),"193584")</f>
        <v>193584</v>
      </c>
      <c r="B300" s="3" t="str">
        <f ca="1">IFERROR(__xludf.DUMMYFUNCTION("""COMPUTED_VALUE"""),"LÂM VĂN TIẾN")</f>
        <v>LÂM VĂN TIẾN</v>
      </c>
      <c r="C300" s="160" t="str">
        <f ca="1">IFERROR(__xludf.DUMMYFUNCTION("""COMPUTED_VALUE"""),"EL027")</f>
        <v>EL027</v>
      </c>
      <c r="D300" s="160" t="str">
        <f ca="1">IFERROR(__xludf.DUMMYFUNCTION("""COMPUTED_VALUE"""),"Vinh Nguyen")</f>
        <v>Vinh Nguyen</v>
      </c>
      <c r="E300" s="3" t="str">
        <f ca="1">IFERROR(__xludf.DUMMYFUNCTION("""COMPUTED_VALUE"""),"Communication 2")</f>
        <v>Communication 2</v>
      </c>
      <c r="F300" s="3" t="str">
        <f ca="1">IFERROR(__xludf.DUMMYFUNCTION("""COMPUTED_VALUE"""),"Pre-Intermediate 1")</f>
        <v>Pre-Intermediate 1</v>
      </c>
      <c r="G300" s="3" t="str">
        <f ca="1">IFERROR(__xludf.DUMMYFUNCTION("""COMPUTED_VALUE"""),"Pre-Intermediate 2")</f>
        <v>Pre-Intermediate 2</v>
      </c>
      <c r="H300" s="156">
        <f ca="1">IFERROR(__xludf.DUMMYFUNCTION("""COMPUTED_VALUE"""),45890.5416666666)</f>
        <v>45890.541666666599</v>
      </c>
      <c r="I300" s="156">
        <f ca="1">IFERROR(__xludf.DUMMYFUNCTION("""COMPUTED_VALUE"""),45715.5833333333)</f>
        <v>45715.583333333299</v>
      </c>
      <c r="J300" s="3">
        <f ca="1">IFERROR(__xludf.DUMMYFUNCTION("""COMPUTED_VALUE"""),3)</f>
        <v>3</v>
      </c>
      <c r="K300" s="3">
        <f ca="1">IFERROR(__xludf.DUMMYFUNCTION("""COMPUTED_VALUE"""),3.5)</f>
        <v>3.5</v>
      </c>
      <c r="L300" s="3" t="str">
        <f ca="1">IFERROR(__xludf.DUMMYFUNCTION("""COMPUTED_VALUE"""),"GSD")</f>
        <v>GSD</v>
      </c>
      <c r="M300" s="3" t="str">
        <f ca="1">IFERROR(__xludf.DUMMYFUNCTION("""COMPUTED_VALUE"""),"LBU")</f>
        <v>LBU</v>
      </c>
      <c r="N300" s="157">
        <f ca="1">IFERROR(__xludf.DUMMYFUNCTION("""COMPUTED_VALUE"""),1)</f>
        <v>1</v>
      </c>
      <c r="O300" s="157">
        <f ca="1">IFERROR(__xludf.DUMMYFUNCTION("""COMPUTED_VALUE"""),3.5)</f>
        <v>3.5</v>
      </c>
      <c r="P300" s="157"/>
      <c r="Q300" s="3">
        <f t="shared" ca="1" si="4"/>
        <v>299</v>
      </c>
      <c r="R300" s="148" t="e">
        <f ca="1"/>
        <v>#NAME?</v>
      </c>
      <c r="S300" s="147" t="e">
        <f t="shared" ca="1" si="5"/>
        <v>#NAME?</v>
      </c>
      <c r="T300" s="147" t="e">
        <f t="shared" ca="1" si="6"/>
        <v>#NAME?</v>
      </c>
      <c r="U300" s="147" t="e">
        <f t="shared" ca="1" si="8"/>
        <v>#NAME?</v>
      </c>
      <c r="X300" s="147"/>
      <c r="Y300" s="147"/>
      <c r="Z300" s="147"/>
      <c r="AA300" s="147"/>
      <c r="AB300" s="147"/>
      <c r="AC300" s="147"/>
      <c r="AD300" s="147"/>
      <c r="AE300" s="147"/>
      <c r="AF300" s="147"/>
      <c r="AG300" s="147"/>
      <c r="AH300" s="147"/>
      <c r="AI300" s="147"/>
      <c r="AJ300" s="147"/>
      <c r="AK300" s="147"/>
      <c r="AL300" s="147"/>
      <c r="AM300" s="147"/>
      <c r="AN300" s="147"/>
      <c r="AO300" s="147"/>
      <c r="AP300" s="147"/>
      <c r="AQ300" s="147"/>
    </row>
    <row r="301" spans="1:43">
      <c r="A301" s="160" t="str">
        <f ca="1">IFERROR(__xludf.DUMMYFUNCTION("""COMPUTED_VALUE"""),"203790")</f>
        <v>203790</v>
      </c>
      <c r="B301" s="3" t="str">
        <f ca="1">IFERROR(__xludf.DUMMYFUNCTION("""COMPUTED_VALUE"""),"NGUYỄN QUANG TRUNG")</f>
        <v>NGUYỄN QUANG TRUNG</v>
      </c>
      <c r="C301" s="160" t="str">
        <f ca="1">IFERROR(__xludf.DUMMYFUNCTION("""COMPUTED_VALUE"""),"EL027")</f>
        <v>EL027</v>
      </c>
      <c r="D301" s="160" t="str">
        <f ca="1">IFERROR(__xludf.DUMMYFUNCTION("""COMPUTED_VALUE"""),"Vinh Nguyen")</f>
        <v>Vinh Nguyen</v>
      </c>
      <c r="E301" s="3" t="str">
        <f ca="1">IFERROR(__xludf.DUMMYFUNCTION("""COMPUTED_VALUE"""),"Communication 2")</f>
        <v>Communication 2</v>
      </c>
      <c r="F301" s="3" t="str">
        <f ca="1">IFERROR(__xludf.DUMMYFUNCTION("""COMPUTED_VALUE"""),"Pre-Intermediate 1")</f>
        <v>Pre-Intermediate 1</v>
      </c>
      <c r="G301" s="3" t="str">
        <f ca="1">IFERROR(__xludf.DUMMYFUNCTION("""COMPUTED_VALUE"""),"Pre-Intermediate 2")</f>
        <v>Pre-Intermediate 2</v>
      </c>
      <c r="H301" s="156">
        <f ca="1">IFERROR(__xludf.DUMMYFUNCTION("""COMPUTED_VALUE"""),45890.5416666666)</f>
        <v>45890.541666666599</v>
      </c>
      <c r="I301" s="156">
        <f ca="1">IFERROR(__xludf.DUMMYFUNCTION("""COMPUTED_VALUE"""),45663.5833333333)</f>
        <v>45663.583333333299</v>
      </c>
      <c r="J301" s="3">
        <f ca="1">IFERROR(__xludf.DUMMYFUNCTION("""COMPUTED_VALUE"""),3)</f>
        <v>3</v>
      </c>
      <c r="K301" s="3">
        <f ca="1">IFERROR(__xludf.DUMMYFUNCTION("""COMPUTED_VALUE"""),3.5)</f>
        <v>3.5</v>
      </c>
      <c r="L301" s="3" t="str">
        <f ca="1">IFERROR(__xludf.DUMMYFUNCTION("""COMPUTED_VALUE"""),"GSD")</f>
        <v>GSD</v>
      </c>
      <c r="M301" s="3" t="str">
        <f ca="1">IFERROR(__xludf.DUMMYFUNCTION("""COMPUTED_VALUE"""),"LBU")</f>
        <v>LBU</v>
      </c>
      <c r="N301" s="157">
        <f ca="1">IFERROR(__xludf.DUMMYFUNCTION("""COMPUTED_VALUE"""),2.5)</f>
        <v>2.5</v>
      </c>
      <c r="O301" s="157">
        <f ca="1">IFERROR(__xludf.DUMMYFUNCTION("""COMPUTED_VALUE"""),3.5)</f>
        <v>3.5</v>
      </c>
      <c r="P301" s="157"/>
      <c r="Q301" s="3">
        <f t="shared" ca="1" si="4"/>
        <v>300</v>
      </c>
      <c r="R301" s="148" t="e">
        <f ca="1"/>
        <v>#NAME?</v>
      </c>
      <c r="S301" s="147" t="e">
        <f t="shared" ca="1" si="5"/>
        <v>#NAME?</v>
      </c>
      <c r="T301" s="147" t="e">
        <f t="shared" ca="1" si="6"/>
        <v>#NAME?</v>
      </c>
      <c r="U301" s="147" t="e">
        <f t="shared" ca="1" si="8"/>
        <v>#NAME?</v>
      </c>
      <c r="X301" s="147"/>
      <c r="Y301" s="147"/>
      <c r="Z301" s="147"/>
      <c r="AA301" s="147"/>
      <c r="AB301" s="147"/>
      <c r="AC301" s="147"/>
      <c r="AD301" s="147"/>
      <c r="AE301" s="147"/>
      <c r="AF301" s="147"/>
      <c r="AG301" s="147"/>
      <c r="AH301" s="147"/>
      <c r="AI301" s="147"/>
      <c r="AJ301" s="147"/>
      <c r="AK301" s="147"/>
      <c r="AL301" s="147"/>
      <c r="AM301" s="147"/>
      <c r="AN301" s="147"/>
      <c r="AO301" s="147"/>
      <c r="AP301" s="147"/>
      <c r="AQ301" s="147"/>
    </row>
    <row r="302" spans="1:43">
      <c r="A302" s="160" t="str">
        <f ca="1">IFERROR(__xludf.DUMMYFUNCTION("""COMPUTED_VALUE"""),"247083")</f>
        <v>247083</v>
      </c>
      <c r="B302" s="3" t="str">
        <f ca="1">IFERROR(__xludf.DUMMYFUNCTION("""COMPUTED_VALUE"""),"NGUYỄN TRANG QUỲNH NHƯ")</f>
        <v>NGUYỄN TRANG QUỲNH NHƯ</v>
      </c>
      <c r="C302" s="160" t="str">
        <f ca="1">IFERROR(__xludf.DUMMYFUNCTION("""COMPUTED_VALUE"""),"EL027")</f>
        <v>EL027</v>
      </c>
      <c r="D302" s="160" t="str">
        <f ca="1">IFERROR(__xludf.DUMMYFUNCTION("""COMPUTED_VALUE"""),"Vinh Nguyen")</f>
        <v>Vinh Nguyen</v>
      </c>
      <c r="E302" s="3" t="str">
        <f ca="1">IFERROR(__xludf.DUMMYFUNCTION("""COMPUTED_VALUE"""),"Communication 2")</f>
        <v>Communication 2</v>
      </c>
      <c r="F302" s="3" t="str">
        <f ca="1">IFERROR(__xludf.DUMMYFUNCTION("""COMPUTED_VALUE"""),"Pre-Intermediate 1")</f>
        <v>Pre-Intermediate 1</v>
      </c>
      <c r="G302" s="3" t="str">
        <f ca="1">IFERROR(__xludf.DUMMYFUNCTION("""COMPUTED_VALUE"""),"Pre-Intermediate 2")</f>
        <v>Pre-Intermediate 2</v>
      </c>
      <c r="H302" s="156">
        <f ca="1">IFERROR(__xludf.DUMMYFUNCTION("""COMPUTED_VALUE"""),45890.5416666666)</f>
        <v>45890.541666666599</v>
      </c>
      <c r="I302" s="156">
        <f ca="1">IFERROR(__xludf.DUMMYFUNCTION("""COMPUTED_VALUE"""),45715.5833333333)</f>
        <v>45715.583333333299</v>
      </c>
      <c r="J302" s="3">
        <f ca="1">IFERROR(__xludf.DUMMYFUNCTION("""COMPUTED_VALUE"""),3)</f>
        <v>3</v>
      </c>
      <c r="K302" s="3">
        <f ca="1">IFERROR(__xludf.DUMMYFUNCTION("""COMPUTED_VALUE"""),3.5)</f>
        <v>3.5</v>
      </c>
      <c r="L302" s="3" t="str">
        <f ca="1">IFERROR(__xludf.DUMMYFUNCTION("""COMPUTED_VALUE"""),"GSD")</f>
        <v>GSD</v>
      </c>
      <c r="M302" s="3" t="str">
        <f ca="1">IFERROR(__xludf.DUMMYFUNCTION("""COMPUTED_VALUE"""),"LBU")</f>
        <v>LBU</v>
      </c>
      <c r="N302" s="157">
        <f ca="1">IFERROR(__xludf.DUMMYFUNCTION("""COMPUTED_VALUE"""),1)</f>
        <v>1</v>
      </c>
      <c r="O302" s="157">
        <f ca="1">IFERROR(__xludf.DUMMYFUNCTION("""COMPUTED_VALUE"""),3.5)</f>
        <v>3.5</v>
      </c>
      <c r="P302" s="157"/>
      <c r="Q302" s="3">
        <f t="shared" ca="1" si="4"/>
        <v>301</v>
      </c>
      <c r="R302" s="148" t="e">
        <f ca="1"/>
        <v>#NAME?</v>
      </c>
      <c r="S302" s="147" t="e">
        <f t="shared" ca="1" si="5"/>
        <v>#NAME?</v>
      </c>
      <c r="T302" s="147" t="e">
        <f t="shared" ca="1" si="6"/>
        <v>#NAME?</v>
      </c>
      <c r="U302" s="147" t="e">
        <f t="shared" ca="1" si="8"/>
        <v>#NAME?</v>
      </c>
      <c r="X302" s="147"/>
      <c r="Y302" s="147"/>
      <c r="Z302" s="147"/>
      <c r="AA302" s="147"/>
      <c r="AB302" s="147"/>
      <c r="AC302" s="147"/>
      <c r="AD302" s="147"/>
      <c r="AE302" s="147"/>
      <c r="AF302" s="147"/>
      <c r="AG302" s="147"/>
      <c r="AH302" s="147"/>
      <c r="AI302" s="147"/>
      <c r="AJ302" s="147"/>
      <c r="AK302" s="147"/>
      <c r="AL302" s="147"/>
      <c r="AM302" s="147"/>
      <c r="AN302" s="147"/>
      <c r="AO302" s="147"/>
      <c r="AP302" s="147"/>
      <c r="AQ302" s="147"/>
    </row>
    <row r="303" spans="1:43">
      <c r="A303" s="160" t="str">
        <f ca="1">IFERROR(__xludf.DUMMYFUNCTION("""COMPUTED_VALUE"""),"247178")</f>
        <v>247178</v>
      </c>
      <c r="B303" s="3" t="str">
        <f ca="1">IFERROR(__xludf.DUMMYFUNCTION("""COMPUTED_VALUE"""),"NGUYỄN TRÚC DUYÊN")</f>
        <v>NGUYỄN TRÚC DUYÊN</v>
      </c>
      <c r="C303" s="160" t="str">
        <f ca="1">IFERROR(__xludf.DUMMYFUNCTION("""COMPUTED_VALUE"""),"EL027")</f>
        <v>EL027</v>
      </c>
      <c r="D303" s="160" t="str">
        <f ca="1">IFERROR(__xludf.DUMMYFUNCTION("""COMPUTED_VALUE"""),"Vinh Nguyen")</f>
        <v>Vinh Nguyen</v>
      </c>
      <c r="E303" s="3" t="str">
        <f ca="1">IFERROR(__xludf.DUMMYFUNCTION("""COMPUTED_VALUE"""),"Communication 2")</f>
        <v>Communication 2</v>
      </c>
      <c r="F303" s="3" t="str">
        <f ca="1">IFERROR(__xludf.DUMMYFUNCTION("""COMPUTED_VALUE"""),"Beginner 2")</f>
        <v>Beginner 2</v>
      </c>
      <c r="G303" s="3" t="str">
        <f ca="1">IFERROR(__xludf.DUMMYFUNCTION("""COMPUTED_VALUE"""),"Pre-Intermediate 1")</f>
        <v>Pre-Intermediate 1</v>
      </c>
      <c r="H303" s="156">
        <f ca="1">IFERROR(__xludf.DUMMYFUNCTION("""COMPUTED_VALUE"""),45890.5416666666)</f>
        <v>45890.541666666599</v>
      </c>
      <c r="I303" s="156">
        <f ca="1">IFERROR(__xludf.DUMMYFUNCTION("""COMPUTED_VALUE"""),45715.5833333333)</f>
        <v>45715.583333333299</v>
      </c>
      <c r="J303" s="3">
        <f ca="1">IFERROR(__xludf.DUMMYFUNCTION("""COMPUTED_VALUE"""),1.5)</f>
        <v>1.5</v>
      </c>
      <c r="K303" s="3">
        <f ca="1">IFERROR(__xludf.DUMMYFUNCTION("""COMPUTED_VALUE"""),3)</f>
        <v>3</v>
      </c>
      <c r="L303" s="3" t="str">
        <f ca="1">IFERROR(__xludf.DUMMYFUNCTION("""COMPUTED_VALUE"""),"GSD")</f>
        <v>GSD</v>
      </c>
      <c r="M303" s="3" t="str">
        <f ca="1">IFERROR(__xludf.DUMMYFUNCTION("""COMPUTED_VALUE"""),"LBU")</f>
        <v>LBU</v>
      </c>
      <c r="N303" s="157">
        <f ca="1">IFERROR(__xludf.DUMMYFUNCTION("""COMPUTED_VALUE"""),1)</f>
        <v>1</v>
      </c>
      <c r="O303" s="157">
        <f ca="1">IFERROR(__xludf.DUMMYFUNCTION("""COMPUTED_VALUE"""),3)</f>
        <v>3</v>
      </c>
      <c r="P303" s="157"/>
      <c r="Q303" s="3">
        <f t="shared" ca="1" si="4"/>
        <v>302</v>
      </c>
      <c r="R303" s="148" t="e">
        <f ca="1"/>
        <v>#NAME?</v>
      </c>
      <c r="S303" s="147" t="e">
        <f t="shared" ca="1" si="5"/>
        <v>#NAME?</v>
      </c>
      <c r="T303" s="147" t="e">
        <f t="shared" ca="1" si="6"/>
        <v>#NAME?</v>
      </c>
      <c r="U303" s="147" t="e">
        <f t="shared" ca="1" si="8"/>
        <v>#NAME?</v>
      </c>
      <c r="X303" s="147"/>
      <c r="Y303" s="147"/>
      <c r="Z303" s="147"/>
      <c r="AA303" s="147"/>
      <c r="AB303" s="147"/>
      <c r="AC303" s="147"/>
      <c r="AD303" s="147"/>
      <c r="AE303" s="147"/>
      <c r="AF303" s="147"/>
      <c r="AG303" s="147"/>
      <c r="AH303" s="147"/>
      <c r="AI303" s="147"/>
      <c r="AJ303" s="147"/>
      <c r="AK303" s="147"/>
      <c r="AL303" s="147"/>
      <c r="AM303" s="147"/>
      <c r="AN303" s="147"/>
      <c r="AO303" s="147"/>
      <c r="AP303" s="147"/>
      <c r="AQ303" s="147"/>
    </row>
    <row r="304" spans="1:43">
      <c r="A304" s="155" t="str">
        <f ca="1">IFERROR(__xludf.DUMMYFUNCTION("""COMPUTED_VALUE"""),"227214")</f>
        <v>227214</v>
      </c>
      <c r="B304" s="154" t="str">
        <f ca="1">IFERROR(__xludf.DUMMYFUNCTION("""COMPUTED_VALUE"""),"NGUYỄN PHAN THẾ VINH")</f>
        <v>NGUYỄN PHAN THẾ VINH</v>
      </c>
      <c r="C304" s="155" t="str">
        <f ca="1">IFERROR(__xludf.DUMMYFUNCTION("""COMPUTED_VALUE"""),"EL027")</f>
        <v>EL027</v>
      </c>
      <c r="D304" s="155" t="str">
        <f ca="1">IFERROR(__xludf.DUMMYFUNCTION("""COMPUTED_VALUE"""),"Vinh Nguyen")</f>
        <v>Vinh Nguyen</v>
      </c>
      <c r="E304" s="154" t="str">
        <f ca="1">IFERROR(__xludf.DUMMYFUNCTION("""COMPUTED_VALUE"""),"Communication 3")</f>
        <v>Communication 3</v>
      </c>
      <c r="F304" s="3"/>
      <c r="G304" s="3"/>
      <c r="H304" s="156">
        <f ca="1">IFERROR(__xludf.DUMMYFUNCTION("""COMPUTED_VALUE"""),46107.5833333333)</f>
        <v>46107.583333333299</v>
      </c>
      <c r="I304" s="156">
        <f ca="1">IFERROR(__xludf.DUMMYFUNCTION("""COMPUTED_VALUE"""),45715.5833333333)</f>
        <v>45715.583333333299</v>
      </c>
      <c r="J304" s="3" t="str">
        <f ca="1">IFERROR(__xludf.DUMMYFUNCTION("""COMPUTED_VALUE"""),"")</f>
        <v/>
      </c>
      <c r="K304" s="3" t="str">
        <f ca="1">IFERROR(__xludf.DUMMYFUNCTION("""COMPUTED_VALUE"""),"")</f>
        <v/>
      </c>
      <c r="L304" s="3" t="str">
        <f ca="1">IFERROR(__xludf.DUMMYFUNCTION("""COMPUTED_VALUE"""),"GSD")</f>
        <v>GSD</v>
      </c>
      <c r="M304" s="3" t="str">
        <f ca="1">IFERROR(__xludf.DUMMYFUNCTION("""COMPUTED_VALUE"""),"LBU")</f>
        <v>LBU</v>
      </c>
      <c r="N304" s="157">
        <f ca="1">IFERROR(__xludf.DUMMYFUNCTION("""COMPUTED_VALUE"""),1)</f>
        <v>1</v>
      </c>
      <c r="O304" s="157">
        <f ca="1">IFERROR(__xludf.DUMMYFUNCTION("""COMPUTED_VALUE"""),3.5)</f>
        <v>3.5</v>
      </c>
      <c r="P304" s="157"/>
      <c r="Q304" s="3">
        <f t="shared" ca="1" si="4"/>
        <v>303</v>
      </c>
      <c r="R304" s="148" t="e">
        <f ca="1"/>
        <v>#NAME?</v>
      </c>
      <c r="S304" s="147" t="e">
        <f t="shared" ca="1" si="5"/>
        <v>#NAME?</v>
      </c>
      <c r="T304" s="147" t="e">
        <f t="shared" ca="1" si="6"/>
        <v>#NAME?</v>
      </c>
      <c r="U304" s="147" t="e">
        <f t="shared" ca="1" si="8"/>
        <v>#NAME?</v>
      </c>
      <c r="X304" s="147"/>
      <c r="Y304" s="147"/>
      <c r="Z304" s="147"/>
      <c r="AA304" s="147"/>
      <c r="AB304" s="147"/>
      <c r="AC304" s="147"/>
      <c r="AD304" s="147"/>
      <c r="AE304" s="147"/>
      <c r="AF304" s="147"/>
      <c r="AG304" s="147"/>
      <c r="AH304" s="147"/>
      <c r="AI304" s="147"/>
      <c r="AJ304" s="147"/>
      <c r="AK304" s="147"/>
      <c r="AL304" s="147"/>
      <c r="AM304" s="147"/>
      <c r="AN304" s="147"/>
      <c r="AO304" s="147"/>
      <c r="AP304" s="147"/>
      <c r="AQ304" s="147"/>
    </row>
    <row r="305" spans="1:43">
      <c r="A305" s="160" t="str">
        <f ca="1">IFERROR(__xludf.DUMMYFUNCTION("""COMPUTED_VALUE"""),"143084")</f>
        <v>143084</v>
      </c>
      <c r="B305" s="3" t="str">
        <f ca="1">IFERROR(__xludf.DUMMYFUNCTION("""COMPUTED_VALUE"""),"PHAN QUỐC BÌNH")</f>
        <v>PHAN QUỐC BÌNH</v>
      </c>
      <c r="C305" s="160" t="str">
        <f ca="1">IFERROR(__xludf.DUMMYFUNCTION("""COMPUTED_VALUE"""),"EL027")</f>
        <v>EL027</v>
      </c>
      <c r="D305" s="160" t="str">
        <f ca="1">IFERROR(__xludf.DUMMYFUNCTION("""COMPUTED_VALUE"""),"Vinh Nguyen")</f>
        <v>Vinh Nguyen</v>
      </c>
      <c r="E305" s="3" t="str">
        <f ca="1">IFERROR(__xludf.DUMMYFUNCTION("""COMPUTED_VALUE"""),"Communication 2")</f>
        <v>Communication 2</v>
      </c>
      <c r="F305" s="3"/>
      <c r="G305" s="3"/>
      <c r="H305" s="156">
        <f ca="1">IFERROR(__xludf.DUMMYFUNCTION("""COMPUTED_VALUE"""),45890.5416666666)</f>
        <v>45890.541666666599</v>
      </c>
      <c r="I305" s="156">
        <f ca="1">IFERROR(__xludf.DUMMYFUNCTION("""COMPUTED_VALUE"""),45715.5833333333)</f>
        <v>45715.583333333299</v>
      </c>
      <c r="J305" s="3" t="str">
        <f ca="1">IFERROR(__xludf.DUMMYFUNCTION("""COMPUTED_VALUE"""),"")</f>
        <v/>
      </c>
      <c r="K305" s="3" t="str">
        <f ca="1">IFERROR(__xludf.DUMMYFUNCTION("""COMPUTED_VALUE"""),"")</f>
        <v/>
      </c>
      <c r="L305" s="3" t="str">
        <f ca="1">IFERROR(__xludf.DUMMYFUNCTION("""COMPUTED_VALUE"""),"BA")</f>
        <v>BA</v>
      </c>
      <c r="M305" s="3" t="str">
        <f ca="1">IFERROR(__xludf.DUMMYFUNCTION("""COMPUTED_VALUE"""),"LBU")</f>
        <v>LBU</v>
      </c>
      <c r="N305" s="157">
        <f ca="1">IFERROR(__xludf.DUMMYFUNCTION("""COMPUTED_VALUE"""),1)</f>
        <v>1</v>
      </c>
      <c r="O305" s="157">
        <f ca="1">IFERROR(__xludf.DUMMYFUNCTION("""COMPUTED_VALUE"""),1.5)</f>
        <v>1.5</v>
      </c>
      <c r="P305" s="157"/>
      <c r="Q305" s="3">
        <f t="shared" ca="1" si="4"/>
        <v>304</v>
      </c>
      <c r="R305" s="148" t="e">
        <f ca="1"/>
        <v>#NAME?</v>
      </c>
      <c r="S305" s="147" t="e">
        <f t="shared" ca="1" si="5"/>
        <v>#NAME?</v>
      </c>
      <c r="T305" s="147" t="e">
        <f t="shared" ca="1" si="6"/>
        <v>#NAME?</v>
      </c>
      <c r="U305" s="147" t="e">
        <f t="shared" ca="1" si="8"/>
        <v>#NAME?</v>
      </c>
      <c r="X305" s="147"/>
      <c r="Y305" s="147"/>
      <c r="Z305" s="147"/>
      <c r="AA305" s="147"/>
      <c r="AB305" s="147"/>
      <c r="AC305" s="147"/>
      <c r="AD305" s="147"/>
      <c r="AE305" s="147"/>
      <c r="AF305" s="147"/>
      <c r="AG305" s="147"/>
      <c r="AH305" s="147"/>
      <c r="AI305" s="147"/>
      <c r="AJ305" s="147"/>
      <c r="AK305" s="147"/>
      <c r="AL305" s="147"/>
      <c r="AM305" s="147"/>
      <c r="AN305" s="147"/>
      <c r="AO305" s="147"/>
      <c r="AP305" s="147"/>
      <c r="AQ305" s="147"/>
    </row>
    <row r="306" spans="1:43">
      <c r="A306" s="160" t="str">
        <f ca="1">IFERROR(__xludf.DUMMYFUNCTION("""COMPUTED_VALUE"""),"237226")</f>
        <v>237226</v>
      </c>
      <c r="B306" s="3" t="str">
        <f ca="1">IFERROR(__xludf.DUMMYFUNCTION("""COMPUTED_VALUE"""),"CHU KHÁNH LINH")</f>
        <v>CHU KHÁNH LINH</v>
      </c>
      <c r="C306" s="160" t="str">
        <f ca="1">IFERROR(__xludf.DUMMYFUNCTION("""COMPUTED_VALUE"""),"EL027")</f>
        <v>EL027</v>
      </c>
      <c r="D306" s="160" t="str">
        <f ca="1">IFERROR(__xludf.DUMMYFUNCTION("""COMPUTED_VALUE"""),"Vinh Nguyen")</f>
        <v>Vinh Nguyen</v>
      </c>
      <c r="E306" s="3" t="str">
        <f ca="1">IFERROR(__xludf.DUMMYFUNCTION("""COMPUTED_VALUE"""),"Communication 3")</f>
        <v>Communication 3</v>
      </c>
      <c r="F306" s="3"/>
      <c r="G306" s="3"/>
      <c r="H306" s="156">
        <f ca="1">IFERROR(__xludf.DUMMYFUNCTION("""COMPUTED_VALUE"""),46107.5833333333)</f>
        <v>46107.583333333299</v>
      </c>
      <c r="I306" s="156">
        <f ca="1">IFERROR(__xludf.DUMMYFUNCTION("""COMPUTED_VALUE"""),45715.5833333333)</f>
        <v>45715.583333333299</v>
      </c>
      <c r="J306" s="3" t="str">
        <f ca="1">IFERROR(__xludf.DUMMYFUNCTION("""COMPUTED_VALUE"""),"")</f>
        <v/>
      </c>
      <c r="K306" s="3" t="str">
        <f ca="1">IFERROR(__xludf.DUMMYFUNCTION("""COMPUTED_VALUE"""),"")</f>
        <v/>
      </c>
      <c r="L306" s="3" t="str">
        <f ca="1">IFERROR(__xludf.DUMMYFUNCTION("""COMPUTED_VALUE"""),"GSD")</f>
        <v>GSD</v>
      </c>
      <c r="M306" s="3" t="str">
        <f ca="1">IFERROR(__xludf.DUMMYFUNCTION("""COMPUTED_VALUE"""),"LBU")</f>
        <v>LBU</v>
      </c>
      <c r="N306" s="157">
        <f ca="1">IFERROR(__xludf.DUMMYFUNCTION("""COMPUTED_VALUE"""),1)</f>
        <v>1</v>
      </c>
      <c r="O306" s="157">
        <f ca="1">IFERROR(__xludf.DUMMYFUNCTION("""COMPUTED_VALUE"""),3.5)</f>
        <v>3.5</v>
      </c>
      <c r="P306" s="157"/>
      <c r="Q306" s="3">
        <f t="shared" ca="1" si="4"/>
        <v>305</v>
      </c>
      <c r="R306" s="148" t="e">
        <f ca="1"/>
        <v>#NAME?</v>
      </c>
      <c r="S306" s="147" t="e">
        <f t="shared" ca="1" si="5"/>
        <v>#NAME?</v>
      </c>
      <c r="T306" s="147" t="e">
        <f t="shared" ca="1" si="6"/>
        <v>#NAME?</v>
      </c>
      <c r="U306" s="147" t="e">
        <f t="shared" ca="1" si="8"/>
        <v>#NAME?</v>
      </c>
      <c r="X306" s="147"/>
      <c r="Y306" s="147"/>
      <c r="Z306" s="147"/>
      <c r="AA306" s="147"/>
      <c r="AB306" s="147"/>
      <c r="AC306" s="147"/>
      <c r="AD306" s="147"/>
      <c r="AE306" s="147"/>
      <c r="AF306" s="147"/>
      <c r="AG306" s="147"/>
      <c r="AH306" s="147"/>
      <c r="AI306" s="147"/>
      <c r="AJ306" s="147"/>
      <c r="AK306" s="147"/>
      <c r="AL306" s="147"/>
      <c r="AM306" s="147"/>
      <c r="AN306" s="147"/>
      <c r="AO306" s="147"/>
      <c r="AP306" s="147"/>
      <c r="AQ306" s="147"/>
    </row>
    <row r="307" spans="1:43">
      <c r="A307" s="160" t="str">
        <f ca="1">IFERROR(__xludf.DUMMYFUNCTION("""COMPUTED_VALUE"""),"173272")</f>
        <v>173272</v>
      </c>
      <c r="B307" s="3" t="str">
        <f ca="1">IFERROR(__xludf.DUMMYFUNCTION("""COMPUTED_VALUE"""),"ĐÀO SỸ THỜI")</f>
        <v>ĐÀO SỸ THỜI</v>
      </c>
      <c r="C307" s="160" t="str">
        <f ca="1">IFERROR(__xludf.DUMMYFUNCTION("""COMPUTED_VALUE"""),"EL027")</f>
        <v>EL027</v>
      </c>
      <c r="D307" s="160" t="str">
        <f ca="1">IFERROR(__xludf.DUMMYFUNCTION("""COMPUTED_VALUE"""),"Vinh Nguyen")</f>
        <v>Vinh Nguyen</v>
      </c>
      <c r="E307" s="3" t="str">
        <f ca="1">IFERROR(__xludf.DUMMYFUNCTION("""COMPUTED_VALUE"""),"Communication 3")</f>
        <v>Communication 3</v>
      </c>
      <c r="F307" s="3"/>
      <c r="G307" s="3"/>
      <c r="H307" s="156">
        <f ca="1">IFERROR(__xludf.DUMMYFUNCTION("""COMPUTED_VALUE"""),46107.5833333333)</f>
        <v>46107.583333333299</v>
      </c>
      <c r="I307" s="156">
        <f ca="1">IFERROR(__xludf.DUMMYFUNCTION("""COMPUTED_VALUE"""),45663.5833333333)</f>
        <v>45663.583333333299</v>
      </c>
      <c r="J307" s="3" t="str">
        <f ca="1">IFERROR(__xludf.DUMMYFUNCTION("""COMPUTED_VALUE"""),"")</f>
        <v/>
      </c>
      <c r="K307" s="3" t="str">
        <f ca="1">IFERROR(__xludf.DUMMYFUNCTION("""COMPUTED_VALUE"""),"")</f>
        <v/>
      </c>
      <c r="L307" s="3" t="str">
        <f ca="1">IFERROR(__xludf.DUMMYFUNCTION("""COMPUTED_VALUE"""),"GSD")</f>
        <v>GSD</v>
      </c>
      <c r="M307" s="3" t="str">
        <f ca="1">IFERROR(__xludf.DUMMYFUNCTION("""COMPUTED_VALUE"""),"LBU")</f>
        <v>LBU</v>
      </c>
      <c r="N307" s="157">
        <f ca="1">IFERROR(__xludf.DUMMYFUNCTION("""COMPUTED_VALUE"""),1)</f>
        <v>1</v>
      </c>
      <c r="O307" s="157">
        <f ca="1">IFERROR(__xludf.DUMMYFUNCTION("""COMPUTED_VALUE"""),3)</f>
        <v>3</v>
      </c>
      <c r="P307" s="157"/>
      <c r="Q307" s="3">
        <f t="shared" ca="1" si="4"/>
        <v>0</v>
      </c>
      <c r="R307" s="147"/>
      <c r="S307" s="147" t="e">
        <f t="shared" ca="1" si="5"/>
        <v>#N/A</v>
      </c>
      <c r="T307" s="147" t="e">
        <f t="shared" ca="1" si="6"/>
        <v>#NAME?</v>
      </c>
      <c r="U307" s="147" t="e">
        <f t="shared" ca="1" si="8"/>
        <v>#N/A</v>
      </c>
      <c r="X307" s="147"/>
      <c r="Y307" s="147"/>
      <c r="Z307" s="147"/>
      <c r="AA307" s="147"/>
      <c r="AB307" s="147"/>
      <c r="AC307" s="147"/>
      <c r="AD307" s="147"/>
      <c r="AE307" s="147"/>
      <c r="AF307" s="147"/>
      <c r="AG307" s="147"/>
      <c r="AH307" s="147"/>
      <c r="AI307" s="147"/>
      <c r="AJ307" s="147"/>
      <c r="AK307" s="147"/>
      <c r="AL307" s="147"/>
      <c r="AM307" s="147"/>
      <c r="AN307" s="147"/>
      <c r="AO307" s="147"/>
      <c r="AP307" s="147"/>
      <c r="AQ307" s="147"/>
    </row>
    <row r="308" spans="1:43">
      <c r="A308" s="160" t="str">
        <f ca="1">IFERROR(__xludf.DUMMYFUNCTION("""COMPUTED_VALUE"""),"193584")</f>
        <v>193584</v>
      </c>
      <c r="B308" s="3" t="str">
        <f ca="1">IFERROR(__xludf.DUMMYFUNCTION("""COMPUTED_VALUE"""),"LÂM VĂN TIẾN")</f>
        <v>LÂM VĂN TIẾN</v>
      </c>
      <c r="C308" s="160" t="str">
        <f ca="1">IFERROR(__xludf.DUMMYFUNCTION("""COMPUTED_VALUE"""),"EL027")</f>
        <v>EL027</v>
      </c>
      <c r="D308" s="160" t="str">
        <f ca="1">IFERROR(__xludf.DUMMYFUNCTION("""COMPUTED_VALUE"""),"Vinh Nguyen")</f>
        <v>Vinh Nguyen</v>
      </c>
      <c r="E308" s="3" t="str">
        <f ca="1">IFERROR(__xludf.DUMMYFUNCTION("""COMPUTED_VALUE"""),"Communication 3")</f>
        <v>Communication 3</v>
      </c>
      <c r="F308" s="3"/>
      <c r="G308" s="3"/>
      <c r="H308" s="156">
        <f ca="1">IFERROR(__xludf.DUMMYFUNCTION("""COMPUTED_VALUE"""),46107.5833333333)</f>
        <v>46107.583333333299</v>
      </c>
      <c r="I308" s="156">
        <f ca="1">IFERROR(__xludf.DUMMYFUNCTION("""COMPUTED_VALUE"""),45715.5833333333)</f>
        <v>45715.583333333299</v>
      </c>
      <c r="J308" s="3" t="str">
        <f ca="1">IFERROR(__xludf.DUMMYFUNCTION("""COMPUTED_VALUE"""),"")</f>
        <v/>
      </c>
      <c r="K308" s="3" t="str">
        <f ca="1">IFERROR(__xludf.DUMMYFUNCTION("""COMPUTED_VALUE"""),"")</f>
        <v/>
      </c>
      <c r="L308" s="3" t="str">
        <f ca="1">IFERROR(__xludf.DUMMYFUNCTION("""COMPUTED_VALUE"""),"GSD")</f>
        <v>GSD</v>
      </c>
      <c r="M308" s="3" t="str">
        <f ca="1">IFERROR(__xludf.DUMMYFUNCTION("""COMPUTED_VALUE"""),"LBU")</f>
        <v>LBU</v>
      </c>
      <c r="N308" s="157">
        <f ca="1">IFERROR(__xludf.DUMMYFUNCTION("""COMPUTED_VALUE"""),1)</f>
        <v>1</v>
      </c>
      <c r="O308" s="157">
        <f ca="1">IFERROR(__xludf.DUMMYFUNCTION("""COMPUTED_VALUE"""),3.5)</f>
        <v>3.5</v>
      </c>
      <c r="P308" s="157"/>
      <c r="Q308" s="3">
        <f t="shared" ca="1" si="4"/>
        <v>0</v>
      </c>
      <c r="R308" s="147"/>
      <c r="S308" s="147" t="e">
        <f t="shared" ca="1" si="5"/>
        <v>#N/A</v>
      </c>
      <c r="T308" s="147" t="e">
        <f t="shared" ca="1" si="6"/>
        <v>#NAME?</v>
      </c>
      <c r="U308" s="147" t="e">
        <f t="shared" ca="1" si="8"/>
        <v>#N/A</v>
      </c>
      <c r="X308" s="147"/>
      <c r="Y308" s="147"/>
      <c r="Z308" s="147"/>
      <c r="AA308" s="147"/>
      <c r="AB308" s="147"/>
      <c r="AC308" s="147"/>
      <c r="AD308" s="147"/>
      <c r="AE308" s="147"/>
      <c r="AF308" s="147"/>
      <c r="AG308" s="147"/>
      <c r="AH308" s="147"/>
      <c r="AI308" s="147"/>
      <c r="AJ308" s="147"/>
      <c r="AK308" s="147"/>
      <c r="AL308" s="147"/>
      <c r="AM308" s="147"/>
      <c r="AN308" s="147"/>
      <c r="AO308" s="147"/>
      <c r="AP308" s="147"/>
      <c r="AQ308" s="147"/>
    </row>
    <row r="309" spans="1:43">
      <c r="A309" s="160" t="str">
        <f ca="1">IFERROR(__xludf.DUMMYFUNCTION("""COMPUTED_VALUE"""),"203790")</f>
        <v>203790</v>
      </c>
      <c r="B309" s="3" t="str">
        <f ca="1">IFERROR(__xludf.DUMMYFUNCTION("""COMPUTED_VALUE"""),"NGUYỄN QUANG TRUNG")</f>
        <v>NGUYỄN QUANG TRUNG</v>
      </c>
      <c r="C309" s="160" t="str">
        <f ca="1">IFERROR(__xludf.DUMMYFUNCTION("""COMPUTED_VALUE"""),"EL027")</f>
        <v>EL027</v>
      </c>
      <c r="D309" s="160" t="str">
        <f ca="1">IFERROR(__xludf.DUMMYFUNCTION("""COMPUTED_VALUE"""),"Vinh Nguyen")</f>
        <v>Vinh Nguyen</v>
      </c>
      <c r="E309" s="3" t="str">
        <f ca="1">IFERROR(__xludf.DUMMYFUNCTION("""COMPUTED_VALUE"""),"Communication 3")</f>
        <v>Communication 3</v>
      </c>
      <c r="F309" s="3"/>
      <c r="G309" s="3"/>
      <c r="H309" s="156">
        <f ca="1">IFERROR(__xludf.DUMMYFUNCTION("""COMPUTED_VALUE"""),46107.5833333333)</f>
        <v>46107.583333333299</v>
      </c>
      <c r="I309" s="156">
        <f ca="1">IFERROR(__xludf.DUMMYFUNCTION("""COMPUTED_VALUE"""),45663.5833333333)</f>
        <v>45663.583333333299</v>
      </c>
      <c r="J309" s="3" t="str">
        <f ca="1">IFERROR(__xludf.DUMMYFUNCTION("""COMPUTED_VALUE"""),"")</f>
        <v/>
      </c>
      <c r="K309" s="3" t="str">
        <f ca="1">IFERROR(__xludf.DUMMYFUNCTION("""COMPUTED_VALUE"""),"")</f>
        <v/>
      </c>
      <c r="L309" s="3" t="str">
        <f ca="1">IFERROR(__xludf.DUMMYFUNCTION("""COMPUTED_VALUE"""),"GSD")</f>
        <v>GSD</v>
      </c>
      <c r="M309" s="3" t="str">
        <f ca="1">IFERROR(__xludf.DUMMYFUNCTION("""COMPUTED_VALUE"""),"LBU")</f>
        <v>LBU</v>
      </c>
      <c r="N309" s="157">
        <f ca="1">IFERROR(__xludf.DUMMYFUNCTION("""COMPUTED_VALUE"""),2.5)</f>
        <v>2.5</v>
      </c>
      <c r="O309" s="157">
        <f ca="1">IFERROR(__xludf.DUMMYFUNCTION("""COMPUTED_VALUE"""),3.5)</f>
        <v>3.5</v>
      </c>
      <c r="P309" s="157"/>
      <c r="R309" s="147"/>
      <c r="S309" s="147" t="e">
        <f t="shared" ca="1" si="5"/>
        <v>#N/A</v>
      </c>
      <c r="T309" s="147" t="e">
        <f t="shared" ca="1" si="6"/>
        <v>#NAME?</v>
      </c>
      <c r="U309" s="147" t="e">
        <f t="shared" ca="1" si="8"/>
        <v>#N/A</v>
      </c>
      <c r="X309" s="147"/>
      <c r="Y309" s="147"/>
      <c r="Z309" s="147"/>
      <c r="AA309" s="147"/>
      <c r="AB309" s="147"/>
      <c r="AC309" s="147"/>
      <c r="AD309" s="147"/>
      <c r="AE309" s="147"/>
      <c r="AF309" s="147"/>
      <c r="AG309" s="147"/>
      <c r="AH309" s="147"/>
      <c r="AI309" s="147"/>
      <c r="AJ309" s="147"/>
      <c r="AK309" s="147"/>
      <c r="AL309" s="147"/>
      <c r="AM309" s="147"/>
      <c r="AN309" s="147"/>
      <c r="AO309" s="147"/>
      <c r="AP309" s="147"/>
      <c r="AQ309" s="147"/>
    </row>
    <row r="310" spans="1:43">
      <c r="A310" s="160" t="str">
        <f ca="1">IFERROR(__xludf.DUMMYFUNCTION("""COMPUTED_VALUE"""),"247083")</f>
        <v>247083</v>
      </c>
      <c r="B310" s="3" t="str">
        <f ca="1">IFERROR(__xludf.DUMMYFUNCTION("""COMPUTED_VALUE"""),"NGUYỄN TRANG QUỲNH NHƯ")</f>
        <v>NGUYỄN TRANG QUỲNH NHƯ</v>
      </c>
      <c r="C310" s="160" t="str">
        <f ca="1">IFERROR(__xludf.DUMMYFUNCTION("""COMPUTED_VALUE"""),"EL027")</f>
        <v>EL027</v>
      </c>
      <c r="D310" s="160" t="str">
        <f ca="1">IFERROR(__xludf.DUMMYFUNCTION("""COMPUTED_VALUE"""),"Vinh Nguyen")</f>
        <v>Vinh Nguyen</v>
      </c>
      <c r="E310" s="3" t="str">
        <f ca="1">IFERROR(__xludf.DUMMYFUNCTION("""COMPUTED_VALUE"""),"Communication 3")</f>
        <v>Communication 3</v>
      </c>
      <c r="F310" s="3"/>
      <c r="G310" s="3"/>
      <c r="H310" s="156">
        <f ca="1">IFERROR(__xludf.DUMMYFUNCTION("""COMPUTED_VALUE"""),46107.5833333333)</f>
        <v>46107.583333333299</v>
      </c>
      <c r="I310" s="156">
        <f ca="1">IFERROR(__xludf.DUMMYFUNCTION("""COMPUTED_VALUE"""),45715.5833333333)</f>
        <v>45715.583333333299</v>
      </c>
      <c r="J310" s="3" t="str">
        <f ca="1">IFERROR(__xludf.DUMMYFUNCTION("""COMPUTED_VALUE"""),"")</f>
        <v/>
      </c>
      <c r="K310" s="3" t="str">
        <f ca="1">IFERROR(__xludf.DUMMYFUNCTION("""COMPUTED_VALUE"""),"")</f>
        <v/>
      </c>
      <c r="L310" s="3" t="str">
        <f ca="1">IFERROR(__xludf.DUMMYFUNCTION("""COMPUTED_VALUE"""),"GSD")</f>
        <v>GSD</v>
      </c>
      <c r="M310" s="3" t="str">
        <f ca="1">IFERROR(__xludf.DUMMYFUNCTION("""COMPUTED_VALUE"""),"LBU")</f>
        <v>LBU</v>
      </c>
      <c r="N310" s="157">
        <f ca="1">IFERROR(__xludf.DUMMYFUNCTION("""COMPUTED_VALUE"""),1)</f>
        <v>1</v>
      </c>
      <c r="O310" s="157">
        <f ca="1">IFERROR(__xludf.DUMMYFUNCTION("""COMPUTED_VALUE"""),3.5)</f>
        <v>3.5</v>
      </c>
      <c r="P310" s="157"/>
      <c r="R310" s="147"/>
      <c r="S310" s="147" t="e">
        <f t="shared" ca="1" si="5"/>
        <v>#N/A</v>
      </c>
      <c r="T310" s="147" t="e">
        <f t="shared" ca="1" si="6"/>
        <v>#NAME?</v>
      </c>
      <c r="U310" s="147" t="e">
        <f t="shared" ca="1" si="8"/>
        <v>#N/A</v>
      </c>
      <c r="X310" s="147"/>
      <c r="Y310" s="147"/>
      <c r="Z310" s="147"/>
      <c r="AA310" s="147"/>
      <c r="AB310" s="147"/>
      <c r="AC310" s="147"/>
      <c r="AD310" s="147"/>
      <c r="AE310" s="147"/>
      <c r="AF310" s="147"/>
      <c r="AG310" s="147"/>
      <c r="AH310" s="147"/>
      <c r="AI310" s="147"/>
      <c r="AJ310" s="147"/>
      <c r="AK310" s="147"/>
      <c r="AL310" s="147"/>
      <c r="AM310" s="147"/>
      <c r="AN310" s="147"/>
      <c r="AO310" s="147"/>
      <c r="AP310" s="147"/>
      <c r="AQ310" s="147"/>
    </row>
    <row r="311" spans="1:43">
      <c r="A311" s="160" t="str">
        <f ca="1">IFERROR(__xludf.DUMMYFUNCTION("""COMPUTED_VALUE"""),"247178")</f>
        <v>247178</v>
      </c>
      <c r="B311" s="3" t="str">
        <f ca="1">IFERROR(__xludf.DUMMYFUNCTION("""COMPUTED_VALUE"""),"NGUYỄN TRÚC DUYÊN")</f>
        <v>NGUYỄN TRÚC DUYÊN</v>
      </c>
      <c r="C311" s="160" t="str">
        <f ca="1">IFERROR(__xludf.DUMMYFUNCTION("""COMPUTED_VALUE"""),"EL027")</f>
        <v>EL027</v>
      </c>
      <c r="D311" s="160" t="str">
        <f ca="1">IFERROR(__xludf.DUMMYFUNCTION("""COMPUTED_VALUE"""),"Vinh Nguyen")</f>
        <v>Vinh Nguyen</v>
      </c>
      <c r="E311" s="3" t="str">
        <f ca="1">IFERROR(__xludf.DUMMYFUNCTION("""COMPUTED_VALUE"""),"Communication 3")</f>
        <v>Communication 3</v>
      </c>
      <c r="F311" s="3"/>
      <c r="G311" s="3"/>
      <c r="H311" s="156">
        <f ca="1">IFERROR(__xludf.DUMMYFUNCTION("""COMPUTED_VALUE"""),46107.5833333333)</f>
        <v>46107.583333333299</v>
      </c>
      <c r="I311" s="156">
        <f ca="1">IFERROR(__xludf.DUMMYFUNCTION("""COMPUTED_VALUE"""),45715.5833333333)</f>
        <v>45715.583333333299</v>
      </c>
      <c r="J311" s="3" t="str">
        <f ca="1">IFERROR(__xludf.DUMMYFUNCTION("""COMPUTED_VALUE"""),"")</f>
        <v/>
      </c>
      <c r="K311" s="3" t="str">
        <f ca="1">IFERROR(__xludf.DUMMYFUNCTION("""COMPUTED_VALUE"""),"")</f>
        <v/>
      </c>
      <c r="L311" s="3" t="str">
        <f ca="1">IFERROR(__xludf.DUMMYFUNCTION("""COMPUTED_VALUE"""),"GSD")</f>
        <v>GSD</v>
      </c>
      <c r="M311" s="3" t="str">
        <f ca="1">IFERROR(__xludf.DUMMYFUNCTION("""COMPUTED_VALUE"""),"LBU")</f>
        <v>LBU</v>
      </c>
      <c r="N311" s="157">
        <f ca="1">IFERROR(__xludf.DUMMYFUNCTION("""COMPUTED_VALUE"""),1)</f>
        <v>1</v>
      </c>
      <c r="O311" s="157">
        <f ca="1">IFERROR(__xludf.DUMMYFUNCTION("""COMPUTED_VALUE"""),3)</f>
        <v>3</v>
      </c>
      <c r="P311" s="157"/>
      <c r="R311" s="147"/>
      <c r="S311" s="147" t="e">
        <f t="shared" ca="1" si="5"/>
        <v>#N/A</v>
      </c>
      <c r="T311" s="147" t="e">
        <f t="shared" ca="1" si="6"/>
        <v>#NAME?</v>
      </c>
      <c r="U311" s="147" t="e">
        <f t="shared" ca="1" si="8"/>
        <v>#N/A</v>
      </c>
      <c r="X311" s="147"/>
      <c r="Y311" s="147"/>
      <c r="Z311" s="147"/>
      <c r="AA311" s="147"/>
      <c r="AB311" s="147"/>
      <c r="AC311" s="147"/>
      <c r="AD311" s="147"/>
      <c r="AE311" s="147"/>
      <c r="AF311" s="147"/>
      <c r="AG311" s="147"/>
      <c r="AH311" s="147"/>
      <c r="AI311" s="147"/>
      <c r="AJ311" s="147"/>
      <c r="AK311" s="147"/>
      <c r="AL311" s="147"/>
      <c r="AM311" s="147"/>
      <c r="AN311" s="147"/>
      <c r="AO311" s="147"/>
      <c r="AP311" s="147"/>
      <c r="AQ311" s="147"/>
    </row>
    <row r="312" spans="1:43">
      <c r="A312" s="160" t="str">
        <f ca="1">IFERROR(__xludf.DUMMYFUNCTION("""COMPUTED_VALUE"""),"143084")</f>
        <v>143084</v>
      </c>
      <c r="B312" s="3" t="str">
        <f ca="1">IFERROR(__xludf.DUMMYFUNCTION("""COMPUTED_VALUE"""),"PHAN QUỐC BÌNH")</f>
        <v>PHAN QUỐC BÌNH</v>
      </c>
      <c r="C312" s="160" t="str">
        <f ca="1">IFERROR(__xludf.DUMMYFUNCTION("""COMPUTED_VALUE"""),"EL027")</f>
        <v>EL027</v>
      </c>
      <c r="D312" s="160" t="str">
        <f ca="1">IFERROR(__xludf.DUMMYFUNCTION("""COMPUTED_VALUE"""),"Vinh Nguyen")</f>
        <v>Vinh Nguyen</v>
      </c>
      <c r="E312" s="3" t="str">
        <f ca="1">IFERROR(__xludf.DUMMYFUNCTION("""COMPUTED_VALUE"""),"Communication 3")</f>
        <v>Communication 3</v>
      </c>
      <c r="F312" s="3"/>
      <c r="G312" s="3"/>
      <c r="H312" s="156">
        <f ca="1">IFERROR(__xludf.DUMMYFUNCTION("""COMPUTED_VALUE"""),46107.5833333333)</f>
        <v>46107.583333333299</v>
      </c>
      <c r="I312" s="156">
        <f ca="1">IFERROR(__xludf.DUMMYFUNCTION("""COMPUTED_VALUE"""),45715.5833333333)</f>
        <v>45715.583333333299</v>
      </c>
      <c r="J312" s="3" t="str">
        <f ca="1">IFERROR(__xludf.DUMMYFUNCTION("""COMPUTED_VALUE"""),"")</f>
        <v/>
      </c>
      <c r="K312" s="3" t="str">
        <f ca="1">IFERROR(__xludf.DUMMYFUNCTION("""COMPUTED_VALUE"""),"")</f>
        <v/>
      </c>
      <c r="L312" s="3" t="str">
        <f ca="1">IFERROR(__xludf.DUMMYFUNCTION("""COMPUTED_VALUE"""),"BA")</f>
        <v>BA</v>
      </c>
      <c r="M312" s="3" t="str">
        <f ca="1">IFERROR(__xludf.DUMMYFUNCTION("""COMPUTED_VALUE"""),"LBU")</f>
        <v>LBU</v>
      </c>
      <c r="N312" s="157">
        <f ca="1">IFERROR(__xludf.DUMMYFUNCTION("""COMPUTED_VALUE"""),1)</f>
        <v>1</v>
      </c>
      <c r="O312" s="157">
        <f ca="1">IFERROR(__xludf.DUMMYFUNCTION("""COMPUTED_VALUE"""),1.5)</f>
        <v>1.5</v>
      </c>
      <c r="P312" s="157"/>
      <c r="R312" s="147"/>
      <c r="S312" s="147" t="e">
        <f t="shared" ca="1" si="5"/>
        <v>#N/A</v>
      </c>
      <c r="T312" s="147" t="e">
        <f t="shared" ca="1" si="6"/>
        <v>#NAME?</v>
      </c>
      <c r="U312" s="147" t="e">
        <f t="shared" ca="1" si="8"/>
        <v>#N/A</v>
      </c>
      <c r="X312" s="147"/>
      <c r="Y312" s="147"/>
      <c r="Z312" s="147"/>
      <c r="AA312" s="147"/>
      <c r="AB312" s="147"/>
      <c r="AC312" s="147"/>
      <c r="AD312" s="147"/>
      <c r="AE312" s="147"/>
      <c r="AF312" s="147"/>
      <c r="AG312" s="147"/>
      <c r="AH312" s="147"/>
      <c r="AI312" s="147"/>
      <c r="AJ312" s="147"/>
      <c r="AK312" s="147"/>
      <c r="AL312" s="147"/>
      <c r="AM312" s="147"/>
      <c r="AN312" s="147"/>
      <c r="AO312" s="147"/>
      <c r="AP312" s="147"/>
      <c r="AQ312" s="147"/>
    </row>
    <row r="313" spans="1:43">
      <c r="A313" s="160" t="str">
        <f ca="1">IFERROR(__xludf.DUMMYFUNCTION("""COMPUTED_VALUE"""),"143071")</f>
        <v>143071</v>
      </c>
      <c r="B313" s="3" t="str">
        <f ca="1">IFERROR(__xludf.DUMMYFUNCTION("""COMPUTED_VALUE"""),"LÊ ĐẮC CƯỜNG")</f>
        <v>LÊ ĐẮC CƯỜNG</v>
      </c>
      <c r="C313" s="160" t="str">
        <f ca="1">IFERROR(__xludf.DUMMYFUNCTION("""COMPUTED_VALUE"""),"EL028")</f>
        <v>EL028</v>
      </c>
      <c r="D313" s="160" t="str">
        <f ca="1">IFERROR(__xludf.DUMMYFUNCTION("""COMPUTED_VALUE"""),"Yen Tran 1")</f>
        <v>Yen Tran 1</v>
      </c>
      <c r="E313" s="3" t="str">
        <f ca="1">IFERROR(__xludf.DUMMYFUNCTION("""COMPUTED_VALUE"""),"Communication 1")</f>
        <v>Communication 1</v>
      </c>
      <c r="F313" s="3" t="str">
        <f ca="1">IFERROR(__xludf.DUMMYFUNCTION("""COMPUTED_VALUE"""),"Intermediate")</f>
        <v>Intermediate</v>
      </c>
      <c r="G313" s="3"/>
      <c r="H313" s="156">
        <f ca="1">IFERROR(__xludf.DUMMYFUNCTION("""COMPUTED_VALUE"""),45638.4583333333)</f>
        <v>45638.458333333299</v>
      </c>
      <c r="I313" s="156">
        <f ca="1">IFERROR(__xludf.DUMMYFUNCTION("""COMPUTED_VALUE"""),45638.4583333333)</f>
        <v>45638.458333333299</v>
      </c>
      <c r="J313" s="3">
        <f ca="1">IFERROR(__xludf.DUMMYFUNCTION("""COMPUTED_VALUE"""),4.5)</f>
        <v>4.5</v>
      </c>
      <c r="K313" s="3" t="str">
        <f ca="1">IFERROR(__xludf.DUMMYFUNCTION("""COMPUTED_VALUE"""),"")</f>
        <v/>
      </c>
      <c r="L313" s="3" t="str">
        <f ca="1">IFERROR(__xludf.DUMMYFUNCTION("""COMPUTED_VALUE"""),"Management")</f>
        <v>Management</v>
      </c>
      <c r="M313" s="3" t="str">
        <f ca="1">IFERROR(__xludf.DUMMYFUNCTION("""COMPUTED_VALUE"""),"CHORUS")</f>
        <v>CHORUS</v>
      </c>
      <c r="N313" s="157">
        <f ca="1">IFERROR(__xludf.DUMMYFUNCTION("""COMPUTED_VALUE"""),4.5)</f>
        <v>4.5</v>
      </c>
      <c r="O313" s="157">
        <f ca="1">IFERROR(__xludf.DUMMYFUNCTION("""COMPUTED_VALUE"""),0)</f>
        <v>0</v>
      </c>
      <c r="P313" s="157"/>
      <c r="R313" s="147"/>
      <c r="S313" s="147" t="e">
        <f t="shared" ca="1" si="5"/>
        <v>#N/A</v>
      </c>
      <c r="T313" s="147" t="e">
        <f t="shared" ca="1" si="6"/>
        <v>#NAME?</v>
      </c>
      <c r="U313" s="147" t="e">
        <f t="shared" ca="1" si="8"/>
        <v>#N/A</v>
      </c>
      <c r="X313" s="147"/>
      <c r="Y313" s="147"/>
      <c r="Z313" s="147"/>
      <c r="AA313" s="147"/>
      <c r="AB313" s="147"/>
      <c r="AC313" s="147"/>
      <c r="AD313" s="147"/>
      <c r="AE313" s="147"/>
      <c r="AF313" s="147"/>
      <c r="AG313" s="147"/>
      <c r="AH313" s="147"/>
      <c r="AI313" s="147"/>
      <c r="AJ313" s="147"/>
      <c r="AK313" s="147"/>
      <c r="AL313" s="147"/>
      <c r="AM313" s="147"/>
      <c r="AN313" s="147"/>
      <c r="AO313" s="147"/>
      <c r="AP313" s="147"/>
      <c r="AQ313" s="147"/>
    </row>
    <row r="314" spans="1:43">
      <c r="A314" s="160" t="str">
        <f ca="1">IFERROR(__xludf.DUMMYFUNCTION("""COMPUTED_VALUE"""),"237006")</f>
        <v>237006</v>
      </c>
      <c r="B314" s="3" t="str">
        <f ca="1">IFERROR(__xludf.DUMMYFUNCTION("""COMPUTED_VALUE"""),"ĐỖ THANH TÙNG")</f>
        <v>ĐỖ THANH TÙNG</v>
      </c>
      <c r="C314" s="160" t="str">
        <f ca="1">IFERROR(__xludf.DUMMYFUNCTION("""COMPUTED_VALUE"""),"EL028")</f>
        <v>EL028</v>
      </c>
      <c r="D314" s="160" t="str">
        <f ca="1">IFERROR(__xludf.DUMMYFUNCTION("""COMPUTED_VALUE"""),"Yen Tran 1")</f>
        <v>Yen Tran 1</v>
      </c>
      <c r="E314" s="3" t="str">
        <f ca="1">IFERROR(__xludf.DUMMYFUNCTION("""COMPUTED_VALUE"""),"Communication 1")</f>
        <v>Communication 1</v>
      </c>
      <c r="F314" s="3" t="str">
        <f ca="1">IFERROR(__xludf.DUMMYFUNCTION("""COMPUTED_VALUE"""),"Beginner")</f>
        <v>Beginner</v>
      </c>
      <c r="G314" s="3" t="str">
        <f ca="1">IFERROR(__xludf.DUMMYFUNCTION("""COMPUTED_VALUE"""),"Beginner")</f>
        <v>Beginner</v>
      </c>
      <c r="H314" s="156">
        <f ca="1">IFERROR(__xludf.DUMMYFUNCTION("""COMPUTED_VALUE"""),45638.4583333333)</f>
        <v>45638.458333333299</v>
      </c>
      <c r="I314" s="156">
        <f ca="1">IFERROR(__xludf.DUMMYFUNCTION("""COMPUTED_VALUE"""),45638.4583333333)</f>
        <v>45638.458333333299</v>
      </c>
      <c r="J314" s="3">
        <f ca="1">IFERROR(__xludf.DUMMYFUNCTION("""COMPUTED_VALUE"""),1)</f>
        <v>1</v>
      </c>
      <c r="K314" s="3">
        <f ca="1">IFERROR(__xludf.DUMMYFUNCTION("""COMPUTED_VALUE"""),1)</f>
        <v>1</v>
      </c>
      <c r="L314" s="3" t="str">
        <f ca="1">IFERROR(__xludf.DUMMYFUNCTION("""COMPUTED_VALUE"""),"QC")</f>
        <v>QC</v>
      </c>
      <c r="M314" s="3" t="str">
        <f ca="1">IFERROR(__xludf.DUMMYFUNCTION("""COMPUTED_VALUE"""),"CHORUS")</f>
        <v>CHORUS</v>
      </c>
      <c r="N314" s="157">
        <f ca="1">IFERROR(__xludf.DUMMYFUNCTION("""COMPUTED_VALUE"""),1)</f>
        <v>1</v>
      </c>
      <c r="O314" s="157">
        <f ca="1">IFERROR(__xludf.DUMMYFUNCTION("""COMPUTED_VALUE"""),1)</f>
        <v>1</v>
      </c>
      <c r="P314" s="157"/>
      <c r="R314" s="147"/>
      <c r="S314" s="147" t="e">
        <f t="shared" ca="1" si="5"/>
        <v>#N/A</v>
      </c>
      <c r="T314" s="147" t="e">
        <f t="shared" ca="1" si="6"/>
        <v>#NAME?</v>
      </c>
      <c r="U314" s="147" t="e">
        <f t="shared" ca="1" si="8"/>
        <v>#N/A</v>
      </c>
      <c r="X314" s="147"/>
      <c r="Y314" s="147"/>
      <c r="Z314" s="147"/>
      <c r="AA314" s="147"/>
      <c r="AB314" s="147"/>
      <c r="AC314" s="147"/>
      <c r="AD314" s="147"/>
      <c r="AE314" s="147"/>
      <c r="AF314" s="147"/>
      <c r="AG314" s="147"/>
      <c r="AH314" s="147"/>
      <c r="AI314" s="147"/>
      <c r="AJ314" s="147"/>
      <c r="AK314" s="147"/>
      <c r="AL314" s="147"/>
      <c r="AM314" s="147"/>
      <c r="AN314" s="147"/>
      <c r="AO314" s="147"/>
      <c r="AP314" s="147"/>
      <c r="AQ314" s="147"/>
    </row>
    <row r="315" spans="1:43">
      <c r="A315" s="160" t="str">
        <f ca="1">IFERROR(__xludf.DUMMYFUNCTION("""COMPUTED_VALUE"""),"227200")</f>
        <v>227200</v>
      </c>
      <c r="B315" s="3" t="str">
        <f ca="1">IFERROR(__xludf.DUMMYFUNCTION("""COMPUTED_VALUE"""),"LÊ CÔNG DUY")</f>
        <v>LÊ CÔNG DUY</v>
      </c>
      <c r="C315" s="160" t="str">
        <f ca="1">IFERROR(__xludf.DUMMYFUNCTION("""COMPUTED_VALUE"""),"EL028")</f>
        <v>EL028</v>
      </c>
      <c r="D315" s="160" t="str">
        <f ca="1">IFERROR(__xludf.DUMMYFUNCTION("""COMPUTED_VALUE"""),"Yen Tran 1")</f>
        <v>Yen Tran 1</v>
      </c>
      <c r="E315" s="3" t="str">
        <f ca="1">IFERROR(__xludf.DUMMYFUNCTION("""COMPUTED_VALUE"""),"Communication 1")</f>
        <v>Communication 1</v>
      </c>
      <c r="F315" s="3" t="str">
        <f ca="1">IFERROR(__xludf.DUMMYFUNCTION("""COMPUTED_VALUE"""),"Beginner")</f>
        <v>Beginner</v>
      </c>
      <c r="G315" s="3" t="str">
        <f ca="1">IFERROR(__xludf.DUMMYFUNCTION("""COMPUTED_VALUE"""),"Beginner")</f>
        <v>Beginner</v>
      </c>
      <c r="H315" s="156">
        <f ca="1">IFERROR(__xludf.DUMMYFUNCTION("""COMPUTED_VALUE"""),45638.4583333333)</f>
        <v>45638.458333333299</v>
      </c>
      <c r="I315" s="156">
        <f ca="1">IFERROR(__xludf.DUMMYFUNCTION("""COMPUTED_VALUE"""),45638.4583333333)</f>
        <v>45638.458333333299</v>
      </c>
      <c r="J315" s="3">
        <f ca="1">IFERROR(__xludf.DUMMYFUNCTION("""COMPUTED_VALUE"""),1)</f>
        <v>1</v>
      </c>
      <c r="K315" s="3">
        <f ca="1">IFERROR(__xludf.DUMMYFUNCTION("""COMPUTED_VALUE"""),1)</f>
        <v>1</v>
      </c>
      <c r="L315" s="3" t="str">
        <f ca="1">IFERROR(__xludf.DUMMYFUNCTION("""COMPUTED_VALUE"""),"UI/UX")</f>
        <v>UI/UX</v>
      </c>
      <c r="M315" s="3" t="str">
        <f ca="1">IFERROR(__xludf.DUMMYFUNCTION("""COMPUTED_VALUE"""),"CHORUS")</f>
        <v>CHORUS</v>
      </c>
      <c r="N315" s="157">
        <f ca="1">IFERROR(__xludf.DUMMYFUNCTION("""COMPUTED_VALUE"""),1)</f>
        <v>1</v>
      </c>
      <c r="O315" s="157">
        <f ca="1">IFERROR(__xludf.DUMMYFUNCTION("""COMPUTED_VALUE"""),1)</f>
        <v>1</v>
      </c>
      <c r="P315" s="157"/>
      <c r="R315" s="147"/>
      <c r="S315" s="147" t="e">
        <f t="shared" ca="1" si="5"/>
        <v>#N/A</v>
      </c>
      <c r="T315" s="147" t="e">
        <f t="shared" ca="1" si="6"/>
        <v>#NAME?</v>
      </c>
      <c r="U315" s="147" t="e">
        <f t="shared" ca="1" si="8"/>
        <v>#N/A</v>
      </c>
      <c r="X315" s="147"/>
      <c r="Y315" s="147"/>
      <c r="Z315" s="147"/>
      <c r="AA315" s="147"/>
      <c r="AB315" s="147"/>
      <c r="AC315" s="147"/>
      <c r="AD315" s="147"/>
      <c r="AE315" s="147"/>
      <c r="AF315" s="147"/>
      <c r="AG315" s="147"/>
      <c r="AH315" s="147"/>
      <c r="AI315" s="147"/>
      <c r="AJ315" s="147"/>
      <c r="AK315" s="147"/>
      <c r="AL315" s="147"/>
      <c r="AM315" s="147"/>
      <c r="AN315" s="147"/>
      <c r="AO315" s="147"/>
      <c r="AP315" s="147"/>
      <c r="AQ315" s="147"/>
    </row>
    <row r="316" spans="1:43">
      <c r="A316" s="160" t="str">
        <f ca="1">IFERROR(__xludf.DUMMYFUNCTION("""COMPUTED_VALUE"""),"227225")</f>
        <v>227225</v>
      </c>
      <c r="B316" s="3" t="str">
        <f ca="1">IFERROR(__xludf.DUMMYFUNCTION("""COMPUTED_VALUE"""),"NGUYỄN PHI LONG")</f>
        <v>NGUYỄN PHI LONG</v>
      </c>
      <c r="C316" s="160" t="str">
        <f ca="1">IFERROR(__xludf.DUMMYFUNCTION("""COMPUTED_VALUE"""),"EL028")</f>
        <v>EL028</v>
      </c>
      <c r="D316" s="160" t="str">
        <f ca="1">IFERROR(__xludf.DUMMYFUNCTION("""COMPUTED_VALUE"""),"Yen Tran 1")</f>
        <v>Yen Tran 1</v>
      </c>
      <c r="E316" s="3" t="str">
        <f ca="1">IFERROR(__xludf.DUMMYFUNCTION("""COMPUTED_VALUE"""),"Communication 1")</f>
        <v>Communication 1</v>
      </c>
      <c r="F316" s="3" t="str">
        <f ca="1">IFERROR(__xludf.DUMMYFUNCTION("""COMPUTED_VALUE"""),"Beginner")</f>
        <v>Beginner</v>
      </c>
      <c r="G316" s="3" t="str">
        <f ca="1">IFERROR(__xludf.DUMMYFUNCTION("""COMPUTED_VALUE"""),"Pre-Intermediate 1")</f>
        <v>Pre-Intermediate 1</v>
      </c>
      <c r="H316" s="156">
        <f ca="1">IFERROR(__xludf.DUMMYFUNCTION("""COMPUTED_VALUE"""),45638.4583333333)</f>
        <v>45638.458333333299</v>
      </c>
      <c r="I316" s="156">
        <f ca="1">IFERROR(__xludf.DUMMYFUNCTION("""COMPUTED_VALUE"""),45638.4583333333)</f>
        <v>45638.458333333299</v>
      </c>
      <c r="J316" s="3">
        <f ca="1">IFERROR(__xludf.DUMMYFUNCTION("""COMPUTED_VALUE"""),1)</f>
        <v>1</v>
      </c>
      <c r="K316" s="3">
        <f ca="1">IFERROR(__xludf.DUMMYFUNCTION("""COMPUTED_VALUE"""),3)</f>
        <v>3</v>
      </c>
      <c r="L316" s="3" t="str">
        <f ca="1">IFERROR(__xludf.DUMMYFUNCTION("""COMPUTED_VALUE"""),"DEV")</f>
        <v>DEV</v>
      </c>
      <c r="M316" s="3" t="str">
        <f ca="1">IFERROR(__xludf.DUMMYFUNCTION("""COMPUTED_VALUE"""),"CHORUS")</f>
        <v>CHORUS</v>
      </c>
      <c r="N316" s="157">
        <f ca="1">IFERROR(__xludf.DUMMYFUNCTION("""COMPUTED_VALUE"""),1)</f>
        <v>1</v>
      </c>
      <c r="O316" s="157">
        <f ca="1">IFERROR(__xludf.DUMMYFUNCTION("""COMPUTED_VALUE"""),3)</f>
        <v>3</v>
      </c>
      <c r="P316" s="157"/>
      <c r="R316" s="147"/>
      <c r="S316" s="147" t="e">
        <f t="shared" ca="1" si="5"/>
        <v>#N/A</v>
      </c>
      <c r="T316" s="147" t="e">
        <f t="shared" ca="1" si="6"/>
        <v>#NAME?</v>
      </c>
      <c r="U316" s="147" t="e">
        <f t="shared" ca="1" si="8"/>
        <v>#N/A</v>
      </c>
      <c r="X316" s="147"/>
      <c r="Y316" s="147"/>
      <c r="Z316" s="147"/>
      <c r="AA316" s="147"/>
      <c r="AB316" s="147"/>
      <c r="AC316" s="147"/>
      <c r="AD316" s="147"/>
      <c r="AE316" s="147"/>
      <c r="AF316" s="147"/>
      <c r="AG316" s="147"/>
      <c r="AH316" s="147"/>
      <c r="AI316" s="147"/>
      <c r="AJ316" s="147"/>
      <c r="AK316" s="147"/>
      <c r="AL316" s="147"/>
      <c r="AM316" s="147"/>
      <c r="AN316" s="147"/>
      <c r="AO316" s="147"/>
      <c r="AP316" s="147"/>
      <c r="AQ316" s="147"/>
    </row>
    <row r="317" spans="1:43">
      <c r="A317" s="160" t="str">
        <f ca="1">IFERROR(__xludf.DUMMYFUNCTION("""COMPUTED_VALUE"""),"193544")</f>
        <v>193544</v>
      </c>
      <c r="B317" s="3" t="str">
        <f ca="1">IFERROR(__xludf.DUMMYFUNCTION("""COMPUTED_VALUE"""),"VŨ ANH THƯ")</f>
        <v>VŨ ANH THƯ</v>
      </c>
      <c r="C317" s="160" t="str">
        <f ca="1">IFERROR(__xludf.DUMMYFUNCTION("""COMPUTED_VALUE"""),"EL028")</f>
        <v>EL028</v>
      </c>
      <c r="D317" s="160" t="str">
        <f ca="1">IFERROR(__xludf.DUMMYFUNCTION("""COMPUTED_VALUE"""),"Yen Tran 1")</f>
        <v>Yen Tran 1</v>
      </c>
      <c r="E317" s="3" t="str">
        <f ca="1">IFERROR(__xludf.DUMMYFUNCTION("""COMPUTED_VALUE"""),"Communication 1")</f>
        <v>Communication 1</v>
      </c>
      <c r="F317" s="3" t="str">
        <f ca="1">IFERROR(__xludf.DUMMYFUNCTION("""COMPUTED_VALUE"""),"Pre-Intermediate")</f>
        <v>Pre-Intermediate</v>
      </c>
      <c r="G317" s="3" t="str">
        <f ca="1">IFERROR(__xludf.DUMMYFUNCTION("""COMPUTED_VALUE"""),"Intermediate")</f>
        <v>Intermediate</v>
      </c>
      <c r="H317" s="156">
        <f ca="1">IFERROR(__xludf.DUMMYFUNCTION("""COMPUTED_VALUE"""),45638.4583333333)</f>
        <v>45638.458333333299</v>
      </c>
      <c r="I317" s="156">
        <f ca="1">IFERROR(__xludf.DUMMYFUNCTION("""COMPUTED_VALUE"""),45638.4583333333)</f>
        <v>45638.458333333299</v>
      </c>
      <c r="J317" s="3">
        <f ca="1">IFERROR(__xludf.DUMMYFUNCTION("""COMPUTED_VALUE"""),2.5)</f>
        <v>2.5</v>
      </c>
      <c r="K317" s="3">
        <f ca="1">IFERROR(__xludf.DUMMYFUNCTION("""COMPUTED_VALUE"""),4.5)</f>
        <v>4.5</v>
      </c>
      <c r="L317" s="3" t="str">
        <f ca="1">IFERROR(__xludf.DUMMYFUNCTION("""COMPUTED_VALUE"""),"PPO")</f>
        <v>PPO</v>
      </c>
      <c r="M317" s="3" t="str">
        <f ca="1">IFERROR(__xludf.DUMMYFUNCTION("""COMPUTED_VALUE"""),"CHORUS")</f>
        <v>CHORUS</v>
      </c>
      <c r="N317" s="157">
        <f ca="1">IFERROR(__xludf.DUMMYFUNCTION("""COMPUTED_VALUE"""),2.5)</f>
        <v>2.5</v>
      </c>
      <c r="O317" s="157">
        <f ca="1">IFERROR(__xludf.DUMMYFUNCTION("""COMPUTED_VALUE"""),4.5)</f>
        <v>4.5</v>
      </c>
      <c r="P317" s="157"/>
      <c r="R317" s="147"/>
      <c r="S317" s="147" t="e">
        <f t="shared" ca="1" si="5"/>
        <v>#N/A</v>
      </c>
      <c r="T317" s="147" t="e">
        <f t="shared" ca="1" si="6"/>
        <v>#NAME?</v>
      </c>
      <c r="U317" s="147" t="e">
        <f t="shared" ca="1" si="8"/>
        <v>#N/A</v>
      </c>
      <c r="X317" s="147"/>
      <c r="Y317" s="147"/>
      <c r="Z317" s="147"/>
      <c r="AA317" s="147"/>
      <c r="AB317" s="147"/>
      <c r="AC317" s="147"/>
      <c r="AD317" s="147"/>
      <c r="AE317" s="147"/>
      <c r="AF317" s="147"/>
      <c r="AG317" s="147"/>
      <c r="AH317" s="147"/>
      <c r="AI317" s="147"/>
      <c r="AJ317" s="147"/>
      <c r="AK317" s="147"/>
      <c r="AL317" s="147"/>
      <c r="AM317" s="147"/>
      <c r="AN317" s="147"/>
      <c r="AO317" s="147"/>
      <c r="AP317" s="147"/>
      <c r="AQ317" s="147"/>
    </row>
    <row r="318" spans="1:43">
      <c r="A318" s="160" t="str">
        <f ca="1">IFERROR(__xludf.DUMMYFUNCTION("""COMPUTED_VALUE"""),"227240")</f>
        <v>227240</v>
      </c>
      <c r="B318" s="3" t="str">
        <f ca="1">IFERROR(__xludf.DUMMYFUNCTION("""COMPUTED_VALUE"""),"VŨ ANH TÚ")</f>
        <v>VŨ ANH TÚ</v>
      </c>
      <c r="C318" s="160" t="str">
        <f ca="1">IFERROR(__xludf.DUMMYFUNCTION("""COMPUTED_VALUE"""),"EL028")</f>
        <v>EL028</v>
      </c>
      <c r="D318" s="160" t="str">
        <f ca="1">IFERROR(__xludf.DUMMYFUNCTION("""COMPUTED_VALUE"""),"Yen Tran 1")</f>
        <v>Yen Tran 1</v>
      </c>
      <c r="E318" s="3" t="str">
        <f ca="1">IFERROR(__xludf.DUMMYFUNCTION("""COMPUTED_VALUE"""),"Communication 1")</f>
        <v>Communication 1</v>
      </c>
      <c r="F318" s="3" t="str">
        <f ca="1">IFERROR(__xludf.DUMMYFUNCTION("""COMPUTED_VALUE"""),"Beginner")</f>
        <v>Beginner</v>
      </c>
      <c r="G318" s="3"/>
      <c r="H318" s="156">
        <f ca="1">IFERROR(__xludf.DUMMYFUNCTION("""COMPUTED_VALUE"""),45638.4583333333)</f>
        <v>45638.458333333299</v>
      </c>
      <c r="I318" s="156">
        <f ca="1">IFERROR(__xludf.DUMMYFUNCTION("""COMPUTED_VALUE"""),45638.4583333333)</f>
        <v>45638.458333333299</v>
      </c>
      <c r="J318" s="3">
        <f ca="1">IFERROR(__xludf.DUMMYFUNCTION("""COMPUTED_VALUE"""),1)</f>
        <v>1</v>
      </c>
      <c r="K318" s="3" t="str">
        <f ca="1">IFERROR(__xludf.DUMMYFUNCTION("""COMPUTED_VALUE"""),"")</f>
        <v/>
      </c>
      <c r="L318" s="3" t="str">
        <f ca="1">IFERROR(__xludf.DUMMYFUNCTION("""COMPUTED_VALUE"""),"DEV")</f>
        <v>DEV</v>
      </c>
      <c r="M318" s="3" t="str">
        <f ca="1">IFERROR(__xludf.DUMMYFUNCTION("""COMPUTED_VALUE"""),"CHORUS")</f>
        <v>CHORUS</v>
      </c>
      <c r="N318" s="157">
        <f ca="1">IFERROR(__xludf.DUMMYFUNCTION("""COMPUTED_VALUE"""),1)</f>
        <v>1</v>
      </c>
      <c r="O318" s="157">
        <f ca="1">IFERROR(__xludf.DUMMYFUNCTION("""COMPUTED_VALUE"""),0)</f>
        <v>0</v>
      </c>
      <c r="P318" s="157"/>
      <c r="R318" s="147"/>
      <c r="S318" s="147" t="e">
        <f t="shared" ca="1" si="5"/>
        <v>#N/A</v>
      </c>
      <c r="T318" s="147" t="e">
        <f t="shared" ca="1" si="6"/>
        <v>#NAME?</v>
      </c>
      <c r="U318" s="147" t="e">
        <f t="shared" ca="1" si="8"/>
        <v>#N/A</v>
      </c>
      <c r="X318" s="147"/>
      <c r="Y318" s="147"/>
      <c r="Z318" s="147"/>
      <c r="AA318" s="147"/>
      <c r="AB318" s="147"/>
      <c r="AC318" s="147"/>
      <c r="AD318" s="147"/>
      <c r="AE318" s="147"/>
      <c r="AF318" s="147"/>
      <c r="AG318" s="147"/>
      <c r="AH318" s="147"/>
      <c r="AI318" s="147"/>
      <c r="AJ318" s="147"/>
      <c r="AK318" s="147"/>
      <c r="AL318" s="147"/>
      <c r="AM318" s="147"/>
      <c r="AN318" s="147"/>
      <c r="AO318" s="147"/>
      <c r="AP318" s="147"/>
      <c r="AQ318" s="147"/>
    </row>
    <row r="319" spans="1:43">
      <c r="A319" s="160" t="str">
        <f ca="1">IFERROR(__xludf.DUMMYFUNCTION("""COMPUTED_VALUE"""),"237006")</f>
        <v>237006</v>
      </c>
      <c r="B319" s="3" t="str">
        <f ca="1">IFERROR(__xludf.DUMMYFUNCTION("""COMPUTED_VALUE"""),"ĐỖ THANH TÙNG")</f>
        <v>ĐỖ THANH TÙNG</v>
      </c>
      <c r="C319" s="160" t="str">
        <f ca="1">IFERROR(__xludf.DUMMYFUNCTION("""COMPUTED_VALUE"""),"EL028")</f>
        <v>EL028</v>
      </c>
      <c r="D319" s="160" t="str">
        <f ca="1">IFERROR(__xludf.DUMMYFUNCTION("""COMPUTED_VALUE"""),"Yen Tran 1")</f>
        <v>Yen Tran 1</v>
      </c>
      <c r="E319" s="3" t="str">
        <f ca="1">IFERROR(__xludf.DUMMYFUNCTION("""COMPUTED_VALUE"""),"Communication 2")</f>
        <v>Communication 2</v>
      </c>
      <c r="F319" s="3" t="str">
        <f ca="1">IFERROR(__xludf.DUMMYFUNCTION("""COMPUTED_VALUE"""),"Beginner")</f>
        <v>Beginner</v>
      </c>
      <c r="G319" s="3" t="str">
        <f ca="1">IFERROR(__xludf.DUMMYFUNCTION("""COMPUTED_VALUE"""),"Beginner")</f>
        <v>Beginner</v>
      </c>
      <c r="H319" s="156">
        <f ca="1">IFERROR(__xludf.DUMMYFUNCTION("""COMPUTED_VALUE"""),0)</f>
        <v>0</v>
      </c>
      <c r="I319" s="156">
        <f ca="1">IFERROR(__xludf.DUMMYFUNCTION("""COMPUTED_VALUE"""),45638.4583333333)</f>
        <v>45638.458333333299</v>
      </c>
      <c r="J319" s="3">
        <f ca="1">IFERROR(__xludf.DUMMYFUNCTION("""COMPUTED_VALUE"""),1)</f>
        <v>1</v>
      </c>
      <c r="K319" s="3">
        <f ca="1">IFERROR(__xludf.DUMMYFUNCTION("""COMPUTED_VALUE"""),1)</f>
        <v>1</v>
      </c>
      <c r="L319" s="3" t="str">
        <f ca="1">IFERROR(__xludf.DUMMYFUNCTION("""COMPUTED_VALUE"""),"QC")</f>
        <v>QC</v>
      </c>
      <c r="M319" s="3" t="str">
        <f ca="1">IFERROR(__xludf.DUMMYFUNCTION("""COMPUTED_VALUE"""),"CHORUS")</f>
        <v>CHORUS</v>
      </c>
      <c r="N319" s="157">
        <f ca="1">IFERROR(__xludf.DUMMYFUNCTION("""COMPUTED_VALUE"""),1)</f>
        <v>1</v>
      </c>
      <c r="O319" s="157">
        <f ca="1">IFERROR(__xludf.DUMMYFUNCTION("""COMPUTED_VALUE"""),1)</f>
        <v>1</v>
      </c>
      <c r="P319" s="157"/>
      <c r="R319" s="147"/>
      <c r="S319" s="147" t="e">
        <f t="shared" ca="1" si="5"/>
        <v>#N/A</v>
      </c>
      <c r="T319" s="147" t="e">
        <f t="shared" ca="1" si="6"/>
        <v>#NAME?</v>
      </c>
      <c r="U319" s="147" t="e">
        <f t="shared" ca="1" si="8"/>
        <v>#N/A</v>
      </c>
      <c r="X319" s="147"/>
      <c r="Y319" s="147"/>
      <c r="Z319" s="147"/>
      <c r="AA319" s="147"/>
      <c r="AB319" s="147"/>
      <c r="AC319" s="147"/>
      <c r="AD319" s="147"/>
      <c r="AE319" s="147"/>
      <c r="AF319" s="147"/>
      <c r="AG319" s="147"/>
      <c r="AH319" s="147"/>
      <c r="AI319" s="147"/>
      <c r="AJ319" s="147"/>
      <c r="AK319" s="147"/>
      <c r="AL319" s="147"/>
      <c r="AM319" s="147"/>
      <c r="AN319" s="147"/>
      <c r="AO319" s="147"/>
      <c r="AP319" s="147"/>
      <c r="AQ319" s="147"/>
    </row>
    <row r="320" spans="1:43">
      <c r="A320" s="160" t="str">
        <f ca="1">IFERROR(__xludf.DUMMYFUNCTION("""COMPUTED_VALUE"""),"183324")</f>
        <v>183324</v>
      </c>
      <c r="B320" s="3" t="str">
        <f ca="1">IFERROR(__xludf.DUMMYFUNCTION("""COMPUTED_VALUE"""),"PHẠM THỊ OANH THƠ")</f>
        <v>PHẠM THỊ OANH THƠ</v>
      </c>
      <c r="C320" s="160" t="str">
        <f ca="1">IFERROR(__xludf.DUMMYFUNCTION("""COMPUTED_VALUE"""),"EL029")</f>
        <v>EL029</v>
      </c>
      <c r="D320" s="160" t="str">
        <f ca="1">IFERROR(__xludf.DUMMYFUNCTION("""COMPUTED_VALUE"""),"Yen Tran 2")</f>
        <v>Yen Tran 2</v>
      </c>
      <c r="E320" s="3" t="str">
        <f ca="1">IFERROR(__xludf.DUMMYFUNCTION("""COMPUTED_VALUE"""),"Communication 1")</f>
        <v>Communication 1</v>
      </c>
      <c r="F320" s="3" t="str">
        <f ca="1">IFERROR(__xludf.DUMMYFUNCTION("""COMPUTED_VALUE"""),"Pre-Intermediate")</f>
        <v>Pre-Intermediate</v>
      </c>
      <c r="G320" s="3" t="str">
        <f ca="1">IFERROR(__xludf.DUMMYFUNCTION("""COMPUTED_VALUE"""),"Pre-Intermediate 1")</f>
        <v>Pre-Intermediate 1</v>
      </c>
      <c r="H320" s="156">
        <f ca="1">IFERROR(__xludf.DUMMYFUNCTION("""COMPUTED_VALUE"""),45645.4583333333)</f>
        <v>45645.458333333299</v>
      </c>
      <c r="I320" s="156">
        <f ca="1">IFERROR(__xludf.DUMMYFUNCTION("""COMPUTED_VALUE"""),45645.4583333333)</f>
        <v>45645.458333333299</v>
      </c>
      <c r="J320" s="3">
        <f ca="1">IFERROR(__xludf.DUMMYFUNCTION("""COMPUTED_VALUE"""),2.5)</f>
        <v>2.5</v>
      </c>
      <c r="K320" s="3">
        <f ca="1">IFERROR(__xludf.DUMMYFUNCTION("""COMPUTED_VALUE"""),3)</f>
        <v>3</v>
      </c>
      <c r="L320" s="3" t="str">
        <f ca="1">IFERROR(__xludf.DUMMYFUNCTION("""COMPUTED_VALUE"""),"DEV")</f>
        <v>DEV</v>
      </c>
      <c r="M320" s="3" t="str">
        <f ca="1">IFERROR(__xludf.DUMMYFUNCTION("""COMPUTED_VALUE"""),"CHORUS")</f>
        <v>CHORUS</v>
      </c>
      <c r="N320" s="157">
        <f ca="1">IFERROR(__xludf.DUMMYFUNCTION("""COMPUTED_VALUE"""),2.5)</f>
        <v>2.5</v>
      </c>
      <c r="O320" s="157">
        <f ca="1">IFERROR(__xludf.DUMMYFUNCTION("""COMPUTED_VALUE"""),3)</f>
        <v>3</v>
      </c>
      <c r="P320" s="157"/>
      <c r="R320" s="147"/>
      <c r="S320" s="147" t="e">
        <f t="shared" ca="1" si="5"/>
        <v>#N/A</v>
      </c>
      <c r="T320" s="147" t="e">
        <f t="shared" ca="1" si="6"/>
        <v>#NAME?</v>
      </c>
      <c r="U320" s="147" t="e">
        <f t="shared" ca="1" si="8"/>
        <v>#N/A</v>
      </c>
      <c r="X320" s="147"/>
      <c r="Y320" s="147"/>
      <c r="Z320" s="147"/>
      <c r="AA320" s="147"/>
      <c r="AB320" s="147"/>
      <c r="AC320" s="147"/>
      <c r="AD320" s="147"/>
      <c r="AE320" s="147"/>
      <c r="AF320" s="147"/>
      <c r="AG320" s="147"/>
      <c r="AH320" s="147"/>
      <c r="AI320" s="147"/>
      <c r="AJ320" s="147"/>
      <c r="AK320" s="147"/>
      <c r="AL320" s="147"/>
      <c r="AM320" s="147"/>
      <c r="AN320" s="147"/>
      <c r="AO320" s="147"/>
      <c r="AP320" s="147"/>
      <c r="AQ320" s="147"/>
    </row>
    <row r="321" spans="1:43">
      <c r="A321" s="160" t="str">
        <f ca="1">IFERROR(__xludf.DUMMYFUNCTION("""COMPUTED_VALUE"""),"247230")</f>
        <v>247230</v>
      </c>
      <c r="B321" s="3" t="str">
        <f ca="1">IFERROR(__xludf.DUMMYFUNCTION("""COMPUTED_VALUE"""),"DƯƠNG LÊ XUÂN KHANG")</f>
        <v>DƯƠNG LÊ XUÂN KHANG</v>
      </c>
      <c r="C321" s="160" t="str">
        <f ca="1">IFERROR(__xludf.DUMMYFUNCTION("""COMPUTED_VALUE"""),"EL029")</f>
        <v>EL029</v>
      </c>
      <c r="D321" s="160" t="str">
        <f ca="1">IFERROR(__xludf.DUMMYFUNCTION("""COMPUTED_VALUE"""),"Yen Tran 2")</f>
        <v>Yen Tran 2</v>
      </c>
      <c r="E321" s="3" t="str">
        <f ca="1">IFERROR(__xludf.DUMMYFUNCTION("""COMPUTED_VALUE"""),"Communication 1")</f>
        <v>Communication 1</v>
      </c>
      <c r="F321" s="3" t="str">
        <f ca="1">IFERROR(__xludf.DUMMYFUNCTION("""COMPUTED_VALUE"""),"Pre-Intermediate")</f>
        <v>Pre-Intermediate</v>
      </c>
      <c r="G321" s="3" t="str">
        <f ca="1">IFERROR(__xludf.DUMMYFUNCTION("""COMPUTED_VALUE"""),"Intermediate")</f>
        <v>Intermediate</v>
      </c>
      <c r="H321" s="156">
        <f ca="1">IFERROR(__xludf.DUMMYFUNCTION("""COMPUTED_VALUE"""),45645.4583333333)</f>
        <v>45645.458333333299</v>
      </c>
      <c r="I321" s="156">
        <f ca="1">IFERROR(__xludf.DUMMYFUNCTION("""COMPUTED_VALUE"""),45645.4583333333)</f>
        <v>45645.458333333299</v>
      </c>
      <c r="J321" s="3">
        <f ca="1">IFERROR(__xludf.DUMMYFUNCTION("""COMPUTED_VALUE"""),2.5)</f>
        <v>2.5</v>
      </c>
      <c r="K321" s="3">
        <f ca="1">IFERROR(__xludf.DUMMYFUNCTION("""COMPUTED_VALUE"""),4.5)</f>
        <v>4.5</v>
      </c>
      <c r="L321" s="3" t="str">
        <f ca="1">IFERROR(__xludf.DUMMYFUNCTION("""COMPUTED_VALUE"""),"DEV")</f>
        <v>DEV</v>
      </c>
      <c r="M321" s="3" t="str">
        <f ca="1">IFERROR(__xludf.DUMMYFUNCTION("""COMPUTED_VALUE"""),"CHORUS")</f>
        <v>CHORUS</v>
      </c>
      <c r="N321" s="157">
        <f ca="1">IFERROR(__xludf.DUMMYFUNCTION("""COMPUTED_VALUE"""),2.5)</f>
        <v>2.5</v>
      </c>
      <c r="O321" s="157">
        <f ca="1">IFERROR(__xludf.DUMMYFUNCTION("""COMPUTED_VALUE"""),4.5)</f>
        <v>4.5</v>
      </c>
      <c r="P321" s="157"/>
      <c r="R321" s="147"/>
      <c r="S321" s="147" t="e">
        <f t="shared" ca="1" si="5"/>
        <v>#N/A</v>
      </c>
      <c r="T321" s="147" t="e">
        <f t="shared" ca="1" si="6"/>
        <v>#NAME?</v>
      </c>
      <c r="U321" s="147" t="e">
        <f t="shared" ca="1" si="8"/>
        <v>#N/A</v>
      </c>
      <c r="X321" s="147"/>
      <c r="Y321" s="147"/>
      <c r="Z321" s="147"/>
      <c r="AA321" s="147"/>
      <c r="AB321" s="147"/>
      <c r="AC321" s="147"/>
      <c r="AD321" s="147"/>
      <c r="AE321" s="147"/>
      <c r="AF321" s="147"/>
      <c r="AG321" s="147"/>
      <c r="AH321" s="147"/>
      <c r="AI321" s="147"/>
      <c r="AJ321" s="147"/>
      <c r="AK321" s="147"/>
      <c r="AL321" s="147"/>
      <c r="AM321" s="147"/>
      <c r="AN321" s="147"/>
      <c r="AO321" s="147"/>
      <c r="AP321" s="147"/>
      <c r="AQ321" s="147"/>
    </row>
    <row r="322" spans="1:43">
      <c r="A322" s="160" t="str">
        <f ca="1">IFERROR(__xludf.DUMMYFUNCTION("""COMPUTED_VALUE"""),"227224")</f>
        <v>227224</v>
      </c>
      <c r="B322" s="3" t="str">
        <f ca="1">IFERROR(__xludf.DUMMYFUNCTION("""COMPUTED_VALUE"""),"HOÀNG ĐĂNG TRIỆU")</f>
        <v>HOÀNG ĐĂNG TRIỆU</v>
      </c>
      <c r="C322" s="160" t="str">
        <f ca="1">IFERROR(__xludf.DUMMYFUNCTION("""COMPUTED_VALUE"""),"EL029")</f>
        <v>EL029</v>
      </c>
      <c r="D322" s="160" t="str">
        <f ca="1">IFERROR(__xludf.DUMMYFUNCTION("""COMPUTED_VALUE"""),"Yen Tran 2")</f>
        <v>Yen Tran 2</v>
      </c>
      <c r="E322" s="3" t="str">
        <f ca="1">IFERROR(__xludf.DUMMYFUNCTION("""COMPUTED_VALUE"""),"Communication 1")</f>
        <v>Communication 1</v>
      </c>
      <c r="F322" s="3" t="str">
        <f ca="1">IFERROR(__xludf.DUMMYFUNCTION("""COMPUTED_VALUE"""),"Beginner")</f>
        <v>Beginner</v>
      </c>
      <c r="G322" s="3" t="str">
        <f ca="1">IFERROR(__xludf.DUMMYFUNCTION("""COMPUTED_VALUE"""),"Beginner 2")</f>
        <v>Beginner 2</v>
      </c>
      <c r="H322" s="156">
        <f ca="1">IFERROR(__xludf.DUMMYFUNCTION("""COMPUTED_VALUE"""),45645.4583333333)</f>
        <v>45645.458333333299</v>
      </c>
      <c r="I322" s="156">
        <f ca="1">IFERROR(__xludf.DUMMYFUNCTION("""COMPUTED_VALUE"""),45645.4583333333)</f>
        <v>45645.458333333299</v>
      </c>
      <c r="J322" s="3">
        <f ca="1">IFERROR(__xludf.DUMMYFUNCTION("""COMPUTED_VALUE"""),1)</f>
        <v>1</v>
      </c>
      <c r="K322" s="3">
        <f ca="1">IFERROR(__xludf.DUMMYFUNCTION("""COMPUTED_VALUE"""),1.5)</f>
        <v>1.5</v>
      </c>
      <c r="L322" s="3" t="str">
        <f ca="1">IFERROR(__xludf.DUMMYFUNCTION("""COMPUTED_VALUE"""),"DEV")</f>
        <v>DEV</v>
      </c>
      <c r="M322" s="3" t="str">
        <f ca="1">IFERROR(__xludf.DUMMYFUNCTION("""COMPUTED_VALUE"""),"CHORUS")</f>
        <v>CHORUS</v>
      </c>
      <c r="N322" s="157">
        <f ca="1">IFERROR(__xludf.DUMMYFUNCTION("""COMPUTED_VALUE"""),1)</f>
        <v>1</v>
      </c>
      <c r="O322" s="157">
        <f ca="1">IFERROR(__xludf.DUMMYFUNCTION("""COMPUTED_VALUE"""),1.5)</f>
        <v>1.5</v>
      </c>
      <c r="P322" s="157"/>
      <c r="R322" s="147"/>
      <c r="S322" s="147" t="e">
        <f t="shared" ca="1" si="5"/>
        <v>#N/A</v>
      </c>
      <c r="T322" s="147" t="e">
        <f t="shared" ca="1" si="6"/>
        <v>#NAME?</v>
      </c>
      <c r="U322" s="147" t="e">
        <f t="shared" ca="1" si="8"/>
        <v>#N/A</v>
      </c>
      <c r="X322" s="147"/>
      <c r="Y322" s="147"/>
      <c r="Z322" s="147"/>
      <c r="AA322" s="147"/>
      <c r="AB322" s="147"/>
      <c r="AC322" s="147"/>
      <c r="AD322" s="147"/>
      <c r="AE322" s="147"/>
      <c r="AF322" s="147"/>
      <c r="AG322" s="147"/>
      <c r="AH322" s="147"/>
      <c r="AI322" s="147"/>
      <c r="AJ322" s="147"/>
      <c r="AK322" s="147"/>
      <c r="AL322" s="147"/>
      <c r="AM322" s="147"/>
      <c r="AN322" s="147"/>
      <c r="AO322" s="147"/>
      <c r="AP322" s="147"/>
      <c r="AQ322" s="147"/>
    </row>
    <row r="323" spans="1:43">
      <c r="A323" s="160" t="str">
        <f ca="1">IFERROR(__xludf.DUMMYFUNCTION("""COMPUTED_VALUE"""),"247114")</f>
        <v>247114</v>
      </c>
      <c r="B323" s="3" t="str">
        <f ca="1">IFERROR(__xludf.DUMMYFUNCTION("""COMPUTED_VALUE"""),"NGUYỄN QUỐC DUY")</f>
        <v>NGUYỄN QUỐC DUY</v>
      </c>
      <c r="C323" s="160" t="str">
        <f ca="1">IFERROR(__xludf.DUMMYFUNCTION("""COMPUTED_VALUE"""),"EL029")</f>
        <v>EL029</v>
      </c>
      <c r="D323" s="160" t="str">
        <f ca="1">IFERROR(__xludf.DUMMYFUNCTION("""COMPUTED_VALUE"""),"Yen Tran 2")</f>
        <v>Yen Tran 2</v>
      </c>
      <c r="E323" s="3" t="str">
        <f ca="1">IFERROR(__xludf.DUMMYFUNCTION("""COMPUTED_VALUE"""),"Communication 1")</f>
        <v>Communication 1</v>
      </c>
      <c r="F323" s="3" t="str">
        <f ca="1">IFERROR(__xludf.DUMMYFUNCTION("""COMPUTED_VALUE"""),"Beginner")</f>
        <v>Beginner</v>
      </c>
      <c r="G323" s="3" t="str">
        <f ca="1">IFERROR(__xludf.DUMMYFUNCTION("""COMPUTED_VALUE"""),"Pre-Intermediate 2")</f>
        <v>Pre-Intermediate 2</v>
      </c>
      <c r="H323" s="156">
        <f ca="1">IFERROR(__xludf.DUMMYFUNCTION("""COMPUTED_VALUE"""),45645.4583333333)</f>
        <v>45645.458333333299</v>
      </c>
      <c r="I323" s="156">
        <f ca="1">IFERROR(__xludf.DUMMYFUNCTION("""COMPUTED_VALUE"""),45645.4583333333)</f>
        <v>45645.458333333299</v>
      </c>
      <c r="J323" s="3">
        <f ca="1">IFERROR(__xludf.DUMMYFUNCTION("""COMPUTED_VALUE"""),1)</f>
        <v>1</v>
      </c>
      <c r="K323" s="3">
        <f ca="1">IFERROR(__xludf.DUMMYFUNCTION("""COMPUTED_VALUE"""),3.5)</f>
        <v>3.5</v>
      </c>
      <c r="L323" s="3" t="str">
        <f ca="1">IFERROR(__xludf.DUMMYFUNCTION("""COMPUTED_VALUE"""),"DEV")</f>
        <v>DEV</v>
      </c>
      <c r="M323" s="3" t="str">
        <f ca="1">IFERROR(__xludf.DUMMYFUNCTION("""COMPUTED_VALUE"""),"CHORUS")</f>
        <v>CHORUS</v>
      </c>
      <c r="N323" s="157">
        <f ca="1">IFERROR(__xludf.DUMMYFUNCTION("""COMPUTED_VALUE"""),1)</f>
        <v>1</v>
      </c>
      <c r="O323" s="157">
        <f ca="1">IFERROR(__xludf.DUMMYFUNCTION("""COMPUTED_VALUE"""),3.5)</f>
        <v>3.5</v>
      </c>
      <c r="P323" s="157"/>
      <c r="R323" s="147"/>
      <c r="S323" s="147" t="e">
        <f t="shared" ca="1" si="5"/>
        <v>#N/A</v>
      </c>
      <c r="T323" s="147" t="e">
        <f t="shared" ca="1" si="6"/>
        <v>#NAME?</v>
      </c>
      <c r="U323" s="147" t="e">
        <f t="shared" ca="1" si="8"/>
        <v>#N/A</v>
      </c>
      <c r="X323" s="147"/>
      <c r="Y323" s="147"/>
      <c r="Z323" s="147"/>
      <c r="AA323" s="147"/>
      <c r="AB323" s="147"/>
      <c r="AC323" s="147"/>
      <c r="AD323" s="147"/>
      <c r="AE323" s="147"/>
      <c r="AF323" s="147"/>
      <c r="AG323" s="147"/>
      <c r="AH323" s="147"/>
      <c r="AI323" s="147"/>
      <c r="AJ323" s="147"/>
      <c r="AK323" s="147"/>
      <c r="AL323" s="147"/>
      <c r="AM323" s="147"/>
      <c r="AN323" s="147"/>
      <c r="AO323" s="147"/>
      <c r="AP323" s="147"/>
      <c r="AQ323" s="147"/>
    </row>
    <row r="324" spans="1:43">
      <c r="A324" s="160" t="str">
        <f ca="1">IFERROR(__xludf.DUMMYFUNCTION("""COMPUTED_VALUE"""),"237023")</f>
        <v>237023</v>
      </c>
      <c r="B324" s="3" t="str">
        <f ca="1">IFERROR(__xludf.DUMMYFUNCTION("""COMPUTED_VALUE"""),"NGUYỄN THỊ NGỌC LỮ")</f>
        <v>NGUYỄN THỊ NGỌC LỮ</v>
      </c>
      <c r="C324" s="160" t="str">
        <f ca="1">IFERROR(__xludf.DUMMYFUNCTION("""COMPUTED_VALUE"""),"EL029")</f>
        <v>EL029</v>
      </c>
      <c r="D324" s="160" t="str">
        <f ca="1">IFERROR(__xludf.DUMMYFUNCTION("""COMPUTED_VALUE"""),"Yen Tran 2")</f>
        <v>Yen Tran 2</v>
      </c>
      <c r="E324" s="3" t="str">
        <f ca="1">IFERROR(__xludf.DUMMYFUNCTION("""COMPUTED_VALUE"""),"Communication 1")</f>
        <v>Communication 1</v>
      </c>
      <c r="F324" s="3" t="str">
        <f ca="1">IFERROR(__xludf.DUMMYFUNCTION("""COMPUTED_VALUE"""),"Beginner")</f>
        <v>Beginner</v>
      </c>
      <c r="G324" s="3" t="str">
        <f ca="1">IFERROR(__xludf.DUMMYFUNCTION("""COMPUTED_VALUE"""),"Beginner")</f>
        <v>Beginner</v>
      </c>
      <c r="H324" s="156">
        <f ca="1">IFERROR(__xludf.DUMMYFUNCTION("""COMPUTED_VALUE"""),45645.4583333333)</f>
        <v>45645.458333333299</v>
      </c>
      <c r="I324" s="156">
        <f ca="1">IFERROR(__xludf.DUMMYFUNCTION("""COMPUTED_VALUE"""),45645.4583333333)</f>
        <v>45645.458333333299</v>
      </c>
      <c r="J324" s="3">
        <f ca="1">IFERROR(__xludf.DUMMYFUNCTION("""COMPUTED_VALUE"""),1)</f>
        <v>1</v>
      </c>
      <c r="K324" s="3">
        <f ca="1">IFERROR(__xludf.DUMMYFUNCTION("""COMPUTED_VALUE"""),1)</f>
        <v>1</v>
      </c>
      <c r="L324" s="3" t="str">
        <f ca="1">IFERROR(__xludf.DUMMYFUNCTION("""COMPUTED_VALUE"""),"DEV")</f>
        <v>DEV</v>
      </c>
      <c r="M324" s="3" t="str">
        <f ca="1">IFERROR(__xludf.DUMMYFUNCTION("""COMPUTED_VALUE"""),"CHORUS")</f>
        <v>CHORUS</v>
      </c>
      <c r="N324" s="157">
        <f ca="1">IFERROR(__xludf.DUMMYFUNCTION("""COMPUTED_VALUE"""),1)</f>
        <v>1</v>
      </c>
      <c r="O324" s="157">
        <f ca="1">IFERROR(__xludf.DUMMYFUNCTION("""COMPUTED_VALUE"""),1)</f>
        <v>1</v>
      </c>
      <c r="P324" s="157"/>
      <c r="R324" s="147"/>
      <c r="S324" s="147" t="e">
        <f t="shared" ca="1" si="5"/>
        <v>#N/A</v>
      </c>
      <c r="T324" s="147" t="e">
        <f t="shared" ca="1" si="6"/>
        <v>#NAME?</v>
      </c>
      <c r="U324" s="147" t="e">
        <f t="shared" ca="1" si="8"/>
        <v>#N/A</v>
      </c>
      <c r="X324" s="147"/>
      <c r="Y324" s="147"/>
      <c r="Z324" s="147"/>
      <c r="AA324" s="147"/>
      <c r="AB324" s="147"/>
      <c r="AC324" s="147"/>
      <c r="AD324" s="147"/>
      <c r="AE324" s="147"/>
      <c r="AF324" s="147"/>
      <c r="AG324" s="147"/>
      <c r="AH324" s="147"/>
      <c r="AI324" s="147"/>
      <c r="AJ324" s="147"/>
      <c r="AK324" s="147"/>
      <c r="AL324" s="147"/>
      <c r="AM324" s="147"/>
      <c r="AN324" s="147"/>
      <c r="AO324" s="147"/>
      <c r="AP324" s="147"/>
      <c r="AQ324" s="147"/>
    </row>
    <row r="325" spans="1:43">
      <c r="A325" s="160" t="str">
        <f ca="1">IFERROR(__xludf.DUMMYFUNCTION("""COMPUTED_VALUE"""),"227170")</f>
        <v>227170</v>
      </c>
      <c r="B325" s="3" t="str">
        <f ca="1">IFERROR(__xludf.DUMMYFUNCTION("""COMPUTED_VALUE"""),"NGUYỄN TRẦN LỆ DUYÊN")</f>
        <v>NGUYỄN TRẦN LỆ DUYÊN</v>
      </c>
      <c r="C325" s="160" t="str">
        <f ca="1">IFERROR(__xludf.DUMMYFUNCTION("""COMPUTED_VALUE"""),"EL029")</f>
        <v>EL029</v>
      </c>
      <c r="D325" s="160" t="str">
        <f ca="1">IFERROR(__xludf.DUMMYFUNCTION("""COMPUTED_VALUE"""),"Yen Tran 2")</f>
        <v>Yen Tran 2</v>
      </c>
      <c r="E325" s="3" t="str">
        <f ca="1">IFERROR(__xludf.DUMMYFUNCTION("""COMPUTED_VALUE"""),"Communication 1")</f>
        <v>Communication 1</v>
      </c>
      <c r="F325" s="3" t="str">
        <f ca="1">IFERROR(__xludf.DUMMYFUNCTION("""COMPUTED_VALUE"""),"Pre-Intermediate")</f>
        <v>Pre-Intermediate</v>
      </c>
      <c r="G325" s="3" t="str">
        <f ca="1">IFERROR(__xludf.DUMMYFUNCTION("""COMPUTED_VALUE"""),"Beginner 2")</f>
        <v>Beginner 2</v>
      </c>
      <c r="H325" s="156">
        <f ca="1">IFERROR(__xludf.DUMMYFUNCTION("""COMPUTED_VALUE"""),45645.4583333333)</f>
        <v>45645.458333333299</v>
      </c>
      <c r="I325" s="156">
        <f ca="1">IFERROR(__xludf.DUMMYFUNCTION("""COMPUTED_VALUE"""),45645.4583333333)</f>
        <v>45645.458333333299</v>
      </c>
      <c r="J325" s="3">
        <f ca="1">IFERROR(__xludf.DUMMYFUNCTION("""COMPUTED_VALUE"""),2.5)</f>
        <v>2.5</v>
      </c>
      <c r="K325" s="3">
        <f ca="1">IFERROR(__xludf.DUMMYFUNCTION("""COMPUTED_VALUE"""),1.5)</f>
        <v>1.5</v>
      </c>
      <c r="L325" s="3" t="str">
        <f ca="1">IFERROR(__xludf.DUMMYFUNCTION("""COMPUTED_VALUE"""),"QC")</f>
        <v>QC</v>
      </c>
      <c r="M325" s="3" t="str">
        <f ca="1">IFERROR(__xludf.DUMMYFUNCTION("""COMPUTED_VALUE"""),"CHORUS")</f>
        <v>CHORUS</v>
      </c>
      <c r="N325" s="157">
        <f ca="1">IFERROR(__xludf.DUMMYFUNCTION("""COMPUTED_VALUE"""),2.5)</f>
        <v>2.5</v>
      </c>
      <c r="O325" s="157">
        <f ca="1">IFERROR(__xludf.DUMMYFUNCTION("""COMPUTED_VALUE"""),1.5)</f>
        <v>1.5</v>
      </c>
      <c r="P325" s="157"/>
      <c r="R325" s="147"/>
      <c r="S325" s="147"/>
      <c r="T325" s="147"/>
      <c r="U325" s="147"/>
      <c r="X325" s="147"/>
      <c r="Y325" s="147"/>
      <c r="Z325" s="147"/>
      <c r="AA325" s="147"/>
      <c r="AB325" s="147"/>
      <c r="AC325" s="147"/>
      <c r="AD325" s="147"/>
      <c r="AE325" s="147"/>
      <c r="AF325" s="147"/>
      <c r="AG325" s="147"/>
      <c r="AH325" s="147"/>
      <c r="AI325" s="147"/>
      <c r="AJ325" s="147"/>
      <c r="AK325" s="147"/>
      <c r="AL325" s="147"/>
      <c r="AM325" s="147"/>
      <c r="AN325" s="147"/>
      <c r="AO325" s="147"/>
      <c r="AP325" s="147"/>
      <c r="AQ325" s="147"/>
    </row>
    <row r="326" spans="1:43">
      <c r="A326" s="160" t="str">
        <f ca="1">IFERROR(__xludf.DUMMYFUNCTION("""COMPUTED_VALUE"""),"247122")</f>
        <v>247122</v>
      </c>
      <c r="B326" s="3" t="str">
        <f ca="1">IFERROR(__xludf.DUMMYFUNCTION("""COMPUTED_VALUE"""),"TRẦN THỊ YẾN")</f>
        <v>TRẦN THỊ YẾN</v>
      </c>
      <c r="C326" s="160" t="str">
        <f ca="1">IFERROR(__xludf.DUMMYFUNCTION("""COMPUTED_VALUE"""),"EL030")</f>
        <v>EL030</v>
      </c>
      <c r="D326" s="160" t="str">
        <f ca="1">IFERROR(__xludf.DUMMYFUNCTION("""COMPUTED_VALUE"""),"Yen Tran 3")</f>
        <v>Yen Tran 3</v>
      </c>
      <c r="E326" s="3" t="str">
        <f ca="1">IFERROR(__xludf.DUMMYFUNCTION("""COMPUTED_VALUE"""),"Communication 1")</f>
        <v>Communication 1</v>
      </c>
      <c r="F326" s="3" t="str">
        <f ca="1">IFERROR(__xludf.DUMMYFUNCTION("""COMPUTED_VALUE"""),"Pre-Intermediate")</f>
        <v>Pre-Intermediate</v>
      </c>
      <c r="G326" s="3"/>
      <c r="H326" s="156">
        <f ca="1">IFERROR(__xludf.DUMMYFUNCTION("""COMPUTED_VALUE"""),45646.4166666666)</f>
        <v>45646.416666666599</v>
      </c>
      <c r="I326" s="156">
        <f ca="1">IFERROR(__xludf.DUMMYFUNCTION("""COMPUTED_VALUE"""),45646.4166666666)</f>
        <v>45646.416666666599</v>
      </c>
      <c r="J326" s="3">
        <f ca="1">IFERROR(__xludf.DUMMYFUNCTION("""COMPUTED_VALUE"""),2.5)</f>
        <v>2.5</v>
      </c>
      <c r="K326" s="3" t="str">
        <f ca="1">IFERROR(__xludf.DUMMYFUNCTION("""COMPUTED_VALUE"""),"")</f>
        <v/>
      </c>
      <c r="L326" s="3" t="str">
        <f ca="1">IFERROR(__xludf.DUMMYFUNCTION("""COMPUTED_VALUE"""),"SM")</f>
        <v>SM</v>
      </c>
      <c r="M326" s="3" t="str">
        <f ca="1">IFERROR(__xludf.DUMMYFUNCTION("""COMPUTED_VALUE"""),"CHORUS")</f>
        <v>CHORUS</v>
      </c>
      <c r="N326" s="157">
        <f ca="1">IFERROR(__xludf.DUMMYFUNCTION("""COMPUTED_VALUE"""),2.5)</f>
        <v>2.5</v>
      </c>
      <c r="O326" s="157">
        <f ca="1">IFERROR(__xludf.DUMMYFUNCTION("""COMPUTED_VALUE"""),0)</f>
        <v>0</v>
      </c>
      <c r="P326" s="157"/>
      <c r="R326" s="147"/>
      <c r="S326" s="147"/>
      <c r="T326" s="147"/>
      <c r="U326" s="147"/>
      <c r="X326" s="147"/>
      <c r="Y326" s="147"/>
      <c r="Z326" s="147"/>
      <c r="AA326" s="147"/>
      <c r="AB326" s="147"/>
      <c r="AC326" s="147"/>
      <c r="AD326" s="147"/>
      <c r="AE326" s="147"/>
      <c r="AF326" s="147"/>
      <c r="AG326" s="147"/>
      <c r="AH326" s="147"/>
      <c r="AI326" s="147"/>
      <c r="AJ326" s="147"/>
      <c r="AK326" s="147"/>
      <c r="AL326" s="147"/>
      <c r="AM326" s="147"/>
      <c r="AN326" s="147"/>
      <c r="AO326" s="147"/>
      <c r="AP326" s="147"/>
      <c r="AQ326" s="147"/>
    </row>
    <row r="327" spans="1:43">
      <c r="A327" s="160" t="str">
        <f ca="1">IFERROR(__xludf.DUMMYFUNCTION("""COMPUTED_VALUE"""),"227125")</f>
        <v>227125</v>
      </c>
      <c r="B327" s="3" t="str">
        <f ca="1">IFERROR(__xludf.DUMMYFUNCTION("""COMPUTED_VALUE"""),"ĐẶNG QUỐC VIỆT")</f>
        <v>ĐẶNG QUỐC VIỆT</v>
      </c>
      <c r="C327" s="160" t="str">
        <f ca="1">IFERROR(__xludf.DUMMYFUNCTION("""COMPUTED_VALUE"""),"EL030")</f>
        <v>EL030</v>
      </c>
      <c r="D327" s="160" t="str">
        <f ca="1">IFERROR(__xludf.DUMMYFUNCTION("""COMPUTED_VALUE"""),"Yen Tran 3")</f>
        <v>Yen Tran 3</v>
      </c>
      <c r="E327" s="3" t="str">
        <f ca="1">IFERROR(__xludf.DUMMYFUNCTION("""COMPUTED_VALUE"""),"Communication 1")</f>
        <v>Communication 1</v>
      </c>
      <c r="F327" s="3" t="str">
        <f ca="1">IFERROR(__xludf.DUMMYFUNCTION("""COMPUTED_VALUE"""),"Beginner")</f>
        <v>Beginner</v>
      </c>
      <c r="G327" s="3"/>
      <c r="H327" s="156">
        <f ca="1">IFERROR(__xludf.DUMMYFUNCTION("""COMPUTED_VALUE"""),45646.4166666666)</f>
        <v>45646.416666666599</v>
      </c>
      <c r="I327" s="156">
        <f ca="1">IFERROR(__xludf.DUMMYFUNCTION("""COMPUTED_VALUE"""),45646.4166666666)</f>
        <v>45646.416666666599</v>
      </c>
      <c r="J327" s="3">
        <f ca="1">IFERROR(__xludf.DUMMYFUNCTION("""COMPUTED_VALUE"""),1)</f>
        <v>1</v>
      </c>
      <c r="K327" s="3" t="str">
        <f ca="1">IFERROR(__xludf.DUMMYFUNCTION("""COMPUTED_VALUE"""),"")</f>
        <v/>
      </c>
      <c r="L327" s="3" t="str">
        <f ca="1">IFERROR(__xludf.DUMMYFUNCTION("""COMPUTED_VALUE"""),"QC")</f>
        <v>QC</v>
      </c>
      <c r="M327" s="3" t="str">
        <f ca="1">IFERROR(__xludf.DUMMYFUNCTION("""COMPUTED_VALUE"""),"CHORUS")</f>
        <v>CHORUS</v>
      </c>
      <c r="N327" s="157">
        <f ca="1">IFERROR(__xludf.DUMMYFUNCTION("""COMPUTED_VALUE"""),1)</f>
        <v>1</v>
      </c>
      <c r="O327" s="157">
        <f ca="1">IFERROR(__xludf.DUMMYFUNCTION("""COMPUTED_VALUE"""),0)</f>
        <v>0</v>
      </c>
      <c r="P327" s="157"/>
      <c r="R327" s="147"/>
      <c r="S327" s="147"/>
      <c r="T327" s="147"/>
      <c r="U327" s="147"/>
      <c r="X327" s="147"/>
      <c r="Y327" s="147"/>
      <c r="Z327" s="147"/>
      <c r="AA327" s="147"/>
      <c r="AB327" s="147"/>
      <c r="AC327" s="147"/>
      <c r="AD327" s="147"/>
      <c r="AE327" s="147"/>
      <c r="AF327" s="147"/>
      <c r="AG327" s="147"/>
      <c r="AH327" s="147"/>
      <c r="AI327" s="147"/>
      <c r="AJ327" s="147"/>
      <c r="AK327" s="147"/>
      <c r="AL327" s="147"/>
      <c r="AM327" s="147"/>
      <c r="AN327" s="147"/>
      <c r="AO327" s="147"/>
      <c r="AP327" s="147"/>
      <c r="AQ327" s="147"/>
    </row>
    <row r="328" spans="1:43">
      <c r="A328" s="160" t="str">
        <f ca="1">IFERROR(__xludf.DUMMYFUNCTION("""COMPUTED_VALUE"""),"183332")</f>
        <v>183332</v>
      </c>
      <c r="B328" s="3" t="str">
        <f ca="1">IFERROR(__xludf.DUMMYFUNCTION("""COMPUTED_VALUE"""),"ĐOÀN QUỐC HẢI")</f>
        <v>ĐOÀN QUỐC HẢI</v>
      </c>
      <c r="C328" s="160" t="str">
        <f ca="1">IFERROR(__xludf.DUMMYFUNCTION("""COMPUTED_VALUE"""),"EL030")</f>
        <v>EL030</v>
      </c>
      <c r="D328" s="160" t="str">
        <f ca="1">IFERROR(__xludf.DUMMYFUNCTION("""COMPUTED_VALUE"""),"Yen Tran 3")</f>
        <v>Yen Tran 3</v>
      </c>
      <c r="E328" s="3" t="str">
        <f ca="1">IFERROR(__xludf.DUMMYFUNCTION("""COMPUTED_VALUE"""),"Communication 1")</f>
        <v>Communication 1</v>
      </c>
      <c r="F328" s="3" t="str">
        <f ca="1">IFERROR(__xludf.DUMMYFUNCTION("""COMPUTED_VALUE"""),"Beginner")</f>
        <v>Beginner</v>
      </c>
      <c r="G328" s="3"/>
      <c r="H328" s="156">
        <f ca="1">IFERROR(__xludf.DUMMYFUNCTION("""COMPUTED_VALUE"""),45646.4166666666)</f>
        <v>45646.416666666599</v>
      </c>
      <c r="I328" s="156">
        <f ca="1">IFERROR(__xludf.DUMMYFUNCTION("""COMPUTED_VALUE"""),45646.4166666666)</f>
        <v>45646.416666666599</v>
      </c>
      <c r="J328" s="3">
        <f ca="1">IFERROR(__xludf.DUMMYFUNCTION("""COMPUTED_VALUE"""),1)</f>
        <v>1</v>
      </c>
      <c r="K328" s="3" t="str">
        <f ca="1">IFERROR(__xludf.DUMMYFUNCTION("""COMPUTED_VALUE"""),"")</f>
        <v/>
      </c>
      <c r="L328" s="3" t="str">
        <f ca="1">IFERROR(__xludf.DUMMYFUNCTION("""COMPUTED_VALUE"""),"DEV")</f>
        <v>DEV</v>
      </c>
      <c r="M328" s="3" t="str">
        <f ca="1">IFERROR(__xludf.DUMMYFUNCTION("""COMPUTED_VALUE"""),"CHORUS")</f>
        <v>CHORUS</v>
      </c>
      <c r="N328" s="157">
        <f ca="1">IFERROR(__xludf.DUMMYFUNCTION("""COMPUTED_VALUE"""),1)</f>
        <v>1</v>
      </c>
      <c r="O328" s="157">
        <f ca="1">IFERROR(__xludf.DUMMYFUNCTION("""COMPUTED_VALUE"""),0)</f>
        <v>0</v>
      </c>
      <c r="P328" s="157"/>
      <c r="R328" s="147"/>
      <c r="S328" s="147"/>
      <c r="T328" s="147"/>
      <c r="U328" s="147"/>
      <c r="X328" s="147"/>
      <c r="Y328" s="147"/>
      <c r="Z328" s="147"/>
      <c r="AA328" s="147"/>
      <c r="AB328" s="147"/>
      <c r="AC328" s="147"/>
      <c r="AD328" s="147"/>
      <c r="AE328" s="147"/>
      <c r="AF328" s="147"/>
      <c r="AG328" s="147"/>
      <c r="AH328" s="147"/>
      <c r="AI328" s="147"/>
      <c r="AJ328" s="147"/>
      <c r="AK328" s="147"/>
      <c r="AL328" s="147"/>
      <c r="AM328" s="147"/>
      <c r="AN328" s="147"/>
      <c r="AO328" s="147"/>
      <c r="AP328" s="147"/>
      <c r="AQ328" s="147"/>
    </row>
    <row r="329" spans="1:43">
      <c r="A329" s="160" t="str">
        <f ca="1">IFERROR(__xludf.DUMMYFUNCTION("""COMPUTED_VALUE"""),"237049")</f>
        <v>237049</v>
      </c>
      <c r="B329" s="3" t="str">
        <f ca="1">IFERROR(__xludf.DUMMYFUNCTION("""COMPUTED_VALUE"""),"NGUYỄN THẢO QUỲNH NHƯ")</f>
        <v>NGUYỄN THẢO QUỲNH NHƯ</v>
      </c>
      <c r="C329" s="160" t="str">
        <f ca="1">IFERROR(__xludf.DUMMYFUNCTION("""COMPUTED_VALUE"""),"EL030")</f>
        <v>EL030</v>
      </c>
      <c r="D329" s="160" t="str">
        <f ca="1">IFERROR(__xludf.DUMMYFUNCTION("""COMPUTED_VALUE"""),"Yen Tran 3")</f>
        <v>Yen Tran 3</v>
      </c>
      <c r="E329" s="3" t="str">
        <f ca="1">IFERROR(__xludf.DUMMYFUNCTION("""COMPUTED_VALUE"""),"Communication 1")</f>
        <v>Communication 1</v>
      </c>
      <c r="F329" s="3" t="str">
        <f ca="1">IFERROR(__xludf.DUMMYFUNCTION("""COMPUTED_VALUE"""),"Pre-Intermediate")</f>
        <v>Pre-Intermediate</v>
      </c>
      <c r="G329" s="3"/>
      <c r="H329" s="156">
        <f ca="1">IFERROR(__xludf.DUMMYFUNCTION("""COMPUTED_VALUE"""),45646.4166666666)</f>
        <v>45646.416666666599</v>
      </c>
      <c r="I329" s="156">
        <f ca="1">IFERROR(__xludf.DUMMYFUNCTION("""COMPUTED_VALUE"""),45646.4166666666)</f>
        <v>45646.416666666599</v>
      </c>
      <c r="J329" s="3">
        <f ca="1">IFERROR(__xludf.DUMMYFUNCTION("""COMPUTED_VALUE"""),2.5)</f>
        <v>2.5</v>
      </c>
      <c r="K329" s="3" t="str">
        <f ca="1">IFERROR(__xludf.DUMMYFUNCTION("""COMPUTED_VALUE"""),"")</f>
        <v/>
      </c>
      <c r="L329" s="3" t="str">
        <f ca="1">IFERROR(__xludf.DUMMYFUNCTION("""COMPUTED_VALUE"""),"QC")</f>
        <v>QC</v>
      </c>
      <c r="M329" s="3" t="str">
        <f ca="1">IFERROR(__xludf.DUMMYFUNCTION("""COMPUTED_VALUE"""),"CHORUS")</f>
        <v>CHORUS</v>
      </c>
      <c r="N329" s="157">
        <f ca="1">IFERROR(__xludf.DUMMYFUNCTION("""COMPUTED_VALUE"""),2.5)</f>
        <v>2.5</v>
      </c>
      <c r="O329" s="157">
        <f ca="1">IFERROR(__xludf.DUMMYFUNCTION("""COMPUTED_VALUE"""),0)</f>
        <v>0</v>
      </c>
      <c r="P329" s="157"/>
      <c r="R329" s="147"/>
      <c r="S329" s="147"/>
      <c r="T329" s="147"/>
      <c r="U329" s="147"/>
      <c r="X329" s="147"/>
      <c r="Y329" s="147"/>
      <c r="Z329" s="147"/>
      <c r="AA329" s="147"/>
      <c r="AB329" s="147"/>
      <c r="AC329" s="147"/>
      <c r="AD329" s="147"/>
      <c r="AE329" s="147"/>
      <c r="AF329" s="147"/>
      <c r="AG329" s="147"/>
      <c r="AH329" s="147"/>
      <c r="AI329" s="147"/>
      <c r="AJ329" s="147"/>
      <c r="AK329" s="147"/>
      <c r="AL329" s="147"/>
      <c r="AM329" s="147"/>
      <c r="AN329" s="147"/>
      <c r="AO329" s="147"/>
      <c r="AP329" s="147"/>
      <c r="AQ329" s="147"/>
    </row>
    <row r="330" spans="1:43">
      <c r="A330" s="160" t="str">
        <f ca="1">IFERROR(__xludf.DUMMYFUNCTION("""COMPUTED_VALUE"""),"227220")</f>
        <v>227220</v>
      </c>
      <c r="B330" s="3" t="str">
        <f ca="1">IFERROR(__xludf.DUMMYFUNCTION("""COMPUTED_VALUE"""),"PHẠM NGỌC ANH DUYÊN")</f>
        <v>PHẠM NGỌC ANH DUYÊN</v>
      </c>
      <c r="C330" s="160" t="str">
        <f ca="1">IFERROR(__xludf.DUMMYFUNCTION("""COMPUTED_VALUE"""),"EL030")</f>
        <v>EL030</v>
      </c>
      <c r="D330" s="160" t="str">
        <f ca="1">IFERROR(__xludf.DUMMYFUNCTION("""COMPUTED_VALUE"""),"Yen Tran 3")</f>
        <v>Yen Tran 3</v>
      </c>
      <c r="E330" s="3" t="str">
        <f ca="1">IFERROR(__xludf.DUMMYFUNCTION("""COMPUTED_VALUE"""),"Communication 1")</f>
        <v>Communication 1</v>
      </c>
      <c r="F330" s="3" t="str">
        <f ca="1">IFERROR(__xludf.DUMMYFUNCTION("""COMPUTED_VALUE"""),"Beginner")</f>
        <v>Beginner</v>
      </c>
      <c r="G330" s="3"/>
      <c r="H330" s="156">
        <f ca="1">IFERROR(__xludf.DUMMYFUNCTION("""COMPUTED_VALUE"""),45646.4166666666)</f>
        <v>45646.416666666599</v>
      </c>
      <c r="I330" s="156">
        <f ca="1">IFERROR(__xludf.DUMMYFUNCTION("""COMPUTED_VALUE"""),45646.4166666666)</f>
        <v>45646.416666666599</v>
      </c>
      <c r="J330" s="3">
        <f ca="1">IFERROR(__xludf.DUMMYFUNCTION("""COMPUTED_VALUE"""),1)</f>
        <v>1</v>
      </c>
      <c r="K330" s="3" t="str">
        <f ca="1">IFERROR(__xludf.DUMMYFUNCTION("""COMPUTED_VALUE"""),"")</f>
        <v/>
      </c>
      <c r="L330" s="3" t="str">
        <f ca="1">IFERROR(__xludf.DUMMYFUNCTION("""COMPUTED_VALUE"""),"SM")</f>
        <v>SM</v>
      </c>
      <c r="M330" s="3" t="str">
        <f ca="1">IFERROR(__xludf.DUMMYFUNCTION("""COMPUTED_VALUE"""),"CHORUS")</f>
        <v>CHORUS</v>
      </c>
      <c r="N330" s="157">
        <f ca="1">IFERROR(__xludf.DUMMYFUNCTION("""COMPUTED_VALUE"""),1)</f>
        <v>1</v>
      </c>
      <c r="O330" s="157">
        <f ca="1">IFERROR(__xludf.DUMMYFUNCTION("""COMPUTED_VALUE"""),0)</f>
        <v>0</v>
      </c>
      <c r="P330" s="157"/>
      <c r="R330" s="147"/>
      <c r="S330" s="147"/>
      <c r="T330" s="147"/>
      <c r="U330" s="147"/>
      <c r="X330" s="147"/>
      <c r="Y330" s="147"/>
      <c r="Z330" s="147"/>
      <c r="AA330" s="147"/>
      <c r="AB330" s="147"/>
      <c r="AC330" s="147"/>
      <c r="AD330" s="147"/>
      <c r="AE330" s="147"/>
      <c r="AF330" s="147"/>
      <c r="AG330" s="147"/>
      <c r="AH330" s="147"/>
      <c r="AI330" s="147"/>
      <c r="AJ330" s="147"/>
      <c r="AK330" s="147"/>
      <c r="AL330" s="147"/>
      <c r="AM330" s="147"/>
      <c r="AN330" s="147"/>
      <c r="AO330" s="147"/>
      <c r="AP330" s="147"/>
      <c r="AQ330" s="147"/>
    </row>
    <row r="331" spans="1:43">
      <c r="A331" s="160" t="str">
        <f ca="1">IFERROR(__xludf.DUMMYFUNCTION("""COMPUTED_VALUE"""),"247146")</f>
        <v>247146</v>
      </c>
      <c r="B331" s="3" t="str">
        <f ca="1">IFERROR(__xludf.DUMMYFUNCTION("""COMPUTED_VALUE"""),"VÕ QUỐC THIÊN")</f>
        <v>VÕ QUỐC THIÊN</v>
      </c>
      <c r="C331" s="160" t="str">
        <f ca="1">IFERROR(__xludf.DUMMYFUNCTION("""COMPUTED_VALUE"""),"EL030")</f>
        <v>EL030</v>
      </c>
      <c r="D331" s="160" t="str">
        <f ca="1">IFERROR(__xludf.DUMMYFUNCTION("""COMPUTED_VALUE"""),"Yen Tran 3")</f>
        <v>Yen Tran 3</v>
      </c>
      <c r="E331" s="3" t="str">
        <f ca="1">IFERROR(__xludf.DUMMYFUNCTION("""COMPUTED_VALUE"""),"Communication 1")</f>
        <v>Communication 1</v>
      </c>
      <c r="F331" s="3" t="str">
        <f ca="1">IFERROR(__xludf.DUMMYFUNCTION("""COMPUTED_VALUE"""),"Beginner")</f>
        <v>Beginner</v>
      </c>
      <c r="G331" s="3"/>
      <c r="H331" s="156">
        <f ca="1">IFERROR(__xludf.DUMMYFUNCTION("""COMPUTED_VALUE"""),45646.4166666666)</f>
        <v>45646.416666666599</v>
      </c>
      <c r="I331" s="156">
        <f ca="1">IFERROR(__xludf.DUMMYFUNCTION("""COMPUTED_VALUE"""),45646.4166666666)</f>
        <v>45646.416666666599</v>
      </c>
      <c r="J331" s="3">
        <f ca="1">IFERROR(__xludf.DUMMYFUNCTION("""COMPUTED_VALUE"""),1)</f>
        <v>1</v>
      </c>
      <c r="K331" s="3" t="str">
        <f ca="1">IFERROR(__xludf.DUMMYFUNCTION("""COMPUTED_VALUE"""),"")</f>
        <v/>
      </c>
      <c r="L331" s="3" t="str">
        <f ca="1">IFERROR(__xludf.DUMMYFUNCTION("""COMPUTED_VALUE"""),"DEV")</f>
        <v>DEV</v>
      </c>
      <c r="M331" s="3" t="str">
        <f ca="1">IFERROR(__xludf.DUMMYFUNCTION("""COMPUTED_VALUE"""),"CHORUS")</f>
        <v>CHORUS</v>
      </c>
      <c r="N331" s="157">
        <f ca="1">IFERROR(__xludf.DUMMYFUNCTION("""COMPUTED_VALUE"""),1)</f>
        <v>1</v>
      </c>
      <c r="O331" s="157">
        <f ca="1">IFERROR(__xludf.DUMMYFUNCTION("""COMPUTED_VALUE"""),0)</f>
        <v>0</v>
      </c>
      <c r="P331" s="157"/>
      <c r="R331" s="147"/>
      <c r="S331" s="147"/>
      <c r="T331" s="147"/>
      <c r="U331" s="147"/>
      <c r="X331" s="147"/>
      <c r="Y331" s="147"/>
      <c r="Z331" s="147"/>
      <c r="AA331" s="147"/>
      <c r="AB331" s="147"/>
      <c r="AC331" s="147"/>
      <c r="AD331" s="147"/>
      <c r="AE331" s="147"/>
      <c r="AF331" s="147"/>
      <c r="AG331" s="147"/>
      <c r="AH331" s="147"/>
      <c r="AI331" s="147"/>
      <c r="AJ331" s="147"/>
      <c r="AK331" s="147"/>
      <c r="AL331" s="147"/>
      <c r="AM331" s="147"/>
      <c r="AN331" s="147"/>
      <c r="AO331" s="147"/>
      <c r="AP331" s="147"/>
      <c r="AQ331" s="147"/>
    </row>
    <row r="332" spans="1:43">
      <c r="A332" s="160" t="str">
        <f ca="1">IFERROR(__xludf.DUMMYFUNCTION("""COMPUTED_VALUE"""),"237101")</f>
        <v>237101</v>
      </c>
      <c r="B332" s="3" t="str">
        <f ca="1">IFERROR(__xludf.DUMMYFUNCTION("""COMPUTED_VALUE"""),"VÕ THỊ THU HƯƠNG")</f>
        <v>VÕ THỊ THU HƯƠNG</v>
      </c>
      <c r="C332" s="160" t="str">
        <f ca="1">IFERROR(__xludf.DUMMYFUNCTION("""COMPUTED_VALUE"""),"EL030")</f>
        <v>EL030</v>
      </c>
      <c r="D332" s="160" t="str">
        <f ca="1">IFERROR(__xludf.DUMMYFUNCTION("""COMPUTED_VALUE"""),"Yen Tran 3")</f>
        <v>Yen Tran 3</v>
      </c>
      <c r="E332" s="3" t="str">
        <f ca="1">IFERROR(__xludf.DUMMYFUNCTION("""COMPUTED_VALUE"""),"Communication 1")</f>
        <v>Communication 1</v>
      </c>
      <c r="F332" s="3" t="str">
        <f ca="1">IFERROR(__xludf.DUMMYFUNCTION("""COMPUTED_VALUE"""),"Beginner")</f>
        <v>Beginner</v>
      </c>
      <c r="G332" s="3"/>
      <c r="H332" s="156">
        <f ca="1">IFERROR(__xludf.DUMMYFUNCTION("""COMPUTED_VALUE"""),45646.4166666666)</f>
        <v>45646.416666666599</v>
      </c>
      <c r="I332" s="156">
        <f ca="1">IFERROR(__xludf.DUMMYFUNCTION("""COMPUTED_VALUE"""),45646.4166666666)</f>
        <v>45646.416666666599</v>
      </c>
      <c r="J332" s="3">
        <f ca="1">IFERROR(__xludf.DUMMYFUNCTION("""COMPUTED_VALUE"""),1)</f>
        <v>1</v>
      </c>
      <c r="K332" s="3" t="str">
        <f ca="1">IFERROR(__xludf.DUMMYFUNCTION("""COMPUTED_VALUE"""),"")</f>
        <v/>
      </c>
      <c r="L332" s="3" t="str">
        <f ca="1">IFERROR(__xludf.DUMMYFUNCTION("""COMPUTED_VALUE"""),"SM")</f>
        <v>SM</v>
      </c>
      <c r="M332" s="3" t="str">
        <f ca="1">IFERROR(__xludf.DUMMYFUNCTION("""COMPUTED_VALUE"""),"CHORUS")</f>
        <v>CHORUS</v>
      </c>
      <c r="N332" s="157">
        <f ca="1">IFERROR(__xludf.DUMMYFUNCTION("""COMPUTED_VALUE"""),1)</f>
        <v>1</v>
      </c>
      <c r="O332" s="157">
        <f ca="1">IFERROR(__xludf.DUMMYFUNCTION("""COMPUTED_VALUE"""),0)</f>
        <v>0</v>
      </c>
      <c r="P332" s="157"/>
      <c r="R332" s="147"/>
      <c r="S332" s="147"/>
      <c r="T332" s="147"/>
      <c r="U332" s="147"/>
      <c r="X332" s="147"/>
      <c r="Y332" s="147"/>
      <c r="Z332" s="147"/>
      <c r="AA332" s="147"/>
      <c r="AB332" s="147"/>
      <c r="AC332" s="147"/>
      <c r="AD332" s="147"/>
      <c r="AE332" s="147"/>
      <c r="AF332" s="147"/>
      <c r="AG332" s="147"/>
      <c r="AH332" s="147"/>
      <c r="AI332" s="147"/>
      <c r="AJ332" s="147"/>
      <c r="AK332" s="147"/>
      <c r="AL332" s="147"/>
      <c r="AM332" s="147"/>
      <c r="AN332" s="147"/>
      <c r="AO332" s="147"/>
      <c r="AP332" s="147"/>
      <c r="AQ332" s="147"/>
    </row>
    <row r="333" spans="1:43">
      <c r="A333" s="160" t="str">
        <f ca="1">IFERROR(__xludf.DUMMYFUNCTION("""COMPUTED_VALUE"""),"247098")</f>
        <v>247098</v>
      </c>
      <c r="B333" s="3" t="str">
        <f ca="1">IFERROR(__xludf.DUMMYFUNCTION("""COMPUTED_VALUE"""),"NGUYỄN VĂN TÀI")</f>
        <v>NGUYỄN VĂN TÀI</v>
      </c>
      <c r="C333" s="160" t="str">
        <f ca="1">IFERROR(__xludf.DUMMYFUNCTION("""COMPUTED_VALUE"""),"EL031")</f>
        <v>EL031</v>
      </c>
      <c r="D333" s="160" t="str">
        <f ca="1">IFERROR(__xludf.DUMMYFUNCTION("""COMPUTED_VALUE"""),"Tai Nguyen")</f>
        <v>Tai Nguyen</v>
      </c>
      <c r="E333" s="3" t="str">
        <f ca="1">IFERROR(__xludf.DUMMYFUNCTION("""COMPUTED_VALUE"""),"Communication 1")</f>
        <v>Communication 1</v>
      </c>
      <c r="F333" s="3" t="str">
        <f ca="1">IFERROR(__xludf.DUMMYFUNCTION("""COMPUTED_VALUE"""),"Beginner")</f>
        <v>Beginner</v>
      </c>
      <c r="G333" s="3" t="str">
        <f ca="1">IFERROR(__xludf.DUMMYFUNCTION("""COMPUTED_VALUE"""),"Pre-Intermediate")</f>
        <v>Pre-Intermediate</v>
      </c>
      <c r="H333" s="156">
        <f ca="1">IFERROR(__xludf.DUMMYFUNCTION("""COMPUTED_VALUE"""),45765.4166666666)</f>
        <v>45765.416666666599</v>
      </c>
      <c r="I333" s="156">
        <f ca="1">IFERROR(__xludf.DUMMYFUNCTION("""COMPUTED_VALUE"""),45765.4166666666)</f>
        <v>45765.416666666599</v>
      </c>
      <c r="J333" s="3">
        <f ca="1">IFERROR(__xludf.DUMMYFUNCTION("""COMPUTED_VALUE"""),1)</f>
        <v>1</v>
      </c>
      <c r="K333" s="3">
        <f ca="1">IFERROR(__xludf.DUMMYFUNCTION("""COMPUTED_VALUE"""),2.5)</f>
        <v>2.5</v>
      </c>
      <c r="L333" s="3" t="str">
        <f ca="1">IFERROR(__xludf.DUMMYFUNCTION("""COMPUTED_VALUE"""),"DEV")</f>
        <v>DEV</v>
      </c>
      <c r="M333" s="3" t="str">
        <f ca="1">IFERROR(__xludf.DUMMYFUNCTION("""COMPUTED_VALUE"""),"MOC")</f>
        <v>MOC</v>
      </c>
      <c r="N333" s="157">
        <f ca="1">IFERROR(__xludf.DUMMYFUNCTION("""COMPUTED_VALUE"""),1)</f>
        <v>1</v>
      </c>
      <c r="O333" s="157">
        <f ca="1">IFERROR(__xludf.DUMMYFUNCTION("""COMPUTED_VALUE"""),2.5)</f>
        <v>2.5</v>
      </c>
      <c r="P333" s="157"/>
      <c r="R333" s="147"/>
      <c r="S333" s="147"/>
      <c r="T333" s="147"/>
      <c r="U333" s="147"/>
      <c r="X333" s="147"/>
      <c r="Y333" s="147"/>
      <c r="Z333" s="147"/>
      <c r="AA333" s="147"/>
      <c r="AB333" s="147"/>
      <c r="AC333" s="147"/>
      <c r="AD333" s="147"/>
      <c r="AE333" s="147"/>
      <c r="AF333" s="147"/>
      <c r="AG333" s="147"/>
      <c r="AH333" s="147"/>
      <c r="AI333" s="147"/>
      <c r="AJ333" s="147"/>
      <c r="AK333" s="147"/>
      <c r="AL333" s="147"/>
      <c r="AM333" s="147"/>
      <c r="AN333" s="147"/>
      <c r="AO333" s="147"/>
      <c r="AP333" s="147"/>
      <c r="AQ333" s="147"/>
    </row>
    <row r="334" spans="1:43">
      <c r="A334" s="160" t="str">
        <f ca="1">IFERROR(__xludf.DUMMYFUNCTION("""COMPUTED_VALUE"""),"237156")</f>
        <v>237156</v>
      </c>
      <c r="B334" s="3" t="str">
        <f ca="1">IFERROR(__xludf.DUMMYFUNCTION("""COMPUTED_VALUE"""),"PHẠM HOÀNG THÁI SƠN")</f>
        <v>PHẠM HOÀNG THÁI SƠN</v>
      </c>
      <c r="C334" s="160" t="str">
        <f ca="1">IFERROR(__xludf.DUMMYFUNCTION("""COMPUTED_VALUE"""),"EL031")</f>
        <v>EL031</v>
      </c>
      <c r="D334" s="160" t="str">
        <f ca="1">IFERROR(__xludf.DUMMYFUNCTION("""COMPUTED_VALUE"""),"Tai Nguyen")</f>
        <v>Tai Nguyen</v>
      </c>
      <c r="E334" s="3" t="str">
        <f ca="1">IFERROR(__xludf.DUMMYFUNCTION("""COMPUTED_VALUE"""),"Communication 1")</f>
        <v>Communication 1</v>
      </c>
      <c r="F334" s="3" t="str">
        <f ca="1">IFERROR(__xludf.DUMMYFUNCTION("""COMPUTED_VALUE"""),"Foundation")</f>
        <v>Foundation</v>
      </c>
      <c r="G334" s="3" t="str">
        <f ca="1">IFERROR(__xludf.DUMMYFUNCTION("""COMPUTED_VALUE"""),"Beginner 2")</f>
        <v>Beginner 2</v>
      </c>
      <c r="H334" s="156">
        <f ca="1">IFERROR(__xludf.DUMMYFUNCTION("""COMPUTED_VALUE"""),45765.4166666666)</f>
        <v>45765.416666666599</v>
      </c>
      <c r="I334" s="156">
        <f ca="1">IFERROR(__xludf.DUMMYFUNCTION("""COMPUTED_VALUE"""),45765.4166666666)</f>
        <v>45765.416666666599</v>
      </c>
      <c r="J334" s="3">
        <f ca="1">IFERROR(__xludf.DUMMYFUNCTION("""COMPUTED_VALUE"""),0.5)</f>
        <v>0.5</v>
      </c>
      <c r="K334" s="3">
        <f ca="1">IFERROR(__xludf.DUMMYFUNCTION("""COMPUTED_VALUE"""),1.5)</f>
        <v>1.5</v>
      </c>
      <c r="L334" s="3" t="str">
        <f ca="1">IFERROR(__xludf.DUMMYFUNCTION("""COMPUTED_VALUE"""),"DEV")</f>
        <v>DEV</v>
      </c>
      <c r="M334" s="3" t="str">
        <f ca="1">IFERROR(__xludf.DUMMYFUNCTION("""COMPUTED_VALUE"""),"MOC")</f>
        <v>MOC</v>
      </c>
      <c r="N334" s="157">
        <f ca="1">IFERROR(__xludf.DUMMYFUNCTION("""COMPUTED_VALUE"""),0.5)</f>
        <v>0.5</v>
      </c>
      <c r="O334" s="157">
        <f ca="1">IFERROR(__xludf.DUMMYFUNCTION("""COMPUTED_VALUE"""),3.5)</f>
        <v>3.5</v>
      </c>
      <c r="P334" s="157"/>
      <c r="R334" s="147"/>
      <c r="S334" s="147"/>
      <c r="T334" s="147"/>
      <c r="U334" s="147"/>
      <c r="X334" s="147"/>
      <c r="Y334" s="147"/>
      <c r="Z334" s="147"/>
      <c r="AA334" s="147"/>
      <c r="AB334" s="147"/>
      <c r="AC334" s="147"/>
      <c r="AD334" s="147"/>
      <c r="AE334" s="147"/>
      <c r="AF334" s="147"/>
      <c r="AG334" s="147"/>
      <c r="AH334" s="147"/>
      <c r="AI334" s="147"/>
      <c r="AJ334" s="147"/>
      <c r="AK334" s="147"/>
      <c r="AL334" s="147"/>
      <c r="AM334" s="147"/>
      <c r="AN334" s="147"/>
      <c r="AO334" s="147"/>
      <c r="AP334" s="147"/>
      <c r="AQ334" s="147"/>
    </row>
    <row r="335" spans="1:43">
      <c r="A335" s="160" t="str">
        <f ca="1">IFERROR(__xludf.DUMMYFUNCTION("""COMPUTED_VALUE"""),"247119")</f>
        <v>247119</v>
      </c>
      <c r="B335" s="3" t="str">
        <f ca="1">IFERROR(__xludf.DUMMYFUNCTION("""COMPUTED_VALUE"""),"PHẠM HUY HOÀNG")</f>
        <v>PHẠM HUY HOÀNG</v>
      </c>
      <c r="C335" s="160" t="str">
        <f ca="1">IFERROR(__xludf.DUMMYFUNCTION("""COMPUTED_VALUE"""),"EL031")</f>
        <v>EL031</v>
      </c>
      <c r="D335" s="160" t="str">
        <f ca="1">IFERROR(__xludf.DUMMYFUNCTION("""COMPUTED_VALUE"""),"Tai Nguyen")</f>
        <v>Tai Nguyen</v>
      </c>
      <c r="E335" s="3" t="str">
        <f ca="1">IFERROR(__xludf.DUMMYFUNCTION("""COMPUTED_VALUE"""),"Communication 1")</f>
        <v>Communication 1</v>
      </c>
      <c r="F335" s="3" t="str">
        <f ca="1">IFERROR(__xludf.DUMMYFUNCTION("""COMPUTED_VALUE"""),"Beginner")</f>
        <v>Beginner</v>
      </c>
      <c r="G335" s="3" t="str">
        <f ca="1">IFERROR(__xludf.DUMMYFUNCTION("""COMPUTED_VALUE"""),"Pre-Intermediate 1")</f>
        <v>Pre-Intermediate 1</v>
      </c>
      <c r="H335" s="156">
        <f ca="1">IFERROR(__xludf.DUMMYFUNCTION("""COMPUTED_VALUE"""),45765.4166666666)</f>
        <v>45765.416666666599</v>
      </c>
      <c r="I335" s="156">
        <f ca="1">IFERROR(__xludf.DUMMYFUNCTION("""COMPUTED_VALUE"""),45765.4166666666)</f>
        <v>45765.416666666599</v>
      </c>
      <c r="J335" s="3">
        <f ca="1">IFERROR(__xludf.DUMMYFUNCTION("""COMPUTED_VALUE"""),1)</f>
        <v>1</v>
      </c>
      <c r="K335" s="3">
        <f ca="1">IFERROR(__xludf.DUMMYFUNCTION("""COMPUTED_VALUE"""),3)</f>
        <v>3</v>
      </c>
      <c r="L335" s="3" t="str">
        <f ca="1">IFERROR(__xludf.DUMMYFUNCTION("""COMPUTED_VALUE"""),"DEV")</f>
        <v>DEV</v>
      </c>
      <c r="M335" s="3" t="str">
        <f ca="1">IFERROR(__xludf.DUMMYFUNCTION("""COMPUTED_VALUE"""),"MOC")</f>
        <v>MOC</v>
      </c>
      <c r="N335" s="157">
        <f ca="1">IFERROR(__xludf.DUMMYFUNCTION("""COMPUTED_VALUE"""),1)</f>
        <v>1</v>
      </c>
      <c r="O335" s="157">
        <f ca="1">IFERROR(__xludf.DUMMYFUNCTION("""COMPUTED_VALUE"""),5)</f>
        <v>5</v>
      </c>
      <c r="P335" s="157"/>
      <c r="R335" s="147"/>
      <c r="S335" s="147"/>
      <c r="T335" s="147"/>
      <c r="U335" s="147"/>
      <c r="X335" s="147"/>
      <c r="Y335" s="147"/>
      <c r="Z335" s="147"/>
      <c r="AA335" s="147"/>
      <c r="AB335" s="147"/>
      <c r="AC335" s="147"/>
      <c r="AD335" s="147"/>
      <c r="AE335" s="147"/>
      <c r="AF335" s="147"/>
      <c r="AG335" s="147"/>
      <c r="AH335" s="147"/>
      <c r="AI335" s="147"/>
      <c r="AJ335" s="147"/>
      <c r="AK335" s="147"/>
      <c r="AL335" s="147"/>
      <c r="AM335" s="147"/>
      <c r="AN335" s="147"/>
      <c r="AO335" s="147"/>
      <c r="AP335" s="147"/>
      <c r="AQ335" s="147"/>
    </row>
    <row r="336" spans="1:43">
      <c r="A336" s="160" t="str">
        <f ca="1">IFERROR(__xludf.DUMMYFUNCTION("""COMPUTED_VALUE"""),"203764")</f>
        <v>203764</v>
      </c>
      <c r="B336" s="3" t="str">
        <f ca="1">IFERROR(__xludf.DUMMYFUNCTION("""COMPUTED_VALUE"""),"TRẦN MINH TRIẾT")</f>
        <v>TRẦN MINH TRIẾT</v>
      </c>
      <c r="C336" s="160" t="str">
        <f ca="1">IFERROR(__xludf.DUMMYFUNCTION("""COMPUTED_VALUE"""),"EL031")</f>
        <v>EL031</v>
      </c>
      <c r="D336" s="160" t="str">
        <f ca="1">IFERROR(__xludf.DUMMYFUNCTION("""COMPUTED_VALUE"""),"Tai Nguyen")</f>
        <v>Tai Nguyen</v>
      </c>
      <c r="E336" s="3" t="str">
        <f ca="1">IFERROR(__xludf.DUMMYFUNCTION("""COMPUTED_VALUE"""),"Communication 1")</f>
        <v>Communication 1</v>
      </c>
      <c r="F336" s="3" t="str">
        <f ca="1">IFERROR(__xludf.DUMMYFUNCTION("""COMPUTED_VALUE"""),"Beginner")</f>
        <v>Beginner</v>
      </c>
      <c r="G336" s="3" t="str">
        <f ca="1">IFERROR(__xludf.DUMMYFUNCTION("""COMPUTED_VALUE"""),"Pre-Intermediate 2")</f>
        <v>Pre-Intermediate 2</v>
      </c>
      <c r="H336" s="156">
        <f ca="1">IFERROR(__xludf.DUMMYFUNCTION("""COMPUTED_VALUE"""),45765.4166666666)</f>
        <v>45765.416666666599</v>
      </c>
      <c r="I336" s="156">
        <f ca="1">IFERROR(__xludf.DUMMYFUNCTION("""COMPUTED_VALUE"""),45765.4166666666)</f>
        <v>45765.416666666599</v>
      </c>
      <c r="J336" s="3">
        <f ca="1">IFERROR(__xludf.DUMMYFUNCTION("""COMPUTED_VALUE"""),1)</f>
        <v>1</v>
      </c>
      <c r="K336" s="3">
        <f ca="1">IFERROR(__xludf.DUMMYFUNCTION("""COMPUTED_VALUE"""),3.5)</f>
        <v>3.5</v>
      </c>
      <c r="L336" s="3" t="str">
        <f ca="1">IFERROR(__xludf.DUMMYFUNCTION("""COMPUTED_VALUE"""),"DEV")</f>
        <v>DEV</v>
      </c>
      <c r="M336" s="3" t="str">
        <f ca="1">IFERROR(__xludf.DUMMYFUNCTION("""COMPUTED_VALUE"""),"MOC")</f>
        <v>MOC</v>
      </c>
      <c r="N336" s="157">
        <f ca="1">IFERROR(__xludf.DUMMYFUNCTION("""COMPUTED_VALUE"""),1)</f>
        <v>1</v>
      </c>
      <c r="O336" s="157">
        <f ca="1">IFERROR(__xludf.DUMMYFUNCTION("""COMPUTED_VALUE"""),5)</f>
        <v>5</v>
      </c>
      <c r="P336" s="157"/>
      <c r="R336" s="147"/>
      <c r="S336" s="147"/>
      <c r="T336" s="147"/>
      <c r="U336" s="147"/>
      <c r="X336" s="147"/>
      <c r="Y336" s="147"/>
      <c r="Z336" s="147"/>
      <c r="AA336" s="147"/>
      <c r="AB336" s="147"/>
      <c r="AC336" s="147"/>
      <c r="AD336" s="147"/>
      <c r="AE336" s="147"/>
      <c r="AF336" s="147"/>
      <c r="AG336" s="147"/>
      <c r="AH336" s="147"/>
      <c r="AI336" s="147"/>
      <c r="AJ336" s="147"/>
      <c r="AK336" s="147"/>
      <c r="AL336" s="147"/>
      <c r="AM336" s="147"/>
      <c r="AN336" s="147"/>
      <c r="AO336" s="147"/>
      <c r="AP336" s="147"/>
      <c r="AQ336" s="147"/>
    </row>
    <row r="337" spans="1:43">
      <c r="A337" s="160" t="str">
        <f ca="1">IFERROR(__xludf.DUMMYFUNCTION("""COMPUTED_VALUE"""),"213808")</f>
        <v>213808</v>
      </c>
      <c r="B337" s="3" t="str">
        <f ca="1">IFERROR(__xludf.DUMMYFUNCTION("""COMPUTED_VALUE"""),"PHẠM HỒNG THIÊN TÀI")</f>
        <v>PHẠM HỒNG THIÊN TÀI</v>
      </c>
      <c r="C337" s="160" t="str">
        <f ca="1">IFERROR(__xludf.DUMMYFUNCTION("""COMPUTED_VALUE"""),"EL032")</f>
        <v>EL032</v>
      </c>
      <c r="D337" s="160" t="str">
        <f ca="1">IFERROR(__xludf.DUMMYFUNCTION("""COMPUTED_VALUE"""),"Tai Pham")</f>
        <v>Tai Pham</v>
      </c>
      <c r="E337" s="3" t="str">
        <f ca="1">IFERROR(__xludf.DUMMYFUNCTION("""COMPUTED_VALUE"""),"Communication 1")</f>
        <v>Communication 1</v>
      </c>
      <c r="F337" s="3" t="str">
        <f ca="1">IFERROR(__xludf.DUMMYFUNCTION("""COMPUTED_VALUE"""),"Beginner")</f>
        <v>Beginner</v>
      </c>
      <c r="G337" s="3" t="str">
        <f ca="1">IFERROR(__xludf.DUMMYFUNCTION("""COMPUTED_VALUE"""),"Beginner")</f>
        <v>Beginner</v>
      </c>
      <c r="H337" s="156">
        <f ca="1">IFERROR(__xludf.DUMMYFUNCTION("""COMPUTED_VALUE"""),45765.5833333333)</f>
        <v>45765.583333333299</v>
      </c>
      <c r="I337" s="156">
        <f ca="1">IFERROR(__xludf.DUMMYFUNCTION("""COMPUTED_VALUE"""),45765.5833333333)</f>
        <v>45765.583333333299</v>
      </c>
      <c r="J337" s="3">
        <f ca="1">IFERROR(__xludf.DUMMYFUNCTION("""COMPUTED_VALUE"""),1)</f>
        <v>1</v>
      </c>
      <c r="K337" s="3">
        <f ca="1">IFERROR(__xludf.DUMMYFUNCTION("""COMPUTED_VALUE"""),1)</f>
        <v>1</v>
      </c>
      <c r="L337" s="3" t="str">
        <f ca="1">IFERROR(__xludf.DUMMYFUNCTION("""COMPUTED_VALUE"""),"DEV")</f>
        <v>DEV</v>
      </c>
      <c r="M337" s="3" t="str">
        <f ca="1">IFERROR(__xludf.DUMMYFUNCTION("""COMPUTED_VALUE"""),"MOC")</f>
        <v>MOC</v>
      </c>
      <c r="N337" s="157">
        <f ca="1">IFERROR(__xludf.DUMMYFUNCTION("""COMPUTED_VALUE"""),1)</f>
        <v>1</v>
      </c>
      <c r="O337" s="157">
        <f ca="1">IFERROR(__xludf.DUMMYFUNCTION("""COMPUTED_VALUE"""),3)</f>
        <v>3</v>
      </c>
      <c r="P337" s="157"/>
      <c r="R337" s="147"/>
      <c r="S337" s="147"/>
      <c r="T337" s="147"/>
      <c r="U337" s="147"/>
      <c r="X337" s="147"/>
      <c r="Y337" s="147"/>
      <c r="Z337" s="147"/>
      <c r="AA337" s="147"/>
      <c r="AB337" s="147"/>
      <c r="AC337" s="147"/>
      <c r="AD337" s="147"/>
      <c r="AE337" s="147"/>
      <c r="AF337" s="147"/>
      <c r="AG337" s="147"/>
      <c r="AH337" s="147"/>
      <c r="AI337" s="147"/>
      <c r="AJ337" s="147"/>
      <c r="AK337" s="147"/>
      <c r="AL337" s="147"/>
      <c r="AM337" s="147"/>
      <c r="AN337" s="147"/>
      <c r="AO337" s="147"/>
      <c r="AP337" s="147"/>
      <c r="AQ337" s="147"/>
    </row>
    <row r="338" spans="1:43">
      <c r="A338" s="160" t="str">
        <f ca="1">IFERROR(__xludf.DUMMYFUNCTION("""COMPUTED_VALUE"""),"193536")</f>
        <v>193536</v>
      </c>
      <c r="B338" s="3" t="str">
        <f ca="1">IFERROR(__xludf.DUMMYFUNCTION("""COMPUTED_VALUE"""),"LÊ MINH PHƯỚC")</f>
        <v>LÊ MINH PHƯỚC</v>
      </c>
      <c r="C338" s="160" t="str">
        <f ca="1">IFERROR(__xludf.DUMMYFUNCTION("""COMPUTED_VALUE"""),"EL032")</f>
        <v>EL032</v>
      </c>
      <c r="D338" s="160" t="str">
        <f ca="1">IFERROR(__xludf.DUMMYFUNCTION("""COMPUTED_VALUE"""),"Tai Pham")</f>
        <v>Tai Pham</v>
      </c>
      <c r="E338" s="3" t="str">
        <f ca="1">IFERROR(__xludf.DUMMYFUNCTION("""COMPUTED_VALUE"""),"Communication 1")</f>
        <v>Communication 1</v>
      </c>
      <c r="F338" s="3" t="str">
        <f ca="1">IFERROR(__xludf.DUMMYFUNCTION("""COMPUTED_VALUE"""),"Beginner")</f>
        <v>Beginner</v>
      </c>
      <c r="G338" s="3" t="str">
        <f ca="1">IFERROR(__xludf.DUMMYFUNCTION("""COMPUTED_VALUE"""),"Beginner")</f>
        <v>Beginner</v>
      </c>
      <c r="H338" s="156">
        <f ca="1">IFERROR(__xludf.DUMMYFUNCTION("""COMPUTED_VALUE"""),45765.5833333333)</f>
        <v>45765.583333333299</v>
      </c>
      <c r="I338" s="156">
        <f ca="1">IFERROR(__xludf.DUMMYFUNCTION("""COMPUTED_VALUE"""),45765.5833333333)</f>
        <v>45765.583333333299</v>
      </c>
      <c r="J338" s="3">
        <f ca="1">IFERROR(__xludf.DUMMYFUNCTION("""COMPUTED_VALUE"""),1)</f>
        <v>1</v>
      </c>
      <c r="K338" s="3">
        <f ca="1">IFERROR(__xludf.DUMMYFUNCTION("""COMPUTED_VALUE"""),1)</f>
        <v>1</v>
      </c>
      <c r="L338" s="3" t="str">
        <f ca="1">IFERROR(__xludf.DUMMYFUNCTION("""COMPUTED_VALUE"""),"DEV")</f>
        <v>DEV</v>
      </c>
      <c r="M338" s="3" t="str">
        <f ca="1">IFERROR(__xludf.DUMMYFUNCTION("""COMPUTED_VALUE"""),"TBU")</f>
        <v>TBU</v>
      </c>
      <c r="N338" s="157">
        <f ca="1">IFERROR(__xludf.DUMMYFUNCTION("""COMPUTED_VALUE"""),1)</f>
        <v>1</v>
      </c>
      <c r="O338" s="157">
        <f ca="1">IFERROR(__xludf.DUMMYFUNCTION("""COMPUTED_VALUE"""),1)</f>
        <v>1</v>
      </c>
      <c r="P338" s="157"/>
      <c r="R338" s="147"/>
      <c r="S338" s="147"/>
      <c r="T338" s="147"/>
      <c r="U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row>
    <row r="339" spans="1:43">
      <c r="A339" s="160" t="str">
        <f ca="1">IFERROR(__xludf.DUMMYFUNCTION("""COMPUTED_VALUE"""),"213975")</f>
        <v>213975</v>
      </c>
      <c r="B339" s="3" t="str">
        <f ca="1">IFERROR(__xludf.DUMMYFUNCTION("""COMPUTED_VALUE"""),"LÊ NHẬT LINH")</f>
        <v>LÊ NHẬT LINH</v>
      </c>
      <c r="C339" s="160" t="str">
        <f ca="1">IFERROR(__xludf.DUMMYFUNCTION("""COMPUTED_VALUE"""),"EL032")</f>
        <v>EL032</v>
      </c>
      <c r="D339" s="160" t="str">
        <f ca="1">IFERROR(__xludf.DUMMYFUNCTION("""COMPUTED_VALUE"""),"Tai Pham")</f>
        <v>Tai Pham</v>
      </c>
      <c r="E339" s="3" t="str">
        <f ca="1">IFERROR(__xludf.DUMMYFUNCTION("""COMPUTED_VALUE"""),"Communication 1")</f>
        <v>Communication 1</v>
      </c>
      <c r="F339" s="3" t="str">
        <f ca="1">IFERROR(__xludf.DUMMYFUNCTION("""COMPUTED_VALUE"""),"Beginner")</f>
        <v>Beginner</v>
      </c>
      <c r="G339" s="3" t="str">
        <f ca="1">IFERROR(__xludf.DUMMYFUNCTION("""COMPUTED_VALUE"""),"Pre-Intermediate 1")</f>
        <v>Pre-Intermediate 1</v>
      </c>
      <c r="H339" s="156">
        <f ca="1">IFERROR(__xludf.DUMMYFUNCTION("""COMPUTED_VALUE"""),45765.5833333333)</f>
        <v>45765.583333333299</v>
      </c>
      <c r="I339" s="156">
        <f ca="1">IFERROR(__xludf.DUMMYFUNCTION("""COMPUTED_VALUE"""),45765.5833333333)</f>
        <v>45765.583333333299</v>
      </c>
      <c r="J339" s="3">
        <f ca="1">IFERROR(__xludf.DUMMYFUNCTION("""COMPUTED_VALUE"""),1)</f>
        <v>1</v>
      </c>
      <c r="K339" s="3">
        <f ca="1">IFERROR(__xludf.DUMMYFUNCTION("""COMPUTED_VALUE"""),3)</f>
        <v>3</v>
      </c>
      <c r="L339" s="3" t="str">
        <f ca="1">IFERROR(__xludf.DUMMYFUNCTION("""COMPUTED_VALUE"""),"DEV")</f>
        <v>DEV</v>
      </c>
      <c r="M339" s="3" t="str">
        <f ca="1">IFERROR(__xludf.DUMMYFUNCTION("""COMPUTED_VALUE"""),"MOC")</f>
        <v>MOC</v>
      </c>
      <c r="N339" s="157">
        <f ca="1">IFERROR(__xludf.DUMMYFUNCTION("""COMPUTED_VALUE"""),1)</f>
        <v>1</v>
      </c>
      <c r="O339" s="157">
        <f ca="1">IFERROR(__xludf.DUMMYFUNCTION("""COMPUTED_VALUE"""),3)</f>
        <v>3</v>
      </c>
      <c r="P339" s="157"/>
      <c r="R339" s="147"/>
      <c r="S339" s="147"/>
      <c r="T339" s="147"/>
      <c r="U339" s="147"/>
      <c r="X339" s="147"/>
      <c r="Y339" s="147"/>
      <c r="Z339" s="147"/>
      <c r="AA339" s="147"/>
      <c r="AB339" s="147"/>
      <c r="AC339" s="147"/>
      <c r="AD339" s="147"/>
      <c r="AE339" s="147"/>
      <c r="AF339" s="147"/>
      <c r="AG339" s="147"/>
      <c r="AH339" s="147"/>
      <c r="AI339" s="147"/>
      <c r="AJ339" s="147"/>
      <c r="AK339" s="147"/>
      <c r="AL339" s="147"/>
      <c r="AM339" s="147"/>
      <c r="AN339" s="147"/>
      <c r="AO339" s="147"/>
      <c r="AP339" s="147"/>
      <c r="AQ339" s="147"/>
    </row>
    <row r="340" spans="1:43">
      <c r="A340" s="160" t="str">
        <f ca="1">IFERROR(__xludf.DUMMYFUNCTION("""COMPUTED_VALUE"""),"213889")</f>
        <v>213889</v>
      </c>
      <c r="B340" s="3" t="str">
        <f ca="1">IFERROR(__xludf.DUMMYFUNCTION("""COMPUTED_VALUE"""),"LÊ TRIỆU HUẤN")</f>
        <v>LÊ TRIỆU HUẤN</v>
      </c>
      <c r="C340" s="160" t="str">
        <f ca="1">IFERROR(__xludf.DUMMYFUNCTION("""COMPUTED_VALUE"""),"EL032")</f>
        <v>EL032</v>
      </c>
      <c r="D340" s="160" t="str">
        <f ca="1">IFERROR(__xludf.DUMMYFUNCTION("""COMPUTED_VALUE"""),"Tai Pham")</f>
        <v>Tai Pham</v>
      </c>
      <c r="E340" s="3" t="str">
        <f ca="1">IFERROR(__xludf.DUMMYFUNCTION("""COMPUTED_VALUE"""),"Communication 1")</f>
        <v>Communication 1</v>
      </c>
      <c r="F340" s="3" t="str">
        <f ca="1">IFERROR(__xludf.DUMMYFUNCTION("""COMPUTED_VALUE"""),"Beginner")</f>
        <v>Beginner</v>
      </c>
      <c r="G340" s="3" t="str">
        <f ca="1">IFERROR(__xludf.DUMMYFUNCTION("""COMPUTED_VALUE"""),"Pre-Intermediate 1")</f>
        <v>Pre-Intermediate 1</v>
      </c>
      <c r="H340" s="156">
        <f ca="1">IFERROR(__xludf.DUMMYFUNCTION("""COMPUTED_VALUE"""),45765.5833333333)</f>
        <v>45765.583333333299</v>
      </c>
      <c r="I340" s="156">
        <f ca="1">IFERROR(__xludf.DUMMYFUNCTION("""COMPUTED_VALUE"""),45765.5833333333)</f>
        <v>45765.583333333299</v>
      </c>
      <c r="J340" s="3">
        <f ca="1">IFERROR(__xludf.DUMMYFUNCTION("""COMPUTED_VALUE"""),1)</f>
        <v>1</v>
      </c>
      <c r="K340" s="3">
        <f ca="1">IFERROR(__xludf.DUMMYFUNCTION("""COMPUTED_VALUE"""),3)</f>
        <v>3</v>
      </c>
      <c r="L340" s="3" t="str">
        <f ca="1">IFERROR(__xludf.DUMMYFUNCTION("""COMPUTED_VALUE"""),"DEV")</f>
        <v>DEV</v>
      </c>
      <c r="M340" s="3" t="str">
        <f ca="1">IFERROR(__xludf.DUMMYFUNCTION("""COMPUTED_VALUE"""),"MOC")</f>
        <v>MOC</v>
      </c>
      <c r="N340" s="157">
        <f ca="1">IFERROR(__xludf.DUMMYFUNCTION("""COMPUTED_VALUE"""),1)</f>
        <v>1</v>
      </c>
      <c r="O340" s="157">
        <f ca="1">IFERROR(__xludf.DUMMYFUNCTION("""COMPUTED_VALUE"""),5)</f>
        <v>5</v>
      </c>
      <c r="P340" s="157"/>
      <c r="R340" s="147"/>
      <c r="S340" s="147"/>
      <c r="T340" s="147"/>
      <c r="U340" s="147"/>
      <c r="X340" s="147"/>
      <c r="Y340" s="147"/>
      <c r="Z340" s="147"/>
      <c r="AA340" s="147"/>
      <c r="AB340" s="147"/>
      <c r="AC340" s="147"/>
      <c r="AD340" s="147"/>
      <c r="AE340" s="147"/>
      <c r="AF340" s="147"/>
      <c r="AG340" s="147"/>
      <c r="AH340" s="147"/>
      <c r="AI340" s="147"/>
      <c r="AJ340" s="147"/>
      <c r="AK340" s="147"/>
      <c r="AL340" s="147"/>
      <c r="AM340" s="147"/>
      <c r="AN340" s="147"/>
      <c r="AO340" s="147"/>
      <c r="AP340" s="147"/>
      <c r="AQ340" s="147"/>
    </row>
    <row r="341" spans="1:43">
      <c r="A341" s="160" t="str">
        <f ca="1">IFERROR(__xludf.DUMMYFUNCTION("""COMPUTED_VALUE"""),"247054")</f>
        <v>247054</v>
      </c>
      <c r="B341" s="3" t="str">
        <f ca="1">IFERROR(__xludf.DUMMYFUNCTION("""COMPUTED_VALUE"""),"NGUYỄN DOÃN NAM")</f>
        <v>NGUYỄN DOÃN NAM</v>
      </c>
      <c r="C341" s="160" t="str">
        <f ca="1">IFERROR(__xludf.DUMMYFUNCTION("""COMPUTED_VALUE"""),"EL032")</f>
        <v>EL032</v>
      </c>
      <c r="D341" s="160" t="str">
        <f ca="1">IFERROR(__xludf.DUMMYFUNCTION("""COMPUTED_VALUE"""),"Tai Pham")</f>
        <v>Tai Pham</v>
      </c>
      <c r="E341" s="3" t="str">
        <f ca="1">IFERROR(__xludf.DUMMYFUNCTION("""COMPUTED_VALUE"""),"Communication 1")</f>
        <v>Communication 1</v>
      </c>
      <c r="F341" s="3" t="str">
        <f ca="1">IFERROR(__xludf.DUMMYFUNCTION("""COMPUTED_VALUE"""),"Beginner")</f>
        <v>Beginner</v>
      </c>
      <c r="G341" s="3" t="str">
        <f ca="1">IFERROR(__xludf.DUMMYFUNCTION("""COMPUTED_VALUE"""),"Beginner")</f>
        <v>Beginner</v>
      </c>
      <c r="H341" s="156">
        <f ca="1">IFERROR(__xludf.DUMMYFUNCTION("""COMPUTED_VALUE"""),45765.5833333333)</f>
        <v>45765.583333333299</v>
      </c>
      <c r="I341" s="156">
        <f ca="1">IFERROR(__xludf.DUMMYFUNCTION("""COMPUTED_VALUE"""),45765.5833333333)</f>
        <v>45765.583333333299</v>
      </c>
      <c r="J341" s="3">
        <f ca="1">IFERROR(__xludf.DUMMYFUNCTION("""COMPUTED_VALUE"""),1)</f>
        <v>1</v>
      </c>
      <c r="K341" s="3">
        <f ca="1">IFERROR(__xludf.DUMMYFUNCTION("""COMPUTED_VALUE"""),1)</f>
        <v>1</v>
      </c>
      <c r="L341" s="3" t="str">
        <f ca="1">IFERROR(__xludf.DUMMYFUNCTION("""COMPUTED_VALUE"""),"DEV")</f>
        <v>DEV</v>
      </c>
      <c r="M341" s="3" t="str">
        <f ca="1">IFERROR(__xludf.DUMMYFUNCTION("""COMPUTED_VALUE"""),"MOC")</f>
        <v>MOC</v>
      </c>
      <c r="N341" s="157">
        <f ca="1">IFERROR(__xludf.DUMMYFUNCTION("""COMPUTED_VALUE"""),1)</f>
        <v>1</v>
      </c>
      <c r="O341" s="157">
        <f ca="1">IFERROR(__xludf.DUMMYFUNCTION("""COMPUTED_VALUE"""),1)</f>
        <v>1</v>
      </c>
      <c r="P341" s="157"/>
      <c r="R341" s="147"/>
      <c r="S341" s="147"/>
      <c r="T341" s="147"/>
      <c r="U341" s="147"/>
      <c r="X341" s="147"/>
      <c r="Y341" s="147"/>
      <c r="Z341" s="147"/>
      <c r="AA341" s="147"/>
      <c r="AB341" s="147"/>
      <c r="AC341" s="147"/>
      <c r="AD341" s="147"/>
      <c r="AE341" s="147"/>
      <c r="AF341" s="147"/>
      <c r="AG341" s="147"/>
      <c r="AH341" s="147"/>
      <c r="AI341" s="147"/>
      <c r="AJ341" s="147"/>
      <c r="AK341" s="147"/>
      <c r="AL341" s="147"/>
      <c r="AM341" s="147"/>
      <c r="AN341" s="147"/>
      <c r="AO341" s="147"/>
      <c r="AP341" s="147"/>
      <c r="AQ341" s="147"/>
    </row>
    <row r="342" spans="1:43">
      <c r="A342" s="160" t="str">
        <f ca="1">IFERROR(__xludf.DUMMYFUNCTION("""COMPUTED_VALUE"""),"213808")</f>
        <v>213808</v>
      </c>
      <c r="B342" s="3" t="str">
        <f ca="1">IFERROR(__xludf.DUMMYFUNCTION("""COMPUTED_VALUE"""),"PHẠM HỒNG THIÊN TÀI")</f>
        <v>PHẠM HỒNG THIÊN TÀI</v>
      </c>
      <c r="C342" s="160" t="str">
        <f ca="1">IFERROR(__xludf.DUMMYFUNCTION("""COMPUTED_VALUE"""),"EL032")</f>
        <v>EL032</v>
      </c>
      <c r="D342" s="160" t="str">
        <f ca="1">IFERROR(__xludf.DUMMYFUNCTION("""COMPUTED_VALUE"""),"Tai Pham")</f>
        <v>Tai Pham</v>
      </c>
      <c r="E342" s="3" t="str">
        <f ca="1">IFERROR(__xludf.DUMMYFUNCTION("""COMPUTED_VALUE"""),"Communication 2")</f>
        <v>Communication 2</v>
      </c>
      <c r="F342" s="3" t="str">
        <f ca="1">IFERROR(__xludf.DUMMYFUNCTION("""COMPUTED_VALUE"""),"Beginner")</f>
        <v>Beginner</v>
      </c>
      <c r="G342" s="3" t="str">
        <f ca="1">IFERROR(__xludf.DUMMYFUNCTION("""COMPUTED_VALUE"""),"Pre-Intermediate 1")</f>
        <v>Pre-Intermediate 1</v>
      </c>
      <c r="H342" s="156">
        <f ca="1">IFERROR(__xludf.DUMMYFUNCTION("""COMPUTED_VALUE"""),45881.5416666666)</f>
        <v>45881.541666666599</v>
      </c>
      <c r="I342" s="156">
        <f ca="1">IFERROR(__xludf.DUMMYFUNCTION("""COMPUTED_VALUE"""),45765.5833333333)</f>
        <v>45765.583333333299</v>
      </c>
      <c r="J342" s="3">
        <f ca="1">IFERROR(__xludf.DUMMYFUNCTION("""COMPUTED_VALUE"""),1)</f>
        <v>1</v>
      </c>
      <c r="K342" s="3">
        <f ca="1">IFERROR(__xludf.DUMMYFUNCTION("""COMPUTED_VALUE"""),3)</f>
        <v>3</v>
      </c>
      <c r="L342" s="3" t="str">
        <f ca="1">IFERROR(__xludf.DUMMYFUNCTION("""COMPUTED_VALUE"""),"DEV")</f>
        <v>DEV</v>
      </c>
      <c r="M342" s="3" t="str">
        <f ca="1">IFERROR(__xludf.DUMMYFUNCTION("""COMPUTED_VALUE"""),"MOC")</f>
        <v>MOC</v>
      </c>
      <c r="N342" s="157">
        <f ca="1">IFERROR(__xludf.DUMMYFUNCTION("""COMPUTED_VALUE"""),1)</f>
        <v>1</v>
      </c>
      <c r="O342" s="157">
        <f ca="1">IFERROR(__xludf.DUMMYFUNCTION("""COMPUTED_VALUE"""),3)</f>
        <v>3</v>
      </c>
      <c r="P342" s="157"/>
      <c r="R342" s="147"/>
      <c r="S342" s="147"/>
      <c r="T342" s="147"/>
      <c r="U342" s="147"/>
      <c r="X342" s="147"/>
      <c r="Y342" s="147"/>
      <c r="Z342" s="147"/>
      <c r="AA342" s="147"/>
      <c r="AB342" s="147"/>
      <c r="AC342" s="147"/>
      <c r="AD342" s="147"/>
      <c r="AE342" s="147"/>
      <c r="AF342" s="147"/>
      <c r="AG342" s="147"/>
      <c r="AH342" s="147"/>
      <c r="AI342" s="147"/>
      <c r="AJ342" s="147"/>
      <c r="AK342" s="147"/>
      <c r="AL342" s="147"/>
      <c r="AM342" s="147"/>
      <c r="AN342" s="147"/>
      <c r="AO342" s="147"/>
      <c r="AP342" s="147"/>
      <c r="AQ342" s="147"/>
    </row>
    <row r="343" spans="1:43">
      <c r="A343" s="160" t="str">
        <f ca="1">IFERROR(__xludf.DUMMYFUNCTION("""COMPUTED_VALUE"""),"193536")</f>
        <v>193536</v>
      </c>
      <c r="B343" s="3" t="str">
        <f ca="1">IFERROR(__xludf.DUMMYFUNCTION("""COMPUTED_VALUE"""),"LÊ MINH PHƯỚC")</f>
        <v>LÊ MINH PHƯỚC</v>
      </c>
      <c r="C343" s="160" t="str">
        <f ca="1">IFERROR(__xludf.DUMMYFUNCTION("""COMPUTED_VALUE"""),"EL032")</f>
        <v>EL032</v>
      </c>
      <c r="D343" s="160" t="str">
        <f ca="1">IFERROR(__xludf.DUMMYFUNCTION("""COMPUTED_VALUE"""),"Tai Pham")</f>
        <v>Tai Pham</v>
      </c>
      <c r="E343" s="3" t="str">
        <f ca="1">IFERROR(__xludf.DUMMYFUNCTION("""COMPUTED_VALUE"""),"Communication 2")</f>
        <v>Communication 2</v>
      </c>
      <c r="F343" s="3" t="str">
        <f ca="1">IFERROR(__xludf.DUMMYFUNCTION("""COMPUTED_VALUE"""),"Beginner")</f>
        <v>Beginner</v>
      </c>
      <c r="G343" s="3"/>
      <c r="H343" s="156">
        <f ca="1">IFERROR(__xludf.DUMMYFUNCTION("""COMPUTED_VALUE"""),45881.5416666666)</f>
        <v>45881.541666666599</v>
      </c>
      <c r="I343" s="156">
        <f ca="1">IFERROR(__xludf.DUMMYFUNCTION("""COMPUTED_VALUE"""),45765.5833333333)</f>
        <v>45765.583333333299</v>
      </c>
      <c r="J343" s="3">
        <f ca="1">IFERROR(__xludf.DUMMYFUNCTION("""COMPUTED_VALUE"""),1)</f>
        <v>1</v>
      </c>
      <c r="K343" s="3" t="str">
        <f ca="1">IFERROR(__xludf.DUMMYFUNCTION("""COMPUTED_VALUE"""),"")</f>
        <v/>
      </c>
      <c r="L343" s="3" t="str">
        <f ca="1">IFERROR(__xludf.DUMMYFUNCTION("""COMPUTED_VALUE"""),"DEV")</f>
        <v>DEV</v>
      </c>
      <c r="M343" s="3" t="str">
        <f ca="1">IFERROR(__xludf.DUMMYFUNCTION("""COMPUTED_VALUE"""),"TBU")</f>
        <v>TBU</v>
      </c>
      <c r="N343" s="157">
        <f ca="1">IFERROR(__xludf.DUMMYFUNCTION("""COMPUTED_VALUE"""),1)</f>
        <v>1</v>
      </c>
      <c r="O343" s="157">
        <f ca="1">IFERROR(__xludf.DUMMYFUNCTION("""COMPUTED_VALUE"""),1)</f>
        <v>1</v>
      </c>
      <c r="P343" s="157"/>
      <c r="R343" s="147"/>
      <c r="S343" s="147"/>
      <c r="T343" s="147"/>
      <c r="U343" s="147"/>
      <c r="X343" s="147"/>
      <c r="Y343" s="147"/>
      <c r="Z343" s="147"/>
      <c r="AA343" s="147"/>
      <c r="AB343" s="147"/>
      <c r="AC343" s="147"/>
      <c r="AD343" s="147"/>
      <c r="AE343" s="147"/>
      <c r="AF343" s="147"/>
      <c r="AG343" s="147"/>
      <c r="AH343" s="147"/>
      <c r="AI343" s="147"/>
      <c r="AJ343" s="147"/>
      <c r="AK343" s="147"/>
      <c r="AL343" s="147"/>
      <c r="AM343" s="147"/>
      <c r="AN343" s="147"/>
      <c r="AO343" s="147"/>
      <c r="AP343" s="147"/>
      <c r="AQ343" s="147"/>
    </row>
    <row r="344" spans="1:43">
      <c r="A344" s="160" t="str">
        <f ca="1">IFERROR(__xludf.DUMMYFUNCTION("""COMPUTED_VALUE"""),"213975")</f>
        <v>213975</v>
      </c>
      <c r="B344" s="3" t="str">
        <f ca="1">IFERROR(__xludf.DUMMYFUNCTION("""COMPUTED_VALUE"""),"LÊ NHẬT LINH")</f>
        <v>LÊ NHẬT LINH</v>
      </c>
      <c r="C344" s="160" t="str">
        <f ca="1">IFERROR(__xludf.DUMMYFUNCTION("""COMPUTED_VALUE"""),"EL032")</f>
        <v>EL032</v>
      </c>
      <c r="D344" s="160" t="str">
        <f ca="1">IFERROR(__xludf.DUMMYFUNCTION("""COMPUTED_VALUE"""),"Tai Pham")</f>
        <v>Tai Pham</v>
      </c>
      <c r="E344" s="3" t="str">
        <f ca="1">IFERROR(__xludf.DUMMYFUNCTION("""COMPUTED_VALUE"""),"Communication 2")</f>
        <v>Communication 2</v>
      </c>
      <c r="F344" s="3" t="str">
        <f ca="1">IFERROR(__xludf.DUMMYFUNCTION("""COMPUTED_VALUE"""),"Pre-Intermediate 1")</f>
        <v>Pre-Intermediate 1</v>
      </c>
      <c r="G344" s="3"/>
      <c r="H344" s="156">
        <f ca="1">IFERROR(__xludf.DUMMYFUNCTION("""COMPUTED_VALUE"""),45881.5416666666)</f>
        <v>45881.541666666599</v>
      </c>
      <c r="I344" s="156">
        <f ca="1">IFERROR(__xludf.DUMMYFUNCTION("""COMPUTED_VALUE"""),45765.5833333333)</f>
        <v>45765.583333333299</v>
      </c>
      <c r="J344" s="3">
        <f ca="1">IFERROR(__xludf.DUMMYFUNCTION("""COMPUTED_VALUE"""),3)</f>
        <v>3</v>
      </c>
      <c r="K344" s="3" t="str">
        <f ca="1">IFERROR(__xludf.DUMMYFUNCTION("""COMPUTED_VALUE"""),"")</f>
        <v/>
      </c>
      <c r="L344" s="3" t="str">
        <f ca="1">IFERROR(__xludf.DUMMYFUNCTION("""COMPUTED_VALUE"""),"DEV")</f>
        <v>DEV</v>
      </c>
      <c r="M344" s="3" t="str">
        <f ca="1">IFERROR(__xludf.DUMMYFUNCTION("""COMPUTED_VALUE"""),"MOC")</f>
        <v>MOC</v>
      </c>
      <c r="N344" s="157">
        <f ca="1">IFERROR(__xludf.DUMMYFUNCTION("""COMPUTED_VALUE"""),1)</f>
        <v>1</v>
      </c>
      <c r="O344" s="157">
        <f ca="1">IFERROR(__xludf.DUMMYFUNCTION("""COMPUTED_VALUE"""),3)</f>
        <v>3</v>
      </c>
      <c r="P344" s="157"/>
      <c r="R344" s="147"/>
      <c r="S344" s="147"/>
      <c r="T344" s="147"/>
      <c r="U344" s="147"/>
      <c r="X344" s="147"/>
      <c r="Y344" s="147"/>
      <c r="Z344" s="147"/>
      <c r="AA344" s="147"/>
      <c r="AB344" s="147"/>
      <c r="AC344" s="147"/>
      <c r="AD344" s="147"/>
      <c r="AE344" s="147"/>
      <c r="AF344" s="147"/>
      <c r="AG344" s="147"/>
      <c r="AH344" s="147"/>
      <c r="AI344" s="147"/>
      <c r="AJ344" s="147"/>
      <c r="AK344" s="147"/>
      <c r="AL344" s="147"/>
      <c r="AM344" s="147"/>
      <c r="AN344" s="147"/>
      <c r="AO344" s="147"/>
      <c r="AP344" s="147"/>
      <c r="AQ344" s="147"/>
    </row>
    <row r="345" spans="1:43">
      <c r="A345" s="160" t="str">
        <f ca="1">IFERROR(__xludf.DUMMYFUNCTION("""COMPUTED_VALUE"""),"213889")</f>
        <v>213889</v>
      </c>
      <c r="B345" s="3" t="str">
        <f ca="1">IFERROR(__xludf.DUMMYFUNCTION("""COMPUTED_VALUE"""),"LÊ TRIỆU HUẤN")</f>
        <v>LÊ TRIỆU HUẤN</v>
      </c>
      <c r="C345" s="160" t="str">
        <f ca="1">IFERROR(__xludf.DUMMYFUNCTION("""COMPUTED_VALUE"""),"EL032")</f>
        <v>EL032</v>
      </c>
      <c r="D345" s="160" t="str">
        <f ca="1">IFERROR(__xludf.DUMMYFUNCTION("""COMPUTED_VALUE"""),"Tai Pham")</f>
        <v>Tai Pham</v>
      </c>
      <c r="E345" s="3" t="str">
        <f ca="1">IFERROR(__xludf.DUMMYFUNCTION("""COMPUTED_VALUE"""),"Communication 2")</f>
        <v>Communication 2</v>
      </c>
      <c r="F345" s="3" t="str">
        <f ca="1">IFERROR(__xludf.DUMMYFUNCTION("""COMPUTED_VALUE"""),"Pre-Intermediate 1")</f>
        <v>Pre-Intermediate 1</v>
      </c>
      <c r="G345" s="3" t="str">
        <f ca="1">IFERROR(__xludf.DUMMYFUNCTION("""COMPUTED_VALUE"""),"Intermediate 1")</f>
        <v>Intermediate 1</v>
      </c>
      <c r="H345" s="156">
        <f ca="1">IFERROR(__xludf.DUMMYFUNCTION("""COMPUTED_VALUE"""),45881.5416666666)</f>
        <v>45881.541666666599</v>
      </c>
      <c r="I345" s="156">
        <f ca="1">IFERROR(__xludf.DUMMYFUNCTION("""COMPUTED_VALUE"""),45765.5833333333)</f>
        <v>45765.583333333299</v>
      </c>
      <c r="J345" s="3">
        <f ca="1">IFERROR(__xludf.DUMMYFUNCTION("""COMPUTED_VALUE"""),3)</f>
        <v>3</v>
      </c>
      <c r="K345" s="3">
        <f ca="1">IFERROR(__xludf.DUMMYFUNCTION("""COMPUTED_VALUE"""),5)</f>
        <v>5</v>
      </c>
      <c r="L345" s="3" t="str">
        <f ca="1">IFERROR(__xludf.DUMMYFUNCTION("""COMPUTED_VALUE"""),"DEV")</f>
        <v>DEV</v>
      </c>
      <c r="M345" s="3" t="str">
        <f ca="1">IFERROR(__xludf.DUMMYFUNCTION("""COMPUTED_VALUE"""),"MOC")</f>
        <v>MOC</v>
      </c>
      <c r="N345" s="157">
        <f ca="1">IFERROR(__xludf.DUMMYFUNCTION("""COMPUTED_VALUE"""),1)</f>
        <v>1</v>
      </c>
      <c r="O345" s="157">
        <f ca="1">IFERROR(__xludf.DUMMYFUNCTION("""COMPUTED_VALUE"""),5)</f>
        <v>5</v>
      </c>
      <c r="P345" s="157"/>
      <c r="R345" s="147"/>
      <c r="S345" s="147"/>
      <c r="T345" s="147"/>
      <c r="U345" s="147"/>
      <c r="X345" s="147"/>
      <c r="Y345" s="147"/>
      <c r="Z345" s="147"/>
      <c r="AA345" s="147"/>
      <c r="AB345" s="147"/>
      <c r="AC345" s="147"/>
      <c r="AD345" s="147"/>
      <c r="AE345" s="147"/>
      <c r="AF345" s="147"/>
      <c r="AG345" s="147"/>
      <c r="AH345" s="147"/>
      <c r="AI345" s="147"/>
      <c r="AJ345" s="147"/>
      <c r="AK345" s="147"/>
      <c r="AL345" s="147"/>
      <c r="AM345" s="147"/>
      <c r="AN345" s="147"/>
      <c r="AO345" s="147"/>
      <c r="AP345" s="147"/>
      <c r="AQ345" s="147"/>
    </row>
    <row r="346" spans="1:43">
      <c r="A346" s="160" t="str">
        <f ca="1">IFERROR(__xludf.DUMMYFUNCTION("""COMPUTED_VALUE"""),"163188")</f>
        <v>163188</v>
      </c>
      <c r="B346" s="3" t="str">
        <f ca="1">IFERROR(__xludf.DUMMYFUNCTION("""COMPUTED_VALUE"""),"LƯƠNG CÔNG KỲ")</f>
        <v>LƯƠNG CÔNG KỲ</v>
      </c>
      <c r="C346" s="160" t="str">
        <f ca="1">IFERROR(__xludf.DUMMYFUNCTION("""COMPUTED_VALUE"""),"EL032")</f>
        <v>EL032</v>
      </c>
      <c r="D346" s="160" t="str">
        <f ca="1">IFERROR(__xludf.DUMMYFUNCTION("""COMPUTED_VALUE"""),"Tai Pham")</f>
        <v>Tai Pham</v>
      </c>
      <c r="E346" s="3" t="str">
        <f ca="1">IFERROR(__xludf.DUMMYFUNCTION("""COMPUTED_VALUE"""),"Communication 2")</f>
        <v>Communication 2</v>
      </c>
      <c r="F346" s="3" t="str">
        <f ca="1">IFERROR(__xludf.DUMMYFUNCTION("""COMPUTED_VALUE"""),"Beginner 2")</f>
        <v>Beginner 2</v>
      </c>
      <c r="G346" s="3" t="str">
        <f ca="1">IFERROR(__xludf.DUMMYFUNCTION("""COMPUTED_VALUE"""),"Intermediate 1")</f>
        <v>Intermediate 1</v>
      </c>
      <c r="H346" s="156">
        <f ca="1">IFERROR(__xludf.DUMMYFUNCTION("""COMPUTED_VALUE"""),45881.5416666666)</f>
        <v>45881.541666666599</v>
      </c>
      <c r="I346" s="156">
        <f ca="1">IFERROR(__xludf.DUMMYFUNCTION("""COMPUTED_VALUE"""),45765.375)</f>
        <v>45765.375</v>
      </c>
      <c r="J346" s="3">
        <f ca="1">IFERROR(__xludf.DUMMYFUNCTION("""COMPUTED_VALUE"""),1.5)</f>
        <v>1.5</v>
      </c>
      <c r="K346" s="3">
        <f ca="1">IFERROR(__xludf.DUMMYFUNCTION("""COMPUTED_VALUE"""),5)</f>
        <v>5</v>
      </c>
      <c r="L346" s="3" t="str">
        <f ca="1">IFERROR(__xludf.DUMMYFUNCTION("""COMPUTED_VALUE"""),"DEV")</f>
        <v>DEV</v>
      </c>
      <c r="M346" s="3" t="str">
        <f ca="1">IFERROR(__xludf.DUMMYFUNCTION("""COMPUTED_VALUE"""),"MOC")</f>
        <v>MOC</v>
      </c>
      <c r="N346" s="157">
        <f ca="1">IFERROR(__xludf.DUMMYFUNCTION("""COMPUTED_VALUE"""),1)</f>
        <v>1</v>
      </c>
      <c r="O346" s="157">
        <f ca="1">IFERROR(__xludf.DUMMYFUNCTION("""COMPUTED_VALUE"""),5)</f>
        <v>5</v>
      </c>
      <c r="P346" s="157"/>
      <c r="R346" s="147"/>
      <c r="S346" s="147"/>
      <c r="T346" s="147"/>
      <c r="U346" s="147"/>
      <c r="X346" s="147"/>
      <c r="Y346" s="147"/>
      <c r="Z346" s="147"/>
      <c r="AA346" s="147"/>
      <c r="AB346" s="147"/>
      <c r="AC346" s="147"/>
      <c r="AD346" s="147"/>
      <c r="AE346" s="147"/>
      <c r="AF346" s="147"/>
      <c r="AG346" s="147"/>
      <c r="AH346" s="147"/>
      <c r="AI346" s="147"/>
      <c r="AJ346" s="147"/>
      <c r="AK346" s="147"/>
      <c r="AL346" s="147"/>
      <c r="AM346" s="147"/>
      <c r="AN346" s="147"/>
      <c r="AO346" s="147"/>
      <c r="AP346" s="147"/>
      <c r="AQ346" s="147"/>
    </row>
    <row r="347" spans="1:43">
      <c r="A347" s="160" t="str">
        <f ca="1">IFERROR(__xludf.DUMMYFUNCTION("""COMPUTED_VALUE"""),"237157")</f>
        <v>237157</v>
      </c>
      <c r="B347" s="3" t="str">
        <f ca="1">IFERROR(__xludf.DUMMYFUNCTION("""COMPUTED_VALUE"""),"NGUYỄN BÁ NGỌC")</f>
        <v>NGUYỄN BÁ NGỌC</v>
      </c>
      <c r="C347" s="160" t="str">
        <f ca="1">IFERROR(__xludf.DUMMYFUNCTION("""COMPUTED_VALUE"""),"EL032")</f>
        <v>EL032</v>
      </c>
      <c r="D347" s="160" t="str">
        <f ca="1">IFERROR(__xludf.DUMMYFUNCTION("""COMPUTED_VALUE"""),"Tai Pham")</f>
        <v>Tai Pham</v>
      </c>
      <c r="E347" s="3" t="str">
        <f ca="1">IFERROR(__xludf.DUMMYFUNCTION("""COMPUTED_VALUE"""),"Communication 2")</f>
        <v>Communication 2</v>
      </c>
      <c r="F347" s="3" t="str">
        <f ca="1">IFERROR(__xludf.DUMMYFUNCTION("""COMPUTED_VALUE"""),"Pre-Intermediate 1")</f>
        <v>Pre-Intermediate 1</v>
      </c>
      <c r="G347" s="3" t="str">
        <f ca="1">IFERROR(__xludf.DUMMYFUNCTION("""COMPUTED_VALUE"""),"Intermediate 1")</f>
        <v>Intermediate 1</v>
      </c>
      <c r="H347" s="156">
        <f ca="1">IFERROR(__xludf.DUMMYFUNCTION("""COMPUTED_VALUE"""),45881.5416666666)</f>
        <v>45881.541666666599</v>
      </c>
      <c r="I347" s="156">
        <f ca="1">IFERROR(__xludf.DUMMYFUNCTION("""COMPUTED_VALUE"""),45765.375)</f>
        <v>45765.375</v>
      </c>
      <c r="J347" s="3">
        <f ca="1">IFERROR(__xludf.DUMMYFUNCTION("""COMPUTED_VALUE"""),3)</f>
        <v>3</v>
      </c>
      <c r="K347" s="3">
        <f ca="1">IFERROR(__xludf.DUMMYFUNCTION("""COMPUTED_VALUE"""),5)</f>
        <v>5</v>
      </c>
      <c r="L347" s="3" t="str">
        <f ca="1">IFERROR(__xludf.DUMMYFUNCTION("""COMPUTED_VALUE"""),"DEV")</f>
        <v>DEV</v>
      </c>
      <c r="M347" s="3" t="str">
        <f ca="1">IFERROR(__xludf.DUMMYFUNCTION("""COMPUTED_VALUE"""),"MOC")</f>
        <v>MOC</v>
      </c>
      <c r="N347" s="157">
        <f ca="1">IFERROR(__xludf.DUMMYFUNCTION("""COMPUTED_VALUE"""),1)</f>
        <v>1</v>
      </c>
      <c r="O347" s="157">
        <f ca="1">IFERROR(__xludf.DUMMYFUNCTION("""COMPUTED_VALUE"""),5)</f>
        <v>5</v>
      </c>
      <c r="P347" s="157"/>
      <c r="R347" s="147"/>
      <c r="S347" s="147"/>
      <c r="T347" s="147"/>
      <c r="U347" s="147"/>
      <c r="X347" s="147"/>
      <c r="Y347" s="147"/>
      <c r="Z347" s="147"/>
      <c r="AA347" s="147"/>
      <c r="AB347" s="147"/>
      <c r="AC347" s="147"/>
      <c r="AD347" s="147"/>
      <c r="AE347" s="147"/>
      <c r="AF347" s="147"/>
      <c r="AG347" s="147"/>
      <c r="AH347" s="147"/>
      <c r="AI347" s="147"/>
      <c r="AJ347" s="147"/>
      <c r="AK347" s="147"/>
      <c r="AL347" s="147"/>
      <c r="AM347" s="147"/>
      <c r="AN347" s="147"/>
      <c r="AO347" s="147"/>
      <c r="AP347" s="147"/>
      <c r="AQ347" s="147"/>
    </row>
    <row r="348" spans="1:43">
      <c r="A348" s="160" t="str">
        <f ca="1">IFERROR(__xludf.DUMMYFUNCTION("""COMPUTED_VALUE"""),"247203")</f>
        <v>247203</v>
      </c>
      <c r="B348" s="3" t="str">
        <f ca="1">IFERROR(__xludf.DUMMYFUNCTION("""COMPUTED_VALUE"""),"PHAN HUY NHÂN")</f>
        <v>PHAN HUY NHÂN</v>
      </c>
      <c r="C348" s="160" t="str">
        <f ca="1">IFERROR(__xludf.DUMMYFUNCTION("""COMPUTED_VALUE"""),"EL032")</f>
        <v>EL032</v>
      </c>
      <c r="D348" s="160" t="str">
        <f ca="1">IFERROR(__xludf.DUMMYFUNCTION("""COMPUTED_VALUE"""),"Tai Pham")</f>
        <v>Tai Pham</v>
      </c>
      <c r="E348" s="3" t="str">
        <f ca="1">IFERROR(__xludf.DUMMYFUNCTION("""COMPUTED_VALUE"""),"Communication 2")</f>
        <v>Communication 2</v>
      </c>
      <c r="F348" s="3" t="str">
        <f ca="1">IFERROR(__xludf.DUMMYFUNCTION("""COMPUTED_VALUE"""),"Pre-Intermediate 1")</f>
        <v>Pre-Intermediate 1</v>
      </c>
      <c r="G348" s="3" t="str">
        <f ca="1">IFERROR(__xludf.DUMMYFUNCTION("""COMPUTED_VALUE"""),"Pre-Intermediate 2")</f>
        <v>Pre-Intermediate 2</v>
      </c>
      <c r="H348" s="156">
        <f ca="1">IFERROR(__xludf.DUMMYFUNCTION("""COMPUTED_VALUE"""),45881.5416666666)</f>
        <v>45881.541666666599</v>
      </c>
      <c r="I348" s="156">
        <f ca="1">IFERROR(__xludf.DUMMYFUNCTION("""COMPUTED_VALUE"""),45765.375)</f>
        <v>45765.375</v>
      </c>
      <c r="J348" s="3">
        <f ca="1">IFERROR(__xludf.DUMMYFUNCTION("""COMPUTED_VALUE"""),3)</f>
        <v>3</v>
      </c>
      <c r="K348" s="3">
        <f ca="1">IFERROR(__xludf.DUMMYFUNCTION("""COMPUTED_VALUE"""),3.5)</f>
        <v>3.5</v>
      </c>
      <c r="L348" s="3" t="str">
        <f ca="1">IFERROR(__xludf.DUMMYFUNCTION("""COMPUTED_VALUE"""),"DEV")</f>
        <v>DEV</v>
      </c>
      <c r="M348" s="3" t="str">
        <f ca="1">IFERROR(__xludf.DUMMYFUNCTION("""COMPUTED_VALUE"""),"MOC")</f>
        <v>MOC</v>
      </c>
      <c r="N348" s="157">
        <f ca="1">IFERROR(__xludf.DUMMYFUNCTION("""COMPUTED_VALUE"""),1)</f>
        <v>1</v>
      </c>
      <c r="O348" s="157">
        <f ca="1">IFERROR(__xludf.DUMMYFUNCTION("""COMPUTED_VALUE"""),3.5)</f>
        <v>3.5</v>
      </c>
      <c r="P348" s="157"/>
      <c r="R348" s="147"/>
      <c r="S348" s="147"/>
      <c r="T348" s="147"/>
      <c r="U348" s="147"/>
      <c r="X348" s="147"/>
      <c r="Y348" s="147"/>
      <c r="Z348" s="147"/>
      <c r="AA348" s="147"/>
      <c r="AB348" s="147"/>
      <c r="AC348" s="147"/>
      <c r="AD348" s="147"/>
      <c r="AE348" s="147"/>
      <c r="AF348" s="147"/>
      <c r="AG348" s="147"/>
      <c r="AH348" s="147"/>
      <c r="AI348" s="147"/>
      <c r="AJ348" s="147"/>
      <c r="AK348" s="147"/>
      <c r="AL348" s="147"/>
      <c r="AM348" s="147"/>
      <c r="AN348" s="147"/>
      <c r="AO348" s="147"/>
      <c r="AP348" s="147"/>
      <c r="AQ348" s="147"/>
    </row>
    <row r="349" spans="1:43">
      <c r="A349" s="160" t="str">
        <f ca="1">IFERROR(__xludf.DUMMYFUNCTION("""COMPUTED_VALUE"""),"237196")</f>
        <v>237196</v>
      </c>
      <c r="B349" s="3" t="str">
        <f ca="1">IFERROR(__xludf.DUMMYFUNCTION("""COMPUTED_VALUE"""),"VÕ CHÍ THIỆN")</f>
        <v>VÕ CHÍ THIỆN</v>
      </c>
      <c r="C349" s="160" t="str">
        <f ca="1">IFERROR(__xludf.DUMMYFUNCTION("""COMPUTED_VALUE"""),"EL032")</f>
        <v>EL032</v>
      </c>
      <c r="D349" s="160" t="str">
        <f ca="1">IFERROR(__xludf.DUMMYFUNCTION("""COMPUTED_VALUE"""),"Tai Pham")</f>
        <v>Tai Pham</v>
      </c>
      <c r="E349" s="3" t="str">
        <f ca="1">IFERROR(__xludf.DUMMYFUNCTION("""COMPUTED_VALUE"""),"Communication 2")</f>
        <v>Communication 2</v>
      </c>
      <c r="F349" s="3" t="str">
        <f ca="1">IFERROR(__xludf.DUMMYFUNCTION("""COMPUTED_VALUE"""),"Pre-Intermediate 1")</f>
        <v>Pre-Intermediate 1</v>
      </c>
      <c r="G349" s="3" t="str">
        <f ca="1">IFERROR(__xludf.DUMMYFUNCTION("""COMPUTED_VALUE"""),"Pre-Intermediate 2")</f>
        <v>Pre-Intermediate 2</v>
      </c>
      <c r="H349" s="156">
        <f ca="1">IFERROR(__xludf.DUMMYFUNCTION("""COMPUTED_VALUE"""),45881.5416666666)</f>
        <v>45881.541666666599</v>
      </c>
      <c r="I349" s="156">
        <f ca="1">IFERROR(__xludf.DUMMYFUNCTION("""COMPUTED_VALUE"""),45765.375)</f>
        <v>45765.375</v>
      </c>
      <c r="J349" s="3">
        <f ca="1">IFERROR(__xludf.DUMMYFUNCTION("""COMPUTED_VALUE"""),3)</f>
        <v>3</v>
      </c>
      <c r="K349" s="3">
        <f ca="1">IFERROR(__xludf.DUMMYFUNCTION("""COMPUTED_VALUE"""),3.5)</f>
        <v>3.5</v>
      </c>
      <c r="L349" s="3" t="str">
        <f ca="1">IFERROR(__xludf.DUMMYFUNCTION("""COMPUTED_VALUE"""),"DEV")</f>
        <v>DEV</v>
      </c>
      <c r="M349" s="3" t="str">
        <f ca="1">IFERROR(__xludf.DUMMYFUNCTION("""COMPUTED_VALUE"""),"MOC")</f>
        <v>MOC</v>
      </c>
      <c r="N349" s="157">
        <f ca="1">IFERROR(__xludf.DUMMYFUNCTION("""COMPUTED_VALUE"""),1)</f>
        <v>1</v>
      </c>
      <c r="O349" s="157">
        <f ca="1">IFERROR(__xludf.DUMMYFUNCTION("""COMPUTED_VALUE"""),3.5)</f>
        <v>3.5</v>
      </c>
      <c r="P349" s="157"/>
      <c r="R349" s="147"/>
      <c r="S349" s="147"/>
      <c r="T349" s="147"/>
      <c r="U349" s="147"/>
      <c r="X349" s="147"/>
      <c r="Y349" s="147"/>
      <c r="Z349" s="147"/>
      <c r="AA349" s="147"/>
      <c r="AB349" s="147"/>
      <c r="AC349" s="147"/>
      <c r="AD349" s="147"/>
      <c r="AE349" s="147"/>
      <c r="AF349" s="147"/>
      <c r="AG349" s="147"/>
      <c r="AH349" s="147"/>
      <c r="AI349" s="147"/>
      <c r="AJ349" s="147"/>
      <c r="AK349" s="147"/>
      <c r="AL349" s="147"/>
      <c r="AM349" s="147"/>
      <c r="AN349" s="147"/>
      <c r="AO349" s="147"/>
      <c r="AP349" s="147"/>
      <c r="AQ349" s="147"/>
    </row>
    <row r="350" spans="1:43">
      <c r="A350" s="160" t="str">
        <f ca="1">IFERROR(__xludf.DUMMYFUNCTION("""COMPUTED_VALUE"""),"193588")</f>
        <v>193588</v>
      </c>
      <c r="B350" s="3" t="str">
        <f ca="1">IFERROR(__xludf.DUMMYFUNCTION("""COMPUTED_VALUE"""),"HÀ TRẦN TUẤN ANH")</f>
        <v>HÀ TRẦN TUẤN ANH</v>
      </c>
      <c r="C350" s="160" t="str">
        <f ca="1">IFERROR(__xludf.DUMMYFUNCTION("""COMPUTED_VALUE"""),"EL033")</f>
        <v>EL033</v>
      </c>
      <c r="D350" s="160" t="str">
        <f ca="1">IFERROR(__xludf.DUMMYFUNCTION("""COMPUTED_VALUE"""),"Anh Ha")</f>
        <v>Anh Ha</v>
      </c>
      <c r="E350" s="3" t="str">
        <f ca="1">IFERROR(__xludf.DUMMYFUNCTION("""COMPUTED_VALUE"""),"Communication 1")</f>
        <v>Communication 1</v>
      </c>
      <c r="F350" s="3" t="str">
        <f ca="1">IFERROR(__xludf.DUMMYFUNCTION("""COMPUTED_VALUE"""),"Beginner")</f>
        <v>Beginner</v>
      </c>
      <c r="G350" s="3" t="str">
        <f ca="1">IFERROR(__xludf.DUMMYFUNCTION("""COMPUTED_VALUE"""),"Pre-Intermediate 2")</f>
        <v>Pre-Intermediate 2</v>
      </c>
      <c r="H350" s="156">
        <f ca="1">IFERROR(__xludf.DUMMYFUNCTION("""COMPUTED_VALUE"""),45764.4166666666)</f>
        <v>45764.416666666599</v>
      </c>
      <c r="I350" s="156">
        <f ca="1">IFERROR(__xludf.DUMMYFUNCTION("""COMPUTED_VALUE"""),45764.4166666666)</f>
        <v>45764.416666666599</v>
      </c>
      <c r="J350" s="3">
        <f ca="1">IFERROR(__xludf.DUMMYFUNCTION("""COMPUTED_VALUE"""),1)</f>
        <v>1</v>
      </c>
      <c r="K350" s="3">
        <f ca="1">IFERROR(__xludf.DUMMYFUNCTION("""COMPUTED_VALUE"""),3.5)</f>
        <v>3.5</v>
      </c>
      <c r="L350" s="3" t="str">
        <f ca="1">IFERROR(__xludf.DUMMYFUNCTION("""COMPUTED_VALUE"""),"DEV")</f>
        <v>DEV</v>
      </c>
      <c r="M350" s="3" t="str">
        <f ca="1">IFERROR(__xludf.DUMMYFUNCTION("""COMPUTED_VALUE"""),"MOC")</f>
        <v>MOC</v>
      </c>
      <c r="N350" s="157">
        <f ca="1">IFERROR(__xludf.DUMMYFUNCTION("""COMPUTED_VALUE"""),1)</f>
        <v>1</v>
      </c>
      <c r="O350" s="157">
        <f ca="1">IFERROR(__xludf.DUMMYFUNCTION("""COMPUTED_VALUE"""),5)</f>
        <v>5</v>
      </c>
      <c r="P350" s="157"/>
      <c r="R350" s="147"/>
      <c r="S350" s="147"/>
      <c r="T350" s="147"/>
      <c r="U350" s="147"/>
      <c r="X350" s="147"/>
      <c r="Y350" s="147"/>
      <c r="Z350" s="147"/>
      <c r="AA350" s="147"/>
      <c r="AB350" s="147"/>
      <c r="AC350" s="147"/>
      <c r="AD350" s="147"/>
      <c r="AE350" s="147"/>
      <c r="AF350" s="147"/>
      <c r="AG350" s="147"/>
      <c r="AH350" s="147"/>
      <c r="AI350" s="147"/>
      <c r="AJ350" s="147"/>
      <c r="AK350" s="147"/>
      <c r="AL350" s="147"/>
      <c r="AM350" s="147"/>
      <c r="AN350" s="147"/>
      <c r="AO350" s="147"/>
      <c r="AP350" s="147"/>
      <c r="AQ350" s="147"/>
    </row>
    <row r="351" spans="1:43">
      <c r="A351" s="160" t="str">
        <f ca="1">IFERROR(__xludf.DUMMYFUNCTION("""COMPUTED_VALUE"""),"213815")</f>
        <v>213815</v>
      </c>
      <c r="B351" s="3" t="str">
        <f ca="1">IFERROR(__xludf.DUMMYFUNCTION("""COMPUTED_VALUE"""),"HUỲNH TRẦN HẢI LONG")</f>
        <v>HUỲNH TRẦN HẢI LONG</v>
      </c>
      <c r="C351" s="160" t="str">
        <f ca="1">IFERROR(__xludf.DUMMYFUNCTION("""COMPUTED_VALUE"""),"EL033")</f>
        <v>EL033</v>
      </c>
      <c r="D351" s="160" t="str">
        <f ca="1">IFERROR(__xludf.DUMMYFUNCTION("""COMPUTED_VALUE"""),"Anh Ha")</f>
        <v>Anh Ha</v>
      </c>
      <c r="E351" s="3" t="str">
        <f ca="1">IFERROR(__xludf.DUMMYFUNCTION("""COMPUTED_VALUE"""),"Communication 1")</f>
        <v>Communication 1</v>
      </c>
      <c r="F351" s="3" t="str">
        <f ca="1">IFERROR(__xludf.DUMMYFUNCTION("""COMPUTED_VALUE"""),"Beginner")</f>
        <v>Beginner</v>
      </c>
      <c r="G351" s="3" t="str">
        <f ca="1">IFERROR(__xludf.DUMMYFUNCTION("""COMPUTED_VALUE"""),"Pre-Intermediate 1")</f>
        <v>Pre-Intermediate 1</v>
      </c>
      <c r="H351" s="156">
        <f ca="1">IFERROR(__xludf.DUMMYFUNCTION("""COMPUTED_VALUE"""),45764.4166666666)</f>
        <v>45764.416666666599</v>
      </c>
      <c r="I351" s="156">
        <f ca="1">IFERROR(__xludf.DUMMYFUNCTION("""COMPUTED_VALUE"""),45764.4166666666)</f>
        <v>45764.416666666599</v>
      </c>
      <c r="J351" s="3">
        <f ca="1">IFERROR(__xludf.DUMMYFUNCTION("""COMPUTED_VALUE"""),1)</f>
        <v>1</v>
      </c>
      <c r="K351" s="3">
        <f ca="1">IFERROR(__xludf.DUMMYFUNCTION("""COMPUTED_VALUE"""),3)</f>
        <v>3</v>
      </c>
      <c r="L351" s="3" t="str">
        <f ca="1">IFERROR(__xludf.DUMMYFUNCTION("""COMPUTED_VALUE"""),"DEV")</f>
        <v>DEV</v>
      </c>
      <c r="M351" s="3" t="str">
        <f ca="1">IFERROR(__xludf.DUMMYFUNCTION("""COMPUTED_VALUE"""),"MOC")</f>
        <v>MOC</v>
      </c>
      <c r="N351" s="157">
        <f ca="1">IFERROR(__xludf.DUMMYFUNCTION("""COMPUTED_VALUE"""),1)</f>
        <v>1</v>
      </c>
      <c r="O351" s="157">
        <f ca="1">IFERROR(__xludf.DUMMYFUNCTION("""COMPUTED_VALUE"""),3)</f>
        <v>3</v>
      </c>
      <c r="P351" s="157"/>
      <c r="R351" s="147"/>
      <c r="S351" s="147"/>
      <c r="T351" s="147"/>
      <c r="U351" s="147"/>
      <c r="X351" s="147"/>
      <c r="Y351" s="147"/>
      <c r="Z351" s="147"/>
      <c r="AA351" s="147"/>
      <c r="AB351" s="147"/>
      <c r="AC351" s="147"/>
      <c r="AD351" s="147"/>
      <c r="AE351" s="147"/>
      <c r="AF351" s="147"/>
      <c r="AG351" s="147"/>
      <c r="AH351" s="147"/>
      <c r="AI351" s="147"/>
      <c r="AJ351" s="147"/>
      <c r="AK351" s="147"/>
      <c r="AL351" s="147"/>
      <c r="AM351" s="147"/>
      <c r="AN351" s="147"/>
      <c r="AO351" s="147"/>
      <c r="AP351" s="147"/>
      <c r="AQ351" s="147"/>
    </row>
    <row r="352" spans="1:43">
      <c r="A352" s="160" t="str">
        <f ca="1">IFERROR(__xludf.DUMMYFUNCTION("""COMPUTED_VALUE"""),"113024")</f>
        <v>113024</v>
      </c>
      <c r="B352" s="3" t="str">
        <f ca="1">IFERROR(__xludf.DUMMYFUNCTION("""COMPUTED_VALUE"""),"LÊ VĂN SƠN")</f>
        <v>LÊ VĂN SƠN</v>
      </c>
      <c r="C352" s="160" t="str">
        <f ca="1">IFERROR(__xludf.DUMMYFUNCTION("""COMPUTED_VALUE"""),"EL033")</f>
        <v>EL033</v>
      </c>
      <c r="D352" s="160" t="str">
        <f ca="1">IFERROR(__xludf.DUMMYFUNCTION("""COMPUTED_VALUE"""),"Anh Ha")</f>
        <v>Anh Ha</v>
      </c>
      <c r="E352" s="3" t="str">
        <f ca="1">IFERROR(__xludf.DUMMYFUNCTION("""COMPUTED_VALUE"""),"Communication 1")</f>
        <v>Communication 1</v>
      </c>
      <c r="F352" s="3" t="str">
        <f ca="1">IFERROR(__xludf.DUMMYFUNCTION("""COMPUTED_VALUE"""),"Beginner")</f>
        <v>Beginner</v>
      </c>
      <c r="G352" s="3" t="str">
        <f ca="1">IFERROR(__xludf.DUMMYFUNCTION("""COMPUTED_VALUE"""),"Beginner 2")</f>
        <v>Beginner 2</v>
      </c>
      <c r="H352" s="156">
        <f ca="1">IFERROR(__xludf.DUMMYFUNCTION("""COMPUTED_VALUE"""),45764.4166666666)</f>
        <v>45764.416666666599</v>
      </c>
      <c r="I352" s="156">
        <f ca="1">IFERROR(__xludf.DUMMYFUNCTION("""COMPUTED_VALUE"""),45764.4166666666)</f>
        <v>45764.416666666599</v>
      </c>
      <c r="J352" s="3">
        <f ca="1">IFERROR(__xludf.DUMMYFUNCTION("""COMPUTED_VALUE"""),1)</f>
        <v>1</v>
      </c>
      <c r="K352" s="3">
        <f ca="1">IFERROR(__xludf.DUMMYFUNCTION("""COMPUTED_VALUE"""),1.5)</f>
        <v>1.5</v>
      </c>
      <c r="L352" s="3" t="str">
        <f ca="1">IFERROR(__xludf.DUMMYFUNCTION("""COMPUTED_VALUE"""),"DEV")</f>
        <v>DEV</v>
      </c>
      <c r="M352" s="3" t="str">
        <f ca="1">IFERROR(__xludf.DUMMYFUNCTION("""COMPUTED_VALUE"""),"MOC")</f>
        <v>MOC</v>
      </c>
      <c r="N352" s="157">
        <f ca="1">IFERROR(__xludf.DUMMYFUNCTION("""COMPUTED_VALUE"""),1)</f>
        <v>1</v>
      </c>
      <c r="O352" s="157">
        <f ca="1">IFERROR(__xludf.DUMMYFUNCTION("""COMPUTED_VALUE"""),3)</f>
        <v>3</v>
      </c>
      <c r="P352" s="157"/>
      <c r="R352" s="147"/>
      <c r="S352" s="147"/>
      <c r="T352" s="147"/>
      <c r="U352" s="147"/>
      <c r="X352" s="147"/>
      <c r="Y352" s="147"/>
      <c r="Z352" s="147"/>
      <c r="AA352" s="147"/>
      <c r="AB352" s="147"/>
      <c r="AC352" s="147"/>
      <c r="AD352" s="147"/>
      <c r="AE352" s="147"/>
      <c r="AF352" s="147"/>
      <c r="AG352" s="147"/>
      <c r="AH352" s="147"/>
      <c r="AI352" s="147"/>
      <c r="AJ352" s="147"/>
      <c r="AK352" s="147"/>
      <c r="AL352" s="147"/>
      <c r="AM352" s="147"/>
      <c r="AN352" s="147"/>
      <c r="AO352" s="147"/>
      <c r="AP352" s="147"/>
      <c r="AQ352" s="147"/>
    </row>
    <row r="353" spans="1:43">
      <c r="A353" s="160" t="str">
        <f ca="1">IFERROR(__xludf.DUMMYFUNCTION("""COMPUTED_VALUE"""),"213914")</f>
        <v>213914</v>
      </c>
      <c r="B353" s="3" t="str">
        <f ca="1">IFERROR(__xludf.DUMMYFUNCTION("""COMPUTED_VALUE"""),"NGUYỄN TẤN PHÁT")</f>
        <v>NGUYỄN TẤN PHÁT</v>
      </c>
      <c r="C353" s="160" t="str">
        <f ca="1">IFERROR(__xludf.DUMMYFUNCTION("""COMPUTED_VALUE"""),"EL033")</f>
        <v>EL033</v>
      </c>
      <c r="D353" s="160" t="str">
        <f ca="1">IFERROR(__xludf.DUMMYFUNCTION("""COMPUTED_VALUE"""),"Anh Ha")</f>
        <v>Anh Ha</v>
      </c>
      <c r="E353" s="3" t="str">
        <f ca="1">IFERROR(__xludf.DUMMYFUNCTION("""COMPUTED_VALUE"""),"Communication 1")</f>
        <v>Communication 1</v>
      </c>
      <c r="F353" s="3" t="str">
        <f ca="1">IFERROR(__xludf.DUMMYFUNCTION("""COMPUTED_VALUE"""),"Beginner")</f>
        <v>Beginner</v>
      </c>
      <c r="G353" s="3" t="str">
        <f ca="1">IFERROR(__xludf.DUMMYFUNCTION("""COMPUTED_VALUE"""),"Pre-Intermediate 1")</f>
        <v>Pre-Intermediate 1</v>
      </c>
      <c r="H353" s="156">
        <f ca="1">IFERROR(__xludf.DUMMYFUNCTION("""COMPUTED_VALUE"""),45764.4166666666)</f>
        <v>45764.416666666599</v>
      </c>
      <c r="I353" s="156">
        <f ca="1">IFERROR(__xludf.DUMMYFUNCTION("""COMPUTED_VALUE"""),45764.4166666666)</f>
        <v>45764.416666666599</v>
      </c>
      <c r="J353" s="3">
        <f ca="1">IFERROR(__xludf.DUMMYFUNCTION("""COMPUTED_VALUE"""),1)</f>
        <v>1</v>
      </c>
      <c r="K353" s="3">
        <f ca="1">IFERROR(__xludf.DUMMYFUNCTION("""COMPUTED_VALUE"""),3)</f>
        <v>3</v>
      </c>
      <c r="L353" s="3" t="str">
        <f ca="1">IFERROR(__xludf.DUMMYFUNCTION("""COMPUTED_VALUE"""),"DEV")</f>
        <v>DEV</v>
      </c>
      <c r="M353" s="3" t="str">
        <f ca="1">IFERROR(__xludf.DUMMYFUNCTION("""COMPUTED_VALUE"""),"MOC")</f>
        <v>MOC</v>
      </c>
      <c r="N353" s="157">
        <f ca="1">IFERROR(__xludf.DUMMYFUNCTION("""COMPUTED_VALUE"""),1)</f>
        <v>1</v>
      </c>
      <c r="O353" s="157">
        <f ca="1">IFERROR(__xludf.DUMMYFUNCTION("""COMPUTED_VALUE"""),3.5)</f>
        <v>3.5</v>
      </c>
      <c r="P353" s="157"/>
      <c r="R353" s="147"/>
      <c r="S353" s="147"/>
      <c r="T353" s="147"/>
      <c r="U353" s="147"/>
      <c r="X353" s="147"/>
      <c r="Y353" s="147"/>
      <c r="Z353" s="147"/>
      <c r="AA353" s="147"/>
      <c r="AB353" s="147"/>
      <c r="AC353" s="147"/>
      <c r="AD353" s="147"/>
      <c r="AE353" s="147"/>
      <c r="AF353" s="147"/>
      <c r="AG353" s="147"/>
      <c r="AH353" s="147"/>
      <c r="AI353" s="147"/>
      <c r="AJ353" s="147"/>
      <c r="AK353" s="147"/>
      <c r="AL353" s="147"/>
      <c r="AM353" s="147"/>
      <c r="AN353" s="147"/>
      <c r="AO353" s="147"/>
      <c r="AP353" s="147"/>
      <c r="AQ353" s="147"/>
    </row>
    <row r="354" spans="1:43">
      <c r="A354" s="160" t="str">
        <f ca="1">IFERROR(__xludf.DUMMYFUNCTION("""COMPUTED_VALUE"""),"213861")</f>
        <v>213861</v>
      </c>
      <c r="B354" s="3" t="str">
        <f ca="1">IFERROR(__xludf.DUMMYFUNCTION("""COMPUTED_VALUE"""),"TRẦN QUANG ĐẠO")</f>
        <v>TRẦN QUANG ĐẠO</v>
      </c>
      <c r="C354" s="160" t="str">
        <f ca="1">IFERROR(__xludf.DUMMYFUNCTION("""COMPUTED_VALUE"""),"EL033")</f>
        <v>EL033</v>
      </c>
      <c r="D354" s="160" t="str">
        <f ca="1">IFERROR(__xludf.DUMMYFUNCTION("""COMPUTED_VALUE"""),"Anh Ha")</f>
        <v>Anh Ha</v>
      </c>
      <c r="E354" s="3" t="str">
        <f ca="1">IFERROR(__xludf.DUMMYFUNCTION("""COMPUTED_VALUE"""),"Communication 1")</f>
        <v>Communication 1</v>
      </c>
      <c r="F354" s="3" t="str">
        <f ca="1">IFERROR(__xludf.DUMMYFUNCTION("""COMPUTED_VALUE"""),"Beginner")</f>
        <v>Beginner</v>
      </c>
      <c r="G354" s="3" t="str">
        <f ca="1">IFERROR(__xludf.DUMMYFUNCTION("""COMPUTED_VALUE"""),"Pre-Intermediate 1")</f>
        <v>Pre-Intermediate 1</v>
      </c>
      <c r="H354" s="156">
        <f ca="1">IFERROR(__xludf.DUMMYFUNCTION("""COMPUTED_VALUE"""),45764.4166666666)</f>
        <v>45764.416666666599</v>
      </c>
      <c r="I354" s="156">
        <f ca="1">IFERROR(__xludf.DUMMYFUNCTION("""COMPUTED_VALUE"""),45764.4166666666)</f>
        <v>45764.416666666599</v>
      </c>
      <c r="J354" s="3">
        <f ca="1">IFERROR(__xludf.DUMMYFUNCTION("""COMPUTED_VALUE"""),1)</f>
        <v>1</v>
      </c>
      <c r="K354" s="3">
        <f ca="1">IFERROR(__xludf.DUMMYFUNCTION("""COMPUTED_VALUE"""),3)</f>
        <v>3</v>
      </c>
      <c r="L354" s="3" t="str">
        <f ca="1">IFERROR(__xludf.DUMMYFUNCTION("""COMPUTED_VALUE"""),"DEV")</f>
        <v>DEV</v>
      </c>
      <c r="M354" s="3" t="str">
        <f ca="1">IFERROR(__xludf.DUMMYFUNCTION("""COMPUTED_VALUE"""),"MOC")</f>
        <v>MOC</v>
      </c>
      <c r="N354" s="157">
        <f ca="1">IFERROR(__xludf.DUMMYFUNCTION("""COMPUTED_VALUE"""),1)</f>
        <v>1</v>
      </c>
      <c r="O354" s="157">
        <f ca="1">IFERROR(__xludf.DUMMYFUNCTION("""COMPUTED_VALUE"""),3)</f>
        <v>3</v>
      </c>
      <c r="P354" s="157"/>
      <c r="R354" s="147"/>
      <c r="S354" s="147"/>
      <c r="T354" s="147"/>
      <c r="U354" s="147"/>
      <c r="X354" s="147"/>
      <c r="Y354" s="147"/>
      <c r="Z354" s="147"/>
      <c r="AA354" s="147"/>
      <c r="AB354" s="147"/>
      <c r="AC354" s="147"/>
      <c r="AD354" s="147"/>
      <c r="AE354" s="147"/>
      <c r="AF354" s="147"/>
      <c r="AG354" s="147"/>
      <c r="AH354" s="147"/>
      <c r="AI354" s="147"/>
      <c r="AJ354" s="147"/>
      <c r="AK354" s="147"/>
      <c r="AL354" s="147"/>
      <c r="AM354" s="147"/>
      <c r="AN354" s="147"/>
      <c r="AO354" s="147"/>
      <c r="AP354" s="147"/>
      <c r="AQ354" s="147"/>
    </row>
    <row r="355" spans="1:43">
      <c r="A355" s="160" t="str">
        <f ca="1">IFERROR(__xludf.DUMMYFUNCTION("""COMPUTED_VALUE"""),"213851")</f>
        <v>213851</v>
      </c>
      <c r="B355" s="3" t="str">
        <f ca="1">IFERROR(__xludf.DUMMYFUNCTION("""COMPUTED_VALUE"""),"TRẦN THANH ĐIỀN")</f>
        <v>TRẦN THANH ĐIỀN</v>
      </c>
      <c r="C355" s="160" t="str">
        <f ca="1">IFERROR(__xludf.DUMMYFUNCTION("""COMPUTED_VALUE"""),"EL033")</f>
        <v>EL033</v>
      </c>
      <c r="D355" s="160" t="str">
        <f ca="1">IFERROR(__xludf.DUMMYFUNCTION("""COMPUTED_VALUE"""),"Anh Ha")</f>
        <v>Anh Ha</v>
      </c>
      <c r="E355" s="3" t="str">
        <f ca="1">IFERROR(__xludf.DUMMYFUNCTION("""COMPUTED_VALUE"""),"Communication 1")</f>
        <v>Communication 1</v>
      </c>
      <c r="F355" s="3" t="str">
        <f ca="1">IFERROR(__xludf.DUMMYFUNCTION("""COMPUTED_VALUE"""),"Beginner")</f>
        <v>Beginner</v>
      </c>
      <c r="G355" s="3" t="str">
        <f ca="1">IFERROR(__xludf.DUMMYFUNCTION("""COMPUTED_VALUE"""),"Pre-Intermediate 2")</f>
        <v>Pre-Intermediate 2</v>
      </c>
      <c r="H355" s="156">
        <f ca="1">IFERROR(__xludf.DUMMYFUNCTION("""COMPUTED_VALUE"""),45764.4166666666)</f>
        <v>45764.416666666599</v>
      </c>
      <c r="I355" s="156">
        <f ca="1">IFERROR(__xludf.DUMMYFUNCTION("""COMPUTED_VALUE"""),45764.4166666666)</f>
        <v>45764.416666666599</v>
      </c>
      <c r="J355" s="3">
        <f ca="1">IFERROR(__xludf.DUMMYFUNCTION("""COMPUTED_VALUE"""),1)</f>
        <v>1</v>
      </c>
      <c r="K355" s="3">
        <f ca="1">IFERROR(__xludf.DUMMYFUNCTION("""COMPUTED_VALUE"""),3.5)</f>
        <v>3.5</v>
      </c>
      <c r="L355" s="3" t="str">
        <f ca="1">IFERROR(__xludf.DUMMYFUNCTION("""COMPUTED_VALUE"""),"DEV")</f>
        <v>DEV</v>
      </c>
      <c r="M355" s="3" t="str">
        <f ca="1">IFERROR(__xludf.DUMMYFUNCTION("""COMPUTED_VALUE"""),"MOC")</f>
        <v>MOC</v>
      </c>
      <c r="N355" s="157">
        <f ca="1">IFERROR(__xludf.DUMMYFUNCTION("""COMPUTED_VALUE"""),1)</f>
        <v>1</v>
      </c>
      <c r="O355" s="157">
        <f ca="1">IFERROR(__xludf.DUMMYFUNCTION("""COMPUTED_VALUE"""),5)</f>
        <v>5</v>
      </c>
      <c r="P355" s="157"/>
      <c r="R355" s="147"/>
      <c r="S355" s="147"/>
      <c r="T355" s="147"/>
      <c r="U355" s="147"/>
      <c r="X355" s="147"/>
      <c r="Y355" s="147"/>
      <c r="Z355" s="147"/>
      <c r="AA355" s="147"/>
      <c r="AB355" s="147"/>
      <c r="AC355" s="147"/>
      <c r="AD355" s="147"/>
      <c r="AE355" s="147"/>
      <c r="AF355" s="147"/>
      <c r="AG355" s="147"/>
      <c r="AH355" s="147"/>
      <c r="AI355" s="147"/>
      <c r="AJ355" s="147"/>
      <c r="AK355" s="147"/>
      <c r="AL355" s="147"/>
      <c r="AM355" s="147"/>
      <c r="AN355" s="147"/>
      <c r="AO355" s="147"/>
      <c r="AP355" s="147"/>
      <c r="AQ355" s="147"/>
    </row>
    <row r="356" spans="1:43">
      <c r="A356" s="160" t="str">
        <f ca="1">IFERROR(__xludf.DUMMYFUNCTION("""COMPUTED_VALUE"""),"247223")</f>
        <v>247223</v>
      </c>
      <c r="B356" s="3" t="str">
        <f ca="1">IFERROR(__xludf.DUMMYFUNCTION("""COMPUTED_VALUE"""),"TRẦN XUÂN KHOA")</f>
        <v>TRẦN XUÂN KHOA</v>
      </c>
      <c r="C356" s="160" t="str">
        <f ca="1">IFERROR(__xludf.DUMMYFUNCTION("""COMPUTED_VALUE"""),"EL033")</f>
        <v>EL033</v>
      </c>
      <c r="D356" s="160" t="str">
        <f ca="1">IFERROR(__xludf.DUMMYFUNCTION("""COMPUTED_VALUE"""),"Anh Ha")</f>
        <v>Anh Ha</v>
      </c>
      <c r="E356" s="3" t="str">
        <f ca="1">IFERROR(__xludf.DUMMYFUNCTION("""COMPUTED_VALUE"""),"Communication 1")</f>
        <v>Communication 1</v>
      </c>
      <c r="F356" s="3" t="str">
        <f ca="1">IFERROR(__xludf.DUMMYFUNCTION("""COMPUTED_VALUE"""),"Beginner")</f>
        <v>Beginner</v>
      </c>
      <c r="G356" s="3" t="str">
        <f ca="1">IFERROR(__xludf.DUMMYFUNCTION("""COMPUTED_VALUE"""),"Pre-Intermediate 2")</f>
        <v>Pre-Intermediate 2</v>
      </c>
      <c r="H356" s="156">
        <f ca="1">IFERROR(__xludf.DUMMYFUNCTION("""COMPUTED_VALUE"""),45764.4166666666)</f>
        <v>45764.416666666599</v>
      </c>
      <c r="I356" s="156">
        <f ca="1">IFERROR(__xludf.DUMMYFUNCTION("""COMPUTED_VALUE"""),45764.4166666666)</f>
        <v>45764.416666666599</v>
      </c>
      <c r="J356" s="3">
        <f ca="1">IFERROR(__xludf.DUMMYFUNCTION("""COMPUTED_VALUE"""),1)</f>
        <v>1</v>
      </c>
      <c r="K356" s="3">
        <f ca="1">IFERROR(__xludf.DUMMYFUNCTION("""COMPUTED_VALUE"""),3.5)</f>
        <v>3.5</v>
      </c>
      <c r="L356" s="3" t="str">
        <f ca="1">IFERROR(__xludf.DUMMYFUNCTION("""COMPUTED_VALUE"""),"DEV")</f>
        <v>DEV</v>
      </c>
      <c r="M356" s="3" t="str">
        <f ca="1">IFERROR(__xludf.DUMMYFUNCTION("""COMPUTED_VALUE"""),"MOC")</f>
        <v>MOC</v>
      </c>
      <c r="N356" s="157">
        <f ca="1">IFERROR(__xludf.DUMMYFUNCTION("""COMPUTED_VALUE"""),1)</f>
        <v>1</v>
      </c>
      <c r="O356" s="157">
        <f ca="1">IFERROR(__xludf.DUMMYFUNCTION("""COMPUTED_VALUE"""),3.5)</f>
        <v>3.5</v>
      </c>
      <c r="P356" s="157"/>
      <c r="R356" s="147"/>
      <c r="S356" s="147"/>
      <c r="T356" s="147"/>
      <c r="U356" s="147"/>
      <c r="X356" s="147"/>
      <c r="Y356" s="147"/>
      <c r="Z356" s="147"/>
      <c r="AA356" s="147"/>
      <c r="AB356" s="147"/>
      <c r="AC356" s="147"/>
      <c r="AD356" s="147"/>
      <c r="AE356" s="147"/>
      <c r="AF356" s="147"/>
      <c r="AG356" s="147"/>
      <c r="AH356" s="147"/>
      <c r="AI356" s="147"/>
      <c r="AJ356" s="147"/>
      <c r="AK356" s="147"/>
      <c r="AL356" s="147"/>
      <c r="AM356" s="147"/>
      <c r="AN356" s="147"/>
      <c r="AO356" s="147"/>
      <c r="AP356" s="147"/>
      <c r="AQ356" s="147"/>
    </row>
    <row r="357" spans="1:43">
      <c r="A357" s="160" t="str">
        <f ca="1">IFERROR(__xludf.DUMMYFUNCTION("""COMPUTED_VALUE"""),"193588")</f>
        <v>193588</v>
      </c>
      <c r="B357" s="3" t="str">
        <f ca="1">IFERROR(__xludf.DUMMYFUNCTION("""COMPUTED_VALUE"""),"HÀ TRẦN TUẤN ANH")</f>
        <v>HÀ TRẦN TUẤN ANH</v>
      </c>
      <c r="C357" s="160" t="str">
        <f ca="1">IFERROR(__xludf.DUMMYFUNCTION("""COMPUTED_VALUE"""),"EL033")</f>
        <v>EL033</v>
      </c>
      <c r="D357" s="160" t="str">
        <f ca="1">IFERROR(__xludf.DUMMYFUNCTION("""COMPUTED_VALUE"""),"Anh Ha")</f>
        <v>Anh Ha</v>
      </c>
      <c r="E357" s="3" t="str">
        <f ca="1">IFERROR(__xludf.DUMMYFUNCTION("""COMPUTED_VALUE"""),"Communication 2")</f>
        <v>Communication 2</v>
      </c>
      <c r="F357" s="3" t="str">
        <f ca="1">IFERROR(__xludf.DUMMYFUNCTION("""COMPUTED_VALUE"""),"Pre-Intermediate 2")</f>
        <v>Pre-Intermediate 2</v>
      </c>
      <c r="G357" s="3" t="str">
        <f ca="1">IFERROR(__xludf.DUMMYFUNCTION("""COMPUTED_VALUE"""),"Intermediate 1")</f>
        <v>Intermediate 1</v>
      </c>
      <c r="H357" s="156">
        <f ca="1">IFERROR(__xludf.DUMMYFUNCTION("""COMPUTED_VALUE"""),45882.4166666666)</f>
        <v>45882.416666666599</v>
      </c>
      <c r="I357" s="156">
        <f ca="1">IFERROR(__xludf.DUMMYFUNCTION("""COMPUTED_VALUE"""),45764.4166666666)</f>
        <v>45764.416666666599</v>
      </c>
      <c r="J357" s="3">
        <f ca="1">IFERROR(__xludf.DUMMYFUNCTION("""COMPUTED_VALUE"""),3.5)</f>
        <v>3.5</v>
      </c>
      <c r="K357" s="3">
        <f ca="1">IFERROR(__xludf.DUMMYFUNCTION("""COMPUTED_VALUE"""),5)</f>
        <v>5</v>
      </c>
      <c r="L357" s="3" t="str">
        <f ca="1">IFERROR(__xludf.DUMMYFUNCTION("""COMPUTED_VALUE"""),"DEV")</f>
        <v>DEV</v>
      </c>
      <c r="M357" s="3" t="str">
        <f ca="1">IFERROR(__xludf.DUMMYFUNCTION("""COMPUTED_VALUE"""),"MOC")</f>
        <v>MOC</v>
      </c>
      <c r="N357" s="157">
        <f ca="1">IFERROR(__xludf.DUMMYFUNCTION("""COMPUTED_VALUE"""),1)</f>
        <v>1</v>
      </c>
      <c r="O357" s="157">
        <f ca="1">IFERROR(__xludf.DUMMYFUNCTION("""COMPUTED_VALUE"""),5)</f>
        <v>5</v>
      </c>
      <c r="P357" s="157"/>
      <c r="R357" s="147"/>
      <c r="S357" s="147"/>
      <c r="T357" s="147"/>
      <c r="U357" s="147"/>
      <c r="X357" s="147"/>
      <c r="Y357" s="147"/>
      <c r="Z357" s="147"/>
      <c r="AA357" s="147"/>
      <c r="AB357" s="147"/>
      <c r="AC357" s="147"/>
      <c r="AD357" s="147"/>
      <c r="AE357" s="147"/>
      <c r="AF357" s="147"/>
      <c r="AG357" s="147"/>
      <c r="AH357" s="147"/>
      <c r="AI357" s="147"/>
      <c r="AJ357" s="147"/>
      <c r="AK357" s="147"/>
      <c r="AL357" s="147"/>
      <c r="AM357" s="147"/>
      <c r="AN357" s="147"/>
      <c r="AO357" s="147"/>
      <c r="AP357" s="147"/>
      <c r="AQ357" s="147"/>
    </row>
    <row r="358" spans="1:43">
      <c r="A358" s="160" t="str">
        <f ca="1">IFERROR(__xludf.DUMMYFUNCTION("""COMPUTED_VALUE"""),"193445")</f>
        <v>193445</v>
      </c>
      <c r="B358" s="3" t="str">
        <f ca="1">IFERROR(__xludf.DUMMYFUNCTION("""COMPUTED_VALUE"""),"HUỲNH THỊ BẢO YẾN")</f>
        <v>HUỲNH THỊ BẢO YẾN</v>
      </c>
      <c r="C358" s="160" t="str">
        <f ca="1">IFERROR(__xludf.DUMMYFUNCTION("""COMPUTED_VALUE"""),"EL033")</f>
        <v>EL033</v>
      </c>
      <c r="D358" s="160" t="str">
        <f ca="1">IFERROR(__xludf.DUMMYFUNCTION("""COMPUTED_VALUE"""),"Anh Ha")</f>
        <v>Anh Ha</v>
      </c>
      <c r="E358" s="3" t="str">
        <f ca="1">IFERROR(__xludf.DUMMYFUNCTION("""COMPUTED_VALUE"""),"Communication 2")</f>
        <v>Communication 2</v>
      </c>
      <c r="F358" s="3" t="str">
        <f ca="1">IFERROR(__xludf.DUMMYFUNCTION("""COMPUTED_VALUE"""),"Beginner 2")</f>
        <v>Beginner 2</v>
      </c>
      <c r="G358" s="3" t="str">
        <f ca="1">IFERROR(__xludf.DUMMYFUNCTION("""COMPUTED_VALUE"""),"Pre-Intermediate 1")</f>
        <v>Pre-Intermediate 1</v>
      </c>
      <c r="H358" s="156">
        <f ca="1">IFERROR(__xludf.DUMMYFUNCTION("""COMPUTED_VALUE"""),45882.4166666666)</f>
        <v>45882.416666666599</v>
      </c>
      <c r="I358" s="156">
        <f ca="1">IFERROR(__xludf.DUMMYFUNCTION("""COMPUTED_VALUE"""),45764.5833333333)</f>
        <v>45764.583333333299</v>
      </c>
      <c r="J358" s="3">
        <f ca="1">IFERROR(__xludf.DUMMYFUNCTION("""COMPUTED_VALUE"""),1.5)</f>
        <v>1.5</v>
      </c>
      <c r="K358" s="3">
        <f ca="1">IFERROR(__xludf.DUMMYFUNCTION("""COMPUTED_VALUE"""),3)</f>
        <v>3</v>
      </c>
      <c r="L358" s="3" t="str">
        <f ca="1">IFERROR(__xludf.DUMMYFUNCTION("""COMPUTED_VALUE"""),"QC")</f>
        <v>QC</v>
      </c>
      <c r="M358" s="3" t="str">
        <f ca="1">IFERROR(__xludf.DUMMYFUNCTION("""COMPUTED_VALUE"""),"MOC")</f>
        <v>MOC</v>
      </c>
      <c r="N358" s="157">
        <f ca="1">IFERROR(__xludf.DUMMYFUNCTION("""COMPUTED_VALUE"""),1)</f>
        <v>1</v>
      </c>
      <c r="O358" s="157">
        <f ca="1">IFERROR(__xludf.DUMMYFUNCTION("""COMPUTED_VALUE"""),3)</f>
        <v>3</v>
      </c>
      <c r="P358" s="157"/>
      <c r="R358" s="147"/>
      <c r="S358" s="147"/>
      <c r="T358" s="147"/>
      <c r="U358" s="147"/>
      <c r="X358" s="147"/>
      <c r="Y358" s="147"/>
      <c r="Z358" s="147"/>
      <c r="AA358" s="147"/>
      <c r="AB358" s="147"/>
      <c r="AC358" s="147"/>
      <c r="AD358" s="147"/>
      <c r="AE358" s="147"/>
      <c r="AF358" s="147"/>
      <c r="AG358" s="147"/>
      <c r="AH358" s="147"/>
      <c r="AI358" s="147"/>
      <c r="AJ358" s="147"/>
      <c r="AK358" s="147"/>
      <c r="AL358" s="147"/>
      <c r="AM358" s="147"/>
      <c r="AN358" s="147"/>
      <c r="AO358" s="147"/>
      <c r="AP358" s="147"/>
      <c r="AQ358" s="147"/>
    </row>
    <row r="359" spans="1:43">
      <c r="A359" s="160" t="str">
        <f ca="1">IFERROR(__xludf.DUMMYFUNCTION("""COMPUTED_VALUE"""),"213815")</f>
        <v>213815</v>
      </c>
      <c r="B359" s="3" t="str">
        <f ca="1">IFERROR(__xludf.DUMMYFUNCTION("""COMPUTED_VALUE"""),"HUỲNH TRẦN HẢI LONG")</f>
        <v>HUỲNH TRẦN HẢI LONG</v>
      </c>
      <c r="C359" s="160" t="str">
        <f ca="1">IFERROR(__xludf.DUMMYFUNCTION("""COMPUTED_VALUE"""),"EL033")</f>
        <v>EL033</v>
      </c>
      <c r="D359" s="160" t="str">
        <f ca="1">IFERROR(__xludf.DUMMYFUNCTION("""COMPUTED_VALUE"""),"Anh Ha")</f>
        <v>Anh Ha</v>
      </c>
      <c r="E359" s="3" t="str">
        <f ca="1">IFERROR(__xludf.DUMMYFUNCTION("""COMPUTED_VALUE"""),"Communication 2")</f>
        <v>Communication 2</v>
      </c>
      <c r="F359" s="3" t="str">
        <f ca="1">IFERROR(__xludf.DUMMYFUNCTION("""COMPUTED_VALUE"""),"Beginner")</f>
        <v>Beginner</v>
      </c>
      <c r="G359" s="3" t="str">
        <f ca="1">IFERROR(__xludf.DUMMYFUNCTION("""COMPUTED_VALUE"""),"Pre-Intermediate 1")</f>
        <v>Pre-Intermediate 1</v>
      </c>
      <c r="H359" s="156">
        <f ca="1">IFERROR(__xludf.DUMMYFUNCTION("""COMPUTED_VALUE"""),45882.4166666666)</f>
        <v>45882.416666666599</v>
      </c>
      <c r="I359" s="156">
        <f ca="1">IFERROR(__xludf.DUMMYFUNCTION("""COMPUTED_VALUE"""),45764.4166666666)</f>
        <v>45764.416666666599</v>
      </c>
      <c r="J359" s="3">
        <f ca="1">IFERROR(__xludf.DUMMYFUNCTION("""COMPUTED_VALUE"""),1)</f>
        <v>1</v>
      </c>
      <c r="K359" s="3">
        <f ca="1">IFERROR(__xludf.DUMMYFUNCTION("""COMPUTED_VALUE"""),3)</f>
        <v>3</v>
      </c>
      <c r="L359" s="3" t="str">
        <f ca="1">IFERROR(__xludf.DUMMYFUNCTION("""COMPUTED_VALUE"""),"DEV")</f>
        <v>DEV</v>
      </c>
      <c r="M359" s="3" t="str">
        <f ca="1">IFERROR(__xludf.DUMMYFUNCTION("""COMPUTED_VALUE"""),"MOC")</f>
        <v>MOC</v>
      </c>
      <c r="N359" s="157">
        <f ca="1">IFERROR(__xludf.DUMMYFUNCTION("""COMPUTED_VALUE"""),1)</f>
        <v>1</v>
      </c>
      <c r="O359" s="157">
        <f ca="1">IFERROR(__xludf.DUMMYFUNCTION("""COMPUTED_VALUE"""),3)</f>
        <v>3</v>
      </c>
      <c r="P359" s="157"/>
      <c r="R359" s="147"/>
      <c r="S359" s="147"/>
      <c r="T359" s="147"/>
      <c r="U359" s="147"/>
      <c r="X359" s="147"/>
      <c r="Y359" s="147"/>
      <c r="Z359" s="147"/>
      <c r="AA359" s="147"/>
      <c r="AB359" s="147"/>
      <c r="AC359" s="147"/>
      <c r="AD359" s="147"/>
      <c r="AE359" s="147"/>
      <c r="AF359" s="147"/>
      <c r="AG359" s="147"/>
      <c r="AH359" s="147"/>
      <c r="AI359" s="147"/>
      <c r="AJ359" s="147"/>
      <c r="AK359" s="147"/>
      <c r="AL359" s="147"/>
      <c r="AM359" s="147"/>
      <c r="AN359" s="147"/>
      <c r="AO359" s="147"/>
      <c r="AP359" s="147"/>
      <c r="AQ359" s="147"/>
    </row>
    <row r="360" spans="1:43">
      <c r="A360" s="160" t="str">
        <f ca="1">IFERROR(__xludf.DUMMYFUNCTION("""COMPUTED_VALUE"""),"113024")</f>
        <v>113024</v>
      </c>
      <c r="B360" s="3" t="str">
        <f ca="1">IFERROR(__xludf.DUMMYFUNCTION("""COMPUTED_VALUE"""),"LÊ VĂN SƠN")</f>
        <v>LÊ VĂN SƠN</v>
      </c>
      <c r="C360" s="160" t="str">
        <f ca="1">IFERROR(__xludf.DUMMYFUNCTION("""COMPUTED_VALUE"""),"EL033")</f>
        <v>EL033</v>
      </c>
      <c r="D360" s="160" t="str">
        <f ca="1">IFERROR(__xludf.DUMMYFUNCTION("""COMPUTED_VALUE"""),"Anh Ha")</f>
        <v>Anh Ha</v>
      </c>
      <c r="E360" s="3" t="str">
        <f ca="1">IFERROR(__xludf.DUMMYFUNCTION("""COMPUTED_VALUE"""),"Communication 2")</f>
        <v>Communication 2</v>
      </c>
      <c r="F360" s="3" t="str">
        <f ca="1">IFERROR(__xludf.DUMMYFUNCTION("""COMPUTED_VALUE"""),"Beginner 2")</f>
        <v>Beginner 2</v>
      </c>
      <c r="G360" s="3" t="str">
        <f ca="1">IFERROR(__xludf.DUMMYFUNCTION("""COMPUTED_VALUE"""),"Pre-Intermediate 1")</f>
        <v>Pre-Intermediate 1</v>
      </c>
      <c r="H360" s="156">
        <f ca="1">IFERROR(__xludf.DUMMYFUNCTION("""COMPUTED_VALUE"""),45882.4166666666)</f>
        <v>45882.416666666599</v>
      </c>
      <c r="I360" s="156">
        <f ca="1">IFERROR(__xludf.DUMMYFUNCTION("""COMPUTED_VALUE"""),45764.4166666666)</f>
        <v>45764.416666666599</v>
      </c>
      <c r="J360" s="3">
        <f ca="1">IFERROR(__xludf.DUMMYFUNCTION("""COMPUTED_VALUE"""),1.5)</f>
        <v>1.5</v>
      </c>
      <c r="K360" s="3">
        <f ca="1">IFERROR(__xludf.DUMMYFUNCTION("""COMPUTED_VALUE"""),3)</f>
        <v>3</v>
      </c>
      <c r="L360" s="3" t="str">
        <f ca="1">IFERROR(__xludf.DUMMYFUNCTION("""COMPUTED_VALUE"""),"DEV")</f>
        <v>DEV</v>
      </c>
      <c r="M360" s="3" t="str">
        <f ca="1">IFERROR(__xludf.DUMMYFUNCTION("""COMPUTED_VALUE"""),"MOC")</f>
        <v>MOC</v>
      </c>
      <c r="N360" s="157">
        <f ca="1">IFERROR(__xludf.DUMMYFUNCTION("""COMPUTED_VALUE"""),1)</f>
        <v>1</v>
      </c>
      <c r="O360" s="157">
        <f ca="1">IFERROR(__xludf.DUMMYFUNCTION("""COMPUTED_VALUE"""),3)</f>
        <v>3</v>
      </c>
      <c r="P360" s="157"/>
      <c r="R360" s="147"/>
      <c r="S360" s="147"/>
      <c r="T360" s="147"/>
      <c r="U360" s="147"/>
      <c r="X360" s="147"/>
      <c r="Y360" s="147"/>
      <c r="Z360" s="147"/>
      <c r="AA360" s="147"/>
      <c r="AB360" s="147"/>
      <c r="AC360" s="147"/>
      <c r="AD360" s="147"/>
      <c r="AE360" s="147"/>
      <c r="AF360" s="147"/>
      <c r="AG360" s="147"/>
      <c r="AH360" s="147"/>
      <c r="AI360" s="147"/>
      <c r="AJ360" s="147"/>
      <c r="AK360" s="147"/>
      <c r="AL360" s="147"/>
      <c r="AM360" s="147"/>
      <c r="AN360" s="147"/>
      <c r="AO360" s="147"/>
      <c r="AP360" s="147"/>
      <c r="AQ360" s="147"/>
    </row>
    <row r="361" spans="1:43">
      <c r="A361" s="160" t="str">
        <f ca="1">IFERROR(__xludf.DUMMYFUNCTION("""COMPUTED_VALUE"""),"213914")</f>
        <v>213914</v>
      </c>
      <c r="B361" s="3" t="str">
        <f ca="1">IFERROR(__xludf.DUMMYFUNCTION("""COMPUTED_VALUE"""),"NGUYỄN TẤN PHÁT")</f>
        <v>NGUYỄN TẤN PHÁT</v>
      </c>
      <c r="C361" s="160" t="str">
        <f ca="1">IFERROR(__xludf.DUMMYFUNCTION("""COMPUTED_VALUE"""),"EL033")</f>
        <v>EL033</v>
      </c>
      <c r="D361" s="160" t="str">
        <f ca="1">IFERROR(__xludf.DUMMYFUNCTION("""COMPUTED_VALUE"""),"Anh Ha")</f>
        <v>Anh Ha</v>
      </c>
      <c r="E361" s="3" t="str">
        <f ca="1">IFERROR(__xludf.DUMMYFUNCTION("""COMPUTED_VALUE"""),"Communication 2")</f>
        <v>Communication 2</v>
      </c>
      <c r="F361" s="3" t="str">
        <f ca="1">IFERROR(__xludf.DUMMYFUNCTION("""COMPUTED_VALUE"""),"Pre-Intermediate 1")</f>
        <v>Pre-Intermediate 1</v>
      </c>
      <c r="G361" s="3" t="str">
        <f ca="1">IFERROR(__xludf.DUMMYFUNCTION("""COMPUTED_VALUE"""),"Pre-Intermediate 2")</f>
        <v>Pre-Intermediate 2</v>
      </c>
      <c r="H361" s="156">
        <f ca="1">IFERROR(__xludf.DUMMYFUNCTION("""COMPUTED_VALUE"""),45882.4166666666)</f>
        <v>45882.416666666599</v>
      </c>
      <c r="I361" s="156">
        <f ca="1">IFERROR(__xludf.DUMMYFUNCTION("""COMPUTED_VALUE"""),45764.4166666666)</f>
        <v>45764.416666666599</v>
      </c>
      <c r="J361" s="3">
        <f ca="1">IFERROR(__xludf.DUMMYFUNCTION("""COMPUTED_VALUE"""),3)</f>
        <v>3</v>
      </c>
      <c r="K361" s="3">
        <f ca="1">IFERROR(__xludf.DUMMYFUNCTION("""COMPUTED_VALUE"""),3.5)</f>
        <v>3.5</v>
      </c>
      <c r="L361" s="3" t="str">
        <f ca="1">IFERROR(__xludf.DUMMYFUNCTION("""COMPUTED_VALUE"""),"DEV")</f>
        <v>DEV</v>
      </c>
      <c r="M361" s="3" t="str">
        <f ca="1">IFERROR(__xludf.DUMMYFUNCTION("""COMPUTED_VALUE"""),"MOC")</f>
        <v>MOC</v>
      </c>
      <c r="N361" s="157">
        <f ca="1">IFERROR(__xludf.DUMMYFUNCTION("""COMPUTED_VALUE"""),1)</f>
        <v>1</v>
      </c>
      <c r="O361" s="157">
        <f ca="1">IFERROR(__xludf.DUMMYFUNCTION("""COMPUTED_VALUE"""),3.5)</f>
        <v>3.5</v>
      </c>
      <c r="P361" s="157"/>
      <c r="R361" s="147"/>
      <c r="S361" s="147"/>
      <c r="T361" s="147"/>
      <c r="U361" s="147"/>
      <c r="X361" s="147"/>
      <c r="Y361" s="147"/>
      <c r="Z361" s="147"/>
      <c r="AA361" s="147"/>
      <c r="AB361" s="147"/>
      <c r="AC361" s="147"/>
      <c r="AD361" s="147"/>
      <c r="AE361" s="147"/>
      <c r="AF361" s="147"/>
      <c r="AG361" s="147"/>
      <c r="AH361" s="147"/>
      <c r="AI361" s="147"/>
      <c r="AJ361" s="147"/>
      <c r="AK361" s="147"/>
      <c r="AL361" s="147"/>
      <c r="AM361" s="147"/>
      <c r="AN361" s="147"/>
      <c r="AO361" s="147"/>
      <c r="AP361" s="147"/>
      <c r="AQ361" s="147"/>
    </row>
    <row r="362" spans="1:43">
      <c r="A362" s="160" t="str">
        <f ca="1">IFERROR(__xludf.DUMMYFUNCTION("""COMPUTED_VALUE"""),"213968")</f>
        <v>213968</v>
      </c>
      <c r="B362" s="3" t="str">
        <f ca="1">IFERROR(__xludf.DUMMYFUNCTION("""COMPUTED_VALUE"""),"NGUYỄN THỊ HOÀNG OANH")</f>
        <v>NGUYỄN THỊ HOÀNG OANH</v>
      </c>
      <c r="C362" s="160" t="str">
        <f ca="1">IFERROR(__xludf.DUMMYFUNCTION("""COMPUTED_VALUE"""),"EL033")</f>
        <v>EL033</v>
      </c>
      <c r="D362" s="160" t="str">
        <f ca="1">IFERROR(__xludf.DUMMYFUNCTION("""COMPUTED_VALUE"""),"Anh Ha")</f>
        <v>Anh Ha</v>
      </c>
      <c r="E362" s="3" t="str">
        <f ca="1">IFERROR(__xludf.DUMMYFUNCTION("""COMPUTED_VALUE"""),"Communication 2")</f>
        <v>Communication 2</v>
      </c>
      <c r="F362" s="3" t="str">
        <f ca="1">IFERROR(__xludf.DUMMYFUNCTION("""COMPUTED_VALUE"""),"Beginner 2")</f>
        <v>Beginner 2</v>
      </c>
      <c r="G362" s="3"/>
      <c r="H362" s="156">
        <f ca="1">IFERROR(__xludf.DUMMYFUNCTION("""COMPUTED_VALUE"""),45882.4166666666)</f>
        <v>45882.416666666599</v>
      </c>
      <c r="I362" s="156">
        <f ca="1">IFERROR(__xludf.DUMMYFUNCTION("""COMPUTED_VALUE"""),45764.5833333333)</f>
        <v>45764.583333333299</v>
      </c>
      <c r="J362" s="3">
        <f ca="1">IFERROR(__xludf.DUMMYFUNCTION("""COMPUTED_VALUE"""),1.5)</f>
        <v>1.5</v>
      </c>
      <c r="K362" s="3" t="str">
        <f ca="1">IFERROR(__xludf.DUMMYFUNCTION("""COMPUTED_VALUE"""),"")</f>
        <v/>
      </c>
      <c r="L362" s="3" t="str">
        <f ca="1">IFERROR(__xludf.DUMMYFUNCTION("""COMPUTED_VALUE"""),"QC")</f>
        <v>QC</v>
      </c>
      <c r="M362" s="3" t="str">
        <f ca="1">IFERROR(__xludf.DUMMYFUNCTION("""COMPUTED_VALUE"""),"MOC")</f>
        <v>MOC</v>
      </c>
      <c r="N362" s="157">
        <f ca="1">IFERROR(__xludf.DUMMYFUNCTION("""COMPUTED_VALUE"""),1)</f>
        <v>1</v>
      </c>
      <c r="O362" s="157">
        <f ca="1">IFERROR(__xludf.DUMMYFUNCTION("""COMPUTED_VALUE"""),1.5)</f>
        <v>1.5</v>
      </c>
      <c r="P362" s="157"/>
      <c r="R362" s="147"/>
      <c r="S362" s="147"/>
      <c r="T362" s="147"/>
      <c r="U362" s="147"/>
      <c r="X362" s="147"/>
      <c r="Y362" s="147"/>
      <c r="Z362" s="147"/>
      <c r="AA362" s="147"/>
      <c r="AB362" s="147"/>
      <c r="AC362" s="147"/>
      <c r="AD362" s="147"/>
      <c r="AE362" s="147"/>
      <c r="AF362" s="147"/>
      <c r="AG362" s="147"/>
      <c r="AH362" s="147"/>
      <c r="AI362" s="147"/>
      <c r="AJ362" s="147"/>
      <c r="AK362" s="147"/>
      <c r="AL362" s="147"/>
      <c r="AM362" s="147"/>
      <c r="AN362" s="147"/>
      <c r="AO362" s="147"/>
      <c r="AP362" s="147"/>
      <c r="AQ362" s="147"/>
    </row>
    <row r="363" spans="1:43">
      <c r="A363" s="160" t="str">
        <f ca="1">IFERROR(__xludf.DUMMYFUNCTION("""COMPUTED_VALUE"""),"213861")</f>
        <v>213861</v>
      </c>
      <c r="B363" s="3" t="str">
        <f ca="1">IFERROR(__xludf.DUMMYFUNCTION("""COMPUTED_VALUE"""),"TRẦN QUANG ĐẠO")</f>
        <v>TRẦN QUANG ĐẠO</v>
      </c>
      <c r="C363" s="160" t="str">
        <f ca="1">IFERROR(__xludf.DUMMYFUNCTION("""COMPUTED_VALUE"""),"EL033")</f>
        <v>EL033</v>
      </c>
      <c r="D363" s="160" t="str">
        <f ca="1">IFERROR(__xludf.DUMMYFUNCTION("""COMPUTED_VALUE"""),"Anh Ha")</f>
        <v>Anh Ha</v>
      </c>
      <c r="E363" s="3" t="str">
        <f ca="1">IFERROR(__xludf.DUMMYFUNCTION("""COMPUTED_VALUE"""),"Communication 2")</f>
        <v>Communication 2</v>
      </c>
      <c r="F363" s="3" t="str">
        <f ca="1">IFERROR(__xludf.DUMMYFUNCTION("""COMPUTED_VALUE"""),"Pre-Intermediate 1")</f>
        <v>Pre-Intermediate 1</v>
      </c>
      <c r="G363" s="3" t="str">
        <f ca="1">IFERROR(__xludf.DUMMYFUNCTION("""COMPUTED_VALUE"""),"Beginner 2")</f>
        <v>Beginner 2</v>
      </c>
      <c r="H363" s="156">
        <f ca="1">IFERROR(__xludf.DUMMYFUNCTION("""COMPUTED_VALUE"""),45882.4166666666)</f>
        <v>45882.416666666599</v>
      </c>
      <c r="I363" s="156">
        <f ca="1">IFERROR(__xludf.DUMMYFUNCTION("""COMPUTED_VALUE"""),45764.4166666666)</f>
        <v>45764.416666666599</v>
      </c>
      <c r="J363" s="3">
        <f ca="1">IFERROR(__xludf.DUMMYFUNCTION("""COMPUTED_VALUE"""),3)</f>
        <v>3</v>
      </c>
      <c r="K363" s="3">
        <f ca="1">IFERROR(__xludf.DUMMYFUNCTION("""COMPUTED_VALUE"""),1.5)</f>
        <v>1.5</v>
      </c>
      <c r="L363" s="3" t="str">
        <f ca="1">IFERROR(__xludf.DUMMYFUNCTION("""COMPUTED_VALUE"""),"DEV")</f>
        <v>DEV</v>
      </c>
      <c r="M363" s="3" t="str">
        <f ca="1">IFERROR(__xludf.DUMMYFUNCTION("""COMPUTED_VALUE"""),"MOC")</f>
        <v>MOC</v>
      </c>
      <c r="N363" s="157">
        <f ca="1">IFERROR(__xludf.DUMMYFUNCTION("""COMPUTED_VALUE"""),1)</f>
        <v>1</v>
      </c>
      <c r="O363" s="157">
        <f ca="1">IFERROR(__xludf.DUMMYFUNCTION("""COMPUTED_VALUE"""),3)</f>
        <v>3</v>
      </c>
      <c r="P363" s="157"/>
      <c r="R363" s="147"/>
      <c r="S363" s="147"/>
      <c r="T363" s="147"/>
      <c r="U363" s="147"/>
      <c r="X363" s="147"/>
      <c r="Y363" s="147"/>
      <c r="Z363" s="147"/>
      <c r="AA363" s="147"/>
      <c r="AB363" s="147"/>
      <c r="AC363" s="147"/>
      <c r="AD363" s="147"/>
      <c r="AE363" s="147"/>
      <c r="AF363" s="147"/>
      <c r="AG363" s="147"/>
      <c r="AH363" s="147"/>
      <c r="AI363" s="147"/>
      <c r="AJ363" s="147"/>
      <c r="AK363" s="147"/>
      <c r="AL363" s="147"/>
      <c r="AM363" s="147"/>
      <c r="AN363" s="147"/>
      <c r="AO363" s="147"/>
      <c r="AP363" s="147"/>
      <c r="AQ363" s="147"/>
    </row>
    <row r="364" spans="1:43">
      <c r="A364" s="160" t="str">
        <f ca="1">IFERROR(__xludf.DUMMYFUNCTION("""COMPUTED_VALUE"""),"213851")</f>
        <v>213851</v>
      </c>
      <c r="B364" s="3" t="str">
        <f ca="1">IFERROR(__xludf.DUMMYFUNCTION("""COMPUTED_VALUE"""),"TRẦN THANH ĐIỀN")</f>
        <v>TRẦN THANH ĐIỀN</v>
      </c>
      <c r="C364" s="160" t="str">
        <f ca="1">IFERROR(__xludf.DUMMYFUNCTION("""COMPUTED_VALUE"""),"EL033")</f>
        <v>EL033</v>
      </c>
      <c r="D364" s="160" t="str">
        <f ca="1">IFERROR(__xludf.DUMMYFUNCTION("""COMPUTED_VALUE"""),"Anh Ha")</f>
        <v>Anh Ha</v>
      </c>
      <c r="E364" s="3" t="str">
        <f ca="1">IFERROR(__xludf.DUMMYFUNCTION("""COMPUTED_VALUE"""),"Communication 2")</f>
        <v>Communication 2</v>
      </c>
      <c r="F364" s="3" t="str">
        <f ca="1">IFERROR(__xludf.DUMMYFUNCTION("""COMPUTED_VALUE"""),"Pre-Intermediate 2")</f>
        <v>Pre-Intermediate 2</v>
      </c>
      <c r="G364" s="3" t="str">
        <f ca="1">IFERROR(__xludf.DUMMYFUNCTION("""COMPUTED_VALUE"""),"Intermediate 1")</f>
        <v>Intermediate 1</v>
      </c>
      <c r="H364" s="156">
        <f ca="1">IFERROR(__xludf.DUMMYFUNCTION("""COMPUTED_VALUE"""),45882.4166666666)</f>
        <v>45882.416666666599</v>
      </c>
      <c r="I364" s="156">
        <f ca="1">IFERROR(__xludf.DUMMYFUNCTION("""COMPUTED_VALUE"""),45764.4166666666)</f>
        <v>45764.416666666599</v>
      </c>
      <c r="J364" s="3">
        <f ca="1">IFERROR(__xludf.DUMMYFUNCTION("""COMPUTED_VALUE"""),3.5)</f>
        <v>3.5</v>
      </c>
      <c r="K364" s="3">
        <f ca="1">IFERROR(__xludf.DUMMYFUNCTION("""COMPUTED_VALUE"""),5)</f>
        <v>5</v>
      </c>
      <c r="L364" s="3" t="str">
        <f ca="1">IFERROR(__xludf.DUMMYFUNCTION("""COMPUTED_VALUE"""),"DEV")</f>
        <v>DEV</v>
      </c>
      <c r="M364" s="3" t="str">
        <f ca="1">IFERROR(__xludf.DUMMYFUNCTION("""COMPUTED_VALUE"""),"MOC")</f>
        <v>MOC</v>
      </c>
      <c r="N364" s="157">
        <f ca="1">IFERROR(__xludf.DUMMYFUNCTION("""COMPUTED_VALUE"""),1)</f>
        <v>1</v>
      </c>
      <c r="O364" s="157">
        <f ca="1">IFERROR(__xludf.DUMMYFUNCTION("""COMPUTED_VALUE"""),5)</f>
        <v>5</v>
      </c>
      <c r="P364" s="157"/>
      <c r="R364" s="147"/>
      <c r="S364" s="147"/>
      <c r="T364" s="147"/>
      <c r="U364" s="147"/>
      <c r="X364" s="147"/>
      <c r="Y364" s="147"/>
      <c r="Z364" s="147"/>
      <c r="AA364" s="147"/>
      <c r="AB364" s="147"/>
      <c r="AC364" s="147"/>
      <c r="AD364" s="147"/>
      <c r="AE364" s="147"/>
      <c r="AF364" s="147"/>
      <c r="AG364" s="147"/>
      <c r="AH364" s="147"/>
      <c r="AI364" s="147"/>
      <c r="AJ364" s="147"/>
      <c r="AK364" s="147"/>
      <c r="AL364" s="147"/>
      <c r="AM364" s="147"/>
      <c r="AN364" s="147"/>
      <c r="AO364" s="147"/>
      <c r="AP364" s="147"/>
      <c r="AQ364" s="147"/>
    </row>
    <row r="365" spans="1:43">
      <c r="A365" s="160" t="str">
        <f ca="1">IFERROR(__xludf.DUMMYFUNCTION("""COMPUTED_VALUE"""),"247223")</f>
        <v>247223</v>
      </c>
      <c r="B365" s="3" t="str">
        <f ca="1">IFERROR(__xludf.DUMMYFUNCTION("""COMPUTED_VALUE"""),"TRẦN XUÂN KHOA")</f>
        <v>TRẦN XUÂN KHOA</v>
      </c>
      <c r="C365" s="160" t="str">
        <f ca="1">IFERROR(__xludf.DUMMYFUNCTION("""COMPUTED_VALUE"""),"EL033")</f>
        <v>EL033</v>
      </c>
      <c r="D365" s="160" t="str">
        <f ca="1">IFERROR(__xludf.DUMMYFUNCTION("""COMPUTED_VALUE"""),"Anh Ha")</f>
        <v>Anh Ha</v>
      </c>
      <c r="E365" s="3" t="str">
        <f ca="1">IFERROR(__xludf.DUMMYFUNCTION("""COMPUTED_VALUE"""),"Communication 2")</f>
        <v>Communication 2</v>
      </c>
      <c r="F365" s="3" t="str">
        <f ca="1">IFERROR(__xludf.DUMMYFUNCTION("""COMPUTED_VALUE"""),"Pre-Intermediate 2")</f>
        <v>Pre-Intermediate 2</v>
      </c>
      <c r="G365" s="3" t="str">
        <f ca="1">IFERROR(__xludf.DUMMYFUNCTION("""COMPUTED_VALUE"""),"Pre-Intermediate 2")</f>
        <v>Pre-Intermediate 2</v>
      </c>
      <c r="H365" s="156">
        <f ca="1">IFERROR(__xludf.DUMMYFUNCTION("""COMPUTED_VALUE"""),45882.4166666666)</f>
        <v>45882.416666666599</v>
      </c>
      <c r="I365" s="156">
        <f ca="1">IFERROR(__xludf.DUMMYFUNCTION("""COMPUTED_VALUE"""),45764.4166666666)</f>
        <v>45764.416666666599</v>
      </c>
      <c r="J365" s="3">
        <f ca="1">IFERROR(__xludf.DUMMYFUNCTION("""COMPUTED_VALUE"""),3.5)</f>
        <v>3.5</v>
      </c>
      <c r="K365" s="3">
        <f ca="1">IFERROR(__xludf.DUMMYFUNCTION("""COMPUTED_VALUE"""),3.5)</f>
        <v>3.5</v>
      </c>
      <c r="L365" s="3" t="str">
        <f ca="1">IFERROR(__xludf.DUMMYFUNCTION("""COMPUTED_VALUE"""),"DEV")</f>
        <v>DEV</v>
      </c>
      <c r="M365" s="3" t="str">
        <f ca="1">IFERROR(__xludf.DUMMYFUNCTION("""COMPUTED_VALUE"""),"MOC")</f>
        <v>MOC</v>
      </c>
      <c r="N365" s="157">
        <f ca="1">IFERROR(__xludf.DUMMYFUNCTION("""COMPUTED_VALUE"""),1)</f>
        <v>1</v>
      </c>
      <c r="O365" s="157">
        <f ca="1">IFERROR(__xludf.DUMMYFUNCTION("""COMPUTED_VALUE"""),3.5)</f>
        <v>3.5</v>
      </c>
      <c r="P365" s="157"/>
      <c r="R365" s="147"/>
      <c r="S365" s="147"/>
      <c r="T365" s="147"/>
      <c r="U365" s="147"/>
      <c r="X365" s="147"/>
      <c r="Y365" s="147"/>
      <c r="Z365" s="147"/>
      <c r="AA365" s="147"/>
      <c r="AB365" s="147"/>
      <c r="AC365" s="147"/>
      <c r="AD365" s="147"/>
      <c r="AE365" s="147"/>
      <c r="AF365" s="147"/>
      <c r="AG365" s="147"/>
      <c r="AH365" s="147"/>
      <c r="AI365" s="147"/>
      <c r="AJ365" s="147"/>
      <c r="AK365" s="147"/>
      <c r="AL365" s="147"/>
      <c r="AM365" s="147"/>
      <c r="AN365" s="147"/>
      <c r="AO365" s="147"/>
      <c r="AP365" s="147"/>
      <c r="AQ365" s="147"/>
    </row>
    <row r="366" spans="1:43">
      <c r="A366" s="160" t="str">
        <f ca="1">IFERROR(__xludf.DUMMYFUNCTION("""COMPUTED_VALUE"""),"237147")</f>
        <v>237147</v>
      </c>
      <c r="B366" s="3" t="str">
        <f ca="1">IFERROR(__xludf.DUMMYFUNCTION("""COMPUTED_VALUE"""),"TRẦN THỊ HOÀI THƯƠNG")</f>
        <v>TRẦN THỊ HOÀI THƯƠNG</v>
      </c>
      <c r="C366" s="160" t="str">
        <f ca="1">IFERROR(__xludf.DUMMYFUNCTION("""COMPUTED_VALUE"""),"EL034")</f>
        <v>EL034</v>
      </c>
      <c r="D366" s="160" t="str">
        <f ca="1">IFERROR(__xludf.DUMMYFUNCTION("""COMPUTED_VALUE"""),"Thuong Tran")</f>
        <v>Thuong Tran</v>
      </c>
      <c r="E366" s="3" t="str">
        <f ca="1">IFERROR(__xludf.DUMMYFUNCTION("""COMPUTED_VALUE"""),"Business English")</f>
        <v>Business English</v>
      </c>
      <c r="F366" s="3"/>
      <c r="G366" s="3"/>
      <c r="H366" s="156">
        <f ca="1">IFERROR(__xludf.DUMMYFUNCTION("""COMPUTED_VALUE"""),46091.5416666666)</f>
        <v>46091.541666666599</v>
      </c>
      <c r="I366" s="156">
        <f ca="1">IFERROR(__xludf.DUMMYFUNCTION("""COMPUTED_VALUE"""),45764.5833333333)</f>
        <v>45764.583333333299</v>
      </c>
      <c r="J366" s="3" t="str">
        <f ca="1">IFERROR(__xludf.DUMMYFUNCTION("""COMPUTED_VALUE"""),"")</f>
        <v/>
      </c>
      <c r="K366" s="3" t="str">
        <f ca="1">IFERROR(__xludf.DUMMYFUNCTION("""COMPUTED_VALUE"""),"")</f>
        <v/>
      </c>
      <c r="L366" s="3" t="str">
        <f ca="1">IFERROR(__xludf.DUMMYFUNCTION("""COMPUTED_VALUE"""),"GSD")</f>
        <v>GSD</v>
      </c>
      <c r="M366" s="3" t="str">
        <f ca="1">IFERROR(__xludf.DUMMYFUNCTION("""COMPUTED_VALUE"""),"MOC")</f>
        <v>MOC</v>
      </c>
      <c r="N366" s="157">
        <f ca="1">IFERROR(__xludf.DUMMYFUNCTION("""COMPUTED_VALUE"""),1)</f>
        <v>1</v>
      </c>
      <c r="O366" s="157">
        <f ca="1">IFERROR(__xludf.DUMMYFUNCTION("""COMPUTED_VALUE"""),5)</f>
        <v>5</v>
      </c>
      <c r="P366" s="157"/>
      <c r="R366" s="147"/>
      <c r="S366" s="147"/>
      <c r="T366" s="147"/>
      <c r="U366" s="147"/>
      <c r="X366" s="147"/>
      <c r="Y366" s="147"/>
      <c r="Z366" s="147"/>
      <c r="AA366" s="147"/>
      <c r="AB366" s="147"/>
      <c r="AC366" s="147"/>
      <c r="AD366" s="147"/>
      <c r="AE366" s="147"/>
      <c r="AF366" s="147"/>
      <c r="AG366" s="147"/>
      <c r="AH366" s="147"/>
      <c r="AI366" s="147"/>
      <c r="AJ366" s="147"/>
      <c r="AK366" s="147"/>
      <c r="AL366" s="147"/>
      <c r="AM366" s="147"/>
      <c r="AN366" s="147"/>
      <c r="AO366" s="147"/>
      <c r="AP366" s="147"/>
      <c r="AQ366" s="147"/>
    </row>
    <row r="367" spans="1:43">
      <c r="A367" s="160" t="str">
        <f ca="1">IFERROR(__xludf.DUMMYFUNCTION("""COMPUTED_VALUE"""),"213859")</f>
        <v>213859</v>
      </c>
      <c r="B367" s="3" t="str">
        <f ca="1">IFERROR(__xludf.DUMMYFUNCTION("""COMPUTED_VALUE"""),"LÂM THỊ YẾN NHI")</f>
        <v>LÂM THỊ YẾN NHI</v>
      </c>
      <c r="C367" s="160" t="str">
        <f ca="1">IFERROR(__xludf.DUMMYFUNCTION("""COMPUTED_VALUE"""),"EL034")</f>
        <v>EL034</v>
      </c>
      <c r="D367" s="160" t="str">
        <f ca="1">IFERROR(__xludf.DUMMYFUNCTION("""COMPUTED_VALUE"""),"Thuong Tran")</f>
        <v>Thuong Tran</v>
      </c>
      <c r="E367" s="3" t="str">
        <f ca="1">IFERROR(__xludf.DUMMYFUNCTION("""COMPUTED_VALUE"""),"Business English")</f>
        <v>Business English</v>
      </c>
      <c r="F367" s="3"/>
      <c r="G367" s="3"/>
      <c r="H367" s="156">
        <f ca="1">IFERROR(__xludf.DUMMYFUNCTION("""COMPUTED_VALUE"""),46091.5416666666)</f>
        <v>46091.541666666599</v>
      </c>
      <c r="I367" s="156">
        <f ca="1">IFERROR(__xludf.DUMMYFUNCTION("""COMPUTED_VALUE"""),45764.5833333333)</f>
        <v>45764.583333333299</v>
      </c>
      <c r="J367" s="3" t="str">
        <f ca="1">IFERROR(__xludf.DUMMYFUNCTION("""COMPUTED_VALUE"""),"")</f>
        <v/>
      </c>
      <c r="K367" s="3" t="str">
        <f ca="1">IFERROR(__xludf.DUMMYFUNCTION("""COMPUTED_VALUE"""),"")</f>
        <v/>
      </c>
      <c r="L367" s="3" t="str">
        <f ca="1">IFERROR(__xludf.DUMMYFUNCTION("""COMPUTED_VALUE"""),"GSD")</f>
        <v>GSD</v>
      </c>
      <c r="M367" s="3" t="str">
        <f ca="1">IFERROR(__xludf.DUMMYFUNCTION("""COMPUTED_VALUE"""),"MOC")</f>
        <v>MOC</v>
      </c>
      <c r="N367" s="157">
        <f ca="1">IFERROR(__xludf.DUMMYFUNCTION("""COMPUTED_VALUE"""),2.5)</f>
        <v>2.5</v>
      </c>
      <c r="O367" s="157">
        <f ca="1">IFERROR(__xludf.DUMMYFUNCTION("""COMPUTED_VALUE"""),5.5)</f>
        <v>5.5</v>
      </c>
      <c r="P367" s="157"/>
      <c r="R367" s="147"/>
      <c r="S367" s="147"/>
      <c r="T367" s="147"/>
      <c r="U367" s="147"/>
      <c r="X367" s="147"/>
      <c r="Y367" s="147"/>
      <c r="Z367" s="147"/>
      <c r="AA367" s="147"/>
      <c r="AB367" s="147"/>
      <c r="AC367" s="147"/>
      <c r="AD367" s="147"/>
      <c r="AE367" s="147"/>
      <c r="AF367" s="147"/>
      <c r="AG367" s="147"/>
      <c r="AH367" s="147"/>
      <c r="AI367" s="147"/>
      <c r="AJ367" s="147"/>
      <c r="AK367" s="147"/>
      <c r="AL367" s="147"/>
      <c r="AM367" s="147"/>
      <c r="AN367" s="147"/>
      <c r="AO367" s="147"/>
      <c r="AP367" s="147"/>
      <c r="AQ367" s="147"/>
    </row>
    <row r="368" spans="1:43">
      <c r="A368" s="160" t="str">
        <f ca="1">IFERROR(__xludf.DUMMYFUNCTION("""COMPUTED_VALUE"""),"193632")</f>
        <v>193632</v>
      </c>
      <c r="B368" s="3" t="str">
        <f ca="1">IFERROR(__xludf.DUMMYFUNCTION("""COMPUTED_VALUE"""),"NGUYỄN THÁI SƠN")</f>
        <v>NGUYỄN THÁI SƠN</v>
      </c>
      <c r="C368" s="160" t="str">
        <f ca="1">IFERROR(__xludf.DUMMYFUNCTION("""COMPUTED_VALUE"""),"EL034")</f>
        <v>EL034</v>
      </c>
      <c r="D368" s="160" t="str">
        <f ca="1">IFERROR(__xludf.DUMMYFUNCTION("""COMPUTED_VALUE"""),"Thuong Tran")</f>
        <v>Thuong Tran</v>
      </c>
      <c r="E368" s="3" t="str">
        <f ca="1">IFERROR(__xludf.DUMMYFUNCTION("""COMPUTED_VALUE"""),"Business English")</f>
        <v>Business English</v>
      </c>
      <c r="F368" s="3"/>
      <c r="G368" s="3"/>
      <c r="H368" s="156">
        <f ca="1">IFERROR(__xludf.DUMMYFUNCTION("""COMPUTED_VALUE"""),46091.5416666666)</f>
        <v>46091.541666666599</v>
      </c>
      <c r="I368" s="156">
        <f ca="1">IFERROR(__xludf.DUMMYFUNCTION("""COMPUTED_VALUE"""),45764.5833333333)</f>
        <v>45764.583333333299</v>
      </c>
      <c r="J368" s="3" t="str">
        <f ca="1">IFERROR(__xludf.DUMMYFUNCTION("""COMPUTED_VALUE"""),"")</f>
        <v/>
      </c>
      <c r="K368" s="3" t="str">
        <f ca="1">IFERROR(__xludf.DUMMYFUNCTION("""COMPUTED_VALUE"""),"")</f>
        <v/>
      </c>
      <c r="L368" s="3" t="str">
        <f ca="1">IFERROR(__xludf.DUMMYFUNCTION("""COMPUTED_VALUE"""),"GSD")</f>
        <v>GSD</v>
      </c>
      <c r="M368" s="3" t="str">
        <f ca="1">IFERROR(__xludf.DUMMYFUNCTION("""COMPUTED_VALUE"""),"MOC")</f>
        <v>MOC</v>
      </c>
      <c r="N368" s="157">
        <f ca="1">IFERROR(__xludf.DUMMYFUNCTION("""COMPUTED_VALUE"""),1)</f>
        <v>1</v>
      </c>
      <c r="O368" s="157">
        <f ca="1">IFERROR(__xludf.DUMMYFUNCTION("""COMPUTED_VALUE"""),5)</f>
        <v>5</v>
      </c>
      <c r="P368" s="157"/>
      <c r="R368" s="147"/>
      <c r="S368" s="147"/>
      <c r="T368" s="147"/>
      <c r="U368" s="147"/>
      <c r="X368" s="147"/>
      <c r="Y368" s="147"/>
      <c r="Z368" s="147"/>
      <c r="AA368" s="147"/>
      <c r="AB368" s="147"/>
      <c r="AC368" s="147"/>
      <c r="AD368" s="147"/>
      <c r="AE368" s="147"/>
      <c r="AF368" s="147"/>
      <c r="AG368" s="147"/>
      <c r="AH368" s="147"/>
      <c r="AI368" s="147"/>
      <c r="AJ368" s="147"/>
      <c r="AK368" s="147"/>
      <c r="AL368" s="147"/>
      <c r="AM368" s="147"/>
      <c r="AN368" s="147"/>
      <c r="AO368" s="147"/>
      <c r="AP368" s="147"/>
      <c r="AQ368" s="147"/>
    </row>
    <row r="369" spans="1:43">
      <c r="A369" s="160" t="str">
        <f ca="1">IFERROR(__xludf.DUMMYFUNCTION("""COMPUTED_VALUE"""),"247263")</f>
        <v>247263</v>
      </c>
      <c r="B369" s="3" t="str">
        <f ca="1">IFERROR(__xludf.DUMMYFUNCTION("""COMPUTED_VALUE"""),"NGUYỄN TRẦN HOÀI MỸ")</f>
        <v>NGUYỄN TRẦN HOÀI MỸ</v>
      </c>
      <c r="C369" s="160" t="str">
        <f ca="1">IFERROR(__xludf.DUMMYFUNCTION("""COMPUTED_VALUE"""),"EL034")</f>
        <v>EL034</v>
      </c>
      <c r="D369" s="160" t="str">
        <f ca="1">IFERROR(__xludf.DUMMYFUNCTION("""COMPUTED_VALUE"""),"Thuong Tran")</f>
        <v>Thuong Tran</v>
      </c>
      <c r="E369" s="3" t="str">
        <f ca="1">IFERROR(__xludf.DUMMYFUNCTION("""COMPUTED_VALUE"""),"Business English")</f>
        <v>Business English</v>
      </c>
      <c r="F369" s="3"/>
      <c r="G369" s="3"/>
      <c r="H369" s="156">
        <f ca="1">IFERROR(__xludf.DUMMYFUNCTION("""COMPUTED_VALUE"""),46091.5416666666)</f>
        <v>46091.541666666599</v>
      </c>
      <c r="I369" s="156">
        <f ca="1">IFERROR(__xludf.DUMMYFUNCTION("""COMPUTED_VALUE"""),45764.5833333333)</f>
        <v>45764.583333333299</v>
      </c>
      <c r="J369" s="3" t="str">
        <f ca="1">IFERROR(__xludf.DUMMYFUNCTION("""COMPUTED_VALUE"""),"")</f>
        <v/>
      </c>
      <c r="K369" s="3" t="str">
        <f ca="1">IFERROR(__xludf.DUMMYFUNCTION("""COMPUTED_VALUE"""),"")</f>
        <v/>
      </c>
      <c r="L369" s="3" t="str">
        <f ca="1">IFERROR(__xludf.DUMMYFUNCTION("""COMPUTED_VALUE"""),"GSD")</f>
        <v>GSD</v>
      </c>
      <c r="M369" s="3" t="str">
        <f ca="1">IFERROR(__xludf.DUMMYFUNCTION("""COMPUTED_VALUE"""),"MOC")</f>
        <v>MOC</v>
      </c>
      <c r="N369" s="157">
        <f ca="1">IFERROR(__xludf.DUMMYFUNCTION("""COMPUTED_VALUE"""),1)</f>
        <v>1</v>
      </c>
      <c r="O369" s="157">
        <f ca="1">IFERROR(__xludf.DUMMYFUNCTION("""COMPUTED_VALUE"""),5)</f>
        <v>5</v>
      </c>
      <c r="P369" s="157"/>
      <c r="R369" s="147"/>
      <c r="S369" s="147"/>
      <c r="T369" s="147"/>
      <c r="U369" s="147"/>
      <c r="X369" s="147"/>
      <c r="Y369" s="147"/>
      <c r="Z369" s="147"/>
      <c r="AA369" s="147"/>
      <c r="AB369" s="147"/>
      <c r="AC369" s="147"/>
      <c r="AD369" s="147"/>
      <c r="AE369" s="147"/>
      <c r="AF369" s="147"/>
      <c r="AG369" s="147"/>
      <c r="AH369" s="147"/>
      <c r="AI369" s="147"/>
      <c r="AJ369" s="147"/>
      <c r="AK369" s="147"/>
      <c r="AL369" s="147"/>
      <c r="AM369" s="147"/>
      <c r="AN369" s="147"/>
      <c r="AO369" s="147"/>
      <c r="AP369" s="147"/>
      <c r="AQ369" s="147"/>
    </row>
    <row r="370" spans="1:43">
      <c r="A370" s="160" t="str">
        <f ca="1">IFERROR(__xludf.DUMMYFUNCTION("""COMPUTED_VALUE"""),"247088")</f>
        <v>247088</v>
      </c>
      <c r="B370" s="3" t="str">
        <f ca="1">IFERROR(__xludf.DUMMYFUNCTION("""COMPUTED_VALUE"""),"NGUYỄN VĂN HÙNG")</f>
        <v>NGUYỄN VĂN HÙNG</v>
      </c>
      <c r="C370" s="160" t="str">
        <f ca="1">IFERROR(__xludf.DUMMYFUNCTION("""COMPUTED_VALUE"""),"EL034")</f>
        <v>EL034</v>
      </c>
      <c r="D370" s="160" t="str">
        <f ca="1">IFERROR(__xludf.DUMMYFUNCTION("""COMPUTED_VALUE"""),"Thuong Tran")</f>
        <v>Thuong Tran</v>
      </c>
      <c r="E370" s="3" t="str">
        <f ca="1">IFERROR(__xludf.DUMMYFUNCTION("""COMPUTED_VALUE"""),"Business English")</f>
        <v>Business English</v>
      </c>
      <c r="F370" s="3"/>
      <c r="G370" s="3"/>
      <c r="H370" s="156">
        <f ca="1">IFERROR(__xludf.DUMMYFUNCTION("""COMPUTED_VALUE"""),46091.5416666666)</f>
        <v>46091.541666666599</v>
      </c>
      <c r="I370" s="156">
        <f ca="1">IFERROR(__xludf.DUMMYFUNCTION("""COMPUTED_VALUE"""),45764.5833333333)</f>
        <v>45764.583333333299</v>
      </c>
      <c r="J370" s="3" t="str">
        <f ca="1">IFERROR(__xludf.DUMMYFUNCTION("""COMPUTED_VALUE"""),"")</f>
        <v/>
      </c>
      <c r="K370" s="3" t="str">
        <f ca="1">IFERROR(__xludf.DUMMYFUNCTION("""COMPUTED_VALUE"""),"")</f>
        <v/>
      </c>
      <c r="L370" s="3" t="str">
        <f ca="1">IFERROR(__xludf.DUMMYFUNCTION("""COMPUTED_VALUE"""),"GSD")</f>
        <v>GSD</v>
      </c>
      <c r="M370" s="3" t="str">
        <f ca="1">IFERROR(__xludf.DUMMYFUNCTION("""COMPUTED_VALUE"""),"MOC")</f>
        <v>MOC</v>
      </c>
      <c r="N370" s="157">
        <f ca="1">IFERROR(__xludf.DUMMYFUNCTION("""COMPUTED_VALUE"""),1)</f>
        <v>1</v>
      </c>
      <c r="O370" s="157">
        <f ca="1">IFERROR(__xludf.DUMMYFUNCTION("""COMPUTED_VALUE"""),5.5)</f>
        <v>5.5</v>
      </c>
      <c r="P370" s="157"/>
      <c r="R370" s="147"/>
      <c r="S370" s="147"/>
      <c r="T370" s="147"/>
      <c r="U370" s="147"/>
      <c r="X370" s="147"/>
      <c r="Y370" s="147"/>
      <c r="Z370" s="147"/>
      <c r="AA370" s="147"/>
      <c r="AB370" s="147"/>
      <c r="AC370" s="147"/>
      <c r="AD370" s="147"/>
      <c r="AE370" s="147"/>
      <c r="AF370" s="147"/>
      <c r="AG370" s="147"/>
      <c r="AH370" s="147"/>
      <c r="AI370" s="147"/>
      <c r="AJ370" s="147"/>
      <c r="AK370" s="147"/>
      <c r="AL370" s="147"/>
      <c r="AM370" s="147"/>
      <c r="AN370" s="147"/>
      <c r="AO370" s="147"/>
      <c r="AP370" s="147"/>
      <c r="AQ370" s="147"/>
    </row>
    <row r="371" spans="1:43">
      <c r="A371" s="160" t="str">
        <f ca="1">IFERROR(__xludf.DUMMYFUNCTION("""COMPUTED_VALUE"""),"247262")</f>
        <v>247262</v>
      </c>
      <c r="B371" s="3" t="str">
        <f ca="1">IFERROR(__xludf.DUMMYFUNCTION("""COMPUTED_VALUE"""),"TÔN THÀNH AN")</f>
        <v>TÔN THÀNH AN</v>
      </c>
      <c r="C371" s="160" t="str">
        <f ca="1">IFERROR(__xludf.DUMMYFUNCTION("""COMPUTED_VALUE"""),"EL034")</f>
        <v>EL034</v>
      </c>
      <c r="D371" s="160" t="str">
        <f ca="1">IFERROR(__xludf.DUMMYFUNCTION("""COMPUTED_VALUE"""),"Thuong Tran")</f>
        <v>Thuong Tran</v>
      </c>
      <c r="E371" s="3" t="str">
        <f ca="1">IFERROR(__xludf.DUMMYFUNCTION("""COMPUTED_VALUE"""),"Business English")</f>
        <v>Business English</v>
      </c>
      <c r="F371" s="3"/>
      <c r="G371" s="3"/>
      <c r="H371" s="156">
        <f ca="1">IFERROR(__xludf.DUMMYFUNCTION("""COMPUTED_VALUE"""),46091.5416666666)</f>
        <v>46091.541666666599</v>
      </c>
      <c r="I371" s="156">
        <f ca="1">IFERROR(__xludf.DUMMYFUNCTION("""COMPUTED_VALUE"""),45764.5833333333)</f>
        <v>45764.583333333299</v>
      </c>
      <c r="J371" s="3" t="str">
        <f ca="1">IFERROR(__xludf.DUMMYFUNCTION("""COMPUTED_VALUE"""),"")</f>
        <v/>
      </c>
      <c r="K371" s="3" t="str">
        <f ca="1">IFERROR(__xludf.DUMMYFUNCTION("""COMPUTED_VALUE"""),"")</f>
        <v/>
      </c>
      <c r="L371" s="3" t="str">
        <f ca="1">IFERROR(__xludf.DUMMYFUNCTION("""COMPUTED_VALUE"""),"GSD")</f>
        <v>GSD</v>
      </c>
      <c r="M371" s="3" t="str">
        <f ca="1">IFERROR(__xludf.DUMMYFUNCTION("""COMPUTED_VALUE"""),"MOC")</f>
        <v>MOC</v>
      </c>
      <c r="N371" s="157">
        <f ca="1">IFERROR(__xludf.DUMMYFUNCTION("""COMPUTED_VALUE"""),1)</f>
        <v>1</v>
      </c>
      <c r="O371" s="157">
        <f ca="1">IFERROR(__xludf.DUMMYFUNCTION("""COMPUTED_VALUE"""),5)</f>
        <v>5</v>
      </c>
      <c r="P371" s="157"/>
      <c r="R371" s="147"/>
      <c r="S371" s="147"/>
      <c r="T371" s="147"/>
      <c r="U371" s="147"/>
      <c r="X371" s="147"/>
      <c r="Y371" s="147"/>
      <c r="Z371" s="147"/>
      <c r="AA371" s="147"/>
      <c r="AB371" s="147"/>
      <c r="AC371" s="147"/>
      <c r="AD371" s="147"/>
      <c r="AE371" s="147"/>
      <c r="AF371" s="147"/>
      <c r="AG371" s="147"/>
      <c r="AH371" s="147"/>
      <c r="AI371" s="147"/>
      <c r="AJ371" s="147"/>
      <c r="AK371" s="147"/>
      <c r="AL371" s="147"/>
      <c r="AM371" s="147"/>
      <c r="AN371" s="147"/>
      <c r="AO371" s="147"/>
      <c r="AP371" s="147"/>
      <c r="AQ371" s="147"/>
    </row>
    <row r="372" spans="1:43">
      <c r="A372" s="160" t="str">
        <f ca="1">IFERROR(__xludf.DUMMYFUNCTION("""COMPUTED_VALUE"""),"227097")</f>
        <v>227097</v>
      </c>
      <c r="B372" s="3" t="str">
        <f ca="1">IFERROR(__xludf.DUMMYFUNCTION("""COMPUTED_VALUE"""),"TRẦN MINH TRUNG")</f>
        <v>TRẦN MINH TRUNG</v>
      </c>
      <c r="C372" s="160" t="str">
        <f ca="1">IFERROR(__xludf.DUMMYFUNCTION("""COMPUTED_VALUE"""),"EL034")</f>
        <v>EL034</v>
      </c>
      <c r="D372" s="160" t="str">
        <f ca="1">IFERROR(__xludf.DUMMYFUNCTION("""COMPUTED_VALUE"""),"Thuong Tran")</f>
        <v>Thuong Tran</v>
      </c>
      <c r="E372" s="3" t="str">
        <f ca="1">IFERROR(__xludf.DUMMYFUNCTION("""COMPUTED_VALUE"""),"Business English")</f>
        <v>Business English</v>
      </c>
      <c r="F372" s="3"/>
      <c r="G372" s="3"/>
      <c r="H372" s="156">
        <f ca="1">IFERROR(__xludf.DUMMYFUNCTION("""COMPUTED_VALUE"""),46091.5416666666)</f>
        <v>46091.541666666599</v>
      </c>
      <c r="I372" s="156">
        <f ca="1">IFERROR(__xludf.DUMMYFUNCTION("""COMPUTED_VALUE"""),45764.5833333333)</f>
        <v>45764.583333333299</v>
      </c>
      <c r="J372" s="3" t="str">
        <f ca="1">IFERROR(__xludf.DUMMYFUNCTION("""COMPUTED_VALUE"""),"")</f>
        <v/>
      </c>
      <c r="K372" s="3" t="str">
        <f ca="1">IFERROR(__xludf.DUMMYFUNCTION("""COMPUTED_VALUE"""),"")</f>
        <v/>
      </c>
      <c r="L372" s="3" t="str">
        <f ca="1">IFERROR(__xludf.DUMMYFUNCTION("""COMPUTED_VALUE"""),"GSD")</f>
        <v>GSD</v>
      </c>
      <c r="M372" s="3" t="str">
        <f ca="1">IFERROR(__xludf.DUMMYFUNCTION("""COMPUTED_VALUE"""),"MOC")</f>
        <v>MOC</v>
      </c>
      <c r="N372" s="157">
        <f ca="1">IFERROR(__xludf.DUMMYFUNCTION("""COMPUTED_VALUE"""),1)</f>
        <v>1</v>
      </c>
      <c r="O372" s="157">
        <f ca="1">IFERROR(__xludf.DUMMYFUNCTION("""COMPUTED_VALUE"""),3)</f>
        <v>3</v>
      </c>
      <c r="P372" s="157"/>
      <c r="R372" s="147"/>
      <c r="S372" s="147"/>
      <c r="T372" s="147"/>
      <c r="U372" s="147"/>
      <c r="X372" s="147"/>
      <c r="Y372" s="147"/>
      <c r="Z372" s="147"/>
      <c r="AA372" s="147"/>
      <c r="AB372" s="147"/>
      <c r="AC372" s="147"/>
      <c r="AD372" s="147"/>
      <c r="AE372" s="147"/>
      <c r="AF372" s="147"/>
      <c r="AG372" s="147"/>
      <c r="AH372" s="147"/>
      <c r="AI372" s="147"/>
      <c r="AJ372" s="147"/>
      <c r="AK372" s="147"/>
      <c r="AL372" s="147"/>
      <c r="AM372" s="147"/>
      <c r="AN372" s="147"/>
      <c r="AO372" s="147"/>
      <c r="AP372" s="147"/>
      <c r="AQ372" s="147"/>
    </row>
    <row r="373" spans="1:43">
      <c r="A373" s="160" t="str">
        <f ca="1">IFERROR(__xludf.DUMMYFUNCTION("""COMPUTED_VALUE"""),"237147")</f>
        <v>237147</v>
      </c>
      <c r="B373" s="3" t="str">
        <f ca="1">IFERROR(__xludf.DUMMYFUNCTION("""COMPUTED_VALUE"""),"TRẦN THỊ HOÀI THƯƠNG")</f>
        <v>TRẦN THỊ HOÀI THƯƠNG</v>
      </c>
      <c r="C373" s="160" t="str">
        <f ca="1">IFERROR(__xludf.DUMMYFUNCTION("""COMPUTED_VALUE"""),"EL034")</f>
        <v>EL034</v>
      </c>
      <c r="D373" s="160" t="str">
        <f ca="1">IFERROR(__xludf.DUMMYFUNCTION("""COMPUTED_VALUE"""),"Thuong Tran")</f>
        <v>Thuong Tran</v>
      </c>
      <c r="E373" s="3" t="str">
        <f ca="1">IFERROR(__xludf.DUMMYFUNCTION("""COMPUTED_VALUE"""),"Communication 1")</f>
        <v>Communication 1</v>
      </c>
      <c r="F373" s="3" t="str">
        <f ca="1">IFERROR(__xludf.DUMMYFUNCTION("""COMPUTED_VALUE"""),"Beginner")</f>
        <v>Beginner</v>
      </c>
      <c r="G373" s="3" t="str">
        <f ca="1">IFERROR(__xludf.DUMMYFUNCTION("""COMPUTED_VALUE"""),"Pre-Intermediate 1")</f>
        <v>Pre-Intermediate 1</v>
      </c>
      <c r="H373" s="156">
        <f ca="1">IFERROR(__xludf.DUMMYFUNCTION("""COMPUTED_VALUE"""),45764.5833333333)</f>
        <v>45764.583333333299</v>
      </c>
      <c r="I373" s="156">
        <f ca="1">IFERROR(__xludf.DUMMYFUNCTION("""COMPUTED_VALUE"""),45764.5833333333)</f>
        <v>45764.583333333299</v>
      </c>
      <c r="J373" s="3">
        <f ca="1">IFERROR(__xludf.DUMMYFUNCTION("""COMPUTED_VALUE"""),1)</f>
        <v>1</v>
      </c>
      <c r="K373" s="3">
        <f ca="1">IFERROR(__xludf.DUMMYFUNCTION("""COMPUTED_VALUE"""),3)</f>
        <v>3</v>
      </c>
      <c r="L373" s="3" t="str">
        <f ca="1">IFERROR(__xludf.DUMMYFUNCTION("""COMPUTED_VALUE"""),"GSD")</f>
        <v>GSD</v>
      </c>
      <c r="M373" s="3" t="str">
        <f ca="1">IFERROR(__xludf.DUMMYFUNCTION("""COMPUTED_VALUE"""),"MOC")</f>
        <v>MOC</v>
      </c>
      <c r="N373" s="157">
        <f ca="1">IFERROR(__xludf.DUMMYFUNCTION("""COMPUTED_VALUE"""),1)</f>
        <v>1</v>
      </c>
      <c r="O373" s="157">
        <f ca="1">IFERROR(__xludf.DUMMYFUNCTION("""COMPUTED_VALUE"""),5)</f>
        <v>5</v>
      </c>
      <c r="P373" s="157"/>
      <c r="R373" s="147"/>
      <c r="S373" s="147"/>
      <c r="T373" s="147"/>
      <c r="U373" s="147"/>
      <c r="X373" s="147"/>
      <c r="Y373" s="147"/>
      <c r="Z373" s="147"/>
      <c r="AA373" s="147"/>
      <c r="AB373" s="147"/>
      <c r="AC373" s="147"/>
      <c r="AD373" s="147"/>
      <c r="AE373" s="147"/>
      <c r="AF373" s="147"/>
      <c r="AG373" s="147"/>
      <c r="AH373" s="147"/>
      <c r="AI373" s="147"/>
      <c r="AJ373" s="147"/>
      <c r="AK373" s="147"/>
      <c r="AL373" s="147"/>
      <c r="AM373" s="147"/>
      <c r="AN373" s="147"/>
      <c r="AO373" s="147"/>
      <c r="AP373" s="147"/>
      <c r="AQ373" s="147"/>
    </row>
    <row r="374" spans="1:43">
      <c r="A374" s="160" t="str">
        <f ca="1">IFERROR(__xludf.DUMMYFUNCTION("""COMPUTED_VALUE"""),"193445")</f>
        <v>193445</v>
      </c>
      <c r="B374" s="3" t="str">
        <f ca="1">IFERROR(__xludf.DUMMYFUNCTION("""COMPUTED_VALUE"""),"HUỲNH THỊ BẢO YẾN")</f>
        <v>HUỲNH THỊ BẢO YẾN</v>
      </c>
      <c r="C374" s="160" t="str">
        <f ca="1">IFERROR(__xludf.DUMMYFUNCTION("""COMPUTED_VALUE"""),"EL034")</f>
        <v>EL034</v>
      </c>
      <c r="D374" s="160" t="str">
        <f ca="1">IFERROR(__xludf.DUMMYFUNCTION("""COMPUTED_VALUE"""),"Thuong Tran")</f>
        <v>Thuong Tran</v>
      </c>
      <c r="E374" s="3" t="str">
        <f ca="1">IFERROR(__xludf.DUMMYFUNCTION("""COMPUTED_VALUE"""),"Communication 1")</f>
        <v>Communication 1</v>
      </c>
      <c r="F374" s="3" t="str">
        <f ca="1">IFERROR(__xludf.DUMMYFUNCTION("""COMPUTED_VALUE"""),"Beginner")</f>
        <v>Beginner</v>
      </c>
      <c r="G374" s="3" t="str">
        <f ca="1">IFERROR(__xludf.DUMMYFUNCTION("""COMPUTED_VALUE"""),"Beginner 2")</f>
        <v>Beginner 2</v>
      </c>
      <c r="H374" s="156">
        <f ca="1">IFERROR(__xludf.DUMMYFUNCTION("""COMPUTED_VALUE"""),45764.5833333333)</f>
        <v>45764.583333333299</v>
      </c>
      <c r="I374" s="156">
        <f ca="1">IFERROR(__xludf.DUMMYFUNCTION("""COMPUTED_VALUE"""),45764.5833333333)</f>
        <v>45764.583333333299</v>
      </c>
      <c r="J374" s="3">
        <f ca="1">IFERROR(__xludf.DUMMYFUNCTION("""COMPUTED_VALUE"""),1)</f>
        <v>1</v>
      </c>
      <c r="K374" s="3">
        <f ca="1">IFERROR(__xludf.DUMMYFUNCTION("""COMPUTED_VALUE"""),1.5)</f>
        <v>1.5</v>
      </c>
      <c r="L374" s="3" t="str">
        <f ca="1">IFERROR(__xludf.DUMMYFUNCTION("""COMPUTED_VALUE"""),"QC")</f>
        <v>QC</v>
      </c>
      <c r="M374" s="3" t="str">
        <f ca="1">IFERROR(__xludf.DUMMYFUNCTION("""COMPUTED_VALUE"""),"MOC")</f>
        <v>MOC</v>
      </c>
      <c r="N374" s="157">
        <f ca="1">IFERROR(__xludf.DUMMYFUNCTION("""COMPUTED_VALUE"""),1)</f>
        <v>1</v>
      </c>
      <c r="O374" s="157">
        <f ca="1">IFERROR(__xludf.DUMMYFUNCTION("""COMPUTED_VALUE"""),3)</f>
        <v>3</v>
      </c>
      <c r="P374" s="157"/>
      <c r="R374" s="147"/>
      <c r="S374" s="147"/>
      <c r="T374" s="147"/>
      <c r="U374" s="147"/>
      <c r="X374" s="147"/>
      <c r="Y374" s="147"/>
      <c r="Z374" s="147"/>
      <c r="AA374" s="147"/>
      <c r="AB374" s="147"/>
      <c r="AC374" s="147"/>
      <c r="AD374" s="147"/>
      <c r="AE374" s="147"/>
      <c r="AF374" s="147"/>
      <c r="AG374" s="147"/>
      <c r="AH374" s="147"/>
      <c r="AI374" s="147"/>
      <c r="AJ374" s="147"/>
      <c r="AK374" s="147"/>
      <c r="AL374" s="147"/>
      <c r="AM374" s="147"/>
      <c r="AN374" s="147"/>
      <c r="AO374" s="147"/>
      <c r="AP374" s="147"/>
      <c r="AQ374" s="147"/>
    </row>
    <row r="375" spans="1:43">
      <c r="A375" s="160" t="str">
        <f ca="1">IFERROR(__xludf.DUMMYFUNCTION("""COMPUTED_VALUE"""),"213859")</f>
        <v>213859</v>
      </c>
      <c r="B375" s="3" t="str">
        <f ca="1">IFERROR(__xludf.DUMMYFUNCTION("""COMPUTED_VALUE"""),"LÂM THỊ YẾN NHI")</f>
        <v>LÂM THỊ YẾN NHI</v>
      </c>
      <c r="C375" s="160" t="str">
        <f ca="1">IFERROR(__xludf.DUMMYFUNCTION("""COMPUTED_VALUE"""),"EL034")</f>
        <v>EL034</v>
      </c>
      <c r="D375" s="160" t="str">
        <f ca="1">IFERROR(__xludf.DUMMYFUNCTION("""COMPUTED_VALUE"""),"Thuong Tran")</f>
        <v>Thuong Tran</v>
      </c>
      <c r="E375" s="3" t="str">
        <f ca="1">IFERROR(__xludf.DUMMYFUNCTION("""COMPUTED_VALUE"""),"Communication 1")</f>
        <v>Communication 1</v>
      </c>
      <c r="F375" s="3" t="str">
        <f ca="1">IFERROR(__xludf.DUMMYFUNCTION("""COMPUTED_VALUE"""),"Pre-Intermediate")</f>
        <v>Pre-Intermediate</v>
      </c>
      <c r="G375" s="3" t="str">
        <f ca="1">IFERROR(__xludf.DUMMYFUNCTION("""COMPUTED_VALUE"""),"Pre-Intermediate 2")</f>
        <v>Pre-Intermediate 2</v>
      </c>
      <c r="H375" s="156">
        <f ca="1">IFERROR(__xludf.DUMMYFUNCTION("""COMPUTED_VALUE"""),45764.5833333333)</f>
        <v>45764.583333333299</v>
      </c>
      <c r="I375" s="156">
        <f ca="1">IFERROR(__xludf.DUMMYFUNCTION("""COMPUTED_VALUE"""),45764.5833333333)</f>
        <v>45764.583333333299</v>
      </c>
      <c r="J375" s="3">
        <f ca="1">IFERROR(__xludf.DUMMYFUNCTION("""COMPUTED_VALUE"""),2.5)</f>
        <v>2.5</v>
      </c>
      <c r="K375" s="3">
        <f ca="1">IFERROR(__xludf.DUMMYFUNCTION("""COMPUTED_VALUE"""),3.5)</f>
        <v>3.5</v>
      </c>
      <c r="L375" s="3" t="str">
        <f ca="1">IFERROR(__xludf.DUMMYFUNCTION("""COMPUTED_VALUE"""),"GSD")</f>
        <v>GSD</v>
      </c>
      <c r="M375" s="3" t="str">
        <f ca="1">IFERROR(__xludf.DUMMYFUNCTION("""COMPUTED_VALUE"""),"MOC")</f>
        <v>MOC</v>
      </c>
      <c r="N375" s="157">
        <f ca="1">IFERROR(__xludf.DUMMYFUNCTION("""COMPUTED_VALUE"""),2.5)</f>
        <v>2.5</v>
      </c>
      <c r="O375" s="157">
        <f ca="1">IFERROR(__xludf.DUMMYFUNCTION("""COMPUTED_VALUE"""),5.5)</f>
        <v>5.5</v>
      </c>
      <c r="P375" s="157"/>
      <c r="R375" s="147"/>
      <c r="S375" s="147"/>
      <c r="T375" s="147"/>
      <c r="U375" s="147"/>
      <c r="X375" s="147"/>
      <c r="Y375" s="147"/>
      <c r="Z375" s="147"/>
      <c r="AA375" s="147"/>
      <c r="AB375" s="147"/>
      <c r="AC375" s="147"/>
      <c r="AD375" s="147"/>
      <c r="AE375" s="147"/>
      <c r="AF375" s="147"/>
      <c r="AG375" s="147"/>
      <c r="AH375" s="147"/>
      <c r="AI375" s="147"/>
      <c r="AJ375" s="147"/>
      <c r="AK375" s="147"/>
      <c r="AL375" s="147"/>
      <c r="AM375" s="147"/>
      <c r="AN375" s="147"/>
      <c r="AO375" s="147"/>
      <c r="AP375" s="147"/>
      <c r="AQ375" s="147"/>
    </row>
    <row r="376" spans="1:43">
      <c r="A376" s="160" t="str">
        <f ca="1">IFERROR(__xludf.DUMMYFUNCTION("""COMPUTED_VALUE"""),"193632")</f>
        <v>193632</v>
      </c>
      <c r="B376" s="3" t="str">
        <f ca="1">IFERROR(__xludf.DUMMYFUNCTION("""COMPUTED_VALUE"""),"NGUYỄN THÁI SƠN")</f>
        <v>NGUYỄN THÁI SƠN</v>
      </c>
      <c r="C376" s="160" t="str">
        <f ca="1">IFERROR(__xludf.DUMMYFUNCTION("""COMPUTED_VALUE"""),"EL034")</f>
        <v>EL034</v>
      </c>
      <c r="D376" s="160" t="str">
        <f ca="1">IFERROR(__xludf.DUMMYFUNCTION("""COMPUTED_VALUE"""),"Thuong Tran")</f>
        <v>Thuong Tran</v>
      </c>
      <c r="E376" s="3" t="str">
        <f ca="1">IFERROR(__xludf.DUMMYFUNCTION("""COMPUTED_VALUE"""),"Communication 1")</f>
        <v>Communication 1</v>
      </c>
      <c r="F376" s="3" t="str">
        <f ca="1">IFERROR(__xludf.DUMMYFUNCTION("""COMPUTED_VALUE"""),"Beginner")</f>
        <v>Beginner</v>
      </c>
      <c r="G376" s="3" t="str">
        <f ca="1">IFERROR(__xludf.DUMMYFUNCTION("""COMPUTED_VALUE"""),"Beginner 2")</f>
        <v>Beginner 2</v>
      </c>
      <c r="H376" s="156">
        <f ca="1">IFERROR(__xludf.DUMMYFUNCTION("""COMPUTED_VALUE"""),45764.5833333333)</f>
        <v>45764.583333333299</v>
      </c>
      <c r="I376" s="156">
        <f ca="1">IFERROR(__xludf.DUMMYFUNCTION("""COMPUTED_VALUE"""),45764.5833333333)</f>
        <v>45764.583333333299</v>
      </c>
      <c r="J376" s="3">
        <f ca="1">IFERROR(__xludf.DUMMYFUNCTION("""COMPUTED_VALUE"""),1)</f>
        <v>1</v>
      </c>
      <c r="K376" s="3">
        <f ca="1">IFERROR(__xludf.DUMMYFUNCTION("""COMPUTED_VALUE"""),1.5)</f>
        <v>1.5</v>
      </c>
      <c r="L376" s="3" t="str">
        <f ca="1">IFERROR(__xludf.DUMMYFUNCTION("""COMPUTED_VALUE"""),"GSD")</f>
        <v>GSD</v>
      </c>
      <c r="M376" s="3" t="str">
        <f ca="1">IFERROR(__xludf.DUMMYFUNCTION("""COMPUTED_VALUE"""),"MOC")</f>
        <v>MOC</v>
      </c>
      <c r="N376" s="157">
        <f ca="1">IFERROR(__xludf.DUMMYFUNCTION("""COMPUTED_VALUE"""),1)</f>
        <v>1</v>
      </c>
      <c r="O376" s="157">
        <f ca="1">IFERROR(__xludf.DUMMYFUNCTION("""COMPUTED_VALUE"""),5)</f>
        <v>5</v>
      </c>
      <c r="P376" s="157"/>
      <c r="R376" s="147"/>
      <c r="S376" s="147"/>
      <c r="T376" s="147"/>
      <c r="U376" s="147"/>
      <c r="X376" s="147"/>
      <c r="Y376" s="147"/>
      <c r="Z376" s="147"/>
      <c r="AA376" s="147"/>
      <c r="AB376" s="147"/>
      <c r="AC376" s="147"/>
      <c r="AD376" s="147"/>
      <c r="AE376" s="147"/>
      <c r="AF376" s="147"/>
      <c r="AG376" s="147"/>
      <c r="AH376" s="147"/>
      <c r="AI376" s="147"/>
      <c r="AJ376" s="147"/>
      <c r="AK376" s="147"/>
      <c r="AL376" s="147"/>
      <c r="AM376" s="147"/>
      <c r="AN376" s="147"/>
      <c r="AO376" s="147"/>
      <c r="AP376" s="147"/>
      <c r="AQ376" s="147"/>
    </row>
    <row r="377" spans="1:43">
      <c r="A377" s="160" t="str">
        <f ca="1">IFERROR(__xludf.DUMMYFUNCTION("""COMPUTED_VALUE"""),"213968")</f>
        <v>213968</v>
      </c>
      <c r="B377" s="3" t="str">
        <f ca="1">IFERROR(__xludf.DUMMYFUNCTION("""COMPUTED_VALUE"""),"NGUYỄN THỊ HOÀNG OANH")</f>
        <v>NGUYỄN THỊ HOÀNG OANH</v>
      </c>
      <c r="C377" s="160" t="str">
        <f ca="1">IFERROR(__xludf.DUMMYFUNCTION("""COMPUTED_VALUE"""),"EL034")</f>
        <v>EL034</v>
      </c>
      <c r="D377" s="160" t="str">
        <f ca="1">IFERROR(__xludf.DUMMYFUNCTION("""COMPUTED_VALUE"""),"Thuong Tran")</f>
        <v>Thuong Tran</v>
      </c>
      <c r="E377" s="3" t="str">
        <f ca="1">IFERROR(__xludf.DUMMYFUNCTION("""COMPUTED_VALUE"""),"Communication 1")</f>
        <v>Communication 1</v>
      </c>
      <c r="F377" s="3" t="str">
        <f ca="1">IFERROR(__xludf.DUMMYFUNCTION("""COMPUTED_VALUE"""),"Beginner")</f>
        <v>Beginner</v>
      </c>
      <c r="G377" s="3" t="str">
        <f ca="1">IFERROR(__xludf.DUMMYFUNCTION("""COMPUTED_VALUE"""),"Beginner 2")</f>
        <v>Beginner 2</v>
      </c>
      <c r="H377" s="156">
        <f ca="1">IFERROR(__xludf.DUMMYFUNCTION("""COMPUTED_VALUE"""),45764.5833333333)</f>
        <v>45764.583333333299</v>
      </c>
      <c r="I377" s="156">
        <f ca="1">IFERROR(__xludf.DUMMYFUNCTION("""COMPUTED_VALUE"""),45764.5833333333)</f>
        <v>45764.583333333299</v>
      </c>
      <c r="J377" s="3">
        <f ca="1">IFERROR(__xludf.DUMMYFUNCTION("""COMPUTED_VALUE"""),1)</f>
        <v>1</v>
      </c>
      <c r="K377" s="3">
        <f ca="1">IFERROR(__xludf.DUMMYFUNCTION("""COMPUTED_VALUE"""),1.5)</f>
        <v>1.5</v>
      </c>
      <c r="L377" s="3" t="str">
        <f ca="1">IFERROR(__xludf.DUMMYFUNCTION("""COMPUTED_VALUE"""),"QC")</f>
        <v>QC</v>
      </c>
      <c r="M377" s="3" t="str">
        <f ca="1">IFERROR(__xludf.DUMMYFUNCTION("""COMPUTED_VALUE"""),"MOC")</f>
        <v>MOC</v>
      </c>
      <c r="N377" s="157">
        <f ca="1">IFERROR(__xludf.DUMMYFUNCTION("""COMPUTED_VALUE"""),1)</f>
        <v>1</v>
      </c>
      <c r="O377" s="157">
        <f ca="1">IFERROR(__xludf.DUMMYFUNCTION("""COMPUTED_VALUE"""),1.5)</f>
        <v>1.5</v>
      </c>
      <c r="P377" s="157"/>
      <c r="R377" s="147"/>
      <c r="S377" s="147"/>
      <c r="T377" s="147"/>
      <c r="U377" s="147"/>
      <c r="X377" s="147"/>
      <c r="Y377" s="147"/>
      <c r="Z377" s="147"/>
      <c r="AA377" s="147"/>
      <c r="AB377" s="147"/>
      <c r="AC377" s="147"/>
      <c r="AD377" s="147"/>
      <c r="AE377" s="147"/>
      <c r="AF377" s="147"/>
      <c r="AG377" s="147"/>
      <c r="AH377" s="147"/>
      <c r="AI377" s="147"/>
      <c r="AJ377" s="147"/>
      <c r="AK377" s="147"/>
      <c r="AL377" s="147"/>
      <c r="AM377" s="147"/>
      <c r="AN377" s="147"/>
      <c r="AO377" s="147"/>
      <c r="AP377" s="147"/>
      <c r="AQ377" s="147"/>
    </row>
    <row r="378" spans="1:43">
      <c r="A378" s="160" t="str">
        <f ca="1">IFERROR(__xludf.DUMMYFUNCTION("""COMPUTED_VALUE"""),"247416")</f>
        <v>247416</v>
      </c>
      <c r="B378" s="3" t="str">
        <f ca="1">IFERROR(__xludf.DUMMYFUNCTION("""COMPUTED_VALUE"""),"NGUYỄN THỊ LOAN")</f>
        <v>NGUYỄN THỊ LOAN</v>
      </c>
      <c r="C378" s="160" t="str">
        <f ca="1">IFERROR(__xludf.DUMMYFUNCTION("""COMPUTED_VALUE"""),"EL034")</f>
        <v>EL034</v>
      </c>
      <c r="D378" s="160" t="str">
        <f ca="1">IFERROR(__xludf.DUMMYFUNCTION("""COMPUTED_VALUE"""),"Thuong Tran")</f>
        <v>Thuong Tran</v>
      </c>
      <c r="E378" s="3" t="str">
        <f ca="1">IFERROR(__xludf.DUMMYFUNCTION("""COMPUTED_VALUE"""),"Communication 1")</f>
        <v>Communication 1</v>
      </c>
      <c r="F378" s="3" t="str">
        <f ca="1">IFERROR(__xludf.DUMMYFUNCTION("""COMPUTED_VALUE"""),"Beginner")</f>
        <v>Beginner</v>
      </c>
      <c r="G378" s="3"/>
      <c r="H378" s="156">
        <f ca="1">IFERROR(__xludf.DUMMYFUNCTION("""COMPUTED_VALUE"""),45764.5833333333)</f>
        <v>45764.583333333299</v>
      </c>
      <c r="I378" s="156">
        <f ca="1">IFERROR(__xludf.DUMMYFUNCTION("""COMPUTED_VALUE"""),45764.5833333333)</f>
        <v>45764.583333333299</v>
      </c>
      <c r="J378" s="3">
        <f ca="1">IFERROR(__xludf.DUMMYFUNCTION("""COMPUTED_VALUE"""),1)</f>
        <v>1</v>
      </c>
      <c r="K378" s="3" t="str">
        <f ca="1">IFERROR(__xludf.DUMMYFUNCTION("""COMPUTED_VALUE"""),"")</f>
        <v/>
      </c>
      <c r="L378" s="3" t="str">
        <f ca="1">IFERROR(__xludf.DUMMYFUNCTION("""COMPUTED_VALUE"""),"QC")</f>
        <v>QC</v>
      </c>
      <c r="M378" s="3" t="str">
        <f ca="1">IFERROR(__xludf.DUMMYFUNCTION("""COMPUTED_VALUE"""),"LBU")</f>
        <v>LBU</v>
      </c>
      <c r="N378" s="157">
        <f ca="1">IFERROR(__xludf.DUMMYFUNCTION("""COMPUTED_VALUE"""),1)</f>
        <v>1</v>
      </c>
      <c r="O378" s="157">
        <f ca="1">IFERROR(__xludf.DUMMYFUNCTION("""COMPUTED_VALUE"""),0)</f>
        <v>0</v>
      </c>
      <c r="P378" s="157"/>
      <c r="R378" s="147"/>
      <c r="S378" s="147"/>
      <c r="T378" s="147"/>
      <c r="U378" s="147"/>
      <c r="X378" s="147"/>
      <c r="Y378" s="147"/>
      <c r="Z378" s="147"/>
      <c r="AA378" s="147"/>
      <c r="AB378" s="147"/>
      <c r="AC378" s="147"/>
      <c r="AD378" s="147"/>
      <c r="AE378" s="147"/>
      <c r="AF378" s="147"/>
      <c r="AG378" s="147"/>
      <c r="AH378" s="147"/>
      <c r="AI378" s="147"/>
      <c r="AJ378" s="147"/>
      <c r="AK378" s="147"/>
      <c r="AL378" s="147"/>
      <c r="AM378" s="147"/>
      <c r="AN378" s="147"/>
      <c r="AO378" s="147"/>
      <c r="AP378" s="147"/>
      <c r="AQ378" s="147"/>
    </row>
    <row r="379" spans="1:43">
      <c r="A379" s="160" t="str">
        <f ca="1">IFERROR(__xludf.DUMMYFUNCTION("""COMPUTED_VALUE"""),"247263")</f>
        <v>247263</v>
      </c>
      <c r="B379" s="3" t="str">
        <f ca="1">IFERROR(__xludf.DUMMYFUNCTION("""COMPUTED_VALUE"""),"NGUYỄN TRẦN HOÀI MỸ")</f>
        <v>NGUYỄN TRẦN HOÀI MỸ</v>
      </c>
      <c r="C379" s="160" t="str">
        <f ca="1">IFERROR(__xludf.DUMMYFUNCTION("""COMPUTED_VALUE"""),"EL034")</f>
        <v>EL034</v>
      </c>
      <c r="D379" s="160" t="str">
        <f ca="1">IFERROR(__xludf.DUMMYFUNCTION("""COMPUTED_VALUE"""),"Thuong Tran")</f>
        <v>Thuong Tran</v>
      </c>
      <c r="E379" s="3" t="str">
        <f ca="1">IFERROR(__xludf.DUMMYFUNCTION("""COMPUTED_VALUE"""),"Communication 1")</f>
        <v>Communication 1</v>
      </c>
      <c r="F379" s="3" t="str">
        <f ca="1">IFERROR(__xludf.DUMMYFUNCTION("""COMPUTED_VALUE"""),"Beginner")</f>
        <v>Beginner</v>
      </c>
      <c r="G379" s="3" t="str">
        <f ca="1">IFERROR(__xludf.DUMMYFUNCTION("""COMPUTED_VALUE"""),"Pre-Intermediate 1")</f>
        <v>Pre-Intermediate 1</v>
      </c>
      <c r="H379" s="156">
        <f ca="1">IFERROR(__xludf.DUMMYFUNCTION("""COMPUTED_VALUE"""),45764.5833333333)</f>
        <v>45764.583333333299</v>
      </c>
      <c r="I379" s="156">
        <f ca="1">IFERROR(__xludf.DUMMYFUNCTION("""COMPUTED_VALUE"""),45764.5833333333)</f>
        <v>45764.583333333299</v>
      </c>
      <c r="J379" s="3">
        <f ca="1">IFERROR(__xludf.DUMMYFUNCTION("""COMPUTED_VALUE"""),1)</f>
        <v>1</v>
      </c>
      <c r="K379" s="3">
        <f ca="1">IFERROR(__xludf.DUMMYFUNCTION("""COMPUTED_VALUE"""),3)</f>
        <v>3</v>
      </c>
      <c r="L379" s="3" t="str">
        <f ca="1">IFERROR(__xludf.DUMMYFUNCTION("""COMPUTED_VALUE"""),"GSD")</f>
        <v>GSD</v>
      </c>
      <c r="M379" s="3" t="str">
        <f ca="1">IFERROR(__xludf.DUMMYFUNCTION("""COMPUTED_VALUE"""),"MOC")</f>
        <v>MOC</v>
      </c>
      <c r="N379" s="157">
        <f ca="1">IFERROR(__xludf.DUMMYFUNCTION("""COMPUTED_VALUE"""),1)</f>
        <v>1</v>
      </c>
      <c r="O379" s="157">
        <f ca="1">IFERROR(__xludf.DUMMYFUNCTION("""COMPUTED_VALUE"""),5)</f>
        <v>5</v>
      </c>
      <c r="P379" s="157"/>
      <c r="R379" s="147"/>
      <c r="S379" s="147"/>
      <c r="T379" s="147"/>
      <c r="U379" s="147"/>
      <c r="X379" s="147"/>
      <c r="Y379" s="147"/>
      <c r="Z379" s="147"/>
      <c r="AA379" s="147"/>
      <c r="AB379" s="147"/>
      <c r="AC379" s="147"/>
      <c r="AD379" s="147"/>
      <c r="AE379" s="147"/>
      <c r="AF379" s="147"/>
      <c r="AG379" s="147"/>
      <c r="AH379" s="147"/>
      <c r="AI379" s="147"/>
      <c r="AJ379" s="147"/>
      <c r="AK379" s="147"/>
      <c r="AL379" s="147"/>
      <c r="AM379" s="147"/>
      <c r="AN379" s="147"/>
      <c r="AO379" s="147"/>
      <c r="AP379" s="147"/>
      <c r="AQ379" s="147"/>
    </row>
    <row r="380" spans="1:43">
      <c r="A380" s="160" t="str">
        <f ca="1">IFERROR(__xludf.DUMMYFUNCTION("""COMPUTED_VALUE"""),"247088")</f>
        <v>247088</v>
      </c>
      <c r="B380" s="3" t="str">
        <f ca="1">IFERROR(__xludf.DUMMYFUNCTION("""COMPUTED_VALUE"""),"NGUYỄN VĂN HÙNG")</f>
        <v>NGUYỄN VĂN HÙNG</v>
      </c>
      <c r="C380" s="160" t="str">
        <f ca="1">IFERROR(__xludf.DUMMYFUNCTION("""COMPUTED_VALUE"""),"EL034")</f>
        <v>EL034</v>
      </c>
      <c r="D380" s="160" t="str">
        <f ca="1">IFERROR(__xludf.DUMMYFUNCTION("""COMPUTED_VALUE"""),"Thuong Tran")</f>
        <v>Thuong Tran</v>
      </c>
      <c r="E380" s="3" t="str">
        <f ca="1">IFERROR(__xludf.DUMMYFUNCTION("""COMPUTED_VALUE"""),"Communication 1")</f>
        <v>Communication 1</v>
      </c>
      <c r="F380" s="3" t="str">
        <f ca="1">IFERROR(__xludf.DUMMYFUNCTION("""COMPUTED_VALUE"""),"Beginner")</f>
        <v>Beginner</v>
      </c>
      <c r="G380" s="3" t="str">
        <f ca="1">IFERROR(__xludf.DUMMYFUNCTION("""COMPUTED_VALUE"""),"Pre-Intermediate 1")</f>
        <v>Pre-Intermediate 1</v>
      </c>
      <c r="H380" s="156">
        <f ca="1">IFERROR(__xludf.DUMMYFUNCTION("""COMPUTED_VALUE"""),45764.5833333333)</f>
        <v>45764.583333333299</v>
      </c>
      <c r="I380" s="156">
        <f ca="1">IFERROR(__xludf.DUMMYFUNCTION("""COMPUTED_VALUE"""),45764.5833333333)</f>
        <v>45764.583333333299</v>
      </c>
      <c r="J380" s="3">
        <f ca="1">IFERROR(__xludf.DUMMYFUNCTION("""COMPUTED_VALUE"""),1)</f>
        <v>1</v>
      </c>
      <c r="K380" s="3">
        <f ca="1">IFERROR(__xludf.DUMMYFUNCTION("""COMPUTED_VALUE"""),3)</f>
        <v>3</v>
      </c>
      <c r="L380" s="3" t="str">
        <f ca="1">IFERROR(__xludf.DUMMYFUNCTION("""COMPUTED_VALUE"""),"GSD")</f>
        <v>GSD</v>
      </c>
      <c r="M380" s="3" t="str">
        <f ca="1">IFERROR(__xludf.DUMMYFUNCTION("""COMPUTED_VALUE"""),"MOC")</f>
        <v>MOC</v>
      </c>
      <c r="N380" s="157">
        <f ca="1">IFERROR(__xludf.DUMMYFUNCTION("""COMPUTED_VALUE"""),1)</f>
        <v>1</v>
      </c>
      <c r="O380" s="157">
        <f ca="1">IFERROR(__xludf.DUMMYFUNCTION("""COMPUTED_VALUE"""),5.5)</f>
        <v>5.5</v>
      </c>
      <c r="P380" s="157"/>
      <c r="R380" s="147"/>
      <c r="S380" s="147"/>
      <c r="T380" s="147"/>
      <c r="U380" s="147"/>
      <c r="X380" s="147"/>
      <c r="Y380" s="147"/>
      <c r="Z380" s="147"/>
      <c r="AA380" s="147"/>
      <c r="AB380" s="147"/>
      <c r="AC380" s="147"/>
      <c r="AD380" s="147"/>
      <c r="AE380" s="147"/>
      <c r="AF380" s="147"/>
      <c r="AG380" s="147"/>
      <c r="AH380" s="147"/>
      <c r="AI380" s="147"/>
      <c r="AJ380" s="147"/>
      <c r="AK380" s="147"/>
      <c r="AL380" s="147"/>
      <c r="AM380" s="147"/>
      <c r="AN380" s="147"/>
      <c r="AO380" s="147"/>
      <c r="AP380" s="147"/>
      <c r="AQ380" s="147"/>
    </row>
    <row r="381" spans="1:43">
      <c r="A381" s="160" t="str">
        <f ca="1">IFERROR(__xludf.DUMMYFUNCTION("""COMPUTED_VALUE"""),"247262")</f>
        <v>247262</v>
      </c>
      <c r="B381" s="3" t="str">
        <f ca="1">IFERROR(__xludf.DUMMYFUNCTION("""COMPUTED_VALUE"""),"TÔN THÀNH AN")</f>
        <v>TÔN THÀNH AN</v>
      </c>
      <c r="C381" s="160" t="str">
        <f ca="1">IFERROR(__xludf.DUMMYFUNCTION("""COMPUTED_VALUE"""),"EL034")</f>
        <v>EL034</v>
      </c>
      <c r="D381" s="160" t="str">
        <f ca="1">IFERROR(__xludf.DUMMYFUNCTION("""COMPUTED_VALUE"""),"Thuong Tran")</f>
        <v>Thuong Tran</v>
      </c>
      <c r="E381" s="3" t="str">
        <f ca="1">IFERROR(__xludf.DUMMYFUNCTION("""COMPUTED_VALUE"""),"Communication 1")</f>
        <v>Communication 1</v>
      </c>
      <c r="F381" s="3" t="str">
        <f ca="1">IFERROR(__xludf.DUMMYFUNCTION("""COMPUTED_VALUE"""),"Beginner")</f>
        <v>Beginner</v>
      </c>
      <c r="G381" s="3" t="str">
        <f ca="1">IFERROR(__xludf.DUMMYFUNCTION("""COMPUTED_VALUE"""),"Pre-Intermediate 1")</f>
        <v>Pre-Intermediate 1</v>
      </c>
      <c r="H381" s="156">
        <f ca="1">IFERROR(__xludf.DUMMYFUNCTION("""COMPUTED_VALUE"""),45764.5833333333)</f>
        <v>45764.583333333299</v>
      </c>
      <c r="I381" s="156">
        <f ca="1">IFERROR(__xludf.DUMMYFUNCTION("""COMPUTED_VALUE"""),45764.5833333333)</f>
        <v>45764.583333333299</v>
      </c>
      <c r="J381" s="3">
        <f ca="1">IFERROR(__xludf.DUMMYFUNCTION("""COMPUTED_VALUE"""),1)</f>
        <v>1</v>
      </c>
      <c r="K381" s="3">
        <f ca="1">IFERROR(__xludf.DUMMYFUNCTION("""COMPUTED_VALUE"""),3)</f>
        <v>3</v>
      </c>
      <c r="L381" s="3" t="str">
        <f ca="1">IFERROR(__xludf.DUMMYFUNCTION("""COMPUTED_VALUE"""),"GSD")</f>
        <v>GSD</v>
      </c>
      <c r="M381" s="3" t="str">
        <f ca="1">IFERROR(__xludf.DUMMYFUNCTION("""COMPUTED_VALUE"""),"MOC")</f>
        <v>MOC</v>
      </c>
      <c r="N381" s="157">
        <f ca="1">IFERROR(__xludf.DUMMYFUNCTION("""COMPUTED_VALUE"""),1)</f>
        <v>1</v>
      </c>
      <c r="O381" s="157">
        <f ca="1">IFERROR(__xludf.DUMMYFUNCTION("""COMPUTED_VALUE"""),5)</f>
        <v>5</v>
      </c>
      <c r="P381" s="157"/>
      <c r="R381" s="147"/>
      <c r="S381" s="147"/>
      <c r="T381" s="147"/>
      <c r="U381" s="147"/>
      <c r="X381" s="147"/>
      <c r="Y381" s="147"/>
      <c r="Z381" s="147"/>
      <c r="AA381" s="147"/>
      <c r="AB381" s="147"/>
      <c r="AC381" s="147"/>
      <c r="AD381" s="147"/>
      <c r="AE381" s="147"/>
      <c r="AF381" s="147"/>
      <c r="AG381" s="147"/>
      <c r="AH381" s="147"/>
      <c r="AI381" s="147"/>
      <c r="AJ381" s="147"/>
      <c r="AK381" s="147"/>
      <c r="AL381" s="147"/>
      <c r="AM381" s="147"/>
      <c r="AN381" s="147"/>
      <c r="AO381" s="147"/>
      <c r="AP381" s="147"/>
      <c r="AQ381" s="147"/>
    </row>
    <row r="382" spans="1:43">
      <c r="A382" s="160" t="str">
        <f ca="1">IFERROR(__xludf.DUMMYFUNCTION("""COMPUTED_VALUE"""),"227097")</f>
        <v>227097</v>
      </c>
      <c r="B382" s="3" t="str">
        <f ca="1">IFERROR(__xludf.DUMMYFUNCTION("""COMPUTED_VALUE"""),"TRẦN MINH TRUNG")</f>
        <v>TRẦN MINH TRUNG</v>
      </c>
      <c r="C382" s="160" t="str">
        <f ca="1">IFERROR(__xludf.DUMMYFUNCTION("""COMPUTED_VALUE"""),"EL034")</f>
        <v>EL034</v>
      </c>
      <c r="D382" s="160" t="str">
        <f ca="1">IFERROR(__xludf.DUMMYFUNCTION("""COMPUTED_VALUE"""),"Thuong Tran")</f>
        <v>Thuong Tran</v>
      </c>
      <c r="E382" s="3" t="str">
        <f ca="1">IFERROR(__xludf.DUMMYFUNCTION("""COMPUTED_VALUE"""),"Communication 1")</f>
        <v>Communication 1</v>
      </c>
      <c r="F382" s="3" t="str">
        <f ca="1">IFERROR(__xludf.DUMMYFUNCTION("""COMPUTED_VALUE"""),"Beginner")</f>
        <v>Beginner</v>
      </c>
      <c r="G382" s="3" t="str">
        <f ca="1">IFERROR(__xludf.DUMMYFUNCTION("""COMPUTED_VALUE"""),"Pre-Intermediate 1")</f>
        <v>Pre-Intermediate 1</v>
      </c>
      <c r="H382" s="156">
        <f ca="1">IFERROR(__xludf.DUMMYFUNCTION("""COMPUTED_VALUE"""),45764.5833333333)</f>
        <v>45764.583333333299</v>
      </c>
      <c r="I382" s="156">
        <f ca="1">IFERROR(__xludf.DUMMYFUNCTION("""COMPUTED_VALUE"""),45764.5833333333)</f>
        <v>45764.583333333299</v>
      </c>
      <c r="J382" s="3">
        <f ca="1">IFERROR(__xludf.DUMMYFUNCTION("""COMPUTED_VALUE"""),1)</f>
        <v>1</v>
      </c>
      <c r="K382" s="3">
        <f ca="1">IFERROR(__xludf.DUMMYFUNCTION("""COMPUTED_VALUE"""),3)</f>
        <v>3</v>
      </c>
      <c r="L382" s="3" t="str">
        <f ca="1">IFERROR(__xludf.DUMMYFUNCTION("""COMPUTED_VALUE"""),"GSD")</f>
        <v>GSD</v>
      </c>
      <c r="M382" s="3" t="str">
        <f ca="1">IFERROR(__xludf.DUMMYFUNCTION("""COMPUTED_VALUE"""),"MOC")</f>
        <v>MOC</v>
      </c>
      <c r="N382" s="157">
        <f ca="1">IFERROR(__xludf.DUMMYFUNCTION("""COMPUTED_VALUE"""),1)</f>
        <v>1</v>
      </c>
      <c r="O382" s="157">
        <f ca="1">IFERROR(__xludf.DUMMYFUNCTION("""COMPUTED_VALUE"""),3)</f>
        <v>3</v>
      </c>
      <c r="P382" s="157"/>
      <c r="R382" s="147"/>
      <c r="S382" s="147"/>
      <c r="T382" s="147"/>
      <c r="U382" s="147"/>
      <c r="X382" s="147"/>
      <c r="Y382" s="147"/>
      <c r="Z382" s="147"/>
      <c r="AA382" s="147"/>
      <c r="AB382" s="147"/>
      <c r="AC382" s="147"/>
      <c r="AD382" s="147"/>
      <c r="AE382" s="147"/>
      <c r="AF382" s="147"/>
      <c r="AG382" s="147"/>
      <c r="AH382" s="147"/>
      <c r="AI382" s="147"/>
      <c r="AJ382" s="147"/>
      <c r="AK382" s="147"/>
      <c r="AL382" s="147"/>
      <c r="AM382" s="147"/>
      <c r="AN382" s="147"/>
      <c r="AO382" s="147"/>
      <c r="AP382" s="147"/>
      <c r="AQ382" s="147"/>
    </row>
    <row r="383" spans="1:43">
      <c r="A383" s="160" t="str">
        <f ca="1">IFERROR(__xludf.DUMMYFUNCTION("""COMPUTED_VALUE"""),"237147")</f>
        <v>237147</v>
      </c>
      <c r="B383" s="3" t="str">
        <f ca="1">IFERROR(__xludf.DUMMYFUNCTION("""COMPUTED_VALUE"""),"TRẦN THỊ HOÀI THƯƠNG")</f>
        <v>TRẦN THỊ HOÀI THƯƠNG</v>
      </c>
      <c r="C383" s="160" t="str">
        <f ca="1">IFERROR(__xludf.DUMMYFUNCTION("""COMPUTED_VALUE"""),"EL034")</f>
        <v>EL034</v>
      </c>
      <c r="D383" s="160" t="str">
        <f ca="1">IFERROR(__xludf.DUMMYFUNCTION("""COMPUTED_VALUE"""),"Thuong Tran")</f>
        <v>Thuong Tran</v>
      </c>
      <c r="E383" s="3" t="str">
        <f ca="1">IFERROR(__xludf.DUMMYFUNCTION("""COMPUTED_VALUE"""),"Communication 2")</f>
        <v>Communication 2</v>
      </c>
      <c r="F383" s="3" t="str">
        <f ca="1">IFERROR(__xludf.DUMMYFUNCTION("""COMPUTED_VALUE"""),"Pre-Intermediate 1")</f>
        <v>Pre-Intermediate 1</v>
      </c>
      <c r="G383" s="3" t="str">
        <f ca="1">IFERROR(__xludf.DUMMYFUNCTION("""COMPUTED_VALUE"""),"Intermediate 1")</f>
        <v>Intermediate 1</v>
      </c>
      <c r="H383" s="156">
        <f ca="1">IFERROR(__xludf.DUMMYFUNCTION("""COMPUTED_VALUE"""),45882.5833333333)</f>
        <v>45882.583333333299</v>
      </c>
      <c r="I383" s="156">
        <f ca="1">IFERROR(__xludf.DUMMYFUNCTION("""COMPUTED_VALUE"""),45764.5833333333)</f>
        <v>45764.583333333299</v>
      </c>
      <c r="J383" s="3">
        <f ca="1">IFERROR(__xludf.DUMMYFUNCTION("""COMPUTED_VALUE"""),3)</f>
        <v>3</v>
      </c>
      <c r="K383" s="3">
        <f ca="1">IFERROR(__xludf.DUMMYFUNCTION("""COMPUTED_VALUE"""),5)</f>
        <v>5</v>
      </c>
      <c r="L383" s="3" t="str">
        <f ca="1">IFERROR(__xludf.DUMMYFUNCTION("""COMPUTED_VALUE"""),"GSD")</f>
        <v>GSD</v>
      </c>
      <c r="M383" s="3" t="str">
        <f ca="1">IFERROR(__xludf.DUMMYFUNCTION("""COMPUTED_VALUE"""),"MOC")</f>
        <v>MOC</v>
      </c>
      <c r="N383" s="157">
        <f ca="1">IFERROR(__xludf.DUMMYFUNCTION("""COMPUTED_VALUE"""),1)</f>
        <v>1</v>
      </c>
      <c r="O383" s="157">
        <f ca="1">IFERROR(__xludf.DUMMYFUNCTION("""COMPUTED_VALUE"""),5)</f>
        <v>5</v>
      </c>
      <c r="P383" s="157"/>
      <c r="R383" s="147"/>
      <c r="S383" s="147"/>
      <c r="T383" s="147"/>
      <c r="U383" s="147"/>
      <c r="X383" s="147"/>
      <c r="Y383" s="147"/>
      <c r="Z383" s="147"/>
      <c r="AA383" s="147"/>
      <c r="AB383" s="147"/>
      <c r="AC383" s="147"/>
      <c r="AD383" s="147"/>
      <c r="AE383" s="147"/>
      <c r="AF383" s="147"/>
      <c r="AG383" s="147"/>
      <c r="AH383" s="147"/>
      <c r="AI383" s="147"/>
      <c r="AJ383" s="147"/>
      <c r="AK383" s="147"/>
      <c r="AL383" s="147"/>
      <c r="AM383" s="147"/>
      <c r="AN383" s="147"/>
      <c r="AO383" s="147"/>
      <c r="AP383" s="147"/>
      <c r="AQ383" s="147"/>
    </row>
    <row r="384" spans="1:43">
      <c r="A384" s="160" t="str">
        <f ca="1">IFERROR(__xludf.DUMMYFUNCTION("""COMPUTED_VALUE"""),"213859")</f>
        <v>213859</v>
      </c>
      <c r="B384" s="3" t="str">
        <f ca="1">IFERROR(__xludf.DUMMYFUNCTION("""COMPUTED_VALUE"""),"LÂM THỊ YẾN NHI")</f>
        <v>LÂM THỊ YẾN NHI</v>
      </c>
      <c r="C384" s="160" t="str">
        <f ca="1">IFERROR(__xludf.DUMMYFUNCTION("""COMPUTED_VALUE"""),"EL034")</f>
        <v>EL034</v>
      </c>
      <c r="D384" s="160" t="str">
        <f ca="1">IFERROR(__xludf.DUMMYFUNCTION("""COMPUTED_VALUE"""),"Thuong Tran")</f>
        <v>Thuong Tran</v>
      </c>
      <c r="E384" s="3" t="str">
        <f ca="1">IFERROR(__xludf.DUMMYFUNCTION("""COMPUTED_VALUE"""),"Communication 2")</f>
        <v>Communication 2</v>
      </c>
      <c r="F384" s="3" t="str">
        <f ca="1">IFERROR(__xludf.DUMMYFUNCTION("""COMPUTED_VALUE"""),"Pre-Intermediate 2")</f>
        <v>Pre-Intermediate 2</v>
      </c>
      <c r="G384" s="3" t="str">
        <f ca="1">IFERROR(__xludf.DUMMYFUNCTION("""COMPUTED_VALUE"""),"Intermediate 2")</f>
        <v>Intermediate 2</v>
      </c>
      <c r="H384" s="156">
        <f ca="1">IFERROR(__xludf.DUMMYFUNCTION("""COMPUTED_VALUE"""),45882.5833333333)</f>
        <v>45882.583333333299</v>
      </c>
      <c r="I384" s="156">
        <f ca="1">IFERROR(__xludf.DUMMYFUNCTION("""COMPUTED_VALUE"""),45764.5833333333)</f>
        <v>45764.583333333299</v>
      </c>
      <c r="J384" s="3">
        <f ca="1">IFERROR(__xludf.DUMMYFUNCTION("""COMPUTED_VALUE"""),3.5)</f>
        <v>3.5</v>
      </c>
      <c r="K384" s="3">
        <f ca="1">IFERROR(__xludf.DUMMYFUNCTION("""COMPUTED_VALUE"""),5.5)</f>
        <v>5.5</v>
      </c>
      <c r="L384" s="3" t="str">
        <f ca="1">IFERROR(__xludf.DUMMYFUNCTION("""COMPUTED_VALUE"""),"GSD")</f>
        <v>GSD</v>
      </c>
      <c r="M384" s="3" t="str">
        <f ca="1">IFERROR(__xludf.DUMMYFUNCTION("""COMPUTED_VALUE"""),"MOC")</f>
        <v>MOC</v>
      </c>
      <c r="N384" s="157">
        <f ca="1">IFERROR(__xludf.DUMMYFUNCTION("""COMPUTED_VALUE"""),2.5)</f>
        <v>2.5</v>
      </c>
      <c r="O384" s="157">
        <f ca="1">IFERROR(__xludf.DUMMYFUNCTION("""COMPUTED_VALUE"""),5.5)</f>
        <v>5.5</v>
      </c>
      <c r="P384" s="157"/>
      <c r="R384" s="147"/>
      <c r="S384" s="147"/>
      <c r="T384" s="147"/>
      <c r="U384" s="147"/>
      <c r="X384" s="147"/>
      <c r="Y384" s="147"/>
      <c r="Z384" s="147"/>
      <c r="AA384" s="147"/>
      <c r="AB384" s="147"/>
      <c r="AC384" s="147"/>
      <c r="AD384" s="147"/>
      <c r="AE384" s="147"/>
      <c r="AF384" s="147"/>
      <c r="AG384" s="147"/>
      <c r="AH384" s="147"/>
      <c r="AI384" s="147"/>
      <c r="AJ384" s="147"/>
      <c r="AK384" s="147"/>
      <c r="AL384" s="147"/>
      <c r="AM384" s="147"/>
      <c r="AN384" s="147"/>
      <c r="AO384" s="147"/>
      <c r="AP384" s="147"/>
      <c r="AQ384" s="147"/>
    </row>
    <row r="385" spans="1:43">
      <c r="A385" s="160" t="str">
        <f ca="1">IFERROR(__xludf.DUMMYFUNCTION("""COMPUTED_VALUE"""),"193632")</f>
        <v>193632</v>
      </c>
      <c r="B385" s="3" t="str">
        <f ca="1">IFERROR(__xludf.DUMMYFUNCTION("""COMPUTED_VALUE"""),"NGUYỄN THÁI SƠN")</f>
        <v>NGUYỄN THÁI SƠN</v>
      </c>
      <c r="C385" s="160" t="str">
        <f ca="1">IFERROR(__xludf.DUMMYFUNCTION("""COMPUTED_VALUE"""),"EL034")</f>
        <v>EL034</v>
      </c>
      <c r="D385" s="160" t="str">
        <f ca="1">IFERROR(__xludf.DUMMYFUNCTION("""COMPUTED_VALUE"""),"Thuong Tran")</f>
        <v>Thuong Tran</v>
      </c>
      <c r="E385" s="3" t="str">
        <f ca="1">IFERROR(__xludf.DUMMYFUNCTION("""COMPUTED_VALUE"""),"Communication 2")</f>
        <v>Communication 2</v>
      </c>
      <c r="F385" s="3" t="str">
        <f ca="1">IFERROR(__xludf.DUMMYFUNCTION("""COMPUTED_VALUE"""),"Beginner 2")</f>
        <v>Beginner 2</v>
      </c>
      <c r="G385" s="3" t="str">
        <f ca="1">IFERROR(__xludf.DUMMYFUNCTION("""COMPUTED_VALUE"""),"Intermediate 1")</f>
        <v>Intermediate 1</v>
      </c>
      <c r="H385" s="156">
        <f ca="1">IFERROR(__xludf.DUMMYFUNCTION("""COMPUTED_VALUE"""),45882.5833333333)</f>
        <v>45882.583333333299</v>
      </c>
      <c r="I385" s="156">
        <f ca="1">IFERROR(__xludf.DUMMYFUNCTION("""COMPUTED_VALUE"""),45764.5833333333)</f>
        <v>45764.583333333299</v>
      </c>
      <c r="J385" s="3">
        <f ca="1">IFERROR(__xludf.DUMMYFUNCTION("""COMPUTED_VALUE"""),1.5)</f>
        <v>1.5</v>
      </c>
      <c r="K385" s="3">
        <f ca="1">IFERROR(__xludf.DUMMYFUNCTION("""COMPUTED_VALUE"""),5)</f>
        <v>5</v>
      </c>
      <c r="L385" s="3" t="str">
        <f ca="1">IFERROR(__xludf.DUMMYFUNCTION("""COMPUTED_VALUE"""),"GSD")</f>
        <v>GSD</v>
      </c>
      <c r="M385" s="3" t="str">
        <f ca="1">IFERROR(__xludf.DUMMYFUNCTION("""COMPUTED_VALUE"""),"MOC")</f>
        <v>MOC</v>
      </c>
      <c r="N385" s="157">
        <f ca="1">IFERROR(__xludf.DUMMYFUNCTION("""COMPUTED_VALUE"""),1)</f>
        <v>1</v>
      </c>
      <c r="O385" s="157">
        <f ca="1">IFERROR(__xludf.DUMMYFUNCTION("""COMPUTED_VALUE"""),5)</f>
        <v>5</v>
      </c>
      <c r="P385" s="157"/>
      <c r="R385" s="147"/>
      <c r="S385" s="147"/>
      <c r="T385" s="147"/>
      <c r="U385" s="147"/>
      <c r="X385" s="147"/>
      <c r="Y385" s="147"/>
      <c r="Z385" s="147"/>
      <c r="AA385" s="147"/>
      <c r="AB385" s="147"/>
      <c r="AC385" s="147"/>
      <c r="AD385" s="147"/>
      <c r="AE385" s="147"/>
      <c r="AF385" s="147"/>
      <c r="AG385" s="147"/>
      <c r="AH385" s="147"/>
      <c r="AI385" s="147"/>
      <c r="AJ385" s="147"/>
      <c r="AK385" s="147"/>
      <c r="AL385" s="147"/>
      <c r="AM385" s="147"/>
      <c r="AN385" s="147"/>
      <c r="AO385" s="147"/>
      <c r="AP385" s="147"/>
      <c r="AQ385" s="147"/>
    </row>
    <row r="386" spans="1:43">
      <c r="A386" s="160" t="str">
        <f ca="1">IFERROR(__xludf.DUMMYFUNCTION("""COMPUTED_VALUE"""),"247263")</f>
        <v>247263</v>
      </c>
      <c r="B386" s="3" t="str">
        <f ca="1">IFERROR(__xludf.DUMMYFUNCTION("""COMPUTED_VALUE"""),"NGUYỄN TRẦN HOÀI MỸ")</f>
        <v>NGUYỄN TRẦN HOÀI MỸ</v>
      </c>
      <c r="C386" s="160" t="str">
        <f ca="1">IFERROR(__xludf.DUMMYFUNCTION("""COMPUTED_VALUE"""),"EL034")</f>
        <v>EL034</v>
      </c>
      <c r="D386" s="160" t="str">
        <f ca="1">IFERROR(__xludf.DUMMYFUNCTION("""COMPUTED_VALUE"""),"Thuong Tran")</f>
        <v>Thuong Tran</v>
      </c>
      <c r="E386" s="3" t="str">
        <f ca="1">IFERROR(__xludf.DUMMYFUNCTION("""COMPUTED_VALUE"""),"Communication 2")</f>
        <v>Communication 2</v>
      </c>
      <c r="F386" s="3" t="str">
        <f ca="1">IFERROR(__xludf.DUMMYFUNCTION("""COMPUTED_VALUE"""),"Pre-Intermediate 1")</f>
        <v>Pre-Intermediate 1</v>
      </c>
      <c r="G386" s="3" t="str">
        <f ca="1">IFERROR(__xludf.DUMMYFUNCTION("""COMPUTED_VALUE"""),"Intermediate 1")</f>
        <v>Intermediate 1</v>
      </c>
      <c r="H386" s="156">
        <f ca="1">IFERROR(__xludf.DUMMYFUNCTION("""COMPUTED_VALUE"""),45882.5833333333)</f>
        <v>45882.583333333299</v>
      </c>
      <c r="I386" s="156">
        <f ca="1">IFERROR(__xludf.DUMMYFUNCTION("""COMPUTED_VALUE"""),45764.5833333333)</f>
        <v>45764.583333333299</v>
      </c>
      <c r="J386" s="3">
        <f ca="1">IFERROR(__xludf.DUMMYFUNCTION("""COMPUTED_VALUE"""),3)</f>
        <v>3</v>
      </c>
      <c r="K386" s="3">
        <f ca="1">IFERROR(__xludf.DUMMYFUNCTION("""COMPUTED_VALUE"""),5)</f>
        <v>5</v>
      </c>
      <c r="L386" s="3" t="str">
        <f ca="1">IFERROR(__xludf.DUMMYFUNCTION("""COMPUTED_VALUE"""),"GSD")</f>
        <v>GSD</v>
      </c>
      <c r="M386" s="3" t="str">
        <f ca="1">IFERROR(__xludf.DUMMYFUNCTION("""COMPUTED_VALUE"""),"MOC")</f>
        <v>MOC</v>
      </c>
      <c r="N386" s="157">
        <f ca="1">IFERROR(__xludf.DUMMYFUNCTION("""COMPUTED_VALUE"""),1)</f>
        <v>1</v>
      </c>
      <c r="O386" s="157">
        <f ca="1">IFERROR(__xludf.DUMMYFUNCTION("""COMPUTED_VALUE"""),5)</f>
        <v>5</v>
      </c>
      <c r="P386" s="157"/>
      <c r="R386" s="147"/>
      <c r="S386" s="147"/>
      <c r="T386" s="147"/>
      <c r="U386" s="147"/>
      <c r="X386" s="147"/>
      <c r="Y386" s="147"/>
      <c r="Z386" s="147"/>
      <c r="AA386" s="147"/>
      <c r="AB386" s="147"/>
      <c r="AC386" s="147"/>
      <c r="AD386" s="147"/>
      <c r="AE386" s="147"/>
      <c r="AF386" s="147"/>
      <c r="AG386" s="147"/>
      <c r="AH386" s="147"/>
      <c r="AI386" s="147"/>
      <c r="AJ386" s="147"/>
      <c r="AK386" s="147"/>
      <c r="AL386" s="147"/>
      <c r="AM386" s="147"/>
      <c r="AN386" s="147"/>
      <c r="AO386" s="147"/>
      <c r="AP386" s="147"/>
      <c r="AQ386" s="147"/>
    </row>
    <row r="387" spans="1:43">
      <c r="A387" s="160" t="str">
        <f ca="1">IFERROR(__xludf.DUMMYFUNCTION("""COMPUTED_VALUE"""),"247088")</f>
        <v>247088</v>
      </c>
      <c r="B387" s="3" t="str">
        <f ca="1">IFERROR(__xludf.DUMMYFUNCTION("""COMPUTED_VALUE"""),"NGUYỄN VĂN HÙNG")</f>
        <v>NGUYỄN VĂN HÙNG</v>
      </c>
      <c r="C387" s="160" t="str">
        <f ca="1">IFERROR(__xludf.DUMMYFUNCTION("""COMPUTED_VALUE"""),"EL034")</f>
        <v>EL034</v>
      </c>
      <c r="D387" s="160" t="str">
        <f ca="1">IFERROR(__xludf.DUMMYFUNCTION("""COMPUTED_VALUE"""),"Thuong Tran")</f>
        <v>Thuong Tran</v>
      </c>
      <c r="E387" s="3" t="str">
        <f ca="1">IFERROR(__xludf.DUMMYFUNCTION("""COMPUTED_VALUE"""),"Communication 2")</f>
        <v>Communication 2</v>
      </c>
      <c r="F387" s="3" t="str">
        <f ca="1">IFERROR(__xludf.DUMMYFUNCTION("""COMPUTED_VALUE"""),"Pre-Intermediate 1")</f>
        <v>Pre-Intermediate 1</v>
      </c>
      <c r="G387" s="3" t="str">
        <f ca="1">IFERROR(__xludf.DUMMYFUNCTION("""COMPUTED_VALUE"""),"Intermediate 2")</f>
        <v>Intermediate 2</v>
      </c>
      <c r="H387" s="156">
        <f ca="1">IFERROR(__xludf.DUMMYFUNCTION("""COMPUTED_VALUE"""),45882.5833333333)</f>
        <v>45882.583333333299</v>
      </c>
      <c r="I387" s="156">
        <f ca="1">IFERROR(__xludf.DUMMYFUNCTION("""COMPUTED_VALUE"""),45764.5833333333)</f>
        <v>45764.583333333299</v>
      </c>
      <c r="J387" s="3">
        <f ca="1">IFERROR(__xludf.DUMMYFUNCTION("""COMPUTED_VALUE"""),3)</f>
        <v>3</v>
      </c>
      <c r="K387" s="3">
        <f ca="1">IFERROR(__xludf.DUMMYFUNCTION("""COMPUTED_VALUE"""),5.5)</f>
        <v>5.5</v>
      </c>
      <c r="L387" s="3" t="str">
        <f ca="1">IFERROR(__xludf.DUMMYFUNCTION("""COMPUTED_VALUE"""),"GSD")</f>
        <v>GSD</v>
      </c>
      <c r="M387" s="3" t="str">
        <f ca="1">IFERROR(__xludf.DUMMYFUNCTION("""COMPUTED_VALUE"""),"MOC")</f>
        <v>MOC</v>
      </c>
      <c r="N387" s="157">
        <f ca="1">IFERROR(__xludf.DUMMYFUNCTION("""COMPUTED_VALUE"""),1)</f>
        <v>1</v>
      </c>
      <c r="O387" s="157">
        <f ca="1">IFERROR(__xludf.DUMMYFUNCTION("""COMPUTED_VALUE"""),5.5)</f>
        <v>5.5</v>
      </c>
      <c r="P387" s="157"/>
      <c r="R387" s="147"/>
      <c r="S387" s="147"/>
      <c r="T387" s="147"/>
      <c r="U387" s="147"/>
      <c r="X387" s="147"/>
      <c r="Y387" s="147"/>
      <c r="Z387" s="147"/>
      <c r="AA387" s="147"/>
      <c r="AB387" s="147"/>
      <c r="AC387" s="147"/>
      <c r="AD387" s="147"/>
      <c r="AE387" s="147"/>
      <c r="AF387" s="147"/>
      <c r="AG387" s="147"/>
      <c r="AH387" s="147"/>
      <c r="AI387" s="147"/>
      <c r="AJ387" s="147"/>
      <c r="AK387" s="147"/>
      <c r="AL387" s="147"/>
      <c r="AM387" s="147"/>
      <c r="AN387" s="147"/>
      <c r="AO387" s="147"/>
      <c r="AP387" s="147"/>
      <c r="AQ387" s="147"/>
    </row>
    <row r="388" spans="1:43">
      <c r="A388" s="160" t="str">
        <f ca="1">IFERROR(__xludf.DUMMYFUNCTION("""COMPUTED_VALUE"""),"247262")</f>
        <v>247262</v>
      </c>
      <c r="B388" s="3" t="str">
        <f ca="1">IFERROR(__xludf.DUMMYFUNCTION("""COMPUTED_VALUE"""),"TÔN THÀNH AN")</f>
        <v>TÔN THÀNH AN</v>
      </c>
      <c r="C388" s="160" t="str">
        <f ca="1">IFERROR(__xludf.DUMMYFUNCTION("""COMPUTED_VALUE"""),"EL034")</f>
        <v>EL034</v>
      </c>
      <c r="D388" s="160" t="str">
        <f ca="1">IFERROR(__xludf.DUMMYFUNCTION("""COMPUTED_VALUE"""),"Thuong Tran")</f>
        <v>Thuong Tran</v>
      </c>
      <c r="E388" s="3" t="str">
        <f ca="1">IFERROR(__xludf.DUMMYFUNCTION("""COMPUTED_VALUE"""),"Communication 2")</f>
        <v>Communication 2</v>
      </c>
      <c r="F388" s="3" t="str">
        <f ca="1">IFERROR(__xludf.DUMMYFUNCTION("""COMPUTED_VALUE"""),"Pre-Intermediate 1")</f>
        <v>Pre-Intermediate 1</v>
      </c>
      <c r="G388" s="3" t="str">
        <f ca="1">IFERROR(__xludf.DUMMYFUNCTION("""COMPUTED_VALUE"""),"Intermediate 1")</f>
        <v>Intermediate 1</v>
      </c>
      <c r="H388" s="156">
        <f ca="1">IFERROR(__xludf.DUMMYFUNCTION("""COMPUTED_VALUE"""),45882.5833333333)</f>
        <v>45882.583333333299</v>
      </c>
      <c r="I388" s="156">
        <f ca="1">IFERROR(__xludf.DUMMYFUNCTION("""COMPUTED_VALUE"""),45764.5833333333)</f>
        <v>45764.583333333299</v>
      </c>
      <c r="J388" s="3">
        <f ca="1">IFERROR(__xludf.DUMMYFUNCTION("""COMPUTED_VALUE"""),3)</f>
        <v>3</v>
      </c>
      <c r="K388" s="3">
        <f ca="1">IFERROR(__xludf.DUMMYFUNCTION("""COMPUTED_VALUE"""),5)</f>
        <v>5</v>
      </c>
      <c r="L388" s="3" t="str">
        <f ca="1">IFERROR(__xludf.DUMMYFUNCTION("""COMPUTED_VALUE"""),"GSD")</f>
        <v>GSD</v>
      </c>
      <c r="M388" s="3" t="str">
        <f ca="1">IFERROR(__xludf.DUMMYFUNCTION("""COMPUTED_VALUE"""),"MOC")</f>
        <v>MOC</v>
      </c>
      <c r="N388" s="157">
        <f ca="1">IFERROR(__xludf.DUMMYFUNCTION("""COMPUTED_VALUE"""),1)</f>
        <v>1</v>
      </c>
      <c r="O388" s="157">
        <f ca="1">IFERROR(__xludf.DUMMYFUNCTION("""COMPUTED_VALUE"""),5)</f>
        <v>5</v>
      </c>
      <c r="P388" s="157"/>
      <c r="R388" s="147"/>
      <c r="S388" s="147"/>
      <c r="T388" s="147"/>
      <c r="U388" s="147"/>
      <c r="X388" s="147"/>
      <c r="Y388" s="147"/>
      <c r="Z388" s="147"/>
      <c r="AA388" s="147"/>
      <c r="AB388" s="147"/>
      <c r="AC388" s="147"/>
      <c r="AD388" s="147"/>
      <c r="AE388" s="147"/>
      <c r="AF388" s="147"/>
      <c r="AG388" s="147"/>
      <c r="AH388" s="147"/>
      <c r="AI388" s="147"/>
      <c r="AJ388" s="147"/>
      <c r="AK388" s="147"/>
      <c r="AL388" s="147"/>
      <c r="AM388" s="147"/>
      <c r="AN388" s="147"/>
      <c r="AO388" s="147"/>
      <c r="AP388" s="147"/>
      <c r="AQ388" s="147"/>
    </row>
    <row r="389" spans="1:43">
      <c r="A389" s="160" t="str">
        <f ca="1">IFERROR(__xludf.DUMMYFUNCTION("""COMPUTED_VALUE"""),"227097")</f>
        <v>227097</v>
      </c>
      <c r="B389" s="3" t="str">
        <f ca="1">IFERROR(__xludf.DUMMYFUNCTION("""COMPUTED_VALUE"""),"TRẦN MINH TRUNG")</f>
        <v>TRẦN MINH TRUNG</v>
      </c>
      <c r="C389" s="160" t="str">
        <f ca="1">IFERROR(__xludf.DUMMYFUNCTION("""COMPUTED_VALUE"""),"EL034")</f>
        <v>EL034</v>
      </c>
      <c r="D389" s="160" t="str">
        <f ca="1">IFERROR(__xludf.DUMMYFUNCTION("""COMPUTED_VALUE"""),"Thuong Tran")</f>
        <v>Thuong Tran</v>
      </c>
      <c r="E389" s="3" t="str">
        <f ca="1">IFERROR(__xludf.DUMMYFUNCTION("""COMPUTED_VALUE"""),"Communication 2")</f>
        <v>Communication 2</v>
      </c>
      <c r="F389" s="3" t="str">
        <f ca="1">IFERROR(__xludf.DUMMYFUNCTION("""COMPUTED_VALUE"""),"Intermediate")</f>
        <v>Intermediate</v>
      </c>
      <c r="G389" s="3"/>
      <c r="H389" s="156">
        <f ca="1">IFERROR(__xludf.DUMMYFUNCTION("""COMPUTED_VALUE"""),45882.5833333333)</f>
        <v>45882.583333333299</v>
      </c>
      <c r="I389" s="156">
        <f ca="1">IFERROR(__xludf.DUMMYFUNCTION("""COMPUTED_VALUE"""),45764.5833333333)</f>
        <v>45764.583333333299</v>
      </c>
      <c r="J389" s="3">
        <f ca="1">IFERROR(__xludf.DUMMYFUNCTION("""COMPUTED_VALUE"""),4.5)</f>
        <v>4.5</v>
      </c>
      <c r="K389" s="3" t="str">
        <f ca="1">IFERROR(__xludf.DUMMYFUNCTION("""COMPUTED_VALUE"""),"")</f>
        <v/>
      </c>
      <c r="L389" s="3" t="str">
        <f ca="1">IFERROR(__xludf.DUMMYFUNCTION("""COMPUTED_VALUE"""),"GSD")</f>
        <v>GSD</v>
      </c>
      <c r="M389" s="3" t="str">
        <f ca="1">IFERROR(__xludf.DUMMYFUNCTION("""COMPUTED_VALUE"""),"MOC")</f>
        <v>MOC</v>
      </c>
      <c r="N389" s="157">
        <f ca="1">IFERROR(__xludf.DUMMYFUNCTION("""COMPUTED_VALUE"""),1)</f>
        <v>1</v>
      </c>
      <c r="O389" s="157">
        <f ca="1">IFERROR(__xludf.DUMMYFUNCTION("""COMPUTED_VALUE"""),3)</f>
        <v>3</v>
      </c>
      <c r="P389" s="157"/>
      <c r="R389" s="147"/>
      <c r="S389" s="147"/>
      <c r="T389" s="147"/>
      <c r="U389" s="147"/>
      <c r="X389" s="147"/>
      <c r="Y389" s="147"/>
      <c r="Z389" s="147"/>
      <c r="AA389" s="147"/>
      <c r="AB389" s="147"/>
      <c r="AC389" s="147"/>
      <c r="AD389" s="147"/>
      <c r="AE389" s="147"/>
      <c r="AF389" s="147"/>
      <c r="AG389" s="147"/>
      <c r="AH389" s="147"/>
      <c r="AI389" s="147"/>
      <c r="AJ389" s="147"/>
      <c r="AK389" s="147"/>
      <c r="AL389" s="147"/>
      <c r="AM389" s="147"/>
      <c r="AN389" s="147"/>
      <c r="AO389" s="147"/>
      <c r="AP389" s="147"/>
      <c r="AQ389" s="147"/>
    </row>
    <row r="390" spans="1:43">
      <c r="A390" s="160" t="str">
        <f ca="1">IFERROR(__xludf.DUMMYFUNCTION("""COMPUTED_VALUE"""),"237183")</f>
        <v>237183</v>
      </c>
      <c r="B390" s="3" t="str">
        <f ca="1">IFERROR(__xludf.DUMMYFUNCTION("""COMPUTED_VALUE"""),"NGUYỄN LÊ HOÀNG VĂN")</f>
        <v>NGUYỄN LÊ HOÀNG VĂN</v>
      </c>
      <c r="C390" s="160" t="str">
        <f ca="1">IFERROR(__xludf.DUMMYFUNCTION("""COMPUTED_VALUE"""),"EL035")</f>
        <v>EL035</v>
      </c>
      <c r="D390" s="160" t="str">
        <f ca="1">IFERROR(__xludf.DUMMYFUNCTION("""COMPUTED_VALUE"""),"Van Nguyen")</f>
        <v>Van Nguyen</v>
      </c>
      <c r="E390" s="3" t="str">
        <f ca="1">IFERROR(__xludf.DUMMYFUNCTION("""COMPUTED_VALUE"""),"Business English")</f>
        <v>Business English</v>
      </c>
      <c r="F390" s="3"/>
      <c r="G390" s="3"/>
      <c r="H390" s="156">
        <f ca="1">IFERROR(__xludf.DUMMYFUNCTION("""COMPUTED_VALUE"""),46086.4583333333)</f>
        <v>46086.458333333299</v>
      </c>
      <c r="I390" s="156">
        <f ca="1">IFERROR(__xludf.DUMMYFUNCTION("""COMPUTED_VALUE"""),45764.4583333333)</f>
        <v>45764.458333333299</v>
      </c>
      <c r="J390" s="3" t="str">
        <f ca="1">IFERROR(__xludf.DUMMYFUNCTION("""COMPUTED_VALUE"""),"")</f>
        <v/>
      </c>
      <c r="K390" s="3" t="str">
        <f ca="1">IFERROR(__xludf.DUMMYFUNCTION("""COMPUTED_VALUE"""),"")</f>
        <v/>
      </c>
      <c r="L390" s="3" t="str">
        <f ca="1">IFERROR(__xludf.DUMMYFUNCTION("""COMPUTED_VALUE"""),"BC")</f>
        <v>BC</v>
      </c>
      <c r="M390" s="3" t="str">
        <f ca="1">IFERROR(__xludf.DUMMYFUNCTION("""COMPUTED_VALUE"""),"MOC")</f>
        <v>MOC</v>
      </c>
      <c r="N390" s="157">
        <f ca="1">IFERROR(__xludf.DUMMYFUNCTION("""COMPUTED_VALUE"""),1)</f>
        <v>1</v>
      </c>
      <c r="O390" s="157">
        <f ca="1">IFERROR(__xludf.DUMMYFUNCTION("""COMPUTED_VALUE"""),5)</f>
        <v>5</v>
      </c>
      <c r="P390" s="157"/>
      <c r="R390" s="147"/>
      <c r="S390" s="147"/>
      <c r="T390" s="147"/>
      <c r="U390" s="147"/>
      <c r="X390" s="147"/>
      <c r="Y390" s="147"/>
      <c r="Z390" s="147"/>
      <c r="AA390" s="147"/>
      <c r="AB390" s="147"/>
      <c r="AC390" s="147"/>
      <c r="AD390" s="147"/>
      <c r="AE390" s="147"/>
      <c r="AF390" s="147"/>
      <c r="AG390" s="147"/>
      <c r="AH390" s="147"/>
      <c r="AI390" s="147"/>
      <c r="AJ390" s="147"/>
      <c r="AK390" s="147"/>
      <c r="AL390" s="147"/>
      <c r="AM390" s="147"/>
      <c r="AN390" s="147"/>
      <c r="AO390" s="147"/>
      <c r="AP390" s="147"/>
      <c r="AQ390" s="147"/>
    </row>
    <row r="391" spans="1:43">
      <c r="A391" s="160" t="str">
        <f ca="1">IFERROR(__xludf.DUMMYFUNCTION("""COMPUTED_VALUE"""),"203746")</f>
        <v>203746</v>
      </c>
      <c r="B391" s="3" t="str">
        <f ca="1">IFERROR(__xludf.DUMMYFUNCTION("""COMPUTED_VALUE"""),"BẠCH NAM MINH TRÍ")</f>
        <v>BẠCH NAM MINH TRÍ</v>
      </c>
      <c r="C391" s="160" t="str">
        <f ca="1">IFERROR(__xludf.DUMMYFUNCTION("""COMPUTED_VALUE"""),"EL035")</f>
        <v>EL035</v>
      </c>
      <c r="D391" s="160" t="str">
        <f ca="1">IFERROR(__xludf.DUMMYFUNCTION("""COMPUTED_VALUE"""),"Van Nguyen")</f>
        <v>Van Nguyen</v>
      </c>
      <c r="E391" s="3" t="str">
        <f ca="1">IFERROR(__xludf.DUMMYFUNCTION("""COMPUTED_VALUE"""),"Business English")</f>
        <v>Business English</v>
      </c>
      <c r="F391" s="3"/>
      <c r="G391" s="3"/>
      <c r="H391" s="156">
        <f ca="1">IFERROR(__xludf.DUMMYFUNCTION("""COMPUTED_VALUE"""),46086.4583333333)</f>
        <v>46086.458333333299</v>
      </c>
      <c r="I391" s="156">
        <f ca="1">IFERROR(__xludf.DUMMYFUNCTION("""COMPUTED_VALUE"""),45764.4583333333)</f>
        <v>45764.458333333299</v>
      </c>
      <c r="J391" s="3" t="str">
        <f ca="1">IFERROR(__xludf.DUMMYFUNCTION("""COMPUTED_VALUE"""),"")</f>
        <v/>
      </c>
      <c r="K391" s="3" t="str">
        <f ca="1">IFERROR(__xludf.DUMMYFUNCTION("""COMPUTED_VALUE"""),"")</f>
        <v/>
      </c>
      <c r="L391" s="3" t="str">
        <f ca="1">IFERROR(__xludf.DUMMYFUNCTION("""COMPUTED_VALUE"""),"DEV")</f>
        <v>DEV</v>
      </c>
      <c r="M391" s="3" t="str">
        <f ca="1">IFERROR(__xludf.DUMMYFUNCTION("""COMPUTED_VALUE"""),"MOC")</f>
        <v>MOC</v>
      </c>
      <c r="N391" s="157">
        <f ca="1">IFERROR(__xludf.DUMMYFUNCTION("""COMPUTED_VALUE"""),0)</f>
        <v>0</v>
      </c>
      <c r="O391" s="157">
        <f ca="1">IFERROR(__xludf.DUMMYFUNCTION("""COMPUTED_VALUE"""),5)</f>
        <v>5</v>
      </c>
      <c r="P391" s="157"/>
      <c r="R391" s="147"/>
      <c r="S391" s="147"/>
      <c r="T391" s="147"/>
      <c r="U391" s="147"/>
      <c r="X391" s="147"/>
      <c r="Y391" s="147"/>
      <c r="Z391" s="147"/>
      <c r="AA391" s="147"/>
      <c r="AB391" s="147"/>
      <c r="AC391" s="147"/>
      <c r="AD391" s="147"/>
      <c r="AE391" s="147"/>
      <c r="AF391" s="147"/>
      <c r="AG391" s="147"/>
      <c r="AH391" s="147"/>
      <c r="AI391" s="147"/>
      <c r="AJ391" s="147"/>
      <c r="AK391" s="147"/>
      <c r="AL391" s="147"/>
      <c r="AM391" s="147"/>
      <c r="AN391" s="147"/>
      <c r="AO391" s="147"/>
      <c r="AP391" s="147"/>
      <c r="AQ391" s="147"/>
    </row>
    <row r="392" spans="1:43">
      <c r="A392" s="160" t="str">
        <f ca="1">IFERROR(__xludf.DUMMYFUNCTION("""COMPUTED_VALUE"""),"193588")</f>
        <v>193588</v>
      </c>
      <c r="B392" s="3" t="str">
        <f ca="1">IFERROR(__xludf.DUMMYFUNCTION("""COMPUTED_VALUE"""),"HÀ TRẦN TUẤN ANH")</f>
        <v>HÀ TRẦN TUẤN ANH</v>
      </c>
      <c r="C392" s="160" t="str">
        <f ca="1">IFERROR(__xludf.DUMMYFUNCTION("""COMPUTED_VALUE"""),"EL035")</f>
        <v>EL035</v>
      </c>
      <c r="D392" s="160" t="str">
        <f ca="1">IFERROR(__xludf.DUMMYFUNCTION("""COMPUTED_VALUE"""),"Van Nguyen")</f>
        <v>Van Nguyen</v>
      </c>
      <c r="E392" s="3" t="str">
        <f ca="1">IFERROR(__xludf.DUMMYFUNCTION("""COMPUTED_VALUE"""),"Business English")</f>
        <v>Business English</v>
      </c>
      <c r="F392" s="3"/>
      <c r="G392" s="3"/>
      <c r="H392" s="156">
        <f ca="1">IFERROR(__xludf.DUMMYFUNCTION("""COMPUTED_VALUE"""),46086.4583333333)</f>
        <v>46086.458333333299</v>
      </c>
      <c r="I392" s="156">
        <f ca="1">IFERROR(__xludf.DUMMYFUNCTION("""COMPUTED_VALUE"""),45764.4166666666)</f>
        <v>45764.416666666599</v>
      </c>
      <c r="J392" s="3" t="str">
        <f ca="1">IFERROR(__xludf.DUMMYFUNCTION("""COMPUTED_VALUE"""),"")</f>
        <v/>
      </c>
      <c r="K392" s="3" t="str">
        <f ca="1">IFERROR(__xludf.DUMMYFUNCTION("""COMPUTED_VALUE"""),"")</f>
        <v/>
      </c>
      <c r="L392" s="3" t="str">
        <f ca="1">IFERROR(__xludf.DUMMYFUNCTION("""COMPUTED_VALUE"""),"DEV")</f>
        <v>DEV</v>
      </c>
      <c r="M392" s="3" t="str">
        <f ca="1">IFERROR(__xludf.DUMMYFUNCTION("""COMPUTED_VALUE"""),"MOC")</f>
        <v>MOC</v>
      </c>
      <c r="N392" s="157">
        <f ca="1">IFERROR(__xludf.DUMMYFUNCTION("""COMPUTED_VALUE"""),1)</f>
        <v>1</v>
      </c>
      <c r="O392" s="157">
        <f ca="1">IFERROR(__xludf.DUMMYFUNCTION("""COMPUTED_VALUE"""),5)</f>
        <v>5</v>
      </c>
      <c r="P392" s="157"/>
      <c r="R392" s="147"/>
      <c r="S392" s="147"/>
      <c r="T392" s="147"/>
      <c r="U392" s="147"/>
      <c r="X392" s="147"/>
      <c r="Y392" s="147"/>
      <c r="Z392" s="147"/>
      <c r="AA392" s="147"/>
      <c r="AB392" s="147"/>
      <c r="AC392" s="147"/>
      <c r="AD392" s="147"/>
      <c r="AE392" s="147"/>
      <c r="AF392" s="147"/>
      <c r="AG392" s="147"/>
      <c r="AH392" s="147"/>
      <c r="AI392" s="147"/>
      <c r="AJ392" s="147"/>
      <c r="AK392" s="147"/>
      <c r="AL392" s="147"/>
      <c r="AM392" s="147"/>
      <c r="AN392" s="147"/>
      <c r="AO392" s="147"/>
      <c r="AP392" s="147"/>
      <c r="AQ392" s="147"/>
    </row>
    <row r="393" spans="1:43">
      <c r="A393" s="160" t="str">
        <f ca="1">IFERROR(__xludf.DUMMYFUNCTION("""COMPUTED_VALUE"""),"213889")</f>
        <v>213889</v>
      </c>
      <c r="B393" s="3" t="str">
        <f ca="1">IFERROR(__xludf.DUMMYFUNCTION("""COMPUTED_VALUE"""),"LÊ TRIỆU HUẤN")</f>
        <v>LÊ TRIỆU HUẤN</v>
      </c>
      <c r="C393" s="160" t="str">
        <f ca="1">IFERROR(__xludf.DUMMYFUNCTION("""COMPUTED_VALUE"""),"EL035")</f>
        <v>EL035</v>
      </c>
      <c r="D393" s="160" t="str">
        <f ca="1">IFERROR(__xludf.DUMMYFUNCTION("""COMPUTED_VALUE"""),"Van Nguyen")</f>
        <v>Van Nguyen</v>
      </c>
      <c r="E393" s="3" t="str">
        <f ca="1">IFERROR(__xludf.DUMMYFUNCTION("""COMPUTED_VALUE"""),"Business English")</f>
        <v>Business English</v>
      </c>
      <c r="F393" s="3"/>
      <c r="G393" s="3"/>
      <c r="H393" s="156">
        <f ca="1">IFERROR(__xludf.DUMMYFUNCTION("""COMPUTED_VALUE"""),46086.4583333333)</f>
        <v>46086.458333333299</v>
      </c>
      <c r="I393" s="156">
        <f ca="1">IFERROR(__xludf.DUMMYFUNCTION("""COMPUTED_VALUE"""),45765.5833333333)</f>
        <v>45765.583333333299</v>
      </c>
      <c r="J393" s="3" t="str">
        <f ca="1">IFERROR(__xludf.DUMMYFUNCTION("""COMPUTED_VALUE"""),"")</f>
        <v/>
      </c>
      <c r="K393" s="3" t="str">
        <f ca="1">IFERROR(__xludf.DUMMYFUNCTION("""COMPUTED_VALUE"""),"")</f>
        <v/>
      </c>
      <c r="L393" s="3" t="str">
        <f ca="1">IFERROR(__xludf.DUMMYFUNCTION("""COMPUTED_VALUE"""),"DEV")</f>
        <v>DEV</v>
      </c>
      <c r="M393" s="3" t="str">
        <f ca="1">IFERROR(__xludf.DUMMYFUNCTION("""COMPUTED_VALUE"""),"MOC")</f>
        <v>MOC</v>
      </c>
      <c r="N393" s="157">
        <f ca="1">IFERROR(__xludf.DUMMYFUNCTION("""COMPUTED_VALUE"""),1)</f>
        <v>1</v>
      </c>
      <c r="O393" s="157">
        <f ca="1">IFERROR(__xludf.DUMMYFUNCTION("""COMPUTED_VALUE"""),5)</f>
        <v>5</v>
      </c>
      <c r="P393" s="157"/>
      <c r="R393" s="147"/>
      <c r="S393" s="147"/>
      <c r="T393" s="147"/>
      <c r="U393" s="147"/>
      <c r="X393" s="147"/>
      <c r="Y393" s="147"/>
      <c r="Z393" s="147"/>
      <c r="AA393" s="147"/>
      <c r="AB393" s="147"/>
      <c r="AC393" s="147"/>
      <c r="AD393" s="147"/>
      <c r="AE393" s="147"/>
      <c r="AF393" s="147"/>
      <c r="AG393" s="147"/>
      <c r="AH393" s="147"/>
      <c r="AI393" s="147"/>
      <c r="AJ393" s="147"/>
      <c r="AK393" s="147"/>
      <c r="AL393" s="147"/>
      <c r="AM393" s="147"/>
      <c r="AN393" s="147"/>
      <c r="AO393" s="147"/>
      <c r="AP393" s="147"/>
      <c r="AQ393" s="147"/>
    </row>
    <row r="394" spans="1:43">
      <c r="A394" s="160" t="str">
        <f ca="1">IFERROR(__xludf.DUMMYFUNCTION("""COMPUTED_VALUE"""),"163188")</f>
        <v>163188</v>
      </c>
      <c r="B394" s="3" t="str">
        <f ca="1">IFERROR(__xludf.DUMMYFUNCTION("""COMPUTED_VALUE"""),"LƯƠNG CÔNG KỲ")</f>
        <v>LƯƠNG CÔNG KỲ</v>
      </c>
      <c r="C394" s="160" t="str">
        <f ca="1">IFERROR(__xludf.DUMMYFUNCTION("""COMPUTED_VALUE"""),"EL035")</f>
        <v>EL035</v>
      </c>
      <c r="D394" s="160" t="str">
        <f ca="1">IFERROR(__xludf.DUMMYFUNCTION("""COMPUTED_VALUE"""),"Van Nguyen")</f>
        <v>Van Nguyen</v>
      </c>
      <c r="E394" s="3" t="str">
        <f ca="1">IFERROR(__xludf.DUMMYFUNCTION("""COMPUTED_VALUE"""),"Business English")</f>
        <v>Business English</v>
      </c>
      <c r="F394" s="3"/>
      <c r="G394" s="3"/>
      <c r="H394" s="156">
        <f ca="1">IFERROR(__xludf.DUMMYFUNCTION("""COMPUTED_VALUE"""),46086.4583333333)</f>
        <v>46086.458333333299</v>
      </c>
      <c r="I394" s="156">
        <f ca="1">IFERROR(__xludf.DUMMYFUNCTION("""COMPUTED_VALUE"""),45765.375)</f>
        <v>45765.375</v>
      </c>
      <c r="J394" s="3" t="str">
        <f ca="1">IFERROR(__xludf.DUMMYFUNCTION("""COMPUTED_VALUE"""),"")</f>
        <v/>
      </c>
      <c r="K394" s="3" t="str">
        <f ca="1">IFERROR(__xludf.DUMMYFUNCTION("""COMPUTED_VALUE"""),"")</f>
        <v/>
      </c>
      <c r="L394" s="3" t="str">
        <f ca="1">IFERROR(__xludf.DUMMYFUNCTION("""COMPUTED_VALUE"""),"DEV")</f>
        <v>DEV</v>
      </c>
      <c r="M394" s="3" t="str">
        <f ca="1">IFERROR(__xludf.DUMMYFUNCTION("""COMPUTED_VALUE"""),"MOC")</f>
        <v>MOC</v>
      </c>
      <c r="N394" s="157">
        <f ca="1">IFERROR(__xludf.DUMMYFUNCTION("""COMPUTED_VALUE"""),1)</f>
        <v>1</v>
      </c>
      <c r="O394" s="157">
        <f ca="1">IFERROR(__xludf.DUMMYFUNCTION("""COMPUTED_VALUE"""),5)</f>
        <v>5</v>
      </c>
      <c r="P394" s="157"/>
      <c r="R394" s="147"/>
      <c r="S394" s="147"/>
      <c r="T394" s="147"/>
      <c r="U394" s="147"/>
      <c r="X394" s="147"/>
      <c r="Y394" s="147"/>
      <c r="Z394" s="147"/>
      <c r="AA394" s="147"/>
      <c r="AB394" s="147"/>
      <c r="AC394" s="147"/>
      <c r="AD394" s="147"/>
      <c r="AE394" s="147"/>
      <c r="AF394" s="147"/>
      <c r="AG394" s="147"/>
      <c r="AH394" s="147"/>
      <c r="AI394" s="147"/>
      <c r="AJ394" s="147"/>
      <c r="AK394" s="147"/>
      <c r="AL394" s="147"/>
      <c r="AM394" s="147"/>
      <c r="AN394" s="147"/>
      <c r="AO394" s="147"/>
      <c r="AP394" s="147"/>
      <c r="AQ394" s="147"/>
    </row>
    <row r="395" spans="1:43">
      <c r="A395" s="160" t="str">
        <f ca="1">IFERROR(__xludf.DUMMYFUNCTION("""COMPUTED_VALUE"""),"247119")</f>
        <v>247119</v>
      </c>
      <c r="B395" s="3" t="str">
        <f ca="1">IFERROR(__xludf.DUMMYFUNCTION("""COMPUTED_VALUE"""),"PHẠM HUY HOÀNG")</f>
        <v>PHẠM HUY HOÀNG</v>
      </c>
      <c r="C395" s="160" t="str">
        <f ca="1">IFERROR(__xludf.DUMMYFUNCTION("""COMPUTED_VALUE"""),"EL035")</f>
        <v>EL035</v>
      </c>
      <c r="D395" s="160" t="str">
        <f ca="1">IFERROR(__xludf.DUMMYFUNCTION("""COMPUTED_VALUE"""),"Van Nguyen")</f>
        <v>Van Nguyen</v>
      </c>
      <c r="E395" s="3" t="str">
        <f ca="1">IFERROR(__xludf.DUMMYFUNCTION("""COMPUTED_VALUE"""),"Business English")</f>
        <v>Business English</v>
      </c>
      <c r="F395" s="3"/>
      <c r="G395" s="3"/>
      <c r="H395" s="156">
        <f ca="1">IFERROR(__xludf.DUMMYFUNCTION("""COMPUTED_VALUE"""),46086.4583333333)</f>
        <v>46086.458333333299</v>
      </c>
      <c r="I395" s="156">
        <f ca="1">IFERROR(__xludf.DUMMYFUNCTION("""COMPUTED_VALUE"""),45765.4166666666)</f>
        <v>45765.416666666599</v>
      </c>
      <c r="J395" s="3" t="str">
        <f ca="1">IFERROR(__xludf.DUMMYFUNCTION("""COMPUTED_VALUE"""),"")</f>
        <v/>
      </c>
      <c r="K395" s="3" t="str">
        <f ca="1">IFERROR(__xludf.DUMMYFUNCTION("""COMPUTED_VALUE"""),"")</f>
        <v/>
      </c>
      <c r="L395" s="3" t="str">
        <f ca="1">IFERROR(__xludf.DUMMYFUNCTION("""COMPUTED_VALUE"""),"DEV")</f>
        <v>DEV</v>
      </c>
      <c r="M395" s="3" t="str">
        <f ca="1">IFERROR(__xludf.DUMMYFUNCTION("""COMPUTED_VALUE"""),"MOC")</f>
        <v>MOC</v>
      </c>
      <c r="N395" s="157">
        <f ca="1">IFERROR(__xludf.DUMMYFUNCTION("""COMPUTED_VALUE"""),1)</f>
        <v>1</v>
      </c>
      <c r="O395" s="157">
        <f ca="1">IFERROR(__xludf.DUMMYFUNCTION("""COMPUTED_VALUE"""),5)</f>
        <v>5</v>
      </c>
      <c r="P395" s="157"/>
      <c r="R395" s="147"/>
      <c r="S395" s="147"/>
      <c r="T395" s="147"/>
      <c r="U395" s="147"/>
      <c r="X395" s="147"/>
      <c r="Y395" s="147"/>
      <c r="Z395" s="147"/>
      <c r="AA395" s="147"/>
      <c r="AB395" s="147"/>
      <c r="AC395" s="147"/>
      <c r="AD395" s="147"/>
      <c r="AE395" s="147"/>
      <c r="AF395" s="147"/>
      <c r="AG395" s="147"/>
      <c r="AH395" s="147"/>
      <c r="AI395" s="147"/>
      <c r="AJ395" s="147"/>
      <c r="AK395" s="147"/>
      <c r="AL395" s="147"/>
      <c r="AM395" s="147"/>
      <c r="AN395" s="147"/>
      <c r="AO395" s="147"/>
      <c r="AP395" s="147"/>
      <c r="AQ395" s="147"/>
    </row>
    <row r="396" spans="1:43">
      <c r="A396" s="160" t="str">
        <f ca="1">IFERROR(__xludf.DUMMYFUNCTION("""COMPUTED_VALUE"""),"203764")</f>
        <v>203764</v>
      </c>
      <c r="B396" s="3" t="str">
        <f ca="1">IFERROR(__xludf.DUMMYFUNCTION("""COMPUTED_VALUE"""),"TRẦN MINH TRIẾT")</f>
        <v>TRẦN MINH TRIẾT</v>
      </c>
      <c r="C396" s="160" t="str">
        <f ca="1">IFERROR(__xludf.DUMMYFUNCTION("""COMPUTED_VALUE"""),"EL035")</f>
        <v>EL035</v>
      </c>
      <c r="D396" s="160" t="str">
        <f ca="1">IFERROR(__xludf.DUMMYFUNCTION("""COMPUTED_VALUE"""),"Van Nguyen")</f>
        <v>Van Nguyen</v>
      </c>
      <c r="E396" s="3" t="str">
        <f ca="1">IFERROR(__xludf.DUMMYFUNCTION("""COMPUTED_VALUE"""),"Business English")</f>
        <v>Business English</v>
      </c>
      <c r="F396" s="3"/>
      <c r="G396" s="3"/>
      <c r="H396" s="156">
        <f ca="1">IFERROR(__xludf.DUMMYFUNCTION("""COMPUTED_VALUE"""),46086.4583333333)</f>
        <v>46086.458333333299</v>
      </c>
      <c r="I396" s="156">
        <f ca="1">IFERROR(__xludf.DUMMYFUNCTION("""COMPUTED_VALUE"""),45765.4166666666)</f>
        <v>45765.416666666599</v>
      </c>
      <c r="J396" s="3" t="str">
        <f ca="1">IFERROR(__xludf.DUMMYFUNCTION("""COMPUTED_VALUE"""),"")</f>
        <v/>
      </c>
      <c r="K396" s="3" t="str">
        <f ca="1">IFERROR(__xludf.DUMMYFUNCTION("""COMPUTED_VALUE"""),"")</f>
        <v/>
      </c>
      <c r="L396" s="3" t="str">
        <f ca="1">IFERROR(__xludf.DUMMYFUNCTION("""COMPUTED_VALUE"""),"DEV")</f>
        <v>DEV</v>
      </c>
      <c r="M396" s="3" t="str">
        <f ca="1">IFERROR(__xludf.DUMMYFUNCTION("""COMPUTED_VALUE"""),"MOC")</f>
        <v>MOC</v>
      </c>
      <c r="N396" s="157">
        <f ca="1">IFERROR(__xludf.DUMMYFUNCTION("""COMPUTED_VALUE"""),1)</f>
        <v>1</v>
      </c>
      <c r="O396" s="157">
        <f ca="1">IFERROR(__xludf.DUMMYFUNCTION("""COMPUTED_VALUE"""),5)</f>
        <v>5</v>
      </c>
      <c r="P396" s="157"/>
      <c r="R396" s="147"/>
      <c r="S396" s="147"/>
      <c r="T396" s="147"/>
      <c r="U396" s="147"/>
      <c r="X396" s="147"/>
      <c r="Y396" s="147"/>
      <c r="Z396" s="147"/>
      <c r="AA396" s="147"/>
      <c r="AB396" s="147"/>
      <c r="AC396" s="147"/>
      <c r="AD396" s="147"/>
      <c r="AE396" s="147"/>
      <c r="AF396" s="147"/>
      <c r="AG396" s="147"/>
      <c r="AH396" s="147"/>
      <c r="AI396" s="147"/>
      <c r="AJ396" s="147"/>
      <c r="AK396" s="147"/>
      <c r="AL396" s="147"/>
      <c r="AM396" s="147"/>
      <c r="AN396" s="147"/>
      <c r="AO396" s="147"/>
      <c r="AP396" s="147"/>
      <c r="AQ396" s="147"/>
    </row>
    <row r="397" spans="1:43">
      <c r="A397" s="160" t="str">
        <f ca="1">IFERROR(__xludf.DUMMYFUNCTION("""COMPUTED_VALUE"""),"237183")</f>
        <v>237183</v>
      </c>
      <c r="B397" s="3" t="str">
        <f ca="1">IFERROR(__xludf.DUMMYFUNCTION("""COMPUTED_VALUE"""),"NGUYỄN LÊ HOÀNG VĂN")</f>
        <v>NGUYỄN LÊ HOÀNG VĂN</v>
      </c>
      <c r="C397" s="160" t="str">
        <f ca="1">IFERROR(__xludf.DUMMYFUNCTION("""COMPUTED_VALUE"""),"EL035")</f>
        <v>EL035</v>
      </c>
      <c r="D397" s="160" t="str">
        <f ca="1">IFERROR(__xludf.DUMMYFUNCTION("""COMPUTED_VALUE"""),"Van Nguyen")</f>
        <v>Van Nguyen</v>
      </c>
      <c r="E397" s="3" t="str">
        <f ca="1">IFERROR(__xludf.DUMMYFUNCTION("""COMPUTED_VALUE"""),"Communication 1")</f>
        <v>Communication 1</v>
      </c>
      <c r="F397" s="3" t="str">
        <f ca="1">IFERROR(__xludf.DUMMYFUNCTION("""COMPUTED_VALUE"""),"Beginner")</f>
        <v>Beginner</v>
      </c>
      <c r="G397" s="3" t="str">
        <f ca="1">IFERROR(__xludf.DUMMYFUNCTION("""COMPUTED_VALUE"""),"Pre-Intermediate 2")</f>
        <v>Pre-Intermediate 2</v>
      </c>
      <c r="H397" s="156">
        <f ca="1">IFERROR(__xludf.DUMMYFUNCTION("""COMPUTED_VALUE"""),45764.4583333333)</f>
        <v>45764.458333333299</v>
      </c>
      <c r="I397" s="156">
        <f ca="1">IFERROR(__xludf.DUMMYFUNCTION("""COMPUTED_VALUE"""),45764.4583333333)</f>
        <v>45764.458333333299</v>
      </c>
      <c r="J397" s="3">
        <f ca="1">IFERROR(__xludf.DUMMYFUNCTION("""COMPUTED_VALUE"""),1)</f>
        <v>1</v>
      </c>
      <c r="K397" s="3">
        <f ca="1">IFERROR(__xludf.DUMMYFUNCTION("""COMPUTED_VALUE"""),3.5)</f>
        <v>3.5</v>
      </c>
      <c r="L397" s="3" t="str">
        <f ca="1">IFERROR(__xludf.DUMMYFUNCTION("""COMPUTED_VALUE"""),"BC")</f>
        <v>BC</v>
      </c>
      <c r="M397" s="3" t="str">
        <f ca="1">IFERROR(__xludf.DUMMYFUNCTION("""COMPUTED_VALUE"""),"MOC")</f>
        <v>MOC</v>
      </c>
      <c r="N397" s="157">
        <f ca="1">IFERROR(__xludf.DUMMYFUNCTION("""COMPUTED_VALUE"""),1)</f>
        <v>1</v>
      </c>
      <c r="O397" s="157">
        <f ca="1">IFERROR(__xludf.DUMMYFUNCTION("""COMPUTED_VALUE"""),5)</f>
        <v>5</v>
      </c>
      <c r="P397" s="157"/>
      <c r="R397" s="147"/>
      <c r="S397" s="147"/>
      <c r="T397" s="147"/>
      <c r="U397" s="147"/>
      <c r="X397" s="147"/>
      <c r="Y397" s="147"/>
      <c r="Z397" s="147"/>
      <c r="AA397" s="147"/>
      <c r="AB397" s="147"/>
      <c r="AC397" s="147"/>
      <c r="AD397" s="147"/>
      <c r="AE397" s="147"/>
      <c r="AF397" s="147"/>
      <c r="AG397" s="147"/>
      <c r="AH397" s="147"/>
      <c r="AI397" s="147"/>
      <c r="AJ397" s="147"/>
      <c r="AK397" s="147"/>
      <c r="AL397" s="147"/>
      <c r="AM397" s="147"/>
      <c r="AN397" s="147"/>
      <c r="AO397" s="147"/>
      <c r="AP397" s="147"/>
      <c r="AQ397" s="147"/>
    </row>
    <row r="398" spans="1:43">
      <c r="A398" s="160" t="str">
        <f ca="1">IFERROR(__xludf.DUMMYFUNCTION("""COMPUTED_VALUE"""),"203746")</f>
        <v>203746</v>
      </c>
      <c r="B398" s="3" t="str">
        <f ca="1">IFERROR(__xludf.DUMMYFUNCTION("""COMPUTED_VALUE"""),"BẠCH NAM MINH TRÍ")</f>
        <v>BẠCH NAM MINH TRÍ</v>
      </c>
      <c r="C398" s="160" t="str">
        <f ca="1">IFERROR(__xludf.DUMMYFUNCTION("""COMPUTED_VALUE"""),"EL035")</f>
        <v>EL035</v>
      </c>
      <c r="D398" s="160" t="str">
        <f ca="1">IFERROR(__xludf.DUMMYFUNCTION("""COMPUTED_VALUE"""),"Van Nguyen")</f>
        <v>Van Nguyen</v>
      </c>
      <c r="E398" s="3" t="str">
        <f ca="1">IFERROR(__xludf.DUMMYFUNCTION("""COMPUTED_VALUE"""),"Communication 1")</f>
        <v>Communication 1</v>
      </c>
      <c r="F398" s="3" t="str">
        <f ca="1">IFERROR(__xludf.DUMMYFUNCTION("""COMPUTED_VALUE"""),"Not Placement")</f>
        <v>Not Placement</v>
      </c>
      <c r="G398" s="3" t="str">
        <f ca="1">IFERROR(__xludf.DUMMYFUNCTION("""COMPUTED_VALUE"""),"Pre-Intermediate 2")</f>
        <v>Pre-Intermediate 2</v>
      </c>
      <c r="H398" s="156">
        <f ca="1">IFERROR(__xludf.DUMMYFUNCTION("""COMPUTED_VALUE"""),45764.4583333333)</f>
        <v>45764.458333333299</v>
      </c>
      <c r="I398" s="156">
        <f ca="1">IFERROR(__xludf.DUMMYFUNCTION("""COMPUTED_VALUE"""),45764.4583333333)</f>
        <v>45764.458333333299</v>
      </c>
      <c r="J398" s="3">
        <f ca="1">IFERROR(__xludf.DUMMYFUNCTION("""COMPUTED_VALUE"""),0)</f>
        <v>0</v>
      </c>
      <c r="K398" s="3">
        <f ca="1">IFERROR(__xludf.DUMMYFUNCTION("""COMPUTED_VALUE"""),3.5)</f>
        <v>3.5</v>
      </c>
      <c r="L398" s="3" t="str">
        <f ca="1">IFERROR(__xludf.DUMMYFUNCTION("""COMPUTED_VALUE"""),"DEV")</f>
        <v>DEV</v>
      </c>
      <c r="M398" s="3" t="str">
        <f ca="1">IFERROR(__xludf.DUMMYFUNCTION("""COMPUTED_VALUE"""),"MOC")</f>
        <v>MOC</v>
      </c>
      <c r="N398" s="157">
        <f ca="1">IFERROR(__xludf.DUMMYFUNCTION("""COMPUTED_VALUE"""),0)</f>
        <v>0</v>
      </c>
      <c r="O398" s="157">
        <f ca="1">IFERROR(__xludf.DUMMYFUNCTION("""COMPUTED_VALUE"""),5)</f>
        <v>5</v>
      </c>
      <c r="P398" s="157"/>
      <c r="R398" s="147"/>
      <c r="S398" s="147"/>
      <c r="T398" s="147"/>
      <c r="U398" s="147"/>
      <c r="X398" s="147"/>
      <c r="Y398" s="147"/>
      <c r="Z398" s="147"/>
      <c r="AA398" s="147"/>
      <c r="AB398" s="147"/>
      <c r="AC398" s="147"/>
      <c r="AD398" s="147"/>
      <c r="AE398" s="147"/>
      <c r="AF398" s="147"/>
      <c r="AG398" s="147"/>
      <c r="AH398" s="147"/>
      <c r="AI398" s="147"/>
      <c r="AJ398" s="147"/>
      <c r="AK398" s="147"/>
      <c r="AL398" s="147"/>
      <c r="AM398" s="147"/>
      <c r="AN398" s="147"/>
      <c r="AO398" s="147"/>
      <c r="AP398" s="147"/>
      <c r="AQ398" s="147"/>
    </row>
    <row r="399" spans="1:43">
      <c r="A399" s="160" t="str">
        <f ca="1">IFERROR(__xludf.DUMMYFUNCTION("""COMPUTED_VALUE"""),"213863")</f>
        <v>213863</v>
      </c>
      <c r="B399" s="3" t="str">
        <f ca="1">IFERROR(__xludf.DUMMYFUNCTION("""COMPUTED_VALUE"""),"ĐINH TIẾN ĐẠT")</f>
        <v>ĐINH TIẾN ĐẠT</v>
      </c>
      <c r="C399" s="160" t="str">
        <f ca="1">IFERROR(__xludf.DUMMYFUNCTION("""COMPUTED_VALUE"""),"EL035")</f>
        <v>EL035</v>
      </c>
      <c r="D399" s="160" t="str">
        <f ca="1">IFERROR(__xludf.DUMMYFUNCTION("""COMPUTED_VALUE"""),"Van Nguyen")</f>
        <v>Van Nguyen</v>
      </c>
      <c r="E399" s="3" t="str">
        <f ca="1">IFERROR(__xludf.DUMMYFUNCTION("""COMPUTED_VALUE"""),"Communication 1")</f>
        <v>Communication 1</v>
      </c>
      <c r="F399" s="3" t="str">
        <f ca="1">IFERROR(__xludf.DUMMYFUNCTION("""COMPUTED_VALUE"""),"Beginner")</f>
        <v>Beginner</v>
      </c>
      <c r="G399" s="3" t="str">
        <f ca="1">IFERROR(__xludf.DUMMYFUNCTION("""COMPUTED_VALUE"""),"Pre-Intermediate 1")</f>
        <v>Pre-Intermediate 1</v>
      </c>
      <c r="H399" s="156">
        <f ca="1">IFERROR(__xludf.DUMMYFUNCTION("""COMPUTED_VALUE"""),45764.4583333333)</f>
        <v>45764.458333333299</v>
      </c>
      <c r="I399" s="156">
        <f ca="1">IFERROR(__xludf.DUMMYFUNCTION("""COMPUTED_VALUE"""),45764.4583333333)</f>
        <v>45764.458333333299</v>
      </c>
      <c r="J399" s="3">
        <f ca="1">IFERROR(__xludf.DUMMYFUNCTION("""COMPUTED_VALUE"""),1)</f>
        <v>1</v>
      </c>
      <c r="K399" s="3">
        <f ca="1">IFERROR(__xludf.DUMMYFUNCTION("""COMPUTED_VALUE"""),3)</f>
        <v>3</v>
      </c>
      <c r="L399" s="3" t="str">
        <f ca="1">IFERROR(__xludf.DUMMYFUNCTION("""COMPUTED_VALUE"""),"DEV")</f>
        <v>DEV</v>
      </c>
      <c r="M399" s="3" t="str">
        <f ca="1">IFERROR(__xludf.DUMMYFUNCTION("""COMPUTED_VALUE"""),"MOC")</f>
        <v>MOC</v>
      </c>
      <c r="N399" s="157">
        <f ca="1">IFERROR(__xludf.DUMMYFUNCTION("""COMPUTED_VALUE"""),1)</f>
        <v>1</v>
      </c>
      <c r="O399" s="157">
        <f ca="1">IFERROR(__xludf.DUMMYFUNCTION("""COMPUTED_VALUE"""),3)</f>
        <v>3</v>
      </c>
      <c r="P399" s="157"/>
      <c r="R399" s="147"/>
      <c r="S399" s="147"/>
      <c r="T399" s="147"/>
      <c r="U399" s="147"/>
      <c r="X399" s="147"/>
      <c r="Y399" s="147"/>
      <c r="Z399" s="147"/>
      <c r="AA399" s="147"/>
      <c r="AB399" s="147"/>
      <c r="AC399" s="147"/>
      <c r="AD399" s="147"/>
      <c r="AE399" s="147"/>
      <c r="AF399" s="147"/>
      <c r="AG399" s="147"/>
      <c r="AH399" s="147"/>
      <c r="AI399" s="147"/>
      <c r="AJ399" s="147"/>
      <c r="AK399" s="147"/>
      <c r="AL399" s="147"/>
      <c r="AM399" s="147"/>
      <c r="AN399" s="147"/>
      <c r="AO399" s="147"/>
      <c r="AP399" s="147"/>
      <c r="AQ399" s="147"/>
    </row>
    <row r="400" spans="1:43">
      <c r="A400" s="160" t="str">
        <f ca="1">IFERROR(__xludf.DUMMYFUNCTION("""COMPUTED_VALUE"""),"213898")</f>
        <v>213898</v>
      </c>
      <c r="B400" s="3" t="str">
        <f ca="1">IFERROR(__xludf.DUMMYFUNCTION("""COMPUTED_VALUE"""),"LÊ NGỌC TRUNG HIẾU")</f>
        <v>LÊ NGỌC TRUNG HIẾU</v>
      </c>
      <c r="C400" s="160" t="str">
        <f ca="1">IFERROR(__xludf.DUMMYFUNCTION("""COMPUTED_VALUE"""),"EL035")</f>
        <v>EL035</v>
      </c>
      <c r="D400" s="160" t="str">
        <f ca="1">IFERROR(__xludf.DUMMYFUNCTION("""COMPUTED_VALUE"""),"Van Nguyen")</f>
        <v>Van Nguyen</v>
      </c>
      <c r="E400" s="3" t="str">
        <f ca="1">IFERROR(__xludf.DUMMYFUNCTION("""COMPUTED_VALUE"""),"Communication 1")</f>
        <v>Communication 1</v>
      </c>
      <c r="F400" s="3" t="str">
        <f ca="1">IFERROR(__xludf.DUMMYFUNCTION("""COMPUTED_VALUE"""),"Beginner")</f>
        <v>Beginner</v>
      </c>
      <c r="G400" s="3" t="str">
        <f ca="1">IFERROR(__xludf.DUMMYFUNCTION("""COMPUTED_VALUE"""),"Pre-Intermediate 1")</f>
        <v>Pre-Intermediate 1</v>
      </c>
      <c r="H400" s="156">
        <f ca="1">IFERROR(__xludf.DUMMYFUNCTION("""COMPUTED_VALUE"""),45764.4583333333)</f>
        <v>45764.458333333299</v>
      </c>
      <c r="I400" s="156">
        <f ca="1">IFERROR(__xludf.DUMMYFUNCTION("""COMPUTED_VALUE"""),45764.4583333333)</f>
        <v>45764.458333333299</v>
      </c>
      <c r="J400" s="3">
        <f ca="1">IFERROR(__xludf.DUMMYFUNCTION("""COMPUTED_VALUE"""),1)</f>
        <v>1</v>
      </c>
      <c r="K400" s="3">
        <f ca="1">IFERROR(__xludf.DUMMYFUNCTION("""COMPUTED_VALUE"""),3)</f>
        <v>3</v>
      </c>
      <c r="L400" s="3" t="str">
        <f ca="1">IFERROR(__xludf.DUMMYFUNCTION("""COMPUTED_VALUE"""),"DEV")</f>
        <v>DEV</v>
      </c>
      <c r="M400" s="3" t="str">
        <f ca="1">IFERROR(__xludf.DUMMYFUNCTION("""COMPUTED_VALUE"""),"MOC")</f>
        <v>MOC</v>
      </c>
      <c r="N400" s="157">
        <f ca="1">IFERROR(__xludf.DUMMYFUNCTION("""COMPUTED_VALUE"""),1)</f>
        <v>1</v>
      </c>
      <c r="O400" s="157">
        <f ca="1">IFERROR(__xludf.DUMMYFUNCTION("""COMPUTED_VALUE"""),3)</f>
        <v>3</v>
      </c>
      <c r="P400" s="157"/>
      <c r="R400" s="147"/>
      <c r="S400" s="147"/>
      <c r="T400" s="147"/>
      <c r="U400" s="147"/>
      <c r="X400" s="147"/>
      <c r="Y400" s="147"/>
      <c r="Z400" s="147"/>
      <c r="AA400" s="147"/>
      <c r="AB400" s="147"/>
      <c r="AC400" s="147"/>
      <c r="AD400" s="147"/>
      <c r="AE400" s="147"/>
      <c r="AF400" s="147"/>
      <c r="AG400" s="147"/>
      <c r="AH400" s="147"/>
      <c r="AI400" s="147"/>
      <c r="AJ400" s="147"/>
      <c r="AK400" s="147"/>
      <c r="AL400" s="147"/>
      <c r="AM400" s="147"/>
      <c r="AN400" s="147"/>
      <c r="AO400" s="147"/>
      <c r="AP400" s="147"/>
      <c r="AQ400" s="147"/>
    </row>
    <row r="401" spans="1:43">
      <c r="A401" s="160" t="str">
        <f ca="1">IFERROR(__xludf.DUMMYFUNCTION("""COMPUTED_VALUE"""),"213946")</f>
        <v>213946</v>
      </c>
      <c r="B401" s="3" t="str">
        <f ca="1">IFERROR(__xludf.DUMMYFUNCTION("""COMPUTED_VALUE"""),"TRƯƠNG NHỰT MINH THƯ")</f>
        <v>TRƯƠNG NHỰT MINH THƯ</v>
      </c>
      <c r="C401" s="160" t="str">
        <f ca="1">IFERROR(__xludf.DUMMYFUNCTION("""COMPUTED_VALUE"""),"EL035")</f>
        <v>EL035</v>
      </c>
      <c r="D401" s="160" t="str">
        <f ca="1">IFERROR(__xludf.DUMMYFUNCTION("""COMPUTED_VALUE"""),"Van Nguyen")</f>
        <v>Van Nguyen</v>
      </c>
      <c r="E401" s="3" t="str">
        <f ca="1">IFERROR(__xludf.DUMMYFUNCTION("""COMPUTED_VALUE"""),"Communication 1")</f>
        <v>Communication 1</v>
      </c>
      <c r="F401" s="3" t="str">
        <f ca="1">IFERROR(__xludf.DUMMYFUNCTION("""COMPUTED_VALUE"""),"Beginner")</f>
        <v>Beginner</v>
      </c>
      <c r="G401" s="3" t="str">
        <f ca="1">IFERROR(__xludf.DUMMYFUNCTION("""COMPUTED_VALUE"""),"Beginner")</f>
        <v>Beginner</v>
      </c>
      <c r="H401" s="156">
        <f ca="1">IFERROR(__xludf.DUMMYFUNCTION("""COMPUTED_VALUE"""),45764.4583333333)</f>
        <v>45764.458333333299</v>
      </c>
      <c r="I401" s="156">
        <f ca="1">IFERROR(__xludf.DUMMYFUNCTION("""COMPUTED_VALUE"""),45764.4583333333)</f>
        <v>45764.458333333299</v>
      </c>
      <c r="J401" s="3">
        <f ca="1">IFERROR(__xludf.DUMMYFUNCTION("""COMPUTED_VALUE"""),1)</f>
        <v>1</v>
      </c>
      <c r="K401" s="3">
        <f ca="1">IFERROR(__xludf.DUMMYFUNCTION("""COMPUTED_VALUE"""),1)</f>
        <v>1</v>
      </c>
      <c r="L401" s="3" t="str">
        <f ca="1">IFERROR(__xludf.DUMMYFUNCTION("""COMPUTED_VALUE"""),"DEV")</f>
        <v>DEV</v>
      </c>
      <c r="M401" s="3" t="str">
        <f ca="1">IFERROR(__xludf.DUMMYFUNCTION("""COMPUTED_VALUE"""),"MOC")</f>
        <v>MOC</v>
      </c>
      <c r="N401" s="157">
        <f ca="1">IFERROR(__xludf.DUMMYFUNCTION("""COMPUTED_VALUE"""),1)</f>
        <v>1</v>
      </c>
      <c r="O401" s="157">
        <f ca="1">IFERROR(__xludf.DUMMYFUNCTION("""COMPUTED_VALUE"""),3)</f>
        <v>3</v>
      </c>
      <c r="P401" s="157"/>
      <c r="R401" s="147"/>
      <c r="S401" s="147"/>
      <c r="T401" s="147"/>
      <c r="U401" s="147"/>
      <c r="X401" s="147"/>
      <c r="Y401" s="147"/>
      <c r="Z401" s="147"/>
      <c r="AA401" s="147"/>
      <c r="AB401" s="147"/>
      <c r="AC401" s="147"/>
      <c r="AD401" s="147"/>
      <c r="AE401" s="147"/>
      <c r="AF401" s="147"/>
      <c r="AG401" s="147"/>
      <c r="AH401" s="147"/>
      <c r="AI401" s="147"/>
      <c r="AJ401" s="147"/>
      <c r="AK401" s="147"/>
      <c r="AL401" s="147"/>
      <c r="AM401" s="147"/>
      <c r="AN401" s="147"/>
      <c r="AO401" s="147"/>
      <c r="AP401" s="147"/>
      <c r="AQ401" s="147"/>
    </row>
    <row r="402" spans="1:43">
      <c r="A402" s="160" t="str">
        <f ca="1">IFERROR(__xludf.DUMMYFUNCTION("""COMPUTED_VALUE"""),"227104")</f>
        <v>227104</v>
      </c>
      <c r="B402" s="3" t="str">
        <f ca="1">IFERROR(__xludf.DUMMYFUNCTION("""COMPUTED_VALUE"""),"VŨ THỊ HỒNG LIÊN")</f>
        <v>VŨ THỊ HỒNG LIÊN</v>
      </c>
      <c r="C402" s="160" t="str">
        <f ca="1">IFERROR(__xludf.DUMMYFUNCTION("""COMPUTED_VALUE"""),"EL035")</f>
        <v>EL035</v>
      </c>
      <c r="D402" s="160" t="str">
        <f ca="1">IFERROR(__xludf.DUMMYFUNCTION("""COMPUTED_VALUE"""),"Van Nguyen")</f>
        <v>Van Nguyen</v>
      </c>
      <c r="E402" s="3" t="str">
        <f ca="1">IFERROR(__xludf.DUMMYFUNCTION("""COMPUTED_VALUE"""),"Communication 1")</f>
        <v>Communication 1</v>
      </c>
      <c r="F402" s="3" t="str">
        <f ca="1">IFERROR(__xludf.DUMMYFUNCTION("""COMPUTED_VALUE"""),"Not Placement")</f>
        <v>Not Placement</v>
      </c>
      <c r="G402" s="3" t="str">
        <f ca="1">IFERROR(__xludf.DUMMYFUNCTION("""COMPUTED_VALUE"""),"Pre-Intermediate 2")</f>
        <v>Pre-Intermediate 2</v>
      </c>
      <c r="H402" s="156">
        <f ca="1">IFERROR(__xludf.DUMMYFUNCTION("""COMPUTED_VALUE"""),45764.4583333333)</f>
        <v>45764.458333333299</v>
      </c>
      <c r="I402" s="156">
        <f ca="1">IFERROR(__xludf.DUMMYFUNCTION("""COMPUTED_VALUE"""),45764.4583333333)</f>
        <v>45764.458333333299</v>
      </c>
      <c r="J402" s="3">
        <f ca="1">IFERROR(__xludf.DUMMYFUNCTION("""COMPUTED_VALUE"""),0)</f>
        <v>0</v>
      </c>
      <c r="K402" s="3">
        <f ca="1">IFERROR(__xludf.DUMMYFUNCTION("""COMPUTED_VALUE"""),3.5)</f>
        <v>3.5</v>
      </c>
      <c r="L402" s="3" t="str">
        <f ca="1">IFERROR(__xludf.DUMMYFUNCTION("""COMPUTED_VALUE"""),"BC")</f>
        <v>BC</v>
      </c>
      <c r="M402" s="3" t="str">
        <f ca="1">IFERROR(__xludf.DUMMYFUNCTION("""COMPUTED_VALUE"""),"MOC")</f>
        <v>MOC</v>
      </c>
      <c r="N402" s="157">
        <f ca="1">IFERROR(__xludf.DUMMYFUNCTION("""COMPUTED_VALUE"""),0)</f>
        <v>0</v>
      </c>
      <c r="O402" s="157">
        <f ca="1">IFERROR(__xludf.DUMMYFUNCTION("""COMPUTED_VALUE"""),5)</f>
        <v>5</v>
      </c>
      <c r="P402" s="157"/>
      <c r="R402" s="147"/>
      <c r="S402" s="147"/>
      <c r="T402" s="147"/>
      <c r="U402" s="147"/>
      <c r="X402" s="147"/>
      <c r="Y402" s="147"/>
      <c r="Z402" s="147"/>
      <c r="AA402" s="147"/>
      <c r="AB402" s="147"/>
      <c r="AC402" s="147"/>
      <c r="AD402" s="147"/>
      <c r="AE402" s="147"/>
      <c r="AF402" s="147"/>
      <c r="AG402" s="147"/>
      <c r="AH402" s="147"/>
      <c r="AI402" s="147"/>
      <c r="AJ402" s="147"/>
      <c r="AK402" s="147"/>
      <c r="AL402" s="147"/>
      <c r="AM402" s="147"/>
      <c r="AN402" s="147"/>
      <c r="AO402" s="147"/>
      <c r="AP402" s="147"/>
      <c r="AQ402" s="147"/>
    </row>
    <row r="403" spans="1:43">
      <c r="A403" s="160" t="str">
        <f ca="1">IFERROR(__xludf.DUMMYFUNCTION("""COMPUTED_VALUE"""),"237183")</f>
        <v>237183</v>
      </c>
      <c r="B403" s="3" t="str">
        <f ca="1">IFERROR(__xludf.DUMMYFUNCTION("""COMPUTED_VALUE"""),"NGUYỄN LÊ HOÀNG VĂN")</f>
        <v>NGUYỄN LÊ HOÀNG VĂN</v>
      </c>
      <c r="C403" s="160" t="str">
        <f ca="1">IFERROR(__xludf.DUMMYFUNCTION("""COMPUTED_VALUE"""),"EL035")</f>
        <v>EL035</v>
      </c>
      <c r="D403" s="160" t="str">
        <f ca="1">IFERROR(__xludf.DUMMYFUNCTION("""COMPUTED_VALUE"""),"Van Nguyen")</f>
        <v>Van Nguyen</v>
      </c>
      <c r="E403" s="3" t="str">
        <f ca="1">IFERROR(__xludf.DUMMYFUNCTION("""COMPUTED_VALUE"""),"Communication 2")</f>
        <v>Communication 2</v>
      </c>
      <c r="F403" s="3" t="str">
        <f ca="1">IFERROR(__xludf.DUMMYFUNCTION("""COMPUTED_VALUE"""),"Pre-Intermediate 2")</f>
        <v>Pre-Intermediate 2</v>
      </c>
      <c r="G403" s="3" t="str">
        <f ca="1">IFERROR(__xludf.DUMMYFUNCTION("""COMPUTED_VALUE"""),"Intermediate 1")</f>
        <v>Intermediate 1</v>
      </c>
      <c r="H403" s="156">
        <f ca="1">IFERROR(__xludf.DUMMYFUNCTION("""COMPUTED_VALUE"""),45910.5416666666)</f>
        <v>45910.541666666599</v>
      </c>
      <c r="I403" s="156">
        <f ca="1">IFERROR(__xludf.DUMMYFUNCTION("""COMPUTED_VALUE"""),45764.4583333333)</f>
        <v>45764.458333333299</v>
      </c>
      <c r="J403" s="3">
        <f ca="1">IFERROR(__xludf.DUMMYFUNCTION("""COMPUTED_VALUE"""),3.5)</f>
        <v>3.5</v>
      </c>
      <c r="K403" s="3">
        <f ca="1">IFERROR(__xludf.DUMMYFUNCTION("""COMPUTED_VALUE"""),5)</f>
        <v>5</v>
      </c>
      <c r="L403" s="3" t="str">
        <f ca="1">IFERROR(__xludf.DUMMYFUNCTION("""COMPUTED_VALUE"""),"BC")</f>
        <v>BC</v>
      </c>
      <c r="M403" s="3" t="str">
        <f ca="1">IFERROR(__xludf.DUMMYFUNCTION("""COMPUTED_VALUE"""),"MOC")</f>
        <v>MOC</v>
      </c>
      <c r="N403" s="157">
        <f ca="1">IFERROR(__xludf.DUMMYFUNCTION("""COMPUTED_VALUE"""),1)</f>
        <v>1</v>
      </c>
      <c r="O403" s="157">
        <f ca="1">IFERROR(__xludf.DUMMYFUNCTION("""COMPUTED_VALUE"""),5)</f>
        <v>5</v>
      </c>
      <c r="P403" s="157"/>
      <c r="R403" s="147"/>
      <c r="S403" s="147"/>
      <c r="T403" s="147"/>
      <c r="U403" s="147"/>
      <c r="X403" s="147"/>
      <c r="Y403" s="147"/>
      <c r="Z403" s="147"/>
      <c r="AA403" s="147"/>
      <c r="AB403" s="147"/>
      <c r="AC403" s="147"/>
      <c r="AD403" s="147"/>
      <c r="AE403" s="147"/>
      <c r="AF403" s="147"/>
      <c r="AG403" s="147"/>
      <c r="AH403" s="147"/>
      <c r="AI403" s="147"/>
      <c r="AJ403" s="147"/>
      <c r="AK403" s="147"/>
      <c r="AL403" s="147"/>
      <c r="AM403" s="147"/>
      <c r="AN403" s="147"/>
      <c r="AO403" s="147"/>
      <c r="AP403" s="147"/>
      <c r="AQ403" s="147"/>
    </row>
    <row r="404" spans="1:43">
      <c r="A404" s="160" t="str">
        <f ca="1">IFERROR(__xludf.DUMMYFUNCTION("""COMPUTED_VALUE"""),"203746")</f>
        <v>203746</v>
      </c>
      <c r="B404" s="3" t="str">
        <f ca="1">IFERROR(__xludf.DUMMYFUNCTION("""COMPUTED_VALUE"""),"BẠCH NAM MINH TRÍ")</f>
        <v>BẠCH NAM MINH TRÍ</v>
      </c>
      <c r="C404" s="160" t="str">
        <f ca="1">IFERROR(__xludf.DUMMYFUNCTION("""COMPUTED_VALUE"""),"EL035")</f>
        <v>EL035</v>
      </c>
      <c r="D404" s="160" t="str">
        <f ca="1">IFERROR(__xludf.DUMMYFUNCTION("""COMPUTED_VALUE"""),"Van Nguyen")</f>
        <v>Van Nguyen</v>
      </c>
      <c r="E404" s="3" t="str">
        <f ca="1">IFERROR(__xludf.DUMMYFUNCTION("""COMPUTED_VALUE"""),"Communication 2")</f>
        <v>Communication 2</v>
      </c>
      <c r="F404" s="3" t="str">
        <f ca="1">IFERROR(__xludf.DUMMYFUNCTION("""COMPUTED_VALUE"""),"Pre-Intermediate 2")</f>
        <v>Pre-Intermediate 2</v>
      </c>
      <c r="G404" s="3" t="str">
        <f ca="1">IFERROR(__xludf.DUMMYFUNCTION("""COMPUTED_VALUE"""),"Intermediate 1")</f>
        <v>Intermediate 1</v>
      </c>
      <c r="H404" s="156">
        <f ca="1">IFERROR(__xludf.DUMMYFUNCTION("""COMPUTED_VALUE"""),45910.5416666666)</f>
        <v>45910.541666666599</v>
      </c>
      <c r="I404" s="156">
        <f ca="1">IFERROR(__xludf.DUMMYFUNCTION("""COMPUTED_VALUE"""),45764.4583333333)</f>
        <v>45764.458333333299</v>
      </c>
      <c r="J404" s="3">
        <f ca="1">IFERROR(__xludf.DUMMYFUNCTION("""COMPUTED_VALUE"""),3.5)</f>
        <v>3.5</v>
      </c>
      <c r="K404" s="3">
        <f ca="1">IFERROR(__xludf.DUMMYFUNCTION("""COMPUTED_VALUE"""),5)</f>
        <v>5</v>
      </c>
      <c r="L404" s="3" t="str">
        <f ca="1">IFERROR(__xludf.DUMMYFUNCTION("""COMPUTED_VALUE"""),"DEV")</f>
        <v>DEV</v>
      </c>
      <c r="M404" s="3" t="str">
        <f ca="1">IFERROR(__xludf.DUMMYFUNCTION("""COMPUTED_VALUE"""),"MOC")</f>
        <v>MOC</v>
      </c>
      <c r="N404" s="157">
        <f ca="1">IFERROR(__xludf.DUMMYFUNCTION("""COMPUTED_VALUE"""),0)</f>
        <v>0</v>
      </c>
      <c r="O404" s="157">
        <f ca="1">IFERROR(__xludf.DUMMYFUNCTION("""COMPUTED_VALUE"""),5)</f>
        <v>5</v>
      </c>
      <c r="P404" s="157"/>
      <c r="R404" s="147"/>
      <c r="S404" s="147"/>
      <c r="T404" s="147"/>
      <c r="U404" s="147"/>
      <c r="X404" s="147"/>
      <c r="Y404" s="147"/>
      <c r="Z404" s="147"/>
      <c r="AA404" s="147"/>
      <c r="AB404" s="147"/>
      <c r="AC404" s="147"/>
      <c r="AD404" s="147"/>
      <c r="AE404" s="147"/>
      <c r="AF404" s="147"/>
      <c r="AG404" s="147"/>
      <c r="AH404" s="147"/>
      <c r="AI404" s="147"/>
      <c r="AJ404" s="147"/>
      <c r="AK404" s="147"/>
      <c r="AL404" s="147"/>
      <c r="AM404" s="147"/>
      <c r="AN404" s="147"/>
      <c r="AO404" s="147"/>
      <c r="AP404" s="147"/>
      <c r="AQ404" s="147"/>
    </row>
    <row r="405" spans="1:43">
      <c r="A405" s="160" t="str">
        <f ca="1">IFERROR(__xludf.DUMMYFUNCTION("""COMPUTED_VALUE"""),"213863")</f>
        <v>213863</v>
      </c>
      <c r="B405" s="3" t="str">
        <f ca="1">IFERROR(__xludf.DUMMYFUNCTION("""COMPUTED_VALUE"""),"ĐINH TIẾN ĐẠT")</f>
        <v>ĐINH TIẾN ĐẠT</v>
      </c>
      <c r="C405" s="160" t="str">
        <f ca="1">IFERROR(__xludf.DUMMYFUNCTION("""COMPUTED_VALUE"""),"EL035")</f>
        <v>EL035</v>
      </c>
      <c r="D405" s="160" t="str">
        <f ca="1">IFERROR(__xludf.DUMMYFUNCTION("""COMPUTED_VALUE"""),"Van Nguyen")</f>
        <v>Van Nguyen</v>
      </c>
      <c r="E405" s="3" t="str">
        <f ca="1">IFERROR(__xludf.DUMMYFUNCTION("""COMPUTED_VALUE"""),"Communication 2")</f>
        <v>Communication 2</v>
      </c>
      <c r="F405" s="3" t="str">
        <f ca="1">IFERROR(__xludf.DUMMYFUNCTION("""COMPUTED_VALUE"""),"Pre-Intermediate 1")</f>
        <v>Pre-Intermediate 1</v>
      </c>
      <c r="G405" s="3"/>
      <c r="H405" s="156">
        <f ca="1">IFERROR(__xludf.DUMMYFUNCTION("""COMPUTED_VALUE"""),45910.5416666666)</f>
        <v>45910.541666666599</v>
      </c>
      <c r="I405" s="156">
        <f ca="1">IFERROR(__xludf.DUMMYFUNCTION("""COMPUTED_VALUE"""),45764.4583333333)</f>
        <v>45764.458333333299</v>
      </c>
      <c r="J405" s="3">
        <f ca="1">IFERROR(__xludf.DUMMYFUNCTION("""COMPUTED_VALUE"""),3)</f>
        <v>3</v>
      </c>
      <c r="K405" s="3" t="str">
        <f ca="1">IFERROR(__xludf.DUMMYFUNCTION("""COMPUTED_VALUE"""),"")</f>
        <v/>
      </c>
      <c r="L405" s="3" t="str">
        <f ca="1">IFERROR(__xludf.DUMMYFUNCTION("""COMPUTED_VALUE"""),"DEV")</f>
        <v>DEV</v>
      </c>
      <c r="M405" s="3" t="str">
        <f ca="1">IFERROR(__xludf.DUMMYFUNCTION("""COMPUTED_VALUE"""),"MOC")</f>
        <v>MOC</v>
      </c>
      <c r="N405" s="157">
        <f ca="1">IFERROR(__xludf.DUMMYFUNCTION("""COMPUTED_VALUE"""),1)</f>
        <v>1</v>
      </c>
      <c r="O405" s="157">
        <f ca="1">IFERROR(__xludf.DUMMYFUNCTION("""COMPUTED_VALUE"""),3)</f>
        <v>3</v>
      </c>
      <c r="P405" s="157"/>
      <c r="R405" s="147"/>
      <c r="S405" s="147"/>
      <c r="T405" s="147"/>
      <c r="U405" s="147"/>
      <c r="X405" s="147"/>
      <c r="Y405" s="147"/>
      <c r="Z405" s="147"/>
      <c r="AA405" s="147"/>
      <c r="AB405" s="147"/>
      <c r="AC405" s="147"/>
      <c r="AD405" s="147"/>
      <c r="AE405" s="147"/>
      <c r="AF405" s="147"/>
      <c r="AG405" s="147"/>
      <c r="AH405" s="147"/>
      <c r="AI405" s="147"/>
      <c r="AJ405" s="147"/>
      <c r="AK405" s="147"/>
      <c r="AL405" s="147"/>
      <c r="AM405" s="147"/>
      <c r="AN405" s="147"/>
      <c r="AO405" s="147"/>
      <c r="AP405" s="147"/>
      <c r="AQ405" s="147"/>
    </row>
    <row r="406" spans="1:43">
      <c r="A406" s="160" t="str">
        <f ca="1">IFERROR(__xludf.DUMMYFUNCTION("""COMPUTED_VALUE"""),"213898")</f>
        <v>213898</v>
      </c>
      <c r="B406" s="3" t="str">
        <f ca="1">IFERROR(__xludf.DUMMYFUNCTION("""COMPUTED_VALUE"""),"LÊ NGỌC TRUNG HIẾU")</f>
        <v>LÊ NGỌC TRUNG HIẾU</v>
      </c>
      <c r="C406" s="160" t="str">
        <f ca="1">IFERROR(__xludf.DUMMYFUNCTION("""COMPUTED_VALUE"""),"EL035")</f>
        <v>EL035</v>
      </c>
      <c r="D406" s="160" t="str">
        <f ca="1">IFERROR(__xludf.DUMMYFUNCTION("""COMPUTED_VALUE"""),"Van Nguyen")</f>
        <v>Van Nguyen</v>
      </c>
      <c r="E406" s="3" t="str">
        <f ca="1">IFERROR(__xludf.DUMMYFUNCTION("""COMPUTED_VALUE"""),"Communication 2")</f>
        <v>Communication 2</v>
      </c>
      <c r="F406" s="3" t="str">
        <f ca="1">IFERROR(__xludf.DUMMYFUNCTION("""COMPUTED_VALUE"""),"Pre-Intermediate 1")</f>
        <v>Pre-Intermediate 1</v>
      </c>
      <c r="G406" s="3"/>
      <c r="H406" s="156">
        <f ca="1">IFERROR(__xludf.DUMMYFUNCTION("""COMPUTED_VALUE"""),45910.5416666666)</f>
        <v>45910.541666666599</v>
      </c>
      <c r="I406" s="156">
        <f ca="1">IFERROR(__xludf.DUMMYFUNCTION("""COMPUTED_VALUE"""),45764.4583333333)</f>
        <v>45764.458333333299</v>
      </c>
      <c r="J406" s="3">
        <f ca="1">IFERROR(__xludf.DUMMYFUNCTION("""COMPUTED_VALUE"""),3)</f>
        <v>3</v>
      </c>
      <c r="K406" s="3" t="str">
        <f ca="1">IFERROR(__xludf.DUMMYFUNCTION("""COMPUTED_VALUE"""),"")</f>
        <v/>
      </c>
      <c r="L406" s="3" t="str">
        <f ca="1">IFERROR(__xludf.DUMMYFUNCTION("""COMPUTED_VALUE"""),"DEV")</f>
        <v>DEV</v>
      </c>
      <c r="M406" s="3" t="str">
        <f ca="1">IFERROR(__xludf.DUMMYFUNCTION("""COMPUTED_VALUE"""),"MOC")</f>
        <v>MOC</v>
      </c>
      <c r="N406" s="157">
        <f ca="1">IFERROR(__xludf.DUMMYFUNCTION("""COMPUTED_VALUE"""),1)</f>
        <v>1</v>
      </c>
      <c r="O406" s="157">
        <f ca="1">IFERROR(__xludf.DUMMYFUNCTION("""COMPUTED_VALUE"""),3)</f>
        <v>3</v>
      </c>
      <c r="P406" s="157"/>
      <c r="R406" s="147"/>
      <c r="S406" s="147"/>
      <c r="T406" s="147"/>
      <c r="U406" s="147"/>
      <c r="X406" s="147"/>
      <c r="Y406" s="147"/>
      <c r="Z406" s="147"/>
      <c r="AA406" s="147"/>
      <c r="AB406" s="147"/>
      <c r="AC406" s="147"/>
      <c r="AD406" s="147"/>
      <c r="AE406" s="147"/>
      <c r="AF406" s="147"/>
      <c r="AG406" s="147"/>
      <c r="AH406" s="147"/>
      <c r="AI406" s="147"/>
      <c r="AJ406" s="147"/>
      <c r="AK406" s="147"/>
      <c r="AL406" s="147"/>
      <c r="AM406" s="147"/>
      <c r="AN406" s="147"/>
      <c r="AO406" s="147"/>
      <c r="AP406" s="147"/>
      <c r="AQ406" s="147"/>
    </row>
    <row r="407" spans="1:43">
      <c r="A407" s="160" t="str">
        <f ca="1">IFERROR(__xludf.DUMMYFUNCTION("""COMPUTED_VALUE"""),"247098")</f>
        <v>247098</v>
      </c>
      <c r="B407" s="3" t="str">
        <f ca="1">IFERROR(__xludf.DUMMYFUNCTION("""COMPUTED_VALUE"""),"NGUYỄN VĂN TÀI")</f>
        <v>NGUYỄN VĂN TÀI</v>
      </c>
      <c r="C407" s="160" t="str">
        <f ca="1">IFERROR(__xludf.DUMMYFUNCTION("""COMPUTED_VALUE"""),"EL035")</f>
        <v>EL035</v>
      </c>
      <c r="D407" s="160" t="str">
        <f ca="1">IFERROR(__xludf.DUMMYFUNCTION("""COMPUTED_VALUE"""),"Van Nguyen")</f>
        <v>Van Nguyen</v>
      </c>
      <c r="E407" s="3" t="str">
        <f ca="1">IFERROR(__xludf.DUMMYFUNCTION("""COMPUTED_VALUE"""),"Communication 2")</f>
        <v>Communication 2</v>
      </c>
      <c r="F407" s="3" t="str">
        <f ca="1">IFERROR(__xludf.DUMMYFUNCTION("""COMPUTED_VALUE"""),"Pre-Intermediate 1")</f>
        <v>Pre-Intermediate 1</v>
      </c>
      <c r="G407" s="3"/>
      <c r="H407" s="156">
        <f ca="1">IFERROR(__xludf.DUMMYFUNCTION("""COMPUTED_VALUE"""),45910.5416666666)</f>
        <v>45910.541666666599</v>
      </c>
      <c r="I407" s="156">
        <f ca="1">IFERROR(__xludf.DUMMYFUNCTION("""COMPUTED_VALUE"""),45765.4166666666)</f>
        <v>45765.416666666599</v>
      </c>
      <c r="J407" s="3">
        <f ca="1">IFERROR(__xludf.DUMMYFUNCTION("""COMPUTED_VALUE"""),3)</f>
        <v>3</v>
      </c>
      <c r="K407" s="3" t="str">
        <f ca="1">IFERROR(__xludf.DUMMYFUNCTION("""COMPUTED_VALUE"""),"")</f>
        <v/>
      </c>
      <c r="L407" s="3" t="str">
        <f ca="1">IFERROR(__xludf.DUMMYFUNCTION("""COMPUTED_VALUE"""),"DEV")</f>
        <v>DEV</v>
      </c>
      <c r="M407" s="3" t="str">
        <f ca="1">IFERROR(__xludf.DUMMYFUNCTION("""COMPUTED_VALUE"""),"MOC")</f>
        <v>MOC</v>
      </c>
      <c r="N407" s="157">
        <f ca="1">IFERROR(__xludf.DUMMYFUNCTION("""COMPUTED_VALUE"""),1)</f>
        <v>1</v>
      </c>
      <c r="O407" s="157">
        <f ca="1">IFERROR(__xludf.DUMMYFUNCTION("""COMPUTED_VALUE"""),2.5)</f>
        <v>2.5</v>
      </c>
      <c r="P407" s="157"/>
      <c r="R407" s="147"/>
      <c r="S407" s="147"/>
      <c r="T407" s="147"/>
      <c r="U407" s="147"/>
      <c r="X407" s="147"/>
      <c r="Y407" s="147"/>
      <c r="Z407" s="147"/>
      <c r="AA407" s="147"/>
      <c r="AB407" s="147"/>
      <c r="AC407" s="147"/>
      <c r="AD407" s="147"/>
      <c r="AE407" s="147"/>
      <c r="AF407" s="147"/>
      <c r="AG407" s="147"/>
      <c r="AH407" s="147"/>
      <c r="AI407" s="147"/>
      <c r="AJ407" s="147"/>
      <c r="AK407" s="147"/>
      <c r="AL407" s="147"/>
      <c r="AM407" s="147"/>
      <c r="AN407" s="147"/>
      <c r="AO407" s="147"/>
      <c r="AP407" s="147"/>
      <c r="AQ407" s="147"/>
    </row>
    <row r="408" spans="1:43">
      <c r="A408" s="160" t="str">
        <f ca="1">IFERROR(__xludf.DUMMYFUNCTION("""COMPUTED_VALUE"""),"237156")</f>
        <v>237156</v>
      </c>
      <c r="B408" s="3" t="str">
        <f ca="1">IFERROR(__xludf.DUMMYFUNCTION("""COMPUTED_VALUE"""),"PHẠM HOÀNG THÁI SƠN")</f>
        <v>PHẠM HOÀNG THÁI SƠN</v>
      </c>
      <c r="C408" s="160" t="str">
        <f ca="1">IFERROR(__xludf.DUMMYFUNCTION("""COMPUTED_VALUE"""),"EL035")</f>
        <v>EL035</v>
      </c>
      <c r="D408" s="160" t="str">
        <f ca="1">IFERROR(__xludf.DUMMYFUNCTION("""COMPUTED_VALUE"""),"Van Nguyen")</f>
        <v>Van Nguyen</v>
      </c>
      <c r="E408" s="3" t="str">
        <f ca="1">IFERROR(__xludf.DUMMYFUNCTION("""COMPUTED_VALUE"""),"Communication 2")</f>
        <v>Communication 2</v>
      </c>
      <c r="F408" s="3" t="str">
        <f ca="1">IFERROR(__xludf.DUMMYFUNCTION("""COMPUTED_VALUE"""),"Beginner 2")</f>
        <v>Beginner 2</v>
      </c>
      <c r="G408" s="3" t="str">
        <f ca="1">IFERROR(__xludf.DUMMYFUNCTION("""COMPUTED_VALUE"""),"Pre-Intermediate 2")</f>
        <v>Pre-Intermediate 2</v>
      </c>
      <c r="H408" s="156">
        <f ca="1">IFERROR(__xludf.DUMMYFUNCTION("""COMPUTED_VALUE"""),45910.5416666666)</f>
        <v>45910.541666666599</v>
      </c>
      <c r="I408" s="156">
        <f ca="1">IFERROR(__xludf.DUMMYFUNCTION("""COMPUTED_VALUE"""),45765.4166666666)</f>
        <v>45765.416666666599</v>
      </c>
      <c r="J408" s="3">
        <f ca="1">IFERROR(__xludf.DUMMYFUNCTION("""COMPUTED_VALUE"""),1.5)</f>
        <v>1.5</v>
      </c>
      <c r="K408" s="3">
        <f ca="1">IFERROR(__xludf.DUMMYFUNCTION("""COMPUTED_VALUE"""),3.5)</f>
        <v>3.5</v>
      </c>
      <c r="L408" s="3" t="str">
        <f ca="1">IFERROR(__xludf.DUMMYFUNCTION("""COMPUTED_VALUE"""),"DEV")</f>
        <v>DEV</v>
      </c>
      <c r="M408" s="3" t="str">
        <f ca="1">IFERROR(__xludf.DUMMYFUNCTION("""COMPUTED_VALUE"""),"MOC")</f>
        <v>MOC</v>
      </c>
      <c r="N408" s="157">
        <f ca="1">IFERROR(__xludf.DUMMYFUNCTION("""COMPUTED_VALUE"""),0.5)</f>
        <v>0.5</v>
      </c>
      <c r="O408" s="157">
        <f ca="1">IFERROR(__xludf.DUMMYFUNCTION("""COMPUTED_VALUE"""),3.5)</f>
        <v>3.5</v>
      </c>
      <c r="P408" s="157"/>
      <c r="R408" s="147"/>
      <c r="S408" s="147"/>
      <c r="T408" s="147"/>
      <c r="U408" s="147"/>
      <c r="X408" s="147"/>
      <c r="Y408" s="147"/>
      <c r="Z408" s="147"/>
      <c r="AA408" s="147"/>
      <c r="AB408" s="147"/>
      <c r="AC408" s="147"/>
      <c r="AD408" s="147"/>
      <c r="AE408" s="147"/>
      <c r="AF408" s="147"/>
      <c r="AG408" s="147"/>
      <c r="AH408" s="147"/>
      <c r="AI408" s="147"/>
      <c r="AJ408" s="147"/>
      <c r="AK408" s="147"/>
      <c r="AL408" s="147"/>
      <c r="AM408" s="147"/>
      <c r="AN408" s="147"/>
      <c r="AO408" s="147"/>
      <c r="AP408" s="147"/>
      <c r="AQ408" s="147"/>
    </row>
    <row r="409" spans="1:43">
      <c r="A409" s="160" t="str">
        <f ca="1">IFERROR(__xludf.DUMMYFUNCTION("""COMPUTED_VALUE"""),"247119")</f>
        <v>247119</v>
      </c>
      <c r="B409" s="3" t="str">
        <f ca="1">IFERROR(__xludf.DUMMYFUNCTION("""COMPUTED_VALUE"""),"PHẠM HUY HOÀNG")</f>
        <v>PHẠM HUY HOÀNG</v>
      </c>
      <c r="C409" s="160" t="str">
        <f ca="1">IFERROR(__xludf.DUMMYFUNCTION("""COMPUTED_VALUE"""),"EL035")</f>
        <v>EL035</v>
      </c>
      <c r="D409" s="160" t="str">
        <f ca="1">IFERROR(__xludf.DUMMYFUNCTION("""COMPUTED_VALUE"""),"Van Nguyen")</f>
        <v>Van Nguyen</v>
      </c>
      <c r="E409" s="3" t="str">
        <f ca="1">IFERROR(__xludf.DUMMYFUNCTION("""COMPUTED_VALUE"""),"Communication 2")</f>
        <v>Communication 2</v>
      </c>
      <c r="F409" s="3" t="str">
        <f ca="1">IFERROR(__xludf.DUMMYFUNCTION("""COMPUTED_VALUE"""),"Pre-Intermediate 1")</f>
        <v>Pre-Intermediate 1</v>
      </c>
      <c r="G409" s="3" t="str">
        <f ca="1">IFERROR(__xludf.DUMMYFUNCTION("""COMPUTED_VALUE"""),"Intermediate 1")</f>
        <v>Intermediate 1</v>
      </c>
      <c r="H409" s="156">
        <f ca="1">IFERROR(__xludf.DUMMYFUNCTION("""COMPUTED_VALUE"""),45910.5416666666)</f>
        <v>45910.541666666599</v>
      </c>
      <c r="I409" s="156">
        <f ca="1">IFERROR(__xludf.DUMMYFUNCTION("""COMPUTED_VALUE"""),45765.4166666666)</f>
        <v>45765.416666666599</v>
      </c>
      <c r="J409" s="3">
        <f ca="1">IFERROR(__xludf.DUMMYFUNCTION("""COMPUTED_VALUE"""),3)</f>
        <v>3</v>
      </c>
      <c r="K409" s="3">
        <f ca="1">IFERROR(__xludf.DUMMYFUNCTION("""COMPUTED_VALUE"""),5)</f>
        <v>5</v>
      </c>
      <c r="L409" s="3" t="str">
        <f ca="1">IFERROR(__xludf.DUMMYFUNCTION("""COMPUTED_VALUE"""),"DEV")</f>
        <v>DEV</v>
      </c>
      <c r="M409" s="3" t="str">
        <f ca="1">IFERROR(__xludf.DUMMYFUNCTION("""COMPUTED_VALUE"""),"MOC")</f>
        <v>MOC</v>
      </c>
      <c r="N409" s="157">
        <f ca="1">IFERROR(__xludf.DUMMYFUNCTION("""COMPUTED_VALUE"""),1)</f>
        <v>1</v>
      </c>
      <c r="O409" s="157">
        <f ca="1">IFERROR(__xludf.DUMMYFUNCTION("""COMPUTED_VALUE"""),5)</f>
        <v>5</v>
      </c>
      <c r="P409" s="157"/>
      <c r="R409" s="147"/>
      <c r="S409" s="147"/>
      <c r="T409" s="147"/>
      <c r="U409" s="147"/>
      <c r="X409" s="147"/>
      <c r="Y409" s="147"/>
      <c r="Z409" s="147"/>
      <c r="AA409" s="147"/>
      <c r="AB409" s="147"/>
      <c r="AC409" s="147"/>
      <c r="AD409" s="147"/>
      <c r="AE409" s="147"/>
      <c r="AF409" s="147"/>
      <c r="AG409" s="147"/>
      <c r="AH409" s="147"/>
      <c r="AI409" s="147"/>
      <c r="AJ409" s="147"/>
      <c r="AK409" s="147"/>
      <c r="AL409" s="147"/>
      <c r="AM409" s="147"/>
      <c r="AN409" s="147"/>
      <c r="AO409" s="147"/>
      <c r="AP409" s="147"/>
      <c r="AQ409" s="147"/>
    </row>
    <row r="410" spans="1:43">
      <c r="A410" s="160" t="str">
        <f ca="1">IFERROR(__xludf.DUMMYFUNCTION("""COMPUTED_VALUE"""),"203764")</f>
        <v>203764</v>
      </c>
      <c r="B410" s="3" t="str">
        <f ca="1">IFERROR(__xludf.DUMMYFUNCTION("""COMPUTED_VALUE"""),"TRẦN MINH TRIẾT")</f>
        <v>TRẦN MINH TRIẾT</v>
      </c>
      <c r="C410" s="160" t="str">
        <f ca="1">IFERROR(__xludf.DUMMYFUNCTION("""COMPUTED_VALUE"""),"EL035")</f>
        <v>EL035</v>
      </c>
      <c r="D410" s="160" t="str">
        <f ca="1">IFERROR(__xludf.DUMMYFUNCTION("""COMPUTED_VALUE"""),"Van Nguyen")</f>
        <v>Van Nguyen</v>
      </c>
      <c r="E410" s="3" t="str">
        <f ca="1">IFERROR(__xludf.DUMMYFUNCTION("""COMPUTED_VALUE"""),"Communication 2")</f>
        <v>Communication 2</v>
      </c>
      <c r="F410" s="3" t="str">
        <f ca="1">IFERROR(__xludf.DUMMYFUNCTION("""COMPUTED_VALUE"""),"Pre-Intermediate 2")</f>
        <v>Pre-Intermediate 2</v>
      </c>
      <c r="G410" s="3" t="str">
        <f ca="1">IFERROR(__xludf.DUMMYFUNCTION("""COMPUTED_VALUE"""),"Intermediate 1")</f>
        <v>Intermediate 1</v>
      </c>
      <c r="H410" s="156">
        <f ca="1">IFERROR(__xludf.DUMMYFUNCTION("""COMPUTED_VALUE"""),45910.5416666666)</f>
        <v>45910.541666666599</v>
      </c>
      <c r="I410" s="156">
        <f ca="1">IFERROR(__xludf.DUMMYFUNCTION("""COMPUTED_VALUE"""),45765.4166666666)</f>
        <v>45765.416666666599</v>
      </c>
      <c r="J410" s="3">
        <f ca="1">IFERROR(__xludf.DUMMYFUNCTION("""COMPUTED_VALUE"""),3.5)</f>
        <v>3.5</v>
      </c>
      <c r="K410" s="3">
        <f ca="1">IFERROR(__xludf.DUMMYFUNCTION("""COMPUTED_VALUE"""),5)</f>
        <v>5</v>
      </c>
      <c r="L410" s="3" t="str">
        <f ca="1">IFERROR(__xludf.DUMMYFUNCTION("""COMPUTED_VALUE"""),"DEV")</f>
        <v>DEV</v>
      </c>
      <c r="M410" s="3" t="str">
        <f ca="1">IFERROR(__xludf.DUMMYFUNCTION("""COMPUTED_VALUE"""),"MOC")</f>
        <v>MOC</v>
      </c>
      <c r="N410" s="157">
        <f ca="1">IFERROR(__xludf.DUMMYFUNCTION("""COMPUTED_VALUE"""),1)</f>
        <v>1</v>
      </c>
      <c r="O410" s="157">
        <f ca="1">IFERROR(__xludf.DUMMYFUNCTION("""COMPUTED_VALUE"""),5)</f>
        <v>5</v>
      </c>
      <c r="P410" s="157"/>
      <c r="R410" s="147"/>
      <c r="S410" s="147"/>
      <c r="T410" s="147"/>
      <c r="U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row>
    <row r="411" spans="1:43">
      <c r="A411" s="160" t="str">
        <f ca="1">IFERROR(__xludf.DUMMYFUNCTION("""COMPUTED_VALUE"""),"227104")</f>
        <v>227104</v>
      </c>
      <c r="B411" s="3" t="str">
        <f ca="1">IFERROR(__xludf.DUMMYFUNCTION("""COMPUTED_VALUE"""),"VŨ THỊ HỒNG LIÊN")</f>
        <v>VŨ THỊ HỒNG LIÊN</v>
      </c>
      <c r="C411" s="160" t="str">
        <f ca="1">IFERROR(__xludf.DUMMYFUNCTION("""COMPUTED_VALUE"""),"EL035")</f>
        <v>EL035</v>
      </c>
      <c r="D411" s="160" t="str">
        <f ca="1">IFERROR(__xludf.DUMMYFUNCTION("""COMPUTED_VALUE"""),"Van Nguyen")</f>
        <v>Van Nguyen</v>
      </c>
      <c r="E411" s="3" t="str">
        <f ca="1">IFERROR(__xludf.DUMMYFUNCTION("""COMPUTED_VALUE"""),"Communication 2")</f>
        <v>Communication 2</v>
      </c>
      <c r="F411" s="3" t="str">
        <f ca="1">IFERROR(__xludf.DUMMYFUNCTION("""COMPUTED_VALUE"""),"Pre-Intermediate 2")</f>
        <v>Pre-Intermediate 2</v>
      </c>
      <c r="G411" s="3" t="str">
        <f ca="1">IFERROR(__xludf.DUMMYFUNCTION("""COMPUTED_VALUE"""),"Intermediate 1")</f>
        <v>Intermediate 1</v>
      </c>
      <c r="H411" s="156">
        <f ca="1">IFERROR(__xludf.DUMMYFUNCTION("""COMPUTED_VALUE"""),45910.5416666666)</f>
        <v>45910.541666666599</v>
      </c>
      <c r="I411" s="156">
        <f ca="1">IFERROR(__xludf.DUMMYFUNCTION("""COMPUTED_VALUE"""),45764.4583333333)</f>
        <v>45764.458333333299</v>
      </c>
      <c r="J411" s="3">
        <f ca="1">IFERROR(__xludf.DUMMYFUNCTION("""COMPUTED_VALUE"""),3.5)</f>
        <v>3.5</v>
      </c>
      <c r="K411" s="3">
        <f ca="1">IFERROR(__xludf.DUMMYFUNCTION("""COMPUTED_VALUE"""),5)</f>
        <v>5</v>
      </c>
      <c r="L411" s="3" t="str">
        <f ca="1">IFERROR(__xludf.DUMMYFUNCTION("""COMPUTED_VALUE"""),"BC")</f>
        <v>BC</v>
      </c>
      <c r="M411" s="3" t="str">
        <f ca="1">IFERROR(__xludf.DUMMYFUNCTION("""COMPUTED_VALUE"""),"MOC")</f>
        <v>MOC</v>
      </c>
      <c r="N411" s="157">
        <f ca="1">IFERROR(__xludf.DUMMYFUNCTION("""COMPUTED_VALUE"""),0)</f>
        <v>0</v>
      </c>
      <c r="O411" s="157">
        <f ca="1">IFERROR(__xludf.DUMMYFUNCTION("""COMPUTED_VALUE"""),5)</f>
        <v>5</v>
      </c>
      <c r="P411" s="157"/>
      <c r="R411" s="147"/>
      <c r="S411" s="147"/>
      <c r="T411" s="147"/>
      <c r="U411" s="147"/>
      <c r="X411" s="147"/>
      <c r="Y411" s="147"/>
      <c r="Z411" s="147"/>
      <c r="AA411" s="147"/>
      <c r="AB411" s="147"/>
      <c r="AC411" s="147"/>
      <c r="AD411" s="147"/>
      <c r="AE411" s="147"/>
      <c r="AF411" s="147"/>
      <c r="AG411" s="147"/>
      <c r="AH411" s="147"/>
      <c r="AI411" s="147"/>
      <c r="AJ411" s="147"/>
      <c r="AK411" s="147"/>
      <c r="AL411" s="147"/>
      <c r="AM411" s="147"/>
      <c r="AN411" s="147"/>
      <c r="AO411" s="147"/>
      <c r="AP411" s="147"/>
      <c r="AQ411" s="147"/>
    </row>
    <row r="412" spans="1:43">
      <c r="A412" s="160" t="str">
        <f ca="1">IFERROR(__xludf.DUMMYFUNCTION("""COMPUTED_VALUE"""),"247172")</f>
        <v>247172</v>
      </c>
      <c r="B412" s="3" t="str">
        <f ca="1">IFERROR(__xludf.DUMMYFUNCTION("""COMPUTED_VALUE"""),"NGUYỄN MINH QUÂN")</f>
        <v>NGUYỄN MINH QUÂN</v>
      </c>
      <c r="C412" s="160" t="str">
        <f ca="1">IFERROR(__xludf.DUMMYFUNCTION("""COMPUTED_VALUE"""),"EL037")</f>
        <v>EL037</v>
      </c>
      <c r="D412" s="160" t="str">
        <f ca="1">IFERROR(__xludf.DUMMYFUNCTION("""COMPUTED_VALUE"""),"Quan Nguyen")</f>
        <v>Quan Nguyen</v>
      </c>
      <c r="E412" s="3" t="str">
        <f ca="1">IFERROR(__xludf.DUMMYFUNCTION("""COMPUTED_VALUE"""),"Foundation")</f>
        <v>Foundation</v>
      </c>
      <c r="F412" s="3" t="str">
        <f ca="1">IFERROR(__xludf.DUMMYFUNCTION("""COMPUTED_VALUE"""),"Foundation")</f>
        <v>Foundation</v>
      </c>
      <c r="G412" s="3" t="str">
        <f ca="1">IFERROR(__xludf.DUMMYFUNCTION("""COMPUTED_VALUE"""),"Beginner")</f>
        <v>Beginner</v>
      </c>
      <c r="H412" s="156">
        <f ca="1">IFERROR(__xludf.DUMMYFUNCTION("""COMPUTED_VALUE"""),45805.375)</f>
        <v>45805.375</v>
      </c>
      <c r="I412" s="156">
        <f ca="1">IFERROR(__xludf.DUMMYFUNCTION("""COMPUTED_VALUE"""),45805.375)</f>
        <v>45805.375</v>
      </c>
      <c r="J412" s="3">
        <f ca="1">IFERROR(__xludf.DUMMYFUNCTION("""COMPUTED_VALUE"""),0.5)</f>
        <v>0.5</v>
      </c>
      <c r="K412" s="3">
        <f ca="1">IFERROR(__xludf.DUMMYFUNCTION("""COMPUTED_VALUE"""),1)</f>
        <v>1</v>
      </c>
      <c r="L412" s="3" t="str">
        <f ca="1">IFERROR(__xludf.DUMMYFUNCTION("""COMPUTED_VALUE"""),"DEV")</f>
        <v>DEV</v>
      </c>
      <c r="M412" s="3" t="str">
        <f ca="1">IFERROR(__xludf.DUMMYFUNCTION("""COMPUTED_VALUE"""),"MOC")</f>
        <v>MOC</v>
      </c>
      <c r="N412" s="157">
        <f ca="1">IFERROR(__xludf.DUMMYFUNCTION("""COMPUTED_VALUE"""),0.5)</f>
        <v>0.5</v>
      </c>
      <c r="O412" s="157">
        <f ca="1">IFERROR(__xludf.DUMMYFUNCTION("""COMPUTED_VALUE"""),3)</f>
        <v>3</v>
      </c>
      <c r="P412" s="157"/>
      <c r="R412" s="147"/>
      <c r="S412" s="147"/>
      <c r="T412" s="147"/>
      <c r="U412" s="147"/>
      <c r="X412" s="147"/>
      <c r="Y412" s="147"/>
      <c r="Z412" s="147"/>
      <c r="AA412" s="147"/>
      <c r="AB412" s="147"/>
      <c r="AC412" s="147"/>
      <c r="AD412" s="147"/>
      <c r="AE412" s="147"/>
      <c r="AF412" s="147"/>
      <c r="AG412" s="147"/>
      <c r="AH412" s="147"/>
      <c r="AI412" s="147"/>
      <c r="AJ412" s="147"/>
      <c r="AK412" s="147"/>
      <c r="AL412" s="147"/>
      <c r="AM412" s="147"/>
      <c r="AN412" s="147"/>
      <c r="AO412" s="147"/>
      <c r="AP412" s="147"/>
      <c r="AQ412" s="147"/>
    </row>
    <row r="413" spans="1:43">
      <c r="A413" s="160" t="str">
        <f ca="1">IFERROR(__xludf.DUMMYFUNCTION("""COMPUTED_VALUE"""),"213881")</f>
        <v>213881</v>
      </c>
      <c r="B413" s="3" t="str">
        <f ca="1">IFERROR(__xludf.DUMMYFUNCTION("""COMPUTED_VALUE"""),"ĐẶNG GIA LỘC")</f>
        <v>ĐẶNG GIA LỘC</v>
      </c>
      <c r="C413" s="160" t="str">
        <f ca="1">IFERROR(__xludf.DUMMYFUNCTION("""COMPUTED_VALUE"""),"EL037")</f>
        <v>EL037</v>
      </c>
      <c r="D413" s="160" t="str">
        <f ca="1">IFERROR(__xludf.DUMMYFUNCTION("""COMPUTED_VALUE"""),"Quan Nguyen")</f>
        <v>Quan Nguyen</v>
      </c>
      <c r="E413" s="3" t="str">
        <f ca="1">IFERROR(__xludf.DUMMYFUNCTION("""COMPUTED_VALUE"""),"Foundation")</f>
        <v>Foundation</v>
      </c>
      <c r="F413" s="3" t="str">
        <f ca="1">IFERROR(__xludf.DUMMYFUNCTION("""COMPUTED_VALUE"""),"Foundation")</f>
        <v>Foundation</v>
      </c>
      <c r="G413" s="3" t="str">
        <f ca="1">IFERROR(__xludf.DUMMYFUNCTION("""COMPUTED_VALUE"""),"Foundation")</f>
        <v>Foundation</v>
      </c>
      <c r="H413" s="156">
        <f ca="1">IFERROR(__xludf.DUMMYFUNCTION("""COMPUTED_VALUE"""),45805.375)</f>
        <v>45805.375</v>
      </c>
      <c r="I413" s="156">
        <f ca="1">IFERROR(__xludf.DUMMYFUNCTION("""COMPUTED_VALUE"""),45805.375)</f>
        <v>45805.375</v>
      </c>
      <c r="J413" s="3">
        <f ca="1">IFERROR(__xludf.DUMMYFUNCTION("""COMPUTED_VALUE"""),0.5)</f>
        <v>0.5</v>
      </c>
      <c r="K413" s="3">
        <f ca="1">IFERROR(__xludf.DUMMYFUNCTION("""COMPUTED_VALUE"""),0.5)</f>
        <v>0.5</v>
      </c>
      <c r="L413" s="3" t="str">
        <f ca="1">IFERROR(__xludf.DUMMYFUNCTION("""COMPUTED_VALUE"""),"DEV")</f>
        <v>DEV</v>
      </c>
      <c r="M413" s="3" t="str">
        <f ca="1">IFERROR(__xludf.DUMMYFUNCTION("""COMPUTED_VALUE"""),"MOC")</f>
        <v>MOC</v>
      </c>
      <c r="N413" s="157">
        <f ca="1">IFERROR(__xludf.DUMMYFUNCTION("""COMPUTED_VALUE"""),0.5)</f>
        <v>0.5</v>
      </c>
      <c r="O413" s="157">
        <f ca="1">IFERROR(__xludf.DUMMYFUNCTION("""COMPUTED_VALUE"""),0.5)</f>
        <v>0.5</v>
      </c>
      <c r="P413" s="157"/>
      <c r="R413" s="147"/>
      <c r="S413" s="147"/>
      <c r="T413" s="147"/>
      <c r="U413" s="147"/>
      <c r="X413" s="147"/>
      <c r="Y413" s="147"/>
      <c r="Z413" s="147"/>
      <c r="AA413" s="147"/>
      <c r="AB413" s="147"/>
      <c r="AC413" s="147"/>
      <c r="AD413" s="147"/>
      <c r="AE413" s="147"/>
      <c r="AF413" s="147"/>
      <c r="AG413" s="147"/>
      <c r="AH413" s="147"/>
      <c r="AI413" s="147"/>
      <c r="AJ413" s="147"/>
      <c r="AK413" s="147"/>
      <c r="AL413" s="147"/>
      <c r="AM413" s="147"/>
      <c r="AN413" s="147"/>
      <c r="AO413" s="147"/>
      <c r="AP413" s="147"/>
      <c r="AQ413" s="147"/>
    </row>
    <row r="414" spans="1:43">
      <c r="A414" s="160" t="str">
        <f ca="1">IFERROR(__xludf.DUMMYFUNCTION("""COMPUTED_VALUE"""),"213854")</f>
        <v>213854</v>
      </c>
      <c r="B414" s="3" t="str">
        <f ca="1">IFERROR(__xludf.DUMMYFUNCTION("""COMPUTED_VALUE"""),"LÊ NHẬT")</f>
        <v>LÊ NHẬT</v>
      </c>
      <c r="C414" s="160" t="str">
        <f ca="1">IFERROR(__xludf.DUMMYFUNCTION("""COMPUTED_VALUE"""),"EL037")</f>
        <v>EL037</v>
      </c>
      <c r="D414" s="160" t="str">
        <f ca="1">IFERROR(__xludf.DUMMYFUNCTION("""COMPUTED_VALUE"""),"Quan Nguyen")</f>
        <v>Quan Nguyen</v>
      </c>
      <c r="E414" s="3" t="str">
        <f ca="1">IFERROR(__xludf.DUMMYFUNCTION("""COMPUTED_VALUE"""),"Foundation")</f>
        <v>Foundation</v>
      </c>
      <c r="F414" s="3" t="str">
        <f ca="1">IFERROR(__xludf.DUMMYFUNCTION("""COMPUTED_VALUE"""),"Foundation")</f>
        <v>Foundation</v>
      </c>
      <c r="G414" s="3" t="str">
        <f ca="1">IFERROR(__xludf.DUMMYFUNCTION("""COMPUTED_VALUE"""),"Foundation")</f>
        <v>Foundation</v>
      </c>
      <c r="H414" s="156">
        <f ca="1">IFERROR(__xludf.DUMMYFUNCTION("""COMPUTED_VALUE"""),45805.375)</f>
        <v>45805.375</v>
      </c>
      <c r="I414" s="156">
        <f ca="1">IFERROR(__xludf.DUMMYFUNCTION("""COMPUTED_VALUE"""),45805.375)</f>
        <v>45805.375</v>
      </c>
      <c r="J414" s="3">
        <f ca="1">IFERROR(__xludf.DUMMYFUNCTION("""COMPUTED_VALUE"""),0.5)</f>
        <v>0.5</v>
      </c>
      <c r="K414" s="3">
        <f ca="1">IFERROR(__xludf.DUMMYFUNCTION("""COMPUTED_VALUE"""),0.5)</f>
        <v>0.5</v>
      </c>
      <c r="L414" s="3" t="str">
        <f ca="1">IFERROR(__xludf.DUMMYFUNCTION("""COMPUTED_VALUE"""),"DEV")</f>
        <v>DEV</v>
      </c>
      <c r="M414" s="3" t="str">
        <f ca="1">IFERROR(__xludf.DUMMYFUNCTION("""COMPUTED_VALUE"""),"MOC")</f>
        <v>MOC</v>
      </c>
      <c r="N414" s="157">
        <f ca="1">IFERROR(__xludf.DUMMYFUNCTION("""COMPUTED_VALUE"""),0.5)</f>
        <v>0.5</v>
      </c>
      <c r="O414" s="157">
        <f ca="1">IFERROR(__xludf.DUMMYFUNCTION("""COMPUTED_VALUE"""),1.5)</f>
        <v>1.5</v>
      </c>
      <c r="P414" s="157"/>
      <c r="R414" s="147"/>
      <c r="S414" s="147"/>
      <c r="T414" s="147"/>
      <c r="U414" s="147"/>
      <c r="X414" s="147"/>
      <c r="Y414" s="147"/>
      <c r="Z414" s="147"/>
      <c r="AA414" s="147"/>
      <c r="AB414" s="147"/>
      <c r="AC414" s="147"/>
      <c r="AD414" s="147"/>
      <c r="AE414" s="147"/>
      <c r="AF414" s="147"/>
      <c r="AG414" s="147"/>
      <c r="AH414" s="147"/>
      <c r="AI414" s="147"/>
      <c r="AJ414" s="147"/>
      <c r="AK414" s="147"/>
      <c r="AL414" s="147"/>
      <c r="AM414" s="147"/>
      <c r="AN414" s="147"/>
      <c r="AO414" s="147"/>
      <c r="AP414" s="147"/>
      <c r="AQ414" s="147"/>
    </row>
    <row r="415" spans="1:43">
      <c r="A415" s="160" t="str">
        <f ca="1">IFERROR(__xludf.DUMMYFUNCTION("""COMPUTED_VALUE"""),"213805")</f>
        <v>213805</v>
      </c>
      <c r="B415" s="3" t="str">
        <f ca="1">IFERROR(__xludf.DUMMYFUNCTION("""COMPUTED_VALUE"""),"NGUYỄN ĐỨC ANH")</f>
        <v>NGUYỄN ĐỨC ANH</v>
      </c>
      <c r="C415" s="160" t="str">
        <f ca="1">IFERROR(__xludf.DUMMYFUNCTION("""COMPUTED_VALUE"""),"EL037")</f>
        <v>EL037</v>
      </c>
      <c r="D415" s="160" t="str">
        <f ca="1">IFERROR(__xludf.DUMMYFUNCTION("""COMPUTED_VALUE"""),"Quan Nguyen")</f>
        <v>Quan Nguyen</v>
      </c>
      <c r="E415" s="3" t="str">
        <f ca="1">IFERROR(__xludf.DUMMYFUNCTION("""COMPUTED_VALUE"""),"Foundation")</f>
        <v>Foundation</v>
      </c>
      <c r="F415" s="3" t="str">
        <f ca="1">IFERROR(__xludf.DUMMYFUNCTION("""COMPUTED_VALUE"""),"Foundation")</f>
        <v>Foundation</v>
      </c>
      <c r="G415" s="3" t="str">
        <f ca="1">IFERROR(__xludf.DUMMYFUNCTION("""COMPUTED_VALUE"""),"Foundation")</f>
        <v>Foundation</v>
      </c>
      <c r="H415" s="156">
        <f ca="1">IFERROR(__xludf.DUMMYFUNCTION("""COMPUTED_VALUE"""),45805.375)</f>
        <v>45805.375</v>
      </c>
      <c r="I415" s="156">
        <f ca="1">IFERROR(__xludf.DUMMYFUNCTION("""COMPUTED_VALUE"""),45805.375)</f>
        <v>45805.375</v>
      </c>
      <c r="J415" s="3">
        <f ca="1">IFERROR(__xludf.DUMMYFUNCTION("""COMPUTED_VALUE"""),0.5)</f>
        <v>0.5</v>
      </c>
      <c r="K415" s="3">
        <f ca="1">IFERROR(__xludf.DUMMYFUNCTION("""COMPUTED_VALUE"""),0.5)</f>
        <v>0.5</v>
      </c>
      <c r="L415" s="3" t="str">
        <f ca="1">IFERROR(__xludf.DUMMYFUNCTION("""COMPUTED_VALUE"""),"DEV")</f>
        <v>DEV</v>
      </c>
      <c r="M415" s="3" t="str">
        <f ca="1">IFERROR(__xludf.DUMMYFUNCTION("""COMPUTED_VALUE"""),"MOC")</f>
        <v>MOC</v>
      </c>
      <c r="N415" s="157">
        <f ca="1">IFERROR(__xludf.DUMMYFUNCTION("""COMPUTED_VALUE"""),0.5)</f>
        <v>0.5</v>
      </c>
      <c r="O415" s="157">
        <f ca="1">IFERROR(__xludf.DUMMYFUNCTION("""COMPUTED_VALUE"""),0.5)</f>
        <v>0.5</v>
      </c>
      <c r="P415" s="157"/>
      <c r="R415" s="147"/>
      <c r="S415" s="147"/>
      <c r="T415" s="147"/>
      <c r="U415" s="147"/>
      <c r="X415" s="147"/>
      <c r="Y415" s="147"/>
      <c r="Z415" s="147"/>
      <c r="AA415" s="147"/>
      <c r="AB415" s="147"/>
      <c r="AC415" s="147"/>
      <c r="AD415" s="147"/>
      <c r="AE415" s="147"/>
      <c r="AF415" s="147"/>
      <c r="AG415" s="147"/>
      <c r="AH415" s="147"/>
      <c r="AI415" s="147"/>
      <c r="AJ415" s="147"/>
      <c r="AK415" s="147"/>
      <c r="AL415" s="147"/>
      <c r="AM415" s="147"/>
      <c r="AN415" s="147"/>
      <c r="AO415" s="147"/>
      <c r="AP415" s="147"/>
      <c r="AQ415" s="147"/>
    </row>
    <row r="416" spans="1:43">
      <c r="A416" s="160" t="str">
        <f ca="1">IFERROR(__xludf.DUMMYFUNCTION("""COMPUTED_VALUE"""),"173232")</f>
        <v>173232</v>
      </c>
      <c r="B416" s="3" t="str">
        <f ca="1">IFERROR(__xludf.DUMMYFUNCTION("""COMPUTED_VALUE"""),"NGUYỄN QUANG ĐỨC")</f>
        <v>NGUYỄN QUANG ĐỨC</v>
      </c>
      <c r="C416" s="160" t="str">
        <f ca="1">IFERROR(__xludf.DUMMYFUNCTION("""COMPUTED_VALUE"""),"EL037")</f>
        <v>EL037</v>
      </c>
      <c r="D416" s="160" t="str">
        <f ca="1">IFERROR(__xludf.DUMMYFUNCTION("""COMPUTED_VALUE"""),"Quan Nguyen")</f>
        <v>Quan Nguyen</v>
      </c>
      <c r="E416" s="3" t="str">
        <f ca="1">IFERROR(__xludf.DUMMYFUNCTION("""COMPUTED_VALUE"""),"Foundation")</f>
        <v>Foundation</v>
      </c>
      <c r="F416" s="3" t="str">
        <f ca="1">IFERROR(__xludf.DUMMYFUNCTION("""COMPUTED_VALUE"""),"Foundation")</f>
        <v>Foundation</v>
      </c>
      <c r="G416" s="3" t="str">
        <f ca="1">IFERROR(__xludf.DUMMYFUNCTION("""COMPUTED_VALUE"""),"Foundation")</f>
        <v>Foundation</v>
      </c>
      <c r="H416" s="156">
        <f ca="1">IFERROR(__xludf.DUMMYFUNCTION("""COMPUTED_VALUE"""),45805.375)</f>
        <v>45805.375</v>
      </c>
      <c r="I416" s="156">
        <f ca="1">IFERROR(__xludf.DUMMYFUNCTION("""COMPUTED_VALUE"""),45805.375)</f>
        <v>45805.375</v>
      </c>
      <c r="J416" s="3">
        <f ca="1">IFERROR(__xludf.DUMMYFUNCTION("""COMPUTED_VALUE"""),0.5)</f>
        <v>0.5</v>
      </c>
      <c r="K416" s="3">
        <f ca="1">IFERROR(__xludf.DUMMYFUNCTION("""COMPUTED_VALUE"""),0.5)</f>
        <v>0.5</v>
      </c>
      <c r="L416" s="3" t="str">
        <f ca="1">IFERROR(__xludf.DUMMYFUNCTION("""COMPUTED_VALUE"""),"TA")</f>
        <v>TA</v>
      </c>
      <c r="M416" s="3" t="str">
        <f ca="1">IFERROR(__xludf.DUMMYFUNCTION("""COMPUTED_VALUE"""),"MOC")</f>
        <v>MOC</v>
      </c>
      <c r="N416" s="157">
        <f ca="1">IFERROR(__xludf.DUMMYFUNCTION("""COMPUTED_VALUE"""),0.5)</f>
        <v>0.5</v>
      </c>
      <c r="O416" s="157">
        <f ca="1">IFERROR(__xludf.DUMMYFUNCTION("""COMPUTED_VALUE"""),3)</f>
        <v>3</v>
      </c>
      <c r="P416" s="157"/>
      <c r="R416" s="147"/>
      <c r="S416" s="147"/>
      <c r="T416" s="147"/>
      <c r="U416" s="147"/>
      <c r="X416" s="147"/>
      <c r="Y416" s="147"/>
      <c r="Z416" s="147"/>
      <c r="AA416" s="147"/>
      <c r="AB416" s="147"/>
      <c r="AC416" s="147"/>
      <c r="AD416" s="147"/>
      <c r="AE416" s="147"/>
      <c r="AF416" s="147"/>
      <c r="AG416" s="147"/>
      <c r="AH416" s="147"/>
      <c r="AI416" s="147"/>
      <c r="AJ416" s="147"/>
      <c r="AK416" s="147"/>
      <c r="AL416" s="147"/>
      <c r="AM416" s="147"/>
      <c r="AN416" s="147"/>
      <c r="AO416" s="147"/>
      <c r="AP416" s="147"/>
      <c r="AQ416" s="147"/>
    </row>
    <row r="417" spans="1:43">
      <c r="A417" s="160" t="str">
        <f ca="1">IFERROR(__xludf.DUMMYFUNCTION("""COMPUTED_VALUE"""),"203701")</f>
        <v>203701</v>
      </c>
      <c r="B417" s="3" t="str">
        <f ca="1">IFERROR(__xludf.DUMMYFUNCTION("""COMPUTED_VALUE"""),"PHẠM MAI NHẬT")</f>
        <v>PHẠM MAI NHẬT</v>
      </c>
      <c r="C417" s="160" t="str">
        <f ca="1">IFERROR(__xludf.DUMMYFUNCTION("""COMPUTED_VALUE"""),"EL037")</f>
        <v>EL037</v>
      </c>
      <c r="D417" s="160" t="str">
        <f ca="1">IFERROR(__xludf.DUMMYFUNCTION("""COMPUTED_VALUE"""),"Quan Nguyen")</f>
        <v>Quan Nguyen</v>
      </c>
      <c r="E417" s="3" t="str">
        <f ca="1">IFERROR(__xludf.DUMMYFUNCTION("""COMPUTED_VALUE"""),"Foundation")</f>
        <v>Foundation</v>
      </c>
      <c r="F417" s="3" t="str">
        <f ca="1">IFERROR(__xludf.DUMMYFUNCTION("""COMPUTED_VALUE"""),"Foundation")</f>
        <v>Foundation</v>
      </c>
      <c r="G417" s="3" t="str">
        <f ca="1">IFERROR(__xludf.DUMMYFUNCTION("""COMPUTED_VALUE"""),"Foundation")</f>
        <v>Foundation</v>
      </c>
      <c r="H417" s="156">
        <f ca="1">IFERROR(__xludf.DUMMYFUNCTION("""COMPUTED_VALUE"""),45805.375)</f>
        <v>45805.375</v>
      </c>
      <c r="I417" s="156">
        <f ca="1">IFERROR(__xludf.DUMMYFUNCTION("""COMPUTED_VALUE"""),45805.375)</f>
        <v>45805.375</v>
      </c>
      <c r="J417" s="3">
        <f ca="1">IFERROR(__xludf.DUMMYFUNCTION("""COMPUTED_VALUE"""),0.5)</f>
        <v>0.5</v>
      </c>
      <c r="K417" s="3">
        <f ca="1">IFERROR(__xludf.DUMMYFUNCTION("""COMPUTED_VALUE"""),0.5)</f>
        <v>0.5</v>
      </c>
      <c r="L417" s="3" t="str">
        <f ca="1">IFERROR(__xludf.DUMMYFUNCTION("""COMPUTED_VALUE"""),"DEV")</f>
        <v>DEV</v>
      </c>
      <c r="M417" s="3" t="str">
        <f ca="1">IFERROR(__xludf.DUMMYFUNCTION("""COMPUTED_VALUE"""),"MOC")</f>
        <v>MOC</v>
      </c>
      <c r="N417" s="157">
        <f ca="1">IFERROR(__xludf.DUMMYFUNCTION("""COMPUTED_VALUE"""),0.5)</f>
        <v>0.5</v>
      </c>
      <c r="O417" s="157">
        <f ca="1">IFERROR(__xludf.DUMMYFUNCTION("""COMPUTED_VALUE"""),3)</f>
        <v>3</v>
      </c>
      <c r="P417" s="157"/>
      <c r="R417" s="147"/>
      <c r="S417" s="147"/>
      <c r="T417" s="147"/>
      <c r="U417" s="147"/>
      <c r="X417" s="147"/>
      <c r="Y417" s="147"/>
      <c r="Z417" s="147"/>
      <c r="AA417" s="147"/>
      <c r="AB417" s="147"/>
      <c r="AC417" s="147"/>
      <c r="AD417" s="147"/>
      <c r="AE417" s="147"/>
      <c r="AF417" s="147"/>
      <c r="AG417" s="147"/>
      <c r="AH417" s="147"/>
      <c r="AI417" s="147"/>
      <c r="AJ417" s="147"/>
      <c r="AK417" s="147"/>
      <c r="AL417" s="147"/>
      <c r="AM417" s="147"/>
      <c r="AN417" s="147"/>
      <c r="AO417" s="147"/>
      <c r="AP417" s="147"/>
      <c r="AQ417" s="147"/>
    </row>
    <row r="418" spans="1:43">
      <c r="A418" s="160" t="str">
        <f ca="1">IFERROR(__xludf.DUMMYFUNCTION("""COMPUTED_VALUE"""),"213935")</f>
        <v>213935</v>
      </c>
      <c r="B418" s="3" t="str">
        <f ca="1">IFERROR(__xludf.DUMMYFUNCTION("""COMPUTED_VALUE"""),"TRẦN NHỰT DUY")</f>
        <v>TRẦN NHỰT DUY</v>
      </c>
      <c r="C418" s="160" t="str">
        <f ca="1">IFERROR(__xludf.DUMMYFUNCTION("""COMPUTED_VALUE"""),"EL037")</f>
        <v>EL037</v>
      </c>
      <c r="D418" s="160" t="str">
        <f ca="1">IFERROR(__xludf.DUMMYFUNCTION("""COMPUTED_VALUE"""),"Quan Nguyen")</f>
        <v>Quan Nguyen</v>
      </c>
      <c r="E418" s="3" t="str">
        <f ca="1">IFERROR(__xludf.DUMMYFUNCTION("""COMPUTED_VALUE"""),"Foundation")</f>
        <v>Foundation</v>
      </c>
      <c r="F418" s="3" t="str">
        <f ca="1">IFERROR(__xludf.DUMMYFUNCTION("""COMPUTED_VALUE"""),"Foundation")</f>
        <v>Foundation</v>
      </c>
      <c r="G418" s="3" t="str">
        <f ca="1">IFERROR(__xludf.DUMMYFUNCTION("""COMPUTED_VALUE"""),"Foundation")</f>
        <v>Foundation</v>
      </c>
      <c r="H418" s="156">
        <f ca="1">IFERROR(__xludf.DUMMYFUNCTION("""COMPUTED_VALUE"""),45805.375)</f>
        <v>45805.375</v>
      </c>
      <c r="I418" s="156">
        <f ca="1">IFERROR(__xludf.DUMMYFUNCTION("""COMPUTED_VALUE"""),45805.375)</f>
        <v>45805.375</v>
      </c>
      <c r="J418" s="3">
        <f ca="1">IFERROR(__xludf.DUMMYFUNCTION("""COMPUTED_VALUE"""),0.5)</f>
        <v>0.5</v>
      </c>
      <c r="K418" s="3">
        <f ca="1">IFERROR(__xludf.DUMMYFUNCTION("""COMPUTED_VALUE"""),0.5)</f>
        <v>0.5</v>
      </c>
      <c r="L418" s="3" t="str">
        <f ca="1">IFERROR(__xludf.DUMMYFUNCTION("""COMPUTED_VALUE"""),"DEV")</f>
        <v>DEV</v>
      </c>
      <c r="M418" s="3" t="str">
        <f ca="1">IFERROR(__xludf.DUMMYFUNCTION("""COMPUTED_VALUE"""),"MOC")</f>
        <v>MOC</v>
      </c>
      <c r="N418" s="157">
        <f ca="1">IFERROR(__xludf.DUMMYFUNCTION("""COMPUTED_VALUE"""),0.5)</f>
        <v>0.5</v>
      </c>
      <c r="O418" s="157">
        <f ca="1">IFERROR(__xludf.DUMMYFUNCTION("""COMPUTED_VALUE"""),0.5)</f>
        <v>0.5</v>
      </c>
      <c r="P418" s="157"/>
      <c r="R418" s="147"/>
      <c r="S418" s="147"/>
      <c r="T418" s="147"/>
      <c r="U418" s="147"/>
      <c r="X418" s="147"/>
      <c r="Y418" s="147"/>
      <c r="Z418" s="147"/>
      <c r="AA418" s="147"/>
      <c r="AB418" s="147"/>
      <c r="AC418" s="147"/>
      <c r="AD418" s="147"/>
      <c r="AE418" s="147"/>
      <c r="AF418" s="147"/>
      <c r="AG418" s="147"/>
      <c r="AH418" s="147"/>
      <c r="AI418" s="147"/>
      <c r="AJ418" s="147"/>
      <c r="AK418" s="147"/>
      <c r="AL418" s="147"/>
      <c r="AM418" s="147"/>
      <c r="AN418" s="147"/>
      <c r="AO418" s="147"/>
      <c r="AP418" s="147"/>
      <c r="AQ418" s="147"/>
    </row>
    <row r="419" spans="1:43">
      <c r="A419" s="160" t="str">
        <f ca="1">IFERROR(__xludf.DUMMYFUNCTION("""COMPUTED_VALUE"""),"227063")</f>
        <v>227063</v>
      </c>
      <c r="B419" s="3" t="str">
        <f ca="1">IFERROR(__xludf.DUMMYFUNCTION("""COMPUTED_VALUE"""),"TRƯƠNG ĐÌNH ÁNH")</f>
        <v>TRƯƠNG ĐÌNH ÁNH</v>
      </c>
      <c r="C419" s="160" t="str">
        <f ca="1">IFERROR(__xludf.DUMMYFUNCTION("""COMPUTED_VALUE"""),"EL037")</f>
        <v>EL037</v>
      </c>
      <c r="D419" s="160" t="str">
        <f ca="1">IFERROR(__xludf.DUMMYFUNCTION("""COMPUTED_VALUE"""),"Quan Nguyen")</f>
        <v>Quan Nguyen</v>
      </c>
      <c r="E419" s="3" t="str">
        <f ca="1">IFERROR(__xludf.DUMMYFUNCTION("""COMPUTED_VALUE"""),"Foundation")</f>
        <v>Foundation</v>
      </c>
      <c r="F419" s="3" t="str">
        <f ca="1">IFERROR(__xludf.DUMMYFUNCTION("""COMPUTED_VALUE"""),"Foundation")</f>
        <v>Foundation</v>
      </c>
      <c r="G419" s="3" t="str">
        <f ca="1">IFERROR(__xludf.DUMMYFUNCTION("""COMPUTED_VALUE"""),"Foundation")</f>
        <v>Foundation</v>
      </c>
      <c r="H419" s="156">
        <f ca="1">IFERROR(__xludf.DUMMYFUNCTION("""COMPUTED_VALUE"""),45805.375)</f>
        <v>45805.375</v>
      </c>
      <c r="I419" s="156">
        <f ca="1">IFERROR(__xludf.DUMMYFUNCTION("""COMPUTED_VALUE"""),45805.375)</f>
        <v>45805.375</v>
      </c>
      <c r="J419" s="3">
        <f ca="1">IFERROR(__xludf.DUMMYFUNCTION("""COMPUTED_VALUE"""),0.5)</f>
        <v>0.5</v>
      </c>
      <c r="K419" s="3">
        <f ca="1">IFERROR(__xludf.DUMMYFUNCTION("""COMPUTED_VALUE"""),0.5)</f>
        <v>0.5</v>
      </c>
      <c r="L419" s="3" t="str">
        <f ca="1">IFERROR(__xludf.DUMMYFUNCTION("""COMPUTED_VALUE"""),"DEV")</f>
        <v>DEV</v>
      </c>
      <c r="M419" s="3" t="str">
        <f ca="1">IFERROR(__xludf.DUMMYFUNCTION("""COMPUTED_VALUE"""),"MOC")</f>
        <v>MOC</v>
      </c>
      <c r="N419" s="157">
        <f ca="1">IFERROR(__xludf.DUMMYFUNCTION("""COMPUTED_VALUE"""),0.5)</f>
        <v>0.5</v>
      </c>
      <c r="O419" s="157">
        <f ca="1">IFERROR(__xludf.DUMMYFUNCTION("""COMPUTED_VALUE"""),3.5)</f>
        <v>3.5</v>
      </c>
      <c r="P419" s="157"/>
      <c r="R419" s="147"/>
      <c r="S419" s="147"/>
      <c r="T419" s="147"/>
      <c r="U419" s="147"/>
      <c r="X419" s="147"/>
      <c r="Y419" s="147"/>
      <c r="Z419" s="147"/>
      <c r="AA419" s="147"/>
      <c r="AB419" s="147"/>
      <c r="AC419" s="147"/>
      <c r="AD419" s="147"/>
      <c r="AE419" s="147"/>
      <c r="AF419" s="147"/>
      <c r="AG419" s="147"/>
      <c r="AH419" s="147"/>
      <c r="AI419" s="147"/>
      <c r="AJ419" s="147"/>
      <c r="AK419" s="147"/>
      <c r="AL419" s="147"/>
      <c r="AM419" s="147"/>
      <c r="AN419" s="147"/>
      <c r="AO419" s="147"/>
      <c r="AP419" s="147"/>
      <c r="AQ419" s="147"/>
    </row>
    <row r="420" spans="1:43">
      <c r="A420" s="160" t="str">
        <f ca="1">IFERROR(__xludf.DUMMYFUNCTION("""COMPUTED_VALUE"""),"213916")</f>
        <v>213916</v>
      </c>
      <c r="B420" s="3" t="str">
        <f ca="1">IFERROR(__xludf.DUMMYFUNCTION("""COMPUTED_VALUE"""),"VÕ CHÍ ĐẠI")</f>
        <v>VÕ CHÍ ĐẠI</v>
      </c>
      <c r="C420" s="160" t="str">
        <f ca="1">IFERROR(__xludf.DUMMYFUNCTION("""COMPUTED_VALUE"""),"EL037")</f>
        <v>EL037</v>
      </c>
      <c r="D420" s="160" t="str">
        <f ca="1">IFERROR(__xludf.DUMMYFUNCTION("""COMPUTED_VALUE"""),"Quan Nguyen")</f>
        <v>Quan Nguyen</v>
      </c>
      <c r="E420" s="3" t="str">
        <f ca="1">IFERROR(__xludf.DUMMYFUNCTION("""COMPUTED_VALUE"""),"Foundation")</f>
        <v>Foundation</v>
      </c>
      <c r="F420" s="3" t="str">
        <f ca="1">IFERROR(__xludf.DUMMYFUNCTION("""COMPUTED_VALUE"""),"Foundation")</f>
        <v>Foundation</v>
      </c>
      <c r="G420" s="3" t="str">
        <f ca="1">IFERROR(__xludf.DUMMYFUNCTION("""COMPUTED_VALUE"""),"Foundation")</f>
        <v>Foundation</v>
      </c>
      <c r="H420" s="156">
        <f ca="1">IFERROR(__xludf.DUMMYFUNCTION("""COMPUTED_VALUE"""),45805.375)</f>
        <v>45805.375</v>
      </c>
      <c r="I420" s="156">
        <f ca="1">IFERROR(__xludf.DUMMYFUNCTION("""COMPUTED_VALUE"""),45805.375)</f>
        <v>45805.375</v>
      </c>
      <c r="J420" s="3">
        <f ca="1">IFERROR(__xludf.DUMMYFUNCTION("""COMPUTED_VALUE"""),0.5)</f>
        <v>0.5</v>
      </c>
      <c r="K420" s="3">
        <f ca="1">IFERROR(__xludf.DUMMYFUNCTION("""COMPUTED_VALUE"""),0.5)</f>
        <v>0.5</v>
      </c>
      <c r="L420" s="3" t="str">
        <f ca="1">IFERROR(__xludf.DUMMYFUNCTION("""COMPUTED_VALUE"""),"DEV")</f>
        <v>DEV</v>
      </c>
      <c r="M420" s="3" t="str">
        <f ca="1">IFERROR(__xludf.DUMMYFUNCTION("""COMPUTED_VALUE"""),"MOC")</f>
        <v>MOC</v>
      </c>
      <c r="N420" s="157">
        <f ca="1">IFERROR(__xludf.DUMMYFUNCTION("""COMPUTED_VALUE"""),0.5)</f>
        <v>0.5</v>
      </c>
      <c r="O420" s="157">
        <f ca="1">IFERROR(__xludf.DUMMYFUNCTION("""COMPUTED_VALUE"""),3.5)</f>
        <v>3.5</v>
      </c>
      <c r="P420" s="157"/>
      <c r="R420" s="147"/>
      <c r="S420" s="147"/>
      <c r="T420" s="147"/>
      <c r="U420" s="147"/>
      <c r="X420" s="147"/>
      <c r="Y420" s="147"/>
      <c r="Z420" s="147"/>
      <c r="AA420" s="147"/>
      <c r="AB420" s="147"/>
      <c r="AC420" s="147"/>
      <c r="AD420" s="147"/>
      <c r="AE420" s="147"/>
      <c r="AF420" s="147"/>
      <c r="AG420" s="147"/>
      <c r="AH420" s="147"/>
      <c r="AI420" s="147"/>
      <c r="AJ420" s="147"/>
      <c r="AK420" s="147"/>
      <c r="AL420" s="147"/>
      <c r="AM420" s="147"/>
      <c r="AN420" s="147"/>
      <c r="AO420" s="147"/>
      <c r="AP420" s="147"/>
      <c r="AQ420" s="147"/>
    </row>
    <row r="421" spans="1:43">
      <c r="A421" s="160" t="str">
        <f ca="1">IFERROR(__xludf.DUMMYFUNCTION("""COMPUTED_VALUE"""),"247172")</f>
        <v>247172</v>
      </c>
      <c r="B421" s="3" t="str">
        <f ca="1">IFERROR(__xludf.DUMMYFUNCTION("""COMPUTED_VALUE"""),"NGUYỄN MINH QUÂN")</f>
        <v>NGUYỄN MINH QUÂN</v>
      </c>
      <c r="C421" s="160" t="str">
        <f ca="1">IFERROR(__xludf.DUMMYFUNCTION("""COMPUTED_VALUE"""),"EL037")</f>
        <v>EL037</v>
      </c>
      <c r="D421" s="160" t="str">
        <f ca="1">IFERROR(__xludf.DUMMYFUNCTION("""COMPUTED_VALUE"""),"Quan Nguyen")</f>
        <v>Quan Nguyen</v>
      </c>
      <c r="E421" s="3" t="str">
        <f ca="1">IFERROR(__xludf.DUMMYFUNCTION("""COMPUTED_VALUE"""),"Communication 1")</f>
        <v>Communication 1</v>
      </c>
      <c r="F421" s="3" t="str">
        <f ca="1">IFERROR(__xludf.DUMMYFUNCTION("""COMPUTED_VALUE"""),"Beginner")</f>
        <v>Beginner</v>
      </c>
      <c r="G421" s="3" t="str">
        <f ca="1">IFERROR(__xludf.DUMMYFUNCTION("""COMPUTED_VALUE"""),"Pre-Intermediate 1")</f>
        <v>Pre-Intermediate 1</v>
      </c>
      <c r="H421" s="156">
        <f ca="1">IFERROR(__xludf.DUMMYFUNCTION("""COMPUTED_VALUE"""),45930.4166666666)</f>
        <v>45930.416666666599</v>
      </c>
      <c r="I421" s="156">
        <f ca="1">IFERROR(__xludf.DUMMYFUNCTION("""COMPUTED_VALUE"""),45805.375)</f>
        <v>45805.375</v>
      </c>
      <c r="J421" s="3">
        <f ca="1">IFERROR(__xludf.DUMMYFUNCTION("""COMPUTED_VALUE"""),1)</f>
        <v>1</v>
      </c>
      <c r="K421" s="3">
        <f ca="1">IFERROR(__xludf.DUMMYFUNCTION("""COMPUTED_VALUE"""),3)</f>
        <v>3</v>
      </c>
      <c r="L421" s="3" t="str">
        <f ca="1">IFERROR(__xludf.DUMMYFUNCTION("""COMPUTED_VALUE"""),"DEV")</f>
        <v>DEV</v>
      </c>
      <c r="M421" s="3" t="str">
        <f ca="1">IFERROR(__xludf.DUMMYFUNCTION("""COMPUTED_VALUE"""),"MOC")</f>
        <v>MOC</v>
      </c>
      <c r="N421" s="157">
        <f ca="1">IFERROR(__xludf.DUMMYFUNCTION("""COMPUTED_VALUE"""),0.5)</f>
        <v>0.5</v>
      </c>
      <c r="O421" s="157">
        <f ca="1">IFERROR(__xludf.DUMMYFUNCTION("""COMPUTED_VALUE"""),3)</f>
        <v>3</v>
      </c>
      <c r="P421" s="157"/>
      <c r="R421" s="147"/>
      <c r="S421" s="147"/>
      <c r="T421" s="147"/>
      <c r="U421" s="147"/>
      <c r="X421" s="147"/>
      <c r="Y421" s="147"/>
      <c r="Z421" s="147"/>
      <c r="AA421" s="147"/>
      <c r="AB421" s="147"/>
      <c r="AC421" s="147"/>
      <c r="AD421" s="147"/>
      <c r="AE421" s="147"/>
      <c r="AF421" s="147"/>
      <c r="AG421" s="147"/>
      <c r="AH421" s="147"/>
      <c r="AI421" s="147"/>
      <c r="AJ421" s="147"/>
      <c r="AK421" s="147"/>
      <c r="AL421" s="147"/>
      <c r="AM421" s="147"/>
      <c r="AN421" s="147"/>
      <c r="AO421" s="147"/>
      <c r="AP421" s="147"/>
      <c r="AQ421" s="147"/>
    </row>
    <row r="422" spans="1:43">
      <c r="A422" s="160" t="str">
        <f ca="1">IFERROR(__xludf.DUMMYFUNCTION("""COMPUTED_VALUE"""),"213854")</f>
        <v>213854</v>
      </c>
      <c r="B422" s="3" t="str">
        <f ca="1">IFERROR(__xludf.DUMMYFUNCTION("""COMPUTED_VALUE"""),"LÊ NHẬT")</f>
        <v>LÊ NHẬT</v>
      </c>
      <c r="C422" s="160" t="str">
        <f ca="1">IFERROR(__xludf.DUMMYFUNCTION("""COMPUTED_VALUE"""),"EL037")</f>
        <v>EL037</v>
      </c>
      <c r="D422" s="160" t="str">
        <f ca="1">IFERROR(__xludf.DUMMYFUNCTION("""COMPUTED_VALUE"""),"Quan Nguyen")</f>
        <v>Quan Nguyen</v>
      </c>
      <c r="E422" s="3" t="str">
        <f ca="1">IFERROR(__xludf.DUMMYFUNCTION("""COMPUTED_VALUE"""),"Communication 1")</f>
        <v>Communication 1</v>
      </c>
      <c r="F422" s="3" t="str">
        <f ca="1">IFERROR(__xludf.DUMMYFUNCTION("""COMPUTED_VALUE"""),"Beginner")</f>
        <v>Beginner</v>
      </c>
      <c r="G422" s="3" t="str">
        <f ca="1">IFERROR(__xludf.DUMMYFUNCTION("""COMPUTED_VALUE"""),"Beginner 2")</f>
        <v>Beginner 2</v>
      </c>
      <c r="H422" s="156">
        <f ca="1">IFERROR(__xludf.DUMMYFUNCTION("""COMPUTED_VALUE"""),45930.4166666666)</f>
        <v>45930.416666666599</v>
      </c>
      <c r="I422" s="156">
        <f ca="1">IFERROR(__xludf.DUMMYFUNCTION("""COMPUTED_VALUE"""),45805.375)</f>
        <v>45805.375</v>
      </c>
      <c r="J422" s="3">
        <f ca="1">IFERROR(__xludf.DUMMYFUNCTION("""COMPUTED_VALUE"""),1)</f>
        <v>1</v>
      </c>
      <c r="K422" s="3">
        <f ca="1">IFERROR(__xludf.DUMMYFUNCTION("""COMPUTED_VALUE"""),1.5)</f>
        <v>1.5</v>
      </c>
      <c r="L422" s="3" t="str">
        <f ca="1">IFERROR(__xludf.DUMMYFUNCTION("""COMPUTED_VALUE"""),"DEV")</f>
        <v>DEV</v>
      </c>
      <c r="M422" s="3" t="str">
        <f ca="1">IFERROR(__xludf.DUMMYFUNCTION("""COMPUTED_VALUE"""),"MOC")</f>
        <v>MOC</v>
      </c>
      <c r="N422" s="157">
        <f ca="1">IFERROR(__xludf.DUMMYFUNCTION("""COMPUTED_VALUE"""),0.5)</f>
        <v>0.5</v>
      </c>
      <c r="O422" s="157">
        <f ca="1">IFERROR(__xludf.DUMMYFUNCTION("""COMPUTED_VALUE"""),1.5)</f>
        <v>1.5</v>
      </c>
      <c r="P422" s="157"/>
      <c r="R422" s="147"/>
      <c r="S422" s="147"/>
      <c r="T422" s="147"/>
      <c r="U422" s="147"/>
      <c r="X422" s="147"/>
      <c r="Y422" s="147"/>
      <c r="Z422" s="147"/>
      <c r="AA422" s="147"/>
      <c r="AB422" s="147"/>
      <c r="AC422" s="147"/>
      <c r="AD422" s="147"/>
      <c r="AE422" s="147"/>
      <c r="AF422" s="147"/>
      <c r="AG422" s="147"/>
      <c r="AH422" s="147"/>
      <c r="AI422" s="147"/>
      <c r="AJ422" s="147"/>
      <c r="AK422" s="147"/>
      <c r="AL422" s="147"/>
      <c r="AM422" s="147"/>
      <c r="AN422" s="147"/>
      <c r="AO422" s="147"/>
      <c r="AP422" s="147"/>
      <c r="AQ422" s="147"/>
    </row>
    <row r="423" spans="1:43">
      <c r="A423" s="160" t="str">
        <f ca="1">IFERROR(__xludf.DUMMYFUNCTION("""COMPUTED_VALUE"""),"213805")</f>
        <v>213805</v>
      </c>
      <c r="B423" s="3" t="str">
        <f ca="1">IFERROR(__xludf.DUMMYFUNCTION("""COMPUTED_VALUE"""),"NGUYỄN ĐỨC ANH")</f>
        <v>NGUYỄN ĐỨC ANH</v>
      </c>
      <c r="C423" s="160" t="str">
        <f ca="1">IFERROR(__xludf.DUMMYFUNCTION("""COMPUTED_VALUE"""),"EL037")</f>
        <v>EL037</v>
      </c>
      <c r="D423" s="160" t="str">
        <f ca="1">IFERROR(__xludf.DUMMYFUNCTION("""COMPUTED_VALUE"""),"Quan Nguyen")</f>
        <v>Quan Nguyen</v>
      </c>
      <c r="E423" s="3" t="str">
        <f ca="1">IFERROR(__xludf.DUMMYFUNCTION("""COMPUTED_VALUE"""),"Communication 1")</f>
        <v>Communication 1</v>
      </c>
      <c r="F423" s="3"/>
      <c r="G423" s="3"/>
      <c r="H423" s="156">
        <f ca="1">IFERROR(__xludf.DUMMYFUNCTION("""COMPUTED_VALUE"""),45930.4166666666)</f>
        <v>45930.416666666599</v>
      </c>
      <c r="I423" s="156">
        <f ca="1">IFERROR(__xludf.DUMMYFUNCTION("""COMPUTED_VALUE"""),45805.375)</f>
        <v>45805.375</v>
      </c>
      <c r="J423" s="3" t="str">
        <f ca="1">IFERROR(__xludf.DUMMYFUNCTION("""COMPUTED_VALUE"""),"")</f>
        <v/>
      </c>
      <c r="K423" s="3" t="str">
        <f ca="1">IFERROR(__xludf.DUMMYFUNCTION("""COMPUTED_VALUE"""),"")</f>
        <v/>
      </c>
      <c r="L423" s="3" t="str">
        <f ca="1">IFERROR(__xludf.DUMMYFUNCTION("""COMPUTED_VALUE"""),"DEV")</f>
        <v>DEV</v>
      </c>
      <c r="M423" s="3" t="str">
        <f ca="1">IFERROR(__xludf.DUMMYFUNCTION("""COMPUTED_VALUE"""),"MOC")</f>
        <v>MOC</v>
      </c>
      <c r="N423" s="157">
        <f ca="1">IFERROR(__xludf.DUMMYFUNCTION("""COMPUTED_VALUE"""),0.5)</f>
        <v>0.5</v>
      </c>
      <c r="O423" s="157">
        <f ca="1">IFERROR(__xludf.DUMMYFUNCTION("""COMPUTED_VALUE"""),0.5)</f>
        <v>0.5</v>
      </c>
      <c r="P423" s="157"/>
      <c r="R423" s="147"/>
      <c r="S423" s="147"/>
      <c r="T423" s="147"/>
      <c r="U423" s="147"/>
      <c r="X423" s="147"/>
      <c r="Y423" s="147"/>
      <c r="Z423" s="147"/>
      <c r="AA423" s="147"/>
      <c r="AB423" s="147"/>
      <c r="AC423" s="147"/>
      <c r="AD423" s="147"/>
      <c r="AE423" s="147"/>
      <c r="AF423" s="147"/>
      <c r="AG423" s="147"/>
      <c r="AH423" s="147"/>
      <c r="AI423" s="147"/>
      <c r="AJ423" s="147"/>
      <c r="AK423" s="147"/>
      <c r="AL423" s="147"/>
      <c r="AM423" s="147"/>
      <c r="AN423" s="147"/>
      <c r="AO423" s="147"/>
      <c r="AP423" s="147"/>
      <c r="AQ423" s="147"/>
    </row>
    <row r="424" spans="1:43">
      <c r="A424" s="160" t="str">
        <f ca="1">IFERROR(__xludf.DUMMYFUNCTION("""COMPUTED_VALUE"""),"173232")</f>
        <v>173232</v>
      </c>
      <c r="B424" s="3" t="str">
        <f ca="1">IFERROR(__xludf.DUMMYFUNCTION("""COMPUTED_VALUE"""),"NGUYỄN QUANG ĐỨC")</f>
        <v>NGUYỄN QUANG ĐỨC</v>
      </c>
      <c r="C424" s="160" t="str">
        <f ca="1">IFERROR(__xludf.DUMMYFUNCTION("""COMPUTED_VALUE"""),"EL037")</f>
        <v>EL037</v>
      </c>
      <c r="D424" s="160" t="str">
        <f ca="1">IFERROR(__xludf.DUMMYFUNCTION("""COMPUTED_VALUE"""),"Quan Nguyen")</f>
        <v>Quan Nguyen</v>
      </c>
      <c r="E424" s="3" t="str">
        <f ca="1">IFERROR(__xludf.DUMMYFUNCTION("""COMPUTED_VALUE"""),"Communication 1")</f>
        <v>Communication 1</v>
      </c>
      <c r="F424" s="3" t="str">
        <f ca="1">IFERROR(__xludf.DUMMYFUNCTION("""COMPUTED_VALUE"""),"Beginner")</f>
        <v>Beginner</v>
      </c>
      <c r="G424" s="3" t="str">
        <f ca="1">IFERROR(__xludf.DUMMYFUNCTION("""COMPUTED_VALUE"""),"Pre-Intermediate 1")</f>
        <v>Pre-Intermediate 1</v>
      </c>
      <c r="H424" s="156">
        <f ca="1">IFERROR(__xludf.DUMMYFUNCTION("""COMPUTED_VALUE"""),45930.4166666666)</f>
        <v>45930.416666666599</v>
      </c>
      <c r="I424" s="156">
        <f ca="1">IFERROR(__xludf.DUMMYFUNCTION("""COMPUTED_VALUE"""),45805.375)</f>
        <v>45805.375</v>
      </c>
      <c r="J424" s="3">
        <f ca="1">IFERROR(__xludf.DUMMYFUNCTION("""COMPUTED_VALUE"""),1)</f>
        <v>1</v>
      </c>
      <c r="K424" s="3">
        <f ca="1">IFERROR(__xludf.DUMMYFUNCTION("""COMPUTED_VALUE"""),3)</f>
        <v>3</v>
      </c>
      <c r="L424" s="3" t="str">
        <f ca="1">IFERROR(__xludf.DUMMYFUNCTION("""COMPUTED_VALUE"""),"TA")</f>
        <v>TA</v>
      </c>
      <c r="M424" s="3" t="str">
        <f ca="1">IFERROR(__xludf.DUMMYFUNCTION("""COMPUTED_VALUE"""),"MOC")</f>
        <v>MOC</v>
      </c>
      <c r="N424" s="157">
        <f ca="1">IFERROR(__xludf.DUMMYFUNCTION("""COMPUTED_VALUE"""),0.5)</f>
        <v>0.5</v>
      </c>
      <c r="O424" s="157">
        <f ca="1">IFERROR(__xludf.DUMMYFUNCTION("""COMPUTED_VALUE"""),3)</f>
        <v>3</v>
      </c>
      <c r="P424" s="157"/>
      <c r="R424" s="147"/>
      <c r="S424" s="147"/>
      <c r="T424" s="147"/>
      <c r="U424" s="147"/>
      <c r="X424" s="147"/>
      <c r="Y424" s="147"/>
      <c r="Z424" s="147"/>
      <c r="AA424" s="147"/>
      <c r="AB424" s="147"/>
      <c r="AC424" s="147"/>
      <c r="AD424" s="147"/>
      <c r="AE424" s="147"/>
      <c r="AF424" s="147"/>
      <c r="AG424" s="147"/>
      <c r="AH424" s="147"/>
      <c r="AI424" s="147"/>
      <c r="AJ424" s="147"/>
      <c r="AK424" s="147"/>
      <c r="AL424" s="147"/>
      <c r="AM424" s="147"/>
      <c r="AN424" s="147"/>
      <c r="AO424" s="147"/>
      <c r="AP424" s="147"/>
      <c r="AQ424" s="147"/>
    </row>
    <row r="425" spans="1:43">
      <c r="A425" s="160" t="str">
        <f ca="1">IFERROR(__xludf.DUMMYFUNCTION("""COMPUTED_VALUE"""),"203701")</f>
        <v>203701</v>
      </c>
      <c r="B425" s="3" t="str">
        <f ca="1">IFERROR(__xludf.DUMMYFUNCTION("""COMPUTED_VALUE"""),"PHẠM MAI NHẬT")</f>
        <v>PHẠM MAI NHẬT</v>
      </c>
      <c r="C425" s="160" t="str">
        <f ca="1">IFERROR(__xludf.DUMMYFUNCTION("""COMPUTED_VALUE"""),"EL037")</f>
        <v>EL037</v>
      </c>
      <c r="D425" s="160" t="str">
        <f ca="1">IFERROR(__xludf.DUMMYFUNCTION("""COMPUTED_VALUE"""),"Quan Nguyen")</f>
        <v>Quan Nguyen</v>
      </c>
      <c r="E425" s="3" t="str">
        <f ca="1">IFERROR(__xludf.DUMMYFUNCTION("""COMPUTED_VALUE"""),"Communication 1")</f>
        <v>Communication 1</v>
      </c>
      <c r="F425" s="3" t="str">
        <f ca="1">IFERROR(__xludf.DUMMYFUNCTION("""COMPUTED_VALUE"""),"Beginner")</f>
        <v>Beginner</v>
      </c>
      <c r="G425" s="3" t="str">
        <f ca="1">IFERROR(__xludf.DUMMYFUNCTION("""COMPUTED_VALUE"""),"Pre-Intermediate 1")</f>
        <v>Pre-Intermediate 1</v>
      </c>
      <c r="H425" s="156">
        <f ca="1">IFERROR(__xludf.DUMMYFUNCTION("""COMPUTED_VALUE"""),45930.4166666666)</f>
        <v>45930.416666666599</v>
      </c>
      <c r="I425" s="156">
        <f ca="1">IFERROR(__xludf.DUMMYFUNCTION("""COMPUTED_VALUE"""),45805.375)</f>
        <v>45805.375</v>
      </c>
      <c r="J425" s="3">
        <f ca="1">IFERROR(__xludf.DUMMYFUNCTION("""COMPUTED_VALUE"""),1)</f>
        <v>1</v>
      </c>
      <c r="K425" s="3">
        <f ca="1">IFERROR(__xludf.DUMMYFUNCTION("""COMPUTED_VALUE"""),3)</f>
        <v>3</v>
      </c>
      <c r="L425" s="3" t="str">
        <f ca="1">IFERROR(__xludf.DUMMYFUNCTION("""COMPUTED_VALUE"""),"DEV")</f>
        <v>DEV</v>
      </c>
      <c r="M425" s="3" t="str">
        <f ca="1">IFERROR(__xludf.DUMMYFUNCTION("""COMPUTED_VALUE"""),"MOC")</f>
        <v>MOC</v>
      </c>
      <c r="N425" s="157">
        <f ca="1">IFERROR(__xludf.DUMMYFUNCTION("""COMPUTED_VALUE"""),0.5)</f>
        <v>0.5</v>
      </c>
      <c r="O425" s="157">
        <f ca="1">IFERROR(__xludf.DUMMYFUNCTION("""COMPUTED_VALUE"""),3)</f>
        <v>3</v>
      </c>
      <c r="P425" s="157"/>
      <c r="R425" s="147"/>
      <c r="S425" s="147"/>
      <c r="T425" s="147"/>
      <c r="U425" s="147"/>
      <c r="X425" s="147"/>
      <c r="Y425" s="147"/>
      <c r="Z425" s="147"/>
      <c r="AA425" s="147"/>
      <c r="AB425" s="147"/>
      <c r="AC425" s="147"/>
      <c r="AD425" s="147"/>
      <c r="AE425" s="147"/>
      <c r="AF425" s="147"/>
      <c r="AG425" s="147"/>
      <c r="AH425" s="147"/>
      <c r="AI425" s="147"/>
      <c r="AJ425" s="147"/>
      <c r="AK425" s="147"/>
      <c r="AL425" s="147"/>
      <c r="AM425" s="147"/>
      <c r="AN425" s="147"/>
      <c r="AO425" s="147"/>
      <c r="AP425" s="147"/>
      <c r="AQ425" s="147"/>
    </row>
    <row r="426" spans="1:43">
      <c r="A426" s="160" t="str">
        <f ca="1">IFERROR(__xludf.DUMMYFUNCTION("""COMPUTED_VALUE"""),"213935")</f>
        <v>213935</v>
      </c>
      <c r="B426" s="3" t="str">
        <f ca="1">IFERROR(__xludf.DUMMYFUNCTION("""COMPUTED_VALUE"""),"TRẦN NHỰT DUY")</f>
        <v>TRẦN NHỰT DUY</v>
      </c>
      <c r="C426" s="160" t="str">
        <f ca="1">IFERROR(__xludf.DUMMYFUNCTION("""COMPUTED_VALUE"""),"EL037")</f>
        <v>EL037</v>
      </c>
      <c r="D426" s="160" t="str">
        <f ca="1">IFERROR(__xludf.DUMMYFUNCTION("""COMPUTED_VALUE"""),"Quan Nguyen")</f>
        <v>Quan Nguyen</v>
      </c>
      <c r="E426" s="3" t="str">
        <f ca="1">IFERROR(__xludf.DUMMYFUNCTION("""COMPUTED_VALUE"""),"Communication 1")</f>
        <v>Communication 1</v>
      </c>
      <c r="F426" s="3"/>
      <c r="G426" s="3"/>
      <c r="H426" s="156">
        <f ca="1">IFERROR(__xludf.DUMMYFUNCTION("""COMPUTED_VALUE"""),45930.4166666666)</f>
        <v>45930.416666666599</v>
      </c>
      <c r="I426" s="156">
        <f ca="1">IFERROR(__xludf.DUMMYFUNCTION("""COMPUTED_VALUE"""),45805.375)</f>
        <v>45805.375</v>
      </c>
      <c r="J426" s="3" t="str">
        <f ca="1">IFERROR(__xludf.DUMMYFUNCTION("""COMPUTED_VALUE"""),"")</f>
        <v/>
      </c>
      <c r="K426" s="3" t="str">
        <f ca="1">IFERROR(__xludf.DUMMYFUNCTION("""COMPUTED_VALUE"""),"")</f>
        <v/>
      </c>
      <c r="L426" s="3" t="str">
        <f ca="1">IFERROR(__xludf.DUMMYFUNCTION("""COMPUTED_VALUE"""),"DEV")</f>
        <v>DEV</v>
      </c>
      <c r="M426" s="3" t="str">
        <f ca="1">IFERROR(__xludf.DUMMYFUNCTION("""COMPUTED_VALUE"""),"MOC")</f>
        <v>MOC</v>
      </c>
      <c r="N426" s="157">
        <f ca="1">IFERROR(__xludf.DUMMYFUNCTION("""COMPUTED_VALUE"""),0.5)</f>
        <v>0.5</v>
      </c>
      <c r="O426" s="157">
        <f ca="1">IFERROR(__xludf.DUMMYFUNCTION("""COMPUTED_VALUE"""),0.5)</f>
        <v>0.5</v>
      </c>
      <c r="P426" s="157"/>
      <c r="R426" s="147"/>
      <c r="S426" s="147"/>
      <c r="T426" s="147"/>
      <c r="U426" s="147"/>
      <c r="X426" s="147"/>
      <c r="Y426" s="147"/>
      <c r="Z426" s="147"/>
      <c r="AA426" s="147"/>
      <c r="AB426" s="147"/>
      <c r="AC426" s="147"/>
      <c r="AD426" s="147"/>
      <c r="AE426" s="147"/>
      <c r="AF426" s="147"/>
      <c r="AG426" s="147"/>
      <c r="AH426" s="147"/>
      <c r="AI426" s="147"/>
      <c r="AJ426" s="147"/>
      <c r="AK426" s="147"/>
      <c r="AL426" s="147"/>
      <c r="AM426" s="147"/>
      <c r="AN426" s="147"/>
      <c r="AO426" s="147"/>
      <c r="AP426" s="147"/>
      <c r="AQ426" s="147"/>
    </row>
    <row r="427" spans="1:43">
      <c r="A427" s="160" t="str">
        <f ca="1">IFERROR(__xludf.DUMMYFUNCTION("""COMPUTED_VALUE"""),"227063")</f>
        <v>227063</v>
      </c>
      <c r="B427" s="3" t="str">
        <f ca="1">IFERROR(__xludf.DUMMYFUNCTION("""COMPUTED_VALUE"""),"TRƯƠNG ĐÌNH ÁNH")</f>
        <v>TRƯƠNG ĐÌNH ÁNH</v>
      </c>
      <c r="C427" s="160" t="str">
        <f ca="1">IFERROR(__xludf.DUMMYFUNCTION("""COMPUTED_VALUE"""),"EL037")</f>
        <v>EL037</v>
      </c>
      <c r="D427" s="160" t="str">
        <f ca="1">IFERROR(__xludf.DUMMYFUNCTION("""COMPUTED_VALUE"""),"Quan Nguyen")</f>
        <v>Quan Nguyen</v>
      </c>
      <c r="E427" s="3" t="str">
        <f ca="1">IFERROR(__xludf.DUMMYFUNCTION("""COMPUTED_VALUE"""),"Communication 1")</f>
        <v>Communication 1</v>
      </c>
      <c r="F427" s="3" t="str">
        <f ca="1">IFERROR(__xludf.DUMMYFUNCTION("""COMPUTED_VALUE"""),"Beginner")</f>
        <v>Beginner</v>
      </c>
      <c r="G427" s="3" t="str">
        <f ca="1">IFERROR(__xludf.DUMMYFUNCTION("""COMPUTED_VALUE"""),"Pre-Intermediate 2")</f>
        <v>Pre-Intermediate 2</v>
      </c>
      <c r="H427" s="156">
        <f ca="1">IFERROR(__xludf.DUMMYFUNCTION("""COMPUTED_VALUE"""),45930.4166666666)</f>
        <v>45930.416666666599</v>
      </c>
      <c r="I427" s="156">
        <f ca="1">IFERROR(__xludf.DUMMYFUNCTION("""COMPUTED_VALUE"""),45805.375)</f>
        <v>45805.375</v>
      </c>
      <c r="J427" s="3">
        <f ca="1">IFERROR(__xludf.DUMMYFUNCTION("""COMPUTED_VALUE"""),1)</f>
        <v>1</v>
      </c>
      <c r="K427" s="3">
        <f ca="1">IFERROR(__xludf.DUMMYFUNCTION("""COMPUTED_VALUE"""),3.5)</f>
        <v>3.5</v>
      </c>
      <c r="L427" s="3" t="str">
        <f ca="1">IFERROR(__xludf.DUMMYFUNCTION("""COMPUTED_VALUE"""),"DEV")</f>
        <v>DEV</v>
      </c>
      <c r="M427" s="3" t="str">
        <f ca="1">IFERROR(__xludf.DUMMYFUNCTION("""COMPUTED_VALUE"""),"MOC")</f>
        <v>MOC</v>
      </c>
      <c r="N427" s="157">
        <f ca="1">IFERROR(__xludf.DUMMYFUNCTION("""COMPUTED_VALUE"""),0.5)</f>
        <v>0.5</v>
      </c>
      <c r="O427" s="157">
        <f ca="1">IFERROR(__xludf.DUMMYFUNCTION("""COMPUTED_VALUE"""),3.5)</f>
        <v>3.5</v>
      </c>
      <c r="P427" s="157"/>
      <c r="R427" s="147"/>
      <c r="S427" s="147"/>
      <c r="T427" s="147"/>
      <c r="U427" s="147"/>
      <c r="X427" s="147"/>
      <c r="Y427" s="147"/>
      <c r="Z427" s="147"/>
      <c r="AA427" s="147"/>
      <c r="AB427" s="147"/>
      <c r="AC427" s="147"/>
      <c r="AD427" s="147"/>
      <c r="AE427" s="147"/>
      <c r="AF427" s="147"/>
      <c r="AG427" s="147"/>
      <c r="AH427" s="147"/>
      <c r="AI427" s="147"/>
      <c r="AJ427" s="147"/>
      <c r="AK427" s="147"/>
      <c r="AL427" s="147"/>
      <c r="AM427" s="147"/>
      <c r="AN427" s="147"/>
      <c r="AO427" s="147"/>
      <c r="AP427" s="147"/>
      <c r="AQ427" s="147"/>
    </row>
    <row r="428" spans="1:43">
      <c r="A428" s="160" t="str">
        <f ca="1">IFERROR(__xludf.DUMMYFUNCTION("""COMPUTED_VALUE"""),"213916")</f>
        <v>213916</v>
      </c>
      <c r="B428" s="3" t="str">
        <f ca="1">IFERROR(__xludf.DUMMYFUNCTION("""COMPUTED_VALUE"""),"VÕ CHÍ ĐẠI")</f>
        <v>VÕ CHÍ ĐẠI</v>
      </c>
      <c r="C428" s="160" t="str">
        <f ca="1">IFERROR(__xludf.DUMMYFUNCTION("""COMPUTED_VALUE"""),"EL037")</f>
        <v>EL037</v>
      </c>
      <c r="D428" s="160" t="str">
        <f ca="1">IFERROR(__xludf.DUMMYFUNCTION("""COMPUTED_VALUE"""),"Quan Nguyen")</f>
        <v>Quan Nguyen</v>
      </c>
      <c r="E428" s="3" t="str">
        <f ca="1">IFERROR(__xludf.DUMMYFUNCTION("""COMPUTED_VALUE"""),"Communication 1")</f>
        <v>Communication 1</v>
      </c>
      <c r="F428" s="3" t="str">
        <f ca="1">IFERROR(__xludf.DUMMYFUNCTION("""COMPUTED_VALUE"""),"Beginner")</f>
        <v>Beginner</v>
      </c>
      <c r="G428" s="3" t="str">
        <f ca="1">IFERROR(__xludf.DUMMYFUNCTION("""COMPUTED_VALUE"""),"Pre-Intermediate 2")</f>
        <v>Pre-Intermediate 2</v>
      </c>
      <c r="H428" s="156">
        <f ca="1">IFERROR(__xludf.DUMMYFUNCTION("""COMPUTED_VALUE"""),45930.4166666666)</f>
        <v>45930.416666666599</v>
      </c>
      <c r="I428" s="156">
        <f ca="1">IFERROR(__xludf.DUMMYFUNCTION("""COMPUTED_VALUE"""),45805.375)</f>
        <v>45805.375</v>
      </c>
      <c r="J428" s="3">
        <f ca="1">IFERROR(__xludf.DUMMYFUNCTION("""COMPUTED_VALUE"""),1)</f>
        <v>1</v>
      </c>
      <c r="K428" s="3">
        <f ca="1">IFERROR(__xludf.DUMMYFUNCTION("""COMPUTED_VALUE"""),3.5)</f>
        <v>3.5</v>
      </c>
      <c r="L428" s="3" t="str">
        <f ca="1">IFERROR(__xludf.DUMMYFUNCTION("""COMPUTED_VALUE"""),"DEV")</f>
        <v>DEV</v>
      </c>
      <c r="M428" s="3" t="str">
        <f ca="1">IFERROR(__xludf.DUMMYFUNCTION("""COMPUTED_VALUE"""),"MOC")</f>
        <v>MOC</v>
      </c>
      <c r="N428" s="157">
        <f ca="1">IFERROR(__xludf.DUMMYFUNCTION("""COMPUTED_VALUE"""),0.5)</f>
        <v>0.5</v>
      </c>
      <c r="O428" s="157">
        <f ca="1">IFERROR(__xludf.DUMMYFUNCTION("""COMPUTED_VALUE"""),3.5)</f>
        <v>3.5</v>
      </c>
      <c r="P428" s="157"/>
      <c r="R428" s="147"/>
      <c r="S428" s="147"/>
      <c r="T428" s="147"/>
      <c r="U428" s="147"/>
      <c r="X428" s="147"/>
      <c r="Y428" s="147"/>
      <c r="Z428" s="147"/>
      <c r="AA428" s="147"/>
      <c r="AB428" s="147"/>
      <c r="AC428" s="147"/>
      <c r="AD428" s="147"/>
      <c r="AE428" s="147"/>
      <c r="AF428" s="147"/>
      <c r="AG428" s="147"/>
      <c r="AH428" s="147"/>
      <c r="AI428" s="147"/>
      <c r="AJ428" s="147"/>
      <c r="AK428" s="147"/>
      <c r="AL428" s="147"/>
      <c r="AM428" s="147"/>
      <c r="AN428" s="147"/>
      <c r="AO428" s="147"/>
      <c r="AP428" s="147"/>
      <c r="AQ428" s="147"/>
    </row>
    <row r="429" spans="1:43">
      <c r="A429" s="160" t="str">
        <f ca="1">IFERROR(__xludf.DUMMYFUNCTION("""COMPUTED_VALUE"""),"247172")</f>
        <v>247172</v>
      </c>
      <c r="B429" s="3" t="str">
        <f ca="1">IFERROR(__xludf.DUMMYFUNCTION("""COMPUTED_VALUE"""),"NGUYỄN MINH QUÂN")</f>
        <v>NGUYỄN MINH QUÂN</v>
      </c>
      <c r="C429" s="160" t="str">
        <f ca="1">IFERROR(__xludf.DUMMYFUNCTION("""COMPUTED_VALUE"""),"EL037")</f>
        <v>EL037</v>
      </c>
      <c r="D429" s="160" t="str">
        <f ca="1">IFERROR(__xludf.DUMMYFUNCTION("""COMPUTED_VALUE"""),"Quan Nguyen")</f>
        <v>Quan Nguyen</v>
      </c>
      <c r="E429" s="3" t="str">
        <f ca="1">IFERROR(__xludf.DUMMYFUNCTION("""COMPUTED_VALUE"""),"Communication 2")</f>
        <v>Communication 2</v>
      </c>
      <c r="F429" s="3"/>
      <c r="G429" s="3"/>
      <c r="H429" s="156">
        <f ca="1">IFERROR(__xludf.DUMMYFUNCTION("""COMPUTED_VALUE"""),46098.625)</f>
        <v>46098.625</v>
      </c>
      <c r="I429" s="156">
        <f ca="1">IFERROR(__xludf.DUMMYFUNCTION("""COMPUTED_VALUE"""),45805.375)</f>
        <v>45805.375</v>
      </c>
      <c r="J429" s="3" t="str">
        <f ca="1">IFERROR(__xludf.DUMMYFUNCTION("""COMPUTED_VALUE"""),"")</f>
        <v/>
      </c>
      <c r="K429" s="3" t="str">
        <f ca="1">IFERROR(__xludf.DUMMYFUNCTION("""COMPUTED_VALUE"""),"")</f>
        <v/>
      </c>
      <c r="L429" s="3" t="str">
        <f ca="1">IFERROR(__xludf.DUMMYFUNCTION("""COMPUTED_VALUE"""),"DEV")</f>
        <v>DEV</v>
      </c>
      <c r="M429" s="3" t="str">
        <f ca="1">IFERROR(__xludf.DUMMYFUNCTION("""COMPUTED_VALUE"""),"MOC")</f>
        <v>MOC</v>
      </c>
      <c r="N429" s="157">
        <f ca="1">IFERROR(__xludf.DUMMYFUNCTION("""COMPUTED_VALUE"""),0.5)</f>
        <v>0.5</v>
      </c>
      <c r="O429" s="157">
        <f ca="1">IFERROR(__xludf.DUMMYFUNCTION("""COMPUTED_VALUE"""),3)</f>
        <v>3</v>
      </c>
      <c r="P429" s="157"/>
      <c r="R429" s="147"/>
      <c r="S429" s="147"/>
      <c r="T429" s="147"/>
      <c r="U429" s="147"/>
      <c r="X429" s="147"/>
      <c r="Y429" s="147"/>
      <c r="Z429" s="147"/>
      <c r="AA429" s="147"/>
      <c r="AB429" s="147"/>
      <c r="AC429" s="147"/>
      <c r="AD429" s="147"/>
      <c r="AE429" s="147"/>
      <c r="AF429" s="147"/>
      <c r="AG429" s="147"/>
      <c r="AH429" s="147"/>
      <c r="AI429" s="147"/>
      <c r="AJ429" s="147"/>
      <c r="AK429" s="147"/>
      <c r="AL429" s="147"/>
      <c r="AM429" s="147"/>
      <c r="AN429" s="147"/>
      <c r="AO429" s="147"/>
      <c r="AP429" s="147"/>
      <c r="AQ429" s="147"/>
    </row>
    <row r="430" spans="1:43">
      <c r="A430" s="160" t="str">
        <f ca="1">IFERROR(__xludf.DUMMYFUNCTION("""COMPUTED_VALUE"""),"173232")</f>
        <v>173232</v>
      </c>
      <c r="B430" s="3" t="str">
        <f ca="1">IFERROR(__xludf.DUMMYFUNCTION("""COMPUTED_VALUE"""),"NGUYỄN QUANG ĐỨC")</f>
        <v>NGUYỄN QUANG ĐỨC</v>
      </c>
      <c r="C430" s="160" t="str">
        <f ca="1">IFERROR(__xludf.DUMMYFUNCTION("""COMPUTED_VALUE"""),"EL037")</f>
        <v>EL037</v>
      </c>
      <c r="D430" s="160" t="str">
        <f ca="1">IFERROR(__xludf.DUMMYFUNCTION("""COMPUTED_VALUE"""),"Quan Nguyen")</f>
        <v>Quan Nguyen</v>
      </c>
      <c r="E430" s="3" t="str">
        <f ca="1">IFERROR(__xludf.DUMMYFUNCTION("""COMPUTED_VALUE"""),"Communication 2")</f>
        <v>Communication 2</v>
      </c>
      <c r="F430" s="3"/>
      <c r="G430" s="3"/>
      <c r="H430" s="156">
        <f ca="1">IFERROR(__xludf.DUMMYFUNCTION("""COMPUTED_VALUE"""),46098.625)</f>
        <v>46098.625</v>
      </c>
      <c r="I430" s="156">
        <f ca="1">IFERROR(__xludf.DUMMYFUNCTION("""COMPUTED_VALUE"""),45805.375)</f>
        <v>45805.375</v>
      </c>
      <c r="J430" s="3" t="str">
        <f ca="1">IFERROR(__xludf.DUMMYFUNCTION("""COMPUTED_VALUE"""),"")</f>
        <v/>
      </c>
      <c r="K430" s="3" t="str">
        <f ca="1">IFERROR(__xludf.DUMMYFUNCTION("""COMPUTED_VALUE"""),"")</f>
        <v/>
      </c>
      <c r="L430" s="3" t="str">
        <f ca="1">IFERROR(__xludf.DUMMYFUNCTION("""COMPUTED_VALUE"""),"TA")</f>
        <v>TA</v>
      </c>
      <c r="M430" s="3" t="str">
        <f ca="1">IFERROR(__xludf.DUMMYFUNCTION("""COMPUTED_VALUE"""),"MOC")</f>
        <v>MOC</v>
      </c>
      <c r="N430" s="157">
        <f ca="1">IFERROR(__xludf.DUMMYFUNCTION("""COMPUTED_VALUE"""),0.5)</f>
        <v>0.5</v>
      </c>
      <c r="O430" s="157">
        <f ca="1">IFERROR(__xludf.DUMMYFUNCTION("""COMPUTED_VALUE"""),3)</f>
        <v>3</v>
      </c>
      <c r="P430" s="157"/>
      <c r="R430" s="147"/>
      <c r="S430" s="147"/>
      <c r="T430" s="147"/>
      <c r="U430" s="147"/>
      <c r="X430" s="147"/>
      <c r="Y430" s="147"/>
      <c r="Z430" s="147"/>
      <c r="AA430" s="147"/>
      <c r="AB430" s="147"/>
      <c r="AC430" s="147"/>
      <c r="AD430" s="147"/>
      <c r="AE430" s="147"/>
      <c r="AF430" s="147"/>
      <c r="AG430" s="147"/>
      <c r="AH430" s="147"/>
      <c r="AI430" s="147"/>
      <c r="AJ430" s="147"/>
      <c r="AK430" s="147"/>
      <c r="AL430" s="147"/>
      <c r="AM430" s="147"/>
      <c r="AN430" s="147"/>
      <c r="AO430" s="147"/>
      <c r="AP430" s="147"/>
      <c r="AQ430" s="147"/>
    </row>
    <row r="431" spans="1:43">
      <c r="A431" s="160" t="str">
        <f ca="1">IFERROR(__xludf.DUMMYFUNCTION("""COMPUTED_VALUE"""),"203701")</f>
        <v>203701</v>
      </c>
      <c r="B431" s="3" t="str">
        <f ca="1">IFERROR(__xludf.DUMMYFUNCTION("""COMPUTED_VALUE"""),"PHẠM MAI NHẬT")</f>
        <v>PHẠM MAI NHẬT</v>
      </c>
      <c r="C431" s="160" t="str">
        <f ca="1">IFERROR(__xludf.DUMMYFUNCTION("""COMPUTED_VALUE"""),"EL037")</f>
        <v>EL037</v>
      </c>
      <c r="D431" s="160" t="str">
        <f ca="1">IFERROR(__xludf.DUMMYFUNCTION("""COMPUTED_VALUE"""),"Quan Nguyen")</f>
        <v>Quan Nguyen</v>
      </c>
      <c r="E431" s="3" t="str">
        <f ca="1">IFERROR(__xludf.DUMMYFUNCTION("""COMPUTED_VALUE"""),"Communication 2")</f>
        <v>Communication 2</v>
      </c>
      <c r="F431" s="3"/>
      <c r="G431" s="3"/>
      <c r="H431" s="156">
        <f ca="1">IFERROR(__xludf.DUMMYFUNCTION("""COMPUTED_VALUE"""),46098.625)</f>
        <v>46098.625</v>
      </c>
      <c r="I431" s="156">
        <f ca="1">IFERROR(__xludf.DUMMYFUNCTION("""COMPUTED_VALUE"""),45805.375)</f>
        <v>45805.375</v>
      </c>
      <c r="J431" s="3" t="str">
        <f ca="1">IFERROR(__xludf.DUMMYFUNCTION("""COMPUTED_VALUE"""),"")</f>
        <v/>
      </c>
      <c r="K431" s="3" t="str">
        <f ca="1">IFERROR(__xludf.DUMMYFUNCTION("""COMPUTED_VALUE"""),"")</f>
        <v/>
      </c>
      <c r="L431" s="3" t="str">
        <f ca="1">IFERROR(__xludf.DUMMYFUNCTION("""COMPUTED_VALUE"""),"DEV")</f>
        <v>DEV</v>
      </c>
      <c r="M431" s="3" t="str">
        <f ca="1">IFERROR(__xludf.DUMMYFUNCTION("""COMPUTED_VALUE"""),"MOC")</f>
        <v>MOC</v>
      </c>
      <c r="N431" s="157">
        <f ca="1">IFERROR(__xludf.DUMMYFUNCTION("""COMPUTED_VALUE"""),0.5)</f>
        <v>0.5</v>
      </c>
      <c r="O431" s="157">
        <f ca="1">IFERROR(__xludf.DUMMYFUNCTION("""COMPUTED_VALUE"""),3)</f>
        <v>3</v>
      </c>
      <c r="P431" s="157"/>
      <c r="R431" s="147"/>
      <c r="S431" s="147"/>
      <c r="T431" s="147"/>
      <c r="U431" s="147"/>
      <c r="X431" s="147"/>
      <c r="Y431" s="147"/>
      <c r="Z431" s="147"/>
      <c r="AA431" s="147"/>
      <c r="AB431" s="147"/>
      <c r="AC431" s="147"/>
      <c r="AD431" s="147"/>
      <c r="AE431" s="147"/>
      <c r="AF431" s="147"/>
      <c r="AG431" s="147"/>
      <c r="AH431" s="147"/>
      <c r="AI431" s="147"/>
      <c r="AJ431" s="147"/>
      <c r="AK431" s="147"/>
      <c r="AL431" s="147"/>
      <c r="AM431" s="147"/>
      <c r="AN431" s="147"/>
      <c r="AO431" s="147"/>
      <c r="AP431" s="147"/>
      <c r="AQ431" s="147"/>
    </row>
    <row r="432" spans="1:43">
      <c r="A432" s="160" t="str">
        <f ca="1">IFERROR(__xludf.DUMMYFUNCTION("""COMPUTED_VALUE"""),"213916")</f>
        <v>213916</v>
      </c>
      <c r="B432" s="3" t="str">
        <f ca="1">IFERROR(__xludf.DUMMYFUNCTION("""COMPUTED_VALUE"""),"VÕ CHÍ ĐẠI")</f>
        <v>VÕ CHÍ ĐẠI</v>
      </c>
      <c r="C432" s="160" t="str">
        <f ca="1">IFERROR(__xludf.DUMMYFUNCTION("""COMPUTED_VALUE"""),"EL037")</f>
        <v>EL037</v>
      </c>
      <c r="D432" s="160" t="str">
        <f ca="1">IFERROR(__xludf.DUMMYFUNCTION("""COMPUTED_VALUE"""),"Quan Nguyen")</f>
        <v>Quan Nguyen</v>
      </c>
      <c r="E432" s="3" t="str">
        <f ca="1">IFERROR(__xludf.DUMMYFUNCTION("""COMPUTED_VALUE"""),"Communication 2")</f>
        <v>Communication 2</v>
      </c>
      <c r="F432" s="3"/>
      <c r="G432" s="3"/>
      <c r="H432" s="156">
        <f ca="1">IFERROR(__xludf.DUMMYFUNCTION("""COMPUTED_VALUE"""),46098.625)</f>
        <v>46098.625</v>
      </c>
      <c r="I432" s="156">
        <f ca="1">IFERROR(__xludf.DUMMYFUNCTION("""COMPUTED_VALUE"""),45805.375)</f>
        <v>45805.375</v>
      </c>
      <c r="J432" s="3" t="str">
        <f ca="1">IFERROR(__xludf.DUMMYFUNCTION("""COMPUTED_VALUE"""),"")</f>
        <v/>
      </c>
      <c r="K432" s="3" t="str">
        <f ca="1">IFERROR(__xludf.DUMMYFUNCTION("""COMPUTED_VALUE"""),"")</f>
        <v/>
      </c>
      <c r="L432" s="3" t="str">
        <f ca="1">IFERROR(__xludf.DUMMYFUNCTION("""COMPUTED_VALUE"""),"DEV")</f>
        <v>DEV</v>
      </c>
      <c r="M432" s="3" t="str">
        <f ca="1">IFERROR(__xludf.DUMMYFUNCTION("""COMPUTED_VALUE"""),"MOC")</f>
        <v>MOC</v>
      </c>
      <c r="N432" s="157">
        <f ca="1">IFERROR(__xludf.DUMMYFUNCTION("""COMPUTED_VALUE"""),0.5)</f>
        <v>0.5</v>
      </c>
      <c r="O432" s="157">
        <f ca="1">IFERROR(__xludf.DUMMYFUNCTION("""COMPUTED_VALUE"""),3.5)</f>
        <v>3.5</v>
      </c>
      <c r="P432" s="157"/>
      <c r="R432" s="147"/>
      <c r="S432" s="147"/>
      <c r="T432" s="147"/>
      <c r="U432" s="147"/>
      <c r="X432" s="147"/>
      <c r="Y432" s="147"/>
      <c r="Z432" s="147"/>
      <c r="AA432" s="147"/>
      <c r="AB432" s="147"/>
      <c r="AC432" s="147"/>
      <c r="AD432" s="147"/>
      <c r="AE432" s="147"/>
      <c r="AF432" s="147"/>
      <c r="AG432" s="147"/>
      <c r="AH432" s="147"/>
      <c r="AI432" s="147"/>
      <c r="AJ432" s="147"/>
      <c r="AK432" s="147"/>
      <c r="AL432" s="147"/>
      <c r="AM432" s="147"/>
      <c r="AN432" s="147"/>
      <c r="AO432" s="147"/>
      <c r="AP432" s="147"/>
      <c r="AQ432" s="147"/>
    </row>
    <row r="433" spans="1:43">
      <c r="A433" s="160" t="str">
        <f ca="1">IFERROR(__xludf.DUMMYFUNCTION("""COMPUTED_VALUE"""),"247313")</f>
        <v>247313</v>
      </c>
      <c r="B433" s="3" t="str">
        <f ca="1">IFERROR(__xludf.DUMMYFUNCTION("""COMPUTED_VALUE"""),"Nguyễn Hồng Mỹ")</f>
        <v>Nguyễn Hồng Mỹ</v>
      </c>
      <c r="C433" s="160" t="str">
        <f ca="1">IFERROR(__xludf.DUMMYFUNCTION("""COMPUTED_VALUE"""),"EL038")</f>
        <v>EL038</v>
      </c>
      <c r="D433" s="160" t="str">
        <f ca="1">IFERROR(__xludf.DUMMYFUNCTION("""COMPUTED_VALUE"""),"My Nguyen")</f>
        <v>My Nguyen</v>
      </c>
      <c r="E433" s="3" t="str">
        <f ca="1">IFERROR(__xludf.DUMMYFUNCTION("""COMPUTED_VALUE"""),"Communication 1")</f>
        <v>Communication 1</v>
      </c>
      <c r="F433" s="3" t="str">
        <f ca="1">IFERROR(__xludf.DUMMYFUNCTION("""COMPUTED_VALUE"""),"Intermediate")</f>
        <v>Intermediate</v>
      </c>
      <c r="G433" s="3" t="str">
        <f ca="1">IFERROR(__xludf.DUMMYFUNCTION("""COMPUTED_VALUE"""),"Intermediate 2")</f>
        <v>Intermediate 2</v>
      </c>
      <c r="H433" s="156">
        <f ca="1">IFERROR(__xludf.DUMMYFUNCTION("""COMPUTED_VALUE"""),45813.4583333333)</f>
        <v>45813.458333333299</v>
      </c>
      <c r="I433" s="156">
        <f ca="1">IFERROR(__xludf.DUMMYFUNCTION("""COMPUTED_VALUE"""),45813.4583333333)</f>
        <v>45813.458333333299</v>
      </c>
      <c r="J433" s="3">
        <f ca="1">IFERROR(__xludf.DUMMYFUNCTION("""COMPUTED_VALUE"""),4.5)</f>
        <v>4.5</v>
      </c>
      <c r="K433" s="3">
        <f ca="1">IFERROR(__xludf.DUMMYFUNCTION("""COMPUTED_VALUE"""),5.5)</f>
        <v>5.5</v>
      </c>
      <c r="L433" s="3" t="str">
        <f ca="1">IFERROR(__xludf.DUMMYFUNCTION("""COMPUTED_VALUE"""),"SM")</f>
        <v>SM</v>
      </c>
      <c r="M433" s="3" t="str">
        <f ca="1">IFERROR(__xludf.DUMMYFUNCTION("""COMPUTED_VALUE"""),"TBU")</f>
        <v>TBU</v>
      </c>
      <c r="N433" s="157">
        <f ca="1">IFERROR(__xludf.DUMMYFUNCTION("""COMPUTED_VALUE"""),4.5)</f>
        <v>4.5</v>
      </c>
      <c r="O433" s="157">
        <f ca="1">IFERROR(__xludf.DUMMYFUNCTION("""COMPUTED_VALUE"""),5.5)</f>
        <v>5.5</v>
      </c>
      <c r="P433" s="157"/>
      <c r="R433" s="147"/>
      <c r="S433" s="147"/>
      <c r="T433" s="147"/>
      <c r="U433" s="147"/>
      <c r="X433" s="147"/>
      <c r="Y433" s="147"/>
      <c r="Z433" s="147"/>
      <c r="AA433" s="147"/>
      <c r="AB433" s="147"/>
      <c r="AC433" s="147"/>
      <c r="AD433" s="147"/>
      <c r="AE433" s="147"/>
      <c r="AF433" s="147"/>
      <c r="AG433" s="147"/>
      <c r="AH433" s="147"/>
      <c r="AI433" s="147"/>
      <c r="AJ433" s="147"/>
      <c r="AK433" s="147"/>
      <c r="AL433" s="147"/>
      <c r="AM433" s="147"/>
      <c r="AN433" s="147"/>
      <c r="AO433" s="147"/>
      <c r="AP433" s="147"/>
      <c r="AQ433" s="147"/>
    </row>
    <row r="434" spans="1:43">
      <c r="A434" s="160" t="str">
        <f ca="1">IFERROR(__xludf.DUMMYFUNCTION("""COMPUTED_VALUE"""),"237110")</f>
        <v>237110</v>
      </c>
      <c r="B434" s="3" t="str">
        <f ca="1">IFERROR(__xludf.DUMMYFUNCTION("""COMPUTED_VALUE"""),"Nguyễn Hữu Phước")</f>
        <v>Nguyễn Hữu Phước</v>
      </c>
      <c r="C434" s="160" t="str">
        <f ca="1">IFERROR(__xludf.DUMMYFUNCTION("""COMPUTED_VALUE"""),"EL038")</f>
        <v>EL038</v>
      </c>
      <c r="D434" s="160" t="str">
        <f ca="1">IFERROR(__xludf.DUMMYFUNCTION("""COMPUTED_VALUE"""),"My Nguyen")</f>
        <v>My Nguyen</v>
      </c>
      <c r="E434" s="3" t="str">
        <f ca="1">IFERROR(__xludf.DUMMYFUNCTION("""COMPUTED_VALUE"""),"Communication 1")</f>
        <v>Communication 1</v>
      </c>
      <c r="F434" s="3" t="str">
        <f ca="1">IFERROR(__xludf.DUMMYFUNCTION("""COMPUTED_VALUE"""),"Beginner")</f>
        <v>Beginner</v>
      </c>
      <c r="G434" s="3" t="str">
        <f ca="1">IFERROR(__xludf.DUMMYFUNCTION("""COMPUTED_VALUE"""),"Pre-Intermediate 1")</f>
        <v>Pre-Intermediate 1</v>
      </c>
      <c r="H434" s="156">
        <f ca="1">IFERROR(__xludf.DUMMYFUNCTION("""COMPUTED_VALUE"""),45813.4583333333)</f>
        <v>45813.458333333299</v>
      </c>
      <c r="I434" s="156">
        <f ca="1">IFERROR(__xludf.DUMMYFUNCTION("""COMPUTED_VALUE"""),45813.4583333333)</f>
        <v>45813.458333333299</v>
      </c>
      <c r="J434" s="3">
        <f ca="1">IFERROR(__xludf.DUMMYFUNCTION("""COMPUTED_VALUE"""),1)</f>
        <v>1</v>
      </c>
      <c r="K434" s="3">
        <f ca="1">IFERROR(__xludf.DUMMYFUNCTION("""COMPUTED_VALUE"""),3)</f>
        <v>3</v>
      </c>
      <c r="L434" s="3" t="str">
        <f ca="1">IFERROR(__xludf.DUMMYFUNCTION("""COMPUTED_VALUE"""),"BA")</f>
        <v>BA</v>
      </c>
      <c r="M434" s="3" t="str">
        <f ca="1">IFERROR(__xludf.DUMMYFUNCTION("""COMPUTED_VALUE"""),"TBU")</f>
        <v>TBU</v>
      </c>
      <c r="N434" s="157">
        <f ca="1">IFERROR(__xludf.DUMMYFUNCTION("""COMPUTED_VALUE"""),1)</f>
        <v>1</v>
      </c>
      <c r="O434" s="157">
        <f ca="1">IFERROR(__xludf.DUMMYFUNCTION("""COMPUTED_VALUE"""),3)</f>
        <v>3</v>
      </c>
      <c r="P434" s="157"/>
      <c r="R434" s="147"/>
      <c r="S434" s="147"/>
      <c r="T434" s="147"/>
      <c r="U434" s="147"/>
      <c r="X434" s="147"/>
      <c r="Y434" s="147"/>
      <c r="Z434" s="147"/>
      <c r="AA434" s="147"/>
      <c r="AB434" s="147"/>
      <c r="AC434" s="147"/>
      <c r="AD434" s="147"/>
      <c r="AE434" s="147"/>
      <c r="AF434" s="147"/>
      <c r="AG434" s="147"/>
      <c r="AH434" s="147"/>
      <c r="AI434" s="147"/>
      <c r="AJ434" s="147"/>
      <c r="AK434" s="147"/>
      <c r="AL434" s="147"/>
      <c r="AM434" s="147"/>
      <c r="AN434" s="147"/>
      <c r="AO434" s="147"/>
      <c r="AP434" s="147"/>
      <c r="AQ434" s="147"/>
    </row>
    <row r="435" spans="1:43">
      <c r="A435" s="160" t="str">
        <f ca="1">IFERROR(__xludf.DUMMYFUNCTION("""COMPUTED_VALUE"""),"213870")</f>
        <v>213870</v>
      </c>
      <c r="B435" s="3" t="str">
        <f ca="1">IFERROR(__xludf.DUMMYFUNCTION("""COMPUTED_VALUE"""),"Trần Quốc Hiệp")</f>
        <v>Trần Quốc Hiệp</v>
      </c>
      <c r="C435" s="160" t="str">
        <f ca="1">IFERROR(__xludf.DUMMYFUNCTION("""COMPUTED_VALUE"""),"EL038")</f>
        <v>EL038</v>
      </c>
      <c r="D435" s="160" t="str">
        <f ca="1">IFERROR(__xludf.DUMMYFUNCTION("""COMPUTED_VALUE"""),"My Nguyen")</f>
        <v>My Nguyen</v>
      </c>
      <c r="E435" s="3" t="str">
        <f ca="1">IFERROR(__xludf.DUMMYFUNCTION("""COMPUTED_VALUE"""),"Communication 1")</f>
        <v>Communication 1</v>
      </c>
      <c r="F435" s="3" t="str">
        <f ca="1">IFERROR(__xludf.DUMMYFUNCTION("""COMPUTED_VALUE"""),"Beginner")</f>
        <v>Beginner</v>
      </c>
      <c r="G435" s="3" t="str">
        <f ca="1">IFERROR(__xludf.DUMMYFUNCTION("""COMPUTED_VALUE"""),"Pre-Intermediate 1")</f>
        <v>Pre-Intermediate 1</v>
      </c>
      <c r="H435" s="156">
        <f ca="1">IFERROR(__xludf.DUMMYFUNCTION("""COMPUTED_VALUE"""),45813.4583333333)</f>
        <v>45813.458333333299</v>
      </c>
      <c r="I435" s="156">
        <f ca="1">IFERROR(__xludf.DUMMYFUNCTION("""COMPUTED_VALUE"""),45813.4583333333)</f>
        <v>45813.458333333299</v>
      </c>
      <c r="J435" s="3">
        <f ca="1">IFERROR(__xludf.DUMMYFUNCTION("""COMPUTED_VALUE"""),1)</f>
        <v>1</v>
      </c>
      <c r="K435" s="3">
        <f ca="1">IFERROR(__xludf.DUMMYFUNCTION("""COMPUTED_VALUE"""),3)</f>
        <v>3</v>
      </c>
      <c r="L435" s="3" t="str">
        <f ca="1">IFERROR(__xludf.DUMMYFUNCTION("""COMPUTED_VALUE"""),"DEV")</f>
        <v>DEV</v>
      </c>
      <c r="M435" s="3" t="str">
        <f ca="1">IFERROR(__xludf.DUMMYFUNCTION("""COMPUTED_VALUE"""),"TBU")</f>
        <v>TBU</v>
      </c>
      <c r="N435" s="157">
        <f ca="1">IFERROR(__xludf.DUMMYFUNCTION("""COMPUTED_VALUE"""),1)</f>
        <v>1</v>
      </c>
      <c r="O435" s="157">
        <f ca="1">IFERROR(__xludf.DUMMYFUNCTION("""COMPUTED_VALUE"""),3)</f>
        <v>3</v>
      </c>
      <c r="P435" s="157"/>
      <c r="R435" s="147"/>
      <c r="S435" s="147"/>
      <c r="T435" s="147"/>
      <c r="U435" s="147"/>
      <c r="X435" s="147"/>
      <c r="Y435" s="147"/>
      <c r="Z435" s="147"/>
      <c r="AA435" s="147"/>
      <c r="AB435" s="147"/>
      <c r="AC435" s="147"/>
      <c r="AD435" s="147"/>
      <c r="AE435" s="147"/>
      <c r="AF435" s="147"/>
      <c r="AG435" s="147"/>
      <c r="AH435" s="147"/>
      <c r="AI435" s="147"/>
      <c r="AJ435" s="147"/>
      <c r="AK435" s="147"/>
      <c r="AL435" s="147"/>
      <c r="AM435" s="147"/>
      <c r="AN435" s="147"/>
      <c r="AO435" s="147"/>
      <c r="AP435" s="147"/>
      <c r="AQ435" s="147"/>
    </row>
    <row r="436" spans="1:43">
      <c r="A436" s="160" t="str">
        <f ca="1">IFERROR(__xludf.DUMMYFUNCTION("""COMPUTED_VALUE"""),"237160")</f>
        <v>237160</v>
      </c>
      <c r="B436" s="3" t="str">
        <f ca="1">IFERROR(__xludf.DUMMYFUNCTION("""COMPUTED_VALUE"""),"Trần Tuấn Kiệt")</f>
        <v>Trần Tuấn Kiệt</v>
      </c>
      <c r="C436" s="160" t="str">
        <f ca="1">IFERROR(__xludf.DUMMYFUNCTION("""COMPUTED_VALUE"""),"EL038")</f>
        <v>EL038</v>
      </c>
      <c r="D436" s="160" t="str">
        <f ca="1">IFERROR(__xludf.DUMMYFUNCTION("""COMPUTED_VALUE"""),"My Nguyen")</f>
        <v>My Nguyen</v>
      </c>
      <c r="E436" s="3" t="str">
        <f ca="1">IFERROR(__xludf.DUMMYFUNCTION("""COMPUTED_VALUE"""),"Communication 1")</f>
        <v>Communication 1</v>
      </c>
      <c r="F436" s="3" t="str">
        <f ca="1">IFERROR(__xludf.DUMMYFUNCTION("""COMPUTED_VALUE"""),"Beginner")</f>
        <v>Beginner</v>
      </c>
      <c r="G436" s="3" t="str">
        <f ca="1">IFERROR(__xludf.DUMMYFUNCTION("""COMPUTED_VALUE"""),"Beginner")</f>
        <v>Beginner</v>
      </c>
      <c r="H436" s="156">
        <f ca="1">IFERROR(__xludf.DUMMYFUNCTION("""COMPUTED_VALUE"""),45813.4583333333)</f>
        <v>45813.458333333299</v>
      </c>
      <c r="I436" s="156">
        <f ca="1">IFERROR(__xludf.DUMMYFUNCTION("""COMPUTED_VALUE"""),45813.4583333333)</f>
        <v>45813.458333333299</v>
      </c>
      <c r="J436" s="3">
        <f ca="1">IFERROR(__xludf.DUMMYFUNCTION("""COMPUTED_VALUE"""),1)</f>
        <v>1</v>
      </c>
      <c r="K436" s="3">
        <f ca="1">IFERROR(__xludf.DUMMYFUNCTION("""COMPUTED_VALUE"""),1)</f>
        <v>1</v>
      </c>
      <c r="L436" s="3" t="str">
        <f ca="1">IFERROR(__xludf.DUMMYFUNCTION("""COMPUTED_VALUE"""),"DEV")</f>
        <v>DEV</v>
      </c>
      <c r="M436" s="3" t="str">
        <f ca="1">IFERROR(__xludf.DUMMYFUNCTION("""COMPUTED_VALUE"""),"TBU")</f>
        <v>TBU</v>
      </c>
      <c r="N436" s="157">
        <f ca="1">IFERROR(__xludf.DUMMYFUNCTION("""COMPUTED_VALUE"""),1)</f>
        <v>1</v>
      </c>
      <c r="O436" s="157">
        <f ca="1">IFERROR(__xludf.DUMMYFUNCTION("""COMPUTED_VALUE"""),1)</f>
        <v>1</v>
      </c>
      <c r="P436" s="157"/>
      <c r="R436" s="147"/>
      <c r="S436" s="147"/>
      <c r="T436" s="147"/>
      <c r="U436" s="147"/>
      <c r="X436" s="147"/>
      <c r="Y436" s="147"/>
      <c r="Z436" s="147"/>
      <c r="AA436" s="147"/>
      <c r="AB436" s="147"/>
      <c r="AC436" s="147"/>
      <c r="AD436" s="147"/>
      <c r="AE436" s="147"/>
      <c r="AF436" s="147"/>
      <c r="AG436" s="147"/>
      <c r="AH436" s="147"/>
      <c r="AI436" s="147"/>
      <c r="AJ436" s="147"/>
      <c r="AK436" s="147"/>
      <c r="AL436" s="147"/>
      <c r="AM436" s="147"/>
      <c r="AN436" s="147"/>
      <c r="AO436" s="147"/>
      <c r="AP436" s="147"/>
      <c r="AQ436" s="147"/>
    </row>
    <row r="437" spans="1:43">
      <c r="A437" s="160" t="str">
        <f ca="1">IFERROR(__xludf.DUMMYFUNCTION("""COMPUTED_VALUE"""),"247313")</f>
        <v>247313</v>
      </c>
      <c r="B437" s="3" t="str">
        <f ca="1">IFERROR(__xludf.DUMMYFUNCTION("""COMPUTED_VALUE"""),"Nguyễn Hồng Mỹ")</f>
        <v>Nguyễn Hồng Mỹ</v>
      </c>
      <c r="C437" s="160" t="str">
        <f ca="1">IFERROR(__xludf.DUMMYFUNCTION("""COMPUTED_VALUE"""),"EL038")</f>
        <v>EL038</v>
      </c>
      <c r="D437" s="160" t="str">
        <f ca="1">IFERROR(__xludf.DUMMYFUNCTION("""COMPUTED_VALUE"""),"My Nguyen")</f>
        <v>My Nguyen</v>
      </c>
      <c r="E437" s="3" t="str">
        <f ca="1">IFERROR(__xludf.DUMMYFUNCTION("""COMPUTED_VALUE"""),"Communication 2")</f>
        <v>Communication 2</v>
      </c>
      <c r="F437" s="3" t="str">
        <f ca="1">IFERROR(__xludf.DUMMYFUNCTION("""COMPUTED_VALUE"""),"Intermediate 2")</f>
        <v>Intermediate 2</v>
      </c>
      <c r="G437" s="3"/>
      <c r="H437" s="156">
        <f ca="1">IFERROR(__xludf.DUMMYFUNCTION("""COMPUTED_VALUE"""),46038.4166666666)</f>
        <v>46038.416666666599</v>
      </c>
      <c r="I437" s="156">
        <f ca="1">IFERROR(__xludf.DUMMYFUNCTION("""COMPUTED_VALUE"""),45813.4583333333)</f>
        <v>45813.458333333299</v>
      </c>
      <c r="J437" s="3">
        <f ca="1">IFERROR(__xludf.DUMMYFUNCTION("""COMPUTED_VALUE"""),5.5)</f>
        <v>5.5</v>
      </c>
      <c r="K437" s="3" t="str">
        <f ca="1">IFERROR(__xludf.DUMMYFUNCTION("""COMPUTED_VALUE"""),"")</f>
        <v/>
      </c>
      <c r="L437" s="3" t="str">
        <f ca="1">IFERROR(__xludf.DUMMYFUNCTION("""COMPUTED_VALUE"""),"SM")</f>
        <v>SM</v>
      </c>
      <c r="M437" s="3" t="str">
        <f ca="1">IFERROR(__xludf.DUMMYFUNCTION("""COMPUTED_VALUE"""),"TBU")</f>
        <v>TBU</v>
      </c>
      <c r="N437" s="157">
        <f ca="1">IFERROR(__xludf.DUMMYFUNCTION("""COMPUTED_VALUE"""),4.5)</f>
        <v>4.5</v>
      </c>
      <c r="O437" s="157">
        <f ca="1">IFERROR(__xludf.DUMMYFUNCTION("""COMPUTED_VALUE"""),5.5)</f>
        <v>5.5</v>
      </c>
      <c r="P437" s="157"/>
      <c r="R437" s="147"/>
      <c r="S437" s="147"/>
      <c r="T437" s="147"/>
      <c r="U437" s="147"/>
      <c r="X437" s="147"/>
      <c r="Y437" s="147"/>
      <c r="Z437" s="147"/>
      <c r="AA437" s="147"/>
      <c r="AB437" s="147"/>
      <c r="AC437" s="147"/>
      <c r="AD437" s="147"/>
      <c r="AE437" s="147"/>
      <c r="AF437" s="147"/>
      <c r="AG437" s="147"/>
      <c r="AH437" s="147"/>
      <c r="AI437" s="147"/>
      <c r="AJ437" s="147"/>
      <c r="AK437" s="147"/>
      <c r="AL437" s="147"/>
      <c r="AM437" s="147"/>
      <c r="AN437" s="147"/>
      <c r="AO437" s="147"/>
      <c r="AP437" s="147"/>
      <c r="AQ437" s="147"/>
    </row>
    <row r="438" spans="1:43">
      <c r="A438" s="160" t="str">
        <f ca="1">IFERROR(__xludf.DUMMYFUNCTION("""COMPUTED_VALUE"""),"237110")</f>
        <v>237110</v>
      </c>
      <c r="B438" s="3" t="str">
        <f ca="1">IFERROR(__xludf.DUMMYFUNCTION("""COMPUTED_VALUE"""),"Nguyễn Hữu Phước")</f>
        <v>Nguyễn Hữu Phước</v>
      </c>
      <c r="C438" s="160" t="str">
        <f ca="1">IFERROR(__xludf.DUMMYFUNCTION("""COMPUTED_VALUE"""),"EL038")</f>
        <v>EL038</v>
      </c>
      <c r="D438" s="160" t="str">
        <f ca="1">IFERROR(__xludf.DUMMYFUNCTION("""COMPUTED_VALUE"""),"My Nguyen")</f>
        <v>My Nguyen</v>
      </c>
      <c r="E438" s="3" t="str">
        <f ca="1">IFERROR(__xludf.DUMMYFUNCTION("""COMPUTED_VALUE"""),"Communication 2")</f>
        <v>Communication 2</v>
      </c>
      <c r="F438" s="3" t="str">
        <f ca="1">IFERROR(__xludf.DUMMYFUNCTION("""COMPUTED_VALUE"""),"Pre-Intermediate 1")</f>
        <v>Pre-Intermediate 1</v>
      </c>
      <c r="G438" s="3"/>
      <c r="H438" s="156">
        <f ca="1">IFERROR(__xludf.DUMMYFUNCTION("""COMPUTED_VALUE"""),46038.4166666666)</f>
        <v>46038.416666666599</v>
      </c>
      <c r="I438" s="156">
        <f ca="1">IFERROR(__xludf.DUMMYFUNCTION("""COMPUTED_VALUE"""),45813.4583333333)</f>
        <v>45813.458333333299</v>
      </c>
      <c r="J438" s="3">
        <f ca="1">IFERROR(__xludf.DUMMYFUNCTION("""COMPUTED_VALUE"""),3)</f>
        <v>3</v>
      </c>
      <c r="K438" s="3" t="str">
        <f ca="1">IFERROR(__xludf.DUMMYFUNCTION("""COMPUTED_VALUE"""),"")</f>
        <v/>
      </c>
      <c r="L438" s="3" t="str">
        <f ca="1">IFERROR(__xludf.DUMMYFUNCTION("""COMPUTED_VALUE"""),"BA")</f>
        <v>BA</v>
      </c>
      <c r="M438" s="3" t="str">
        <f ca="1">IFERROR(__xludf.DUMMYFUNCTION("""COMPUTED_VALUE"""),"TBU")</f>
        <v>TBU</v>
      </c>
      <c r="N438" s="157">
        <f ca="1">IFERROR(__xludf.DUMMYFUNCTION("""COMPUTED_VALUE"""),1)</f>
        <v>1</v>
      </c>
      <c r="O438" s="157">
        <f ca="1">IFERROR(__xludf.DUMMYFUNCTION("""COMPUTED_VALUE"""),3)</f>
        <v>3</v>
      </c>
      <c r="P438" s="157"/>
      <c r="R438" s="147"/>
      <c r="S438" s="147"/>
      <c r="T438" s="147"/>
      <c r="U438" s="147"/>
      <c r="X438" s="147"/>
      <c r="Y438" s="147"/>
      <c r="Z438" s="147"/>
      <c r="AA438" s="147"/>
      <c r="AB438" s="147"/>
      <c r="AC438" s="147"/>
      <c r="AD438" s="147"/>
      <c r="AE438" s="147"/>
      <c r="AF438" s="147"/>
      <c r="AG438" s="147"/>
      <c r="AH438" s="147"/>
      <c r="AI438" s="147"/>
      <c r="AJ438" s="147"/>
      <c r="AK438" s="147"/>
      <c r="AL438" s="147"/>
      <c r="AM438" s="147"/>
      <c r="AN438" s="147"/>
      <c r="AO438" s="147"/>
      <c r="AP438" s="147"/>
      <c r="AQ438" s="147"/>
    </row>
    <row r="439" spans="1:43">
      <c r="A439" s="160" t="str">
        <f ca="1">IFERROR(__xludf.DUMMYFUNCTION("""COMPUTED_VALUE"""),"213870")</f>
        <v>213870</v>
      </c>
      <c r="B439" s="3" t="str">
        <f ca="1">IFERROR(__xludf.DUMMYFUNCTION("""COMPUTED_VALUE"""),"Trần Quốc Hiệp")</f>
        <v>Trần Quốc Hiệp</v>
      </c>
      <c r="C439" s="160" t="str">
        <f ca="1">IFERROR(__xludf.DUMMYFUNCTION("""COMPUTED_VALUE"""),"EL038")</f>
        <v>EL038</v>
      </c>
      <c r="D439" s="160" t="str">
        <f ca="1">IFERROR(__xludf.DUMMYFUNCTION("""COMPUTED_VALUE"""),"My Nguyen")</f>
        <v>My Nguyen</v>
      </c>
      <c r="E439" s="3" t="str">
        <f ca="1">IFERROR(__xludf.DUMMYFUNCTION("""COMPUTED_VALUE"""),"Communication 2")</f>
        <v>Communication 2</v>
      </c>
      <c r="F439" s="3" t="str">
        <f ca="1">IFERROR(__xludf.DUMMYFUNCTION("""COMPUTED_VALUE"""),"Pre-Intermediate 1")</f>
        <v>Pre-Intermediate 1</v>
      </c>
      <c r="G439" s="3"/>
      <c r="H439" s="156">
        <f ca="1">IFERROR(__xludf.DUMMYFUNCTION("""COMPUTED_VALUE"""),46038.4166666666)</f>
        <v>46038.416666666599</v>
      </c>
      <c r="I439" s="156">
        <f ca="1">IFERROR(__xludf.DUMMYFUNCTION("""COMPUTED_VALUE"""),45813.4583333333)</f>
        <v>45813.458333333299</v>
      </c>
      <c r="J439" s="3">
        <f ca="1">IFERROR(__xludf.DUMMYFUNCTION("""COMPUTED_VALUE"""),3)</f>
        <v>3</v>
      </c>
      <c r="K439" s="3" t="str">
        <f ca="1">IFERROR(__xludf.DUMMYFUNCTION("""COMPUTED_VALUE"""),"")</f>
        <v/>
      </c>
      <c r="L439" s="3" t="str">
        <f ca="1">IFERROR(__xludf.DUMMYFUNCTION("""COMPUTED_VALUE"""),"DEV")</f>
        <v>DEV</v>
      </c>
      <c r="M439" s="3" t="str">
        <f ca="1">IFERROR(__xludf.DUMMYFUNCTION("""COMPUTED_VALUE"""),"TBU")</f>
        <v>TBU</v>
      </c>
      <c r="N439" s="157">
        <f ca="1">IFERROR(__xludf.DUMMYFUNCTION("""COMPUTED_VALUE"""),1)</f>
        <v>1</v>
      </c>
      <c r="O439" s="157">
        <f ca="1">IFERROR(__xludf.DUMMYFUNCTION("""COMPUTED_VALUE"""),3)</f>
        <v>3</v>
      </c>
      <c r="P439" s="157"/>
      <c r="R439" s="147"/>
      <c r="S439" s="147"/>
      <c r="T439" s="147"/>
      <c r="U439" s="147"/>
      <c r="X439" s="147"/>
      <c r="Y439" s="147"/>
      <c r="Z439" s="147"/>
      <c r="AA439" s="147"/>
      <c r="AB439" s="147"/>
      <c r="AC439" s="147"/>
      <c r="AD439" s="147"/>
      <c r="AE439" s="147"/>
      <c r="AF439" s="147"/>
      <c r="AG439" s="147"/>
      <c r="AH439" s="147"/>
      <c r="AI439" s="147"/>
      <c r="AJ439" s="147"/>
      <c r="AK439" s="147"/>
      <c r="AL439" s="147"/>
      <c r="AM439" s="147"/>
      <c r="AN439" s="147"/>
      <c r="AO439" s="147"/>
      <c r="AP439" s="147"/>
      <c r="AQ439" s="147"/>
    </row>
    <row r="440" spans="1:43">
      <c r="A440" s="160" t="str">
        <f ca="1">IFERROR(__xludf.DUMMYFUNCTION("""COMPUTED_VALUE"""),"237160")</f>
        <v>237160</v>
      </c>
      <c r="B440" s="3" t="str">
        <f ca="1">IFERROR(__xludf.DUMMYFUNCTION("""COMPUTED_VALUE"""),"Trần Tuấn Kiệt")</f>
        <v>Trần Tuấn Kiệt</v>
      </c>
      <c r="C440" s="160" t="str">
        <f ca="1">IFERROR(__xludf.DUMMYFUNCTION("""COMPUTED_VALUE"""),"EL038")</f>
        <v>EL038</v>
      </c>
      <c r="D440" s="160" t="str">
        <f ca="1">IFERROR(__xludf.DUMMYFUNCTION("""COMPUTED_VALUE"""),"My Nguyen")</f>
        <v>My Nguyen</v>
      </c>
      <c r="E440" s="3" t="str">
        <f ca="1">IFERROR(__xludf.DUMMYFUNCTION("""COMPUTED_VALUE"""),"Communication 2")</f>
        <v>Communication 2</v>
      </c>
      <c r="F440" s="3" t="str">
        <f ca="1">IFERROR(__xludf.DUMMYFUNCTION("""COMPUTED_VALUE"""),"Beginner")</f>
        <v>Beginner</v>
      </c>
      <c r="G440" s="3"/>
      <c r="H440" s="156">
        <f ca="1">IFERROR(__xludf.DUMMYFUNCTION("""COMPUTED_VALUE"""),46038.4166666666)</f>
        <v>46038.416666666599</v>
      </c>
      <c r="I440" s="156">
        <f ca="1">IFERROR(__xludf.DUMMYFUNCTION("""COMPUTED_VALUE"""),45813.4583333333)</f>
        <v>45813.458333333299</v>
      </c>
      <c r="J440" s="3">
        <f ca="1">IFERROR(__xludf.DUMMYFUNCTION("""COMPUTED_VALUE"""),1)</f>
        <v>1</v>
      </c>
      <c r="K440" s="3" t="str">
        <f ca="1">IFERROR(__xludf.DUMMYFUNCTION("""COMPUTED_VALUE"""),"")</f>
        <v/>
      </c>
      <c r="L440" s="3" t="str">
        <f ca="1">IFERROR(__xludf.DUMMYFUNCTION("""COMPUTED_VALUE"""),"DEV")</f>
        <v>DEV</v>
      </c>
      <c r="M440" s="3" t="str">
        <f ca="1">IFERROR(__xludf.DUMMYFUNCTION("""COMPUTED_VALUE"""),"TBU")</f>
        <v>TBU</v>
      </c>
      <c r="N440" s="157">
        <f ca="1">IFERROR(__xludf.DUMMYFUNCTION("""COMPUTED_VALUE"""),1)</f>
        <v>1</v>
      </c>
      <c r="O440" s="157">
        <f ca="1">IFERROR(__xludf.DUMMYFUNCTION("""COMPUTED_VALUE"""),1)</f>
        <v>1</v>
      </c>
      <c r="P440" s="157"/>
      <c r="R440" s="147"/>
      <c r="S440" s="147"/>
      <c r="T440" s="147"/>
      <c r="U440" s="147"/>
      <c r="X440" s="147"/>
      <c r="Y440" s="147"/>
      <c r="Z440" s="147"/>
      <c r="AA440" s="147"/>
      <c r="AB440" s="147"/>
      <c r="AC440" s="147"/>
      <c r="AD440" s="147"/>
      <c r="AE440" s="147"/>
      <c r="AF440" s="147"/>
      <c r="AG440" s="147"/>
      <c r="AH440" s="147"/>
      <c r="AI440" s="147"/>
      <c r="AJ440" s="147"/>
      <c r="AK440" s="147"/>
      <c r="AL440" s="147"/>
      <c r="AM440" s="147"/>
      <c r="AN440" s="147"/>
      <c r="AO440" s="147"/>
      <c r="AP440" s="147"/>
      <c r="AQ440" s="147"/>
    </row>
    <row r="441" spans="1:43">
      <c r="A441" s="160" t="str">
        <f ca="1">IFERROR(__xludf.DUMMYFUNCTION("""COMPUTED_VALUE"""),"237061")</f>
        <v>237061</v>
      </c>
      <c r="B441" s="3" t="str">
        <f ca="1">IFERROR(__xludf.DUMMYFUNCTION("""COMPUTED_VALUE"""),"NGUYỄN TẤN HUY")</f>
        <v>NGUYỄN TẤN HUY</v>
      </c>
      <c r="C441" s="160" t="str">
        <f ca="1">IFERROR(__xludf.DUMMYFUNCTION("""COMPUTED_VALUE"""),"EL039")</f>
        <v>EL039</v>
      </c>
      <c r="D441" s="160" t="str">
        <f ca="1">IFERROR(__xludf.DUMMYFUNCTION("""COMPUTED_VALUE"""),"Huy Nguyen")</f>
        <v>Huy Nguyen</v>
      </c>
      <c r="E441" s="3" t="str">
        <f ca="1">IFERROR(__xludf.DUMMYFUNCTION("""COMPUTED_VALUE"""),"Communication 1")</f>
        <v>Communication 1</v>
      </c>
      <c r="F441" s="3" t="str">
        <f ca="1">IFERROR(__xludf.DUMMYFUNCTION("""COMPUTED_VALUE"""),"Beginner")</f>
        <v>Beginner</v>
      </c>
      <c r="G441" s="3" t="str">
        <f ca="1">IFERROR(__xludf.DUMMYFUNCTION("""COMPUTED_VALUE"""),"Beginner 2")</f>
        <v>Beginner 2</v>
      </c>
      <c r="H441" s="156">
        <f ca="1">IFERROR(__xludf.DUMMYFUNCTION("""COMPUTED_VALUE"""),45882.5416666666)</f>
        <v>45882.541666666599</v>
      </c>
      <c r="I441" s="156">
        <f ca="1">IFERROR(__xludf.DUMMYFUNCTION("""COMPUTED_VALUE"""),45763.5416666666)</f>
        <v>45763.541666666599</v>
      </c>
      <c r="J441" s="3">
        <f ca="1">IFERROR(__xludf.DUMMYFUNCTION("""COMPUTED_VALUE"""),1)</f>
        <v>1</v>
      </c>
      <c r="K441" s="3">
        <f ca="1">IFERROR(__xludf.DUMMYFUNCTION("""COMPUTED_VALUE"""),1.5)</f>
        <v>1.5</v>
      </c>
      <c r="L441" s="3" t="str">
        <f ca="1">IFERROR(__xludf.DUMMYFUNCTION("""COMPUTED_VALUE"""),"DEV")</f>
        <v>DEV</v>
      </c>
      <c r="M441" s="3" t="str">
        <f ca="1">IFERROR(__xludf.DUMMYFUNCTION("""COMPUTED_VALUE"""),"LBU")</f>
        <v>LBU</v>
      </c>
      <c r="N441" s="157">
        <f ca="1">IFERROR(__xludf.DUMMYFUNCTION("""COMPUTED_VALUE"""),1)</f>
        <v>1</v>
      </c>
      <c r="O441" s="157">
        <f ca="1">IFERROR(__xludf.DUMMYFUNCTION("""COMPUTED_VALUE"""),1.5)</f>
        <v>1.5</v>
      </c>
      <c r="P441" s="157"/>
      <c r="R441" s="147"/>
      <c r="S441" s="147"/>
      <c r="T441" s="147"/>
      <c r="U441" s="147"/>
      <c r="X441" s="147"/>
      <c r="Y441" s="147"/>
      <c r="Z441" s="147"/>
      <c r="AA441" s="147"/>
      <c r="AB441" s="147"/>
      <c r="AC441" s="147"/>
      <c r="AD441" s="147"/>
      <c r="AE441" s="147"/>
      <c r="AF441" s="147"/>
      <c r="AG441" s="147"/>
      <c r="AH441" s="147"/>
      <c r="AI441" s="147"/>
      <c r="AJ441" s="147"/>
      <c r="AK441" s="147"/>
      <c r="AL441" s="147"/>
      <c r="AM441" s="147"/>
      <c r="AN441" s="147"/>
      <c r="AO441" s="147"/>
      <c r="AP441" s="147"/>
      <c r="AQ441" s="147"/>
    </row>
    <row r="442" spans="1:43">
      <c r="A442" s="160" t="str">
        <f ca="1">IFERROR(__xludf.DUMMYFUNCTION("""COMPUTED_VALUE"""),"247265")</f>
        <v>247265</v>
      </c>
      <c r="B442" s="3" t="str">
        <f ca="1">IFERROR(__xludf.DUMMYFUNCTION("""COMPUTED_VALUE"""),"NGÔ THỤY THANH NHƯ")</f>
        <v>NGÔ THỤY THANH NHƯ</v>
      </c>
      <c r="C442" s="160" t="str">
        <f ca="1">IFERROR(__xludf.DUMMYFUNCTION("""COMPUTED_VALUE"""),"EL039")</f>
        <v>EL039</v>
      </c>
      <c r="D442" s="160" t="str">
        <f ca="1">IFERROR(__xludf.DUMMYFUNCTION("""COMPUTED_VALUE"""),"Huy Nguyen")</f>
        <v>Huy Nguyen</v>
      </c>
      <c r="E442" s="3" t="str">
        <f ca="1">IFERROR(__xludf.DUMMYFUNCTION("""COMPUTED_VALUE"""),"Communication 1")</f>
        <v>Communication 1</v>
      </c>
      <c r="F442" s="3" t="str">
        <f ca="1">IFERROR(__xludf.DUMMYFUNCTION("""COMPUTED_VALUE"""),"Beginner")</f>
        <v>Beginner</v>
      </c>
      <c r="G442" s="3" t="str">
        <f ca="1">IFERROR(__xludf.DUMMYFUNCTION("""COMPUTED_VALUE"""),"Pre-Intermediate 2")</f>
        <v>Pre-Intermediate 2</v>
      </c>
      <c r="H442" s="156">
        <f ca="1">IFERROR(__xludf.DUMMYFUNCTION("""COMPUTED_VALUE"""),45882.5416666666)</f>
        <v>45882.541666666599</v>
      </c>
      <c r="I442" s="156">
        <f ca="1">IFERROR(__xludf.DUMMYFUNCTION("""COMPUTED_VALUE"""),45715.4583333333)</f>
        <v>45715.458333333299</v>
      </c>
      <c r="J442" s="3">
        <f ca="1">IFERROR(__xludf.DUMMYFUNCTION("""COMPUTED_VALUE"""),1)</f>
        <v>1</v>
      </c>
      <c r="K442" s="3">
        <f ca="1">IFERROR(__xludf.DUMMYFUNCTION("""COMPUTED_VALUE"""),3.5)</f>
        <v>3.5</v>
      </c>
      <c r="L442" s="3" t="str">
        <f ca="1">IFERROR(__xludf.DUMMYFUNCTION("""COMPUTED_VALUE"""),"UI/UX")</f>
        <v>UI/UX</v>
      </c>
      <c r="M442" s="3" t="str">
        <f ca="1">IFERROR(__xludf.DUMMYFUNCTION("""COMPUTED_VALUE"""),"CHORUS")</f>
        <v>CHORUS</v>
      </c>
      <c r="N442" s="157">
        <f ca="1">IFERROR(__xludf.DUMMYFUNCTION("""COMPUTED_VALUE"""),1)</f>
        <v>1</v>
      </c>
      <c r="O442" s="157">
        <f ca="1">IFERROR(__xludf.DUMMYFUNCTION("""COMPUTED_VALUE"""),3.5)</f>
        <v>3.5</v>
      </c>
      <c r="P442" s="157"/>
      <c r="R442" s="147"/>
      <c r="S442" s="147"/>
      <c r="T442" s="147"/>
      <c r="U442" s="147"/>
      <c r="X442" s="147"/>
      <c r="Y442" s="147"/>
      <c r="Z442" s="147"/>
      <c r="AA442" s="147"/>
      <c r="AB442" s="147"/>
      <c r="AC442" s="147"/>
      <c r="AD442" s="147"/>
      <c r="AE442" s="147"/>
      <c r="AF442" s="147"/>
      <c r="AG442" s="147"/>
      <c r="AH442" s="147"/>
      <c r="AI442" s="147"/>
      <c r="AJ442" s="147"/>
      <c r="AK442" s="147"/>
      <c r="AL442" s="147"/>
      <c r="AM442" s="147"/>
      <c r="AN442" s="147"/>
      <c r="AO442" s="147"/>
      <c r="AP442" s="147"/>
      <c r="AQ442" s="147"/>
    </row>
    <row r="443" spans="1:43">
      <c r="A443" s="160" t="str">
        <f ca="1">IFERROR(__xludf.DUMMYFUNCTION("""COMPUTED_VALUE"""),"227035")</f>
        <v>227035</v>
      </c>
      <c r="B443" s="3" t="str">
        <f ca="1">IFERROR(__xludf.DUMMYFUNCTION("""COMPUTED_VALUE"""),"NGUYỄN NHẬT HÀO")</f>
        <v>NGUYỄN NHẬT HÀO</v>
      </c>
      <c r="C443" s="160" t="str">
        <f ca="1">IFERROR(__xludf.DUMMYFUNCTION("""COMPUTED_VALUE"""),"EL039")</f>
        <v>EL039</v>
      </c>
      <c r="D443" s="160" t="str">
        <f ca="1">IFERROR(__xludf.DUMMYFUNCTION("""COMPUTED_VALUE"""),"Huy Nguyen")</f>
        <v>Huy Nguyen</v>
      </c>
      <c r="E443" s="3" t="str">
        <f ca="1">IFERROR(__xludf.DUMMYFUNCTION("""COMPUTED_VALUE"""),"Communication 1")</f>
        <v>Communication 1</v>
      </c>
      <c r="F443" s="3" t="str">
        <f ca="1">IFERROR(__xludf.DUMMYFUNCTION("""COMPUTED_VALUE"""),"Beginner")</f>
        <v>Beginner</v>
      </c>
      <c r="G443" s="3"/>
      <c r="H443" s="156">
        <f ca="1">IFERROR(__xludf.DUMMYFUNCTION("""COMPUTED_VALUE"""),45882.5416666666)</f>
        <v>45882.541666666599</v>
      </c>
      <c r="I443" s="156">
        <f ca="1">IFERROR(__xludf.DUMMYFUNCTION("""COMPUTED_VALUE"""),45765.375)</f>
        <v>45765.375</v>
      </c>
      <c r="J443" s="3">
        <f ca="1">IFERROR(__xludf.DUMMYFUNCTION("""COMPUTED_VALUE"""),1)</f>
        <v>1</v>
      </c>
      <c r="K443" s="3" t="str">
        <f ca="1">IFERROR(__xludf.DUMMYFUNCTION("""COMPUTED_VALUE"""),"")</f>
        <v/>
      </c>
      <c r="L443" s="3" t="str">
        <f ca="1">IFERROR(__xludf.DUMMYFUNCTION("""COMPUTED_VALUE"""),"DEV")</f>
        <v>DEV</v>
      </c>
      <c r="M443" s="3" t="str">
        <f ca="1">IFERROR(__xludf.DUMMYFUNCTION("""COMPUTED_VALUE"""),"LBU")</f>
        <v>LBU</v>
      </c>
      <c r="N443" s="157">
        <f ca="1">IFERROR(__xludf.DUMMYFUNCTION("""COMPUTED_VALUE"""),1)</f>
        <v>1</v>
      </c>
      <c r="O443" s="157">
        <f ca="1">IFERROR(__xludf.DUMMYFUNCTION("""COMPUTED_VALUE"""),3)</f>
        <v>3</v>
      </c>
      <c r="P443" s="157"/>
      <c r="R443" s="147"/>
      <c r="S443" s="147"/>
      <c r="T443" s="147"/>
      <c r="U443" s="147"/>
      <c r="X443" s="147"/>
      <c r="Y443" s="147"/>
      <c r="Z443" s="147"/>
      <c r="AA443" s="147"/>
      <c r="AB443" s="147"/>
      <c r="AC443" s="147"/>
      <c r="AD443" s="147"/>
      <c r="AE443" s="147"/>
      <c r="AF443" s="147"/>
      <c r="AG443" s="147"/>
      <c r="AH443" s="147"/>
      <c r="AI443" s="147"/>
      <c r="AJ443" s="147"/>
      <c r="AK443" s="147"/>
      <c r="AL443" s="147"/>
      <c r="AM443" s="147"/>
      <c r="AN443" s="147"/>
      <c r="AO443" s="147"/>
      <c r="AP443" s="147"/>
      <c r="AQ443" s="147"/>
    </row>
    <row r="444" spans="1:43">
      <c r="A444" s="160" t="str">
        <f ca="1">IFERROR(__xludf.DUMMYFUNCTION("""COMPUTED_VALUE"""),"247415")</f>
        <v>247415</v>
      </c>
      <c r="B444" s="3" t="str">
        <f ca="1">IFERROR(__xludf.DUMMYFUNCTION("""COMPUTED_VALUE"""),"NGUYỄN THỊ HIỀN NI")</f>
        <v>NGUYỄN THỊ HIỀN NI</v>
      </c>
      <c r="C444" s="160" t="str">
        <f ca="1">IFERROR(__xludf.DUMMYFUNCTION("""COMPUTED_VALUE"""),"EL039")</f>
        <v>EL039</v>
      </c>
      <c r="D444" s="160" t="str">
        <f ca="1">IFERROR(__xludf.DUMMYFUNCTION("""COMPUTED_VALUE"""),"Huy Nguyen")</f>
        <v>Huy Nguyen</v>
      </c>
      <c r="E444" s="3" t="str">
        <f ca="1">IFERROR(__xludf.DUMMYFUNCTION("""COMPUTED_VALUE"""),"Communication 1")</f>
        <v>Communication 1</v>
      </c>
      <c r="F444" s="3" t="str">
        <f ca="1">IFERROR(__xludf.DUMMYFUNCTION("""COMPUTED_VALUE"""),"Beginner")</f>
        <v>Beginner</v>
      </c>
      <c r="G444" s="3" t="str">
        <f ca="1">IFERROR(__xludf.DUMMYFUNCTION("""COMPUTED_VALUE"""),"Pre-Intermediate 2")</f>
        <v>Pre-Intermediate 2</v>
      </c>
      <c r="H444" s="156">
        <f ca="1">IFERROR(__xludf.DUMMYFUNCTION("""COMPUTED_VALUE"""),45882.5416666666)</f>
        <v>45882.541666666599</v>
      </c>
      <c r="I444" s="156">
        <f ca="1">IFERROR(__xludf.DUMMYFUNCTION("""COMPUTED_VALUE"""),45715.4583333333)</f>
        <v>45715.458333333299</v>
      </c>
      <c r="J444" s="3">
        <f ca="1">IFERROR(__xludf.DUMMYFUNCTION("""COMPUTED_VALUE"""),1)</f>
        <v>1</v>
      </c>
      <c r="K444" s="3">
        <f ca="1">IFERROR(__xludf.DUMMYFUNCTION("""COMPUTED_VALUE"""),3.5)</f>
        <v>3.5</v>
      </c>
      <c r="L444" s="3" t="str">
        <f ca="1">IFERROR(__xludf.DUMMYFUNCTION("""COMPUTED_VALUE"""),"QC")</f>
        <v>QC</v>
      </c>
      <c r="M444" s="3" t="str">
        <f ca="1">IFERROR(__xludf.DUMMYFUNCTION("""COMPUTED_VALUE"""),"LBU")</f>
        <v>LBU</v>
      </c>
      <c r="N444" s="157">
        <f ca="1">IFERROR(__xludf.DUMMYFUNCTION("""COMPUTED_VALUE"""),1)</f>
        <v>1</v>
      </c>
      <c r="O444" s="157">
        <f ca="1">IFERROR(__xludf.DUMMYFUNCTION("""COMPUTED_VALUE"""),3.5)</f>
        <v>3.5</v>
      </c>
      <c r="P444" s="157"/>
      <c r="R444" s="147"/>
      <c r="S444" s="147"/>
      <c r="T444" s="147"/>
      <c r="U444" s="147"/>
      <c r="X444" s="147"/>
      <c r="Y444" s="147"/>
      <c r="Z444" s="147"/>
      <c r="AA444" s="147"/>
      <c r="AB444" s="147"/>
      <c r="AC444" s="147"/>
      <c r="AD444" s="147"/>
      <c r="AE444" s="147"/>
      <c r="AF444" s="147"/>
      <c r="AG444" s="147"/>
      <c r="AH444" s="147"/>
      <c r="AI444" s="147"/>
      <c r="AJ444" s="147"/>
      <c r="AK444" s="147"/>
      <c r="AL444" s="147"/>
      <c r="AM444" s="147"/>
      <c r="AN444" s="147"/>
      <c r="AO444" s="147"/>
      <c r="AP444" s="147"/>
      <c r="AQ444" s="147"/>
    </row>
    <row r="445" spans="1:43">
      <c r="A445" s="160" t="str">
        <f ca="1">IFERROR(__xludf.DUMMYFUNCTION("""COMPUTED_VALUE"""),"183423")</f>
        <v>183423</v>
      </c>
      <c r="B445" s="3" t="str">
        <f ca="1">IFERROR(__xludf.DUMMYFUNCTION("""COMPUTED_VALUE"""),"TRẦN VĨNH THUẬN")</f>
        <v>TRẦN VĨNH THUẬN</v>
      </c>
      <c r="C445" s="160" t="str">
        <f ca="1">IFERROR(__xludf.DUMMYFUNCTION("""COMPUTED_VALUE"""),"EL039")</f>
        <v>EL039</v>
      </c>
      <c r="D445" s="160" t="str">
        <f ca="1">IFERROR(__xludf.DUMMYFUNCTION("""COMPUTED_VALUE"""),"Huy Nguyen")</f>
        <v>Huy Nguyen</v>
      </c>
      <c r="E445" s="3" t="str">
        <f ca="1">IFERROR(__xludf.DUMMYFUNCTION("""COMPUTED_VALUE"""),"Communication 1")</f>
        <v>Communication 1</v>
      </c>
      <c r="F445" s="3" t="str">
        <f ca="1">IFERROR(__xludf.DUMMYFUNCTION("""COMPUTED_VALUE"""),"Pre-Intermediate")</f>
        <v>Pre-Intermediate</v>
      </c>
      <c r="G445" s="3"/>
      <c r="H445" s="156">
        <f ca="1">IFERROR(__xludf.DUMMYFUNCTION("""COMPUTED_VALUE"""),45882.5416666666)</f>
        <v>45882.541666666599</v>
      </c>
      <c r="I445" s="156">
        <f ca="1">IFERROR(__xludf.DUMMYFUNCTION("""COMPUTED_VALUE"""),45882.5416666666)</f>
        <v>45882.541666666599</v>
      </c>
      <c r="J445" s="3">
        <f ca="1">IFERROR(__xludf.DUMMYFUNCTION("""COMPUTED_VALUE"""),2.5)</f>
        <v>2.5</v>
      </c>
      <c r="K445" s="3" t="str">
        <f ca="1">IFERROR(__xludf.DUMMYFUNCTION("""COMPUTED_VALUE"""),"")</f>
        <v/>
      </c>
      <c r="L445" s="3" t="str">
        <f ca="1">IFERROR(__xludf.DUMMYFUNCTION("""COMPUTED_VALUE"""),"Management")</f>
        <v>Management</v>
      </c>
      <c r="M445" s="3" t="str">
        <f ca="1">IFERROR(__xludf.DUMMYFUNCTION("""COMPUTED_VALUE"""),"ONC")</f>
        <v>ONC</v>
      </c>
      <c r="N445" s="157">
        <f ca="1">IFERROR(__xludf.DUMMYFUNCTION("""COMPUTED_VALUE"""),2.5)</f>
        <v>2.5</v>
      </c>
      <c r="O445" s="157">
        <f ca="1">IFERROR(__xludf.DUMMYFUNCTION("""COMPUTED_VALUE"""),0)</f>
        <v>0</v>
      </c>
      <c r="P445" s="157"/>
      <c r="R445" s="147"/>
      <c r="S445" s="147"/>
      <c r="T445" s="147"/>
      <c r="U445" s="147"/>
      <c r="X445" s="147"/>
      <c r="Y445" s="147"/>
      <c r="Z445" s="147"/>
      <c r="AA445" s="147"/>
      <c r="AB445" s="147"/>
      <c r="AC445" s="147"/>
      <c r="AD445" s="147"/>
      <c r="AE445" s="147"/>
      <c r="AF445" s="147"/>
      <c r="AG445" s="147"/>
      <c r="AH445" s="147"/>
      <c r="AI445" s="147"/>
      <c r="AJ445" s="147"/>
      <c r="AK445" s="147"/>
      <c r="AL445" s="147"/>
      <c r="AM445" s="147"/>
      <c r="AN445" s="147"/>
      <c r="AO445" s="147"/>
      <c r="AP445" s="147"/>
      <c r="AQ445" s="147"/>
    </row>
    <row r="446" spans="1:43">
      <c r="A446" s="160" t="str">
        <f ca="1">IFERROR(__xludf.DUMMYFUNCTION("""COMPUTED_VALUE"""),"213946")</f>
        <v>213946</v>
      </c>
      <c r="B446" s="3" t="str">
        <f ca="1">IFERROR(__xludf.DUMMYFUNCTION("""COMPUTED_VALUE"""),"TRƯƠNG NHỰT MINH THƯ")</f>
        <v>TRƯƠNG NHỰT MINH THƯ</v>
      </c>
      <c r="C446" s="160" t="str">
        <f ca="1">IFERROR(__xludf.DUMMYFUNCTION("""COMPUTED_VALUE"""),"EL039")</f>
        <v>EL039</v>
      </c>
      <c r="D446" s="160" t="str">
        <f ca="1">IFERROR(__xludf.DUMMYFUNCTION("""COMPUTED_VALUE"""),"Huy Nguyen")</f>
        <v>Huy Nguyen</v>
      </c>
      <c r="E446" s="3" t="str">
        <f ca="1">IFERROR(__xludf.DUMMYFUNCTION("""COMPUTED_VALUE"""),"Communication 1")</f>
        <v>Communication 1</v>
      </c>
      <c r="F446" s="3" t="str">
        <f ca="1">IFERROR(__xludf.DUMMYFUNCTION("""COMPUTED_VALUE"""),"Beginner")</f>
        <v>Beginner</v>
      </c>
      <c r="G446" s="3" t="str">
        <f ca="1">IFERROR(__xludf.DUMMYFUNCTION("""COMPUTED_VALUE"""),"Pre-Intermediate 1")</f>
        <v>Pre-Intermediate 1</v>
      </c>
      <c r="H446" s="156">
        <f ca="1">IFERROR(__xludf.DUMMYFUNCTION("""COMPUTED_VALUE"""),45882.5416666666)</f>
        <v>45882.541666666599</v>
      </c>
      <c r="I446" s="156">
        <f ca="1">IFERROR(__xludf.DUMMYFUNCTION("""COMPUTED_VALUE"""),45764.4583333333)</f>
        <v>45764.458333333299</v>
      </c>
      <c r="J446" s="3">
        <f ca="1">IFERROR(__xludf.DUMMYFUNCTION("""COMPUTED_VALUE"""),1)</f>
        <v>1</v>
      </c>
      <c r="K446" s="3">
        <f ca="1">IFERROR(__xludf.DUMMYFUNCTION("""COMPUTED_VALUE"""),3)</f>
        <v>3</v>
      </c>
      <c r="L446" s="3" t="str">
        <f ca="1">IFERROR(__xludf.DUMMYFUNCTION("""COMPUTED_VALUE"""),"DEV")</f>
        <v>DEV</v>
      </c>
      <c r="M446" s="3" t="str">
        <f ca="1">IFERROR(__xludf.DUMMYFUNCTION("""COMPUTED_VALUE"""),"MOC")</f>
        <v>MOC</v>
      </c>
      <c r="N446" s="157">
        <f ca="1">IFERROR(__xludf.DUMMYFUNCTION("""COMPUTED_VALUE"""),1)</f>
        <v>1</v>
      </c>
      <c r="O446" s="157">
        <f ca="1">IFERROR(__xludf.DUMMYFUNCTION("""COMPUTED_VALUE"""),3)</f>
        <v>3</v>
      </c>
      <c r="P446" s="157"/>
      <c r="R446" s="147"/>
      <c r="S446" s="147"/>
      <c r="T446" s="147"/>
      <c r="U446" s="147"/>
      <c r="X446" s="147"/>
      <c r="Y446" s="147"/>
      <c r="Z446" s="147"/>
      <c r="AA446" s="147"/>
      <c r="AB446" s="147"/>
      <c r="AC446" s="147"/>
      <c r="AD446" s="147"/>
      <c r="AE446" s="147"/>
      <c r="AF446" s="147"/>
      <c r="AG446" s="147"/>
      <c r="AH446" s="147"/>
      <c r="AI446" s="147"/>
      <c r="AJ446" s="147"/>
      <c r="AK446" s="147"/>
      <c r="AL446" s="147"/>
      <c r="AM446" s="147"/>
      <c r="AN446" s="147"/>
      <c r="AO446" s="147"/>
      <c r="AP446" s="147"/>
      <c r="AQ446" s="147"/>
    </row>
    <row r="447" spans="1:43">
      <c r="A447" s="160" t="str">
        <f ca="1">IFERROR(__xludf.DUMMYFUNCTION("""COMPUTED_VALUE"""),"237245")</f>
        <v>237245</v>
      </c>
      <c r="B447" s="3" t="str">
        <f ca="1">IFERROR(__xludf.DUMMYFUNCTION("""COMPUTED_VALUE"""),"TỪ NGUYỄN MINH NHẬT")</f>
        <v>TỪ NGUYỄN MINH NHẬT</v>
      </c>
      <c r="C447" s="160" t="str">
        <f ca="1">IFERROR(__xludf.DUMMYFUNCTION("""COMPUTED_VALUE"""),"EL039")</f>
        <v>EL039</v>
      </c>
      <c r="D447" s="160" t="str">
        <f ca="1">IFERROR(__xludf.DUMMYFUNCTION("""COMPUTED_VALUE"""),"Huy Nguyen")</f>
        <v>Huy Nguyen</v>
      </c>
      <c r="E447" s="3" t="str">
        <f ca="1">IFERROR(__xludf.DUMMYFUNCTION("""COMPUTED_VALUE"""),"Communication 1")</f>
        <v>Communication 1</v>
      </c>
      <c r="F447" s="3" t="str">
        <f ca="1">IFERROR(__xludf.DUMMYFUNCTION("""COMPUTED_VALUE"""),"Beginner")</f>
        <v>Beginner</v>
      </c>
      <c r="G447" s="3" t="str">
        <f ca="1">IFERROR(__xludf.DUMMYFUNCTION("""COMPUTED_VALUE"""),"Beginner 2")</f>
        <v>Beginner 2</v>
      </c>
      <c r="H447" s="156">
        <f ca="1">IFERROR(__xludf.DUMMYFUNCTION("""COMPUTED_VALUE"""),45882.5416666666)</f>
        <v>45882.541666666599</v>
      </c>
      <c r="I447" s="156">
        <f ca="1">IFERROR(__xludf.DUMMYFUNCTION("""COMPUTED_VALUE"""),45763.5416666666)</f>
        <v>45763.541666666599</v>
      </c>
      <c r="J447" s="3">
        <f ca="1">IFERROR(__xludf.DUMMYFUNCTION("""COMPUTED_VALUE"""),1)</f>
        <v>1</v>
      </c>
      <c r="K447" s="3">
        <f ca="1">IFERROR(__xludf.DUMMYFUNCTION("""COMPUTED_VALUE"""),1.5)</f>
        <v>1.5</v>
      </c>
      <c r="L447" s="3" t="str">
        <f ca="1">IFERROR(__xludf.DUMMYFUNCTION("""COMPUTED_VALUE"""),"DEV")</f>
        <v>DEV</v>
      </c>
      <c r="M447" s="3" t="str">
        <f ca="1">IFERROR(__xludf.DUMMYFUNCTION("""COMPUTED_VALUE"""),"LBU")</f>
        <v>LBU</v>
      </c>
      <c r="N447" s="157">
        <f ca="1">IFERROR(__xludf.DUMMYFUNCTION("""COMPUTED_VALUE"""),1)</f>
        <v>1</v>
      </c>
      <c r="O447" s="157">
        <f ca="1">IFERROR(__xludf.DUMMYFUNCTION("""COMPUTED_VALUE"""),1.5)</f>
        <v>1.5</v>
      </c>
      <c r="P447" s="157"/>
      <c r="R447" s="147"/>
      <c r="S447" s="147"/>
      <c r="T447" s="147"/>
      <c r="U447" s="147"/>
      <c r="X447" s="147"/>
      <c r="Y447" s="147"/>
      <c r="Z447" s="147"/>
      <c r="AA447" s="147"/>
      <c r="AB447" s="147"/>
      <c r="AC447" s="147"/>
      <c r="AD447" s="147"/>
      <c r="AE447" s="147"/>
      <c r="AF447" s="147"/>
      <c r="AG447" s="147"/>
      <c r="AH447" s="147"/>
      <c r="AI447" s="147"/>
      <c r="AJ447" s="147"/>
      <c r="AK447" s="147"/>
      <c r="AL447" s="147"/>
      <c r="AM447" s="147"/>
      <c r="AN447" s="147"/>
      <c r="AO447" s="147"/>
      <c r="AP447" s="147"/>
      <c r="AQ447" s="147"/>
    </row>
    <row r="448" spans="1:43">
      <c r="A448" s="160" t="str">
        <f ca="1">IFERROR(__xludf.DUMMYFUNCTION("""COMPUTED_VALUE"""),"227188")</f>
        <v>227188</v>
      </c>
      <c r="B448" s="3" t="str">
        <f ca="1">IFERROR(__xludf.DUMMYFUNCTION("""COMPUTED_VALUE"""),"VÕ THỊ TUYẾT HỒNG")</f>
        <v>VÕ THỊ TUYẾT HỒNG</v>
      </c>
      <c r="C448" s="160" t="str">
        <f ca="1">IFERROR(__xludf.DUMMYFUNCTION("""COMPUTED_VALUE"""),"EL039")</f>
        <v>EL039</v>
      </c>
      <c r="D448" s="160" t="str">
        <f ca="1">IFERROR(__xludf.DUMMYFUNCTION("""COMPUTED_VALUE"""),"Huy Nguyen")</f>
        <v>Huy Nguyen</v>
      </c>
      <c r="E448" s="3" t="str">
        <f ca="1">IFERROR(__xludf.DUMMYFUNCTION("""COMPUTED_VALUE"""),"Communication 1")</f>
        <v>Communication 1</v>
      </c>
      <c r="F448" s="3" t="str">
        <f ca="1">IFERROR(__xludf.DUMMYFUNCTION("""COMPUTED_VALUE"""),"Pre-Intermediate 1")</f>
        <v>Pre-Intermediate 1</v>
      </c>
      <c r="G448" s="3" t="str">
        <f ca="1">IFERROR(__xludf.DUMMYFUNCTION("""COMPUTED_VALUE"""),"Pre-Intermediate 2")</f>
        <v>Pre-Intermediate 2</v>
      </c>
      <c r="H448" s="156">
        <f ca="1">IFERROR(__xludf.DUMMYFUNCTION("""COMPUTED_VALUE"""),45882.5416666666)</f>
        <v>45882.541666666599</v>
      </c>
      <c r="I448" s="156">
        <f ca="1">IFERROR(__xludf.DUMMYFUNCTION("""COMPUTED_VALUE"""),45763.5416666666)</f>
        <v>45763.541666666599</v>
      </c>
      <c r="J448" s="3">
        <f ca="1">IFERROR(__xludf.DUMMYFUNCTION("""COMPUTED_VALUE"""),3)</f>
        <v>3</v>
      </c>
      <c r="K448" s="3">
        <f ca="1">IFERROR(__xludf.DUMMYFUNCTION("""COMPUTED_VALUE"""),3.5)</f>
        <v>3.5</v>
      </c>
      <c r="L448" s="3" t="str">
        <f ca="1">IFERROR(__xludf.DUMMYFUNCTION("""COMPUTED_VALUE"""),"DEV")</f>
        <v>DEV</v>
      </c>
      <c r="M448" s="3" t="str">
        <f ca="1">IFERROR(__xludf.DUMMYFUNCTION("""COMPUTED_VALUE"""),"LBU")</f>
        <v>LBU</v>
      </c>
      <c r="N448" s="157">
        <f ca="1">IFERROR(__xludf.DUMMYFUNCTION("""COMPUTED_VALUE"""),1)</f>
        <v>1</v>
      </c>
      <c r="O448" s="157">
        <f ca="1">IFERROR(__xludf.DUMMYFUNCTION("""COMPUTED_VALUE"""),3.5)</f>
        <v>3.5</v>
      </c>
      <c r="P448" s="157"/>
      <c r="R448" s="147"/>
      <c r="S448" s="147"/>
      <c r="T448" s="147"/>
      <c r="U448" s="147"/>
      <c r="X448" s="147"/>
      <c r="Y448" s="147"/>
      <c r="Z448" s="147"/>
      <c r="AA448" s="147"/>
      <c r="AB448" s="147"/>
      <c r="AC448" s="147"/>
      <c r="AD448" s="147"/>
      <c r="AE448" s="147"/>
      <c r="AF448" s="147"/>
      <c r="AG448" s="147"/>
      <c r="AH448" s="147"/>
      <c r="AI448" s="147"/>
      <c r="AJ448" s="147"/>
      <c r="AK448" s="147"/>
      <c r="AL448" s="147"/>
      <c r="AM448" s="147"/>
      <c r="AN448" s="147"/>
      <c r="AO448" s="147"/>
      <c r="AP448" s="147"/>
      <c r="AQ448" s="147"/>
    </row>
    <row r="449" spans="1:43">
      <c r="A449" s="160" t="str">
        <f ca="1">IFERROR(__xludf.DUMMYFUNCTION("""COMPUTED_VALUE"""),"173268")</f>
        <v>173268</v>
      </c>
      <c r="B449" s="3" t="str">
        <f ca="1">IFERROR(__xludf.DUMMYFUNCTION("""COMPUTED_VALUE"""),"PHÙNG QUANG THÀNH")</f>
        <v>PHÙNG QUANG THÀNH</v>
      </c>
      <c r="C449" s="160" t="str">
        <f ca="1">IFERROR(__xludf.DUMMYFUNCTION("""COMPUTED_VALUE"""),"EL040")</f>
        <v>EL040</v>
      </c>
      <c r="D449" s="160" t="str">
        <f ca="1">IFERROR(__xludf.DUMMYFUNCTION("""COMPUTED_VALUE"""),"Thanh Phung")</f>
        <v>Thanh Phung</v>
      </c>
      <c r="E449" s="3" t="str">
        <f ca="1">IFERROR(__xludf.DUMMYFUNCTION("""COMPUTED_VALUE"""),"Extension of Foundation")</f>
        <v>Extension of Foundation</v>
      </c>
      <c r="F449" s="3" t="str">
        <f ca="1">IFERROR(__xludf.DUMMYFUNCTION("""COMPUTED_VALUE"""),"Foundation")</f>
        <v>Foundation</v>
      </c>
      <c r="G449" s="3"/>
      <c r="H449" s="156">
        <f ca="1">IFERROR(__xludf.DUMMYFUNCTION("""COMPUTED_VALUE"""),46126.5833333333)</f>
        <v>46126.583333333299</v>
      </c>
      <c r="I449" s="156">
        <f ca="1">IFERROR(__xludf.DUMMYFUNCTION("""COMPUTED_VALUE"""),45916.4583333333)</f>
        <v>45916.458333333299</v>
      </c>
      <c r="J449" s="3">
        <f ca="1">IFERROR(__xludf.DUMMYFUNCTION("""COMPUTED_VALUE"""),0.5)</f>
        <v>0.5</v>
      </c>
      <c r="K449" s="3" t="str">
        <f ca="1">IFERROR(__xludf.DUMMYFUNCTION("""COMPUTED_VALUE"""),"")</f>
        <v/>
      </c>
      <c r="L449" s="3" t="str">
        <f ca="1">IFERROR(__xludf.DUMMYFUNCTION("""COMPUTED_VALUE"""),"GSD")</f>
        <v>GSD</v>
      </c>
      <c r="M449" s="3" t="str">
        <f ca="1">IFERROR(__xludf.DUMMYFUNCTION("""COMPUTED_VALUE"""),"TBU")</f>
        <v>TBU</v>
      </c>
      <c r="N449" s="157">
        <f ca="1">IFERROR(__xludf.DUMMYFUNCTION("""COMPUTED_VALUE"""),0.5)</f>
        <v>0.5</v>
      </c>
      <c r="O449" s="157">
        <f ca="1">IFERROR(__xludf.DUMMYFUNCTION("""COMPUTED_VALUE"""),0.5)</f>
        <v>0.5</v>
      </c>
      <c r="P449" s="157"/>
      <c r="R449" s="147"/>
      <c r="S449" s="147"/>
      <c r="T449" s="147"/>
      <c r="U449" s="147"/>
      <c r="X449" s="147"/>
      <c r="Y449" s="147"/>
      <c r="Z449" s="147"/>
      <c r="AA449" s="147"/>
      <c r="AB449" s="147"/>
      <c r="AC449" s="147"/>
      <c r="AD449" s="147"/>
      <c r="AE449" s="147"/>
      <c r="AF449" s="147"/>
      <c r="AG449" s="147"/>
      <c r="AH449" s="147"/>
      <c r="AI449" s="147"/>
      <c r="AJ449" s="147"/>
      <c r="AK449" s="147"/>
      <c r="AL449" s="147"/>
      <c r="AM449" s="147"/>
      <c r="AN449" s="147"/>
      <c r="AO449" s="147"/>
      <c r="AP449" s="147"/>
      <c r="AQ449" s="147"/>
    </row>
    <row r="450" spans="1:43">
      <c r="A450" s="160" t="str">
        <f ca="1">IFERROR(__xludf.DUMMYFUNCTION("""COMPUTED_VALUE"""),"193496")</f>
        <v>193496</v>
      </c>
      <c r="B450" s="3" t="str">
        <f ca="1">IFERROR(__xludf.DUMMYFUNCTION("""COMPUTED_VALUE"""),"PHẠM NGUYỄN TRƯỜNG BẢO")</f>
        <v>PHẠM NGUYỄN TRƯỜNG BẢO</v>
      </c>
      <c r="C450" s="160" t="str">
        <f ca="1">IFERROR(__xludf.DUMMYFUNCTION("""COMPUTED_VALUE"""),"EL040")</f>
        <v>EL040</v>
      </c>
      <c r="D450" s="160" t="str">
        <f ca="1">IFERROR(__xludf.DUMMYFUNCTION("""COMPUTED_VALUE"""),"Thanh Phung")</f>
        <v>Thanh Phung</v>
      </c>
      <c r="E450" s="3" t="str">
        <f ca="1">IFERROR(__xludf.DUMMYFUNCTION("""COMPUTED_VALUE"""),"Extension of Foundation")</f>
        <v>Extension of Foundation</v>
      </c>
      <c r="F450" s="3" t="str">
        <f ca="1">IFERROR(__xludf.DUMMYFUNCTION("""COMPUTED_VALUE"""),"Foundation")</f>
        <v>Foundation</v>
      </c>
      <c r="G450" s="3"/>
      <c r="H450" s="156">
        <f ca="1">IFERROR(__xludf.DUMMYFUNCTION("""COMPUTED_VALUE"""),46126.5833333333)</f>
        <v>46126.583333333299</v>
      </c>
      <c r="I450" s="156">
        <f ca="1">IFERROR(__xludf.DUMMYFUNCTION("""COMPUTED_VALUE"""),45916.4583333333)</f>
        <v>45916.458333333299</v>
      </c>
      <c r="J450" s="3">
        <f ca="1">IFERROR(__xludf.DUMMYFUNCTION("""COMPUTED_VALUE"""),0.5)</f>
        <v>0.5</v>
      </c>
      <c r="K450" s="3" t="str">
        <f ca="1">IFERROR(__xludf.DUMMYFUNCTION("""COMPUTED_VALUE"""),"")</f>
        <v/>
      </c>
      <c r="L450" s="3" t="str">
        <f ca="1">IFERROR(__xludf.DUMMYFUNCTION("""COMPUTED_VALUE"""),"GSD")</f>
        <v>GSD</v>
      </c>
      <c r="M450" s="3" t="str">
        <f ca="1">IFERROR(__xludf.DUMMYFUNCTION("""COMPUTED_VALUE"""),"POC")</f>
        <v>POC</v>
      </c>
      <c r="N450" s="157">
        <f ca="1">IFERROR(__xludf.DUMMYFUNCTION("""COMPUTED_VALUE"""),0.5)</f>
        <v>0.5</v>
      </c>
      <c r="O450" s="157">
        <f ca="1">IFERROR(__xludf.DUMMYFUNCTION("""COMPUTED_VALUE"""),0.5)</f>
        <v>0.5</v>
      </c>
      <c r="P450" s="157"/>
      <c r="R450" s="147"/>
      <c r="S450" s="147"/>
      <c r="T450" s="147"/>
      <c r="U450" s="147"/>
      <c r="X450" s="147"/>
      <c r="Y450" s="147"/>
      <c r="Z450" s="147"/>
      <c r="AA450" s="147"/>
      <c r="AB450" s="147"/>
      <c r="AC450" s="147"/>
      <c r="AD450" s="147"/>
      <c r="AE450" s="147"/>
      <c r="AF450" s="147"/>
      <c r="AG450" s="147"/>
      <c r="AH450" s="147"/>
      <c r="AI450" s="147"/>
      <c r="AJ450" s="147"/>
      <c r="AK450" s="147"/>
      <c r="AL450" s="147"/>
      <c r="AM450" s="147"/>
      <c r="AN450" s="147"/>
      <c r="AO450" s="147"/>
      <c r="AP450" s="147"/>
      <c r="AQ450" s="147"/>
    </row>
    <row r="451" spans="1:43">
      <c r="A451" s="160" t="str">
        <f ca="1">IFERROR(__xludf.DUMMYFUNCTION("""COMPUTED_VALUE"""),"193490")</f>
        <v>193490</v>
      </c>
      <c r="B451" s="3" t="str">
        <f ca="1">IFERROR(__xludf.DUMMYFUNCTION("""COMPUTED_VALUE"""),"PHAN GIA LỘC")</f>
        <v>PHAN GIA LỘC</v>
      </c>
      <c r="C451" s="160" t="str">
        <f ca="1">IFERROR(__xludf.DUMMYFUNCTION("""COMPUTED_VALUE"""),"EL040")</f>
        <v>EL040</v>
      </c>
      <c r="D451" s="160" t="str">
        <f ca="1">IFERROR(__xludf.DUMMYFUNCTION("""COMPUTED_VALUE"""),"Thanh Phung")</f>
        <v>Thanh Phung</v>
      </c>
      <c r="E451" s="3" t="str">
        <f ca="1">IFERROR(__xludf.DUMMYFUNCTION("""COMPUTED_VALUE"""),"Extension of Foundation")</f>
        <v>Extension of Foundation</v>
      </c>
      <c r="F451" s="3" t="str">
        <f ca="1">IFERROR(__xludf.DUMMYFUNCTION("""COMPUTED_VALUE"""),"Foundation")</f>
        <v>Foundation</v>
      </c>
      <c r="G451" s="3"/>
      <c r="H451" s="156">
        <f ca="1">IFERROR(__xludf.DUMMYFUNCTION("""COMPUTED_VALUE"""),46126.5833333333)</f>
        <v>46126.583333333299</v>
      </c>
      <c r="I451" s="156">
        <f ca="1">IFERROR(__xludf.DUMMYFUNCTION("""COMPUTED_VALUE"""),45916.4583333333)</f>
        <v>45916.458333333299</v>
      </c>
      <c r="J451" s="3">
        <f ca="1">IFERROR(__xludf.DUMMYFUNCTION("""COMPUTED_VALUE"""),0.5)</f>
        <v>0.5</v>
      </c>
      <c r="K451" s="3" t="str">
        <f ca="1">IFERROR(__xludf.DUMMYFUNCTION("""COMPUTED_VALUE"""),"")</f>
        <v/>
      </c>
      <c r="L451" s="3" t="str">
        <f ca="1">IFERROR(__xludf.DUMMYFUNCTION("""COMPUTED_VALUE"""),"GSD")</f>
        <v>GSD</v>
      </c>
      <c r="M451" s="3" t="str">
        <f ca="1">IFERROR(__xludf.DUMMYFUNCTION("""COMPUTED_VALUE"""),"POC")</f>
        <v>POC</v>
      </c>
      <c r="N451" s="157">
        <f ca="1">IFERROR(__xludf.DUMMYFUNCTION("""COMPUTED_VALUE"""),0.5)</f>
        <v>0.5</v>
      </c>
      <c r="O451" s="157">
        <f ca="1">IFERROR(__xludf.DUMMYFUNCTION("""COMPUTED_VALUE"""),0.5)</f>
        <v>0.5</v>
      </c>
      <c r="P451" s="157"/>
      <c r="R451" s="147"/>
      <c r="S451" s="147"/>
      <c r="T451" s="147"/>
      <c r="U451" s="147"/>
      <c r="X451" s="147"/>
      <c r="Y451" s="147"/>
      <c r="Z451" s="147"/>
      <c r="AA451" s="147"/>
      <c r="AB451" s="147"/>
      <c r="AC451" s="147"/>
      <c r="AD451" s="147"/>
      <c r="AE451" s="147"/>
      <c r="AF451" s="147"/>
      <c r="AG451" s="147"/>
      <c r="AH451" s="147"/>
      <c r="AI451" s="147"/>
      <c r="AJ451" s="147"/>
      <c r="AK451" s="147"/>
      <c r="AL451" s="147"/>
      <c r="AM451" s="147"/>
      <c r="AN451" s="147"/>
      <c r="AO451" s="147"/>
      <c r="AP451" s="147"/>
      <c r="AQ451" s="147"/>
    </row>
    <row r="452" spans="1:43">
      <c r="A452" s="160" t="str">
        <f ca="1">IFERROR(__xludf.DUMMYFUNCTION("""COMPUTED_VALUE"""),"173268")</f>
        <v>173268</v>
      </c>
      <c r="B452" s="3" t="str">
        <f ca="1">IFERROR(__xludf.DUMMYFUNCTION("""COMPUTED_VALUE"""),"PHÙNG QUANG THÀNH")</f>
        <v>PHÙNG QUANG THÀNH</v>
      </c>
      <c r="C452" s="160" t="str">
        <f ca="1">IFERROR(__xludf.DUMMYFUNCTION("""COMPUTED_VALUE"""),"EL040")</f>
        <v>EL040</v>
      </c>
      <c r="D452" s="160" t="str">
        <f ca="1">IFERROR(__xludf.DUMMYFUNCTION("""COMPUTED_VALUE"""),"Thanh Phung")</f>
        <v>Thanh Phung</v>
      </c>
      <c r="E452" s="3" t="str">
        <f ca="1">IFERROR(__xludf.DUMMYFUNCTION("""COMPUTED_VALUE"""),"Foundation")</f>
        <v>Foundation</v>
      </c>
      <c r="F452" s="3" t="str">
        <f ca="1">IFERROR(__xludf.DUMMYFUNCTION("""COMPUTED_VALUE"""),"Foundation")</f>
        <v>Foundation</v>
      </c>
      <c r="G452" s="3" t="str">
        <f ca="1">IFERROR(__xludf.DUMMYFUNCTION("""COMPUTED_VALUE"""),"Foundation")</f>
        <v>Foundation</v>
      </c>
      <c r="H452" s="156">
        <f ca="1">IFERROR(__xludf.DUMMYFUNCTION("""COMPUTED_VALUE"""),45916.4583333333)</f>
        <v>45916.458333333299</v>
      </c>
      <c r="I452" s="156">
        <f ca="1">IFERROR(__xludf.DUMMYFUNCTION("""COMPUTED_VALUE"""),45916.4583333333)</f>
        <v>45916.458333333299</v>
      </c>
      <c r="J452" s="3">
        <f ca="1">IFERROR(__xludf.DUMMYFUNCTION("""COMPUTED_VALUE"""),0.5)</f>
        <v>0.5</v>
      </c>
      <c r="K452" s="3">
        <f ca="1">IFERROR(__xludf.DUMMYFUNCTION("""COMPUTED_VALUE"""),0.5)</f>
        <v>0.5</v>
      </c>
      <c r="L452" s="3" t="str">
        <f ca="1">IFERROR(__xludf.DUMMYFUNCTION("""COMPUTED_VALUE"""),"GSD")</f>
        <v>GSD</v>
      </c>
      <c r="M452" s="3" t="str">
        <f ca="1">IFERROR(__xludf.DUMMYFUNCTION("""COMPUTED_VALUE"""),"TBU")</f>
        <v>TBU</v>
      </c>
      <c r="N452" s="157">
        <f ca="1">IFERROR(__xludf.DUMMYFUNCTION("""COMPUTED_VALUE"""),0.5)</f>
        <v>0.5</v>
      </c>
      <c r="O452" s="157">
        <f ca="1">IFERROR(__xludf.DUMMYFUNCTION("""COMPUTED_VALUE"""),0.5)</f>
        <v>0.5</v>
      </c>
      <c r="P452" s="157"/>
      <c r="R452" s="147"/>
      <c r="S452" s="147"/>
      <c r="T452" s="147"/>
      <c r="U452" s="147"/>
      <c r="X452" s="147"/>
      <c r="Y452" s="147"/>
      <c r="Z452" s="147"/>
      <c r="AA452" s="147"/>
      <c r="AB452" s="147"/>
      <c r="AC452" s="147"/>
      <c r="AD452" s="147"/>
      <c r="AE452" s="147"/>
      <c r="AF452" s="147"/>
      <c r="AG452" s="147"/>
      <c r="AH452" s="147"/>
      <c r="AI452" s="147"/>
      <c r="AJ452" s="147"/>
      <c r="AK452" s="147"/>
      <c r="AL452" s="147"/>
      <c r="AM452" s="147"/>
      <c r="AN452" s="147"/>
      <c r="AO452" s="147"/>
      <c r="AP452" s="147"/>
      <c r="AQ452" s="147"/>
    </row>
    <row r="453" spans="1:43">
      <c r="A453" s="160" t="str">
        <f ca="1">IFERROR(__xludf.DUMMYFUNCTION("""COMPUTED_VALUE"""),"183322")</f>
        <v>183322</v>
      </c>
      <c r="B453" s="3" t="str">
        <f ca="1">IFERROR(__xludf.DUMMYFUNCTION("""COMPUTED_VALUE"""),"ĐÀO TRUNG HIẾU")</f>
        <v>ĐÀO TRUNG HIẾU</v>
      </c>
      <c r="C453" s="160" t="str">
        <f ca="1">IFERROR(__xludf.DUMMYFUNCTION("""COMPUTED_VALUE"""),"EL040")</f>
        <v>EL040</v>
      </c>
      <c r="D453" s="160" t="str">
        <f ca="1">IFERROR(__xludf.DUMMYFUNCTION("""COMPUTED_VALUE"""),"Thanh Phung")</f>
        <v>Thanh Phung</v>
      </c>
      <c r="E453" s="3" t="str">
        <f ca="1">IFERROR(__xludf.DUMMYFUNCTION("""COMPUTED_VALUE"""),"Foundation")</f>
        <v>Foundation</v>
      </c>
      <c r="F453" s="3" t="str">
        <f ca="1">IFERROR(__xludf.DUMMYFUNCTION("""COMPUTED_VALUE"""),"Foundation")</f>
        <v>Foundation</v>
      </c>
      <c r="G453" s="3" t="str">
        <f ca="1">IFERROR(__xludf.DUMMYFUNCTION("""COMPUTED_VALUE"""),"Foundation")</f>
        <v>Foundation</v>
      </c>
      <c r="H453" s="156">
        <f ca="1">IFERROR(__xludf.DUMMYFUNCTION("""COMPUTED_VALUE"""),45916.4583333333)</f>
        <v>45916.458333333299</v>
      </c>
      <c r="I453" s="156">
        <f ca="1">IFERROR(__xludf.DUMMYFUNCTION("""COMPUTED_VALUE"""),45916.4583333333)</f>
        <v>45916.458333333299</v>
      </c>
      <c r="J453" s="3">
        <f ca="1">IFERROR(__xludf.DUMMYFUNCTION("""COMPUTED_VALUE"""),0.5)</f>
        <v>0.5</v>
      </c>
      <c r="K453" s="3">
        <f ca="1">IFERROR(__xludf.DUMMYFUNCTION("""COMPUTED_VALUE"""),0.5)</f>
        <v>0.5</v>
      </c>
      <c r="L453" s="3" t="str">
        <f ca="1">IFERROR(__xludf.DUMMYFUNCTION("""COMPUTED_VALUE"""),"DEV")</f>
        <v>DEV</v>
      </c>
      <c r="M453" s="3" t="str">
        <f ca="1">IFERROR(__xludf.DUMMYFUNCTION("""COMPUTED_VALUE"""),"MOC")</f>
        <v>MOC</v>
      </c>
      <c r="N453" s="157">
        <f ca="1">IFERROR(__xludf.DUMMYFUNCTION("""COMPUTED_VALUE"""),0.5)</f>
        <v>0.5</v>
      </c>
      <c r="O453" s="157">
        <f ca="1">IFERROR(__xludf.DUMMYFUNCTION("""COMPUTED_VALUE"""),0.5)</f>
        <v>0.5</v>
      </c>
      <c r="P453" s="157"/>
      <c r="R453" s="147"/>
      <c r="S453" s="147"/>
      <c r="T453" s="147"/>
      <c r="U453" s="147"/>
      <c r="X453" s="147"/>
      <c r="Y453" s="147"/>
      <c r="Z453" s="147"/>
      <c r="AA453" s="147"/>
      <c r="AB453" s="147"/>
      <c r="AC453" s="147"/>
      <c r="AD453" s="147"/>
      <c r="AE453" s="147"/>
      <c r="AF453" s="147"/>
      <c r="AG453" s="147"/>
      <c r="AH453" s="147"/>
      <c r="AI453" s="147"/>
      <c r="AJ453" s="147"/>
      <c r="AK453" s="147"/>
      <c r="AL453" s="147"/>
      <c r="AM453" s="147"/>
      <c r="AN453" s="147"/>
      <c r="AO453" s="147"/>
      <c r="AP453" s="147"/>
      <c r="AQ453" s="147"/>
    </row>
    <row r="454" spans="1:43">
      <c r="A454" s="160" t="str">
        <f ca="1">IFERROR(__xludf.DUMMYFUNCTION("""COMPUTED_VALUE"""),"173246")</f>
        <v>173246</v>
      </c>
      <c r="B454" s="3" t="str">
        <f ca="1">IFERROR(__xludf.DUMMYFUNCTION("""COMPUTED_VALUE"""),"LÊ THỊ HOÀNG KIM")</f>
        <v>LÊ THỊ HOÀNG KIM</v>
      </c>
      <c r="C454" s="160" t="str">
        <f ca="1">IFERROR(__xludf.DUMMYFUNCTION("""COMPUTED_VALUE"""),"EL040")</f>
        <v>EL040</v>
      </c>
      <c r="D454" s="160" t="str">
        <f ca="1">IFERROR(__xludf.DUMMYFUNCTION("""COMPUTED_VALUE"""),"Thanh Phung")</f>
        <v>Thanh Phung</v>
      </c>
      <c r="E454" s="3" t="str">
        <f ca="1">IFERROR(__xludf.DUMMYFUNCTION("""COMPUTED_VALUE"""),"Foundation")</f>
        <v>Foundation</v>
      </c>
      <c r="F454" s="3" t="str">
        <f ca="1">IFERROR(__xludf.DUMMYFUNCTION("""COMPUTED_VALUE"""),"Foundation")</f>
        <v>Foundation</v>
      </c>
      <c r="G454" s="3" t="str">
        <f ca="1">IFERROR(__xludf.DUMMYFUNCTION("""COMPUTED_VALUE"""),"Foundation")</f>
        <v>Foundation</v>
      </c>
      <c r="H454" s="156">
        <f ca="1">IFERROR(__xludf.DUMMYFUNCTION("""COMPUTED_VALUE"""),45916.4583333333)</f>
        <v>45916.458333333299</v>
      </c>
      <c r="I454" s="156">
        <f ca="1">IFERROR(__xludf.DUMMYFUNCTION("""COMPUTED_VALUE"""),45916.4583333333)</f>
        <v>45916.458333333299</v>
      </c>
      <c r="J454" s="3">
        <f ca="1">IFERROR(__xludf.DUMMYFUNCTION("""COMPUTED_VALUE"""),0.5)</f>
        <v>0.5</v>
      </c>
      <c r="K454" s="3">
        <f ca="1">IFERROR(__xludf.DUMMYFUNCTION("""COMPUTED_VALUE"""),0.5)</f>
        <v>0.5</v>
      </c>
      <c r="L454" s="3" t="str">
        <f ca="1">IFERROR(__xludf.DUMMYFUNCTION("""COMPUTED_VALUE"""),"GSD")</f>
        <v>GSD</v>
      </c>
      <c r="M454" s="3" t="str">
        <f ca="1">IFERROR(__xludf.DUMMYFUNCTION("""COMPUTED_VALUE"""),"POC")</f>
        <v>POC</v>
      </c>
      <c r="N454" s="157">
        <f ca="1">IFERROR(__xludf.DUMMYFUNCTION("""COMPUTED_VALUE"""),0.5)</f>
        <v>0.5</v>
      </c>
      <c r="O454" s="157">
        <f ca="1">IFERROR(__xludf.DUMMYFUNCTION("""COMPUTED_VALUE"""),0.5)</f>
        <v>0.5</v>
      </c>
      <c r="P454" s="157"/>
      <c r="R454" s="147"/>
      <c r="S454" s="147"/>
      <c r="T454" s="147"/>
      <c r="U454" s="147"/>
      <c r="X454" s="147"/>
      <c r="Y454" s="147"/>
      <c r="Z454" s="147"/>
      <c r="AA454" s="147"/>
      <c r="AB454" s="147"/>
      <c r="AC454" s="147"/>
      <c r="AD454" s="147"/>
      <c r="AE454" s="147"/>
      <c r="AF454" s="147"/>
      <c r="AG454" s="147"/>
      <c r="AH454" s="147"/>
      <c r="AI454" s="147"/>
      <c r="AJ454" s="147"/>
      <c r="AK454" s="147"/>
      <c r="AL454" s="147"/>
      <c r="AM454" s="147"/>
      <c r="AN454" s="147"/>
      <c r="AO454" s="147"/>
      <c r="AP454" s="147"/>
      <c r="AQ454" s="147"/>
    </row>
    <row r="455" spans="1:43">
      <c r="A455" s="160" t="str">
        <f ca="1">IFERROR(__xludf.DUMMYFUNCTION("""COMPUTED_VALUE"""),"217001")</f>
        <v>217001</v>
      </c>
      <c r="B455" s="3" t="str">
        <f ca="1">IFERROR(__xludf.DUMMYFUNCTION("""COMPUTED_VALUE"""),"NGUYỄN HỮU TRƯỜNG")</f>
        <v>NGUYỄN HỮU TRƯỜNG</v>
      </c>
      <c r="C455" s="160" t="str">
        <f ca="1">IFERROR(__xludf.DUMMYFUNCTION("""COMPUTED_VALUE"""),"EL040")</f>
        <v>EL040</v>
      </c>
      <c r="D455" s="160" t="str">
        <f ca="1">IFERROR(__xludf.DUMMYFUNCTION("""COMPUTED_VALUE"""),"Thanh Phung")</f>
        <v>Thanh Phung</v>
      </c>
      <c r="E455" s="3" t="str">
        <f ca="1">IFERROR(__xludf.DUMMYFUNCTION("""COMPUTED_VALUE"""),"Foundation")</f>
        <v>Foundation</v>
      </c>
      <c r="F455" s="3" t="str">
        <f ca="1">IFERROR(__xludf.DUMMYFUNCTION("""COMPUTED_VALUE"""),"Foundation")</f>
        <v>Foundation</v>
      </c>
      <c r="G455" s="3" t="str">
        <f ca="1">IFERROR(__xludf.DUMMYFUNCTION("""COMPUTED_VALUE"""),"Foundation")</f>
        <v>Foundation</v>
      </c>
      <c r="H455" s="156">
        <f ca="1">IFERROR(__xludf.DUMMYFUNCTION("""COMPUTED_VALUE"""),45916.4583333333)</f>
        <v>45916.458333333299</v>
      </c>
      <c r="I455" s="156">
        <f ca="1">IFERROR(__xludf.DUMMYFUNCTION("""COMPUTED_VALUE"""),45916.4583333333)</f>
        <v>45916.458333333299</v>
      </c>
      <c r="J455" s="3">
        <f ca="1">IFERROR(__xludf.DUMMYFUNCTION("""COMPUTED_VALUE"""),0.5)</f>
        <v>0.5</v>
      </c>
      <c r="K455" s="3">
        <f ca="1">IFERROR(__xludf.DUMMYFUNCTION("""COMPUTED_VALUE"""),0.5)</f>
        <v>0.5</v>
      </c>
      <c r="L455" s="3" t="str">
        <f ca="1">IFERROR(__xludf.DUMMYFUNCTION("""COMPUTED_VALUE"""),"GSD")</f>
        <v>GSD</v>
      </c>
      <c r="M455" s="3" t="str">
        <f ca="1">IFERROR(__xludf.DUMMYFUNCTION("""COMPUTED_VALUE"""),"CHORUS")</f>
        <v>CHORUS</v>
      </c>
      <c r="N455" s="157">
        <f ca="1">IFERROR(__xludf.DUMMYFUNCTION("""COMPUTED_VALUE"""),0.5)</f>
        <v>0.5</v>
      </c>
      <c r="O455" s="157">
        <f ca="1">IFERROR(__xludf.DUMMYFUNCTION("""COMPUTED_VALUE"""),0.5)</f>
        <v>0.5</v>
      </c>
      <c r="P455" s="157"/>
      <c r="R455" s="147"/>
      <c r="S455" s="147"/>
      <c r="T455" s="147"/>
      <c r="U455" s="147"/>
      <c r="X455" s="147"/>
      <c r="Y455" s="147"/>
      <c r="Z455" s="147"/>
      <c r="AA455" s="147"/>
      <c r="AB455" s="147"/>
      <c r="AC455" s="147"/>
      <c r="AD455" s="147"/>
      <c r="AE455" s="147"/>
      <c r="AF455" s="147"/>
      <c r="AG455" s="147"/>
      <c r="AH455" s="147"/>
      <c r="AI455" s="147"/>
      <c r="AJ455" s="147"/>
      <c r="AK455" s="147"/>
      <c r="AL455" s="147"/>
      <c r="AM455" s="147"/>
      <c r="AN455" s="147"/>
      <c r="AO455" s="147"/>
      <c r="AP455" s="147"/>
      <c r="AQ455" s="147"/>
    </row>
    <row r="456" spans="1:43">
      <c r="A456" s="160" t="str">
        <f ca="1">IFERROR(__xludf.DUMMYFUNCTION("""COMPUTED_VALUE"""),"247064")</f>
        <v>247064</v>
      </c>
      <c r="B456" s="3" t="str">
        <f ca="1">IFERROR(__xludf.DUMMYFUNCTION("""COMPUTED_VALUE"""),"NGUYỄN THỊ KIM OANH")</f>
        <v>NGUYỄN THỊ KIM OANH</v>
      </c>
      <c r="C456" s="160" t="str">
        <f ca="1">IFERROR(__xludf.DUMMYFUNCTION("""COMPUTED_VALUE"""),"EL040")</f>
        <v>EL040</v>
      </c>
      <c r="D456" s="160" t="str">
        <f ca="1">IFERROR(__xludf.DUMMYFUNCTION("""COMPUTED_VALUE"""),"Thanh Phung")</f>
        <v>Thanh Phung</v>
      </c>
      <c r="E456" s="3" t="str">
        <f ca="1">IFERROR(__xludf.DUMMYFUNCTION("""COMPUTED_VALUE"""),"Foundation")</f>
        <v>Foundation</v>
      </c>
      <c r="F456" s="3" t="str">
        <f ca="1">IFERROR(__xludf.DUMMYFUNCTION("""COMPUTED_VALUE"""),"Foundation")</f>
        <v>Foundation</v>
      </c>
      <c r="G456" s="3" t="str">
        <f ca="1">IFERROR(__xludf.DUMMYFUNCTION("""COMPUTED_VALUE"""),"Foundation")</f>
        <v>Foundation</v>
      </c>
      <c r="H456" s="156">
        <f ca="1">IFERROR(__xludf.DUMMYFUNCTION("""COMPUTED_VALUE"""),45916.4583333333)</f>
        <v>45916.458333333299</v>
      </c>
      <c r="I456" s="156">
        <f ca="1">IFERROR(__xludf.DUMMYFUNCTION("""COMPUTED_VALUE"""),45916.4583333333)</f>
        <v>45916.458333333299</v>
      </c>
      <c r="J456" s="3">
        <f ca="1">IFERROR(__xludf.DUMMYFUNCTION("""COMPUTED_VALUE"""),0.5)</f>
        <v>0.5</v>
      </c>
      <c r="K456" s="3">
        <f ca="1">IFERROR(__xludf.DUMMYFUNCTION("""COMPUTED_VALUE"""),0.5)</f>
        <v>0.5</v>
      </c>
      <c r="L456" s="3" t="str">
        <f ca="1">IFERROR(__xludf.DUMMYFUNCTION("""COMPUTED_VALUE"""),"GSD")</f>
        <v>GSD</v>
      </c>
      <c r="M456" s="3" t="str">
        <f ca="1">IFERROR(__xludf.DUMMYFUNCTION("""COMPUTED_VALUE"""),"POC")</f>
        <v>POC</v>
      </c>
      <c r="N456" s="157">
        <f ca="1">IFERROR(__xludf.DUMMYFUNCTION("""COMPUTED_VALUE"""),0.5)</f>
        <v>0.5</v>
      </c>
      <c r="O456" s="157">
        <f ca="1">IFERROR(__xludf.DUMMYFUNCTION("""COMPUTED_VALUE"""),0.5)</f>
        <v>0.5</v>
      </c>
      <c r="P456" s="157"/>
      <c r="R456" s="147"/>
      <c r="S456" s="147"/>
      <c r="T456" s="147"/>
      <c r="U456" s="147"/>
      <c r="X456" s="147"/>
      <c r="Y456" s="147"/>
      <c r="Z456" s="147"/>
      <c r="AA456" s="147"/>
      <c r="AB456" s="147"/>
      <c r="AC456" s="147"/>
      <c r="AD456" s="147"/>
      <c r="AE456" s="147"/>
      <c r="AF456" s="147"/>
      <c r="AG456" s="147"/>
      <c r="AH456" s="147"/>
      <c r="AI456" s="147"/>
      <c r="AJ456" s="147"/>
      <c r="AK456" s="147"/>
      <c r="AL456" s="147"/>
      <c r="AM456" s="147"/>
      <c r="AN456" s="147"/>
      <c r="AO456" s="147"/>
      <c r="AP456" s="147"/>
      <c r="AQ456" s="147"/>
    </row>
    <row r="457" spans="1:43">
      <c r="A457" s="160" t="str">
        <f ca="1">IFERROR(__xludf.DUMMYFUNCTION("""COMPUTED_VALUE"""),"227091")</f>
        <v>227091</v>
      </c>
      <c r="B457" s="3" t="str">
        <f ca="1">IFERROR(__xludf.DUMMYFUNCTION("""COMPUTED_VALUE"""),"NGUYỄN VŨ LUÂN")</f>
        <v>NGUYỄN VŨ LUÂN</v>
      </c>
      <c r="C457" s="160" t="str">
        <f ca="1">IFERROR(__xludf.DUMMYFUNCTION("""COMPUTED_VALUE"""),"EL040")</f>
        <v>EL040</v>
      </c>
      <c r="D457" s="160" t="str">
        <f ca="1">IFERROR(__xludf.DUMMYFUNCTION("""COMPUTED_VALUE"""),"Thanh Phung")</f>
        <v>Thanh Phung</v>
      </c>
      <c r="E457" s="3" t="str">
        <f ca="1">IFERROR(__xludf.DUMMYFUNCTION("""COMPUTED_VALUE"""),"Foundation")</f>
        <v>Foundation</v>
      </c>
      <c r="F457" s="3" t="str">
        <f ca="1">IFERROR(__xludf.DUMMYFUNCTION("""COMPUTED_VALUE"""),"Foundation")</f>
        <v>Foundation</v>
      </c>
      <c r="G457" s="3" t="str">
        <f ca="1">IFERROR(__xludf.DUMMYFUNCTION("""COMPUTED_VALUE"""),"Foundation")</f>
        <v>Foundation</v>
      </c>
      <c r="H457" s="156">
        <f ca="1">IFERROR(__xludf.DUMMYFUNCTION("""COMPUTED_VALUE"""),45916.4583333333)</f>
        <v>45916.458333333299</v>
      </c>
      <c r="I457" s="156">
        <f ca="1">IFERROR(__xludf.DUMMYFUNCTION("""COMPUTED_VALUE"""),45916.4583333333)</f>
        <v>45916.458333333299</v>
      </c>
      <c r="J457" s="3">
        <f ca="1">IFERROR(__xludf.DUMMYFUNCTION("""COMPUTED_VALUE"""),0.5)</f>
        <v>0.5</v>
      </c>
      <c r="K457" s="3">
        <f ca="1">IFERROR(__xludf.DUMMYFUNCTION("""COMPUTED_VALUE"""),0.5)</f>
        <v>0.5</v>
      </c>
      <c r="L457" s="3" t="str">
        <f ca="1">IFERROR(__xludf.DUMMYFUNCTION("""COMPUTED_VALUE"""),"GSD")</f>
        <v>GSD</v>
      </c>
      <c r="M457" s="3" t="str">
        <f ca="1">IFERROR(__xludf.DUMMYFUNCTION("""COMPUTED_VALUE"""),"POC")</f>
        <v>POC</v>
      </c>
      <c r="N457" s="157">
        <f ca="1">IFERROR(__xludf.DUMMYFUNCTION("""COMPUTED_VALUE"""),0.5)</f>
        <v>0.5</v>
      </c>
      <c r="O457" s="157">
        <f ca="1">IFERROR(__xludf.DUMMYFUNCTION("""COMPUTED_VALUE"""),0.5)</f>
        <v>0.5</v>
      </c>
      <c r="P457" s="157"/>
      <c r="R457" s="147"/>
      <c r="S457" s="147"/>
      <c r="T457" s="147"/>
      <c r="U457" s="147"/>
      <c r="X457" s="147"/>
      <c r="Y457" s="147"/>
      <c r="Z457" s="147"/>
      <c r="AA457" s="147"/>
      <c r="AB457" s="147"/>
      <c r="AC457" s="147"/>
      <c r="AD457" s="147"/>
      <c r="AE457" s="147"/>
      <c r="AF457" s="147"/>
      <c r="AG457" s="147"/>
      <c r="AH457" s="147"/>
      <c r="AI457" s="147"/>
      <c r="AJ457" s="147"/>
      <c r="AK457" s="147"/>
      <c r="AL457" s="147"/>
      <c r="AM457" s="147"/>
      <c r="AN457" s="147"/>
      <c r="AO457" s="147"/>
      <c r="AP457" s="147"/>
      <c r="AQ457" s="147"/>
    </row>
    <row r="458" spans="1:43">
      <c r="A458" s="160" t="str">
        <f ca="1">IFERROR(__xludf.DUMMYFUNCTION("""COMPUTED_VALUE"""),"193496")</f>
        <v>193496</v>
      </c>
      <c r="B458" s="3" t="str">
        <f ca="1">IFERROR(__xludf.DUMMYFUNCTION("""COMPUTED_VALUE"""),"PHẠM NGUYỄN TRƯỜNG BẢO")</f>
        <v>PHẠM NGUYỄN TRƯỜNG BẢO</v>
      </c>
      <c r="C458" s="160" t="str">
        <f ca="1">IFERROR(__xludf.DUMMYFUNCTION("""COMPUTED_VALUE"""),"EL040")</f>
        <v>EL040</v>
      </c>
      <c r="D458" s="160" t="str">
        <f ca="1">IFERROR(__xludf.DUMMYFUNCTION("""COMPUTED_VALUE"""),"Thanh Phung")</f>
        <v>Thanh Phung</v>
      </c>
      <c r="E458" s="3" t="str">
        <f ca="1">IFERROR(__xludf.DUMMYFUNCTION("""COMPUTED_VALUE"""),"Foundation")</f>
        <v>Foundation</v>
      </c>
      <c r="F458" s="3" t="str">
        <f ca="1">IFERROR(__xludf.DUMMYFUNCTION("""COMPUTED_VALUE"""),"Foundation")</f>
        <v>Foundation</v>
      </c>
      <c r="G458" s="3" t="str">
        <f ca="1">IFERROR(__xludf.DUMMYFUNCTION("""COMPUTED_VALUE"""),"Foundation")</f>
        <v>Foundation</v>
      </c>
      <c r="H458" s="156">
        <f ca="1">IFERROR(__xludf.DUMMYFUNCTION("""COMPUTED_VALUE"""),45916.4583333333)</f>
        <v>45916.458333333299</v>
      </c>
      <c r="I458" s="156">
        <f ca="1">IFERROR(__xludf.DUMMYFUNCTION("""COMPUTED_VALUE"""),45916.4583333333)</f>
        <v>45916.458333333299</v>
      </c>
      <c r="J458" s="3">
        <f ca="1">IFERROR(__xludf.DUMMYFUNCTION("""COMPUTED_VALUE"""),0.5)</f>
        <v>0.5</v>
      </c>
      <c r="K458" s="3">
        <f ca="1">IFERROR(__xludf.DUMMYFUNCTION("""COMPUTED_VALUE"""),0.5)</f>
        <v>0.5</v>
      </c>
      <c r="L458" s="3" t="str">
        <f ca="1">IFERROR(__xludf.DUMMYFUNCTION("""COMPUTED_VALUE"""),"GSD")</f>
        <v>GSD</v>
      </c>
      <c r="M458" s="3" t="str">
        <f ca="1">IFERROR(__xludf.DUMMYFUNCTION("""COMPUTED_VALUE"""),"POC")</f>
        <v>POC</v>
      </c>
      <c r="N458" s="157">
        <f ca="1">IFERROR(__xludf.DUMMYFUNCTION("""COMPUTED_VALUE"""),0.5)</f>
        <v>0.5</v>
      </c>
      <c r="O458" s="157">
        <f ca="1">IFERROR(__xludf.DUMMYFUNCTION("""COMPUTED_VALUE"""),0.5)</f>
        <v>0.5</v>
      </c>
      <c r="P458" s="157"/>
      <c r="R458" s="147"/>
      <c r="S458" s="147"/>
      <c r="T458" s="147"/>
      <c r="U458" s="147"/>
      <c r="X458" s="147"/>
      <c r="Y458" s="147"/>
      <c r="Z458" s="147"/>
      <c r="AA458" s="147"/>
      <c r="AB458" s="147"/>
      <c r="AC458" s="147"/>
      <c r="AD458" s="147"/>
      <c r="AE458" s="147"/>
      <c r="AF458" s="147"/>
      <c r="AG458" s="147"/>
      <c r="AH458" s="147"/>
      <c r="AI458" s="147"/>
      <c r="AJ458" s="147"/>
      <c r="AK458" s="147"/>
      <c r="AL458" s="147"/>
      <c r="AM458" s="147"/>
      <c r="AN458" s="147"/>
      <c r="AO458" s="147"/>
      <c r="AP458" s="147"/>
      <c r="AQ458" s="147"/>
    </row>
    <row r="459" spans="1:43">
      <c r="A459" s="160" t="str">
        <f ca="1">IFERROR(__xludf.DUMMYFUNCTION("""COMPUTED_VALUE"""),"193490")</f>
        <v>193490</v>
      </c>
      <c r="B459" s="3" t="str">
        <f ca="1">IFERROR(__xludf.DUMMYFUNCTION("""COMPUTED_VALUE"""),"PHAN GIA LỘC")</f>
        <v>PHAN GIA LỘC</v>
      </c>
      <c r="C459" s="160" t="str">
        <f ca="1">IFERROR(__xludf.DUMMYFUNCTION("""COMPUTED_VALUE"""),"EL040")</f>
        <v>EL040</v>
      </c>
      <c r="D459" s="160" t="str">
        <f ca="1">IFERROR(__xludf.DUMMYFUNCTION("""COMPUTED_VALUE"""),"Thanh Phung")</f>
        <v>Thanh Phung</v>
      </c>
      <c r="E459" s="3" t="str">
        <f ca="1">IFERROR(__xludf.DUMMYFUNCTION("""COMPUTED_VALUE"""),"Foundation")</f>
        <v>Foundation</v>
      </c>
      <c r="F459" s="3" t="str">
        <f ca="1">IFERROR(__xludf.DUMMYFUNCTION("""COMPUTED_VALUE"""),"Foundation")</f>
        <v>Foundation</v>
      </c>
      <c r="G459" s="3" t="str">
        <f ca="1">IFERROR(__xludf.DUMMYFUNCTION("""COMPUTED_VALUE"""),"Foundation")</f>
        <v>Foundation</v>
      </c>
      <c r="H459" s="156">
        <f ca="1">IFERROR(__xludf.DUMMYFUNCTION("""COMPUTED_VALUE"""),45916.4583333333)</f>
        <v>45916.458333333299</v>
      </c>
      <c r="I459" s="156">
        <f ca="1">IFERROR(__xludf.DUMMYFUNCTION("""COMPUTED_VALUE"""),45916.4583333333)</f>
        <v>45916.458333333299</v>
      </c>
      <c r="J459" s="3">
        <f ca="1">IFERROR(__xludf.DUMMYFUNCTION("""COMPUTED_VALUE"""),0.5)</f>
        <v>0.5</v>
      </c>
      <c r="K459" s="3">
        <f ca="1">IFERROR(__xludf.DUMMYFUNCTION("""COMPUTED_VALUE"""),0.5)</f>
        <v>0.5</v>
      </c>
      <c r="L459" s="3" t="str">
        <f ca="1">IFERROR(__xludf.DUMMYFUNCTION("""COMPUTED_VALUE"""),"GSD")</f>
        <v>GSD</v>
      </c>
      <c r="M459" s="3" t="str">
        <f ca="1">IFERROR(__xludf.DUMMYFUNCTION("""COMPUTED_VALUE"""),"POC")</f>
        <v>POC</v>
      </c>
      <c r="N459" s="157">
        <f ca="1">IFERROR(__xludf.DUMMYFUNCTION("""COMPUTED_VALUE"""),0.5)</f>
        <v>0.5</v>
      </c>
      <c r="O459" s="157">
        <f ca="1">IFERROR(__xludf.DUMMYFUNCTION("""COMPUTED_VALUE"""),0.5)</f>
        <v>0.5</v>
      </c>
      <c r="P459" s="157"/>
      <c r="R459" s="147"/>
      <c r="S459" s="147"/>
      <c r="T459" s="147"/>
      <c r="U459" s="147"/>
      <c r="X459" s="147"/>
      <c r="Y459" s="147"/>
      <c r="Z459" s="147"/>
      <c r="AA459" s="147"/>
      <c r="AB459" s="147"/>
      <c r="AC459" s="147"/>
      <c r="AD459" s="147"/>
      <c r="AE459" s="147"/>
      <c r="AF459" s="147"/>
      <c r="AG459" s="147"/>
      <c r="AH459" s="147"/>
      <c r="AI459" s="147"/>
      <c r="AJ459" s="147"/>
      <c r="AK459" s="147"/>
      <c r="AL459" s="147"/>
      <c r="AM459" s="147"/>
      <c r="AN459" s="147"/>
      <c r="AO459" s="147"/>
      <c r="AP459" s="147"/>
      <c r="AQ459" s="147"/>
    </row>
    <row r="460" spans="1:43">
      <c r="A460" s="160" t="str">
        <f ca="1">IFERROR(__xludf.DUMMYFUNCTION("""COMPUTED_VALUE"""),"133067")</f>
        <v>133067</v>
      </c>
      <c r="B460" s="3" t="str">
        <f ca="1">IFERROR(__xludf.DUMMYFUNCTION("""COMPUTED_VALUE"""),"NGUYEN DUY PHU")</f>
        <v>NGUYEN DUY PHU</v>
      </c>
      <c r="C460" s="160" t="str">
        <f ca="1">IFERROR(__xludf.DUMMYFUNCTION("""COMPUTED_VALUE"""),"EL041")</f>
        <v>EL041</v>
      </c>
      <c r="D460" s="160" t="str">
        <f ca="1">IFERROR(__xludf.DUMMYFUNCTION("""COMPUTED_VALUE"""),"Phu Nguyen")</f>
        <v>Phu Nguyen</v>
      </c>
      <c r="E460" s="3" t="str">
        <f ca="1">IFERROR(__xludf.DUMMYFUNCTION("""COMPUTED_VALUE"""),"Communication 1")</f>
        <v>Communication 1</v>
      </c>
      <c r="F460" s="3" t="str">
        <f ca="1">IFERROR(__xludf.DUMMYFUNCTION("""COMPUTED_VALUE"""),"Beginner")</f>
        <v>Beginner</v>
      </c>
      <c r="G460" s="3"/>
      <c r="H460" s="156">
        <f ca="1">IFERROR(__xludf.DUMMYFUNCTION("""COMPUTED_VALUE"""),45917.5833333333)</f>
        <v>45917.583333333299</v>
      </c>
      <c r="I460" s="156">
        <f ca="1">IFERROR(__xludf.DUMMYFUNCTION("""COMPUTED_VALUE"""),45917.5833333333)</f>
        <v>45917.583333333299</v>
      </c>
      <c r="J460" s="3">
        <f ca="1">IFERROR(__xludf.DUMMYFUNCTION("""COMPUTED_VALUE"""),1)</f>
        <v>1</v>
      </c>
      <c r="K460" s="3" t="str">
        <f ca="1">IFERROR(__xludf.DUMMYFUNCTION("""COMPUTED_VALUE"""),"")</f>
        <v/>
      </c>
      <c r="L460" s="3" t="str">
        <f ca="1">IFERROR(__xludf.DUMMYFUNCTION("""COMPUTED_VALUE"""),"GSD")</f>
        <v>GSD</v>
      </c>
      <c r="M460" s="3" t="str">
        <f ca="1">IFERROR(__xludf.DUMMYFUNCTION("""COMPUTED_VALUE"""),"POC")</f>
        <v>POC</v>
      </c>
      <c r="N460" s="157">
        <f ca="1">IFERROR(__xludf.DUMMYFUNCTION("""COMPUTED_VALUE"""),1)</f>
        <v>1</v>
      </c>
      <c r="O460" s="157">
        <f ca="1">IFERROR(__xludf.DUMMYFUNCTION("""COMPUTED_VALUE"""),0)</f>
        <v>0</v>
      </c>
      <c r="P460" s="157"/>
      <c r="R460" s="147"/>
      <c r="S460" s="147"/>
      <c r="T460" s="147"/>
      <c r="U460" s="147"/>
      <c r="X460" s="147"/>
      <c r="Y460" s="147"/>
      <c r="Z460" s="147"/>
      <c r="AA460" s="147"/>
      <c r="AB460" s="147"/>
      <c r="AC460" s="147"/>
      <c r="AD460" s="147"/>
      <c r="AE460" s="147"/>
      <c r="AF460" s="147"/>
      <c r="AG460" s="147"/>
      <c r="AH460" s="147"/>
      <c r="AI460" s="147"/>
      <c r="AJ460" s="147"/>
      <c r="AK460" s="147"/>
      <c r="AL460" s="147"/>
      <c r="AM460" s="147"/>
      <c r="AN460" s="147"/>
      <c r="AO460" s="147"/>
      <c r="AP460" s="147"/>
      <c r="AQ460" s="147"/>
    </row>
    <row r="461" spans="1:43">
      <c r="A461" s="160" t="str">
        <f ca="1">IFERROR(__xludf.DUMMYFUNCTION("""COMPUTED_VALUE"""),"203748")</f>
        <v>203748</v>
      </c>
      <c r="B461" s="3" t="str">
        <f ca="1">IFERROR(__xludf.DUMMYFUNCTION("""COMPUTED_VALUE"""),"LÂM MINH HOÀNG")</f>
        <v>LÂM MINH HOÀNG</v>
      </c>
      <c r="C461" s="160" t="str">
        <f ca="1">IFERROR(__xludf.DUMMYFUNCTION("""COMPUTED_VALUE"""),"EL041")</f>
        <v>EL041</v>
      </c>
      <c r="D461" s="160" t="str">
        <f ca="1">IFERROR(__xludf.DUMMYFUNCTION("""COMPUTED_VALUE"""),"Phu Nguyen")</f>
        <v>Phu Nguyen</v>
      </c>
      <c r="E461" s="3" t="str">
        <f ca="1">IFERROR(__xludf.DUMMYFUNCTION("""COMPUTED_VALUE"""),"Communication 1")</f>
        <v>Communication 1</v>
      </c>
      <c r="F461" s="3" t="str">
        <f ca="1">IFERROR(__xludf.DUMMYFUNCTION("""COMPUTED_VALUE"""),"Beginner")</f>
        <v>Beginner</v>
      </c>
      <c r="G461" s="3"/>
      <c r="H461" s="156">
        <f ca="1">IFERROR(__xludf.DUMMYFUNCTION("""COMPUTED_VALUE"""),45917.5833333333)</f>
        <v>45917.583333333299</v>
      </c>
      <c r="I461" s="156">
        <f ca="1">IFERROR(__xludf.DUMMYFUNCTION("""COMPUTED_VALUE"""),45917.5833333333)</f>
        <v>45917.583333333299</v>
      </c>
      <c r="J461" s="3">
        <f ca="1">IFERROR(__xludf.DUMMYFUNCTION("""COMPUTED_VALUE"""),1)</f>
        <v>1</v>
      </c>
      <c r="K461" s="3" t="str">
        <f ca="1">IFERROR(__xludf.DUMMYFUNCTION("""COMPUTED_VALUE"""),"")</f>
        <v/>
      </c>
      <c r="L461" s="3" t="str">
        <f ca="1">IFERROR(__xludf.DUMMYFUNCTION("""COMPUTED_VALUE"""),"GSD")</f>
        <v>GSD</v>
      </c>
      <c r="M461" s="3" t="str">
        <f ca="1">IFERROR(__xludf.DUMMYFUNCTION("""COMPUTED_VALUE"""),"POC")</f>
        <v>POC</v>
      </c>
      <c r="N461" s="157">
        <f ca="1">IFERROR(__xludf.DUMMYFUNCTION("""COMPUTED_VALUE"""),1)</f>
        <v>1</v>
      </c>
      <c r="O461" s="157">
        <f ca="1">IFERROR(__xludf.DUMMYFUNCTION("""COMPUTED_VALUE"""),0)</f>
        <v>0</v>
      </c>
      <c r="P461" s="157"/>
      <c r="R461" s="147"/>
      <c r="S461" s="147"/>
      <c r="T461" s="147"/>
      <c r="U461" s="147"/>
      <c r="X461" s="147"/>
      <c r="Y461" s="147"/>
      <c r="Z461" s="147"/>
      <c r="AA461" s="147"/>
      <c r="AB461" s="147"/>
      <c r="AC461" s="147"/>
      <c r="AD461" s="147"/>
      <c r="AE461" s="147"/>
      <c r="AF461" s="147"/>
      <c r="AG461" s="147"/>
      <c r="AH461" s="147"/>
      <c r="AI461" s="147"/>
      <c r="AJ461" s="147"/>
      <c r="AK461" s="147"/>
      <c r="AL461" s="147"/>
      <c r="AM461" s="147"/>
      <c r="AN461" s="147"/>
      <c r="AO461" s="147"/>
      <c r="AP461" s="147"/>
      <c r="AQ461" s="147"/>
    </row>
    <row r="462" spans="1:43">
      <c r="A462" s="160" t="str">
        <f ca="1">IFERROR(__xludf.DUMMYFUNCTION("""COMPUTED_VALUE"""),"257045")</f>
        <v>257045</v>
      </c>
      <c r="B462" s="3" t="str">
        <f ca="1">IFERROR(__xludf.DUMMYFUNCTION("""COMPUTED_VALUE"""),"NGUYỄN BẢO DUY")</f>
        <v>NGUYỄN BẢO DUY</v>
      </c>
      <c r="C462" s="160" t="str">
        <f ca="1">IFERROR(__xludf.DUMMYFUNCTION("""COMPUTED_VALUE"""),"EL041")</f>
        <v>EL041</v>
      </c>
      <c r="D462" s="160" t="str">
        <f ca="1">IFERROR(__xludf.DUMMYFUNCTION("""COMPUTED_VALUE"""),"Phu Nguyen")</f>
        <v>Phu Nguyen</v>
      </c>
      <c r="E462" s="3" t="str">
        <f ca="1">IFERROR(__xludf.DUMMYFUNCTION("""COMPUTED_VALUE"""),"Communication 1")</f>
        <v>Communication 1</v>
      </c>
      <c r="F462" s="3" t="str">
        <f ca="1">IFERROR(__xludf.DUMMYFUNCTION("""COMPUTED_VALUE"""),"Beginner")</f>
        <v>Beginner</v>
      </c>
      <c r="G462" s="3"/>
      <c r="H462" s="156">
        <f ca="1">IFERROR(__xludf.DUMMYFUNCTION("""COMPUTED_VALUE"""),45917.5833333333)</f>
        <v>45917.583333333299</v>
      </c>
      <c r="I462" s="156">
        <f ca="1">IFERROR(__xludf.DUMMYFUNCTION("""COMPUTED_VALUE"""),45917.5833333333)</f>
        <v>45917.583333333299</v>
      </c>
      <c r="J462" s="3">
        <f ca="1">IFERROR(__xludf.DUMMYFUNCTION("""COMPUTED_VALUE"""),1)</f>
        <v>1</v>
      </c>
      <c r="K462" s="3" t="str">
        <f ca="1">IFERROR(__xludf.DUMMYFUNCTION("""COMPUTED_VALUE"""),"")</f>
        <v/>
      </c>
      <c r="L462" s="3" t="str">
        <f ca="1">IFERROR(__xludf.DUMMYFUNCTION("""COMPUTED_VALUE"""),"GSD")</f>
        <v>GSD</v>
      </c>
      <c r="M462" s="3" t="str">
        <f ca="1">IFERROR(__xludf.DUMMYFUNCTION("""COMPUTED_VALUE"""),"TBU")</f>
        <v>TBU</v>
      </c>
      <c r="N462" s="157">
        <f ca="1">IFERROR(__xludf.DUMMYFUNCTION("""COMPUTED_VALUE"""),1)</f>
        <v>1</v>
      </c>
      <c r="O462" s="157">
        <f ca="1">IFERROR(__xludf.DUMMYFUNCTION("""COMPUTED_VALUE"""),0)</f>
        <v>0</v>
      </c>
      <c r="P462" s="157"/>
      <c r="R462" s="147"/>
      <c r="S462" s="147"/>
      <c r="T462" s="147"/>
      <c r="U462" s="147"/>
      <c r="X462" s="147"/>
      <c r="Y462" s="147"/>
      <c r="Z462" s="147"/>
      <c r="AA462" s="147"/>
      <c r="AB462" s="147"/>
      <c r="AC462" s="147"/>
      <c r="AD462" s="147"/>
      <c r="AE462" s="147"/>
      <c r="AF462" s="147"/>
      <c r="AG462" s="147"/>
      <c r="AH462" s="147"/>
      <c r="AI462" s="147"/>
      <c r="AJ462" s="147"/>
      <c r="AK462" s="147"/>
      <c r="AL462" s="147"/>
      <c r="AM462" s="147"/>
      <c r="AN462" s="147"/>
      <c r="AO462" s="147"/>
      <c r="AP462" s="147"/>
      <c r="AQ462" s="147"/>
    </row>
    <row r="463" spans="1:43">
      <c r="A463" s="160" t="str">
        <f ca="1">IFERROR(__xludf.DUMMYFUNCTION("""COMPUTED_VALUE"""),"227055")</f>
        <v>227055</v>
      </c>
      <c r="B463" s="3" t="str">
        <f ca="1">IFERROR(__xludf.DUMMYFUNCTION("""COMPUTED_VALUE"""),"NGUYỄN HOÀNG PHÚC")</f>
        <v>NGUYỄN HOÀNG PHÚC</v>
      </c>
      <c r="C463" s="160" t="str">
        <f ca="1">IFERROR(__xludf.DUMMYFUNCTION("""COMPUTED_VALUE"""),"EL041")</f>
        <v>EL041</v>
      </c>
      <c r="D463" s="160" t="str">
        <f ca="1">IFERROR(__xludf.DUMMYFUNCTION("""COMPUTED_VALUE"""),"Phu Nguyen")</f>
        <v>Phu Nguyen</v>
      </c>
      <c r="E463" s="3" t="str">
        <f ca="1">IFERROR(__xludf.DUMMYFUNCTION("""COMPUTED_VALUE"""),"Communication 1")</f>
        <v>Communication 1</v>
      </c>
      <c r="F463" s="3" t="str">
        <f ca="1">IFERROR(__xludf.DUMMYFUNCTION("""COMPUTED_VALUE"""),"Beginner")</f>
        <v>Beginner</v>
      </c>
      <c r="G463" s="3"/>
      <c r="H463" s="156">
        <f ca="1">IFERROR(__xludf.DUMMYFUNCTION("""COMPUTED_VALUE"""),45917.5833333333)</f>
        <v>45917.583333333299</v>
      </c>
      <c r="I463" s="156">
        <f ca="1">IFERROR(__xludf.DUMMYFUNCTION("""COMPUTED_VALUE"""),45917.5833333333)</f>
        <v>45917.583333333299</v>
      </c>
      <c r="J463" s="3">
        <f ca="1">IFERROR(__xludf.DUMMYFUNCTION("""COMPUTED_VALUE"""),1)</f>
        <v>1</v>
      </c>
      <c r="K463" s="3" t="str">
        <f ca="1">IFERROR(__xludf.DUMMYFUNCTION("""COMPUTED_VALUE"""),"")</f>
        <v/>
      </c>
      <c r="L463" s="3" t="str">
        <f ca="1">IFERROR(__xludf.DUMMYFUNCTION("""COMPUTED_VALUE"""),"GSD")</f>
        <v>GSD</v>
      </c>
      <c r="M463" s="3" t="str">
        <f ca="1">IFERROR(__xludf.DUMMYFUNCTION("""COMPUTED_VALUE"""),"TBU")</f>
        <v>TBU</v>
      </c>
      <c r="N463" s="157">
        <f ca="1">IFERROR(__xludf.DUMMYFUNCTION("""COMPUTED_VALUE"""),1)</f>
        <v>1</v>
      </c>
      <c r="O463" s="157">
        <f ca="1">IFERROR(__xludf.DUMMYFUNCTION("""COMPUTED_VALUE"""),0)</f>
        <v>0</v>
      </c>
      <c r="P463" s="157"/>
      <c r="R463" s="147"/>
      <c r="S463" s="147"/>
      <c r="T463" s="147"/>
      <c r="U463" s="147"/>
      <c r="X463" s="147"/>
      <c r="Y463" s="147"/>
      <c r="Z463" s="147"/>
      <c r="AA463" s="147"/>
      <c r="AB463" s="147"/>
      <c r="AC463" s="147"/>
      <c r="AD463" s="147"/>
      <c r="AE463" s="147"/>
      <c r="AF463" s="147"/>
      <c r="AG463" s="147"/>
      <c r="AH463" s="147"/>
      <c r="AI463" s="147"/>
      <c r="AJ463" s="147"/>
      <c r="AK463" s="147"/>
      <c r="AL463" s="147"/>
      <c r="AM463" s="147"/>
      <c r="AN463" s="147"/>
      <c r="AO463" s="147"/>
      <c r="AP463" s="147"/>
      <c r="AQ463" s="147"/>
    </row>
    <row r="464" spans="1:43">
      <c r="A464" s="160" t="str">
        <f ca="1">IFERROR(__xludf.DUMMYFUNCTION("""COMPUTED_VALUE"""),"213857")</f>
        <v>213857</v>
      </c>
      <c r="B464" s="3" t="str">
        <f ca="1">IFERROR(__xludf.DUMMYFUNCTION("""COMPUTED_VALUE"""),"NGUYỄN THÀNH NHÂN")</f>
        <v>NGUYỄN THÀNH NHÂN</v>
      </c>
      <c r="C464" s="160" t="str">
        <f ca="1">IFERROR(__xludf.DUMMYFUNCTION("""COMPUTED_VALUE"""),"EL041")</f>
        <v>EL041</v>
      </c>
      <c r="D464" s="160" t="str">
        <f ca="1">IFERROR(__xludf.DUMMYFUNCTION("""COMPUTED_VALUE"""),"Phu Nguyen")</f>
        <v>Phu Nguyen</v>
      </c>
      <c r="E464" s="3" t="str">
        <f ca="1">IFERROR(__xludf.DUMMYFUNCTION("""COMPUTED_VALUE"""),"Communication 1")</f>
        <v>Communication 1</v>
      </c>
      <c r="F464" s="3" t="str">
        <f ca="1">IFERROR(__xludf.DUMMYFUNCTION("""COMPUTED_VALUE"""),"Beginner")</f>
        <v>Beginner</v>
      </c>
      <c r="G464" s="3"/>
      <c r="H464" s="156">
        <f ca="1">IFERROR(__xludf.DUMMYFUNCTION("""COMPUTED_VALUE"""),45917.5833333333)</f>
        <v>45917.583333333299</v>
      </c>
      <c r="I464" s="156">
        <f ca="1">IFERROR(__xludf.DUMMYFUNCTION("""COMPUTED_VALUE"""),45917.5833333333)</f>
        <v>45917.583333333299</v>
      </c>
      <c r="J464" s="3">
        <f ca="1">IFERROR(__xludf.DUMMYFUNCTION("""COMPUTED_VALUE"""),1)</f>
        <v>1</v>
      </c>
      <c r="K464" s="3" t="str">
        <f ca="1">IFERROR(__xludf.DUMMYFUNCTION("""COMPUTED_VALUE"""),"")</f>
        <v/>
      </c>
      <c r="L464" s="3" t="str">
        <f ca="1">IFERROR(__xludf.DUMMYFUNCTION("""COMPUTED_VALUE"""),"GSD")</f>
        <v>GSD</v>
      </c>
      <c r="M464" s="3" t="str">
        <f ca="1">IFERROR(__xludf.DUMMYFUNCTION("""COMPUTED_VALUE"""),"POC")</f>
        <v>POC</v>
      </c>
      <c r="N464" s="157">
        <f ca="1">IFERROR(__xludf.DUMMYFUNCTION("""COMPUTED_VALUE"""),1)</f>
        <v>1</v>
      </c>
      <c r="O464" s="157">
        <f ca="1">IFERROR(__xludf.DUMMYFUNCTION("""COMPUTED_VALUE"""),0)</f>
        <v>0</v>
      </c>
      <c r="P464" s="157"/>
      <c r="R464" s="147"/>
      <c r="S464" s="147"/>
      <c r="T464" s="147"/>
      <c r="U464" s="147"/>
      <c r="X464" s="147"/>
      <c r="Y464" s="147"/>
      <c r="Z464" s="147"/>
      <c r="AA464" s="147"/>
      <c r="AB464" s="147"/>
      <c r="AC464" s="147"/>
      <c r="AD464" s="147"/>
      <c r="AE464" s="147"/>
      <c r="AF464" s="147"/>
      <c r="AG464" s="147"/>
      <c r="AH464" s="147"/>
      <c r="AI464" s="147"/>
      <c r="AJ464" s="147"/>
      <c r="AK464" s="147"/>
      <c r="AL464" s="147"/>
      <c r="AM464" s="147"/>
      <c r="AN464" s="147"/>
      <c r="AO464" s="147"/>
      <c r="AP464" s="147"/>
      <c r="AQ464" s="147"/>
    </row>
    <row r="465" spans="1:43">
      <c r="A465" s="160" t="str">
        <f ca="1">IFERROR(__xludf.DUMMYFUNCTION("""COMPUTED_VALUE"""),"173231")</f>
        <v>173231</v>
      </c>
      <c r="B465" s="3" t="str">
        <f ca="1">IFERROR(__xludf.DUMMYFUNCTION("""COMPUTED_VALUE"""),"NGUYỄN THANH TÙNG")</f>
        <v>NGUYỄN THANH TÙNG</v>
      </c>
      <c r="C465" s="160" t="str">
        <f ca="1">IFERROR(__xludf.DUMMYFUNCTION("""COMPUTED_VALUE"""),"EL041")</f>
        <v>EL041</v>
      </c>
      <c r="D465" s="160" t="str">
        <f ca="1">IFERROR(__xludf.DUMMYFUNCTION("""COMPUTED_VALUE"""),"Phu Nguyen")</f>
        <v>Phu Nguyen</v>
      </c>
      <c r="E465" s="3" t="str">
        <f ca="1">IFERROR(__xludf.DUMMYFUNCTION("""COMPUTED_VALUE"""),"Communication 1")</f>
        <v>Communication 1</v>
      </c>
      <c r="F465" s="3" t="str">
        <f ca="1">IFERROR(__xludf.DUMMYFUNCTION("""COMPUTED_VALUE"""),"Beginner")</f>
        <v>Beginner</v>
      </c>
      <c r="G465" s="3"/>
      <c r="H465" s="156">
        <f ca="1">IFERROR(__xludf.DUMMYFUNCTION("""COMPUTED_VALUE"""),45917.5833333333)</f>
        <v>45917.583333333299</v>
      </c>
      <c r="I465" s="156">
        <f ca="1">IFERROR(__xludf.DUMMYFUNCTION("""COMPUTED_VALUE"""),45917.5833333333)</f>
        <v>45917.583333333299</v>
      </c>
      <c r="J465" s="3">
        <f ca="1">IFERROR(__xludf.DUMMYFUNCTION("""COMPUTED_VALUE"""),1)</f>
        <v>1</v>
      </c>
      <c r="K465" s="3" t="str">
        <f ca="1">IFERROR(__xludf.DUMMYFUNCTION("""COMPUTED_VALUE"""),"")</f>
        <v/>
      </c>
      <c r="L465" s="3" t="str">
        <f ca="1">IFERROR(__xludf.DUMMYFUNCTION("""COMPUTED_VALUE"""),"GSD")</f>
        <v>GSD</v>
      </c>
      <c r="M465" s="3" t="str">
        <f ca="1">IFERROR(__xludf.DUMMYFUNCTION("""COMPUTED_VALUE"""),"POC")</f>
        <v>POC</v>
      </c>
      <c r="N465" s="157">
        <f ca="1">IFERROR(__xludf.DUMMYFUNCTION("""COMPUTED_VALUE"""),1)</f>
        <v>1</v>
      </c>
      <c r="O465" s="157">
        <f ca="1">IFERROR(__xludf.DUMMYFUNCTION("""COMPUTED_VALUE"""),0)</f>
        <v>0</v>
      </c>
      <c r="P465" s="157"/>
      <c r="R465" s="147"/>
      <c r="S465" s="147"/>
      <c r="T465" s="147"/>
      <c r="U465" s="147"/>
      <c r="X465" s="147"/>
      <c r="Y465" s="147"/>
      <c r="Z465" s="147"/>
      <c r="AA465" s="147"/>
      <c r="AB465" s="147"/>
      <c r="AC465" s="147"/>
      <c r="AD465" s="147"/>
      <c r="AE465" s="147"/>
      <c r="AF465" s="147"/>
      <c r="AG465" s="147"/>
      <c r="AH465" s="147"/>
      <c r="AI465" s="147"/>
      <c r="AJ465" s="147"/>
      <c r="AK465" s="147"/>
      <c r="AL465" s="147"/>
      <c r="AM465" s="147"/>
      <c r="AN465" s="147"/>
      <c r="AO465" s="147"/>
      <c r="AP465" s="147"/>
      <c r="AQ465" s="147"/>
    </row>
    <row r="466" spans="1:43">
      <c r="A466" s="160" t="str">
        <f ca="1">IFERROR(__xludf.DUMMYFUNCTION("""COMPUTED_VALUE"""),"193607")</f>
        <v>193607</v>
      </c>
      <c r="B466" s="3" t="str">
        <f ca="1">IFERROR(__xludf.DUMMYFUNCTION("""COMPUTED_VALUE"""),"NGUYỄN TRẦN MINH NGHĨA")</f>
        <v>NGUYỄN TRẦN MINH NGHĨA</v>
      </c>
      <c r="C466" s="160" t="str">
        <f ca="1">IFERROR(__xludf.DUMMYFUNCTION("""COMPUTED_VALUE"""),"EL041")</f>
        <v>EL041</v>
      </c>
      <c r="D466" s="160" t="str">
        <f ca="1">IFERROR(__xludf.DUMMYFUNCTION("""COMPUTED_VALUE"""),"Phu Nguyen")</f>
        <v>Phu Nguyen</v>
      </c>
      <c r="E466" s="3" t="str">
        <f ca="1">IFERROR(__xludf.DUMMYFUNCTION("""COMPUTED_VALUE"""),"Communication 1")</f>
        <v>Communication 1</v>
      </c>
      <c r="F466" s="3" t="str">
        <f ca="1">IFERROR(__xludf.DUMMYFUNCTION("""COMPUTED_VALUE"""),"Beginner")</f>
        <v>Beginner</v>
      </c>
      <c r="G466" s="3"/>
      <c r="H466" s="156">
        <f ca="1">IFERROR(__xludf.DUMMYFUNCTION("""COMPUTED_VALUE"""),45917.5833333333)</f>
        <v>45917.583333333299</v>
      </c>
      <c r="I466" s="156">
        <f ca="1">IFERROR(__xludf.DUMMYFUNCTION("""COMPUTED_VALUE"""),45917.5833333333)</f>
        <v>45917.583333333299</v>
      </c>
      <c r="J466" s="3">
        <f ca="1">IFERROR(__xludf.DUMMYFUNCTION("""COMPUTED_VALUE"""),1)</f>
        <v>1</v>
      </c>
      <c r="K466" s="3" t="str">
        <f ca="1">IFERROR(__xludf.DUMMYFUNCTION("""COMPUTED_VALUE"""),"")</f>
        <v/>
      </c>
      <c r="L466" s="3" t="str">
        <f ca="1">IFERROR(__xludf.DUMMYFUNCTION("""COMPUTED_VALUE"""),"GSD")</f>
        <v>GSD</v>
      </c>
      <c r="M466" s="3" t="str">
        <f ca="1">IFERROR(__xludf.DUMMYFUNCTION("""COMPUTED_VALUE"""),"TBU")</f>
        <v>TBU</v>
      </c>
      <c r="N466" s="157">
        <f ca="1">IFERROR(__xludf.DUMMYFUNCTION("""COMPUTED_VALUE"""),1)</f>
        <v>1</v>
      </c>
      <c r="O466" s="157">
        <f ca="1">IFERROR(__xludf.DUMMYFUNCTION("""COMPUTED_VALUE"""),0)</f>
        <v>0</v>
      </c>
      <c r="P466" s="157"/>
      <c r="R466" s="147"/>
      <c r="S466" s="147"/>
      <c r="T466" s="147"/>
      <c r="U466" s="147"/>
      <c r="X466" s="147"/>
      <c r="Y466" s="147"/>
      <c r="Z466" s="147"/>
      <c r="AA466" s="147"/>
      <c r="AB466" s="147"/>
      <c r="AC466" s="147"/>
      <c r="AD466" s="147"/>
      <c r="AE466" s="147"/>
      <c r="AF466" s="147"/>
      <c r="AG466" s="147"/>
      <c r="AH466" s="147"/>
      <c r="AI466" s="147"/>
      <c r="AJ466" s="147"/>
      <c r="AK466" s="147"/>
      <c r="AL466" s="147"/>
      <c r="AM466" s="147"/>
      <c r="AN466" s="147"/>
      <c r="AO466" s="147"/>
      <c r="AP466" s="147"/>
      <c r="AQ466" s="147"/>
    </row>
    <row r="467" spans="1:43">
      <c r="A467" s="160" t="str">
        <f ca="1">IFERROR(__xludf.DUMMYFUNCTION("""COMPUTED_VALUE"""),"153139")</f>
        <v>153139</v>
      </c>
      <c r="B467" s="3" t="str">
        <f ca="1">IFERROR(__xludf.DUMMYFUNCTION("""COMPUTED_VALUE"""),"NGUYEN TRUNG NGHIA")</f>
        <v>NGUYEN TRUNG NGHIA</v>
      </c>
      <c r="C467" s="160" t="str">
        <f ca="1">IFERROR(__xludf.DUMMYFUNCTION("""COMPUTED_VALUE"""),"EL041")</f>
        <v>EL041</v>
      </c>
      <c r="D467" s="160" t="str">
        <f ca="1">IFERROR(__xludf.DUMMYFUNCTION("""COMPUTED_VALUE"""),"Phu Nguyen")</f>
        <v>Phu Nguyen</v>
      </c>
      <c r="E467" s="3" t="str">
        <f ca="1">IFERROR(__xludf.DUMMYFUNCTION("""COMPUTED_VALUE"""),"Communication 1")</f>
        <v>Communication 1</v>
      </c>
      <c r="F467" s="3" t="str">
        <f ca="1">IFERROR(__xludf.DUMMYFUNCTION("""COMPUTED_VALUE"""),"Beginner")</f>
        <v>Beginner</v>
      </c>
      <c r="G467" s="3"/>
      <c r="H467" s="156">
        <f ca="1">IFERROR(__xludf.DUMMYFUNCTION("""COMPUTED_VALUE"""),45917.5833333333)</f>
        <v>45917.583333333299</v>
      </c>
      <c r="I467" s="156">
        <f ca="1">IFERROR(__xludf.DUMMYFUNCTION("""COMPUTED_VALUE"""),45917.5833333333)</f>
        <v>45917.583333333299</v>
      </c>
      <c r="J467" s="3">
        <f ca="1">IFERROR(__xludf.DUMMYFUNCTION("""COMPUTED_VALUE"""),1)</f>
        <v>1</v>
      </c>
      <c r="K467" s="3" t="str">
        <f ca="1">IFERROR(__xludf.DUMMYFUNCTION("""COMPUTED_VALUE"""),"")</f>
        <v/>
      </c>
      <c r="L467" s="3" t="str">
        <f ca="1">IFERROR(__xludf.DUMMYFUNCTION("""COMPUTED_VALUE"""),"BA")</f>
        <v>BA</v>
      </c>
      <c r="M467" s="3" t="str">
        <f ca="1">IFERROR(__xludf.DUMMYFUNCTION("""COMPUTED_VALUE"""),"POC")</f>
        <v>POC</v>
      </c>
      <c r="N467" s="157">
        <f ca="1">IFERROR(__xludf.DUMMYFUNCTION("""COMPUTED_VALUE"""),1)</f>
        <v>1</v>
      </c>
      <c r="O467" s="157">
        <f ca="1">IFERROR(__xludf.DUMMYFUNCTION("""COMPUTED_VALUE"""),0)</f>
        <v>0</v>
      </c>
      <c r="P467" s="157"/>
      <c r="R467" s="147"/>
      <c r="S467" s="147"/>
      <c r="T467" s="147"/>
      <c r="U467" s="147"/>
      <c r="X467" s="147"/>
      <c r="Y467" s="147"/>
      <c r="Z467" s="147"/>
      <c r="AA467" s="147"/>
      <c r="AB467" s="147"/>
      <c r="AC467" s="147"/>
      <c r="AD467" s="147"/>
      <c r="AE467" s="147"/>
      <c r="AF467" s="147"/>
      <c r="AG467" s="147"/>
      <c r="AH467" s="147"/>
      <c r="AI467" s="147"/>
      <c r="AJ467" s="147"/>
      <c r="AK467" s="147"/>
      <c r="AL467" s="147"/>
      <c r="AM467" s="147"/>
      <c r="AN467" s="147"/>
      <c r="AO467" s="147"/>
      <c r="AP467" s="147"/>
      <c r="AQ467" s="147"/>
    </row>
    <row r="468" spans="1:43">
      <c r="A468" s="160" t="str">
        <f ca="1">IFERROR(__xludf.DUMMYFUNCTION("""COMPUTED_VALUE"""),"193550")</f>
        <v>193550</v>
      </c>
      <c r="B468" s="3" t="str">
        <f ca="1">IFERROR(__xludf.DUMMYFUNCTION("""COMPUTED_VALUE"""),"PHẠM TƯỜNG NHÂN")</f>
        <v>PHẠM TƯỜNG NHÂN</v>
      </c>
      <c r="C468" s="160" t="str">
        <f ca="1">IFERROR(__xludf.DUMMYFUNCTION("""COMPUTED_VALUE"""),"EL041")</f>
        <v>EL041</v>
      </c>
      <c r="D468" s="160" t="str">
        <f ca="1">IFERROR(__xludf.DUMMYFUNCTION("""COMPUTED_VALUE"""),"Phu Nguyen")</f>
        <v>Phu Nguyen</v>
      </c>
      <c r="E468" s="3" t="str">
        <f ca="1">IFERROR(__xludf.DUMMYFUNCTION("""COMPUTED_VALUE"""),"Communication 1")</f>
        <v>Communication 1</v>
      </c>
      <c r="F468" s="3" t="str">
        <f ca="1">IFERROR(__xludf.DUMMYFUNCTION("""COMPUTED_VALUE"""),"Beginner")</f>
        <v>Beginner</v>
      </c>
      <c r="G468" s="3"/>
      <c r="H468" s="156">
        <f ca="1">IFERROR(__xludf.DUMMYFUNCTION("""COMPUTED_VALUE"""),45917.5833333333)</f>
        <v>45917.583333333299</v>
      </c>
      <c r="I468" s="156">
        <f ca="1">IFERROR(__xludf.DUMMYFUNCTION("""COMPUTED_VALUE"""),45917.5833333333)</f>
        <v>45917.583333333299</v>
      </c>
      <c r="J468" s="3">
        <f ca="1">IFERROR(__xludf.DUMMYFUNCTION("""COMPUTED_VALUE"""),1)</f>
        <v>1</v>
      </c>
      <c r="K468" s="3" t="str">
        <f ca="1">IFERROR(__xludf.DUMMYFUNCTION("""COMPUTED_VALUE"""),"")</f>
        <v/>
      </c>
      <c r="L468" s="3" t="str">
        <f ca="1">IFERROR(__xludf.DUMMYFUNCTION("""COMPUTED_VALUE"""),"GSD")</f>
        <v>GSD</v>
      </c>
      <c r="M468" s="3" t="str">
        <f ca="1">IFERROR(__xludf.DUMMYFUNCTION("""COMPUTED_VALUE"""),"TBU")</f>
        <v>TBU</v>
      </c>
      <c r="N468" s="157">
        <f ca="1">IFERROR(__xludf.DUMMYFUNCTION("""COMPUTED_VALUE"""),1)</f>
        <v>1</v>
      </c>
      <c r="O468" s="157">
        <f ca="1">IFERROR(__xludf.DUMMYFUNCTION("""COMPUTED_VALUE"""),0)</f>
        <v>0</v>
      </c>
      <c r="P468" s="157"/>
      <c r="R468" s="147"/>
      <c r="S468" s="147"/>
      <c r="T468" s="147"/>
      <c r="U468" s="147"/>
      <c r="X468" s="147"/>
      <c r="Y468" s="147"/>
      <c r="Z468" s="147"/>
      <c r="AA468" s="147"/>
      <c r="AB468" s="147"/>
      <c r="AC468" s="147"/>
      <c r="AD468" s="147"/>
      <c r="AE468" s="147"/>
      <c r="AF468" s="147"/>
      <c r="AG468" s="147"/>
      <c r="AH468" s="147"/>
      <c r="AI468" s="147"/>
      <c r="AJ468" s="147"/>
      <c r="AK468" s="147"/>
      <c r="AL468" s="147"/>
      <c r="AM468" s="147"/>
      <c r="AN468" s="147"/>
      <c r="AO468" s="147"/>
      <c r="AP468" s="147"/>
      <c r="AQ468" s="147"/>
    </row>
    <row r="469" spans="1:43">
      <c r="A469" s="160" t="str">
        <f ca="1">IFERROR(__xludf.DUMMYFUNCTION("""COMPUTED_VALUE"""),"247102")</f>
        <v>247102</v>
      </c>
      <c r="B469" s="3" t="str">
        <f ca="1">IFERROR(__xludf.DUMMYFUNCTION("""COMPUTED_VALUE"""),"TRẦN ĐỨC VINH")</f>
        <v>TRẦN ĐỨC VINH</v>
      </c>
      <c r="C469" s="160" t="str">
        <f ca="1">IFERROR(__xludf.DUMMYFUNCTION("""COMPUTED_VALUE"""),"EL042")</f>
        <v>EL042</v>
      </c>
      <c r="D469" s="160" t="str">
        <f ca="1">IFERROR(__xludf.DUMMYFUNCTION("""COMPUTED_VALUE"""),"Vinh Tran")</f>
        <v>Vinh Tran</v>
      </c>
      <c r="E469" s="3" t="str">
        <f ca="1">IFERROR(__xludf.DUMMYFUNCTION("""COMPUTED_VALUE"""),"Communication 1")</f>
        <v>Communication 1</v>
      </c>
      <c r="F469" s="3" t="str">
        <f ca="1">IFERROR(__xludf.DUMMYFUNCTION("""COMPUTED_VALUE"""),"Beginner")</f>
        <v>Beginner</v>
      </c>
      <c r="G469" s="3" t="str">
        <f ca="1">IFERROR(__xludf.DUMMYFUNCTION("""COMPUTED_VALUE"""),"Pre-Intermediate 2")</f>
        <v>Pre-Intermediate 2</v>
      </c>
      <c r="H469" s="156">
        <f ca="1">IFERROR(__xludf.DUMMYFUNCTION("""COMPUTED_VALUE"""),45909.5416666666)</f>
        <v>45909.541666666599</v>
      </c>
      <c r="I469" s="156">
        <f ca="1">IFERROR(__xludf.DUMMYFUNCTION("""COMPUTED_VALUE"""),45909.5416666666)</f>
        <v>45909.541666666599</v>
      </c>
      <c r="J469" s="3">
        <f ca="1">IFERROR(__xludf.DUMMYFUNCTION("""COMPUTED_VALUE"""),1)</f>
        <v>1</v>
      </c>
      <c r="K469" s="3">
        <f ca="1">IFERROR(__xludf.DUMMYFUNCTION("""COMPUTED_VALUE"""),3.5)</f>
        <v>3.5</v>
      </c>
      <c r="L469" s="3" t="str">
        <f ca="1">IFERROR(__xludf.DUMMYFUNCTION("""COMPUTED_VALUE"""),"GSD")</f>
        <v>GSD</v>
      </c>
      <c r="M469" s="3" t="str">
        <f ca="1">IFERROR(__xludf.DUMMYFUNCTION("""COMPUTED_VALUE"""),"POC")</f>
        <v>POC</v>
      </c>
      <c r="N469" s="157">
        <f ca="1">IFERROR(__xludf.DUMMYFUNCTION("""COMPUTED_VALUE"""),1)</f>
        <v>1</v>
      </c>
      <c r="O469" s="157">
        <f ca="1">IFERROR(__xludf.DUMMYFUNCTION("""COMPUTED_VALUE"""),3.5)</f>
        <v>3.5</v>
      </c>
      <c r="P469" s="157"/>
      <c r="R469" s="147"/>
      <c r="S469" s="147"/>
      <c r="T469" s="147"/>
      <c r="U469" s="147"/>
      <c r="X469" s="147"/>
      <c r="Y469" s="147"/>
      <c r="Z469" s="147"/>
      <c r="AA469" s="147"/>
      <c r="AB469" s="147"/>
      <c r="AC469" s="147"/>
      <c r="AD469" s="147"/>
      <c r="AE469" s="147"/>
      <c r="AF469" s="147"/>
      <c r="AG469" s="147"/>
      <c r="AH469" s="147"/>
      <c r="AI469" s="147"/>
      <c r="AJ469" s="147"/>
      <c r="AK469" s="147"/>
      <c r="AL469" s="147"/>
      <c r="AM469" s="147"/>
      <c r="AN469" s="147"/>
      <c r="AO469" s="147"/>
      <c r="AP469" s="147"/>
      <c r="AQ469" s="147"/>
    </row>
    <row r="470" spans="1:43">
      <c r="A470" s="160" t="str">
        <f ca="1">IFERROR(__xludf.DUMMYFUNCTION("""COMPUTED_VALUE"""),"247063")</f>
        <v>247063</v>
      </c>
      <c r="B470" s="3" t="str">
        <f ca="1">IFERROR(__xludf.DUMMYFUNCTION("""COMPUTED_VALUE"""),"GIANG KHIẾT ĐÌNH")</f>
        <v>GIANG KHIẾT ĐÌNH</v>
      </c>
      <c r="C470" s="160" t="str">
        <f ca="1">IFERROR(__xludf.DUMMYFUNCTION("""COMPUTED_VALUE"""),"EL042")</f>
        <v>EL042</v>
      </c>
      <c r="D470" s="160" t="str">
        <f ca="1">IFERROR(__xludf.DUMMYFUNCTION("""COMPUTED_VALUE"""),"Vinh Tran")</f>
        <v>Vinh Tran</v>
      </c>
      <c r="E470" s="3" t="str">
        <f ca="1">IFERROR(__xludf.DUMMYFUNCTION("""COMPUTED_VALUE"""),"Communication 1")</f>
        <v>Communication 1</v>
      </c>
      <c r="F470" s="3" t="str">
        <f ca="1">IFERROR(__xludf.DUMMYFUNCTION("""COMPUTED_VALUE"""),"Beginner")</f>
        <v>Beginner</v>
      </c>
      <c r="G470" s="3" t="str">
        <f ca="1">IFERROR(__xludf.DUMMYFUNCTION("""COMPUTED_VALUE"""),"Pre-Intermediate 1")</f>
        <v>Pre-Intermediate 1</v>
      </c>
      <c r="H470" s="156">
        <f ca="1">IFERROR(__xludf.DUMMYFUNCTION("""COMPUTED_VALUE"""),45909.5416666666)</f>
        <v>45909.541666666599</v>
      </c>
      <c r="I470" s="156">
        <f ca="1">IFERROR(__xludf.DUMMYFUNCTION("""COMPUTED_VALUE"""),45909.5416666666)</f>
        <v>45909.541666666599</v>
      </c>
      <c r="J470" s="3">
        <f ca="1">IFERROR(__xludf.DUMMYFUNCTION("""COMPUTED_VALUE"""),1)</f>
        <v>1</v>
      </c>
      <c r="K470" s="3">
        <f ca="1">IFERROR(__xludf.DUMMYFUNCTION("""COMPUTED_VALUE"""),3)</f>
        <v>3</v>
      </c>
      <c r="L470" s="3" t="str">
        <f ca="1">IFERROR(__xludf.DUMMYFUNCTION("""COMPUTED_VALUE"""),"GSD")</f>
        <v>GSD</v>
      </c>
      <c r="M470" s="3" t="str">
        <f ca="1">IFERROR(__xludf.DUMMYFUNCTION("""COMPUTED_VALUE"""),"POC")</f>
        <v>POC</v>
      </c>
      <c r="N470" s="157">
        <f ca="1">IFERROR(__xludf.DUMMYFUNCTION("""COMPUTED_VALUE"""),1)</f>
        <v>1</v>
      </c>
      <c r="O470" s="157">
        <f ca="1">IFERROR(__xludf.DUMMYFUNCTION("""COMPUTED_VALUE"""),3)</f>
        <v>3</v>
      </c>
      <c r="P470" s="157"/>
      <c r="R470" s="147"/>
      <c r="S470" s="147"/>
      <c r="T470" s="147"/>
      <c r="U470" s="147"/>
      <c r="X470" s="147"/>
      <c r="Y470" s="147"/>
      <c r="Z470" s="147"/>
      <c r="AA470" s="147"/>
      <c r="AB470" s="147"/>
      <c r="AC470" s="147"/>
      <c r="AD470" s="147"/>
      <c r="AE470" s="147"/>
      <c r="AF470" s="147"/>
      <c r="AG470" s="147"/>
      <c r="AH470" s="147"/>
      <c r="AI470" s="147"/>
      <c r="AJ470" s="147"/>
      <c r="AK470" s="147"/>
      <c r="AL470" s="147"/>
      <c r="AM470" s="147"/>
      <c r="AN470" s="147"/>
      <c r="AO470" s="147"/>
      <c r="AP470" s="147"/>
      <c r="AQ470" s="147"/>
    </row>
    <row r="471" spans="1:43">
      <c r="A471" s="160" t="str">
        <f ca="1">IFERROR(__xludf.DUMMYFUNCTION("""COMPUTED_VALUE"""),"227218")</f>
        <v>227218</v>
      </c>
      <c r="B471" s="3" t="str">
        <f ca="1">IFERROR(__xludf.DUMMYFUNCTION("""COMPUTED_VALUE"""),"NGUYỄN HOÀNG BẢO TRÂN")</f>
        <v>NGUYỄN HOÀNG BẢO TRÂN</v>
      </c>
      <c r="C471" s="160" t="str">
        <f ca="1">IFERROR(__xludf.DUMMYFUNCTION("""COMPUTED_VALUE"""),"EL042")</f>
        <v>EL042</v>
      </c>
      <c r="D471" s="160" t="str">
        <f ca="1">IFERROR(__xludf.DUMMYFUNCTION("""COMPUTED_VALUE"""),"Vinh Tran")</f>
        <v>Vinh Tran</v>
      </c>
      <c r="E471" s="3" t="str">
        <f ca="1">IFERROR(__xludf.DUMMYFUNCTION("""COMPUTED_VALUE"""),"Communication 1")</f>
        <v>Communication 1</v>
      </c>
      <c r="F471" s="3" t="str">
        <f ca="1">IFERROR(__xludf.DUMMYFUNCTION("""COMPUTED_VALUE"""),"Beginner")</f>
        <v>Beginner</v>
      </c>
      <c r="G471" s="3" t="str">
        <f ca="1">IFERROR(__xludf.DUMMYFUNCTION("""COMPUTED_VALUE"""),"Pre-Intermediate 1")</f>
        <v>Pre-Intermediate 1</v>
      </c>
      <c r="H471" s="156">
        <f ca="1">IFERROR(__xludf.DUMMYFUNCTION("""COMPUTED_VALUE"""),45909.5416666666)</f>
        <v>45909.541666666599</v>
      </c>
      <c r="I471" s="156">
        <f ca="1">IFERROR(__xludf.DUMMYFUNCTION("""COMPUTED_VALUE"""),45909.5416666666)</f>
        <v>45909.541666666599</v>
      </c>
      <c r="J471" s="3">
        <f ca="1">IFERROR(__xludf.DUMMYFUNCTION("""COMPUTED_VALUE"""),1)</f>
        <v>1</v>
      </c>
      <c r="K471" s="3">
        <f ca="1">IFERROR(__xludf.DUMMYFUNCTION("""COMPUTED_VALUE"""),3)</f>
        <v>3</v>
      </c>
      <c r="L471" s="3" t="str">
        <f ca="1">IFERROR(__xludf.DUMMYFUNCTION("""COMPUTED_VALUE"""),"GSD")</f>
        <v>GSD</v>
      </c>
      <c r="M471" s="3" t="str">
        <f ca="1">IFERROR(__xludf.DUMMYFUNCTION("""COMPUTED_VALUE"""),"POC")</f>
        <v>POC</v>
      </c>
      <c r="N471" s="157">
        <f ca="1">IFERROR(__xludf.DUMMYFUNCTION("""COMPUTED_VALUE"""),1)</f>
        <v>1</v>
      </c>
      <c r="O471" s="157">
        <f ca="1">IFERROR(__xludf.DUMMYFUNCTION("""COMPUTED_VALUE"""),3)</f>
        <v>3</v>
      </c>
      <c r="P471" s="157"/>
      <c r="R471" s="147"/>
      <c r="S471" s="147"/>
      <c r="T471" s="147"/>
      <c r="U471" s="147"/>
      <c r="X471" s="147"/>
      <c r="Y471" s="147"/>
      <c r="Z471" s="147"/>
      <c r="AA471" s="147"/>
      <c r="AB471" s="147"/>
      <c r="AC471" s="147"/>
      <c r="AD471" s="147"/>
      <c r="AE471" s="147"/>
      <c r="AF471" s="147"/>
      <c r="AG471" s="147"/>
      <c r="AH471" s="147"/>
      <c r="AI471" s="147"/>
      <c r="AJ471" s="147"/>
      <c r="AK471" s="147"/>
      <c r="AL471" s="147"/>
      <c r="AM471" s="147"/>
      <c r="AN471" s="147"/>
      <c r="AO471" s="147"/>
      <c r="AP471" s="147"/>
      <c r="AQ471" s="147"/>
    </row>
    <row r="472" spans="1:43">
      <c r="A472" s="160" t="str">
        <f ca="1">IFERROR(__xludf.DUMMYFUNCTION("""COMPUTED_VALUE"""),"227035")</f>
        <v>227035</v>
      </c>
      <c r="B472" s="3" t="str">
        <f ca="1">IFERROR(__xludf.DUMMYFUNCTION("""COMPUTED_VALUE"""),"NGUYỄN NHẬT HÀO")</f>
        <v>NGUYỄN NHẬT HÀO</v>
      </c>
      <c r="C472" s="160" t="str">
        <f ca="1">IFERROR(__xludf.DUMMYFUNCTION("""COMPUTED_VALUE"""),"EL042")</f>
        <v>EL042</v>
      </c>
      <c r="D472" s="160" t="str">
        <f ca="1">IFERROR(__xludf.DUMMYFUNCTION("""COMPUTED_VALUE"""),"Vinh Tran")</f>
        <v>Vinh Tran</v>
      </c>
      <c r="E472" s="3" t="str">
        <f ca="1">IFERROR(__xludf.DUMMYFUNCTION("""COMPUTED_VALUE"""),"Communication 1")</f>
        <v>Communication 1</v>
      </c>
      <c r="F472" s="3" t="str">
        <f ca="1">IFERROR(__xludf.DUMMYFUNCTION("""COMPUTED_VALUE"""),"Beginner")</f>
        <v>Beginner</v>
      </c>
      <c r="G472" s="3" t="str">
        <f ca="1">IFERROR(__xludf.DUMMYFUNCTION("""COMPUTED_VALUE"""),"Pre-Intermediate 1")</f>
        <v>Pre-Intermediate 1</v>
      </c>
      <c r="H472" s="156">
        <f ca="1">IFERROR(__xludf.DUMMYFUNCTION("""COMPUTED_VALUE"""),45909.5416666666)</f>
        <v>45909.541666666599</v>
      </c>
      <c r="I472" s="156">
        <f ca="1">IFERROR(__xludf.DUMMYFUNCTION("""COMPUTED_VALUE"""),45765.375)</f>
        <v>45765.375</v>
      </c>
      <c r="J472" s="3">
        <f ca="1">IFERROR(__xludf.DUMMYFUNCTION("""COMPUTED_VALUE"""),1)</f>
        <v>1</v>
      </c>
      <c r="K472" s="3">
        <f ca="1">IFERROR(__xludf.DUMMYFUNCTION("""COMPUTED_VALUE"""),3)</f>
        <v>3</v>
      </c>
      <c r="L472" s="3" t="str">
        <f ca="1">IFERROR(__xludf.DUMMYFUNCTION("""COMPUTED_VALUE"""),"DEV")</f>
        <v>DEV</v>
      </c>
      <c r="M472" s="3" t="str">
        <f ca="1">IFERROR(__xludf.DUMMYFUNCTION("""COMPUTED_VALUE"""),"LBU")</f>
        <v>LBU</v>
      </c>
      <c r="N472" s="157">
        <f ca="1">IFERROR(__xludf.DUMMYFUNCTION("""COMPUTED_VALUE"""),1)</f>
        <v>1</v>
      </c>
      <c r="O472" s="157">
        <f ca="1">IFERROR(__xludf.DUMMYFUNCTION("""COMPUTED_VALUE"""),3)</f>
        <v>3</v>
      </c>
      <c r="P472" s="157"/>
      <c r="R472" s="147"/>
      <c r="S472" s="147"/>
      <c r="T472" s="147"/>
      <c r="U472" s="147"/>
      <c r="X472" s="147"/>
      <c r="Y472" s="147"/>
      <c r="Z472" s="147"/>
      <c r="AA472" s="147"/>
      <c r="AB472" s="147"/>
      <c r="AC472" s="147"/>
      <c r="AD472" s="147"/>
      <c r="AE472" s="147"/>
      <c r="AF472" s="147"/>
      <c r="AG472" s="147"/>
      <c r="AH472" s="147"/>
      <c r="AI472" s="147"/>
      <c r="AJ472" s="147"/>
      <c r="AK472" s="147"/>
      <c r="AL472" s="147"/>
      <c r="AM472" s="147"/>
      <c r="AN472" s="147"/>
      <c r="AO472" s="147"/>
      <c r="AP472" s="147"/>
      <c r="AQ472" s="147"/>
    </row>
    <row r="473" spans="1:43">
      <c r="A473" s="160" t="str">
        <f ca="1">IFERROR(__xludf.DUMMYFUNCTION("""COMPUTED_VALUE"""),"247062")</f>
        <v>247062</v>
      </c>
      <c r="B473" s="3" t="str">
        <f ca="1">IFERROR(__xludf.DUMMYFUNCTION("""COMPUTED_VALUE"""),"NGUYỄN THẾ ANH")</f>
        <v>NGUYỄN THẾ ANH</v>
      </c>
      <c r="C473" s="160" t="str">
        <f ca="1">IFERROR(__xludf.DUMMYFUNCTION("""COMPUTED_VALUE"""),"EL042")</f>
        <v>EL042</v>
      </c>
      <c r="D473" s="160" t="str">
        <f ca="1">IFERROR(__xludf.DUMMYFUNCTION("""COMPUTED_VALUE"""),"Vinh Tran")</f>
        <v>Vinh Tran</v>
      </c>
      <c r="E473" s="3" t="str">
        <f ca="1">IFERROR(__xludf.DUMMYFUNCTION("""COMPUTED_VALUE"""),"Communication 1")</f>
        <v>Communication 1</v>
      </c>
      <c r="F473" s="3" t="str">
        <f ca="1">IFERROR(__xludf.DUMMYFUNCTION("""COMPUTED_VALUE"""),"Beginner")</f>
        <v>Beginner</v>
      </c>
      <c r="G473" s="3" t="str">
        <f ca="1">IFERROR(__xludf.DUMMYFUNCTION("""COMPUTED_VALUE"""),"Pre-Intermediate 2")</f>
        <v>Pre-Intermediate 2</v>
      </c>
      <c r="H473" s="156">
        <f ca="1">IFERROR(__xludf.DUMMYFUNCTION("""COMPUTED_VALUE"""),45909.5416666666)</f>
        <v>45909.541666666599</v>
      </c>
      <c r="I473" s="156">
        <f ca="1">IFERROR(__xludf.DUMMYFUNCTION("""COMPUTED_VALUE"""),45909.5416666666)</f>
        <v>45909.541666666599</v>
      </c>
      <c r="J473" s="3">
        <f ca="1">IFERROR(__xludf.DUMMYFUNCTION("""COMPUTED_VALUE"""),1)</f>
        <v>1</v>
      </c>
      <c r="K473" s="3">
        <f ca="1">IFERROR(__xludf.DUMMYFUNCTION("""COMPUTED_VALUE"""),3.5)</f>
        <v>3.5</v>
      </c>
      <c r="L473" s="3" t="str">
        <f ca="1">IFERROR(__xludf.DUMMYFUNCTION("""COMPUTED_VALUE"""),"GSD")</f>
        <v>GSD</v>
      </c>
      <c r="M473" s="3" t="str">
        <f ca="1">IFERROR(__xludf.DUMMYFUNCTION("""COMPUTED_VALUE"""),"POC")</f>
        <v>POC</v>
      </c>
      <c r="N473" s="157">
        <f ca="1">IFERROR(__xludf.DUMMYFUNCTION("""COMPUTED_VALUE"""),1)</f>
        <v>1</v>
      </c>
      <c r="O473" s="157">
        <f ca="1">IFERROR(__xludf.DUMMYFUNCTION("""COMPUTED_VALUE"""),3.5)</f>
        <v>3.5</v>
      </c>
      <c r="P473" s="157"/>
      <c r="R473" s="147"/>
      <c r="S473" s="147"/>
      <c r="T473" s="147"/>
      <c r="U473" s="147"/>
      <c r="X473" s="147"/>
      <c r="Y473" s="147"/>
      <c r="Z473" s="147"/>
      <c r="AA473" s="147"/>
      <c r="AB473" s="147"/>
      <c r="AC473" s="147"/>
      <c r="AD473" s="147"/>
      <c r="AE473" s="147"/>
      <c r="AF473" s="147"/>
      <c r="AG473" s="147"/>
      <c r="AH473" s="147"/>
      <c r="AI473" s="147"/>
      <c r="AJ473" s="147"/>
      <c r="AK473" s="147"/>
      <c r="AL473" s="147"/>
      <c r="AM473" s="147"/>
      <c r="AN473" s="147"/>
      <c r="AO473" s="147"/>
      <c r="AP473" s="147"/>
      <c r="AQ473" s="147"/>
    </row>
    <row r="474" spans="1:43">
      <c r="A474" s="160" t="str">
        <f ca="1">IFERROR(__xludf.DUMMYFUNCTION("""COMPUTED_VALUE"""),"247147")</f>
        <v>247147</v>
      </c>
      <c r="B474" s="3" t="str">
        <f ca="1">IFERROR(__xludf.DUMMYFUNCTION("""COMPUTED_VALUE"""),"PHẠM LÊ QUỲNH HƯƠNG")</f>
        <v>PHẠM LÊ QUỲNH HƯƠNG</v>
      </c>
      <c r="C474" s="160" t="str">
        <f ca="1">IFERROR(__xludf.DUMMYFUNCTION("""COMPUTED_VALUE"""),"EL042")</f>
        <v>EL042</v>
      </c>
      <c r="D474" s="160" t="str">
        <f ca="1">IFERROR(__xludf.DUMMYFUNCTION("""COMPUTED_VALUE"""),"Vinh Tran")</f>
        <v>Vinh Tran</v>
      </c>
      <c r="E474" s="3" t="str">
        <f ca="1">IFERROR(__xludf.DUMMYFUNCTION("""COMPUTED_VALUE"""),"Communication 1")</f>
        <v>Communication 1</v>
      </c>
      <c r="F474" s="3" t="str">
        <f ca="1">IFERROR(__xludf.DUMMYFUNCTION("""COMPUTED_VALUE"""),"Beginner")</f>
        <v>Beginner</v>
      </c>
      <c r="G474" s="3" t="str">
        <f ca="1">IFERROR(__xludf.DUMMYFUNCTION("""COMPUTED_VALUE"""),"Pre-Intermediate 2")</f>
        <v>Pre-Intermediate 2</v>
      </c>
      <c r="H474" s="156">
        <f ca="1">IFERROR(__xludf.DUMMYFUNCTION("""COMPUTED_VALUE"""),45909.5416666666)</f>
        <v>45909.541666666599</v>
      </c>
      <c r="I474" s="156">
        <f ca="1">IFERROR(__xludf.DUMMYFUNCTION("""COMPUTED_VALUE"""),45909.5416666666)</f>
        <v>45909.541666666599</v>
      </c>
      <c r="J474" s="3">
        <f ca="1">IFERROR(__xludf.DUMMYFUNCTION("""COMPUTED_VALUE"""),1)</f>
        <v>1</v>
      </c>
      <c r="K474" s="3">
        <f ca="1">IFERROR(__xludf.DUMMYFUNCTION("""COMPUTED_VALUE"""),3.5)</f>
        <v>3.5</v>
      </c>
      <c r="L474" s="3" t="str">
        <f ca="1">IFERROR(__xludf.DUMMYFUNCTION("""COMPUTED_VALUE"""),"GSD")</f>
        <v>GSD</v>
      </c>
      <c r="M474" s="3" t="str">
        <f ca="1">IFERROR(__xludf.DUMMYFUNCTION("""COMPUTED_VALUE"""),"POC")</f>
        <v>POC</v>
      </c>
      <c r="N474" s="157">
        <f ca="1">IFERROR(__xludf.DUMMYFUNCTION("""COMPUTED_VALUE"""),1)</f>
        <v>1</v>
      </c>
      <c r="O474" s="157">
        <f ca="1">IFERROR(__xludf.DUMMYFUNCTION("""COMPUTED_VALUE"""),3.5)</f>
        <v>3.5</v>
      </c>
      <c r="P474" s="157"/>
      <c r="R474" s="147"/>
      <c r="S474" s="147"/>
      <c r="T474" s="147"/>
      <c r="U474" s="147"/>
      <c r="X474" s="147"/>
      <c r="Y474" s="147"/>
      <c r="Z474" s="147"/>
      <c r="AA474" s="147"/>
      <c r="AB474" s="147"/>
      <c r="AC474" s="147"/>
      <c r="AD474" s="147"/>
      <c r="AE474" s="147"/>
      <c r="AF474" s="147"/>
      <c r="AG474" s="147"/>
      <c r="AH474" s="147"/>
      <c r="AI474" s="147"/>
      <c r="AJ474" s="147"/>
      <c r="AK474" s="147"/>
      <c r="AL474" s="147"/>
      <c r="AM474" s="147"/>
      <c r="AN474" s="147"/>
      <c r="AO474" s="147"/>
      <c r="AP474" s="147"/>
      <c r="AQ474" s="147"/>
    </row>
    <row r="475" spans="1:43">
      <c r="A475" s="160" t="str">
        <f ca="1">IFERROR(__xludf.DUMMYFUNCTION("""COMPUTED_VALUE"""),"247102")</f>
        <v>247102</v>
      </c>
      <c r="B475" s="3" t="str">
        <f ca="1">IFERROR(__xludf.DUMMYFUNCTION("""COMPUTED_VALUE"""),"TRẦN ĐỨC VINH")</f>
        <v>TRẦN ĐỨC VINH</v>
      </c>
      <c r="C475" s="160" t="str">
        <f ca="1">IFERROR(__xludf.DUMMYFUNCTION("""COMPUTED_VALUE"""),"EL042")</f>
        <v>EL042</v>
      </c>
      <c r="D475" s="160" t="str">
        <f ca="1">IFERROR(__xludf.DUMMYFUNCTION("""COMPUTED_VALUE"""),"Vinh Tran")</f>
        <v>Vinh Tran</v>
      </c>
      <c r="E475" s="3" t="str">
        <f ca="1">IFERROR(__xludf.DUMMYFUNCTION("""COMPUTED_VALUE"""),"Communication 2")</f>
        <v>Communication 2</v>
      </c>
      <c r="F475" s="3" t="str">
        <f ca="1">IFERROR(__xludf.DUMMYFUNCTION("""COMPUTED_VALUE"""),"Pre-Intermediate 2")</f>
        <v>Pre-Intermediate 2</v>
      </c>
      <c r="G475" s="3"/>
      <c r="H475" s="156">
        <f ca="1">IFERROR(__xludf.DUMMYFUNCTION("""COMPUTED_VALUE"""),46093.5416666666)</f>
        <v>46093.541666666599</v>
      </c>
      <c r="I475" s="156">
        <f ca="1">IFERROR(__xludf.DUMMYFUNCTION("""COMPUTED_VALUE"""),45909.5416666666)</f>
        <v>45909.541666666599</v>
      </c>
      <c r="J475" s="3">
        <f ca="1">IFERROR(__xludf.DUMMYFUNCTION("""COMPUTED_VALUE"""),3.5)</f>
        <v>3.5</v>
      </c>
      <c r="K475" s="3" t="str">
        <f ca="1">IFERROR(__xludf.DUMMYFUNCTION("""COMPUTED_VALUE"""),"")</f>
        <v/>
      </c>
      <c r="L475" s="3" t="str">
        <f ca="1">IFERROR(__xludf.DUMMYFUNCTION("""COMPUTED_VALUE"""),"GSD")</f>
        <v>GSD</v>
      </c>
      <c r="M475" s="3" t="str">
        <f ca="1">IFERROR(__xludf.DUMMYFUNCTION("""COMPUTED_VALUE"""),"POC")</f>
        <v>POC</v>
      </c>
      <c r="N475" s="157">
        <f ca="1">IFERROR(__xludf.DUMMYFUNCTION("""COMPUTED_VALUE"""),1)</f>
        <v>1</v>
      </c>
      <c r="O475" s="157">
        <f ca="1">IFERROR(__xludf.DUMMYFUNCTION("""COMPUTED_VALUE"""),3.5)</f>
        <v>3.5</v>
      </c>
      <c r="P475" s="157"/>
      <c r="R475" s="147"/>
      <c r="S475" s="147"/>
      <c r="T475" s="147"/>
      <c r="U475" s="147"/>
      <c r="X475" s="147"/>
      <c r="Y475" s="147"/>
      <c r="Z475" s="147"/>
      <c r="AA475" s="147"/>
      <c r="AB475" s="147"/>
      <c r="AC475" s="147"/>
      <c r="AD475" s="147"/>
      <c r="AE475" s="147"/>
      <c r="AF475" s="147"/>
      <c r="AG475" s="147"/>
      <c r="AH475" s="147"/>
      <c r="AI475" s="147"/>
      <c r="AJ475" s="147"/>
      <c r="AK475" s="147"/>
      <c r="AL475" s="147"/>
      <c r="AM475" s="147"/>
      <c r="AN475" s="147"/>
      <c r="AO475" s="147"/>
      <c r="AP475" s="147"/>
      <c r="AQ475" s="147"/>
    </row>
    <row r="476" spans="1:43">
      <c r="A476" s="160" t="str">
        <f ca="1">IFERROR(__xludf.DUMMYFUNCTION("""COMPUTED_VALUE"""),"247063")</f>
        <v>247063</v>
      </c>
      <c r="B476" s="3" t="str">
        <f ca="1">IFERROR(__xludf.DUMMYFUNCTION("""COMPUTED_VALUE"""),"GIANG KHIẾT ĐÌNH")</f>
        <v>GIANG KHIẾT ĐÌNH</v>
      </c>
      <c r="C476" s="160" t="str">
        <f ca="1">IFERROR(__xludf.DUMMYFUNCTION("""COMPUTED_VALUE"""),"EL042")</f>
        <v>EL042</v>
      </c>
      <c r="D476" s="160" t="str">
        <f ca="1">IFERROR(__xludf.DUMMYFUNCTION("""COMPUTED_VALUE"""),"Vinh Tran")</f>
        <v>Vinh Tran</v>
      </c>
      <c r="E476" s="3" t="str">
        <f ca="1">IFERROR(__xludf.DUMMYFUNCTION("""COMPUTED_VALUE"""),"Communication 2")</f>
        <v>Communication 2</v>
      </c>
      <c r="F476" s="3" t="str">
        <f ca="1">IFERROR(__xludf.DUMMYFUNCTION("""COMPUTED_VALUE"""),"Pre-Intermediate 1")</f>
        <v>Pre-Intermediate 1</v>
      </c>
      <c r="G476" s="3"/>
      <c r="H476" s="156">
        <f ca="1">IFERROR(__xludf.DUMMYFUNCTION("""COMPUTED_VALUE"""),46093.5416666666)</f>
        <v>46093.541666666599</v>
      </c>
      <c r="I476" s="156">
        <f ca="1">IFERROR(__xludf.DUMMYFUNCTION("""COMPUTED_VALUE"""),45909.5416666666)</f>
        <v>45909.541666666599</v>
      </c>
      <c r="J476" s="3">
        <f ca="1">IFERROR(__xludf.DUMMYFUNCTION("""COMPUTED_VALUE"""),3)</f>
        <v>3</v>
      </c>
      <c r="K476" s="3" t="str">
        <f ca="1">IFERROR(__xludf.DUMMYFUNCTION("""COMPUTED_VALUE"""),"")</f>
        <v/>
      </c>
      <c r="L476" s="3" t="str">
        <f ca="1">IFERROR(__xludf.DUMMYFUNCTION("""COMPUTED_VALUE"""),"GSD")</f>
        <v>GSD</v>
      </c>
      <c r="M476" s="3" t="str">
        <f ca="1">IFERROR(__xludf.DUMMYFUNCTION("""COMPUTED_VALUE"""),"POC")</f>
        <v>POC</v>
      </c>
      <c r="N476" s="157">
        <f ca="1">IFERROR(__xludf.DUMMYFUNCTION("""COMPUTED_VALUE"""),1)</f>
        <v>1</v>
      </c>
      <c r="O476" s="157">
        <f ca="1">IFERROR(__xludf.DUMMYFUNCTION("""COMPUTED_VALUE"""),3)</f>
        <v>3</v>
      </c>
      <c r="P476" s="157"/>
      <c r="R476" s="147"/>
      <c r="S476" s="147"/>
      <c r="T476" s="147"/>
      <c r="U476" s="147"/>
      <c r="X476" s="147"/>
      <c r="Y476" s="147"/>
      <c r="Z476" s="147"/>
      <c r="AA476" s="147"/>
      <c r="AB476" s="147"/>
      <c r="AC476" s="147"/>
      <c r="AD476" s="147"/>
      <c r="AE476" s="147"/>
      <c r="AF476" s="147"/>
      <c r="AG476" s="147"/>
      <c r="AH476" s="147"/>
      <c r="AI476" s="147"/>
      <c r="AJ476" s="147"/>
      <c r="AK476" s="147"/>
      <c r="AL476" s="147"/>
      <c r="AM476" s="147"/>
      <c r="AN476" s="147"/>
      <c r="AO476" s="147"/>
      <c r="AP476" s="147"/>
      <c r="AQ476" s="147"/>
    </row>
    <row r="477" spans="1:43">
      <c r="A477" s="160" t="str">
        <f ca="1">IFERROR(__xludf.DUMMYFUNCTION("""COMPUTED_VALUE"""),"227218")</f>
        <v>227218</v>
      </c>
      <c r="B477" s="3" t="str">
        <f ca="1">IFERROR(__xludf.DUMMYFUNCTION("""COMPUTED_VALUE"""),"NGUYỄN HOÀNG BẢO TRÂN")</f>
        <v>NGUYỄN HOÀNG BẢO TRÂN</v>
      </c>
      <c r="C477" s="160" t="str">
        <f ca="1">IFERROR(__xludf.DUMMYFUNCTION("""COMPUTED_VALUE"""),"EL042")</f>
        <v>EL042</v>
      </c>
      <c r="D477" s="160" t="str">
        <f ca="1">IFERROR(__xludf.DUMMYFUNCTION("""COMPUTED_VALUE"""),"Vinh Tran")</f>
        <v>Vinh Tran</v>
      </c>
      <c r="E477" s="3" t="str">
        <f ca="1">IFERROR(__xludf.DUMMYFUNCTION("""COMPUTED_VALUE"""),"Communication 2")</f>
        <v>Communication 2</v>
      </c>
      <c r="F477" s="3" t="str">
        <f ca="1">IFERROR(__xludf.DUMMYFUNCTION("""COMPUTED_VALUE"""),"Pre-Intermediate 1")</f>
        <v>Pre-Intermediate 1</v>
      </c>
      <c r="G477" s="3"/>
      <c r="H477" s="156">
        <f ca="1">IFERROR(__xludf.DUMMYFUNCTION("""COMPUTED_VALUE"""),46093.5416666666)</f>
        <v>46093.541666666599</v>
      </c>
      <c r="I477" s="156">
        <f ca="1">IFERROR(__xludf.DUMMYFUNCTION("""COMPUTED_VALUE"""),45909.5416666666)</f>
        <v>45909.541666666599</v>
      </c>
      <c r="J477" s="3">
        <f ca="1">IFERROR(__xludf.DUMMYFUNCTION("""COMPUTED_VALUE"""),3)</f>
        <v>3</v>
      </c>
      <c r="K477" s="3" t="str">
        <f ca="1">IFERROR(__xludf.DUMMYFUNCTION("""COMPUTED_VALUE"""),"")</f>
        <v/>
      </c>
      <c r="L477" s="3" t="str">
        <f ca="1">IFERROR(__xludf.DUMMYFUNCTION("""COMPUTED_VALUE"""),"GSD")</f>
        <v>GSD</v>
      </c>
      <c r="M477" s="3" t="str">
        <f ca="1">IFERROR(__xludf.DUMMYFUNCTION("""COMPUTED_VALUE"""),"POC")</f>
        <v>POC</v>
      </c>
      <c r="N477" s="157">
        <f ca="1">IFERROR(__xludf.DUMMYFUNCTION("""COMPUTED_VALUE"""),1)</f>
        <v>1</v>
      </c>
      <c r="O477" s="157">
        <f ca="1">IFERROR(__xludf.DUMMYFUNCTION("""COMPUTED_VALUE"""),3)</f>
        <v>3</v>
      </c>
      <c r="P477" s="157"/>
      <c r="R477" s="147"/>
      <c r="S477" s="147"/>
      <c r="T477" s="147"/>
      <c r="U477" s="147"/>
      <c r="X477" s="147"/>
      <c r="Y477" s="147"/>
      <c r="Z477" s="147"/>
      <c r="AA477" s="147"/>
      <c r="AB477" s="147"/>
      <c r="AC477" s="147"/>
      <c r="AD477" s="147"/>
      <c r="AE477" s="147"/>
      <c r="AF477" s="147"/>
      <c r="AG477" s="147"/>
      <c r="AH477" s="147"/>
      <c r="AI477" s="147"/>
      <c r="AJ477" s="147"/>
      <c r="AK477" s="147"/>
      <c r="AL477" s="147"/>
      <c r="AM477" s="147"/>
      <c r="AN477" s="147"/>
      <c r="AO477" s="147"/>
      <c r="AP477" s="147"/>
      <c r="AQ477" s="147"/>
    </row>
    <row r="478" spans="1:43">
      <c r="A478" s="160" t="str">
        <f ca="1">IFERROR(__xludf.DUMMYFUNCTION("""COMPUTED_VALUE"""),"227035")</f>
        <v>227035</v>
      </c>
      <c r="B478" s="3" t="str">
        <f ca="1">IFERROR(__xludf.DUMMYFUNCTION("""COMPUTED_VALUE"""),"NGUYỄN NHẬT HÀO")</f>
        <v>NGUYỄN NHẬT HÀO</v>
      </c>
      <c r="C478" s="160" t="str">
        <f ca="1">IFERROR(__xludf.DUMMYFUNCTION("""COMPUTED_VALUE"""),"EL042")</f>
        <v>EL042</v>
      </c>
      <c r="D478" s="160" t="str">
        <f ca="1">IFERROR(__xludf.DUMMYFUNCTION("""COMPUTED_VALUE"""),"Vinh Tran")</f>
        <v>Vinh Tran</v>
      </c>
      <c r="E478" s="3" t="str">
        <f ca="1">IFERROR(__xludf.DUMMYFUNCTION("""COMPUTED_VALUE"""),"Communication 2")</f>
        <v>Communication 2</v>
      </c>
      <c r="F478" s="3" t="str">
        <f ca="1">IFERROR(__xludf.DUMMYFUNCTION("""COMPUTED_VALUE"""),"Pre-Intermediate 1")</f>
        <v>Pre-Intermediate 1</v>
      </c>
      <c r="G478" s="3"/>
      <c r="H478" s="156">
        <f ca="1">IFERROR(__xludf.DUMMYFUNCTION("""COMPUTED_VALUE"""),46093.5416666666)</f>
        <v>46093.541666666599</v>
      </c>
      <c r="I478" s="156">
        <f ca="1">IFERROR(__xludf.DUMMYFUNCTION("""COMPUTED_VALUE"""),45765.375)</f>
        <v>45765.375</v>
      </c>
      <c r="J478" s="3">
        <f ca="1">IFERROR(__xludf.DUMMYFUNCTION("""COMPUTED_VALUE"""),3)</f>
        <v>3</v>
      </c>
      <c r="K478" s="3" t="str">
        <f ca="1">IFERROR(__xludf.DUMMYFUNCTION("""COMPUTED_VALUE"""),"")</f>
        <v/>
      </c>
      <c r="L478" s="3" t="str">
        <f ca="1">IFERROR(__xludf.DUMMYFUNCTION("""COMPUTED_VALUE"""),"DEV")</f>
        <v>DEV</v>
      </c>
      <c r="M478" s="3" t="str">
        <f ca="1">IFERROR(__xludf.DUMMYFUNCTION("""COMPUTED_VALUE"""),"LBU")</f>
        <v>LBU</v>
      </c>
      <c r="N478" s="157">
        <f ca="1">IFERROR(__xludf.DUMMYFUNCTION("""COMPUTED_VALUE"""),1)</f>
        <v>1</v>
      </c>
      <c r="O478" s="157">
        <f ca="1">IFERROR(__xludf.DUMMYFUNCTION("""COMPUTED_VALUE"""),3)</f>
        <v>3</v>
      </c>
      <c r="P478" s="157"/>
      <c r="R478" s="147"/>
      <c r="S478" s="147"/>
      <c r="T478" s="147"/>
      <c r="U478" s="147"/>
      <c r="X478" s="147"/>
      <c r="Y478" s="147"/>
      <c r="Z478" s="147"/>
      <c r="AA478" s="147"/>
      <c r="AB478" s="147"/>
      <c r="AC478" s="147"/>
      <c r="AD478" s="147"/>
      <c r="AE478" s="147"/>
      <c r="AF478" s="147"/>
      <c r="AG478" s="147"/>
      <c r="AH478" s="147"/>
      <c r="AI478" s="147"/>
      <c r="AJ478" s="147"/>
      <c r="AK478" s="147"/>
      <c r="AL478" s="147"/>
      <c r="AM478" s="147"/>
      <c r="AN478" s="147"/>
      <c r="AO478" s="147"/>
      <c r="AP478" s="147"/>
      <c r="AQ478" s="147"/>
    </row>
    <row r="479" spans="1:43">
      <c r="A479" s="160" t="str">
        <f ca="1">IFERROR(__xludf.DUMMYFUNCTION("""COMPUTED_VALUE"""),"247062")</f>
        <v>247062</v>
      </c>
      <c r="B479" s="3" t="str">
        <f ca="1">IFERROR(__xludf.DUMMYFUNCTION("""COMPUTED_VALUE"""),"NGUYỄN THẾ ANH")</f>
        <v>NGUYỄN THẾ ANH</v>
      </c>
      <c r="C479" s="160" t="str">
        <f ca="1">IFERROR(__xludf.DUMMYFUNCTION("""COMPUTED_VALUE"""),"EL042")</f>
        <v>EL042</v>
      </c>
      <c r="D479" s="160" t="str">
        <f ca="1">IFERROR(__xludf.DUMMYFUNCTION("""COMPUTED_VALUE"""),"Vinh Tran")</f>
        <v>Vinh Tran</v>
      </c>
      <c r="E479" s="3" t="str">
        <f ca="1">IFERROR(__xludf.DUMMYFUNCTION("""COMPUTED_VALUE"""),"Communication 2")</f>
        <v>Communication 2</v>
      </c>
      <c r="F479" s="3" t="str">
        <f ca="1">IFERROR(__xludf.DUMMYFUNCTION("""COMPUTED_VALUE"""),"Pre-Intermediate 2")</f>
        <v>Pre-Intermediate 2</v>
      </c>
      <c r="G479" s="3"/>
      <c r="H479" s="156">
        <f ca="1">IFERROR(__xludf.DUMMYFUNCTION("""COMPUTED_VALUE"""),46093.5416666666)</f>
        <v>46093.541666666599</v>
      </c>
      <c r="I479" s="156">
        <f ca="1">IFERROR(__xludf.DUMMYFUNCTION("""COMPUTED_VALUE"""),45909.5416666666)</f>
        <v>45909.541666666599</v>
      </c>
      <c r="J479" s="3">
        <f ca="1">IFERROR(__xludf.DUMMYFUNCTION("""COMPUTED_VALUE"""),3.5)</f>
        <v>3.5</v>
      </c>
      <c r="K479" s="3" t="str">
        <f ca="1">IFERROR(__xludf.DUMMYFUNCTION("""COMPUTED_VALUE"""),"")</f>
        <v/>
      </c>
      <c r="L479" s="3" t="str">
        <f ca="1">IFERROR(__xludf.DUMMYFUNCTION("""COMPUTED_VALUE"""),"GSD")</f>
        <v>GSD</v>
      </c>
      <c r="M479" s="3" t="str">
        <f ca="1">IFERROR(__xludf.DUMMYFUNCTION("""COMPUTED_VALUE"""),"POC")</f>
        <v>POC</v>
      </c>
      <c r="N479" s="157">
        <f ca="1">IFERROR(__xludf.DUMMYFUNCTION("""COMPUTED_VALUE"""),1)</f>
        <v>1</v>
      </c>
      <c r="O479" s="157">
        <f ca="1">IFERROR(__xludf.DUMMYFUNCTION("""COMPUTED_VALUE"""),3.5)</f>
        <v>3.5</v>
      </c>
      <c r="P479" s="157"/>
      <c r="R479" s="147"/>
      <c r="S479" s="147"/>
      <c r="T479" s="147"/>
      <c r="U479" s="147"/>
      <c r="X479" s="147"/>
      <c r="Y479" s="147"/>
      <c r="Z479" s="147"/>
      <c r="AA479" s="147"/>
      <c r="AB479" s="147"/>
      <c r="AC479" s="147"/>
      <c r="AD479" s="147"/>
      <c r="AE479" s="147"/>
      <c r="AF479" s="147"/>
      <c r="AG479" s="147"/>
      <c r="AH479" s="147"/>
      <c r="AI479" s="147"/>
      <c r="AJ479" s="147"/>
      <c r="AK479" s="147"/>
      <c r="AL479" s="147"/>
      <c r="AM479" s="147"/>
      <c r="AN479" s="147"/>
      <c r="AO479" s="147"/>
      <c r="AP479" s="147"/>
      <c r="AQ479" s="147"/>
    </row>
    <row r="480" spans="1:43">
      <c r="A480" s="160" t="str">
        <f ca="1">IFERROR(__xludf.DUMMYFUNCTION("""COMPUTED_VALUE"""),"247147")</f>
        <v>247147</v>
      </c>
      <c r="B480" s="3" t="str">
        <f ca="1">IFERROR(__xludf.DUMMYFUNCTION("""COMPUTED_VALUE"""),"PHẠM LÊ QUỲNH HƯƠNG")</f>
        <v>PHẠM LÊ QUỲNH HƯƠNG</v>
      </c>
      <c r="C480" s="160" t="str">
        <f ca="1">IFERROR(__xludf.DUMMYFUNCTION("""COMPUTED_VALUE"""),"EL042")</f>
        <v>EL042</v>
      </c>
      <c r="D480" s="160" t="str">
        <f ca="1">IFERROR(__xludf.DUMMYFUNCTION("""COMPUTED_VALUE"""),"Vinh Tran")</f>
        <v>Vinh Tran</v>
      </c>
      <c r="E480" s="3" t="str">
        <f ca="1">IFERROR(__xludf.DUMMYFUNCTION("""COMPUTED_VALUE"""),"Communication 2")</f>
        <v>Communication 2</v>
      </c>
      <c r="F480" s="3" t="str">
        <f ca="1">IFERROR(__xludf.DUMMYFUNCTION("""COMPUTED_VALUE"""),"Pre-Intermediate 2")</f>
        <v>Pre-Intermediate 2</v>
      </c>
      <c r="G480" s="3"/>
      <c r="H480" s="156">
        <f ca="1">IFERROR(__xludf.DUMMYFUNCTION("""COMPUTED_VALUE"""),46093.5416666666)</f>
        <v>46093.541666666599</v>
      </c>
      <c r="I480" s="156">
        <f ca="1">IFERROR(__xludf.DUMMYFUNCTION("""COMPUTED_VALUE"""),45909.5416666666)</f>
        <v>45909.541666666599</v>
      </c>
      <c r="J480" s="3">
        <f ca="1">IFERROR(__xludf.DUMMYFUNCTION("""COMPUTED_VALUE"""),3.5)</f>
        <v>3.5</v>
      </c>
      <c r="K480" s="3" t="str">
        <f ca="1">IFERROR(__xludf.DUMMYFUNCTION("""COMPUTED_VALUE"""),"")</f>
        <v/>
      </c>
      <c r="L480" s="3" t="str">
        <f ca="1">IFERROR(__xludf.DUMMYFUNCTION("""COMPUTED_VALUE"""),"GSD")</f>
        <v>GSD</v>
      </c>
      <c r="M480" s="3" t="str">
        <f ca="1">IFERROR(__xludf.DUMMYFUNCTION("""COMPUTED_VALUE"""),"POC")</f>
        <v>POC</v>
      </c>
      <c r="N480" s="157">
        <f ca="1">IFERROR(__xludf.DUMMYFUNCTION("""COMPUTED_VALUE"""),1)</f>
        <v>1</v>
      </c>
      <c r="O480" s="157">
        <f ca="1">IFERROR(__xludf.DUMMYFUNCTION("""COMPUTED_VALUE"""),3.5)</f>
        <v>3.5</v>
      </c>
      <c r="P480" s="157"/>
      <c r="R480" s="147"/>
      <c r="S480" s="147"/>
      <c r="T480" s="147"/>
      <c r="U480" s="147"/>
      <c r="X480" s="147"/>
      <c r="Y480" s="147"/>
      <c r="Z480" s="147"/>
      <c r="AA480" s="147"/>
      <c r="AB480" s="147"/>
      <c r="AC480" s="147"/>
      <c r="AD480" s="147"/>
      <c r="AE480" s="147"/>
      <c r="AF480" s="147"/>
      <c r="AG480" s="147"/>
      <c r="AH480" s="147"/>
      <c r="AI480" s="147"/>
      <c r="AJ480" s="147"/>
      <c r="AK480" s="147"/>
      <c r="AL480" s="147"/>
      <c r="AM480" s="147"/>
      <c r="AN480" s="147"/>
      <c r="AO480" s="147"/>
      <c r="AP480" s="147"/>
      <c r="AQ480" s="147"/>
    </row>
    <row r="481" spans="1:43">
      <c r="A481" s="160" t="str">
        <f ca="1">IFERROR(__xludf.DUMMYFUNCTION("""COMPUTED_VALUE"""),"237072")</f>
        <v>237072</v>
      </c>
      <c r="B481" s="3" t="str">
        <f ca="1">IFERROR(__xludf.DUMMYFUNCTION("""COMPUTED_VALUE"""),"NGUYỄN MINH LIÊN")</f>
        <v>NGUYỄN MINH LIÊN</v>
      </c>
      <c r="C481" s="160" t="str">
        <f ca="1">IFERROR(__xludf.DUMMYFUNCTION("""COMPUTED_VALUE"""),"EL043")</f>
        <v>EL043</v>
      </c>
      <c r="D481" s="160" t="str">
        <f ca="1">IFERROR(__xludf.DUMMYFUNCTION("""COMPUTED_VALUE"""),"Liên Nguyễn")</f>
        <v>Liên Nguyễn</v>
      </c>
      <c r="E481" s="3" t="str">
        <f ca="1">IFERROR(__xludf.DUMMYFUNCTION("""COMPUTED_VALUE"""),"Foundation")</f>
        <v>Foundation</v>
      </c>
      <c r="F481" s="3" t="str">
        <f ca="1">IFERROR(__xludf.DUMMYFUNCTION("""COMPUTED_VALUE"""),"Foundation")</f>
        <v>Foundation</v>
      </c>
      <c r="G481" s="3" t="str">
        <f ca="1">IFERROR(__xludf.DUMMYFUNCTION("""COMPUTED_VALUE"""),"Foundation")</f>
        <v>Foundation</v>
      </c>
      <c r="H481" s="156">
        <f ca="1">IFERROR(__xludf.DUMMYFUNCTION("""COMPUTED_VALUE"""),45917.5833333333)</f>
        <v>45917.583333333299</v>
      </c>
      <c r="I481" s="156">
        <f ca="1">IFERROR(__xludf.DUMMYFUNCTION("""COMPUTED_VALUE"""),45917.5833333333)</f>
        <v>45917.583333333299</v>
      </c>
      <c r="J481" s="3">
        <f ca="1">IFERROR(__xludf.DUMMYFUNCTION("""COMPUTED_VALUE"""),0.5)</f>
        <v>0.5</v>
      </c>
      <c r="K481" s="3">
        <f ca="1">IFERROR(__xludf.DUMMYFUNCTION("""COMPUTED_VALUE"""),0.5)</f>
        <v>0.5</v>
      </c>
      <c r="L481" s="3" t="str">
        <f ca="1">IFERROR(__xludf.DUMMYFUNCTION("""COMPUTED_VALUE"""),"GSD")</f>
        <v>GSD</v>
      </c>
      <c r="M481" s="3" t="str">
        <f ca="1">IFERROR(__xludf.DUMMYFUNCTION("""COMPUTED_VALUE"""),"TBU")</f>
        <v>TBU</v>
      </c>
      <c r="N481" s="157">
        <f ca="1">IFERROR(__xludf.DUMMYFUNCTION("""COMPUTED_VALUE"""),0.5)</f>
        <v>0.5</v>
      </c>
      <c r="O481" s="157">
        <f ca="1">IFERROR(__xludf.DUMMYFUNCTION("""COMPUTED_VALUE"""),0.5)</f>
        <v>0.5</v>
      </c>
      <c r="P481" s="157"/>
      <c r="R481" s="147"/>
      <c r="S481" s="147"/>
      <c r="T481" s="147"/>
      <c r="U481" s="147"/>
      <c r="X481" s="147"/>
      <c r="Y481" s="147"/>
      <c r="Z481" s="147"/>
      <c r="AA481" s="147"/>
      <c r="AB481" s="147"/>
      <c r="AC481" s="147"/>
      <c r="AD481" s="147"/>
      <c r="AE481" s="147"/>
      <c r="AF481" s="147"/>
      <c r="AG481" s="147"/>
      <c r="AH481" s="147"/>
      <c r="AI481" s="147"/>
      <c r="AJ481" s="147"/>
      <c r="AK481" s="147"/>
      <c r="AL481" s="147"/>
      <c r="AM481" s="147"/>
      <c r="AN481" s="147"/>
      <c r="AO481" s="147"/>
      <c r="AP481" s="147"/>
      <c r="AQ481" s="147"/>
    </row>
    <row r="482" spans="1:43">
      <c r="A482" s="160" t="str">
        <f ca="1">IFERROR(__xludf.DUMMYFUNCTION("""COMPUTED_VALUE"""),"213881")</f>
        <v>213881</v>
      </c>
      <c r="B482" s="3" t="str">
        <f ca="1">IFERROR(__xludf.DUMMYFUNCTION("""COMPUTED_VALUE"""),"ĐẶNG GIA LỘC")</f>
        <v>ĐẶNG GIA LỘC</v>
      </c>
      <c r="C482" s="160" t="str">
        <f ca="1">IFERROR(__xludf.DUMMYFUNCTION("""COMPUTED_VALUE"""),"EL043")</f>
        <v>EL043</v>
      </c>
      <c r="D482" s="160" t="str">
        <f ca="1">IFERROR(__xludf.DUMMYFUNCTION("""COMPUTED_VALUE"""),"Liên Nguyễn")</f>
        <v>Liên Nguyễn</v>
      </c>
      <c r="E482" s="3" t="str">
        <f ca="1">IFERROR(__xludf.DUMMYFUNCTION("""COMPUTED_VALUE"""),"Foundation")</f>
        <v>Foundation</v>
      </c>
      <c r="F482" s="3" t="str">
        <f ca="1">IFERROR(__xludf.DUMMYFUNCTION("""COMPUTED_VALUE"""),"Foundation")</f>
        <v>Foundation</v>
      </c>
      <c r="G482" s="3" t="str">
        <f ca="1">IFERROR(__xludf.DUMMYFUNCTION("""COMPUTED_VALUE"""),"Foundation")</f>
        <v>Foundation</v>
      </c>
      <c r="H482" s="156">
        <f ca="1">IFERROR(__xludf.DUMMYFUNCTION("""COMPUTED_VALUE"""),45917.5833333333)</f>
        <v>45917.583333333299</v>
      </c>
      <c r="I482" s="156">
        <f ca="1">IFERROR(__xludf.DUMMYFUNCTION("""COMPUTED_VALUE"""),45805.375)</f>
        <v>45805.375</v>
      </c>
      <c r="J482" s="3">
        <f ca="1">IFERROR(__xludf.DUMMYFUNCTION("""COMPUTED_VALUE"""),0.5)</f>
        <v>0.5</v>
      </c>
      <c r="K482" s="3">
        <f ca="1">IFERROR(__xludf.DUMMYFUNCTION("""COMPUTED_VALUE"""),0.5)</f>
        <v>0.5</v>
      </c>
      <c r="L482" s="3" t="str">
        <f ca="1">IFERROR(__xludf.DUMMYFUNCTION("""COMPUTED_VALUE"""),"DEV")</f>
        <v>DEV</v>
      </c>
      <c r="M482" s="3" t="str">
        <f ca="1">IFERROR(__xludf.DUMMYFUNCTION("""COMPUTED_VALUE"""),"MOC")</f>
        <v>MOC</v>
      </c>
      <c r="N482" s="157">
        <f ca="1">IFERROR(__xludf.DUMMYFUNCTION("""COMPUTED_VALUE"""),0.5)</f>
        <v>0.5</v>
      </c>
      <c r="O482" s="157">
        <f ca="1">IFERROR(__xludf.DUMMYFUNCTION("""COMPUTED_VALUE"""),0.5)</f>
        <v>0.5</v>
      </c>
      <c r="P482" s="157"/>
      <c r="R482" s="147"/>
      <c r="S482" s="147"/>
      <c r="T482" s="147"/>
      <c r="U482" s="147"/>
      <c r="X482" s="147"/>
      <c r="Y482" s="147"/>
      <c r="Z482" s="147"/>
      <c r="AA482" s="147"/>
      <c r="AB482" s="147"/>
      <c r="AC482" s="147"/>
      <c r="AD482" s="147"/>
      <c r="AE482" s="147"/>
      <c r="AF482" s="147"/>
      <c r="AG482" s="147"/>
      <c r="AH482" s="147"/>
      <c r="AI482" s="147"/>
      <c r="AJ482" s="147"/>
      <c r="AK482" s="147"/>
      <c r="AL482" s="147"/>
      <c r="AM482" s="147"/>
      <c r="AN482" s="147"/>
      <c r="AO482" s="147"/>
      <c r="AP482" s="147"/>
      <c r="AQ482" s="147"/>
    </row>
    <row r="483" spans="1:43">
      <c r="A483" s="160" t="str">
        <f ca="1">IFERROR(__xludf.DUMMYFUNCTION("""COMPUTED_VALUE"""),"213844")</f>
        <v>213844</v>
      </c>
      <c r="B483" s="3" t="str">
        <f ca="1">IFERROR(__xludf.DUMMYFUNCTION("""COMPUTED_VALUE"""),"LÊ MINH HY")</f>
        <v>LÊ MINH HY</v>
      </c>
      <c r="C483" s="160" t="str">
        <f ca="1">IFERROR(__xludf.DUMMYFUNCTION("""COMPUTED_VALUE"""),"EL043")</f>
        <v>EL043</v>
      </c>
      <c r="D483" s="160" t="str">
        <f ca="1">IFERROR(__xludf.DUMMYFUNCTION("""COMPUTED_VALUE"""),"Liên Nguyễn")</f>
        <v>Liên Nguyễn</v>
      </c>
      <c r="E483" s="3" t="str">
        <f ca="1">IFERROR(__xludf.DUMMYFUNCTION("""COMPUTED_VALUE"""),"Foundation")</f>
        <v>Foundation</v>
      </c>
      <c r="F483" s="3" t="str">
        <f ca="1">IFERROR(__xludf.DUMMYFUNCTION("""COMPUTED_VALUE"""),"Foundation")</f>
        <v>Foundation</v>
      </c>
      <c r="G483" s="3" t="str">
        <f ca="1">IFERROR(__xludf.DUMMYFUNCTION("""COMPUTED_VALUE"""),"Beginner")</f>
        <v>Beginner</v>
      </c>
      <c r="H483" s="156">
        <f ca="1">IFERROR(__xludf.DUMMYFUNCTION("""COMPUTED_VALUE"""),45917.5833333333)</f>
        <v>45917.583333333299</v>
      </c>
      <c r="I483" s="156">
        <f ca="1">IFERROR(__xludf.DUMMYFUNCTION("""COMPUTED_VALUE"""),45917.5833333333)</f>
        <v>45917.583333333299</v>
      </c>
      <c r="J483" s="3">
        <f ca="1">IFERROR(__xludf.DUMMYFUNCTION("""COMPUTED_VALUE"""),0.5)</f>
        <v>0.5</v>
      </c>
      <c r="K483" s="3">
        <f ca="1">IFERROR(__xludf.DUMMYFUNCTION("""COMPUTED_VALUE"""),1)</f>
        <v>1</v>
      </c>
      <c r="L483" s="3" t="str">
        <f ca="1">IFERROR(__xludf.DUMMYFUNCTION("""COMPUTED_VALUE"""),"DEV")</f>
        <v>DEV</v>
      </c>
      <c r="M483" s="3" t="str">
        <f ca="1">IFERROR(__xludf.DUMMYFUNCTION("""COMPUTED_VALUE"""),"MOC")</f>
        <v>MOC</v>
      </c>
      <c r="N483" s="157">
        <f ca="1">IFERROR(__xludf.DUMMYFUNCTION("""COMPUTED_VALUE"""),0.5)</f>
        <v>0.5</v>
      </c>
      <c r="O483" s="157">
        <f ca="1">IFERROR(__xludf.DUMMYFUNCTION("""COMPUTED_VALUE"""),1)</f>
        <v>1</v>
      </c>
      <c r="P483" s="157"/>
      <c r="R483" s="147"/>
      <c r="S483" s="147"/>
      <c r="T483" s="147"/>
      <c r="U483" s="147"/>
      <c r="X483" s="147"/>
      <c r="Y483" s="147"/>
      <c r="Z483" s="147"/>
      <c r="AA483" s="147"/>
      <c r="AB483" s="147"/>
      <c r="AC483" s="147"/>
      <c r="AD483" s="147"/>
      <c r="AE483" s="147"/>
      <c r="AF483" s="147"/>
      <c r="AG483" s="147"/>
      <c r="AH483" s="147"/>
      <c r="AI483" s="147"/>
      <c r="AJ483" s="147"/>
      <c r="AK483" s="147"/>
      <c r="AL483" s="147"/>
      <c r="AM483" s="147"/>
      <c r="AN483" s="147"/>
      <c r="AO483" s="147"/>
      <c r="AP483" s="147"/>
      <c r="AQ483" s="147"/>
    </row>
    <row r="484" spans="1:43">
      <c r="A484" s="160" t="str">
        <f ca="1">IFERROR(__xludf.DUMMYFUNCTION("""COMPUTED_VALUE"""),"213929")</f>
        <v>213929</v>
      </c>
      <c r="B484" s="3" t="str">
        <f ca="1">IFERROR(__xludf.DUMMYFUNCTION("""COMPUTED_VALUE"""),"LE MINH TRUONG")</f>
        <v>LE MINH TRUONG</v>
      </c>
      <c r="C484" s="160" t="str">
        <f ca="1">IFERROR(__xludf.DUMMYFUNCTION("""COMPUTED_VALUE"""),"EL043")</f>
        <v>EL043</v>
      </c>
      <c r="D484" s="160" t="str">
        <f ca="1">IFERROR(__xludf.DUMMYFUNCTION("""COMPUTED_VALUE"""),"Liên Nguyễn")</f>
        <v>Liên Nguyễn</v>
      </c>
      <c r="E484" s="3" t="str">
        <f ca="1">IFERROR(__xludf.DUMMYFUNCTION("""COMPUTED_VALUE"""),"Foundation")</f>
        <v>Foundation</v>
      </c>
      <c r="F484" s="3" t="str">
        <f ca="1">IFERROR(__xludf.DUMMYFUNCTION("""COMPUTED_VALUE"""),"Foundation")</f>
        <v>Foundation</v>
      </c>
      <c r="G484" s="3" t="str">
        <f ca="1">IFERROR(__xludf.DUMMYFUNCTION("""COMPUTED_VALUE"""),"Beginner")</f>
        <v>Beginner</v>
      </c>
      <c r="H484" s="156">
        <f ca="1">IFERROR(__xludf.DUMMYFUNCTION("""COMPUTED_VALUE"""),45917.5833333333)</f>
        <v>45917.583333333299</v>
      </c>
      <c r="I484" s="156">
        <f ca="1">IFERROR(__xludf.DUMMYFUNCTION("""COMPUTED_VALUE"""),45715.5833333333)</f>
        <v>45715.583333333299</v>
      </c>
      <c r="J484" s="3">
        <f ca="1">IFERROR(__xludf.DUMMYFUNCTION("""COMPUTED_VALUE"""),0.5)</f>
        <v>0.5</v>
      </c>
      <c r="K484" s="3">
        <f ca="1">IFERROR(__xludf.DUMMYFUNCTION("""COMPUTED_VALUE"""),1)</f>
        <v>1</v>
      </c>
      <c r="L484" s="3" t="str">
        <f ca="1">IFERROR(__xludf.DUMMYFUNCTION("""COMPUTED_VALUE"""),"GSD")</f>
        <v>GSD</v>
      </c>
      <c r="M484" s="3" t="str">
        <f ca="1">IFERROR(__xludf.DUMMYFUNCTION("""COMPUTED_VALUE"""),"LBU")</f>
        <v>LBU</v>
      </c>
      <c r="N484" s="157">
        <f ca="1">IFERROR(__xludf.DUMMYFUNCTION("""COMPUTED_VALUE"""),0.5)</f>
        <v>0.5</v>
      </c>
      <c r="O484" s="157">
        <f ca="1">IFERROR(__xludf.DUMMYFUNCTION("""COMPUTED_VALUE"""),1)</f>
        <v>1</v>
      </c>
      <c r="P484" s="157"/>
      <c r="R484" s="147"/>
      <c r="S484" s="147"/>
      <c r="T484" s="147"/>
      <c r="U484" s="147"/>
      <c r="X484" s="147"/>
      <c r="Y484" s="147"/>
      <c r="Z484" s="147"/>
      <c r="AA484" s="147"/>
      <c r="AB484" s="147"/>
      <c r="AC484" s="147"/>
      <c r="AD484" s="147"/>
      <c r="AE484" s="147"/>
      <c r="AF484" s="147"/>
      <c r="AG484" s="147"/>
      <c r="AH484" s="147"/>
      <c r="AI484" s="147"/>
      <c r="AJ484" s="147"/>
      <c r="AK484" s="147"/>
      <c r="AL484" s="147"/>
      <c r="AM484" s="147"/>
      <c r="AN484" s="147"/>
      <c r="AO484" s="147"/>
      <c r="AP484" s="147"/>
      <c r="AQ484" s="147"/>
    </row>
    <row r="485" spans="1:43">
      <c r="A485" s="160" t="str">
        <f ca="1">IFERROR(__xludf.DUMMYFUNCTION("""COMPUTED_VALUE"""),"227058")</f>
        <v>227058</v>
      </c>
      <c r="B485" s="3" t="str">
        <f ca="1">IFERROR(__xludf.DUMMYFUNCTION("""COMPUTED_VALUE"""),"LE VAN DONG TAM")</f>
        <v>LE VAN DONG TAM</v>
      </c>
      <c r="C485" s="160" t="str">
        <f ca="1">IFERROR(__xludf.DUMMYFUNCTION("""COMPUTED_VALUE"""),"EL043")</f>
        <v>EL043</v>
      </c>
      <c r="D485" s="160" t="str">
        <f ca="1">IFERROR(__xludf.DUMMYFUNCTION("""COMPUTED_VALUE"""),"Liên Nguyễn")</f>
        <v>Liên Nguyễn</v>
      </c>
      <c r="E485" s="3" t="str">
        <f ca="1">IFERROR(__xludf.DUMMYFUNCTION("""COMPUTED_VALUE"""),"Foundation")</f>
        <v>Foundation</v>
      </c>
      <c r="F485" s="3" t="str">
        <f ca="1">IFERROR(__xludf.DUMMYFUNCTION("""COMPUTED_VALUE"""),"Foundation")</f>
        <v>Foundation</v>
      </c>
      <c r="G485" s="3" t="str">
        <f ca="1">IFERROR(__xludf.DUMMYFUNCTION("""COMPUTED_VALUE"""),"Foundation")</f>
        <v>Foundation</v>
      </c>
      <c r="H485" s="156">
        <f ca="1">IFERROR(__xludf.DUMMYFUNCTION("""COMPUTED_VALUE"""),45917.5833333333)</f>
        <v>45917.583333333299</v>
      </c>
      <c r="I485" s="156">
        <f ca="1">IFERROR(__xludf.DUMMYFUNCTION("""COMPUTED_VALUE"""),45715.5833333333)</f>
        <v>45715.583333333299</v>
      </c>
      <c r="J485" s="3">
        <f ca="1">IFERROR(__xludf.DUMMYFUNCTION("""COMPUTED_VALUE"""),0.5)</f>
        <v>0.5</v>
      </c>
      <c r="K485" s="3">
        <f ca="1">IFERROR(__xludf.DUMMYFUNCTION("""COMPUTED_VALUE"""),0.5)</f>
        <v>0.5</v>
      </c>
      <c r="L485" s="3" t="str">
        <f ca="1">IFERROR(__xludf.DUMMYFUNCTION("""COMPUTED_VALUE"""),"BA")</f>
        <v>BA</v>
      </c>
      <c r="M485" s="3" t="str">
        <f ca="1">IFERROR(__xludf.DUMMYFUNCTION("""COMPUTED_VALUE"""),"LBU")</f>
        <v>LBU</v>
      </c>
      <c r="N485" s="157">
        <f ca="1">IFERROR(__xludf.DUMMYFUNCTION("""COMPUTED_VALUE"""),0.5)</f>
        <v>0.5</v>
      </c>
      <c r="O485" s="157">
        <f ca="1">IFERROR(__xludf.DUMMYFUNCTION("""COMPUTED_VALUE"""),0.5)</f>
        <v>0.5</v>
      </c>
      <c r="P485" s="157"/>
      <c r="R485" s="147"/>
      <c r="S485" s="147"/>
      <c r="T485" s="147"/>
      <c r="U485" s="147"/>
      <c r="X485" s="147"/>
      <c r="Y485" s="147"/>
      <c r="Z485" s="147"/>
      <c r="AA485" s="147"/>
      <c r="AB485" s="147"/>
      <c r="AC485" s="147"/>
      <c r="AD485" s="147"/>
      <c r="AE485" s="147"/>
      <c r="AF485" s="147"/>
      <c r="AG485" s="147"/>
      <c r="AH485" s="147"/>
      <c r="AI485" s="147"/>
      <c r="AJ485" s="147"/>
      <c r="AK485" s="147"/>
      <c r="AL485" s="147"/>
      <c r="AM485" s="147"/>
      <c r="AN485" s="147"/>
      <c r="AO485" s="147"/>
      <c r="AP485" s="147"/>
      <c r="AQ485" s="147"/>
    </row>
    <row r="486" spans="1:43">
      <c r="A486" s="160" t="str">
        <f ca="1">IFERROR(__xludf.DUMMYFUNCTION("""COMPUTED_VALUE"""),"153116")</f>
        <v>153116</v>
      </c>
      <c r="B486" s="3" t="str">
        <f ca="1">IFERROR(__xludf.DUMMYFUNCTION("""COMPUTED_VALUE"""),"NGUYEN DUY PHONG")</f>
        <v>NGUYEN DUY PHONG</v>
      </c>
      <c r="C486" s="160" t="str">
        <f ca="1">IFERROR(__xludf.DUMMYFUNCTION("""COMPUTED_VALUE"""),"EL043")</f>
        <v>EL043</v>
      </c>
      <c r="D486" s="160" t="str">
        <f ca="1">IFERROR(__xludf.DUMMYFUNCTION("""COMPUTED_VALUE"""),"Liên Nguyễn")</f>
        <v>Liên Nguyễn</v>
      </c>
      <c r="E486" s="3" t="str">
        <f ca="1">IFERROR(__xludf.DUMMYFUNCTION("""COMPUTED_VALUE"""),"Foundation")</f>
        <v>Foundation</v>
      </c>
      <c r="F486" s="3" t="str">
        <f ca="1">IFERROR(__xludf.DUMMYFUNCTION("""COMPUTED_VALUE"""),"Foundation")</f>
        <v>Foundation</v>
      </c>
      <c r="G486" s="3" t="str">
        <f ca="1">IFERROR(__xludf.DUMMYFUNCTION("""COMPUTED_VALUE"""),"Foundation")</f>
        <v>Foundation</v>
      </c>
      <c r="H486" s="156">
        <f ca="1">IFERROR(__xludf.DUMMYFUNCTION("""COMPUTED_VALUE"""),45917.5833333333)</f>
        <v>45917.583333333299</v>
      </c>
      <c r="I486" s="156">
        <f ca="1">IFERROR(__xludf.DUMMYFUNCTION("""COMPUTED_VALUE"""),45917.5833333333)</f>
        <v>45917.583333333299</v>
      </c>
      <c r="J486" s="3">
        <f ca="1">IFERROR(__xludf.DUMMYFUNCTION("""COMPUTED_VALUE"""),0.5)</f>
        <v>0.5</v>
      </c>
      <c r="K486" s="3">
        <f ca="1">IFERROR(__xludf.DUMMYFUNCTION("""COMPUTED_VALUE"""),0.5)</f>
        <v>0.5</v>
      </c>
      <c r="L486" s="3" t="str">
        <f ca="1">IFERROR(__xludf.DUMMYFUNCTION("""COMPUTED_VALUE"""),"GSD")</f>
        <v>GSD</v>
      </c>
      <c r="M486" s="3" t="str">
        <f ca="1">IFERROR(__xludf.DUMMYFUNCTION("""COMPUTED_VALUE"""),"POC")</f>
        <v>POC</v>
      </c>
      <c r="N486" s="157">
        <f ca="1">IFERROR(__xludf.DUMMYFUNCTION("""COMPUTED_VALUE"""),0.5)</f>
        <v>0.5</v>
      </c>
      <c r="O486" s="157">
        <f ca="1">IFERROR(__xludf.DUMMYFUNCTION("""COMPUTED_VALUE"""),0.5)</f>
        <v>0.5</v>
      </c>
      <c r="P486" s="157"/>
      <c r="R486" s="147"/>
      <c r="S486" s="147"/>
      <c r="T486" s="147"/>
      <c r="U486" s="147"/>
      <c r="X486" s="147"/>
      <c r="Y486" s="147"/>
      <c r="Z486" s="147"/>
      <c r="AA486" s="147"/>
      <c r="AB486" s="147"/>
      <c r="AC486" s="147"/>
      <c r="AD486" s="147"/>
      <c r="AE486" s="147"/>
      <c r="AF486" s="147"/>
      <c r="AG486" s="147"/>
      <c r="AH486" s="147"/>
      <c r="AI486" s="147"/>
      <c r="AJ486" s="147"/>
      <c r="AK486" s="147"/>
      <c r="AL486" s="147"/>
      <c r="AM486" s="147"/>
      <c r="AN486" s="147"/>
      <c r="AO486" s="147"/>
      <c r="AP486" s="147"/>
      <c r="AQ486" s="147"/>
    </row>
    <row r="487" spans="1:43">
      <c r="A487" s="160" t="str">
        <f ca="1">IFERROR(__xludf.DUMMYFUNCTION("""COMPUTED_VALUE"""),"247082")</f>
        <v>247082</v>
      </c>
      <c r="B487" s="3" t="str">
        <f ca="1">IFERROR(__xludf.DUMMYFUNCTION("""COMPUTED_VALUE"""),"NGUYEN HUU DUY")</f>
        <v>NGUYEN HUU DUY</v>
      </c>
      <c r="C487" s="160" t="str">
        <f ca="1">IFERROR(__xludf.DUMMYFUNCTION("""COMPUTED_VALUE"""),"EL043")</f>
        <v>EL043</v>
      </c>
      <c r="D487" s="160" t="str">
        <f ca="1">IFERROR(__xludf.DUMMYFUNCTION("""COMPUTED_VALUE"""),"Liên Nguyễn")</f>
        <v>Liên Nguyễn</v>
      </c>
      <c r="E487" s="3" t="str">
        <f ca="1">IFERROR(__xludf.DUMMYFUNCTION("""COMPUTED_VALUE"""),"Foundation")</f>
        <v>Foundation</v>
      </c>
      <c r="F487" s="3" t="str">
        <f ca="1">IFERROR(__xludf.DUMMYFUNCTION("""COMPUTED_VALUE"""),"Foundation")</f>
        <v>Foundation</v>
      </c>
      <c r="G487" s="3" t="str">
        <f ca="1">IFERROR(__xludf.DUMMYFUNCTION("""COMPUTED_VALUE"""),"Foundation")</f>
        <v>Foundation</v>
      </c>
      <c r="H487" s="156">
        <f ca="1">IFERROR(__xludf.DUMMYFUNCTION("""COMPUTED_VALUE"""),45917.5833333333)</f>
        <v>45917.583333333299</v>
      </c>
      <c r="I487" s="156">
        <f ca="1">IFERROR(__xludf.DUMMYFUNCTION("""COMPUTED_VALUE"""),45917.5833333333)</f>
        <v>45917.583333333299</v>
      </c>
      <c r="J487" s="3">
        <f ca="1">IFERROR(__xludf.DUMMYFUNCTION("""COMPUTED_VALUE"""),0.5)</f>
        <v>0.5</v>
      </c>
      <c r="K487" s="3">
        <f ca="1">IFERROR(__xludf.DUMMYFUNCTION("""COMPUTED_VALUE"""),0.5)</f>
        <v>0.5</v>
      </c>
      <c r="L487" s="3" t="str">
        <f ca="1">IFERROR(__xludf.DUMMYFUNCTION("""COMPUTED_VALUE"""),"GSD")</f>
        <v>GSD</v>
      </c>
      <c r="M487" s="3" t="str">
        <f ca="1">IFERROR(__xludf.DUMMYFUNCTION("""COMPUTED_VALUE"""),"LBU")</f>
        <v>LBU</v>
      </c>
      <c r="N487" s="157">
        <f ca="1">IFERROR(__xludf.DUMMYFUNCTION("""COMPUTED_VALUE"""),0.5)</f>
        <v>0.5</v>
      </c>
      <c r="O487" s="157">
        <f ca="1">IFERROR(__xludf.DUMMYFUNCTION("""COMPUTED_VALUE"""),0.5)</f>
        <v>0.5</v>
      </c>
      <c r="P487" s="157"/>
      <c r="R487" s="147"/>
      <c r="S487" s="147"/>
      <c r="T487" s="147"/>
      <c r="U487" s="147"/>
      <c r="X487" s="147"/>
      <c r="Y487" s="147"/>
      <c r="Z487" s="147"/>
      <c r="AA487" s="147"/>
      <c r="AB487" s="147"/>
      <c r="AC487" s="147"/>
      <c r="AD487" s="147"/>
      <c r="AE487" s="147"/>
      <c r="AF487" s="147"/>
      <c r="AG487" s="147"/>
      <c r="AH487" s="147"/>
      <c r="AI487" s="147"/>
      <c r="AJ487" s="147"/>
      <c r="AK487" s="147"/>
      <c r="AL487" s="147"/>
      <c r="AM487" s="147"/>
      <c r="AN487" s="147"/>
      <c r="AO487" s="147"/>
      <c r="AP487" s="147"/>
      <c r="AQ487" s="147"/>
    </row>
    <row r="488" spans="1:43">
      <c r="A488" s="160" t="str">
        <f ca="1">IFERROR(__xludf.DUMMYFUNCTION("""COMPUTED_VALUE"""),"183330")</f>
        <v>183330</v>
      </c>
      <c r="B488" s="3" t="str">
        <f ca="1">IFERROR(__xludf.DUMMYFUNCTION("""COMPUTED_VALUE"""),"NGUYỄN THỊ KIM TRANG")</f>
        <v>NGUYỄN THỊ KIM TRANG</v>
      </c>
      <c r="C488" s="160" t="str">
        <f ca="1">IFERROR(__xludf.DUMMYFUNCTION("""COMPUTED_VALUE"""),"EL043")</f>
        <v>EL043</v>
      </c>
      <c r="D488" s="160" t="str">
        <f ca="1">IFERROR(__xludf.DUMMYFUNCTION("""COMPUTED_VALUE"""),"Liên Nguyễn")</f>
        <v>Liên Nguyễn</v>
      </c>
      <c r="E488" s="3" t="str">
        <f ca="1">IFERROR(__xludf.DUMMYFUNCTION("""COMPUTED_VALUE"""),"Foundation")</f>
        <v>Foundation</v>
      </c>
      <c r="F488" s="3" t="str">
        <f ca="1">IFERROR(__xludf.DUMMYFUNCTION("""COMPUTED_VALUE"""),"Foundation")</f>
        <v>Foundation</v>
      </c>
      <c r="G488" s="3" t="str">
        <f ca="1">IFERROR(__xludf.DUMMYFUNCTION("""COMPUTED_VALUE"""),"Beginner")</f>
        <v>Beginner</v>
      </c>
      <c r="H488" s="156">
        <f ca="1">IFERROR(__xludf.DUMMYFUNCTION("""COMPUTED_VALUE"""),45917.5833333333)</f>
        <v>45917.583333333299</v>
      </c>
      <c r="I488" s="156">
        <f ca="1">IFERROR(__xludf.DUMMYFUNCTION("""COMPUTED_VALUE"""),45917.5833333333)</f>
        <v>45917.583333333299</v>
      </c>
      <c r="J488" s="3">
        <f ca="1">IFERROR(__xludf.DUMMYFUNCTION("""COMPUTED_VALUE"""),0.5)</f>
        <v>0.5</v>
      </c>
      <c r="K488" s="3">
        <f ca="1">IFERROR(__xludf.DUMMYFUNCTION("""COMPUTED_VALUE"""),1)</f>
        <v>1</v>
      </c>
      <c r="L488" s="3" t="str">
        <f ca="1">IFERROR(__xludf.DUMMYFUNCTION("""COMPUTED_VALUE"""),"GSD")</f>
        <v>GSD</v>
      </c>
      <c r="M488" s="3" t="str">
        <f ca="1">IFERROR(__xludf.DUMMYFUNCTION("""COMPUTED_VALUE"""),"TBU")</f>
        <v>TBU</v>
      </c>
      <c r="N488" s="157">
        <f ca="1">IFERROR(__xludf.DUMMYFUNCTION("""COMPUTED_VALUE"""),0.5)</f>
        <v>0.5</v>
      </c>
      <c r="O488" s="157">
        <f ca="1">IFERROR(__xludf.DUMMYFUNCTION("""COMPUTED_VALUE"""),1)</f>
        <v>1</v>
      </c>
      <c r="P488" s="157"/>
      <c r="R488" s="147"/>
      <c r="S488" s="147"/>
      <c r="T488" s="147"/>
      <c r="U488" s="147"/>
      <c r="X488" s="147"/>
      <c r="Y488" s="147"/>
      <c r="Z488" s="147"/>
      <c r="AA488" s="147"/>
      <c r="AB488" s="147"/>
      <c r="AC488" s="147"/>
      <c r="AD488" s="147"/>
      <c r="AE488" s="147"/>
      <c r="AF488" s="147"/>
      <c r="AG488" s="147"/>
      <c r="AH488" s="147"/>
      <c r="AI488" s="147"/>
      <c r="AJ488" s="147"/>
      <c r="AK488" s="147"/>
      <c r="AL488" s="147"/>
      <c r="AM488" s="147"/>
      <c r="AN488" s="147"/>
      <c r="AO488" s="147"/>
      <c r="AP488" s="147"/>
      <c r="AQ488" s="147"/>
    </row>
    <row r="489" spans="1:43">
      <c r="A489" s="160" t="str">
        <f ca="1">IFERROR(__xludf.DUMMYFUNCTION("""COMPUTED_VALUE"""),"237129")</f>
        <v>237129</v>
      </c>
      <c r="B489" s="3" t="str">
        <f ca="1">IFERROR(__xludf.DUMMYFUNCTION("""COMPUTED_VALUE"""),"PHẠM HUỲNH TÂN")</f>
        <v>PHẠM HUỲNH TÂN</v>
      </c>
      <c r="C489" s="160" t="str">
        <f ca="1">IFERROR(__xludf.DUMMYFUNCTION("""COMPUTED_VALUE"""),"EL043")</f>
        <v>EL043</v>
      </c>
      <c r="D489" s="160" t="str">
        <f ca="1">IFERROR(__xludf.DUMMYFUNCTION("""COMPUTED_VALUE"""),"Liên Nguyễn")</f>
        <v>Liên Nguyễn</v>
      </c>
      <c r="E489" s="3" t="str">
        <f ca="1">IFERROR(__xludf.DUMMYFUNCTION("""COMPUTED_VALUE"""),"Foundation")</f>
        <v>Foundation</v>
      </c>
      <c r="F489" s="3" t="str">
        <f ca="1">IFERROR(__xludf.DUMMYFUNCTION("""COMPUTED_VALUE"""),"Foundation")</f>
        <v>Foundation</v>
      </c>
      <c r="G489" s="3" t="str">
        <f ca="1">IFERROR(__xludf.DUMMYFUNCTION("""COMPUTED_VALUE"""),"Foundation")</f>
        <v>Foundation</v>
      </c>
      <c r="H489" s="156">
        <f ca="1">IFERROR(__xludf.DUMMYFUNCTION("""COMPUTED_VALUE"""),45917.5833333333)</f>
        <v>45917.583333333299</v>
      </c>
      <c r="I489" s="156">
        <f ca="1">IFERROR(__xludf.DUMMYFUNCTION("""COMPUTED_VALUE"""),45917.5833333333)</f>
        <v>45917.583333333299</v>
      </c>
      <c r="J489" s="3">
        <f ca="1">IFERROR(__xludf.DUMMYFUNCTION("""COMPUTED_VALUE"""),0.5)</f>
        <v>0.5</v>
      </c>
      <c r="K489" s="3">
        <f ca="1">IFERROR(__xludf.DUMMYFUNCTION("""COMPUTED_VALUE"""),0.5)</f>
        <v>0.5</v>
      </c>
      <c r="L489" s="3" t="str">
        <f ca="1">IFERROR(__xludf.DUMMYFUNCTION("""COMPUTED_VALUE"""),"GSD")</f>
        <v>GSD</v>
      </c>
      <c r="M489" s="3" t="str">
        <f ca="1">IFERROR(__xludf.DUMMYFUNCTION("""COMPUTED_VALUE"""),"TBU")</f>
        <v>TBU</v>
      </c>
      <c r="N489" s="157">
        <f ca="1">IFERROR(__xludf.DUMMYFUNCTION("""COMPUTED_VALUE"""),0.5)</f>
        <v>0.5</v>
      </c>
      <c r="O489" s="157">
        <f ca="1">IFERROR(__xludf.DUMMYFUNCTION("""COMPUTED_VALUE"""),0.5)</f>
        <v>0.5</v>
      </c>
      <c r="P489" s="157"/>
      <c r="R489" s="147"/>
      <c r="S489" s="147"/>
      <c r="T489" s="147"/>
      <c r="U489" s="147"/>
      <c r="X489" s="147"/>
      <c r="Y489" s="147"/>
      <c r="Z489" s="147"/>
      <c r="AA489" s="147"/>
      <c r="AB489" s="147"/>
      <c r="AC489" s="147"/>
      <c r="AD489" s="147"/>
      <c r="AE489" s="147"/>
      <c r="AF489" s="147"/>
      <c r="AG489" s="147"/>
      <c r="AH489" s="147"/>
      <c r="AI489" s="147"/>
      <c r="AJ489" s="147"/>
      <c r="AK489" s="147"/>
      <c r="AL489" s="147"/>
      <c r="AM489" s="147"/>
      <c r="AN489" s="147"/>
      <c r="AO489" s="147"/>
      <c r="AP489" s="147"/>
      <c r="AQ489" s="147"/>
    </row>
    <row r="490" spans="1:43">
      <c r="A490" s="160" t="str">
        <f ca="1">IFERROR(__xludf.DUMMYFUNCTION("""COMPUTED_VALUE"""),"227131")</f>
        <v>227131</v>
      </c>
      <c r="B490" s="3" t="str">
        <f ca="1">IFERROR(__xludf.DUMMYFUNCTION("""COMPUTED_VALUE"""),"NGUYỄN TRƯƠNG BẢO QUYÊN")</f>
        <v>NGUYỄN TRƯƠNG BẢO QUYÊN</v>
      </c>
      <c r="C490" s="160" t="str">
        <f ca="1">IFERROR(__xludf.DUMMYFUNCTION("""COMPUTED_VALUE"""),"EL044")</f>
        <v>EL044</v>
      </c>
      <c r="D490" s="160" t="str">
        <f ca="1">IFERROR(__xludf.DUMMYFUNCTION("""COMPUTED_VALUE"""),"Quyen Nguyen")</f>
        <v>Quyen Nguyen</v>
      </c>
      <c r="E490" s="3" t="str">
        <f ca="1">IFERROR(__xludf.DUMMYFUNCTION("""COMPUTED_VALUE"""),"Communication 1")</f>
        <v>Communication 1</v>
      </c>
      <c r="F490" s="3" t="str">
        <f ca="1">IFERROR(__xludf.DUMMYFUNCTION("""COMPUTED_VALUE"""),"Pre-Intermediate 1")</f>
        <v>Pre-Intermediate 1</v>
      </c>
      <c r="G490" s="3"/>
      <c r="H490" s="156">
        <f ca="1">IFERROR(__xludf.DUMMYFUNCTION("""COMPUTED_VALUE"""),45929.5833333333)</f>
        <v>45929.583333333299</v>
      </c>
      <c r="I490" s="156">
        <f ca="1">IFERROR(__xludf.DUMMYFUNCTION("""COMPUTED_VALUE"""),45929.5833333333)</f>
        <v>45929.583333333299</v>
      </c>
      <c r="J490" s="3">
        <f ca="1">IFERROR(__xludf.DUMMYFUNCTION("""COMPUTED_VALUE"""),3)</f>
        <v>3</v>
      </c>
      <c r="K490" s="3" t="str">
        <f ca="1">IFERROR(__xludf.DUMMYFUNCTION("""COMPUTED_VALUE"""),"")</f>
        <v/>
      </c>
      <c r="L490" s="3" t="str">
        <f ca="1">IFERROR(__xludf.DUMMYFUNCTION("""COMPUTED_VALUE"""),"GSD")</f>
        <v>GSD</v>
      </c>
      <c r="M490" s="3" t="str">
        <f ca="1">IFERROR(__xludf.DUMMYFUNCTION("""COMPUTED_VALUE"""),"LBU")</f>
        <v>LBU</v>
      </c>
      <c r="N490" s="157">
        <f ca="1">IFERROR(__xludf.DUMMYFUNCTION("""COMPUTED_VALUE"""),3)</f>
        <v>3</v>
      </c>
      <c r="O490" s="157">
        <f ca="1">IFERROR(__xludf.DUMMYFUNCTION("""COMPUTED_VALUE"""),0)</f>
        <v>0</v>
      </c>
      <c r="P490" s="157"/>
      <c r="R490" s="147"/>
      <c r="S490" s="147"/>
      <c r="T490" s="147"/>
      <c r="U490" s="147"/>
      <c r="X490" s="147"/>
      <c r="Y490" s="147"/>
      <c r="Z490" s="147"/>
      <c r="AA490" s="147"/>
      <c r="AB490" s="147"/>
      <c r="AC490" s="147"/>
      <c r="AD490" s="147"/>
      <c r="AE490" s="147"/>
      <c r="AF490" s="147"/>
      <c r="AG490" s="147"/>
      <c r="AH490" s="147"/>
      <c r="AI490" s="147"/>
      <c r="AJ490" s="147"/>
      <c r="AK490" s="147"/>
      <c r="AL490" s="147"/>
      <c r="AM490" s="147"/>
      <c r="AN490" s="147"/>
      <c r="AO490" s="147"/>
      <c r="AP490" s="147"/>
      <c r="AQ490" s="147"/>
    </row>
    <row r="491" spans="1:43">
      <c r="A491" s="160" t="str">
        <f ca="1">IFERROR(__xludf.DUMMYFUNCTION("""COMPUTED_VALUE"""),"247082")</f>
        <v>247082</v>
      </c>
      <c r="B491" s="3" t="str">
        <f ca="1">IFERROR(__xludf.DUMMYFUNCTION("""COMPUTED_VALUE"""),"NGUYEN HUU DUY")</f>
        <v>NGUYEN HUU DUY</v>
      </c>
      <c r="C491" s="160" t="str">
        <f ca="1">IFERROR(__xludf.DUMMYFUNCTION("""COMPUTED_VALUE"""),"EL044")</f>
        <v>EL044</v>
      </c>
      <c r="D491" s="160" t="str">
        <f ca="1">IFERROR(__xludf.DUMMYFUNCTION("""COMPUTED_VALUE"""),"Quyen Nguyen")</f>
        <v>Quyen Nguyen</v>
      </c>
      <c r="E491" s="3" t="str">
        <f ca="1">IFERROR(__xludf.DUMMYFUNCTION("""COMPUTED_VALUE"""),"Communication 1")</f>
        <v>Communication 1</v>
      </c>
      <c r="F491" s="3" t="str">
        <f ca="1">IFERROR(__xludf.DUMMYFUNCTION("""COMPUTED_VALUE"""),"Beginner")</f>
        <v>Beginner</v>
      </c>
      <c r="G491" s="3"/>
      <c r="H491" s="156">
        <f ca="1">IFERROR(__xludf.DUMMYFUNCTION("""COMPUTED_VALUE"""),45929.5833333333)</f>
        <v>45929.583333333299</v>
      </c>
      <c r="I491" s="156">
        <f ca="1">IFERROR(__xludf.DUMMYFUNCTION("""COMPUTED_VALUE"""),45917.5833333333)</f>
        <v>45917.583333333299</v>
      </c>
      <c r="J491" s="3">
        <f ca="1">IFERROR(__xludf.DUMMYFUNCTION("""COMPUTED_VALUE"""),1)</f>
        <v>1</v>
      </c>
      <c r="K491" s="3" t="str">
        <f ca="1">IFERROR(__xludf.DUMMYFUNCTION("""COMPUTED_VALUE"""),"")</f>
        <v/>
      </c>
      <c r="L491" s="3" t="str">
        <f ca="1">IFERROR(__xludf.DUMMYFUNCTION("""COMPUTED_VALUE"""),"GSD")</f>
        <v>GSD</v>
      </c>
      <c r="M491" s="3" t="str">
        <f ca="1">IFERROR(__xludf.DUMMYFUNCTION("""COMPUTED_VALUE"""),"LBU")</f>
        <v>LBU</v>
      </c>
      <c r="N491" s="157">
        <f ca="1">IFERROR(__xludf.DUMMYFUNCTION("""COMPUTED_VALUE"""),0.5)</f>
        <v>0.5</v>
      </c>
      <c r="O491" s="157">
        <f ca="1">IFERROR(__xludf.DUMMYFUNCTION("""COMPUTED_VALUE"""),0.5)</f>
        <v>0.5</v>
      </c>
      <c r="P491" s="157"/>
      <c r="R491" s="147"/>
      <c r="S491" s="147"/>
      <c r="T491" s="147"/>
      <c r="U491" s="147"/>
      <c r="X491" s="147"/>
      <c r="Y491" s="147"/>
      <c r="Z491" s="147"/>
      <c r="AA491" s="147"/>
      <c r="AB491" s="147"/>
      <c r="AC491" s="147"/>
      <c r="AD491" s="147"/>
      <c r="AE491" s="147"/>
      <c r="AF491" s="147"/>
      <c r="AG491" s="147"/>
      <c r="AH491" s="147"/>
      <c r="AI491" s="147"/>
      <c r="AJ491" s="147"/>
      <c r="AK491" s="147"/>
      <c r="AL491" s="147"/>
      <c r="AM491" s="147"/>
      <c r="AN491" s="147"/>
      <c r="AO491" s="147"/>
      <c r="AP491" s="147"/>
      <c r="AQ491" s="147"/>
    </row>
    <row r="492" spans="1:43">
      <c r="A492" s="160" t="str">
        <f ca="1">IFERROR(__xludf.DUMMYFUNCTION("""COMPUTED_VALUE"""),"257036")</f>
        <v>257036</v>
      </c>
      <c r="B492" s="3" t="str">
        <f ca="1">IFERROR(__xludf.DUMMYFUNCTION("""COMPUTED_VALUE"""),"NGUYỄN PHÚC VINH")</f>
        <v>NGUYỄN PHÚC VINH</v>
      </c>
      <c r="C492" s="160" t="str">
        <f ca="1">IFERROR(__xludf.DUMMYFUNCTION("""COMPUTED_VALUE"""),"EL044")</f>
        <v>EL044</v>
      </c>
      <c r="D492" s="160" t="str">
        <f ca="1">IFERROR(__xludf.DUMMYFUNCTION("""COMPUTED_VALUE"""),"Quyen Nguyen")</f>
        <v>Quyen Nguyen</v>
      </c>
      <c r="E492" s="3" t="str">
        <f ca="1">IFERROR(__xludf.DUMMYFUNCTION("""COMPUTED_VALUE"""),"Communication 1")</f>
        <v>Communication 1</v>
      </c>
      <c r="F492" s="3" t="str">
        <f ca="1">IFERROR(__xludf.DUMMYFUNCTION("""COMPUTED_VALUE"""),"Beginner")</f>
        <v>Beginner</v>
      </c>
      <c r="G492" s="3"/>
      <c r="H492" s="156">
        <f ca="1">IFERROR(__xludf.DUMMYFUNCTION("""COMPUTED_VALUE"""),45929.5833333333)</f>
        <v>45929.583333333299</v>
      </c>
      <c r="I492" s="156">
        <f ca="1">IFERROR(__xludf.DUMMYFUNCTION("""COMPUTED_VALUE"""),45929.5833333333)</f>
        <v>45929.583333333299</v>
      </c>
      <c r="J492" s="3">
        <f ca="1">IFERROR(__xludf.DUMMYFUNCTION("""COMPUTED_VALUE"""),1)</f>
        <v>1</v>
      </c>
      <c r="K492" s="3" t="str">
        <f ca="1">IFERROR(__xludf.DUMMYFUNCTION("""COMPUTED_VALUE"""),"")</f>
        <v/>
      </c>
      <c r="L492" s="3" t="str">
        <f ca="1">IFERROR(__xludf.DUMMYFUNCTION("""COMPUTED_VALUE"""),"GSD")</f>
        <v>GSD</v>
      </c>
      <c r="M492" s="3" t="str">
        <f ca="1">IFERROR(__xludf.DUMMYFUNCTION("""COMPUTED_VALUE"""),"LBU")</f>
        <v>LBU</v>
      </c>
      <c r="N492" s="157">
        <f ca="1">IFERROR(__xludf.DUMMYFUNCTION("""COMPUTED_VALUE"""),1)</f>
        <v>1</v>
      </c>
      <c r="O492" s="157">
        <f ca="1">IFERROR(__xludf.DUMMYFUNCTION("""COMPUTED_VALUE"""),0)</f>
        <v>0</v>
      </c>
      <c r="P492" s="157"/>
      <c r="R492" s="147"/>
      <c r="S492" s="147"/>
      <c r="T492" s="147"/>
      <c r="U492" s="147"/>
      <c r="X492" s="147"/>
      <c r="Y492" s="147"/>
      <c r="Z492" s="147"/>
      <c r="AA492" s="147"/>
      <c r="AB492" s="147"/>
      <c r="AC492" s="147"/>
      <c r="AD492" s="147"/>
      <c r="AE492" s="147"/>
      <c r="AF492" s="147"/>
      <c r="AG492" s="147"/>
      <c r="AH492" s="147"/>
      <c r="AI492" s="147"/>
      <c r="AJ492" s="147"/>
      <c r="AK492" s="147"/>
      <c r="AL492" s="147"/>
      <c r="AM492" s="147"/>
      <c r="AN492" s="147"/>
      <c r="AO492" s="147"/>
      <c r="AP492" s="147"/>
      <c r="AQ492" s="147"/>
    </row>
    <row r="493" spans="1:43">
      <c r="A493" s="160" t="str">
        <f ca="1">IFERROR(__xludf.DUMMYFUNCTION("""COMPUTED_VALUE"""),"193620")</f>
        <v>193620</v>
      </c>
      <c r="B493" s="3" t="str">
        <f ca="1">IFERROR(__xludf.DUMMYFUNCTION("""COMPUTED_VALUE"""),"TRẦN THỊ HUỲNH NHƯ")</f>
        <v>TRẦN THỊ HUỲNH NHƯ</v>
      </c>
      <c r="C493" s="160" t="str">
        <f ca="1">IFERROR(__xludf.DUMMYFUNCTION("""COMPUTED_VALUE"""),"EL044")</f>
        <v>EL044</v>
      </c>
      <c r="D493" s="160" t="str">
        <f ca="1">IFERROR(__xludf.DUMMYFUNCTION("""COMPUTED_VALUE"""),"Quyen Nguyen")</f>
        <v>Quyen Nguyen</v>
      </c>
      <c r="E493" s="3" t="str">
        <f ca="1">IFERROR(__xludf.DUMMYFUNCTION("""COMPUTED_VALUE"""),"Communication 1")</f>
        <v>Communication 1</v>
      </c>
      <c r="F493" s="3" t="str">
        <f ca="1">IFERROR(__xludf.DUMMYFUNCTION("""COMPUTED_VALUE"""),"Beginner")</f>
        <v>Beginner</v>
      </c>
      <c r="G493" s="3"/>
      <c r="H493" s="156">
        <f ca="1">IFERROR(__xludf.DUMMYFUNCTION("""COMPUTED_VALUE"""),45929.5833333333)</f>
        <v>45929.583333333299</v>
      </c>
      <c r="I493" s="156">
        <f ca="1">IFERROR(__xludf.DUMMYFUNCTION("""COMPUTED_VALUE"""),45929.5833333333)</f>
        <v>45929.583333333299</v>
      </c>
      <c r="J493" s="3">
        <f ca="1">IFERROR(__xludf.DUMMYFUNCTION("""COMPUTED_VALUE"""),1)</f>
        <v>1</v>
      </c>
      <c r="K493" s="3" t="str">
        <f ca="1">IFERROR(__xludf.DUMMYFUNCTION("""COMPUTED_VALUE"""),"")</f>
        <v/>
      </c>
      <c r="L493" s="3" t="str">
        <f ca="1">IFERROR(__xludf.DUMMYFUNCTION("""COMPUTED_VALUE"""),"GSD")</f>
        <v>GSD</v>
      </c>
      <c r="M493" s="3" t="str">
        <f ca="1">IFERROR(__xludf.DUMMYFUNCTION("""COMPUTED_VALUE"""),"LBU")</f>
        <v>LBU</v>
      </c>
      <c r="N493" s="157">
        <f ca="1">IFERROR(__xludf.DUMMYFUNCTION("""COMPUTED_VALUE"""),1)</f>
        <v>1</v>
      </c>
      <c r="O493" s="157">
        <f ca="1">IFERROR(__xludf.DUMMYFUNCTION("""COMPUTED_VALUE"""),0)</f>
        <v>0</v>
      </c>
      <c r="P493" s="157"/>
      <c r="R493" s="147"/>
      <c r="S493" s="147"/>
      <c r="T493" s="147"/>
      <c r="U493" s="147"/>
      <c r="X493" s="147"/>
      <c r="Y493" s="147"/>
      <c r="Z493" s="147"/>
      <c r="AA493" s="147"/>
      <c r="AB493" s="147"/>
      <c r="AC493" s="147"/>
      <c r="AD493" s="147"/>
      <c r="AE493" s="147"/>
      <c r="AF493" s="147"/>
      <c r="AG493" s="147"/>
      <c r="AH493" s="147"/>
      <c r="AI493" s="147"/>
      <c r="AJ493" s="147"/>
      <c r="AK493" s="147"/>
      <c r="AL493" s="147"/>
      <c r="AM493" s="147"/>
      <c r="AN493" s="147"/>
      <c r="AO493" s="147"/>
      <c r="AP493" s="147"/>
      <c r="AQ493" s="147"/>
    </row>
    <row r="494" spans="1:43">
      <c r="A494" s="160" t="str">
        <f ca="1">IFERROR(__xludf.DUMMYFUNCTION("""COMPUTED_VALUE"""),"163215")</f>
        <v>163215</v>
      </c>
      <c r="B494" s="3" t="str">
        <f ca="1">IFERROR(__xludf.DUMMYFUNCTION("""COMPUTED_VALUE"""),"VÕ THỊ HƯƠNG GIANG")</f>
        <v>VÕ THỊ HƯƠNG GIANG</v>
      </c>
      <c r="C494" s="160" t="str">
        <f ca="1">IFERROR(__xludf.DUMMYFUNCTION("""COMPUTED_VALUE"""),"EL044")</f>
        <v>EL044</v>
      </c>
      <c r="D494" s="160" t="str">
        <f ca="1">IFERROR(__xludf.DUMMYFUNCTION("""COMPUTED_VALUE"""),"Quyen Nguyen")</f>
        <v>Quyen Nguyen</v>
      </c>
      <c r="E494" s="3" t="str">
        <f ca="1">IFERROR(__xludf.DUMMYFUNCTION("""COMPUTED_VALUE"""),"Communication 1")</f>
        <v>Communication 1</v>
      </c>
      <c r="F494" s="3" t="str">
        <f ca="1">IFERROR(__xludf.DUMMYFUNCTION("""COMPUTED_VALUE"""),"Beginner")</f>
        <v>Beginner</v>
      </c>
      <c r="G494" s="3"/>
      <c r="H494" s="156">
        <f ca="1">IFERROR(__xludf.DUMMYFUNCTION("""COMPUTED_VALUE"""),45929.5833333333)</f>
        <v>45929.583333333299</v>
      </c>
      <c r="I494" s="156">
        <f ca="1">IFERROR(__xludf.DUMMYFUNCTION("""COMPUTED_VALUE"""),45929.5833333333)</f>
        <v>45929.583333333299</v>
      </c>
      <c r="J494" s="3">
        <f ca="1">IFERROR(__xludf.DUMMYFUNCTION("""COMPUTED_VALUE"""),1)</f>
        <v>1</v>
      </c>
      <c r="K494" s="3" t="str">
        <f ca="1">IFERROR(__xludf.DUMMYFUNCTION("""COMPUTED_VALUE"""),"")</f>
        <v/>
      </c>
      <c r="L494" s="3" t="str">
        <f ca="1">IFERROR(__xludf.DUMMYFUNCTION("""COMPUTED_VALUE"""),"BC")</f>
        <v>BC</v>
      </c>
      <c r="M494" s="3" t="str">
        <f ca="1">IFERROR(__xludf.DUMMYFUNCTION("""COMPUTED_VALUE"""),"LBU")</f>
        <v>LBU</v>
      </c>
      <c r="N494" s="157">
        <f ca="1">IFERROR(__xludf.DUMMYFUNCTION("""COMPUTED_VALUE"""),1)</f>
        <v>1</v>
      </c>
      <c r="O494" s="157">
        <f ca="1">IFERROR(__xludf.DUMMYFUNCTION("""COMPUTED_VALUE"""),0)</f>
        <v>0</v>
      </c>
      <c r="P494" s="157"/>
      <c r="R494" s="147"/>
      <c r="S494" s="147"/>
      <c r="T494" s="147"/>
      <c r="U494" s="147"/>
      <c r="X494" s="147"/>
      <c r="Y494" s="147"/>
      <c r="Z494" s="147"/>
      <c r="AA494" s="147"/>
      <c r="AB494" s="147"/>
      <c r="AC494" s="147"/>
      <c r="AD494" s="147"/>
      <c r="AE494" s="147"/>
      <c r="AF494" s="147"/>
      <c r="AG494" s="147"/>
      <c r="AH494" s="147"/>
      <c r="AI494" s="147"/>
      <c r="AJ494" s="147"/>
      <c r="AK494" s="147"/>
      <c r="AL494" s="147"/>
      <c r="AM494" s="147"/>
      <c r="AN494" s="147"/>
      <c r="AO494" s="147"/>
      <c r="AP494" s="147"/>
      <c r="AQ494" s="147"/>
    </row>
    <row r="495" spans="1:43">
      <c r="A495" s="160" t="str">
        <f ca="1">IFERROR(__xludf.DUMMYFUNCTION("""COMPUTED_VALUE"""),"227101")</f>
        <v>227101</v>
      </c>
      <c r="B495" s="3" t="str">
        <f ca="1">IFERROR(__xludf.DUMMYFUNCTION("""COMPUTED_VALUE"""),"Tạ Thiên Phước (Noah)")</f>
        <v>Tạ Thiên Phước (Noah)</v>
      </c>
      <c r="C495" s="160" t="str">
        <f ca="1">IFERROR(__xludf.DUMMYFUNCTION("""COMPUTED_VALUE"""),"EL045")</f>
        <v>EL045</v>
      </c>
      <c r="D495" s="160" t="str">
        <f ca="1">IFERROR(__xludf.DUMMYFUNCTION("""COMPUTED_VALUE"""),"Phuoc Ta")</f>
        <v>Phuoc Ta</v>
      </c>
      <c r="E495" s="3" t="str">
        <f ca="1">IFERROR(__xludf.DUMMYFUNCTION("""COMPUTED_VALUE"""),"Communication 1")</f>
        <v>Communication 1</v>
      </c>
      <c r="F495" s="3" t="str">
        <f ca="1">IFERROR(__xludf.DUMMYFUNCTION("""COMPUTED_VALUE"""),"Beginner")</f>
        <v>Beginner</v>
      </c>
      <c r="G495" s="3"/>
      <c r="H495" s="156">
        <f ca="1">IFERROR(__xludf.DUMMYFUNCTION("""COMPUTED_VALUE"""),46083.625)</f>
        <v>46083.625</v>
      </c>
      <c r="I495" s="156">
        <f ca="1">IFERROR(__xludf.DUMMYFUNCTION("""COMPUTED_VALUE"""),46083.625)</f>
        <v>46083.625</v>
      </c>
      <c r="J495" s="3">
        <f ca="1">IFERROR(__xludf.DUMMYFUNCTION("""COMPUTED_VALUE"""),1)</f>
        <v>1</v>
      </c>
      <c r="K495" s="3" t="str">
        <f ca="1">IFERROR(__xludf.DUMMYFUNCTION("""COMPUTED_VALUE"""),"")</f>
        <v/>
      </c>
      <c r="L495" s="3" t="str">
        <f ca="1">IFERROR(__xludf.DUMMYFUNCTION("""COMPUTED_VALUE"""),"DEV")</f>
        <v>DEV</v>
      </c>
      <c r="M495" s="3" t="str">
        <f ca="1">IFERROR(__xludf.DUMMYFUNCTION("""COMPUTED_VALUE"""),"ONC")</f>
        <v>ONC</v>
      </c>
      <c r="N495" s="157">
        <f ca="1">IFERROR(__xludf.DUMMYFUNCTION("""COMPUTED_VALUE"""),1)</f>
        <v>1</v>
      </c>
      <c r="O495" s="157">
        <f ca="1">IFERROR(__xludf.DUMMYFUNCTION("""COMPUTED_VALUE"""),0)</f>
        <v>0</v>
      </c>
      <c r="P495" s="157"/>
      <c r="R495" s="147"/>
      <c r="S495" s="147"/>
      <c r="T495" s="147"/>
      <c r="U495" s="147"/>
      <c r="X495" s="147"/>
      <c r="Y495" s="147"/>
      <c r="Z495" s="147"/>
      <c r="AA495" s="147"/>
      <c r="AB495" s="147"/>
      <c r="AC495" s="147"/>
      <c r="AD495" s="147"/>
      <c r="AE495" s="147"/>
      <c r="AF495" s="147"/>
      <c r="AG495" s="147"/>
      <c r="AH495" s="147"/>
      <c r="AI495" s="147"/>
      <c r="AJ495" s="147"/>
      <c r="AK495" s="147"/>
      <c r="AL495" s="147"/>
      <c r="AM495" s="147"/>
      <c r="AN495" s="147"/>
      <c r="AO495" s="147"/>
      <c r="AP495" s="147"/>
      <c r="AQ495" s="147"/>
    </row>
    <row r="496" spans="1:43">
      <c r="A496" s="160" t="str">
        <f ca="1">IFERROR(__xludf.DUMMYFUNCTION("""COMPUTED_VALUE"""),"213856")</f>
        <v>213856</v>
      </c>
      <c r="B496" s="3" t="str">
        <f ca="1">IFERROR(__xludf.DUMMYFUNCTION("""COMPUTED_VALUE"""),"Chu Thị Lệ Quỳnh")</f>
        <v>Chu Thị Lệ Quỳnh</v>
      </c>
      <c r="C496" s="160" t="str">
        <f ca="1">IFERROR(__xludf.DUMMYFUNCTION("""COMPUTED_VALUE"""),"EL045")</f>
        <v>EL045</v>
      </c>
      <c r="D496" s="160" t="str">
        <f ca="1">IFERROR(__xludf.DUMMYFUNCTION("""COMPUTED_VALUE"""),"Phuoc Ta")</f>
        <v>Phuoc Ta</v>
      </c>
      <c r="E496" s="3" t="str">
        <f ca="1">IFERROR(__xludf.DUMMYFUNCTION("""COMPUTED_VALUE"""),"Communication 1")</f>
        <v>Communication 1</v>
      </c>
      <c r="F496" s="3" t="str">
        <f ca="1">IFERROR(__xludf.DUMMYFUNCTION("""COMPUTED_VALUE"""),"Beginner")</f>
        <v>Beginner</v>
      </c>
      <c r="G496" s="3"/>
      <c r="H496" s="156">
        <f ca="1">IFERROR(__xludf.DUMMYFUNCTION("""COMPUTED_VALUE"""),46083.625)</f>
        <v>46083.625</v>
      </c>
      <c r="I496" s="156">
        <f ca="1">IFERROR(__xludf.DUMMYFUNCTION("""COMPUTED_VALUE"""),45637.375)</f>
        <v>45637.375</v>
      </c>
      <c r="J496" s="3">
        <f ca="1">IFERROR(__xludf.DUMMYFUNCTION("""COMPUTED_VALUE"""),1)</f>
        <v>1</v>
      </c>
      <c r="K496" s="3" t="str">
        <f ca="1">IFERROR(__xludf.DUMMYFUNCTION("""COMPUTED_VALUE"""),"")</f>
        <v/>
      </c>
      <c r="L496" s="3" t="str">
        <f ca="1">IFERROR(__xludf.DUMMYFUNCTION("""COMPUTED_VALUE"""),"QC")</f>
        <v>QC</v>
      </c>
      <c r="M496" s="3" t="str">
        <f ca="1">IFERROR(__xludf.DUMMYFUNCTION("""COMPUTED_VALUE"""),"ONC")</f>
        <v>ONC</v>
      </c>
      <c r="N496" s="157">
        <f ca="1">IFERROR(__xludf.DUMMYFUNCTION("""COMPUTED_VALUE"""),1)</f>
        <v>1</v>
      </c>
      <c r="O496" s="157">
        <f ca="1">IFERROR(__xludf.DUMMYFUNCTION("""COMPUTED_VALUE"""),2.5)</f>
        <v>2.5</v>
      </c>
      <c r="P496" s="157"/>
      <c r="R496" s="147"/>
      <c r="S496" s="147"/>
      <c r="T496" s="147"/>
      <c r="U496" s="147"/>
      <c r="X496" s="147"/>
      <c r="Y496" s="147"/>
      <c r="Z496" s="147"/>
      <c r="AA496" s="147"/>
      <c r="AB496" s="147"/>
      <c r="AC496" s="147"/>
      <c r="AD496" s="147"/>
      <c r="AE496" s="147"/>
      <c r="AF496" s="147"/>
      <c r="AG496" s="147"/>
      <c r="AH496" s="147"/>
      <c r="AI496" s="147"/>
      <c r="AJ496" s="147"/>
      <c r="AK496" s="147"/>
      <c r="AL496" s="147"/>
      <c r="AM496" s="147"/>
      <c r="AN496" s="147"/>
      <c r="AO496" s="147"/>
      <c r="AP496" s="147"/>
      <c r="AQ496" s="147"/>
    </row>
    <row r="497" spans="1:43">
      <c r="A497" s="160" t="str">
        <f ca="1">IFERROR(__xludf.DUMMYFUNCTION("""COMPUTED_VALUE"""),"237035")</f>
        <v>237035</v>
      </c>
      <c r="B497" s="3" t="str">
        <f ca="1">IFERROR(__xludf.DUMMYFUNCTION("""COMPUTED_VALUE"""),"Nguyễn Đặng Khương Duy (Dustin)")</f>
        <v>Nguyễn Đặng Khương Duy (Dustin)</v>
      </c>
      <c r="C497" s="160" t="str">
        <f ca="1">IFERROR(__xludf.DUMMYFUNCTION("""COMPUTED_VALUE"""),"EL045")</f>
        <v>EL045</v>
      </c>
      <c r="D497" s="160" t="str">
        <f ca="1">IFERROR(__xludf.DUMMYFUNCTION("""COMPUTED_VALUE"""),"Phuoc Ta")</f>
        <v>Phuoc Ta</v>
      </c>
      <c r="E497" s="3" t="str">
        <f ca="1">IFERROR(__xludf.DUMMYFUNCTION("""COMPUTED_VALUE"""),"Communication 1")</f>
        <v>Communication 1</v>
      </c>
      <c r="F497" s="3" t="str">
        <f ca="1">IFERROR(__xludf.DUMMYFUNCTION("""COMPUTED_VALUE"""),"Beginner")</f>
        <v>Beginner</v>
      </c>
      <c r="G497" s="3"/>
      <c r="H497" s="156">
        <f ca="1">IFERROR(__xludf.DUMMYFUNCTION("""COMPUTED_VALUE"""),46083.625)</f>
        <v>46083.625</v>
      </c>
      <c r="I497" s="156">
        <f ca="1">IFERROR(__xludf.DUMMYFUNCTION("""COMPUTED_VALUE"""),46083.625)</f>
        <v>46083.625</v>
      </c>
      <c r="J497" s="3">
        <f ca="1">IFERROR(__xludf.DUMMYFUNCTION("""COMPUTED_VALUE"""),1)</f>
        <v>1</v>
      </c>
      <c r="K497" s="3" t="str">
        <f ca="1">IFERROR(__xludf.DUMMYFUNCTION("""COMPUTED_VALUE"""),"")</f>
        <v/>
      </c>
      <c r="L497" s="3" t="str">
        <f ca="1">IFERROR(__xludf.DUMMYFUNCTION("""COMPUTED_VALUE"""),"DEV")</f>
        <v>DEV</v>
      </c>
      <c r="M497" s="3" t="str">
        <f ca="1">IFERROR(__xludf.DUMMYFUNCTION("""COMPUTED_VALUE"""),"ONC")</f>
        <v>ONC</v>
      </c>
      <c r="N497" s="157">
        <f ca="1">IFERROR(__xludf.DUMMYFUNCTION("""COMPUTED_VALUE"""),1)</f>
        <v>1</v>
      </c>
      <c r="O497" s="157">
        <f ca="1">IFERROR(__xludf.DUMMYFUNCTION("""COMPUTED_VALUE"""),0)</f>
        <v>0</v>
      </c>
      <c r="P497" s="157"/>
      <c r="R497" s="147"/>
      <c r="S497" s="147"/>
      <c r="T497" s="147"/>
      <c r="U497" s="147"/>
      <c r="X497" s="147"/>
      <c r="Y497" s="147"/>
      <c r="Z497" s="147"/>
      <c r="AA497" s="147"/>
      <c r="AB497" s="147"/>
      <c r="AC497" s="147"/>
      <c r="AD497" s="147"/>
      <c r="AE497" s="147"/>
      <c r="AF497" s="147"/>
      <c r="AG497" s="147"/>
      <c r="AH497" s="147"/>
      <c r="AI497" s="147"/>
      <c r="AJ497" s="147"/>
      <c r="AK497" s="147"/>
      <c r="AL497" s="147"/>
      <c r="AM497" s="147"/>
      <c r="AN497" s="147"/>
      <c r="AO497" s="147"/>
      <c r="AP497" s="147"/>
      <c r="AQ497" s="147"/>
    </row>
    <row r="498" spans="1:43">
      <c r="A498" s="160" t="str">
        <f ca="1">IFERROR(__xludf.DUMMYFUNCTION("""COMPUTED_VALUE"""),"203664")</f>
        <v>203664</v>
      </c>
      <c r="B498" s="3" t="str">
        <f ca="1">IFERROR(__xludf.DUMMYFUNCTION("""COMPUTED_VALUE"""),"Nguyễn Hà Vi (V)")</f>
        <v>Nguyễn Hà Vi (V)</v>
      </c>
      <c r="C498" s="160" t="str">
        <f ca="1">IFERROR(__xludf.DUMMYFUNCTION("""COMPUTED_VALUE"""),"EL045")</f>
        <v>EL045</v>
      </c>
      <c r="D498" s="160" t="str">
        <f ca="1">IFERROR(__xludf.DUMMYFUNCTION("""COMPUTED_VALUE"""),"Phuoc Ta")</f>
        <v>Phuoc Ta</v>
      </c>
      <c r="E498" s="3" t="str">
        <f ca="1">IFERROR(__xludf.DUMMYFUNCTION("""COMPUTED_VALUE"""),"Communication 1")</f>
        <v>Communication 1</v>
      </c>
      <c r="F498" s="3" t="str">
        <f ca="1">IFERROR(__xludf.DUMMYFUNCTION("""COMPUTED_VALUE"""),"Pre-Intermediate 1")</f>
        <v>Pre-Intermediate 1</v>
      </c>
      <c r="G498" s="3"/>
      <c r="H498" s="156">
        <f ca="1">IFERROR(__xludf.DUMMYFUNCTION("""COMPUTED_VALUE"""),46083.625)</f>
        <v>46083.625</v>
      </c>
      <c r="I498" s="156">
        <f ca="1">IFERROR(__xludf.DUMMYFUNCTION("""COMPUTED_VALUE"""),46083.625)</f>
        <v>46083.625</v>
      </c>
      <c r="J498" s="3">
        <f ca="1">IFERROR(__xludf.DUMMYFUNCTION("""COMPUTED_VALUE"""),3)</f>
        <v>3</v>
      </c>
      <c r="K498" s="3" t="str">
        <f ca="1">IFERROR(__xludf.DUMMYFUNCTION("""COMPUTED_VALUE"""),"")</f>
        <v/>
      </c>
      <c r="L498" s="3" t="str">
        <f ca="1">IFERROR(__xludf.DUMMYFUNCTION("""COMPUTED_VALUE"""),"DEV")</f>
        <v>DEV</v>
      </c>
      <c r="M498" s="3" t="str">
        <f ca="1">IFERROR(__xludf.DUMMYFUNCTION("""COMPUTED_VALUE"""),"ONC")</f>
        <v>ONC</v>
      </c>
      <c r="N498" s="157">
        <f ca="1">IFERROR(__xludf.DUMMYFUNCTION("""COMPUTED_VALUE"""),3)</f>
        <v>3</v>
      </c>
      <c r="O498" s="157">
        <f ca="1">IFERROR(__xludf.DUMMYFUNCTION("""COMPUTED_VALUE"""),0)</f>
        <v>0</v>
      </c>
      <c r="P498" s="157"/>
      <c r="R498" s="147"/>
      <c r="S498" s="147"/>
      <c r="T498" s="147"/>
      <c r="U498" s="147"/>
      <c r="X498" s="147"/>
      <c r="Y498" s="147"/>
      <c r="Z498" s="147"/>
      <c r="AA498" s="147"/>
      <c r="AB498" s="147"/>
      <c r="AC498" s="147"/>
      <c r="AD498" s="147"/>
      <c r="AE498" s="147"/>
      <c r="AF498" s="147"/>
      <c r="AG498" s="147"/>
      <c r="AH498" s="147"/>
      <c r="AI498" s="147"/>
      <c r="AJ498" s="147"/>
      <c r="AK498" s="147"/>
      <c r="AL498" s="147"/>
      <c r="AM498" s="147"/>
      <c r="AN498" s="147"/>
      <c r="AO498" s="147"/>
      <c r="AP498" s="147"/>
      <c r="AQ498" s="147"/>
    </row>
    <row r="499" spans="1:43">
      <c r="A499" s="160" t="str">
        <f ca="1">IFERROR(__xludf.DUMMYFUNCTION("""COMPUTED_VALUE"""),"247065")</f>
        <v>247065</v>
      </c>
      <c r="B499" s="3" t="str">
        <f ca="1">IFERROR(__xludf.DUMMYFUNCTION("""COMPUTED_VALUE"""),"Phạm Ngọc Hưng (Zero)")</f>
        <v>Phạm Ngọc Hưng (Zero)</v>
      </c>
      <c r="C499" s="160" t="str">
        <f ca="1">IFERROR(__xludf.DUMMYFUNCTION("""COMPUTED_VALUE"""),"EL045")</f>
        <v>EL045</v>
      </c>
      <c r="D499" s="160" t="str">
        <f ca="1">IFERROR(__xludf.DUMMYFUNCTION("""COMPUTED_VALUE"""),"Phuoc Ta")</f>
        <v>Phuoc Ta</v>
      </c>
      <c r="E499" s="3" t="str">
        <f ca="1">IFERROR(__xludf.DUMMYFUNCTION("""COMPUTED_VALUE"""),"Communication 1")</f>
        <v>Communication 1</v>
      </c>
      <c r="F499" s="3" t="str">
        <f ca="1">IFERROR(__xludf.DUMMYFUNCTION("""COMPUTED_VALUE"""),"Pre-Intermediate 1")</f>
        <v>Pre-Intermediate 1</v>
      </c>
      <c r="G499" s="3"/>
      <c r="H499" s="156">
        <f ca="1">IFERROR(__xludf.DUMMYFUNCTION("""COMPUTED_VALUE"""),46083.625)</f>
        <v>46083.625</v>
      </c>
      <c r="I499" s="156">
        <f ca="1">IFERROR(__xludf.DUMMYFUNCTION("""COMPUTED_VALUE"""),46083.625)</f>
        <v>46083.625</v>
      </c>
      <c r="J499" s="3">
        <f ca="1">IFERROR(__xludf.DUMMYFUNCTION("""COMPUTED_VALUE"""),3)</f>
        <v>3</v>
      </c>
      <c r="K499" s="3" t="str">
        <f ca="1">IFERROR(__xludf.DUMMYFUNCTION("""COMPUTED_VALUE"""),"")</f>
        <v/>
      </c>
      <c r="L499" s="3" t="str">
        <f ca="1">IFERROR(__xludf.DUMMYFUNCTION("""COMPUTED_VALUE"""),"DEV")</f>
        <v>DEV</v>
      </c>
      <c r="M499" s="3" t="str">
        <f ca="1">IFERROR(__xludf.DUMMYFUNCTION("""COMPUTED_VALUE"""),"ONC")</f>
        <v>ONC</v>
      </c>
      <c r="N499" s="157">
        <f ca="1">IFERROR(__xludf.DUMMYFUNCTION("""COMPUTED_VALUE"""),3)</f>
        <v>3</v>
      </c>
      <c r="O499" s="157">
        <f ca="1">IFERROR(__xludf.DUMMYFUNCTION("""COMPUTED_VALUE"""),0)</f>
        <v>0</v>
      </c>
      <c r="P499" s="157"/>
      <c r="R499" s="147"/>
      <c r="S499" s="147"/>
      <c r="T499" s="147"/>
      <c r="U499" s="147"/>
      <c r="X499" s="147"/>
      <c r="Y499" s="147"/>
      <c r="Z499" s="147"/>
      <c r="AA499" s="147"/>
      <c r="AB499" s="147"/>
      <c r="AC499" s="147"/>
      <c r="AD499" s="147"/>
      <c r="AE499" s="147"/>
      <c r="AF499" s="147"/>
      <c r="AG499" s="147"/>
      <c r="AH499" s="147"/>
      <c r="AI499" s="147"/>
      <c r="AJ499" s="147"/>
      <c r="AK499" s="147"/>
      <c r="AL499" s="147"/>
      <c r="AM499" s="147"/>
      <c r="AN499" s="147"/>
      <c r="AO499" s="147"/>
      <c r="AP499" s="147"/>
      <c r="AQ499" s="147"/>
    </row>
    <row r="500" spans="1:43">
      <c r="A500" s="160" t="str">
        <f ca="1">IFERROR(__xludf.DUMMYFUNCTION("""COMPUTED_VALUE"""),"183379")</f>
        <v>183379</v>
      </c>
      <c r="B500" s="3" t="str">
        <f ca="1">IFERROR(__xludf.DUMMYFUNCTION("""COMPUTED_VALUE"""),"Tạ Phạm Minh Chương (Chivas)")</f>
        <v>Tạ Phạm Minh Chương (Chivas)</v>
      </c>
      <c r="C500" s="160" t="str">
        <f ca="1">IFERROR(__xludf.DUMMYFUNCTION("""COMPUTED_VALUE"""),"EL045")</f>
        <v>EL045</v>
      </c>
      <c r="D500" s="160" t="str">
        <f ca="1">IFERROR(__xludf.DUMMYFUNCTION("""COMPUTED_VALUE"""),"Phuoc Ta")</f>
        <v>Phuoc Ta</v>
      </c>
      <c r="E500" s="3" t="str">
        <f ca="1">IFERROR(__xludf.DUMMYFUNCTION("""COMPUTED_VALUE"""),"Communication 1")</f>
        <v>Communication 1</v>
      </c>
      <c r="F500" s="3" t="str">
        <f ca="1">IFERROR(__xludf.DUMMYFUNCTION("""COMPUTED_VALUE"""),"Beginner")</f>
        <v>Beginner</v>
      </c>
      <c r="G500" s="3"/>
      <c r="H500" s="156">
        <f ca="1">IFERROR(__xludf.DUMMYFUNCTION("""COMPUTED_VALUE"""),46083.625)</f>
        <v>46083.625</v>
      </c>
      <c r="I500" s="156">
        <f ca="1">IFERROR(__xludf.DUMMYFUNCTION("""COMPUTED_VALUE"""),46083.625)</f>
        <v>46083.625</v>
      </c>
      <c r="J500" s="3">
        <f ca="1">IFERROR(__xludf.DUMMYFUNCTION("""COMPUTED_VALUE"""),1)</f>
        <v>1</v>
      </c>
      <c r="K500" s="3" t="str">
        <f ca="1">IFERROR(__xludf.DUMMYFUNCTION("""COMPUTED_VALUE"""),"")</f>
        <v/>
      </c>
      <c r="L500" s="3" t="str">
        <f ca="1">IFERROR(__xludf.DUMMYFUNCTION("""COMPUTED_VALUE"""),"DEV")</f>
        <v>DEV</v>
      </c>
      <c r="M500" s="3" t="str">
        <f ca="1">IFERROR(__xludf.DUMMYFUNCTION("""COMPUTED_VALUE"""),"ONC")</f>
        <v>ONC</v>
      </c>
      <c r="N500" s="157">
        <f ca="1">IFERROR(__xludf.DUMMYFUNCTION("""COMPUTED_VALUE"""),1)</f>
        <v>1</v>
      </c>
      <c r="O500" s="157">
        <f ca="1">IFERROR(__xludf.DUMMYFUNCTION("""COMPUTED_VALUE"""),0)</f>
        <v>0</v>
      </c>
      <c r="P500" s="157"/>
      <c r="R500" s="147"/>
      <c r="S500" s="147"/>
      <c r="T500" s="147"/>
      <c r="U500" s="147"/>
      <c r="X500" s="147"/>
      <c r="Y500" s="147"/>
      <c r="Z500" s="147"/>
      <c r="AA500" s="147"/>
      <c r="AB500" s="147"/>
      <c r="AC500" s="147"/>
      <c r="AD500" s="147"/>
      <c r="AE500" s="147"/>
      <c r="AF500" s="147"/>
      <c r="AG500" s="147"/>
      <c r="AH500" s="147"/>
      <c r="AI500" s="147"/>
      <c r="AJ500" s="147"/>
      <c r="AK500" s="147"/>
      <c r="AL500" s="147"/>
      <c r="AM500" s="147"/>
      <c r="AN500" s="147"/>
      <c r="AO500" s="147"/>
      <c r="AP500" s="147"/>
      <c r="AQ500" s="147"/>
    </row>
    <row r="501" spans="1:43">
      <c r="A501" s="160" t="str">
        <f ca="1">IFERROR(__xludf.DUMMYFUNCTION("""COMPUTED_VALUE"""),"193530")</f>
        <v>193530</v>
      </c>
      <c r="B501" s="3" t="str">
        <f ca="1">IFERROR(__xludf.DUMMYFUNCTION("""COMPUTED_VALUE"""),"Trần Hùng Cường (Ethan)")</f>
        <v>Trần Hùng Cường (Ethan)</v>
      </c>
      <c r="C501" s="160" t="str">
        <f ca="1">IFERROR(__xludf.DUMMYFUNCTION("""COMPUTED_VALUE"""),"EL045")</f>
        <v>EL045</v>
      </c>
      <c r="D501" s="160" t="str">
        <f ca="1">IFERROR(__xludf.DUMMYFUNCTION("""COMPUTED_VALUE"""),"Phuoc Ta")</f>
        <v>Phuoc Ta</v>
      </c>
      <c r="E501" s="3" t="str">
        <f ca="1">IFERROR(__xludf.DUMMYFUNCTION("""COMPUTED_VALUE"""),"Communication 1")</f>
        <v>Communication 1</v>
      </c>
      <c r="F501" s="3" t="str">
        <f ca="1">IFERROR(__xludf.DUMMYFUNCTION("""COMPUTED_VALUE"""),"Beginner")</f>
        <v>Beginner</v>
      </c>
      <c r="G501" s="3"/>
      <c r="H501" s="156">
        <f ca="1">IFERROR(__xludf.DUMMYFUNCTION("""COMPUTED_VALUE"""),46083.625)</f>
        <v>46083.625</v>
      </c>
      <c r="I501" s="156">
        <f ca="1">IFERROR(__xludf.DUMMYFUNCTION("""COMPUTED_VALUE"""),46083.625)</f>
        <v>46083.625</v>
      </c>
      <c r="J501" s="3">
        <f ca="1">IFERROR(__xludf.DUMMYFUNCTION("""COMPUTED_VALUE"""),1)</f>
        <v>1</v>
      </c>
      <c r="K501" s="3" t="str">
        <f ca="1">IFERROR(__xludf.DUMMYFUNCTION("""COMPUTED_VALUE"""),"")</f>
        <v/>
      </c>
      <c r="L501" s="3" t="str">
        <f ca="1">IFERROR(__xludf.DUMMYFUNCTION("""COMPUTED_VALUE"""),"DEV")</f>
        <v>DEV</v>
      </c>
      <c r="M501" s="3" t="str">
        <f ca="1">IFERROR(__xludf.DUMMYFUNCTION("""COMPUTED_VALUE"""),"ONC")</f>
        <v>ONC</v>
      </c>
      <c r="N501" s="157">
        <f ca="1">IFERROR(__xludf.DUMMYFUNCTION("""COMPUTED_VALUE"""),1)</f>
        <v>1</v>
      </c>
      <c r="O501" s="157">
        <f ca="1">IFERROR(__xludf.DUMMYFUNCTION("""COMPUTED_VALUE"""),0)</f>
        <v>0</v>
      </c>
      <c r="P501" s="157"/>
      <c r="R501" s="147"/>
      <c r="S501" s="147"/>
      <c r="T501" s="147"/>
      <c r="U501" s="147"/>
      <c r="X501" s="147"/>
      <c r="Y501" s="147"/>
      <c r="Z501" s="147"/>
      <c r="AA501" s="147"/>
      <c r="AB501" s="147"/>
      <c r="AC501" s="147"/>
      <c r="AD501" s="147"/>
      <c r="AE501" s="147"/>
      <c r="AF501" s="147"/>
      <c r="AG501" s="147"/>
      <c r="AH501" s="147"/>
      <c r="AI501" s="147"/>
      <c r="AJ501" s="147"/>
      <c r="AK501" s="147"/>
      <c r="AL501" s="147"/>
      <c r="AM501" s="147"/>
      <c r="AN501" s="147"/>
      <c r="AO501" s="147"/>
      <c r="AP501" s="147"/>
      <c r="AQ501" s="147"/>
    </row>
    <row r="502" spans="1:43">
      <c r="A502" s="160" t="str">
        <f ca="1">IFERROR(__xludf.DUMMYFUNCTION("""COMPUTED_VALUE"""),"193470")</f>
        <v>193470</v>
      </c>
      <c r="B502" s="3" t="str">
        <f ca="1">IFERROR(__xludf.DUMMYFUNCTION("""COMPUTED_VALUE"""),"Nguyễn Quốc Thái")</f>
        <v>Nguyễn Quốc Thái</v>
      </c>
      <c r="C502" s="160" t="str">
        <f ca="1">IFERROR(__xludf.DUMMYFUNCTION("""COMPUTED_VALUE"""),"EL046")</f>
        <v>EL046</v>
      </c>
      <c r="D502" s="160" t="str">
        <f ca="1">IFERROR(__xludf.DUMMYFUNCTION("""COMPUTED_VALUE"""),"Thai Nguyen 1")</f>
        <v>Thai Nguyen 1</v>
      </c>
      <c r="E502" s="3" t="str">
        <f ca="1">IFERROR(__xludf.DUMMYFUNCTION("""COMPUTED_VALUE"""),"Communication 1")</f>
        <v>Communication 1</v>
      </c>
      <c r="F502" s="3" t="str">
        <f ca="1">IFERROR(__xludf.DUMMYFUNCTION("""COMPUTED_VALUE"""),"Beginner")</f>
        <v>Beginner</v>
      </c>
      <c r="G502" s="3"/>
      <c r="H502" s="156">
        <f ca="1">IFERROR(__xludf.DUMMYFUNCTION("""COMPUTED_VALUE"""),46085.5833333333)</f>
        <v>46085.583333333299</v>
      </c>
      <c r="I502" s="156">
        <f ca="1">IFERROR(__xludf.DUMMYFUNCTION("""COMPUTED_VALUE"""),46085.5833333333)</f>
        <v>46085.583333333299</v>
      </c>
      <c r="J502" s="3">
        <f ca="1">IFERROR(__xludf.DUMMYFUNCTION("""COMPUTED_VALUE"""),1)</f>
        <v>1</v>
      </c>
      <c r="K502" s="3" t="str">
        <f ca="1">IFERROR(__xludf.DUMMYFUNCTION("""COMPUTED_VALUE"""),"")</f>
        <v/>
      </c>
      <c r="L502" s="3" t="str">
        <f ca="1">IFERROR(__xludf.DUMMYFUNCTION("""COMPUTED_VALUE"""),"DEV")</f>
        <v>DEV</v>
      </c>
      <c r="M502" s="3" t="str">
        <f ca="1">IFERROR(__xludf.DUMMYFUNCTION("""COMPUTED_VALUE"""),"ONC")</f>
        <v>ONC</v>
      </c>
      <c r="N502" s="157">
        <f ca="1">IFERROR(__xludf.DUMMYFUNCTION("""COMPUTED_VALUE"""),1)</f>
        <v>1</v>
      </c>
      <c r="O502" s="157">
        <f ca="1">IFERROR(__xludf.DUMMYFUNCTION("""COMPUTED_VALUE"""),0)</f>
        <v>0</v>
      </c>
      <c r="P502" s="157"/>
      <c r="R502" s="147"/>
      <c r="S502" s="147"/>
      <c r="T502" s="147"/>
      <c r="U502" s="147"/>
      <c r="X502" s="147"/>
      <c r="Y502" s="147"/>
      <c r="Z502" s="147"/>
      <c r="AA502" s="147"/>
      <c r="AB502" s="147"/>
      <c r="AC502" s="147"/>
      <c r="AD502" s="147"/>
      <c r="AE502" s="147"/>
      <c r="AF502" s="147"/>
      <c r="AG502" s="147"/>
      <c r="AH502" s="147"/>
      <c r="AI502" s="147"/>
      <c r="AJ502" s="147"/>
      <c r="AK502" s="147"/>
      <c r="AL502" s="147"/>
      <c r="AM502" s="147"/>
      <c r="AN502" s="147"/>
      <c r="AO502" s="147"/>
      <c r="AP502" s="147"/>
      <c r="AQ502" s="147"/>
    </row>
    <row r="503" spans="1:43">
      <c r="A503" s="160" t="str">
        <f ca="1">IFERROR(__xludf.DUMMYFUNCTION("""COMPUTED_VALUE"""),"153138")</f>
        <v>153138</v>
      </c>
      <c r="B503" s="3" t="str">
        <f ca="1">IFERROR(__xludf.DUMMYFUNCTION("""COMPUTED_VALUE"""),"Nguyễn Đình Mạnh")</f>
        <v>Nguyễn Đình Mạnh</v>
      </c>
      <c r="C503" s="160" t="str">
        <f ca="1">IFERROR(__xludf.DUMMYFUNCTION("""COMPUTED_VALUE"""),"EL046")</f>
        <v>EL046</v>
      </c>
      <c r="D503" s="160" t="str">
        <f ca="1">IFERROR(__xludf.DUMMYFUNCTION("""COMPUTED_VALUE"""),"Thai Nguyen 1")</f>
        <v>Thai Nguyen 1</v>
      </c>
      <c r="E503" s="3" t="str">
        <f ca="1">IFERROR(__xludf.DUMMYFUNCTION("""COMPUTED_VALUE"""),"Communication 1")</f>
        <v>Communication 1</v>
      </c>
      <c r="F503" s="3" t="str">
        <f ca="1">IFERROR(__xludf.DUMMYFUNCTION("""COMPUTED_VALUE"""),"Beginner")</f>
        <v>Beginner</v>
      </c>
      <c r="G503" s="3"/>
      <c r="H503" s="156">
        <f ca="1">IFERROR(__xludf.DUMMYFUNCTION("""COMPUTED_VALUE"""),46085.5833333333)</f>
        <v>46085.583333333299</v>
      </c>
      <c r="I503" s="156">
        <f ca="1">IFERROR(__xludf.DUMMYFUNCTION("""COMPUTED_VALUE"""),46085.5833333333)</f>
        <v>46085.583333333299</v>
      </c>
      <c r="J503" s="3">
        <f ca="1">IFERROR(__xludf.DUMMYFUNCTION("""COMPUTED_VALUE"""),1)</f>
        <v>1</v>
      </c>
      <c r="K503" s="3" t="str">
        <f ca="1">IFERROR(__xludf.DUMMYFUNCTION("""COMPUTED_VALUE"""),"")</f>
        <v/>
      </c>
      <c r="L503" s="3" t="str">
        <f ca="1">IFERROR(__xludf.DUMMYFUNCTION("""COMPUTED_VALUE"""),"DEV")</f>
        <v>DEV</v>
      </c>
      <c r="M503" s="3" t="str">
        <f ca="1">IFERROR(__xludf.DUMMYFUNCTION("""COMPUTED_VALUE"""),"ONC")</f>
        <v>ONC</v>
      </c>
      <c r="N503" s="157">
        <f ca="1">IFERROR(__xludf.DUMMYFUNCTION("""COMPUTED_VALUE"""),1)</f>
        <v>1</v>
      </c>
      <c r="O503" s="157">
        <f ca="1">IFERROR(__xludf.DUMMYFUNCTION("""COMPUTED_VALUE"""),0)</f>
        <v>0</v>
      </c>
      <c r="P503" s="157"/>
      <c r="R503" s="147"/>
      <c r="S503" s="147"/>
      <c r="T503" s="147"/>
      <c r="U503" s="147"/>
      <c r="X503" s="147"/>
      <c r="Y503" s="147"/>
      <c r="Z503" s="147"/>
      <c r="AA503" s="147"/>
      <c r="AB503" s="147"/>
      <c r="AC503" s="147"/>
      <c r="AD503" s="147"/>
      <c r="AE503" s="147"/>
      <c r="AF503" s="147"/>
      <c r="AG503" s="147"/>
      <c r="AH503" s="147"/>
      <c r="AI503" s="147"/>
      <c r="AJ503" s="147"/>
      <c r="AK503" s="147"/>
      <c r="AL503" s="147"/>
      <c r="AM503" s="147"/>
      <c r="AN503" s="147"/>
      <c r="AO503" s="147"/>
      <c r="AP503" s="147"/>
      <c r="AQ503" s="147"/>
    </row>
    <row r="504" spans="1:43">
      <c r="A504" s="160" t="str">
        <f ca="1">IFERROR(__xludf.DUMMYFUNCTION("""COMPUTED_VALUE"""),"193522")</f>
        <v>193522</v>
      </c>
      <c r="B504" s="3" t="str">
        <f ca="1">IFERROR(__xludf.DUMMYFUNCTION("""COMPUTED_VALUE"""),"Đinh Bộ Lĩnh")</f>
        <v>Đinh Bộ Lĩnh</v>
      </c>
      <c r="C504" s="160" t="str">
        <f ca="1">IFERROR(__xludf.DUMMYFUNCTION("""COMPUTED_VALUE"""),"EL046")</f>
        <v>EL046</v>
      </c>
      <c r="D504" s="160" t="str">
        <f ca="1">IFERROR(__xludf.DUMMYFUNCTION("""COMPUTED_VALUE"""),"Thai Nguyen 1")</f>
        <v>Thai Nguyen 1</v>
      </c>
      <c r="E504" s="3" t="str">
        <f ca="1">IFERROR(__xludf.DUMMYFUNCTION("""COMPUTED_VALUE"""),"Communication 1")</f>
        <v>Communication 1</v>
      </c>
      <c r="F504" s="3" t="str">
        <f ca="1">IFERROR(__xludf.DUMMYFUNCTION("""COMPUTED_VALUE"""),"Beginner")</f>
        <v>Beginner</v>
      </c>
      <c r="G504" s="3"/>
      <c r="H504" s="156">
        <f ca="1">IFERROR(__xludf.DUMMYFUNCTION("""COMPUTED_VALUE"""),46085.5833333333)</f>
        <v>46085.583333333299</v>
      </c>
      <c r="I504" s="156">
        <f ca="1">IFERROR(__xludf.DUMMYFUNCTION("""COMPUTED_VALUE"""),46085.5833333333)</f>
        <v>46085.583333333299</v>
      </c>
      <c r="J504" s="3">
        <f ca="1">IFERROR(__xludf.DUMMYFUNCTION("""COMPUTED_VALUE"""),1)</f>
        <v>1</v>
      </c>
      <c r="K504" s="3" t="str">
        <f ca="1">IFERROR(__xludf.DUMMYFUNCTION("""COMPUTED_VALUE"""),"")</f>
        <v/>
      </c>
      <c r="L504" s="3" t="str">
        <f ca="1">IFERROR(__xludf.DUMMYFUNCTION("""COMPUTED_VALUE"""),"DEV")</f>
        <v>DEV</v>
      </c>
      <c r="M504" s="3" t="str">
        <f ca="1">IFERROR(__xludf.DUMMYFUNCTION("""COMPUTED_VALUE"""),"ONC")</f>
        <v>ONC</v>
      </c>
      <c r="N504" s="157">
        <f ca="1">IFERROR(__xludf.DUMMYFUNCTION("""COMPUTED_VALUE"""),1)</f>
        <v>1</v>
      </c>
      <c r="O504" s="157">
        <f ca="1">IFERROR(__xludf.DUMMYFUNCTION("""COMPUTED_VALUE"""),0)</f>
        <v>0</v>
      </c>
      <c r="P504" s="157"/>
      <c r="R504" s="147"/>
      <c r="S504" s="147"/>
      <c r="T504" s="147"/>
      <c r="U504" s="147"/>
      <c r="X504" s="147"/>
      <c r="Y504" s="147"/>
      <c r="Z504" s="147"/>
      <c r="AA504" s="147"/>
      <c r="AB504" s="147"/>
      <c r="AC504" s="147"/>
      <c r="AD504" s="147"/>
      <c r="AE504" s="147"/>
      <c r="AF504" s="147"/>
      <c r="AG504" s="147"/>
      <c r="AH504" s="147"/>
      <c r="AI504" s="147"/>
      <c r="AJ504" s="147"/>
      <c r="AK504" s="147"/>
      <c r="AL504" s="147"/>
      <c r="AM504" s="147"/>
      <c r="AN504" s="147"/>
      <c r="AO504" s="147"/>
      <c r="AP504" s="147"/>
      <c r="AQ504" s="147"/>
    </row>
    <row r="505" spans="1:43">
      <c r="A505" s="160" t="str">
        <f ca="1">IFERROR(__xludf.DUMMYFUNCTION("""COMPUTED_VALUE"""),"237070")</f>
        <v>237070</v>
      </c>
      <c r="B505" s="3" t="str">
        <f ca="1">IFERROR(__xludf.DUMMYFUNCTION("""COMPUTED_VALUE"""),"Cao Ngọc Nguyên")</f>
        <v>Cao Ngọc Nguyên</v>
      </c>
      <c r="C505" s="160" t="str">
        <f ca="1">IFERROR(__xludf.DUMMYFUNCTION("""COMPUTED_VALUE"""),"EL046")</f>
        <v>EL046</v>
      </c>
      <c r="D505" s="160" t="str">
        <f ca="1">IFERROR(__xludf.DUMMYFUNCTION("""COMPUTED_VALUE"""),"Thai Nguyen 1")</f>
        <v>Thai Nguyen 1</v>
      </c>
      <c r="E505" s="3" t="str">
        <f ca="1">IFERROR(__xludf.DUMMYFUNCTION("""COMPUTED_VALUE"""),"Communication 1")</f>
        <v>Communication 1</v>
      </c>
      <c r="F505" s="3" t="str">
        <f ca="1">IFERROR(__xludf.DUMMYFUNCTION("""COMPUTED_VALUE"""),"Beginner")</f>
        <v>Beginner</v>
      </c>
      <c r="G505" s="3"/>
      <c r="H505" s="156">
        <f ca="1">IFERROR(__xludf.DUMMYFUNCTION("""COMPUTED_VALUE"""),46085.5833333333)</f>
        <v>46085.583333333299</v>
      </c>
      <c r="I505" s="156">
        <f ca="1">IFERROR(__xludf.DUMMYFUNCTION("""COMPUTED_VALUE"""),46085.5833333333)</f>
        <v>46085.583333333299</v>
      </c>
      <c r="J505" s="3">
        <f ca="1">IFERROR(__xludf.DUMMYFUNCTION("""COMPUTED_VALUE"""),1)</f>
        <v>1</v>
      </c>
      <c r="K505" s="3" t="str">
        <f ca="1">IFERROR(__xludf.DUMMYFUNCTION("""COMPUTED_VALUE"""),"")</f>
        <v/>
      </c>
      <c r="L505" s="3" t="str">
        <f ca="1">IFERROR(__xludf.DUMMYFUNCTION("""COMPUTED_VALUE"""),"DEV")</f>
        <v>DEV</v>
      </c>
      <c r="M505" s="3" t="str">
        <f ca="1">IFERROR(__xludf.DUMMYFUNCTION("""COMPUTED_VALUE"""),"ONC")</f>
        <v>ONC</v>
      </c>
      <c r="N505" s="157">
        <f ca="1">IFERROR(__xludf.DUMMYFUNCTION("""COMPUTED_VALUE"""),1)</f>
        <v>1</v>
      </c>
      <c r="O505" s="157">
        <f ca="1">IFERROR(__xludf.DUMMYFUNCTION("""COMPUTED_VALUE"""),0)</f>
        <v>0</v>
      </c>
      <c r="P505" s="157"/>
      <c r="R505" s="147"/>
      <c r="S505" s="147"/>
      <c r="T505" s="147"/>
      <c r="U505" s="147"/>
      <c r="X505" s="147"/>
      <c r="Y505" s="147"/>
      <c r="Z505" s="147"/>
      <c r="AA505" s="147"/>
      <c r="AB505" s="147"/>
      <c r="AC505" s="147"/>
      <c r="AD505" s="147"/>
      <c r="AE505" s="147"/>
      <c r="AF505" s="147"/>
      <c r="AG505" s="147"/>
      <c r="AH505" s="147"/>
      <c r="AI505" s="147"/>
      <c r="AJ505" s="147"/>
      <c r="AK505" s="147"/>
      <c r="AL505" s="147"/>
      <c r="AM505" s="147"/>
      <c r="AN505" s="147"/>
      <c r="AO505" s="147"/>
      <c r="AP505" s="147"/>
      <c r="AQ505" s="147"/>
    </row>
    <row r="506" spans="1:43">
      <c r="A506" s="160" t="str">
        <f ca="1">IFERROR(__xludf.DUMMYFUNCTION("""COMPUTED_VALUE"""),"203757")</f>
        <v>203757</v>
      </c>
      <c r="B506" s="3" t="str">
        <f ca="1">IFERROR(__xludf.DUMMYFUNCTION("""COMPUTED_VALUE"""),"Trần Hoàng Tuấn")</f>
        <v>Trần Hoàng Tuấn</v>
      </c>
      <c r="C506" s="160" t="str">
        <f ca="1">IFERROR(__xludf.DUMMYFUNCTION("""COMPUTED_VALUE"""),"EL046")</f>
        <v>EL046</v>
      </c>
      <c r="D506" s="160" t="str">
        <f ca="1">IFERROR(__xludf.DUMMYFUNCTION("""COMPUTED_VALUE"""),"Thai Nguyen 1")</f>
        <v>Thai Nguyen 1</v>
      </c>
      <c r="E506" s="3" t="str">
        <f ca="1">IFERROR(__xludf.DUMMYFUNCTION("""COMPUTED_VALUE"""),"Communication 1")</f>
        <v>Communication 1</v>
      </c>
      <c r="F506" s="3" t="str">
        <f ca="1">IFERROR(__xludf.DUMMYFUNCTION("""COMPUTED_VALUE"""),"Beginner")</f>
        <v>Beginner</v>
      </c>
      <c r="G506" s="3"/>
      <c r="H506" s="156">
        <f ca="1">IFERROR(__xludf.DUMMYFUNCTION("""COMPUTED_VALUE"""),46085.5833333333)</f>
        <v>46085.583333333299</v>
      </c>
      <c r="I506" s="156">
        <f ca="1">IFERROR(__xludf.DUMMYFUNCTION("""COMPUTED_VALUE"""),46085.5833333333)</f>
        <v>46085.583333333299</v>
      </c>
      <c r="J506" s="3">
        <f ca="1">IFERROR(__xludf.DUMMYFUNCTION("""COMPUTED_VALUE"""),1)</f>
        <v>1</v>
      </c>
      <c r="K506" s="3" t="str">
        <f ca="1">IFERROR(__xludf.DUMMYFUNCTION("""COMPUTED_VALUE"""),"")</f>
        <v/>
      </c>
      <c r="L506" s="3" t="str">
        <f ca="1">IFERROR(__xludf.DUMMYFUNCTION("""COMPUTED_VALUE"""),"DEV")</f>
        <v>DEV</v>
      </c>
      <c r="M506" s="3" t="str">
        <f ca="1">IFERROR(__xludf.DUMMYFUNCTION("""COMPUTED_VALUE"""),"ONC")</f>
        <v>ONC</v>
      </c>
      <c r="N506" s="157">
        <f ca="1">IFERROR(__xludf.DUMMYFUNCTION("""COMPUTED_VALUE"""),1)</f>
        <v>1</v>
      </c>
      <c r="O506" s="157">
        <f ca="1">IFERROR(__xludf.DUMMYFUNCTION("""COMPUTED_VALUE"""),0)</f>
        <v>0</v>
      </c>
      <c r="P506" s="157"/>
      <c r="R506" s="147"/>
      <c r="S506" s="147"/>
      <c r="T506" s="147"/>
      <c r="U506" s="147"/>
      <c r="X506" s="147"/>
      <c r="Y506" s="147"/>
      <c r="Z506" s="147"/>
      <c r="AA506" s="147"/>
      <c r="AB506" s="147"/>
      <c r="AC506" s="147"/>
      <c r="AD506" s="147"/>
      <c r="AE506" s="147"/>
      <c r="AF506" s="147"/>
      <c r="AG506" s="147"/>
      <c r="AH506" s="147"/>
      <c r="AI506" s="147"/>
      <c r="AJ506" s="147"/>
      <c r="AK506" s="147"/>
      <c r="AL506" s="147"/>
      <c r="AM506" s="147"/>
      <c r="AN506" s="147"/>
      <c r="AO506" s="147"/>
      <c r="AP506" s="147"/>
      <c r="AQ506" s="147"/>
    </row>
    <row r="507" spans="1:43">
      <c r="A507" s="160" t="str">
        <f ca="1">IFERROR(__xludf.DUMMYFUNCTION("""COMPUTED_VALUE"""),"213911")</f>
        <v>213911</v>
      </c>
      <c r="B507" s="3" t="str">
        <f ca="1">IFERROR(__xludf.DUMMYFUNCTION("""COMPUTED_VALUE"""),"Hồ Phạm Sĩ Hùng")</f>
        <v>Hồ Phạm Sĩ Hùng</v>
      </c>
      <c r="C507" s="160" t="str">
        <f ca="1">IFERROR(__xludf.DUMMYFUNCTION("""COMPUTED_VALUE"""),"EL046")</f>
        <v>EL046</v>
      </c>
      <c r="D507" s="160" t="str">
        <f ca="1">IFERROR(__xludf.DUMMYFUNCTION("""COMPUTED_VALUE"""),"Thai Nguyen 1")</f>
        <v>Thai Nguyen 1</v>
      </c>
      <c r="E507" s="3" t="str">
        <f ca="1">IFERROR(__xludf.DUMMYFUNCTION("""COMPUTED_VALUE"""),"Communication 1")</f>
        <v>Communication 1</v>
      </c>
      <c r="F507" s="3" t="str">
        <f ca="1">IFERROR(__xludf.DUMMYFUNCTION("""COMPUTED_VALUE"""),"Beginner")</f>
        <v>Beginner</v>
      </c>
      <c r="G507" s="3"/>
      <c r="H507" s="156">
        <f ca="1">IFERROR(__xludf.DUMMYFUNCTION("""COMPUTED_VALUE"""),46085.5833333333)</f>
        <v>46085.583333333299</v>
      </c>
      <c r="I507" s="156">
        <f ca="1">IFERROR(__xludf.DUMMYFUNCTION("""COMPUTED_VALUE"""),46085.5833333333)</f>
        <v>46085.583333333299</v>
      </c>
      <c r="J507" s="3">
        <f ca="1">IFERROR(__xludf.DUMMYFUNCTION("""COMPUTED_VALUE"""),1)</f>
        <v>1</v>
      </c>
      <c r="K507" s="3" t="str">
        <f ca="1">IFERROR(__xludf.DUMMYFUNCTION("""COMPUTED_VALUE"""),"")</f>
        <v/>
      </c>
      <c r="L507" s="3" t="str">
        <f ca="1">IFERROR(__xludf.DUMMYFUNCTION("""COMPUTED_VALUE"""),"DEV")</f>
        <v>DEV</v>
      </c>
      <c r="M507" s="3" t="str">
        <f ca="1">IFERROR(__xludf.DUMMYFUNCTION("""COMPUTED_VALUE"""),"ONC")</f>
        <v>ONC</v>
      </c>
      <c r="N507" s="157">
        <f ca="1">IFERROR(__xludf.DUMMYFUNCTION("""COMPUTED_VALUE"""),1)</f>
        <v>1</v>
      </c>
      <c r="O507" s="157">
        <f ca="1">IFERROR(__xludf.DUMMYFUNCTION("""COMPUTED_VALUE"""),0)</f>
        <v>0</v>
      </c>
      <c r="P507" s="157"/>
      <c r="R507" s="147"/>
      <c r="S507" s="147"/>
      <c r="T507" s="147"/>
      <c r="U507" s="147"/>
      <c r="X507" s="147"/>
      <c r="Y507" s="147"/>
      <c r="Z507" s="147"/>
      <c r="AA507" s="147"/>
      <c r="AB507" s="147"/>
      <c r="AC507" s="147"/>
      <c r="AD507" s="147"/>
      <c r="AE507" s="147"/>
      <c r="AF507" s="147"/>
      <c r="AG507" s="147"/>
      <c r="AH507" s="147"/>
      <c r="AI507" s="147"/>
      <c r="AJ507" s="147"/>
      <c r="AK507" s="147"/>
      <c r="AL507" s="147"/>
      <c r="AM507" s="147"/>
      <c r="AN507" s="147"/>
      <c r="AO507" s="147"/>
      <c r="AP507" s="147"/>
      <c r="AQ507" s="147"/>
    </row>
    <row r="508" spans="1:43">
      <c r="A508" s="160" t="str">
        <f ca="1">IFERROR(__xludf.DUMMYFUNCTION("""COMPUTED_VALUE"""),"203791")</f>
        <v>203791</v>
      </c>
      <c r="B508" s="3" t="str">
        <f ca="1">IFERROR(__xludf.DUMMYFUNCTION("""COMPUTED_VALUE"""),"Trương Quốc Quy")</f>
        <v>Trương Quốc Quy</v>
      </c>
      <c r="C508" s="160" t="str">
        <f ca="1">IFERROR(__xludf.DUMMYFUNCTION("""COMPUTED_VALUE"""),"EL047")</f>
        <v>EL047</v>
      </c>
      <c r="D508" s="160" t="str">
        <f ca="1">IFERROR(__xludf.DUMMYFUNCTION("""COMPUTED_VALUE"""),"Thai Nguyen 2")</f>
        <v>Thai Nguyen 2</v>
      </c>
      <c r="E508" s="3" t="str">
        <f ca="1">IFERROR(__xludf.DUMMYFUNCTION("""COMPUTED_VALUE"""),"Communication 1")</f>
        <v>Communication 1</v>
      </c>
      <c r="F508" s="3" t="str">
        <f ca="1">IFERROR(__xludf.DUMMYFUNCTION("""COMPUTED_VALUE"""),"Beginner")</f>
        <v>Beginner</v>
      </c>
      <c r="G508" s="3"/>
      <c r="H508" s="156">
        <f ca="1">IFERROR(__xludf.DUMMYFUNCTION("""COMPUTED_VALUE"""),46085.625)</f>
        <v>46085.625</v>
      </c>
      <c r="I508" s="156">
        <f ca="1">IFERROR(__xludf.DUMMYFUNCTION("""COMPUTED_VALUE"""),46085.625)</f>
        <v>46085.625</v>
      </c>
      <c r="J508" s="3">
        <f ca="1">IFERROR(__xludf.DUMMYFUNCTION("""COMPUTED_VALUE"""),1)</f>
        <v>1</v>
      </c>
      <c r="K508" s="3" t="str">
        <f ca="1">IFERROR(__xludf.DUMMYFUNCTION("""COMPUTED_VALUE"""),"")</f>
        <v/>
      </c>
      <c r="L508" s="3" t="str">
        <f ca="1">IFERROR(__xludf.DUMMYFUNCTION("""COMPUTED_VALUE"""),"DEV")</f>
        <v>DEV</v>
      </c>
      <c r="M508" s="3" t="str">
        <f ca="1">IFERROR(__xludf.DUMMYFUNCTION("""COMPUTED_VALUE"""),"ONC")</f>
        <v>ONC</v>
      </c>
      <c r="N508" s="157">
        <f ca="1">IFERROR(__xludf.DUMMYFUNCTION("""COMPUTED_VALUE"""),1)</f>
        <v>1</v>
      </c>
      <c r="O508" s="157">
        <f ca="1">IFERROR(__xludf.DUMMYFUNCTION("""COMPUTED_VALUE"""),0)</f>
        <v>0</v>
      </c>
      <c r="P508" s="157"/>
      <c r="R508" s="147"/>
      <c r="S508" s="147"/>
      <c r="T508" s="147"/>
      <c r="U508" s="147"/>
      <c r="X508" s="147"/>
      <c r="Y508" s="147"/>
      <c r="Z508" s="147"/>
      <c r="AA508" s="147"/>
      <c r="AB508" s="147"/>
      <c r="AC508" s="147"/>
      <c r="AD508" s="147"/>
      <c r="AE508" s="147"/>
      <c r="AF508" s="147"/>
      <c r="AG508" s="147"/>
      <c r="AH508" s="147"/>
      <c r="AI508" s="147"/>
      <c r="AJ508" s="147"/>
      <c r="AK508" s="147"/>
      <c r="AL508" s="147"/>
      <c r="AM508" s="147"/>
      <c r="AN508" s="147"/>
      <c r="AO508" s="147"/>
      <c r="AP508" s="147"/>
      <c r="AQ508" s="147"/>
    </row>
    <row r="509" spans="1:43">
      <c r="A509" s="160" t="str">
        <f ca="1">IFERROR(__xludf.DUMMYFUNCTION("""COMPUTED_VALUE"""),"237031")</f>
        <v>237031</v>
      </c>
      <c r="B509" s="3" t="str">
        <f ca="1">IFERROR(__xludf.DUMMYFUNCTION("""COMPUTED_VALUE"""),"Nguyễn Ngọc Thạch")</f>
        <v>Nguyễn Ngọc Thạch</v>
      </c>
      <c r="C509" s="160" t="str">
        <f ca="1">IFERROR(__xludf.DUMMYFUNCTION("""COMPUTED_VALUE"""),"EL047")</f>
        <v>EL047</v>
      </c>
      <c r="D509" s="160" t="str">
        <f ca="1">IFERROR(__xludf.DUMMYFUNCTION("""COMPUTED_VALUE"""),"Thai Nguyen 2")</f>
        <v>Thai Nguyen 2</v>
      </c>
      <c r="E509" s="3" t="str">
        <f ca="1">IFERROR(__xludf.DUMMYFUNCTION("""COMPUTED_VALUE"""),"Communication 1")</f>
        <v>Communication 1</v>
      </c>
      <c r="F509" s="3" t="str">
        <f ca="1">IFERROR(__xludf.DUMMYFUNCTION("""COMPUTED_VALUE"""),"Beginner")</f>
        <v>Beginner</v>
      </c>
      <c r="G509" s="3"/>
      <c r="H509" s="156">
        <f ca="1">IFERROR(__xludf.DUMMYFUNCTION("""COMPUTED_VALUE"""),46085.625)</f>
        <v>46085.625</v>
      </c>
      <c r="I509" s="156">
        <f ca="1">IFERROR(__xludf.DUMMYFUNCTION("""COMPUTED_VALUE"""),46085.625)</f>
        <v>46085.625</v>
      </c>
      <c r="J509" s="3">
        <f ca="1">IFERROR(__xludf.DUMMYFUNCTION("""COMPUTED_VALUE"""),1)</f>
        <v>1</v>
      </c>
      <c r="K509" s="3" t="str">
        <f ca="1">IFERROR(__xludf.DUMMYFUNCTION("""COMPUTED_VALUE"""),"")</f>
        <v/>
      </c>
      <c r="L509" s="3" t="str">
        <f ca="1">IFERROR(__xludf.DUMMYFUNCTION("""COMPUTED_VALUE"""),"DEV")</f>
        <v>DEV</v>
      </c>
      <c r="M509" s="3" t="str">
        <f ca="1">IFERROR(__xludf.DUMMYFUNCTION("""COMPUTED_VALUE"""),"ONC")</f>
        <v>ONC</v>
      </c>
      <c r="N509" s="157">
        <f ca="1">IFERROR(__xludf.DUMMYFUNCTION("""COMPUTED_VALUE"""),1)</f>
        <v>1</v>
      </c>
      <c r="O509" s="157">
        <f ca="1">IFERROR(__xludf.DUMMYFUNCTION("""COMPUTED_VALUE"""),0)</f>
        <v>0</v>
      </c>
      <c r="P509" s="157"/>
      <c r="R509" s="147"/>
      <c r="S509" s="147"/>
      <c r="T509" s="147"/>
      <c r="U509" s="147"/>
      <c r="X509" s="147"/>
      <c r="Y509" s="147"/>
      <c r="Z509" s="147"/>
      <c r="AA509" s="147"/>
      <c r="AB509" s="147"/>
      <c r="AC509" s="147"/>
      <c r="AD509" s="147"/>
      <c r="AE509" s="147"/>
      <c r="AF509" s="147"/>
      <c r="AG509" s="147"/>
      <c r="AH509" s="147"/>
      <c r="AI509" s="147"/>
      <c r="AJ509" s="147"/>
      <c r="AK509" s="147"/>
      <c r="AL509" s="147"/>
      <c r="AM509" s="147"/>
      <c r="AN509" s="147"/>
      <c r="AO509" s="147"/>
      <c r="AP509" s="147"/>
      <c r="AQ509" s="147"/>
    </row>
    <row r="510" spans="1:43">
      <c r="A510" s="160" t="str">
        <f ca="1">IFERROR(__xludf.DUMMYFUNCTION("""COMPUTED_VALUE"""),"203713")</f>
        <v>203713</v>
      </c>
      <c r="B510" s="3" t="str">
        <f ca="1">IFERROR(__xludf.DUMMYFUNCTION("""COMPUTED_VALUE"""),"Bùi Quang Khôi")</f>
        <v>Bùi Quang Khôi</v>
      </c>
      <c r="C510" s="160" t="str">
        <f ca="1">IFERROR(__xludf.DUMMYFUNCTION("""COMPUTED_VALUE"""),"EL047")</f>
        <v>EL047</v>
      </c>
      <c r="D510" s="160" t="str">
        <f ca="1">IFERROR(__xludf.DUMMYFUNCTION("""COMPUTED_VALUE"""),"Thai Nguyen 2")</f>
        <v>Thai Nguyen 2</v>
      </c>
      <c r="E510" s="3" t="str">
        <f ca="1">IFERROR(__xludf.DUMMYFUNCTION("""COMPUTED_VALUE"""),"Communication 1")</f>
        <v>Communication 1</v>
      </c>
      <c r="F510" s="3" t="str">
        <f ca="1">IFERROR(__xludf.DUMMYFUNCTION("""COMPUTED_VALUE"""),"Beginner")</f>
        <v>Beginner</v>
      </c>
      <c r="G510" s="3"/>
      <c r="H510" s="156">
        <f ca="1">IFERROR(__xludf.DUMMYFUNCTION("""COMPUTED_VALUE"""),46085.625)</f>
        <v>46085.625</v>
      </c>
      <c r="I510" s="156">
        <f ca="1">IFERROR(__xludf.DUMMYFUNCTION("""COMPUTED_VALUE"""),46085.625)</f>
        <v>46085.625</v>
      </c>
      <c r="J510" s="3">
        <f ca="1">IFERROR(__xludf.DUMMYFUNCTION("""COMPUTED_VALUE"""),1)</f>
        <v>1</v>
      </c>
      <c r="K510" s="3" t="str">
        <f ca="1">IFERROR(__xludf.DUMMYFUNCTION("""COMPUTED_VALUE"""),"")</f>
        <v/>
      </c>
      <c r="L510" s="3" t="str">
        <f ca="1">IFERROR(__xludf.DUMMYFUNCTION("""COMPUTED_VALUE"""),"DEV")</f>
        <v>DEV</v>
      </c>
      <c r="M510" s="3" t="str">
        <f ca="1">IFERROR(__xludf.DUMMYFUNCTION("""COMPUTED_VALUE"""),"ONC")</f>
        <v>ONC</v>
      </c>
      <c r="N510" s="157">
        <f ca="1">IFERROR(__xludf.DUMMYFUNCTION("""COMPUTED_VALUE"""),1)</f>
        <v>1</v>
      </c>
      <c r="O510" s="157">
        <f ca="1">IFERROR(__xludf.DUMMYFUNCTION("""COMPUTED_VALUE"""),0)</f>
        <v>0</v>
      </c>
      <c r="P510" s="157"/>
      <c r="R510" s="147"/>
      <c r="S510" s="147"/>
      <c r="T510" s="147"/>
      <c r="U510" s="147"/>
      <c r="X510" s="147"/>
      <c r="Y510" s="147"/>
      <c r="Z510" s="147"/>
      <c r="AA510" s="147"/>
      <c r="AB510" s="147"/>
      <c r="AC510" s="147"/>
      <c r="AD510" s="147"/>
      <c r="AE510" s="147"/>
      <c r="AF510" s="147"/>
      <c r="AG510" s="147"/>
      <c r="AH510" s="147"/>
      <c r="AI510" s="147"/>
      <c r="AJ510" s="147"/>
      <c r="AK510" s="147"/>
      <c r="AL510" s="147"/>
      <c r="AM510" s="147"/>
      <c r="AN510" s="147"/>
      <c r="AO510" s="147"/>
      <c r="AP510" s="147"/>
      <c r="AQ510" s="147"/>
    </row>
    <row r="511" spans="1:43">
      <c r="A511" s="160" t="str">
        <f ca="1">IFERROR(__xludf.DUMMYFUNCTION("""COMPUTED_VALUE"""),"213874")</f>
        <v>213874</v>
      </c>
      <c r="B511" s="3" t="str">
        <f ca="1">IFERROR(__xludf.DUMMYFUNCTION("""COMPUTED_VALUE"""),"Nguyễn Hoàng Hải")</f>
        <v>Nguyễn Hoàng Hải</v>
      </c>
      <c r="C511" s="160" t="str">
        <f ca="1">IFERROR(__xludf.DUMMYFUNCTION("""COMPUTED_VALUE"""),"EL047")</f>
        <v>EL047</v>
      </c>
      <c r="D511" s="160" t="str">
        <f ca="1">IFERROR(__xludf.DUMMYFUNCTION("""COMPUTED_VALUE"""),"Thai Nguyen 2")</f>
        <v>Thai Nguyen 2</v>
      </c>
      <c r="E511" s="3" t="str">
        <f ca="1">IFERROR(__xludf.DUMMYFUNCTION("""COMPUTED_VALUE"""),"Communication 1")</f>
        <v>Communication 1</v>
      </c>
      <c r="F511" s="3" t="str">
        <f ca="1">IFERROR(__xludf.DUMMYFUNCTION("""COMPUTED_VALUE"""),"Beginner")</f>
        <v>Beginner</v>
      </c>
      <c r="G511" s="3"/>
      <c r="H511" s="156">
        <f ca="1">IFERROR(__xludf.DUMMYFUNCTION("""COMPUTED_VALUE"""),46085.625)</f>
        <v>46085.625</v>
      </c>
      <c r="I511" s="156">
        <f ca="1">IFERROR(__xludf.DUMMYFUNCTION("""COMPUTED_VALUE"""),46085.625)</f>
        <v>46085.625</v>
      </c>
      <c r="J511" s="3">
        <f ca="1">IFERROR(__xludf.DUMMYFUNCTION("""COMPUTED_VALUE"""),1)</f>
        <v>1</v>
      </c>
      <c r="K511" s="3" t="str">
        <f ca="1">IFERROR(__xludf.DUMMYFUNCTION("""COMPUTED_VALUE"""),"")</f>
        <v/>
      </c>
      <c r="L511" s="3" t="str">
        <f ca="1">IFERROR(__xludf.DUMMYFUNCTION("""COMPUTED_VALUE"""),"DEV")</f>
        <v>DEV</v>
      </c>
      <c r="M511" s="3" t="str">
        <f ca="1">IFERROR(__xludf.DUMMYFUNCTION("""COMPUTED_VALUE"""),"ONC")</f>
        <v>ONC</v>
      </c>
      <c r="N511" s="157">
        <f ca="1">IFERROR(__xludf.DUMMYFUNCTION("""COMPUTED_VALUE"""),1)</f>
        <v>1</v>
      </c>
      <c r="O511" s="157">
        <f ca="1">IFERROR(__xludf.DUMMYFUNCTION("""COMPUTED_VALUE"""),0)</f>
        <v>0</v>
      </c>
      <c r="P511" s="157"/>
      <c r="R511" s="147"/>
      <c r="S511" s="147"/>
      <c r="T511" s="147"/>
      <c r="U511" s="147"/>
      <c r="X511" s="147"/>
      <c r="Y511" s="147"/>
      <c r="Z511" s="147"/>
      <c r="AA511" s="147"/>
      <c r="AB511" s="147"/>
      <c r="AC511" s="147"/>
      <c r="AD511" s="147"/>
      <c r="AE511" s="147"/>
      <c r="AF511" s="147"/>
      <c r="AG511" s="147"/>
      <c r="AH511" s="147"/>
      <c r="AI511" s="147"/>
      <c r="AJ511" s="147"/>
      <c r="AK511" s="147"/>
      <c r="AL511" s="147"/>
      <c r="AM511" s="147"/>
      <c r="AN511" s="147"/>
      <c r="AO511" s="147"/>
      <c r="AP511" s="147"/>
      <c r="AQ511" s="147"/>
    </row>
    <row r="512" spans="1:43">
      <c r="A512" s="160" t="str">
        <f ca="1">IFERROR(__xludf.DUMMYFUNCTION("""COMPUTED_VALUE"""),"203725")</f>
        <v>203725</v>
      </c>
      <c r="B512" s="3" t="str">
        <f ca="1">IFERROR(__xludf.DUMMYFUNCTION("""COMPUTED_VALUE"""),"Đặng Thanh Túc")</f>
        <v>Đặng Thanh Túc</v>
      </c>
      <c r="C512" s="160" t="str">
        <f ca="1">IFERROR(__xludf.DUMMYFUNCTION("""COMPUTED_VALUE"""),"EL047")</f>
        <v>EL047</v>
      </c>
      <c r="D512" s="160" t="str">
        <f ca="1">IFERROR(__xludf.DUMMYFUNCTION("""COMPUTED_VALUE"""),"Thai Nguyen 2")</f>
        <v>Thai Nguyen 2</v>
      </c>
      <c r="E512" s="3" t="str">
        <f ca="1">IFERROR(__xludf.DUMMYFUNCTION("""COMPUTED_VALUE"""),"Communication 1")</f>
        <v>Communication 1</v>
      </c>
      <c r="F512" s="3" t="str">
        <f ca="1">IFERROR(__xludf.DUMMYFUNCTION("""COMPUTED_VALUE"""),"Beginner")</f>
        <v>Beginner</v>
      </c>
      <c r="G512" s="3"/>
      <c r="H512" s="156">
        <f ca="1">IFERROR(__xludf.DUMMYFUNCTION("""COMPUTED_VALUE"""),46085.625)</f>
        <v>46085.625</v>
      </c>
      <c r="I512" s="156">
        <f ca="1">IFERROR(__xludf.DUMMYFUNCTION("""COMPUTED_VALUE"""),46085.625)</f>
        <v>46085.625</v>
      </c>
      <c r="J512" s="3">
        <f ca="1">IFERROR(__xludf.DUMMYFUNCTION("""COMPUTED_VALUE"""),1)</f>
        <v>1</v>
      </c>
      <c r="K512" s="3" t="str">
        <f ca="1">IFERROR(__xludf.DUMMYFUNCTION("""COMPUTED_VALUE"""),"")</f>
        <v/>
      </c>
      <c r="L512" s="3" t="str">
        <f ca="1">IFERROR(__xludf.DUMMYFUNCTION("""COMPUTED_VALUE"""),"DEV")</f>
        <v>DEV</v>
      </c>
      <c r="M512" s="3" t="str">
        <f ca="1">IFERROR(__xludf.DUMMYFUNCTION("""COMPUTED_VALUE"""),"ONC")</f>
        <v>ONC</v>
      </c>
      <c r="N512" s="157">
        <f ca="1">IFERROR(__xludf.DUMMYFUNCTION("""COMPUTED_VALUE"""),1)</f>
        <v>1</v>
      </c>
      <c r="O512" s="157">
        <f ca="1">IFERROR(__xludf.DUMMYFUNCTION("""COMPUTED_VALUE"""),0)</f>
        <v>0</v>
      </c>
      <c r="P512" s="157"/>
      <c r="R512" s="147"/>
      <c r="S512" s="147"/>
      <c r="T512" s="147"/>
      <c r="U512" s="147"/>
      <c r="X512" s="147"/>
      <c r="Y512" s="147"/>
      <c r="Z512" s="147"/>
      <c r="AA512" s="147"/>
      <c r="AB512" s="147"/>
      <c r="AC512" s="147"/>
      <c r="AD512" s="147"/>
      <c r="AE512" s="147"/>
      <c r="AF512" s="147"/>
      <c r="AG512" s="147"/>
      <c r="AH512" s="147"/>
      <c r="AI512" s="147"/>
      <c r="AJ512" s="147"/>
      <c r="AK512" s="147"/>
      <c r="AL512" s="147"/>
      <c r="AM512" s="147"/>
      <c r="AN512" s="147"/>
      <c r="AO512" s="147"/>
      <c r="AP512" s="147"/>
      <c r="AQ512" s="147"/>
    </row>
    <row r="513" spans="1:43">
      <c r="A513" s="160" t="str">
        <f ca="1">IFERROR(__xludf.DUMMYFUNCTION("""COMPUTED_VALUE"""),"193607")</f>
        <v>193607</v>
      </c>
      <c r="B513" s="3" t="str">
        <f ca="1">IFERROR(__xludf.DUMMYFUNCTION("""COMPUTED_VALUE"""),"Nguyen Tran Minh Nghia")</f>
        <v>Nguyen Tran Minh Nghia</v>
      </c>
      <c r="C513" s="160" t="str">
        <f ca="1">IFERROR(__xludf.DUMMYFUNCTION("""COMPUTED_VALUE"""),"EL047")</f>
        <v>EL047</v>
      </c>
      <c r="D513" s="160" t="str">
        <f ca="1">IFERROR(__xludf.DUMMYFUNCTION("""COMPUTED_VALUE"""),"Thai Nguyen 2")</f>
        <v>Thai Nguyen 2</v>
      </c>
      <c r="E513" s="3" t="str">
        <f ca="1">IFERROR(__xludf.DUMMYFUNCTION("""COMPUTED_VALUE"""),"Communication 1")</f>
        <v>Communication 1</v>
      </c>
      <c r="F513" s="3" t="str">
        <f ca="1">IFERROR(__xludf.DUMMYFUNCTION("""COMPUTED_VALUE"""),"Beginner")</f>
        <v>Beginner</v>
      </c>
      <c r="G513" s="3"/>
      <c r="H513" s="156">
        <f ca="1">IFERROR(__xludf.DUMMYFUNCTION("""COMPUTED_VALUE"""),46085.625)</f>
        <v>46085.625</v>
      </c>
      <c r="I513" s="156">
        <f ca="1">IFERROR(__xludf.DUMMYFUNCTION("""COMPUTED_VALUE"""),45917.5833333333)</f>
        <v>45917.583333333299</v>
      </c>
      <c r="J513" s="3">
        <f ca="1">IFERROR(__xludf.DUMMYFUNCTION("""COMPUTED_VALUE"""),1)</f>
        <v>1</v>
      </c>
      <c r="K513" s="3" t="str">
        <f ca="1">IFERROR(__xludf.DUMMYFUNCTION("""COMPUTED_VALUE"""),"")</f>
        <v/>
      </c>
      <c r="L513" s="3" t="str">
        <f ca="1">IFERROR(__xludf.DUMMYFUNCTION("""COMPUTED_VALUE"""),"DEV")</f>
        <v>DEV</v>
      </c>
      <c r="M513" s="3" t="str">
        <f ca="1">IFERROR(__xludf.DUMMYFUNCTION("""COMPUTED_VALUE"""),"ONC")</f>
        <v>ONC</v>
      </c>
      <c r="N513" s="157">
        <f ca="1">IFERROR(__xludf.DUMMYFUNCTION("""COMPUTED_VALUE"""),1)</f>
        <v>1</v>
      </c>
      <c r="O513" s="157">
        <f ca="1">IFERROR(__xludf.DUMMYFUNCTION("""COMPUTED_VALUE"""),0)</f>
        <v>0</v>
      </c>
      <c r="P513" s="157"/>
      <c r="R513" s="147"/>
      <c r="S513" s="147"/>
      <c r="T513" s="147"/>
      <c r="U513" s="147"/>
      <c r="X513" s="147"/>
      <c r="Y513" s="147"/>
      <c r="Z513" s="147"/>
      <c r="AA513" s="147"/>
      <c r="AB513" s="147"/>
      <c r="AC513" s="147"/>
      <c r="AD513" s="147"/>
      <c r="AE513" s="147"/>
      <c r="AF513" s="147"/>
      <c r="AG513" s="147"/>
      <c r="AH513" s="147"/>
      <c r="AI513" s="147"/>
      <c r="AJ513" s="147"/>
      <c r="AK513" s="147"/>
      <c r="AL513" s="147"/>
      <c r="AM513" s="147"/>
      <c r="AN513" s="147"/>
      <c r="AO513" s="147"/>
      <c r="AP513" s="147"/>
      <c r="AQ513" s="147"/>
    </row>
    <row r="514" spans="1:43">
      <c r="A514" s="160" t="str">
        <f ca="1">IFERROR(__xludf.DUMMYFUNCTION("""COMPUTED_VALUE"""),"227005")</f>
        <v>227005</v>
      </c>
      <c r="B514" s="3" t="str">
        <f ca="1">IFERROR(__xludf.DUMMYFUNCTION("""COMPUTED_VALUE"""),"Ngô Thị Huyền Trang (Joyce)")</f>
        <v>Ngô Thị Huyền Trang (Joyce)</v>
      </c>
      <c r="C514" s="160" t="str">
        <f ca="1">IFERROR(__xludf.DUMMYFUNCTION("""COMPUTED_VALUE"""),"EL048")</f>
        <v>EL048</v>
      </c>
      <c r="D514" s="160" t="str">
        <f ca="1">IFERROR(__xludf.DUMMYFUNCTION("""COMPUTED_VALUE"""),"Trang Nguyen")</f>
        <v>Trang Nguyen</v>
      </c>
      <c r="E514" s="3" t="str">
        <f ca="1">IFERROR(__xludf.DUMMYFUNCTION("""COMPUTED_VALUE"""),"Communication 1")</f>
        <v>Communication 1</v>
      </c>
      <c r="F514" s="3" t="str">
        <f ca="1">IFERROR(__xludf.DUMMYFUNCTION("""COMPUTED_VALUE"""),"Pre-Intermediate 2")</f>
        <v>Pre-Intermediate 2</v>
      </c>
      <c r="G514" s="3"/>
      <c r="H514" s="156">
        <f ca="1">IFERROR(__xludf.DUMMYFUNCTION("""COMPUTED_VALUE"""),46113.5833333333)</f>
        <v>46113.583333333299</v>
      </c>
      <c r="I514" s="156">
        <f ca="1">IFERROR(__xludf.DUMMYFUNCTION("""COMPUTED_VALUE"""),46113.5833333333)</f>
        <v>46113.583333333299</v>
      </c>
      <c r="J514" s="3">
        <f ca="1">IFERROR(__xludf.DUMMYFUNCTION("""COMPUTED_VALUE"""),3.5)</f>
        <v>3.5</v>
      </c>
      <c r="K514" s="3" t="str">
        <f ca="1">IFERROR(__xludf.DUMMYFUNCTION("""COMPUTED_VALUE"""),"")</f>
        <v/>
      </c>
      <c r="L514" s="3" t="str">
        <f ca="1">IFERROR(__xludf.DUMMYFUNCTION("""COMPUTED_VALUE"""),"IM")</f>
        <v>IM</v>
      </c>
      <c r="M514" s="3" t="str">
        <f ca="1">IFERROR(__xludf.DUMMYFUNCTION("""COMPUTED_VALUE"""),"CHORUS")</f>
        <v>CHORUS</v>
      </c>
      <c r="N514" s="157">
        <f ca="1">IFERROR(__xludf.DUMMYFUNCTION("""COMPUTED_VALUE"""),3.5)</f>
        <v>3.5</v>
      </c>
      <c r="O514" s="157">
        <f ca="1">IFERROR(__xludf.DUMMYFUNCTION("""COMPUTED_VALUE"""),0)</f>
        <v>0</v>
      </c>
      <c r="P514" s="157"/>
      <c r="R514" s="147"/>
      <c r="S514" s="147"/>
      <c r="T514" s="147"/>
      <c r="U514" s="147"/>
      <c r="X514" s="147"/>
      <c r="Y514" s="147"/>
      <c r="Z514" s="147"/>
      <c r="AA514" s="147"/>
      <c r="AB514" s="147"/>
      <c r="AC514" s="147"/>
      <c r="AD514" s="147"/>
      <c r="AE514" s="147"/>
      <c r="AF514" s="147"/>
      <c r="AG514" s="147"/>
      <c r="AH514" s="147"/>
      <c r="AI514" s="147"/>
      <c r="AJ514" s="147"/>
      <c r="AK514" s="147"/>
      <c r="AL514" s="147"/>
      <c r="AM514" s="147"/>
      <c r="AN514" s="147"/>
      <c r="AO514" s="147"/>
      <c r="AP514" s="147"/>
      <c r="AQ514" s="147"/>
    </row>
    <row r="515" spans="1:43">
      <c r="A515" s="160" t="str">
        <f ca="1">IFERROR(__xludf.DUMMYFUNCTION("""COMPUTED_VALUE"""),"213813")</f>
        <v>213813</v>
      </c>
      <c r="B515" s="3" t="str">
        <f ca="1">IFERROR(__xludf.DUMMYFUNCTION("""COMPUTED_VALUE"""),"Lê Trọng Ân")</f>
        <v>Lê Trọng Ân</v>
      </c>
      <c r="C515" s="160" t="str">
        <f ca="1">IFERROR(__xludf.DUMMYFUNCTION("""COMPUTED_VALUE"""),"EL048")</f>
        <v>EL048</v>
      </c>
      <c r="D515" s="160" t="str">
        <f ca="1">IFERROR(__xludf.DUMMYFUNCTION("""COMPUTED_VALUE"""),"Trang Nguyen")</f>
        <v>Trang Nguyen</v>
      </c>
      <c r="E515" s="3" t="str">
        <f ca="1">IFERROR(__xludf.DUMMYFUNCTION("""COMPUTED_VALUE"""),"Communication 1")</f>
        <v>Communication 1</v>
      </c>
      <c r="F515" s="3" t="str">
        <f ca="1">IFERROR(__xludf.DUMMYFUNCTION("""COMPUTED_VALUE"""),"Beginner")</f>
        <v>Beginner</v>
      </c>
      <c r="G515" s="3"/>
      <c r="H515" s="156">
        <f ca="1">IFERROR(__xludf.DUMMYFUNCTION("""COMPUTED_VALUE"""),46113.5833333333)</f>
        <v>46113.583333333299</v>
      </c>
      <c r="I515" s="156">
        <f ca="1">IFERROR(__xludf.DUMMYFUNCTION("""COMPUTED_VALUE"""),46113.5833333333)</f>
        <v>46113.583333333299</v>
      </c>
      <c r="J515" s="3">
        <f ca="1">IFERROR(__xludf.DUMMYFUNCTION("""COMPUTED_VALUE"""),1)</f>
        <v>1</v>
      </c>
      <c r="K515" s="3" t="str">
        <f ca="1">IFERROR(__xludf.DUMMYFUNCTION("""COMPUTED_VALUE"""),"")</f>
        <v/>
      </c>
      <c r="L515" s="3" t="str">
        <f ca="1">IFERROR(__xludf.DUMMYFUNCTION("""COMPUTED_VALUE"""),"DEV")</f>
        <v>DEV</v>
      </c>
      <c r="M515" s="3" t="str">
        <f ca="1">IFERROR(__xludf.DUMMYFUNCTION("""COMPUTED_VALUE"""),"LBU")</f>
        <v>LBU</v>
      </c>
      <c r="N515" s="157">
        <f ca="1">IFERROR(__xludf.DUMMYFUNCTION("""COMPUTED_VALUE"""),1)</f>
        <v>1</v>
      </c>
      <c r="O515" s="157">
        <f ca="1">IFERROR(__xludf.DUMMYFUNCTION("""COMPUTED_VALUE"""),0)</f>
        <v>0</v>
      </c>
      <c r="P515" s="157"/>
      <c r="R515" s="147"/>
      <c r="S515" s="147"/>
      <c r="T515" s="147"/>
      <c r="U515" s="147"/>
      <c r="X515" s="147"/>
      <c r="Y515" s="147"/>
      <c r="Z515" s="147"/>
      <c r="AA515" s="147"/>
      <c r="AB515" s="147"/>
      <c r="AC515" s="147"/>
      <c r="AD515" s="147"/>
      <c r="AE515" s="147"/>
      <c r="AF515" s="147"/>
      <c r="AG515" s="147"/>
      <c r="AH515" s="147"/>
      <c r="AI515" s="147"/>
      <c r="AJ515" s="147"/>
      <c r="AK515" s="147"/>
      <c r="AL515" s="147"/>
      <c r="AM515" s="147"/>
      <c r="AN515" s="147"/>
      <c r="AO515" s="147"/>
      <c r="AP515" s="147"/>
      <c r="AQ515" s="147"/>
    </row>
    <row r="516" spans="1:43">
      <c r="A516" s="160" t="str">
        <f ca="1">IFERROR(__xludf.DUMMYFUNCTION("""COMPUTED_VALUE"""),"203786")</f>
        <v>203786</v>
      </c>
      <c r="B516" s="3" t="str">
        <f ca="1">IFERROR(__xludf.DUMMYFUNCTION("""COMPUTED_VALUE"""),"Trần Ánh Tuyết (Taylor)")</f>
        <v>Trần Ánh Tuyết (Taylor)</v>
      </c>
      <c r="C516" s="160" t="str">
        <f ca="1">IFERROR(__xludf.DUMMYFUNCTION("""COMPUTED_VALUE"""),"EL048")</f>
        <v>EL048</v>
      </c>
      <c r="D516" s="160" t="str">
        <f ca="1">IFERROR(__xludf.DUMMYFUNCTION("""COMPUTED_VALUE"""),"Trang Nguyen")</f>
        <v>Trang Nguyen</v>
      </c>
      <c r="E516" s="3" t="str">
        <f ca="1">IFERROR(__xludf.DUMMYFUNCTION("""COMPUTED_VALUE"""),"Communication 1")</f>
        <v>Communication 1</v>
      </c>
      <c r="F516" s="3" t="str">
        <f ca="1">IFERROR(__xludf.DUMMYFUNCTION("""COMPUTED_VALUE"""),"Pre-Intermediate 2")</f>
        <v>Pre-Intermediate 2</v>
      </c>
      <c r="G516" s="3"/>
      <c r="H516" s="156">
        <f ca="1">IFERROR(__xludf.DUMMYFUNCTION("""COMPUTED_VALUE"""),46113.5833333333)</f>
        <v>46113.583333333299</v>
      </c>
      <c r="I516" s="156">
        <f ca="1">IFERROR(__xludf.DUMMYFUNCTION("""COMPUTED_VALUE"""),46113.5833333333)</f>
        <v>46113.583333333299</v>
      </c>
      <c r="J516" s="3">
        <f ca="1">IFERROR(__xludf.DUMMYFUNCTION("""COMPUTED_VALUE"""),3.5)</f>
        <v>3.5</v>
      </c>
      <c r="K516" s="3" t="str">
        <f ca="1">IFERROR(__xludf.DUMMYFUNCTION("""COMPUTED_VALUE"""),"")</f>
        <v/>
      </c>
      <c r="L516" s="3" t="str">
        <f ca="1">IFERROR(__xludf.DUMMYFUNCTION("""COMPUTED_VALUE"""),"BA")</f>
        <v>BA</v>
      </c>
      <c r="M516" s="3" t="str">
        <f ca="1">IFERROR(__xludf.DUMMYFUNCTION("""COMPUTED_VALUE"""),"LBU")</f>
        <v>LBU</v>
      </c>
      <c r="N516" s="157">
        <f ca="1">IFERROR(__xludf.DUMMYFUNCTION("""COMPUTED_VALUE"""),3.5)</f>
        <v>3.5</v>
      </c>
      <c r="O516" s="157">
        <f ca="1">IFERROR(__xludf.DUMMYFUNCTION("""COMPUTED_VALUE"""),0)</f>
        <v>0</v>
      </c>
      <c r="P516" s="157"/>
      <c r="R516" s="147"/>
      <c r="S516" s="147"/>
      <c r="T516" s="147"/>
      <c r="U516" s="147"/>
      <c r="X516" s="147"/>
      <c r="Y516" s="147"/>
      <c r="Z516" s="147"/>
      <c r="AA516" s="147"/>
      <c r="AB516" s="147"/>
      <c r="AC516" s="147"/>
      <c r="AD516" s="147"/>
      <c r="AE516" s="147"/>
      <c r="AF516" s="147"/>
      <c r="AG516" s="147"/>
      <c r="AH516" s="147"/>
      <c r="AI516" s="147"/>
      <c r="AJ516" s="147"/>
      <c r="AK516" s="147"/>
      <c r="AL516" s="147"/>
      <c r="AM516" s="147"/>
      <c r="AN516" s="147"/>
      <c r="AO516" s="147"/>
      <c r="AP516" s="147"/>
      <c r="AQ516" s="147"/>
    </row>
    <row r="517" spans="1:43">
      <c r="A517" s="160" t="str">
        <f ca="1">IFERROR(__xludf.DUMMYFUNCTION("""COMPUTED_VALUE"""),"257121")</f>
        <v>257121</v>
      </c>
      <c r="B517" s="3" t="str">
        <f ca="1">IFERROR(__xludf.DUMMYFUNCTION("""COMPUTED_VALUE"""),"Nguyễn Kim Khánh (Annie)")</f>
        <v>Nguyễn Kim Khánh (Annie)</v>
      </c>
      <c r="C517" s="160" t="str">
        <f ca="1">IFERROR(__xludf.DUMMYFUNCTION("""COMPUTED_VALUE"""),"EL048")</f>
        <v>EL048</v>
      </c>
      <c r="D517" s="160" t="str">
        <f ca="1">IFERROR(__xludf.DUMMYFUNCTION("""COMPUTED_VALUE"""),"Trang Nguyen")</f>
        <v>Trang Nguyen</v>
      </c>
      <c r="E517" s="3" t="str">
        <f ca="1">IFERROR(__xludf.DUMMYFUNCTION("""COMPUTED_VALUE"""),"Communication 1")</f>
        <v>Communication 1</v>
      </c>
      <c r="F517" s="3" t="str">
        <f ca="1">IFERROR(__xludf.DUMMYFUNCTION("""COMPUTED_VALUE"""),"Beginner 2")</f>
        <v>Beginner 2</v>
      </c>
      <c r="G517" s="3"/>
      <c r="H517" s="156">
        <f ca="1">IFERROR(__xludf.DUMMYFUNCTION("""COMPUTED_VALUE"""),46113.5833333333)</f>
        <v>46113.583333333299</v>
      </c>
      <c r="I517" s="156">
        <f ca="1">IFERROR(__xludf.DUMMYFUNCTION("""COMPUTED_VALUE"""),46113.5833333333)</f>
        <v>46113.583333333299</v>
      </c>
      <c r="J517" s="3">
        <f ca="1">IFERROR(__xludf.DUMMYFUNCTION("""COMPUTED_VALUE"""),1.5)</f>
        <v>1.5</v>
      </c>
      <c r="K517" s="3" t="str">
        <f ca="1">IFERROR(__xludf.DUMMYFUNCTION("""COMPUTED_VALUE"""),"")</f>
        <v/>
      </c>
      <c r="L517" s="3" t="str">
        <f ca="1">IFERROR(__xludf.DUMMYFUNCTION("""COMPUTED_VALUE"""),"GSD")</f>
        <v>GSD</v>
      </c>
      <c r="M517" s="3" t="str">
        <f ca="1">IFERROR(__xludf.DUMMYFUNCTION("""COMPUTED_VALUE"""),"POC")</f>
        <v>POC</v>
      </c>
      <c r="N517" s="157">
        <f ca="1">IFERROR(__xludf.DUMMYFUNCTION("""COMPUTED_VALUE"""),1.5)</f>
        <v>1.5</v>
      </c>
      <c r="O517" s="157">
        <f ca="1">IFERROR(__xludf.DUMMYFUNCTION("""COMPUTED_VALUE"""),0)</f>
        <v>0</v>
      </c>
      <c r="P517" s="157"/>
      <c r="R517" s="147"/>
      <c r="S517" s="147"/>
      <c r="T517" s="147"/>
      <c r="U517" s="147"/>
      <c r="X517" s="147"/>
      <c r="Y517" s="147"/>
      <c r="Z517" s="147"/>
      <c r="AA517" s="147"/>
      <c r="AB517" s="147"/>
      <c r="AC517" s="147"/>
      <c r="AD517" s="147"/>
      <c r="AE517" s="147"/>
      <c r="AF517" s="147"/>
      <c r="AG517" s="147"/>
      <c r="AH517" s="147"/>
      <c r="AI517" s="147"/>
      <c r="AJ517" s="147"/>
      <c r="AK517" s="147"/>
      <c r="AL517" s="147"/>
      <c r="AM517" s="147"/>
      <c r="AN517" s="147"/>
      <c r="AO517" s="147"/>
      <c r="AP517" s="147"/>
      <c r="AQ517" s="147"/>
    </row>
    <row r="518" spans="1:43">
      <c r="A518" s="160" t="str">
        <f ca="1">IFERROR(__xludf.DUMMYFUNCTION("""COMPUTED_VALUE"""),"257135")</f>
        <v>257135</v>
      </c>
      <c r="B518" s="3" t="str">
        <f ca="1">IFERROR(__xludf.DUMMYFUNCTION("""COMPUTED_VALUE"""),"Lê Tuyết Ngân")</f>
        <v>Lê Tuyết Ngân</v>
      </c>
      <c r="C518" s="160" t="str">
        <f ca="1">IFERROR(__xludf.DUMMYFUNCTION("""COMPUTED_VALUE"""),"EL048")</f>
        <v>EL048</v>
      </c>
      <c r="D518" s="160" t="str">
        <f ca="1">IFERROR(__xludf.DUMMYFUNCTION("""COMPUTED_VALUE"""),"Trang Nguyen")</f>
        <v>Trang Nguyen</v>
      </c>
      <c r="E518" s="3" t="str">
        <f ca="1">IFERROR(__xludf.DUMMYFUNCTION("""COMPUTED_VALUE"""),"Communication 1")</f>
        <v>Communication 1</v>
      </c>
      <c r="F518" s="3" t="str">
        <f ca="1">IFERROR(__xludf.DUMMYFUNCTION("""COMPUTED_VALUE"""),"Beginner")</f>
        <v>Beginner</v>
      </c>
      <c r="G518" s="3"/>
      <c r="H518" s="156">
        <f ca="1">IFERROR(__xludf.DUMMYFUNCTION("""COMPUTED_VALUE"""),46113.5833333333)</f>
        <v>46113.583333333299</v>
      </c>
      <c r="I518" s="156">
        <f ca="1">IFERROR(__xludf.DUMMYFUNCTION("""COMPUTED_VALUE"""),46113.5833333333)</f>
        <v>46113.583333333299</v>
      </c>
      <c r="J518" s="3">
        <f ca="1">IFERROR(__xludf.DUMMYFUNCTION("""COMPUTED_VALUE"""),1)</f>
        <v>1</v>
      </c>
      <c r="K518" s="3" t="str">
        <f ca="1">IFERROR(__xludf.DUMMYFUNCTION("""COMPUTED_VALUE"""),"")</f>
        <v/>
      </c>
      <c r="L518" s="3" t="str">
        <f ca="1">IFERROR(__xludf.DUMMYFUNCTION("""COMPUTED_VALUE"""),"Designer")</f>
        <v>Designer</v>
      </c>
      <c r="M518" s="3" t="str">
        <f ca="1">IFERROR(__xludf.DUMMYFUNCTION("""COMPUTED_VALUE"""),"LBU")</f>
        <v>LBU</v>
      </c>
      <c r="N518" s="157">
        <f ca="1">IFERROR(__xludf.DUMMYFUNCTION("""COMPUTED_VALUE"""),1)</f>
        <v>1</v>
      </c>
      <c r="O518" s="157">
        <f ca="1">IFERROR(__xludf.DUMMYFUNCTION("""COMPUTED_VALUE"""),0)</f>
        <v>0</v>
      </c>
      <c r="P518" s="157"/>
      <c r="R518" s="147"/>
      <c r="S518" s="147"/>
      <c r="T518" s="147"/>
      <c r="U518" s="147"/>
      <c r="X518" s="147"/>
      <c r="Y518" s="147"/>
      <c r="Z518" s="147"/>
      <c r="AA518" s="147"/>
      <c r="AB518" s="147"/>
      <c r="AC518" s="147"/>
      <c r="AD518" s="147"/>
      <c r="AE518" s="147"/>
      <c r="AF518" s="147"/>
      <c r="AG518" s="147"/>
      <c r="AH518" s="147"/>
      <c r="AI518" s="147"/>
      <c r="AJ518" s="147"/>
      <c r="AK518" s="147"/>
      <c r="AL518" s="147"/>
      <c r="AM518" s="147"/>
      <c r="AN518" s="147"/>
      <c r="AO518" s="147"/>
      <c r="AP518" s="147"/>
      <c r="AQ518" s="147"/>
    </row>
    <row r="519" spans="1:43">
      <c r="A519" s="160" t="str">
        <f ca="1">IFERROR(__xludf.DUMMYFUNCTION("""COMPUTED_VALUE"""),"257059")</f>
        <v>257059</v>
      </c>
      <c r="B519" s="3" t="str">
        <f ca="1">IFERROR(__xludf.DUMMYFUNCTION("""COMPUTED_VALUE"""),"Nguyễn Ngọc Hào")</f>
        <v>Nguyễn Ngọc Hào</v>
      </c>
      <c r="C519" s="160" t="str">
        <f ca="1">IFERROR(__xludf.DUMMYFUNCTION("""COMPUTED_VALUE"""),"EL048")</f>
        <v>EL048</v>
      </c>
      <c r="D519" s="160" t="str">
        <f ca="1">IFERROR(__xludf.DUMMYFUNCTION("""COMPUTED_VALUE"""),"Trang Nguyen")</f>
        <v>Trang Nguyen</v>
      </c>
      <c r="E519" s="3" t="str">
        <f ca="1">IFERROR(__xludf.DUMMYFUNCTION("""COMPUTED_VALUE"""),"Communication 1")</f>
        <v>Communication 1</v>
      </c>
      <c r="F519" s="3" t="str">
        <f ca="1">IFERROR(__xludf.DUMMYFUNCTION("""COMPUTED_VALUE"""),"Beginner")</f>
        <v>Beginner</v>
      </c>
      <c r="G519" s="3"/>
      <c r="H519" s="156">
        <f ca="1">IFERROR(__xludf.DUMMYFUNCTION("""COMPUTED_VALUE"""),46113.5833333333)</f>
        <v>46113.583333333299</v>
      </c>
      <c r="I519" s="156">
        <f ca="1">IFERROR(__xludf.DUMMYFUNCTION("""COMPUTED_VALUE"""),46113.5833333333)</f>
        <v>46113.583333333299</v>
      </c>
      <c r="J519" s="3">
        <f ca="1">IFERROR(__xludf.DUMMYFUNCTION("""COMPUTED_VALUE"""),1)</f>
        <v>1</v>
      </c>
      <c r="K519" s="3" t="str">
        <f ca="1">IFERROR(__xludf.DUMMYFUNCTION("""COMPUTED_VALUE"""),"")</f>
        <v/>
      </c>
      <c r="L519" s="3" t="str">
        <f ca="1">IFERROR(__xludf.DUMMYFUNCTION("""COMPUTED_VALUE"""),"Designer")</f>
        <v>Designer</v>
      </c>
      <c r="M519" s="3" t="str">
        <f ca="1">IFERROR(__xludf.DUMMYFUNCTION("""COMPUTED_VALUE"""),"LBU")</f>
        <v>LBU</v>
      </c>
      <c r="N519" s="157">
        <f ca="1">IFERROR(__xludf.DUMMYFUNCTION("""COMPUTED_VALUE"""),1)</f>
        <v>1</v>
      </c>
      <c r="O519" s="157">
        <f ca="1">IFERROR(__xludf.DUMMYFUNCTION("""COMPUTED_VALUE"""),0)</f>
        <v>0</v>
      </c>
      <c r="P519" s="157"/>
      <c r="R519" s="147"/>
      <c r="S519" s="147"/>
      <c r="T519" s="147"/>
      <c r="U519" s="147"/>
      <c r="X519" s="147"/>
      <c r="Y519" s="147"/>
      <c r="Z519" s="147"/>
      <c r="AA519" s="147"/>
      <c r="AB519" s="147"/>
      <c r="AC519" s="147"/>
      <c r="AD519" s="147"/>
      <c r="AE519" s="147"/>
      <c r="AF519" s="147"/>
      <c r="AG519" s="147"/>
      <c r="AH519" s="147"/>
      <c r="AI519" s="147"/>
      <c r="AJ519" s="147"/>
      <c r="AK519" s="147"/>
      <c r="AL519" s="147"/>
      <c r="AM519" s="147"/>
      <c r="AN519" s="147"/>
      <c r="AO519" s="147"/>
      <c r="AP519" s="147"/>
      <c r="AQ519" s="147"/>
    </row>
    <row r="520" spans="1:43">
      <c r="A520" s="160" t="str">
        <f ca="1">IFERROR(__xludf.DUMMYFUNCTION("""COMPUTED_VALUE"""),"237103")</f>
        <v>237103</v>
      </c>
      <c r="B520" s="3" t="str">
        <f ca="1">IFERROR(__xludf.DUMMYFUNCTION("""COMPUTED_VALUE"""),"Nguyễn Thị Thùy Linh")</f>
        <v>Nguyễn Thị Thùy Linh</v>
      </c>
      <c r="C520" s="160" t="str">
        <f ca="1">IFERROR(__xludf.DUMMYFUNCTION("""COMPUTED_VALUE"""),"EL048")</f>
        <v>EL048</v>
      </c>
      <c r="D520" s="160" t="str">
        <f ca="1">IFERROR(__xludf.DUMMYFUNCTION("""COMPUTED_VALUE"""),"Trang Nguyen")</f>
        <v>Trang Nguyen</v>
      </c>
      <c r="E520" s="3" t="str">
        <f ca="1">IFERROR(__xludf.DUMMYFUNCTION("""COMPUTED_VALUE"""),"Communication 1")</f>
        <v>Communication 1</v>
      </c>
      <c r="F520" s="3" t="str">
        <f ca="1">IFERROR(__xludf.DUMMYFUNCTION("""COMPUTED_VALUE"""),"Beginner")</f>
        <v>Beginner</v>
      </c>
      <c r="G520" s="3"/>
      <c r="H520" s="156">
        <f ca="1">IFERROR(__xludf.DUMMYFUNCTION("""COMPUTED_VALUE"""),46113.5833333333)</f>
        <v>46113.583333333299</v>
      </c>
      <c r="I520" s="156">
        <f ca="1">IFERROR(__xludf.DUMMYFUNCTION("""COMPUTED_VALUE"""),46086.5833333333)</f>
        <v>46086.583333333299</v>
      </c>
      <c r="J520" s="3">
        <f ca="1">IFERROR(__xludf.DUMMYFUNCTION("""COMPUTED_VALUE"""),1)</f>
        <v>1</v>
      </c>
      <c r="K520" s="3" t="str">
        <f ca="1">IFERROR(__xludf.DUMMYFUNCTION("""COMPUTED_VALUE"""),"")</f>
        <v/>
      </c>
      <c r="L520" s="3" t="str">
        <f ca="1">IFERROR(__xludf.DUMMYFUNCTION("""COMPUTED_VALUE"""),"UI/UX")</f>
        <v>UI/UX</v>
      </c>
      <c r="M520" s="3" t="str">
        <f ca="1">IFERROR(__xludf.DUMMYFUNCTION("""COMPUTED_VALUE"""),"CHORUS")</f>
        <v>CHORUS</v>
      </c>
      <c r="N520" s="157">
        <f ca="1">IFERROR(__xludf.DUMMYFUNCTION("""COMPUTED_VALUE"""),0.5)</f>
        <v>0.5</v>
      </c>
      <c r="O520" s="157">
        <f ca="1">IFERROR(__xludf.DUMMYFUNCTION("""COMPUTED_VALUE"""),0)</f>
        <v>0</v>
      </c>
      <c r="P520" s="157"/>
      <c r="R520" s="147"/>
      <c r="S520" s="147"/>
      <c r="T520" s="147"/>
      <c r="U520" s="147"/>
      <c r="X520" s="147"/>
      <c r="Y520" s="147"/>
      <c r="Z520" s="147"/>
      <c r="AA520" s="147"/>
      <c r="AB520" s="147"/>
      <c r="AC520" s="147"/>
      <c r="AD520" s="147"/>
      <c r="AE520" s="147"/>
      <c r="AF520" s="147"/>
      <c r="AG520" s="147"/>
      <c r="AH520" s="147"/>
      <c r="AI520" s="147"/>
      <c r="AJ520" s="147"/>
      <c r="AK520" s="147"/>
      <c r="AL520" s="147"/>
      <c r="AM520" s="147"/>
      <c r="AN520" s="147"/>
      <c r="AO520" s="147"/>
      <c r="AP520" s="147"/>
      <c r="AQ520" s="147"/>
    </row>
    <row r="521" spans="1:43">
      <c r="A521" s="160" t="str">
        <f ca="1">IFERROR(__xludf.DUMMYFUNCTION("""COMPUTED_VALUE"""),"247423")</f>
        <v>247423</v>
      </c>
      <c r="B521" s="3" t="str">
        <f ca="1">IFERROR(__xludf.DUMMYFUNCTION("""COMPUTED_VALUE"""),"CHUNG QUANG PHƯƠNG")</f>
        <v>CHUNG QUANG PHƯƠNG</v>
      </c>
      <c r="C521" s="160" t="str">
        <f ca="1">IFERROR(__xludf.DUMMYFUNCTION("""COMPUTED_VALUE"""),"EL049")</f>
        <v>EL049</v>
      </c>
      <c r="D521" s="160" t="str">
        <f ca="1">IFERROR(__xludf.DUMMYFUNCTION("""COMPUTED_VALUE"""),"Phung Nguyen")</f>
        <v>Phung Nguyen</v>
      </c>
      <c r="E521" s="3" t="str">
        <f ca="1">IFERROR(__xludf.DUMMYFUNCTION("""COMPUTED_VALUE"""),"Foundation")</f>
        <v>Foundation</v>
      </c>
      <c r="F521" s="3" t="str">
        <f ca="1">IFERROR(__xludf.DUMMYFUNCTION("""COMPUTED_VALUE"""),"Foundation")</f>
        <v>Foundation</v>
      </c>
      <c r="G521" s="3"/>
      <c r="H521" s="156">
        <f ca="1">IFERROR(__xludf.DUMMYFUNCTION("""COMPUTED_VALUE"""),46086.5833333333)</f>
        <v>46086.583333333299</v>
      </c>
      <c r="I521" s="156">
        <f ca="1">IFERROR(__xludf.DUMMYFUNCTION("""COMPUTED_VALUE"""),46086.5833333333)</f>
        <v>46086.583333333299</v>
      </c>
      <c r="J521" s="3">
        <f ca="1">IFERROR(__xludf.DUMMYFUNCTION("""COMPUTED_VALUE"""),0.5)</f>
        <v>0.5</v>
      </c>
      <c r="K521" s="3" t="str">
        <f ca="1">IFERROR(__xludf.DUMMYFUNCTION("""COMPUTED_VALUE"""),"")</f>
        <v/>
      </c>
      <c r="L521" s="3" t="str">
        <f ca="1">IFERROR(__xludf.DUMMYFUNCTION("""COMPUTED_VALUE"""),"DEV")</f>
        <v>DEV</v>
      </c>
      <c r="M521" s="3" t="str">
        <f ca="1">IFERROR(__xludf.DUMMYFUNCTION("""COMPUTED_VALUE"""),"MOC")</f>
        <v>MOC</v>
      </c>
      <c r="N521" s="157">
        <f ca="1">IFERROR(__xludf.DUMMYFUNCTION("""COMPUTED_VALUE"""),0.5)</f>
        <v>0.5</v>
      </c>
      <c r="O521" s="157">
        <f ca="1">IFERROR(__xludf.DUMMYFUNCTION("""COMPUTED_VALUE"""),0)</f>
        <v>0</v>
      </c>
      <c r="P521" s="157"/>
      <c r="R521" s="147"/>
      <c r="S521" s="147"/>
      <c r="T521" s="147"/>
      <c r="U521" s="147"/>
      <c r="X521" s="147"/>
      <c r="Y521" s="147"/>
      <c r="Z521" s="147"/>
      <c r="AA521" s="147"/>
      <c r="AB521" s="147"/>
      <c r="AC521" s="147"/>
      <c r="AD521" s="147"/>
      <c r="AE521" s="147"/>
      <c r="AF521" s="147"/>
      <c r="AG521" s="147"/>
      <c r="AH521" s="147"/>
      <c r="AI521" s="147"/>
      <c r="AJ521" s="147"/>
      <c r="AK521" s="147"/>
      <c r="AL521" s="147"/>
      <c r="AM521" s="147"/>
      <c r="AN521" s="147"/>
      <c r="AO521" s="147"/>
      <c r="AP521" s="147"/>
      <c r="AQ521" s="147"/>
    </row>
    <row r="522" spans="1:43">
      <c r="A522" s="160" t="str">
        <f ca="1">IFERROR(__xludf.DUMMYFUNCTION("""COMPUTED_VALUE"""),"257134")</f>
        <v>257134</v>
      </c>
      <c r="B522" s="3" t="str">
        <f ca="1">IFERROR(__xludf.DUMMYFUNCTION("""COMPUTED_VALUE"""),"ĐINH QUỐC HUẤN")</f>
        <v>ĐINH QUỐC HUẤN</v>
      </c>
      <c r="C522" s="160" t="str">
        <f ca="1">IFERROR(__xludf.DUMMYFUNCTION("""COMPUTED_VALUE"""),"EL049")</f>
        <v>EL049</v>
      </c>
      <c r="D522" s="160" t="str">
        <f ca="1">IFERROR(__xludf.DUMMYFUNCTION("""COMPUTED_VALUE"""),"Phung Nguyen")</f>
        <v>Phung Nguyen</v>
      </c>
      <c r="E522" s="3" t="str">
        <f ca="1">IFERROR(__xludf.DUMMYFUNCTION("""COMPUTED_VALUE"""),"Foundation")</f>
        <v>Foundation</v>
      </c>
      <c r="F522" s="3" t="str">
        <f ca="1">IFERROR(__xludf.DUMMYFUNCTION("""COMPUTED_VALUE"""),"Foundation")</f>
        <v>Foundation</v>
      </c>
      <c r="G522" s="3"/>
      <c r="H522" s="156">
        <f ca="1">IFERROR(__xludf.DUMMYFUNCTION("""COMPUTED_VALUE"""),46086.5833333333)</f>
        <v>46086.583333333299</v>
      </c>
      <c r="I522" s="156">
        <f ca="1">IFERROR(__xludf.DUMMYFUNCTION("""COMPUTED_VALUE"""),46086.5833333333)</f>
        <v>46086.583333333299</v>
      </c>
      <c r="J522" s="3">
        <f ca="1">IFERROR(__xludf.DUMMYFUNCTION("""COMPUTED_VALUE"""),0.5)</f>
        <v>0.5</v>
      </c>
      <c r="K522" s="3" t="str">
        <f ca="1">IFERROR(__xludf.DUMMYFUNCTION("""COMPUTED_VALUE"""),"")</f>
        <v/>
      </c>
      <c r="L522" s="3" t="str">
        <f ca="1">IFERROR(__xludf.DUMMYFUNCTION("""COMPUTED_VALUE"""),"Designer")</f>
        <v>Designer</v>
      </c>
      <c r="M522" s="3" t="str">
        <f ca="1">IFERROR(__xludf.DUMMYFUNCTION("""COMPUTED_VALUE"""),"LBU")</f>
        <v>LBU</v>
      </c>
      <c r="N522" s="157">
        <f ca="1">IFERROR(__xludf.DUMMYFUNCTION("""COMPUTED_VALUE"""),0.5)</f>
        <v>0.5</v>
      </c>
      <c r="O522" s="157">
        <f ca="1">IFERROR(__xludf.DUMMYFUNCTION("""COMPUTED_VALUE"""),0)</f>
        <v>0</v>
      </c>
      <c r="P522" s="157"/>
      <c r="R522" s="147"/>
      <c r="S522" s="147"/>
      <c r="T522" s="147"/>
      <c r="U522" s="147"/>
      <c r="X522" s="147"/>
      <c r="Y522" s="147"/>
      <c r="Z522" s="147"/>
      <c r="AA522" s="147"/>
      <c r="AB522" s="147"/>
      <c r="AC522" s="147"/>
      <c r="AD522" s="147"/>
      <c r="AE522" s="147"/>
      <c r="AF522" s="147"/>
      <c r="AG522" s="147"/>
      <c r="AH522" s="147"/>
      <c r="AI522" s="147"/>
      <c r="AJ522" s="147"/>
      <c r="AK522" s="147"/>
      <c r="AL522" s="147"/>
      <c r="AM522" s="147"/>
      <c r="AN522" s="147"/>
      <c r="AO522" s="147"/>
      <c r="AP522" s="147"/>
      <c r="AQ522" s="147"/>
    </row>
    <row r="523" spans="1:43">
      <c r="A523" s="160" t="str">
        <f ca="1">IFERROR(__xludf.DUMMYFUNCTION("""COMPUTED_VALUE"""),"237239")</f>
        <v>237239</v>
      </c>
      <c r="B523" s="3" t="str">
        <f ca="1">IFERROR(__xludf.DUMMYFUNCTION("""COMPUTED_VALUE"""),"ĐỖ NGỌC THÀNH")</f>
        <v>ĐỖ NGỌC THÀNH</v>
      </c>
      <c r="C523" s="160" t="str">
        <f ca="1">IFERROR(__xludf.DUMMYFUNCTION("""COMPUTED_VALUE"""),"EL049")</f>
        <v>EL049</v>
      </c>
      <c r="D523" s="160" t="str">
        <f ca="1">IFERROR(__xludf.DUMMYFUNCTION("""COMPUTED_VALUE"""),"Phung Nguyen")</f>
        <v>Phung Nguyen</v>
      </c>
      <c r="E523" s="3" t="str">
        <f ca="1">IFERROR(__xludf.DUMMYFUNCTION("""COMPUTED_VALUE"""),"Foundation")</f>
        <v>Foundation</v>
      </c>
      <c r="F523" s="3" t="str">
        <f ca="1">IFERROR(__xludf.DUMMYFUNCTION("""COMPUTED_VALUE"""),"Foundation")</f>
        <v>Foundation</v>
      </c>
      <c r="G523" s="3"/>
      <c r="H523" s="156">
        <f ca="1">IFERROR(__xludf.DUMMYFUNCTION("""COMPUTED_VALUE"""),46086.5833333333)</f>
        <v>46086.583333333299</v>
      </c>
      <c r="I523" s="156">
        <f ca="1">IFERROR(__xludf.DUMMYFUNCTION("""COMPUTED_VALUE"""),46086.5833333333)</f>
        <v>46086.583333333299</v>
      </c>
      <c r="J523" s="3">
        <f ca="1">IFERROR(__xludf.DUMMYFUNCTION("""COMPUTED_VALUE"""),0.5)</f>
        <v>0.5</v>
      </c>
      <c r="K523" s="3" t="str">
        <f ca="1">IFERROR(__xludf.DUMMYFUNCTION("""COMPUTED_VALUE"""),"")</f>
        <v/>
      </c>
      <c r="L523" s="3" t="str">
        <f ca="1">IFERROR(__xludf.DUMMYFUNCTION("""COMPUTED_VALUE"""),"DEV")</f>
        <v>DEV</v>
      </c>
      <c r="M523" s="3" t="str">
        <f ca="1">IFERROR(__xludf.DUMMYFUNCTION("""COMPUTED_VALUE"""),"CHORUS")</f>
        <v>CHORUS</v>
      </c>
      <c r="N523" s="157">
        <f ca="1">IFERROR(__xludf.DUMMYFUNCTION("""COMPUTED_VALUE"""),0.5)</f>
        <v>0.5</v>
      </c>
      <c r="O523" s="157">
        <f ca="1">IFERROR(__xludf.DUMMYFUNCTION("""COMPUTED_VALUE"""),0)</f>
        <v>0</v>
      </c>
      <c r="P523" s="157"/>
      <c r="R523" s="147"/>
      <c r="S523" s="147"/>
      <c r="T523" s="147"/>
      <c r="U523" s="147"/>
      <c r="X523" s="147"/>
      <c r="Y523" s="147"/>
      <c r="Z523" s="147"/>
      <c r="AA523" s="147"/>
      <c r="AB523" s="147"/>
      <c r="AC523" s="147"/>
      <c r="AD523" s="147"/>
      <c r="AE523" s="147"/>
      <c r="AF523" s="147"/>
      <c r="AG523" s="147"/>
      <c r="AH523" s="147"/>
      <c r="AI523" s="147"/>
      <c r="AJ523" s="147"/>
      <c r="AK523" s="147"/>
      <c r="AL523" s="147"/>
      <c r="AM523" s="147"/>
      <c r="AN523" s="147"/>
      <c r="AO523" s="147"/>
      <c r="AP523" s="147"/>
      <c r="AQ523" s="147"/>
    </row>
    <row r="524" spans="1:43">
      <c r="A524" s="160" t="str">
        <f ca="1">IFERROR(__xludf.DUMMYFUNCTION("""COMPUTED_VALUE"""),"227116")</f>
        <v>227116</v>
      </c>
      <c r="B524" s="3" t="str">
        <f ca="1">IFERROR(__xludf.DUMMYFUNCTION("""COMPUTED_VALUE"""),"LÊ THẾ PHƯƠNG")</f>
        <v>LÊ THẾ PHƯƠNG</v>
      </c>
      <c r="C524" s="160" t="str">
        <f ca="1">IFERROR(__xludf.DUMMYFUNCTION("""COMPUTED_VALUE"""),"EL049")</f>
        <v>EL049</v>
      </c>
      <c r="D524" s="160" t="str">
        <f ca="1">IFERROR(__xludf.DUMMYFUNCTION("""COMPUTED_VALUE"""),"Phung Nguyen")</f>
        <v>Phung Nguyen</v>
      </c>
      <c r="E524" s="3" t="str">
        <f ca="1">IFERROR(__xludf.DUMMYFUNCTION("""COMPUTED_VALUE"""),"Foundation")</f>
        <v>Foundation</v>
      </c>
      <c r="F524" s="3" t="str">
        <f ca="1">IFERROR(__xludf.DUMMYFUNCTION("""COMPUTED_VALUE"""),"Foundation")</f>
        <v>Foundation</v>
      </c>
      <c r="G524" s="3"/>
      <c r="H524" s="156">
        <f ca="1">IFERROR(__xludf.DUMMYFUNCTION("""COMPUTED_VALUE"""),46086.5833333333)</f>
        <v>46086.583333333299</v>
      </c>
      <c r="I524" s="156">
        <f ca="1">IFERROR(__xludf.DUMMYFUNCTION("""COMPUTED_VALUE"""),46086.5833333333)</f>
        <v>46086.583333333299</v>
      </c>
      <c r="J524" s="3">
        <f ca="1">IFERROR(__xludf.DUMMYFUNCTION("""COMPUTED_VALUE"""),0.5)</f>
        <v>0.5</v>
      </c>
      <c r="K524" s="3" t="str">
        <f ca="1">IFERROR(__xludf.DUMMYFUNCTION("""COMPUTED_VALUE"""),"")</f>
        <v/>
      </c>
      <c r="L524" s="3" t="str">
        <f ca="1">IFERROR(__xludf.DUMMYFUNCTION("""COMPUTED_VALUE"""),"DEV")</f>
        <v>DEV</v>
      </c>
      <c r="M524" s="3" t="str">
        <f ca="1">IFERROR(__xludf.DUMMYFUNCTION("""COMPUTED_VALUE"""),"CHORUS")</f>
        <v>CHORUS</v>
      </c>
      <c r="N524" s="157">
        <f ca="1">IFERROR(__xludf.DUMMYFUNCTION("""COMPUTED_VALUE"""),0.5)</f>
        <v>0.5</v>
      </c>
      <c r="O524" s="157">
        <f ca="1">IFERROR(__xludf.DUMMYFUNCTION("""COMPUTED_VALUE"""),0)</f>
        <v>0</v>
      </c>
      <c r="P524" s="157"/>
      <c r="R524" s="147"/>
      <c r="S524" s="147"/>
      <c r="T524" s="147"/>
      <c r="U524" s="147"/>
      <c r="X524" s="147"/>
      <c r="Y524" s="147"/>
      <c r="Z524" s="147"/>
      <c r="AA524" s="147"/>
      <c r="AB524" s="147"/>
      <c r="AC524" s="147"/>
      <c r="AD524" s="147"/>
      <c r="AE524" s="147"/>
      <c r="AF524" s="147"/>
      <c r="AG524" s="147"/>
      <c r="AH524" s="147"/>
      <c r="AI524" s="147"/>
      <c r="AJ524" s="147"/>
      <c r="AK524" s="147"/>
      <c r="AL524" s="147"/>
      <c r="AM524" s="147"/>
      <c r="AN524" s="147"/>
      <c r="AO524" s="147"/>
      <c r="AP524" s="147"/>
      <c r="AQ524" s="147"/>
    </row>
    <row r="525" spans="1:43">
      <c r="A525" s="160" t="str">
        <f ca="1">IFERROR(__xludf.DUMMYFUNCTION("""COMPUTED_VALUE"""),"247413")</f>
        <v>247413</v>
      </c>
      <c r="B525" s="3" t="str">
        <f ca="1">IFERROR(__xludf.DUMMYFUNCTION("""COMPUTED_VALUE"""),"NGUYỄN ĐỨC TIẾN")</f>
        <v>NGUYỄN ĐỨC TIẾN</v>
      </c>
      <c r="C525" s="160" t="str">
        <f ca="1">IFERROR(__xludf.DUMMYFUNCTION("""COMPUTED_VALUE"""),"EL049")</f>
        <v>EL049</v>
      </c>
      <c r="D525" s="160" t="str">
        <f ca="1">IFERROR(__xludf.DUMMYFUNCTION("""COMPUTED_VALUE"""),"Phung Nguyen")</f>
        <v>Phung Nguyen</v>
      </c>
      <c r="E525" s="3" t="str">
        <f ca="1">IFERROR(__xludf.DUMMYFUNCTION("""COMPUTED_VALUE"""),"Foundation")</f>
        <v>Foundation</v>
      </c>
      <c r="F525" s="3" t="str">
        <f ca="1">IFERROR(__xludf.DUMMYFUNCTION("""COMPUTED_VALUE"""),"Foundation")</f>
        <v>Foundation</v>
      </c>
      <c r="G525" s="3"/>
      <c r="H525" s="156">
        <f ca="1">IFERROR(__xludf.DUMMYFUNCTION("""COMPUTED_VALUE"""),46086.5833333333)</f>
        <v>46086.583333333299</v>
      </c>
      <c r="I525" s="156">
        <f ca="1">IFERROR(__xludf.DUMMYFUNCTION("""COMPUTED_VALUE"""),46086.5833333333)</f>
        <v>46086.583333333299</v>
      </c>
      <c r="J525" s="3">
        <f ca="1">IFERROR(__xludf.DUMMYFUNCTION("""COMPUTED_VALUE"""),0.5)</f>
        <v>0.5</v>
      </c>
      <c r="K525" s="3" t="str">
        <f ca="1">IFERROR(__xludf.DUMMYFUNCTION("""COMPUTED_VALUE"""),"")</f>
        <v/>
      </c>
      <c r="L525" s="3" t="str">
        <f ca="1">IFERROR(__xludf.DUMMYFUNCTION("""COMPUTED_VALUE"""),"DEV")</f>
        <v>DEV</v>
      </c>
      <c r="M525" s="3" t="str">
        <f ca="1">IFERROR(__xludf.DUMMYFUNCTION("""COMPUTED_VALUE"""),"CHORUS")</f>
        <v>CHORUS</v>
      </c>
      <c r="N525" s="157">
        <f ca="1">IFERROR(__xludf.DUMMYFUNCTION("""COMPUTED_VALUE"""),0.5)</f>
        <v>0.5</v>
      </c>
      <c r="O525" s="157">
        <f ca="1">IFERROR(__xludf.DUMMYFUNCTION("""COMPUTED_VALUE"""),0)</f>
        <v>0</v>
      </c>
      <c r="P525" s="157"/>
      <c r="R525" s="147"/>
      <c r="S525" s="147"/>
      <c r="T525" s="147"/>
      <c r="U525" s="147"/>
      <c r="X525" s="147"/>
      <c r="Y525" s="147"/>
      <c r="Z525" s="147"/>
      <c r="AA525" s="147"/>
      <c r="AB525" s="147"/>
      <c r="AC525" s="147"/>
      <c r="AD525" s="147"/>
      <c r="AE525" s="147"/>
      <c r="AF525" s="147"/>
      <c r="AG525" s="147"/>
      <c r="AH525" s="147"/>
      <c r="AI525" s="147"/>
      <c r="AJ525" s="147"/>
      <c r="AK525" s="147"/>
      <c r="AL525" s="147"/>
      <c r="AM525" s="147"/>
      <c r="AN525" s="147"/>
      <c r="AO525" s="147"/>
      <c r="AP525" s="147"/>
      <c r="AQ525" s="147"/>
    </row>
    <row r="526" spans="1:43">
      <c r="A526" s="160" t="str">
        <f ca="1">IFERROR(__xludf.DUMMYFUNCTION("""COMPUTED_VALUE"""),"183382")</f>
        <v>183382</v>
      </c>
      <c r="B526" s="3" t="str">
        <f ca="1">IFERROR(__xludf.DUMMYFUNCTION("""COMPUTED_VALUE"""),"NGUYỄN DUY PHÚ")</f>
        <v>NGUYỄN DUY PHÚ</v>
      </c>
      <c r="C526" s="160" t="str">
        <f ca="1">IFERROR(__xludf.DUMMYFUNCTION("""COMPUTED_VALUE"""),"EL049")</f>
        <v>EL049</v>
      </c>
      <c r="D526" s="160" t="str">
        <f ca="1">IFERROR(__xludf.DUMMYFUNCTION("""COMPUTED_VALUE"""),"Phung Nguyen")</f>
        <v>Phung Nguyen</v>
      </c>
      <c r="E526" s="3" t="str">
        <f ca="1">IFERROR(__xludf.DUMMYFUNCTION("""COMPUTED_VALUE"""),"Foundation")</f>
        <v>Foundation</v>
      </c>
      <c r="F526" s="3" t="str">
        <f ca="1">IFERROR(__xludf.DUMMYFUNCTION("""COMPUTED_VALUE"""),"Foundation")</f>
        <v>Foundation</v>
      </c>
      <c r="G526" s="3"/>
      <c r="H526" s="156">
        <f ca="1">IFERROR(__xludf.DUMMYFUNCTION("""COMPUTED_VALUE"""),46086.5833333333)</f>
        <v>46086.583333333299</v>
      </c>
      <c r="I526" s="156">
        <f ca="1">IFERROR(__xludf.DUMMYFUNCTION("""COMPUTED_VALUE"""),46086.5833333333)</f>
        <v>46086.583333333299</v>
      </c>
      <c r="J526" s="3">
        <f ca="1">IFERROR(__xludf.DUMMYFUNCTION("""COMPUTED_VALUE"""),0.5)</f>
        <v>0.5</v>
      </c>
      <c r="K526" s="3" t="str">
        <f ca="1">IFERROR(__xludf.DUMMYFUNCTION("""COMPUTED_VALUE"""),"")</f>
        <v/>
      </c>
      <c r="L526" s="3" t="str">
        <f ca="1">IFERROR(__xludf.DUMMYFUNCTION("""COMPUTED_VALUE"""),"DEV")</f>
        <v>DEV</v>
      </c>
      <c r="M526" s="3" t="str">
        <f ca="1">IFERROR(__xludf.DUMMYFUNCTION("""COMPUTED_VALUE"""),"CHORUS")</f>
        <v>CHORUS</v>
      </c>
      <c r="N526" s="157">
        <f ca="1">IFERROR(__xludf.DUMMYFUNCTION("""COMPUTED_VALUE"""),0.5)</f>
        <v>0.5</v>
      </c>
      <c r="O526" s="157">
        <f ca="1">IFERROR(__xludf.DUMMYFUNCTION("""COMPUTED_VALUE"""),0)</f>
        <v>0</v>
      </c>
      <c r="P526" s="157"/>
      <c r="R526" s="147"/>
      <c r="S526" s="147"/>
      <c r="T526" s="147"/>
      <c r="U526" s="147"/>
      <c r="X526" s="147"/>
      <c r="Y526" s="147"/>
      <c r="Z526" s="147"/>
      <c r="AA526" s="147"/>
      <c r="AB526" s="147"/>
      <c r="AC526" s="147"/>
      <c r="AD526" s="147"/>
      <c r="AE526" s="147"/>
      <c r="AF526" s="147"/>
      <c r="AG526" s="147"/>
      <c r="AH526" s="147"/>
      <c r="AI526" s="147"/>
      <c r="AJ526" s="147"/>
      <c r="AK526" s="147"/>
      <c r="AL526" s="147"/>
      <c r="AM526" s="147"/>
      <c r="AN526" s="147"/>
      <c r="AO526" s="147"/>
      <c r="AP526" s="147"/>
      <c r="AQ526" s="147"/>
    </row>
    <row r="527" spans="1:43">
      <c r="A527" s="160" t="str">
        <f ca="1">IFERROR(__xludf.DUMMYFUNCTION("""COMPUTED_VALUE"""),"227103")</f>
        <v>227103</v>
      </c>
      <c r="B527" s="3" t="str">
        <f ca="1">IFERROR(__xludf.DUMMYFUNCTION("""COMPUTED_VALUE"""),"NGUYỄN HUỲNH SƠN")</f>
        <v>NGUYỄN HUỲNH SƠN</v>
      </c>
      <c r="C527" s="160" t="str">
        <f ca="1">IFERROR(__xludf.DUMMYFUNCTION("""COMPUTED_VALUE"""),"EL049")</f>
        <v>EL049</v>
      </c>
      <c r="D527" s="160" t="str">
        <f ca="1">IFERROR(__xludf.DUMMYFUNCTION("""COMPUTED_VALUE"""),"Phung Nguyen")</f>
        <v>Phung Nguyen</v>
      </c>
      <c r="E527" s="3" t="str">
        <f ca="1">IFERROR(__xludf.DUMMYFUNCTION("""COMPUTED_VALUE"""),"Foundation")</f>
        <v>Foundation</v>
      </c>
      <c r="F527" s="3" t="str">
        <f ca="1">IFERROR(__xludf.DUMMYFUNCTION("""COMPUTED_VALUE"""),"Foundation")</f>
        <v>Foundation</v>
      </c>
      <c r="G527" s="3"/>
      <c r="H527" s="156">
        <f ca="1">IFERROR(__xludf.DUMMYFUNCTION("""COMPUTED_VALUE"""),46086.5833333333)</f>
        <v>46086.583333333299</v>
      </c>
      <c r="I527" s="156">
        <f ca="1">IFERROR(__xludf.DUMMYFUNCTION("""COMPUTED_VALUE"""),46086.5833333333)</f>
        <v>46086.583333333299</v>
      </c>
      <c r="J527" s="3">
        <f ca="1">IFERROR(__xludf.DUMMYFUNCTION("""COMPUTED_VALUE"""),0.5)</f>
        <v>0.5</v>
      </c>
      <c r="K527" s="3" t="str">
        <f ca="1">IFERROR(__xludf.DUMMYFUNCTION("""COMPUTED_VALUE"""),"")</f>
        <v/>
      </c>
      <c r="L527" s="3" t="str">
        <f ca="1">IFERROR(__xludf.DUMMYFUNCTION("""COMPUTED_VALUE"""),"DEV")</f>
        <v>DEV</v>
      </c>
      <c r="M527" s="3" t="str">
        <f ca="1">IFERROR(__xludf.DUMMYFUNCTION("""COMPUTED_VALUE"""),"CHORUS")</f>
        <v>CHORUS</v>
      </c>
      <c r="N527" s="157">
        <f ca="1">IFERROR(__xludf.DUMMYFUNCTION("""COMPUTED_VALUE"""),0.5)</f>
        <v>0.5</v>
      </c>
      <c r="O527" s="157">
        <f ca="1">IFERROR(__xludf.DUMMYFUNCTION("""COMPUTED_VALUE"""),0)</f>
        <v>0</v>
      </c>
      <c r="P527" s="157"/>
      <c r="R527" s="147"/>
      <c r="S527" s="147"/>
      <c r="T527" s="147"/>
      <c r="U527" s="147"/>
      <c r="X527" s="147"/>
      <c r="Y527" s="147"/>
      <c r="Z527" s="147"/>
      <c r="AA527" s="147"/>
      <c r="AB527" s="147"/>
      <c r="AC527" s="147"/>
      <c r="AD527" s="147"/>
      <c r="AE527" s="147"/>
      <c r="AF527" s="147"/>
      <c r="AG527" s="147"/>
      <c r="AH527" s="147"/>
      <c r="AI527" s="147"/>
      <c r="AJ527" s="147"/>
      <c r="AK527" s="147"/>
      <c r="AL527" s="147"/>
      <c r="AM527" s="147"/>
      <c r="AN527" s="147"/>
      <c r="AO527" s="147"/>
      <c r="AP527" s="147"/>
      <c r="AQ527" s="147"/>
    </row>
    <row r="528" spans="1:43">
      <c r="A528" s="160" t="str">
        <f ca="1">IFERROR(__xludf.DUMMYFUNCTION("""COMPUTED_VALUE"""),"237201")</f>
        <v>237201</v>
      </c>
      <c r="B528" s="3" t="str">
        <f ca="1">IFERROR(__xludf.DUMMYFUNCTION("""COMPUTED_VALUE"""),"NGUYỄN MINH QUANG")</f>
        <v>NGUYỄN MINH QUANG</v>
      </c>
      <c r="C528" s="160" t="str">
        <f ca="1">IFERROR(__xludf.DUMMYFUNCTION("""COMPUTED_VALUE"""),"EL049")</f>
        <v>EL049</v>
      </c>
      <c r="D528" s="160" t="str">
        <f ca="1">IFERROR(__xludf.DUMMYFUNCTION("""COMPUTED_VALUE"""),"Phung Nguyen")</f>
        <v>Phung Nguyen</v>
      </c>
      <c r="E528" s="3" t="str">
        <f ca="1">IFERROR(__xludf.DUMMYFUNCTION("""COMPUTED_VALUE"""),"Foundation")</f>
        <v>Foundation</v>
      </c>
      <c r="F528" s="3" t="str">
        <f ca="1">IFERROR(__xludf.DUMMYFUNCTION("""COMPUTED_VALUE"""),"Foundation")</f>
        <v>Foundation</v>
      </c>
      <c r="G528" s="3"/>
      <c r="H528" s="156">
        <f ca="1">IFERROR(__xludf.DUMMYFUNCTION("""COMPUTED_VALUE"""),46086.5833333333)</f>
        <v>46086.583333333299</v>
      </c>
      <c r="I528" s="156">
        <f ca="1">IFERROR(__xludf.DUMMYFUNCTION("""COMPUTED_VALUE"""),46086.5833333333)</f>
        <v>46086.583333333299</v>
      </c>
      <c r="J528" s="3">
        <f ca="1">IFERROR(__xludf.DUMMYFUNCTION("""COMPUTED_VALUE"""),0.5)</f>
        <v>0.5</v>
      </c>
      <c r="K528" s="3" t="str">
        <f ca="1">IFERROR(__xludf.DUMMYFUNCTION("""COMPUTED_VALUE"""),"")</f>
        <v/>
      </c>
      <c r="L528" s="3" t="str">
        <f ca="1">IFERROR(__xludf.DUMMYFUNCTION("""COMPUTED_VALUE"""),"QC")</f>
        <v>QC</v>
      </c>
      <c r="M528" s="3" t="str">
        <f ca="1">IFERROR(__xludf.DUMMYFUNCTION("""COMPUTED_VALUE"""),"CHORUS")</f>
        <v>CHORUS</v>
      </c>
      <c r="N528" s="157">
        <f ca="1">IFERROR(__xludf.DUMMYFUNCTION("""COMPUTED_VALUE"""),0.5)</f>
        <v>0.5</v>
      </c>
      <c r="O528" s="157">
        <f ca="1">IFERROR(__xludf.DUMMYFUNCTION("""COMPUTED_VALUE"""),0)</f>
        <v>0</v>
      </c>
      <c r="P528" s="157"/>
      <c r="R528" s="147"/>
      <c r="S528" s="147"/>
      <c r="T528" s="147"/>
      <c r="U528" s="147"/>
      <c r="X528" s="147"/>
      <c r="Y528" s="147"/>
      <c r="Z528" s="147"/>
      <c r="AA528" s="147"/>
      <c r="AB528" s="147"/>
      <c r="AC528" s="147"/>
      <c r="AD528" s="147"/>
      <c r="AE528" s="147"/>
      <c r="AF528" s="147"/>
      <c r="AG528" s="147"/>
      <c r="AH528" s="147"/>
      <c r="AI528" s="147"/>
      <c r="AJ528" s="147"/>
      <c r="AK528" s="147"/>
      <c r="AL528" s="147"/>
      <c r="AM528" s="147"/>
      <c r="AN528" s="147"/>
      <c r="AO528" s="147"/>
      <c r="AP528" s="147"/>
      <c r="AQ528" s="147"/>
    </row>
    <row r="529" spans="1:43">
      <c r="A529" s="160" t="str">
        <f ca="1">IFERROR(__xludf.DUMMYFUNCTION("""COMPUTED_VALUE"""),"237103")</f>
        <v>237103</v>
      </c>
      <c r="B529" s="3" t="str">
        <f ca="1">IFERROR(__xludf.DUMMYFUNCTION("""COMPUTED_VALUE"""),"NGUYỄN THỊ THÙY LINH")</f>
        <v>NGUYỄN THỊ THÙY LINH</v>
      </c>
      <c r="C529" s="160" t="str">
        <f ca="1">IFERROR(__xludf.DUMMYFUNCTION("""COMPUTED_VALUE"""),"EL049")</f>
        <v>EL049</v>
      </c>
      <c r="D529" s="160" t="str">
        <f ca="1">IFERROR(__xludf.DUMMYFUNCTION("""COMPUTED_VALUE"""),"Phung Nguyen")</f>
        <v>Phung Nguyen</v>
      </c>
      <c r="E529" s="3" t="str">
        <f ca="1">IFERROR(__xludf.DUMMYFUNCTION("""COMPUTED_VALUE"""),"Foundation")</f>
        <v>Foundation</v>
      </c>
      <c r="F529" s="3" t="str">
        <f ca="1">IFERROR(__xludf.DUMMYFUNCTION("""COMPUTED_VALUE"""),"Foundation")</f>
        <v>Foundation</v>
      </c>
      <c r="G529" s="3"/>
      <c r="H529" s="156">
        <f ca="1">IFERROR(__xludf.DUMMYFUNCTION("""COMPUTED_VALUE"""),46086.5833333333)</f>
        <v>46086.583333333299</v>
      </c>
      <c r="I529" s="156">
        <f ca="1">IFERROR(__xludf.DUMMYFUNCTION("""COMPUTED_VALUE"""),46086.5833333333)</f>
        <v>46086.583333333299</v>
      </c>
      <c r="J529" s="3">
        <f ca="1">IFERROR(__xludf.DUMMYFUNCTION("""COMPUTED_VALUE"""),0.5)</f>
        <v>0.5</v>
      </c>
      <c r="K529" s="3" t="str">
        <f ca="1">IFERROR(__xludf.DUMMYFUNCTION("""COMPUTED_VALUE"""),"")</f>
        <v/>
      </c>
      <c r="L529" s="3" t="str">
        <f ca="1">IFERROR(__xludf.DUMMYFUNCTION("""COMPUTED_VALUE"""),"UI/UX")</f>
        <v>UI/UX</v>
      </c>
      <c r="M529" s="3" t="str">
        <f ca="1">IFERROR(__xludf.DUMMYFUNCTION("""COMPUTED_VALUE"""),"CHORUS")</f>
        <v>CHORUS</v>
      </c>
      <c r="N529" s="157">
        <f ca="1">IFERROR(__xludf.DUMMYFUNCTION("""COMPUTED_VALUE"""),0.5)</f>
        <v>0.5</v>
      </c>
      <c r="O529" s="157">
        <f ca="1">IFERROR(__xludf.DUMMYFUNCTION("""COMPUTED_VALUE"""),0)</f>
        <v>0</v>
      </c>
      <c r="P529" s="157"/>
      <c r="R529" s="147"/>
      <c r="S529" s="147"/>
      <c r="T529" s="147"/>
      <c r="U529" s="147"/>
      <c r="X529" s="147"/>
      <c r="Y529" s="147"/>
      <c r="Z529" s="147"/>
      <c r="AA529" s="147"/>
      <c r="AB529" s="147"/>
      <c r="AC529" s="147"/>
      <c r="AD529" s="147"/>
      <c r="AE529" s="147"/>
      <c r="AF529" s="147"/>
      <c r="AG529" s="147"/>
      <c r="AH529" s="147"/>
      <c r="AI529" s="147"/>
      <c r="AJ529" s="147"/>
      <c r="AK529" s="147"/>
      <c r="AL529" s="147"/>
      <c r="AM529" s="147"/>
      <c r="AN529" s="147"/>
      <c r="AO529" s="147"/>
      <c r="AP529" s="147"/>
      <c r="AQ529" s="147"/>
    </row>
    <row r="530" spans="1:43">
      <c r="A530" s="160" t="str">
        <f ca="1">IFERROR(__xludf.DUMMYFUNCTION("""COMPUTED_VALUE"""),"193495")</f>
        <v>193495</v>
      </c>
      <c r="B530" s="3" t="str">
        <f ca="1">IFERROR(__xludf.DUMMYFUNCTION("""COMPUTED_VALUE"""),"THẠCH THÁI HUY")</f>
        <v>THẠCH THÁI HUY</v>
      </c>
      <c r="C530" s="160" t="str">
        <f ca="1">IFERROR(__xludf.DUMMYFUNCTION("""COMPUTED_VALUE"""),"EL049")</f>
        <v>EL049</v>
      </c>
      <c r="D530" s="160" t="str">
        <f ca="1">IFERROR(__xludf.DUMMYFUNCTION("""COMPUTED_VALUE"""),"Phung Nguyen")</f>
        <v>Phung Nguyen</v>
      </c>
      <c r="E530" s="3" t="str">
        <f ca="1">IFERROR(__xludf.DUMMYFUNCTION("""COMPUTED_VALUE"""),"Foundation")</f>
        <v>Foundation</v>
      </c>
      <c r="F530" s="3" t="str">
        <f ca="1">IFERROR(__xludf.DUMMYFUNCTION("""COMPUTED_VALUE"""),"Foundation")</f>
        <v>Foundation</v>
      </c>
      <c r="G530" s="3"/>
      <c r="H530" s="156">
        <f ca="1">IFERROR(__xludf.DUMMYFUNCTION("""COMPUTED_VALUE"""),46086.5833333333)</f>
        <v>46086.583333333299</v>
      </c>
      <c r="I530" s="156">
        <f ca="1">IFERROR(__xludf.DUMMYFUNCTION("""COMPUTED_VALUE"""),46086.5833333333)</f>
        <v>46086.583333333299</v>
      </c>
      <c r="J530" s="3">
        <f ca="1">IFERROR(__xludf.DUMMYFUNCTION("""COMPUTED_VALUE"""),0.5)</f>
        <v>0.5</v>
      </c>
      <c r="K530" s="3" t="str">
        <f ca="1">IFERROR(__xludf.DUMMYFUNCTION("""COMPUTED_VALUE"""),"")</f>
        <v/>
      </c>
      <c r="L530" s="3" t="str">
        <f ca="1">IFERROR(__xludf.DUMMYFUNCTION("""COMPUTED_VALUE"""),"DEV")</f>
        <v>DEV</v>
      </c>
      <c r="M530" s="3" t="str">
        <f ca="1">IFERROR(__xludf.DUMMYFUNCTION("""COMPUTED_VALUE"""),"CHORUS")</f>
        <v>CHORUS</v>
      </c>
      <c r="N530" s="157">
        <f ca="1">IFERROR(__xludf.DUMMYFUNCTION("""COMPUTED_VALUE"""),0.5)</f>
        <v>0.5</v>
      </c>
      <c r="O530" s="157">
        <f ca="1">IFERROR(__xludf.DUMMYFUNCTION("""COMPUTED_VALUE"""),0)</f>
        <v>0</v>
      </c>
      <c r="P530" s="157"/>
      <c r="R530" s="147"/>
      <c r="S530" s="147"/>
      <c r="T530" s="147"/>
      <c r="U530" s="147"/>
      <c r="X530" s="147"/>
      <c r="Y530" s="147"/>
      <c r="Z530" s="147"/>
      <c r="AA530" s="147"/>
      <c r="AB530" s="147"/>
      <c r="AC530" s="147"/>
      <c r="AD530" s="147"/>
      <c r="AE530" s="147"/>
      <c r="AF530" s="147"/>
      <c r="AG530" s="147"/>
      <c r="AH530" s="147"/>
      <c r="AI530" s="147"/>
      <c r="AJ530" s="147"/>
      <c r="AK530" s="147"/>
      <c r="AL530" s="147"/>
      <c r="AM530" s="147"/>
      <c r="AN530" s="147"/>
      <c r="AO530" s="147"/>
      <c r="AP530" s="147"/>
      <c r="AQ530" s="147"/>
    </row>
    <row r="531" spans="1:43">
      <c r="A531" s="160" t="str">
        <f ca="1">IFERROR(__xludf.DUMMYFUNCTION("""COMPUTED_VALUE"""),"193633")</f>
        <v>193633</v>
      </c>
      <c r="B531" s="3" t="str">
        <f ca="1">IFERROR(__xludf.DUMMYFUNCTION("""COMPUTED_VALUE"""),"Nguyen Hoai Nam")</f>
        <v>Nguyen Hoai Nam</v>
      </c>
      <c r="C531" s="160" t="str">
        <f ca="1">IFERROR(__xludf.DUMMYFUNCTION("""COMPUTED_VALUE"""),"EL050")</f>
        <v>EL050</v>
      </c>
      <c r="D531" s="160" t="str">
        <f ca="1">IFERROR(__xludf.DUMMYFUNCTION("""COMPUTED_VALUE"""),"Nam Nguyen")</f>
        <v>Nam Nguyen</v>
      </c>
      <c r="E531" s="3" t="str">
        <f ca="1">IFERROR(__xludf.DUMMYFUNCTION("""COMPUTED_VALUE"""),"Communication 1")</f>
        <v>Communication 1</v>
      </c>
      <c r="F531" s="3" t="str">
        <f ca="1">IFERROR(__xludf.DUMMYFUNCTION("""COMPUTED_VALUE"""),"Foundation")</f>
        <v>Foundation</v>
      </c>
      <c r="G531" s="3"/>
      <c r="H531" s="156">
        <f ca="1">IFERROR(__xludf.DUMMYFUNCTION("""COMPUTED_VALUE"""),46120.4583333333)</f>
        <v>46120.458333333299</v>
      </c>
      <c r="I531" s="156">
        <f ca="1">IFERROR(__xludf.DUMMYFUNCTION("""COMPUTED_VALUE"""),45635.4375)</f>
        <v>45635.4375</v>
      </c>
      <c r="J531" s="3">
        <f ca="1">IFERROR(__xludf.DUMMYFUNCTION("""COMPUTED_VALUE"""),0.5)</f>
        <v>0.5</v>
      </c>
      <c r="K531" s="3" t="str">
        <f ca="1">IFERROR(__xludf.DUMMYFUNCTION("""COMPUTED_VALUE"""),"")</f>
        <v/>
      </c>
      <c r="L531" s="3" t="str">
        <f ca="1">IFERROR(__xludf.DUMMYFUNCTION("""COMPUTED_VALUE"""),"QC")</f>
        <v>QC</v>
      </c>
      <c r="M531" s="3" t="str">
        <f ca="1">IFERROR(__xludf.DUMMYFUNCTION("""COMPUTED_VALUE"""),"ONC")</f>
        <v>ONC</v>
      </c>
      <c r="N531" s="157">
        <f ca="1">IFERROR(__xludf.DUMMYFUNCTION("""COMPUTED_VALUE"""),1)</f>
        <v>1</v>
      </c>
      <c r="O531" s="157">
        <f ca="1">IFERROR(__xludf.DUMMYFUNCTION("""COMPUTED_VALUE"""),1)</f>
        <v>1</v>
      </c>
      <c r="P531" s="157"/>
      <c r="R531" s="147"/>
      <c r="S531" s="147"/>
      <c r="T531" s="147"/>
      <c r="U531" s="147"/>
      <c r="X531" s="147"/>
      <c r="Y531" s="147"/>
      <c r="Z531" s="147"/>
      <c r="AA531" s="147"/>
      <c r="AB531" s="147"/>
      <c r="AC531" s="147"/>
      <c r="AD531" s="147"/>
      <c r="AE531" s="147"/>
      <c r="AF531" s="147"/>
      <c r="AG531" s="147"/>
      <c r="AH531" s="147"/>
      <c r="AI531" s="147"/>
      <c r="AJ531" s="147"/>
      <c r="AK531" s="147"/>
      <c r="AL531" s="147"/>
      <c r="AM531" s="147"/>
      <c r="AN531" s="147"/>
      <c r="AO531" s="147"/>
      <c r="AP531" s="147"/>
      <c r="AQ531" s="147"/>
    </row>
    <row r="532" spans="1:43">
      <c r="A532" s="160" t="str">
        <f ca="1">IFERROR(__xludf.DUMMYFUNCTION("""COMPUTED_VALUE"""),"213817")</f>
        <v>213817</v>
      </c>
      <c r="B532" s="3" t="str">
        <f ca="1">IFERROR(__xludf.DUMMYFUNCTION("""COMPUTED_VALUE"""),"Bui Duy Tan")</f>
        <v>Bui Duy Tan</v>
      </c>
      <c r="C532" s="160" t="str">
        <f ca="1">IFERROR(__xludf.DUMMYFUNCTION("""COMPUTED_VALUE"""),"EL050")</f>
        <v>EL050</v>
      </c>
      <c r="D532" s="160" t="str">
        <f ca="1">IFERROR(__xludf.DUMMYFUNCTION("""COMPUTED_VALUE"""),"Nam Nguyen")</f>
        <v>Nam Nguyen</v>
      </c>
      <c r="E532" s="3" t="str">
        <f ca="1">IFERROR(__xludf.DUMMYFUNCTION("""COMPUTED_VALUE"""),"Communication 1")</f>
        <v>Communication 1</v>
      </c>
      <c r="F532" s="3" t="str">
        <f ca="1">IFERROR(__xludf.DUMMYFUNCTION("""COMPUTED_VALUE"""),"Beginner 2")</f>
        <v>Beginner 2</v>
      </c>
      <c r="G532" s="3"/>
      <c r="H532" s="156">
        <f ca="1">IFERROR(__xludf.DUMMYFUNCTION("""COMPUTED_VALUE"""),46120.4583333333)</f>
        <v>46120.458333333299</v>
      </c>
      <c r="I532" s="156">
        <f ca="1">IFERROR(__xludf.DUMMYFUNCTION("""COMPUTED_VALUE"""),46120.4583333333)</f>
        <v>46120.458333333299</v>
      </c>
      <c r="J532" s="3">
        <f ca="1">IFERROR(__xludf.DUMMYFUNCTION("""COMPUTED_VALUE"""),1.5)</f>
        <v>1.5</v>
      </c>
      <c r="K532" s="3" t="str">
        <f ca="1">IFERROR(__xludf.DUMMYFUNCTION("""COMPUTED_VALUE"""),"")</f>
        <v/>
      </c>
      <c r="L532" s="3" t="str">
        <f ca="1">IFERROR(__xludf.DUMMYFUNCTION("""COMPUTED_VALUE"""),"QC")</f>
        <v>QC</v>
      </c>
      <c r="M532" s="3" t="str">
        <f ca="1">IFERROR(__xludf.DUMMYFUNCTION("""COMPUTED_VALUE"""),"ONC")</f>
        <v>ONC</v>
      </c>
      <c r="N532" s="157">
        <f ca="1">IFERROR(__xludf.DUMMYFUNCTION("""COMPUTED_VALUE"""),1.5)</f>
        <v>1.5</v>
      </c>
      <c r="O532" s="157">
        <f ca="1">IFERROR(__xludf.DUMMYFUNCTION("""COMPUTED_VALUE"""),0)</f>
        <v>0</v>
      </c>
      <c r="P532" s="157"/>
      <c r="R532" s="147"/>
      <c r="S532" s="147"/>
      <c r="T532" s="147"/>
      <c r="U532" s="147"/>
      <c r="X532" s="147"/>
      <c r="Y532" s="147"/>
      <c r="Z532" s="147"/>
      <c r="AA532" s="147"/>
      <c r="AB532" s="147"/>
      <c r="AC532" s="147"/>
      <c r="AD532" s="147"/>
      <c r="AE532" s="147"/>
      <c r="AF532" s="147"/>
      <c r="AG532" s="147"/>
      <c r="AH532" s="147"/>
      <c r="AI532" s="147"/>
      <c r="AJ532" s="147"/>
      <c r="AK532" s="147"/>
      <c r="AL532" s="147"/>
      <c r="AM532" s="147"/>
      <c r="AN532" s="147"/>
      <c r="AO532" s="147"/>
      <c r="AP532" s="147"/>
      <c r="AQ532" s="147"/>
    </row>
    <row r="533" spans="1:43">
      <c r="A533" s="160" t="str">
        <f ca="1">IFERROR(__xludf.DUMMYFUNCTION("""COMPUTED_VALUE"""),"247185")</f>
        <v>247185</v>
      </c>
      <c r="B533" s="3" t="str">
        <f ca="1">IFERROR(__xludf.DUMMYFUNCTION("""COMPUTED_VALUE"""),"LÊ MINH DUY")</f>
        <v>LÊ MINH DUY</v>
      </c>
      <c r="C533" s="160" t="str">
        <f ca="1">IFERROR(__xludf.DUMMYFUNCTION("""COMPUTED_VALUE"""),"EL050")</f>
        <v>EL050</v>
      </c>
      <c r="D533" s="160" t="str">
        <f ca="1">IFERROR(__xludf.DUMMYFUNCTION("""COMPUTED_VALUE"""),"Nam Nguyen")</f>
        <v>Nam Nguyen</v>
      </c>
      <c r="E533" s="3" t="str">
        <f ca="1">IFERROR(__xludf.DUMMYFUNCTION("""COMPUTED_VALUE"""),"Communication 1")</f>
        <v>Communication 1</v>
      </c>
      <c r="F533" s="3" t="str">
        <f ca="1">IFERROR(__xludf.DUMMYFUNCTION("""COMPUTED_VALUE"""),"Foundation")</f>
        <v>Foundation</v>
      </c>
      <c r="G533" s="3"/>
      <c r="H533" s="156">
        <f ca="1">IFERROR(__xludf.DUMMYFUNCTION("""COMPUTED_VALUE"""),46120.4583333333)</f>
        <v>46120.458333333299</v>
      </c>
      <c r="I533" s="156">
        <f ca="1">IFERROR(__xludf.DUMMYFUNCTION("""COMPUTED_VALUE"""),45637.375)</f>
        <v>45637.375</v>
      </c>
      <c r="J533" s="3">
        <f ca="1">IFERROR(__xludf.DUMMYFUNCTION("""COMPUTED_VALUE"""),0.5)</f>
        <v>0.5</v>
      </c>
      <c r="K533" s="3" t="str">
        <f ca="1">IFERROR(__xludf.DUMMYFUNCTION("""COMPUTED_VALUE"""),"")</f>
        <v/>
      </c>
      <c r="L533" s="3" t="str">
        <f ca="1">IFERROR(__xludf.DUMMYFUNCTION("""COMPUTED_VALUE"""),"QC")</f>
        <v>QC</v>
      </c>
      <c r="M533" s="3" t="str">
        <f ca="1">IFERROR(__xludf.DUMMYFUNCTION("""COMPUTED_VALUE"""),"ONC")</f>
        <v>ONC</v>
      </c>
      <c r="N533" s="157">
        <f ca="1">IFERROR(__xludf.DUMMYFUNCTION("""COMPUTED_VALUE"""),1)</f>
        <v>1</v>
      </c>
      <c r="O533" s="157">
        <f ca="1">IFERROR(__xludf.DUMMYFUNCTION("""COMPUTED_VALUE"""),2.5)</f>
        <v>2.5</v>
      </c>
      <c r="P533" s="157"/>
      <c r="R533" s="147"/>
      <c r="S533" s="147"/>
      <c r="T533" s="147"/>
      <c r="U533" s="147"/>
      <c r="X533" s="147"/>
      <c r="Y533" s="147"/>
      <c r="Z533" s="147"/>
      <c r="AA533" s="147"/>
      <c r="AB533" s="147"/>
      <c r="AC533" s="147"/>
      <c r="AD533" s="147"/>
      <c r="AE533" s="147"/>
      <c r="AF533" s="147"/>
      <c r="AG533" s="147"/>
      <c r="AH533" s="147"/>
      <c r="AI533" s="147"/>
      <c r="AJ533" s="147"/>
      <c r="AK533" s="147"/>
      <c r="AL533" s="147"/>
      <c r="AM533" s="147"/>
      <c r="AN533" s="147"/>
      <c r="AO533" s="147"/>
      <c r="AP533" s="147"/>
      <c r="AQ533" s="147"/>
    </row>
    <row r="534" spans="1:43">
      <c r="A534" s="160" t="str">
        <f ca="1">IFERROR(__xludf.DUMMYFUNCTION("""COMPUTED_VALUE"""),"257133")</f>
        <v>257133</v>
      </c>
      <c r="B534" s="3" t="str">
        <f ca="1">IFERROR(__xludf.DUMMYFUNCTION("""COMPUTED_VALUE"""),"Le Thi Diem Phuong")</f>
        <v>Le Thi Diem Phuong</v>
      </c>
      <c r="C534" s="160" t="str">
        <f ca="1">IFERROR(__xludf.DUMMYFUNCTION("""COMPUTED_VALUE"""),"EL050")</f>
        <v>EL050</v>
      </c>
      <c r="D534" s="160" t="str">
        <f ca="1">IFERROR(__xludf.DUMMYFUNCTION("""COMPUTED_VALUE"""),"Nam Nguyen")</f>
        <v>Nam Nguyen</v>
      </c>
      <c r="E534" s="3" t="str">
        <f ca="1">IFERROR(__xludf.DUMMYFUNCTION("""COMPUTED_VALUE"""),"Communication 1")</f>
        <v>Communication 1</v>
      </c>
      <c r="F534" s="3" t="str">
        <f ca="1">IFERROR(__xludf.DUMMYFUNCTION("""COMPUTED_VALUE"""),"Foundation")</f>
        <v>Foundation</v>
      </c>
      <c r="G534" s="3"/>
      <c r="H534" s="156">
        <f ca="1">IFERROR(__xludf.DUMMYFUNCTION("""COMPUTED_VALUE"""),46120.4583333333)</f>
        <v>46120.458333333299</v>
      </c>
      <c r="I534" s="156">
        <f ca="1">IFERROR(__xludf.DUMMYFUNCTION("""COMPUTED_VALUE"""),46120.4583333333)</f>
        <v>46120.458333333299</v>
      </c>
      <c r="J534" s="3">
        <f ca="1">IFERROR(__xludf.DUMMYFUNCTION("""COMPUTED_VALUE"""),0.5)</f>
        <v>0.5</v>
      </c>
      <c r="K534" s="3" t="str">
        <f ca="1">IFERROR(__xludf.DUMMYFUNCTION("""COMPUTED_VALUE"""),"")</f>
        <v/>
      </c>
      <c r="L534" s="3" t="str">
        <f ca="1">IFERROR(__xludf.DUMMYFUNCTION("""COMPUTED_VALUE"""),"QC")</f>
        <v>QC</v>
      </c>
      <c r="M534" s="3" t="str">
        <f ca="1">IFERROR(__xludf.DUMMYFUNCTION("""COMPUTED_VALUE"""),"ONC")</f>
        <v>ONC</v>
      </c>
      <c r="N534" s="157">
        <f ca="1">IFERROR(__xludf.DUMMYFUNCTION("""COMPUTED_VALUE"""),0.5)</f>
        <v>0.5</v>
      </c>
      <c r="O534" s="157">
        <f ca="1">IFERROR(__xludf.DUMMYFUNCTION("""COMPUTED_VALUE"""),0)</f>
        <v>0</v>
      </c>
      <c r="P534" s="157"/>
      <c r="R534" s="147"/>
      <c r="S534" s="147"/>
      <c r="T534" s="147"/>
      <c r="U534" s="147"/>
      <c r="X534" s="147"/>
      <c r="Y534" s="147"/>
      <c r="Z534" s="147"/>
      <c r="AA534" s="147"/>
      <c r="AB534" s="147"/>
      <c r="AC534" s="147"/>
      <c r="AD534" s="147"/>
      <c r="AE534" s="147"/>
      <c r="AF534" s="147"/>
      <c r="AG534" s="147"/>
      <c r="AH534" s="147"/>
      <c r="AI534" s="147"/>
      <c r="AJ534" s="147"/>
      <c r="AK534" s="147"/>
      <c r="AL534" s="147"/>
      <c r="AM534" s="147"/>
      <c r="AN534" s="147"/>
      <c r="AO534" s="147"/>
      <c r="AP534" s="147"/>
      <c r="AQ534" s="147"/>
    </row>
    <row r="535" spans="1:43">
      <c r="A535" s="160" t="str">
        <f ca="1">IFERROR(__xludf.DUMMYFUNCTION("""COMPUTED_VALUE"""),"227177")</f>
        <v>227177</v>
      </c>
      <c r="B535" s="3" t="str">
        <f ca="1">IFERROR(__xludf.DUMMYFUNCTION("""COMPUTED_VALUE"""),"NGUYỄN NGỌC HOÀNG BẢO TRÂN")</f>
        <v>NGUYỄN NGỌC HOÀNG BẢO TRÂN</v>
      </c>
      <c r="C535" s="160" t="str">
        <f ca="1">IFERROR(__xludf.DUMMYFUNCTION("""COMPUTED_VALUE"""),"EL050")</f>
        <v>EL050</v>
      </c>
      <c r="D535" s="160" t="str">
        <f ca="1">IFERROR(__xludf.DUMMYFUNCTION("""COMPUTED_VALUE"""),"Nam Nguyen")</f>
        <v>Nam Nguyen</v>
      </c>
      <c r="E535" s="3" t="str">
        <f ca="1">IFERROR(__xludf.DUMMYFUNCTION("""COMPUTED_VALUE"""),"Communication 1")</f>
        <v>Communication 1</v>
      </c>
      <c r="F535" s="3" t="str">
        <f ca="1">IFERROR(__xludf.DUMMYFUNCTION("""COMPUTED_VALUE"""),"Foundation")</f>
        <v>Foundation</v>
      </c>
      <c r="G535" s="3"/>
      <c r="H535" s="156">
        <f ca="1">IFERROR(__xludf.DUMMYFUNCTION("""COMPUTED_VALUE"""),46120.4583333333)</f>
        <v>46120.458333333299</v>
      </c>
      <c r="I535" s="156">
        <f ca="1">IFERROR(__xludf.DUMMYFUNCTION("""COMPUTED_VALUE"""),45637.375)</f>
        <v>45637.375</v>
      </c>
      <c r="J535" s="3">
        <f ca="1">IFERROR(__xludf.DUMMYFUNCTION("""COMPUTED_VALUE"""),0.5)</f>
        <v>0.5</v>
      </c>
      <c r="K535" s="3" t="str">
        <f ca="1">IFERROR(__xludf.DUMMYFUNCTION("""COMPUTED_VALUE"""),"")</f>
        <v/>
      </c>
      <c r="L535" s="3" t="str">
        <f ca="1">IFERROR(__xludf.DUMMYFUNCTION("""COMPUTED_VALUE"""),"QC")</f>
        <v>QC</v>
      </c>
      <c r="M535" s="3" t="str">
        <f ca="1">IFERROR(__xludf.DUMMYFUNCTION("""COMPUTED_VALUE"""),"ONC")</f>
        <v>ONC</v>
      </c>
      <c r="N535" s="157">
        <f ca="1">IFERROR(__xludf.DUMMYFUNCTION("""COMPUTED_VALUE"""),1)</f>
        <v>1</v>
      </c>
      <c r="O535" s="157">
        <f ca="1">IFERROR(__xludf.DUMMYFUNCTION("""COMPUTED_VALUE"""),2.5)</f>
        <v>2.5</v>
      </c>
      <c r="P535" s="157"/>
      <c r="R535" s="147"/>
      <c r="S535" s="147"/>
      <c r="T535" s="147"/>
      <c r="U535" s="147"/>
      <c r="X535" s="147"/>
      <c r="Y535" s="147"/>
      <c r="Z535" s="147"/>
      <c r="AA535" s="147"/>
      <c r="AB535" s="147"/>
      <c r="AC535" s="147"/>
      <c r="AD535" s="147"/>
      <c r="AE535" s="147"/>
      <c r="AF535" s="147"/>
      <c r="AG535" s="147"/>
      <c r="AH535" s="147"/>
      <c r="AI535" s="147"/>
      <c r="AJ535" s="147"/>
      <c r="AK535" s="147"/>
      <c r="AL535" s="147"/>
      <c r="AM535" s="147"/>
      <c r="AN535" s="147"/>
      <c r="AO535" s="147"/>
      <c r="AP535" s="147"/>
      <c r="AQ535" s="147"/>
    </row>
    <row r="536" spans="1:43">
      <c r="A536" s="160" t="str">
        <f ca="1">IFERROR(__xludf.DUMMYFUNCTION("""COMPUTED_VALUE"""),"257132")</f>
        <v>257132</v>
      </c>
      <c r="B536" s="3" t="str">
        <f ca="1">IFERROR(__xludf.DUMMYFUNCTION("""COMPUTED_VALUE"""),"Tran Thi Huyen Tran")</f>
        <v>Tran Thi Huyen Tran</v>
      </c>
      <c r="C536" s="160" t="str">
        <f ca="1">IFERROR(__xludf.DUMMYFUNCTION("""COMPUTED_VALUE"""),"EL050")</f>
        <v>EL050</v>
      </c>
      <c r="D536" s="160" t="str">
        <f ca="1">IFERROR(__xludf.DUMMYFUNCTION("""COMPUTED_VALUE"""),"Nam Nguyen")</f>
        <v>Nam Nguyen</v>
      </c>
      <c r="E536" s="3" t="str">
        <f ca="1">IFERROR(__xludf.DUMMYFUNCTION("""COMPUTED_VALUE"""),"Communication 1")</f>
        <v>Communication 1</v>
      </c>
      <c r="F536" s="3" t="str">
        <f ca="1">IFERROR(__xludf.DUMMYFUNCTION("""COMPUTED_VALUE"""),"Foundation")</f>
        <v>Foundation</v>
      </c>
      <c r="G536" s="3"/>
      <c r="H536" s="156">
        <f ca="1">IFERROR(__xludf.DUMMYFUNCTION("""COMPUTED_VALUE"""),46120.4583333333)</f>
        <v>46120.458333333299</v>
      </c>
      <c r="I536" s="156">
        <f ca="1">IFERROR(__xludf.DUMMYFUNCTION("""COMPUTED_VALUE"""),46120.4583333333)</f>
        <v>46120.458333333299</v>
      </c>
      <c r="J536" s="3">
        <f ca="1">IFERROR(__xludf.DUMMYFUNCTION("""COMPUTED_VALUE"""),0.5)</f>
        <v>0.5</v>
      </c>
      <c r="K536" s="3" t="str">
        <f ca="1">IFERROR(__xludf.DUMMYFUNCTION("""COMPUTED_VALUE"""),"")</f>
        <v/>
      </c>
      <c r="L536" s="3" t="str">
        <f ca="1">IFERROR(__xludf.DUMMYFUNCTION("""COMPUTED_VALUE"""),"QC")</f>
        <v>QC</v>
      </c>
      <c r="M536" s="3" t="str">
        <f ca="1">IFERROR(__xludf.DUMMYFUNCTION("""COMPUTED_VALUE"""),"ONC")</f>
        <v>ONC</v>
      </c>
      <c r="N536" s="157">
        <f ca="1">IFERROR(__xludf.DUMMYFUNCTION("""COMPUTED_VALUE"""),0.5)</f>
        <v>0.5</v>
      </c>
      <c r="O536" s="157">
        <f ca="1">IFERROR(__xludf.DUMMYFUNCTION("""COMPUTED_VALUE"""),0)</f>
        <v>0</v>
      </c>
      <c r="P536" s="157"/>
      <c r="R536" s="147"/>
      <c r="S536" s="147"/>
      <c r="T536" s="147"/>
      <c r="U536" s="147"/>
      <c r="X536" s="147"/>
      <c r="Y536" s="147"/>
      <c r="Z536" s="147"/>
      <c r="AA536" s="147"/>
      <c r="AB536" s="147"/>
      <c r="AC536" s="147"/>
      <c r="AD536" s="147"/>
      <c r="AE536" s="147"/>
      <c r="AF536" s="147"/>
      <c r="AG536" s="147"/>
      <c r="AH536" s="147"/>
      <c r="AI536" s="147"/>
      <c r="AJ536" s="147"/>
      <c r="AK536" s="147"/>
      <c r="AL536" s="147"/>
      <c r="AM536" s="147"/>
      <c r="AN536" s="147"/>
      <c r="AO536" s="147"/>
      <c r="AP536" s="147"/>
      <c r="AQ536" s="147"/>
    </row>
    <row r="537" spans="1:43">
      <c r="A537" s="160" t="str">
        <f ca="1">IFERROR(__xludf.DUMMYFUNCTION("""COMPUTED_VALUE"""),"193511")</f>
        <v>193511</v>
      </c>
      <c r="B537" s="3" t="str">
        <f ca="1">IFERROR(__xludf.DUMMYFUNCTION("""COMPUTED_VALUE"""),"Trang Duy Thông")</f>
        <v>Trang Duy Thông</v>
      </c>
      <c r="C537" s="160" t="str">
        <f ca="1">IFERROR(__xludf.DUMMYFUNCTION("""COMPUTED_VALUE"""),"EL050")</f>
        <v>EL050</v>
      </c>
      <c r="D537" s="160" t="str">
        <f ca="1">IFERROR(__xludf.DUMMYFUNCTION("""COMPUTED_VALUE"""),"Nam Nguyen")</f>
        <v>Nam Nguyen</v>
      </c>
      <c r="E537" s="3" t="str">
        <f ca="1">IFERROR(__xludf.DUMMYFUNCTION("""COMPUTED_VALUE"""),"Communication 1")</f>
        <v>Communication 1</v>
      </c>
      <c r="F537" s="3" t="str">
        <f ca="1">IFERROR(__xludf.DUMMYFUNCTION("""COMPUTED_VALUE"""),"Foundation")</f>
        <v>Foundation</v>
      </c>
      <c r="G537" s="3"/>
      <c r="H537" s="156">
        <f ca="1">IFERROR(__xludf.DUMMYFUNCTION("""COMPUTED_VALUE"""),46120.4583333333)</f>
        <v>46120.458333333299</v>
      </c>
      <c r="I537" s="156">
        <f ca="1">IFERROR(__xludf.DUMMYFUNCTION("""COMPUTED_VALUE"""),46120.4583333333)</f>
        <v>46120.458333333299</v>
      </c>
      <c r="J537" s="3">
        <f ca="1">IFERROR(__xludf.DUMMYFUNCTION("""COMPUTED_VALUE"""),0.5)</f>
        <v>0.5</v>
      </c>
      <c r="K537" s="3" t="str">
        <f ca="1">IFERROR(__xludf.DUMMYFUNCTION("""COMPUTED_VALUE"""),"")</f>
        <v/>
      </c>
      <c r="L537" s="3" t="str">
        <f ca="1">IFERROR(__xludf.DUMMYFUNCTION("""COMPUTED_VALUE"""),"DEV")</f>
        <v>DEV</v>
      </c>
      <c r="M537" s="3" t="str">
        <f ca="1">IFERROR(__xludf.DUMMYFUNCTION("""COMPUTED_VALUE"""),"ONC")</f>
        <v>ONC</v>
      </c>
      <c r="N537" s="157">
        <f ca="1">IFERROR(__xludf.DUMMYFUNCTION("""COMPUTED_VALUE"""),0.5)</f>
        <v>0.5</v>
      </c>
      <c r="O537" s="157">
        <f ca="1">IFERROR(__xludf.DUMMYFUNCTION("""COMPUTED_VALUE"""),0)</f>
        <v>0</v>
      </c>
      <c r="P537" s="157"/>
      <c r="R537" s="147"/>
      <c r="S537" s="147"/>
      <c r="T537" s="147"/>
      <c r="U537" s="147"/>
      <c r="X537" s="147"/>
      <c r="Y537" s="147"/>
      <c r="Z537" s="147"/>
      <c r="AA537" s="147"/>
      <c r="AB537" s="147"/>
      <c r="AC537" s="147"/>
      <c r="AD537" s="147"/>
      <c r="AE537" s="147"/>
      <c r="AF537" s="147"/>
      <c r="AG537" s="147"/>
      <c r="AH537" s="147"/>
      <c r="AI537" s="147"/>
      <c r="AJ537" s="147"/>
      <c r="AK537" s="147"/>
      <c r="AL537" s="147"/>
      <c r="AM537" s="147"/>
      <c r="AN537" s="147"/>
      <c r="AO537" s="147"/>
      <c r="AP537" s="147"/>
      <c r="AQ537" s="147"/>
    </row>
    <row r="538" spans="1:43">
      <c r="A538" s="160" t="str">
        <f ca="1">IFERROR(__xludf.DUMMYFUNCTION("""COMPUTED_VALUE"""),"183330")</f>
        <v>183330</v>
      </c>
      <c r="B538" s="3" t="str">
        <f ca="1">IFERROR(__xludf.DUMMYFUNCTION("""COMPUTED_VALUE"""),"NGUYỄN THỊ KIM TRANG")</f>
        <v>NGUYỄN THỊ KIM TRANG</v>
      </c>
      <c r="C538" s="160" t="str">
        <f ca="1">IFERROR(__xludf.DUMMYFUNCTION("""COMPUTED_VALUE"""),"EL051")</f>
        <v>EL051</v>
      </c>
      <c r="D538" s="160" t="str">
        <f ca="1">IFERROR(__xludf.DUMMYFUNCTION("""COMPUTED_VALUE"""),"Trang Nguyen")</f>
        <v>Trang Nguyen</v>
      </c>
      <c r="E538" s="3" t="str">
        <f ca="1">IFERROR(__xludf.DUMMYFUNCTION("""COMPUTED_VALUE"""),"Communication 1")</f>
        <v>Communication 1</v>
      </c>
      <c r="F538" s="3" t="str">
        <f ca="1">IFERROR(__xludf.DUMMYFUNCTION("""COMPUTED_VALUE"""),"Beginner")</f>
        <v>Beginner</v>
      </c>
      <c r="G538" s="3"/>
      <c r="H538" s="156">
        <f ca="1">IFERROR(__xludf.DUMMYFUNCTION("""COMPUTED_VALUE"""),46126.625)</f>
        <v>46126.625</v>
      </c>
      <c r="I538" s="156">
        <f ca="1">IFERROR(__xludf.DUMMYFUNCTION("""COMPUTED_VALUE"""),45917.5833333333)</f>
        <v>45917.583333333299</v>
      </c>
      <c r="J538" s="3">
        <f ca="1">IFERROR(__xludf.DUMMYFUNCTION("""COMPUTED_VALUE"""),1)</f>
        <v>1</v>
      </c>
      <c r="K538" s="3" t="str">
        <f ca="1">IFERROR(__xludf.DUMMYFUNCTION("""COMPUTED_VALUE"""),"")</f>
        <v/>
      </c>
      <c r="L538" s="3" t="str">
        <f ca="1">IFERROR(__xludf.DUMMYFUNCTION("""COMPUTED_VALUE"""),"GSD")</f>
        <v>GSD</v>
      </c>
      <c r="M538" s="3" t="str">
        <f ca="1">IFERROR(__xludf.DUMMYFUNCTION("""COMPUTED_VALUE"""),"TBU")</f>
        <v>TBU</v>
      </c>
      <c r="N538" s="157">
        <f ca="1">IFERROR(__xludf.DUMMYFUNCTION("""COMPUTED_VALUE"""),0.5)</f>
        <v>0.5</v>
      </c>
      <c r="O538" s="157">
        <f ca="1">IFERROR(__xludf.DUMMYFUNCTION("""COMPUTED_VALUE"""),1)</f>
        <v>1</v>
      </c>
      <c r="P538" s="157"/>
      <c r="R538" s="147"/>
      <c r="S538" s="147"/>
      <c r="T538" s="147"/>
      <c r="U538" s="147"/>
      <c r="X538" s="147"/>
      <c r="Y538" s="147"/>
      <c r="Z538" s="147"/>
      <c r="AA538" s="147"/>
      <c r="AB538" s="147"/>
      <c r="AC538" s="147"/>
      <c r="AD538" s="147"/>
      <c r="AE538" s="147"/>
      <c r="AF538" s="147"/>
      <c r="AG538" s="147"/>
      <c r="AH538" s="147"/>
      <c r="AI538" s="147"/>
      <c r="AJ538" s="147"/>
      <c r="AK538" s="147"/>
      <c r="AL538" s="147"/>
      <c r="AM538" s="147"/>
      <c r="AN538" s="147"/>
      <c r="AO538" s="147"/>
      <c r="AP538" s="147"/>
      <c r="AQ538" s="147"/>
    </row>
    <row r="539" spans="1:43">
      <c r="A539" s="160" t="str">
        <f ca="1">IFERROR(__xludf.DUMMYFUNCTION("""COMPUTED_VALUE"""),"183322")</f>
        <v>183322</v>
      </c>
      <c r="B539" s="3" t="str">
        <f ca="1">IFERROR(__xludf.DUMMYFUNCTION("""COMPUTED_VALUE"""),"ĐÀO TRUNG HIẾU")</f>
        <v>ĐÀO TRUNG HIẾU</v>
      </c>
      <c r="C539" s="160" t="str">
        <f ca="1">IFERROR(__xludf.DUMMYFUNCTION("""COMPUTED_VALUE"""),"EL051")</f>
        <v>EL051</v>
      </c>
      <c r="D539" s="160" t="str">
        <f ca="1">IFERROR(__xludf.DUMMYFUNCTION("""COMPUTED_VALUE"""),"Trang Nguyen")</f>
        <v>Trang Nguyen</v>
      </c>
      <c r="E539" s="3" t="str">
        <f ca="1">IFERROR(__xludf.DUMMYFUNCTION("""COMPUTED_VALUE"""),"Communication 1")</f>
        <v>Communication 1</v>
      </c>
      <c r="F539" s="3" t="str">
        <f ca="1">IFERROR(__xludf.DUMMYFUNCTION("""COMPUTED_VALUE"""),"Foundation")</f>
        <v>Foundation</v>
      </c>
      <c r="G539" s="3"/>
      <c r="H539" s="156">
        <f ca="1">IFERROR(__xludf.DUMMYFUNCTION("""COMPUTED_VALUE"""),46126.625)</f>
        <v>46126.625</v>
      </c>
      <c r="I539" s="156">
        <f ca="1">IFERROR(__xludf.DUMMYFUNCTION("""COMPUTED_VALUE"""),45916.4583333333)</f>
        <v>45916.458333333299</v>
      </c>
      <c r="J539" s="3">
        <f ca="1">IFERROR(__xludf.DUMMYFUNCTION("""COMPUTED_VALUE"""),0.5)</f>
        <v>0.5</v>
      </c>
      <c r="K539" s="3" t="str">
        <f ca="1">IFERROR(__xludf.DUMMYFUNCTION("""COMPUTED_VALUE"""),"")</f>
        <v/>
      </c>
      <c r="L539" s="3" t="str">
        <f ca="1">IFERROR(__xludf.DUMMYFUNCTION("""COMPUTED_VALUE"""),"DEV")</f>
        <v>DEV</v>
      </c>
      <c r="M539" s="3" t="str">
        <f ca="1">IFERROR(__xludf.DUMMYFUNCTION("""COMPUTED_VALUE"""),"MOC")</f>
        <v>MOC</v>
      </c>
      <c r="N539" s="157">
        <f ca="1">IFERROR(__xludf.DUMMYFUNCTION("""COMPUTED_VALUE"""),0.5)</f>
        <v>0.5</v>
      </c>
      <c r="O539" s="157">
        <f ca="1">IFERROR(__xludf.DUMMYFUNCTION("""COMPUTED_VALUE"""),0.5)</f>
        <v>0.5</v>
      </c>
      <c r="P539" s="157"/>
      <c r="R539" s="147"/>
      <c r="S539" s="147"/>
      <c r="T539" s="147"/>
      <c r="U539" s="147"/>
      <c r="X539" s="147"/>
      <c r="Y539" s="147"/>
      <c r="Z539" s="147"/>
      <c r="AA539" s="147"/>
      <c r="AB539" s="147"/>
      <c r="AC539" s="147"/>
      <c r="AD539" s="147"/>
      <c r="AE539" s="147"/>
      <c r="AF539" s="147"/>
      <c r="AG539" s="147"/>
      <c r="AH539" s="147"/>
      <c r="AI539" s="147"/>
      <c r="AJ539" s="147"/>
      <c r="AK539" s="147"/>
      <c r="AL539" s="147"/>
      <c r="AM539" s="147"/>
      <c r="AN539" s="147"/>
      <c r="AO539" s="147"/>
      <c r="AP539" s="147"/>
      <c r="AQ539" s="147"/>
    </row>
    <row r="540" spans="1:43">
      <c r="A540" s="160" t="str">
        <f ca="1">IFERROR(__xludf.DUMMYFUNCTION("""COMPUTED_VALUE"""),"213844")</f>
        <v>213844</v>
      </c>
      <c r="B540" s="3" t="str">
        <f ca="1">IFERROR(__xludf.DUMMYFUNCTION("""COMPUTED_VALUE"""),"LÊ MINH HY")</f>
        <v>LÊ MINH HY</v>
      </c>
      <c r="C540" s="160" t="str">
        <f ca="1">IFERROR(__xludf.DUMMYFUNCTION("""COMPUTED_VALUE"""),"EL051")</f>
        <v>EL051</v>
      </c>
      <c r="D540" s="160" t="str">
        <f ca="1">IFERROR(__xludf.DUMMYFUNCTION("""COMPUTED_VALUE"""),"Trang Nguyen")</f>
        <v>Trang Nguyen</v>
      </c>
      <c r="E540" s="3" t="str">
        <f ca="1">IFERROR(__xludf.DUMMYFUNCTION("""COMPUTED_VALUE"""),"Communication 1")</f>
        <v>Communication 1</v>
      </c>
      <c r="F540" s="3" t="str">
        <f ca="1">IFERROR(__xludf.DUMMYFUNCTION("""COMPUTED_VALUE"""),"Foundation")</f>
        <v>Foundation</v>
      </c>
      <c r="G540" s="3"/>
      <c r="H540" s="156">
        <f ca="1">IFERROR(__xludf.DUMMYFUNCTION("""COMPUTED_VALUE"""),46126.625)</f>
        <v>46126.625</v>
      </c>
      <c r="I540" s="156">
        <f ca="1">IFERROR(__xludf.DUMMYFUNCTION("""COMPUTED_VALUE"""),45917.5833333333)</f>
        <v>45917.583333333299</v>
      </c>
      <c r="J540" s="3">
        <f ca="1">IFERROR(__xludf.DUMMYFUNCTION("""COMPUTED_VALUE"""),0.5)</f>
        <v>0.5</v>
      </c>
      <c r="K540" s="3" t="str">
        <f ca="1">IFERROR(__xludf.DUMMYFUNCTION("""COMPUTED_VALUE"""),"")</f>
        <v/>
      </c>
      <c r="L540" s="3" t="str">
        <f ca="1">IFERROR(__xludf.DUMMYFUNCTION("""COMPUTED_VALUE"""),"DEV")</f>
        <v>DEV</v>
      </c>
      <c r="M540" s="3" t="str">
        <f ca="1">IFERROR(__xludf.DUMMYFUNCTION("""COMPUTED_VALUE"""),"MOC")</f>
        <v>MOC</v>
      </c>
      <c r="N540" s="157">
        <f ca="1">IFERROR(__xludf.DUMMYFUNCTION("""COMPUTED_VALUE"""),0.5)</f>
        <v>0.5</v>
      </c>
      <c r="O540" s="157">
        <f ca="1">IFERROR(__xludf.DUMMYFUNCTION("""COMPUTED_VALUE"""),1)</f>
        <v>1</v>
      </c>
      <c r="P540" s="157"/>
      <c r="R540" s="147"/>
      <c r="S540" s="147"/>
      <c r="T540" s="147"/>
      <c r="U540" s="147"/>
      <c r="X540" s="147"/>
      <c r="Y540" s="147"/>
      <c r="Z540" s="147"/>
      <c r="AA540" s="147"/>
      <c r="AB540" s="147"/>
      <c r="AC540" s="147"/>
      <c r="AD540" s="147"/>
      <c r="AE540" s="147"/>
      <c r="AF540" s="147"/>
      <c r="AG540" s="147"/>
      <c r="AH540" s="147"/>
      <c r="AI540" s="147"/>
      <c r="AJ540" s="147"/>
      <c r="AK540" s="147"/>
      <c r="AL540" s="147"/>
      <c r="AM540" s="147"/>
      <c r="AN540" s="147"/>
      <c r="AO540" s="147"/>
      <c r="AP540" s="147"/>
      <c r="AQ540" s="147"/>
    </row>
    <row r="541" spans="1:43">
      <c r="A541" s="160" t="str">
        <f ca="1">IFERROR(__xludf.DUMMYFUNCTION("""COMPUTED_VALUE"""),"173246")</f>
        <v>173246</v>
      </c>
      <c r="B541" s="3" t="str">
        <f ca="1">IFERROR(__xludf.DUMMYFUNCTION("""COMPUTED_VALUE"""),"LÊ THỊ HOÀNG KIM")</f>
        <v>LÊ THỊ HOÀNG KIM</v>
      </c>
      <c r="C541" s="160" t="str">
        <f ca="1">IFERROR(__xludf.DUMMYFUNCTION("""COMPUTED_VALUE"""),"EL051")</f>
        <v>EL051</v>
      </c>
      <c r="D541" s="160" t="str">
        <f ca="1">IFERROR(__xludf.DUMMYFUNCTION("""COMPUTED_VALUE"""),"Trang Nguyen")</f>
        <v>Trang Nguyen</v>
      </c>
      <c r="E541" s="3" t="str">
        <f ca="1">IFERROR(__xludf.DUMMYFUNCTION("""COMPUTED_VALUE"""),"Communication 1")</f>
        <v>Communication 1</v>
      </c>
      <c r="F541" s="3" t="str">
        <f ca="1">IFERROR(__xludf.DUMMYFUNCTION("""COMPUTED_VALUE"""),"Foundation")</f>
        <v>Foundation</v>
      </c>
      <c r="G541" s="3"/>
      <c r="H541" s="156">
        <f ca="1">IFERROR(__xludf.DUMMYFUNCTION("""COMPUTED_VALUE"""),46126.625)</f>
        <v>46126.625</v>
      </c>
      <c r="I541" s="156">
        <f ca="1">IFERROR(__xludf.DUMMYFUNCTION("""COMPUTED_VALUE"""),45916.4583333333)</f>
        <v>45916.458333333299</v>
      </c>
      <c r="J541" s="3">
        <f ca="1">IFERROR(__xludf.DUMMYFUNCTION("""COMPUTED_VALUE"""),0.5)</f>
        <v>0.5</v>
      </c>
      <c r="K541" s="3" t="str">
        <f ca="1">IFERROR(__xludf.DUMMYFUNCTION("""COMPUTED_VALUE"""),"")</f>
        <v/>
      </c>
      <c r="L541" s="3" t="str">
        <f ca="1">IFERROR(__xludf.DUMMYFUNCTION("""COMPUTED_VALUE"""),"GSD")</f>
        <v>GSD</v>
      </c>
      <c r="M541" s="3" t="str">
        <f ca="1">IFERROR(__xludf.DUMMYFUNCTION("""COMPUTED_VALUE"""),"POC")</f>
        <v>POC</v>
      </c>
      <c r="N541" s="157">
        <f ca="1">IFERROR(__xludf.DUMMYFUNCTION("""COMPUTED_VALUE"""),0.5)</f>
        <v>0.5</v>
      </c>
      <c r="O541" s="157">
        <f ca="1">IFERROR(__xludf.DUMMYFUNCTION("""COMPUTED_VALUE"""),0.5)</f>
        <v>0.5</v>
      </c>
      <c r="P541" s="157"/>
      <c r="R541" s="147"/>
      <c r="S541" s="147"/>
      <c r="T541" s="147"/>
      <c r="U541" s="147"/>
      <c r="X541" s="147"/>
      <c r="Y541" s="147"/>
      <c r="Z541" s="147"/>
      <c r="AA541" s="147"/>
      <c r="AB541" s="147"/>
      <c r="AC541" s="147"/>
      <c r="AD541" s="147"/>
      <c r="AE541" s="147"/>
      <c r="AF541" s="147"/>
      <c r="AG541" s="147"/>
      <c r="AH541" s="147"/>
      <c r="AI541" s="147"/>
      <c r="AJ541" s="147"/>
      <c r="AK541" s="147"/>
      <c r="AL541" s="147"/>
      <c r="AM541" s="147"/>
      <c r="AN541" s="147"/>
      <c r="AO541" s="147"/>
      <c r="AP541" s="147"/>
      <c r="AQ541" s="147"/>
    </row>
    <row r="542" spans="1:43">
      <c r="A542" s="160" t="str">
        <f ca="1">IFERROR(__xludf.DUMMYFUNCTION("""COMPUTED_VALUE"""),"247064")</f>
        <v>247064</v>
      </c>
      <c r="B542" s="3" t="str">
        <f ca="1">IFERROR(__xludf.DUMMYFUNCTION("""COMPUTED_VALUE"""),"NGUYỄN THỊ KIM OANH")</f>
        <v>NGUYỄN THỊ KIM OANH</v>
      </c>
      <c r="C542" s="160" t="str">
        <f ca="1">IFERROR(__xludf.DUMMYFUNCTION("""COMPUTED_VALUE"""),"EL051")</f>
        <v>EL051</v>
      </c>
      <c r="D542" s="160" t="str">
        <f ca="1">IFERROR(__xludf.DUMMYFUNCTION("""COMPUTED_VALUE"""),"Trang Nguyen")</f>
        <v>Trang Nguyen</v>
      </c>
      <c r="E542" s="3" t="str">
        <f ca="1">IFERROR(__xludf.DUMMYFUNCTION("""COMPUTED_VALUE"""),"Communication 1")</f>
        <v>Communication 1</v>
      </c>
      <c r="F542" s="3" t="str">
        <f ca="1">IFERROR(__xludf.DUMMYFUNCTION("""COMPUTED_VALUE"""),"Foundation")</f>
        <v>Foundation</v>
      </c>
      <c r="G542" s="3"/>
      <c r="H542" s="156">
        <f ca="1">IFERROR(__xludf.DUMMYFUNCTION("""COMPUTED_VALUE"""),46126.625)</f>
        <v>46126.625</v>
      </c>
      <c r="I542" s="156">
        <f ca="1">IFERROR(__xludf.DUMMYFUNCTION("""COMPUTED_VALUE"""),45916.4583333333)</f>
        <v>45916.458333333299</v>
      </c>
      <c r="J542" s="3">
        <f ca="1">IFERROR(__xludf.DUMMYFUNCTION("""COMPUTED_VALUE"""),0.5)</f>
        <v>0.5</v>
      </c>
      <c r="K542" s="3" t="str">
        <f ca="1">IFERROR(__xludf.DUMMYFUNCTION("""COMPUTED_VALUE"""),"")</f>
        <v/>
      </c>
      <c r="L542" s="3" t="str">
        <f ca="1">IFERROR(__xludf.DUMMYFUNCTION("""COMPUTED_VALUE"""),"GSD")</f>
        <v>GSD</v>
      </c>
      <c r="M542" s="3" t="str">
        <f ca="1">IFERROR(__xludf.DUMMYFUNCTION("""COMPUTED_VALUE"""),"POC")</f>
        <v>POC</v>
      </c>
      <c r="N542" s="157">
        <f ca="1">IFERROR(__xludf.DUMMYFUNCTION("""COMPUTED_VALUE"""),0.5)</f>
        <v>0.5</v>
      </c>
      <c r="O542" s="157">
        <f ca="1">IFERROR(__xludf.DUMMYFUNCTION("""COMPUTED_VALUE"""),0.5)</f>
        <v>0.5</v>
      </c>
      <c r="P542" s="157"/>
      <c r="R542" s="147"/>
      <c r="S542" s="147"/>
      <c r="T542" s="147"/>
      <c r="U542" s="147"/>
      <c r="X542" s="147"/>
      <c r="Y542" s="147"/>
      <c r="Z542" s="147"/>
      <c r="AA542" s="147"/>
      <c r="AB542" s="147"/>
      <c r="AC542" s="147"/>
      <c r="AD542" s="147"/>
      <c r="AE542" s="147"/>
      <c r="AF542" s="147"/>
      <c r="AG542" s="147"/>
      <c r="AH542" s="147"/>
      <c r="AI542" s="147"/>
      <c r="AJ542" s="147"/>
      <c r="AK542" s="147"/>
      <c r="AL542" s="147"/>
      <c r="AM542" s="147"/>
      <c r="AN542" s="147"/>
      <c r="AO542" s="147"/>
      <c r="AP542" s="147"/>
      <c r="AQ542" s="147"/>
    </row>
    <row r="543" spans="1:43">
      <c r="A543" s="160" t="str">
        <f ca="1">IFERROR(__xludf.DUMMYFUNCTION("""COMPUTED_VALUE"""),"227091")</f>
        <v>227091</v>
      </c>
      <c r="B543" s="3" t="str">
        <f ca="1">IFERROR(__xludf.DUMMYFUNCTION("""COMPUTED_VALUE"""),"NGUYỄN VŨ LUÂN")</f>
        <v>NGUYỄN VŨ LUÂN</v>
      </c>
      <c r="C543" s="160" t="str">
        <f ca="1">IFERROR(__xludf.DUMMYFUNCTION("""COMPUTED_VALUE"""),"EL051")</f>
        <v>EL051</v>
      </c>
      <c r="D543" s="160" t="str">
        <f ca="1">IFERROR(__xludf.DUMMYFUNCTION("""COMPUTED_VALUE"""),"Trang Nguyen")</f>
        <v>Trang Nguyen</v>
      </c>
      <c r="E543" s="3" t="str">
        <f ca="1">IFERROR(__xludf.DUMMYFUNCTION("""COMPUTED_VALUE"""),"Communication 1")</f>
        <v>Communication 1</v>
      </c>
      <c r="F543" s="3" t="str">
        <f ca="1">IFERROR(__xludf.DUMMYFUNCTION("""COMPUTED_VALUE"""),"Foundation")</f>
        <v>Foundation</v>
      </c>
      <c r="G543" s="3"/>
      <c r="H543" s="156">
        <f ca="1">IFERROR(__xludf.DUMMYFUNCTION("""COMPUTED_VALUE"""),46126.625)</f>
        <v>46126.625</v>
      </c>
      <c r="I543" s="156">
        <f ca="1">IFERROR(__xludf.DUMMYFUNCTION("""COMPUTED_VALUE"""),45916.4583333333)</f>
        <v>45916.458333333299</v>
      </c>
      <c r="J543" s="3">
        <f ca="1">IFERROR(__xludf.DUMMYFUNCTION("""COMPUTED_VALUE"""),0.5)</f>
        <v>0.5</v>
      </c>
      <c r="K543" s="3" t="str">
        <f ca="1">IFERROR(__xludf.DUMMYFUNCTION("""COMPUTED_VALUE"""),"")</f>
        <v/>
      </c>
      <c r="L543" s="3" t="str">
        <f ca="1">IFERROR(__xludf.DUMMYFUNCTION("""COMPUTED_VALUE"""),"GSD")</f>
        <v>GSD</v>
      </c>
      <c r="M543" s="3" t="str">
        <f ca="1">IFERROR(__xludf.DUMMYFUNCTION("""COMPUTED_VALUE"""),"POC")</f>
        <v>POC</v>
      </c>
      <c r="N543" s="157">
        <f ca="1">IFERROR(__xludf.DUMMYFUNCTION("""COMPUTED_VALUE"""),0.5)</f>
        <v>0.5</v>
      </c>
      <c r="O543" s="157">
        <f ca="1">IFERROR(__xludf.DUMMYFUNCTION("""COMPUTED_VALUE"""),0.5)</f>
        <v>0.5</v>
      </c>
      <c r="P543" s="157"/>
      <c r="R543" s="147"/>
      <c r="S543" s="147"/>
      <c r="T543" s="147"/>
      <c r="U543" s="147"/>
      <c r="X543" s="147"/>
      <c r="Y543" s="147"/>
      <c r="Z543" s="147"/>
      <c r="AA543" s="147"/>
      <c r="AB543" s="147"/>
      <c r="AC543" s="147"/>
      <c r="AD543" s="147"/>
      <c r="AE543" s="147"/>
      <c r="AF543" s="147"/>
      <c r="AG543" s="147"/>
      <c r="AH543" s="147"/>
      <c r="AI543" s="147"/>
      <c r="AJ543" s="147"/>
      <c r="AK543" s="147"/>
      <c r="AL543" s="147"/>
      <c r="AM543" s="147"/>
      <c r="AN543" s="147"/>
      <c r="AO543" s="147"/>
      <c r="AP543" s="147"/>
      <c r="AQ543" s="147"/>
    </row>
    <row r="544" spans="1:43">
      <c r="A544" s="160"/>
      <c r="B544" s="3"/>
      <c r="C544" s="3"/>
      <c r="D544" s="3"/>
      <c r="E544" s="3"/>
      <c r="F544" s="3"/>
      <c r="G544" s="3"/>
      <c r="H544" s="3"/>
      <c r="I544" s="3"/>
      <c r="J544" s="3"/>
      <c r="K544" s="3"/>
      <c r="L544" s="3"/>
      <c r="M544" s="3"/>
      <c r="N544" s="157"/>
      <c r="O544" s="157"/>
      <c r="P544" s="157"/>
      <c r="R544" s="147"/>
      <c r="S544" s="147"/>
      <c r="T544" s="147"/>
      <c r="U544" s="147"/>
      <c r="X544" s="147"/>
      <c r="Y544" s="147"/>
      <c r="Z544" s="147"/>
      <c r="AA544" s="147"/>
      <c r="AB544" s="147"/>
      <c r="AC544" s="147"/>
      <c r="AD544" s="147"/>
      <c r="AE544" s="147"/>
      <c r="AF544" s="147"/>
      <c r="AG544" s="147"/>
      <c r="AH544" s="147"/>
      <c r="AI544" s="147"/>
      <c r="AJ544" s="147"/>
      <c r="AK544" s="147"/>
      <c r="AL544" s="147"/>
      <c r="AM544" s="147"/>
      <c r="AN544" s="147"/>
      <c r="AO544" s="147"/>
      <c r="AP544" s="147"/>
      <c r="AQ544" s="147"/>
    </row>
    <row r="545" spans="1:43">
      <c r="A545" s="160"/>
      <c r="B545" s="3"/>
      <c r="C545" s="3"/>
      <c r="D545" s="3"/>
      <c r="E545" s="3"/>
      <c r="F545" s="3"/>
      <c r="G545" s="3"/>
      <c r="H545" s="3"/>
      <c r="I545" s="3"/>
      <c r="J545" s="3"/>
      <c r="K545" s="3"/>
      <c r="L545" s="3"/>
      <c r="M545" s="3"/>
      <c r="N545" s="157"/>
      <c r="O545" s="157"/>
      <c r="P545" s="157"/>
      <c r="R545" s="147"/>
      <c r="S545" s="147"/>
      <c r="T545" s="147"/>
      <c r="U545" s="147"/>
      <c r="X545" s="147"/>
      <c r="Y545" s="147"/>
      <c r="Z545" s="147"/>
      <c r="AA545" s="147"/>
      <c r="AB545" s="147"/>
      <c r="AC545" s="147"/>
      <c r="AD545" s="147"/>
      <c r="AE545" s="147"/>
      <c r="AF545" s="147"/>
      <c r="AG545" s="147"/>
      <c r="AH545" s="147"/>
      <c r="AI545" s="147"/>
      <c r="AJ545" s="147"/>
      <c r="AK545" s="147"/>
      <c r="AL545" s="147"/>
      <c r="AM545" s="147"/>
      <c r="AN545" s="147"/>
      <c r="AO545" s="147"/>
      <c r="AP545" s="147"/>
      <c r="AQ545" s="147"/>
    </row>
    <row r="546" spans="1:43">
      <c r="A546" s="160"/>
      <c r="B546" s="3"/>
      <c r="C546" s="3"/>
      <c r="D546" s="3"/>
      <c r="E546" s="3"/>
      <c r="F546" s="3"/>
      <c r="G546" s="3"/>
      <c r="H546" s="3"/>
      <c r="I546" s="3"/>
      <c r="J546" s="3"/>
      <c r="K546" s="3"/>
      <c r="L546" s="3"/>
      <c r="M546" s="3"/>
      <c r="N546" s="157"/>
      <c r="O546" s="157"/>
      <c r="P546" s="157"/>
      <c r="R546" s="147"/>
      <c r="S546" s="147"/>
      <c r="T546" s="147"/>
      <c r="U546" s="147"/>
      <c r="X546" s="147"/>
      <c r="Y546" s="147"/>
      <c r="Z546" s="147"/>
      <c r="AA546" s="147"/>
      <c r="AB546" s="147"/>
      <c r="AC546" s="147"/>
      <c r="AD546" s="147"/>
      <c r="AE546" s="147"/>
      <c r="AF546" s="147"/>
      <c r="AG546" s="147"/>
      <c r="AH546" s="147"/>
      <c r="AI546" s="147"/>
      <c r="AJ546" s="147"/>
      <c r="AK546" s="147"/>
      <c r="AL546" s="147"/>
      <c r="AM546" s="147"/>
      <c r="AN546" s="147"/>
      <c r="AO546" s="147"/>
      <c r="AP546" s="147"/>
      <c r="AQ546" s="147"/>
    </row>
    <row r="547" spans="1:43">
      <c r="A547" s="160"/>
      <c r="B547" s="3"/>
      <c r="C547" s="3"/>
      <c r="D547" s="3"/>
      <c r="E547" s="3"/>
      <c r="F547" s="3"/>
      <c r="G547" s="3"/>
      <c r="H547" s="3"/>
      <c r="I547" s="3"/>
      <c r="J547" s="3"/>
      <c r="K547" s="3"/>
      <c r="L547" s="3"/>
      <c r="M547" s="3"/>
      <c r="N547" s="157"/>
      <c r="O547" s="157"/>
      <c r="P547" s="157"/>
      <c r="R547" s="147"/>
      <c r="S547" s="147"/>
      <c r="T547" s="147"/>
      <c r="U547" s="147"/>
      <c r="X547" s="147"/>
      <c r="Y547" s="147"/>
      <c r="Z547" s="147"/>
      <c r="AA547" s="147"/>
      <c r="AB547" s="147"/>
      <c r="AC547" s="147"/>
      <c r="AD547" s="147"/>
      <c r="AE547" s="147"/>
      <c r="AF547" s="147"/>
      <c r="AG547" s="147"/>
      <c r="AH547" s="147"/>
      <c r="AI547" s="147"/>
      <c r="AJ547" s="147"/>
      <c r="AK547" s="147"/>
      <c r="AL547" s="147"/>
      <c r="AM547" s="147"/>
      <c r="AN547" s="147"/>
      <c r="AO547" s="147"/>
      <c r="AP547" s="147"/>
      <c r="AQ547" s="147"/>
    </row>
    <row r="548" spans="1:43">
      <c r="A548" s="160"/>
      <c r="B548" s="3"/>
      <c r="C548" s="3"/>
      <c r="D548" s="3"/>
      <c r="E548" s="3"/>
      <c r="F548" s="3"/>
      <c r="G548" s="3"/>
      <c r="H548" s="3"/>
      <c r="I548" s="3"/>
      <c r="J548" s="3"/>
      <c r="K548" s="3"/>
      <c r="L548" s="3"/>
      <c r="M548" s="3"/>
      <c r="N548" s="157"/>
      <c r="O548" s="157"/>
      <c r="P548" s="157"/>
      <c r="R548" s="147"/>
      <c r="S548" s="147"/>
      <c r="T548" s="147"/>
      <c r="U548" s="147"/>
      <c r="X548" s="147"/>
      <c r="Y548" s="147"/>
      <c r="Z548" s="147"/>
      <c r="AA548" s="147"/>
      <c r="AB548" s="147"/>
      <c r="AC548" s="147"/>
      <c r="AD548" s="147"/>
      <c r="AE548" s="147"/>
      <c r="AF548" s="147"/>
      <c r="AG548" s="147"/>
      <c r="AH548" s="147"/>
      <c r="AI548" s="147"/>
      <c r="AJ548" s="147"/>
      <c r="AK548" s="147"/>
      <c r="AL548" s="147"/>
      <c r="AM548" s="147"/>
      <c r="AN548" s="147"/>
      <c r="AO548" s="147"/>
      <c r="AP548" s="147"/>
      <c r="AQ548" s="147"/>
    </row>
    <row r="549" spans="1:43">
      <c r="A549" s="160"/>
      <c r="B549" s="3"/>
      <c r="C549" s="3"/>
      <c r="D549" s="3"/>
      <c r="E549" s="3"/>
      <c r="F549" s="3"/>
      <c r="G549" s="3"/>
      <c r="H549" s="3"/>
      <c r="I549" s="3"/>
      <c r="J549" s="3"/>
      <c r="K549" s="3"/>
      <c r="L549" s="3"/>
      <c r="M549" s="3"/>
      <c r="N549" s="157"/>
      <c r="O549" s="157"/>
      <c r="P549" s="157"/>
      <c r="R549" s="147"/>
      <c r="S549" s="147"/>
      <c r="T549" s="147"/>
      <c r="U549" s="147"/>
      <c r="X549" s="147"/>
      <c r="Y549" s="147"/>
      <c r="Z549" s="147"/>
      <c r="AA549" s="147"/>
      <c r="AB549" s="147"/>
      <c r="AC549" s="147"/>
      <c r="AD549" s="147"/>
      <c r="AE549" s="147"/>
      <c r="AF549" s="147"/>
      <c r="AG549" s="147"/>
      <c r="AH549" s="147"/>
      <c r="AI549" s="147"/>
      <c r="AJ549" s="147"/>
      <c r="AK549" s="147"/>
      <c r="AL549" s="147"/>
      <c r="AM549" s="147"/>
      <c r="AN549" s="147"/>
      <c r="AO549" s="147"/>
      <c r="AP549" s="147"/>
      <c r="AQ549" s="147"/>
    </row>
    <row r="550" spans="1:43">
      <c r="A550" s="160"/>
      <c r="B550" s="3"/>
      <c r="C550" s="3"/>
      <c r="D550" s="3"/>
      <c r="E550" s="3"/>
      <c r="F550" s="3"/>
      <c r="G550" s="3"/>
      <c r="H550" s="3"/>
      <c r="I550" s="3"/>
      <c r="J550" s="3"/>
      <c r="K550" s="3"/>
      <c r="L550" s="3"/>
      <c r="M550" s="3"/>
      <c r="N550" s="157"/>
      <c r="O550" s="157"/>
      <c r="P550" s="157"/>
      <c r="R550" s="147"/>
      <c r="S550" s="147"/>
      <c r="T550" s="147"/>
      <c r="U550" s="147"/>
      <c r="X550" s="147"/>
      <c r="Y550" s="147"/>
      <c r="Z550" s="147"/>
      <c r="AA550" s="147"/>
      <c r="AB550" s="147"/>
      <c r="AC550" s="147"/>
      <c r="AD550" s="147"/>
      <c r="AE550" s="147"/>
      <c r="AF550" s="147"/>
      <c r="AG550" s="147"/>
      <c r="AH550" s="147"/>
      <c r="AI550" s="147"/>
      <c r="AJ550" s="147"/>
      <c r="AK550" s="147"/>
      <c r="AL550" s="147"/>
      <c r="AM550" s="147"/>
      <c r="AN550" s="147"/>
      <c r="AO550" s="147"/>
      <c r="AP550" s="147"/>
      <c r="AQ550" s="147"/>
    </row>
    <row r="551" spans="1:43">
      <c r="A551" s="3"/>
      <c r="B551" s="3"/>
      <c r="C551" s="3"/>
      <c r="D551" s="3"/>
      <c r="E551" s="3"/>
      <c r="F551" s="3"/>
      <c r="G551" s="3"/>
      <c r="H551" s="3"/>
      <c r="I551" s="3"/>
      <c r="J551" s="3"/>
      <c r="K551" s="3"/>
      <c r="L551" s="3"/>
      <c r="M551" s="3"/>
      <c r="N551" s="157"/>
      <c r="O551" s="157"/>
      <c r="P551" s="157"/>
      <c r="R551" s="147"/>
      <c r="S551" s="147"/>
      <c r="T551" s="147"/>
      <c r="U551" s="147"/>
      <c r="X551" s="147"/>
      <c r="Y551" s="147"/>
      <c r="Z551" s="147"/>
      <c r="AA551" s="147"/>
      <c r="AB551" s="147"/>
      <c r="AC551" s="147"/>
      <c r="AD551" s="147"/>
      <c r="AE551" s="147"/>
      <c r="AF551" s="147"/>
      <c r="AG551" s="147"/>
      <c r="AH551" s="147"/>
      <c r="AI551" s="147"/>
      <c r="AJ551" s="147"/>
      <c r="AK551" s="147"/>
      <c r="AL551" s="147"/>
      <c r="AM551" s="147"/>
      <c r="AN551" s="147"/>
      <c r="AO551" s="147"/>
      <c r="AP551" s="147"/>
      <c r="AQ551" s="147"/>
    </row>
    <row r="552" spans="1:43">
      <c r="A552" s="3"/>
      <c r="B552" s="3"/>
      <c r="C552" s="3"/>
      <c r="D552" s="3"/>
      <c r="E552" s="3"/>
      <c r="F552" s="3"/>
      <c r="G552" s="3"/>
      <c r="H552" s="3"/>
      <c r="I552" s="3"/>
      <c r="J552" s="3"/>
      <c r="K552" s="3"/>
      <c r="L552" s="3"/>
      <c r="M552" s="3"/>
      <c r="N552" s="157"/>
      <c r="O552" s="157"/>
      <c r="P552" s="157"/>
      <c r="R552" s="147"/>
      <c r="S552" s="147"/>
      <c r="T552" s="147"/>
      <c r="U552" s="147"/>
      <c r="X552" s="147"/>
      <c r="Y552" s="147"/>
      <c r="Z552" s="147"/>
      <c r="AA552" s="147"/>
      <c r="AB552" s="147"/>
      <c r="AC552" s="147"/>
      <c r="AD552" s="147"/>
      <c r="AE552" s="147"/>
      <c r="AF552" s="147"/>
      <c r="AG552" s="147"/>
      <c r="AH552" s="147"/>
      <c r="AI552" s="147"/>
      <c r="AJ552" s="147"/>
      <c r="AK552" s="147"/>
      <c r="AL552" s="147"/>
      <c r="AM552" s="147"/>
      <c r="AN552" s="147"/>
      <c r="AO552" s="147"/>
      <c r="AP552" s="147"/>
      <c r="AQ552" s="147"/>
    </row>
    <row r="553" spans="1:43">
      <c r="A553" s="3"/>
      <c r="B553" s="3"/>
      <c r="C553" s="3"/>
      <c r="D553" s="3"/>
      <c r="E553" s="3"/>
      <c r="F553" s="3"/>
      <c r="G553" s="3"/>
      <c r="H553" s="3"/>
      <c r="I553" s="3"/>
      <c r="J553" s="3"/>
      <c r="K553" s="3"/>
      <c r="L553" s="3"/>
      <c r="M553" s="3"/>
      <c r="N553" s="157"/>
      <c r="O553" s="157"/>
      <c r="P553" s="157"/>
      <c r="R553" s="147"/>
      <c r="S553" s="147"/>
      <c r="T553" s="147"/>
      <c r="U553" s="147"/>
      <c r="X553" s="147"/>
      <c r="Y553" s="147"/>
      <c r="Z553" s="147"/>
      <c r="AA553" s="147"/>
      <c r="AB553" s="147"/>
      <c r="AC553" s="147"/>
      <c r="AD553" s="147"/>
      <c r="AE553" s="147"/>
      <c r="AF553" s="147"/>
      <c r="AG553" s="147"/>
      <c r="AH553" s="147"/>
      <c r="AI553" s="147"/>
      <c r="AJ553" s="147"/>
      <c r="AK553" s="147"/>
      <c r="AL553" s="147"/>
      <c r="AM553" s="147"/>
      <c r="AN553" s="147"/>
      <c r="AO553" s="147"/>
      <c r="AP553" s="147"/>
      <c r="AQ553" s="147"/>
    </row>
    <row r="554" spans="1:43">
      <c r="A554" s="3"/>
      <c r="B554" s="3"/>
      <c r="C554" s="3"/>
      <c r="D554" s="3"/>
      <c r="E554" s="3"/>
      <c r="F554" s="3"/>
      <c r="G554" s="3"/>
      <c r="H554" s="3"/>
      <c r="I554" s="3"/>
      <c r="J554" s="3"/>
      <c r="K554" s="3"/>
      <c r="L554" s="3"/>
      <c r="M554" s="3"/>
      <c r="N554" s="157"/>
      <c r="O554" s="157"/>
      <c r="P554" s="157"/>
      <c r="R554" s="147"/>
      <c r="S554" s="147"/>
      <c r="T554" s="147"/>
      <c r="U554" s="147"/>
      <c r="X554" s="147"/>
      <c r="Y554" s="147"/>
      <c r="Z554" s="147"/>
      <c r="AA554" s="147"/>
      <c r="AB554" s="147"/>
      <c r="AC554" s="147"/>
      <c r="AD554" s="147"/>
      <c r="AE554" s="147"/>
      <c r="AF554" s="147"/>
      <c r="AG554" s="147"/>
      <c r="AH554" s="147"/>
      <c r="AI554" s="147"/>
      <c r="AJ554" s="147"/>
      <c r="AK554" s="147"/>
      <c r="AL554" s="147"/>
      <c r="AM554" s="147"/>
      <c r="AN554" s="147"/>
      <c r="AO554" s="147"/>
      <c r="AP554" s="147"/>
      <c r="AQ554" s="147"/>
    </row>
    <row r="555" spans="1:43">
      <c r="A555" s="3"/>
      <c r="B555" s="3"/>
      <c r="C555" s="3"/>
      <c r="D555" s="3"/>
      <c r="E555" s="3"/>
      <c r="F555" s="3"/>
      <c r="G555" s="3"/>
      <c r="H555" s="3"/>
      <c r="I555" s="3"/>
      <c r="J555" s="3"/>
      <c r="K555" s="3"/>
      <c r="L555" s="3"/>
      <c r="M555" s="3"/>
      <c r="N555" s="157"/>
      <c r="O555" s="157"/>
      <c r="P555" s="157"/>
      <c r="R555" s="147"/>
      <c r="S555" s="147"/>
      <c r="T555" s="147"/>
      <c r="U555" s="147"/>
      <c r="X555" s="147"/>
      <c r="Y555" s="147"/>
      <c r="Z555" s="147"/>
      <c r="AA555" s="147"/>
      <c r="AB555" s="147"/>
      <c r="AC555" s="147"/>
      <c r="AD555" s="147"/>
      <c r="AE555" s="147"/>
      <c r="AF555" s="147"/>
      <c r="AG555" s="147"/>
      <c r="AH555" s="147"/>
      <c r="AI555" s="147"/>
      <c r="AJ555" s="147"/>
      <c r="AK555" s="147"/>
      <c r="AL555" s="147"/>
      <c r="AM555" s="147"/>
      <c r="AN555" s="147"/>
      <c r="AO555" s="147"/>
      <c r="AP555" s="147"/>
      <c r="AQ555" s="147"/>
    </row>
    <row r="556" spans="1:43">
      <c r="A556" s="3"/>
      <c r="B556" s="3"/>
      <c r="C556" s="3"/>
      <c r="D556" s="3"/>
      <c r="E556" s="3"/>
      <c r="F556" s="3"/>
      <c r="G556" s="3"/>
      <c r="H556" s="3"/>
      <c r="I556" s="3"/>
      <c r="J556" s="3"/>
      <c r="K556" s="3"/>
      <c r="L556" s="3"/>
      <c r="M556" s="3"/>
      <c r="N556" s="157"/>
      <c r="O556" s="157"/>
      <c r="P556" s="157"/>
      <c r="R556" s="147"/>
      <c r="S556" s="147"/>
      <c r="T556" s="147"/>
      <c r="U556" s="147"/>
      <c r="X556" s="147"/>
      <c r="Y556" s="147"/>
      <c r="Z556" s="147"/>
      <c r="AA556" s="147"/>
      <c r="AB556" s="147"/>
      <c r="AC556" s="147"/>
      <c r="AD556" s="147"/>
      <c r="AE556" s="147"/>
      <c r="AF556" s="147"/>
      <c r="AG556" s="147"/>
      <c r="AH556" s="147"/>
      <c r="AI556" s="147"/>
      <c r="AJ556" s="147"/>
      <c r="AK556" s="147"/>
      <c r="AL556" s="147"/>
      <c r="AM556" s="147"/>
      <c r="AN556" s="147"/>
      <c r="AO556" s="147"/>
      <c r="AP556" s="147"/>
      <c r="AQ556" s="147"/>
    </row>
    <row r="557" spans="1:43">
      <c r="A557" s="3"/>
      <c r="B557" s="3"/>
      <c r="C557" s="3"/>
      <c r="D557" s="3"/>
      <c r="E557" s="3"/>
      <c r="F557" s="3"/>
      <c r="G557" s="3"/>
      <c r="H557" s="3"/>
      <c r="I557" s="3"/>
      <c r="J557" s="3"/>
      <c r="K557" s="3"/>
      <c r="L557" s="3"/>
      <c r="M557" s="3"/>
      <c r="N557" s="157"/>
      <c r="O557" s="157"/>
      <c r="P557" s="157"/>
      <c r="R557" s="147"/>
      <c r="S557" s="147"/>
      <c r="T557" s="147"/>
      <c r="U557" s="147"/>
      <c r="X557" s="147"/>
      <c r="Y557" s="147"/>
      <c r="Z557" s="147"/>
      <c r="AA557" s="147"/>
      <c r="AB557" s="147"/>
      <c r="AC557" s="147"/>
      <c r="AD557" s="147"/>
      <c r="AE557" s="147"/>
      <c r="AF557" s="147"/>
      <c r="AG557" s="147"/>
      <c r="AH557" s="147"/>
      <c r="AI557" s="147"/>
      <c r="AJ557" s="147"/>
      <c r="AK557" s="147"/>
      <c r="AL557" s="147"/>
      <c r="AM557" s="147"/>
      <c r="AN557" s="147"/>
      <c r="AO557" s="147"/>
      <c r="AP557" s="147"/>
      <c r="AQ557" s="147"/>
    </row>
    <row r="558" spans="1:43">
      <c r="A558" s="3"/>
      <c r="B558" s="3"/>
      <c r="C558" s="3"/>
      <c r="D558" s="3"/>
      <c r="E558" s="3"/>
      <c r="F558" s="3"/>
      <c r="G558" s="3"/>
      <c r="H558" s="3"/>
      <c r="I558" s="3"/>
      <c r="J558" s="3"/>
      <c r="K558" s="3"/>
      <c r="L558" s="3"/>
      <c r="M558" s="3"/>
      <c r="N558" s="157"/>
      <c r="O558" s="157"/>
      <c r="P558" s="157"/>
      <c r="R558" s="147"/>
      <c r="S558" s="147"/>
      <c r="T558" s="147"/>
      <c r="U558" s="147"/>
      <c r="X558" s="147"/>
      <c r="Y558" s="147"/>
      <c r="Z558" s="147"/>
      <c r="AA558" s="147"/>
      <c r="AB558" s="147"/>
      <c r="AC558" s="147"/>
      <c r="AD558" s="147"/>
      <c r="AE558" s="147"/>
      <c r="AF558" s="147"/>
      <c r="AG558" s="147"/>
      <c r="AH558" s="147"/>
      <c r="AI558" s="147"/>
      <c r="AJ558" s="147"/>
      <c r="AK558" s="147"/>
      <c r="AL558" s="147"/>
      <c r="AM558" s="147"/>
      <c r="AN558" s="147"/>
      <c r="AO558" s="147"/>
      <c r="AP558" s="147"/>
      <c r="AQ558" s="147"/>
    </row>
    <row r="559" spans="1:43">
      <c r="A559" s="3"/>
      <c r="B559" s="3"/>
      <c r="C559" s="3"/>
      <c r="D559" s="3"/>
      <c r="E559" s="3"/>
      <c r="F559" s="3"/>
      <c r="G559" s="3"/>
      <c r="H559" s="3"/>
      <c r="I559" s="3"/>
      <c r="J559" s="3"/>
      <c r="K559" s="3"/>
      <c r="L559" s="3"/>
      <c r="M559" s="3"/>
      <c r="N559" s="157"/>
      <c r="O559" s="157"/>
      <c r="P559" s="157"/>
      <c r="R559" s="147"/>
      <c r="S559" s="147"/>
      <c r="T559" s="147"/>
      <c r="U559" s="147"/>
      <c r="X559" s="147"/>
      <c r="Y559" s="147"/>
      <c r="Z559" s="147"/>
      <c r="AA559" s="147"/>
      <c r="AB559" s="147"/>
      <c r="AC559" s="147"/>
      <c r="AD559" s="147"/>
      <c r="AE559" s="147"/>
      <c r="AF559" s="147"/>
      <c r="AG559" s="147"/>
      <c r="AH559" s="147"/>
      <c r="AI559" s="147"/>
      <c r="AJ559" s="147"/>
      <c r="AK559" s="147"/>
      <c r="AL559" s="147"/>
      <c r="AM559" s="147"/>
      <c r="AN559" s="147"/>
      <c r="AO559" s="147"/>
      <c r="AP559" s="147"/>
      <c r="AQ559" s="147"/>
    </row>
    <row r="560" spans="1:43">
      <c r="A560" s="3"/>
      <c r="B560" s="3"/>
      <c r="C560" s="3"/>
      <c r="D560" s="3"/>
      <c r="E560" s="3"/>
      <c r="F560" s="3"/>
      <c r="G560" s="3"/>
      <c r="H560" s="3"/>
      <c r="I560" s="3"/>
      <c r="J560" s="3"/>
      <c r="K560" s="3"/>
      <c r="L560" s="3"/>
      <c r="M560" s="3"/>
      <c r="N560" s="157"/>
      <c r="O560" s="157"/>
      <c r="P560" s="157"/>
      <c r="R560" s="147"/>
      <c r="S560" s="147"/>
      <c r="T560" s="147"/>
      <c r="U560" s="147"/>
      <c r="X560" s="147"/>
      <c r="Y560" s="147"/>
      <c r="Z560" s="147"/>
      <c r="AA560" s="147"/>
      <c r="AB560" s="147"/>
      <c r="AC560" s="147"/>
      <c r="AD560" s="147"/>
      <c r="AE560" s="147"/>
      <c r="AF560" s="147"/>
      <c r="AG560" s="147"/>
      <c r="AH560" s="147"/>
      <c r="AI560" s="147"/>
      <c r="AJ560" s="147"/>
      <c r="AK560" s="147"/>
      <c r="AL560" s="147"/>
      <c r="AM560" s="147"/>
      <c r="AN560" s="147"/>
      <c r="AO560" s="147"/>
      <c r="AP560" s="147"/>
      <c r="AQ560" s="147"/>
    </row>
    <row r="561" spans="1:43">
      <c r="A561" s="3"/>
      <c r="B561" s="3"/>
      <c r="C561" s="3"/>
      <c r="D561" s="3"/>
      <c r="E561" s="3"/>
      <c r="F561" s="3"/>
      <c r="G561" s="3"/>
      <c r="H561" s="3"/>
      <c r="I561" s="3"/>
      <c r="J561" s="3"/>
      <c r="K561" s="3"/>
      <c r="L561" s="3"/>
      <c r="M561" s="3"/>
      <c r="N561" s="157"/>
      <c r="O561" s="157"/>
      <c r="P561" s="157"/>
      <c r="R561" s="147"/>
      <c r="S561" s="147"/>
      <c r="T561" s="147"/>
      <c r="U561" s="147"/>
      <c r="X561" s="147"/>
      <c r="Y561" s="147"/>
      <c r="Z561" s="147"/>
      <c r="AA561" s="147"/>
      <c r="AB561" s="147"/>
      <c r="AC561" s="147"/>
      <c r="AD561" s="147"/>
      <c r="AE561" s="147"/>
      <c r="AF561" s="147"/>
      <c r="AG561" s="147"/>
      <c r="AH561" s="147"/>
      <c r="AI561" s="147"/>
      <c r="AJ561" s="147"/>
      <c r="AK561" s="147"/>
      <c r="AL561" s="147"/>
      <c r="AM561" s="147"/>
      <c r="AN561" s="147"/>
      <c r="AO561" s="147"/>
      <c r="AP561" s="147"/>
      <c r="AQ561" s="147"/>
    </row>
    <row r="562" spans="1:43">
      <c r="A562" s="3"/>
      <c r="B562" s="3"/>
      <c r="C562" s="3"/>
      <c r="D562" s="3"/>
      <c r="E562" s="3"/>
      <c r="F562" s="3"/>
      <c r="G562" s="3"/>
      <c r="H562" s="3"/>
      <c r="I562" s="3"/>
      <c r="J562" s="3"/>
      <c r="K562" s="3"/>
      <c r="L562" s="3"/>
      <c r="M562" s="3"/>
      <c r="N562" s="157"/>
      <c r="O562" s="157"/>
      <c r="P562" s="157"/>
      <c r="R562" s="147"/>
      <c r="S562" s="147"/>
      <c r="T562" s="147"/>
      <c r="U562" s="147"/>
      <c r="X562" s="147"/>
      <c r="Y562" s="147"/>
      <c r="Z562" s="147"/>
      <c r="AA562" s="147"/>
      <c r="AB562" s="147"/>
      <c r="AC562" s="147"/>
      <c r="AD562" s="147"/>
      <c r="AE562" s="147"/>
      <c r="AF562" s="147"/>
      <c r="AG562" s="147"/>
      <c r="AH562" s="147"/>
      <c r="AI562" s="147"/>
      <c r="AJ562" s="147"/>
      <c r="AK562" s="147"/>
      <c r="AL562" s="147"/>
      <c r="AM562" s="147"/>
      <c r="AN562" s="147"/>
      <c r="AO562" s="147"/>
      <c r="AP562" s="147"/>
      <c r="AQ562" s="147"/>
    </row>
    <row r="563" spans="1:43">
      <c r="A563" s="3"/>
      <c r="B563" s="3"/>
      <c r="C563" s="3"/>
      <c r="D563" s="3"/>
      <c r="E563" s="3"/>
      <c r="F563" s="3"/>
      <c r="G563" s="3"/>
      <c r="H563" s="3"/>
      <c r="I563" s="3"/>
      <c r="J563" s="3"/>
      <c r="K563" s="3"/>
      <c r="L563" s="3"/>
      <c r="M563" s="3"/>
      <c r="N563" s="157"/>
      <c r="O563" s="157"/>
      <c r="P563" s="157"/>
      <c r="R563" s="147"/>
      <c r="S563" s="147"/>
      <c r="T563" s="147"/>
      <c r="U563" s="147"/>
      <c r="X563" s="147"/>
      <c r="Y563" s="147"/>
      <c r="Z563" s="147"/>
      <c r="AA563" s="147"/>
      <c r="AB563" s="147"/>
      <c r="AC563" s="147"/>
      <c r="AD563" s="147"/>
      <c r="AE563" s="147"/>
      <c r="AF563" s="147"/>
      <c r="AG563" s="147"/>
      <c r="AH563" s="147"/>
      <c r="AI563" s="147"/>
      <c r="AJ563" s="147"/>
      <c r="AK563" s="147"/>
      <c r="AL563" s="147"/>
      <c r="AM563" s="147"/>
      <c r="AN563" s="147"/>
      <c r="AO563" s="147"/>
      <c r="AP563" s="147"/>
      <c r="AQ563" s="147"/>
    </row>
    <row r="564" spans="1:43">
      <c r="A564" s="3"/>
      <c r="B564" s="3"/>
      <c r="C564" s="3"/>
      <c r="D564" s="3"/>
      <c r="E564" s="3"/>
      <c r="F564" s="3"/>
      <c r="G564" s="3"/>
      <c r="H564" s="3"/>
      <c r="I564" s="3"/>
      <c r="J564" s="3"/>
      <c r="K564" s="3"/>
      <c r="L564" s="3"/>
      <c r="M564" s="3"/>
      <c r="N564" s="157"/>
      <c r="O564" s="157"/>
      <c r="P564" s="157"/>
      <c r="R564" s="147"/>
      <c r="S564" s="147"/>
      <c r="T564" s="147"/>
      <c r="U564" s="147"/>
      <c r="X564" s="147"/>
      <c r="Y564" s="147"/>
      <c r="Z564" s="147"/>
      <c r="AA564" s="147"/>
      <c r="AB564" s="147"/>
      <c r="AC564" s="147"/>
      <c r="AD564" s="147"/>
      <c r="AE564" s="147"/>
      <c r="AF564" s="147"/>
      <c r="AG564" s="147"/>
      <c r="AH564" s="147"/>
      <c r="AI564" s="147"/>
      <c r="AJ564" s="147"/>
      <c r="AK564" s="147"/>
      <c r="AL564" s="147"/>
      <c r="AM564" s="147"/>
      <c r="AN564" s="147"/>
      <c r="AO564" s="147"/>
      <c r="AP564" s="147"/>
      <c r="AQ564" s="147"/>
    </row>
    <row r="565" spans="1:43">
      <c r="A565" s="3"/>
      <c r="B565" s="3"/>
      <c r="C565" s="3"/>
      <c r="D565" s="3"/>
      <c r="E565" s="3"/>
      <c r="F565" s="3"/>
      <c r="G565" s="3"/>
      <c r="H565" s="3"/>
      <c r="I565" s="3"/>
      <c r="J565" s="3"/>
      <c r="K565" s="3"/>
      <c r="L565" s="3"/>
      <c r="M565" s="3"/>
      <c r="N565" s="157"/>
      <c r="O565" s="157"/>
      <c r="P565" s="157"/>
      <c r="R565" s="147"/>
      <c r="S565" s="147"/>
      <c r="T565" s="147"/>
      <c r="U565" s="147"/>
      <c r="X565" s="147"/>
      <c r="Y565" s="147"/>
      <c r="Z565" s="147"/>
      <c r="AA565" s="147"/>
      <c r="AB565" s="147"/>
      <c r="AC565" s="147"/>
      <c r="AD565" s="147"/>
      <c r="AE565" s="147"/>
      <c r="AF565" s="147"/>
      <c r="AG565" s="147"/>
      <c r="AH565" s="147"/>
      <c r="AI565" s="147"/>
      <c r="AJ565" s="147"/>
      <c r="AK565" s="147"/>
      <c r="AL565" s="147"/>
      <c r="AM565" s="147"/>
      <c r="AN565" s="147"/>
      <c r="AO565" s="147"/>
      <c r="AP565" s="147"/>
      <c r="AQ565" s="147"/>
    </row>
    <row r="566" spans="1:43">
      <c r="A566" s="3"/>
      <c r="B566" s="3"/>
      <c r="C566" s="3"/>
      <c r="D566" s="3"/>
      <c r="E566" s="3"/>
      <c r="F566" s="3"/>
      <c r="G566" s="3"/>
      <c r="H566" s="3"/>
      <c r="I566" s="3"/>
      <c r="J566" s="3"/>
      <c r="K566" s="3"/>
      <c r="L566" s="3"/>
      <c r="M566" s="3"/>
      <c r="N566" s="157"/>
      <c r="O566" s="157"/>
      <c r="P566" s="157"/>
      <c r="R566" s="147"/>
      <c r="S566" s="147"/>
      <c r="T566" s="147"/>
      <c r="U566" s="147"/>
      <c r="X566" s="147"/>
      <c r="Y566" s="147"/>
      <c r="Z566" s="147"/>
      <c r="AA566" s="147"/>
      <c r="AB566" s="147"/>
      <c r="AC566" s="147"/>
      <c r="AD566" s="147"/>
      <c r="AE566" s="147"/>
      <c r="AF566" s="147"/>
      <c r="AG566" s="147"/>
      <c r="AH566" s="147"/>
      <c r="AI566" s="147"/>
      <c r="AJ566" s="147"/>
      <c r="AK566" s="147"/>
      <c r="AL566" s="147"/>
      <c r="AM566" s="147"/>
      <c r="AN566" s="147"/>
      <c r="AO566" s="147"/>
      <c r="AP566" s="147"/>
      <c r="AQ566" s="147"/>
    </row>
    <row r="567" spans="1:43">
      <c r="A567" s="3"/>
      <c r="B567" s="3"/>
      <c r="C567" s="3"/>
      <c r="D567" s="3"/>
      <c r="E567" s="3"/>
      <c r="F567" s="3"/>
      <c r="G567" s="3"/>
      <c r="H567" s="3"/>
      <c r="I567" s="3"/>
      <c r="J567" s="3"/>
      <c r="K567" s="3"/>
      <c r="L567" s="3"/>
      <c r="M567" s="3"/>
      <c r="N567" s="157"/>
      <c r="O567" s="157"/>
      <c r="P567" s="157"/>
      <c r="R567" s="147"/>
      <c r="S567" s="147"/>
      <c r="T567" s="147"/>
      <c r="U567" s="147"/>
      <c r="X567" s="147"/>
      <c r="Y567" s="147"/>
      <c r="Z567" s="147"/>
      <c r="AA567" s="147"/>
      <c r="AB567" s="147"/>
      <c r="AC567" s="147"/>
      <c r="AD567" s="147"/>
      <c r="AE567" s="147"/>
      <c r="AF567" s="147"/>
      <c r="AG567" s="147"/>
      <c r="AH567" s="147"/>
      <c r="AI567" s="147"/>
      <c r="AJ567" s="147"/>
      <c r="AK567" s="147"/>
      <c r="AL567" s="147"/>
      <c r="AM567" s="147"/>
      <c r="AN567" s="147"/>
      <c r="AO567" s="147"/>
      <c r="AP567" s="147"/>
      <c r="AQ567" s="147"/>
    </row>
    <row r="568" spans="1:43">
      <c r="A568" s="3"/>
      <c r="B568" s="3"/>
      <c r="C568" s="3"/>
      <c r="D568" s="3"/>
      <c r="E568" s="3"/>
      <c r="F568" s="3"/>
      <c r="G568" s="3"/>
      <c r="H568" s="3"/>
      <c r="I568" s="3"/>
      <c r="J568" s="3"/>
      <c r="K568" s="3"/>
      <c r="L568" s="3"/>
      <c r="M568" s="3"/>
      <c r="N568" s="157"/>
      <c r="O568" s="157"/>
      <c r="P568" s="157"/>
      <c r="R568" s="147"/>
      <c r="S568" s="147"/>
      <c r="T568" s="147"/>
      <c r="U568" s="147"/>
      <c r="X568" s="147"/>
      <c r="Y568" s="147"/>
      <c r="Z568" s="147"/>
      <c r="AA568" s="147"/>
      <c r="AB568" s="147"/>
      <c r="AC568" s="147"/>
      <c r="AD568" s="147"/>
      <c r="AE568" s="147"/>
      <c r="AF568" s="147"/>
      <c r="AG568" s="147"/>
      <c r="AH568" s="147"/>
      <c r="AI568" s="147"/>
      <c r="AJ568" s="147"/>
      <c r="AK568" s="147"/>
      <c r="AL568" s="147"/>
      <c r="AM568" s="147"/>
      <c r="AN568" s="147"/>
      <c r="AO568" s="147"/>
      <c r="AP568" s="147"/>
      <c r="AQ568" s="147"/>
    </row>
    <row r="569" spans="1:43">
      <c r="A569" s="3"/>
      <c r="B569" s="3"/>
      <c r="C569" s="3"/>
      <c r="D569" s="3"/>
      <c r="E569" s="3"/>
      <c r="F569" s="3"/>
      <c r="G569" s="3"/>
      <c r="H569" s="3"/>
      <c r="I569" s="3"/>
      <c r="J569" s="3"/>
      <c r="K569" s="3"/>
      <c r="L569" s="3"/>
      <c r="M569" s="3"/>
      <c r="N569" s="157"/>
      <c r="O569" s="157"/>
      <c r="P569" s="157"/>
      <c r="R569" s="147"/>
      <c r="S569" s="147"/>
      <c r="T569" s="147"/>
      <c r="U569" s="147"/>
      <c r="X569" s="147"/>
      <c r="Y569" s="147"/>
      <c r="Z569" s="147"/>
      <c r="AA569" s="147"/>
      <c r="AB569" s="147"/>
      <c r="AC569" s="147"/>
      <c r="AD569" s="147"/>
      <c r="AE569" s="147"/>
      <c r="AF569" s="147"/>
      <c r="AG569" s="147"/>
      <c r="AH569" s="147"/>
      <c r="AI569" s="147"/>
      <c r="AJ569" s="147"/>
      <c r="AK569" s="147"/>
      <c r="AL569" s="147"/>
      <c r="AM569" s="147"/>
      <c r="AN569" s="147"/>
      <c r="AO569" s="147"/>
      <c r="AP569" s="147"/>
      <c r="AQ569" s="147"/>
    </row>
    <row r="570" spans="1:43">
      <c r="A570" s="3"/>
      <c r="B570" s="3"/>
      <c r="C570" s="3"/>
      <c r="D570" s="3"/>
      <c r="E570" s="3"/>
      <c r="F570" s="3"/>
      <c r="G570" s="3"/>
      <c r="H570" s="3"/>
      <c r="I570" s="3"/>
      <c r="J570" s="3"/>
      <c r="K570" s="3"/>
      <c r="L570" s="3"/>
      <c r="M570" s="3"/>
      <c r="N570" s="157"/>
      <c r="O570" s="157"/>
      <c r="P570" s="157"/>
      <c r="R570" s="147"/>
      <c r="S570" s="147"/>
      <c r="T570" s="147"/>
      <c r="U570" s="147"/>
      <c r="X570" s="147"/>
      <c r="Y570" s="147"/>
      <c r="Z570" s="147"/>
      <c r="AA570" s="147"/>
      <c r="AB570" s="147"/>
      <c r="AC570" s="147"/>
      <c r="AD570" s="147"/>
      <c r="AE570" s="147"/>
      <c r="AF570" s="147"/>
      <c r="AG570" s="147"/>
      <c r="AH570" s="147"/>
      <c r="AI570" s="147"/>
      <c r="AJ570" s="147"/>
      <c r="AK570" s="147"/>
      <c r="AL570" s="147"/>
      <c r="AM570" s="147"/>
      <c r="AN570" s="147"/>
      <c r="AO570" s="147"/>
      <c r="AP570" s="147"/>
      <c r="AQ570" s="147"/>
    </row>
    <row r="571" spans="1:43">
      <c r="A571" s="3"/>
      <c r="B571" s="3"/>
      <c r="C571" s="3"/>
      <c r="D571" s="3"/>
      <c r="E571" s="3"/>
      <c r="F571" s="3"/>
      <c r="G571" s="3"/>
      <c r="H571" s="3"/>
      <c r="I571" s="3"/>
      <c r="J571" s="3"/>
      <c r="K571" s="3"/>
      <c r="L571" s="3"/>
      <c r="M571" s="3"/>
      <c r="N571" s="157"/>
      <c r="O571" s="157"/>
      <c r="P571" s="157"/>
      <c r="R571" s="147"/>
      <c r="S571" s="147"/>
      <c r="T571" s="147"/>
      <c r="U571" s="147"/>
      <c r="X571" s="147"/>
      <c r="Y571" s="147"/>
      <c r="Z571" s="147"/>
      <c r="AA571" s="147"/>
      <c r="AB571" s="147"/>
      <c r="AC571" s="147"/>
      <c r="AD571" s="147"/>
      <c r="AE571" s="147"/>
      <c r="AF571" s="147"/>
      <c r="AG571" s="147"/>
      <c r="AH571" s="147"/>
      <c r="AI571" s="147"/>
      <c r="AJ571" s="147"/>
      <c r="AK571" s="147"/>
      <c r="AL571" s="147"/>
      <c r="AM571" s="147"/>
      <c r="AN571" s="147"/>
      <c r="AO571" s="147"/>
      <c r="AP571" s="147"/>
      <c r="AQ571" s="147"/>
    </row>
    <row r="572" spans="1:43">
      <c r="A572" s="3"/>
      <c r="B572" s="3"/>
      <c r="C572" s="3"/>
      <c r="D572" s="3"/>
      <c r="E572" s="3"/>
      <c r="F572" s="3"/>
      <c r="G572" s="3"/>
      <c r="H572" s="3"/>
      <c r="I572" s="3"/>
      <c r="J572" s="3"/>
      <c r="K572" s="3"/>
      <c r="L572" s="3"/>
      <c r="M572" s="3"/>
      <c r="N572" s="157"/>
      <c r="O572" s="157"/>
      <c r="P572" s="157"/>
      <c r="R572" s="147"/>
      <c r="S572" s="147"/>
      <c r="T572" s="147"/>
      <c r="U572" s="147"/>
      <c r="X572" s="147"/>
      <c r="Y572" s="147"/>
      <c r="Z572" s="147"/>
      <c r="AA572" s="147"/>
      <c r="AB572" s="147"/>
      <c r="AC572" s="147"/>
      <c r="AD572" s="147"/>
      <c r="AE572" s="147"/>
      <c r="AF572" s="147"/>
      <c r="AG572" s="147"/>
      <c r="AH572" s="147"/>
      <c r="AI572" s="147"/>
      <c r="AJ572" s="147"/>
      <c r="AK572" s="147"/>
      <c r="AL572" s="147"/>
      <c r="AM572" s="147"/>
      <c r="AN572" s="147"/>
      <c r="AO572" s="147"/>
      <c r="AP572" s="147"/>
      <c r="AQ572" s="147"/>
    </row>
    <row r="573" spans="1:43">
      <c r="A573" s="3"/>
      <c r="B573" s="3"/>
      <c r="C573" s="3"/>
      <c r="D573" s="3"/>
      <c r="E573" s="3"/>
      <c r="F573" s="3"/>
      <c r="G573" s="3"/>
      <c r="H573" s="3"/>
      <c r="I573" s="3"/>
      <c r="J573" s="3"/>
      <c r="K573" s="3"/>
      <c r="L573" s="3"/>
      <c r="M573" s="3"/>
      <c r="N573" s="157"/>
      <c r="O573" s="157"/>
      <c r="P573" s="157"/>
      <c r="R573" s="147"/>
      <c r="S573" s="147"/>
      <c r="T573" s="147"/>
      <c r="U573" s="147"/>
      <c r="X573" s="147"/>
      <c r="Y573" s="147"/>
      <c r="Z573" s="147"/>
      <c r="AA573" s="147"/>
      <c r="AB573" s="147"/>
      <c r="AC573" s="147"/>
      <c r="AD573" s="147"/>
      <c r="AE573" s="147"/>
      <c r="AF573" s="147"/>
      <c r="AG573" s="147"/>
      <c r="AH573" s="147"/>
      <c r="AI573" s="147"/>
      <c r="AJ573" s="147"/>
      <c r="AK573" s="147"/>
      <c r="AL573" s="147"/>
      <c r="AM573" s="147"/>
      <c r="AN573" s="147"/>
      <c r="AO573" s="147"/>
      <c r="AP573" s="147"/>
      <c r="AQ573" s="147"/>
    </row>
    <row r="574" spans="1:43">
      <c r="A574" s="3"/>
      <c r="B574" s="3"/>
      <c r="C574" s="3"/>
      <c r="D574" s="3"/>
      <c r="E574" s="3"/>
      <c r="F574" s="3"/>
      <c r="G574" s="3"/>
      <c r="H574" s="3"/>
      <c r="I574" s="3"/>
      <c r="J574" s="3"/>
      <c r="K574" s="3"/>
      <c r="L574" s="3"/>
      <c r="M574" s="3"/>
      <c r="N574" s="157"/>
      <c r="O574" s="157"/>
      <c r="P574" s="157"/>
      <c r="R574" s="147"/>
      <c r="S574" s="147"/>
      <c r="T574" s="147"/>
      <c r="U574" s="147"/>
      <c r="X574" s="147"/>
      <c r="Y574" s="147"/>
      <c r="Z574" s="147"/>
      <c r="AA574" s="147"/>
      <c r="AB574" s="147"/>
      <c r="AC574" s="147"/>
      <c r="AD574" s="147"/>
      <c r="AE574" s="147"/>
      <c r="AF574" s="147"/>
      <c r="AG574" s="147"/>
      <c r="AH574" s="147"/>
      <c r="AI574" s="147"/>
      <c r="AJ574" s="147"/>
      <c r="AK574" s="147"/>
      <c r="AL574" s="147"/>
      <c r="AM574" s="147"/>
      <c r="AN574" s="147"/>
      <c r="AO574" s="147"/>
      <c r="AP574" s="147"/>
      <c r="AQ574" s="147"/>
    </row>
    <row r="575" spans="1:43">
      <c r="A575" s="3"/>
      <c r="B575" s="3"/>
      <c r="C575" s="3"/>
      <c r="D575" s="3"/>
      <c r="E575" s="3"/>
      <c r="F575" s="3"/>
      <c r="G575" s="3"/>
      <c r="H575" s="3"/>
      <c r="I575" s="3"/>
      <c r="J575" s="3"/>
      <c r="K575" s="3"/>
      <c r="L575" s="3"/>
      <c r="M575" s="3"/>
      <c r="N575" s="157"/>
      <c r="O575" s="157"/>
      <c r="P575" s="157"/>
      <c r="R575" s="147"/>
      <c r="S575" s="147"/>
      <c r="T575" s="147"/>
      <c r="U575" s="147"/>
      <c r="X575" s="147"/>
      <c r="Y575" s="147"/>
      <c r="Z575" s="147"/>
      <c r="AA575" s="147"/>
      <c r="AB575" s="147"/>
      <c r="AC575" s="147"/>
      <c r="AD575" s="147"/>
      <c r="AE575" s="147"/>
      <c r="AF575" s="147"/>
      <c r="AG575" s="147"/>
      <c r="AH575" s="147"/>
      <c r="AI575" s="147"/>
      <c r="AJ575" s="147"/>
      <c r="AK575" s="147"/>
      <c r="AL575" s="147"/>
      <c r="AM575" s="147"/>
      <c r="AN575" s="147"/>
      <c r="AO575" s="147"/>
      <c r="AP575" s="147"/>
      <c r="AQ575" s="147"/>
    </row>
    <row r="576" spans="1:43">
      <c r="A576" s="3"/>
      <c r="B576" s="3"/>
      <c r="C576" s="3"/>
      <c r="D576" s="3"/>
      <c r="E576" s="3"/>
      <c r="F576" s="3"/>
      <c r="G576" s="3"/>
      <c r="H576" s="3"/>
      <c r="I576" s="3"/>
      <c r="J576" s="3"/>
      <c r="K576" s="3"/>
      <c r="L576" s="3"/>
      <c r="M576" s="3"/>
      <c r="N576" s="157"/>
      <c r="O576" s="157"/>
      <c r="P576" s="157"/>
      <c r="R576" s="147"/>
      <c r="S576" s="147"/>
      <c r="T576" s="147"/>
      <c r="U576" s="147"/>
      <c r="X576" s="147"/>
      <c r="Y576" s="147"/>
      <c r="Z576" s="147"/>
      <c r="AA576" s="147"/>
      <c r="AB576" s="147"/>
      <c r="AC576" s="147"/>
      <c r="AD576" s="147"/>
      <c r="AE576" s="147"/>
      <c r="AF576" s="147"/>
      <c r="AG576" s="147"/>
      <c r="AH576" s="147"/>
      <c r="AI576" s="147"/>
      <c r="AJ576" s="147"/>
      <c r="AK576" s="147"/>
      <c r="AL576" s="147"/>
      <c r="AM576" s="147"/>
      <c r="AN576" s="147"/>
      <c r="AO576" s="147"/>
      <c r="AP576" s="147"/>
      <c r="AQ576" s="147"/>
    </row>
    <row r="577" spans="1:43">
      <c r="A577" s="3"/>
      <c r="B577" s="3"/>
      <c r="C577" s="3"/>
      <c r="D577" s="3"/>
      <c r="E577" s="3"/>
      <c r="F577" s="3"/>
      <c r="G577" s="3"/>
      <c r="H577" s="3"/>
      <c r="I577" s="3"/>
      <c r="J577" s="3"/>
      <c r="K577" s="3"/>
      <c r="L577" s="3"/>
      <c r="M577" s="3"/>
      <c r="N577" s="157"/>
      <c r="O577" s="157"/>
      <c r="P577" s="157"/>
      <c r="R577" s="147"/>
      <c r="S577" s="147"/>
      <c r="T577" s="147"/>
      <c r="U577" s="147"/>
      <c r="X577" s="147"/>
      <c r="Y577" s="147"/>
      <c r="Z577" s="147"/>
      <c r="AA577" s="147"/>
      <c r="AB577" s="147"/>
      <c r="AC577" s="147"/>
      <c r="AD577" s="147"/>
      <c r="AE577" s="147"/>
      <c r="AF577" s="147"/>
      <c r="AG577" s="147"/>
      <c r="AH577" s="147"/>
      <c r="AI577" s="147"/>
      <c r="AJ577" s="147"/>
      <c r="AK577" s="147"/>
      <c r="AL577" s="147"/>
      <c r="AM577" s="147"/>
      <c r="AN577" s="147"/>
      <c r="AO577" s="147"/>
      <c r="AP577" s="147"/>
      <c r="AQ577" s="147"/>
    </row>
    <row r="578" spans="1:43">
      <c r="A578" s="3"/>
      <c r="B578" s="3"/>
      <c r="C578" s="3"/>
      <c r="D578" s="3"/>
      <c r="E578" s="3"/>
      <c r="F578" s="3"/>
      <c r="G578" s="3"/>
      <c r="H578" s="3"/>
      <c r="I578" s="3"/>
      <c r="J578" s="3"/>
      <c r="K578" s="3"/>
      <c r="L578" s="3"/>
      <c r="M578" s="3"/>
      <c r="N578" s="157"/>
      <c r="O578" s="157"/>
      <c r="P578" s="157"/>
      <c r="R578" s="147"/>
      <c r="S578" s="147"/>
      <c r="T578" s="147"/>
      <c r="U578" s="147"/>
      <c r="X578" s="147"/>
      <c r="Y578" s="147"/>
      <c r="Z578" s="147"/>
      <c r="AA578" s="147"/>
      <c r="AB578" s="147"/>
      <c r="AC578" s="147"/>
      <c r="AD578" s="147"/>
      <c r="AE578" s="147"/>
      <c r="AF578" s="147"/>
      <c r="AG578" s="147"/>
      <c r="AH578" s="147"/>
      <c r="AI578" s="147"/>
      <c r="AJ578" s="147"/>
      <c r="AK578" s="147"/>
      <c r="AL578" s="147"/>
      <c r="AM578" s="147"/>
      <c r="AN578" s="147"/>
      <c r="AO578" s="147"/>
      <c r="AP578" s="147"/>
      <c r="AQ578" s="147"/>
    </row>
    <row r="579" spans="1:43">
      <c r="A579" s="3"/>
      <c r="B579" s="3"/>
      <c r="C579" s="3"/>
      <c r="D579" s="3"/>
      <c r="E579" s="3"/>
      <c r="F579" s="3"/>
      <c r="G579" s="3"/>
      <c r="H579" s="3"/>
      <c r="I579" s="3"/>
      <c r="J579" s="3"/>
      <c r="K579" s="3"/>
      <c r="L579" s="3"/>
      <c r="M579" s="3"/>
      <c r="N579" s="157"/>
      <c r="O579" s="157"/>
      <c r="P579" s="157"/>
      <c r="R579" s="147"/>
      <c r="S579" s="147"/>
      <c r="T579" s="147"/>
      <c r="U579" s="147"/>
      <c r="X579" s="147"/>
      <c r="Y579" s="147"/>
      <c r="Z579" s="147"/>
      <c r="AA579" s="147"/>
      <c r="AB579" s="147"/>
      <c r="AC579" s="147"/>
      <c r="AD579" s="147"/>
      <c r="AE579" s="147"/>
      <c r="AF579" s="147"/>
      <c r="AG579" s="147"/>
      <c r="AH579" s="147"/>
      <c r="AI579" s="147"/>
      <c r="AJ579" s="147"/>
      <c r="AK579" s="147"/>
      <c r="AL579" s="147"/>
      <c r="AM579" s="147"/>
      <c r="AN579" s="147"/>
      <c r="AO579" s="147"/>
      <c r="AP579" s="147"/>
      <c r="AQ579" s="147"/>
    </row>
    <row r="580" spans="1:43">
      <c r="A580" s="3"/>
      <c r="B580" s="3"/>
      <c r="C580" s="3"/>
      <c r="D580" s="3"/>
      <c r="E580" s="3"/>
      <c r="F580" s="3"/>
      <c r="G580" s="3"/>
      <c r="H580" s="3"/>
      <c r="I580" s="3"/>
      <c r="J580" s="3"/>
      <c r="K580" s="3"/>
      <c r="L580" s="3"/>
      <c r="M580" s="3"/>
      <c r="N580" s="157"/>
      <c r="O580" s="157"/>
      <c r="P580" s="157"/>
      <c r="R580" s="147"/>
      <c r="S580" s="147"/>
      <c r="T580" s="147"/>
      <c r="U580" s="147"/>
      <c r="X580" s="147"/>
      <c r="Y580" s="147"/>
      <c r="Z580" s="147"/>
      <c r="AA580" s="147"/>
      <c r="AB580" s="147"/>
      <c r="AC580" s="147"/>
      <c r="AD580" s="147"/>
      <c r="AE580" s="147"/>
      <c r="AF580" s="147"/>
      <c r="AG580" s="147"/>
      <c r="AH580" s="147"/>
      <c r="AI580" s="147"/>
      <c r="AJ580" s="147"/>
      <c r="AK580" s="147"/>
      <c r="AL580" s="147"/>
      <c r="AM580" s="147"/>
      <c r="AN580" s="147"/>
      <c r="AO580" s="147"/>
      <c r="AP580" s="147"/>
      <c r="AQ580" s="147"/>
    </row>
    <row r="581" spans="1:43">
      <c r="A581" s="3"/>
      <c r="B581" s="3"/>
      <c r="C581" s="3"/>
      <c r="D581" s="3"/>
      <c r="E581" s="3"/>
      <c r="F581" s="3"/>
      <c r="G581" s="3"/>
      <c r="H581" s="3"/>
      <c r="I581" s="3"/>
      <c r="J581" s="3"/>
      <c r="K581" s="3"/>
      <c r="L581" s="3"/>
      <c r="M581" s="3"/>
      <c r="N581" s="157"/>
      <c r="O581" s="157"/>
      <c r="P581" s="157"/>
      <c r="R581" s="147"/>
      <c r="S581" s="147"/>
      <c r="T581" s="147"/>
      <c r="U581" s="147"/>
      <c r="X581" s="147"/>
      <c r="Y581" s="147"/>
      <c r="Z581" s="147"/>
      <c r="AA581" s="147"/>
      <c r="AB581" s="147"/>
      <c r="AC581" s="147"/>
      <c r="AD581" s="147"/>
      <c r="AE581" s="147"/>
      <c r="AF581" s="147"/>
      <c r="AG581" s="147"/>
      <c r="AH581" s="147"/>
      <c r="AI581" s="147"/>
      <c r="AJ581" s="147"/>
      <c r="AK581" s="147"/>
      <c r="AL581" s="147"/>
      <c r="AM581" s="147"/>
      <c r="AN581" s="147"/>
      <c r="AO581" s="147"/>
      <c r="AP581" s="147"/>
      <c r="AQ581" s="147"/>
    </row>
    <row r="582" spans="1:43">
      <c r="A582" s="3"/>
      <c r="B582" s="3"/>
      <c r="C582" s="3"/>
      <c r="D582" s="3"/>
      <c r="E582" s="3"/>
      <c r="F582" s="3"/>
      <c r="G582" s="3"/>
      <c r="H582" s="3"/>
      <c r="I582" s="3"/>
      <c r="J582" s="3"/>
      <c r="K582" s="3"/>
      <c r="L582" s="3"/>
      <c r="M582" s="3"/>
      <c r="N582" s="157"/>
      <c r="O582" s="157"/>
      <c r="P582" s="157"/>
      <c r="R582" s="147"/>
      <c r="S582" s="147"/>
      <c r="T582" s="147"/>
      <c r="U582" s="147"/>
      <c r="X582" s="147"/>
      <c r="Y582" s="147"/>
      <c r="Z582" s="147"/>
      <c r="AA582" s="147"/>
      <c r="AB582" s="147"/>
      <c r="AC582" s="147"/>
      <c r="AD582" s="147"/>
      <c r="AE582" s="147"/>
      <c r="AF582" s="147"/>
      <c r="AG582" s="147"/>
      <c r="AH582" s="147"/>
      <c r="AI582" s="147"/>
      <c r="AJ582" s="147"/>
      <c r="AK582" s="147"/>
      <c r="AL582" s="147"/>
      <c r="AM582" s="147"/>
      <c r="AN582" s="147"/>
      <c r="AO582" s="147"/>
      <c r="AP582" s="147"/>
      <c r="AQ582" s="147"/>
    </row>
    <row r="583" spans="1:43">
      <c r="A583" s="3"/>
      <c r="B583" s="3"/>
      <c r="C583" s="3"/>
      <c r="D583" s="3"/>
      <c r="E583" s="3"/>
      <c r="F583" s="3"/>
      <c r="G583" s="3"/>
      <c r="H583" s="3"/>
      <c r="I583" s="3"/>
      <c r="J583" s="3"/>
      <c r="K583" s="3"/>
      <c r="L583" s="3"/>
      <c r="M583" s="3"/>
      <c r="N583" s="157"/>
      <c r="O583" s="157"/>
      <c r="P583" s="157"/>
      <c r="R583" s="147"/>
      <c r="S583" s="147"/>
      <c r="T583" s="147"/>
      <c r="U583" s="147"/>
      <c r="X583" s="147"/>
      <c r="Y583" s="147"/>
      <c r="Z583" s="147"/>
      <c r="AA583" s="147"/>
      <c r="AB583" s="147"/>
      <c r="AC583" s="147"/>
      <c r="AD583" s="147"/>
      <c r="AE583" s="147"/>
      <c r="AF583" s="147"/>
      <c r="AG583" s="147"/>
      <c r="AH583" s="147"/>
      <c r="AI583" s="147"/>
      <c r="AJ583" s="147"/>
      <c r="AK583" s="147"/>
      <c r="AL583" s="147"/>
      <c r="AM583" s="147"/>
      <c r="AN583" s="147"/>
      <c r="AO583" s="147"/>
      <c r="AP583" s="147"/>
      <c r="AQ583" s="147"/>
    </row>
    <row r="584" spans="1:43">
      <c r="A584" s="3"/>
      <c r="B584" s="3"/>
      <c r="C584" s="3"/>
      <c r="D584" s="3"/>
      <c r="E584" s="3"/>
      <c r="F584" s="3"/>
      <c r="G584" s="3"/>
      <c r="H584" s="3"/>
      <c r="I584" s="3"/>
      <c r="J584" s="3"/>
      <c r="K584" s="3"/>
      <c r="L584" s="3"/>
      <c r="M584" s="3"/>
      <c r="N584" s="157"/>
      <c r="O584" s="157"/>
      <c r="P584" s="157"/>
      <c r="R584" s="147"/>
      <c r="S584" s="147"/>
      <c r="T584" s="147"/>
      <c r="U584" s="147"/>
      <c r="X584" s="147"/>
      <c r="Y584" s="147"/>
      <c r="Z584" s="147"/>
      <c r="AA584" s="147"/>
      <c r="AB584" s="147"/>
      <c r="AC584" s="147"/>
      <c r="AD584" s="147"/>
      <c r="AE584" s="147"/>
      <c r="AF584" s="147"/>
      <c r="AG584" s="147"/>
      <c r="AH584" s="147"/>
      <c r="AI584" s="147"/>
      <c r="AJ584" s="147"/>
      <c r="AK584" s="147"/>
      <c r="AL584" s="147"/>
      <c r="AM584" s="147"/>
      <c r="AN584" s="147"/>
      <c r="AO584" s="147"/>
      <c r="AP584" s="147"/>
      <c r="AQ584" s="147"/>
    </row>
    <row r="585" spans="1:43">
      <c r="A585" s="3"/>
      <c r="B585" s="3"/>
      <c r="C585" s="3"/>
      <c r="D585" s="3"/>
      <c r="E585" s="3"/>
      <c r="F585" s="3"/>
      <c r="G585" s="3"/>
      <c r="H585" s="3"/>
      <c r="I585" s="3"/>
      <c r="J585" s="3"/>
      <c r="K585" s="3"/>
      <c r="L585" s="3"/>
      <c r="M585" s="3"/>
      <c r="N585" s="157"/>
      <c r="O585" s="157"/>
      <c r="P585" s="157"/>
      <c r="R585" s="147"/>
      <c r="S585" s="147"/>
      <c r="T585" s="147"/>
      <c r="U585" s="147"/>
      <c r="X585" s="147"/>
      <c r="Y585" s="147"/>
      <c r="Z585" s="147"/>
      <c r="AA585" s="147"/>
      <c r="AB585" s="147"/>
      <c r="AC585" s="147"/>
      <c r="AD585" s="147"/>
      <c r="AE585" s="147"/>
      <c r="AF585" s="147"/>
      <c r="AG585" s="147"/>
      <c r="AH585" s="147"/>
      <c r="AI585" s="147"/>
      <c r="AJ585" s="147"/>
      <c r="AK585" s="147"/>
      <c r="AL585" s="147"/>
      <c r="AM585" s="147"/>
      <c r="AN585" s="147"/>
      <c r="AO585" s="147"/>
      <c r="AP585" s="147"/>
      <c r="AQ585" s="147"/>
    </row>
    <row r="586" spans="1:43">
      <c r="A586" s="3"/>
      <c r="B586" s="3"/>
      <c r="C586" s="3"/>
      <c r="D586" s="3"/>
      <c r="E586" s="3"/>
      <c r="F586" s="3"/>
      <c r="G586" s="3"/>
      <c r="H586" s="3"/>
      <c r="I586" s="3"/>
      <c r="J586" s="3"/>
      <c r="K586" s="3"/>
      <c r="L586" s="3"/>
      <c r="M586" s="3"/>
      <c r="N586" s="157"/>
      <c r="O586" s="157"/>
      <c r="P586" s="157"/>
      <c r="R586" s="147"/>
      <c r="S586" s="147"/>
      <c r="T586" s="147"/>
      <c r="U586" s="147"/>
      <c r="X586" s="147"/>
      <c r="Y586" s="147"/>
      <c r="Z586" s="147"/>
      <c r="AA586" s="147"/>
      <c r="AB586" s="147"/>
      <c r="AC586" s="147"/>
      <c r="AD586" s="147"/>
      <c r="AE586" s="147"/>
      <c r="AF586" s="147"/>
      <c r="AG586" s="147"/>
      <c r="AH586" s="147"/>
      <c r="AI586" s="147"/>
      <c r="AJ586" s="147"/>
      <c r="AK586" s="147"/>
      <c r="AL586" s="147"/>
      <c r="AM586" s="147"/>
      <c r="AN586" s="147"/>
      <c r="AO586" s="147"/>
      <c r="AP586" s="147"/>
      <c r="AQ586" s="147"/>
    </row>
    <row r="587" spans="1:43">
      <c r="A587" s="3"/>
      <c r="B587" s="3"/>
      <c r="C587" s="3"/>
      <c r="D587" s="3"/>
      <c r="E587" s="3"/>
      <c r="F587" s="3"/>
      <c r="G587" s="3"/>
      <c r="H587" s="3"/>
      <c r="I587" s="3"/>
      <c r="J587" s="3"/>
      <c r="K587" s="3"/>
      <c r="L587" s="3"/>
      <c r="M587" s="3"/>
      <c r="N587" s="157"/>
      <c r="O587" s="157"/>
      <c r="P587" s="157"/>
      <c r="R587" s="147"/>
      <c r="S587" s="147"/>
      <c r="T587" s="147"/>
      <c r="U587" s="147"/>
      <c r="X587" s="147"/>
      <c r="Y587" s="147"/>
      <c r="Z587" s="147"/>
      <c r="AA587" s="147"/>
      <c r="AB587" s="147"/>
      <c r="AC587" s="147"/>
      <c r="AD587" s="147"/>
      <c r="AE587" s="147"/>
      <c r="AF587" s="147"/>
      <c r="AG587" s="147"/>
      <c r="AH587" s="147"/>
      <c r="AI587" s="147"/>
      <c r="AJ587" s="147"/>
      <c r="AK587" s="147"/>
      <c r="AL587" s="147"/>
      <c r="AM587" s="147"/>
      <c r="AN587" s="147"/>
      <c r="AO587" s="147"/>
      <c r="AP587" s="147"/>
      <c r="AQ587" s="147"/>
    </row>
    <row r="588" spans="1:43">
      <c r="A588" s="3"/>
      <c r="B588" s="3"/>
      <c r="C588" s="3"/>
      <c r="D588" s="3"/>
      <c r="E588" s="3"/>
      <c r="F588" s="3"/>
      <c r="G588" s="3"/>
      <c r="H588" s="3"/>
      <c r="I588" s="3"/>
      <c r="J588" s="3"/>
      <c r="K588" s="3"/>
      <c r="L588" s="3"/>
      <c r="M588" s="3"/>
      <c r="N588" s="157"/>
      <c r="O588" s="157"/>
      <c r="P588" s="157"/>
      <c r="R588" s="147"/>
      <c r="S588" s="147"/>
      <c r="T588" s="147"/>
      <c r="U588" s="147"/>
      <c r="X588" s="147"/>
      <c r="Y588" s="147"/>
      <c r="Z588" s="147"/>
      <c r="AA588" s="147"/>
      <c r="AB588" s="147"/>
      <c r="AC588" s="147"/>
      <c r="AD588" s="147"/>
      <c r="AE588" s="147"/>
      <c r="AF588" s="147"/>
      <c r="AG588" s="147"/>
      <c r="AH588" s="147"/>
      <c r="AI588" s="147"/>
      <c r="AJ588" s="147"/>
      <c r="AK588" s="147"/>
      <c r="AL588" s="147"/>
      <c r="AM588" s="147"/>
      <c r="AN588" s="147"/>
      <c r="AO588" s="147"/>
      <c r="AP588" s="147"/>
      <c r="AQ588" s="147"/>
    </row>
    <row r="589" spans="1:43">
      <c r="A589" s="3"/>
      <c r="B589" s="3"/>
      <c r="C589" s="3"/>
      <c r="D589" s="3"/>
      <c r="E589" s="3"/>
      <c r="F589" s="3"/>
      <c r="G589" s="3"/>
      <c r="H589" s="3"/>
      <c r="I589" s="3"/>
      <c r="J589" s="3"/>
      <c r="K589" s="3"/>
      <c r="L589" s="3"/>
      <c r="M589" s="3"/>
      <c r="N589" s="157"/>
      <c r="O589" s="157"/>
      <c r="P589" s="157"/>
      <c r="R589" s="147"/>
      <c r="S589" s="147"/>
      <c r="T589" s="147"/>
      <c r="U589" s="147"/>
      <c r="X589" s="147"/>
      <c r="Y589" s="147"/>
      <c r="Z589" s="147"/>
      <c r="AA589" s="147"/>
      <c r="AB589" s="147"/>
      <c r="AC589" s="147"/>
      <c r="AD589" s="147"/>
      <c r="AE589" s="147"/>
      <c r="AF589" s="147"/>
      <c r="AG589" s="147"/>
      <c r="AH589" s="147"/>
      <c r="AI589" s="147"/>
      <c r="AJ589" s="147"/>
      <c r="AK589" s="147"/>
      <c r="AL589" s="147"/>
      <c r="AM589" s="147"/>
      <c r="AN589" s="147"/>
      <c r="AO589" s="147"/>
      <c r="AP589" s="147"/>
      <c r="AQ589" s="147"/>
    </row>
    <row r="590" spans="1:43">
      <c r="A590" s="3"/>
      <c r="B590" s="3"/>
      <c r="C590" s="3"/>
      <c r="D590" s="3"/>
      <c r="E590" s="3"/>
      <c r="F590" s="3"/>
      <c r="G590" s="3"/>
      <c r="H590" s="3"/>
      <c r="I590" s="3"/>
      <c r="J590" s="3"/>
      <c r="K590" s="3"/>
      <c r="L590" s="3"/>
      <c r="M590" s="3"/>
      <c r="N590" s="157"/>
      <c r="O590" s="157"/>
      <c r="P590" s="157"/>
      <c r="R590" s="147"/>
      <c r="S590" s="147"/>
      <c r="T590" s="147"/>
      <c r="U590" s="147"/>
      <c r="X590" s="147"/>
      <c r="Y590" s="147"/>
      <c r="Z590" s="147"/>
      <c r="AA590" s="147"/>
      <c r="AB590" s="147"/>
      <c r="AC590" s="147"/>
      <c r="AD590" s="147"/>
      <c r="AE590" s="147"/>
      <c r="AF590" s="147"/>
      <c r="AG590" s="147"/>
      <c r="AH590" s="147"/>
      <c r="AI590" s="147"/>
      <c r="AJ590" s="147"/>
      <c r="AK590" s="147"/>
      <c r="AL590" s="147"/>
      <c r="AM590" s="147"/>
      <c r="AN590" s="147"/>
      <c r="AO590" s="147"/>
      <c r="AP590" s="147"/>
      <c r="AQ590" s="147"/>
    </row>
    <row r="591" spans="1:43">
      <c r="A591" s="3"/>
      <c r="B591" s="3"/>
      <c r="C591" s="3"/>
      <c r="D591" s="3"/>
      <c r="E591" s="3"/>
      <c r="F591" s="3"/>
      <c r="G591" s="3"/>
      <c r="H591" s="3"/>
      <c r="I591" s="3"/>
      <c r="J591" s="3"/>
      <c r="K591" s="3"/>
      <c r="L591" s="3"/>
      <c r="M591" s="3"/>
      <c r="N591" s="157"/>
      <c r="O591" s="157"/>
      <c r="P591" s="157"/>
      <c r="R591" s="147"/>
      <c r="S591" s="147"/>
      <c r="T591" s="147"/>
      <c r="U591" s="147"/>
      <c r="X591" s="147"/>
      <c r="Y591" s="147"/>
      <c r="Z591" s="147"/>
      <c r="AA591" s="147"/>
      <c r="AB591" s="147"/>
      <c r="AC591" s="147"/>
      <c r="AD591" s="147"/>
      <c r="AE591" s="147"/>
      <c r="AF591" s="147"/>
      <c r="AG591" s="147"/>
      <c r="AH591" s="147"/>
      <c r="AI591" s="147"/>
      <c r="AJ591" s="147"/>
      <c r="AK591" s="147"/>
      <c r="AL591" s="147"/>
      <c r="AM591" s="147"/>
      <c r="AN591" s="147"/>
      <c r="AO591" s="147"/>
      <c r="AP591" s="147"/>
      <c r="AQ591" s="147"/>
    </row>
    <row r="592" spans="1:43">
      <c r="A592" s="3"/>
      <c r="B592" s="3"/>
      <c r="C592" s="3"/>
      <c r="D592" s="3"/>
      <c r="E592" s="3"/>
      <c r="F592" s="3"/>
      <c r="G592" s="3"/>
      <c r="H592" s="3"/>
      <c r="I592" s="3"/>
      <c r="J592" s="3"/>
      <c r="K592" s="3"/>
      <c r="L592" s="3"/>
      <c r="M592" s="3"/>
      <c r="N592" s="157"/>
      <c r="O592" s="157"/>
      <c r="P592" s="157"/>
      <c r="R592" s="147"/>
      <c r="S592" s="147"/>
      <c r="T592" s="147"/>
      <c r="U592" s="147"/>
      <c r="X592" s="147"/>
      <c r="Y592" s="147"/>
      <c r="Z592" s="147"/>
      <c r="AA592" s="147"/>
      <c r="AB592" s="147"/>
      <c r="AC592" s="147"/>
      <c r="AD592" s="147"/>
      <c r="AE592" s="147"/>
      <c r="AF592" s="147"/>
      <c r="AG592" s="147"/>
      <c r="AH592" s="147"/>
      <c r="AI592" s="147"/>
      <c r="AJ592" s="147"/>
      <c r="AK592" s="147"/>
      <c r="AL592" s="147"/>
      <c r="AM592" s="147"/>
      <c r="AN592" s="147"/>
      <c r="AO592" s="147"/>
      <c r="AP592" s="147"/>
      <c r="AQ592" s="147"/>
    </row>
    <row r="593" spans="1:43">
      <c r="A593" s="3"/>
      <c r="B593" s="3"/>
      <c r="C593" s="3"/>
      <c r="D593" s="3"/>
      <c r="E593" s="3"/>
      <c r="F593" s="3"/>
      <c r="G593" s="3"/>
      <c r="H593" s="3"/>
      <c r="I593" s="3"/>
      <c r="J593" s="3"/>
      <c r="K593" s="3"/>
      <c r="L593" s="3"/>
      <c r="M593" s="3"/>
      <c r="N593" s="157"/>
      <c r="O593" s="157"/>
      <c r="P593" s="157"/>
      <c r="R593" s="147"/>
      <c r="S593" s="147"/>
      <c r="T593" s="147"/>
      <c r="U593" s="147"/>
      <c r="X593" s="147"/>
      <c r="Y593" s="147"/>
      <c r="Z593" s="147"/>
      <c r="AA593" s="147"/>
      <c r="AB593" s="147"/>
      <c r="AC593" s="147"/>
      <c r="AD593" s="147"/>
      <c r="AE593" s="147"/>
      <c r="AF593" s="147"/>
      <c r="AG593" s="147"/>
      <c r="AH593" s="147"/>
      <c r="AI593" s="147"/>
      <c r="AJ593" s="147"/>
      <c r="AK593" s="147"/>
      <c r="AL593" s="147"/>
      <c r="AM593" s="147"/>
      <c r="AN593" s="147"/>
      <c r="AO593" s="147"/>
      <c r="AP593" s="147"/>
      <c r="AQ593" s="147"/>
    </row>
    <row r="594" spans="1:43">
      <c r="A594" s="3"/>
      <c r="B594" s="3"/>
      <c r="C594" s="3"/>
      <c r="D594" s="3"/>
      <c r="E594" s="3"/>
      <c r="F594" s="3"/>
      <c r="G594" s="3"/>
      <c r="H594" s="3"/>
      <c r="I594" s="3"/>
      <c r="J594" s="3"/>
      <c r="K594" s="3"/>
      <c r="L594" s="3"/>
      <c r="M594" s="3"/>
      <c r="N594" s="157"/>
      <c r="O594" s="157"/>
      <c r="P594" s="157"/>
      <c r="R594" s="147"/>
      <c r="S594" s="147"/>
      <c r="T594" s="147"/>
      <c r="U594" s="147"/>
      <c r="X594" s="147"/>
      <c r="Y594" s="147"/>
      <c r="Z594" s="147"/>
      <c r="AA594" s="147"/>
      <c r="AB594" s="147"/>
      <c r="AC594" s="147"/>
      <c r="AD594" s="147"/>
      <c r="AE594" s="147"/>
      <c r="AF594" s="147"/>
      <c r="AG594" s="147"/>
      <c r="AH594" s="147"/>
      <c r="AI594" s="147"/>
      <c r="AJ594" s="147"/>
      <c r="AK594" s="147"/>
      <c r="AL594" s="147"/>
      <c r="AM594" s="147"/>
      <c r="AN594" s="147"/>
      <c r="AO594" s="147"/>
      <c r="AP594" s="147"/>
      <c r="AQ594" s="147"/>
    </row>
    <row r="595" spans="1:43">
      <c r="A595" s="3"/>
      <c r="B595" s="3"/>
      <c r="C595" s="3"/>
      <c r="D595" s="3"/>
      <c r="E595" s="3"/>
      <c r="F595" s="3"/>
      <c r="G595" s="3"/>
      <c r="H595" s="3"/>
      <c r="I595" s="3"/>
      <c r="J595" s="3"/>
      <c r="K595" s="3"/>
      <c r="L595" s="3"/>
      <c r="M595" s="3"/>
      <c r="N595" s="157"/>
      <c r="O595" s="157"/>
      <c r="P595" s="157"/>
      <c r="R595" s="147"/>
      <c r="S595" s="147"/>
      <c r="T595" s="147"/>
      <c r="U595" s="147"/>
      <c r="X595" s="147"/>
      <c r="Y595" s="147"/>
      <c r="Z595" s="147"/>
      <c r="AA595" s="147"/>
      <c r="AB595" s="147"/>
      <c r="AC595" s="147"/>
      <c r="AD595" s="147"/>
      <c r="AE595" s="147"/>
      <c r="AF595" s="147"/>
      <c r="AG595" s="147"/>
      <c r="AH595" s="147"/>
      <c r="AI595" s="147"/>
      <c r="AJ595" s="147"/>
      <c r="AK595" s="147"/>
      <c r="AL595" s="147"/>
      <c r="AM595" s="147"/>
      <c r="AN595" s="147"/>
      <c r="AO595" s="147"/>
      <c r="AP595" s="147"/>
      <c r="AQ595" s="147"/>
    </row>
    <row r="596" spans="1:43">
      <c r="A596" s="3"/>
      <c r="B596" s="3"/>
      <c r="C596" s="3"/>
      <c r="D596" s="3"/>
      <c r="E596" s="3"/>
      <c r="F596" s="3"/>
      <c r="G596" s="3"/>
      <c r="H596" s="3"/>
      <c r="I596" s="3"/>
      <c r="J596" s="3"/>
      <c r="K596" s="3"/>
      <c r="L596" s="3"/>
      <c r="M596" s="3"/>
      <c r="N596" s="157"/>
      <c r="O596" s="157"/>
      <c r="P596" s="157"/>
      <c r="R596" s="147"/>
      <c r="S596" s="147"/>
      <c r="T596" s="147"/>
      <c r="U596" s="147"/>
      <c r="X596" s="147"/>
      <c r="Y596" s="147"/>
      <c r="Z596" s="147"/>
      <c r="AA596" s="147"/>
      <c r="AB596" s="147"/>
      <c r="AC596" s="147"/>
      <c r="AD596" s="147"/>
      <c r="AE596" s="147"/>
      <c r="AF596" s="147"/>
      <c r="AG596" s="147"/>
      <c r="AH596" s="147"/>
      <c r="AI596" s="147"/>
      <c r="AJ596" s="147"/>
      <c r="AK596" s="147"/>
      <c r="AL596" s="147"/>
      <c r="AM596" s="147"/>
      <c r="AN596" s="147"/>
      <c r="AO596" s="147"/>
      <c r="AP596" s="147"/>
      <c r="AQ596" s="147"/>
    </row>
    <row r="597" spans="1:43">
      <c r="A597" s="3"/>
      <c r="B597" s="3"/>
      <c r="C597" s="3"/>
      <c r="D597" s="3"/>
      <c r="E597" s="3"/>
      <c r="F597" s="3"/>
      <c r="G597" s="3"/>
      <c r="H597" s="3"/>
      <c r="I597" s="3"/>
      <c r="J597" s="3"/>
      <c r="K597" s="3"/>
      <c r="L597" s="3"/>
      <c r="M597" s="3"/>
      <c r="N597" s="157"/>
      <c r="O597" s="157"/>
      <c r="P597" s="157"/>
      <c r="R597" s="147"/>
      <c r="S597" s="147"/>
      <c r="T597" s="147"/>
      <c r="U597" s="147"/>
      <c r="X597" s="147"/>
      <c r="Y597" s="147"/>
      <c r="Z597" s="147"/>
      <c r="AA597" s="147"/>
      <c r="AB597" s="147"/>
      <c r="AC597" s="147"/>
      <c r="AD597" s="147"/>
      <c r="AE597" s="147"/>
      <c r="AF597" s="147"/>
      <c r="AG597" s="147"/>
      <c r="AH597" s="147"/>
      <c r="AI597" s="147"/>
      <c r="AJ597" s="147"/>
      <c r="AK597" s="147"/>
      <c r="AL597" s="147"/>
      <c r="AM597" s="147"/>
      <c r="AN597" s="147"/>
      <c r="AO597" s="147"/>
      <c r="AP597" s="147"/>
      <c r="AQ597" s="147"/>
    </row>
    <row r="598" spans="1:43">
      <c r="A598" s="3"/>
      <c r="B598" s="3"/>
      <c r="C598" s="3"/>
      <c r="D598" s="3"/>
      <c r="E598" s="3"/>
      <c r="F598" s="3"/>
      <c r="G598" s="3"/>
      <c r="H598" s="3"/>
      <c r="I598" s="3"/>
      <c r="J598" s="3"/>
      <c r="K598" s="3"/>
      <c r="L598" s="3"/>
      <c r="M598" s="3"/>
      <c r="N598" s="157"/>
      <c r="O598" s="157"/>
      <c r="P598" s="157"/>
      <c r="R598" s="147"/>
      <c r="S598" s="147"/>
      <c r="T598" s="147"/>
      <c r="U598" s="147"/>
      <c r="X598" s="147"/>
      <c r="Y598" s="147"/>
      <c r="Z598" s="147"/>
      <c r="AA598" s="147"/>
      <c r="AB598" s="147"/>
      <c r="AC598" s="147"/>
      <c r="AD598" s="147"/>
      <c r="AE598" s="147"/>
      <c r="AF598" s="147"/>
      <c r="AG598" s="147"/>
      <c r="AH598" s="147"/>
      <c r="AI598" s="147"/>
      <c r="AJ598" s="147"/>
      <c r="AK598" s="147"/>
      <c r="AL598" s="147"/>
      <c r="AM598" s="147"/>
      <c r="AN598" s="147"/>
      <c r="AO598" s="147"/>
      <c r="AP598" s="147"/>
      <c r="AQ598" s="147"/>
    </row>
    <row r="599" spans="1:43">
      <c r="A599" s="3"/>
      <c r="B599" s="3"/>
      <c r="C599" s="3"/>
      <c r="D599" s="3"/>
      <c r="E599" s="3"/>
      <c r="F599" s="3"/>
      <c r="G599" s="3"/>
      <c r="H599" s="3"/>
      <c r="I599" s="3"/>
      <c r="J599" s="3"/>
      <c r="K599" s="3"/>
      <c r="L599" s="3"/>
      <c r="M599" s="3"/>
      <c r="N599" s="157"/>
      <c r="O599" s="157"/>
      <c r="P599" s="157"/>
      <c r="R599" s="147"/>
      <c r="S599" s="147"/>
      <c r="T599" s="147"/>
      <c r="U599" s="147"/>
      <c r="X599" s="147"/>
      <c r="Y599" s="147"/>
      <c r="Z599" s="147"/>
      <c r="AA599" s="147"/>
      <c r="AB599" s="147"/>
      <c r="AC599" s="147"/>
      <c r="AD599" s="147"/>
      <c r="AE599" s="147"/>
      <c r="AF599" s="147"/>
      <c r="AG599" s="147"/>
      <c r="AH599" s="147"/>
      <c r="AI599" s="147"/>
      <c r="AJ599" s="147"/>
      <c r="AK599" s="147"/>
      <c r="AL599" s="147"/>
      <c r="AM599" s="147"/>
      <c r="AN599" s="147"/>
      <c r="AO599" s="147"/>
      <c r="AP599" s="147"/>
      <c r="AQ599" s="147"/>
    </row>
    <row r="600" spans="1:43">
      <c r="A600" s="3"/>
      <c r="B600" s="3"/>
      <c r="C600" s="3"/>
      <c r="D600" s="3"/>
      <c r="E600" s="3"/>
      <c r="F600" s="3"/>
      <c r="G600" s="3"/>
      <c r="H600" s="3"/>
      <c r="I600" s="3"/>
      <c r="J600" s="3"/>
      <c r="K600" s="3"/>
      <c r="L600" s="3"/>
      <c r="M600" s="3"/>
      <c r="N600" s="157"/>
      <c r="O600" s="157"/>
      <c r="P600" s="157"/>
      <c r="R600" s="147"/>
      <c r="S600" s="147"/>
      <c r="T600" s="147"/>
      <c r="U600" s="147"/>
      <c r="X600" s="147"/>
      <c r="Y600" s="147"/>
      <c r="Z600" s="147"/>
      <c r="AA600" s="147"/>
      <c r="AB600" s="147"/>
      <c r="AC600" s="147"/>
      <c r="AD600" s="147"/>
      <c r="AE600" s="147"/>
      <c r="AF600" s="147"/>
      <c r="AG600" s="147"/>
      <c r="AH600" s="147"/>
      <c r="AI600" s="147"/>
      <c r="AJ600" s="147"/>
      <c r="AK600" s="147"/>
      <c r="AL600" s="147"/>
      <c r="AM600" s="147"/>
      <c r="AN600" s="147"/>
      <c r="AO600" s="147"/>
      <c r="AP600" s="147"/>
      <c r="AQ600" s="147"/>
    </row>
    <row r="601" spans="1:43">
      <c r="A601" s="3"/>
      <c r="B601" s="3"/>
      <c r="C601" s="3"/>
      <c r="D601" s="3"/>
      <c r="E601" s="3"/>
      <c r="F601" s="3"/>
      <c r="G601" s="3"/>
      <c r="H601" s="3"/>
      <c r="I601" s="3"/>
      <c r="J601" s="3"/>
      <c r="K601" s="3"/>
      <c r="L601" s="3"/>
      <c r="M601" s="3"/>
      <c r="N601" s="157"/>
      <c r="O601" s="157"/>
      <c r="P601" s="157"/>
      <c r="R601" s="147"/>
      <c r="S601" s="147"/>
      <c r="T601" s="147"/>
      <c r="U601" s="147"/>
      <c r="X601" s="147"/>
      <c r="Y601" s="147"/>
      <c r="Z601" s="147"/>
      <c r="AA601" s="147"/>
      <c r="AB601" s="147"/>
      <c r="AC601" s="147"/>
      <c r="AD601" s="147"/>
      <c r="AE601" s="147"/>
      <c r="AF601" s="147"/>
      <c r="AG601" s="147"/>
      <c r="AH601" s="147"/>
      <c r="AI601" s="147"/>
      <c r="AJ601" s="147"/>
      <c r="AK601" s="147"/>
      <c r="AL601" s="147"/>
      <c r="AM601" s="147"/>
      <c r="AN601" s="147"/>
      <c r="AO601" s="147"/>
      <c r="AP601" s="147"/>
      <c r="AQ601" s="147"/>
    </row>
    <row r="602" spans="1:43">
      <c r="A602" s="3"/>
      <c r="B602" s="3"/>
      <c r="C602" s="3"/>
      <c r="D602" s="3"/>
      <c r="E602" s="3"/>
      <c r="F602" s="3"/>
      <c r="G602" s="3"/>
      <c r="H602" s="3"/>
      <c r="I602" s="3"/>
      <c r="J602" s="3"/>
      <c r="K602" s="3"/>
      <c r="L602" s="3"/>
      <c r="M602" s="3"/>
      <c r="N602" s="157"/>
      <c r="O602" s="157"/>
      <c r="P602" s="157"/>
      <c r="R602" s="147"/>
      <c r="S602" s="147"/>
      <c r="T602" s="147"/>
      <c r="U602" s="147"/>
      <c r="X602" s="147"/>
      <c r="Y602" s="147"/>
      <c r="Z602" s="147"/>
      <c r="AA602" s="147"/>
      <c r="AB602" s="147"/>
      <c r="AC602" s="147"/>
      <c r="AD602" s="147"/>
      <c r="AE602" s="147"/>
      <c r="AF602" s="147"/>
      <c r="AG602" s="147"/>
      <c r="AH602" s="147"/>
      <c r="AI602" s="147"/>
      <c r="AJ602" s="147"/>
      <c r="AK602" s="147"/>
      <c r="AL602" s="147"/>
      <c r="AM602" s="147"/>
      <c r="AN602" s="147"/>
      <c r="AO602" s="147"/>
      <c r="AP602" s="147"/>
      <c r="AQ602" s="147"/>
    </row>
    <row r="603" spans="1:43">
      <c r="A603" s="3"/>
      <c r="B603" s="3"/>
      <c r="C603" s="3"/>
      <c r="D603" s="3"/>
      <c r="E603" s="3"/>
      <c r="F603" s="3"/>
      <c r="G603" s="3"/>
      <c r="H603" s="3"/>
      <c r="I603" s="3"/>
      <c r="J603" s="3"/>
      <c r="K603" s="3"/>
      <c r="L603" s="3"/>
      <c r="M603" s="3"/>
      <c r="N603" s="157"/>
      <c r="O603" s="157"/>
      <c r="P603" s="157"/>
      <c r="R603" s="147"/>
      <c r="S603" s="147"/>
      <c r="T603" s="147"/>
      <c r="U603" s="147"/>
      <c r="X603" s="147"/>
      <c r="Y603" s="147"/>
      <c r="Z603" s="147"/>
      <c r="AA603" s="147"/>
      <c r="AB603" s="147"/>
      <c r="AC603" s="147"/>
      <c r="AD603" s="147"/>
      <c r="AE603" s="147"/>
      <c r="AF603" s="147"/>
      <c r="AG603" s="147"/>
      <c r="AH603" s="147"/>
      <c r="AI603" s="147"/>
      <c r="AJ603" s="147"/>
      <c r="AK603" s="147"/>
      <c r="AL603" s="147"/>
      <c r="AM603" s="147"/>
      <c r="AN603" s="147"/>
      <c r="AO603" s="147"/>
      <c r="AP603" s="147"/>
      <c r="AQ603" s="147"/>
    </row>
    <row r="604" spans="1:43">
      <c r="A604" s="3"/>
      <c r="B604" s="3"/>
      <c r="C604" s="3"/>
      <c r="D604" s="3"/>
      <c r="E604" s="3"/>
      <c r="F604" s="3"/>
      <c r="G604" s="3"/>
      <c r="H604" s="3"/>
      <c r="I604" s="3"/>
      <c r="J604" s="3"/>
      <c r="K604" s="3"/>
      <c r="L604" s="3"/>
      <c r="M604" s="3"/>
      <c r="N604" s="157"/>
      <c r="O604" s="157"/>
      <c r="P604" s="157"/>
      <c r="R604" s="147"/>
      <c r="S604" s="147"/>
      <c r="T604" s="147"/>
      <c r="U604" s="147"/>
      <c r="X604" s="147"/>
      <c r="Y604" s="147"/>
      <c r="Z604" s="147"/>
      <c r="AA604" s="147"/>
      <c r="AB604" s="147"/>
      <c r="AC604" s="147"/>
      <c r="AD604" s="147"/>
      <c r="AE604" s="147"/>
      <c r="AF604" s="147"/>
      <c r="AG604" s="147"/>
      <c r="AH604" s="147"/>
      <c r="AI604" s="147"/>
      <c r="AJ604" s="147"/>
      <c r="AK604" s="147"/>
      <c r="AL604" s="147"/>
      <c r="AM604" s="147"/>
      <c r="AN604" s="147"/>
      <c r="AO604" s="147"/>
      <c r="AP604" s="147"/>
      <c r="AQ604" s="147"/>
    </row>
    <row r="605" spans="1:43">
      <c r="A605" s="3"/>
      <c r="B605" s="3"/>
      <c r="C605" s="3"/>
      <c r="D605" s="3"/>
      <c r="E605" s="3"/>
      <c r="F605" s="3"/>
      <c r="G605" s="3"/>
      <c r="H605" s="3"/>
      <c r="I605" s="3"/>
      <c r="J605" s="3"/>
      <c r="K605" s="3"/>
      <c r="L605" s="3"/>
      <c r="M605" s="3"/>
      <c r="N605" s="157"/>
      <c r="O605" s="157"/>
      <c r="P605" s="157"/>
      <c r="R605" s="147"/>
      <c r="S605" s="147"/>
      <c r="T605" s="147"/>
      <c r="U605" s="147"/>
      <c r="X605" s="147"/>
      <c r="Y605" s="147"/>
      <c r="Z605" s="147"/>
      <c r="AA605" s="147"/>
      <c r="AB605" s="147"/>
      <c r="AC605" s="147"/>
      <c r="AD605" s="147"/>
      <c r="AE605" s="147"/>
      <c r="AF605" s="147"/>
      <c r="AG605" s="147"/>
      <c r="AH605" s="147"/>
      <c r="AI605" s="147"/>
      <c r="AJ605" s="147"/>
      <c r="AK605" s="147"/>
      <c r="AL605" s="147"/>
      <c r="AM605" s="147"/>
      <c r="AN605" s="147"/>
      <c r="AO605" s="147"/>
      <c r="AP605" s="147"/>
      <c r="AQ605" s="147"/>
    </row>
    <row r="606" spans="1:43">
      <c r="A606" s="3"/>
      <c r="B606" s="3"/>
      <c r="C606" s="3"/>
      <c r="D606" s="3"/>
      <c r="E606" s="3"/>
      <c r="F606" s="3"/>
      <c r="G606" s="3"/>
      <c r="H606" s="3"/>
      <c r="I606" s="3"/>
      <c r="J606" s="3"/>
      <c r="K606" s="3"/>
      <c r="L606" s="3"/>
      <c r="M606" s="3"/>
      <c r="N606" s="157"/>
      <c r="O606" s="157"/>
      <c r="P606" s="157"/>
      <c r="R606" s="147"/>
      <c r="S606" s="147"/>
      <c r="T606" s="147"/>
      <c r="U606" s="147"/>
      <c r="X606" s="147"/>
      <c r="Y606" s="147"/>
      <c r="Z606" s="147"/>
      <c r="AA606" s="147"/>
      <c r="AB606" s="147"/>
      <c r="AC606" s="147"/>
      <c r="AD606" s="147"/>
      <c r="AE606" s="147"/>
      <c r="AF606" s="147"/>
      <c r="AG606" s="147"/>
      <c r="AH606" s="147"/>
      <c r="AI606" s="147"/>
      <c r="AJ606" s="147"/>
      <c r="AK606" s="147"/>
      <c r="AL606" s="147"/>
      <c r="AM606" s="147"/>
      <c r="AN606" s="147"/>
      <c r="AO606" s="147"/>
      <c r="AP606" s="147"/>
      <c r="AQ606" s="147"/>
    </row>
    <row r="607" spans="1:43">
      <c r="A607" s="3"/>
      <c r="B607" s="3"/>
      <c r="C607" s="3"/>
      <c r="D607" s="3"/>
      <c r="E607" s="3"/>
      <c r="F607" s="3"/>
      <c r="G607" s="3"/>
      <c r="H607" s="3"/>
      <c r="I607" s="3"/>
      <c r="J607" s="3"/>
      <c r="K607" s="3"/>
      <c r="L607" s="3"/>
      <c r="M607" s="3"/>
      <c r="N607" s="157"/>
      <c r="O607" s="157"/>
      <c r="P607" s="157"/>
      <c r="R607" s="147"/>
      <c r="S607" s="147"/>
      <c r="T607" s="147"/>
      <c r="U607" s="147"/>
      <c r="X607" s="147"/>
      <c r="Y607" s="147"/>
      <c r="Z607" s="147"/>
      <c r="AA607" s="147"/>
      <c r="AB607" s="147"/>
      <c r="AC607" s="147"/>
      <c r="AD607" s="147"/>
      <c r="AE607" s="147"/>
      <c r="AF607" s="147"/>
      <c r="AG607" s="147"/>
      <c r="AH607" s="147"/>
      <c r="AI607" s="147"/>
      <c r="AJ607" s="147"/>
      <c r="AK607" s="147"/>
      <c r="AL607" s="147"/>
      <c r="AM607" s="147"/>
      <c r="AN607" s="147"/>
      <c r="AO607" s="147"/>
      <c r="AP607" s="147"/>
      <c r="AQ607" s="147"/>
    </row>
    <row r="608" spans="1:43">
      <c r="A608" s="3"/>
      <c r="B608" s="3"/>
      <c r="C608" s="3"/>
      <c r="D608" s="3"/>
      <c r="E608" s="3"/>
      <c r="F608" s="3"/>
      <c r="G608" s="3"/>
      <c r="H608" s="3"/>
      <c r="I608" s="3"/>
      <c r="J608" s="3"/>
      <c r="K608" s="3"/>
      <c r="L608" s="3"/>
      <c r="M608" s="3"/>
      <c r="N608" s="157"/>
      <c r="O608" s="157"/>
      <c r="P608" s="157"/>
      <c r="R608" s="147"/>
      <c r="S608" s="147"/>
      <c r="T608" s="147"/>
      <c r="U608" s="147"/>
      <c r="X608" s="147"/>
      <c r="Y608" s="147"/>
      <c r="Z608" s="147"/>
      <c r="AA608" s="147"/>
      <c r="AB608" s="147"/>
      <c r="AC608" s="147"/>
      <c r="AD608" s="147"/>
      <c r="AE608" s="147"/>
      <c r="AF608" s="147"/>
      <c r="AG608" s="147"/>
      <c r="AH608" s="147"/>
      <c r="AI608" s="147"/>
      <c r="AJ608" s="147"/>
      <c r="AK608" s="147"/>
      <c r="AL608" s="147"/>
      <c r="AM608" s="147"/>
      <c r="AN608" s="147"/>
      <c r="AO608" s="147"/>
      <c r="AP608" s="147"/>
      <c r="AQ608" s="147"/>
    </row>
    <row r="609" spans="1:43">
      <c r="A609" s="3"/>
      <c r="B609" s="3"/>
      <c r="C609" s="3"/>
      <c r="D609" s="3"/>
      <c r="E609" s="3"/>
      <c r="F609" s="3"/>
      <c r="G609" s="3"/>
      <c r="H609" s="3"/>
      <c r="I609" s="3"/>
      <c r="J609" s="3"/>
      <c r="K609" s="3"/>
      <c r="L609" s="3"/>
      <c r="M609" s="3"/>
      <c r="N609" s="157"/>
      <c r="O609" s="157"/>
      <c r="P609" s="157"/>
      <c r="R609" s="147"/>
      <c r="S609" s="147"/>
      <c r="T609" s="147"/>
      <c r="U609" s="147"/>
      <c r="X609" s="147"/>
      <c r="Y609" s="147"/>
      <c r="Z609" s="147"/>
      <c r="AA609" s="147"/>
      <c r="AB609" s="147"/>
      <c r="AC609" s="147"/>
      <c r="AD609" s="147"/>
      <c r="AE609" s="147"/>
      <c r="AF609" s="147"/>
      <c r="AG609" s="147"/>
      <c r="AH609" s="147"/>
      <c r="AI609" s="147"/>
      <c r="AJ609" s="147"/>
      <c r="AK609" s="147"/>
      <c r="AL609" s="147"/>
      <c r="AM609" s="147"/>
      <c r="AN609" s="147"/>
      <c r="AO609" s="147"/>
      <c r="AP609" s="147"/>
      <c r="AQ609" s="147"/>
    </row>
    <row r="610" spans="1:43">
      <c r="A610" s="3"/>
      <c r="B610" s="3"/>
      <c r="C610" s="3"/>
      <c r="D610" s="3"/>
      <c r="E610" s="3"/>
      <c r="F610" s="3"/>
      <c r="G610" s="3"/>
      <c r="H610" s="3"/>
      <c r="I610" s="3"/>
      <c r="J610" s="3"/>
      <c r="K610" s="3"/>
      <c r="L610" s="3"/>
      <c r="M610" s="3"/>
      <c r="N610" s="157"/>
      <c r="O610" s="157"/>
      <c r="P610" s="157"/>
      <c r="R610" s="147"/>
      <c r="S610" s="147"/>
      <c r="T610" s="147"/>
      <c r="U610" s="147"/>
      <c r="X610" s="147"/>
      <c r="Y610" s="147"/>
      <c r="Z610" s="147"/>
      <c r="AA610" s="147"/>
      <c r="AB610" s="147"/>
      <c r="AC610" s="147"/>
      <c r="AD610" s="147"/>
      <c r="AE610" s="147"/>
      <c r="AF610" s="147"/>
      <c r="AG610" s="147"/>
      <c r="AH610" s="147"/>
      <c r="AI610" s="147"/>
      <c r="AJ610" s="147"/>
      <c r="AK610" s="147"/>
      <c r="AL610" s="147"/>
      <c r="AM610" s="147"/>
      <c r="AN610" s="147"/>
      <c r="AO610" s="147"/>
      <c r="AP610" s="147"/>
      <c r="AQ610" s="147"/>
    </row>
    <row r="611" spans="1:43">
      <c r="A611" s="3"/>
      <c r="B611" s="3"/>
      <c r="C611" s="3"/>
      <c r="D611" s="3"/>
      <c r="E611" s="3"/>
      <c r="F611" s="3"/>
      <c r="G611" s="3"/>
      <c r="H611" s="3"/>
      <c r="I611" s="3"/>
      <c r="J611" s="3"/>
      <c r="K611" s="3"/>
      <c r="L611" s="3"/>
      <c r="M611" s="3"/>
      <c r="N611" s="157"/>
      <c r="O611" s="157"/>
      <c r="P611" s="157"/>
      <c r="R611" s="147"/>
      <c r="S611" s="147"/>
      <c r="T611" s="147"/>
      <c r="U611" s="147"/>
      <c r="X611" s="147"/>
      <c r="Y611" s="147"/>
      <c r="Z611" s="147"/>
      <c r="AA611" s="147"/>
      <c r="AB611" s="147"/>
      <c r="AC611" s="147"/>
      <c r="AD611" s="147"/>
      <c r="AE611" s="147"/>
      <c r="AF611" s="147"/>
      <c r="AG611" s="147"/>
      <c r="AH611" s="147"/>
      <c r="AI611" s="147"/>
      <c r="AJ611" s="147"/>
      <c r="AK611" s="147"/>
      <c r="AL611" s="147"/>
      <c r="AM611" s="147"/>
      <c r="AN611" s="147"/>
      <c r="AO611" s="147"/>
      <c r="AP611" s="147"/>
      <c r="AQ611" s="147"/>
    </row>
    <row r="612" spans="1:43">
      <c r="A612" s="3"/>
      <c r="B612" s="3"/>
      <c r="C612" s="3"/>
      <c r="D612" s="3"/>
      <c r="E612" s="3"/>
      <c r="F612" s="3"/>
      <c r="G612" s="3"/>
      <c r="H612" s="3"/>
      <c r="I612" s="3"/>
      <c r="J612" s="3"/>
      <c r="K612" s="3"/>
      <c r="L612" s="3"/>
      <c r="M612" s="3"/>
      <c r="N612" s="157"/>
      <c r="O612" s="157"/>
      <c r="P612" s="157"/>
      <c r="R612" s="147"/>
      <c r="S612" s="147"/>
      <c r="T612" s="147"/>
      <c r="U612" s="147"/>
      <c r="X612" s="147"/>
      <c r="Y612" s="147"/>
      <c r="Z612" s="147"/>
      <c r="AA612" s="147"/>
      <c r="AB612" s="147"/>
      <c r="AC612" s="147"/>
      <c r="AD612" s="147"/>
      <c r="AE612" s="147"/>
      <c r="AF612" s="147"/>
      <c r="AG612" s="147"/>
      <c r="AH612" s="147"/>
      <c r="AI612" s="147"/>
      <c r="AJ612" s="147"/>
      <c r="AK612" s="147"/>
      <c r="AL612" s="147"/>
      <c r="AM612" s="147"/>
      <c r="AN612" s="147"/>
      <c r="AO612" s="147"/>
      <c r="AP612" s="147"/>
      <c r="AQ612" s="147"/>
    </row>
    <row r="613" spans="1:43">
      <c r="A613" s="3"/>
      <c r="B613" s="3"/>
      <c r="C613" s="3"/>
      <c r="D613" s="3"/>
      <c r="E613" s="3"/>
      <c r="F613" s="3"/>
      <c r="G613" s="3"/>
      <c r="H613" s="3"/>
      <c r="I613" s="3"/>
      <c r="J613" s="3"/>
      <c r="K613" s="3"/>
      <c r="L613" s="3"/>
      <c r="M613" s="3"/>
      <c r="N613" s="157"/>
      <c r="O613" s="157"/>
      <c r="P613" s="157"/>
      <c r="R613" s="147"/>
      <c r="S613" s="147"/>
      <c r="T613" s="147"/>
      <c r="U613" s="147"/>
      <c r="X613" s="147"/>
      <c r="Y613" s="147"/>
      <c r="Z613" s="147"/>
      <c r="AA613" s="147"/>
      <c r="AB613" s="147"/>
      <c r="AC613" s="147"/>
      <c r="AD613" s="147"/>
      <c r="AE613" s="147"/>
      <c r="AF613" s="147"/>
      <c r="AG613" s="147"/>
      <c r="AH613" s="147"/>
      <c r="AI613" s="147"/>
      <c r="AJ613" s="147"/>
      <c r="AK613" s="147"/>
      <c r="AL613" s="147"/>
      <c r="AM613" s="147"/>
      <c r="AN613" s="147"/>
      <c r="AO613" s="147"/>
      <c r="AP613" s="147"/>
      <c r="AQ613" s="147"/>
    </row>
    <row r="614" spans="1:43">
      <c r="A614" s="3"/>
      <c r="B614" s="3"/>
      <c r="C614" s="3"/>
      <c r="D614" s="3"/>
      <c r="E614" s="3"/>
      <c r="F614" s="3"/>
      <c r="G614" s="3"/>
      <c r="H614" s="3"/>
      <c r="I614" s="3"/>
      <c r="J614" s="3"/>
      <c r="K614" s="3"/>
      <c r="L614" s="3"/>
      <c r="M614" s="3"/>
      <c r="N614" s="157"/>
      <c r="O614" s="157"/>
      <c r="P614" s="157"/>
      <c r="R614" s="147"/>
      <c r="S614" s="147"/>
      <c r="T614" s="147"/>
      <c r="U614" s="147"/>
      <c r="X614" s="147"/>
      <c r="Y614" s="147"/>
      <c r="Z614" s="147"/>
      <c r="AA614" s="147"/>
      <c r="AB614" s="147"/>
      <c r="AC614" s="147"/>
      <c r="AD614" s="147"/>
      <c r="AE614" s="147"/>
      <c r="AF614" s="147"/>
      <c r="AG614" s="147"/>
      <c r="AH614" s="147"/>
      <c r="AI614" s="147"/>
      <c r="AJ614" s="147"/>
      <c r="AK614" s="147"/>
      <c r="AL614" s="147"/>
      <c r="AM614" s="147"/>
      <c r="AN614" s="147"/>
      <c r="AO614" s="147"/>
      <c r="AP614" s="147"/>
      <c r="AQ614" s="147"/>
    </row>
    <row r="615" spans="1:43">
      <c r="A615" s="3"/>
      <c r="B615" s="3"/>
      <c r="C615" s="3"/>
      <c r="D615" s="3"/>
      <c r="E615" s="3"/>
      <c r="F615" s="3"/>
      <c r="G615" s="3"/>
      <c r="H615" s="3"/>
      <c r="I615" s="3"/>
      <c r="J615" s="3"/>
      <c r="K615" s="3"/>
      <c r="L615" s="3"/>
      <c r="M615" s="3"/>
      <c r="N615" s="157"/>
      <c r="O615" s="157"/>
      <c r="P615" s="157"/>
      <c r="R615" s="147"/>
      <c r="S615" s="147"/>
      <c r="T615" s="147"/>
      <c r="U615" s="147"/>
      <c r="X615" s="147"/>
      <c r="Y615" s="147"/>
      <c r="Z615" s="147"/>
      <c r="AA615" s="147"/>
      <c r="AB615" s="147"/>
      <c r="AC615" s="147"/>
      <c r="AD615" s="147"/>
      <c r="AE615" s="147"/>
      <c r="AF615" s="147"/>
      <c r="AG615" s="147"/>
      <c r="AH615" s="147"/>
      <c r="AI615" s="147"/>
      <c r="AJ615" s="147"/>
      <c r="AK615" s="147"/>
      <c r="AL615" s="147"/>
      <c r="AM615" s="147"/>
      <c r="AN615" s="147"/>
      <c r="AO615" s="147"/>
      <c r="AP615" s="147"/>
      <c r="AQ615" s="147"/>
    </row>
    <row r="616" spans="1:43">
      <c r="A616" s="3"/>
      <c r="B616" s="3"/>
      <c r="C616" s="3"/>
      <c r="D616" s="3"/>
      <c r="E616" s="3"/>
      <c r="F616" s="3"/>
      <c r="G616" s="3"/>
      <c r="H616" s="3"/>
      <c r="I616" s="3"/>
      <c r="J616" s="3"/>
      <c r="K616" s="3"/>
      <c r="L616" s="3"/>
      <c r="M616" s="3"/>
      <c r="N616" s="157"/>
      <c r="O616" s="157"/>
      <c r="P616" s="157"/>
      <c r="R616" s="147"/>
      <c r="S616" s="147"/>
      <c r="T616" s="147"/>
      <c r="U616" s="147"/>
      <c r="X616" s="147"/>
      <c r="Y616" s="147"/>
      <c r="Z616" s="147"/>
      <c r="AA616" s="147"/>
      <c r="AB616" s="147"/>
      <c r="AC616" s="147"/>
      <c r="AD616" s="147"/>
      <c r="AE616" s="147"/>
      <c r="AF616" s="147"/>
      <c r="AG616" s="147"/>
      <c r="AH616" s="147"/>
      <c r="AI616" s="147"/>
      <c r="AJ616" s="147"/>
      <c r="AK616" s="147"/>
      <c r="AL616" s="147"/>
      <c r="AM616" s="147"/>
      <c r="AN616" s="147"/>
      <c r="AO616" s="147"/>
      <c r="AP616" s="147"/>
      <c r="AQ616" s="147"/>
    </row>
    <row r="617" spans="1:43">
      <c r="A617" s="3"/>
      <c r="B617" s="3"/>
      <c r="C617" s="3"/>
      <c r="D617" s="3"/>
      <c r="E617" s="3"/>
      <c r="F617" s="3"/>
      <c r="G617" s="3"/>
      <c r="H617" s="3"/>
      <c r="I617" s="3"/>
      <c r="J617" s="3"/>
      <c r="K617" s="3"/>
      <c r="L617" s="3"/>
      <c r="M617" s="3"/>
      <c r="N617" s="157"/>
      <c r="O617" s="157"/>
      <c r="P617" s="157"/>
      <c r="R617" s="147"/>
      <c r="S617" s="147"/>
      <c r="T617" s="147"/>
      <c r="U617" s="147"/>
      <c r="X617" s="147"/>
      <c r="Y617" s="147"/>
      <c r="Z617" s="147"/>
      <c r="AA617" s="147"/>
      <c r="AB617" s="147"/>
      <c r="AC617" s="147"/>
      <c r="AD617" s="147"/>
      <c r="AE617" s="147"/>
      <c r="AF617" s="147"/>
      <c r="AG617" s="147"/>
      <c r="AH617" s="147"/>
      <c r="AI617" s="147"/>
      <c r="AJ617" s="147"/>
      <c r="AK617" s="147"/>
      <c r="AL617" s="147"/>
      <c r="AM617" s="147"/>
      <c r="AN617" s="147"/>
      <c r="AO617" s="147"/>
      <c r="AP617" s="147"/>
      <c r="AQ617" s="147"/>
    </row>
    <row r="618" spans="1:43">
      <c r="A618" s="3"/>
      <c r="B618" s="3"/>
      <c r="C618" s="3"/>
      <c r="D618" s="3"/>
      <c r="E618" s="3"/>
      <c r="F618" s="3"/>
      <c r="G618" s="3"/>
      <c r="H618" s="3"/>
      <c r="I618" s="3"/>
      <c r="J618" s="3"/>
      <c r="K618" s="3"/>
      <c r="L618" s="3"/>
      <c r="M618" s="3"/>
      <c r="N618" s="157"/>
      <c r="O618" s="157"/>
      <c r="P618" s="157"/>
      <c r="R618" s="147"/>
      <c r="S618" s="147"/>
      <c r="T618" s="147"/>
      <c r="U618" s="147"/>
      <c r="X618" s="147"/>
      <c r="Y618" s="147"/>
      <c r="Z618" s="147"/>
      <c r="AA618" s="147"/>
      <c r="AB618" s="147"/>
      <c r="AC618" s="147"/>
      <c r="AD618" s="147"/>
      <c r="AE618" s="147"/>
      <c r="AF618" s="147"/>
      <c r="AG618" s="147"/>
      <c r="AH618" s="147"/>
      <c r="AI618" s="147"/>
      <c r="AJ618" s="147"/>
      <c r="AK618" s="147"/>
      <c r="AL618" s="147"/>
      <c r="AM618" s="147"/>
      <c r="AN618" s="147"/>
      <c r="AO618" s="147"/>
      <c r="AP618" s="147"/>
      <c r="AQ618" s="147"/>
    </row>
    <row r="619" spans="1:43">
      <c r="A619" s="3"/>
      <c r="B619" s="3"/>
      <c r="C619" s="3"/>
      <c r="D619" s="3"/>
      <c r="E619" s="3"/>
      <c r="F619" s="3"/>
      <c r="G619" s="3"/>
      <c r="H619" s="3"/>
      <c r="I619" s="3"/>
      <c r="J619" s="3"/>
      <c r="K619" s="3"/>
      <c r="L619" s="3"/>
      <c r="M619" s="3"/>
      <c r="N619" s="157"/>
      <c r="O619" s="157"/>
      <c r="P619" s="157"/>
      <c r="R619" s="147"/>
      <c r="S619" s="147"/>
      <c r="T619" s="147"/>
      <c r="U619" s="147"/>
      <c r="X619" s="147"/>
      <c r="Y619" s="147"/>
      <c r="Z619" s="147"/>
      <c r="AA619" s="147"/>
      <c r="AB619" s="147"/>
      <c r="AC619" s="147"/>
      <c r="AD619" s="147"/>
      <c r="AE619" s="147"/>
      <c r="AF619" s="147"/>
      <c r="AG619" s="147"/>
      <c r="AH619" s="147"/>
      <c r="AI619" s="147"/>
      <c r="AJ619" s="147"/>
      <c r="AK619" s="147"/>
      <c r="AL619" s="147"/>
      <c r="AM619" s="147"/>
      <c r="AN619" s="147"/>
      <c r="AO619" s="147"/>
      <c r="AP619" s="147"/>
      <c r="AQ619" s="147"/>
    </row>
    <row r="620" spans="1:43">
      <c r="A620" s="3"/>
      <c r="B620" s="3"/>
      <c r="C620" s="3"/>
      <c r="D620" s="3"/>
      <c r="E620" s="3"/>
      <c r="F620" s="3"/>
      <c r="G620" s="3"/>
      <c r="H620" s="3"/>
      <c r="I620" s="3"/>
      <c r="J620" s="3"/>
      <c r="K620" s="3"/>
      <c r="L620" s="3"/>
      <c r="M620" s="3"/>
      <c r="N620" s="157"/>
      <c r="O620" s="157"/>
      <c r="P620" s="157"/>
      <c r="R620" s="147"/>
      <c r="S620" s="147"/>
      <c r="T620" s="147"/>
      <c r="U620" s="147"/>
      <c r="X620" s="147"/>
      <c r="Y620" s="147"/>
      <c r="Z620" s="147"/>
      <c r="AA620" s="147"/>
      <c r="AB620" s="147"/>
      <c r="AC620" s="147"/>
      <c r="AD620" s="147"/>
      <c r="AE620" s="147"/>
      <c r="AF620" s="147"/>
      <c r="AG620" s="147"/>
      <c r="AH620" s="147"/>
      <c r="AI620" s="147"/>
      <c r="AJ620" s="147"/>
      <c r="AK620" s="147"/>
      <c r="AL620" s="147"/>
      <c r="AM620" s="147"/>
      <c r="AN620" s="147"/>
      <c r="AO620" s="147"/>
      <c r="AP620" s="147"/>
      <c r="AQ620" s="147"/>
    </row>
    <row r="621" spans="1:43">
      <c r="A621" s="3"/>
      <c r="B621" s="3"/>
      <c r="C621" s="3"/>
      <c r="D621" s="3"/>
      <c r="E621" s="3"/>
      <c r="F621" s="3"/>
      <c r="G621" s="3"/>
      <c r="H621" s="3"/>
      <c r="I621" s="3"/>
      <c r="J621" s="3"/>
      <c r="K621" s="3"/>
      <c r="L621" s="3"/>
      <c r="M621" s="3"/>
      <c r="N621" s="157"/>
      <c r="O621" s="157"/>
      <c r="P621" s="157"/>
      <c r="R621" s="147"/>
      <c r="S621" s="147"/>
      <c r="T621" s="147"/>
      <c r="U621" s="147"/>
      <c r="X621" s="147"/>
      <c r="Y621" s="147"/>
      <c r="Z621" s="147"/>
      <c r="AA621" s="147"/>
      <c r="AB621" s="147"/>
      <c r="AC621" s="147"/>
      <c r="AD621" s="147"/>
      <c r="AE621" s="147"/>
      <c r="AF621" s="147"/>
      <c r="AG621" s="147"/>
      <c r="AH621" s="147"/>
      <c r="AI621" s="147"/>
      <c r="AJ621" s="147"/>
      <c r="AK621" s="147"/>
      <c r="AL621" s="147"/>
      <c r="AM621" s="147"/>
      <c r="AN621" s="147"/>
      <c r="AO621" s="147"/>
      <c r="AP621" s="147"/>
      <c r="AQ621" s="147"/>
    </row>
    <row r="622" spans="1:43">
      <c r="A622" s="3"/>
      <c r="B622" s="3"/>
      <c r="C622" s="3"/>
      <c r="D622" s="3"/>
      <c r="E622" s="3"/>
      <c r="F622" s="3"/>
      <c r="G622" s="3"/>
      <c r="H622" s="3"/>
      <c r="I622" s="3"/>
      <c r="J622" s="3"/>
      <c r="K622" s="3"/>
      <c r="L622" s="3"/>
      <c r="M622" s="3"/>
      <c r="N622" s="157"/>
      <c r="O622" s="157"/>
      <c r="P622" s="157"/>
      <c r="R622" s="147"/>
      <c r="S622" s="147"/>
      <c r="T622" s="147"/>
      <c r="U622" s="147"/>
      <c r="X622" s="147"/>
      <c r="Y622" s="147"/>
      <c r="Z622" s="147"/>
      <c r="AA622" s="147"/>
      <c r="AB622" s="147"/>
      <c r="AC622" s="147"/>
      <c r="AD622" s="147"/>
      <c r="AE622" s="147"/>
      <c r="AF622" s="147"/>
      <c r="AG622" s="147"/>
      <c r="AH622" s="147"/>
      <c r="AI622" s="147"/>
      <c r="AJ622" s="147"/>
      <c r="AK622" s="147"/>
      <c r="AL622" s="147"/>
      <c r="AM622" s="147"/>
      <c r="AN622" s="147"/>
      <c r="AO622" s="147"/>
      <c r="AP622" s="147"/>
      <c r="AQ622" s="147"/>
    </row>
    <row r="623" spans="1:43">
      <c r="A623" s="3"/>
      <c r="B623" s="3"/>
      <c r="C623" s="3"/>
      <c r="D623" s="3"/>
      <c r="E623" s="3"/>
      <c r="F623" s="3"/>
      <c r="G623" s="3"/>
      <c r="H623" s="3"/>
      <c r="I623" s="3"/>
      <c r="J623" s="3"/>
      <c r="K623" s="3"/>
      <c r="L623" s="3"/>
      <c r="M623" s="3"/>
      <c r="N623" s="157"/>
      <c r="O623" s="157"/>
      <c r="P623" s="157"/>
      <c r="R623" s="147"/>
      <c r="S623" s="147"/>
      <c r="T623" s="147"/>
      <c r="U623" s="147"/>
      <c r="X623" s="147"/>
      <c r="Y623" s="147"/>
      <c r="Z623" s="147"/>
      <c r="AA623" s="147"/>
      <c r="AB623" s="147"/>
      <c r="AC623" s="147"/>
      <c r="AD623" s="147"/>
      <c r="AE623" s="147"/>
      <c r="AF623" s="147"/>
      <c r="AG623" s="147"/>
      <c r="AH623" s="147"/>
      <c r="AI623" s="147"/>
      <c r="AJ623" s="147"/>
      <c r="AK623" s="147"/>
      <c r="AL623" s="147"/>
      <c r="AM623" s="147"/>
      <c r="AN623" s="147"/>
      <c r="AO623" s="147"/>
      <c r="AP623" s="147"/>
      <c r="AQ623" s="147"/>
    </row>
    <row r="624" spans="1:43">
      <c r="A624" s="3"/>
      <c r="B624" s="3"/>
      <c r="C624" s="3"/>
      <c r="D624" s="3"/>
      <c r="E624" s="3"/>
      <c r="F624" s="3"/>
      <c r="G624" s="3"/>
      <c r="H624" s="3"/>
      <c r="I624" s="3"/>
      <c r="J624" s="3"/>
      <c r="K624" s="3"/>
      <c r="L624" s="3"/>
      <c r="M624" s="3"/>
      <c r="N624" s="157"/>
      <c r="O624" s="157"/>
      <c r="P624" s="157"/>
      <c r="R624" s="147"/>
      <c r="S624" s="147"/>
      <c r="T624" s="147"/>
      <c r="U624" s="147"/>
      <c r="X624" s="147"/>
      <c r="Y624" s="147"/>
      <c r="Z624" s="147"/>
      <c r="AA624" s="147"/>
      <c r="AB624" s="147"/>
      <c r="AC624" s="147"/>
      <c r="AD624" s="147"/>
      <c r="AE624" s="147"/>
      <c r="AF624" s="147"/>
      <c r="AG624" s="147"/>
      <c r="AH624" s="147"/>
      <c r="AI624" s="147"/>
      <c r="AJ624" s="147"/>
      <c r="AK624" s="147"/>
      <c r="AL624" s="147"/>
      <c r="AM624" s="147"/>
      <c r="AN624" s="147"/>
      <c r="AO624" s="147"/>
      <c r="AP624" s="147"/>
      <c r="AQ624" s="147"/>
    </row>
    <row r="625" spans="1:43">
      <c r="A625" s="3"/>
      <c r="B625" s="3"/>
      <c r="C625" s="3"/>
      <c r="D625" s="3"/>
      <c r="E625" s="3"/>
      <c r="F625" s="3"/>
      <c r="G625" s="3"/>
      <c r="H625" s="3"/>
      <c r="I625" s="3"/>
      <c r="J625" s="3"/>
      <c r="K625" s="3"/>
      <c r="L625" s="3"/>
      <c r="M625" s="3"/>
      <c r="N625" s="157"/>
      <c r="O625" s="157"/>
      <c r="P625" s="157"/>
      <c r="R625" s="147"/>
      <c r="S625" s="147"/>
      <c r="T625" s="147"/>
      <c r="U625" s="147"/>
      <c r="X625" s="147"/>
      <c r="Y625" s="147"/>
      <c r="Z625" s="147"/>
      <c r="AA625" s="147"/>
      <c r="AB625" s="147"/>
      <c r="AC625" s="147"/>
      <c r="AD625" s="147"/>
      <c r="AE625" s="147"/>
      <c r="AF625" s="147"/>
      <c r="AG625" s="147"/>
      <c r="AH625" s="147"/>
      <c r="AI625" s="147"/>
      <c r="AJ625" s="147"/>
      <c r="AK625" s="147"/>
      <c r="AL625" s="147"/>
      <c r="AM625" s="147"/>
      <c r="AN625" s="147"/>
      <c r="AO625" s="147"/>
      <c r="AP625" s="147"/>
      <c r="AQ625" s="147"/>
    </row>
    <row r="626" spans="1:43">
      <c r="A626" s="3"/>
      <c r="B626" s="3"/>
      <c r="C626" s="3"/>
      <c r="D626" s="3"/>
      <c r="E626" s="3"/>
      <c r="F626" s="3"/>
      <c r="G626" s="3"/>
      <c r="H626" s="3"/>
      <c r="I626" s="3"/>
      <c r="J626" s="3"/>
      <c r="K626" s="3"/>
      <c r="L626" s="3"/>
      <c r="M626" s="3"/>
      <c r="N626" s="157"/>
      <c r="O626" s="157"/>
      <c r="P626" s="157"/>
      <c r="R626" s="147"/>
      <c r="S626" s="147"/>
      <c r="T626" s="147"/>
      <c r="U626" s="147"/>
      <c r="X626" s="147"/>
      <c r="Y626" s="147"/>
      <c r="Z626" s="147"/>
      <c r="AA626" s="147"/>
      <c r="AB626" s="147"/>
      <c r="AC626" s="147"/>
      <c r="AD626" s="147"/>
      <c r="AE626" s="147"/>
      <c r="AF626" s="147"/>
      <c r="AG626" s="147"/>
      <c r="AH626" s="147"/>
      <c r="AI626" s="147"/>
      <c r="AJ626" s="147"/>
      <c r="AK626" s="147"/>
      <c r="AL626" s="147"/>
      <c r="AM626" s="147"/>
      <c r="AN626" s="147"/>
      <c r="AO626" s="147"/>
      <c r="AP626" s="147"/>
      <c r="AQ626" s="147"/>
    </row>
    <row r="627" spans="1:43">
      <c r="A627" s="3"/>
      <c r="B627" s="3"/>
      <c r="C627" s="3"/>
      <c r="D627" s="3"/>
      <c r="E627" s="3"/>
      <c r="F627" s="3"/>
      <c r="G627" s="3"/>
      <c r="H627" s="3"/>
      <c r="I627" s="3"/>
      <c r="J627" s="3"/>
      <c r="K627" s="3"/>
      <c r="L627" s="3"/>
      <c r="M627" s="3"/>
      <c r="N627" s="157"/>
      <c r="O627" s="157"/>
      <c r="P627" s="157"/>
      <c r="R627" s="147"/>
      <c r="S627" s="147"/>
      <c r="T627" s="147"/>
      <c r="U627" s="147"/>
      <c r="X627" s="147"/>
      <c r="Y627" s="147"/>
      <c r="Z627" s="147"/>
      <c r="AA627" s="147"/>
      <c r="AB627" s="147"/>
      <c r="AC627" s="147"/>
      <c r="AD627" s="147"/>
      <c r="AE627" s="147"/>
      <c r="AF627" s="147"/>
      <c r="AG627" s="147"/>
      <c r="AH627" s="147"/>
      <c r="AI627" s="147"/>
      <c r="AJ627" s="147"/>
      <c r="AK627" s="147"/>
      <c r="AL627" s="147"/>
      <c r="AM627" s="147"/>
      <c r="AN627" s="147"/>
      <c r="AO627" s="147"/>
      <c r="AP627" s="147"/>
      <c r="AQ627" s="147"/>
    </row>
    <row r="628" spans="1:43">
      <c r="A628" s="3"/>
      <c r="B628" s="3"/>
      <c r="C628" s="3"/>
      <c r="D628" s="3"/>
      <c r="E628" s="3"/>
      <c r="F628" s="3"/>
      <c r="G628" s="3"/>
      <c r="H628" s="3"/>
      <c r="I628" s="3"/>
      <c r="J628" s="3"/>
      <c r="K628" s="3"/>
      <c r="L628" s="3"/>
      <c r="M628" s="3"/>
      <c r="N628" s="157"/>
      <c r="O628" s="157"/>
      <c r="P628" s="157"/>
      <c r="R628" s="147"/>
      <c r="S628" s="147"/>
      <c r="T628" s="147"/>
      <c r="U628" s="147"/>
      <c r="X628" s="147"/>
      <c r="Y628" s="147"/>
      <c r="Z628" s="147"/>
      <c r="AA628" s="147"/>
      <c r="AB628" s="147"/>
      <c r="AC628" s="147"/>
      <c r="AD628" s="147"/>
      <c r="AE628" s="147"/>
      <c r="AF628" s="147"/>
      <c r="AG628" s="147"/>
      <c r="AH628" s="147"/>
      <c r="AI628" s="147"/>
      <c r="AJ628" s="147"/>
      <c r="AK628" s="147"/>
      <c r="AL628" s="147"/>
      <c r="AM628" s="147"/>
      <c r="AN628" s="147"/>
      <c r="AO628" s="147"/>
      <c r="AP628" s="147"/>
      <c r="AQ628" s="147"/>
    </row>
    <row r="629" spans="1:43">
      <c r="A629" s="3"/>
      <c r="B629" s="3"/>
      <c r="C629" s="3"/>
      <c r="D629" s="3"/>
      <c r="E629" s="3"/>
      <c r="F629" s="3"/>
      <c r="G629" s="3"/>
      <c r="H629" s="3"/>
      <c r="I629" s="3"/>
      <c r="J629" s="3"/>
      <c r="K629" s="3"/>
      <c r="L629" s="3"/>
      <c r="M629" s="3"/>
      <c r="N629" s="157"/>
      <c r="O629" s="157"/>
      <c r="P629" s="157"/>
      <c r="R629" s="147"/>
      <c r="S629" s="147"/>
      <c r="T629" s="147"/>
      <c r="U629" s="147"/>
      <c r="X629" s="147"/>
      <c r="Y629" s="147"/>
      <c r="Z629" s="147"/>
      <c r="AA629" s="147"/>
      <c r="AB629" s="147"/>
      <c r="AC629" s="147"/>
      <c r="AD629" s="147"/>
      <c r="AE629" s="147"/>
      <c r="AF629" s="147"/>
      <c r="AG629" s="147"/>
      <c r="AH629" s="147"/>
      <c r="AI629" s="147"/>
      <c r="AJ629" s="147"/>
      <c r="AK629" s="147"/>
      <c r="AL629" s="147"/>
      <c r="AM629" s="147"/>
      <c r="AN629" s="147"/>
      <c r="AO629" s="147"/>
      <c r="AP629" s="147"/>
      <c r="AQ629" s="147"/>
    </row>
    <row r="630" spans="1:43">
      <c r="A630" s="3"/>
      <c r="B630" s="3"/>
      <c r="C630" s="3"/>
      <c r="D630" s="3"/>
      <c r="E630" s="3"/>
      <c r="F630" s="3"/>
      <c r="G630" s="3"/>
      <c r="H630" s="3"/>
      <c r="I630" s="3"/>
      <c r="J630" s="3"/>
      <c r="K630" s="3"/>
      <c r="L630" s="3"/>
      <c r="M630" s="3"/>
      <c r="N630" s="157"/>
      <c r="O630" s="157"/>
      <c r="P630" s="157"/>
      <c r="R630" s="147"/>
      <c r="S630" s="147"/>
      <c r="T630" s="147"/>
      <c r="U630" s="147"/>
      <c r="X630" s="147"/>
      <c r="Y630" s="147"/>
      <c r="Z630" s="147"/>
      <c r="AA630" s="147"/>
      <c r="AB630" s="147"/>
      <c r="AC630" s="147"/>
      <c r="AD630" s="147"/>
      <c r="AE630" s="147"/>
      <c r="AF630" s="147"/>
      <c r="AG630" s="147"/>
      <c r="AH630" s="147"/>
      <c r="AI630" s="147"/>
      <c r="AJ630" s="147"/>
      <c r="AK630" s="147"/>
      <c r="AL630" s="147"/>
      <c r="AM630" s="147"/>
      <c r="AN630" s="147"/>
      <c r="AO630" s="147"/>
      <c r="AP630" s="147"/>
      <c r="AQ630" s="147"/>
    </row>
    <row r="631" spans="1:43">
      <c r="A631" s="3"/>
      <c r="B631" s="3"/>
      <c r="C631" s="3"/>
      <c r="D631" s="3"/>
      <c r="E631" s="3"/>
      <c r="F631" s="3"/>
      <c r="G631" s="3"/>
      <c r="H631" s="3"/>
      <c r="I631" s="3"/>
      <c r="J631" s="3"/>
      <c r="K631" s="3"/>
      <c r="L631" s="3"/>
      <c r="M631" s="3"/>
      <c r="N631" s="157"/>
      <c r="O631" s="157"/>
      <c r="P631" s="157"/>
      <c r="R631" s="147"/>
      <c r="S631" s="147"/>
      <c r="T631" s="147"/>
      <c r="U631" s="147"/>
      <c r="X631" s="147"/>
      <c r="Y631" s="147"/>
      <c r="Z631" s="147"/>
      <c r="AA631" s="147"/>
      <c r="AB631" s="147"/>
      <c r="AC631" s="147"/>
      <c r="AD631" s="147"/>
      <c r="AE631" s="147"/>
      <c r="AF631" s="147"/>
      <c r="AG631" s="147"/>
      <c r="AH631" s="147"/>
      <c r="AI631" s="147"/>
      <c r="AJ631" s="147"/>
      <c r="AK631" s="147"/>
      <c r="AL631" s="147"/>
      <c r="AM631" s="147"/>
      <c r="AN631" s="147"/>
      <c r="AO631" s="147"/>
      <c r="AP631" s="147"/>
      <c r="AQ631" s="147"/>
    </row>
    <row r="632" spans="1:43">
      <c r="A632" s="3"/>
      <c r="B632" s="3"/>
      <c r="C632" s="3"/>
      <c r="D632" s="3"/>
      <c r="E632" s="3"/>
      <c r="F632" s="3"/>
      <c r="G632" s="3"/>
      <c r="H632" s="3"/>
      <c r="I632" s="3"/>
      <c r="J632" s="3"/>
      <c r="K632" s="3"/>
      <c r="L632" s="3"/>
      <c r="M632" s="3"/>
      <c r="N632" s="157"/>
      <c r="O632" s="157"/>
      <c r="P632" s="157"/>
      <c r="R632" s="147"/>
      <c r="S632" s="147"/>
      <c r="T632" s="147"/>
      <c r="U632" s="147"/>
      <c r="X632" s="147"/>
      <c r="Y632" s="147"/>
      <c r="Z632" s="147"/>
      <c r="AA632" s="147"/>
      <c r="AB632" s="147"/>
      <c r="AC632" s="147"/>
      <c r="AD632" s="147"/>
      <c r="AE632" s="147"/>
      <c r="AF632" s="147"/>
      <c r="AG632" s="147"/>
      <c r="AH632" s="147"/>
      <c r="AI632" s="147"/>
      <c r="AJ632" s="147"/>
      <c r="AK632" s="147"/>
      <c r="AL632" s="147"/>
      <c r="AM632" s="147"/>
      <c r="AN632" s="147"/>
      <c r="AO632" s="147"/>
      <c r="AP632" s="147"/>
      <c r="AQ632" s="147"/>
    </row>
    <row r="633" spans="1:43">
      <c r="A633" s="3"/>
      <c r="B633" s="3"/>
      <c r="C633" s="3"/>
      <c r="D633" s="3"/>
      <c r="E633" s="3"/>
      <c r="F633" s="3"/>
      <c r="G633" s="3"/>
      <c r="H633" s="3"/>
      <c r="I633" s="3"/>
      <c r="J633" s="3"/>
      <c r="K633" s="3"/>
      <c r="L633" s="3"/>
      <c r="M633" s="3"/>
      <c r="N633" s="157"/>
      <c r="O633" s="157"/>
      <c r="P633" s="157"/>
      <c r="R633" s="147"/>
      <c r="S633" s="147"/>
      <c r="T633" s="147"/>
      <c r="U633" s="147"/>
      <c r="X633" s="147"/>
      <c r="Y633" s="147"/>
      <c r="Z633" s="147"/>
      <c r="AA633" s="147"/>
      <c r="AB633" s="147"/>
      <c r="AC633" s="147"/>
      <c r="AD633" s="147"/>
      <c r="AE633" s="147"/>
      <c r="AF633" s="147"/>
      <c r="AG633" s="147"/>
      <c r="AH633" s="147"/>
      <c r="AI633" s="147"/>
      <c r="AJ633" s="147"/>
      <c r="AK633" s="147"/>
      <c r="AL633" s="147"/>
      <c r="AM633" s="147"/>
      <c r="AN633" s="147"/>
      <c r="AO633" s="147"/>
      <c r="AP633" s="147"/>
      <c r="AQ633" s="147"/>
    </row>
    <row r="634" spans="1:43">
      <c r="A634" s="3"/>
      <c r="B634" s="3"/>
      <c r="C634" s="3"/>
      <c r="D634" s="3"/>
      <c r="E634" s="3"/>
      <c r="F634" s="3"/>
      <c r="G634" s="3"/>
      <c r="H634" s="3"/>
      <c r="I634" s="3"/>
      <c r="J634" s="3"/>
      <c r="K634" s="3"/>
      <c r="L634" s="3"/>
      <c r="M634" s="3"/>
      <c r="N634" s="157"/>
      <c r="O634" s="157"/>
      <c r="P634" s="157"/>
      <c r="R634" s="147"/>
      <c r="S634" s="147"/>
      <c r="T634" s="147"/>
      <c r="U634" s="147"/>
      <c r="X634" s="147"/>
      <c r="Y634" s="147"/>
      <c r="Z634" s="147"/>
      <c r="AA634" s="147"/>
      <c r="AB634" s="147"/>
      <c r="AC634" s="147"/>
      <c r="AD634" s="147"/>
      <c r="AE634" s="147"/>
      <c r="AF634" s="147"/>
      <c r="AG634" s="147"/>
      <c r="AH634" s="147"/>
      <c r="AI634" s="147"/>
      <c r="AJ634" s="147"/>
      <c r="AK634" s="147"/>
      <c r="AL634" s="147"/>
      <c r="AM634" s="147"/>
      <c r="AN634" s="147"/>
      <c r="AO634" s="147"/>
      <c r="AP634" s="147"/>
      <c r="AQ634" s="147"/>
    </row>
    <row r="635" spans="1:43">
      <c r="A635" s="3"/>
      <c r="B635" s="3"/>
      <c r="C635" s="3"/>
      <c r="D635" s="3"/>
      <c r="E635" s="3"/>
      <c r="F635" s="3"/>
      <c r="G635" s="3"/>
      <c r="H635" s="3"/>
      <c r="I635" s="3"/>
      <c r="J635" s="3"/>
      <c r="K635" s="3"/>
      <c r="L635" s="3"/>
      <c r="M635" s="3"/>
      <c r="N635" s="157"/>
      <c r="O635" s="157"/>
      <c r="P635" s="157"/>
      <c r="R635" s="147"/>
      <c r="S635" s="147"/>
      <c r="T635" s="147"/>
      <c r="U635" s="147"/>
      <c r="X635" s="147"/>
      <c r="Y635" s="147"/>
      <c r="Z635" s="147"/>
      <c r="AA635" s="147"/>
      <c r="AB635" s="147"/>
      <c r="AC635" s="147"/>
      <c r="AD635" s="147"/>
      <c r="AE635" s="147"/>
      <c r="AF635" s="147"/>
      <c r="AG635" s="147"/>
      <c r="AH635" s="147"/>
      <c r="AI635" s="147"/>
      <c r="AJ635" s="147"/>
      <c r="AK635" s="147"/>
      <c r="AL635" s="147"/>
      <c r="AM635" s="147"/>
      <c r="AN635" s="147"/>
      <c r="AO635" s="147"/>
      <c r="AP635" s="147"/>
      <c r="AQ635" s="147"/>
    </row>
    <row r="636" spans="1:43">
      <c r="A636" s="3"/>
      <c r="B636" s="3"/>
      <c r="C636" s="3"/>
      <c r="D636" s="3"/>
      <c r="E636" s="3"/>
      <c r="F636" s="3"/>
      <c r="G636" s="3"/>
      <c r="H636" s="3"/>
      <c r="I636" s="3"/>
      <c r="J636" s="3"/>
      <c r="K636" s="3"/>
      <c r="L636" s="3"/>
      <c r="M636" s="3"/>
      <c r="N636" s="157"/>
      <c r="O636" s="157"/>
      <c r="P636" s="157"/>
      <c r="R636" s="147"/>
      <c r="S636" s="147"/>
      <c r="T636" s="147"/>
      <c r="U636" s="147"/>
      <c r="X636" s="147"/>
      <c r="Y636" s="147"/>
      <c r="Z636" s="147"/>
      <c r="AA636" s="147"/>
      <c r="AB636" s="147"/>
      <c r="AC636" s="147"/>
      <c r="AD636" s="147"/>
      <c r="AE636" s="147"/>
      <c r="AF636" s="147"/>
      <c r="AG636" s="147"/>
      <c r="AH636" s="147"/>
      <c r="AI636" s="147"/>
      <c r="AJ636" s="147"/>
      <c r="AK636" s="147"/>
      <c r="AL636" s="147"/>
      <c r="AM636" s="147"/>
      <c r="AN636" s="147"/>
      <c r="AO636" s="147"/>
      <c r="AP636" s="147"/>
      <c r="AQ636" s="147"/>
    </row>
    <row r="637" spans="1:43">
      <c r="A637" s="3"/>
      <c r="B637" s="3"/>
      <c r="C637" s="3"/>
      <c r="D637" s="3"/>
      <c r="E637" s="3"/>
      <c r="F637" s="3"/>
      <c r="G637" s="3"/>
      <c r="H637" s="3"/>
      <c r="I637" s="3"/>
      <c r="J637" s="3"/>
      <c r="K637" s="3"/>
      <c r="L637" s="3"/>
      <c r="M637" s="3"/>
      <c r="N637" s="157"/>
      <c r="O637" s="157"/>
      <c r="P637" s="157"/>
      <c r="R637" s="147"/>
      <c r="S637" s="147"/>
      <c r="T637" s="147"/>
      <c r="U637" s="147"/>
      <c r="X637" s="147"/>
      <c r="Y637" s="147"/>
      <c r="Z637" s="147"/>
      <c r="AA637" s="147"/>
      <c r="AB637" s="147"/>
      <c r="AC637" s="147"/>
      <c r="AD637" s="147"/>
      <c r="AE637" s="147"/>
      <c r="AF637" s="147"/>
      <c r="AG637" s="147"/>
      <c r="AH637" s="147"/>
      <c r="AI637" s="147"/>
      <c r="AJ637" s="147"/>
      <c r="AK637" s="147"/>
      <c r="AL637" s="147"/>
      <c r="AM637" s="147"/>
      <c r="AN637" s="147"/>
      <c r="AO637" s="147"/>
      <c r="AP637" s="147"/>
      <c r="AQ637" s="147"/>
    </row>
    <row r="638" spans="1:43">
      <c r="A638" s="3"/>
      <c r="B638" s="3"/>
      <c r="C638" s="3"/>
      <c r="D638" s="3"/>
      <c r="E638" s="3"/>
      <c r="F638" s="3"/>
      <c r="G638" s="3"/>
      <c r="H638" s="3"/>
      <c r="I638" s="3"/>
      <c r="J638" s="3"/>
      <c r="K638" s="3"/>
      <c r="L638" s="3"/>
      <c r="M638" s="3"/>
      <c r="N638" s="157"/>
      <c r="O638" s="157"/>
      <c r="P638" s="157"/>
      <c r="R638" s="147"/>
      <c r="S638" s="147"/>
      <c r="T638" s="147"/>
      <c r="U638" s="147"/>
      <c r="X638" s="147"/>
      <c r="Y638" s="147"/>
      <c r="Z638" s="147"/>
      <c r="AA638" s="147"/>
      <c r="AB638" s="147"/>
      <c r="AC638" s="147"/>
      <c r="AD638" s="147"/>
      <c r="AE638" s="147"/>
      <c r="AF638" s="147"/>
      <c r="AG638" s="147"/>
      <c r="AH638" s="147"/>
      <c r="AI638" s="147"/>
      <c r="AJ638" s="147"/>
      <c r="AK638" s="147"/>
      <c r="AL638" s="147"/>
      <c r="AM638" s="147"/>
      <c r="AN638" s="147"/>
      <c r="AO638" s="147"/>
      <c r="AP638" s="147"/>
      <c r="AQ638" s="147"/>
    </row>
    <row r="639" spans="1:43">
      <c r="A639" s="3"/>
      <c r="B639" s="3"/>
      <c r="C639" s="3"/>
      <c r="D639" s="3"/>
      <c r="E639" s="3"/>
      <c r="F639" s="3"/>
      <c r="G639" s="3"/>
      <c r="H639" s="3"/>
      <c r="I639" s="3"/>
      <c r="J639" s="3"/>
      <c r="K639" s="3"/>
      <c r="L639" s="3"/>
      <c r="M639" s="3"/>
      <c r="N639" s="157"/>
      <c r="O639" s="157"/>
      <c r="P639" s="157"/>
      <c r="R639" s="147"/>
      <c r="S639" s="147"/>
      <c r="T639" s="147"/>
      <c r="U639" s="147"/>
      <c r="X639" s="147"/>
      <c r="Y639" s="147"/>
      <c r="Z639" s="147"/>
      <c r="AA639" s="147"/>
      <c r="AB639" s="147"/>
      <c r="AC639" s="147"/>
      <c r="AD639" s="147"/>
      <c r="AE639" s="147"/>
      <c r="AF639" s="147"/>
      <c r="AG639" s="147"/>
      <c r="AH639" s="147"/>
      <c r="AI639" s="147"/>
      <c r="AJ639" s="147"/>
      <c r="AK639" s="147"/>
      <c r="AL639" s="147"/>
      <c r="AM639" s="147"/>
      <c r="AN639" s="147"/>
      <c r="AO639" s="147"/>
      <c r="AP639" s="147"/>
      <c r="AQ639" s="147"/>
    </row>
    <row r="640" spans="1:43">
      <c r="A640" s="3"/>
      <c r="B640" s="3"/>
      <c r="C640" s="3"/>
      <c r="D640" s="3"/>
      <c r="E640" s="3"/>
      <c r="F640" s="3"/>
      <c r="G640" s="3"/>
      <c r="H640" s="3"/>
      <c r="I640" s="3"/>
      <c r="J640" s="3"/>
      <c r="K640" s="3"/>
      <c r="L640" s="3"/>
      <c r="M640" s="3"/>
      <c r="N640" s="157"/>
      <c r="O640" s="157"/>
      <c r="P640" s="157"/>
      <c r="R640" s="147"/>
      <c r="S640" s="147"/>
      <c r="T640" s="147"/>
      <c r="U640" s="147"/>
      <c r="X640" s="147"/>
      <c r="Y640" s="147"/>
      <c r="Z640" s="147"/>
      <c r="AA640" s="147"/>
      <c r="AB640" s="147"/>
      <c r="AC640" s="147"/>
      <c r="AD640" s="147"/>
      <c r="AE640" s="147"/>
      <c r="AF640" s="147"/>
      <c r="AG640" s="147"/>
      <c r="AH640" s="147"/>
      <c r="AI640" s="147"/>
      <c r="AJ640" s="147"/>
      <c r="AK640" s="147"/>
      <c r="AL640" s="147"/>
      <c r="AM640" s="147"/>
      <c r="AN640" s="147"/>
      <c r="AO640" s="147"/>
      <c r="AP640" s="147"/>
      <c r="AQ640" s="147"/>
    </row>
    <row r="641" spans="1:43">
      <c r="A641" s="3"/>
      <c r="B641" s="3"/>
      <c r="C641" s="3"/>
      <c r="D641" s="3"/>
      <c r="E641" s="3"/>
      <c r="F641" s="3"/>
      <c r="G641" s="3"/>
      <c r="H641" s="3"/>
      <c r="I641" s="3"/>
      <c r="J641" s="3"/>
      <c r="K641" s="3"/>
      <c r="L641" s="3"/>
      <c r="M641" s="3"/>
      <c r="N641" s="157"/>
      <c r="O641" s="157"/>
      <c r="P641" s="157"/>
      <c r="R641" s="147"/>
      <c r="S641" s="147"/>
      <c r="T641" s="147"/>
      <c r="U641" s="147"/>
      <c r="X641" s="147"/>
      <c r="Y641" s="147"/>
      <c r="Z641" s="147"/>
      <c r="AA641" s="147"/>
      <c r="AB641" s="147"/>
      <c r="AC641" s="147"/>
      <c r="AD641" s="147"/>
      <c r="AE641" s="147"/>
      <c r="AF641" s="147"/>
      <c r="AG641" s="147"/>
      <c r="AH641" s="147"/>
      <c r="AI641" s="147"/>
      <c r="AJ641" s="147"/>
      <c r="AK641" s="147"/>
      <c r="AL641" s="147"/>
      <c r="AM641" s="147"/>
      <c r="AN641" s="147"/>
      <c r="AO641" s="147"/>
      <c r="AP641" s="147"/>
      <c r="AQ641" s="147"/>
    </row>
    <row r="642" spans="1:43">
      <c r="A642" s="3"/>
      <c r="B642" s="3"/>
      <c r="C642" s="3"/>
      <c r="D642" s="3"/>
      <c r="E642" s="3"/>
      <c r="F642" s="3"/>
      <c r="G642" s="3"/>
      <c r="H642" s="3"/>
      <c r="I642" s="3"/>
      <c r="J642" s="3"/>
      <c r="K642" s="3"/>
      <c r="L642" s="3"/>
      <c r="M642" s="3"/>
      <c r="N642" s="157"/>
      <c r="O642" s="157"/>
      <c r="P642" s="157"/>
      <c r="R642" s="147"/>
      <c r="S642" s="147"/>
      <c r="T642" s="147"/>
      <c r="U642" s="147"/>
      <c r="X642" s="147"/>
      <c r="Y642" s="147"/>
      <c r="Z642" s="147"/>
      <c r="AA642" s="147"/>
      <c r="AB642" s="147"/>
      <c r="AC642" s="147"/>
      <c r="AD642" s="147"/>
      <c r="AE642" s="147"/>
      <c r="AF642" s="147"/>
      <c r="AG642" s="147"/>
      <c r="AH642" s="147"/>
      <c r="AI642" s="147"/>
      <c r="AJ642" s="147"/>
      <c r="AK642" s="147"/>
      <c r="AL642" s="147"/>
      <c r="AM642" s="147"/>
      <c r="AN642" s="147"/>
      <c r="AO642" s="147"/>
      <c r="AP642" s="147"/>
      <c r="AQ642" s="147"/>
    </row>
    <row r="643" spans="1:43">
      <c r="A643" s="3"/>
      <c r="B643" s="3"/>
      <c r="C643" s="3"/>
      <c r="D643" s="3"/>
      <c r="E643" s="3"/>
      <c r="F643" s="3"/>
      <c r="G643" s="3"/>
      <c r="H643" s="3"/>
      <c r="I643" s="3"/>
      <c r="J643" s="3"/>
      <c r="K643" s="3"/>
      <c r="L643" s="3"/>
      <c r="M643" s="3"/>
      <c r="N643" s="157"/>
      <c r="O643" s="157"/>
      <c r="P643" s="157"/>
      <c r="R643" s="147"/>
      <c r="S643" s="147"/>
      <c r="T643" s="147"/>
      <c r="U643" s="147"/>
      <c r="X643" s="147"/>
      <c r="Y643" s="147"/>
      <c r="Z643" s="147"/>
      <c r="AA643" s="147"/>
      <c r="AB643" s="147"/>
      <c r="AC643" s="147"/>
      <c r="AD643" s="147"/>
      <c r="AE643" s="147"/>
      <c r="AF643" s="147"/>
      <c r="AG643" s="147"/>
      <c r="AH643" s="147"/>
      <c r="AI643" s="147"/>
      <c r="AJ643" s="147"/>
      <c r="AK643" s="147"/>
      <c r="AL643" s="147"/>
      <c r="AM643" s="147"/>
      <c r="AN643" s="147"/>
      <c r="AO643" s="147"/>
      <c r="AP643" s="147"/>
      <c r="AQ643" s="147"/>
    </row>
    <row r="644" spans="1:43">
      <c r="A644" s="3"/>
      <c r="B644" s="3"/>
      <c r="C644" s="3"/>
      <c r="D644" s="3"/>
      <c r="E644" s="3"/>
      <c r="F644" s="3"/>
      <c r="G644" s="3"/>
      <c r="H644" s="3"/>
      <c r="I644" s="3"/>
      <c r="J644" s="3"/>
      <c r="K644" s="3"/>
      <c r="L644" s="3"/>
      <c r="M644" s="3"/>
      <c r="N644" s="157"/>
      <c r="O644" s="157"/>
      <c r="P644" s="157"/>
      <c r="R644" s="147"/>
      <c r="S644" s="147"/>
      <c r="T644" s="147"/>
      <c r="U644" s="147"/>
      <c r="X644" s="147"/>
      <c r="Y644" s="147"/>
      <c r="Z644" s="147"/>
      <c r="AA644" s="147"/>
      <c r="AB644" s="147"/>
      <c r="AC644" s="147"/>
      <c r="AD644" s="147"/>
      <c r="AE644" s="147"/>
      <c r="AF644" s="147"/>
      <c r="AG644" s="147"/>
      <c r="AH644" s="147"/>
      <c r="AI644" s="147"/>
      <c r="AJ644" s="147"/>
      <c r="AK644" s="147"/>
      <c r="AL644" s="147"/>
      <c r="AM644" s="147"/>
      <c r="AN644" s="147"/>
      <c r="AO644" s="147"/>
      <c r="AP644" s="147"/>
      <c r="AQ644" s="147"/>
    </row>
    <row r="645" spans="1:43">
      <c r="A645" s="3"/>
      <c r="B645" s="3"/>
      <c r="C645" s="3"/>
      <c r="D645" s="3"/>
      <c r="E645" s="3"/>
      <c r="F645" s="3"/>
      <c r="G645" s="3"/>
      <c r="H645" s="3"/>
      <c r="I645" s="3"/>
      <c r="J645" s="3"/>
      <c r="K645" s="3"/>
      <c r="L645" s="3"/>
      <c r="M645" s="3"/>
      <c r="N645" s="157"/>
      <c r="O645" s="157"/>
      <c r="P645" s="157"/>
      <c r="R645" s="147"/>
      <c r="S645" s="147"/>
      <c r="T645" s="147"/>
      <c r="U645" s="147"/>
      <c r="X645" s="147"/>
      <c r="Y645" s="147"/>
      <c r="Z645" s="147"/>
      <c r="AA645" s="147"/>
      <c r="AB645" s="147"/>
      <c r="AC645" s="147"/>
      <c r="AD645" s="147"/>
      <c r="AE645" s="147"/>
      <c r="AF645" s="147"/>
      <c r="AG645" s="147"/>
      <c r="AH645" s="147"/>
      <c r="AI645" s="147"/>
      <c r="AJ645" s="147"/>
      <c r="AK645" s="147"/>
      <c r="AL645" s="147"/>
      <c r="AM645" s="147"/>
      <c r="AN645" s="147"/>
      <c r="AO645" s="147"/>
      <c r="AP645" s="147"/>
      <c r="AQ645" s="147"/>
    </row>
    <row r="646" spans="1:43">
      <c r="A646" s="3"/>
      <c r="B646" s="3"/>
      <c r="C646" s="3"/>
      <c r="D646" s="3"/>
      <c r="E646" s="3"/>
      <c r="F646" s="3"/>
      <c r="G646" s="3"/>
      <c r="H646" s="3"/>
      <c r="I646" s="3"/>
      <c r="J646" s="3"/>
      <c r="K646" s="3"/>
      <c r="L646" s="3"/>
      <c r="M646" s="3"/>
      <c r="N646" s="157"/>
      <c r="O646" s="157"/>
      <c r="P646" s="157"/>
      <c r="R646" s="147"/>
      <c r="S646" s="147"/>
      <c r="T646" s="147"/>
      <c r="U646" s="147"/>
      <c r="X646" s="147"/>
      <c r="Y646" s="147"/>
      <c r="Z646" s="147"/>
      <c r="AA646" s="147"/>
      <c r="AB646" s="147"/>
      <c r="AC646" s="147"/>
      <c r="AD646" s="147"/>
      <c r="AE646" s="147"/>
      <c r="AF646" s="147"/>
      <c r="AG646" s="147"/>
      <c r="AH646" s="147"/>
      <c r="AI646" s="147"/>
      <c r="AJ646" s="147"/>
      <c r="AK646" s="147"/>
      <c r="AL646" s="147"/>
      <c r="AM646" s="147"/>
      <c r="AN646" s="147"/>
      <c r="AO646" s="147"/>
      <c r="AP646" s="147"/>
      <c r="AQ646" s="147"/>
    </row>
    <row r="647" spans="1:43">
      <c r="A647" s="3"/>
      <c r="B647" s="3"/>
      <c r="C647" s="3"/>
      <c r="D647" s="3"/>
      <c r="E647" s="3"/>
      <c r="F647" s="3"/>
      <c r="G647" s="3"/>
      <c r="H647" s="3"/>
      <c r="I647" s="3"/>
      <c r="J647" s="3"/>
      <c r="K647" s="3"/>
      <c r="L647" s="3"/>
      <c r="M647" s="3"/>
      <c r="N647" s="157"/>
      <c r="O647" s="157"/>
      <c r="P647" s="157"/>
      <c r="R647" s="147"/>
      <c r="S647" s="147"/>
      <c r="T647" s="147"/>
      <c r="U647" s="147"/>
      <c r="X647" s="147"/>
      <c r="Y647" s="147"/>
      <c r="Z647" s="147"/>
      <c r="AA647" s="147"/>
      <c r="AB647" s="147"/>
      <c r="AC647" s="147"/>
      <c r="AD647" s="147"/>
      <c r="AE647" s="147"/>
      <c r="AF647" s="147"/>
      <c r="AG647" s="147"/>
      <c r="AH647" s="147"/>
      <c r="AI647" s="147"/>
      <c r="AJ647" s="147"/>
      <c r="AK647" s="147"/>
      <c r="AL647" s="147"/>
      <c r="AM647" s="147"/>
      <c r="AN647" s="147"/>
      <c r="AO647" s="147"/>
      <c r="AP647" s="147"/>
      <c r="AQ647" s="147"/>
    </row>
    <row r="648" spans="1:43">
      <c r="A648" s="3"/>
      <c r="B648" s="3"/>
      <c r="C648" s="3"/>
      <c r="D648" s="3"/>
      <c r="E648" s="3"/>
      <c r="F648" s="3"/>
      <c r="G648" s="3"/>
      <c r="H648" s="3"/>
      <c r="I648" s="3"/>
      <c r="J648" s="3"/>
      <c r="K648" s="3"/>
      <c r="L648" s="3"/>
      <c r="M648" s="3"/>
      <c r="N648" s="157"/>
      <c r="O648" s="157"/>
      <c r="P648" s="157"/>
      <c r="R648" s="147"/>
      <c r="S648" s="147"/>
      <c r="T648" s="147"/>
      <c r="U648" s="147"/>
      <c r="X648" s="147"/>
      <c r="Y648" s="147"/>
      <c r="Z648" s="147"/>
      <c r="AA648" s="147"/>
      <c r="AB648" s="147"/>
      <c r="AC648" s="147"/>
      <c r="AD648" s="147"/>
      <c r="AE648" s="147"/>
      <c r="AF648" s="147"/>
      <c r="AG648" s="147"/>
      <c r="AH648" s="147"/>
      <c r="AI648" s="147"/>
      <c r="AJ648" s="147"/>
      <c r="AK648" s="147"/>
      <c r="AL648" s="147"/>
      <c r="AM648" s="147"/>
      <c r="AN648" s="147"/>
      <c r="AO648" s="147"/>
      <c r="AP648" s="147"/>
      <c r="AQ648" s="147"/>
    </row>
    <row r="649" spans="1:43">
      <c r="A649" s="3"/>
      <c r="B649" s="3"/>
      <c r="C649" s="3"/>
      <c r="D649" s="3"/>
      <c r="E649" s="3"/>
      <c r="F649" s="3"/>
      <c r="G649" s="3"/>
      <c r="H649" s="3"/>
      <c r="I649" s="3"/>
      <c r="J649" s="3"/>
      <c r="K649" s="3"/>
      <c r="L649" s="3"/>
      <c r="M649" s="3"/>
      <c r="N649" s="157"/>
      <c r="O649" s="157"/>
      <c r="P649" s="157"/>
      <c r="R649" s="147"/>
      <c r="S649" s="147"/>
      <c r="T649" s="147"/>
      <c r="U649" s="147"/>
      <c r="X649" s="147"/>
      <c r="Y649" s="147"/>
      <c r="Z649" s="147"/>
      <c r="AA649" s="147"/>
      <c r="AB649" s="147"/>
      <c r="AC649" s="147"/>
      <c r="AD649" s="147"/>
      <c r="AE649" s="147"/>
      <c r="AF649" s="147"/>
      <c r="AG649" s="147"/>
      <c r="AH649" s="147"/>
      <c r="AI649" s="147"/>
      <c r="AJ649" s="147"/>
      <c r="AK649" s="147"/>
      <c r="AL649" s="147"/>
      <c r="AM649" s="147"/>
      <c r="AN649" s="147"/>
      <c r="AO649" s="147"/>
      <c r="AP649" s="147"/>
      <c r="AQ649" s="147"/>
    </row>
    <row r="650" spans="1:43">
      <c r="A650" s="3"/>
      <c r="B650" s="3"/>
      <c r="C650" s="3"/>
      <c r="D650" s="3"/>
      <c r="E650" s="3"/>
      <c r="F650" s="3"/>
      <c r="G650" s="3"/>
      <c r="H650" s="3"/>
      <c r="I650" s="3"/>
      <c r="J650" s="3"/>
      <c r="K650" s="3"/>
      <c r="L650" s="3"/>
      <c r="M650" s="3"/>
      <c r="N650" s="157"/>
      <c r="O650" s="157"/>
      <c r="P650" s="157"/>
      <c r="R650" s="147"/>
      <c r="S650" s="147"/>
      <c r="T650" s="147"/>
      <c r="U650" s="147"/>
      <c r="X650" s="147"/>
      <c r="Y650" s="147"/>
      <c r="Z650" s="147"/>
      <c r="AA650" s="147"/>
      <c r="AB650" s="147"/>
      <c r="AC650" s="147"/>
      <c r="AD650" s="147"/>
      <c r="AE650" s="147"/>
      <c r="AF650" s="147"/>
      <c r="AG650" s="147"/>
      <c r="AH650" s="147"/>
      <c r="AI650" s="147"/>
      <c r="AJ650" s="147"/>
      <c r="AK650" s="147"/>
      <c r="AL650" s="147"/>
      <c r="AM650" s="147"/>
      <c r="AN650" s="147"/>
      <c r="AO650" s="147"/>
      <c r="AP650" s="147"/>
      <c r="AQ650" s="147"/>
    </row>
    <row r="651" spans="1:43">
      <c r="A651" s="3"/>
      <c r="B651" s="3"/>
      <c r="C651" s="3"/>
      <c r="D651" s="3"/>
      <c r="E651" s="3"/>
      <c r="F651" s="3"/>
      <c r="G651" s="3"/>
      <c r="H651" s="3"/>
      <c r="I651" s="3"/>
      <c r="J651" s="3"/>
      <c r="K651" s="3"/>
      <c r="L651" s="3"/>
      <c r="M651" s="3"/>
      <c r="N651" s="157"/>
      <c r="O651" s="157"/>
      <c r="P651" s="157"/>
      <c r="R651" s="147"/>
      <c r="S651" s="147"/>
      <c r="T651" s="147"/>
      <c r="U651" s="147"/>
      <c r="X651" s="147"/>
      <c r="Y651" s="147"/>
      <c r="Z651" s="147"/>
      <c r="AA651" s="147"/>
      <c r="AB651" s="147"/>
      <c r="AC651" s="147"/>
      <c r="AD651" s="147"/>
      <c r="AE651" s="147"/>
      <c r="AF651" s="147"/>
      <c r="AG651" s="147"/>
      <c r="AH651" s="147"/>
      <c r="AI651" s="147"/>
      <c r="AJ651" s="147"/>
      <c r="AK651" s="147"/>
      <c r="AL651" s="147"/>
      <c r="AM651" s="147"/>
      <c r="AN651" s="147"/>
      <c r="AO651" s="147"/>
      <c r="AP651" s="147"/>
      <c r="AQ651" s="147"/>
    </row>
    <row r="652" spans="1:43">
      <c r="A652" s="3"/>
      <c r="B652" s="3"/>
      <c r="C652" s="3"/>
      <c r="D652" s="3"/>
      <c r="E652" s="3"/>
      <c r="F652" s="3"/>
      <c r="G652" s="3"/>
      <c r="H652" s="3"/>
      <c r="I652" s="3"/>
      <c r="J652" s="3"/>
      <c r="K652" s="3"/>
      <c r="L652" s="3"/>
      <c r="M652" s="3"/>
      <c r="N652" s="157"/>
      <c r="O652" s="157"/>
      <c r="P652" s="157"/>
      <c r="R652" s="147"/>
      <c r="S652" s="147"/>
      <c r="T652" s="147"/>
      <c r="U652" s="147"/>
      <c r="X652" s="147"/>
      <c r="Y652" s="147"/>
      <c r="Z652" s="147"/>
      <c r="AA652" s="147"/>
      <c r="AB652" s="147"/>
      <c r="AC652" s="147"/>
      <c r="AD652" s="147"/>
      <c r="AE652" s="147"/>
      <c r="AF652" s="147"/>
      <c r="AG652" s="147"/>
      <c r="AH652" s="147"/>
      <c r="AI652" s="147"/>
      <c r="AJ652" s="147"/>
      <c r="AK652" s="147"/>
      <c r="AL652" s="147"/>
      <c r="AM652" s="147"/>
      <c r="AN652" s="147"/>
      <c r="AO652" s="147"/>
      <c r="AP652" s="147"/>
      <c r="AQ652" s="147"/>
    </row>
    <row r="653" spans="1:43">
      <c r="A653" s="3"/>
      <c r="B653" s="3"/>
      <c r="C653" s="3"/>
      <c r="D653" s="3"/>
      <c r="E653" s="3"/>
      <c r="F653" s="3"/>
      <c r="G653" s="3"/>
      <c r="H653" s="3"/>
      <c r="I653" s="3"/>
      <c r="J653" s="3"/>
      <c r="K653" s="3"/>
      <c r="L653" s="3"/>
      <c r="M653" s="3"/>
      <c r="N653" s="157"/>
      <c r="O653" s="157"/>
      <c r="P653" s="157"/>
      <c r="R653" s="147"/>
      <c r="S653" s="147"/>
      <c r="T653" s="147"/>
      <c r="U653" s="147"/>
      <c r="X653" s="147"/>
      <c r="Y653" s="147"/>
      <c r="Z653" s="147"/>
      <c r="AA653" s="147"/>
      <c r="AB653" s="147"/>
      <c r="AC653" s="147"/>
      <c r="AD653" s="147"/>
      <c r="AE653" s="147"/>
      <c r="AF653" s="147"/>
      <c r="AG653" s="147"/>
      <c r="AH653" s="147"/>
      <c r="AI653" s="147"/>
      <c r="AJ653" s="147"/>
      <c r="AK653" s="147"/>
      <c r="AL653" s="147"/>
      <c r="AM653" s="147"/>
      <c r="AN653" s="147"/>
      <c r="AO653" s="147"/>
      <c r="AP653" s="147"/>
      <c r="AQ653" s="147"/>
    </row>
    <row r="654" spans="1:43">
      <c r="A654" s="3"/>
      <c r="B654" s="3"/>
      <c r="C654" s="3"/>
      <c r="D654" s="3"/>
      <c r="E654" s="3"/>
      <c r="F654" s="3"/>
      <c r="G654" s="3"/>
      <c r="H654" s="3"/>
      <c r="I654" s="3"/>
      <c r="J654" s="3"/>
      <c r="K654" s="3"/>
      <c r="L654" s="3"/>
      <c r="M654" s="3"/>
      <c r="N654" s="157"/>
      <c r="O654" s="157"/>
      <c r="P654" s="157"/>
      <c r="R654" s="147"/>
      <c r="S654" s="147"/>
      <c r="T654" s="147"/>
      <c r="U654" s="147"/>
      <c r="X654" s="147"/>
      <c r="Y654" s="147"/>
      <c r="Z654" s="147"/>
      <c r="AA654" s="147"/>
      <c r="AB654" s="147"/>
      <c r="AC654" s="147"/>
      <c r="AD654" s="147"/>
      <c r="AE654" s="147"/>
      <c r="AF654" s="147"/>
      <c r="AG654" s="147"/>
      <c r="AH654" s="147"/>
      <c r="AI654" s="147"/>
      <c r="AJ654" s="147"/>
      <c r="AK654" s="147"/>
      <c r="AL654" s="147"/>
      <c r="AM654" s="147"/>
      <c r="AN654" s="147"/>
      <c r="AO654" s="147"/>
      <c r="AP654" s="147"/>
      <c r="AQ654" s="147"/>
    </row>
    <row r="655" spans="1:43">
      <c r="A655" s="3"/>
      <c r="B655" s="3"/>
      <c r="C655" s="3"/>
      <c r="D655" s="3"/>
      <c r="E655" s="3"/>
      <c r="F655" s="3"/>
      <c r="G655" s="3"/>
      <c r="H655" s="3"/>
      <c r="I655" s="3"/>
      <c r="J655" s="3"/>
      <c r="K655" s="3"/>
      <c r="L655" s="3"/>
      <c r="M655" s="3"/>
      <c r="N655" s="157"/>
      <c r="O655" s="157"/>
      <c r="P655" s="157"/>
      <c r="R655" s="147"/>
      <c r="S655" s="147"/>
      <c r="T655" s="147"/>
      <c r="U655" s="147"/>
      <c r="X655" s="147"/>
      <c r="Y655" s="147"/>
      <c r="Z655" s="147"/>
      <c r="AA655" s="147"/>
      <c r="AB655" s="147"/>
      <c r="AC655" s="147"/>
      <c r="AD655" s="147"/>
      <c r="AE655" s="147"/>
      <c r="AF655" s="147"/>
      <c r="AG655" s="147"/>
      <c r="AH655" s="147"/>
      <c r="AI655" s="147"/>
      <c r="AJ655" s="147"/>
      <c r="AK655" s="147"/>
      <c r="AL655" s="147"/>
      <c r="AM655" s="147"/>
      <c r="AN655" s="147"/>
      <c r="AO655" s="147"/>
      <c r="AP655" s="147"/>
      <c r="AQ655" s="147"/>
    </row>
    <row r="656" spans="1:43">
      <c r="A656" s="3"/>
      <c r="B656" s="3"/>
      <c r="C656" s="3"/>
      <c r="D656" s="3"/>
      <c r="E656" s="3"/>
      <c r="F656" s="3"/>
      <c r="G656" s="3"/>
      <c r="H656" s="3"/>
      <c r="I656" s="3"/>
      <c r="J656" s="3"/>
      <c r="K656" s="3"/>
      <c r="L656" s="3"/>
      <c r="M656" s="3"/>
      <c r="N656" s="157"/>
      <c r="O656" s="157"/>
      <c r="P656" s="157"/>
      <c r="R656" s="147"/>
      <c r="S656" s="147"/>
      <c r="T656" s="147"/>
      <c r="U656" s="147"/>
      <c r="X656" s="147"/>
      <c r="Y656" s="147"/>
      <c r="Z656" s="147"/>
      <c r="AA656" s="147"/>
      <c r="AB656" s="147"/>
      <c r="AC656" s="147"/>
      <c r="AD656" s="147"/>
      <c r="AE656" s="147"/>
      <c r="AF656" s="147"/>
      <c r="AG656" s="147"/>
      <c r="AH656" s="147"/>
      <c r="AI656" s="147"/>
      <c r="AJ656" s="147"/>
      <c r="AK656" s="147"/>
      <c r="AL656" s="147"/>
      <c r="AM656" s="147"/>
      <c r="AN656" s="147"/>
      <c r="AO656" s="147"/>
      <c r="AP656" s="147"/>
      <c r="AQ656" s="147"/>
    </row>
    <row r="657" spans="1:43">
      <c r="A657" s="3"/>
      <c r="B657" s="3"/>
      <c r="C657" s="3"/>
      <c r="D657" s="3"/>
      <c r="E657" s="3"/>
      <c r="F657" s="3"/>
      <c r="G657" s="3"/>
      <c r="H657" s="3"/>
      <c r="I657" s="3"/>
      <c r="J657" s="3"/>
      <c r="K657" s="3"/>
      <c r="L657" s="3"/>
      <c r="M657" s="3"/>
      <c r="N657" s="157"/>
      <c r="O657" s="157"/>
      <c r="P657" s="157"/>
      <c r="R657" s="147"/>
      <c r="S657" s="147"/>
      <c r="T657" s="147"/>
      <c r="U657" s="147"/>
      <c r="X657" s="147"/>
      <c r="Y657" s="147"/>
      <c r="Z657" s="147"/>
      <c r="AA657" s="147"/>
      <c r="AB657" s="147"/>
      <c r="AC657" s="147"/>
      <c r="AD657" s="147"/>
      <c r="AE657" s="147"/>
      <c r="AF657" s="147"/>
      <c r="AG657" s="147"/>
      <c r="AH657" s="147"/>
      <c r="AI657" s="147"/>
      <c r="AJ657" s="147"/>
      <c r="AK657" s="147"/>
      <c r="AL657" s="147"/>
      <c r="AM657" s="147"/>
      <c r="AN657" s="147"/>
      <c r="AO657" s="147"/>
      <c r="AP657" s="147"/>
      <c r="AQ657" s="147"/>
    </row>
    <row r="658" spans="1:43">
      <c r="A658" s="3"/>
      <c r="B658" s="3"/>
      <c r="C658" s="3"/>
      <c r="D658" s="3"/>
      <c r="E658" s="3"/>
      <c r="F658" s="3"/>
      <c r="G658" s="3"/>
      <c r="H658" s="3"/>
      <c r="I658" s="3"/>
      <c r="J658" s="3"/>
      <c r="K658" s="3"/>
      <c r="L658" s="3"/>
      <c r="M658" s="3"/>
      <c r="N658" s="157"/>
      <c r="O658" s="157"/>
      <c r="P658" s="157"/>
      <c r="R658" s="147"/>
      <c r="S658" s="147"/>
      <c r="T658" s="147"/>
      <c r="U658" s="147"/>
      <c r="X658" s="147"/>
      <c r="Y658" s="147"/>
      <c r="Z658" s="147"/>
      <c r="AA658" s="147"/>
      <c r="AB658" s="147"/>
      <c r="AC658" s="147"/>
      <c r="AD658" s="147"/>
      <c r="AE658" s="147"/>
      <c r="AF658" s="147"/>
      <c r="AG658" s="147"/>
      <c r="AH658" s="147"/>
      <c r="AI658" s="147"/>
      <c r="AJ658" s="147"/>
      <c r="AK658" s="147"/>
      <c r="AL658" s="147"/>
      <c r="AM658" s="147"/>
      <c r="AN658" s="147"/>
      <c r="AO658" s="147"/>
      <c r="AP658" s="147"/>
      <c r="AQ658" s="147"/>
    </row>
    <row r="659" spans="1:43">
      <c r="A659" s="3"/>
      <c r="B659" s="3"/>
      <c r="C659" s="3"/>
      <c r="D659" s="3"/>
      <c r="E659" s="3"/>
      <c r="F659" s="3"/>
      <c r="G659" s="3"/>
      <c r="H659" s="3"/>
      <c r="I659" s="3"/>
      <c r="J659" s="3"/>
      <c r="K659" s="3"/>
      <c r="L659" s="3"/>
      <c r="M659" s="3"/>
      <c r="N659" s="157"/>
      <c r="O659" s="157"/>
      <c r="P659" s="157"/>
      <c r="R659" s="147"/>
      <c r="S659" s="147"/>
      <c r="T659" s="147"/>
      <c r="U659" s="147"/>
      <c r="X659" s="147"/>
      <c r="Y659" s="147"/>
      <c r="Z659" s="147"/>
      <c r="AA659" s="147"/>
      <c r="AB659" s="147"/>
      <c r="AC659" s="147"/>
      <c r="AD659" s="147"/>
      <c r="AE659" s="147"/>
      <c r="AF659" s="147"/>
      <c r="AG659" s="147"/>
      <c r="AH659" s="147"/>
      <c r="AI659" s="147"/>
      <c r="AJ659" s="147"/>
      <c r="AK659" s="147"/>
      <c r="AL659" s="147"/>
      <c r="AM659" s="147"/>
      <c r="AN659" s="147"/>
      <c r="AO659" s="147"/>
      <c r="AP659" s="147"/>
      <c r="AQ659" s="147"/>
    </row>
    <row r="660" spans="1:43">
      <c r="A660" s="3"/>
      <c r="B660" s="3"/>
      <c r="C660" s="3"/>
      <c r="D660" s="3"/>
      <c r="E660" s="3"/>
      <c r="F660" s="3"/>
      <c r="G660" s="3"/>
      <c r="H660" s="3"/>
      <c r="I660" s="3"/>
      <c r="J660" s="3"/>
      <c r="K660" s="3"/>
      <c r="L660" s="3"/>
      <c r="M660" s="3"/>
      <c r="N660" s="157"/>
      <c r="O660" s="157"/>
      <c r="P660" s="157"/>
      <c r="R660" s="147"/>
      <c r="S660" s="147"/>
      <c r="T660" s="147"/>
      <c r="U660" s="147"/>
      <c r="X660" s="147"/>
      <c r="Y660" s="147"/>
      <c r="Z660" s="147"/>
      <c r="AA660" s="147"/>
      <c r="AB660" s="147"/>
      <c r="AC660" s="147"/>
      <c r="AD660" s="147"/>
      <c r="AE660" s="147"/>
      <c r="AF660" s="147"/>
      <c r="AG660" s="147"/>
      <c r="AH660" s="147"/>
      <c r="AI660" s="147"/>
      <c r="AJ660" s="147"/>
      <c r="AK660" s="147"/>
      <c r="AL660" s="147"/>
      <c r="AM660" s="147"/>
      <c r="AN660" s="147"/>
      <c r="AO660" s="147"/>
      <c r="AP660" s="147"/>
      <c r="AQ660" s="147"/>
    </row>
    <row r="661" spans="1:43">
      <c r="A661" s="3"/>
      <c r="B661" s="3"/>
      <c r="C661" s="3"/>
      <c r="D661" s="3"/>
      <c r="E661" s="3"/>
      <c r="F661" s="3"/>
      <c r="G661" s="3"/>
      <c r="H661" s="3"/>
      <c r="I661" s="3"/>
      <c r="J661" s="3"/>
      <c r="K661" s="3"/>
      <c r="L661" s="3"/>
      <c r="M661" s="3"/>
      <c r="N661" s="157"/>
      <c r="O661" s="157"/>
      <c r="P661" s="157"/>
      <c r="R661" s="147"/>
      <c r="S661" s="147"/>
      <c r="T661" s="147"/>
      <c r="U661" s="147"/>
      <c r="X661" s="147"/>
      <c r="Y661" s="147"/>
      <c r="Z661" s="147"/>
      <c r="AA661" s="147"/>
      <c r="AB661" s="147"/>
      <c r="AC661" s="147"/>
      <c r="AD661" s="147"/>
      <c r="AE661" s="147"/>
      <c r="AF661" s="147"/>
      <c r="AG661" s="147"/>
      <c r="AH661" s="147"/>
      <c r="AI661" s="147"/>
      <c r="AJ661" s="147"/>
      <c r="AK661" s="147"/>
      <c r="AL661" s="147"/>
      <c r="AM661" s="147"/>
      <c r="AN661" s="147"/>
      <c r="AO661" s="147"/>
      <c r="AP661" s="147"/>
      <c r="AQ661" s="147"/>
    </row>
    <row r="662" spans="1:43">
      <c r="A662" s="3"/>
      <c r="B662" s="3"/>
      <c r="C662" s="3"/>
      <c r="D662" s="3"/>
      <c r="E662" s="3"/>
      <c r="F662" s="3"/>
      <c r="G662" s="3"/>
      <c r="H662" s="3"/>
      <c r="I662" s="3"/>
      <c r="J662" s="3"/>
      <c r="K662" s="3"/>
      <c r="L662" s="3"/>
      <c r="M662" s="3"/>
      <c r="N662" s="157"/>
      <c r="O662" s="157"/>
      <c r="P662" s="157"/>
      <c r="R662" s="147"/>
      <c r="S662" s="147"/>
      <c r="T662" s="147"/>
      <c r="U662" s="147"/>
      <c r="X662" s="147"/>
      <c r="Y662" s="147"/>
      <c r="Z662" s="147"/>
      <c r="AA662" s="147"/>
      <c r="AB662" s="147"/>
      <c r="AC662" s="147"/>
      <c r="AD662" s="147"/>
      <c r="AE662" s="147"/>
      <c r="AF662" s="147"/>
      <c r="AG662" s="147"/>
      <c r="AH662" s="147"/>
      <c r="AI662" s="147"/>
      <c r="AJ662" s="147"/>
      <c r="AK662" s="147"/>
      <c r="AL662" s="147"/>
      <c r="AM662" s="147"/>
      <c r="AN662" s="147"/>
      <c r="AO662" s="147"/>
      <c r="AP662" s="147"/>
      <c r="AQ662" s="147"/>
    </row>
    <row r="663" spans="1:43">
      <c r="A663" s="3"/>
      <c r="B663" s="3"/>
      <c r="C663" s="3"/>
      <c r="D663" s="3"/>
      <c r="E663" s="3"/>
      <c r="F663" s="3"/>
      <c r="G663" s="3"/>
      <c r="H663" s="3"/>
      <c r="I663" s="3"/>
      <c r="J663" s="3"/>
      <c r="K663" s="3"/>
      <c r="L663" s="3"/>
      <c r="M663" s="3"/>
      <c r="N663" s="157"/>
      <c r="O663" s="157"/>
      <c r="P663" s="157"/>
      <c r="R663" s="147"/>
      <c r="S663" s="147"/>
      <c r="T663" s="147"/>
      <c r="U663" s="147"/>
      <c r="X663" s="147"/>
      <c r="Y663" s="147"/>
      <c r="Z663" s="147"/>
      <c r="AA663" s="147"/>
      <c r="AB663" s="147"/>
      <c r="AC663" s="147"/>
      <c r="AD663" s="147"/>
      <c r="AE663" s="147"/>
      <c r="AF663" s="147"/>
      <c r="AG663" s="147"/>
      <c r="AH663" s="147"/>
      <c r="AI663" s="147"/>
      <c r="AJ663" s="147"/>
      <c r="AK663" s="147"/>
      <c r="AL663" s="147"/>
      <c r="AM663" s="147"/>
      <c r="AN663" s="147"/>
      <c r="AO663" s="147"/>
      <c r="AP663" s="147"/>
      <c r="AQ663" s="147"/>
    </row>
    <row r="664" spans="1:43">
      <c r="A664" s="3"/>
      <c r="B664" s="3"/>
      <c r="C664" s="3"/>
      <c r="D664" s="3"/>
      <c r="E664" s="3"/>
      <c r="F664" s="3"/>
      <c r="G664" s="3"/>
      <c r="H664" s="3"/>
      <c r="I664" s="3"/>
      <c r="J664" s="3"/>
      <c r="K664" s="3"/>
      <c r="L664" s="3"/>
      <c r="M664" s="3"/>
      <c r="N664" s="157"/>
      <c r="O664" s="157"/>
      <c r="P664" s="157"/>
      <c r="R664" s="147"/>
      <c r="S664" s="147"/>
      <c r="T664" s="147"/>
      <c r="U664" s="147"/>
      <c r="X664" s="147"/>
      <c r="Y664" s="147"/>
      <c r="Z664" s="147"/>
      <c r="AA664" s="147"/>
      <c r="AB664" s="147"/>
      <c r="AC664" s="147"/>
      <c r="AD664" s="147"/>
      <c r="AE664" s="147"/>
      <c r="AF664" s="147"/>
      <c r="AG664" s="147"/>
      <c r="AH664" s="147"/>
      <c r="AI664" s="147"/>
      <c r="AJ664" s="147"/>
      <c r="AK664" s="147"/>
      <c r="AL664" s="147"/>
      <c r="AM664" s="147"/>
      <c r="AN664" s="147"/>
      <c r="AO664" s="147"/>
      <c r="AP664" s="147"/>
      <c r="AQ664" s="147"/>
    </row>
    <row r="665" spans="1:43">
      <c r="A665" s="3"/>
      <c r="B665" s="3"/>
      <c r="C665" s="3"/>
      <c r="D665" s="3"/>
      <c r="E665" s="3"/>
      <c r="F665" s="3"/>
      <c r="G665" s="3"/>
      <c r="H665" s="3"/>
      <c r="I665" s="3"/>
      <c r="J665" s="3"/>
      <c r="K665" s="3"/>
      <c r="L665" s="3"/>
      <c r="M665" s="3"/>
      <c r="N665" s="157"/>
      <c r="O665" s="157"/>
      <c r="P665" s="157"/>
      <c r="R665" s="147"/>
      <c r="S665" s="147"/>
      <c r="T665" s="147"/>
      <c r="U665" s="147"/>
      <c r="X665" s="147"/>
      <c r="Y665" s="147"/>
      <c r="Z665" s="147"/>
      <c r="AA665" s="147"/>
      <c r="AB665" s="147"/>
      <c r="AC665" s="147"/>
      <c r="AD665" s="147"/>
      <c r="AE665" s="147"/>
      <c r="AF665" s="147"/>
      <c r="AG665" s="147"/>
      <c r="AH665" s="147"/>
      <c r="AI665" s="147"/>
      <c r="AJ665" s="147"/>
      <c r="AK665" s="147"/>
      <c r="AL665" s="147"/>
      <c r="AM665" s="147"/>
      <c r="AN665" s="147"/>
      <c r="AO665" s="147"/>
      <c r="AP665" s="147"/>
      <c r="AQ665" s="147"/>
    </row>
    <row r="666" spans="1:43">
      <c r="A666" s="3"/>
      <c r="B666" s="3"/>
      <c r="C666" s="3"/>
      <c r="D666" s="3"/>
      <c r="E666" s="3"/>
      <c r="F666" s="3"/>
      <c r="G666" s="3"/>
      <c r="H666" s="3"/>
      <c r="I666" s="3"/>
      <c r="J666" s="3"/>
      <c r="K666" s="3"/>
      <c r="L666" s="3"/>
      <c r="M666" s="3"/>
      <c r="N666" s="157"/>
      <c r="O666" s="157"/>
      <c r="P666" s="157"/>
      <c r="R666" s="147"/>
      <c r="S666" s="147"/>
      <c r="T666" s="147"/>
      <c r="U666" s="147"/>
      <c r="X666" s="147"/>
      <c r="Y666" s="147"/>
      <c r="Z666" s="147"/>
      <c r="AA666" s="147"/>
      <c r="AB666" s="147"/>
      <c r="AC666" s="147"/>
      <c r="AD666" s="147"/>
      <c r="AE666" s="147"/>
      <c r="AF666" s="147"/>
      <c r="AG666" s="147"/>
      <c r="AH666" s="147"/>
      <c r="AI666" s="147"/>
      <c r="AJ666" s="147"/>
      <c r="AK666" s="147"/>
      <c r="AL666" s="147"/>
      <c r="AM666" s="147"/>
      <c r="AN666" s="147"/>
      <c r="AO666" s="147"/>
      <c r="AP666" s="147"/>
      <c r="AQ666" s="147"/>
    </row>
    <row r="667" spans="1:43">
      <c r="A667" s="3"/>
      <c r="B667" s="3"/>
      <c r="C667" s="3"/>
      <c r="D667" s="3"/>
      <c r="E667" s="3"/>
      <c r="F667" s="3"/>
      <c r="G667" s="3"/>
      <c r="H667" s="3"/>
      <c r="I667" s="3"/>
      <c r="J667" s="3"/>
      <c r="K667" s="3"/>
      <c r="L667" s="3"/>
      <c r="M667" s="3"/>
      <c r="N667" s="157"/>
      <c r="O667" s="157"/>
      <c r="P667" s="157"/>
      <c r="R667" s="147"/>
      <c r="S667" s="147"/>
      <c r="T667" s="147"/>
      <c r="U667" s="147"/>
      <c r="X667" s="147"/>
      <c r="Y667" s="147"/>
      <c r="Z667" s="147"/>
      <c r="AA667" s="147"/>
      <c r="AB667" s="147"/>
      <c r="AC667" s="147"/>
      <c r="AD667" s="147"/>
      <c r="AE667" s="147"/>
      <c r="AF667" s="147"/>
      <c r="AG667" s="147"/>
      <c r="AH667" s="147"/>
      <c r="AI667" s="147"/>
      <c r="AJ667" s="147"/>
      <c r="AK667" s="147"/>
      <c r="AL667" s="147"/>
      <c r="AM667" s="147"/>
      <c r="AN667" s="147"/>
      <c r="AO667" s="147"/>
      <c r="AP667" s="147"/>
      <c r="AQ667" s="147"/>
    </row>
    <row r="668" spans="1:43">
      <c r="A668" s="3"/>
      <c r="B668" s="3"/>
      <c r="C668" s="3"/>
      <c r="D668" s="3"/>
      <c r="E668" s="3"/>
      <c r="F668" s="3"/>
      <c r="G668" s="3"/>
      <c r="H668" s="3"/>
      <c r="I668" s="3"/>
      <c r="J668" s="3"/>
      <c r="K668" s="3"/>
      <c r="L668" s="3"/>
      <c r="M668" s="3"/>
      <c r="N668" s="157"/>
      <c r="O668" s="157"/>
      <c r="P668" s="157"/>
      <c r="R668" s="147"/>
      <c r="S668" s="147"/>
      <c r="T668" s="147"/>
      <c r="U668" s="147"/>
      <c r="X668" s="147"/>
      <c r="Y668" s="147"/>
      <c r="Z668" s="147"/>
      <c r="AA668" s="147"/>
      <c r="AB668" s="147"/>
      <c r="AC668" s="147"/>
      <c r="AD668" s="147"/>
      <c r="AE668" s="147"/>
      <c r="AF668" s="147"/>
      <c r="AG668" s="147"/>
      <c r="AH668" s="147"/>
      <c r="AI668" s="147"/>
      <c r="AJ668" s="147"/>
      <c r="AK668" s="147"/>
      <c r="AL668" s="147"/>
      <c r="AM668" s="147"/>
      <c r="AN668" s="147"/>
      <c r="AO668" s="147"/>
      <c r="AP668" s="147"/>
      <c r="AQ668" s="147"/>
    </row>
    <row r="669" spans="1:43">
      <c r="A669" s="3"/>
      <c r="B669" s="3"/>
      <c r="C669" s="3"/>
      <c r="D669" s="3"/>
      <c r="E669" s="3"/>
      <c r="F669" s="3"/>
      <c r="G669" s="3"/>
      <c r="H669" s="3"/>
      <c r="I669" s="3"/>
      <c r="J669" s="3"/>
      <c r="K669" s="3"/>
      <c r="L669" s="3"/>
      <c r="M669" s="3"/>
      <c r="N669" s="157"/>
      <c r="O669" s="157"/>
      <c r="P669" s="157"/>
      <c r="R669" s="147"/>
      <c r="S669" s="147"/>
      <c r="T669" s="147"/>
      <c r="U669" s="147"/>
      <c r="X669" s="147"/>
      <c r="Y669" s="147"/>
      <c r="Z669" s="147"/>
      <c r="AA669" s="147"/>
      <c r="AB669" s="147"/>
      <c r="AC669" s="147"/>
      <c r="AD669" s="147"/>
      <c r="AE669" s="147"/>
      <c r="AF669" s="147"/>
      <c r="AG669" s="147"/>
      <c r="AH669" s="147"/>
      <c r="AI669" s="147"/>
      <c r="AJ669" s="147"/>
      <c r="AK669" s="147"/>
      <c r="AL669" s="147"/>
      <c r="AM669" s="147"/>
      <c r="AN669" s="147"/>
      <c r="AO669" s="147"/>
      <c r="AP669" s="147"/>
      <c r="AQ669" s="147"/>
    </row>
    <row r="670" spans="1:43">
      <c r="A670" s="3"/>
      <c r="B670" s="3"/>
      <c r="C670" s="3"/>
      <c r="D670" s="3"/>
      <c r="E670" s="3"/>
      <c r="F670" s="3"/>
      <c r="G670" s="3"/>
      <c r="H670" s="3"/>
      <c r="I670" s="3"/>
      <c r="J670" s="3"/>
      <c r="K670" s="3"/>
      <c r="L670" s="3"/>
      <c r="M670" s="3"/>
      <c r="N670" s="157"/>
      <c r="O670" s="157"/>
      <c r="P670" s="157"/>
      <c r="R670" s="147"/>
      <c r="S670" s="147"/>
      <c r="T670" s="147"/>
      <c r="U670" s="147"/>
      <c r="X670" s="147"/>
      <c r="Y670" s="147"/>
      <c r="Z670" s="147"/>
      <c r="AA670" s="147"/>
      <c r="AB670" s="147"/>
      <c r="AC670" s="147"/>
      <c r="AD670" s="147"/>
      <c r="AE670" s="147"/>
      <c r="AF670" s="147"/>
      <c r="AG670" s="147"/>
      <c r="AH670" s="147"/>
      <c r="AI670" s="147"/>
      <c r="AJ670" s="147"/>
      <c r="AK670" s="147"/>
      <c r="AL670" s="147"/>
      <c r="AM670" s="147"/>
      <c r="AN670" s="147"/>
      <c r="AO670" s="147"/>
      <c r="AP670" s="147"/>
      <c r="AQ670" s="147"/>
    </row>
    <row r="671" spans="1:43">
      <c r="A671" s="3"/>
      <c r="B671" s="3"/>
      <c r="C671" s="3"/>
      <c r="D671" s="3"/>
      <c r="E671" s="3"/>
      <c r="F671" s="3"/>
      <c r="G671" s="3"/>
      <c r="H671" s="3"/>
      <c r="I671" s="3"/>
      <c r="J671" s="3"/>
      <c r="K671" s="3"/>
      <c r="L671" s="3"/>
      <c r="M671" s="3"/>
      <c r="N671" s="157"/>
      <c r="O671" s="157"/>
      <c r="P671" s="157"/>
      <c r="R671" s="147"/>
      <c r="S671" s="147"/>
      <c r="T671" s="147"/>
      <c r="U671" s="147"/>
      <c r="X671" s="147"/>
      <c r="Y671" s="147"/>
      <c r="Z671" s="147"/>
      <c r="AA671" s="147"/>
      <c r="AB671" s="147"/>
      <c r="AC671" s="147"/>
      <c r="AD671" s="147"/>
      <c r="AE671" s="147"/>
      <c r="AF671" s="147"/>
      <c r="AG671" s="147"/>
      <c r="AH671" s="147"/>
      <c r="AI671" s="147"/>
      <c r="AJ671" s="147"/>
      <c r="AK671" s="147"/>
      <c r="AL671" s="147"/>
      <c r="AM671" s="147"/>
      <c r="AN671" s="147"/>
      <c r="AO671" s="147"/>
      <c r="AP671" s="147"/>
      <c r="AQ671" s="147"/>
    </row>
    <row r="672" spans="1:43">
      <c r="A672" s="3"/>
      <c r="B672" s="3"/>
      <c r="C672" s="3"/>
      <c r="D672" s="3"/>
      <c r="E672" s="3"/>
      <c r="F672" s="3"/>
      <c r="G672" s="3"/>
      <c r="H672" s="3"/>
      <c r="I672" s="3"/>
      <c r="J672" s="3"/>
      <c r="K672" s="3"/>
      <c r="L672" s="3"/>
      <c r="M672" s="3"/>
      <c r="N672" s="157"/>
      <c r="O672" s="157"/>
      <c r="P672" s="157"/>
      <c r="R672" s="147"/>
      <c r="S672" s="147"/>
      <c r="T672" s="147"/>
      <c r="U672" s="147"/>
      <c r="X672" s="147"/>
      <c r="Y672" s="147"/>
      <c r="Z672" s="147"/>
      <c r="AA672" s="147"/>
      <c r="AB672" s="147"/>
      <c r="AC672" s="147"/>
      <c r="AD672" s="147"/>
      <c r="AE672" s="147"/>
      <c r="AF672" s="147"/>
      <c r="AG672" s="147"/>
      <c r="AH672" s="147"/>
      <c r="AI672" s="147"/>
      <c r="AJ672" s="147"/>
      <c r="AK672" s="147"/>
      <c r="AL672" s="147"/>
      <c r="AM672" s="147"/>
      <c r="AN672" s="147"/>
      <c r="AO672" s="147"/>
      <c r="AP672" s="147"/>
      <c r="AQ672" s="147"/>
    </row>
    <row r="673" spans="1:43">
      <c r="A673" s="3"/>
      <c r="B673" s="3"/>
      <c r="C673" s="3"/>
      <c r="D673" s="3"/>
      <c r="E673" s="3"/>
      <c r="F673" s="3"/>
      <c r="G673" s="3"/>
      <c r="H673" s="3"/>
      <c r="I673" s="3"/>
      <c r="J673" s="3"/>
      <c r="K673" s="3"/>
      <c r="L673" s="3"/>
      <c r="M673" s="3"/>
      <c r="N673" s="157"/>
      <c r="O673" s="157"/>
      <c r="P673" s="157"/>
      <c r="R673" s="147"/>
      <c r="S673" s="147"/>
      <c r="T673" s="147"/>
      <c r="U673" s="147"/>
      <c r="X673" s="147"/>
      <c r="Y673" s="147"/>
      <c r="Z673" s="147"/>
      <c r="AA673" s="147"/>
      <c r="AB673" s="147"/>
      <c r="AC673" s="147"/>
      <c r="AD673" s="147"/>
      <c r="AE673" s="147"/>
      <c r="AF673" s="147"/>
      <c r="AG673" s="147"/>
      <c r="AH673" s="147"/>
      <c r="AI673" s="147"/>
      <c r="AJ673" s="147"/>
      <c r="AK673" s="147"/>
      <c r="AL673" s="147"/>
      <c r="AM673" s="147"/>
      <c r="AN673" s="147"/>
      <c r="AO673" s="147"/>
      <c r="AP673" s="147"/>
      <c r="AQ673" s="147"/>
    </row>
    <row r="674" spans="1:43">
      <c r="A674" s="3"/>
      <c r="B674" s="3"/>
      <c r="C674" s="3"/>
      <c r="D674" s="3"/>
      <c r="E674" s="3"/>
      <c r="F674" s="3"/>
      <c r="G674" s="3"/>
      <c r="H674" s="3"/>
      <c r="I674" s="3"/>
      <c r="J674" s="3"/>
      <c r="K674" s="3"/>
      <c r="L674" s="3"/>
      <c r="M674" s="3"/>
      <c r="N674" s="157"/>
      <c r="O674" s="157"/>
      <c r="P674" s="157"/>
      <c r="R674" s="147"/>
      <c r="S674" s="147"/>
      <c r="T674" s="147"/>
      <c r="U674" s="147"/>
      <c r="X674" s="147"/>
      <c r="Y674" s="147"/>
      <c r="Z674" s="147"/>
      <c r="AA674" s="147"/>
      <c r="AB674" s="147"/>
      <c r="AC674" s="147"/>
      <c r="AD674" s="147"/>
      <c r="AE674" s="147"/>
      <c r="AF674" s="147"/>
      <c r="AG674" s="147"/>
      <c r="AH674" s="147"/>
      <c r="AI674" s="147"/>
      <c r="AJ674" s="147"/>
      <c r="AK674" s="147"/>
      <c r="AL674" s="147"/>
      <c r="AM674" s="147"/>
      <c r="AN674" s="147"/>
      <c r="AO674" s="147"/>
      <c r="AP674" s="147"/>
      <c r="AQ674" s="147"/>
    </row>
    <row r="675" spans="1:43">
      <c r="A675" s="3"/>
      <c r="B675" s="3"/>
      <c r="C675" s="3"/>
      <c r="D675" s="3"/>
      <c r="E675" s="3"/>
      <c r="F675" s="3"/>
      <c r="G675" s="3"/>
      <c r="H675" s="3"/>
      <c r="I675" s="3"/>
      <c r="J675" s="3"/>
      <c r="K675" s="3"/>
      <c r="L675" s="3"/>
      <c r="M675" s="3"/>
      <c r="N675" s="157"/>
      <c r="O675" s="157"/>
      <c r="P675" s="157"/>
      <c r="R675" s="147"/>
      <c r="S675" s="147"/>
      <c r="T675" s="147"/>
      <c r="U675" s="147"/>
      <c r="X675" s="147"/>
      <c r="Y675" s="147"/>
      <c r="Z675" s="147"/>
      <c r="AA675" s="147"/>
      <c r="AB675" s="147"/>
      <c r="AC675" s="147"/>
      <c r="AD675" s="147"/>
      <c r="AE675" s="147"/>
      <c r="AF675" s="147"/>
      <c r="AG675" s="147"/>
      <c r="AH675" s="147"/>
      <c r="AI675" s="147"/>
      <c r="AJ675" s="147"/>
      <c r="AK675" s="147"/>
      <c r="AL675" s="147"/>
      <c r="AM675" s="147"/>
      <c r="AN675" s="147"/>
      <c r="AO675" s="147"/>
      <c r="AP675" s="147"/>
      <c r="AQ675" s="147"/>
    </row>
    <row r="676" spans="1:43">
      <c r="A676" s="3"/>
      <c r="B676" s="3"/>
      <c r="C676" s="3"/>
      <c r="D676" s="3"/>
      <c r="E676" s="3"/>
      <c r="F676" s="3"/>
      <c r="G676" s="3"/>
      <c r="H676" s="3"/>
      <c r="I676" s="3"/>
      <c r="J676" s="3"/>
      <c r="K676" s="3"/>
      <c r="L676" s="3"/>
      <c r="M676" s="3"/>
      <c r="N676" s="157"/>
      <c r="O676" s="157"/>
      <c r="P676" s="157"/>
      <c r="R676" s="147"/>
      <c r="S676" s="147"/>
      <c r="T676" s="147"/>
      <c r="U676" s="147"/>
      <c r="X676" s="147"/>
      <c r="Y676" s="147"/>
      <c r="Z676" s="147"/>
      <c r="AA676" s="147"/>
      <c r="AB676" s="147"/>
      <c r="AC676" s="147"/>
      <c r="AD676" s="147"/>
      <c r="AE676" s="147"/>
      <c r="AF676" s="147"/>
      <c r="AG676" s="147"/>
      <c r="AH676" s="147"/>
      <c r="AI676" s="147"/>
      <c r="AJ676" s="147"/>
      <c r="AK676" s="147"/>
      <c r="AL676" s="147"/>
      <c r="AM676" s="147"/>
      <c r="AN676" s="147"/>
      <c r="AO676" s="147"/>
      <c r="AP676" s="147"/>
      <c r="AQ676" s="147"/>
    </row>
    <row r="677" spans="1:43">
      <c r="A677" s="3"/>
      <c r="B677" s="3"/>
      <c r="C677" s="3"/>
      <c r="D677" s="3"/>
      <c r="E677" s="3"/>
      <c r="F677" s="3"/>
      <c r="G677" s="3"/>
      <c r="H677" s="3"/>
      <c r="I677" s="3"/>
      <c r="J677" s="3"/>
      <c r="K677" s="3"/>
      <c r="L677" s="3"/>
      <c r="M677" s="3"/>
      <c r="N677" s="157"/>
      <c r="O677" s="157"/>
      <c r="P677" s="157"/>
      <c r="R677" s="147"/>
      <c r="S677" s="147"/>
      <c r="T677" s="147"/>
      <c r="U677" s="147"/>
      <c r="X677" s="147"/>
      <c r="Y677" s="147"/>
      <c r="Z677" s="147"/>
      <c r="AA677" s="147"/>
      <c r="AB677" s="147"/>
      <c r="AC677" s="147"/>
      <c r="AD677" s="147"/>
      <c r="AE677" s="147"/>
      <c r="AF677" s="147"/>
      <c r="AG677" s="147"/>
      <c r="AH677" s="147"/>
      <c r="AI677" s="147"/>
      <c r="AJ677" s="147"/>
      <c r="AK677" s="147"/>
      <c r="AL677" s="147"/>
      <c r="AM677" s="147"/>
      <c r="AN677" s="147"/>
      <c r="AO677" s="147"/>
      <c r="AP677" s="147"/>
      <c r="AQ677" s="147"/>
    </row>
    <row r="678" spans="1:43">
      <c r="A678" s="3"/>
      <c r="B678" s="3"/>
      <c r="C678" s="3"/>
      <c r="D678" s="3"/>
      <c r="E678" s="3"/>
      <c r="F678" s="3"/>
      <c r="G678" s="3"/>
      <c r="H678" s="3"/>
      <c r="I678" s="3"/>
      <c r="J678" s="3"/>
      <c r="K678" s="3"/>
      <c r="L678" s="3"/>
      <c r="M678" s="3"/>
      <c r="N678" s="157"/>
      <c r="O678" s="157"/>
      <c r="P678" s="157"/>
      <c r="R678" s="147"/>
      <c r="S678" s="147"/>
      <c r="T678" s="147"/>
      <c r="U678" s="147"/>
      <c r="X678" s="147"/>
      <c r="Y678" s="147"/>
      <c r="Z678" s="147"/>
      <c r="AA678" s="147"/>
      <c r="AB678" s="147"/>
      <c r="AC678" s="147"/>
      <c r="AD678" s="147"/>
      <c r="AE678" s="147"/>
      <c r="AF678" s="147"/>
      <c r="AG678" s="147"/>
      <c r="AH678" s="147"/>
      <c r="AI678" s="147"/>
      <c r="AJ678" s="147"/>
      <c r="AK678" s="147"/>
      <c r="AL678" s="147"/>
      <c r="AM678" s="147"/>
      <c r="AN678" s="147"/>
      <c r="AO678" s="147"/>
      <c r="AP678" s="147"/>
      <c r="AQ678" s="147"/>
    </row>
    <row r="679" spans="1:43">
      <c r="A679" s="3"/>
      <c r="B679" s="3"/>
      <c r="C679" s="3"/>
      <c r="D679" s="3"/>
      <c r="E679" s="3"/>
      <c r="F679" s="3"/>
      <c r="G679" s="3"/>
      <c r="H679" s="3"/>
      <c r="I679" s="3"/>
      <c r="J679" s="3"/>
      <c r="K679" s="3"/>
      <c r="L679" s="3"/>
      <c r="M679" s="3"/>
      <c r="N679" s="157"/>
      <c r="O679" s="157"/>
      <c r="P679" s="157"/>
      <c r="R679" s="147"/>
      <c r="S679" s="147"/>
      <c r="T679" s="147"/>
      <c r="U679" s="147"/>
      <c r="X679" s="147"/>
      <c r="Y679" s="147"/>
      <c r="Z679" s="147"/>
      <c r="AA679" s="147"/>
      <c r="AB679" s="147"/>
      <c r="AC679" s="147"/>
      <c r="AD679" s="147"/>
      <c r="AE679" s="147"/>
      <c r="AF679" s="147"/>
      <c r="AG679" s="147"/>
      <c r="AH679" s="147"/>
      <c r="AI679" s="147"/>
      <c r="AJ679" s="147"/>
      <c r="AK679" s="147"/>
      <c r="AL679" s="147"/>
      <c r="AM679" s="147"/>
      <c r="AN679" s="147"/>
      <c r="AO679" s="147"/>
      <c r="AP679" s="147"/>
      <c r="AQ679" s="147"/>
    </row>
    <row r="680" spans="1:43">
      <c r="A680" s="3"/>
      <c r="B680" s="3"/>
      <c r="C680" s="3"/>
      <c r="D680" s="3"/>
      <c r="E680" s="3"/>
      <c r="F680" s="3"/>
      <c r="G680" s="3"/>
      <c r="H680" s="3"/>
      <c r="I680" s="3"/>
      <c r="J680" s="3"/>
      <c r="K680" s="3"/>
      <c r="L680" s="3"/>
      <c r="M680" s="3"/>
      <c r="N680" s="157"/>
      <c r="O680" s="157"/>
      <c r="P680" s="157"/>
      <c r="R680" s="147"/>
      <c r="S680" s="147"/>
      <c r="T680" s="147"/>
      <c r="U680" s="147"/>
      <c r="X680" s="147"/>
      <c r="Y680" s="147"/>
      <c r="Z680" s="147"/>
      <c r="AA680" s="147"/>
      <c r="AB680" s="147"/>
      <c r="AC680" s="147"/>
      <c r="AD680" s="147"/>
      <c r="AE680" s="147"/>
      <c r="AF680" s="147"/>
      <c r="AG680" s="147"/>
      <c r="AH680" s="147"/>
      <c r="AI680" s="147"/>
      <c r="AJ680" s="147"/>
      <c r="AK680" s="147"/>
      <c r="AL680" s="147"/>
      <c r="AM680" s="147"/>
      <c r="AN680" s="147"/>
      <c r="AO680" s="147"/>
      <c r="AP680" s="147"/>
      <c r="AQ680" s="147"/>
    </row>
    <row r="681" spans="1:43">
      <c r="A681" s="3"/>
      <c r="B681" s="3"/>
      <c r="C681" s="3"/>
      <c r="D681" s="3"/>
      <c r="E681" s="3"/>
      <c r="F681" s="3"/>
      <c r="G681" s="3"/>
      <c r="H681" s="3"/>
      <c r="I681" s="3"/>
      <c r="J681" s="3"/>
      <c r="K681" s="3"/>
      <c r="L681" s="3"/>
      <c r="M681" s="3"/>
      <c r="N681" s="157"/>
      <c r="O681" s="157"/>
      <c r="P681" s="157"/>
      <c r="R681" s="147"/>
      <c r="S681" s="147"/>
      <c r="T681" s="147"/>
      <c r="U681" s="147"/>
      <c r="X681" s="147"/>
      <c r="Y681" s="147"/>
      <c r="Z681" s="147"/>
      <c r="AA681" s="147"/>
      <c r="AB681" s="147"/>
      <c r="AC681" s="147"/>
      <c r="AD681" s="147"/>
      <c r="AE681" s="147"/>
      <c r="AF681" s="147"/>
      <c r="AG681" s="147"/>
      <c r="AH681" s="147"/>
      <c r="AI681" s="147"/>
      <c r="AJ681" s="147"/>
      <c r="AK681" s="147"/>
      <c r="AL681" s="147"/>
      <c r="AM681" s="147"/>
      <c r="AN681" s="147"/>
      <c r="AO681" s="147"/>
      <c r="AP681" s="147"/>
      <c r="AQ681" s="147"/>
    </row>
    <row r="682" spans="1:43">
      <c r="A682" s="3"/>
      <c r="B682" s="3"/>
      <c r="C682" s="3"/>
      <c r="D682" s="3"/>
      <c r="E682" s="3"/>
      <c r="F682" s="3"/>
      <c r="G682" s="3"/>
      <c r="H682" s="3"/>
      <c r="I682" s="3"/>
      <c r="J682" s="3"/>
      <c r="K682" s="3"/>
      <c r="L682" s="3"/>
      <c r="M682" s="3"/>
      <c r="N682" s="157"/>
      <c r="O682" s="157"/>
      <c r="P682" s="157"/>
      <c r="R682" s="147"/>
      <c r="S682" s="147"/>
      <c r="T682" s="147"/>
      <c r="U682" s="147"/>
      <c r="X682" s="147"/>
      <c r="Y682" s="147"/>
      <c r="Z682" s="147"/>
      <c r="AA682" s="147"/>
      <c r="AB682" s="147"/>
      <c r="AC682" s="147"/>
      <c r="AD682" s="147"/>
      <c r="AE682" s="147"/>
      <c r="AF682" s="147"/>
      <c r="AG682" s="147"/>
      <c r="AH682" s="147"/>
      <c r="AI682" s="147"/>
      <c r="AJ682" s="147"/>
      <c r="AK682" s="147"/>
      <c r="AL682" s="147"/>
      <c r="AM682" s="147"/>
      <c r="AN682" s="147"/>
      <c r="AO682" s="147"/>
      <c r="AP682" s="147"/>
      <c r="AQ682" s="147"/>
    </row>
    <row r="683" spans="1:43">
      <c r="A683" s="3"/>
      <c r="B683" s="3"/>
      <c r="C683" s="3"/>
      <c r="D683" s="3"/>
      <c r="E683" s="3"/>
      <c r="F683" s="3"/>
      <c r="G683" s="3"/>
      <c r="H683" s="3"/>
      <c r="I683" s="3"/>
      <c r="J683" s="3"/>
      <c r="K683" s="3"/>
      <c r="L683" s="3"/>
      <c r="M683" s="3"/>
      <c r="N683" s="157"/>
      <c r="O683" s="157"/>
      <c r="P683" s="157"/>
      <c r="R683" s="147"/>
      <c r="S683" s="147"/>
      <c r="T683" s="147"/>
      <c r="U683" s="147"/>
      <c r="X683" s="147"/>
      <c r="Y683" s="147"/>
      <c r="Z683" s="147"/>
      <c r="AA683" s="147"/>
      <c r="AB683" s="147"/>
      <c r="AC683" s="147"/>
      <c r="AD683" s="147"/>
      <c r="AE683" s="147"/>
      <c r="AF683" s="147"/>
      <c r="AG683" s="147"/>
      <c r="AH683" s="147"/>
      <c r="AI683" s="147"/>
      <c r="AJ683" s="147"/>
      <c r="AK683" s="147"/>
      <c r="AL683" s="147"/>
      <c r="AM683" s="147"/>
      <c r="AN683" s="147"/>
      <c r="AO683" s="147"/>
      <c r="AP683" s="147"/>
      <c r="AQ683" s="147"/>
    </row>
    <row r="684" spans="1:43">
      <c r="A684" s="3"/>
      <c r="B684" s="3"/>
      <c r="C684" s="3"/>
      <c r="D684" s="3"/>
      <c r="E684" s="3"/>
      <c r="F684" s="3"/>
      <c r="G684" s="3"/>
      <c r="H684" s="3"/>
      <c r="I684" s="3"/>
      <c r="J684" s="3"/>
      <c r="K684" s="3"/>
      <c r="L684" s="3"/>
      <c r="M684" s="3"/>
      <c r="N684" s="157"/>
      <c r="O684" s="157"/>
      <c r="P684" s="157"/>
      <c r="R684" s="147"/>
      <c r="S684" s="147"/>
      <c r="T684" s="147"/>
      <c r="U684" s="147"/>
      <c r="X684" s="147"/>
      <c r="Y684" s="147"/>
      <c r="Z684" s="147"/>
      <c r="AA684" s="147"/>
      <c r="AB684" s="147"/>
      <c r="AC684" s="147"/>
      <c r="AD684" s="147"/>
      <c r="AE684" s="147"/>
      <c r="AF684" s="147"/>
      <c r="AG684" s="147"/>
      <c r="AH684" s="147"/>
      <c r="AI684" s="147"/>
      <c r="AJ684" s="147"/>
      <c r="AK684" s="147"/>
      <c r="AL684" s="147"/>
      <c r="AM684" s="147"/>
      <c r="AN684" s="147"/>
      <c r="AO684" s="147"/>
      <c r="AP684" s="147"/>
      <c r="AQ684" s="147"/>
    </row>
    <row r="685" spans="1:43">
      <c r="A685" s="3"/>
      <c r="B685" s="3"/>
      <c r="C685" s="3"/>
      <c r="D685" s="3"/>
      <c r="E685" s="3"/>
      <c r="F685" s="3"/>
      <c r="G685" s="3"/>
      <c r="H685" s="3"/>
      <c r="I685" s="3"/>
      <c r="J685" s="3"/>
      <c r="K685" s="3"/>
      <c r="L685" s="3"/>
      <c r="M685" s="3"/>
      <c r="N685" s="157"/>
      <c r="O685" s="157"/>
      <c r="P685" s="157"/>
      <c r="R685" s="147"/>
      <c r="S685" s="147"/>
      <c r="T685" s="147"/>
      <c r="U685" s="147"/>
      <c r="X685" s="147"/>
      <c r="Y685" s="147"/>
      <c r="Z685" s="147"/>
      <c r="AA685" s="147"/>
      <c r="AB685" s="147"/>
      <c r="AC685" s="147"/>
      <c r="AD685" s="147"/>
      <c r="AE685" s="147"/>
      <c r="AF685" s="147"/>
      <c r="AG685" s="147"/>
      <c r="AH685" s="147"/>
      <c r="AI685" s="147"/>
      <c r="AJ685" s="147"/>
      <c r="AK685" s="147"/>
      <c r="AL685" s="147"/>
      <c r="AM685" s="147"/>
      <c r="AN685" s="147"/>
      <c r="AO685" s="147"/>
      <c r="AP685" s="147"/>
      <c r="AQ685" s="147"/>
    </row>
    <row r="686" spans="1:43">
      <c r="A686" s="3"/>
      <c r="B686" s="3"/>
      <c r="C686" s="3"/>
      <c r="D686" s="3"/>
      <c r="E686" s="3"/>
      <c r="F686" s="3"/>
      <c r="G686" s="3"/>
      <c r="H686" s="3"/>
      <c r="I686" s="3"/>
      <c r="J686" s="3"/>
      <c r="K686" s="3"/>
      <c r="L686" s="3"/>
      <c r="M686" s="3"/>
      <c r="N686" s="157"/>
      <c r="O686" s="157"/>
      <c r="P686" s="157"/>
      <c r="R686" s="147"/>
      <c r="S686" s="147"/>
      <c r="T686" s="147"/>
      <c r="U686" s="147"/>
      <c r="X686" s="147"/>
      <c r="Y686" s="147"/>
      <c r="Z686" s="147"/>
      <c r="AA686" s="147"/>
      <c r="AB686" s="147"/>
      <c r="AC686" s="147"/>
      <c r="AD686" s="147"/>
      <c r="AE686" s="147"/>
      <c r="AF686" s="147"/>
      <c r="AG686" s="147"/>
      <c r="AH686" s="147"/>
      <c r="AI686" s="147"/>
      <c r="AJ686" s="147"/>
      <c r="AK686" s="147"/>
      <c r="AL686" s="147"/>
      <c r="AM686" s="147"/>
      <c r="AN686" s="147"/>
      <c r="AO686" s="147"/>
      <c r="AP686" s="147"/>
      <c r="AQ686" s="147"/>
    </row>
    <row r="687" spans="1:43">
      <c r="A687" s="3"/>
      <c r="B687" s="3"/>
      <c r="C687" s="3"/>
      <c r="D687" s="3"/>
      <c r="E687" s="3"/>
      <c r="F687" s="3"/>
      <c r="G687" s="3"/>
      <c r="H687" s="3"/>
      <c r="I687" s="3"/>
      <c r="J687" s="3"/>
      <c r="K687" s="3"/>
      <c r="L687" s="3"/>
      <c r="M687" s="3"/>
      <c r="N687" s="157"/>
      <c r="O687" s="157"/>
      <c r="P687" s="157"/>
      <c r="R687" s="147"/>
      <c r="S687" s="147"/>
      <c r="T687" s="147"/>
      <c r="U687" s="147"/>
      <c r="X687" s="147"/>
      <c r="Y687" s="147"/>
      <c r="Z687" s="147"/>
      <c r="AA687" s="147"/>
      <c r="AB687" s="147"/>
      <c r="AC687" s="147"/>
      <c r="AD687" s="147"/>
      <c r="AE687" s="147"/>
      <c r="AF687" s="147"/>
      <c r="AG687" s="147"/>
      <c r="AH687" s="147"/>
      <c r="AI687" s="147"/>
      <c r="AJ687" s="147"/>
      <c r="AK687" s="147"/>
      <c r="AL687" s="147"/>
      <c r="AM687" s="147"/>
      <c r="AN687" s="147"/>
      <c r="AO687" s="147"/>
      <c r="AP687" s="147"/>
      <c r="AQ687" s="147"/>
    </row>
    <row r="688" spans="1:43">
      <c r="A688" s="3"/>
      <c r="B688" s="3"/>
      <c r="C688" s="3"/>
      <c r="D688" s="3"/>
      <c r="E688" s="3"/>
      <c r="F688" s="3"/>
      <c r="G688" s="3"/>
      <c r="H688" s="3"/>
      <c r="I688" s="3"/>
      <c r="J688" s="3"/>
      <c r="K688" s="3"/>
      <c r="L688" s="3"/>
      <c r="M688" s="3"/>
      <c r="N688" s="157"/>
      <c r="O688" s="157"/>
      <c r="P688" s="157"/>
      <c r="R688" s="147"/>
      <c r="S688" s="147"/>
      <c r="T688" s="147"/>
      <c r="U688" s="147"/>
      <c r="X688" s="147"/>
      <c r="Y688" s="147"/>
      <c r="Z688" s="147"/>
      <c r="AA688" s="147"/>
      <c r="AB688" s="147"/>
      <c r="AC688" s="147"/>
      <c r="AD688" s="147"/>
      <c r="AE688" s="147"/>
      <c r="AF688" s="147"/>
      <c r="AG688" s="147"/>
      <c r="AH688" s="147"/>
      <c r="AI688" s="147"/>
      <c r="AJ688" s="147"/>
      <c r="AK688" s="147"/>
      <c r="AL688" s="147"/>
      <c r="AM688" s="147"/>
      <c r="AN688" s="147"/>
      <c r="AO688" s="147"/>
      <c r="AP688" s="147"/>
      <c r="AQ688" s="147"/>
    </row>
    <row r="689" spans="1:43">
      <c r="A689" s="3"/>
      <c r="B689" s="3"/>
      <c r="C689" s="3"/>
      <c r="D689" s="3"/>
      <c r="E689" s="3"/>
      <c r="F689" s="3"/>
      <c r="G689" s="3"/>
      <c r="H689" s="3"/>
      <c r="I689" s="3"/>
      <c r="J689" s="3"/>
      <c r="K689" s="3"/>
      <c r="L689" s="3"/>
      <c r="M689" s="3"/>
      <c r="N689" s="157"/>
      <c r="O689" s="157"/>
      <c r="P689" s="157"/>
      <c r="R689" s="147"/>
      <c r="S689" s="147"/>
      <c r="T689" s="147"/>
      <c r="U689" s="147"/>
      <c r="X689" s="147"/>
      <c r="Y689" s="147"/>
      <c r="Z689" s="147"/>
      <c r="AA689" s="147"/>
      <c r="AB689" s="147"/>
      <c r="AC689" s="147"/>
      <c r="AD689" s="147"/>
      <c r="AE689" s="147"/>
      <c r="AF689" s="147"/>
      <c r="AG689" s="147"/>
      <c r="AH689" s="147"/>
      <c r="AI689" s="147"/>
      <c r="AJ689" s="147"/>
      <c r="AK689" s="147"/>
      <c r="AL689" s="147"/>
      <c r="AM689" s="147"/>
      <c r="AN689" s="147"/>
      <c r="AO689" s="147"/>
      <c r="AP689" s="147"/>
      <c r="AQ689" s="147"/>
    </row>
    <row r="690" spans="1:43">
      <c r="A690" s="3"/>
      <c r="B690" s="3"/>
      <c r="C690" s="3"/>
      <c r="D690" s="3"/>
      <c r="E690" s="3"/>
      <c r="F690" s="3"/>
      <c r="G690" s="3"/>
      <c r="H690" s="3"/>
      <c r="I690" s="3"/>
      <c r="J690" s="3"/>
      <c r="K690" s="3"/>
      <c r="L690" s="3"/>
      <c r="M690" s="3"/>
      <c r="N690" s="157"/>
      <c r="O690" s="157"/>
      <c r="P690" s="157"/>
      <c r="R690" s="147"/>
      <c r="S690" s="147"/>
      <c r="T690" s="147"/>
      <c r="U690" s="147"/>
      <c r="X690" s="147"/>
      <c r="Y690" s="147"/>
      <c r="Z690" s="147"/>
      <c r="AA690" s="147"/>
      <c r="AB690" s="147"/>
      <c r="AC690" s="147"/>
      <c r="AD690" s="147"/>
      <c r="AE690" s="147"/>
      <c r="AF690" s="147"/>
      <c r="AG690" s="147"/>
      <c r="AH690" s="147"/>
      <c r="AI690" s="147"/>
      <c r="AJ690" s="147"/>
      <c r="AK690" s="147"/>
      <c r="AL690" s="147"/>
      <c r="AM690" s="147"/>
      <c r="AN690" s="147"/>
      <c r="AO690" s="147"/>
      <c r="AP690" s="147"/>
      <c r="AQ690" s="147"/>
    </row>
    <row r="691" spans="1:43">
      <c r="A691" s="3"/>
      <c r="B691" s="3"/>
      <c r="C691" s="3"/>
      <c r="D691" s="3"/>
      <c r="E691" s="3"/>
      <c r="F691" s="3"/>
      <c r="G691" s="3"/>
      <c r="H691" s="3"/>
      <c r="I691" s="3"/>
      <c r="J691" s="3"/>
      <c r="K691" s="3"/>
      <c r="L691" s="3"/>
      <c r="M691" s="3"/>
      <c r="N691" s="157"/>
      <c r="O691" s="157"/>
      <c r="P691" s="157"/>
      <c r="R691" s="147"/>
      <c r="S691" s="147"/>
      <c r="T691" s="147"/>
      <c r="U691" s="147"/>
      <c r="X691" s="147"/>
      <c r="Y691" s="147"/>
      <c r="Z691" s="147"/>
      <c r="AA691" s="147"/>
      <c r="AB691" s="147"/>
      <c r="AC691" s="147"/>
      <c r="AD691" s="147"/>
      <c r="AE691" s="147"/>
      <c r="AF691" s="147"/>
      <c r="AG691" s="147"/>
      <c r="AH691" s="147"/>
      <c r="AI691" s="147"/>
      <c r="AJ691" s="147"/>
      <c r="AK691" s="147"/>
      <c r="AL691" s="147"/>
      <c r="AM691" s="147"/>
      <c r="AN691" s="147"/>
      <c r="AO691" s="147"/>
      <c r="AP691" s="147"/>
      <c r="AQ691" s="147"/>
    </row>
    <row r="692" spans="1:43">
      <c r="A692" s="3"/>
      <c r="B692" s="3"/>
      <c r="C692" s="3"/>
      <c r="D692" s="3"/>
      <c r="E692" s="3"/>
      <c r="F692" s="3"/>
      <c r="G692" s="3"/>
      <c r="H692" s="3"/>
      <c r="I692" s="3"/>
      <c r="J692" s="3"/>
      <c r="K692" s="3"/>
      <c r="L692" s="3"/>
      <c r="M692" s="3"/>
      <c r="N692" s="157"/>
      <c r="O692" s="157"/>
      <c r="P692" s="157"/>
      <c r="R692" s="147"/>
      <c r="S692" s="147"/>
      <c r="T692" s="147"/>
      <c r="U692" s="147"/>
      <c r="X692" s="147"/>
      <c r="Y692" s="147"/>
      <c r="Z692" s="147"/>
      <c r="AA692" s="147"/>
      <c r="AB692" s="147"/>
      <c r="AC692" s="147"/>
      <c r="AD692" s="147"/>
      <c r="AE692" s="147"/>
      <c r="AF692" s="147"/>
      <c r="AG692" s="147"/>
      <c r="AH692" s="147"/>
      <c r="AI692" s="147"/>
      <c r="AJ692" s="147"/>
      <c r="AK692" s="147"/>
      <c r="AL692" s="147"/>
      <c r="AM692" s="147"/>
      <c r="AN692" s="147"/>
      <c r="AO692" s="147"/>
      <c r="AP692" s="147"/>
      <c r="AQ692" s="147"/>
    </row>
    <row r="693" spans="1:43">
      <c r="A693" s="3"/>
      <c r="B693" s="3"/>
      <c r="C693" s="3"/>
      <c r="D693" s="3"/>
      <c r="E693" s="3"/>
      <c r="F693" s="3"/>
      <c r="G693" s="3"/>
      <c r="H693" s="3"/>
      <c r="I693" s="3"/>
      <c r="J693" s="3"/>
      <c r="K693" s="3"/>
      <c r="L693" s="3"/>
      <c r="M693" s="3"/>
      <c r="N693" s="157"/>
      <c r="O693" s="157"/>
      <c r="P693" s="157"/>
      <c r="R693" s="147"/>
      <c r="S693" s="147"/>
      <c r="T693" s="147"/>
      <c r="U693" s="147"/>
      <c r="X693" s="147"/>
      <c r="Y693" s="147"/>
      <c r="Z693" s="147"/>
      <c r="AA693" s="147"/>
      <c r="AB693" s="147"/>
      <c r="AC693" s="147"/>
      <c r="AD693" s="147"/>
      <c r="AE693" s="147"/>
      <c r="AF693" s="147"/>
      <c r="AG693" s="147"/>
      <c r="AH693" s="147"/>
      <c r="AI693" s="147"/>
      <c r="AJ693" s="147"/>
      <c r="AK693" s="147"/>
      <c r="AL693" s="147"/>
      <c r="AM693" s="147"/>
      <c r="AN693" s="147"/>
      <c r="AO693" s="147"/>
      <c r="AP693" s="147"/>
      <c r="AQ693" s="147"/>
    </row>
    <row r="694" spans="1:43">
      <c r="A694" s="3"/>
      <c r="B694" s="3"/>
      <c r="C694" s="3"/>
      <c r="D694" s="3"/>
      <c r="E694" s="3"/>
      <c r="F694" s="3"/>
      <c r="G694" s="3"/>
      <c r="H694" s="3"/>
      <c r="I694" s="3"/>
      <c r="J694" s="3"/>
      <c r="K694" s="3"/>
      <c r="L694" s="3"/>
      <c r="M694" s="3"/>
      <c r="N694" s="157"/>
      <c r="O694" s="157"/>
      <c r="P694" s="157"/>
      <c r="R694" s="147"/>
      <c r="S694" s="147"/>
      <c r="T694" s="147"/>
      <c r="U694" s="147"/>
      <c r="X694" s="147"/>
      <c r="Y694" s="147"/>
      <c r="Z694" s="147"/>
      <c r="AA694" s="147"/>
      <c r="AB694" s="147"/>
      <c r="AC694" s="147"/>
      <c r="AD694" s="147"/>
      <c r="AE694" s="147"/>
      <c r="AF694" s="147"/>
      <c r="AG694" s="147"/>
      <c r="AH694" s="147"/>
      <c r="AI694" s="147"/>
      <c r="AJ694" s="147"/>
      <c r="AK694" s="147"/>
      <c r="AL694" s="147"/>
      <c r="AM694" s="147"/>
      <c r="AN694" s="147"/>
      <c r="AO694" s="147"/>
      <c r="AP694" s="147"/>
      <c r="AQ694" s="147"/>
    </row>
    <row r="695" spans="1:43">
      <c r="A695" s="3"/>
      <c r="B695" s="3"/>
      <c r="C695" s="3"/>
      <c r="D695" s="3"/>
      <c r="E695" s="3"/>
      <c r="F695" s="3"/>
      <c r="G695" s="3"/>
      <c r="H695" s="3"/>
      <c r="I695" s="3"/>
      <c r="J695" s="3"/>
      <c r="K695" s="3"/>
      <c r="L695" s="3"/>
      <c r="M695" s="3"/>
      <c r="N695" s="157"/>
      <c r="O695" s="157"/>
      <c r="P695" s="157"/>
      <c r="R695" s="147"/>
      <c r="S695" s="147"/>
      <c r="T695" s="147"/>
      <c r="U695" s="147"/>
      <c r="X695" s="147"/>
      <c r="Y695" s="147"/>
      <c r="Z695" s="147"/>
      <c r="AA695" s="147"/>
      <c r="AB695" s="147"/>
      <c r="AC695" s="147"/>
      <c r="AD695" s="147"/>
      <c r="AE695" s="147"/>
      <c r="AF695" s="147"/>
      <c r="AG695" s="147"/>
      <c r="AH695" s="147"/>
      <c r="AI695" s="147"/>
      <c r="AJ695" s="147"/>
      <c r="AK695" s="147"/>
      <c r="AL695" s="147"/>
      <c r="AM695" s="147"/>
      <c r="AN695" s="147"/>
      <c r="AO695" s="147"/>
      <c r="AP695" s="147"/>
      <c r="AQ695" s="147"/>
    </row>
    <row r="696" spans="1:43">
      <c r="A696" s="3"/>
      <c r="B696" s="3"/>
      <c r="C696" s="3"/>
      <c r="D696" s="3"/>
      <c r="E696" s="3"/>
      <c r="F696" s="3"/>
      <c r="G696" s="3"/>
      <c r="H696" s="3"/>
      <c r="I696" s="3"/>
      <c r="J696" s="3"/>
      <c r="K696" s="3"/>
      <c r="L696" s="3"/>
      <c r="M696" s="3"/>
      <c r="N696" s="157"/>
      <c r="O696" s="157"/>
      <c r="P696" s="157"/>
      <c r="R696" s="147"/>
      <c r="S696" s="147"/>
      <c r="T696" s="147"/>
      <c r="U696" s="147"/>
      <c r="X696" s="147"/>
      <c r="Y696" s="147"/>
      <c r="Z696" s="147"/>
      <c r="AA696" s="147"/>
      <c r="AB696" s="147"/>
      <c r="AC696" s="147"/>
      <c r="AD696" s="147"/>
      <c r="AE696" s="147"/>
      <c r="AF696" s="147"/>
      <c r="AG696" s="147"/>
      <c r="AH696" s="147"/>
      <c r="AI696" s="147"/>
      <c r="AJ696" s="147"/>
      <c r="AK696" s="147"/>
      <c r="AL696" s="147"/>
      <c r="AM696" s="147"/>
      <c r="AN696" s="147"/>
      <c r="AO696" s="147"/>
      <c r="AP696" s="147"/>
      <c r="AQ696" s="147"/>
    </row>
    <row r="697" spans="1:43">
      <c r="A697" s="3"/>
      <c r="B697" s="3"/>
      <c r="C697" s="3"/>
      <c r="D697" s="3"/>
      <c r="E697" s="3"/>
      <c r="F697" s="3"/>
      <c r="G697" s="3"/>
      <c r="H697" s="3"/>
      <c r="I697" s="3"/>
      <c r="J697" s="3"/>
      <c r="K697" s="3"/>
      <c r="L697" s="3"/>
      <c r="M697" s="3"/>
      <c r="N697" s="157"/>
      <c r="O697" s="157"/>
      <c r="P697" s="157"/>
      <c r="R697" s="147"/>
      <c r="S697" s="147"/>
      <c r="T697" s="147"/>
      <c r="U697" s="147"/>
      <c r="X697" s="147"/>
      <c r="Y697" s="147"/>
      <c r="Z697" s="147"/>
      <c r="AA697" s="147"/>
      <c r="AB697" s="147"/>
      <c r="AC697" s="147"/>
      <c r="AD697" s="147"/>
      <c r="AE697" s="147"/>
      <c r="AF697" s="147"/>
      <c r="AG697" s="147"/>
      <c r="AH697" s="147"/>
      <c r="AI697" s="147"/>
      <c r="AJ697" s="147"/>
      <c r="AK697" s="147"/>
      <c r="AL697" s="147"/>
      <c r="AM697" s="147"/>
      <c r="AN697" s="147"/>
      <c r="AO697" s="147"/>
      <c r="AP697" s="147"/>
      <c r="AQ697" s="147"/>
    </row>
    <row r="698" spans="1:43">
      <c r="A698" s="3"/>
      <c r="B698" s="3"/>
      <c r="C698" s="3"/>
      <c r="D698" s="3"/>
      <c r="E698" s="3"/>
      <c r="F698" s="3"/>
      <c r="G698" s="3"/>
      <c r="H698" s="3"/>
      <c r="I698" s="3"/>
      <c r="J698" s="3"/>
      <c r="K698" s="3"/>
      <c r="L698" s="3"/>
      <c r="M698" s="3"/>
      <c r="N698" s="157"/>
      <c r="O698" s="157"/>
      <c r="P698" s="157"/>
      <c r="R698" s="147"/>
      <c r="S698" s="147"/>
      <c r="T698" s="147"/>
      <c r="U698" s="147"/>
      <c r="X698" s="147"/>
      <c r="Y698" s="147"/>
      <c r="Z698" s="147"/>
      <c r="AA698" s="147"/>
      <c r="AB698" s="147"/>
      <c r="AC698" s="147"/>
      <c r="AD698" s="147"/>
      <c r="AE698" s="147"/>
      <c r="AF698" s="147"/>
      <c r="AG698" s="147"/>
      <c r="AH698" s="147"/>
      <c r="AI698" s="147"/>
      <c r="AJ698" s="147"/>
      <c r="AK698" s="147"/>
      <c r="AL698" s="147"/>
      <c r="AM698" s="147"/>
      <c r="AN698" s="147"/>
      <c r="AO698" s="147"/>
      <c r="AP698" s="147"/>
      <c r="AQ698" s="147"/>
    </row>
    <row r="699" spans="1:43">
      <c r="A699" s="3"/>
      <c r="B699" s="3"/>
      <c r="C699" s="3"/>
      <c r="D699" s="3"/>
      <c r="E699" s="3"/>
      <c r="F699" s="3"/>
      <c r="G699" s="3"/>
      <c r="H699" s="3"/>
      <c r="I699" s="3"/>
      <c r="J699" s="3"/>
      <c r="K699" s="3"/>
      <c r="L699" s="3"/>
      <c r="M699" s="3"/>
      <c r="N699" s="157"/>
      <c r="O699" s="157"/>
      <c r="P699" s="157"/>
      <c r="R699" s="147"/>
      <c r="S699" s="147"/>
      <c r="T699" s="147"/>
      <c r="U699" s="147"/>
      <c r="X699" s="147"/>
      <c r="Y699" s="147"/>
      <c r="Z699" s="147"/>
      <c r="AA699" s="147"/>
      <c r="AB699" s="147"/>
      <c r="AC699" s="147"/>
      <c r="AD699" s="147"/>
      <c r="AE699" s="147"/>
      <c r="AF699" s="147"/>
      <c r="AG699" s="147"/>
      <c r="AH699" s="147"/>
      <c r="AI699" s="147"/>
      <c r="AJ699" s="147"/>
      <c r="AK699" s="147"/>
      <c r="AL699" s="147"/>
      <c r="AM699" s="147"/>
      <c r="AN699" s="147"/>
      <c r="AO699" s="147"/>
      <c r="AP699" s="147"/>
      <c r="AQ699" s="147"/>
    </row>
    <row r="700" spans="1:43">
      <c r="A700" s="3"/>
      <c r="B700" s="3"/>
      <c r="C700" s="3"/>
      <c r="D700" s="3"/>
      <c r="E700" s="3"/>
      <c r="F700" s="3"/>
      <c r="G700" s="3"/>
      <c r="H700" s="3"/>
      <c r="I700" s="3"/>
      <c r="J700" s="3"/>
      <c r="K700" s="3"/>
      <c r="L700" s="3"/>
      <c r="M700" s="3"/>
      <c r="N700" s="157"/>
      <c r="O700" s="157"/>
      <c r="P700" s="157"/>
      <c r="R700" s="147"/>
      <c r="S700" s="147"/>
      <c r="T700" s="147"/>
      <c r="U700" s="147"/>
      <c r="X700" s="147"/>
      <c r="Y700" s="147"/>
      <c r="Z700" s="147"/>
      <c r="AA700" s="147"/>
      <c r="AB700" s="147"/>
      <c r="AC700" s="147"/>
      <c r="AD700" s="147"/>
      <c r="AE700" s="147"/>
      <c r="AF700" s="147"/>
      <c r="AG700" s="147"/>
      <c r="AH700" s="147"/>
      <c r="AI700" s="147"/>
      <c r="AJ700" s="147"/>
      <c r="AK700" s="147"/>
      <c r="AL700" s="147"/>
      <c r="AM700" s="147"/>
      <c r="AN700" s="147"/>
      <c r="AO700" s="147"/>
      <c r="AP700" s="147"/>
      <c r="AQ700" s="147"/>
    </row>
    <row r="701" spans="1:43">
      <c r="A701" s="3"/>
      <c r="B701" s="3"/>
      <c r="C701" s="3"/>
      <c r="D701" s="3"/>
      <c r="E701" s="3"/>
      <c r="F701" s="3"/>
      <c r="G701" s="3"/>
      <c r="H701" s="3"/>
      <c r="I701" s="3"/>
      <c r="J701" s="3"/>
      <c r="K701" s="3"/>
      <c r="L701" s="3"/>
      <c r="M701" s="3"/>
      <c r="N701" s="157"/>
      <c r="O701" s="157"/>
      <c r="P701" s="157"/>
      <c r="R701" s="147"/>
      <c r="S701" s="147"/>
      <c r="T701" s="147"/>
      <c r="U701" s="147"/>
      <c r="X701" s="147"/>
      <c r="Y701" s="147"/>
      <c r="Z701" s="147"/>
      <c r="AA701" s="147"/>
      <c r="AB701" s="147"/>
      <c r="AC701" s="147"/>
      <c r="AD701" s="147"/>
      <c r="AE701" s="147"/>
      <c r="AF701" s="147"/>
      <c r="AG701" s="147"/>
      <c r="AH701" s="147"/>
      <c r="AI701" s="147"/>
      <c r="AJ701" s="147"/>
      <c r="AK701" s="147"/>
      <c r="AL701" s="147"/>
      <c r="AM701" s="147"/>
      <c r="AN701" s="147"/>
      <c r="AO701" s="147"/>
      <c r="AP701" s="147"/>
      <c r="AQ701" s="147"/>
    </row>
    <row r="702" spans="1:43">
      <c r="A702" s="3"/>
      <c r="B702" s="3"/>
      <c r="C702" s="3"/>
      <c r="D702" s="3"/>
      <c r="E702" s="3"/>
      <c r="F702" s="3"/>
      <c r="G702" s="3"/>
      <c r="H702" s="3"/>
      <c r="I702" s="3"/>
      <c r="J702" s="3"/>
      <c r="K702" s="3"/>
      <c r="L702" s="3"/>
      <c r="M702" s="3"/>
      <c r="N702" s="157"/>
      <c r="O702" s="157"/>
      <c r="P702" s="157"/>
      <c r="R702" s="147"/>
      <c r="S702" s="147"/>
      <c r="T702" s="147"/>
      <c r="U702" s="147"/>
      <c r="X702" s="147"/>
      <c r="Y702" s="147"/>
      <c r="Z702" s="147"/>
      <c r="AA702" s="147"/>
      <c r="AB702" s="147"/>
      <c r="AC702" s="147"/>
      <c r="AD702" s="147"/>
      <c r="AE702" s="147"/>
      <c r="AF702" s="147"/>
      <c r="AG702" s="147"/>
      <c r="AH702" s="147"/>
      <c r="AI702" s="147"/>
      <c r="AJ702" s="147"/>
      <c r="AK702" s="147"/>
      <c r="AL702" s="147"/>
      <c r="AM702" s="147"/>
      <c r="AN702" s="147"/>
      <c r="AO702" s="147"/>
      <c r="AP702" s="147"/>
      <c r="AQ702" s="147"/>
    </row>
    <row r="703" spans="1:43">
      <c r="A703" s="3"/>
      <c r="B703" s="3"/>
      <c r="C703" s="3"/>
      <c r="D703" s="3"/>
      <c r="E703" s="3"/>
      <c r="F703" s="3"/>
      <c r="G703" s="3"/>
      <c r="H703" s="3"/>
      <c r="I703" s="3"/>
      <c r="J703" s="3"/>
      <c r="K703" s="3"/>
      <c r="L703" s="3"/>
      <c r="M703" s="3"/>
      <c r="N703" s="157"/>
      <c r="O703" s="157"/>
      <c r="P703" s="157"/>
      <c r="R703" s="147"/>
      <c r="S703" s="147"/>
      <c r="T703" s="147"/>
      <c r="U703" s="147"/>
      <c r="X703" s="147"/>
      <c r="Y703" s="147"/>
      <c r="Z703" s="147"/>
      <c r="AA703" s="147"/>
      <c r="AB703" s="147"/>
      <c r="AC703" s="147"/>
      <c r="AD703" s="147"/>
      <c r="AE703" s="147"/>
      <c r="AF703" s="147"/>
      <c r="AG703" s="147"/>
      <c r="AH703" s="147"/>
      <c r="AI703" s="147"/>
      <c r="AJ703" s="147"/>
      <c r="AK703" s="147"/>
      <c r="AL703" s="147"/>
      <c r="AM703" s="147"/>
      <c r="AN703" s="147"/>
      <c r="AO703" s="147"/>
      <c r="AP703" s="147"/>
      <c r="AQ703" s="147"/>
    </row>
    <row r="704" spans="1:43">
      <c r="A704" s="3"/>
      <c r="B704" s="3"/>
      <c r="C704" s="3"/>
      <c r="D704" s="3"/>
      <c r="E704" s="3"/>
      <c r="F704" s="3"/>
      <c r="G704" s="3"/>
      <c r="H704" s="3"/>
      <c r="I704" s="3"/>
      <c r="J704" s="3"/>
      <c r="K704" s="3"/>
      <c r="L704" s="3"/>
      <c r="M704" s="3"/>
      <c r="N704" s="157"/>
      <c r="O704" s="157"/>
      <c r="P704" s="157"/>
      <c r="R704" s="147"/>
      <c r="S704" s="147"/>
      <c r="T704" s="147"/>
      <c r="U704" s="147"/>
      <c r="X704" s="147"/>
      <c r="Y704" s="147"/>
      <c r="Z704" s="147"/>
      <c r="AA704" s="147"/>
      <c r="AB704" s="147"/>
      <c r="AC704" s="147"/>
      <c r="AD704" s="147"/>
      <c r="AE704" s="147"/>
      <c r="AF704" s="147"/>
      <c r="AG704" s="147"/>
      <c r="AH704" s="147"/>
      <c r="AI704" s="147"/>
      <c r="AJ704" s="147"/>
      <c r="AK704" s="147"/>
      <c r="AL704" s="147"/>
      <c r="AM704" s="147"/>
      <c r="AN704" s="147"/>
      <c r="AO704" s="147"/>
      <c r="AP704" s="147"/>
      <c r="AQ704" s="147"/>
    </row>
    <row r="705" spans="1:43">
      <c r="A705" s="3"/>
      <c r="B705" s="3"/>
      <c r="C705" s="3"/>
      <c r="D705" s="3"/>
      <c r="E705" s="3"/>
      <c r="F705" s="3"/>
      <c r="G705" s="3"/>
      <c r="H705" s="3"/>
      <c r="I705" s="3"/>
      <c r="J705" s="3"/>
      <c r="K705" s="3"/>
      <c r="L705" s="3"/>
      <c r="M705" s="3"/>
      <c r="N705" s="157"/>
      <c r="O705" s="157"/>
      <c r="P705" s="157"/>
      <c r="R705" s="147"/>
      <c r="S705" s="147"/>
      <c r="T705" s="147"/>
      <c r="U705" s="147"/>
      <c r="X705" s="147"/>
      <c r="Y705" s="147"/>
      <c r="Z705" s="147"/>
      <c r="AA705" s="147"/>
      <c r="AB705" s="147"/>
      <c r="AC705" s="147"/>
      <c r="AD705" s="147"/>
      <c r="AE705" s="147"/>
      <c r="AF705" s="147"/>
      <c r="AG705" s="147"/>
      <c r="AH705" s="147"/>
      <c r="AI705" s="147"/>
      <c r="AJ705" s="147"/>
      <c r="AK705" s="147"/>
      <c r="AL705" s="147"/>
      <c r="AM705" s="147"/>
      <c r="AN705" s="147"/>
      <c r="AO705" s="147"/>
      <c r="AP705" s="147"/>
      <c r="AQ705" s="147"/>
    </row>
    <row r="706" spans="1:43">
      <c r="A706" s="3"/>
      <c r="B706" s="3"/>
      <c r="C706" s="3"/>
      <c r="D706" s="3"/>
      <c r="E706" s="3"/>
      <c r="F706" s="3"/>
      <c r="G706" s="3"/>
      <c r="H706" s="3"/>
      <c r="I706" s="3"/>
      <c r="J706" s="3"/>
      <c r="K706" s="3"/>
      <c r="L706" s="3"/>
      <c r="M706" s="3"/>
      <c r="N706" s="157"/>
      <c r="O706" s="157"/>
      <c r="P706" s="157"/>
      <c r="R706" s="147"/>
      <c r="S706" s="147"/>
      <c r="T706" s="147"/>
      <c r="U706" s="147"/>
      <c r="X706" s="147"/>
      <c r="Y706" s="147"/>
      <c r="Z706" s="147"/>
      <c r="AA706" s="147"/>
      <c r="AB706" s="147"/>
      <c r="AC706" s="147"/>
      <c r="AD706" s="147"/>
      <c r="AE706" s="147"/>
      <c r="AF706" s="147"/>
      <c r="AG706" s="147"/>
      <c r="AH706" s="147"/>
      <c r="AI706" s="147"/>
      <c r="AJ706" s="147"/>
      <c r="AK706" s="147"/>
      <c r="AL706" s="147"/>
      <c r="AM706" s="147"/>
      <c r="AN706" s="147"/>
      <c r="AO706" s="147"/>
      <c r="AP706" s="147"/>
      <c r="AQ706" s="147"/>
    </row>
    <row r="707" spans="1:43">
      <c r="A707" s="3"/>
      <c r="B707" s="3"/>
      <c r="C707" s="3"/>
      <c r="D707" s="3"/>
      <c r="E707" s="3"/>
      <c r="F707" s="3"/>
      <c r="G707" s="3"/>
      <c r="H707" s="3"/>
      <c r="I707" s="3"/>
      <c r="J707" s="3"/>
      <c r="K707" s="3"/>
      <c r="L707" s="3"/>
      <c r="M707" s="3"/>
      <c r="N707" s="157"/>
      <c r="O707" s="157"/>
      <c r="P707" s="157"/>
      <c r="R707" s="147"/>
      <c r="S707" s="147"/>
      <c r="T707" s="147"/>
      <c r="U707" s="147"/>
      <c r="X707" s="147"/>
      <c r="Y707" s="147"/>
      <c r="Z707" s="147"/>
      <c r="AA707" s="147"/>
      <c r="AB707" s="147"/>
      <c r="AC707" s="147"/>
      <c r="AD707" s="147"/>
      <c r="AE707" s="147"/>
      <c r="AF707" s="147"/>
      <c r="AG707" s="147"/>
      <c r="AH707" s="147"/>
      <c r="AI707" s="147"/>
      <c r="AJ707" s="147"/>
      <c r="AK707" s="147"/>
      <c r="AL707" s="147"/>
      <c r="AM707" s="147"/>
      <c r="AN707" s="147"/>
      <c r="AO707" s="147"/>
      <c r="AP707" s="147"/>
      <c r="AQ707" s="147"/>
    </row>
    <row r="708" spans="1:43">
      <c r="A708" s="3"/>
      <c r="B708" s="3"/>
      <c r="C708" s="3"/>
      <c r="D708" s="3"/>
      <c r="E708" s="3"/>
      <c r="F708" s="3"/>
      <c r="G708" s="3"/>
      <c r="H708" s="3"/>
      <c r="I708" s="3"/>
      <c r="J708" s="3"/>
      <c r="K708" s="3"/>
      <c r="L708" s="3"/>
      <c r="M708" s="3"/>
      <c r="N708" s="157"/>
      <c r="O708" s="157"/>
      <c r="P708" s="157"/>
      <c r="R708" s="147"/>
      <c r="S708" s="147"/>
      <c r="T708" s="147"/>
      <c r="U708" s="147"/>
      <c r="X708" s="147"/>
      <c r="Y708" s="147"/>
      <c r="Z708" s="147"/>
      <c r="AA708" s="147"/>
      <c r="AB708" s="147"/>
      <c r="AC708" s="147"/>
      <c r="AD708" s="147"/>
      <c r="AE708" s="147"/>
      <c r="AF708" s="147"/>
      <c r="AG708" s="147"/>
      <c r="AH708" s="147"/>
      <c r="AI708" s="147"/>
      <c r="AJ708" s="147"/>
      <c r="AK708" s="147"/>
      <c r="AL708" s="147"/>
      <c r="AM708" s="147"/>
      <c r="AN708" s="147"/>
      <c r="AO708" s="147"/>
      <c r="AP708" s="147"/>
      <c r="AQ708" s="147"/>
    </row>
    <row r="709" spans="1:43">
      <c r="A709" s="3"/>
      <c r="B709" s="3"/>
      <c r="C709" s="3"/>
      <c r="D709" s="3"/>
      <c r="E709" s="3"/>
      <c r="F709" s="3"/>
      <c r="G709" s="3"/>
      <c r="H709" s="3"/>
      <c r="I709" s="3"/>
      <c r="J709" s="3"/>
      <c r="K709" s="3"/>
      <c r="L709" s="3"/>
      <c r="M709" s="3"/>
      <c r="N709" s="157"/>
      <c r="O709" s="157"/>
      <c r="P709" s="157"/>
      <c r="R709" s="147"/>
      <c r="S709" s="147"/>
      <c r="T709" s="147"/>
      <c r="U709" s="147"/>
      <c r="X709" s="147"/>
      <c r="Y709" s="147"/>
      <c r="Z709" s="147"/>
      <c r="AA709" s="147"/>
      <c r="AB709" s="147"/>
      <c r="AC709" s="147"/>
      <c r="AD709" s="147"/>
      <c r="AE709" s="147"/>
      <c r="AF709" s="147"/>
      <c r="AG709" s="147"/>
      <c r="AH709" s="147"/>
      <c r="AI709" s="147"/>
      <c r="AJ709" s="147"/>
      <c r="AK709" s="147"/>
      <c r="AL709" s="147"/>
      <c r="AM709" s="147"/>
      <c r="AN709" s="147"/>
      <c r="AO709" s="147"/>
      <c r="AP709" s="147"/>
      <c r="AQ709" s="147"/>
    </row>
    <row r="710" spans="1:43">
      <c r="A710" s="3"/>
      <c r="B710" s="3"/>
      <c r="C710" s="3"/>
      <c r="D710" s="3"/>
      <c r="E710" s="3"/>
      <c r="F710" s="3"/>
      <c r="G710" s="3"/>
      <c r="H710" s="3"/>
      <c r="I710" s="3"/>
      <c r="J710" s="3"/>
      <c r="K710" s="3"/>
      <c r="L710" s="3"/>
      <c r="M710" s="3"/>
      <c r="N710" s="157"/>
      <c r="O710" s="157"/>
      <c r="P710" s="157"/>
      <c r="R710" s="147"/>
      <c r="S710" s="147"/>
      <c r="T710" s="147"/>
      <c r="U710" s="147"/>
      <c r="X710" s="147"/>
      <c r="Y710" s="147"/>
      <c r="Z710" s="147"/>
      <c r="AA710" s="147"/>
      <c r="AB710" s="147"/>
      <c r="AC710" s="147"/>
      <c r="AD710" s="147"/>
      <c r="AE710" s="147"/>
      <c r="AF710" s="147"/>
      <c r="AG710" s="147"/>
      <c r="AH710" s="147"/>
      <c r="AI710" s="147"/>
      <c r="AJ710" s="147"/>
      <c r="AK710" s="147"/>
      <c r="AL710" s="147"/>
      <c r="AM710" s="147"/>
      <c r="AN710" s="147"/>
      <c r="AO710" s="147"/>
      <c r="AP710" s="147"/>
      <c r="AQ710" s="147"/>
    </row>
    <row r="711" spans="1:43">
      <c r="A711" s="3"/>
      <c r="B711" s="3"/>
      <c r="C711" s="3"/>
      <c r="D711" s="3"/>
      <c r="E711" s="3"/>
      <c r="F711" s="3"/>
      <c r="G711" s="3"/>
      <c r="H711" s="3"/>
      <c r="I711" s="3"/>
      <c r="J711" s="3"/>
      <c r="K711" s="3"/>
      <c r="L711" s="3"/>
      <c r="M711" s="3"/>
      <c r="N711" s="157"/>
      <c r="O711" s="157"/>
      <c r="P711" s="157"/>
      <c r="R711" s="147"/>
      <c r="S711" s="147"/>
      <c r="T711" s="147"/>
      <c r="U711" s="147"/>
      <c r="X711" s="147"/>
      <c r="Y711" s="147"/>
      <c r="Z711" s="147"/>
      <c r="AA711" s="147"/>
      <c r="AB711" s="147"/>
      <c r="AC711" s="147"/>
      <c r="AD711" s="147"/>
      <c r="AE711" s="147"/>
      <c r="AF711" s="147"/>
      <c r="AG711" s="147"/>
      <c r="AH711" s="147"/>
      <c r="AI711" s="147"/>
      <c r="AJ711" s="147"/>
      <c r="AK711" s="147"/>
      <c r="AL711" s="147"/>
      <c r="AM711" s="147"/>
      <c r="AN711" s="147"/>
      <c r="AO711" s="147"/>
      <c r="AP711" s="147"/>
      <c r="AQ711" s="147"/>
    </row>
    <row r="712" spans="1:43">
      <c r="A712" s="3"/>
      <c r="B712" s="3"/>
      <c r="C712" s="3"/>
      <c r="D712" s="3"/>
      <c r="E712" s="3"/>
      <c r="F712" s="3"/>
      <c r="G712" s="3"/>
      <c r="H712" s="3"/>
      <c r="I712" s="3"/>
      <c r="J712" s="3"/>
      <c r="K712" s="3"/>
      <c r="L712" s="3"/>
      <c r="M712" s="3"/>
      <c r="N712" s="157"/>
      <c r="O712" s="157"/>
      <c r="P712" s="157"/>
      <c r="R712" s="147"/>
      <c r="S712" s="147"/>
      <c r="T712" s="147"/>
      <c r="U712" s="147"/>
      <c r="X712" s="147"/>
      <c r="Y712" s="147"/>
      <c r="Z712" s="147"/>
      <c r="AA712" s="147"/>
      <c r="AB712" s="147"/>
      <c r="AC712" s="147"/>
      <c r="AD712" s="147"/>
      <c r="AE712" s="147"/>
      <c r="AF712" s="147"/>
      <c r="AG712" s="147"/>
      <c r="AH712" s="147"/>
      <c r="AI712" s="147"/>
      <c r="AJ712" s="147"/>
      <c r="AK712" s="147"/>
      <c r="AL712" s="147"/>
      <c r="AM712" s="147"/>
      <c r="AN712" s="147"/>
      <c r="AO712" s="147"/>
      <c r="AP712" s="147"/>
      <c r="AQ712" s="147"/>
    </row>
    <row r="713" spans="1:43">
      <c r="A713" s="3"/>
      <c r="B713" s="3"/>
      <c r="C713" s="3"/>
      <c r="D713" s="3"/>
      <c r="E713" s="3"/>
      <c r="F713" s="3"/>
      <c r="G713" s="3"/>
      <c r="H713" s="3"/>
      <c r="I713" s="3"/>
      <c r="J713" s="3"/>
      <c r="K713" s="3"/>
      <c r="L713" s="3"/>
      <c r="M713" s="3"/>
      <c r="N713" s="157"/>
      <c r="O713" s="157"/>
      <c r="P713" s="157"/>
      <c r="R713" s="147"/>
      <c r="S713" s="147"/>
      <c r="T713" s="147"/>
      <c r="U713" s="147"/>
      <c r="X713" s="147"/>
      <c r="Y713" s="147"/>
      <c r="Z713" s="147"/>
      <c r="AA713" s="147"/>
      <c r="AB713" s="147"/>
      <c r="AC713" s="147"/>
      <c r="AD713" s="147"/>
      <c r="AE713" s="147"/>
      <c r="AF713" s="147"/>
      <c r="AG713" s="147"/>
      <c r="AH713" s="147"/>
      <c r="AI713" s="147"/>
      <c r="AJ713" s="147"/>
      <c r="AK713" s="147"/>
      <c r="AL713" s="147"/>
      <c r="AM713" s="147"/>
      <c r="AN713" s="147"/>
      <c r="AO713" s="147"/>
      <c r="AP713" s="147"/>
      <c r="AQ713" s="147"/>
    </row>
    <row r="714" spans="1:43">
      <c r="A714" s="3"/>
      <c r="B714" s="3"/>
      <c r="C714" s="3"/>
      <c r="D714" s="3"/>
      <c r="E714" s="3"/>
      <c r="F714" s="3"/>
      <c r="G714" s="3"/>
      <c r="H714" s="3"/>
      <c r="I714" s="3"/>
      <c r="J714" s="3"/>
      <c r="K714" s="3"/>
      <c r="L714" s="3"/>
      <c r="M714" s="3"/>
      <c r="N714" s="157"/>
      <c r="O714" s="157"/>
      <c r="P714" s="157"/>
      <c r="R714" s="147"/>
      <c r="S714" s="147"/>
      <c r="T714" s="147"/>
      <c r="U714" s="147"/>
      <c r="X714" s="147"/>
      <c r="Y714" s="147"/>
      <c r="Z714" s="147"/>
      <c r="AA714" s="147"/>
      <c r="AB714" s="147"/>
      <c r="AC714" s="147"/>
      <c r="AD714" s="147"/>
      <c r="AE714" s="147"/>
      <c r="AF714" s="147"/>
      <c r="AG714" s="147"/>
      <c r="AH714" s="147"/>
      <c r="AI714" s="147"/>
      <c r="AJ714" s="147"/>
      <c r="AK714" s="147"/>
      <c r="AL714" s="147"/>
      <c r="AM714" s="147"/>
      <c r="AN714" s="147"/>
      <c r="AO714" s="147"/>
      <c r="AP714" s="147"/>
      <c r="AQ714" s="147"/>
    </row>
    <row r="715" spans="1:43">
      <c r="A715" s="3"/>
      <c r="B715" s="3"/>
      <c r="C715" s="3"/>
      <c r="D715" s="3"/>
      <c r="E715" s="3"/>
      <c r="F715" s="3"/>
      <c r="G715" s="3"/>
      <c r="H715" s="3"/>
      <c r="I715" s="3"/>
      <c r="J715" s="3"/>
      <c r="K715" s="3"/>
      <c r="L715" s="3"/>
      <c r="M715" s="3"/>
      <c r="N715" s="157"/>
      <c r="O715" s="157"/>
      <c r="P715" s="157"/>
      <c r="R715" s="147"/>
      <c r="S715" s="147"/>
      <c r="T715" s="147"/>
      <c r="U715" s="147"/>
      <c r="X715" s="147"/>
      <c r="Y715" s="147"/>
      <c r="Z715" s="147"/>
      <c r="AA715" s="147"/>
      <c r="AB715" s="147"/>
      <c r="AC715" s="147"/>
      <c r="AD715" s="147"/>
      <c r="AE715" s="147"/>
      <c r="AF715" s="147"/>
      <c r="AG715" s="147"/>
      <c r="AH715" s="147"/>
      <c r="AI715" s="147"/>
      <c r="AJ715" s="147"/>
      <c r="AK715" s="147"/>
      <c r="AL715" s="147"/>
      <c r="AM715" s="147"/>
      <c r="AN715" s="147"/>
      <c r="AO715" s="147"/>
      <c r="AP715" s="147"/>
      <c r="AQ715" s="147"/>
    </row>
    <row r="716" spans="1:43">
      <c r="A716" s="3"/>
      <c r="B716" s="3"/>
      <c r="C716" s="3"/>
      <c r="D716" s="3"/>
      <c r="E716" s="3"/>
      <c r="F716" s="3"/>
      <c r="G716" s="3"/>
      <c r="H716" s="3"/>
      <c r="I716" s="3"/>
      <c r="J716" s="3"/>
      <c r="K716" s="3"/>
      <c r="L716" s="3"/>
      <c r="M716" s="3"/>
      <c r="N716" s="157"/>
      <c r="O716" s="157"/>
      <c r="P716" s="157"/>
      <c r="R716" s="147"/>
      <c r="S716" s="147"/>
      <c r="T716" s="147"/>
      <c r="U716" s="147"/>
      <c r="X716" s="147"/>
      <c r="Y716" s="147"/>
      <c r="Z716" s="147"/>
      <c r="AA716" s="147"/>
      <c r="AB716" s="147"/>
      <c r="AC716" s="147"/>
      <c r="AD716" s="147"/>
      <c r="AE716" s="147"/>
      <c r="AF716" s="147"/>
      <c r="AG716" s="147"/>
      <c r="AH716" s="147"/>
      <c r="AI716" s="147"/>
      <c r="AJ716" s="147"/>
      <c r="AK716" s="147"/>
      <c r="AL716" s="147"/>
      <c r="AM716" s="147"/>
      <c r="AN716" s="147"/>
      <c r="AO716" s="147"/>
      <c r="AP716" s="147"/>
      <c r="AQ716" s="147"/>
    </row>
    <row r="717" spans="1:43">
      <c r="A717" s="3"/>
      <c r="B717" s="3"/>
      <c r="C717" s="3"/>
      <c r="D717" s="3"/>
      <c r="E717" s="3"/>
      <c r="F717" s="3"/>
      <c r="G717" s="3"/>
      <c r="H717" s="3"/>
      <c r="I717" s="3"/>
      <c r="J717" s="3"/>
      <c r="K717" s="3"/>
      <c r="L717" s="3"/>
      <c r="M717" s="3"/>
      <c r="N717" s="157"/>
      <c r="O717" s="157"/>
      <c r="P717" s="157"/>
      <c r="R717" s="147"/>
      <c r="S717" s="147"/>
      <c r="T717" s="147"/>
      <c r="U717" s="147"/>
      <c r="X717" s="147"/>
      <c r="Y717" s="147"/>
      <c r="Z717" s="147"/>
      <c r="AA717" s="147"/>
      <c r="AB717" s="147"/>
      <c r="AC717" s="147"/>
      <c r="AD717" s="147"/>
      <c r="AE717" s="147"/>
      <c r="AF717" s="147"/>
      <c r="AG717" s="147"/>
      <c r="AH717" s="147"/>
      <c r="AI717" s="147"/>
      <c r="AJ717" s="147"/>
      <c r="AK717" s="147"/>
      <c r="AL717" s="147"/>
      <c r="AM717" s="147"/>
      <c r="AN717" s="147"/>
      <c r="AO717" s="147"/>
      <c r="AP717" s="147"/>
      <c r="AQ717" s="147"/>
    </row>
    <row r="718" spans="1:43">
      <c r="A718" s="3"/>
      <c r="B718" s="3"/>
      <c r="C718" s="3"/>
      <c r="D718" s="3"/>
      <c r="E718" s="3"/>
      <c r="F718" s="3"/>
      <c r="G718" s="3"/>
      <c r="H718" s="3"/>
      <c r="I718" s="3"/>
      <c r="J718" s="3"/>
      <c r="K718" s="3"/>
      <c r="L718" s="3"/>
      <c r="M718" s="3"/>
      <c r="N718" s="157"/>
      <c r="O718" s="157"/>
      <c r="P718" s="157"/>
      <c r="R718" s="147"/>
      <c r="S718" s="147"/>
      <c r="T718" s="147"/>
      <c r="U718" s="147"/>
      <c r="X718" s="147"/>
      <c r="Y718" s="147"/>
      <c r="Z718" s="147"/>
      <c r="AA718" s="147"/>
      <c r="AB718" s="147"/>
      <c r="AC718" s="147"/>
      <c r="AD718" s="147"/>
      <c r="AE718" s="147"/>
      <c r="AF718" s="147"/>
      <c r="AG718" s="147"/>
      <c r="AH718" s="147"/>
      <c r="AI718" s="147"/>
      <c r="AJ718" s="147"/>
      <c r="AK718" s="147"/>
      <c r="AL718" s="147"/>
      <c r="AM718" s="147"/>
      <c r="AN718" s="147"/>
      <c r="AO718" s="147"/>
      <c r="AP718" s="147"/>
      <c r="AQ718" s="147"/>
    </row>
    <row r="719" spans="1:43">
      <c r="A719" s="3"/>
      <c r="B719" s="3"/>
      <c r="C719" s="3"/>
      <c r="D719" s="3"/>
      <c r="E719" s="3"/>
      <c r="F719" s="3"/>
      <c r="G719" s="3"/>
      <c r="H719" s="3"/>
      <c r="I719" s="3"/>
      <c r="J719" s="3"/>
      <c r="K719" s="3"/>
      <c r="L719" s="3"/>
      <c r="M719" s="3"/>
      <c r="N719" s="157"/>
      <c r="O719" s="157"/>
      <c r="P719" s="157"/>
      <c r="R719" s="147"/>
      <c r="S719" s="147"/>
      <c r="T719" s="147"/>
      <c r="U719" s="147"/>
      <c r="X719" s="147"/>
      <c r="Y719" s="147"/>
      <c r="Z719" s="147"/>
      <c r="AA719" s="147"/>
      <c r="AB719" s="147"/>
      <c r="AC719" s="147"/>
      <c r="AD719" s="147"/>
      <c r="AE719" s="147"/>
      <c r="AF719" s="147"/>
      <c r="AG719" s="147"/>
      <c r="AH719" s="147"/>
      <c r="AI719" s="147"/>
      <c r="AJ719" s="147"/>
      <c r="AK719" s="147"/>
      <c r="AL719" s="147"/>
      <c r="AM719" s="147"/>
      <c r="AN719" s="147"/>
      <c r="AO719" s="147"/>
      <c r="AP719" s="147"/>
      <c r="AQ719" s="147"/>
    </row>
    <row r="720" spans="1:43">
      <c r="A720" s="3"/>
      <c r="B720" s="3"/>
      <c r="C720" s="3"/>
      <c r="D720" s="3"/>
      <c r="E720" s="3"/>
      <c r="F720" s="3"/>
      <c r="G720" s="3"/>
      <c r="H720" s="3"/>
      <c r="I720" s="3"/>
      <c r="J720" s="3"/>
      <c r="K720" s="3"/>
      <c r="L720" s="3"/>
      <c r="M720" s="3"/>
      <c r="N720" s="157"/>
      <c r="O720" s="157"/>
      <c r="P720" s="157"/>
      <c r="R720" s="147"/>
      <c r="S720" s="147"/>
      <c r="T720" s="147"/>
      <c r="U720" s="147"/>
      <c r="X720" s="147"/>
      <c r="Y720" s="147"/>
      <c r="Z720" s="147"/>
      <c r="AA720" s="147"/>
      <c r="AB720" s="147"/>
      <c r="AC720" s="147"/>
      <c r="AD720" s="147"/>
      <c r="AE720" s="147"/>
      <c r="AF720" s="147"/>
      <c r="AG720" s="147"/>
      <c r="AH720" s="147"/>
      <c r="AI720" s="147"/>
      <c r="AJ720" s="147"/>
      <c r="AK720" s="147"/>
      <c r="AL720" s="147"/>
      <c r="AM720" s="147"/>
      <c r="AN720" s="147"/>
      <c r="AO720" s="147"/>
      <c r="AP720" s="147"/>
      <c r="AQ720" s="147"/>
    </row>
    <row r="721" spans="1:43">
      <c r="A721" s="3"/>
      <c r="B721" s="3"/>
      <c r="C721" s="3"/>
      <c r="D721" s="3"/>
      <c r="E721" s="3"/>
      <c r="F721" s="3"/>
      <c r="G721" s="3"/>
      <c r="H721" s="3"/>
      <c r="I721" s="3"/>
      <c r="J721" s="3"/>
      <c r="K721" s="3"/>
      <c r="L721" s="3"/>
      <c r="M721" s="3"/>
      <c r="N721" s="157"/>
      <c r="O721" s="157"/>
      <c r="P721" s="157"/>
      <c r="R721" s="147"/>
      <c r="S721" s="147"/>
      <c r="T721" s="147"/>
      <c r="U721" s="147"/>
      <c r="X721" s="147"/>
      <c r="Y721" s="147"/>
      <c r="Z721" s="147"/>
      <c r="AA721" s="147"/>
      <c r="AB721" s="147"/>
      <c r="AC721" s="147"/>
      <c r="AD721" s="147"/>
      <c r="AE721" s="147"/>
      <c r="AF721" s="147"/>
      <c r="AG721" s="147"/>
      <c r="AH721" s="147"/>
      <c r="AI721" s="147"/>
      <c r="AJ721" s="147"/>
      <c r="AK721" s="147"/>
      <c r="AL721" s="147"/>
      <c r="AM721" s="147"/>
      <c r="AN721" s="147"/>
      <c r="AO721" s="147"/>
      <c r="AP721" s="147"/>
      <c r="AQ721" s="147"/>
    </row>
    <row r="722" spans="1:43">
      <c r="A722" s="3"/>
      <c r="B722" s="3"/>
      <c r="C722" s="3"/>
      <c r="D722" s="3"/>
      <c r="E722" s="3"/>
      <c r="F722" s="3"/>
      <c r="G722" s="3"/>
      <c r="H722" s="3"/>
      <c r="I722" s="3"/>
      <c r="J722" s="3"/>
      <c r="K722" s="3"/>
      <c r="L722" s="3"/>
      <c r="M722" s="3"/>
      <c r="N722" s="157"/>
      <c r="O722" s="157"/>
      <c r="P722" s="157"/>
      <c r="R722" s="147"/>
      <c r="S722" s="147"/>
      <c r="T722" s="147"/>
      <c r="U722" s="147"/>
      <c r="X722" s="147"/>
      <c r="Y722" s="147"/>
      <c r="Z722" s="147"/>
      <c r="AA722" s="147"/>
      <c r="AB722" s="147"/>
      <c r="AC722" s="147"/>
      <c r="AD722" s="147"/>
      <c r="AE722" s="147"/>
      <c r="AF722" s="147"/>
      <c r="AG722" s="147"/>
      <c r="AH722" s="147"/>
      <c r="AI722" s="147"/>
      <c r="AJ722" s="147"/>
      <c r="AK722" s="147"/>
      <c r="AL722" s="147"/>
      <c r="AM722" s="147"/>
      <c r="AN722" s="147"/>
      <c r="AO722" s="147"/>
      <c r="AP722" s="147"/>
      <c r="AQ722" s="147"/>
    </row>
    <row r="723" spans="1:43">
      <c r="A723" s="3"/>
      <c r="B723" s="3"/>
      <c r="C723" s="3"/>
      <c r="D723" s="3"/>
      <c r="E723" s="3"/>
      <c r="F723" s="3"/>
      <c r="G723" s="3"/>
      <c r="H723" s="3"/>
      <c r="I723" s="3"/>
      <c r="J723" s="3"/>
      <c r="K723" s="3"/>
      <c r="L723" s="3"/>
      <c r="M723" s="3"/>
      <c r="N723" s="157"/>
      <c r="O723" s="157"/>
      <c r="P723" s="157"/>
      <c r="R723" s="147"/>
      <c r="S723" s="147"/>
      <c r="T723" s="147"/>
      <c r="U723" s="147"/>
      <c r="X723" s="147"/>
      <c r="Y723" s="147"/>
      <c r="Z723" s="147"/>
      <c r="AA723" s="147"/>
      <c r="AB723" s="147"/>
      <c r="AC723" s="147"/>
      <c r="AD723" s="147"/>
      <c r="AE723" s="147"/>
      <c r="AF723" s="147"/>
      <c r="AG723" s="147"/>
      <c r="AH723" s="147"/>
      <c r="AI723" s="147"/>
      <c r="AJ723" s="147"/>
      <c r="AK723" s="147"/>
      <c r="AL723" s="147"/>
      <c r="AM723" s="147"/>
      <c r="AN723" s="147"/>
      <c r="AO723" s="147"/>
      <c r="AP723" s="147"/>
      <c r="AQ723" s="147"/>
    </row>
    <row r="724" spans="1:43">
      <c r="A724" s="3"/>
      <c r="B724" s="3"/>
      <c r="C724" s="3"/>
      <c r="D724" s="3"/>
      <c r="E724" s="3"/>
      <c r="F724" s="3"/>
      <c r="G724" s="3"/>
      <c r="H724" s="3"/>
      <c r="I724" s="3"/>
      <c r="J724" s="3"/>
      <c r="K724" s="3"/>
      <c r="L724" s="3"/>
      <c r="M724" s="3"/>
      <c r="N724" s="157"/>
      <c r="O724" s="157"/>
      <c r="P724" s="157"/>
      <c r="R724" s="147"/>
      <c r="S724" s="147"/>
      <c r="T724" s="147"/>
      <c r="U724" s="147"/>
      <c r="X724" s="147"/>
      <c r="Y724" s="147"/>
      <c r="Z724" s="147"/>
      <c r="AA724" s="147"/>
      <c r="AB724" s="147"/>
      <c r="AC724" s="147"/>
      <c r="AD724" s="147"/>
      <c r="AE724" s="147"/>
      <c r="AF724" s="147"/>
      <c r="AG724" s="147"/>
      <c r="AH724" s="147"/>
      <c r="AI724" s="147"/>
      <c r="AJ724" s="147"/>
      <c r="AK724" s="147"/>
      <c r="AL724" s="147"/>
      <c r="AM724" s="147"/>
      <c r="AN724" s="147"/>
      <c r="AO724" s="147"/>
      <c r="AP724" s="147"/>
      <c r="AQ724" s="147"/>
    </row>
    <row r="725" spans="1:43">
      <c r="A725" s="3"/>
      <c r="B725" s="3"/>
      <c r="C725" s="3"/>
      <c r="D725" s="3"/>
      <c r="E725" s="3"/>
      <c r="F725" s="3"/>
      <c r="G725" s="3"/>
      <c r="H725" s="3"/>
      <c r="I725" s="3"/>
      <c r="J725" s="3"/>
      <c r="K725" s="3"/>
      <c r="L725" s="3"/>
      <c r="M725" s="3"/>
      <c r="N725" s="157"/>
      <c r="O725" s="157"/>
      <c r="P725" s="157"/>
      <c r="R725" s="147"/>
      <c r="S725" s="147"/>
      <c r="T725" s="147"/>
      <c r="U725" s="147"/>
      <c r="X725" s="147"/>
      <c r="Y725" s="147"/>
      <c r="Z725" s="147"/>
      <c r="AA725" s="147"/>
      <c r="AB725" s="147"/>
      <c r="AC725" s="147"/>
      <c r="AD725" s="147"/>
      <c r="AE725" s="147"/>
      <c r="AF725" s="147"/>
      <c r="AG725" s="147"/>
      <c r="AH725" s="147"/>
      <c r="AI725" s="147"/>
      <c r="AJ725" s="147"/>
      <c r="AK725" s="147"/>
      <c r="AL725" s="147"/>
      <c r="AM725" s="147"/>
      <c r="AN725" s="147"/>
      <c r="AO725" s="147"/>
      <c r="AP725" s="147"/>
      <c r="AQ725" s="147"/>
    </row>
    <row r="726" spans="1:43">
      <c r="A726" s="3"/>
      <c r="B726" s="3"/>
      <c r="C726" s="3"/>
      <c r="D726" s="3"/>
      <c r="E726" s="3"/>
      <c r="F726" s="3"/>
      <c r="G726" s="3"/>
      <c r="H726" s="3"/>
      <c r="I726" s="3"/>
      <c r="J726" s="3"/>
      <c r="K726" s="3"/>
      <c r="L726" s="3"/>
      <c r="M726" s="3"/>
      <c r="N726" s="157"/>
      <c r="O726" s="157"/>
      <c r="P726" s="157"/>
      <c r="R726" s="147"/>
      <c r="S726" s="147"/>
      <c r="T726" s="147"/>
      <c r="U726" s="147"/>
      <c r="X726" s="147"/>
      <c r="Y726" s="147"/>
      <c r="Z726" s="147"/>
      <c r="AA726" s="147"/>
      <c r="AB726" s="147"/>
      <c r="AC726" s="147"/>
      <c r="AD726" s="147"/>
      <c r="AE726" s="147"/>
      <c r="AF726" s="147"/>
      <c r="AG726" s="147"/>
      <c r="AH726" s="147"/>
      <c r="AI726" s="147"/>
      <c r="AJ726" s="147"/>
      <c r="AK726" s="147"/>
      <c r="AL726" s="147"/>
      <c r="AM726" s="147"/>
      <c r="AN726" s="147"/>
      <c r="AO726" s="147"/>
      <c r="AP726" s="147"/>
      <c r="AQ726" s="147"/>
    </row>
    <row r="727" spans="1:43">
      <c r="A727" s="3"/>
      <c r="B727" s="3"/>
      <c r="C727" s="3"/>
      <c r="D727" s="3"/>
      <c r="E727" s="3"/>
      <c r="F727" s="3"/>
      <c r="G727" s="3"/>
      <c r="H727" s="3"/>
      <c r="I727" s="3"/>
      <c r="J727" s="3"/>
      <c r="K727" s="3"/>
      <c r="L727" s="3"/>
      <c r="M727" s="3"/>
      <c r="N727" s="157"/>
      <c r="O727" s="157"/>
      <c r="P727" s="157"/>
      <c r="R727" s="147"/>
      <c r="S727" s="147"/>
      <c r="T727" s="147"/>
      <c r="U727" s="147"/>
      <c r="X727" s="147"/>
      <c r="Y727" s="147"/>
      <c r="Z727" s="147"/>
      <c r="AA727" s="147"/>
      <c r="AB727" s="147"/>
      <c r="AC727" s="147"/>
      <c r="AD727" s="147"/>
      <c r="AE727" s="147"/>
      <c r="AF727" s="147"/>
      <c r="AG727" s="147"/>
      <c r="AH727" s="147"/>
      <c r="AI727" s="147"/>
      <c r="AJ727" s="147"/>
      <c r="AK727" s="147"/>
      <c r="AL727" s="147"/>
      <c r="AM727" s="147"/>
      <c r="AN727" s="147"/>
      <c r="AO727" s="147"/>
      <c r="AP727" s="147"/>
      <c r="AQ727" s="147"/>
    </row>
    <row r="728" spans="1:43">
      <c r="A728" s="3"/>
      <c r="B728" s="3"/>
      <c r="C728" s="3"/>
      <c r="D728" s="3"/>
      <c r="E728" s="3"/>
      <c r="F728" s="3"/>
      <c r="G728" s="3"/>
      <c r="H728" s="3"/>
      <c r="I728" s="3"/>
      <c r="J728" s="3"/>
      <c r="K728" s="3"/>
      <c r="L728" s="3"/>
      <c r="M728" s="3"/>
      <c r="N728" s="157"/>
      <c r="O728" s="157"/>
      <c r="P728" s="157"/>
      <c r="R728" s="147"/>
      <c r="S728" s="147"/>
      <c r="T728" s="147"/>
      <c r="U728" s="147"/>
      <c r="X728" s="147"/>
      <c r="Y728" s="147"/>
      <c r="Z728" s="147"/>
      <c r="AA728" s="147"/>
      <c r="AB728" s="147"/>
      <c r="AC728" s="147"/>
      <c r="AD728" s="147"/>
      <c r="AE728" s="147"/>
      <c r="AF728" s="147"/>
      <c r="AG728" s="147"/>
      <c r="AH728" s="147"/>
      <c r="AI728" s="147"/>
      <c r="AJ728" s="147"/>
      <c r="AK728" s="147"/>
      <c r="AL728" s="147"/>
      <c r="AM728" s="147"/>
      <c r="AN728" s="147"/>
      <c r="AO728" s="147"/>
      <c r="AP728" s="147"/>
      <c r="AQ728" s="147"/>
    </row>
    <row r="729" spans="1:43">
      <c r="A729" s="3"/>
      <c r="B729" s="3"/>
      <c r="C729" s="3"/>
      <c r="D729" s="3"/>
      <c r="E729" s="3"/>
      <c r="F729" s="3"/>
      <c r="G729" s="3"/>
      <c r="H729" s="3"/>
      <c r="I729" s="3"/>
      <c r="J729" s="3"/>
      <c r="K729" s="3"/>
      <c r="L729" s="3"/>
      <c r="M729" s="3"/>
      <c r="N729" s="157"/>
      <c r="O729" s="157"/>
      <c r="P729" s="157"/>
      <c r="R729" s="147"/>
      <c r="S729" s="147"/>
      <c r="T729" s="147"/>
      <c r="U729" s="147"/>
      <c r="X729" s="147"/>
      <c r="Y729" s="147"/>
      <c r="Z729" s="147"/>
      <c r="AA729" s="147"/>
      <c r="AB729" s="147"/>
      <c r="AC729" s="147"/>
      <c r="AD729" s="147"/>
      <c r="AE729" s="147"/>
      <c r="AF729" s="147"/>
      <c r="AG729" s="147"/>
      <c r="AH729" s="147"/>
      <c r="AI729" s="147"/>
      <c r="AJ729" s="147"/>
      <c r="AK729" s="147"/>
      <c r="AL729" s="147"/>
      <c r="AM729" s="147"/>
      <c r="AN729" s="147"/>
      <c r="AO729" s="147"/>
      <c r="AP729" s="147"/>
      <c r="AQ729" s="147"/>
    </row>
    <row r="730" spans="1:43">
      <c r="A730" s="3"/>
      <c r="B730" s="3"/>
      <c r="C730" s="3"/>
      <c r="D730" s="3"/>
      <c r="E730" s="3"/>
      <c r="F730" s="3"/>
      <c r="G730" s="3"/>
      <c r="H730" s="3"/>
      <c r="I730" s="3"/>
      <c r="J730" s="3"/>
      <c r="K730" s="3"/>
      <c r="L730" s="3"/>
      <c r="M730" s="3"/>
      <c r="N730" s="157"/>
      <c r="O730" s="157"/>
      <c r="P730" s="157"/>
      <c r="R730" s="147"/>
      <c r="S730" s="147"/>
      <c r="T730" s="147"/>
      <c r="U730" s="147"/>
      <c r="X730" s="147"/>
      <c r="Y730" s="147"/>
      <c r="Z730" s="147"/>
      <c r="AA730" s="147"/>
      <c r="AB730" s="147"/>
      <c r="AC730" s="147"/>
      <c r="AD730" s="147"/>
      <c r="AE730" s="147"/>
      <c r="AF730" s="147"/>
      <c r="AG730" s="147"/>
      <c r="AH730" s="147"/>
      <c r="AI730" s="147"/>
      <c r="AJ730" s="147"/>
      <c r="AK730" s="147"/>
      <c r="AL730" s="147"/>
      <c r="AM730" s="147"/>
      <c r="AN730" s="147"/>
      <c r="AO730" s="147"/>
      <c r="AP730" s="147"/>
      <c r="AQ730" s="147"/>
    </row>
    <row r="731" spans="1:43">
      <c r="A731" s="3"/>
      <c r="B731" s="3"/>
      <c r="C731" s="3"/>
      <c r="D731" s="3"/>
      <c r="E731" s="3"/>
      <c r="F731" s="3"/>
      <c r="G731" s="3"/>
      <c r="H731" s="3"/>
      <c r="I731" s="3"/>
      <c r="J731" s="3"/>
      <c r="K731" s="3"/>
      <c r="L731" s="3"/>
      <c r="M731" s="3"/>
      <c r="N731" s="157"/>
      <c r="O731" s="157"/>
      <c r="P731" s="157"/>
      <c r="R731" s="147"/>
      <c r="S731" s="147"/>
      <c r="T731" s="147"/>
      <c r="U731" s="147"/>
      <c r="X731" s="147"/>
      <c r="Y731" s="147"/>
      <c r="Z731" s="147"/>
      <c r="AA731" s="147"/>
      <c r="AB731" s="147"/>
      <c r="AC731" s="147"/>
      <c r="AD731" s="147"/>
      <c r="AE731" s="147"/>
      <c r="AF731" s="147"/>
      <c r="AG731" s="147"/>
      <c r="AH731" s="147"/>
      <c r="AI731" s="147"/>
      <c r="AJ731" s="147"/>
      <c r="AK731" s="147"/>
      <c r="AL731" s="147"/>
      <c r="AM731" s="147"/>
      <c r="AN731" s="147"/>
      <c r="AO731" s="147"/>
      <c r="AP731" s="147"/>
      <c r="AQ731" s="147"/>
    </row>
    <row r="732" spans="1:43">
      <c r="A732" s="3"/>
      <c r="B732" s="3"/>
      <c r="C732" s="3"/>
      <c r="D732" s="3"/>
      <c r="E732" s="3"/>
      <c r="F732" s="3"/>
      <c r="G732" s="3"/>
      <c r="H732" s="3"/>
      <c r="I732" s="3"/>
      <c r="J732" s="3"/>
      <c r="K732" s="3"/>
      <c r="L732" s="3"/>
      <c r="M732" s="3"/>
      <c r="N732" s="157"/>
      <c r="O732" s="157"/>
      <c r="P732" s="157"/>
      <c r="R732" s="147"/>
      <c r="S732" s="147"/>
      <c r="T732" s="147"/>
      <c r="U732" s="147"/>
      <c r="X732" s="147"/>
      <c r="Y732" s="147"/>
      <c r="Z732" s="147"/>
      <c r="AA732" s="147"/>
      <c r="AB732" s="147"/>
      <c r="AC732" s="147"/>
      <c r="AD732" s="147"/>
      <c r="AE732" s="147"/>
      <c r="AF732" s="147"/>
      <c r="AG732" s="147"/>
      <c r="AH732" s="147"/>
      <c r="AI732" s="147"/>
      <c r="AJ732" s="147"/>
      <c r="AK732" s="147"/>
      <c r="AL732" s="147"/>
      <c r="AM732" s="147"/>
      <c r="AN732" s="147"/>
      <c r="AO732" s="147"/>
      <c r="AP732" s="147"/>
      <c r="AQ732" s="147"/>
    </row>
    <row r="733" spans="1:43">
      <c r="A733" s="3"/>
      <c r="B733" s="3"/>
      <c r="C733" s="3"/>
      <c r="D733" s="3"/>
      <c r="E733" s="3"/>
      <c r="F733" s="3"/>
      <c r="G733" s="3"/>
      <c r="H733" s="3"/>
      <c r="I733" s="3"/>
      <c r="J733" s="3"/>
      <c r="K733" s="3"/>
      <c r="L733" s="3"/>
      <c r="M733" s="3"/>
      <c r="N733" s="157"/>
      <c r="O733" s="157"/>
      <c r="P733" s="157"/>
      <c r="R733" s="147"/>
      <c r="S733" s="147"/>
      <c r="T733" s="147"/>
      <c r="U733" s="147"/>
      <c r="X733" s="147"/>
      <c r="Y733" s="147"/>
      <c r="Z733" s="147"/>
      <c r="AA733" s="147"/>
      <c r="AB733" s="147"/>
      <c r="AC733" s="147"/>
      <c r="AD733" s="147"/>
      <c r="AE733" s="147"/>
      <c r="AF733" s="147"/>
      <c r="AG733" s="147"/>
      <c r="AH733" s="147"/>
      <c r="AI733" s="147"/>
      <c r="AJ733" s="147"/>
      <c r="AK733" s="147"/>
      <c r="AL733" s="147"/>
      <c r="AM733" s="147"/>
      <c r="AN733" s="147"/>
      <c r="AO733" s="147"/>
      <c r="AP733" s="147"/>
      <c r="AQ733" s="147"/>
    </row>
    <row r="734" spans="1:43">
      <c r="A734" s="3"/>
      <c r="B734" s="3"/>
      <c r="C734" s="3"/>
      <c r="D734" s="3"/>
      <c r="E734" s="3"/>
      <c r="F734" s="3"/>
      <c r="G734" s="3"/>
      <c r="H734" s="3"/>
      <c r="I734" s="3"/>
      <c r="J734" s="3"/>
      <c r="K734" s="3"/>
      <c r="L734" s="3"/>
      <c r="M734" s="3"/>
      <c r="N734" s="157"/>
      <c r="O734" s="157"/>
      <c r="P734" s="157"/>
      <c r="R734" s="147"/>
      <c r="S734" s="147"/>
      <c r="T734" s="147"/>
      <c r="U734" s="147"/>
      <c r="X734" s="147"/>
      <c r="Y734" s="147"/>
      <c r="Z734" s="147"/>
      <c r="AA734" s="147"/>
      <c r="AB734" s="147"/>
      <c r="AC734" s="147"/>
      <c r="AD734" s="147"/>
      <c r="AE734" s="147"/>
      <c r="AF734" s="147"/>
      <c r="AG734" s="147"/>
      <c r="AH734" s="147"/>
      <c r="AI734" s="147"/>
      <c r="AJ734" s="147"/>
      <c r="AK734" s="147"/>
      <c r="AL734" s="147"/>
      <c r="AM734" s="147"/>
      <c r="AN734" s="147"/>
      <c r="AO734" s="147"/>
      <c r="AP734" s="147"/>
      <c r="AQ734" s="147"/>
    </row>
    <row r="735" spans="1:43">
      <c r="A735" s="3"/>
      <c r="B735" s="3"/>
      <c r="C735" s="3"/>
      <c r="D735" s="3"/>
      <c r="E735" s="3"/>
      <c r="F735" s="3"/>
      <c r="G735" s="3"/>
      <c r="H735" s="3"/>
      <c r="I735" s="3"/>
      <c r="J735" s="3"/>
      <c r="K735" s="3"/>
      <c r="L735" s="3"/>
      <c r="M735" s="3"/>
      <c r="N735" s="157"/>
      <c r="O735" s="157"/>
      <c r="P735" s="157"/>
      <c r="R735" s="147"/>
      <c r="S735" s="147"/>
      <c r="T735" s="147"/>
      <c r="U735" s="147"/>
      <c r="X735" s="147"/>
      <c r="Y735" s="147"/>
      <c r="Z735" s="147"/>
      <c r="AA735" s="147"/>
      <c r="AB735" s="147"/>
      <c r="AC735" s="147"/>
      <c r="AD735" s="147"/>
      <c r="AE735" s="147"/>
      <c r="AF735" s="147"/>
      <c r="AG735" s="147"/>
      <c r="AH735" s="147"/>
      <c r="AI735" s="147"/>
      <c r="AJ735" s="147"/>
      <c r="AK735" s="147"/>
      <c r="AL735" s="147"/>
      <c r="AM735" s="147"/>
      <c r="AN735" s="147"/>
      <c r="AO735" s="147"/>
      <c r="AP735" s="147"/>
      <c r="AQ735" s="147"/>
    </row>
    <row r="736" spans="1:43">
      <c r="A736" s="3"/>
      <c r="B736" s="3"/>
      <c r="C736" s="3"/>
      <c r="D736" s="3"/>
      <c r="E736" s="3"/>
      <c r="F736" s="3"/>
      <c r="G736" s="3"/>
      <c r="H736" s="3"/>
      <c r="I736" s="3"/>
      <c r="J736" s="3"/>
      <c r="K736" s="3"/>
      <c r="L736" s="3"/>
      <c r="M736" s="3"/>
      <c r="N736" s="157"/>
      <c r="O736" s="157"/>
      <c r="P736" s="157"/>
      <c r="R736" s="147"/>
      <c r="S736" s="147"/>
      <c r="T736" s="147"/>
      <c r="U736" s="147"/>
      <c r="X736" s="147"/>
      <c r="Y736" s="147"/>
      <c r="Z736" s="147"/>
      <c r="AA736" s="147"/>
      <c r="AB736" s="147"/>
      <c r="AC736" s="147"/>
      <c r="AD736" s="147"/>
      <c r="AE736" s="147"/>
      <c r="AF736" s="147"/>
      <c r="AG736" s="147"/>
      <c r="AH736" s="147"/>
      <c r="AI736" s="147"/>
      <c r="AJ736" s="147"/>
      <c r="AK736" s="147"/>
      <c r="AL736" s="147"/>
      <c r="AM736" s="147"/>
      <c r="AN736" s="147"/>
      <c r="AO736" s="147"/>
      <c r="AP736" s="147"/>
      <c r="AQ736" s="147"/>
    </row>
    <row r="737" spans="1:43">
      <c r="A737" s="3"/>
      <c r="B737" s="3"/>
      <c r="C737" s="3"/>
      <c r="D737" s="3"/>
      <c r="E737" s="3"/>
      <c r="F737" s="3"/>
      <c r="G737" s="3"/>
      <c r="H737" s="3"/>
      <c r="I737" s="3"/>
      <c r="J737" s="3"/>
      <c r="K737" s="3"/>
      <c r="L737" s="3"/>
      <c r="M737" s="3"/>
      <c r="N737" s="157"/>
      <c r="O737" s="157"/>
      <c r="P737" s="157"/>
      <c r="R737" s="147"/>
      <c r="S737" s="147"/>
      <c r="T737" s="147"/>
      <c r="U737" s="147"/>
      <c r="X737" s="147"/>
      <c r="Y737" s="147"/>
      <c r="Z737" s="147"/>
      <c r="AA737" s="147"/>
      <c r="AB737" s="147"/>
      <c r="AC737" s="147"/>
      <c r="AD737" s="147"/>
      <c r="AE737" s="147"/>
      <c r="AF737" s="147"/>
      <c r="AG737" s="147"/>
      <c r="AH737" s="147"/>
      <c r="AI737" s="147"/>
      <c r="AJ737" s="147"/>
      <c r="AK737" s="147"/>
      <c r="AL737" s="147"/>
      <c r="AM737" s="147"/>
      <c r="AN737" s="147"/>
      <c r="AO737" s="147"/>
      <c r="AP737" s="147"/>
      <c r="AQ737" s="147"/>
    </row>
    <row r="738" spans="1:43">
      <c r="A738" s="3"/>
      <c r="B738" s="3"/>
      <c r="C738" s="3"/>
      <c r="D738" s="3"/>
      <c r="E738" s="3"/>
      <c r="F738" s="3"/>
      <c r="G738" s="3"/>
      <c r="H738" s="3"/>
      <c r="I738" s="3"/>
      <c r="J738" s="3"/>
      <c r="K738" s="3"/>
      <c r="L738" s="3"/>
      <c r="M738" s="3"/>
      <c r="N738" s="157"/>
      <c r="O738" s="157"/>
      <c r="P738" s="157"/>
      <c r="R738" s="147"/>
      <c r="S738" s="147"/>
      <c r="T738" s="147"/>
      <c r="U738" s="147"/>
      <c r="X738" s="147"/>
      <c r="Y738" s="147"/>
      <c r="Z738" s="147"/>
      <c r="AA738" s="147"/>
      <c r="AB738" s="147"/>
      <c r="AC738" s="147"/>
      <c r="AD738" s="147"/>
      <c r="AE738" s="147"/>
      <c r="AF738" s="147"/>
      <c r="AG738" s="147"/>
      <c r="AH738" s="147"/>
      <c r="AI738" s="147"/>
      <c r="AJ738" s="147"/>
      <c r="AK738" s="147"/>
      <c r="AL738" s="147"/>
      <c r="AM738" s="147"/>
      <c r="AN738" s="147"/>
      <c r="AO738" s="147"/>
      <c r="AP738" s="147"/>
      <c r="AQ738" s="147"/>
    </row>
    <row r="739" spans="1:43">
      <c r="A739" s="3"/>
      <c r="B739" s="3"/>
      <c r="C739" s="3"/>
      <c r="D739" s="3"/>
      <c r="E739" s="3"/>
      <c r="F739" s="3"/>
      <c r="G739" s="3"/>
      <c r="H739" s="3"/>
      <c r="I739" s="3"/>
      <c r="J739" s="3"/>
      <c r="K739" s="3"/>
      <c r="L739" s="3"/>
      <c r="M739" s="3"/>
      <c r="N739" s="157"/>
      <c r="O739" s="157"/>
      <c r="P739" s="157"/>
      <c r="R739" s="147"/>
      <c r="S739" s="147"/>
      <c r="T739" s="147"/>
      <c r="U739" s="147"/>
      <c r="X739" s="147"/>
      <c r="Y739" s="147"/>
      <c r="Z739" s="147"/>
      <c r="AA739" s="147"/>
      <c r="AB739" s="147"/>
      <c r="AC739" s="147"/>
      <c r="AD739" s="147"/>
      <c r="AE739" s="147"/>
      <c r="AF739" s="147"/>
      <c r="AG739" s="147"/>
      <c r="AH739" s="147"/>
      <c r="AI739" s="147"/>
      <c r="AJ739" s="147"/>
      <c r="AK739" s="147"/>
      <c r="AL739" s="147"/>
      <c r="AM739" s="147"/>
      <c r="AN739" s="147"/>
      <c r="AO739" s="147"/>
      <c r="AP739" s="147"/>
      <c r="AQ739" s="147"/>
    </row>
    <row r="740" spans="1:43">
      <c r="A740" s="3"/>
      <c r="B740" s="3"/>
      <c r="C740" s="3"/>
      <c r="D740" s="3"/>
      <c r="E740" s="3"/>
      <c r="F740" s="3"/>
      <c r="G740" s="3"/>
      <c r="H740" s="3"/>
      <c r="I740" s="3"/>
      <c r="J740" s="3"/>
      <c r="K740" s="3"/>
      <c r="L740" s="3"/>
      <c r="M740" s="3"/>
      <c r="N740" s="157"/>
      <c r="O740" s="157"/>
      <c r="P740" s="157"/>
      <c r="R740" s="147"/>
      <c r="S740" s="147"/>
      <c r="T740" s="147"/>
      <c r="U740" s="147"/>
      <c r="X740" s="147"/>
      <c r="Y740" s="147"/>
      <c r="Z740" s="147"/>
      <c r="AA740" s="147"/>
      <c r="AB740" s="147"/>
      <c r="AC740" s="147"/>
      <c r="AD740" s="147"/>
      <c r="AE740" s="147"/>
      <c r="AF740" s="147"/>
      <c r="AG740" s="147"/>
      <c r="AH740" s="147"/>
      <c r="AI740" s="147"/>
      <c r="AJ740" s="147"/>
      <c r="AK740" s="147"/>
      <c r="AL740" s="147"/>
      <c r="AM740" s="147"/>
      <c r="AN740" s="147"/>
      <c r="AO740" s="147"/>
      <c r="AP740" s="147"/>
      <c r="AQ740" s="147"/>
    </row>
    <row r="741" spans="1:43">
      <c r="A741" s="3"/>
      <c r="B741" s="3"/>
      <c r="C741" s="3"/>
      <c r="D741" s="3"/>
      <c r="E741" s="3"/>
      <c r="F741" s="3"/>
      <c r="G741" s="3"/>
      <c r="H741" s="3"/>
      <c r="I741" s="3"/>
      <c r="J741" s="3"/>
      <c r="K741" s="3"/>
      <c r="L741" s="3"/>
      <c r="M741" s="3"/>
      <c r="N741" s="157"/>
      <c r="O741" s="157"/>
      <c r="P741" s="157"/>
      <c r="R741" s="147"/>
      <c r="S741" s="147"/>
      <c r="T741" s="147"/>
      <c r="U741" s="147"/>
      <c r="X741" s="147"/>
      <c r="Y741" s="147"/>
      <c r="Z741" s="147"/>
      <c r="AA741" s="147"/>
      <c r="AB741" s="147"/>
      <c r="AC741" s="147"/>
      <c r="AD741" s="147"/>
      <c r="AE741" s="147"/>
      <c r="AF741" s="147"/>
      <c r="AG741" s="147"/>
      <c r="AH741" s="147"/>
      <c r="AI741" s="147"/>
      <c r="AJ741" s="147"/>
      <c r="AK741" s="147"/>
      <c r="AL741" s="147"/>
      <c r="AM741" s="147"/>
      <c r="AN741" s="147"/>
      <c r="AO741" s="147"/>
      <c r="AP741" s="147"/>
      <c r="AQ741" s="147"/>
    </row>
    <row r="742" spans="1:43">
      <c r="A742" s="3"/>
      <c r="B742" s="3"/>
      <c r="C742" s="3"/>
      <c r="D742" s="3"/>
      <c r="E742" s="3"/>
      <c r="F742" s="3"/>
      <c r="G742" s="3"/>
      <c r="H742" s="3"/>
      <c r="I742" s="3"/>
      <c r="J742" s="3"/>
      <c r="K742" s="3"/>
      <c r="L742" s="3"/>
      <c r="M742" s="3"/>
      <c r="N742" s="157"/>
      <c r="O742" s="157"/>
      <c r="P742" s="157"/>
      <c r="R742" s="147"/>
      <c r="S742" s="147"/>
      <c r="T742" s="147"/>
      <c r="U742" s="147"/>
      <c r="X742" s="147"/>
      <c r="Y742" s="147"/>
      <c r="Z742" s="147"/>
      <c r="AA742" s="147"/>
      <c r="AB742" s="147"/>
      <c r="AC742" s="147"/>
      <c r="AD742" s="147"/>
      <c r="AE742" s="147"/>
      <c r="AF742" s="147"/>
      <c r="AG742" s="147"/>
      <c r="AH742" s="147"/>
      <c r="AI742" s="147"/>
      <c r="AJ742" s="147"/>
      <c r="AK742" s="147"/>
      <c r="AL742" s="147"/>
      <c r="AM742" s="147"/>
      <c r="AN742" s="147"/>
      <c r="AO742" s="147"/>
      <c r="AP742" s="147"/>
      <c r="AQ742" s="147"/>
    </row>
    <row r="743" spans="1:43">
      <c r="A743" s="3"/>
      <c r="B743" s="3"/>
      <c r="C743" s="3"/>
      <c r="D743" s="3"/>
      <c r="E743" s="3"/>
      <c r="F743" s="3"/>
      <c r="G743" s="3"/>
      <c r="H743" s="3"/>
      <c r="I743" s="3"/>
      <c r="J743" s="3"/>
      <c r="K743" s="3"/>
      <c r="L743" s="3"/>
      <c r="M743" s="3"/>
      <c r="N743" s="157"/>
      <c r="O743" s="157"/>
      <c r="P743" s="157"/>
      <c r="R743" s="147"/>
      <c r="S743" s="147"/>
      <c r="T743" s="147"/>
      <c r="U743" s="147"/>
      <c r="X743" s="147"/>
      <c r="Y743" s="147"/>
      <c r="Z743" s="147"/>
      <c r="AA743" s="147"/>
      <c r="AB743" s="147"/>
      <c r="AC743" s="147"/>
      <c r="AD743" s="147"/>
      <c r="AE743" s="147"/>
      <c r="AF743" s="147"/>
      <c r="AG743" s="147"/>
      <c r="AH743" s="147"/>
      <c r="AI743" s="147"/>
      <c r="AJ743" s="147"/>
      <c r="AK743" s="147"/>
      <c r="AL743" s="147"/>
      <c r="AM743" s="147"/>
      <c r="AN743" s="147"/>
      <c r="AO743" s="147"/>
      <c r="AP743" s="147"/>
      <c r="AQ743" s="147"/>
    </row>
    <row r="744" spans="1:43">
      <c r="A744" s="3"/>
      <c r="B744" s="3"/>
      <c r="C744" s="3"/>
      <c r="D744" s="3"/>
      <c r="E744" s="3"/>
      <c r="F744" s="3"/>
      <c r="G744" s="3"/>
      <c r="H744" s="3"/>
      <c r="I744" s="3"/>
      <c r="J744" s="3"/>
      <c r="K744" s="3"/>
      <c r="L744" s="3"/>
      <c r="M744" s="3"/>
      <c r="N744" s="157"/>
      <c r="O744" s="157"/>
      <c r="P744" s="157"/>
      <c r="R744" s="147"/>
      <c r="S744" s="147"/>
      <c r="T744" s="147"/>
      <c r="U744" s="147"/>
      <c r="X744" s="147"/>
      <c r="Y744" s="147"/>
      <c r="Z744" s="147"/>
      <c r="AA744" s="147"/>
      <c r="AB744" s="147"/>
      <c r="AC744" s="147"/>
      <c r="AD744" s="147"/>
      <c r="AE744" s="147"/>
      <c r="AF744" s="147"/>
      <c r="AG744" s="147"/>
      <c r="AH744" s="147"/>
      <c r="AI744" s="147"/>
      <c r="AJ744" s="147"/>
      <c r="AK744" s="147"/>
      <c r="AL744" s="147"/>
      <c r="AM744" s="147"/>
      <c r="AN744" s="147"/>
      <c r="AO744" s="147"/>
      <c r="AP744" s="147"/>
      <c r="AQ744" s="147"/>
    </row>
    <row r="745" spans="1:43">
      <c r="A745" s="3"/>
      <c r="B745" s="3"/>
      <c r="C745" s="3"/>
      <c r="D745" s="3"/>
      <c r="E745" s="3"/>
      <c r="F745" s="3"/>
      <c r="G745" s="3"/>
      <c r="H745" s="3"/>
      <c r="I745" s="3"/>
      <c r="J745" s="3"/>
      <c r="K745" s="3"/>
      <c r="L745" s="3"/>
      <c r="M745" s="3"/>
      <c r="N745" s="157"/>
      <c r="O745" s="157"/>
      <c r="P745" s="157"/>
      <c r="R745" s="147"/>
      <c r="S745" s="147"/>
      <c r="T745" s="147"/>
      <c r="U745" s="147"/>
      <c r="X745" s="147"/>
      <c r="Y745" s="147"/>
      <c r="Z745" s="147"/>
      <c r="AA745" s="147"/>
      <c r="AB745" s="147"/>
      <c r="AC745" s="147"/>
      <c r="AD745" s="147"/>
      <c r="AE745" s="147"/>
      <c r="AF745" s="147"/>
      <c r="AG745" s="147"/>
      <c r="AH745" s="147"/>
      <c r="AI745" s="147"/>
      <c r="AJ745" s="147"/>
      <c r="AK745" s="147"/>
      <c r="AL745" s="147"/>
      <c r="AM745" s="147"/>
      <c r="AN745" s="147"/>
      <c r="AO745" s="147"/>
      <c r="AP745" s="147"/>
      <c r="AQ745" s="147"/>
    </row>
    <row r="746" spans="1:43">
      <c r="A746" s="3"/>
      <c r="B746" s="3"/>
      <c r="C746" s="3"/>
      <c r="D746" s="3"/>
      <c r="E746" s="3"/>
      <c r="F746" s="3"/>
      <c r="G746" s="3"/>
      <c r="H746" s="3"/>
      <c r="I746" s="3"/>
      <c r="J746" s="3"/>
      <c r="K746" s="3"/>
      <c r="L746" s="3"/>
      <c r="M746" s="3"/>
      <c r="N746" s="157"/>
      <c r="O746" s="157"/>
      <c r="P746" s="157"/>
      <c r="R746" s="147"/>
      <c r="S746" s="147"/>
      <c r="T746" s="147"/>
      <c r="U746" s="147"/>
      <c r="X746" s="147"/>
      <c r="Y746" s="147"/>
      <c r="Z746" s="147"/>
      <c r="AA746" s="147"/>
      <c r="AB746" s="147"/>
      <c r="AC746" s="147"/>
      <c r="AD746" s="147"/>
      <c r="AE746" s="147"/>
      <c r="AF746" s="147"/>
      <c r="AG746" s="147"/>
      <c r="AH746" s="147"/>
      <c r="AI746" s="147"/>
      <c r="AJ746" s="147"/>
      <c r="AK746" s="147"/>
      <c r="AL746" s="147"/>
      <c r="AM746" s="147"/>
      <c r="AN746" s="147"/>
      <c r="AO746" s="147"/>
      <c r="AP746" s="147"/>
      <c r="AQ746" s="147"/>
    </row>
    <row r="747" spans="1:43">
      <c r="A747" s="3"/>
      <c r="B747" s="3"/>
      <c r="C747" s="3"/>
      <c r="D747" s="3"/>
      <c r="E747" s="3"/>
      <c r="F747" s="3"/>
      <c r="G747" s="3"/>
      <c r="H747" s="3"/>
      <c r="I747" s="3"/>
      <c r="J747" s="3"/>
      <c r="K747" s="3"/>
      <c r="L747" s="3"/>
      <c r="M747" s="3"/>
      <c r="N747" s="157"/>
      <c r="O747" s="157"/>
      <c r="P747" s="157"/>
      <c r="R747" s="147"/>
      <c r="S747" s="147"/>
      <c r="T747" s="147"/>
      <c r="U747" s="147"/>
      <c r="X747" s="147"/>
      <c r="Y747" s="147"/>
      <c r="Z747" s="147"/>
      <c r="AA747" s="147"/>
      <c r="AB747" s="147"/>
      <c r="AC747" s="147"/>
      <c r="AD747" s="147"/>
      <c r="AE747" s="147"/>
      <c r="AF747" s="147"/>
      <c r="AG747" s="147"/>
      <c r="AH747" s="147"/>
      <c r="AI747" s="147"/>
      <c r="AJ747" s="147"/>
      <c r="AK747" s="147"/>
      <c r="AL747" s="147"/>
      <c r="AM747" s="147"/>
      <c r="AN747" s="147"/>
      <c r="AO747" s="147"/>
      <c r="AP747" s="147"/>
      <c r="AQ747" s="147"/>
    </row>
    <row r="748" spans="1:43">
      <c r="A748" s="3"/>
      <c r="B748" s="3"/>
      <c r="C748" s="3"/>
      <c r="D748" s="3"/>
      <c r="E748" s="3"/>
      <c r="F748" s="3"/>
      <c r="G748" s="3"/>
      <c r="H748" s="3"/>
      <c r="I748" s="3"/>
      <c r="J748" s="3"/>
      <c r="K748" s="3"/>
      <c r="L748" s="3"/>
      <c r="M748" s="3"/>
      <c r="N748" s="157"/>
      <c r="O748" s="157"/>
      <c r="P748" s="157"/>
      <c r="R748" s="147"/>
      <c r="S748" s="147"/>
      <c r="T748" s="147"/>
      <c r="U748" s="147"/>
      <c r="X748" s="147"/>
      <c r="Y748" s="147"/>
      <c r="Z748" s="147"/>
      <c r="AA748" s="147"/>
      <c r="AB748" s="147"/>
      <c r="AC748" s="147"/>
      <c r="AD748" s="147"/>
      <c r="AE748" s="147"/>
      <c r="AF748" s="147"/>
      <c r="AG748" s="147"/>
      <c r="AH748" s="147"/>
      <c r="AI748" s="147"/>
      <c r="AJ748" s="147"/>
      <c r="AK748" s="147"/>
      <c r="AL748" s="147"/>
      <c r="AM748" s="147"/>
      <c r="AN748" s="147"/>
      <c r="AO748" s="147"/>
      <c r="AP748" s="147"/>
      <c r="AQ748" s="147"/>
    </row>
    <row r="749" spans="1:43">
      <c r="A749" s="3"/>
      <c r="B749" s="3"/>
      <c r="C749" s="3"/>
      <c r="D749" s="3"/>
      <c r="E749" s="3"/>
      <c r="F749" s="3"/>
      <c r="G749" s="3"/>
      <c r="H749" s="3"/>
      <c r="I749" s="3"/>
      <c r="J749" s="3"/>
      <c r="K749" s="3"/>
      <c r="L749" s="3"/>
      <c r="M749" s="3"/>
      <c r="N749" s="157"/>
      <c r="O749" s="157"/>
      <c r="P749" s="157"/>
      <c r="R749" s="147"/>
      <c r="S749" s="147"/>
      <c r="T749" s="147"/>
      <c r="U749" s="147"/>
      <c r="X749" s="147"/>
      <c r="Y749" s="147"/>
      <c r="Z749" s="147"/>
      <c r="AA749" s="147"/>
      <c r="AB749" s="147"/>
      <c r="AC749" s="147"/>
      <c r="AD749" s="147"/>
      <c r="AE749" s="147"/>
      <c r="AF749" s="147"/>
      <c r="AG749" s="147"/>
      <c r="AH749" s="147"/>
      <c r="AI749" s="147"/>
      <c r="AJ749" s="147"/>
      <c r="AK749" s="147"/>
      <c r="AL749" s="147"/>
      <c r="AM749" s="147"/>
      <c r="AN749" s="147"/>
      <c r="AO749" s="147"/>
      <c r="AP749" s="147"/>
      <c r="AQ749" s="147"/>
    </row>
    <row r="750" spans="1:43">
      <c r="A750" s="3"/>
      <c r="B750" s="3"/>
      <c r="C750" s="3"/>
      <c r="D750" s="3"/>
      <c r="E750" s="3"/>
      <c r="F750" s="3"/>
      <c r="G750" s="3"/>
      <c r="H750" s="3"/>
      <c r="I750" s="3"/>
      <c r="J750" s="3"/>
      <c r="K750" s="3"/>
      <c r="L750" s="3"/>
      <c r="M750" s="3"/>
      <c r="N750" s="157"/>
      <c r="O750" s="157"/>
      <c r="P750" s="157"/>
      <c r="R750" s="147"/>
      <c r="S750" s="147"/>
      <c r="T750" s="147"/>
      <c r="U750" s="147"/>
      <c r="X750" s="147"/>
      <c r="Y750" s="147"/>
      <c r="Z750" s="147"/>
      <c r="AA750" s="147"/>
      <c r="AB750" s="147"/>
      <c r="AC750" s="147"/>
      <c r="AD750" s="147"/>
      <c r="AE750" s="147"/>
      <c r="AF750" s="147"/>
      <c r="AG750" s="147"/>
      <c r="AH750" s="147"/>
      <c r="AI750" s="147"/>
      <c r="AJ750" s="147"/>
      <c r="AK750" s="147"/>
      <c r="AL750" s="147"/>
      <c r="AM750" s="147"/>
      <c r="AN750" s="147"/>
      <c r="AO750" s="147"/>
      <c r="AP750" s="147"/>
      <c r="AQ750" s="147"/>
    </row>
    <row r="751" spans="1:43">
      <c r="A751" s="3"/>
      <c r="B751" s="3"/>
      <c r="C751" s="3"/>
      <c r="D751" s="3"/>
      <c r="E751" s="3"/>
      <c r="F751" s="3"/>
      <c r="G751" s="3"/>
      <c r="H751" s="3"/>
      <c r="I751" s="3"/>
      <c r="J751" s="3"/>
      <c r="K751" s="3"/>
      <c r="L751" s="3"/>
      <c r="M751" s="3"/>
      <c r="N751" s="157"/>
      <c r="O751" s="157"/>
      <c r="P751" s="157"/>
      <c r="R751" s="147"/>
      <c r="S751" s="147"/>
      <c r="T751" s="147"/>
      <c r="U751" s="147"/>
      <c r="X751" s="147"/>
      <c r="Y751" s="147"/>
      <c r="Z751" s="147"/>
      <c r="AA751" s="147"/>
      <c r="AB751" s="147"/>
      <c r="AC751" s="147"/>
      <c r="AD751" s="147"/>
      <c r="AE751" s="147"/>
      <c r="AF751" s="147"/>
      <c r="AG751" s="147"/>
      <c r="AH751" s="147"/>
      <c r="AI751" s="147"/>
      <c r="AJ751" s="147"/>
      <c r="AK751" s="147"/>
      <c r="AL751" s="147"/>
      <c r="AM751" s="147"/>
      <c r="AN751" s="147"/>
      <c r="AO751" s="147"/>
      <c r="AP751" s="147"/>
      <c r="AQ751" s="147"/>
    </row>
    <row r="752" spans="1:43">
      <c r="A752" s="3"/>
      <c r="B752" s="3"/>
      <c r="C752" s="3"/>
      <c r="D752" s="3"/>
      <c r="E752" s="3"/>
      <c r="F752" s="3"/>
      <c r="G752" s="3"/>
      <c r="H752" s="3"/>
      <c r="I752" s="3"/>
      <c r="J752" s="3"/>
      <c r="K752" s="3"/>
      <c r="L752" s="3"/>
      <c r="M752" s="3"/>
      <c r="N752" s="157"/>
      <c r="O752" s="157"/>
      <c r="P752" s="157"/>
      <c r="R752" s="147"/>
      <c r="S752" s="147"/>
      <c r="T752" s="147"/>
      <c r="U752" s="147"/>
      <c r="X752" s="147"/>
      <c r="Y752" s="147"/>
      <c r="Z752" s="147"/>
      <c r="AA752" s="147"/>
      <c r="AB752" s="147"/>
      <c r="AC752" s="147"/>
      <c r="AD752" s="147"/>
      <c r="AE752" s="147"/>
      <c r="AF752" s="147"/>
      <c r="AG752" s="147"/>
      <c r="AH752" s="147"/>
      <c r="AI752" s="147"/>
      <c r="AJ752" s="147"/>
      <c r="AK752" s="147"/>
      <c r="AL752" s="147"/>
      <c r="AM752" s="147"/>
      <c r="AN752" s="147"/>
      <c r="AO752" s="147"/>
      <c r="AP752" s="147"/>
      <c r="AQ752" s="147"/>
    </row>
    <row r="753" spans="1:43">
      <c r="A753" s="3"/>
      <c r="B753" s="3"/>
      <c r="C753" s="3"/>
      <c r="D753" s="3"/>
      <c r="E753" s="3"/>
      <c r="F753" s="3"/>
      <c r="G753" s="3"/>
      <c r="H753" s="3"/>
      <c r="I753" s="3"/>
      <c r="J753" s="3"/>
      <c r="K753" s="3"/>
      <c r="L753" s="3"/>
      <c r="M753" s="3"/>
      <c r="N753" s="157"/>
      <c r="O753" s="157"/>
      <c r="P753" s="157"/>
      <c r="R753" s="147"/>
      <c r="S753" s="147"/>
      <c r="T753" s="147"/>
      <c r="U753" s="147"/>
      <c r="X753" s="147"/>
      <c r="Y753" s="147"/>
      <c r="Z753" s="147"/>
      <c r="AA753" s="147"/>
      <c r="AB753" s="147"/>
      <c r="AC753" s="147"/>
      <c r="AD753" s="147"/>
      <c r="AE753" s="147"/>
      <c r="AF753" s="147"/>
      <c r="AG753" s="147"/>
      <c r="AH753" s="147"/>
      <c r="AI753" s="147"/>
      <c r="AJ753" s="147"/>
      <c r="AK753" s="147"/>
      <c r="AL753" s="147"/>
      <c r="AM753" s="147"/>
      <c r="AN753" s="147"/>
      <c r="AO753" s="147"/>
      <c r="AP753" s="147"/>
      <c r="AQ753" s="147"/>
    </row>
    <row r="754" spans="1:43">
      <c r="A754" s="3"/>
      <c r="B754" s="3"/>
      <c r="C754" s="3"/>
      <c r="D754" s="3"/>
      <c r="E754" s="3"/>
      <c r="F754" s="3"/>
      <c r="G754" s="3"/>
      <c r="H754" s="3"/>
      <c r="I754" s="3"/>
      <c r="J754" s="3"/>
      <c r="K754" s="3"/>
      <c r="L754" s="3"/>
      <c r="M754" s="3"/>
      <c r="N754" s="157"/>
      <c r="O754" s="157"/>
      <c r="P754" s="157"/>
      <c r="R754" s="147"/>
      <c r="S754" s="147"/>
      <c r="T754" s="147"/>
      <c r="U754" s="147"/>
      <c r="X754" s="147"/>
      <c r="Y754" s="147"/>
      <c r="Z754" s="147"/>
      <c r="AA754" s="147"/>
      <c r="AB754" s="147"/>
      <c r="AC754" s="147"/>
      <c r="AD754" s="147"/>
      <c r="AE754" s="147"/>
      <c r="AF754" s="147"/>
      <c r="AG754" s="147"/>
      <c r="AH754" s="147"/>
      <c r="AI754" s="147"/>
      <c r="AJ754" s="147"/>
      <c r="AK754" s="147"/>
      <c r="AL754" s="147"/>
      <c r="AM754" s="147"/>
      <c r="AN754" s="147"/>
      <c r="AO754" s="147"/>
      <c r="AP754" s="147"/>
      <c r="AQ754" s="147"/>
    </row>
    <row r="755" spans="1:43">
      <c r="A755" s="3"/>
      <c r="B755" s="3"/>
      <c r="C755" s="3"/>
      <c r="D755" s="3"/>
      <c r="E755" s="3"/>
      <c r="F755" s="3"/>
      <c r="G755" s="3"/>
      <c r="H755" s="3"/>
      <c r="I755" s="3"/>
      <c r="J755" s="3"/>
      <c r="K755" s="3"/>
      <c r="L755" s="3"/>
      <c r="M755" s="3"/>
      <c r="N755" s="157"/>
      <c r="O755" s="157"/>
      <c r="P755" s="157"/>
      <c r="R755" s="147"/>
      <c r="S755" s="147"/>
      <c r="T755" s="147"/>
      <c r="U755" s="147"/>
      <c r="X755" s="147"/>
      <c r="Y755" s="147"/>
      <c r="Z755" s="147"/>
      <c r="AA755" s="147"/>
      <c r="AB755" s="147"/>
      <c r="AC755" s="147"/>
      <c r="AD755" s="147"/>
      <c r="AE755" s="147"/>
      <c r="AF755" s="147"/>
      <c r="AG755" s="147"/>
      <c r="AH755" s="147"/>
      <c r="AI755" s="147"/>
      <c r="AJ755" s="147"/>
      <c r="AK755" s="147"/>
      <c r="AL755" s="147"/>
      <c r="AM755" s="147"/>
      <c r="AN755" s="147"/>
      <c r="AO755" s="147"/>
      <c r="AP755" s="147"/>
      <c r="AQ755" s="147"/>
    </row>
    <row r="756" spans="1:43">
      <c r="A756" s="3"/>
      <c r="B756" s="3"/>
      <c r="C756" s="3"/>
      <c r="D756" s="3"/>
      <c r="E756" s="3"/>
      <c r="F756" s="3"/>
      <c r="G756" s="3"/>
      <c r="H756" s="3"/>
      <c r="I756" s="3"/>
      <c r="J756" s="3"/>
      <c r="K756" s="3"/>
      <c r="L756" s="3"/>
      <c r="M756" s="3"/>
      <c r="N756" s="157"/>
      <c r="O756" s="157"/>
      <c r="P756" s="157"/>
      <c r="R756" s="147"/>
      <c r="S756" s="147"/>
      <c r="T756" s="147"/>
      <c r="U756" s="147"/>
      <c r="X756" s="147"/>
      <c r="Y756" s="147"/>
      <c r="Z756" s="147"/>
      <c r="AA756" s="147"/>
      <c r="AB756" s="147"/>
      <c r="AC756" s="147"/>
      <c r="AD756" s="147"/>
      <c r="AE756" s="147"/>
      <c r="AF756" s="147"/>
      <c r="AG756" s="147"/>
      <c r="AH756" s="147"/>
      <c r="AI756" s="147"/>
      <c r="AJ756" s="147"/>
      <c r="AK756" s="147"/>
      <c r="AL756" s="147"/>
      <c r="AM756" s="147"/>
      <c r="AN756" s="147"/>
      <c r="AO756" s="147"/>
      <c r="AP756" s="147"/>
      <c r="AQ756" s="147"/>
    </row>
    <row r="757" spans="1:43">
      <c r="A757" s="3"/>
      <c r="B757" s="3"/>
      <c r="C757" s="3"/>
      <c r="D757" s="3"/>
      <c r="E757" s="3"/>
      <c r="F757" s="3"/>
      <c r="G757" s="3"/>
      <c r="H757" s="3"/>
      <c r="I757" s="3"/>
      <c r="J757" s="3"/>
      <c r="K757" s="3"/>
      <c r="L757" s="3"/>
      <c r="M757" s="3"/>
      <c r="N757" s="157"/>
      <c r="O757" s="157"/>
      <c r="P757" s="157"/>
      <c r="R757" s="147"/>
      <c r="S757" s="147"/>
      <c r="T757" s="147"/>
      <c r="U757" s="147"/>
      <c r="X757" s="147"/>
      <c r="Y757" s="147"/>
      <c r="Z757" s="147"/>
      <c r="AA757" s="147"/>
      <c r="AB757" s="147"/>
      <c r="AC757" s="147"/>
      <c r="AD757" s="147"/>
      <c r="AE757" s="147"/>
      <c r="AF757" s="147"/>
      <c r="AG757" s="147"/>
      <c r="AH757" s="147"/>
      <c r="AI757" s="147"/>
      <c r="AJ757" s="147"/>
      <c r="AK757" s="147"/>
      <c r="AL757" s="147"/>
      <c r="AM757" s="147"/>
      <c r="AN757" s="147"/>
      <c r="AO757" s="147"/>
      <c r="AP757" s="147"/>
      <c r="AQ757" s="147"/>
    </row>
    <row r="758" spans="1:43">
      <c r="A758" s="3"/>
      <c r="B758" s="3"/>
      <c r="C758" s="3"/>
      <c r="D758" s="3"/>
      <c r="E758" s="3"/>
      <c r="F758" s="3"/>
      <c r="G758" s="3"/>
      <c r="H758" s="3"/>
      <c r="I758" s="3"/>
      <c r="J758" s="3"/>
      <c r="K758" s="3"/>
      <c r="L758" s="3"/>
      <c r="M758" s="3"/>
      <c r="N758" s="157"/>
      <c r="O758" s="157"/>
      <c r="P758" s="157"/>
      <c r="R758" s="147"/>
      <c r="S758" s="147"/>
      <c r="T758" s="147"/>
      <c r="U758" s="147"/>
      <c r="X758" s="147"/>
      <c r="Y758" s="147"/>
      <c r="Z758" s="147"/>
      <c r="AA758" s="147"/>
      <c r="AB758" s="147"/>
      <c r="AC758" s="147"/>
      <c r="AD758" s="147"/>
      <c r="AE758" s="147"/>
      <c r="AF758" s="147"/>
      <c r="AG758" s="147"/>
      <c r="AH758" s="147"/>
      <c r="AI758" s="147"/>
      <c r="AJ758" s="147"/>
      <c r="AK758" s="147"/>
      <c r="AL758" s="147"/>
      <c r="AM758" s="147"/>
      <c r="AN758" s="147"/>
      <c r="AO758" s="147"/>
      <c r="AP758" s="147"/>
      <c r="AQ758" s="147"/>
    </row>
    <row r="759" spans="1:43">
      <c r="A759" s="3"/>
      <c r="B759" s="3"/>
      <c r="C759" s="3"/>
      <c r="D759" s="3"/>
      <c r="E759" s="3"/>
      <c r="F759" s="3"/>
      <c r="G759" s="3"/>
      <c r="H759" s="3"/>
      <c r="I759" s="3"/>
      <c r="J759" s="3"/>
      <c r="K759" s="3"/>
      <c r="L759" s="3"/>
      <c r="M759" s="3"/>
      <c r="N759" s="157"/>
      <c r="O759" s="157"/>
      <c r="P759" s="157"/>
      <c r="R759" s="147"/>
      <c r="S759" s="147"/>
      <c r="T759" s="147"/>
      <c r="U759" s="147"/>
      <c r="X759" s="147"/>
      <c r="Y759" s="147"/>
      <c r="Z759" s="147"/>
      <c r="AA759" s="147"/>
      <c r="AB759" s="147"/>
      <c r="AC759" s="147"/>
      <c r="AD759" s="147"/>
      <c r="AE759" s="147"/>
      <c r="AF759" s="147"/>
      <c r="AG759" s="147"/>
      <c r="AH759" s="147"/>
      <c r="AI759" s="147"/>
      <c r="AJ759" s="147"/>
      <c r="AK759" s="147"/>
      <c r="AL759" s="147"/>
      <c r="AM759" s="147"/>
      <c r="AN759" s="147"/>
      <c r="AO759" s="147"/>
      <c r="AP759" s="147"/>
      <c r="AQ759" s="147"/>
    </row>
    <row r="760" spans="1:43">
      <c r="A760" s="3"/>
      <c r="B760" s="3"/>
      <c r="C760" s="3"/>
      <c r="D760" s="3"/>
      <c r="E760" s="3"/>
      <c r="F760" s="3"/>
      <c r="G760" s="3"/>
      <c r="H760" s="3"/>
      <c r="I760" s="3"/>
      <c r="J760" s="3"/>
      <c r="K760" s="3"/>
      <c r="L760" s="3"/>
      <c r="M760" s="3"/>
      <c r="N760" s="157"/>
      <c r="O760" s="157"/>
      <c r="P760" s="157"/>
      <c r="R760" s="147"/>
      <c r="S760" s="147"/>
      <c r="T760" s="147"/>
      <c r="U760" s="147"/>
      <c r="X760" s="147"/>
      <c r="Y760" s="147"/>
      <c r="Z760" s="147"/>
      <c r="AA760" s="147"/>
      <c r="AB760" s="147"/>
      <c r="AC760" s="147"/>
      <c r="AD760" s="147"/>
      <c r="AE760" s="147"/>
      <c r="AF760" s="147"/>
      <c r="AG760" s="147"/>
      <c r="AH760" s="147"/>
      <c r="AI760" s="147"/>
      <c r="AJ760" s="147"/>
      <c r="AK760" s="147"/>
      <c r="AL760" s="147"/>
      <c r="AM760" s="147"/>
      <c r="AN760" s="147"/>
      <c r="AO760" s="147"/>
      <c r="AP760" s="147"/>
      <c r="AQ760" s="147"/>
    </row>
    <row r="761" spans="1:43">
      <c r="A761" s="3"/>
      <c r="B761" s="3"/>
      <c r="C761" s="3"/>
      <c r="D761" s="3"/>
      <c r="E761" s="3"/>
      <c r="F761" s="3"/>
      <c r="G761" s="3"/>
      <c r="H761" s="3"/>
      <c r="I761" s="3"/>
      <c r="J761" s="3"/>
      <c r="K761" s="3"/>
      <c r="L761" s="3"/>
      <c r="M761" s="3"/>
      <c r="N761" s="157"/>
      <c r="O761" s="157"/>
      <c r="P761" s="157"/>
      <c r="R761" s="147"/>
      <c r="S761" s="147"/>
      <c r="T761" s="147"/>
      <c r="U761" s="147"/>
      <c r="X761" s="147"/>
      <c r="Y761" s="147"/>
      <c r="Z761" s="147"/>
      <c r="AA761" s="147"/>
      <c r="AB761" s="147"/>
      <c r="AC761" s="147"/>
      <c r="AD761" s="147"/>
      <c r="AE761" s="147"/>
      <c r="AF761" s="147"/>
      <c r="AG761" s="147"/>
      <c r="AH761" s="147"/>
      <c r="AI761" s="147"/>
      <c r="AJ761" s="147"/>
      <c r="AK761" s="147"/>
      <c r="AL761" s="147"/>
      <c r="AM761" s="147"/>
      <c r="AN761" s="147"/>
      <c r="AO761" s="147"/>
      <c r="AP761" s="147"/>
      <c r="AQ761" s="147"/>
    </row>
    <row r="762" spans="1:43">
      <c r="A762" s="3"/>
      <c r="B762" s="3"/>
      <c r="C762" s="3"/>
      <c r="D762" s="3"/>
      <c r="E762" s="3"/>
      <c r="F762" s="3"/>
      <c r="G762" s="3"/>
      <c r="H762" s="3"/>
      <c r="I762" s="3"/>
      <c r="J762" s="3"/>
      <c r="K762" s="3"/>
      <c r="L762" s="3"/>
      <c r="M762" s="3"/>
      <c r="N762" s="157"/>
      <c r="O762" s="157"/>
      <c r="P762" s="157"/>
      <c r="R762" s="147"/>
      <c r="S762" s="147"/>
      <c r="T762" s="147"/>
      <c r="U762" s="147"/>
      <c r="X762" s="147"/>
      <c r="Y762" s="147"/>
      <c r="Z762" s="147"/>
      <c r="AA762" s="147"/>
      <c r="AB762" s="147"/>
      <c r="AC762" s="147"/>
      <c r="AD762" s="147"/>
      <c r="AE762" s="147"/>
      <c r="AF762" s="147"/>
      <c r="AG762" s="147"/>
      <c r="AH762" s="147"/>
      <c r="AI762" s="147"/>
      <c r="AJ762" s="147"/>
      <c r="AK762" s="147"/>
      <c r="AL762" s="147"/>
      <c r="AM762" s="147"/>
      <c r="AN762" s="147"/>
      <c r="AO762" s="147"/>
      <c r="AP762" s="147"/>
      <c r="AQ762" s="147"/>
    </row>
    <row r="763" spans="1:43">
      <c r="A763" s="3"/>
      <c r="B763" s="3"/>
      <c r="C763" s="3"/>
      <c r="D763" s="3"/>
      <c r="E763" s="3"/>
      <c r="F763" s="3"/>
      <c r="G763" s="3"/>
      <c r="H763" s="3"/>
      <c r="I763" s="3"/>
      <c r="J763" s="3"/>
      <c r="K763" s="3"/>
      <c r="L763" s="3"/>
      <c r="M763" s="3"/>
      <c r="N763" s="157"/>
      <c r="O763" s="157"/>
      <c r="P763" s="157"/>
      <c r="R763" s="147"/>
      <c r="S763" s="147"/>
      <c r="T763" s="147"/>
      <c r="U763" s="147"/>
      <c r="X763" s="147"/>
      <c r="Y763" s="147"/>
      <c r="Z763" s="147"/>
      <c r="AA763" s="147"/>
      <c r="AB763" s="147"/>
      <c r="AC763" s="147"/>
      <c r="AD763" s="147"/>
      <c r="AE763" s="147"/>
      <c r="AF763" s="147"/>
      <c r="AG763" s="147"/>
      <c r="AH763" s="147"/>
      <c r="AI763" s="147"/>
      <c r="AJ763" s="147"/>
      <c r="AK763" s="147"/>
      <c r="AL763" s="147"/>
      <c r="AM763" s="147"/>
      <c r="AN763" s="147"/>
      <c r="AO763" s="147"/>
      <c r="AP763" s="147"/>
      <c r="AQ763" s="147"/>
    </row>
    <row r="764" spans="1:43">
      <c r="A764" s="3"/>
      <c r="B764" s="3"/>
      <c r="C764" s="3"/>
      <c r="D764" s="3"/>
      <c r="E764" s="3"/>
      <c r="F764" s="3"/>
      <c r="G764" s="3"/>
      <c r="H764" s="3"/>
      <c r="I764" s="3"/>
      <c r="J764" s="3"/>
      <c r="K764" s="3"/>
      <c r="L764" s="3"/>
      <c r="M764" s="3"/>
      <c r="N764" s="157"/>
      <c r="O764" s="157"/>
      <c r="P764" s="157"/>
      <c r="R764" s="147"/>
      <c r="S764" s="147"/>
      <c r="T764" s="147"/>
      <c r="U764" s="147"/>
      <c r="X764" s="147"/>
      <c r="Y764" s="147"/>
      <c r="Z764" s="147"/>
      <c r="AA764" s="147"/>
      <c r="AB764" s="147"/>
      <c r="AC764" s="147"/>
      <c r="AD764" s="147"/>
      <c r="AE764" s="147"/>
      <c r="AF764" s="147"/>
      <c r="AG764" s="147"/>
      <c r="AH764" s="147"/>
      <c r="AI764" s="147"/>
      <c r="AJ764" s="147"/>
      <c r="AK764" s="147"/>
      <c r="AL764" s="147"/>
      <c r="AM764" s="147"/>
      <c r="AN764" s="147"/>
      <c r="AO764" s="147"/>
      <c r="AP764" s="147"/>
      <c r="AQ764" s="147"/>
    </row>
    <row r="765" spans="1:43">
      <c r="A765" s="3"/>
      <c r="B765" s="3"/>
      <c r="C765" s="3"/>
      <c r="D765" s="3"/>
      <c r="E765" s="3"/>
      <c r="F765" s="3"/>
      <c r="G765" s="3"/>
      <c r="H765" s="3"/>
      <c r="I765" s="3"/>
      <c r="J765" s="3"/>
      <c r="K765" s="3"/>
      <c r="L765" s="3"/>
      <c r="M765" s="3"/>
      <c r="N765" s="157"/>
      <c r="O765" s="157"/>
      <c r="P765" s="157"/>
      <c r="R765" s="147"/>
      <c r="S765" s="147"/>
      <c r="T765" s="147"/>
      <c r="U765" s="147"/>
      <c r="X765" s="147"/>
      <c r="Y765" s="147"/>
      <c r="Z765" s="147"/>
      <c r="AA765" s="147"/>
      <c r="AB765" s="147"/>
      <c r="AC765" s="147"/>
      <c r="AD765" s="147"/>
      <c r="AE765" s="147"/>
      <c r="AF765" s="147"/>
      <c r="AG765" s="147"/>
      <c r="AH765" s="147"/>
      <c r="AI765" s="147"/>
      <c r="AJ765" s="147"/>
      <c r="AK765" s="147"/>
      <c r="AL765" s="147"/>
      <c r="AM765" s="147"/>
      <c r="AN765" s="147"/>
      <c r="AO765" s="147"/>
      <c r="AP765" s="147"/>
      <c r="AQ765" s="147"/>
    </row>
    <row r="766" spans="1:43">
      <c r="A766" s="3"/>
      <c r="B766" s="3"/>
      <c r="C766" s="3"/>
      <c r="D766" s="3"/>
      <c r="E766" s="3"/>
      <c r="F766" s="3"/>
      <c r="G766" s="3"/>
      <c r="H766" s="3"/>
      <c r="I766" s="3"/>
      <c r="J766" s="3"/>
      <c r="K766" s="3"/>
      <c r="L766" s="3"/>
      <c r="M766" s="3"/>
      <c r="N766" s="157"/>
      <c r="O766" s="157"/>
      <c r="P766" s="157"/>
      <c r="R766" s="147"/>
      <c r="S766" s="147"/>
      <c r="T766" s="147"/>
      <c r="U766" s="147"/>
      <c r="X766" s="147"/>
      <c r="Y766" s="147"/>
      <c r="Z766" s="147"/>
      <c r="AA766" s="147"/>
      <c r="AB766" s="147"/>
      <c r="AC766" s="147"/>
      <c r="AD766" s="147"/>
      <c r="AE766" s="147"/>
      <c r="AF766" s="147"/>
      <c r="AG766" s="147"/>
      <c r="AH766" s="147"/>
      <c r="AI766" s="147"/>
      <c r="AJ766" s="147"/>
      <c r="AK766" s="147"/>
      <c r="AL766" s="147"/>
      <c r="AM766" s="147"/>
      <c r="AN766" s="147"/>
      <c r="AO766" s="147"/>
      <c r="AP766" s="147"/>
      <c r="AQ766" s="147"/>
    </row>
    <row r="767" spans="1:43">
      <c r="A767" s="3"/>
      <c r="B767" s="3"/>
      <c r="C767" s="3"/>
      <c r="D767" s="3"/>
      <c r="E767" s="3"/>
      <c r="F767" s="3"/>
      <c r="G767" s="3"/>
      <c r="H767" s="3"/>
      <c r="I767" s="3"/>
      <c r="J767" s="3"/>
      <c r="K767" s="3"/>
      <c r="L767" s="3"/>
      <c r="M767" s="3"/>
      <c r="N767" s="157"/>
      <c r="O767" s="157"/>
      <c r="P767" s="157"/>
      <c r="R767" s="147"/>
      <c r="S767" s="147"/>
      <c r="T767" s="147"/>
      <c r="U767" s="147"/>
      <c r="X767" s="147"/>
      <c r="Y767" s="147"/>
      <c r="Z767" s="147"/>
      <c r="AA767" s="147"/>
      <c r="AB767" s="147"/>
      <c r="AC767" s="147"/>
      <c r="AD767" s="147"/>
      <c r="AE767" s="147"/>
      <c r="AF767" s="147"/>
      <c r="AG767" s="147"/>
      <c r="AH767" s="147"/>
      <c r="AI767" s="147"/>
      <c r="AJ767" s="147"/>
      <c r="AK767" s="147"/>
      <c r="AL767" s="147"/>
      <c r="AM767" s="147"/>
      <c r="AN767" s="147"/>
      <c r="AO767" s="147"/>
      <c r="AP767" s="147"/>
      <c r="AQ767" s="147"/>
    </row>
    <row r="768" spans="1:43">
      <c r="A768" s="3"/>
      <c r="B768" s="3"/>
      <c r="C768" s="3"/>
      <c r="D768" s="3"/>
      <c r="E768" s="3"/>
      <c r="F768" s="3"/>
      <c r="G768" s="3"/>
      <c r="H768" s="3"/>
      <c r="I768" s="3"/>
      <c r="J768" s="3"/>
      <c r="K768" s="3"/>
      <c r="L768" s="3"/>
      <c r="M768" s="3"/>
      <c r="N768" s="157"/>
      <c r="O768" s="157"/>
      <c r="P768" s="157"/>
      <c r="R768" s="147"/>
      <c r="S768" s="147"/>
      <c r="T768" s="147"/>
      <c r="U768" s="147"/>
      <c r="X768" s="147"/>
      <c r="Y768" s="147"/>
      <c r="Z768" s="147"/>
      <c r="AA768" s="147"/>
      <c r="AB768" s="147"/>
      <c r="AC768" s="147"/>
      <c r="AD768" s="147"/>
      <c r="AE768" s="147"/>
      <c r="AF768" s="147"/>
      <c r="AG768" s="147"/>
      <c r="AH768" s="147"/>
      <c r="AI768" s="147"/>
      <c r="AJ768" s="147"/>
      <c r="AK768" s="147"/>
      <c r="AL768" s="147"/>
      <c r="AM768" s="147"/>
      <c r="AN768" s="147"/>
      <c r="AO768" s="147"/>
      <c r="AP768" s="147"/>
      <c r="AQ768" s="147"/>
    </row>
    <row r="769" spans="1:43">
      <c r="A769" s="3"/>
      <c r="B769" s="3"/>
      <c r="C769" s="3"/>
      <c r="D769" s="3"/>
      <c r="E769" s="3"/>
      <c r="F769" s="3"/>
      <c r="G769" s="3"/>
      <c r="H769" s="3"/>
      <c r="I769" s="3"/>
      <c r="J769" s="3"/>
      <c r="K769" s="3"/>
      <c r="L769" s="3"/>
      <c r="M769" s="3"/>
      <c r="N769" s="157"/>
      <c r="O769" s="157"/>
      <c r="P769" s="157"/>
      <c r="R769" s="147"/>
      <c r="S769" s="147"/>
      <c r="T769" s="147"/>
      <c r="U769" s="147"/>
      <c r="X769" s="147"/>
      <c r="Y769" s="147"/>
      <c r="Z769" s="147"/>
      <c r="AA769" s="147"/>
      <c r="AB769" s="147"/>
      <c r="AC769" s="147"/>
      <c r="AD769" s="147"/>
      <c r="AE769" s="147"/>
      <c r="AF769" s="147"/>
      <c r="AG769" s="147"/>
      <c r="AH769" s="147"/>
      <c r="AI769" s="147"/>
      <c r="AJ769" s="147"/>
      <c r="AK769" s="147"/>
      <c r="AL769" s="147"/>
      <c r="AM769" s="147"/>
      <c r="AN769" s="147"/>
      <c r="AO769" s="147"/>
      <c r="AP769" s="147"/>
      <c r="AQ769" s="147"/>
    </row>
    <row r="770" spans="1:43">
      <c r="A770" s="3"/>
      <c r="B770" s="3"/>
      <c r="C770" s="3"/>
      <c r="D770" s="3"/>
      <c r="E770" s="3"/>
      <c r="F770" s="3"/>
      <c r="G770" s="3"/>
      <c r="H770" s="3"/>
      <c r="I770" s="3"/>
      <c r="J770" s="3"/>
      <c r="K770" s="3"/>
      <c r="L770" s="3"/>
      <c r="M770" s="3"/>
      <c r="N770" s="157"/>
      <c r="O770" s="157"/>
      <c r="P770" s="157"/>
      <c r="R770" s="147"/>
      <c r="S770" s="147"/>
      <c r="T770" s="147"/>
      <c r="U770" s="147"/>
      <c r="X770" s="147"/>
      <c r="Y770" s="147"/>
      <c r="Z770" s="147"/>
      <c r="AA770" s="147"/>
      <c r="AB770" s="147"/>
      <c r="AC770" s="147"/>
      <c r="AD770" s="147"/>
      <c r="AE770" s="147"/>
      <c r="AF770" s="147"/>
      <c r="AG770" s="147"/>
      <c r="AH770" s="147"/>
      <c r="AI770" s="147"/>
      <c r="AJ770" s="147"/>
      <c r="AK770" s="147"/>
      <c r="AL770" s="147"/>
      <c r="AM770" s="147"/>
      <c r="AN770" s="147"/>
      <c r="AO770" s="147"/>
      <c r="AP770" s="147"/>
      <c r="AQ770" s="147"/>
    </row>
    <row r="771" spans="1:43">
      <c r="A771" s="3"/>
      <c r="B771" s="3"/>
      <c r="C771" s="3"/>
      <c r="D771" s="3"/>
      <c r="E771" s="3"/>
      <c r="F771" s="3"/>
      <c r="G771" s="3"/>
      <c r="H771" s="3"/>
      <c r="I771" s="3"/>
      <c r="J771" s="3"/>
      <c r="K771" s="3"/>
      <c r="L771" s="3"/>
      <c r="M771" s="3"/>
      <c r="N771" s="157"/>
      <c r="O771" s="157"/>
      <c r="P771" s="157"/>
      <c r="R771" s="147"/>
      <c r="S771" s="147"/>
      <c r="T771" s="147"/>
      <c r="U771" s="147"/>
      <c r="X771" s="147"/>
      <c r="Y771" s="147"/>
      <c r="Z771" s="147"/>
      <c r="AA771" s="147"/>
      <c r="AB771" s="147"/>
      <c r="AC771" s="147"/>
      <c r="AD771" s="147"/>
      <c r="AE771" s="147"/>
      <c r="AF771" s="147"/>
      <c r="AG771" s="147"/>
      <c r="AH771" s="147"/>
      <c r="AI771" s="147"/>
      <c r="AJ771" s="147"/>
      <c r="AK771" s="147"/>
      <c r="AL771" s="147"/>
      <c r="AM771" s="147"/>
      <c r="AN771" s="147"/>
      <c r="AO771" s="147"/>
      <c r="AP771" s="147"/>
      <c r="AQ771" s="147"/>
    </row>
    <row r="772" spans="1:43">
      <c r="A772" s="3"/>
      <c r="B772" s="3"/>
      <c r="C772" s="3"/>
      <c r="D772" s="3"/>
      <c r="E772" s="3"/>
      <c r="F772" s="3"/>
      <c r="G772" s="3"/>
      <c r="H772" s="3"/>
      <c r="I772" s="3"/>
      <c r="J772" s="3"/>
      <c r="K772" s="3"/>
      <c r="L772" s="3"/>
      <c r="M772" s="3"/>
      <c r="N772" s="157"/>
      <c r="O772" s="157"/>
      <c r="P772" s="157"/>
      <c r="R772" s="147"/>
      <c r="S772" s="147"/>
      <c r="T772" s="147"/>
      <c r="U772" s="147"/>
      <c r="X772" s="147"/>
      <c r="Y772" s="147"/>
      <c r="Z772" s="147"/>
      <c r="AA772" s="147"/>
      <c r="AB772" s="147"/>
      <c r="AC772" s="147"/>
      <c r="AD772" s="147"/>
      <c r="AE772" s="147"/>
      <c r="AF772" s="147"/>
      <c r="AG772" s="147"/>
      <c r="AH772" s="147"/>
      <c r="AI772" s="147"/>
      <c r="AJ772" s="147"/>
      <c r="AK772" s="147"/>
      <c r="AL772" s="147"/>
      <c r="AM772" s="147"/>
      <c r="AN772" s="147"/>
      <c r="AO772" s="147"/>
      <c r="AP772" s="147"/>
      <c r="AQ772" s="147"/>
    </row>
    <row r="773" spans="1:43">
      <c r="A773" s="3"/>
      <c r="B773" s="3"/>
      <c r="C773" s="3"/>
      <c r="D773" s="3"/>
      <c r="E773" s="3"/>
      <c r="F773" s="3"/>
      <c r="G773" s="3"/>
      <c r="H773" s="3"/>
      <c r="I773" s="3"/>
      <c r="J773" s="3"/>
      <c r="K773" s="3"/>
      <c r="L773" s="3"/>
      <c r="M773" s="3"/>
      <c r="N773" s="157"/>
      <c r="O773" s="157"/>
      <c r="P773" s="157"/>
      <c r="R773" s="147"/>
      <c r="S773" s="147"/>
      <c r="T773" s="147"/>
      <c r="U773" s="147"/>
      <c r="X773" s="147"/>
      <c r="Y773" s="147"/>
      <c r="Z773" s="147"/>
      <c r="AA773" s="147"/>
      <c r="AB773" s="147"/>
      <c r="AC773" s="147"/>
      <c r="AD773" s="147"/>
      <c r="AE773" s="147"/>
      <c r="AF773" s="147"/>
      <c r="AG773" s="147"/>
      <c r="AH773" s="147"/>
      <c r="AI773" s="147"/>
      <c r="AJ773" s="147"/>
      <c r="AK773" s="147"/>
      <c r="AL773" s="147"/>
      <c r="AM773" s="147"/>
      <c r="AN773" s="147"/>
      <c r="AO773" s="147"/>
      <c r="AP773" s="147"/>
      <c r="AQ773" s="147"/>
    </row>
    <row r="774" spans="1:43">
      <c r="A774" s="3"/>
      <c r="B774" s="3"/>
      <c r="C774" s="3"/>
      <c r="D774" s="3"/>
      <c r="E774" s="3"/>
      <c r="F774" s="3"/>
      <c r="G774" s="3"/>
      <c r="H774" s="3"/>
      <c r="I774" s="3"/>
      <c r="J774" s="3"/>
      <c r="K774" s="3"/>
      <c r="L774" s="3"/>
      <c r="M774" s="3"/>
      <c r="N774" s="157"/>
      <c r="O774" s="157"/>
      <c r="P774" s="157"/>
      <c r="R774" s="147"/>
      <c r="S774" s="147"/>
      <c r="T774" s="147"/>
      <c r="U774" s="147"/>
      <c r="X774" s="147"/>
      <c r="Y774" s="147"/>
      <c r="Z774" s="147"/>
      <c r="AA774" s="147"/>
      <c r="AB774" s="147"/>
      <c r="AC774" s="147"/>
      <c r="AD774" s="147"/>
      <c r="AE774" s="147"/>
      <c r="AF774" s="147"/>
      <c r="AG774" s="147"/>
      <c r="AH774" s="147"/>
      <c r="AI774" s="147"/>
      <c r="AJ774" s="147"/>
      <c r="AK774" s="147"/>
      <c r="AL774" s="147"/>
      <c r="AM774" s="147"/>
      <c r="AN774" s="147"/>
      <c r="AO774" s="147"/>
      <c r="AP774" s="147"/>
      <c r="AQ774" s="147"/>
    </row>
    <row r="775" spans="1:43">
      <c r="A775" s="3"/>
      <c r="B775" s="3"/>
      <c r="C775" s="3"/>
      <c r="D775" s="3"/>
      <c r="E775" s="3"/>
      <c r="F775" s="3"/>
      <c r="G775" s="3"/>
      <c r="H775" s="3"/>
      <c r="I775" s="3"/>
      <c r="J775" s="3"/>
      <c r="K775" s="3"/>
      <c r="L775" s="3"/>
      <c r="M775" s="3"/>
      <c r="N775" s="157"/>
      <c r="O775" s="157"/>
      <c r="P775" s="157"/>
      <c r="R775" s="147"/>
      <c r="S775" s="147"/>
      <c r="T775" s="147"/>
      <c r="U775" s="147"/>
      <c r="X775" s="147"/>
      <c r="Y775" s="147"/>
      <c r="Z775" s="147"/>
      <c r="AA775" s="147"/>
      <c r="AB775" s="147"/>
      <c r="AC775" s="147"/>
      <c r="AD775" s="147"/>
      <c r="AE775" s="147"/>
      <c r="AF775" s="147"/>
      <c r="AG775" s="147"/>
      <c r="AH775" s="147"/>
      <c r="AI775" s="147"/>
      <c r="AJ775" s="147"/>
      <c r="AK775" s="147"/>
      <c r="AL775" s="147"/>
      <c r="AM775" s="147"/>
      <c r="AN775" s="147"/>
      <c r="AO775" s="147"/>
      <c r="AP775" s="147"/>
      <c r="AQ775" s="147"/>
    </row>
    <row r="776" spans="1:43">
      <c r="A776" s="3"/>
      <c r="B776" s="3"/>
      <c r="C776" s="3"/>
      <c r="D776" s="3"/>
      <c r="E776" s="3"/>
      <c r="F776" s="3"/>
      <c r="G776" s="3"/>
      <c r="H776" s="3"/>
      <c r="I776" s="3"/>
      <c r="J776" s="3"/>
      <c r="K776" s="3"/>
      <c r="L776" s="3"/>
      <c r="M776" s="3"/>
      <c r="N776" s="157"/>
      <c r="O776" s="157"/>
      <c r="P776" s="157"/>
      <c r="R776" s="147"/>
      <c r="S776" s="147"/>
      <c r="T776" s="147"/>
      <c r="U776" s="147"/>
      <c r="X776" s="147"/>
      <c r="Y776" s="147"/>
      <c r="Z776" s="147"/>
      <c r="AA776" s="147"/>
      <c r="AB776" s="147"/>
      <c r="AC776" s="147"/>
      <c r="AD776" s="147"/>
      <c r="AE776" s="147"/>
      <c r="AF776" s="147"/>
      <c r="AG776" s="147"/>
      <c r="AH776" s="147"/>
      <c r="AI776" s="147"/>
      <c r="AJ776" s="147"/>
      <c r="AK776" s="147"/>
      <c r="AL776" s="147"/>
      <c r="AM776" s="147"/>
      <c r="AN776" s="147"/>
      <c r="AO776" s="147"/>
      <c r="AP776" s="147"/>
      <c r="AQ776" s="147"/>
    </row>
    <row r="777" spans="1:43">
      <c r="A777" s="3"/>
      <c r="B777" s="3"/>
      <c r="C777" s="3"/>
      <c r="D777" s="3"/>
      <c r="E777" s="3"/>
      <c r="F777" s="3"/>
      <c r="G777" s="3"/>
      <c r="H777" s="3"/>
      <c r="I777" s="3"/>
      <c r="J777" s="3"/>
      <c r="K777" s="3"/>
      <c r="L777" s="3"/>
      <c r="M777" s="3"/>
      <c r="N777" s="157"/>
      <c r="O777" s="157"/>
      <c r="P777" s="157"/>
      <c r="R777" s="147"/>
      <c r="S777" s="147"/>
      <c r="T777" s="147"/>
      <c r="U777" s="147"/>
      <c r="X777" s="147"/>
      <c r="Y777" s="147"/>
      <c r="Z777" s="147"/>
      <c r="AA777" s="147"/>
      <c r="AB777" s="147"/>
      <c r="AC777" s="147"/>
      <c r="AD777" s="147"/>
      <c r="AE777" s="147"/>
      <c r="AF777" s="147"/>
      <c r="AG777" s="147"/>
      <c r="AH777" s="147"/>
      <c r="AI777" s="147"/>
      <c r="AJ777" s="147"/>
      <c r="AK777" s="147"/>
      <c r="AL777" s="147"/>
      <c r="AM777" s="147"/>
      <c r="AN777" s="147"/>
      <c r="AO777" s="147"/>
      <c r="AP777" s="147"/>
      <c r="AQ777" s="147"/>
    </row>
    <row r="778" spans="1:43">
      <c r="A778" s="3"/>
      <c r="B778" s="3"/>
      <c r="C778" s="3"/>
      <c r="D778" s="3"/>
      <c r="E778" s="3"/>
      <c r="F778" s="3"/>
      <c r="G778" s="3"/>
      <c r="H778" s="3"/>
      <c r="I778" s="3"/>
      <c r="J778" s="3"/>
      <c r="K778" s="3"/>
      <c r="L778" s="3"/>
      <c r="M778" s="3"/>
      <c r="N778" s="157"/>
      <c r="O778" s="157"/>
      <c r="P778" s="157"/>
      <c r="R778" s="147"/>
      <c r="S778" s="147"/>
      <c r="T778" s="147"/>
      <c r="U778" s="147"/>
      <c r="X778" s="147"/>
      <c r="Y778" s="147"/>
      <c r="Z778" s="147"/>
      <c r="AA778" s="147"/>
      <c r="AB778" s="147"/>
      <c r="AC778" s="147"/>
      <c r="AD778" s="147"/>
      <c r="AE778" s="147"/>
      <c r="AF778" s="147"/>
      <c r="AG778" s="147"/>
      <c r="AH778" s="147"/>
      <c r="AI778" s="147"/>
      <c r="AJ778" s="147"/>
      <c r="AK778" s="147"/>
      <c r="AL778" s="147"/>
      <c r="AM778" s="147"/>
      <c r="AN778" s="147"/>
      <c r="AO778" s="147"/>
      <c r="AP778" s="147"/>
      <c r="AQ778" s="147"/>
    </row>
    <row r="779" spans="1:43">
      <c r="A779" s="3"/>
      <c r="B779" s="3"/>
      <c r="C779" s="3"/>
      <c r="D779" s="3"/>
      <c r="E779" s="3"/>
      <c r="F779" s="3"/>
      <c r="G779" s="3"/>
      <c r="H779" s="3"/>
      <c r="I779" s="3"/>
      <c r="J779" s="3"/>
      <c r="K779" s="3"/>
      <c r="L779" s="3"/>
      <c r="M779" s="3"/>
      <c r="N779" s="157"/>
      <c r="O779" s="157"/>
      <c r="P779" s="157"/>
      <c r="R779" s="147"/>
      <c r="S779" s="147"/>
      <c r="T779" s="147"/>
      <c r="U779" s="147"/>
      <c r="X779" s="147"/>
      <c r="Y779" s="147"/>
      <c r="Z779" s="147"/>
      <c r="AA779" s="147"/>
      <c r="AB779" s="147"/>
      <c r="AC779" s="147"/>
      <c r="AD779" s="147"/>
      <c r="AE779" s="147"/>
      <c r="AF779" s="147"/>
      <c r="AG779" s="147"/>
      <c r="AH779" s="147"/>
      <c r="AI779" s="147"/>
      <c r="AJ779" s="147"/>
      <c r="AK779" s="147"/>
      <c r="AL779" s="147"/>
      <c r="AM779" s="147"/>
      <c r="AN779" s="147"/>
      <c r="AO779" s="147"/>
      <c r="AP779" s="147"/>
      <c r="AQ779" s="147"/>
    </row>
    <row r="780" spans="1:43">
      <c r="A780" s="3"/>
      <c r="B780" s="3"/>
      <c r="C780" s="3"/>
      <c r="D780" s="3"/>
      <c r="E780" s="3"/>
      <c r="F780" s="3"/>
      <c r="G780" s="3"/>
      <c r="H780" s="3"/>
      <c r="I780" s="3"/>
      <c r="J780" s="3"/>
      <c r="K780" s="3"/>
      <c r="L780" s="3"/>
      <c r="M780" s="3"/>
      <c r="N780" s="157"/>
      <c r="O780" s="157"/>
      <c r="P780" s="157"/>
      <c r="R780" s="147"/>
      <c r="S780" s="147"/>
      <c r="T780" s="147"/>
      <c r="U780" s="147"/>
      <c r="X780" s="147"/>
      <c r="Y780" s="147"/>
      <c r="Z780" s="147"/>
      <c r="AA780" s="147"/>
      <c r="AB780" s="147"/>
      <c r="AC780" s="147"/>
      <c r="AD780" s="147"/>
      <c r="AE780" s="147"/>
      <c r="AF780" s="147"/>
      <c r="AG780" s="147"/>
      <c r="AH780" s="147"/>
      <c r="AI780" s="147"/>
      <c r="AJ780" s="147"/>
      <c r="AK780" s="147"/>
      <c r="AL780" s="147"/>
      <c r="AM780" s="147"/>
      <c r="AN780" s="147"/>
      <c r="AO780" s="147"/>
      <c r="AP780" s="147"/>
      <c r="AQ780" s="147"/>
    </row>
    <row r="781" spans="1:43">
      <c r="A781" s="3"/>
      <c r="B781" s="3"/>
      <c r="C781" s="3"/>
      <c r="D781" s="3"/>
      <c r="E781" s="3"/>
      <c r="F781" s="3"/>
      <c r="G781" s="3"/>
      <c r="H781" s="3"/>
      <c r="I781" s="3"/>
      <c r="J781" s="3"/>
      <c r="K781" s="3"/>
      <c r="L781" s="3"/>
      <c r="M781" s="3"/>
      <c r="N781" s="157"/>
      <c r="O781" s="157"/>
      <c r="P781" s="157"/>
      <c r="R781" s="147"/>
      <c r="S781" s="147"/>
      <c r="T781" s="147"/>
      <c r="U781" s="147"/>
      <c r="X781" s="147"/>
      <c r="Y781" s="147"/>
      <c r="Z781" s="147"/>
      <c r="AA781" s="147"/>
      <c r="AB781" s="147"/>
      <c r="AC781" s="147"/>
      <c r="AD781" s="147"/>
      <c r="AE781" s="147"/>
      <c r="AF781" s="147"/>
      <c r="AG781" s="147"/>
      <c r="AH781" s="147"/>
      <c r="AI781" s="147"/>
      <c r="AJ781" s="147"/>
      <c r="AK781" s="147"/>
      <c r="AL781" s="147"/>
      <c r="AM781" s="147"/>
      <c r="AN781" s="147"/>
      <c r="AO781" s="147"/>
      <c r="AP781" s="147"/>
      <c r="AQ781" s="147"/>
    </row>
    <row r="782" spans="1:43">
      <c r="A782" s="3"/>
      <c r="B782" s="3"/>
      <c r="C782" s="3"/>
      <c r="D782" s="3"/>
      <c r="E782" s="3"/>
      <c r="F782" s="3"/>
      <c r="G782" s="3"/>
      <c r="H782" s="3"/>
      <c r="I782" s="3"/>
      <c r="J782" s="3"/>
      <c r="K782" s="3"/>
      <c r="L782" s="3"/>
      <c r="M782" s="3"/>
      <c r="N782" s="157"/>
      <c r="O782" s="157"/>
      <c r="P782" s="157"/>
      <c r="R782" s="147"/>
      <c r="S782" s="147"/>
      <c r="T782" s="147"/>
      <c r="U782" s="147"/>
      <c r="X782" s="147"/>
      <c r="Y782" s="147"/>
      <c r="Z782" s="147"/>
      <c r="AA782" s="147"/>
      <c r="AB782" s="147"/>
      <c r="AC782" s="147"/>
      <c r="AD782" s="147"/>
      <c r="AE782" s="147"/>
      <c r="AF782" s="147"/>
      <c r="AG782" s="147"/>
      <c r="AH782" s="147"/>
      <c r="AI782" s="147"/>
      <c r="AJ782" s="147"/>
      <c r="AK782" s="147"/>
      <c r="AL782" s="147"/>
      <c r="AM782" s="147"/>
      <c r="AN782" s="147"/>
      <c r="AO782" s="147"/>
      <c r="AP782" s="147"/>
      <c r="AQ782" s="147"/>
    </row>
    <row r="783" spans="1:43">
      <c r="A783" s="3"/>
      <c r="B783" s="3"/>
      <c r="C783" s="3"/>
      <c r="D783" s="3"/>
      <c r="E783" s="3"/>
      <c r="F783" s="3"/>
      <c r="G783" s="3"/>
      <c r="H783" s="3"/>
      <c r="I783" s="3"/>
      <c r="J783" s="3"/>
      <c r="K783" s="3"/>
      <c r="L783" s="3"/>
      <c r="M783" s="3"/>
      <c r="N783" s="157"/>
      <c r="O783" s="157"/>
      <c r="P783" s="157"/>
      <c r="R783" s="147"/>
      <c r="S783" s="147"/>
      <c r="T783" s="147"/>
      <c r="U783" s="147"/>
      <c r="X783" s="147"/>
      <c r="Y783" s="147"/>
      <c r="Z783" s="147"/>
      <c r="AA783" s="147"/>
      <c r="AB783" s="147"/>
      <c r="AC783" s="147"/>
      <c r="AD783" s="147"/>
      <c r="AE783" s="147"/>
      <c r="AF783" s="147"/>
      <c r="AG783" s="147"/>
      <c r="AH783" s="147"/>
      <c r="AI783" s="147"/>
      <c r="AJ783" s="147"/>
      <c r="AK783" s="147"/>
      <c r="AL783" s="147"/>
      <c r="AM783" s="147"/>
      <c r="AN783" s="147"/>
      <c r="AO783" s="147"/>
      <c r="AP783" s="147"/>
      <c r="AQ783" s="147"/>
    </row>
    <row r="784" spans="1:43">
      <c r="A784" s="3"/>
      <c r="B784" s="3"/>
      <c r="C784" s="3"/>
      <c r="D784" s="3"/>
      <c r="E784" s="3"/>
      <c r="F784" s="3"/>
      <c r="G784" s="3"/>
      <c r="H784" s="3"/>
      <c r="I784" s="3"/>
      <c r="J784" s="3"/>
      <c r="K784" s="3"/>
      <c r="L784" s="3"/>
      <c r="M784" s="3"/>
      <c r="N784" s="157"/>
      <c r="O784" s="157"/>
      <c r="P784" s="157"/>
      <c r="R784" s="147"/>
      <c r="S784" s="147"/>
      <c r="T784" s="147"/>
      <c r="U784" s="147"/>
      <c r="X784" s="147"/>
      <c r="Y784" s="147"/>
      <c r="Z784" s="147"/>
      <c r="AA784" s="147"/>
      <c r="AB784" s="147"/>
      <c r="AC784" s="147"/>
      <c r="AD784" s="147"/>
      <c r="AE784" s="147"/>
      <c r="AF784" s="147"/>
      <c r="AG784" s="147"/>
      <c r="AH784" s="147"/>
      <c r="AI784" s="147"/>
      <c r="AJ784" s="147"/>
      <c r="AK784" s="147"/>
      <c r="AL784" s="147"/>
      <c r="AM784" s="147"/>
      <c r="AN784" s="147"/>
      <c r="AO784" s="147"/>
      <c r="AP784" s="147"/>
      <c r="AQ784" s="147"/>
    </row>
    <row r="785" spans="1:43">
      <c r="A785" s="3"/>
      <c r="B785" s="3"/>
      <c r="C785" s="3"/>
      <c r="D785" s="3"/>
      <c r="E785" s="3"/>
      <c r="F785" s="3"/>
      <c r="G785" s="3"/>
      <c r="H785" s="3"/>
      <c r="I785" s="3"/>
      <c r="J785" s="3"/>
      <c r="K785" s="3"/>
      <c r="L785" s="3"/>
      <c r="M785" s="3"/>
      <c r="N785" s="157"/>
      <c r="O785" s="157"/>
      <c r="P785" s="157"/>
      <c r="R785" s="147"/>
      <c r="S785" s="147"/>
      <c r="T785" s="147"/>
      <c r="U785" s="147"/>
      <c r="X785" s="147"/>
      <c r="Y785" s="147"/>
      <c r="Z785" s="147"/>
      <c r="AA785" s="147"/>
      <c r="AB785" s="147"/>
      <c r="AC785" s="147"/>
      <c r="AD785" s="147"/>
      <c r="AE785" s="147"/>
      <c r="AF785" s="147"/>
      <c r="AG785" s="147"/>
      <c r="AH785" s="147"/>
      <c r="AI785" s="147"/>
      <c r="AJ785" s="147"/>
      <c r="AK785" s="147"/>
      <c r="AL785" s="147"/>
      <c r="AM785" s="147"/>
      <c r="AN785" s="147"/>
      <c r="AO785" s="147"/>
      <c r="AP785" s="147"/>
      <c r="AQ785" s="147"/>
    </row>
    <row r="786" spans="1:43">
      <c r="A786" s="3"/>
      <c r="B786" s="3"/>
      <c r="C786" s="3"/>
      <c r="D786" s="3"/>
      <c r="E786" s="3"/>
      <c r="F786" s="3"/>
      <c r="G786" s="3"/>
      <c r="H786" s="3"/>
      <c r="I786" s="3"/>
      <c r="J786" s="3"/>
      <c r="K786" s="3"/>
      <c r="L786" s="3"/>
      <c r="M786" s="3"/>
      <c r="N786" s="157"/>
      <c r="O786" s="157"/>
      <c r="P786" s="157"/>
      <c r="R786" s="147"/>
      <c r="S786" s="147"/>
      <c r="T786" s="147"/>
      <c r="U786" s="147"/>
      <c r="X786" s="147"/>
      <c r="Y786" s="147"/>
      <c r="Z786" s="147"/>
      <c r="AA786" s="147"/>
      <c r="AB786" s="147"/>
      <c r="AC786" s="147"/>
      <c r="AD786" s="147"/>
      <c r="AE786" s="147"/>
      <c r="AF786" s="147"/>
      <c r="AG786" s="147"/>
      <c r="AH786" s="147"/>
      <c r="AI786" s="147"/>
      <c r="AJ786" s="147"/>
      <c r="AK786" s="147"/>
      <c r="AL786" s="147"/>
      <c r="AM786" s="147"/>
      <c r="AN786" s="147"/>
      <c r="AO786" s="147"/>
      <c r="AP786" s="147"/>
      <c r="AQ786" s="147"/>
    </row>
    <row r="787" spans="1:43">
      <c r="A787" s="3"/>
      <c r="B787" s="3"/>
      <c r="C787" s="3"/>
      <c r="D787" s="3"/>
      <c r="E787" s="3"/>
      <c r="F787" s="3"/>
      <c r="G787" s="3"/>
      <c r="H787" s="3"/>
      <c r="I787" s="3"/>
      <c r="J787" s="3"/>
      <c r="K787" s="3"/>
      <c r="L787" s="3"/>
      <c r="M787" s="3"/>
      <c r="N787" s="157"/>
      <c r="O787" s="157"/>
      <c r="P787" s="157"/>
      <c r="R787" s="147"/>
      <c r="S787" s="147"/>
      <c r="T787" s="147"/>
      <c r="U787" s="147"/>
      <c r="X787" s="147"/>
      <c r="Y787" s="147"/>
      <c r="Z787" s="147"/>
      <c r="AA787" s="147"/>
      <c r="AB787" s="147"/>
      <c r="AC787" s="147"/>
      <c r="AD787" s="147"/>
      <c r="AE787" s="147"/>
      <c r="AF787" s="147"/>
      <c r="AG787" s="147"/>
      <c r="AH787" s="147"/>
      <c r="AI787" s="147"/>
      <c r="AJ787" s="147"/>
      <c r="AK787" s="147"/>
      <c r="AL787" s="147"/>
      <c r="AM787" s="147"/>
      <c r="AN787" s="147"/>
      <c r="AO787" s="147"/>
      <c r="AP787" s="147"/>
      <c r="AQ787" s="147"/>
    </row>
    <row r="788" spans="1:43">
      <c r="A788" s="3"/>
      <c r="B788" s="3"/>
      <c r="C788" s="3"/>
      <c r="D788" s="3"/>
      <c r="E788" s="3"/>
      <c r="F788" s="3"/>
      <c r="G788" s="3"/>
      <c r="H788" s="3"/>
      <c r="I788" s="3"/>
      <c r="J788" s="3"/>
      <c r="K788" s="3"/>
      <c r="L788" s="3"/>
      <c r="M788" s="3"/>
      <c r="N788" s="157"/>
      <c r="O788" s="157"/>
      <c r="P788" s="157"/>
      <c r="R788" s="147"/>
      <c r="S788" s="147"/>
      <c r="T788" s="147"/>
      <c r="U788" s="147"/>
      <c r="X788" s="147"/>
      <c r="Y788" s="147"/>
      <c r="Z788" s="147"/>
      <c r="AA788" s="147"/>
      <c r="AB788" s="147"/>
      <c r="AC788" s="147"/>
      <c r="AD788" s="147"/>
      <c r="AE788" s="147"/>
      <c r="AF788" s="147"/>
      <c r="AG788" s="147"/>
      <c r="AH788" s="147"/>
      <c r="AI788" s="147"/>
      <c r="AJ788" s="147"/>
      <c r="AK788" s="147"/>
      <c r="AL788" s="147"/>
      <c r="AM788" s="147"/>
      <c r="AN788" s="147"/>
      <c r="AO788" s="147"/>
      <c r="AP788" s="147"/>
      <c r="AQ788" s="147"/>
    </row>
    <row r="789" spans="1:43">
      <c r="A789" s="3"/>
      <c r="B789" s="3"/>
      <c r="C789" s="3"/>
      <c r="D789" s="3"/>
      <c r="E789" s="3"/>
      <c r="F789" s="3"/>
      <c r="G789" s="3"/>
      <c r="H789" s="3"/>
      <c r="I789" s="3"/>
      <c r="J789" s="3"/>
      <c r="K789" s="3"/>
      <c r="L789" s="3"/>
      <c r="M789" s="3"/>
      <c r="N789" s="157"/>
      <c r="O789" s="157"/>
      <c r="P789" s="157"/>
      <c r="R789" s="147"/>
      <c r="S789" s="147"/>
      <c r="T789" s="147"/>
      <c r="U789" s="147"/>
      <c r="X789" s="147"/>
      <c r="Y789" s="147"/>
      <c r="Z789" s="147"/>
      <c r="AA789" s="147"/>
      <c r="AB789" s="147"/>
      <c r="AC789" s="147"/>
      <c r="AD789" s="147"/>
      <c r="AE789" s="147"/>
      <c r="AF789" s="147"/>
      <c r="AG789" s="147"/>
      <c r="AH789" s="147"/>
      <c r="AI789" s="147"/>
      <c r="AJ789" s="147"/>
      <c r="AK789" s="147"/>
      <c r="AL789" s="147"/>
      <c r="AM789" s="147"/>
      <c r="AN789" s="147"/>
      <c r="AO789" s="147"/>
      <c r="AP789" s="147"/>
      <c r="AQ789" s="147"/>
    </row>
    <row r="790" spans="1:43">
      <c r="A790" s="3"/>
      <c r="B790" s="3"/>
      <c r="C790" s="3"/>
      <c r="D790" s="3"/>
      <c r="E790" s="3"/>
      <c r="F790" s="3"/>
      <c r="G790" s="3"/>
      <c r="H790" s="3"/>
      <c r="I790" s="3"/>
      <c r="J790" s="3"/>
      <c r="K790" s="3"/>
      <c r="L790" s="3"/>
      <c r="M790" s="3"/>
      <c r="N790" s="157"/>
      <c r="O790" s="157"/>
      <c r="P790" s="157"/>
      <c r="R790" s="147"/>
      <c r="S790" s="147"/>
      <c r="T790" s="147"/>
      <c r="U790" s="147"/>
      <c r="X790" s="147"/>
      <c r="Y790" s="147"/>
      <c r="Z790" s="147"/>
      <c r="AA790" s="147"/>
      <c r="AB790" s="147"/>
      <c r="AC790" s="147"/>
      <c r="AD790" s="147"/>
      <c r="AE790" s="147"/>
      <c r="AF790" s="147"/>
      <c r="AG790" s="147"/>
      <c r="AH790" s="147"/>
      <c r="AI790" s="147"/>
      <c r="AJ790" s="147"/>
      <c r="AK790" s="147"/>
      <c r="AL790" s="147"/>
      <c r="AM790" s="147"/>
      <c r="AN790" s="147"/>
      <c r="AO790" s="147"/>
      <c r="AP790" s="147"/>
      <c r="AQ790" s="147"/>
    </row>
    <row r="791" spans="1:43">
      <c r="A791" s="3"/>
      <c r="B791" s="3"/>
      <c r="C791" s="3"/>
      <c r="D791" s="3"/>
      <c r="E791" s="3"/>
      <c r="F791" s="3"/>
      <c r="G791" s="3"/>
      <c r="H791" s="3"/>
      <c r="I791" s="3"/>
      <c r="J791" s="3"/>
      <c r="K791" s="3"/>
      <c r="L791" s="3"/>
      <c r="M791" s="3"/>
      <c r="N791" s="157"/>
      <c r="O791" s="157"/>
      <c r="P791" s="157"/>
      <c r="R791" s="147"/>
      <c r="S791" s="147"/>
      <c r="T791" s="147"/>
      <c r="U791" s="147"/>
      <c r="X791" s="147"/>
      <c r="Y791" s="147"/>
      <c r="Z791" s="147"/>
      <c r="AA791" s="147"/>
      <c r="AB791" s="147"/>
      <c r="AC791" s="147"/>
      <c r="AD791" s="147"/>
      <c r="AE791" s="147"/>
      <c r="AF791" s="147"/>
      <c r="AG791" s="147"/>
      <c r="AH791" s="147"/>
      <c r="AI791" s="147"/>
      <c r="AJ791" s="147"/>
      <c r="AK791" s="147"/>
      <c r="AL791" s="147"/>
      <c r="AM791" s="147"/>
      <c r="AN791" s="147"/>
      <c r="AO791" s="147"/>
      <c r="AP791" s="147"/>
      <c r="AQ791" s="147"/>
    </row>
    <row r="792" spans="1:43">
      <c r="A792" s="3"/>
      <c r="B792" s="3"/>
      <c r="C792" s="3"/>
      <c r="D792" s="3"/>
      <c r="E792" s="3"/>
      <c r="F792" s="3"/>
      <c r="G792" s="3"/>
      <c r="H792" s="3"/>
      <c r="I792" s="3"/>
      <c r="J792" s="3"/>
      <c r="K792" s="3"/>
      <c r="L792" s="3"/>
      <c r="M792" s="3"/>
      <c r="N792" s="157"/>
      <c r="O792" s="157"/>
      <c r="P792" s="157"/>
      <c r="R792" s="147"/>
      <c r="S792" s="147"/>
      <c r="T792" s="147"/>
      <c r="U792" s="147"/>
      <c r="X792" s="147"/>
      <c r="Y792" s="147"/>
      <c r="Z792" s="147"/>
      <c r="AA792" s="147"/>
      <c r="AB792" s="147"/>
      <c r="AC792" s="147"/>
      <c r="AD792" s="147"/>
      <c r="AE792" s="147"/>
      <c r="AF792" s="147"/>
      <c r="AG792" s="147"/>
      <c r="AH792" s="147"/>
      <c r="AI792" s="147"/>
      <c r="AJ792" s="147"/>
      <c r="AK792" s="147"/>
      <c r="AL792" s="147"/>
      <c r="AM792" s="147"/>
      <c r="AN792" s="147"/>
      <c r="AO792" s="147"/>
      <c r="AP792" s="147"/>
      <c r="AQ792" s="147"/>
    </row>
    <row r="793" spans="1:43">
      <c r="A793" s="3"/>
      <c r="B793" s="3"/>
      <c r="C793" s="3"/>
      <c r="D793" s="3"/>
      <c r="E793" s="3"/>
      <c r="F793" s="3"/>
      <c r="G793" s="3"/>
      <c r="H793" s="3"/>
      <c r="I793" s="3"/>
      <c r="J793" s="3"/>
      <c r="K793" s="3"/>
      <c r="L793" s="3"/>
      <c r="M793" s="3"/>
      <c r="N793" s="157"/>
      <c r="O793" s="157"/>
      <c r="P793" s="157"/>
      <c r="R793" s="147"/>
      <c r="S793" s="147"/>
      <c r="T793" s="147"/>
      <c r="U793" s="147"/>
      <c r="X793" s="147"/>
      <c r="Y793" s="147"/>
      <c r="Z793" s="147"/>
      <c r="AA793" s="147"/>
      <c r="AB793" s="147"/>
      <c r="AC793" s="147"/>
      <c r="AD793" s="147"/>
      <c r="AE793" s="147"/>
      <c r="AF793" s="147"/>
      <c r="AG793" s="147"/>
      <c r="AH793" s="147"/>
      <c r="AI793" s="147"/>
      <c r="AJ793" s="147"/>
      <c r="AK793" s="147"/>
      <c r="AL793" s="147"/>
      <c r="AM793" s="147"/>
      <c r="AN793" s="147"/>
      <c r="AO793" s="147"/>
      <c r="AP793" s="147"/>
      <c r="AQ793" s="147"/>
    </row>
    <row r="794" spans="1:43">
      <c r="A794" s="3"/>
      <c r="B794" s="3"/>
      <c r="C794" s="3"/>
      <c r="D794" s="3"/>
      <c r="E794" s="3"/>
      <c r="F794" s="3"/>
      <c r="G794" s="3"/>
      <c r="H794" s="3"/>
      <c r="I794" s="3"/>
      <c r="J794" s="3"/>
      <c r="K794" s="3"/>
      <c r="L794" s="3"/>
      <c r="M794" s="3"/>
      <c r="N794" s="157"/>
      <c r="O794" s="157"/>
      <c r="P794" s="157"/>
      <c r="R794" s="147"/>
      <c r="S794" s="147"/>
      <c r="T794" s="147"/>
      <c r="U794" s="147"/>
      <c r="X794" s="147"/>
      <c r="Y794" s="147"/>
      <c r="Z794" s="147"/>
      <c r="AA794" s="147"/>
      <c r="AB794" s="147"/>
      <c r="AC794" s="147"/>
      <c r="AD794" s="147"/>
      <c r="AE794" s="147"/>
      <c r="AF794" s="147"/>
      <c r="AG794" s="147"/>
      <c r="AH794" s="147"/>
      <c r="AI794" s="147"/>
      <c r="AJ794" s="147"/>
      <c r="AK794" s="147"/>
      <c r="AL794" s="147"/>
      <c r="AM794" s="147"/>
      <c r="AN794" s="147"/>
      <c r="AO794" s="147"/>
      <c r="AP794" s="147"/>
      <c r="AQ794" s="147"/>
    </row>
    <row r="795" spans="1:43">
      <c r="A795" s="3"/>
      <c r="B795" s="3"/>
      <c r="C795" s="3"/>
      <c r="D795" s="3"/>
      <c r="E795" s="3"/>
      <c r="F795" s="3"/>
      <c r="G795" s="3"/>
      <c r="H795" s="3"/>
      <c r="I795" s="3"/>
      <c r="J795" s="3"/>
      <c r="K795" s="3"/>
      <c r="L795" s="3"/>
      <c r="M795" s="3"/>
      <c r="N795" s="157"/>
      <c r="O795" s="157"/>
      <c r="P795" s="157"/>
      <c r="R795" s="147"/>
      <c r="S795" s="147"/>
      <c r="T795" s="147"/>
      <c r="U795" s="147"/>
      <c r="X795" s="147"/>
      <c r="Y795" s="147"/>
      <c r="Z795" s="147"/>
      <c r="AA795" s="147"/>
      <c r="AB795" s="147"/>
      <c r="AC795" s="147"/>
      <c r="AD795" s="147"/>
      <c r="AE795" s="147"/>
      <c r="AF795" s="147"/>
      <c r="AG795" s="147"/>
      <c r="AH795" s="147"/>
      <c r="AI795" s="147"/>
      <c r="AJ795" s="147"/>
      <c r="AK795" s="147"/>
      <c r="AL795" s="147"/>
      <c r="AM795" s="147"/>
      <c r="AN795" s="147"/>
      <c r="AO795" s="147"/>
      <c r="AP795" s="147"/>
      <c r="AQ795" s="147"/>
    </row>
    <row r="796" spans="1:43">
      <c r="A796" s="3"/>
      <c r="B796" s="3"/>
      <c r="C796" s="3"/>
      <c r="D796" s="3"/>
      <c r="E796" s="3"/>
      <c r="F796" s="3"/>
      <c r="G796" s="3"/>
      <c r="H796" s="3"/>
      <c r="I796" s="3"/>
      <c r="J796" s="3"/>
      <c r="K796" s="3"/>
      <c r="L796" s="3"/>
      <c r="M796" s="3"/>
      <c r="N796" s="157"/>
      <c r="O796" s="157"/>
      <c r="P796" s="157"/>
      <c r="R796" s="147"/>
      <c r="S796" s="147"/>
      <c r="T796" s="147"/>
      <c r="U796" s="147"/>
      <c r="X796" s="147"/>
      <c r="Y796" s="147"/>
      <c r="Z796" s="147"/>
      <c r="AA796" s="147"/>
      <c r="AB796" s="147"/>
      <c r="AC796" s="147"/>
      <c r="AD796" s="147"/>
      <c r="AE796" s="147"/>
      <c r="AF796" s="147"/>
      <c r="AG796" s="147"/>
      <c r="AH796" s="147"/>
      <c r="AI796" s="147"/>
      <c r="AJ796" s="147"/>
      <c r="AK796" s="147"/>
      <c r="AL796" s="147"/>
      <c r="AM796" s="147"/>
      <c r="AN796" s="147"/>
      <c r="AO796" s="147"/>
      <c r="AP796" s="147"/>
      <c r="AQ796" s="147"/>
    </row>
    <row r="797" spans="1:43">
      <c r="A797" s="3"/>
      <c r="B797" s="3"/>
      <c r="C797" s="3"/>
      <c r="D797" s="3"/>
      <c r="E797" s="3"/>
      <c r="F797" s="3"/>
      <c r="G797" s="3"/>
      <c r="H797" s="3"/>
      <c r="I797" s="3"/>
      <c r="J797" s="3"/>
      <c r="K797" s="3"/>
      <c r="L797" s="3"/>
      <c r="M797" s="3"/>
      <c r="N797" s="157"/>
      <c r="O797" s="157"/>
      <c r="P797" s="157"/>
      <c r="R797" s="147"/>
      <c r="S797" s="147"/>
      <c r="T797" s="147"/>
      <c r="U797" s="147"/>
      <c r="X797" s="147"/>
      <c r="Y797" s="147"/>
      <c r="Z797" s="147"/>
      <c r="AA797" s="147"/>
      <c r="AB797" s="147"/>
      <c r="AC797" s="147"/>
      <c r="AD797" s="147"/>
      <c r="AE797" s="147"/>
      <c r="AF797" s="147"/>
      <c r="AG797" s="147"/>
      <c r="AH797" s="147"/>
      <c r="AI797" s="147"/>
      <c r="AJ797" s="147"/>
      <c r="AK797" s="147"/>
      <c r="AL797" s="147"/>
      <c r="AM797" s="147"/>
      <c r="AN797" s="147"/>
      <c r="AO797" s="147"/>
      <c r="AP797" s="147"/>
      <c r="AQ797" s="147"/>
    </row>
    <row r="798" spans="1:43">
      <c r="A798" s="3"/>
      <c r="B798" s="3"/>
      <c r="C798" s="3"/>
      <c r="D798" s="3"/>
      <c r="E798" s="3"/>
      <c r="F798" s="3"/>
      <c r="G798" s="3"/>
      <c r="H798" s="3"/>
      <c r="I798" s="3"/>
      <c r="J798" s="3"/>
      <c r="K798" s="3"/>
      <c r="L798" s="3"/>
      <c r="M798" s="3"/>
      <c r="N798" s="157"/>
      <c r="O798" s="157"/>
      <c r="P798" s="157"/>
      <c r="R798" s="147"/>
      <c r="S798" s="147"/>
      <c r="T798" s="147"/>
      <c r="U798" s="147"/>
      <c r="X798" s="147"/>
      <c r="Y798" s="147"/>
      <c r="Z798" s="147"/>
      <c r="AA798" s="147"/>
      <c r="AB798" s="147"/>
      <c r="AC798" s="147"/>
      <c r="AD798" s="147"/>
      <c r="AE798" s="147"/>
      <c r="AF798" s="147"/>
      <c r="AG798" s="147"/>
      <c r="AH798" s="147"/>
      <c r="AI798" s="147"/>
      <c r="AJ798" s="147"/>
      <c r="AK798" s="147"/>
      <c r="AL798" s="147"/>
      <c r="AM798" s="147"/>
      <c r="AN798" s="147"/>
      <c r="AO798" s="147"/>
      <c r="AP798" s="147"/>
      <c r="AQ798" s="147"/>
    </row>
    <row r="799" spans="1:43">
      <c r="A799" s="3"/>
      <c r="B799" s="3"/>
      <c r="C799" s="3"/>
      <c r="D799" s="3"/>
      <c r="E799" s="3"/>
      <c r="F799" s="3"/>
      <c r="G799" s="3"/>
      <c r="H799" s="3"/>
      <c r="I799" s="3"/>
      <c r="J799" s="3"/>
      <c r="K799" s="3"/>
      <c r="L799" s="3"/>
      <c r="M799" s="3"/>
      <c r="N799" s="157"/>
      <c r="O799" s="157"/>
      <c r="P799" s="157"/>
      <c r="R799" s="147"/>
      <c r="S799" s="147"/>
      <c r="T799" s="147"/>
      <c r="U799" s="147"/>
      <c r="X799" s="147"/>
      <c r="Y799" s="147"/>
      <c r="Z799" s="147"/>
      <c r="AA799" s="147"/>
      <c r="AB799" s="147"/>
      <c r="AC799" s="147"/>
      <c r="AD799" s="147"/>
      <c r="AE799" s="147"/>
      <c r="AF799" s="147"/>
      <c r="AG799" s="147"/>
      <c r="AH799" s="147"/>
      <c r="AI799" s="147"/>
      <c r="AJ799" s="147"/>
      <c r="AK799" s="147"/>
      <c r="AL799" s="147"/>
      <c r="AM799" s="147"/>
      <c r="AN799" s="147"/>
      <c r="AO799" s="147"/>
      <c r="AP799" s="147"/>
      <c r="AQ799" s="147"/>
    </row>
    <row r="800" spans="1:43">
      <c r="A800" s="3"/>
      <c r="B800" s="3"/>
      <c r="C800" s="3"/>
      <c r="D800" s="3"/>
      <c r="E800" s="3"/>
      <c r="F800" s="3"/>
      <c r="G800" s="3"/>
      <c r="H800" s="3"/>
      <c r="I800" s="3"/>
      <c r="J800" s="3"/>
      <c r="K800" s="3"/>
      <c r="L800" s="3"/>
      <c r="M800" s="3"/>
      <c r="N800" s="157"/>
      <c r="O800" s="157"/>
      <c r="P800" s="157"/>
      <c r="R800" s="147"/>
      <c r="S800" s="147"/>
      <c r="T800" s="147"/>
      <c r="U800" s="147"/>
      <c r="X800" s="147"/>
      <c r="Y800" s="147"/>
      <c r="Z800" s="147"/>
      <c r="AA800" s="147"/>
      <c r="AB800" s="147"/>
      <c r="AC800" s="147"/>
      <c r="AD800" s="147"/>
      <c r="AE800" s="147"/>
      <c r="AF800" s="147"/>
      <c r="AG800" s="147"/>
      <c r="AH800" s="147"/>
      <c r="AI800" s="147"/>
      <c r="AJ800" s="147"/>
      <c r="AK800" s="147"/>
      <c r="AL800" s="147"/>
      <c r="AM800" s="147"/>
      <c r="AN800" s="147"/>
      <c r="AO800" s="147"/>
      <c r="AP800" s="147"/>
      <c r="AQ800" s="147"/>
    </row>
    <row r="801" spans="1:43">
      <c r="A801" s="3"/>
      <c r="B801" s="3"/>
      <c r="C801" s="3"/>
      <c r="D801" s="3"/>
      <c r="E801" s="3"/>
      <c r="F801" s="3"/>
      <c r="G801" s="3"/>
      <c r="H801" s="3"/>
      <c r="I801" s="3"/>
      <c r="J801" s="3"/>
      <c r="K801" s="3"/>
      <c r="L801" s="3"/>
      <c r="M801" s="3"/>
      <c r="N801" s="157"/>
      <c r="O801" s="157"/>
      <c r="P801" s="157"/>
      <c r="R801" s="147"/>
      <c r="S801" s="147"/>
      <c r="T801" s="147"/>
      <c r="U801" s="147"/>
      <c r="X801" s="147"/>
      <c r="Y801" s="147"/>
      <c r="Z801" s="147"/>
      <c r="AA801" s="147"/>
      <c r="AB801" s="147"/>
      <c r="AC801" s="147"/>
      <c r="AD801" s="147"/>
      <c r="AE801" s="147"/>
      <c r="AF801" s="147"/>
      <c r="AG801" s="147"/>
      <c r="AH801" s="147"/>
      <c r="AI801" s="147"/>
      <c r="AJ801" s="147"/>
      <c r="AK801" s="147"/>
      <c r="AL801" s="147"/>
      <c r="AM801" s="147"/>
      <c r="AN801" s="147"/>
      <c r="AO801" s="147"/>
      <c r="AP801" s="147"/>
      <c r="AQ801" s="147"/>
    </row>
    <row r="802" spans="1:43">
      <c r="A802" s="3"/>
      <c r="B802" s="3"/>
      <c r="C802" s="3"/>
      <c r="D802" s="3"/>
      <c r="E802" s="3"/>
      <c r="F802" s="3"/>
      <c r="G802" s="3"/>
      <c r="H802" s="3"/>
      <c r="I802" s="3"/>
      <c r="J802" s="3"/>
      <c r="K802" s="3"/>
      <c r="L802" s="3"/>
      <c r="M802" s="3"/>
      <c r="N802" s="157"/>
      <c r="O802" s="157"/>
      <c r="P802" s="157"/>
      <c r="R802" s="147"/>
      <c r="S802" s="147"/>
      <c r="T802" s="147"/>
      <c r="U802" s="147"/>
      <c r="X802" s="147"/>
      <c r="Y802" s="147"/>
      <c r="Z802" s="147"/>
      <c r="AA802" s="147"/>
      <c r="AB802" s="147"/>
      <c r="AC802" s="147"/>
      <c r="AD802" s="147"/>
      <c r="AE802" s="147"/>
      <c r="AF802" s="147"/>
      <c r="AG802" s="147"/>
      <c r="AH802" s="147"/>
      <c r="AI802" s="147"/>
      <c r="AJ802" s="147"/>
      <c r="AK802" s="147"/>
      <c r="AL802" s="147"/>
      <c r="AM802" s="147"/>
      <c r="AN802" s="147"/>
      <c r="AO802" s="147"/>
      <c r="AP802" s="147"/>
      <c r="AQ802" s="147"/>
    </row>
    <row r="803" spans="1:43">
      <c r="A803" s="3"/>
      <c r="B803" s="3"/>
      <c r="C803" s="3"/>
      <c r="D803" s="3"/>
      <c r="E803" s="3"/>
      <c r="F803" s="3"/>
      <c r="G803" s="3"/>
      <c r="H803" s="3"/>
      <c r="I803" s="3"/>
      <c r="J803" s="3"/>
      <c r="K803" s="3"/>
      <c r="L803" s="3"/>
      <c r="M803" s="3"/>
      <c r="N803" s="157"/>
      <c r="O803" s="157"/>
      <c r="P803" s="157"/>
      <c r="R803" s="147"/>
      <c r="S803" s="147"/>
      <c r="T803" s="147"/>
      <c r="U803" s="147"/>
      <c r="X803" s="147"/>
      <c r="Y803" s="147"/>
      <c r="Z803" s="147"/>
      <c r="AA803" s="147"/>
      <c r="AB803" s="147"/>
      <c r="AC803" s="147"/>
      <c r="AD803" s="147"/>
      <c r="AE803" s="147"/>
      <c r="AF803" s="147"/>
      <c r="AG803" s="147"/>
      <c r="AH803" s="147"/>
      <c r="AI803" s="147"/>
      <c r="AJ803" s="147"/>
      <c r="AK803" s="147"/>
      <c r="AL803" s="147"/>
      <c r="AM803" s="147"/>
      <c r="AN803" s="147"/>
      <c r="AO803" s="147"/>
      <c r="AP803" s="147"/>
      <c r="AQ803" s="147"/>
    </row>
    <row r="804" spans="1:43">
      <c r="A804" s="3"/>
      <c r="B804" s="3"/>
      <c r="C804" s="3"/>
      <c r="D804" s="3"/>
      <c r="E804" s="3"/>
      <c r="F804" s="3"/>
      <c r="G804" s="3"/>
      <c r="H804" s="3"/>
      <c r="I804" s="3"/>
      <c r="J804" s="3"/>
      <c r="K804" s="3"/>
      <c r="L804" s="3"/>
      <c r="M804" s="3"/>
      <c r="N804" s="157"/>
      <c r="O804" s="157"/>
      <c r="P804" s="157"/>
      <c r="R804" s="147"/>
      <c r="S804" s="147"/>
      <c r="T804" s="147"/>
      <c r="U804" s="147"/>
      <c r="X804" s="147"/>
      <c r="Y804" s="147"/>
      <c r="Z804" s="147"/>
      <c r="AA804" s="147"/>
      <c r="AB804" s="147"/>
      <c r="AC804" s="147"/>
      <c r="AD804" s="147"/>
      <c r="AE804" s="147"/>
      <c r="AF804" s="147"/>
      <c r="AG804" s="147"/>
      <c r="AH804" s="147"/>
      <c r="AI804" s="147"/>
      <c r="AJ804" s="147"/>
      <c r="AK804" s="147"/>
      <c r="AL804" s="147"/>
      <c r="AM804" s="147"/>
      <c r="AN804" s="147"/>
      <c r="AO804" s="147"/>
      <c r="AP804" s="147"/>
      <c r="AQ804" s="147"/>
    </row>
    <row r="805" spans="1:43">
      <c r="A805" s="3"/>
      <c r="B805" s="3"/>
      <c r="C805" s="3"/>
      <c r="D805" s="3"/>
      <c r="E805" s="3"/>
      <c r="F805" s="3"/>
      <c r="G805" s="3"/>
      <c r="H805" s="3"/>
      <c r="I805" s="3"/>
      <c r="J805" s="3"/>
      <c r="K805" s="3"/>
      <c r="L805" s="3"/>
      <c r="M805" s="3"/>
      <c r="N805" s="157"/>
      <c r="O805" s="157"/>
      <c r="P805" s="157"/>
      <c r="R805" s="147"/>
      <c r="S805" s="147"/>
      <c r="T805" s="147"/>
      <c r="U805" s="147"/>
      <c r="X805" s="147"/>
      <c r="Y805" s="147"/>
      <c r="Z805" s="147"/>
      <c r="AA805" s="147"/>
      <c r="AB805" s="147"/>
      <c r="AC805" s="147"/>
      <c r="AD805" s="147"/>
      <c r="AE805" s="147"/>
      <c r="AF805" s="147"/>
      <c r="AG805" s="147"/>
      <c r="AH805" s="147"/>
      <c r="AI805" s="147"/>
      <c r="AJ805" s="147"/>
      <c r="AK805" s="147"/>
      <c r="AL805" s="147"/>
      <c r="AM805" s="147"/>
      <c r="AN805" s="147"/>
      <c r="AO805" s="147"/>
      <c r="AP805" s="147"/>
      <c r="AQ805" s="147"/>
    </row>
    <row r="806" spans="1:43">
      <c r="A806" s="3"/>
      <c r="B806" s="3"/>
      <c r="C806" s="3"/>
      <c r="D806" s="3"/>
      <c r="E806" s="3"/>
      <c r="F806" s="3"/>
      <c r="G806" s="3"/>
      <c r="H806" s="3"/>
      <c r="I806" s="3"/>
      <c r="J806" s="3"/>
      <c r="K806" s="3"/>
      <c r="L806" s="3"/>
      <c r="M806" s="3"/>
      <c r="N806" s="157"/>
      <c r="O806" s="157"/>
      <c r="P806" s="157"/>
      <c r="R806" s="147"/>
      <c r="S806" s="147"/>
      <c r="T806" s="147"/>
      <c r="U806" s="147"/>
      <c r="X806" s="147"/>
      <c r="Y806" s="147"/>
      <c r="Z806" s="147"/>
      <c r="AA806" s="147"/>
      <c r="AB806" s="147"/>
      <c r="AC806" s="147"/>
      <c r="AD806" s="147"/>
      <c r="AE806" s="147"/>
      <c r="AF806" s="147"/>
      <c r="AG806" s="147"/>
      <c r="AH806" s="147"/>
      <c r="AI806" s="147"/>
      <c r="AJ806" s="147"/>
      <c r="AK806" s="147"/>
      <c r="AL806" s="147"/>
      <c r="AM806" s="147"/>
      <c r="AN806" s="147"/>
      <c r="AO806" s="147"/>
      <c r="AP806" s="147"/>
      <c r="AQ806" s="147"/>
    </row>
    <row r="807" spans="1:43">
      <c r="A807" s="3"/>
      <c r="B807" s="3"/>
      <c r="C807" s="3"/>
      <c r="D807" s="3"/>
      <c r="E807" s="3"/>
      <c r="F807" s="3"/>
      <c r="G807" s="3"/>
      <c r="H807" s="3"/>
      <c r="I807" s="3"/>
      <c r="J807" s="3"/>
      <c r="K807" s="3"/>
      <c r="L807" s="3"/>
      <c r="M807" s="3"/>
      <c r="N807" s="157"/>
      <c r="O807" s="157"/>
      <c r="P807" s="157"/>
      <c r="R807" s="147"/>
      <c r="S807" s="147"/>
      <c r="T807" s="147"/>
      <c r="U807" s="147"/>
      <c r="X807" s="147"/>
      <c r="Y807" s="147"/>
      <c r="Z807" s="147"/>
      <c r="AA807" s="147"/>
      <c r="AB807" s="147"/>
      <c r="AC807" s="147"/>
      <c r="AD807" s="147"/>
      <c r="AE807" s="147"/>
      <c r="AF807" s="147"/>
      <c r="AG807" s="147"/>
      <c r="AH807" s="147"/>
      <c r="AI807" s="147"/>
      <c r="AJ807" s="147"/>
      <c r="AK807" s="147"/>
      <c r="AL807" s="147"/>
      <c r="AM807" s="147"/>
      <c r="AN807" s="147"/>
      <c r="AO807" s="147"/>
      <c r="AP807" s="147"/>
      <c r="AQ807" s="147"/>
    </row>
    <row r="808" spans="1:43">
      <c r="A808" s="3"/>
      <c r="B808" s="3"/>
      <c r="C808" s="3"/>
      <c r="D808" s="3"/>
      <c r="E808" s="3"/>
      <c r="F808" s="3"/>
      <c r="G808" s="3"/>
      <c r="H808" s="3"/>
      <c r="I808" s="3"/>
      <c r="J808" s="3"/>
      <c r="K808" s="3"/>
      <c r="L808" s="3"/>
      <c r="M808" s="3"/>
      <c r="N808" s="157"/>
      <c r="O808" s="157"/>
      <c r="P808" s="157"/>
      <c r="R808" s="147"/>
      <c r="S808" s="147"/>
      <c r="T808" s="147"/>
      <c r="U808" s="147"/>
      <c r="X808" s="147"/>
      <c r="Y808" s="147"/>
      <c r="Z808" s="147"/>
      <c r="AA808" s="147"/>
      <c r="AB808" s="147"/>
      <c r="AC808" s="147"/>
      <c r="AD808" s="147"/>
      <c r="AE808" s="147"/>
      <c r="AF808" s="147"/>
      <c r="AG808" s="147"/>
      <c r="AH808" s="147"/>
      <c r="AI808" s="147"/>
      <c r="AJ808" s="147"/>
      <c r="AK808" s="147"/>
      <c r="AL808" s="147"/>
      <c r="AM808" s="147"/>
      <c r="AN808" s="147"/>
      <c r="AO808" s="147"/>
      <c r="AP808" s="147"/>
      <c r="AQ808" s="147"/>
    </row>
    <row r="809" spans="1:43">
      <c r="A809" s="3"/>
      <c r="B809" s="3"/>
      <c r="C809" s="3"/>
      <c r="D809" s="3"/>
      <c r="E809" s="3"/>
      <c r="F809" s="3"/>
      <c r="G809" s="3"/>
      <c r="H809" s="3"/>
      <c r="I809" s="3"/>
      <c r="J809" s="3"/>
      <c r="K809" s="3"/>
      <c r="L809" s="3"/>
      <c r="M809" s="3"/>
      <c r="N809" s="157"/>
      <c r="O809" s="157"/>
      <c r="P809" s="157"/>
      <c r="R809" s="147"/>
      <c r="S809" s="147"/>
      <c r="T809" s="147"/>
      <c r="U809" s="147"/>
      <c r="X809" s="147"/>
      <c r="Y809" s="147"/>
      <c r="Z809" s="147"/>
      <c r="AA809" s="147"/>
      <c r="AB809" s="147"/>
      <c r="AC809" s="147"/>
      <c r="AD809" s="147"/>
      <c r="AE809" s="147"/>
      <c r="AF809" s="147"/>
      <c r="AG809" s="147"/>
      <c r="AH809" s="147"/>
      <c r="AI809" s="147"/>
      <c r="AJ809" s="147"/>
      <c r="AK809" s="147"/>
      <c r="AL809" s="147"/>
      <c r="AM809" s="147"/>
      <c r="AN809" s="147"/>
      <c r="AO809" s="147"/>
      <c r="AP809" s="147"/>
      <c r="AQ809" s="147"/>
    </row>
    <row r="810" spans="1:43">
      <c r="A810" s="3"/>
      <c r="B810" s="3"/>
      <c r="C810" s="3"/>
      <c r="D810" s="3"/>
      <c r="E810" s="3"/>
      <c r="F810" s="3"/>
      <c r="G810" s="3"/>
      <c r="H810" s="3"/>
      <c r="I810" s="3"/>
      <c r="J810" s="3"/>
      <c r="K810" s="3"/>
      <c r="L810" s="3"/>
      <c r="M810" s="3"/>
      <c r="N810" s="157"/>
      <c r="O810" s="157"/>
      <c r="P810" s="157"/>
      <c r="R810" s="147"/>
      <c r="S810" s="147"/>
      <c r="T810" s="147"/>
      <c r="U810" s="147"/>
      <c r="X810" s="147"/>
      <c r="Y810" s="147"/>
      <c r="Z810" s="147"/>
      <c r="AA810" s="147"/>
      <c r="AB810" s="147"/>
      <c r="AC810" s="147"/>
      <c r="AD810" s="147"/>
      <c r="AE810" s="147"/>
      <c r="AF810" s="147"/>
      <c r="AG810" s="147"/>
      <c r="AH810" s="147"/>
      <c r="AI810" s="147"/>
      <c r="AJ810" s="147"/>
      <c r="AK810" s="147"/>
      <c r="AL810" s="147"/>
      <c r="AM810" s="147"/>
      <c r="AN810" s="147"/>
      <c r="AO810" s="147"/>
      <c r="AP810" s="147"/>
      <c r="AQ810" s="147"/>
    </row>
    <row r="811" spans="1:43">
      <c r="A811" s="3"/>
      <c r="B811" s="3"/>
      <c r="C811" s="3"/>
      <c r="D811" s="3"/>
      <c r="E811" s="3"/>
      <c r="F811" s="3"/>
      <c r="G811" s="3"/>
      <c r="H811" s="3"/>
      <c r="I811" s="3"/>
      <c r="J811" s="3"/>
      <c r="K811" s="3"/>
      <c r="L811" s="3"/>
      <c r="M811" s="3"/>
      <c r="N811" s="157"/>
      <c r="O811" s="157"/>
      <c r="P811" s="157"/>
      <c r="R811" s="147"/>
      <c r="S811" s="147"/>
      <c r="T811" s="147"/>
      <c r="U811" s="147"/>
      <c r="X811" s="147"/>
      <c r="Y811" s="147"/>
      <c r="Z811" s="147"/>
      <c r="AA811" s="147"/>
      <c r="AB811" s="147"/>
      <c r="AC811" s="147"/>
      <c r="AD811" s="147"/>
      <c r="AE811" s="147"/>
      <c r="AF811" s="147"/>
      <c r="AG811" s="147"/>
      <c r="AH811" s="147"/>
      <c r="AI811" s="147"/>
      <c r="AJ811" s="147"/>
      <c r="AK811" s="147"/>
      <c r="AL811" s="147"/>
      <c r="AM811" s="147"/>
      <c r="AN811" s="147"/>
      <c r="AO811" s="147"/>
      <c r="AP811" s="147"/>
      <c r="AQ811" s="147"/>
    </row>
    <row r="812" spans="1:43">
      <c r="A812" s="3"/>
      <c r="B812" s="3"/>
      <c r="C812" s="3"/>
      <c r="D812" s="3"/>
      <c r="E812" s="3"/>
      <c r="F812" s="3"/>
      <c r="G812" s="3"/>
      <c r="H812" s="3"/>
      <c r="I812" s="3"/>
      <c r="J812" s="3"/>
      <c r="K812" s="3"/>
      <c r="L812" s="3"/>
      <c r="M812" s="3"/>
      <c r="N812" s="157"/>
      <c r="O812" s="157"/>
      <c r="P812" s="157"/>
      <c r="R812" s="147"/>
      <c r="S812" s="147"/>
      <c r="T812" s="147"/>
      <c r="U812" s="147"/>
      <c r="X812" s="147"/>
      <c r="Y812" s="147"/>
      <c r="Z812" s="147"/>
      <c r="AA812" s="147"/>
      <c r="AB812" s="147"/>
      <c r="AC812" s="147"/>
      <c r="AD812" s="147"/>
      <c r="AE812" s="147"/>
      <c r="AF812" s="147"/>
      <c r="AG812" s="147"/>
      <c r="AH812" s="147"/>
      <c r="AI812" s="147"/>
      <c r="AJ812" s="147"/>
      <c r="AK812" s="147"/>
      <c r="AL812" s="147"/>
      <c r="AM812" s="147"/>
      <c r="AN812" s="147"/>
      <c r="AO812" s="147"/>
      <c r="AP812" s="147"/>
      <c r="AQ812" s="147"/>
    </row>
    <row r="813" spans="1:43">
      <c r="A813" s="3"/>
      <c r="B813" s="3"/>
      <c r="C813" s="3"/>
      <c r="D813" s="3"/>
      <c r="E813" s="3"/>
      <c r="F813" s="3"/>
      <c r="G813" s="3"/>
      <c r="H813" s="3"/>
      <c r="I813" s="3"/>
      <c r="J813" s="3"/>
      <c r="K813" s="3"/>
      <c r="L813" s="3"/>
      <c r="M813" s="3"/>
      <c r="N813" s="157"/>
      <c r="O813" s="157"/>
      <c r="P813" s="157"/>
      <c r="R813" s="147"/>
      <c r="S813" s="147"/>
      <c r="T813" s="147"/>
      <c r="U813" s="147"/>
      <c r="X813" s="147"/>
      <c r="Y813" s="147"/>
      <c r="Z813" s="147"/>
      <c r="AA813" s="147"/>
      <c r="AB813" s="147"/>
      <c r="AC813" s="147"/>
      <c r="AD813" s="147"/>
      <c r="AE813" s="147"/>
      <c r="AF813" s="147"/>
      <c r="AG813" s="147"/>
      <c r="AH813" s="147"/>
      <c r="AI813" s="147"/>
      <c r="AJ813" s="147"/>
      <c r="AK813" s="147"/>
      <c r="AL813" s="147"/>
      <c r="AM813" s="147"/>
      <c r="AN813" s="147"/>
      <c r="AO813" s="147"/>
      <c r="AP813" s="147"/>
      <c r="AQ813" s="147"/>
    </row>
    <row r="814" spans="1:43">
      <c r="A814" s="3"/>
      <c r="B814" s="3"/>
      <c r="C814" s="3"/>
      <c r="D814" s="3"/>
      <c r="E814" s="3"/>
      <c r="F814" s="3"/>
      <c r="G814" s="3"/>
      <c r="H814" s="3"/>
      <c r="I814" s="3"/>
      <c r="J814" s="3"/>
      <c r="K814" s="3"/>
      <c r="L814" s="3"/>
      <c r="M814" s="3"/>
      <c r="N814" s="157"/>
      <c r="O814" s="157"/>
      <c r="P814" s="157"/>
      <c r="R814" s="147"/>
      <c r="S814" s="147"/>
      <c r="T814" s="147"/>
      <c r="U814" s="147"/>
      <c r="X814" s="147"/>
      <c r="Y814" s="147"/>
      <c r="Z814" s="147"/>
      <c r="AA814" s="147"/>
      <c r="AB814" s="147"/>
      <c r="AC814" s="147"/>
      <c r="AD814" s="147"/>
      <c r="AE814" s="147"/>
      <c r="AF814" s="147"/>
      <c r="AG814" s="147"/>
      <c r="AH814" s="147"/>
      <c r="AI814" s="147"/>
      <c r="AJ814" s="147"/>
      <c r="AK814" s="147"/>
      <c r="AL814" s="147"/>
      <c r="AM814" s="147"/>
      <c r="AN814" s="147"/>
      <c r="AO814" s="147"/>
      <c r="AP814" s="147"/>
      <c r="AQ814" s="147"/>
    </row>
    <row r="815" spans="1:43">
      <c r="A815" s="3"/>
      <c r="B815" s="3"/>
      <c r="C815" s="3"/>
      <c r="D815" s="3"/>
      <c r="E815" s="3"/>
      <c r="F815" s="3"/>
      <c r="G815" s="3"/>
      <c r="H815" s="3"/>
      <c r="I815" s="3"/>
      <c r="J815" s="3"/>
      <c r="K815" s="3"/>
      <c r="L815" s="3"/>
      <c r="M815" s="3"/>
      <c r="N815" s="157"/>
      <c r="O815" s="157"/>
      <c r="P815" s="157"/>
      <c r="R815" s="147"/>
      <c r="S815" s="147"/>
      <c r="T815" s="147"/>
      <c r="U815" s="147"/>
      <c r="X815" s="147"/>
      <c r="Y815" s="147"/>
      <c r="Z815" s="147"/>
      <c r="AA815" s="147"/>
      <c r="AB815" s="147"/>
      <c r="AC815" s="147"/>
      <c r="AD815" s="147"/>
      <c r="AE815" s="147"/>
      <c r="AF815" s="147"/>
      <c r="AG815" s="147"/>
      <c r="AH815" s="147"/>
      <c r="AI815" s="147"/>
      <c r="AJ815" s="147"/>
      <c r="AK815" s="147"/>
      <c r="AL815" s="147"/>
      <c r="AM815" s="147"/>
      <c r="AN815" s="147"/>
      <c r="AO815" s="147"/>
      <c r="AP815" s="147"/>
      <c r="AQ815" s="147"/>
    </row>
    <row r="816" spans="1:43">
      <c r="A816" s="3"/>
      <c r="B816" s="3"/>
      <c r="C816" s="3"/>
      <c r="D816" s="3"/>
      <c r="E816" s="3"/>
      <c r="F816" s="3"/>
      <c r="G816" s="3"/>
      <c r="H816" s="3"/>
      <c r="I816" s="3"/>
      <c r="J816" s="3"/>
      <c r="K816" s="3"/>
      <c r="L816" s="3"/>
      <c r="M816" s="3"/>
      <c r="N816" s="157"/>
      <c r="O816" s="157"/>
      <c r="P816" s="157"/>
      <c r="R816" s="147"/>
      <c r="S816" s="147"/>
      <c r="T816" s="147"/>
      <c r="U816" s="147"/>
      <c r="X816" s="147"/>
      <c r="Y816" s="147"/>
      <c r="Z816" s="147"/>
      <c r="AA816" s="147"/>
      <c r="AB816" s="147"/>
      <c r="AC816" s="147"/>
      <c r="AD816" s="147"/>
      <c r="AE816" s="147"/>
      <c r="AF816" s="147"/>
      <c r="AG816" s="147"/>
      <c r="AH816" s="147"/>
      <c r="AI816" s="147"/>
      <c r="AJ816" s="147"/>
      <c r="AK816" s="147"/>
      <c r="AL816" s="147"/>
      <c r="AM816" s="147"/>
      <c r="AN816" s="147"/>
      <c r="AO816" s="147"/>
      <c r="AP816" s="147"/>
      <c r="AQ816" s="147"/>
    </row>
    <row r="817" spans="1:43">
      <c r="A817" s="3"/>
      <c r="B817" s="3"/>
      <c r="C817" s="3"/>
      <c r="D817" s="3"/>
      <c r="E817" s="3"/>
      <c r="F817" s="3"/>
      <c r="G817" s="3"/>
      <c r="H817" s="3"/>
      <c r="I817" s="3"/>
      <c r="J817" s="3"/>
      <c r="K817" s="3"/>
      <c r="L817" s="3"/>
      <c r="M817" s="3"/>
      <c r="N817" s="157"/>
      <c r="O817" s="157"/>
      <c r="P817" s="157"/>
      <c r="R817" s="147"/>
      <c r="S817" s="147"/>
      <c r="T817" s="147"/>
      <c r="U817" s="147"/>
      <c r="X817" s="147"/>
      <c r="Y817" s="147"/>
      <c r="Z817" s="147"/>
      <c r="AA817" s="147"/>
      <c r="AB817" s="147"/>
      <c r="AC817" s="147"/>
      <c r="AD817" s="147"/>
      <c r="AE817" s="147"/>
      <c r="AF817" s="147"/>
      <c r="AG817" s="147"/>
      <c r="AH817" s="147"/>
      <c r="AI817" s="147"/>
      <c r="AJ817" s="147"/>
      <c r="AK817" s="147"/>
      <c r="AL817" s="147"/>
      <c r="AM817" s="147"/>
      <c r="AN817" s="147"/>
      <c r="AO817" s="147"/>
      <c r="AP817" s="147"/>
      <c r="AQ817" s="147"/>
    </row>
    <row r="818" spans="1:43">
      <c r="A818" s="3"/>
      <c r="B818" s="3"/>
      <c r="C818" s="3"/>
      <c r="D818" s="3"/>
      <c r="E818" s="3"/>
      <c r="F818" s="3"/>
      <c r="G818" s="3"/>
      <c r="H818" s="3"/>
      <c r="I818" s="3"/>
      <c r="J818" s="3"/>
      <c r="K818" s="3"/>
      <c r="L818" s="3"/>
      <c r="M818" s="3"/>
      <c r="N818" s="157"/>
      <c r="O818" s="157"/>
      <c r="P818" s="157"/>
      <c r="R818" s="147"/>
      <c r="S818" s="147"/>
      <c r="T818" s="147"/>
      <c r="U818" s="147"/>
      <c r="X818" s="147"/>
      <c r="Y818" s="147"/>
      <c r="Z818" s="147"/>
      <c r="AA818" s="147"/>
      <c r="AB818" s="147"/>
      <c r="AC818" s="147"/>
      <c r="AD818" s="147"/>
      <c r="AE818" s="147"/>
      <c r="AF818" s="147"/>
      <c r="AG818" s="147"/>
      <c r="AH818" s="147"/>
      <c r="AI818" s="147"/>
      <c r="AJ818" s="147"/>
      <c r="AK818" s="147"/>
      <c r="AL818" s="147"/>
      <c r="AM818" s="147"/>
      <c r="AN818" s="147"/>
      <c r="AO818" s="147"/>
      <c r="AP818" s="147"/>
      <c r="AQ818" s="147"/>
    </row>
    <row r="819" spans="1:43">
      <c r="A819" s="3"/>
      <c r="B819" s="3"/>
      <c r="C819" s="3"/>
      <c r="D819" s="3"/>
      <c r="E819" s="3"/>
      <c r="F819" s="3"/>
      <c r="G819" s="3"/>
      <c r="H819" s="3"/>
      <c r="I819" s="3"/>
      <c r="J819" s="3"/>
      <c r="K819" s="3"/>
      <c r="L819" s="3"/>
      <c r="M819" s="3"/>
      <c r="N819" s="157"/>
      <c r="O819" s="157"/>
      <c r="P819" s="157"/>
      <c r="R819" s="147"/>
      <c r="S819" s="147"/>
      <c r="T819" s="147"/>
      <c r="U819" s="147"/>
      <c r="X819" s="147"/>
      <c r="Y819" s="147"/>
      <c r="Z819" s="147"/>
      <c r="AA819" s="147"/>
      <c r="AB819" s="147"/>
      <c r="AC819" s="147"/>
      <c r="AD819" s="147"/>
      <c r="AE819" s="147"/>
      <c r="AF819" s="147"/>
      <c r="AG819" s="147"/>
      <c r="AH819" s="147"/>
      <c r="AI819" s="147"/>
      <c r="AJ819" s="147"/>
      <c r="AK819" s="147"/>
      <c r="AL819" s="147"/>
      <c r="AM819" s="147"/>
      <c r="AN819" s="147"/>
      <c r="AO819" s="147"/>
      <c r="AP819" s="147"/>
      <c r="AQ819" s="147"/>
    </row>
    <row r="820" spans="1:43">
      <c r="A820" s="3"/>
      <c r="B820" s="3"/>
      <c r="C820" s="3"/>
      <c r="D820" s="3"/>
      <c r="E820" s="3"/>
      <c r="F820" s="3"/>
      <c r="G820" s="3"/>
      <c r="H820" s="3"/>
      <c r="I820" s="3"/>
      <c r="J820" s="3"/>
      <c r="K820" s="3"/>
      <c r="L820" s="3"/>
      <c r="M820" s="3"/>
      <c r="N820" s="157"/>
      <c r="O820" s="157"/>
      <c r="P820" s="157"/>
      <c r="R820" s="147"/>
      <c r="S820" s="147"/>
      <c r="T820" s="147"/>
      <c r="U820" s="147"/>
      <c r="X820" s="147"/>
      <c r="Y820" s="147"/>
      <c r="Z820" s="147"/>
      <c r="AA820" s="147"/>
      <c r="AB820" s="147"/>
      <c r="AC820" s="147"/>
      <c r="AD820" s="147"/>
      <c r="AE820" s="147"/>
      <c r="AF820" s="147"/>
      <c r="AG820" s="147"/>
      <c r="AH820" s="147"/>
      <c r="AI820" s="147"/>
      <c r="AJ820" s="147"/>
      <c r="AK820" s="147"/>
      <c r="AL820" s="147"/>
      <c r="AM820" s="147"/>
      <c r="AN820" s="147"/>
      <c r="AO820" s="147"/>
      <c r="AP820" s="147"/>
      <c r="AQ820" s="147"/>
    </row>
    <row r="821" spans="1:43">
      <c r="A821" s="3"/>
      <c r="B821" s="3"/>
      <c r="C821" s="3"/>
      <c r="D821" s="3"/>
      <c r="E821" s="3"/>
      <c r="F821" s="3"/>
      <c r="G821" s="3"/>
      <c r="H821" s="3"/>
      <c r="I821" s="3"/>
      <c r="J821" s="3"/>
      <c r="K821" s="3"/>
      <c r="L821" s="3"/>
      <c r="M821" s="3"/>
      <c r="N821" s="157"/>
      <c r="O821" s="157"/>
      <c r="P821" s="157"/>
      <c r="R821" s="147"/>
      <c r="S821" s="147"/>
      <c r="T821" s="147"/>
      <c r="U821" s="147"/>
      <c r="X821" s="147"/>
      <c r="Y821" s="147"/>
      <c r="Z821" s="147"/>
      <c r="AA821" s="147"/>
      <c r="AB821" s="147"/>
      <c r="AC821" s="147"/>
      <c r="AD821" s="147"/>
      <c r="AE821" s="147"/>
      <c r="AF821" s="147"/>
      <c r="AG821" s="147"/>
      <c r="AH821" s="147"/>
      <c r="AI821" s="147"/>
      <c r="AJ821" s="147"/>
      <c r="AK821" s="147"/>
      <c r="AL821" s="147"/>
      <c r="AM821" s="147"/>
      <c r="AN821" s="147"/>
      <c r="AO821" s="147"/>
      <c r="AP821" s="147"/>
      <c r="AQ821" s="147"/>
    </row>
    <row r="822" spans="1:43">
      <c r="A822" s="3"/>
      <c r="B822" s="3"/>
      <c r="C822" s="3"/>
      <c r="D822" s="3"/>
      <c r="E822" s="3"/>
      <c r="F822" s="3"/>
      <c r="G822" s="3"/>
      <c r="H822" s="3"/>
      <c r="I822" s="3"/>
      <c r="J822" s="3"/>
      <c r="K822" s="3"/>
      <c r="L822" s="3"/>
      <c r="M822" s="3"/>
      <c r="N822" s="157"/>
      <c r="O822" s="157"/>
      <c r="P822" s="157"/>
      <c r="R822" s="147"/>
      <c r="S822" s="147"/>
      <c r="T822" s="147"/>
      <c r="U822" s="147"/>
      <c r="X822" s="147"/>
      <c r="Y822" s="147"/>
      <c r="Z822" s="147"/>
      <c r="AA822" s="147"/>
      <c r="AB822" s="147"/>
      <c r="AC822" s="147"/>
      <c r="AD822" s="147"/>
      <c r="AE822" s="147"/>
      <c r="AF822" s="147"/>
      <c r="AG822" s="147"/>
      <c r="AH822" s="147"/>
      <c r="AI822" s="147"/>
      <c r="AJ822" s="147"/>
      <c r="AK822" s="147"/>
      <c r="AL822" s="147"/>
      <c r="AM822" s="147"/>
      <c r="AN822" s="147"/>
      <c r="AO822" s="147"/>
      <c r="AP822" s="147"/>
      <c r="AQ822" s="147"/>
    </row>
    <row r="823" spans="1:43">
      <c r="A823" s="3"/>
      <c r="B823" s="3"/>
      <c r="C823" s="3"/>
      <c r="D823" s="3"/>
      <c r="E823" s="3"/>
      <c r="F823" s="3"/>
      <c r="G823" s="3"/>
      <c r="H823" s="3"/>
      <c r="I823" s="3"/>
      <c r="J823" s="3"/>
      <c r="K823" s="3"/>
      <c r="L823" s="3"/>
      <c r="M823" s="3"/>
      <c r="N823" s="157"/>
      <c r="O823" s="157"/>
      <c r="P823" s="157"/>
      <c r="R823" s="147"/>
      <c r="S823" s="147"/>
      <c r="T823" s="147"/>
      <c r="U823" s="147"/>
      <c r="X823" s="147"/>
      <c r="Y823" s="147"/>
      <c r="Z823" s="147"/>
      <c r="AA823" s="147"/>
      <c r="AB823" s="147"/>
      <c r="AC823" s="147"/>
      <c r="AD823" s="147"/>
      <c r="AE823" s="147"/>
      <c r="AF823" s="147"/>
      <c r="AG823" s="147"/>
      <c r="AH823" s="147"/>
      <c r="AI823" s="147"/>
      <c r="AJ823" s="147"/>
      <c r="AK823" s="147"/>
      <c r="AL823" s="147"/>
      <c r="AM823" s="147"/>
      <c r="AN823" s="147"/>
      <c r="AO823" s="147"/>
      <c r="AP823" s="147"/>
      <c r="AQ823" s="147"/>
    </row>
    <row r="824" spans="1:43">
      <c r="A824" s="3"/>
      <c r="B824" s="3"/>
      <c r="C824" s="3"/>
      <c r="D824" s="3"/>
      <c r="E824" s="3"/>
      <c r="F824" s="3"/>
      <c r="G824" s="3"/>
      <c r="H824" s="3"/>
      <c r="I824" s="3"/>
      <c r="J824" s="3"/>
      <c r="K824" s="3"/>
      <c r="L824" s="3"/>
      <c r="M824" s="3"/>
      <c r="N824" s="157"/>
      <c r="O824" s="157"/>
      <c r="P824" s="157"/>
      <c r="R824" s="147"/>
      <c r="S824" s="147"/>
      <c r="T824" s="147"/>
      <c r="U824" s="147"/>
      <c r="X824" s="147"/>
      <c r="Y824" s="147"/>
      <c r="Z824" s="147"/>
      <c r="AA824" s="147"/>
      <c r="AB824" s="147"/>
      <c r="AC824" s="147"/>
      <c r="AD824" s="147"/>
      <c r="AE824" s="147"/>
      <c r="AF824" s="147"/>
      <c r="AG824" s="147"/>
      <c r="AH824" s="147"/>
      <c r="AI824" s="147"/>
      <c r="AJ824" s="147"/>
      <c r="AK824" s="147"/>
      <c r="AL824" s="147"/>
      <c r="AM824" s="147"/>
      <c r="AN824" s="147"/>
      <c r="AO824" s="147"/>
      <c r="AP824" s="147"/>
      <c r="AQ824" s="147"/>
    </row>
    <row r="825" spans="1:43">
      <c r="A825" s="3"/>
      <c r="B825" s="3"/>
      <c r="C825" s="3"/>
      <c r="D825" s="3"/>
      <c r="E825" s="3"/>
      <c r="F825" s="3"/>
      <c r="G825" s="3"/>
      <c r="H825" s="3"/>
      <c r="I825" s="3"/>
      <c r="J825" s="3"/>
      <c r="K825" s="3"/>
      <c r="L825" s="3"/>
      <c r="M825" s="3"/>
      <c r="N825" s="157"/>
      <c r="O825" s="157"/>
      <c r="P825" s="157"/>
      <c r="R825" s="147"/>
      <c r="S825" s="147"/>
      <c r="T825" s="147"/>
      <c r="U825" s="147"/>
      <c r="X825" s="147"/>
      <c r="Y825" s="147"/>
      <c r="Z825" s="147"/>
      <c r="AA825" s="147"/>
      <c r="AB825" s="147"/>
      <c r="AC825" s="147"/>
      <c r="AD825" s="147"/>
      <c r="AE825" s="147"/>
      <c r="AF825" s="147"/>
      <c r="AG825" s="147"/>
      <c r="AH825" s="147"/>
      <c r="AI825" s="147"/>
      <c r="AJ825" s="147"/>
      <c r="AK825" s="147"/>
      <c r="AL825" s="147"/>
      <c r="AM825" s="147"/>
      <c r="AN825" s="147"/>
      <c r="AO825" s="147"/>
      <c r="AP825" s="147"/>
      <c r="AQ825" s="147"/>
    </row>
    <row r="826" spans="1:43">
      <c r="A826" s="3"/>
      <c r="B826" s="3"/>
      <c r="C826" s="3"/>
      <c r="D826" s="3"/>
      <c r="E826" s="3"/>
      <c r="F826" s="3"/>
      <c r="G826" s="3"/>
      <c r="H826" s="3"/>
      <c r="I826" s="3"/>
      <c r="J826" s="3"/>
      <c r="K826" s="3"/>
      <c r="L826" s="3"/>
      <c r="M826" s="3"/>
      <c r="N826" s="157"/>
      <c r="O826" s="157"/>
      <c r="P826" s="157"/>
      <c r="R826" s="147"/>
      <c r="S826" s="147"/>
      <c r="T826" s="147"/>
      <c r="U826" s="147"/>
      <c r="X826" s="147"/>
      <c r="Y826" s="147"/>
      <c r="Z826" s="147"/>
      <c r="AA826" s="147"/>
      <c r="AB826" s="147"/>
      <c r="AC826" s="147"/>
      <c r="AD826" s="147"/>
      <c r="AE826" s="147"/>
      <c r="AF826" s="147"/>
      <c r="AG826" s="147"/>
      <c r="AH826" s="147"/>
      <c r="AI826" s="147"/>
      <c r="AJ826" s="147"/>
      <c r="AK826" s="147"/>
      <c r="AL826" s="147"/>
      <c r="AM826" s="147"/>
      <c r="AN826" s="147"/>
      <c r="AO826" s="147"/>
      <c r="AP826" s="147"/>
      <c r="AQ826" s="147"/>
    </row>
    <row r="827" spans="1:43">
      <c r="A827" s="3"/>
      <c r="B827" s="3"/>
      <c r="C827" s="3"/>
      <c r="D827" s="3"/>
      <c r="E827" s="3"/>
      <c r="F827" s="3"/>
      <c r="G827" s="3"/>
      <c r="H827" s="3"/>
      <c r="I827" s="3"/>
      <c r="J827" s="3"/>
      <c r="K827" s="3"/>
      <c r="L827" s="3"/>
      <c r="M827" s="3"/>
      <c r="N827" s="157"/>
      <c r="O827" s="157"/>
      <c r="P827" s="157"/>
      <c r="R827" s="147"/>
      <c r="S827" s="147"/>
      <c r="T827" s="147"/>
      <c r="U827" s="147"/>
      <c r="X827" s="147"/>
      <c r="Y827" s="147"/>
      <c r="Z827" s="147"/>
      <c r="AA827" s="147"/>
      <c r="AB827" s="147"/>
      <c r="AC827" s="147"/>
      <c r="AD827" s="147"/>
      <c r="AE827" s="147"/>
      <c r="AF827" s="147"/>
      <c r="AG827" s="147"/>
      <c r="AH827" s="147"/>
      <c r="AI827" s="147"/>
      <c r="AJ827" s="147"/>
      <c r="AK827" s="147"/>
      <c r="AL827" s="147"/>
      <c r="AM827" s="147"/>
      <c r="AN827" s="147"/>
      <c r="AO827" s="147"/>
      <c r="AP827" s="147"/>
      <c r="AQ827" s="147"/>
    </row>
    <row r="828" spans="1:43">
      <c r="A828" s="3"/>
      <c r="B828" s="3"/>
      <c r="C828" s="3"/>
      <c r="D828" s="3"/>
      <c r="E828" s="3"/>
      <c r="F828" s="3"/>
      <c r="G828" s="3"/>
      <c r="H828" s="3"/>
      <c r="I828" s="3"/>
      <c r="J828" s="3"/>
      <c r="K828" s="3"/>
      <c r="L828" s="3"/>
      <c r="M828" s="3"/>
      <c r="N828" s="157"/>
      <c r="O828" s="157"/>
      <c r="P828" s="157"/>
      <c r="R828" s="147"/>
      <c r="S828" s="147"/>
      <c r="T828" s="147"/>
      <c r="U828" s="147"/>
      <c r="X828" s="147"/>
      <c r="Y828" s="147"/>
      <c r="Z828" s="147"/>
      <c r="AA828" s="147"/>
      <c r="AB828" s="147"/>
      <c r="AC828" s="147"/>
      <c r="AD828" s="147"/>
      <c r="AE828" s="147"/>
      <c r="AF828" s="147"/>
      <c r="AG828" s="147"/>
      <c r="AH828" s="147"/>
      <c r="AI828" s="147"/>
      <c r="AJ828" s="147"/>
      <c r="AK828" s="147"/>
      <c r="AL828" s="147"/>
      <c r="AM828" s="147"/>
      <c r="AN828" s="147"/>
      <c r="AO828" s="147"/>
      <c r="AP828" s="147"/>
      <c r="AQ828" s="147"/>
    </row>
    <row r="829" spans="1:43">
      <c r="A829" s="3"/>
      <c r="B829" s="3"/>
      <c r="C829" s="3"/>
      <c r="D829" s="3"/>
      <c r="E829" s="3"/>
      <c r="F829" s="3"/>
      <c r="G829" s="3"/>
      <c r="H829" s="3"/>
      <c r="I829" s="3"/>
      <c r="J829" s="3"/>
      <c r="K829" s="3"/>
      <c r="L829" s="3"/>
      <c r="M829" s="3"/>
      <c r="N829" s="157"/>
      <c r="O829" s="157"/>
      <c r="P829" s="157"/>
      <c r="R829" s="147"/>
      <c r="S829" s="147"/>
      <c r="T829" s="147"/>
      <c r="U829" s="147"/>
      <c r="X829" s="147"/>
      <c r="Y829" s="147"/>
      <c r="Z829" s="147"/>
      <c r="AA829" s="147"/>
      <c r="AB829" s="147"/>
      <c r="AC829" s="147"/>
      <c r="AD829" s="147"/>
      <c r="AE829" s="147"/>
      <c r="AF829" s="147"/>
      <c r="AG829" s="147"/>
      <c r="AH829" s="147"/>
      <c r="AI829" s="147"/>
      <c r="AJ829" s="147"/>
      <c r="AK829" s="147"/>
      <c r="AL829" s="147"/>
      <c r="AM829" s="147"/>
      <c r="AN829" s="147"/>
      <c r="AO829" s="147"/>
      <c r="AP829" s="147"/>
      <c r="AQ829" s="147"/>
    </row>
    <row r="830" spans="1:43">
      <c r="A830" s="3"/>
      <c r="B830" s="3"/>
      <c r="C830" s="3"/>
      <c r="D830" s="3"/>
      <c r="E830" s="3"/>
      <c r="F830" s="3"/>
      <c r="G830" s="3"/>
      <c r="H830" s="3"/>
      <c r="I830" s="3"/>
      <c r="J830" s="3"/>
      <c r="K830" s="3"/>
      <c r="L830" s="3"/>
      <c r="M830" s="3"/>
      <c r="N830" s="157"/>
      <c r="O830" s="157"/>
      <c r="P830" s="157"/>
      <c r="R830" s="147"/>
      <c r="S830" s="147"/>
      <c r="T830" s="147"/>
      <c r="U830" s="147"/>
      <c r="X830" s="147"/>
      <c r="Y830" s="147"/>
      <c r="Z830" s="147"/>
      <c r="AA830" s="147"/>
      <c r="AB830" s="147"/>
      <c r="AC830" s="147"/>
      <c r="AD830" s="147"/>
      <c r="AE830" s="147"/>
      <c r="AF830" s="147"/>
      <c r="AG830" s="147"/>
      <c r="AH830" s="147"/>
      <c r="AI830" s="147"/>
      <c r="AJ830" s="147"/>
      <c r="AK830" s="147"/>
      <c r="AL830" s="147"/>
      <c r="AM830" s="147"/>
      <c r="AN830" s="147"/>
      <c r="AO830" s="147"/>
      <c r="AP830" s="147"/>
      <c r="AQ830" s="147"/>
    </row>
    <row r="831" spans="1:43">
      <c r="A831" s="3"/>
      <c r="B831" s="3"/>
      <c r="C831" s="3"/>
      <c r="D831" s="3"/>
      <c r="E831" s="3"/>
      <c r="F831" s="3"/>
      <c r="G831" s="3"/>
      <c r="H831" s="3"/>
      <c r="I831" s="3"/>
      <c r="J831" s="3"/>
      <c r="K831" s="3"/>
      <c r="L831" s="3"/>
      <c r="M831" s="3"/>
      <c r="N831" s="157"/>
      <c r="O831" s="157"/>
      <c r="P831" s="157"/>
      <c r="R831" s="147"/>
      <c r="S831" s="147"/>
      <c r="T831" s="147"/>
      <c r="U831" s="147"/>
      <c r="X831" s="147"/>
      <c r="Y831" s="147"/>
      <c r="Z831" s="147"/>
      <c r="AA831" s="147"/>
      <c r="AB831" s="147"/>
      <c r="AC831" s="147"/>
      <c r="AD831" s="147"/>
      <c r="AE831" s="147"/>
      <c r="AF831" s="147"/>
      <c r="AG831" s="147"/>
      <c r="AH831" s="147"/>
      <c r="AI831" s="147"/>
      <c r="AJ831" s="147"/>
      <c r="AK831" s="147"/>
      <c r="AL831" s="147"/>
      <c r="AM831" s="147"/>
      <c r="AN831" s="147"/>
      <c r="AO831" s="147"/>
      <c r="AP831" s="147"/>
      <c r="AQ831" s="147"/>
    </row>
    <row r="832" spans="1:43">
      <c r="A832" s="3"/>
      <c r="B832" s="3"/>
      <c r="C832" s="3"/>
      <c r="D832" s="3"/>
      <c r="E832" s="3"/>
      <c r="F832" s="3"/>
      <c r="G832" s="3"/>
      <c r="H832" s="3"/>
      <c r="I832" s="3"/>
      <c r="J832" s="3"/>
      <c r="K832" s="3"/>
      <c r="L832" s="3"/>
      <c r="M832" s="3"/>
      <c r="N832" s="157"/>
      <c r="O832" s="157"/>
      <c r="P832" s="157"/>
      <c r="R832" s="147"/>
      <c r="S832" s="147"/>
      <c r="T832" s="147"/>
      <c r="U832" s="147"/>
      <c r="X832" s="147"/>
      <c r="Y832" s="147"/>
      <c r="Z832" s="147"/>
      <c r="AA832" s="147"/>
      <c r="AB832" s="147"/>
      <c r="AC832" s="147"/>
      <c r="AD832" s="147"/>
      <c r="AE832" s="147"/>
      <c r="AF832" s="147"/>
      <c r="AG832" s="147"/>
      <c r="AH832" s="147"/>
      <c r="AI832" s="147"/>
      <c r="AJ832" s="147"/>
      <c r="AK832" s="147"/>
      <c r="AL832" s="147"/>
      <c r="AM832" s="147"/>
      <c r="AN832" s="147"/>
      <c r="AO832" s="147"/>
      <c r="AP832" s="147"/>
      <c r="AQ832" s="147"/>
    </row>
    <row r="833" spans="1:43">
      <c r="A833" s="3"/>
      <c r="B833" s="3"/>
      <c r="C833" s="3"/>
      <c r="D833" s="3"/>
      <c r="E833" s="3"/>
      <c r="F833" s="3"/>
      <c r="G833" s="3"/>
      <c r="H833" s="3"/>
      <c r="I833" s="3"/>
      <c r="J833" s="3"/>
      <c r="K833" s="3"/>
      <c r="L833" s="3"/>
      <c r="M833" s="3"/>
      <c r="N833" s="157"/>
      <c r="O833" s="157"/>
      <c r="P833" s="157"/>
      <c r="R833" s="147"/>
      <c r="S833" s="147"/>
      <c r="T833" s="147"/>
      <c r="U833" s="147"/>
      <c r="X833" s="147"/>
      <c r="Y833" s="147"/>
      <c r="Z833" s="147"/>
      <c r="AA833" s="147"/>
      <c r="AB833" s="147"/>
      <c r="AC833" s="147"/>
      <c r="AD833" s="147"/>
      <c r="AE833" s="147"/>
      <c r="AF833" s="147"/>
      <c r="AG833" s="147"/>
      <c r="AH833" s="147"/>
      <c r="AI833" s="147"/>
      <c r="AJ833" s="147"/>
      <c r="AK833" s="147"/>
      <c r="AL833" s="147"/>
      <c r="AM833" s="147"/>
      <c r="AN833" s="147"/>
      <c r="AO833" s="147"/>
      <c r="AP833" s="147"/>
      <c r="AQ833" s="147"/>
    </row>
    <row r="834" spans="1:43">
      <c r="A834" s="3"/>
      <c r="B834" s="3"/>
      <c r="C834" s="3"/>
      <c r="D834" s="3"/>
      <c r="E834" s="3"/>
      <c r="F834" s="3"/>
      <c r="G834" s="3"/>
      <c r="H834" s="3"/>
      <c r="I834" s="3"/>
      <c r="J834" s="3"/>
      <c r="K834" s="3"/>
      <c r="L834" s="3"/>
      <c r="M834" s="3"/>
      <c r="N834" s="157"/>
      <c r="O834" s="157"/>
      <c r="P834" s="157"/>
      <c r="R834" s="147"/>
      <c r="S834" s="147"/>
      <c r="T834" s="147"/>
      <c r="U834" s="147"/>
      <c r="X834" s="147"/>
      <c r="Y834" s="147"/>
      <c r="Z834" s="147"/>
      <c r="AA834" s="147"/>
      <c r="AB834" s="147"/>
      <c r="AC834" s="147"/>
      <c r="AD834" s="147"/>
      <c r="AE834" s="147"/>
      <c r="AF834" s="147"/>
      <c r="AG834" s="147"/>
      <c r="AH834" s="147"/>
      <c r="AI834" s="147"/>
      <c r="AJ834" s="147"/>
      <c r="AK834" s="147"/>
      <c r="AL834" s="147"/>
      <c r="AM834" s="147"/>
      <c r="AN834" s="147"/>
      <c r="AO834" s="147"/>
      <c r="AP834" s="147"/>
      <c r="AQ834" s="147"/>
    </row>
    <row r="835" spans="1:43">
      <c r="A835" s="3"/>
      <c r="B835" s="3"/>
      <c r="C835" s="3"/>
      <c r="D835" s="3"/>
      <c r="E835" s="3"/>
      <c r="F835" s="3"/>
      <c r="G835" s="3"/>
      <c r="H835" s="3"/>
      <c r="I835" s="3"/>
      <c r="J835" s="3"/>
      <c r="K835" s="3"/>
      <c r="L835" s="3"/>
      <c r="M835" s="3"/>
      <c r="N835" s="157"/>
      <c r="O835" s="157"/>
      <c r="P835" s="157"/>
      <c r="R835" s="147"/>
      <c r="S835" s="147"/>
      <c r="T835" s="147"/>
      <c r="U835" s="147"/>
      <c r="X835" s="147"/>
      <c r="Y835" s="147"/>
      <c r="Z835" s="147"/>
      <c r="AA835" s="147"/>
      <c r="AB835" s="147"/>
      <c r="AC835" s="147"/>
      <c r="AD835" s="147"/>
      <c r="AE835" s="147"/>
      <c r="AF835" s="147"/>
      <c r="AG835" s="147"/>
      <c r="AH835" s="147"/>
      <c r="AI835" s="147"/>
      <c r="AJ835" s="147"/>
      <c r="AK835" s="147"/>
      <c r="AL835" s="147"/>
      <c r="AM835" s="147"/>
      <c r="AN835" s="147"/>
      <c r="AO835" s="147"/>
      <c r="AP835" s="147"/>
      <c r="AQ835" s="147"/>
    </row>
    <row r="836" spans="1:43">
      <c r="A836" s="3"/>
      <c r="B836" s="3"/>
      <c r="C836" s="3"/>
      <c r="D836" s="3"/>
      <c r="E836" s="3"/>
      <c r="F836" s="3"/>
      <c r="G836" s="3"/>
      <c r="H836" s="3"/>
      <c r="I836" s="3"/>
      <c r="J836" s="3"/>
      <c r="K836" s="3"/>
      <c r="L836" s="3"/>
      <c r="M836" s="3"/>
      <c r="N836" s="157"/>
      <c r="O836" s="157"/>
      <c r="P836" s="157"/>
      <c r="R836" s="147"/>
      <c r="S836" s="147"/>
      <c r="T836" s="147"/>
      <c r="U836" s="147"/>
      <c r="X836" s="147"/>
      <c r="Y836" s="147"/>
      <c r="Z836" s="147"/>
      <c r="AA836" s="147"/>
      <c r="AB836" s="147"/>
      <c r="AC836" s="147"/>
      <c r="AD836" s="147"/>
      <c r="AE836" s="147"/>
      <c r="AF836" s="147"/>
      <c r="AG836" s="147"/>
      <c r="AH836" s="147"/>
      <c r="AI836" s="147"/>
      <c r="AJ836" s="147"/>
      <c r="AK836" s="147"/>
      <c r="AL836" s="147"/>
      <c r="AM836" s="147"/>
      <c r="AN836" s="147"/>
      <c r="AO836" s="147"/>
      <c r="AP836" s="147"/>
      <c r="AQ836" s="147"/>
    </row>
    <row r="837" spans="1:43">
      <c r="A837" s="3"/>
      <c r="B837" s="3"/>
      <c r="C837" s="3"/>
      <c r="D837" s="3"/>
      <c r="E837" s="3"/>
      <c r="F837" s="3"/>
      <c r="G837" s="3"/>
      <c r="H837" s="3"/>
      <c r="I837" s="3"/>
      <c r="J837" s="3"/>
      <c r="K837" s="3"/>
      <c r="L837" s="3"/>
      <c r="M837" s="3"/>
      <c r="N837" s="157"/>
      <c r="O837" s="157"/>
      <c r="P837" s="157"/>
      <c r="R837" s="147"/>
      <c r="S837" s="147"/>
      <c r="T837" s="147"/>
      <c r="U837" s="147"/>
      <c r="X837" s="147"/>
      <c r="Y837" s="147"/>
      <c r="Z837" s="147"/>
      <c r="AA837" s="147"/>
      <c r="AB837" s="147"/>
      <c r="AC837" s="147"/>
      <c r="AD837" s="147"/>
      <c r="AE837" s="147"/>
      <c r="AF837" s="147"/>
      <c r="AG837" s="147"/>
      <c r="AH837" s="147"/>
      <c r="AI837" s="147"/>
      <c r="AJ837" s="147"/>
      <c r="AK837" s="147"/>
      <c r="AL837" s="147"/>
      <c r="AM837" s="147"/>
      <c r="AN837" s="147"/>
      <c r="AO837" s="147"/>
      <c r="AP837" s="147"/>
      <c r="AQ837" s="147"/>
    </row>
    <row r="838" spans="1:43">
      <c r="A838" s="3"/>
      <c r="B838" s="3"/>
      <c r="C838" s="3"/>
      <c r="D838" s="3"/>
      <c r="E838" s="3"/>
      <c r="F838" s="3"/>
      <c r="G838" s="3"/>
      <c r="H838" s="3"/>
      <c r="I838" s="3"/>
      <c r="J838" s="3"/>
      <c r="K838" s="3"/>
      <c r="L838" s="3"/>
      <c r="M838" s="3"/>
      <c r="N838" s="157"/>
      <c r="O838" s="157"/>
      <c r="P838" s="157"/>
      <c r="R838" s="147"/>
      <c r="S838" s="147"/>
      <c r="T838" s="147"/>
      <c r="U838" s="147"/>
      <c r="X838" s="147"/>
      <c r="Y838" s="147"/>
      <c r="Z838" s="147"/>
      <c r="AA838" s="147"/>
      <c r="AB838" s="147"/>
      <c r="AC838" s="147"/>
      <c r="AD838" s="147"/>
      <c r="AE838" s="147"/>
      <c r="AF838" s="147"/>
      <c r="AG838" s="147"/>
      <c r="AH838" s="147"/>
      <c r="AI838" s="147"/>
      <c r="AJ838" s="147"/>
      <c r="AK838" s="147"/>
      <c r="AL838" s="147"/>
      <c r="AM838" s="147"/>
      <c r="AN838" s="147"/>
      <c r="AO838" s="147"/>
      <c r="AP838" s="147"/>
      <c r="AQ838" s="147"/>
    </row>
    <row r="839" spans="1:43">
      <c r="A839" s="3"/>
      <c r="B839" s="3"/>
      <c r="C839" s="3"/>
      <c r="D839" s="3"/>
      <c r="E839" s="3"/>
      <c r="F839" s="3"/>
      <c r="G839" s="3"/>
      <c r="H839" s="3"/>
      <c r="I839" s="3"/>
      <c r="J839" s="3"/>
      <c r="K839" s="3"/>
      <c r="L839" s="3"/>
      <c r="M839" s="3"/>
      <c r="N839" s="157"/>
      <c r="O839" s="157"/>
      <c r="P839" s="157"/>
      <c r="R839" s="147"/>
      <c r="S839" s="147"/>
      <c r="T839" s="147"/>
      <c r="U839" s="147"/>
      <c r="X839" s="147"/>
      <c r="Y839" s="147"/>
      <c r="Z839" s="147"/>
      <c r="AA839" s="147"/>
      <c r="AB839" s="147"/>
      <c r="AC839" s="147"/>
      <c r="AD839" s="147"/>
      <c r="AE839" s="147"/>
      <c r="AF839" s="147"/>
      <c r="AG839" s="147"/>
      <c r="AH839" s="147"/>
      <c r="AI839" s="147"/>
      <c r="AJ839" s="147"/>
      <c r="AK839" s="147"/>
      <c r="AL839" s="147"/>
      <c r="AM839" s="147"/>
      <c r="AN839" s="147"/>
      <c r="AO839" s="147"/>
      <c r="AP839" s="147"/>
      <c r="AQ839" s="147"/>
    </row>
    <row r="840" spans="1:43">
      <c r="A840" s="3"/>
      <c r="B840" s="3"/>
      <c r="C840" s="3"/>
      <c r="D840" s="3"/>
      <c r="E840" s="3"/>
      <c r="F840" s="3"/>
      <c r="G840" s="3"/>
      <c r="H840" s="3"/>
      <c r="I840" s="3"/>
      <c r="J840" s="3"/>
      <c r="K840" s="3"/>
      <c r="L840" s="3"/>
      <c r="M840" s="3"/>
      <c r="N840" s="157"/>
      <c r="O840" s="157"/>
      <c r="P840" s="157"/>
      <c r="R840" s="147"/>
      <c r="S840" s="147"/>
      <c r="T840" s="147"/>
      <c r="U840" s="147"/>
      <c r="X840" s="147"/>
      <c r="Y840" s="147"/>
      <c r="Z840" s="147"/>
      <c r="AA840" s="147"/>
      <c r="AB840" s="147"/>
      <c r="AC840" s="147"/>
      <c r="AD840" s="147"/>
      <c r="AE840" s="147"/>
      <c r="AF840" s="147"/>
      <c r="AG840" s="147"/>
      <c r="AH840" s="147"/>
      <c r="AI840" s="147"/>
      <c r="AJ840" s="147"/>
      <c r="AK840" s="147"/>
      <c r="AL840" s="147"/>
      <c r="AM840" s="147"/>
      <c r="AN840" s="147"/>
      <c r="AO840" s="147"/>
      <c r="AP840" s="147"/>
      <c r="AQ840" s="147"/>
    </row>
    <row r="841" spans="1:43">
      <c r="A841" s="3"/>
      <c r="B841" s="3"/>
      <c r="C841" s="3"/>
      <c r="D841" s="3"/>
      <c r="E841" s="3"/>
      <c r="F841" s="3"/>
      <c r="G841" s="3"/>
      <c r="H841" s="3"/>
      <c r="I841" s="3"/>
      <c r="J841" s="3"/>
      <c r="K841" s="3"/>
      <c r="L841" s="3"/>
      <c r="M841" s="3"/>
      <c r="N841" s="157"/>
      <c r="O841" s="157"/>
      <c r="P841" s="157"/>
      <c r="R841" s="147"/>
      <c r="S841" s="147"/>
      <c r="T841" s="147"/>
      <c r="U841" s="147"/>
      <c r="X841" s="147"/>
      <c r="Y841" s="147"/>
      <c r="Z841" s="147"/>
      <c r="AA841" s="147"/>
      <c r="AB841" s="147"/>
      <c r="AC841" s="147"/>
      <c r="AD841" s="147"/>
      <c r="AE841" s="147"/>
      <c r="AF841" s="147"/>
      <c r="AG841" s="147"/>
      <c r="AH841" s="147"/>
      <c r="AI841" s="147"/>
      <c r="AJ841" s="147"/>
      <c r="AK841" s="147"/>
      <c r="AL841" s="147"/>
      <c r="AM841" s="147"/>
      <c r="AN841" s="147"/>
      <c r="AO841" s="147"/>
      <c r="AP841" s="147"/>
      <c r="AQ841" s="147"/>
    </row>
    <row r="842" spans="1:43">
      <c r="A842" s="3"/>
      <c r="B842" s="3"/>
      <c r="C842" s="3"/>
      <c r="D842" s="3"/>
      <c r="E842" s="3"/>
      <c r="F842" s="3"/>
      <c r="G842" s="3"/>
      <c r="H842" s="3"/>
      <c r="I842" s="3"/>
      <c r="J842" s="3"/>
      <c r="K842" s="3"/>
      <c r="L842" s="3"/>
      <c r="M842" s="3"/>
      <c r="N842" s="157"/>
      <c r="O842" s="157"/>
      <c r="P842" s="157"/>
      <c r="R842" s="147"/>
      <c r="S842" s="147"/>
      <c r="T842" s="147"/>
      <c r="U842" s="147"/>
      <c r="X842" s="147"/>
      <c r="Y842" s="147"/>
      <c r="Z842" s="147"/>
      <c r="AA842" s="147"/>
      <c r="AB842" s="147"/>
      <c r="AC842" s="147"/>
      <c r="AD842" s="147"/>
      <c r="AE842" s="147"/>
      <c r="AF842" s="147"/>
      <c r="AG842" s="147"/>
      <c r="AH842" s="147"/>
      <c r="AI842" s="147"/>
      <c r="AJ842" s="147"/>
      <c r="AK842" s="147"/>
      <c r="AL842" s="147"/>
      <c r="AM842" s="147"/>
      <c r="AN842" s="147"/>
      <c r="AO842" s="147"/>
      <c r="AP842" s="147"/>
      <c r="AQ842" s="147"/>
    </row>
    <row r="843" spans="1:43">
      <c r="A843" s="3"/>
      <c r="B843" s="3"/>
      <c r="C843" s="3"/>
      <c r="D843" s="3"/>
      <c r="E843" s="3"/>
      <c r="F843" s="3"/>
      <c r="G843" s="3"/>
      <c r="H843" s="3"/>
      <c r="I843" s="3"/>
      <c r="J843" s="3"/>
      <c r="K843" s="3"/>
      <c r="L843" s="3"/>
      <c r="M843" s="3"/>
      <c r="N843" s="157"/>
      <c r="O843" s="157"/>
      <c r="P843" s="157"/>
      <c r="R843" s="147"/>
      <c r="S843" s="147"/>
      <c r="T843" s="147"/>
      <c r="U843" s="147"/>
      <c r="X843" s="147"/>
      <c r="Y843" s="147"/>
      <c r="Z843" s="147"/>
      <c r="AA843" s="147"/>
      <c r="AB843" s="147"/>
      <c r="AC843" s="147"/>
      <c r="AD843" s="147"/>
      <c r="AE843" s="147"/>
      <c r="AF843" s="147"/>
      <c r="AG843" s="147"/>
      <c r="AH843" s="147"/>
      <c r="AI843" s="147"/>
      <c r="AJ843" s="147"/>
      <c r="AK843" s="147"/>
      <c r="AL843" s="147"/>
      <c r="AM843" s="147"/>
      <c r="AN843" s="147"/>
      <c r="AO843" s="147"/>
      <c r="AP843" s="147"/>
      <c r="AQ843" s="147"/>
    </row>
    <row r="844" spans="1:43">
      <c r="A844" s="3"/>
      <c r="B844" s="3"/>
      <c r="C844" s="3"/>
      <c r="D844" s="3"/>
      <c r="E844" s="3"/>
      <c r="F844" s="3"/>
      <c r="G844" s="3"/>
      <c r="H844" s="3"/>
      <c r="I844" s="3"/>
      <c r="J844" s="3"/>
      <c r="K844" s="3"/>
      <c r="L844" s="3"/>
      <c r="M844" s="3"/>
      <c r="N844" s="157"/>
      <c r="O844" s="157"/>
      <c r="P844" s="157"/>
      <c r="R844" s="147"/>
      <c r="S844" s="147"/>
      <c r="T844" s="147"/>
      <c r="U844" s="147"/>
      <c r="X844" s="147"/>
      <c r="Y844" s="147"/>
      <c r="Z844" s="147"/>
      <c r="AA844" s="147"/>
      <c r="AB844" s="147"/>
      <c r="AC844" s="147"/>
      <c r="AD844" s="147"/>
      <c r="AE844" s="147"/>
      <c r="AF844" s="147"/>
      <c r="AG844" s="147"/>
      <c r="AH844" s="147"/>
      <c r="AI844" s="147"/>
      <c r="AJ844" s="147"/>
      <c r="AK844" s="147"/>
      <c r="AL844" s="147"/>
      <c r="AM844" s="147"/>
      <c r="AN844" s="147"/>
      <c r="AO844" s="147"/>
      <c r="AP844" s="147"/>
      <c r="AQ844" s="147"/>
    </row>
    <row r="845" spans="1:43">
      <c r="A845" s="3"/>
      <c r="B845" s="3"/>
      <c r="C845" s="3"/>
      <c r="D845" s="3"/>
      <c r="E845" s="3"/>
      <c r="F845" s="3"/>
      <c r="G845" s="3"/>
      <c r="H845" s="3"/>
      <c r="I845" s="3"/>
      <c r="J845" s="3"/>
      <c r="K845" s="3"/>
      <c r="L845" s="3"/>
      <c r="M845" s="3"/>
      <c r="N845" s="157"/>
      <c r="O845" s="157"/>
      <c r="P845" s="157"/>
      <c r="R845" s="147"/>
      <c r="S845" s="147"/>
      <c r="T845" s="147"/>
      <c r="U845" s="147"/>
      <c r="X845" s="147"/>
      <c r="Y845" s="147"/>
      <c r="Z845" s="147"/>
      <c r="AA845" s="147"/>
      <c r="AB845" s="147"/>
      <c r="AC845" s="147"/>
      <c r="AD845" s="147"/>
      <c r="AE845" s="147"/>
      <c r="AF845" s="147"/>
      <c r="AG845" s="147"/>
      <c r="AH845" s="147"/>
      <c r="AI845" s="147"/>
      <c r="AJ845" s="147"/>
      <c r="AK845" s="147"/>
      <c r="AL845" s="147"/>
      <c r="AM845" s="147"/>
      <c r="AN845" s="147"/>
      <c r="AO845" s="147"/>
      <c r="AP845" s="147"/>
      <c r="AQ845" s="147"/>
    </row>
    <row r="846" spans="1:43">
      <c r="A846" s="3"/>
      <c r="B846" s="3"/>
      <c r="C846" s="3"/>
      <c r="D846" s="3"/>
      <c r="E846" s="3"/>
      <c r="F846" s="3"/>
      <c r="G846" s="3"/>
      <c r="H846" s="3"/>
      <c r="I846" s="3"/>
      <c r="J846" s="3"/>
      <c r="K846" s="3"/>
      <c r="L846" s="3"/>
      <c r="M846" s="3"/>
      <c r="N846" s="157"/>
      <c r="O846" s="157"/>
      <c r="P846" s="157"/>
      <c r="R846" s="147"/>
      <c r="S846" s="147"/>
      <c r="T846" s="147"/>
      <c r="U846" s="147"/>
      <c r="X846" s="147"/>
      <c r="Y846" s="147"/>
      <c r="Z846" s="147"/>
      <c r="AA846" s="147"/>
      <c r="AB846" s="147"/>
      <c r="AC846" s="147"/>
      <c r="AD846" s="147"/>
      <c r="AE846" s="147"/>
      <c r="AF846" s="147"/>
      <c r="AG846" s="147"/>
      <c r="AH846" s="147"/>
      <c r="AI846" s="147"/>
      <c r="AJ846" s="147"/>
      <c r="AK846" s="147"/>
      <c r="AL846" s="147"/>
      <c r="AM846" s="147"/>
      <c r="AN846" s="147"/>
      <c r="AO846" s="147"/>
      <c r="AP846" s="147"/>
      <c r="AQ846" s="147"/>
    </row>
    <row r="847" spans="1:43">
      <c r="A847" s="3"/>
      <c r="B847" s="3"/>
      <c r="C847" s="3"/>
      <c r="D847" s="3"/>
      <c r="E847" s="3"/>
      <c r="F847" s="3"/>
      <c r="G847" s="3"/>
      <c r="H847" s="3"/>
      <c r="I847" s="3"/>
      <c r="J847" s="3"/>
      <c r="K847" s="3"/>
      <c r="L847" s="3"/>
      <c r="M847" s="3"/>
      <c r="N847" s="157"/>
      <c r="O847" s="157"/>
      <c r="P847" s="157"/>
      <c r="R847" s="147"/>
      <c r="S847" s="147"/>
      <c r="T847" s="147"/>
      <c r="U847" s="147"/>
      <c r="X847" s="147"/>
      <c r="Y847" s="147"/>
      <c r="Z847" s="147"/>
      <c r="AA847" s="147"/>
      <c r="AB847" s="147"/>
      <c r="AC847" s="147"/>
      <c r="AD847" s="147"/>
      <c r="AE847" s="147"/>
      <c r="AF847" s="147"/>
      <c r="AG847" s="147"/>
      <c r="AH847" s="147"/>
      <c r="AI847" s="147"/>
      <c r="AJ847" s="147"/>
      <c r="AK847" s="147"/>
      <c r="AL847" s="147"/>
      <c r="AM847" s="147"/>
      <c r="AN847" s="147"/>
      <c r="AO847" s="147"/>
      <c r="AP847" s="147"/>
      <c r="AQ847" s="147"/>
    </row>
    <row r="848" spans="1:43">
      <c r="A848" s="3"/>
      <c r="B848" s="3"/>
      <c r="C848" s="3"/>
      <c r="D848" s="3"/>
      <c r="E848" s="3"/>
      <c r="F848" s="3"/>
      <c r="G848" s="3"/>
      <c r="H848" s="3"/>
      <c r="I848" s="3"/>
      <c r="J848" s="3"/>
      <c r="K848" s="3"/>
      <c r="L848" s="3"/>
      <c r="M848" s="3"/>
      <c r="N848" s="157"/>
      <c r="O848" s="157"/>
      <c r="P848" s="157"/>
      <c r="R848" s="147"/>
      <c r="S848" s="147"/>
      <c r="T848" s="147"/>
      <c r="U848" s="147"/>
      <c r="X848" s="147"/>
      <c r="Y848" s="147"/>
      <c r="Z848" s="147"/>
      <c r="AA848" s="147"/>
      <c r="AB848" s="147"/>
      <c r="AC848" s="147"/>
      <c r="AD848" s="147"/>
      <c r="AE848" s="147"/>
      <c r="AF848" s="147"/>
      <c r="AG848" s="147"/>
      <c r="AH848" s="147"/>
      <c r="AI848" s="147"/>
      <c r="AJ848" s="147"/>
      <c r="AK848" s="147"/>
      <c r="AL848" s="147"/>
      <c r="AM848" s="147"/>
      <c r="AN848" s="147"/>
      <c r="AO848" s="147"/>
      <c r="AP848" s="147"/>
      <c r="AQ848" s="147"/>
    </row>
    <row r="849" spans="1:43">
      <c r="A849" s="3"/>
      <c r="B849" s="3"/>
      <c r="C849" s="3"/>
      <c r="D849" s="3"/>
      <c r="E849" s="3"/>
      <c r="F849" s="3"/>
      <c r="G849" s="3"/>
      <c r="H849" s="3"/>
      <c r="I849" s="3"/>
      <c r="J849" s="3"/>
      <c r="K849" s="3"/>
      <c r="L849" s="3"/>
      <c r="M849" s="3"/>
      <c r="N849" s="157"/>
      <c r="O849" s="157"/>
      <c r="P849" s="157"/>
      <c r="R849" s="147"/>
      <c r="S849" s="147"/>
      <c r="T849" s="147"/>
      <c r="U849" s="147"/>
      <c r="X849" s="147"/>
      <c r="Y849" s="147"/>
      <c r="Z849" s="147"/>
      <c r="AA849" s="147"/>
      <c r="AB849" s="147"/>
      <c r="AC849" s="147"/>
      <c r="AD849" s="147"/>
      <c r="AE849" s="147"/>
      <c r="AF849" s="147"/>
      <c r="AG849" s="147"/>
      <c r="AH849" s="147"/>
      <c r="AI849" s="147"/>
      <c r="AJ849" s="147"/>
      <c r="AK849" s="147"/>
      <c r="AL849" s="147"/>
      <c r="AM849" s="147"/>
      <c r="AN849" s="147"/>
      <c r="AO849" s="147"/>
      <c r="AP849" s="147"/>
      <c r="AQ849" s="147"/>
    </row>
    <row r="850" spans="1:43">
      <c r="A850" s="3"/>
      <c r="B850" s="3"/>
      <c r="C850" s="3"/>
      <c r="D850" s="3"/>
      <c r="E850" s="3"/>
      <c r="F850" s="3"/>
      <c r="G850" s="3"/>
      <c r="H850" s="3"/>
      <c r="I850" s="3"/>
      <c r="J850" s="3"/>
      <c r="K850" s="3"/>
      <c r="L850" s="3"/>
      <c r="M850" s="3"/>
      <c r="N850" s="157"/>
      <c r="O850" s="157"/>
      <c r="P850" s="157"/>
      <c r="R850" s="147"/>
      <c r="S850" s="147"/>
      <c r="T850" s="147"/>
      <c r="U850" s="147"/>
      <c r="X850" s="147"/>
      <c r="Y850" s="147"/>
      <c r="Z850" s="147"/>
      <c r="AA850" s="147"/>
      <c r="AB850" s="147"/>
      <c r="AC850" s="147"/>
      <c r="AD850" s="147"/>
      <c r="AE850" s="147"/>
      <c r="AF850" s="147"/>
      <c r="AG850" s="147"/>
      <c r="AH850" s="147"/>
      <c r="AI850" s="147"/>
      <c r="AJ850" s="147"/>
      <c r="AK850" s="147"/>
      <c r="AL850" s="147"/>
      <c r="AM850" s="147"/>
      <c r="AN850" s="147"/>
      <c r="AO850" s="147"/>
      <c r="AP850" s="147"/>
      <c r="AQ850" s="147"/>
    </row>
    <row r="851" spans="1:43">
      <c r="A851" s="3"/>
      <c r="B851" s="3"/>
      <c r="C851" s="3"/>
      <c r="D851" s="3"/>
      <c r="E851" s="3"/>
      <c r="F851" s="3"/>
      <c r="G851" s="3"/>
      <c r="H851" s="3"/>
      <c r="I851" s="3"/>
      <c r="J851" s="3"/>
      <c r="K851" s="3"/>
      <c r="L851" s="3"/>
      <c r="M851" s="3"/>
      <c r="N851" s="157"/>
      <c r="O851" s="157"/>
      <c r="P851" s="157"/>
      <c r="R851" s="147"/>
      <c r="S851" s="147"/>
      <c r="T851" s="147"/>
      <c r="U851" s="147"/>
      <c r="X851" s="147"/>
      <c r="Y851" s="147"/>
      <c r="Z851" s="147"/>
      <c r="AA851" s="147"/>
      <c r="AB851" s="147"/>
      <c r="AC851" s="147"/>
      <c r="AD851" s="147"/>
      <c r="AE851" s="147"/>
      <c r="AF851" s="147"/>
      <c r="AG851" s="147"/>
      <c r="AH851" s="147"/>
      <c r="AI851" s="147"/>
      <c r="AJ851" s="147"/>
      <c r="AK851" s="147"/>
      <c r="AL851" s="147"/>
      <c r="AM851" s="147"/>
      <c r="AN851" s="147"/>
      <c r="AO851" s="147"/>
      <c r="AP851" s="147"/>
      <c r="AQ851" s="147"/>
    </row>
    <row r="852" spans="1:43">
      <c r="A852" s="3"/>
      <c r="B852" s="3"/>
      <c r="C852" s="3"/>
      <c r="D852" s="3"/>
      <c r="E852" s="3"/>
      <c r="F852" s="3"/>
      <c r="G852" s="3"/>
      <c r="H852" s="3"/>
      <c r="I852" s="3"/>
      <c r="J852" s="3"/>
      <c r="K852" s="3"/>
      <c r="L852" s="3"/>
      <c r="M852" s="3"/>
      <c r="N852" s="157"/>
      <c r="O852" s="157"/>
      <c r="P852" s="157"/>
      <c r="R852" s="147"/>
      <c r="S852" s="147"/>
      <c r="T852" s="147"/>
      <c r="U852" s="147"/>
      <c r="X852" s="147"/>
      <c r="Y852" s="147"/>
      <c r="Z852" s="147"/>
      <c r="AA852" s="147"/>
      <c r="AB852" s="147"/>
      <c r="AC852" s="147"/>
      <c r="AD852" s="147"/>
      <c r="AE852" s="147"/>
      <c r="AF852" s="147"/>
      <c r="AG852" s="147"/>
      <c r="AH852" s="147"/>
      <c r="AI852" s="147"/>
      <c r="AJ852" s="147"/>
      <c r="AK852" s="147"/>
      <c r="AL852" s="147"/>
      <c r="AM852" s="147"/>
      <c r="AN852" s="147"/>
      <c r="AO852" s="147"/>
      <c r="AP852" s="147"/>
      <c r="AQ852" s="147"/>
    </row>
    <row r="853" spans="1:43">
      <c r="A853" s="3"/>
      <c r="B853" s="3"/>
      <c r="C853" s="3"/>
      <c r="D853" s="3"/>
      <c r="E853" s="3"/>
      <c r="F853" s="3"/>
      <c r="G853" s="3"/>
      <c r="H853" s="3"/>
      <c r="I853" s="3"/>
      <c r="J853" s="3"/>
      <c r="K853" s="3"/>
      <c r="L853" s="3"/>
      <c r="M853" s="3"/>
      <c r="N853" s="157"/>
      <c r="O853" s="157"/>
      <c r="P853" s="157"/>
      <c r="R853" s="147"/>
      <c r="S853" s="147"/>
      <c r="T853" s="147"/>
      <c r="U853" s="147"/>
      <c r="X853" s="147"/>
      <c r="Y853" s="147"/>
      <c r="Z853" s="147"/>
      <c r="AA853" s="147"/>
      <c r="AB853" s="147"/>
      <c r="AC853" s="147"/>
      <c r="AD853" s="147"/>
      <c r="AE853" s="147"/>
      <c r="AF853" s="147"/>
      <c r="AG853" s="147"/>
      <c r="AH853" s="147"/>
      <c r="AI853" s="147"/>
      <c r="AJ853" s="147"/>
      <c r="AK853" s="147"/>
      <c r="AL853" s="147"/>
      <c r="AM853" s="147"/>
      <c r="AN853" s="147"/>
      <c r="AO853" s="147"/>
      <c r="AP853" s="147"/>
      <c r="AQ853" s="147"/>
    </row>
    <row r="854" spans="1:43">
      <c r="A854" s="3"/>
      <c r="B854" s="3"/>
      <c r="C854" s="3"/>
      <c r="D854" s="3"/>
      <c r="E854" s="3"/>
      <c r="F854" s="3"/>
      <c r="G854" s="3"/>
      <c r="H854" s="3"/>
      <c r="I854" s="3"/>
      <c r="J854" s="3"/>
      <c r="K854" s="3"/>
      <c r="L854" s="3"/>
      <c r="M854" s="3"/>
      <c r="N854" s="157"/>
      <c r="O854" s="157"/>
      <c r="P854" s="157"/>
      <c r="R854" s="147"/>
      <c r="S854" s="147"/>
      <c r="T854" s="147"/>
      <c r="U854" s="147"/>
      <c r="X854" s="147"/>
      <c r="Y854" s="147"/>
      <c r="Z854" s="147"/>
      <c r="AA854" s="147"/>
      <c r="AB854" s="147"/>
      <c r="AC854" s="147"/>
      <c r="AD854" s="147"/>
      <c r="AE854" s="147"/>
      <c r="AF854" s="147"/>
      <c r="AG854" s="147"/>
      <c r="AH854" s="147"/>
      <c r="AI854" s="147"/>
      <c r="AJ854" s="147"/>
      <c r="AK854" s="147"/>
      <c r="AL854" s="147"/>
      <c r="AM854" s="147"/>
      <c r="AN854" s="147"/>
      <c r="AO854" s="147"/>
      <c r="AP854" s="147"/>
      <c r="AQ854" s="147"/>
    </row>
    <row r="855" spans="1:43">
      <c r="A855" s="3"/>
      <c r="B855" s="3"/>
      <c r="C855" s="3"/>
      <c r="D855" s="3"/>
      <c r="E855" s="3"/>
      <c r="F855" s="3"/>
      <c r="G855" s="3"/>
      <c r="H855" s="3"/>
      <c r="I855" s="3"/>
      <c r="J855" s="3"/>
      <c r="K855" s="3"/>
      <c r="L855" s="3"/>
      <c r="M855" s="3"/>
      <c r="N855" s="157"/>
      <c r="O855" s="157"/>
      <c r="P855" s="157"/>
      <c r="R855" s="147"/>
      <c r="S855" s="147"/>
      <c r="T855" s="147"/>
      <c r="U855" s="147"/>
      <c r="X855" s="147"/>
      <c r="Y855" s="147"/>
      <c r="Z855" s="147"/>
      <c r="AA855" s="147"/>
      <c r="AB855" s="147"/>
      <c r="AC855" s="147"/>
      <c r="AD855" s="147"/>
      <c r="AE855" s="147"/>
      <c r="AF855" s="147"/>
      <c r="AG855" s="147"/>
      <c r="AH855" s="147"/>
      <c r="AI855" s="147"/>
      <c r="AJ855" s="147"/>
      <c r="AK855" s="147"/>
      <c r="AL855" s="147"/>
      <c r="AM855" s="147"/>
      <c r="AN855" s="147"/>
      <c r="AO855" s="147"/>
      <c r="AP855" s="147"/>
      <c r="AQ855" s="147"/>
    </row>
    <row r="856" spans="1:43">
      <c r="A856" s="3"/>
      <c r="B856" s="3"/>
      <c r="C856" s="3"/>
      <c r="D856" s="3"/>
      <c r="E856" s="3"/>
      <c r="F856" s="3"/>
      <c r="G856" s="3"/>
      <c r="H856" s="3"/>
      <c r="I856" s="3"/>
      <c r="J856" s="3"/>
      <c r="K856" s="3"/>
      <c r="L856" s="3"/>
      <c r="M856" s="3"/>
      <c r="N856" s="157"/>
      <c r="O856" s="157"/>
      <c r="P856" s="157"/>
      <c r="R856" s="147"/>
      <c r="S856" s="147"/>
      <c r="T856" s="147"/>
      <c r="U856" s="147"/>
      <c r="X856" s="147"/>
      <c r="Y856" s="147"/>
      <c r="Z856" s="147"/>
      <c r="AA856" s="147"/>
      <c r="AB856" s="147"/>
      <c r="AC856" s="147"/>
      <c r="AD856" s="147"/>
      <c r="AE856" s="147"/>
      <c r="AF856" s="147"/>
      <c r="AG856" s="147"/>
      <c r="AH856" s="147"/>
      <c r="AI856" s="147"/>
      <c r="AJ856" s="147"/>
      <c r="AK856" s="147"/>
      <c r="AL856" s="147"/>
      <c r="AM856" s="147"/>
      <c r="AN856" s="147"/>
      <c r="AO856" s="147"/>
      <c r="AP856" s="147"/>
      <c r="AQ856" s="147"/>
    </row>
    <row r="857" spans="1:43">
      <c r="A857" s="3"/>
      <c r="B857" s="3"/>
      <c r="C857" s="3"/>
      <c r="D857" s="3"/>
      <c r="E857" s="3"/>
      <c r="F857" s="3"/>
      <c r="G857" s="3"/>
      <c r="H857" s="3"/>
      <c r="I857" s="3"/>
      <c r="J857" s="3"/>
      <c r="K857" s="3"/>
      <c r="L857" s="3"/>
      <c r="M857" s="3"/>
      <c r="N857" s="157"/>
      <c r="O857" s="157"/>
      <c r="P857" s="157"/>
      <c r="R857" s="147"/>
      <c r="S857" s="147"/>
      <c r="T857" s="147"/>
      <c r="U857" s="147"/>
      <c r="X857" s="147"/>
      <c r="Y857" s="147"/>
      <c r="Z857" s="147"/>
      <c r="AA857" s="147"/>
      <c r="AB857" s="147"/>
      <c r="AC857" s="147"/>
      <c r="AD857" s="147"/>
      <c r="AE857" s="147"/>
      <c r="AF857" s="147"/>
      <c r="AG857" s="147"/>
      <c r="AH857" s="147"/>
      <c r="AI857" s="147"/>
      <c r="AJ857" s="147"/>
      <c r="AK857" s="147"/>
      <c r="AL857" s="147"/>
      <c r="AM857" s="147"/>
      <c r="AN857" s="147"/>
      <c r="AO857" s="147"/>
      <c r="AP857" s="147"/>
      <c r="AQ857" s="147"/>
    </row>
    <row r="858" spans="1:43">
      <c r="A858" s="3"/>
      <c r="B858" s="3"/>
      <c r="C858" s="3"/>
      <c r="D858" s="3"/>
      <c r="E858" s="3"/>
      <c r="F858" s="3"/>
      <c r="G858" s="3"/>
      <c r="H858" s="3"/>
      <c r="I858" s="3"/>
      <c r="J858" s="3"/>
      <c r="K858" s="3"/>
      <c r="L858" s="3"/>
      <c r="M858" s="3"/>
      <c r="N858" s="157"/>
      <c r="O858" s="157"/>
      <c r="P858" s="157"/>
      <c r="R858" s="147"/>
      <c r="S858" s="147"/>
      <c r="T858" s="147"/>
      <c r="U858" s="147"/>
      <c r="X858" s="147"/>
      <c r="Y858" s="147"/>
      <c r="Z858" s="147"/>
      <c r="AA858" s="147"/>
      <c r="AB858" s="147"/>
      <c r="AC858" s="147"/>
      <c r="AD858" s="147"/>
      <c r="AE858" s="147"/>
      <c r="AF858" s="147"/>
      <c r="AG858" s="147"/>
      <c r="AH858" s="147"/>
      <c r="AI858" s="147"/>
      <c r="AJ858" s="147"/>
      <c r="AK858" s="147"/>
      <c r="AL858" s="147"/>
      <c r="AM858" s="147"/>
      <c r="AN858" s="147"/>
      <c r="AO858" s="147"/>
      <c r="AP858" s="147"/>
      <c r="AQ858" s="147"/>
    </row>
    <row r="859" spans="1:43">
      <c r="A859" s="3"/>
      <c r="B859" s="3"/>
      <c r="C859" s="3"/>
      <c r="D859" s="3"/>
      <c r="E859" s="3"/>
      <c r="F859" s="3"/>
      <c r="G859" s="3"/>
      <c r="H859" s="3"/>
      <c r="I859" s="3"/>
      <c r="J859" s="3"/>
      <c r="K859" s="3"/>
      <c r="L859" s="3"/>
      <c r="M859" s="3"/>
      <c r="N859" s="157"/>
      <c r="O859" s="157"/>
      <c r="P859" s="157"/>
      <c r="R859" s="147"/>
      <c r="S859" s="147"/>
      <c r="T859" s="147"/>
      <c r="U859" s="147"/>
      <c r="X859" s="147"/>
      <c r="Y859" s="147"/>
      <c r="Z859" s="147"/>
      <c r="AA859" s="147"/>
      <c r="AB859" s="147"/>
      <c r="AC859" s="147"/>
      <c r="AD859" s="147"/>
      <c r="AE859" s="147"/>
      <c r="AF859" s="147"/>
      <c r="AG859" s="147"/>
      <c r="AH859" s="147"/>
      <c r="AI859" s="147"/>
      <c r="AJ859" s="147"/>
      <c r="AK859" s="147"/>
      <c r="AL859" s="147"/>
      <c r="AM859" s="147"/>
      <c r="AN859" s="147"/>
      <c r="AO859" s="147"/>
      <c r="AP859" s="147"/>
      <c r="AQ859" s="147"/>
    </row>
    <row r="860" spans="1:43">
      <c r="A860" s="3"/>
      <c r="B860" s="3"/>
      <c r="C860" s="3"/>
      <c r="D860" s="3"/>
      <c r="E860" s="3"/>
      <c r="F860" s="3"/>
      <c r="G860" s="3"/>
      <c r="H860" s="3"/>
      <c r="I860" s="3"/>
      <c r="J860" s="3"/>
      <c r="K860" s="3"/>
      <c r="L860" s="3"/>
      <c r="M860" s="3"/>
      <c r="N860" s="157"/>
      <c r="O860" s="157"/>
      <c r="P860" s="157"/>
      <c r="R860" s="147"/>
      <c r="S860" s="147"/>
      <c r="T860" s="147"/>
      <c r="U860" s="147"/>
      <c r="X860" s="147"/>
      <c r="Y860" s="147"/>
      <c r="Z860" s="147"/>
      <c r="AA860" s="147"/>
      <c r="AB860" s="147"/>
      <c r="AC860" s="147"/>
      <c r="AD860" s="147"/>
      <c r="AE860" s="147"/>
      <c r="AF860" s="147"/>
      <c r="AG860" s="147"/>
      <c r="AH860" s="147"/>
      <c r="AI860" s="147"/>
      <c r="AJ860" s="147"/>
      <c r="AK860" s="147"/>
      <c r="AL860" s="147"/>
      <c r="AM860" s="147"/>
      <c r="AN860" s="147"/>
      <c r="AO860" s="147"/>
      <c r="AP860" s="147"/>
      <c r="AQ860" s="147"/>
    </row>
    <row r="861" spans="1:43">
      <c r="A861" s="3"/>
      <c r="B861" s="3"/>
      <c r="C861" s="3"/>
      <c r="D861" s="3"/>
      <c r="E861" s="3"/>
      <c r="F861" s="3"/>
      <c r="G861" s="3"/>
      <c r="H861" s="3"/>
      <c r="I861" s="3"/>
      <c r="J861" s="3"/>
      <c r="K861" s="3"/>
      <c r="L861" s="3"/>
      <c r="M861" s="3"/>
      <c r="N861" s="157"/>
      <c r="O861" s="157"/>
      <c r="P861" s="157"/>
      <c r="R861" s="147"/>
      <c r="S861" s="147"/>
      <c r="T861" s="147"/>
      <c r="U861" s="147"/>
      <c r="X861" s="147"/>
      <c r="Y861" s="147"/>
      <c r="Z861" s="147"/>
      <c r="AA861" s="147"/>
      <c r="AB861" s="147"/>
      <c r="AC861" s="147"/>
      <c r="AD861" s="147"/>
      <c r="AE861" s="147"/>
      <c r="AF861" s="147"/>
      <c r="AG861" s="147"/>
      <c r="AH861" s="147"/>
      <c r="AI861" s="147"/>
      <c r="AJ861" s="147"/>
      <c r="AK861" s="147"/>
      <c r="AL861" s="147"/>
      <c r="AM861" s="147"/>
      <c r="AN861" s="147"/>
      <c r="AO861" s="147"/>
      <c r="AP861" s="147"/>
      <c r="AQ861" s="147"/>
    </row>
    <row r="862" spans="1:43">
      <c r="A862" s="3"/>
      <c r="B862" s="3"/>
      <c r="C862" s="3"/>
      <c r="D862" s="3"/>
      <c r="E862" s="3"/>
      <c r="F862" s="3"/>
      <c r="G862" s="3"/>
      <c r="H862" s="3"/>
      <c r="I862" s="3"/>
      <c r="J862" s="3"/>
      <c r="K862" s="3"/>
      <c r="L862" s="3"/>
      <c r="M862" s="3"/>
      <c r="N862" s="157"/>
      <c r="O862" s="157"/>
      <c r="P862" s="157"/>
      <c r="R862" s="147"/>
      <c r="S862" s="147"/>
      <c r="T862" s="147"/>
      <c r="U862" s="147"/>
      <c r="X862" s="147"/>
      <c r="Y862" s="147"/>
      <c r="Z862" s="147"/>
      <c r="AA862" s="147"/>
      <c r="AB862" s="147"/>
      <c r="AC862" s="147"/>
      <c r="AD862" s="147"/>
      <c r="AE862" s="147"/>
      <c r="AF862" s="147"/>
      <c r="AG862" s="147"/>
      <c r="AH862" s="147"/>
      <c r="AI862" s="147"/>
      <c r="AJ862" s="147"/>
      <c r="AK862" s="147"/>
      <c r="AL862" s="147"/>
      <c r="AM862" s="147"/>
      <c r="AN862" s="147"/>
      <c r="AO862" s="147"/>
      <c r="AP862" s="147"/>
      <c r="AQ862" s="147"/>
    </row>
    <row r="863" spans="1:43">
      <c r="A863" s="3"/>
      <c r="B863" s="3"/>
      <c r="C863" s="3"/>
      <c r="D863" s="3"/>
      <c r="E863" s="3"/>
      <c r="F863" s="3"/>
      <c r="G863" s="3"/>
      <c r="H863" s="3"/>
      <c r="I863" s="3"/>
      <c r="J863" s="3"/>
      <c r="K863" s="3"/>
      <c r="L863" s="3"/>
      <c r="M863" s="3"/>
      <c r="N863" s="157"/>
      <c r="O863" s="157"/>
      <c r="P863" s="157"/>
      <c r="R863" s="147"/>
      <c r="S863" s="147"/>
      <c r="T863" s="147"/>
      <c r="U863" s="147"/>
      <c r="X863" s="147"/>
      <c r="Y863" s="147"/>
      <c r="Z863" s="147"/>
      <c r="AA863" s="147"/>
      <c r="AB863" s="147"/>
      <c r="AC863" s="147"/>
      <c r="AD863" s="147"/>
      <c r="AE863" s="147"/>
      <c r="AF863" s="147"/>
      <c r="AG863" s="147"/>
      <c r="AH863" s="147"/>
      <c r="AI863" s="147"/>
      <c r="AJ863" s="147"/>
      <c r="AK863" s="147"/>
      <c r="AL863" s="147"/>
      <c r="AM863" s="147"/>
      <c r="AN863" s="147"/>
      <c r="AO863" s="147"/>
      <c r="AP863" s="147"/>
      <c r="AQ863" s="147"/>
    </row>
    <row r="864" spans="1:43">
      <c r="A864" s="3"/>
      <c r="B864" s="3"/>
      <c r="C864" s="3"/>
      <c r="D864" s="3"/>
      <c r="E864" s="3"/>
      <c r="F864" s="3"/>
      <c r="G864" s="3"/>
      <c r="H864" s="3"/>
      <c r="I864" s="3"/>
      <c r="J864" s="3"/>
      <c r="K864" s="3"/>
      <c r="L864" s="3"/>
      <c r="M864" s="3"/>
      <c r="N864" s="157"/>
      <c r="O864" s="157"/>
      <c r="P864" s="157"/>
      <c r="R864" s="147"/>
      <c r="S864" s="147"/>
      <c r="T864" s="147"/>
      <c r="U864" s="147"/>
      <c r="X864" s="147"/>
      <c r="Y864" s="147"/>
      <c r="Z864" s="147"/>
      <c r="AA864" s="147"/>
      <c r="AB864" s="147"/>
      <c r="AC864" s="147"/>
      <c r="AD864" s="147"/>
      <c r="AE864" s="147"/>
      <c r="AF864" s="147"/>
      <c r="AG864" s="147"/>
      <c r="AH864" s="147"/>
      <c r="AI864" s="147"/>
      <c r="AJ864" s="147"/>
      <c r="AK864" s="147"/>
      <c r="AL864" s="147"/>
      <c r="AM864" s="147"/>
      <c r="AN864" s="147"/>
      <c r="AO864" s="147"/>
      <c r="AP864" s="147"/>
      <c r="AQ864" s="147"/>
    </row>
    <row r="865" spans="1:43">
      <c r="A865" s="3"/>
      <c r="B865" s="3"/>
      <c r="C865" s="3"/>
      <c r="D865" s="3"/>
      <c r="E865" s="3"/>
      <c r="F865" s="3"/>
      <c r="G865" s="3"/>
      <c r="H865" s="3"/>
      <c r="I865" s="3"/>
      <c r="J865" s="3"/>
      <c r="K865" s="3"/>
      <c r="L865" s="3"/>
      <c r="M865" s="3"/>
      <c r="N865" s="157"/>
      <c r="O865" s="157"/>
      <c r="P865" s="157"/>
      <c r="R865" s="147"/>
      <c r="S865" s="147"/>
      <c r="T865" s="147"/>
      <c r="U865" s="147"/>
      <c r="X865" s="147"/>
      <c r="Y865" s="147"/>
      <c r="Z865" s="147"/>
      <c r="AA865" s="147"/>
      <c r="AB865" s="147"/>
      <c r="AC865" s="147"/>
      <c r="AD865" s="147"/>
      <c r="AE865" s="147"/>
      <c r="AF865" s="147"/>
      <c r="AG865" s="147"/>
      <c r="AH865" s="147"/>
      <c r="AI865" s="147"/>
      <c r="AJ865" s="147"/>
      <c r="AK865" s="147"/>
      <c r="AL865" s="147"/>
      <c r="AM865" s="147"/>
      <c r="AN865" s="147"/>
      <c r="AO865" s="147"/>
      <c r="AP865" s="147"/>
      <c r="AQ865" s="147"/>
    </row>
    <row r="866" spans="1:43">
      <c r="A866" s="3"/>
      <c r="B866" s="3"/>
      <c r="C866" s="3"/>
      <c r="D866" s="3"/>
      <c r="E866" s="3"/>
      <c r="F866" s="3"/>
      <c r="G866" s="3"/>
      <c r="H866" s="3"/>
      <c r="I866" s="3"/>
      <c r="J866" s="3"/>
      <c r="K866" s="3"/>
      <c r="L866" s="3"/>
      <c r="M866" s="3"/>
      <c r="N866" s="157"/>
      <c r="O866" s="157"/>
      <c r="P866" s="157"/>
      <c r="R866" s="147"/>
      <c r="S866" s="147"/>
      <c r="T866" s="147"/>
      <c r="U866" s="147"/>
      <c r="X866" s="147"/>
      <c r="Y866" s="147"/>
      <c r="Z866" s="147"/>
      <c r="AA866" s="147"/>
      <c r="AB866" s="147"/>
      <c r="AC866" s="147"/>
      <c r="AD866" s="147"/>
      <c r="AE866" s="147"/>
      <c r="AF866" s="147"/>
      <c r="AG866" s="147"/>
      <c r="AH866" s="147"/>
      <c r="AI866" s="147"/>
      <c r="AJ866" s="147"/>
      <c r="AK866" s="147"/>
      <c r="AL866" s="147"/>
      <c r="AM866" s="147"/>
      <c r="AN866" s="147"/>
      <c r="AO866" s="147"/>
      <c r="AP866" s="147"/>
      <c r="AQ866" s="147"/>
    </row>
    <row r="867" spans="1:43">
      <c r="A867" s="3"/>
      <c r="B867" s="3"/>
      <c r="C867" s="3"/>
      <c r="D867" s="3"/>
      <c r="E867" s="3"/>
      <c r="F867" s="3"/>
      <c r="G867" s="3"/>
      <c r="H867" s="3"/>
      <c r="I867" s="3"/>
      <c r="J867" s="3"/>
      <c r="K867" s="3"/>
      <c r="L867" s="3"/>
      <c r="M867" s="3"/>
      <c r="N867" s="157"/>
      <c r="O867" s="157"/>
      <c r="P867" s="157"/>
      <c r="R867" s="147"/>
      <c r="S867" s="147"/>
      <c r="T867" s="147"/>
      <c r="U867" s="147"/>
      <c r="X867" s="147"/>
      <c r="Y867" s="147"/>
      <c r="Z867" s="147"/>
      <c r="AA867" s="147"/>
      <c r="AB867" s="147"/>
      <c r="AC867" s="147"/>
      <c r="AD867" s="147"/>
      <c r="AE867" s="147"/>
      <c r="AF867" s="147"/>
      <c r="AG867" s="147"/>
      <c r="AH867" s="147"/>
      <c r="AI867" s="147"/>
      <c r="AJ867" s="147"/>
      <c r="AK867" s="147"/>
      <c r="AL867" s="147"/>
      <c r="AM867" s="147"/>
      <c r="AN867" s="147"/>
      <c r="AO867" s="147"/>
      <c r="AP867" s="147"/>
      <c r="AQ867" s="147"/>
    </row>
    <row r="868" spans="1:43">
      <c r="A868" s="3"/>
      <c r="B868" s="3"/>
      <c r="C868" s="3"/>
      <c r="D868" s="3"/>
      <c r="E868" s="3"/>
      <c r="F868" s="3"/>
      <c r="G868" s="3"/>
      <c r="H868" s="3"/>
      <c r="I868" s="3"/>
      <c r="J868" s="3"/>
      <c r="K868" s="3"/>
      <c r="L868" s="3"/>
      <c r="M868" s="3"/>
      <c r="N868" s="157"/>
      <c r="O868" s="157"/>
      <c r="P868" s="157"/>
      <c r="R868" s="147"/>
      <c r="S868" s="147"/>
      <c r="T868" s="147"/>
      <c r="U868" s="147"/>
      <c r="X868" s="147"/>
      <c r="Y868" s="147"/>
      <c r="Z868" s="147"/>
      <c r="AA868" s="147"/>
      <c r="AB868" s="147"/>
      <c r="AC868" s="147"/>
      <c r="AD868" s="147"/>
      <c r="AE868" s="147"/>
      <c r="AF868" s="147"/>
      <c r="AG868" s="147"/>
      <c r="AH868" s="147"/>
      <c r="AI868" s="147"/>
      <c r="AJ868" s="147"/>
      <c r="AK868" s="147"/>
      <c r="AL868" s="147"/>
      <c r="AM868" s="147"/>
      <c r="AN868" s="147"/>
      <c r="AO868" s="147"/>
      <c r="AP868" s="147"/>
      <c r="AQ868" s="147"/>
    </row>
    <row r="869" spans="1:43">
      <c r="A869" s="3"/>
      <c r="B869" s="3"/>
      <c r="C869" s="3"/>
      <c r="D869" s="3"/>
      <c r="E869" s="3"/>
      <c r="F869" s="3"/>
      <c r="G869" s="3"/>
      <c r="H869" s="3"/>
      <c r="I869" s="3"/>
      <c r="J869" s="3"/>
      <c r="K869" s="3"/>
      <c r="L869" s="3"/>
      <c r="M869" s="3"/>
      <c r="N869" s="157"/>
      <c r="O869" s="157"/>
      <c r="P869" s="157"/>
      <c r="R869" s="147"/>
      <c r="S869" s="147"/>
      <c r="T869" s="147"/>
      <c r="U869" s="147"/>
      <c r="X869" s="147"/>
      <c r="Y869" s="147"/>
      <c r="Z869" s="147"/>
      <c r="AA869" s="147"/>
      <c r="AB869" s="147"/>
      <c r="AC869" s="147"/>
      <c r="AD869" s="147"/>
      <c r="AE869" s="147"/>
      <c r="AF869" s="147"/>
      <c r="AG869" s="147"/>
      <c r="AH869" s="147"/>
      <c r="AI869" s="147"/>
      <c r="AJ869" s="147"/>
      <c r="AK869" s="147"/>
      <c r="AL869" s="147"/>
      <c r="AM869" s="147"/>
      <c r="AN869" s="147"/>
      <c r="AO869" s="147"/>
      <c r="AP869" s="147"/>
      <c r="AQ869" s="147"/>
    </row>
    <row r="870" spans="1:43">
      <c r="A870" s="3"/>
      <c r="B870" s="3"/>
      <c r="C870" s="3"/>
      <c r="D870" s="3"/>
      <c r="E870" s="3"/>
      <c r="F870" s="3"/>
      <c r="G870" s="3"/>
      <c r="H870" s="3"/>
      <c r="I870" s="3"/>
      <c r="J870" s="3"/>
      <c r="K870" s="3"/>
      <c r="L870" s="3"/>
      <c r="M870" s="3"/>
      <c r="N870" s="157"/>
      <c r="O870" s="157"/>
      <c r="P870" s="157"/>
      <c r="R870" s="147"/>
      <c r="S870" s="147"/>
      <c r="T870" s="147"/>
      <c r="U870" s="147"/>
      <c r="X870" s="147"/>
      <c r="Y870" s="147"/>
      <c r="Z870" s="147"/>
      <c r="AA870" s="147"/>
      <c r="AB870" s="147"/>
      <c r="AC870" s="147"/>
      <c r="AD870" s="147"/>
      <c r="AE870" s="147"/>
      <c r="AF870" s="147"/>
      <c r="AG870" s="147"/>
      <c r="AH870" s="147"/>
      <c r="AI870" s="147"/>
      <c r="AJ870" s="147"/>
      <c r="AK870" s="147"/>
      <c r="AL870" s="147"/>
      <c r="AM870" s="147"/>
      <c r="AN870" s="147"/>
      <c r="AO870" s="147"/>
      <c r="AP870" s="147"/>
      <c r="AQ870" s="147"/>
    </row>
    <row r="871" spans="1:43">
      <c r="A871" s="3"/>
      <c r="B871" s="3"/>
      <c r="C871" s="3"/>
      <c r="D871" s="3"/>
      <c r="E871" s="3"/>
      <c r="F871" s="3"/>
      <c r="G871" s="3"/>
      <c r="H871" s="3"/>
      <c r="I871" s="3"/>
      <c r="J871" s="3"/>
      <c r="K871" s="3"/>
      <c r="L871" s="3"/>
      <c r="M871" s="3"/>
      <c r="N871" s="157"/>
      <c r="O871" s="157"/>
      <c r="P871" s="157"/>
      <c r="R871" s="147"/>
      <c r="S871" s="147"/>
      <c r="T871" s="147"/>
      <c r="U871" s="147"/>
      <c r="X871" s="147"/>
      <c r="Y871" s="147"/>
      <c r="Z871" s="147"/>
      <c r="AA871" s="147"/>
      <c r="AB871" s="147"/>
      <c r="AC871" s="147"/>
      <c r="AD871" s="147"/>
      <c r="AE871" s="147"/>
      <c r="AF871" s="147"/>
      <c r="AG871" s="147"/>
      <c r="AH871" s="147"/>
      <c r="AI871" s="147"/>
      <c r="AJ871" s="147"/>
      <c r="AK871" s="147"/>
      <c r="AL871" s="147"/>
      <c r="AM871" s="147"/>
      <c r="AN871" s="147"/>
      <c r="AO871" s="147"/>
      <c r="AP871" s="147"/>
      <c r="AQ871" s="147"/>
    </row>
    <row r="872" spans="1:43">
      <c r="A872" s="3"/>
      <c r="B872" s="3"/>
      <c r="C872" s="3"/>
      <c r="D872" s="3"/>
      <c r="E872" s="3"/>
      <c r="F872" s="3"/>
      <c r="G872" s="3"/>
      <c r="H872" s="3"/>
      <c r="I872" s="3"/>
      <c r="J872" s="3"/>
      <c r="K872" s="3"/>
      <c r="L872" s="3"/>
      <c r="M872" s="3"/>
      <c r="N872" s="157"/>
      <c r="O872" s="157"/>
      <c r="P872" s="157"/>
      <c r="R872" s="147"/>
      <c r="S872" s="147"/>
      <c r="T872" s="147"/>
      <c r="U872" s="147"/>
      <c r="X872" s="147"/>
      <c r="Y872" s="147"/>
      <c r="Z872" s="147"/>
      <c r="AA872" s="147"/>
      <c r="AB872" s="147"/>
      <c r="AC872" s="147"/>
      <c r="AD872" s="147"/>
      <c r="AE872" s="147"/>
      <c r="AF872" s="147"/>
      <c r="AG872" s="147"/>
      <c r="AH872" s="147"/>
      <c r="AI872" s="147"/>
      <c r="AJ872" s="147"/>
      <c r="AK872" s="147"/>
      <c r="AL872" s="147"/>
      <c r="AM872" s="147"/>
      <c r="AN872" s="147"/>
      <c r="AO872" s="147"/>
      <c r="AP872" s="147"/>
      <c r="AQ872" s="147"/>
    </row>
    <row r="873" spans="1:43">
      <c r="A873" s="3"/>
      <c r="B873" s="3"/>
      <c r="C873" s="3"/>
      <c r="D873" s="3"/>
      <c r="E873" s="3"/>
      <c r="F873" s="3"/>
      <c r="G873" s="3"/>
      <c r="H873" s="3"/>
      <c r="I873" s="3"/>
      <c r="J873" s="3"/>
      <c r="K873" s="3"/>
      <c r="L873" s="3"/>
      <c r="M873" s="3"/>
      <c r="N873" s="157"/>
      <c r="O873" s="157"/>
      <c r="P873" s="157"/>
      <c r="R873" s="147"/>
      <c r="S873" s="147"/>
      <c r="T873" s="147"/>
      <c r="U873" s="147"/>
      <c r="X873" s="147"/>
      <c r="Y873" s="147"/>
      <c r="Z873" s="147"/>
      <c r="AA873" s="147"/>
      <c r="AB873" s="147"/>
      <c r="AC873" s="147"/>
      <c r="AD873" s="147"/>
      <c r="AE873" s="147"/>
      <c r="AF873" s="147"/>
      <c r="AG873" s="147"/>
      <c r="AH873" s="147"/>
      <c r="AI873" s="147"/>
      <c r="AJ873" s="147"/>
      <c r="AK873" s="147"/>
      <c r="AL873" s="147"/>
      <c r="AM873" s="147"/>
      <c r="AN873" s="147"/>
      <c r="AO873" s="147"/>
      <c r="AP873" s="147"/>
      <c r="AQ873" s="147"/>
    </row>
    <row r="874" spans="1:43">
      <c r="A874" s="3"/>
      <c r="B874" s="3"/>
      <c r="C874" s="3"/>
      <c r="D874" s="3"/>
      <c r="E874" s="3"/>
      <c r="F874" s="3"/>
      <c r="G874" s="3"/>
      <c r="H874" s="3"/>
      <c r="I874" s="3"/>
      <c r="J874" s="3"/>
      <c r="K874" s="3"/>
      <c r="L874" s="3"/>
      <c r="M874" s="3"/>
      <c r="N874" s="157"/>
      <c r="O874" s="157"/>
      <c r="P874" s="157"/>
      <c r="R874" s="147"/>
      <c r="S874" s="147"/>
      <c r="T874" s="147"/>
      <c r="U874" s="147"/>
      <c r="X874" s="147"/>
      <c r="Y874" s="147"/>
      <c r="Z874" s="147"/>
      <c r="AA874" s="147"/>
      <c r="AB874" s="147"/>
      <c r="AC874" s="147"/>
      <c r="AD874" s="147"/>
      <c r="AE874" s="147"/>
      <c r="AF874" s="147"/>
      <c r="AG874" s="147"/>
      <c r="AH874" s="147"/>
      <c r="AI874" s="147"/>
      <c r="AJ874" s="147"/>
      <c r="AK874" s="147"/>
      <c r="AL874" s="147"/>
      <c r="AM874" s="147"/>
      <c r="AN874" s="147"/>
      <c r="AO874" s="147"/>
      <c r="AP874" s="147"/>
      <c r="AQ874" s="147"/>
    </row>
    <row r="875" spans="1:43">
      <c r="A875" s="3"/>
      <c r="B875" s="3"/>
      <c r="C875" s="3"/>
      <c r="D875" s="3"/>
      <c r="E875" s="3"/>
      <c r="F875" s="3"/>
      <c r="G875" s="3"/>
      <c r="H875" s="3"/>
      <c r="I875" s="3"/>
      <c r="J875" s="3"/>
      <c r="K875" s="3"/>
      <c r="L875" s="3"/>
      <c r="M875" s="3"/>
      <c r="N875" s="157"/>
      <c r="O875" s="157"/>
      <c r="P875" s="157"/>
      <c r="R875" s="147"/>
      <c r="S875" s="147"/>
      <c r="T875" s="147"/>
      <c r="U875" s="147"/>
      <c r="X875" s="147"/>
      <c r="Y875" s="147"/>
      <c r="Z875" s="147"/>
      <c r="AA875" s="147"/>
      <c r="AB875" s="147"/>
      <c r="AC875" s="147"/>
      <c r="AD875" s="147"/>
      <c r="AE875" s="147"/>
      <c r="AF875" s="147"/>
      <c r="AG875" s="147"/>
      <c r="AH875" s="147"/>
      <c r="AI875" s="147"/>
      <c r="AJ875" s="147"/>
      <c r="AK875" s="147"/>
      <c r="AL875" s="147"/>
      <c r="AM875" s="147"/>
      <c r="AN875" s="147"/>
      <c r="AO875" s="147"/>
      <c r="AP875" s="147"/>
      <c r="AQ875" s="147"/>
    </row>
    <row r="876" spans="1:43">
      <c r="A876" s="3"/>
      <c r="B876" s="3"/>
      <c r="C876" s="3"/>
      <c r="D876" s="3"/>
      <c r="E876" s="3"/>
      <c r="F876" s="3"/>
      <c r="G876" s="3"/>
      <c r="H876" s="3"/>
      <c r="I876" s="3"/>
      <c r="J876" s="3"/>
      <c r="K876" s="3"/>
      <c r="L876" s="3"/>
      <c r="M876" s="3"/>
      <c r="N876" s="157"/>
      <c r="O876" s="157"/>
      <c r="P876" s="157"/>
      <c r="R876" s="147"/>
      <c r="S876" s="147"/>
      <c r="T876" s="147"/>
      <c r="U876" s="147"/>
      <c r="X876" s="147"/>
      <c r="Y876" s="147"/>
      <c r="Z876" s="147"/>
      <c r="AA876" s="147"/>
      <c r="AB876" s="147"/>
      <c r="AC876" s="147"/>
      <c r="AD876" s="147"/>
      <c r="AE876" s="147"/>
      <c r="AF876" s="147"/>
      <c r="AG876" s="147"/>
      <c r="AH876" s="147"/>
      <c r="AI876" s="147"/>
      <c r="AJ876" s="147"/>
      <c r="AK876" s="147"/>
      <c r="AL876" s="147"/>
      <c r="AM876" s="147"/>
      <c r="AN876" s="147"/>
      <c r="AO876" s="147"/>
      <c r="AP876" s="147"/>
      <c r="AQ876" s="147"/>
    </row>
    <row r="877" spans="1:43">
      <c r="A877" s="3"/>
      <c r="B877" s="3"/>
      <c r="C877" s="3"/>
      <c r="D877" s="3"/>
      <c r="E877" s="3"/>
      <c r="F877" s="3"/>
      <c r="G877" s="3"/>
      <c r="H877" s="3"/>
      <c r="I877" s="3"/>
      <c r="J877" s="3"/>
      <c r="K877" s="3"/>
      <c r="L877" s="3"/>
      <c r="M877" s="3"/>
      <c r="N877" s="157"/>
      <c r="O877" s="157"/>
      <c r="P877" s="157"/>
      <c r="R877" s="147"/>
      <c r="S877" s="147"/>
      <c r="T877" s="147"/>
      <c r="U877" s="147"/>
      <c r="X877" s="147"/>
      <c r="Y877" s="147"/>
      <c r="Z877" s="147"/>
      <c r="AA877" s="147"/>
      <c r="AB877" s="147"/>
      <c r="AC877" s="147"/>
      <c r="AD877" s="147"/>
      <c r="AE877" s="147"/>
      <c r="AF877" s="147"/>
      <c r="AG877" s="147"/>
      <c r="AH877" s="147"/>
      <c r="AI877" s="147"/>
      <c r="AJ877" s="147"/>
      <c r="AK877" s="147"/>
      <c r="AL877" s="147"/>
      <c r="AM877" s="147"/>
      <c r="AN877" s="147"/>
      <c r="AO877" s="147"/>
      <c r="AP877" s="147"/>
      <c r="AQ877" s="147"/>
    </row>
    <row r="878" spans="1:43">
      <c r="A878" s="3"/>
      <c r="B878" s="3"/>
      <c r="C878" s="3"/>
      <c r="D878" s="3"/>
      <c r="E878" s="3"/>
      <c r="F878" s="3"/>
      <c r="G878" s="3"/>
      <c r="H878" s="3"/>
      <c r="I878" s="3"/>
      <c r="J878" s="3"/>
      <c r="K878" s="3"/>
      <c r="L878" s="3"/>
      <c r="M878" s="3"/>
      <c r="N878" s="157"/>
      <c r="O878" s="157"/>
      <c r="P878" s="157"/>
      <c r="R878" s="147"/>
      <c r="S878" s="147"/>
      <c r="T878" s="147"/>
      <c r="U878" s="147"/>
      <c r="X878" s="147"/>
      <c r="Y878" s="147"/>
      <c r="Z878" s="147"/>
      <c r="AA878" s="147"/>
      <c r="AB878" s="147"/>
      <c r="AC878" s="147"/>
      <c r="AD878" s="147"/>
      <c r="AE878" s="147"/>
      <c r="AF878" s="147"/>
      <c r="AG878" s="147"/>
      <c r="AH878" s="147"/>
      <c r="AI878" s="147"/>
      <c r="AJ878" s="147"/>
      <c r="AK878" s="147"/>
      <c r="AL878" s="147"/>
      <c r="AM878" s="147"/>
      <c r="AN878" s="147"/>
      <c r="AO878" s="147"/>
      <c r="AP878" s="147"/>
      <c r="AQ878" s="147"/>
    </row>
    <row r="879" spans="1:43">
      <c r="A879" s="3"/>
      <c r="B879" s="3"/>
      <c r="C879" s="3"/>
      <c r="D879" s="3"/>
      <c r="E879" s="3"/>
      <c r="F879" s="3"/>
      <c r="G879" s="3"/>
      <c r="H879" s="3"/>
      <c r="I879" s="3"/>
      <c r="J879" s="3"/>
      <c r="K879" s="3"/>
      <c r="L879" s="3"/>
      <c r="M879" s="3"/>
      <c r="N879" s="157"/>
      <c r="O879" s="157"/>
      <c r="P879" s="157"/>
      <c r="R879" s="147"/>
      <c r="S879" s="147"/>
      <c r="T879" s="147"/>
      <c r="U879" s="147"/>
      <c r="X879" s="147"/>
      <c r="Y879" s="147"/>
      <c r="Z879" s="147"/>
      <c r="AA879" s="147"/>
      <c r="AB879" s="147"/>
      <c r="AC879" s="147"/>
      <c r="AD879" s="147"/>
      <c r="AE879" s="147"/>
      <c r="AF879" s="147"/>
      <c r="AG879" s="147"/>
      <c r="AH879" s="147"/>
      <c r="AI879" s="147"/>
      <c r="AJ879" s="147"/>
      <c r="AK879" s="147"/>
      <c r="AL879" s="147"/>
      <c r="AM879" s="147"/>
      <c r="AN879" s="147"/>
      <c r="AO879" s="147"/>
      <c r="AP879" s="147"/>
      <c r="AQ879" s="147"/>
    </row>
    <row r="880" spans="1:43">
      <c r="A880" s="3"/>
      <c r="B880" s="3"/>
      <c r="C880" s="3"/>
      <c r="D880" s="3"/>
      <c r="E880" s="3"/>
      <c r="F880" s="3"/>
      <c r="G880" s="3"/>
      <c r="H880" s="3"/>
      <c r="I880" s="3"/>
      <c r="J880" s="3"/>
      <c r="K880" s="3"/>
      <c r="L880" s="3"/>
      <c r="M880" s="3"/>
      <c r="N880" s="157"/>
      <c r="O880" s="157"/>
      <c r="P880" s="157"/>
      <c r="R880" s="147"/>
      <c r="S880" s="147"/>
      <c r="T880" s="147"/>
      <c r="U880" s="147"/>
      <c r="X880" s="147"/>
      <c r="Y880" s="147"/>
      <c r="Z880" s="147"/>
      <c r="AA880" s="147"/>
      <c r="AB880" s="147"/>
      <c r="AC880" s="147"/>
      <c r="AD880" s="147"/>
      <c r="AE880" s="147"/>
      <c r="AF880" s="147"/>
      <c r="AG880" s="147"/>
      <c r="AH880" s="147"/>
      <c r="AI880" s="147"/>
      <c r="AJ880" s="147"/>
      <c r="AK880" s="147"/>
      <c r="AL880" s="147"/>
      <c r="AM880" s="147"/>
      <c r="AN880" s="147"/>
      <c r="AO880" s="147"/>
      <c r="AP880" s="147"/>
      <c r="AQ880" s="147"/>
    </row>
    <row r="881" spans="1:43">
      <c r="A881" s="3"/>
      <c r="B881" s="3"/>
      <c r="C881" s="3"/>
      <c r="D881" s="3"/>
      <c r="E881" s="3"/>
      <c r="F881" s="3"/>
      <c r="G881" s="3"/>
      <c r="H881" s="3"/>
      <c r="I881" s="3"/>
      <c r="J881" s="3"/>
      <c r="K881" s="3"/>
      <c r="L881" s="3"/>
      <c r="M881" s="3"/>
      <c r="N881" s="157"/>
      <c r="O881" s="157"/>
      <c r="P881" s="157"/>
      <c r="R881" s="147"/>
      <c r="S881" s="147"/>
      <c r="T881" s="147"/>
      <c r="U881" s="147"/>
      <c r="X881" s="147"/>
      <c r="Y881" s="147"/>
      <c r="Z881" s="147"/>
      <c r="AA881" s="147"/>
      <c r="AB881" s="147"/>
      <c r="AC881" s="147"/>
      <c r="AD881" s="147"/>
      <c r="AE881" s="147"/>
      <c r="AF881" s="147"/>
      <c r="AG881" s="147"/>
      <c r="AH881" s="147"/>
      <c r="AI881" s="147"/>
      <c r="AJ881" s="147"/>
      <c r="AK881" s="147"/>
      <c r="AL881" s="147"/>
      <c r="AM881" s="147"/>
      <c r="AN881" s="147"/>
      <c r="AO881" s="147"/>
      <c r="AP881" s="147"/>
      <c r="AQ881" s="147"/>
    </row>
    <row r="882" spans="1:43">
      <c r="A882" s="3"/>
      <c r="B882" s="3"/>
      <c r="C882" s="3"/>
      <c r="D882" s="3"/>
      <c r="E882" s="3"/>
      <c r="F882" s="3"/>
      <c r="G882" s="3"/>
      <c r="H882" s="3"/>
      <c r="I882" s="3"/>
      <c r="J882" s="3"/>
      <c r="K882" s="3"/>
      <c r="L882" s="3"/>
      <c r="M882" s="3"/>
      <c r="N882" s="157"/>
      <c r="O882" s="157"/>
      <c r="P882" s="157"/>
      <c r="R882" s="147"/>
      <c r="S882" s="147"/>
      <c r="T882" s="147"/>
      <c r="U882" s="147"/>
      <c r="X882" s="147"/>
      <c r="Y882" s="147"/>
      <c r="Z882" s="147"/>
      <c r="AA882" s="147"/>
      <c r="AB882" s="147"/>
      <c r="AC882" s="147"/>
      <c r="AD882" s="147"/>
      <c r="AE882" s="147"/>
      <c r="AF882" s="147"/>
      <c r="AG882" s="147"/>
      <c r="AH882" s="147"/>
      <c r="AI882" s="147"/>
      <c r="AJ882" s="147"/>
      <c r="AK882" s="147"/>
      <c r="AL882" s="147"/>
      <c r="AM882" s="147"/>
      <c r="AN882" s="147"/>
      <c r="AO882" s="147"/>
      <c r="AP882" s="147"/>
      <c r="AQ882" s="147"/>
    </row>
    <row r="883" spans="1:43">
      <c r="A883" s="3"/>
      <c r="B883" s="3"/>
      <c r="C883" s="3"/>
      <c r="D883" s="3"/>
      <c r="E883" s="3"/>
      <c r="F883" s="3"/>
      <c r="G883" s="3"/>
      <c r="H883" s="3"/>
      <c r="I883" s="3"/>
      <c r="J883" s="3"/>
      <c r="K883" s="3"/>
      <c r="L883" s="3"/>
      <c r="M883" s="3"/>
      <c r="N883" s="157"/>
      <c r="O883" s="157"/>
      <c r="P883" s="157"/>
      <c r="R883" s="147"/>
      <c r="S883" s="147"/>
      <c r="T883" s="147"/>
      <c r="U883" s="147"/>
      <c r="X883" s="147"/>
      <c r="Y883" s="147"/>
      <c r="Z883" s="147"/>
      <c r="AA883" s="147"/>
      <c r="AB883" s="147"/>
      <c r="AC883" s="147"/>
      <c r="AD883" s="147"/>
      <c r="AE883" s="147"/>
      <c r="AF883" s="147"/>
      <c r="AG883" s="147"/>
      <c r="AH883" s="147"/>
      <c r="AI883" s="147"/>
      <c r="AJ883" s="147"/>
      <c r="AK883" s="147"/>
      <c r="AL883" s="147"/>
      <c r="AM883" s="147"/>
      <c r="AN883" s="147"/>
      <c r="AO883" s="147"/>
      <c r="AP883" s="147"/>
      <c r="AQ883" s="147"/>
    </row>
    <row r="884" spans="1:43">
      <c r="A884" s="3"/>
      <c r="B884" s="3"/>
      <c r="C884" s="3"/>
      <c r="D884" s="3"/>
      <c r="E884" s="3"/>
      <c r="F884" s="3"/>
      <c r="G884" s="3"/>
      <c r="H884" s="3"/>
      <c r="I884" s="3"/>
      <c r="J884" s="3"/>
      <c r="K884" s="3"/>
      <c r="L884" s="3"/>
      <c r="M884" s="3"/>
      <c r="N884" s="157"/>
      <c r="O884" s="157"/>
      <c r="P884" s="157"/>
      <c r="R884" s="147"/>
      <c r="S884" s="147"/>
      <c r="T884" s="147"/>
      <c r="U884" s="147"/>
      <c r="X884" s="147"/>
      <c r="Y884" s="147"/>
      <c r="Z884" s="147"/>
      <c r="AA884" s="147"/>
      <c r="AB884" s="147"/>
      <c r="AC884" s="147"/>
      <c r="AD884" s="147"/>
      <c r="AE884" s="147"/>
      <c r="AF884" s="147"/>
      <c r="AG884" s="147"/>
      <c r="AH884" s="147"/>
      <c r="AI884" s="147"/>
      <c r="AJ884" s="147"/>
      <c r="AK884" s="147"/>
      <c r="AL884" s="147"/>
      <c r="AM884" s="147"/>
      <c r="AN884" s="147"/>
      <c r="AO884" s="147"/>
      <c r="AP884" s="147"/>
      <c r="AQ884" s="147"/>
    </row>
    <row r="885" spans="1:43">
      <c r="A885" s="3"/>
      <c r="B885" s="3"/>
      <c r="C885" s="3"/>
      <c r="D885" s="3"/>
      <c r="E885" s="3"/>
      <c r="F885" s="3"/>
      <c r="G885" s="3"/>
      <c r="H885" s="3"/>
      <c r="I885" s="3"/>
      <c r="J885" s="3"/>
      <c r="K885" s="3"/>
      <c r="L885" s="3"/>
      <c r="M885" s="3"/>
      <c r="N885" s="157"/>
      <c r="O885" s="157"/>
      <c r="P885" s="157"/>
      <c r="R885" s="147"/>
      <c r="S885" s="147"/>
      <c r="T885" s="147"/>
      <c r="U885" s="147"/>
      <c r="X885" s="147"/>
      <c r="Y885" s="147"/>
      <c r="Z885" s="147"/>
      <c r="AA885" s="147"/>
      <c r="AB885" s="147"/>
      <c r="AC885" s="147"/>
      <c r="AD885" s="147"/>
      <c r="AE885" s="147"/>
      <c r="AF885" s="147"/>
      <c r="AG885" s="147"/>
      <c r="AH885" s="147"/>
      <c r="AI885" s="147"/>
      <c r="AJ885" s="147"/>
      <c r="AK885" s="147"/>
      <c r="AL885" s="147"/>
      <c r="AM885" s="147"/>
      <c r="AN885" s="147"/>
      <c r="AO885" s="147"/>
      <c r="AP885" s="147"/>
      <c r="AQ885" s="147"/>
    </row>
    <row r="886" spans="1:43">
      <c r="A886" s="3"/>
      <c r="B886" s="3"/>
      <c r="C886" s="3"/>
      <c r="D886" s="3"/>
      <c r="E886" s="3"/>
      <c r="F886" s="3"/>
      <c r="G886" s="3"/>
      <c r="H886" s="3"/>
      <c r="I886" s="3"/>
      <c r="J886" s="3"/>
      <c r="K886" s="3"/>
      <c r="L886" s="3"/>
      <c r="M886" s="3"/>
      <c r="N886" s="157"/>
      <c r="O886" s="157"/>
      <c r="P886" s="157"/>
      <c r="R886" s="147"/>
      <c r="S886" s="147"/>
      <c r="T886" s="147"/>
      <c r="U886" s="147"/>
      <c r="X886" s="147"/>
      <c r="Y886" s="147"/>
      <c r="Z886" s="147"/>
      <c r="AA886" s="147"/>
      <c r="AB886" s="147"/>
      <c r="AC886" s="147"/>
      <c r="AD886" s="147"/>
      <c r="AE886" s="147"/>
      <c r="AF886" s="147"/>
      <c r="AG886" s="147"/>
      <c r="AH886" s="147"/>
      <c r="AI886" s="147"/>
      <c r="AJ886" s="147"/>
      <c r="AK886" s="147"/>
      <c r="AL886" s="147"/>
      <c r="AM886" s="147"/>
      <c r="AN886" s="147"/>
      <c r="AO886" s="147"/>
      <c r="AP886" s="147"/>
      <c r="AQ886" s="147"/>
    </row>
    <row r="887" spans="1:43">
      <c r="A887" s="3"/>
      <c r="B887" s="3"/>
      <c r="C887" s="3"/>
      <c r="D887" s="3"/>
      <c r="E887" s="3"/>
      <c r="F887" s="3"/>
      <c r="G887" s="3"/>
      <c r="H887" s="3"/>
      <c r="I887" s="3"/>
      <c r="J887" s="3"/>
      <c r="K887" s="3"/>
      <c r="L887" s="3"/>
      <c r="M887" s="3"/>
      <c r="N887" s="157"/>
      <c r="O887" s="157"/>
      <c r="P887" s="157"/>
      <c r="R887" s="147"/>
      <c r="S887" s="147"/>
      <c r="T887" s="147"/>
      <c r="U887" s="147"/>
      <c r="X887" s="147"/>
      <c r="Y887" s="147"/>
      <c r="Z887" s="147"/>
      <c r="AA887" s="147"/>
      <c r="AB887" s="147"/>
      <c r="AC887" s="147"/>
      <c r="AD887" s="147"/>
      <c r="AE887" s="147"/>
      <c r="AF887" s="147"/>
      <c r="AG887" s="147"/>
      <c r="AH887" s="147"/>
      <c r="AI887" s="147"/>
      <c r="AJ887" s="147"/>
      <c r="AK887" s="147"/>
      <c r="AL887" s="147"/>
      <c r="AM887" s="147"/>
      <c r="AN887" s="147"/>
      <c r="AO887" s="147"/>
      <c r="AP887" s="147"/>
      <c r="AQ887" s="147"/>
    </row>
    <row r="888" spans="1:43">
      <c r="A888" s="3"/>
      <c r="B888" s="3"/>
      <c r="C888" s="3"/>
      <c r="D888" s="3"/>
      <c r="E888" s="3"/>
      <c r="F888" s="3"/>
      <c r="G888" s="3"/>
      <c r="H888" s="3"/>
      <c r="I888" s="3"/>
      <c r="J888" s="3"/>
      <c r="K888" s="3"/>
      <c r="L888" s="3"/>
      <c r="M888" s="3"/>
      <c r="N888" s="157"/>
      <c r="O888" s="157"/>
      <c r="P888" s="157"/>
      <c r="R888" s="147"/>
      <c r="S888" s="147"/>
      <c r="T888" s="147"/>
      <c r="U888" s="147"/>
      <c r="X888" s="147"/>
      <c r="Y888" s="147"/>
      <c r="Z888" s="147"/>
      <c r="AA888" s="147"/>
      <c r="AB888" s="147"/>
      <c r="AC888" s="147"/>
      <c r="AD888" s="147"/>
      <c r="AE888" s="147"/>
      <c r="AF888" s="147"/>
      <c r="AG888" s="147"/>
      <c r="AH888" s="147"/>
      <c r="AI888" s="147"/>
      <c r="AJ888" s="147"/>
      <c r="AK888" s="147"/>
      <c r="AL888" s="147"/>
      <c r="AM888" s="147"/>
      <c r="AN888" s="147"/>
      <c r="AO888" s="147"/>
      <c r="AP888" s="147"/>
      <c r="AQ888" s="147"/>
    </row>
    <row r="889" spans="1:43">
      <c r="A889" s="3"/>
      <c r="B889" s="3"/>
      <c r="C889" s="3"/>
      <c r="D889" s="3"/>
      <c r="E889" s="3"/>
      <c r="F889" s="3"/>
      <c r="G889" s="3"/>
      <c r="H889" s="3"/>
      <c r="I889" s="3"/>
      <c r="J889" s="3"/>
      <c r="K889" s="3"/>
      <c r="L889" s="3"/>
      <c r="M889" s="3"/>
      <c r="N889" s="157"/>
      <c r="O889" s="157"/>
      <c r="P889" s="157"/>
      <c r="R889" s="147"/>
      <c r="S889" s="147"/>
      <c r="T889" s="147"/>
      <c r="U889" s="147"/>
      <c r="X889" s="147"/>
      <c r="Y889" s="147"/>
      <c r="Z889" s="147"/>
      <c r="AA889" s="147"/>
      <c r="AB889" s="147"/>
      <c r="AC889" s="147"/>
      <c r="AD889" s="147"/>
      <c r="AE889" s="147"/>
      <c r="AF889" s="147"/>
      <c r="AG889" s="147"/>
      <c r="AH889" s="147"/>
      <c r="AI889" s="147"/>
      <c r="AJ889" s="147"/>
      <c r="AK889" s="147"/>
      <c r="AL889" s="147"/>
      <c r="AM889" s="147"/>
      <c r="AN889" s="147"/>
      <c r="AO889" s="147"/>
      <c r="AP889" s="147"/>
      <c r="AQ889" s="147"/>
    </row>
    <row r="890" spans="1:43">
      <c r="A890" s="3"/>
      <c r="B890" s="3"/>
      <c r="C890" s="3"/>
      <c r="D890" s="3"/>
      <c r="E890" s="3"/>
      <c r="F890" s="3"/>
      <c r="G890" s="3"/>
      <c r="H890" s="3"/>
      <c r="I890" s="3"/>
      <c r="J890" s="3"/>
      <c r="K890" s="3"/>
      <c r="L890" s="3"/>
      <c r="M890" s="3"/>
      <c r="N890" s="157"/>
      <c r="O890" s="157"/>
      <c r="P890" s="157"/>
      <c r="R890" s="147"/>
      <c r="S890" s="147"/>
      <c r="T890" s="147"/>
      <c r="U890" s="147"/>
      <c r="X890" s="147"/>
      <c r="Y890" s="147"/>
      <c r="Z890" s="147"/>
      <c r="AA890" s="147"/>
      <c r="AB890" s="147"/>
      <c r="AC890" s="147"/>
      <c r="AD890" s="147"/>
      <c r="AE890" s="147"/>
      <c r="AF890" s="147"/>
      <c r="AG890" s="147"/>
      <c r="AH890" s="147"/>
      <c r="AI890" s="147"/>
      <c r="AJ890" s="147"/>
      <c r="AK890" s="147"/>
      <c r="AL890" s="147"/>
      <c r="AM890" s="147"/>
      <c r="AN890" s="147"/>
      <c r="AO890" s="147"/>
      <c r="AP890" s="147"/>
      <c r="AQ890" s="147"/>
    </row>
    <row r="891" spans="1:43">
      <c r="A891" s="3"/>
      <c r="B891" s="3"/>
      <c r="C891" s="3"/>
      <c r="D891" s="3"/>
      <c r="E891" s="3"/>
      <c r="F891" s="3"/>
      <c r="G891" s="3"/>
      <c r="H891" s="3"/>
      <c r="I891" s="3"/>
      <c r="J891" s="3"/>
      <c r="K891" s="3"/>
      <c r="L891" s="3"/>
      <c r="M891" s="3"/>
      <c r="N891" s="157"/>
      <c r="O891" s="157"/>
      <c r="P891" s="157"/>
      <c r="R891" s="147"/>
      <c r="S891" s="147"/>
      <c r="T891" s="147"/>
      <c r="U891" s="147"/>
      <c r="X891" s="147"/>
      <c r="Y891" s="147"/>
      <c r="Z891" s="147"/>
      <c r="AA891" s="147"/>
      <c r="AB891" s="147"/>
      <c r="AC891" s="147"/>
      <c r="AD891" s="147"/>
      <c r="AE891" s="147"/>
      <c r="AF891" s="147"/>
      <c r="AG891" s="147"/>
      <c r="AH891" s="147"/>
      <c r="AI891" s="147"/>
      <c r="AJ891" s="147"/>
      <c r="AK891" s="147"/>
      <c r="AL891" s="147"/>
      <c r="AM891" s="147"/>
      <c r="AN891" s="147"/>
      <c r="AO891" s="147"/>
      <c r="AP891" s="147"/>
      <c r="AQ891" s="147"/>
    </row>
    <row r="892" spans="1:43">
      <c r="A892" s="3"/>
      <c r="B892" s="3"/>
      <c r="C892" s="3"/>
      <c r="D892" s="3"/>
      <c r="E892" s="3"/>
      <c r="F892" s="3"/>
      <c r="G892" s="3"/>
      <c r="H892" s="3"/>
      <c r="I892" s="3"/>
      <c r="J892" s="3"/>
      <c r="K892" s="3"/>
      <c r="L892" s="3"/>
      <c r="M892" s="3"/>
      <c r="N892" s="157"/>
      <c r="O892" s="157"/>
      <c r="P892" s="157"/>
      <c r="R892" s="147"/>
      <c r="S892" s="147"/>
      <c r="T892" s="147"/>
      <c r="U892" s="147"/>
      <c r="X892" s="147"/>
      <c r="Y892" s="147"/>
      <c r="Z892" s="147"/>
      <c r="AA892" s="147"/>
      <c r="AB892" s="147"/>
      <c r="AC892" s="147"/>
      <c r="AD892" s="147"/>
      <c r="AE892" s="147"/>
      <c r="AF892" s="147"/>
      <c r="AG892" s="147"/>
      <c r="AH892" s="147"/>
      <c r="AI892" s="147"/>
      <c r="AJ892" s="147"/>
      <c r="AK892" s="147"/>
      <c r="AL892" s="147"/>
      <c r="AM892" s="147"/>
      <c r="AN892" s="147"/>
      <c r="AO892" s="147"/>
      <c r="AP892" s="147"/>
      <c r="AQ892" s="147"/>
    </row>
    <row r="893" spans="1:43">
      <c r="A893" s="3"/>
      <c r="B893" s="3"/>
      <c r="C893" s="3"/>
      <c r="D893" s="3"/>
      <c r="E893" s="3"/>
      <c r="F893" s="3"/>
      <c r="G893" s="3"/>
      <c r="H893" s="3"/>
      <c r="I893" s="3"/>
      <c r="J893" s="3"/>
      <c r="K893" s="3"/>
      <c r="L893" s="3"/>
      <c r="M893" s="3"/>
      <c r="N893" s="157"/>
      <c r="O893" s="157"/>
      <c r="P893" s="157"/>
      <c r="R893" s="147"/>
      <c r="S893" s="147"/>
      <c r="T893" s="147"/>
      <c r="U893" s="147"/>
      <c r="X893" s="147"/>
      <c r="Y893" s="147"/>
      <c r="Z893" s="147"/>
      <c r="AA893" s="147"/>
      <c r="AB893" s="147"/>
      <c r="AC893" s="147"/>
      <c r="AD893" s="147"/>
      <c r="AE893" s="147"/>
      <c r="AF893" s="147"/>
      <c r="AG893" s="147"/>
      <c r="AH893" s="147"/>
      <c r="AI893" s="147"/>
      <c r="AJ893" s="147"/>
      <c r="AK893" s="147"/>
      <c r="AL893" s="147"/>
      <c r="AM893" s="147"/>
      <c r="AN893" s="147"/>
      <c r="AO893" s="147"/>
      <c r="AP893" s="147"/>
      <c r="AQ893" s="147"/>
    </row>
    <row r="894" spans="1:43">
      <c r="A894" s="3"/>
      <c r="B894" s="3"/>
      <c r="C894" s="3"/>
      <c r="D894" s="3"/>
      <c r="E894" s="3"/>
      <c r="F894" s="3"/>
      <c r="G894" s="3"/>
      <c r="H894" s="3"/>
      <c r="I894" s="3"/>
      <c r="J894" s="3"/>
      <c r="K894" s="3"/>
      <c r="L894" s="3"/>
      <c r="M894" s="3"/>
      <c r="N894" s="157"/>
      <c r="O894" s="157"/>
      <c r="P894" s="157"/>
      <c r="R894" s="147"/>
      <c r="S894" s="147"/>
      <c r="T894" s="147"/>
      <c r="U894" s="147"/>
      <c r="X894" s="147"/>
      <c r="Y894" s="147"/>
      <c r="Z894" s="147"/>
      <c r="AA894" s="147"/>
      <c r="AB894" s="147"/>
      <c r="AC894" s="147"/>
      <c r="AD894" s="147"/>
      <c r="AE894" s="147"/>
      <c r="AF894" s="147"/>
      <c r="AG894" s="147"/>
      <c r="AH894" s="147"/>
      <c r="AI894" s="147"/>
      <c r="AJ894" s="147"/>
      <c r="AK894" s="147"/>
      <c r="AL894" s="147"/>
      <c r="AM894" s="147"/>
      <c r="AN894" s="147"/>
      <c r="AO894" s="147"/>
      <c r="AP894" s="147"/>
      <c r="AQ894" s="147"/>
    </row>
    <row r="895" spans="1:43">
      <c r="A895" s="3"/>
      <c r="B895" s="3"/>
      <c r="C895" s="3"/>
      <c r="D895" s="3"/>
      <c r="E895" s="3"/>
      <c r="F895" s="3"/>
      <c r="G895" s="3"/>
      <c r="H895" s="3"/>
      <c r="I895" s="3"/>
      <c r="J895" s="3"/>
      <c r="K895" s="3"/>
      <c r="L895" s="3"/>
      <c r="M895" s="3"/>
      <c r="N895" s="157"/>
      <c r="O895" s="157"/>
      <c r="P895" s="157"/>
      <c r="R895" s="147"/>
      <c r="S895" s="147"/>
      <c r="T895" s="147"/>
      <c r="U895" s="147"/>
      <c r="X895" s="147"/>
      <c r="Y895" s="147"/>
      <c r="Z895" s="147"/>
      <c r="AA895" s="147"/>
      <c r="AB895" s="147"/>
      <c r="AC895" s="147"/>
      <c r="AD895" s="147"/>
      <c r="AE895" s="147"/>
      <c r="AF895" s="147"/>
      <c r="AG895" s="147"/>
      <c r="AH895" s="147"/>
      <c r="AI895" s="147"/>
      <c r="AJ895" s="147"/>
      <c r="AK895" s="147"/>
      <c r="AL895" s="147"/>
      <c r="AM895" s="147"/>
      <c r="AN895" s="147"/>
      <c r="AO895" s="147"/>
      <c r="AP895" s="147"/>
      <c r="AQ895" s="147"/>
    </row>
    <row r="896" spans="1:43">
      <c r="A896" s="3"/>
      <c r="B896" s="3"/>
      <c r="C896" s="3"/>
      <c r="D896" s="3"/>
      <c r="E896" s="3"/>
      <c r="F896" s="3"/>
      <c r="G896" s="3"/>
      <c r="H896" s="3"/>
      <c r="I896" s="3"/>
      <c r="J896" s="3"/>
      <c r="K896" s="3"/>
      <c r="L896" s="3"/>
      <c r="M896" s="3"/>
      <c r="N896" s="157"/>
      <c r="O896" s="157"/>
      <c r="P896" s="157"/>
      <c r="R896" s="147"/>
      <c r="S896" s="147"/>
      <c r="T896" s="147"/>
      <c r="U896" s="147"/>
      <c r="X896" s="147"/>
      <c r="Y896" s="147"/>
      <c r="Z896" s="147"/>
      <c r="AA896" s="147"/>
      <c r="AB896" s="147"/>
      <c r="AC896" s="147"/>
      <c r="AD896" s="147"/>
      <c r="AE896" s="147"/>
      <c r="AF896" s="147"/>
      <c r="AG896" s="147"/>
      <c r="AH896" s="147"/>
      <c r="AI896" s="147"/>
      <c r="AJ896" s="147"/>
      <c r="AK896" s="147"/>
      <c r="AL896" s="147"/>
      <c r="AM896" s="147"/>
      <c r="AN896" s="147"/>
      <c r="AO896" s="147"/>
      <c r="AP896" s="147"/>
      <c r="AQ896" s="147"/>
    </row>
    <row r="897" spans="1:43">
      <c r="A897" s="3"/>
      <c r="B897" s="3"/>
      <c r="C897" s="3"/>
      <c r="D897" s="3"/>
      <c r="E897" s="3"/>
      <c r="F897" s="3"/>
      <c r="G897" s="3"/>
      <c r="H897" s="3"/>
      <c r="I897" s="3"/>
      <c r="J897" s="3"/>
      <c r="K897" s="3"/>
      <c r="L897" s="3"/>
      <c r="M897" s="3"/>
      <c r="N897" s="157"/>
      <c r="O897" s="157"/>
      <c r="P897" s="157"/>
      <c r="R897" s="147"/>
      <c r="S897" s="147"/>
      <c r="T897" s="147"/>
      <c r="U897" s="147"/>
      <c r="X897" s="147"/>
      <c r="Y897" s="147"/>
      <c r="Z897" s="147"/>
      <c r="AA897" s="147"/>
      <c r="AB897" s="147"/>
      <c r="AC897" s="147"/>
      <c r="AD897" s="147"/>
      <c r="AE897" s="147"/>
      <c r="AF897" s="147"/>
      <c r="AG897" s="147"/>
      <c r="AH897" s="147"/>
      <c r="AI897" s="147"/>
      <c r="AJ897" s="147"/>
      <c r="AK897" s="147"/>
      <c r="AL897" s="147"/>
      <c r="AM897" s="147"/>
      <c r="AN897" s="147"/>
      <c r="AO897" s="147"/>
      <c r="AP897" s="147"/>
      <c r="AQ897" s="147"/>
    </row>
    <row r="898" spans="1:43">
      <c r="A898" s="3"/>
      <c r="B898" s="3"/>
      <c r="C898" s="3"/>
      <c r="D898" s="3"/>
      <c r="E898" s="3"/>
      <c r="F898" s="3"/>
      <c r="G898" s="3"/>
      <c r="H898" s="3"/>
      <c r="I898" s="3"/>
      <c r="J898" s="3"/>
      <c r="K898" s="3"/>
      <c r="L898" s="3"/>
      <c r="M898" s="3"/>
      <c r="N898" s="157"/>
      <c r="O898" s="157"/>
      <c r="P898" s="157"/>
      <c r="R898" s="147"/>
      <c r="S898" s="147"/>
      <c r="T898" s="147"/>
      <c r="U898" s="147"/>
      <c r="X898" s="147"/>
      <c r="Y898" s="147"/>
      <c r="Z898" s="147"/>
      <c r="AA898" s="147"/>
      <c r="AB898" s="147"/>
      <c r="AC898" s="147"/>
      <c r="AD898" s="147"/>
      <c r="AE898" s="147"/>
      <c r="AF898" s="147"/>
      <c r="AG898" s="147"/>
      <c r="AH898" s="147"/>
      <c r="AI898" s="147"/>
      <c r="AJ898" s="147"/>
      <c r="AK898" s="147"/>
      <c r="AL898" s="147"/>
      <c r="AM898" s="147"/>
      <c r="AN898" s="147"/>
      <c r="AO898" s="147"/>
      <c r="AP898" s="147"/>
      <c r="AQ898" s="147"/>
    </row>
    <row r="899" spans="1:43">
      <c r="A899" s="3"/>
      <c r="B899" s="3"/>
      <c r="C899" s="3"/>
      <c r="D899" s="3"/>
      <c r="E899" s="3"/>
      <c r="F899" s="3"/>
      <c r="G899" s="3"/>
      <c r="H899" s="3"/>
      <c r="I899" s="3"/>
      <c r="J899" s="3"/>
      <c r="K899" s="3"/>
      <c r="L899" s="3"/>
      <c r="M899" s="3"/>
      <c r="N899" s="157"/>
      <c r="O899" s="157"/>
      <c r="P899" s="157"/>
      <c r="R899" s="147"/>
      <c r="S899" s="147"/>
      <c r="T899" s="147"/>
      <c r="U899" s="147"/>
      <c r="X899" s="147"/>
      <c r="Y899" s="147"/>
      <c r="Z899" s="147"/>
      <c r="AA899" s="147"/>
      <c r="AB899" s="147"/>
      <c r="AC899" s="147"/>
      <c r="AD899" s="147"/>
      <c r="AE899" s="147"/>
      <c r="AF899" s="147"/>
      <c r="AG899" s="147"/>
      <c r="AH899" s="147"/>
      <c r="AI899" s="147"/>
      <c r="AJ899" s="147"/>
      <c r="AK899" s="147"/>
      <c r="AL899" s="147"/>
      <c r="AM899" s="147"/>
      <c r="AN899" s="147"/>
      <c r="AO899" s="147"/>
      <c r="AP899" s="147"/>
      <c r="AQ899" s="147"/>
    </row>
    <row r="900" spans="1:43">
      <c r="A900" s="3"/>
      <c r="B900" s="3"/>
      <c r="C900" s="3"/>
      <c r="D900" s="3"/>
      <c r="E900" s="3"/>
      <c r="F900" s="3"/>
      <c r="G900" s="3"/>
      <c r="H900" s="3"/>
      <c r="I900" s="3"/>
      <c r="J900" s="3"/>
      <c r="K900" s="3"/>
      <c r="L900" s="3"/>
      <c r="M900" s="3"/>
      <c r="N900" s="157"/>
      <c r="O900" s="157"/>
      <c r="P900" s="157"/>
      <c r="R900" s="147"/>
      <c r="S900" s="147"/>
      <c r="T900" s="147"/>
      <c r="U900" s="147"/>
      <c r="X900" s="147"/>
      <c r="Y900" s="147"/>
      <c r="Z900" s="147"/>
      <c r="AA900" s="147"/>
      <c r="AB900" s="147"/>
      <c r="AC900" s="147"/>
      <c r="AD900" s="147"/>
      <c r="AE900" s="147"/>
      <c r="AF900" s="147"/>
      <c r="AG900" s="147"/>
      <c r="AH900" s="147"/>
      <c r="AI900" s="147"/>
      <c r="AJ900" s="147"/>
      <c r="AK900" s="147"/>
      <c r="AL900" s="147"/>
      <c r="AM900" s="147"/>
      <c r="AN900" s="147"/>
      <c r="AO900" s="147"/>
      <c r="AP900" s="147"/>
      <c r="AQ900" s="147"/>
    </row>
    <row r="901" spans="1:43">
      <c r="A901" s="3"/>
      <c r="B901" s="3"/>
      <c r="C901" s="3"/>
      <c r="D901" s="3"/>
      <c r="E901" s="3"/>
      <c r="F901" s="3"/>
      <c r="G901" s="3"/>
      <c r="H901" s="3"/>
      <c r="I901" s="3"/>
      <c r="J901" s="3"/>
      <c r="K901" s="3"/>
      <c r="L901" s="3"/>
      <c r="M901" s="3"/>
      <c r="N901" s="157"/>
      <c r="O901" s="157"/>
      <c r="P901" s="157"/>
      <c r="R901" s="147"/>
      <c r="S901" s="147"/>
      <c r="T901" s="147"/>
      <c r="U901" s="147"/>
      <c r="X901" s="147"/>
      <c r="Y901" s="147"/>
      <c r="Z901" s="147"/>
      <c r="AA901" s="147"/>
      <c r="AB901" s="147"/>
      <c r="AC901" s="147"/>
      <c r="AD901" s="147"/>
      <c r="AE901" s="147"/>
      <c r="AF901" s="147"/>
      <c r="AG901" s="147"/>
      <c r="AH901" s="147"/>
      <c r="AI901" s="147"/>
      <c r="AJ901" s="147"/>
      <c r="AK901" s="147"/>
      <c r="AL901" s="147"/>
      <c r="AM901" s="147"/>
      <c r="AN901" s="147"/>
      <c r="AO901" s="147"/>
      <c r="AP901" s="147"/>
      <c r="AQ901" s="147"/>
    </row>
    <row r="902" spans="1:43">
      <c r="A902" s="3"/>
      <c r="B902" s="3"/>
      <c r="C902" s="3"/>
      <c r="D902" s="3"/>
      <c r="E902" s="3"/>
      <c r="F902" s="3"/>
      <c r="G902" s="3"/>
      <c r="H902" s="3"/>
      <c r="I902" s="3"/>
      <c r="J902" s="3"/>
      <c r="K902" s="3"/>
      <c r="L902" s="3"/>
      <c r="M902" s="3"/>
      <c r="N902" s="157"/>
      <c r="O902" s="157"/>
      <c r="P902" s="157"/>
      <c r="R902" s="147"/>
      <c r="S902" s="147"/>
      <c r="T902" s="147"/>
      <c r="U902" s="147"/>
      <c r="X902" s="147"/>
      <c r="Y902" s="147"/>
      <c r="Z902" s="147"/>
      <c r="AA902" s="147"/>
      <c r="AB902" s="147"/>
      <c r="AC902" s="147"/>
      <c r="AD902" s="147"/>
      <c r="AE902" s="147"/>
      <c r="AF902" s="147"/>
      <c r="AG902" s="147"/>
      <c r="AH902" s="147"/>
      <c r="AI902" s="147"/>
      <c r="AJ902" s="147"/>
      <c r="AK902" s="147"/>
      <c r="AL902" s="147"/>
      <c r="AM902" s="147"/>
      <c r="AN902" s="147"/>
      <c r="AO902" s="147"/>
      <c r="AP902" s="147"/>
      <c r="AQ902" s="147"/>
    </row>
    <row r="903" spans="1:43">
      <c r="A903" s="3"/>
      <c r="B903" s="3"/>
      <c r="C903" s="3"/>
      <c r="D903" s="3"/>
      <c r="E903" s="3"/>
      <c r="F903" s="3"/>
      <c r="G903" s="3"/>
      <c r="H903" s="3"/>
      <c r="I903" s="3"/>
      <c r="J903" s="3"/>
      <c r="K903" s="3"/>
      <c r="L903" s="3"/>
      <c r="M903" s="3"/>
      <c r="N903" s="157"/>
      <c r="O903" s="157"/>
      <c r="P903" s="157"/>
      <c r="R903" s="147"/>
      <c r="S903" s="147"/>
      <c r="T903" s="147"/>
      <c r="U903" s="147"/>
      <c r="X903" s="147"/>
      <c r="Y903" s="147"/>
      <c r="Z903" s="147"/>
      <c r="AA903" s="147"/>
      <c r="AB903" s="147"/>
      <c r="AC903" s="147"/>
      <c r="AD903" s="147"/>
      <c r="AE903" s="147"/>
      <c r="AF903" s="147"/>
      <c r="AG903" s="147"/>
      <c r="AH903" s="147"/>
      <c r="AI903" s="147"/>
      <c r="AJ903" s="147"/>
      <c r="AK903" s="147"/>
      <c r="AL903" s="147"/>
      <c r="AM903" s="147"/>
      <c r="AN903" s="147"/>
      <c r="AO903" s="147"/>
      <c r="AP903" s="147"/>
      <c r="AQ903" s="147"/>
    </row>
    <row r="904" spans="1:43">
      <c r="A904" s="3"/>
      <c r="B904" s="3"/>
      <c r="C904" s="3"/>
      <c r="D904" s="3"/>
      <c r="E904" s="3"/>
      <c r="F904" s="3"/>
      <c r="G904" s="3"/>
      <c r="H904" s="3"/>
      <c r="I904" s="3"/>
      <c r="J904" s="3"/>
      <c r="K904" s="3"/>
      <c r="L904" s="3"/>
      <c r="M904" s="3"/>
      <c r="N904" s="157"/>
      <c r="O904" s="157"/>
      <c r="P904" s="157"/>
      <c r="R904" s="147"/>
      <c r="S904" s="147"/>
      <c r="T904" s="147"/>
      <c r="U904" s="147"/>
      <c r="X904" s="147"/>
      <c r="Y904" s="147"/>
      <c r="Z904" s="147"/>
      <c r="AA904" s="147"/>
      <c r="AB904" s="147"/>
      <c r="AC904" s="147"/>
      <c r="AD904" s="147"/>
      <c r="AE904" s="147"/>
      <c r="AF904" s="147"/>
      <c r="AG904" s="147"/>
      <c r="AH904" s="147"/>
      <c r="AI904" s="147"/>
      <c r="AJ904" s="147"/>
      <c r="AK904" s="147"/>
      <c r="AL904" s="147"/>
      <c r="AM904" s="147"/>
      <c r="AN904" s="147"/>
      <c r="AO904" s="147"/>
      <c r="AP904" s="147"/>
      <c r="AQ904" s="147"/>
    </row>
    <row r="905" spans="1:43">
      <c r="A905" s="3"/>
      <c r="B905" s="3"/>
      <c r="C905" s="3"/>
      <c r="D905" s="3"/>
      <c r="E905" s="3"/>
      <c r="F905" s="3"/>
      <c r="G905" s="3"/>
      <c r="H905" s="3"/>
      <c r="I905" s="3"/>
      <c r="J905" s="3"/>
      <c r="K905" s="3"/>
      <c r="L905" s="3"/>
      <c r="M905" s="3"/>
      <c r="N905" s="157"/>
      <c r="O905" s="157"/>
      <c r="P905" s="157"/>
      <c r="R905" s="147"/>
      <c r="S905" s="147"/>
      <c r="T905" s="147"/>
      <c r="U905" s="147"/>
      <c r="X905" s="147"/>
      <c r="Y905" s="147"/>
      <c r="Z905" s="147"/>
      <c r="AA905" s="147"/>
      <c r="AB905" s="147"/>
      <c r="AC905" s="147"/>
      <c r="AD905" s="147"/>
      <c r="AE905" s="147"/>
      <c r="AF905" s="147"/>
      <c r="AG905" s="147"/>
      <c r="AH905" s="147"/>
      <c r="AI905" s="147"/>
      <c r="AJ905" s="147"/>
      <c r="AK905" s="147"/>
      <c r="AL905" s="147"/>
      <c r="AM905" s="147"/>
      <c r="AN905" s="147"/>
      <c r="AO905" s="147"/>
      <c r="AP905" s="147"/>
      <c r="AQ905" s="147"/>
    </row>
    <row r="906" spans="1:43">
      <c r="A906" s="3"/>
      <c r="B906" s="3"/>
      <c r="C906" s="3"/>
      <c r="D906" s="3"/>
      <c r="E906" s="3"/>
      <c r="F906" s="3"/>
      <c r="G906" s="3"/>
      <c r="H906" s="3"/>
      <c r="I906" s="3"/>
      <c r="J906" s="3"/>
      <c r="K906" s="3"/>
      <c r="L906" s="3"/>
      <c r="M906" s="3"/>
      <c r="N906" s="157"/>
      <c r="O906" s="157"/>
      <c r="P906" s="157"/>
      <c r="R906" s="147"/>
      <c r="S906" s="147"/>
      <c r="T906" s="147"/>
      <c r="U906" s="147"/>
      <c r="X906" s="147"/>
      <c r="Y906" s="147"/>
      <c r="Z906" s="147"/>
      <c r="AA906" s="147"/>
      <c r="AB906" s="147"/>
      <c r="AC906" s="147"/>
      <c r="AD906" s="147"/>
      <c r="AE906" s="147"/>
      <c r="AF906" s="147"/>
      <c r="AG906" s="147"/>
      <c r="AH906" s="147"/>
      <c r="AI906" s="147"/>
      <c r="AJ906" s="147"/>
      <c r="AK906" s="147"/>
      <c r="AL906" s="147"/>
      <c r="AM906" s="147"/>
      <c r="AN906" s="147"/>
      <c r="AO906" s="147"/>
      <c r="AP906" s="147"/>
      <c r="AQ906" s="147"/>
    </row>
    <row r="907" spans="1:43">
      <c r="A907" s="3"/>
      <c r="B907" s="3"/>
      <c r="C907" s="3"/>
      <c r="D907" s="3"/>
      <c r="E907" s="3"/>
      <c r="F907" s="3"/>
      <c r="G907" s="3"/>
      <c r="H907" s="3"/>
      <c r="I907" s="3"/>
      <c r="J907" s="3"/>
      <c r="K907" s="3"/>
      <c r="L907" s="3"/>
      <c r="M907" s="3"/>
      <c r="N907" s="157"/>
      <c r="O907" s="157"/>
      <c r="P907" s="157"/>
      <c r="R907" s="147"/>
      <c r="S907" s="147"/>
      <c r="T907" s="147"/>
      <c r="U907" s="147"/>
      <c r="X907" s="147"/>
      <c r="Y907" s="147"/>
      <c r="Z907" s="147"/>
      <c r="AA907" s="147"/>
      <c r="AB907" s="147"/>
      <c r="AC907" s="147"/>
      <c r="AD907" s="147"/>
      <c r="AE907" s="147"/>
      <c r="AF907" s="147"/>
      <c r="AG907" s="147"/>
      <c r="AH907" s="147"/>
      <c r="AI907" s="147"/>
      <c r="AJ907" s="147"/>
      <c r="AK907" s="147"/>
      <c r="AL907" s="147"/>
      <c r="AM907" s="147"/>
      <c r="AN907" s="147"/>
      <c r="AO907" s="147"/>
      <c r="AP907" s="147"/>
      <c r="AQ907" s="147"/>
    </row>
    <row r="908" spans="1:43">
      <c r="A908" s="3"/>
      <c r="B908" s="3"/>
      <c r="C908" s="3"/>
      <c r="D908" s="3"/>
      <c r="E908" s="3"/>
      <c r="F908" s="3"/>
      <c r="G908" s="3"/>
      <c r="H908" s="3"/>
      <c r="I908" s="3"/>
      <c r="J908" s="3"/>
      <c r="K908" s="3"/>
      <c r="L908" s="3"/>
      <c r="M908" s="3"/>
      <c r="N908" s="157"/>
      <c r="O908" s="157"/>
      <c r="P908" s="157"/>
      <c r="R908" s="147"/>
      <c r="S908" s="147"/>
      <c r="T908" s="147"/>
      <c r="U908" s="147"/>
      <c r="X908" s="147"/>
      <c r="Y908" s="147"/>
      <c r="Z908" s="147"/>
      <c r="AA908" s="147"/>
      <c r="AB908" s="147"/>
      <c r="AC908" s="147"/>
      <c r="AD908" s="147"/>
      <c r="AE908" s="147"/>
      <c r="AF908" s="147"/>
      <c r="AG908" s="147"/>
      <c r="AH908" s="147"/>
      <c r="AI908" s="147"/>
      <c r="AJ908" s="147"/>
      <c r="AK908" s="147"/>
      <c r="AL908" s="147"/>
      <c r="AM908" s="147"/>
      <c r="AN908" s="147"/>
      <c r="AO908" s="147"/>
      <c r="AP908" s="147"/>
      <c r="AQ908" s="147"/>
    </row>
    <row r="909" spans="1:43">
      <c r="A909" s="3"/>
      <c r="B909" s="3"/>
      <c r="C909" s="3"/>
      <c r="D909" s="3"/>
      <c r="E909" s="3"/>
      <c r="F909" s="3"/>
      <c r="G909" s="3"/>
      <c r="H909" s="3"/>
      <c r="I909" s="3"/>
      <c r="J909" s="3"/>
      <c r="K909" s="3"/>
      <c r="L909" s="3"/>
      <c r="M909" s="3"/>
      <c r="N909" s="157"/>
      <c r="O909" s="157"/>
      <c r="P909" s="157"/>
      <c r="R909" s="147"/>
      <c r="S909" s="147"/>
      <c r="T909" s="147"/>
      <c r="U909" s="147"/>
      <c r="X909" s="147"/>
      <c r="Y909" s="147"/>
      <c r="Z909" s="147"/>
      <c r="AA909" s="147"/>
      <c r="AB909" s="147"/>
      <c r="AC909" s="147"/>
      <c r="AD909" s="147"/>
      <c r="AE909" s="147"/>
      <c r="AF909" s="147"/>
      <c r="AG909" s="147"/>
      <c r="AH909" s="147"/>
      <c r="AI909" s="147"/>
      <c r="AJ909" s="147"/>
      <c r="AK909" s="147"/>
      <c r="AL909" s="147"/>
      <c r="AM909" s="147"/>
      <c r="AN909" s="147"/>
      <c r="AO909" s="147"/>
      <c r="AP909" s="147"/>
      <c r="AQ909" s="147"/>
    </row>
    <row r="910" spans="1:43">
      <c r="A910" s="3"/>
      <c r="B910" s="3"/>
      <c r="C910" s="3"/>
      <c r="D910" s="3"/>
      <c r="E910" s="3"/>
      <c r="F910" s="3"/>
      <c r="G910" s="3"/>
      <c r="H910" s="3"/>
      <c r="I910" s="3"/>
      <c r="J910" s="3"/>
      <c r="K910" s="3"/>
      <c r="L910" s="3"/>
      <c r="M910" s="3"/>
      <c r="N910" s="157"/>
      <c r="O910" s="157"/>
      <c r="P910" s="157"/>
      <c r="R910" s="147"/>
      <c r="S910" s="147"/>
      <c r="T910" s="147"/>
      <c r="U910" s="147"/>
      <c r="X910" s="147"/>
      <c r="Y910" s="147"/>
      <c r="Z910" s="147"/>
      <c r="AA910" s="147"/>
      <c r="AB910" s="147"/>
      <c r="AC910" s="147"/>
      <c r="AD910" s="147"/>
      <c r="AE910" s="147"/>
      <c r="AF910" s="147"/>
      <c r="AG910" s="147"/>
      <c r="AH910" s="147"/>
      <c r="AI910" s="147"/>
      <c r="AJ910" s="147"/>
      <c r="AK910" s="147"/>
      <c r="AL910" s="147"/>
      <c r="AM910" s="147"/>
      <c r="AN910" s="147"/>
      <c r="AO910" s="147"/>
      <c r="AP910" s="147"/>
      <c r="AQ910" s="147"/>
    </row>
    <row r="911" spans="1:43">
      <c r="A911" s="3"/>
      <c r="B911" s="3"/>
      <c r="C911" s="3"/>
      <c r="D911" s="3"/>
      <c r="E911" s="3"/>
      <c r="F911" s="3"/>
      <c r="G911" s="3"/>
      <c r="H911" s="3"/>
      <c r="I911" s="3"/>
      <c r="J911" s="3"/>
      <c r="K911" s="3"/>
      <c r="L911" s="3"/>
      <c r="M911" s="3"/>
      <c r="N911" s="157"/>
      <c r="O911" s="157"/>
      <c r="P911" s="157"/>
      <c r="R911" s="147"/>
      <c r="S911" s="147"/>
      <c r="T911" s="147"/>
      <c r="U911" s="147"/>
      <c r="X911" s="147"/>
      <c r="Y911" s="147"/>
      <c r="Z911" s="147"/>
      <c r="AA911" s="147"/>
      <c r="AB911" s="147"/>
      <c r="AC911" s="147"/>
      <c r="AD911" s="147"/>
      <c r="AE911" s="147"/>
      <c r="AF911" s="147"/>
      <c r="AG911" s="147"/>
      <c r="AH911" s="147"/>
      <c r="AI911" s="147"/>
      <c r="AJ911" s="147"/>
      <c r="AK911" s="147"/>
      <c r="AL911" s="147"/>
      <c r="AM911" s="147"/>
      <c r="AN911" s="147"/>
      <c r="AO911" s="147"/>
      <c r="AP911" s="147"/>
      <c r="AQ911" s="147"/>
    </row>
    <row r="912" spans="1:43">
      <c r="A912" s="3"/>
      <c r="B912" s="3"/>
      <c r="C912" s="3"/>
      <c r="D912" s="3"/>
      <c r="E912" s="3"/>
      <c r="F912" s="3"/>
      <c r="G912" s="3"/>
      <c r="H912" s="3"/>
      <c r="I912" s="3"/>
      <c r="J912" s="3"/>
      <c r="K912" s="3"/>
      <c r="L912" s="3"/>
      <c r="M912" s="3"/>
      <c r="N912" s="157"/>
      <c r="O912" s="157"/>
      <c r="P912" s="157"/>
      <c r="R912" s="147"/>
      <c r="S912" s="147"/>
      <c r="T912" s="147"/>
      <c r="U912" s="147"/>
      <c r="X912" s="147"/>
      <c r="Y912" s="147"/>
      <c r="Z912" s="147"/>
      <c r="AA912" s="147"/>
      <c r="AB912" s="147"/>
      <c r="AC912" s="147"/>
      <c r="AD912" s="147"/>
      <c r="AE912" s="147"/>
      <c r="AF912" s="147"/>
      <c r="AG912" s="147"/>
      <c r="AH912" s="147"/>
      <c r="AI912" s="147"/>
      <c r="AJ912" s="147"/>
      <c r="AK912" s="147"/>
      <c r="AL912" s="147"/>
      <c r="AM912" s="147"/>
      <c r="AN912" s="147"/>
      <c r="AO912" s="147"/>
      <c r="AP912" s="147"/>
      <c r="AQ912" s="147"/>
    </row>
    <row r="913" spans="1:43">
      <c r="A913" s="3"/>
      <c r="B913" s="3"/>
      <c r="C913" s="3"/>
      <c r="D913" s="3"/>
      <c r="E913" s="3"/>
      <c r="F913" s="3"/>
      <c r="G913" s="3"/>
      <c r="H913" s="3"/>
      <c r="I913" s="3"/>
      <c r="J913" s="3"/>
      <c r="K913" s="3"/>
      <c r="L913" s="3"/>
      <c r="M913" s="3"/>
      <c r="N913" s="157"/>
      <c r="O913" s="157"/>
      <c r="P913" s="157"/>
      <c r="R913" s="147"/>
      <c r="S913" s="147"/>
      <c r="T913" s="147"/>
      <c r="U913" s="147"/>
      <c r="X913" s="147"/>
      <c r="Y913" s="147"/>
      <c r="Z913" s="147"/>
      <c r="AA913" s="147"/>
      <c r="AB913" s="147"/>
      <c r="AC913" s="147"/>
      <c r="AD913" s="147"/>
      <c r="AE913" s="147"/>
      <c r="AF913" s="147"/>
      <c r="AG913" s="147"/>
      <c r="AH913" s="147"/>
      <c r="AI913" s="147"/>
      <c r="AJ913" s="147"/>
      <c r="AK913" s="147"/>
      <c r="AL913" s="147"/>
      <c r="AM913" s="147"/>
      <c r="AN913" s="147"/>
      <c r="AO913" s="147"/>
      <c r="AP913" s="147"/>
      <c r="AQ913" s="147"/>
    </row>
    <row r="914" spans="1:43">
      <c r="A914" s="3"/>
      <c r="B914" s="3"/>
      <c r="C914" s="3"/>
      <c r="D914" s="3"/>
      <c r="E914" s="3"/>
      <c r="F914" s="3"/>
      <c r="G914" s="3"/>
      <c r="H914" s="3"/>
      <c r="I914" s="3"/>
      <c r="J914" s="3"/>
      <c r="K914" s="3"/>
      <c r="L914" s="3"/>
      <c r="M914" s="3"/>
      <c r="N914" s="157"/>
      <c r="O914" s="157"/>
      <c r="P914" s="157"/>
      <c r="R914" s="147"/>
      <c r="S914" s="147"/>
      <c r="T914" s="147"/>
      <c r="U914" s="147"/>
      <c r="X914" s="147"/>
      <c r="Y914" s="147"/>
      <c r="Z914" s="147"/>
      <c r="AA914" s="147"/>
      <c r="AB914" s="147"/>
      <c r="AC914" s="147"/>
      <c r="AD914" s="147"/>
      <c r="AE914" s="147"/>
      <c r="AF914" s="147"/>
      <c r="AG914" s="147"/>
      <c r="AH914" s="147"/>
      <c r="AI914" s="147"/>
      <c r="AJ914" s="147"/>
      <c r="AK914" s="147"/>
      <c r="AL914" s="147"/>
      <c r="AM914" s="147"/>
      <c r="AN914" s="147"/>
      <c r="AO914" s="147"/>
      <c r="AP914" s="147"/>
      <c r="AQ914" s="147"/>
    </row>
    <row r="915" spans="1:43">
      <c r="A915" s="3"/>
      <c r="B915" s="3"/>
      <c r="C915" s="3"/>
      <c r="D915" s="3"/>
      <c r="E915" s="3"/>
      <c r="F915" s="3"/>
      <c r="G915" s="3"/>
      <c r="H915" s="3"/>
      <c r="I915" s="3"/>
      <c r="J915" s="3"/>
      <c r="K915" s="3"/>
      <c r="L915" s="3"/>
      <c r="M915" s="3"/>
      <c r="N915" s="157"/>
      <c r="O915" s="157"/>
      <c r="P915" s="157"/>
      <c r="R915" s="147"/>
      <c r="S915" s="147"/>
      <c r="T915" s="147"/>
      <c r="U915" s="147"/>
      <c r="X915" s="147"/>
      <c r="Y915" s="147"/>
      <c r="Z915" s="147"/>
      <c r="AA915" s="147"/>
      <c r="AB915" s="147"/>
      <c r="AC915" s="147"/>
      <c r="AD915" s="147"/>
      <c r="AE915" s="147"/>
      <c r="AF915" s="147"/>
      <c r="AG915" s="147"/>
      <c r="AH915" s="147"/>
      <c r="AI915" s="147"/>
      <c r="AJ915" s="147"/>
      <c r="AK915" s="147"/>
      <c r="AL915" s="147"/>
      <c r="AM915" s="147"/>
      <c r="AN915" s="147"/>
      <c r="AO915" s="147"/>
      <c r="AP915" s="147"/>
      <c r="AQ915" s="147"/>
    </row>
    <row r="916" spans="1:43">
      <c r="A916" s="3"/>
      <c r="B916" s="3"/>
      <c r="C916" s="3"/>
      <c r="D916" s="3"/>
      <c r="E916" s="3"/>
      <c r="F916" s="3"/>
      <c r="G916" s="3"/>
      <c r="H916" s="3"/>
      <c r="I916" s="3"/>
      <c r="J916" s="3"/>
      <c r="K916" s="3"/>
      <c r="L916" s="3"/>
      <c r="M916" s="3"/>
      <c r="N916" s="157"/>
      <c r="O916" s="157"/>
      <c r="P916" s="157"/>
      <c r="R916" s="147"/>
      <c r="S916" s="147"/>
      <c r="T916" s="147"/>
      <c r="U916" s="147"/>
      <c r="X916" s="147"/>
      <c r="Y916" s="147"/>
      <c r="Z916" s="147"/>
      <c r="AA916" s="147"/>
      <c r="AB916" s="147"/>
      <c r="AC916" s="147"/>
      <c r="AD916" s="147"/>
      <c r="AE916" s="147"/>
      <c r="AF916" s="147"/>
      <c r="AG916" s="147"/>
      <c r="AH916" s="147"/>
      <c r="AI916" s="147"/>
      <c r="AJ916" s="147"/>
      <c r="AK916" s="147"/>
      <c r="AL916" s="147"/>
      <c r="AM916" s="147"/>
      <c r="AN916" s="147"/>
      <c r="AO916" s="147"/>
      <c r="AP916" s="147"/>
      <c r="AQ916" s="147"/>
    </row>
    <row r="917" spans="1:43">
      <c r="A917" s="3"/>
      <c r="B917" s="3"/>
      <c r="C917" s="3"/>
      <c r="D917" s="3"/>
      <c r="E917" s="3"/>
      <c r="F917" s="3"/>
      <c r="G917" s="3"/>
      <c r="H917" s="3"/>
      <c r="I917" s="3"/>
      <c r="J917" s="3"/>
      <c r="K917" s="3"/>
      <c r="L917" s="3"/>
      <c r="M917" s="3"/>
      <c r="N917" s="157"/>
      <c r="O917" s="157"/>
      <c r="P917" s="157"/>
      <c r="R917" s="147"/>
      <c r="S917" s="147"/>
      <c r="T917" s="147"/>
      <c r="U917" s="147"/>
      <c r="X917" s="147"/>
      <c r="Y917" s="147"/>
      <c r="Z917" s="147"/>
      <c r="AA917" s="147"/>
      <c r="AB917" s="147"/>
      <c r="AC917" s="147"/>
      <c r="AD917" s="147"/>
      <c r="AE917" s="147"/>
      <c r="AF917" s="147"/>
      <c r="AG917" s="147"/>
      <c r="AH917" s="147"/>
      <c r="AI917" s="147"/>
      <c r="AJ917" s="147"/>
      <c r="AK917" s="147"/>
      <c r="AL917" s="147"/>
      <c r="AM917" s="147"/>
      <c r="AN917" s="147"/>
      <c r="AO917" s="147"/>
      <c r="AP917" s="147"/>
      <c r="AQ917" s="147"/>
    </row>
    <row r="918" spans="1:43">
      <c r="A918" s="3"/>
      <c r="B918" s="3"/>
      <c r="C918" s="3"/>
      <c r="D918" s="3"/>
      <c r="E918" s="3"/>
      <c r="F918" s="3"/>
      <c r="G918" s="3"/>
      <c r="H918" s="3"/>
      <c r="I918" s="3"/>
      <c r="J918" s="3"/>
      <c r="K918" s="3"/>
      <c r="L918" s="3"/>
      <c r="M918" s="3"/>
      <c r="N918" s="157"/>
      <c r="O918" s="157"/>
      <c r="P918" s="157"/>
      <c r="R918" s="147"/>
      <c r="S918" s="147"/>
      <c r="T918" s="147"/>
      <c r="U918" s="147"/>
      <c r="X918" s="147"/>
      <c r="Y918" s="147"/>
      <c r="Z918" s="147"/>
      <c r="AA918" s="147"/>
      <c r="AB918" s="147"/>
      <c r="AC918" s="147"/>
      <c r="AD918" s="147"/>
      <c r="AE918" s="147"/>
      <c r="AF918" s="147"/>
      <c r="AG918" s="147"/>
      <c r="AH918" s="147"/>
      <c r="AI918" s="147"/>
      <c r="AJ918" s="147"/>
      <c r="AK918" s="147"/>
      <c r="AL918" s="147"/>
      <c r="AM918" s="147"/>
      <c r="AN918" s="147"/>
      <c r="AO918" s="147"/>
      <c r="AP918" s="147"/>
      <c r="AQ918" s="147"/>
    </row>
    <row r="919" spans="1:43">
      <c r="A919" s="3"/>
      <c r="B919" s="3"/>
      <c r="C919" s="3"/>
      <c r="D919" s="3"/>
      <c r="E919" s="3"/>
      <c r="F919" s="3"/>
      <c r="G919" s="3"/>
      <c r="H919" s="3"/>
      <c r="I919" s="3"/>
      <c r="J919" s="3"/>
      <c r="K919" s="3"/>
      <c r="L919" s="3"/>
      <c r="M919" s="3"/>
      <c r="N919" s="157"/>
      <c r="O919" s="157"/>
      <c r="P919" s="157"/>
      <c r="R919" s="147"/>
      <c r="S919" s="147"/>
      <c r="T919" s="147"/>
      <c r="U919" s="147"/>
      <c r="X919" s="147"/>
      <c r="Y919" s="147"/>
      <c r="Z919" s="147"/>
      <c r="AA919" s="147"/>
      <c r="AB919" s="147"/>
      <c r="AC919" s="147"/>
      <c r="AD919" s="147"/>
      <c r="AE919" s="147"/>
      <c r="AF919" s="147"/>
      <c r="AG919" s="147"/>
      <c r="AH919" s="147"/>
      <c r="AI919" s="147"/>
      <c r="AJ919" s="147"/>
      <c r="AK919" s="147"/>
      <c r="AL919" s="147"/>
      <c r="AM919" s="147"/>
      <c r="AN919" s="147"/>
      <c r="AO919" s="147"/>
      <c r="AP919" s="147"/>
      <c r="AQ919" s="147"/>
    </row>
    <row r="920" spans="1:43">
      <c r="A920" s="3"/>
      <c r="B920" s="3"/>
      <c r="C920" s="3"/>
      <c r="D920" s="3"/>
      <c r="E920" s="3"/>
      <c r="F920" s="3"/>
      <c r="G920" s="3"/>
      <c r="H920" s="3"/>
      <c r="I920" s="3"/>
      <c r="J920" s="3"/>
      <c r="K920" s="3"/>
      <c r="L920" s="3"/>
      <c r="M920" s="3"/>
      <c r="N920" s="157"/>
      <c r="O920" s="157"/>
      <c r="P920" s="157"/>
      <c r="R920" s="147"/>
      <c r="S920" s="147"/>
      <c r="T920" s="147"/>
      <c r="U920" s="147"/>
      <c r="X920" s="147"/>
      <c r="Y920" s="147"/>
      <c r="Z920" s="147"/>
      <c r="AA920" s="147"/>
      <c r="AB920" s="147"/>
      <c r="AC920" s="147"/>
      <c r="AD920" s="147"/>
      <c r="AE920" s="147"/>
      <c r="AF920" s="147"/>
      <c r="AG920" s="147"/>
      <c r="AH920" s="147"/>
      <c r="AI920" s="147"/>
      <c r="AJ920" s="147"/>
      <c r="AK920" s="147"/>
      <c r="AL920" s="147"/>
      <c r="AM920" s="147"/>
      <c r="AN920" s="147"/>
      <c r="AO920" s="147"/>
      <c r="AP920" s="147"/>
      <c r="AQ920" s="147"/>
    </row>
    <row r="921" spans="1:43">
      <c r="A921" s="3"/>
      <c r="B921" s="3"/>
      <c r="C921" s="3"/>
      <c r="D921" s="3"/>
      <c r="E921" s="3"/>
      <c r="F921" s="3"/>
      <c r="G921" s="3"/>
      <c r="H921" s="3"/>
      <c r="I921" s="3"/>
      <c r="J921" s="3"/>
      <c r="K921" s="3"/>
      <c r="L921" s="3"/>
      <c r="M921" s="3"/>
      <c r="N921" s="157"/>
      <c r="O921" s="157"/>
      <c r="P921" s="157"/>
      <c r="R921" s="147"/>
      <c r="S921" s="147"/>
      <c r="T921" s="147"/>
      <c r="U921" s="147"/>
      <c r="X921" s="147"/>
      <c r="Y921" s="147"/>
      <c r="Z921" s="147"/>
      <c r="AA921" s="147"/>
      <c r="AB921" s="147"/>
      <c r="AC921" s="147"/>
      <c r="AD921" s="147"/>
      <c r="AE921" s="147"/>
      <c r="AF921" s="147"/>
      <c r="AG921" s="147"/>
      <c r="AH921" s="147"/>
      <c r="AI921" s="147"/>
      <c r="AJ921" s="147"/>
      <c r="AK921" s="147"/>
      <c r="AL921" s="147"/>
      <c r="AM921" s="147"/>
      <c r="AN921" s="147"/>
      <c r="AO921" s="147"/>
      <c r="AP921" s="147"/>
      <c r="AQ921" s="147"/>
    </row>
    <row r="922" spans="1:43">
      <c r="A922" s="3"/>
      <c r="B922" s="3"/>
      <c r="C922" s="3"/>
      <c r="D922" s="3"/>
      <c r="E922" s="3"/>
      <c r="F922" s="3"/>
      <c r="G922" s="3"/>
      <c r="H922" s="3"/>
      <c r="I922" s="3"/>
      <c r="J922" s="3"/>
      <c r="K922" s="3"/>
      <c r="L922" s="3"/>
      <c r="M922" s="3"/>
      <c r="N922" s="157"/>
      <c r="O922" s="157"/>
      <c r="P922" s="157"/>
      <c r="R922" s="147"/>
      <c r="S922" s="147"/>
      <c r="T922" s="147"/>
      <c r="U922" s="147"/>
      <c r="X922" s="147"/>
      <c r="Y922" s="147"/>
      <c r="Z922" s="147"/>
      <c r="AA922" s="147"/>
      <c r="AB922" s="147"/>
      <c r="AC922" s="147"/>
      <c r="AD922" s="147"/>
      <c r="AE922" s="147"/>
      <c r="AF922" s="147"/>
      <c r="AG922" s="147"/>
      <c r="AH922" s="147"/>
      <c r="AI922" s="147"/>
      <c r="AJ922" s="147"/>
      <c r="AK922" s="147"/>
      <c r="AL922" s="147"/>
      <c r="AM922" s="147"/>
      <c r="AN922" s="147"/>
      <c r="AO922" s="147"/>
      <c r="AP922" s="147"/>
      <c r="AQ922" s="147"/>
    </row>
    <row r="923" spans="1:43">
      <c r="A923" s="3"/>
      <c r="B923" s="3"/>
      <c r="C923" s="3"/>
      <c r="D923" s="3"/>
      <c r="E923" s="3"/>
      <c r="F923" s="3"/>
      <c r="G923" s="3"/>
      <c r="H923" s="3"/>
      <c r="I923" s="3"/>
      <c r="J923" s="3"/>
      <c r="K923" s="3"/>
      <c r="L923" s="3"/>
      <c r="M923" s="3"/>
      <c r="N923" s="157"/>
      <c r="O923" s="157"/>
      <c r="P923" s="157"/>
      <c r="R923" s="147"/>
      <c r="S923" s="147"/>
      <c r="T923" s="147"/>
      <c r="U923" s="147"/>
      <c r="X923" s="147"/>
      <c r="Y923" s="147"/>
      <c r="Z923" s="147"/>
      <c r="AA923" s="147"/>
      <c r="AB923" s="147"/>
      <c r="AC923" s="147"/>
      <c r="AD923" s="147"/>
      <c r="AE923" s="147"/>
      <c r="AF923" s="147"/>
      <c r="AG923" s="147"/>
      <c r="AH923" s="147"/>
      <c r="AI923" s="147"/>
      <c r="AJ923" s="147"/>
      <c r="AK923" s="147"/>
      <c r="AL923" s="147"/>
      <c r="AM923" s="147"/>
      <c r="AN923" s="147"/>
      <c r="AO923" s="147"/>
      <c r="AP923" s="147"/>
      <c r="AQ923" s="147"/>
    </row>
    <row r="924" spans="1:43">
      <c r="A924" s="3"/>
      <c r="B924" s="3"/>
      <c r="C924" s="3"/>
      <c r="D924" s="3"/>
      <c r="E924" s="3"/>
      <c r="F924" s="3"/>
      <c r="G924" s="3"/>
      <c r="H924" s="3"/>
      <c r="I924" s="3"/>
      <c r="J924" s="3"/>
      <c r="K924" s="3"/>
      <c r="L924" s="3"/>
      <c r="M924" s="3"/>
      <c r="N924" s="157"/>
      <c r="O924" s="157"/>
      <c r="P924" s="157"/>
      <c r="R924" s="147"/>
      <c r="S924" s="147"/>
      <c r="T924" s="147"/>
      <c r="U924" s="147"/>
      <c r="X924" s="147"/>
      <c r="Y924" s="147"/>
      <c r="Z924" s="147"/>
      <c r="AA924" s="147"/>
      <c r="AB924" s="147"/>
      <c r="AC924" s="147"/>
      <c r="AD924" s="147"/>
      <c r="AE924" s="147"/>
      <c r="AF924" s="147"/>
      <c r="AG924" s="147"/>
      <c r="AH924" s="147"/>
      <c r="AI924" s="147"/>
      <c r="AJ924" s="147"/>
      <c r="AK924" s="147"/>
      <c r="AL924" s="147"/>
      <c r="AM924" s="147"/>
      <c r="AN924" s="147"/>
      <c r="AO924" s="147"/>
      <c r="AP924" s="147"/>
      <c r="AQ924" s="147"/>
    </row>
    <row r="925" spans="1:43">
      <c r="A925" s="3"/>
      <c r="B925" s="3"/>
      <c r="C925" s="3"/>
      <c r="D925" s="3"/>
      <c r="E925" s="3"/>
      <c r="F925" s="3"/>
      <c r="G925" s="3"/>
      <c r="H925" s="3"/>
      <c r="I925" s="3"/>
      <c r="J925" s="3"/>
      <c r="K925" s="3"/>
      <c r="L925" s="3"/>
      <c r="M925" s="3"/>
      <c r="N925" s="157"/>
      <c r="O925" s="157"/>
      <c r="P925" s="157"/>
      <c r="R925" s="147"/>
      <c r="S925" s="147"/>
      <c r="T925" s="147"/>
      <c r="U925" s="147"/>
      <c r="X925" s="147"/>
      <c r="Y925" s="147"/>
      <c r="Z925" s="147"/>
      <c r="AA925" s="147"/>
      <c r="AB925" s="147"/>
      <c r="AC925" s="147"/>
      <c r="AD925" s="147"/>
      <c r="AE925" s="147"/>
      <c r="AF925" s="147"/>
      <c r="AG925" s="147"/>
      <c r="AH925" s="147"/>
      <c r="AI925" s="147"/>
      <c r="AJ925" s="147"/>
      <c r="AK925" s="147"/>
      <c r="AL925" s="147"/>
      <c r="AM925" s="147"/>
      <c r="AN925" s="147"/>
      <c r="AO925" s="147"/>
      <c r="AP925" s="147"/>
      <c r="AQ925" s="147"/>
    </row>
    <row r="926" spans="1:43">
      <c r="A926" s="3"/>
      <c r="B926" s="3"/>
      <c r="C926" s="3"/>
      <c r="D926" s="3"/>
      <c r="E926" s="3"/>
      <c r="F926" s="3"/>
      <c r="G926" s="3"/>
      <c r="H926" s="3"/>
      <c r="I926" s="3"/>
      <c r="J926" s="3"/>
      <c r="K926" s="3"/>
      <c r="L926" s="3"/>
      <c r="M926" s="3"/>
      <c r="N926" s="157"/>
      <c r="O926" s="157"/>
      <c r="P926" s="157"/>
      <c r="R926" s="147"/>
      <c r="S926" s="147"/>
      <c r="T926" s="147"/>
      <c r="U926" s="147"/>
      <c r="X926" s="147"/>
      <c r="Y926" s="147"/>
      <c r="Z926" s="147"/>
      <c r="AA926" s="147"/>
      <c r="AB926" s="147"/>
      <c r="AC926" s="147"/>
      <c r="AD926" s="147"/>
      <c r="AE926" s="147"/>
      <c r="AF926" s="147"/>
      <c r="AG926" s="147"/>
      <c r="AH926" s="147"/>
      <c r="AI926" s="147"/>
      <c r="AJ926" s="147"/>
      <c r="AK926" s="147"/>
      <c r="AL926" s="147"/>
      <c r="AM926" s="147"/>
      <c r="AN926" s="147"/>
      <c r="AO926" s="147"/>
      <c r="AP926" s="147"/>
      <c r="AQ926" s="147"/>
    </row>
    <row r="927" spans="1:43">
      <c r="A927" s="3"/>
      <c r="B927" s="3"/>
      <c r="C927" s="3"/>
      <c r="D927" s="3"/>
      <c r="E927" s="3"/>
      <c r="F927" s="3"/>
      <c r="G927" s="3"/>
      <c r="H927" s="3"/>
      <c r="I927" s="3"/>
      <c r="J927" s="3"/>
      <c r="K927" s="3"/>
      <c r="L927" s="3"/>
      <c r="M927" s="3"/>
      <c r="N927" s="157"/>
      <c r="O927" s="157"/>
      <c r="P927" s="157"/>
      <c r="R927" s="147"/>
      <c r="S927" s="147"/>
      <c r="T927" s="147"/>
      <c r="U927" s="147"/>
      <c r="X927" s="147"/>
      <c r="Y927" s="147"/>
      <c r="Z927" s="147"/>
      <c r="AA927" s="147"/>
      <c r="AB927" s="147"/>
      <c r="AC927" s="147"/>
      <c r="AD927" s="147"/>
      <c r="AE927" s="147"/>
      <c r="AF927" s="147"/>
      <c r="AG927" s="147"/>
      <c r="AH927" s="147"/>
      <c r="AI927" s="147"/>
      <c r="AJ927" s="147"/>
      <c r="AK927" s="147"/>
      <c r="AL927" s="147"/>
      <c r="AM927" s="147"/>
      <c r="AN927" s="147"/>
      <c r="AO927" s="147"/>
      <c r="AP927" s="147"/>
      <c r="AQ927" s="147"/>
    </row>
    <row r="928" spans="1:43">
      <c r="A928" s="3"/>
      <c r="B928" s="3"/>
      <c r="C928" s="3"/>
      <c r="D928" s="3"/>
      <c r="E928" s="3"/>
      <c r="F928" s="3"/>
      <c r="G928" s="3"/>
      <c r="H928" s="3"/>
      <c r="I928" s="3"/>
      <c r="J928" s="3"/>
      <c r="K928" s="3"/>
      <c r="L928" s="3"/>
      <c r="M928" s="3"/>
      <c r="N928" s="157"/>
      <c r="O928" s="157"/>
      <c r="P928" s="157"/>
      <c r="R928" s="147"/>
      <c r="S928" s="147"/>
      <c r="T928" s="147"/>
      <c r="U928" s="147"/>
      <c r="X928" s="147"/>
      <c r="Y928" s="147"/>
      <c r="Z928" s="147"/>
      <c r="AA928" s="147"/>
      <c r="AB928" s="147"/>
      <c r="AC928" s="147"/>
      <c r="AD928" s="147"/>
      <c r="AE928" s="147"/>
      <c r="AF928" s="147"/>
      <c r="AG928" s="147"/>
      <c r="AH928" s="147"/>
      <c r="AI928" s="147"/>
      <c r="AJ928" s="147"/>
      <c r="AK928" s="147"/>
      <c r="AL928" s="147"/>
      <c r="AM928" s="147"/>
      <c r="AN928" s="147"/>
      <c r="AO928" s="147"/>
      <c r="AP928" s="147"/>
      <c r="AQ928" s="147"/>
    </row>
    <row r="929" spans="1:43">
      <c r="A929" s="3"/>
      <c r="B929" s="3"/>
      <c r="C929" s="3"/>
      <c r="D929" s="3"/>
      <c r="E929" s="3"/>
      <c r="F929" s="3"/>
      <c r="G929" s="3"/>
      <c r="H929" s="3"/>
      <c r="I929" s="3"/>
      <c r="J929" s="3"/>
      <c r="K929" s="3"/>
      <c r="L929" s="3"/>
      <c r="M929" s="3"/>
      <c r="N929" s="157"/>
      <c r="O929" s="157"/>
      <c r="P929" s="157"/>
      <c r="R929" s="147"/>
      <c r="S929" s="147"/>
      <c r="T929" s="147"/>
      <c r="U929" s="147"/>
      <c r="X929" s="147"/>
      <c r="Y929" s="147"/>
      <c r="Z929" s="147"/>
      <c r="AA929" s="147"/>
      <c r="AB929" s="147"/>
      <c r="AC929" s="147"/>
      <c r="AD929" s="147"/>
      <c r="AE929" s="147"/>
      <c r="AF929" s="147"/>
      <c r="AG929" s="147"/>
      <c r="AH929" s="147"/>
      <c r="AI929" s="147"/>
      <c r="AJ929" s="147"/>
      <c r="AK929" s="147"/>
      <c r="AL929" s="147"/>
      <c r="AM929" s="147"/>
      <c r="AN929" s="147"/>
      <c r="AO929" s="147"/>
      <c r="AP929" s="147"/>
      <c r="AQ929" s="147"/>
    </row>
    <row r="930" spans="1:43">
      <c r="A930" s="3"/>
      <c r="B930" s="3"/>
      <c r="C930" s="3"/>
      <c r="D930" s="3"/>
      <c r="E930" s="3"/>
      <c r="F930" s="3"/>
      <c r="G930" s="3"/>
      <c r="H930" s="3"/>
      <c r="I930" s="3"/>
      <c r="J930" s="3"/>
      <c r="K930" s="3"/>
      <c r="L930" s="3"/>
      <c r="M930" s="3"/>
      <c r="N930" s="157"/>
      <c r="O930" s="157"/>
      <c r="P930" s="157"/>
      <c r="R930" s="147"/>
      <c r="S930" s="147"/>
      <c r="T930" s="147"/>
      <c r="U930" s="147"/>
      <c r="X930" s="147"/>
      <c r="Y930" s="147"/>
      <c r="Z930" s="147"/>
      <c r="AA930" s="147"/>
      <c r="AB930" s="147"/>
      <c r="AC930" s="147"/>
      <c r="AD930" s="147"/>
      <c r="AE930" s="147"/>
      <c r="AF930" s="147"/>
      <c r="AG930" s="147"/>
      <c r="AH930" s="147"/>
      <c r="AI930" s="147"/>
      <c r="AJ930" s="147"/>
      <c r="AK930" s="147"/>
      <c r="AL930" s="147"/>
      <c r="AM930" s="147"/>
      <c r="AN930" s="147"/>
      <c r="AO930" s="147"/>
      <c r="AP930" s="147"/>
      <c r="AQ930" s="147"/>
    </row>
    <row r="931" spans="1:43">
      <c r="A931" s="3"/>
      <c r="B931" s="3"/>
      <c r="C931" s="3"/>
      <c r="D931" s="3"/>
      <c r="E931" s="3"/>
      <c r="F931" s="3"/>
      <c r="G931" s="3"/>
      <c r="H931" s="3"/>
      <c r="I931" s="3"/>
      <c r="J931" s="3"/>
      <c r="K931" s="3"/>
      <c r="L931" s="3"/>
      <c r="M931" s="3"/>
      <c r="N931" s="157"/>
      <c r="O931" s="157"/>
      <c r="P931" s="157"/>
      <c r="R931" s="147"/>
      <c r="S931" s="147"/>
      <c r="T931" s="147"/>
      <c r="U931" s="147"/>
      <c r="X931" s="147"/>
      <c r="Y931" s="147"/>
      <c r="Z931" s="147"/>
      <c r="AA931" s="147"/>
      <c r="AB931" s="147"/>
      <c r="AC931" s="147"/>
      <c r="AD931" s="147"/>
      <c r="AE931" s="147"/>
      <c r="AF931" s="147"/>
      <c r="AG931" s="147"/>
      <c r="AH931" s="147"/>
      <c r="AI931" s="147"/>
      <c r="AJ931" s="147"/>
      <c r="AK931" s="147"/>
      <c r="AL931" s="147"/>
      <c r="AM931" s="147"/>
      <c r="AN931" s="147"/>
      <c r="AO931" s="147"/>
      <c r="AP931" s="147"/>
      <c r="AQ931" s="147"/>
    </row>
    <row r="932" spans="1:43">
      <c r="A932" s="3"/>
      <c r="B932" s="3"/>
      <c r="C932" s="3"/>
      <c r="D932" s="3"/>
      <c r="E932" s="3"/>
      <c r="F932" s="3"/>
      <c r="G932" s="3"/>
      <c r="H932" s="3"/>
      <c r="I932" s="3"/>
      <c r="J932" s="3"/>
      <c r="K932" s="3"/>
      <c r="L932" s="3"/>
      <c r="M932" s="3"/>
      <c r="N932" s="157"/>
      <c r="O932" s="157"/>
      <c r="P932" s="157"/>
      <c r="R932" s="147"/>
      <c r="S932" s="147"/>
      <c r="T932" s="147"/>
      <c r="U932" s="147"/>
      <c r="X932" s="147"/>
      <c r="Y932" s="147"/>
      <c r="Z932" s="147"/>
      <c r="AA932" s="147"/>
      <c r="AB932" s="147"/>
      <c r="AC932" s="147"/>
      <c r="AD932" s="147"/>
      <c r="AE932" s="147"/>
      <c r="AF932" s="147"/>
      <c r="AG932" s="147"/>
      <c r="AH932" s="147"/>
      <c r="AI932" s="147"/>
      <c r="AJ932" s="147"/>
      <c r="AK932" s="147"/>
      <c r="AL932" s="147"/>
      <c r="AM932" s="147"/>
      <c r="AN932" s="147"/>
      <c r="AO932" s="147"/>
      <c r="AP932" s="147"/>
      <c r="AQ932" s="147"/>
    </row>
    <row r="933" spans="1:43">
      <c r="A933" s="3"/>
      <c r="B933" s="3"/>
      <c r="C933" s="3"/>
      <c r="D933" s="3"/>
      <c r="E933" s="3"/>
      <c r="F933" s="3"/>
      <c r="G933" s="3"/>
      <c r="H933" s="3"/>
      <c r="I933" s="3"/>
      <c r="J933" s="3"/>
      <c r="K933" s="3"/>
      <c r="L933" s="3"/>
      <c r="M933" s="3"/>
      <c r="N933" s="157"/>
      <c r="O933" s="157"/>
      <c r="P933" s="157"/>
      <c r="R933" s="147"/>
      <c r="S933" s="147"/>
      <c r="T933" s="147"/>
      <c r="U933" s="147"/>
      <c r="X933" s="147"/>
      <c r="Y933" s="147"/>
      <c r="Z933" s="147"/>
      <c r="AA933" s="147"/>
      <c r="AB933" s="147"/>
      <c r="AC933" s="147"/>
      <c r="AD933" s="147"/>
      <c r="AE933" s="147"/>
      <c r="AF933" s="147"/>
      <c r="AG933" s="147"/>
      <c r="AH933" s="147"/>
      <c r="AI933" s="147"/>
      <c r="AJ933" s="147"/>
      <c r="AK933" s="147"/>
      <c r="AL933" s="147"/>
      <c r="AM933" s="147"/>
      <c r="AN933" s="147"/>
      <c r="AO933" s="147"/>
      <c r="AP933" s="147"/>
      <c r="AQ933" s="147"/>
    </row>
    <row r="934" spans="1:43">
      <c r="A934" s="3"/>
      <c r="B934" s="3"/>
      <c r="C934" s="3"/>
      <c r="D934" s="3"/>
      <c r="E934" s="3"/>
      <c r="F934" s="3"/>
      <c r="G934" s="3"/>
      <c r="H934" s="3"/>
      <c r="I934" s="3"/>
      <c r="J934" s="3"/>
      <c r="K934" s="3"/>
      <c r="L934" s="3"/>
      <c r="M934" s="3"/>
      <c r="N934" s="157"/>
      <c r="O934" s="157"/>
      <c r="P934" s="157"/>
      <c r="R934" s="147"/>
      <c r="S934" s="147"/>
      <c r="T934" s="147"/>
      <c r="U934" s="147"/>
      <c r="X934" s="147"/>
      <c r="Y934" s="147"/>
      <c r="Z934" s="147"/>
      <c r="AA934" s="147"/>
      <c r="AB934" s="147"/>
      <c r="AC934" s="147"/>
      <c r="AD934" s="147"/>
      <c r="AE934" s="147"/>
      <c r="AF934" s="147"/>
      <c r="AG934" s="147"/>
      <c r="AH934" s="147"/>
      <c r="AI934" s="147"/>
      <c r="AJ934" s="147"/>
      <c r="AK934" s="147"/>
      <c r="AL934" s="147"/>
      <c r="AM934" s="147"/>
      <c r="AN934" s="147"/>
      <c r="AO934" s="147"/>
      <c r="AP934" s="147"/>
      <c r="AQ934" s="147"/>
    </row>
    <row r="935" spans="1:43">
      <c r="A935" s="3"/>
      <c r="B935" s="3"/>
      <c r="C935" s="3"/>
      <c r="D935" s="3"/>
      <c r="E935" s="3"/>
      <c r="F935" s="3"/>
      <c r="G935" s="3"/>
      <c r="H935" s="3"/>
      <c r="I935" s="3"/>
      <c r="J935" s="3"/>
      <c r="K935" s="3"/>
      <c r="L935" s="3"/>
      <c r="M935" s="3"/>
      <c r="N935" s="157"/>
      <c r="O935" s="157"/>
      <c r="P935" s="157"/>
      <c r="R935" s="147"/>
      <c r="S935" s="147"/>
      <c r="T935" s="147"/>
      <c r="U935" s="147"/>
      <c r="X935" s="147"/>
      <c r="Y935" s="147"/>
      <c r="Z935" s="147"/>
      <c r="AA935" s="147"/>
      <c r="AB935" s="147"/>
      <c r="AC935" s="147"/>
      <c r="AD935" s="147"/>
      <c r="AE935" s="147"/>
      <c r="AF935" s="147"/>
      <c r="AG935" s="147"/>
      <c r="AH935" s="147"/>
      <c r="AI935" s="147"/>
      <c r="AJ935" s="147"/>
      <c r="AK935" s="147"/>
      <c r="AL935" s="147"/>
      <c r="AM935" s="147"/>
      <c r="AN935" s="147"/>
      <c r="AO935" s="147"/>
      <c r="AP935" s="147"/>
      <c r="AQ935" s="147"/>
    </row>
    <row r="936" spans="1:43">
      <c r="A936" s="3"/>
      <c r="B936" s="3"/>
      <c r="C936" s="3"/>
      <c r="D936" s="3"/>
      <c r="E936" s="3"/>
      <c r="F936" s="3"/>
      <c r="G936" s="3"/>
      <c r="H936" s="3"/>
      <c r="I936" s="3"/>
      <c r="J936" s="3"/>
      <c r="K936" s="3"/>
      <c r="L936" s="3"/>
      <c r="M936" s="3"/>
      <c r="N936" s="157"/>
      <c r="O936" s="157"/>
      <c r="P936" s="157"/>
      <c r="R936" s="147"/>
      <c r="S936" s="147"/>
      <c r="T936" s="147"/>
      <c r="U936" s="147"/>
      <c r="X936" s="147"/>
      <c r="Y936" s="147"/>
      <c r="Z936" s="147"/>
      <c r="AA936" s="147"/>
      <c r="AB936" s="147"/>
      <c r="AC936" s="147"/>
      <c r="AD936" s="147"/>
      <c r="AE936" s="147"/>
      <c r="AF936" s="147"/>
      <c r="AG936" s="147"/>
      <c r="AH936" s="147"/>
      <c r="AI936" s="147"/>
      <c r="AJ936" s="147"/>
      <c r="AK936" s="147"/>
      <c r="AL936" s="147"/>
      <c r="AM936" s="147"/>
      <c r="AN936" s="147"/>
      <c r="AO936" s="147"/>
      <c r="AP936" s="147"/>
      <c r="AQ936" s="147"/>
    </row>
    <row r="937" spans="1:43">
      <c r="A937" s="3"/>
      <c r="B937" s="3"/>
      <c r="C937" s="3"/>
      <c r="D937" s="3"/>
      <c r="E937" s="3"/>
      <c r="F937" s="3"/>
      <c r="G937" s="3"/>
      <c r="H937" s="3"/>
      <c r="I937" s="3"/>
      <c r="J937" s="3"/>
      <c r="K937" s="3"/>
      <c r="L937" s="3"/>
      <c r="M937" s="3"/>
      <c r="N937" s="157"/>
      <c r="O937" s="157"/>
      <c r="P937" s="157"/>
      <c r="R937" s="147"/>
      <c r="S937" s="147"/>
      <c r="T937" s="147"/>
      <c r="U937" s="147"/>
      <c r="X937" s="147"/>
      <c r="Y937" s="147"/>
      <c r="Z937" s="147"/>
      <c r="AA937" s="147"/>
      <c r="AB937" s="147"/>
      <c r="AC937" s="147"/>
      <c r="AD937" s="147"/>
      <c r="AE937" s="147"/>
      <c r="AF937" s="147"/>
      <c r="AG937" s="147"/>
      <c r="AH937" s="147"/>
      <c r="AI937" s="147"/>
      <c r="AJ937" s="147"/>
      <c r="AK937" s="147"/>
      <c r="AL937" s="147"/>
      <c r="AM937" s="147"/>
      <c r="AN937" s="147"/>
      <c r="AO937" s="147"/>
      <c r="AP937" s="147"/>
      <c r="AQ937" s="147"/>
    </row>
    <row r="938" spans="1:43">
      <c r="A938" s="3"/>
      <c r="B938" s="3"/>
      <c r="C938" s="3"/>
      <c r="D938" s="3"/>
      <c r="E938" s="3"/>
      <c r="F938" s="3"/>
      <c r="G938" s="3"/>
      <c r="H938" s="3"/>
      <c r="I938" s="3"/>
      <c r="J938" s="3"/>
      <c r="K938" s="3"/>
      <c r="L938" s="3"/>
      <c r="M938" s="3"/>
      <c r="N938" s="157"/>
      <c r="O938" s="157"/>
      <c r="P938" s="157"/>
      <c r="R938" s="147"/>
      <c r="S938" s="147"/>
      <c r="T938" s="147"/>
      <c r="U938" s="147"/>
      <c r="X938" s="147"/>
      <c r="Y938" s="147"/>
      <c r="Z938" s="147"/>
      <c r="AA938" s="147"/>
      <c r="AB938" s="147"/>
      <c r="AC938" s="147"/>
      <c r="AD938" s="147"/>
      <c r="AE938" s="147"/>
      <c r="AF938" s="147"/>
      <c r="AG938" s="147"/>
      <c r="AH938" s="147"/>
      <c r="AI938" s="147"/>
      <c r="AJ938" s="147"/>
      <c r="AK938" s="147"/>
      <c r="AL938" s="147"/>
      <c r="AM938" s="147"/>
      <c r="AN938" s="147"/>
      <c r="AO938" s="147"/>
      <c r="AP938" s="147"/>
      <c r="AQ938" s="147"/>
    </row>
    <row r="939" spans="1:43">
      <c r="A939" s="3"/>
      <c r="B939" s="3"/>
      <c r="C939" s="3"/>
      <c r="D939" s="3"/>
      <c r="E939" s="3"/>
      <c r="F939" s="3"/>
      <c r="G939" s="3"/>
      <c r="H939" s="3"/>
      <c r="I939" s="3"/>
      <c r="J939" s="3"/>
      <c r="K939" s="3"/>
      <c r="L939" s="3"/>
      <c r="M939" s="3"/>
      <c r="N939" s="157"/>
      <c r="O939" s="157"/>
      <c r="P939" s="157"/>
      <c r="R939" s="147"/>
      <c r="S939" s="147"/>
      <c r="T939" s="147"/>
      <c r="U939" s="147"/>
      <c r="X939" s="147"/>
      <c r="Y939" s="147"/>
      <c r="Z939" s="147"/>
      <c r="AA939" s="147"/>
      <c r="AB939" s="147"/>
      <c r="AC939" s="147"/>
      <c r="AD939" s="147"/>
      <c r="AE939" s="147"/>
      <c r="AF939" s="147"/>
      <c r="AG939" s="147"/>
      <c r="AH939" s="147"/>
      <c r="AI939" s="147"/>
      <c r="AJ939" s="147"/>
      <c r="AK939" s="147"/>
      <c r="AL939" s="147"/>
      <c r="AM939" s="147"/>
      <c r="AN939" s="147"/>
      <c r="AO939" s="147"/>
      <c r="AP939" s="147"/>
      <c r="AQ939" s="147"/>
    </row>
    <row r="940" spans="1:43">
      <c r="A940" s="3"/>
      <c r="B940" s="3"/>
      <c r="C940" s="3"/>
      <c r="D940" s="3"/>
      <c r="E940" s="3"/>
      <c r="F940" s="3"/>
      <c r="G940" s="3"/>
      <c r="H940" s="3"/>
      <c r="I940" s="3"/>
      <c r="J940" s="3"/>
      <c r="K940" s="3"/>
      <c r="L940" s="3"/>
      <c r="M940" s="3"/>
      <c r="N940" s="157"/>
      <c r="O940" s="157"/>
      <c r="P940" s="157"/>
      <c r="R940" s="147"/>
      <c r="S940" s="147"/>
      <c r="T940" s="147"/>
      <c r="U940" s="147"/>
      <c r="X940" s="147"/>
      <c r="Y940" s="147"/>
      <c r="Z940" s="147"/>
      <c r="AA940" s="147"/>
      <c r="AB940" s="147"/>
      <c r="AC940" s="147"/>
      <c r="AD940" s="147"/>
      <c r="AE940" s="147"/>
      <c r="AF940" s="147"/>
      <c r="AG940" s="147"/>
      <c r="AH940" s="147"/>
      <c r="AI940" s="147"/>
      <c r="AJ940" s="147"/>
      <c r="AK940" s="147"/>
      <c r="AL940" s="147"/>
      <c r="AM940" s="147"/>
      <c r="AN940" s="147"/>
      <c r="AO940" s="147"/>
      <c r="AP940" s="147"/>
      <c r="AQ940" s="147"/>
    </row>
    <row r="941" spans="1:43">
      <c r="A941" s="3"/>
      <c r="B941" s="3"/>
      <c r="C941" s="3"/>
      <c r="D941" s="3"/>
      <c r="E941" s="3"/>
      <c r="F941" s="3"/>
      <c r="G941" s="3"/>
      <c r="H941" s="3"/>
      <c r="I941" s="3"/>
      <c r="J941" s="3"/>
      <c r="K941" s="3"/>
      <c r="L941" s="3"/>
      <c r="M941" s="3"/>
      <c r="N941" s="157"/>
      <c r="O941" s="157"/>
      <c r="P941" s="157"/>
      <c r="R941" s="147"/>
      <c r="S941" s="147"/>
      <c r="T941" s="147"/>
      <c r="U941" s="147"/>
      <c r="X941" s="147"/>
      <c r="Y941" s="147"/>
      <c r="Z941" s="147"/>
      <c r="AA941" s="147"/>
      <c r="AB941" s="147"/>
      <c r="AC941" s="147"/>
      <c r="AD941" s="147"/>
      <c r="AE941" s="147"/>
      <c r="AF941" s="147"/>
      <c r="AG941" s="147"/>
      <c r="AH941" s="147"/>
      <c r="AI941" s="147"/>
      <c r="AJ941" s="147"/>
      <c r="AK941" s="147"/>
      <c r="AL941" s="147"/>
      <c r="AM941" s="147"/>
      <c r="AN941" s="147"/>
      <c r="AO941" s="147"/>
      <c r="AP941" s="147"/>
      <c r="AQ941" s="147"/>
    </row>
    <row r="942" spans="1:43">
      <c r="A942" s="3"/>
      <c r="B942" s="3"/>
      <c r="C942" s="3"/>
      <c r="D942" s="3"/>
      <c r="E942" s="3"/>
      <c r="F942" s="3"/>
      <c r="G942" s="3"/>
      <c r="H942" s="3"/>
      <c r="I942" s="3"/>
      <c r="J942" s="3"/>
      <c r="K942" s="3"/>
      <c r="L942" s="3"/>
      <c r="M942" s="3"/>
      <c r="N942" s="157"/>
      <c r="O942" s="157"/>
      <c r="P942" s="157"/>
      <c r="R942" s="147"/>
      <c r="S942" s="147"/>
      <c r="T942" s="147"/>
      <c r="U942" s="147"/>
      <c r="X942" s="147"/>
      <c r="Y942" s="147"/>
      <c r="Z942" s="147"/>
      <c r="AA942" s="147"/>
      <c r="AB942" s="147"/>
      <c r="AC942" s="147"/>
      <c r="AD942" s="147"/>
      <c r="AE942" s="147"/>
      <c r="AF942" s="147"/>
      <c r="AG942" s="147"/>
      <c r="AH942" s="147"/>
      <c r="AI942" s="147"/>
      <c r="AJ942" s="147"/>
      <c r="AK942" s="147"/>
      <c r="AL942" s="147"/>
      <c r="AM942" s="147"/>
      <c r="AN942" s="147"/>
      <c r="AO942" s="147"/>
      <c r="AP942" s="147"/>
      <c r="AQ942" s="147"/>
    </row>
    <row r="943" spans="1:43">
      <c r="A943" s="3"/>
      <c r="B943" s="3"/>
      <c r="C943" s="3"/>
      <c r="D943" s="3"/>
      <c r="E943" s="3"/>
      <c r="F943" s="3"/>
      <c r="G943" s="3"/>
      <c r="H943" s="3"/>
      <c r="I943" s="3"/>
      <c r="J943" s="3"/>
      <c r="K943" s="3"/>
      <c r="L943" s="3"/>
      <c r="M943" s="3"/>
      <c r="N943" s="157"/>
      <c r="O943" s="157"/>
      <c r="P943" s="157"/>
      <c r="R943" s="147"/>
      <c r="S943" s="147"/>
      <c r="T943" s="147"/>
      <c r="U943" s="147"/>
      <c r="X943" s="147"/>
      <c r="Y943" s="147"/>
      <c r="Z943" s="147"/>
      <c r="AA943" s="147"/>
      <c r="AB943" s="147"/>
      <c r="AC943" s="147"/>
      <c r="AD943" s="147"/>
      <c r="AE943" s="147"/>
      <c r="AF943" s="147"/>
      <c r="AG943" s="147"/>
      <c r="AH943" s="147"/>
      <c r="AI943" s="147"/>
      <c r="AJ943" s="147"/>
      <c r="AK943" s="147"/>
      <c r="AL943" s="147"/>
      <c r="AM943" s="147"/>
      <c r="AN943" s="147"/>
      <c r="AO943" s="147"/>
      <c r="AP943" s="147"/>
      <c r="AQ943" s="147"/>
    </row>
    <row r="944" spans="1:43">
      <c r="A944" s="3"/>
      <c r="B944" s="3"/>
      <c r="C944" s="3"/>
      <c r="D944" s="3"/>
      <c r="E944" s="3"/>
      <c r="F944" s="3"/>
      <c r="G944" s="3"/>
      <c r="H944" s="3"/>
      <c r="I944" s="3"/>
      <c r="J944" s="3"/>
      <c r="K944" s="3"/>
      <c r="L944" s="3"/>
      <c r="M944" s="3"/>
      <c r="N944" s="157"/>
      <c r="O944" s="157"/>
      <c r="P944" s="157"/>
      <c r="R944" s="147"/>
      <c r="S944" s="147"/>
      <c r="T944" s="147"/>
      <c r="U944" s="147"/>
      <c r="X944" s="147"/>
      <c r="Y944" s="147"/>
      <c r="Z944" s="147"/>
      <c r="AA944" s="147"/>
      <c r="AB944" s="147"/>
      <c r="AC944" s="147"/>
      <c r="AD944" s="147"/>
      <c r="AE944" s="147"/>
      <c r="AF944" s="147"/>
      <c r="AG944" s="147"/>
      <c r="AH944" s="147"/>
      <c r="AI944" s="147"/>
      <c r="AJ944" s="147"/>
      <c r="AK944" s="147"/>
      <c r="AL944" s="147"/>
      <c r="AM944" s="147"/>
      <c r="AN944" s="147"/>
      <c r="AO944" s="147"/>
      <c r="AP944" s="147"/>
      <c r="AQ944" s="147"/>
    </row>
    <row r="945" spans="1:43">
      <c r="A945" s="3"/>
      <c r="B945" s="3"/>
      <c r="C945" s="3"/>
      <c r="D945" s="3"/>
      <c r="E945" s="3"/>
      <c r="F945" s="3"/>
      <c r="G945" s="3"/>
      <c r="H945" s="3"/>
      <c r="I945" s="3"/>
      <c r="J945" s="3"/>
      <c r="K945" s="3"/>
      <c r="L945" s="3"/>
      <c r="M945" s="3"/>
      <c r="N945" s="157"/>
      <c r="O945" s="157"/>
      <c r="P945" s="157"/>
      <c r="R945" s="147"/>
      <c r="S945" s="147"/>
      <c r="T945" s="147"/>
      <c r="U945" s="147"/>
      <c r="X945" s="147"/>
      <c r="Y945" s="147"/>
      <c r="Z945" s="147"/>
      <c r="AA945" s="147"/>
      <c r="AB945" s="147"/>
      <c r="AC945" s="147"/>
      <c r="AD945" s="147"/>
      <c r="AE945" s="147"/>
      <c r="AF945" s="147"/>
      <c r="AG945" s="147"/>
      <c r="AH945" s="147"/>
      <c r="AI945" s="147"/>
      <c r="AJ945" s="147"/>
      <c r="AK945" s="147"/>
      <c r="AL945" s="147"/>
      <c r="AM945" s="147"/>
      <c r="AN945" s="147"/>
      <c r="AO945" s="147"/>
      <c r="AP945" s="147"/>
      <c r="AQ945" s="147"/>
    </row>
    <row r="946" spans="1:43">
      <c r="A946" s="3"/>
      <c r="B946" s="3"/>
      <c r="C946" s="3"/>
      <c r="D946" s="3"/>
      <c r="E946" s="3"/>
      <c r="F946" s="3"/>
      <c r="G946" s="3"/>
      <c r="H946" s="3"/>
      <c r="I946" s="3"/>
      <c r="J946" s="3"/>
      <c r="K946" s="3"/>
      <c r="L946" s="3"/>
      <c r="M946" s="3"/>
      <c r="N946" s="157"/>
      <c r="O946" s="157"/>
      <c r="P946" s="157"/>
      <c r="R946" s="147"/>
      <c r="S946" s="147"/>
      <c r="T946" s="147"/>
      <c r="U946" s="147"/>
      <c r="X946" s="147"/>
      <c r="Y946" s="147"/>
      <c r="Z946" s="147"/>
      <c r="AA946" s="147"/>
      <c r="AB946" s="147"/>
      <c r="AC946" s="147"/>
      <c r="AD946" s="147"/>
      <c r="AE946" s="147"/>
      <c r="AF946" s="147"/>
      <c r="AG946" s="147"/>
      <c r="AH946" s="147"/>
      <c r="AI946" s="147"/>
      <c r="AJ946" s="147"/>
      <c r="AK946" s="147"/>
      <c r="AL946" s="147"/>
      <c r="AM946" s="147"/>
      <c r="AN946" s="147"/>
      <c r="AO946" s="147"/>
      <c r="AP946" s="147"/>
      <c r="AQ946" s="147"/>
    </row>
    <row r="947" spans="1:43">
      <c r="A947" s="3"/>
      <c r="B947" s="3"/>
      <c r="C947" s="3"/>
      <c r="D947" s="3"/>
      <c r="E947" s="3"/>
      <c r="F947" s="3"/>
      <c r="G947" s="3"/>
      <c r="H947" s="3"/>
      <c r="I947" s="3"/>
      <c r="J947" s="3"/>
      <c r="K947" s="3"/>
      <c r="L947" s="3"/>
      <c r="M947" s="3"/>
      <c r="N947" s="157"/>
      <c r="O947" s="157"/>
      <c r="P947" s="157"/>
      <c r="R947" s="147"/>
      <c r="S947" s="147"/>
      <c r="T947" s="147"/>
      <c r="U947" s="147"/>
      <c r="X947" s="147"/>
      <c r="Y947" s="147"/>
      <c r="Z947" s="147"/>
      <c r="AA947" s="147"/>
      <c r="AB947" s="147"/>
      <c r="AC947" s="147"/>
      <c r="AD947" s="147"/>
      <c r="AE947" s="147"/>
      <c r="AF947" s="147"/>
      <c r="AG947" s="147"/>
      <c r="AH947" s="147"/>
      <c r="AI947" s="147"/>
      <c r="AJ947" s="147"/>
      <c r="AK947" s="147"/>
      <c r="AL947" s="147"/>
      <c r="AM947" s="147"/>
      <c r="AN947" s="147"/>
      <c r="AO947" s="147"/>
      <c r="AP947" s="147"/>
      <c r="AQ947" s="147"/>
    </row>
    <row r="948" spans="1:43">
      <c r="A948" s="3"/>
      <c r="B948" s="3"/>
      <c r="C948" s="3"/>
      <c r="D948" s="3"/>
      <c r="E948" s="3"/>
      <c r="F948" s="3"/>
      <c r="G948" s="3"/>
      <c r="H948" s="3"/>
      <c r="I948" s="3"/>
      <c r="J948" s="3"/>
      <c r="K948" s="3"/>
      <c r="L948" s="3"/>
      <c r="M948" s="3"/>
      <c r="N948" s="157"/>
      <c r="O948" s="157"/>
      <c r="P948" s="157"/>
      <c r="R948" s="147"/>
      <c r="S948" s="147"/>
      <c r="T948" s="147"/>
      <c r="U948" s="147"/>
      <c r="X948" s="147"/>
      <c r="Y948" s="147"/>
      <c r="Z948" s="147"/>
      <c r="AA948" s="147"/>
      <c r="AB948" s="147"/>
      <c r="AC948" s="147"/>
      <c r="AD948" s="147"/>
      <c r="AE948" s="147"/>
      <c r="AF948" s="147"/>
      <c r="AG948" s="147"/>
      <c r="AH948" s="147"/>
      <c r="AI948" s="147"/>
      <c r="AJ948" s="147"/>
      <c r="AK948" s="147"/>
      <c r="AL948" s="147"/>
      <c r="AM948" s="147"/>
      <c r="AN948" s="147"/>
      <c r="AO948" s="147"/>
      <c r="AP948" s="147"/>
      <c r="AQ948" s="147"/>
    </row>
    <row r="949" spans="1:43">
      <c r="A949" s="3"/>
      <c r="B949" s="3"/>
      <c r="C949" s="3"/>
      <c r="D949" s="3"/>
      <c r="E949" s="3"/>
      <c r="F949" s="3"/>
      <c r="G949" s="3"/>
      <c r="H949" s="3"/>
      <c r="I949" s="3"/>
      <c r="J949" s="3"/>
      <c r="K949" s="3"/>
      <c r="L949" s="3"/>
      <c r="M949" s="3"/>
      <c r="N949" s="157"/>
      <c r="O949" s="157"/>
      <c r="P949" s="157"/>
      <c r="R949" s="147"/>
      <c r="S949" s="147"/>
      <c r="T949" s="147"/>
      <c r="U949" s="147"/>
      <c r="X949" s="147"/>
      <c r="Y949" s="147"/>
      <c r="Z949" s="147"/>
      <c r="AA949" s="147"/>
      <c r="AB949" s="147"/>
      <c r="AC949" s="147"/>
      <c r="AD949" s="147"/>
      <c r="AE949" s="147"/>
      <c r="AF949" s="147"/>
      <c r="AG949" s="147"/>
      <c r="AH949" s="147"/>
      <c r="AI949" s="147"/>
      <c r="AJ949" s="147"/>
      <c r="AK949" s="147"/>
      <c r="AL949" s="147"/>
      <c r="AM949" s="147"/>
      <c r="AN949" s="147"/>
      <c r="AO949" s="147"/>
      <c r="AP949" s="147"/>
      <c r="AQ949" s="147"/>
    </row>
    <row r="950" spans="1:43">
      <c r="A950" s="3"/>
      <c r="B950" s="3"/>
      <c r="C950" s="3"/>
      <c r="D950" s="3"/>
      <c r="E950" s="3"/>
      <c r="F950" s="3"/>
      <c r="G950" s="3"/>
      <c r="H950" s="3"/>
      <c r="I950" s="3"/>
      <c r="J950" s="3"/>
      <c r="K950" s="3"/>
      <c r="L950" s="3"/>
      <c r="M950" s="3"/>
      <c r="N950" s="157"/>
      <c r="O950" s="157"/>
      <c r="P950" s="157"/>
      <c r="R950" s="147"/>
      <c r="S950" s="147"/>
      <c r="T950" s="147"/>
      <c r="U950" s="147"/>
      <c r="X950" s="147"/>
      <c r="Y950" s="147"/>
      <c r="Z950" s="147"/>
      <c r="AA950" s="147"/>
      <c r="AB950" s="147"/>
      <c r="AC950" s="147"/>
      <c r="AD950" s="147"/>
      <c r="AE950" s="147"/>
      <c r="AF950" s="147"/>
      <c r="AG950" s="147"/>
      <c r="AH950" s="147"/>
      <c r="AI950" s="147"/>
      <c r="AJ950" s="147"/>
      <c r="AK950" s="147"/>
      <c r="AL950" s="147"/>
      <c r="AM950" s="147"/>
      <c r="AN950" s="147"/>
      <c r="AO950" s="147"/>
      <c r="AP950" s="147"/>
      <c r="AQ950" s="147"/>
    </row>
    <row r="951" spans="1:43">
      <c r="A951" s="3"/>
      <c r="B951" s="3"/>
      <c r="C951" s="3"/>
      <c r="D951" s="3"/>
      <c r="E951" s="3"/>
      <c r="F951" s="3"/>
      <c r="G951" s="3"/>
      <c r="H951" s="3"/>
      <c r="I951" s="3"/>
      <c r="J951" s="3"/>
      <c r="K951" s="3"/>
      <c r="L951" s="3"/>
      <c r="M951" s="3"/>
      <c r="N951" s="157"/>
      <c r="O951" s="157"/>
      <c r="P951" s="157"/>
      <c r="R951" s="147"/>
      <c r="S951" s="147"/>
      <c r="T951" s="147"/>
      <c r="U951" s="147"/>
      <c r="X951" s="147"/>
      <c r="Y951" s="147"/>
      <c r="Z951" s="147"/>
      <c r="AA951" s="147"/>
      <c r="AB951" s="147"/>
      <c r="AC951" s="147"/>
      <c r="AD951" s="147"/>
      <c r="AE951" s="147"/>
      <c r="AF951" s="147"/>
      <c r="AG951" s="147"/>
      <c r="AH951" s="147"/>
      <c r="AI951" s="147"/>
      <c r="AJ951" s="147"/>
      <c r="AK951" s="147"/>
      <c r="AL951" s="147"/>
      <c r="AM951" s="147"/>
      <c r="AN951" s="147"/>
      <c r="AO951" s="147"/>
      <c r="AP951" s="147"/>
      <c r="AQ951" s="147"/>
    </row>
    <row r="952" spans="1:43">
      <c r="A952" s="3"/>
      <c r="B952" s="3"/>
      <c r="C952" s="3"/>
      <c r="D952" s="3"/>
      <c r="E952" s="3"/>
      <c r="F952" s="3"/>
      <c r="G952" s="3"/>
      <c r="H952" s="3"/>
      <c r="I952" s="3"/>
      <c r="J952" s="3"/>
      <c r="K952" s="3"/>
      <c r="L952" s="3"/>
      <c r="M952" s="3"/>
      <c r="N952" s="157"/>
      <c r="O952" s="157"/>
      <c r="P952" s="157"/>
      <c r="R952" s="147"/>
      <c r="S952" s="147"/>
      <c r="T952" s="147"/>
      <c r="U952" s="147"/>
      <c r="X952" s="147"/>
      <c r="Y952" s="147"/>
      <c r="Z952" s="147"/>
      <c r="AA952" s="147"/>
      <c r="AB952" s="147"/>
      <c r="AC952" s="147"/>
      <c r="AD952" s="147"/>
      <c r="AE952" s="147"/>
      <c r="AF952" s="147"/>
      <c r="AG952" s="147"/>
      <c r="AH952" s="147"/>
      <c r="AI952" s="147"/>
      <c r="AJ952" s="147"/>
      <c r="AK952" s="147"/>
      <c r="AL952" s="147"/>
      <c r="AM952" s="147"/>
      <c r="AN952" s="147"/>
      <c r="AO952" s="147"/>
      <c r="AP952" s="147"/>
      <c r="AQ952" s="147"/>
    </row>
    <row r="953" spans="1:43">
      <c r="A953" s="3"/>
      <c r="B953" s="3"/>
      <c r="C953" s="3"/>
      <c r="D953" s="3"/>
      <c r="E953" s="3"/>
      <c r="F953" s="3"/>
      <c r="G953" s="3"/>
      <c r="H953" s="3"/>
      <c r="I953" s="3"/>
      <c r="J953" s="3"/>
      <c r="K953" s="3"/>
      <c r="L953" s="3"/>
      <c r="M953" s="3"/>
      <c r="N953" s="157"/>
      <c r="O953" s="157"/>
      <c r="P953" s="157"/>
      <c r="R953" s="147"/>
      <c r="S953" s="147"/>
      <c r="T953" s="147"/>
      <c r="U953" s="147"/>
      <c r="X953" s="147"/>
      <c r="Y953" s="147"/>
      <c r="Z953" s="147"/>
      <c r="AA953" s="147"/>
      <c r="AB953" s="147"/>
      <c r="AC953" s="147"/>
      <c r="AD953" s="147"/>
      <c r="AE953" s="147"/>
      <c r="AF953" s="147"/>
      <c r="AG953" s="147"/>
      <c r="AH953" s="147"/>
      <c r="AI953" s="147"/>
      <c r="AJ953" s="147"/>
      <c r="AK953" s="147"/>
      <c r="AL953" s="147"/>
      <c r="AM953" s="147"/>
      <c r="AN953" s="147"/>
      <c r="AO953" s="147"/>
      <c r="AP953" s="147"/>
      <c r="AQ953" s="147"/>
    </row>
    <row r="954" spans="1:43">
      <c r="A954" s="3"/>
      <c r="B954" s="3"/>
      <c r="C954" s="3"/>
      <c r="D954" s="3"/>
      <c r="E954" s="3"/>
      <c r="F954" s="3"/>
      <c r="G954" s="3"/>
      <c r="H954" s="3"/>
      <c r="I954" s="3"/>
      <c r="J954" s="3"/>
      <c r="K954" s="3"/>
      <c r="L954" s="3"/>
      <c r="M954" s="3"/>
      <c r="N954" s="157"/>
      <c r="O954" s="157"/>
      <c r="P954" s="157"/>
      <c r="R954" s="147"/>
      <c r="S954" s="147"/>
      <c r="T954" s="147"/>
      <c r="U954" s="147"/>
      <c r="X954" s="147"/>
      <c r="Y954" s="147"/>
      <c r="Z954" s="147"/>
      <c r="AA954" s="147"/>
      <c r="AB954" s="147"/>
      <c r="AC954" s="147"/>
      <c r="AD954" s="147"/>
      <c r="AE954" s="147"/>
      <c r="AF954" s="147"/>
      <c r="AG954" s="147"/>
      <c r="AH954" s="147"/>
      <c r="AI954" s="147"/>
      <c r="AJ954" s="147"/>
      <c r="AK954" s="147"/>
      <c r="AL954" s="147"/>
      <c r="AM954" s="147"/>
      <c r="AN954" s="147"/>
      <c r="AO954" s="147"/>
      <c r="AP954" s="147"/>
      <c r="AQ954" s="147"/>
    </row>
    <row r="955" spans="1:43">
      <c r="A955" s="3"/>
      <c r="B955" s="3"/>
      <c r="C955" s="3"/>
      <c r="D955" s="3"/>
      <c r="E955" s="3"/>
      <c r="F955" s="3"/>
      <c r="G955" s="3"/>
      <c r="H955" s="3"/>
      <c r="I955" s="3"/>
      <c r="J955" s="3"/>
      <c r="K955" s="3"/>
      <c r="L955" s="3"/>
      <c r="M955" s="3"/>
      <c r="N955" s="157"/>
      <c r="O955" s="157"/>
      <c r="P955" s="157"/>
      <c r="R955" s="147"/>
      <c r="S955" s="147"/>
      <c r="T955" s="147"/>
      <c r="U955" s="147"/>
      <c r="X955" s="147"/>
      <c r="Y955" s="147"/>
      <c r="Z955" s="147"/>
      <c r="AA955" s="147"/>
      <c r="AB955" s="147"/>
      <c r="AC955" s="147"/>
      <c r="AD955" s="147"/>
      <c r="AE955" s="147"/>
      <c r="AF955" s="147"/>
      <c r="AG955" s="147"/>
      <c r="AH955" s="147"/>
      <c r="AI955" s="147"/>
      <c r="AJ955" s="147"/>
      <c r="AK955" s="147"/>
      <c r="AL955" s="147"/>
      <c r="AM955" s="147"/>
      <c r="AN955" s="147"/>
      <c r="AO955" s="147"/>
      <c r="AP955" s="147"/>
      <c r="AQ955" s="147"/>
    </row>
    <row r="956" spans="1:43">
      <c r="A956" s="3"/>
      <c r="B956" s="3"/>
      <c r="C956" s="3"/>
      <c r="D956" s="3"/>
      <c r="E956" s="3"/>
      <c r="F956" s="3"/>
      <c r="G956" s="3"/>
      <c r="H956" s="3"/>
      <c r="I956" s="3"/>
      <c r="J956" s="3"/>
      <c r="K956" s="3"/>
      <c r="L956" s="3"/>
      <c r="M956" s="3"/>
      <c r="N956" s="157"/>
      <c r="O956" s="157"/>
      <c r="P956" s="157"/>
      <c r="R956" s="147"/>
      <c r="S956" s="147"/>
      <c r="T956" s="147"/>
      <c r="U956" s="147"/>
      <c r="X956" s="147"/>
      <c r="Y956" s="147"/>
      <c r="Z956" s="147"/>
      <c r="AA956" s="147"/>
      <c r="AB956" s="147"/>
      <c r="AC956" s="147"/>
      <c r="AD956" s="147"/>
      <c r="AE956" s="147"/>
      <c r="AF956" s="147"/>
      <c r="AG956" s="147"/>
      <c r="AH956" s="147"/>
      <c r="AI956" s="147"/>
      <c r="AJ956" s="147"/>
      <c r="AK956" s="147"/>
      <c r="AL956" s="147"/>
      <c r="AM956" s="147"/>
      <c r="AN956" s="147"/>
      <c r="AO956" s="147"/>
      <c r="AP956" s="147"/>
      <c r="AQ956" s="147"/>
    </row>
    <row r="957" spans="1:43">
      <c r="A957" s="3"/>
      <c r="B957" s="3"/>
      <c r="C957" s="3"/>
      <c r="D957" s="3"/>
      <c r="E957" s="3"/>
      <c r="F957" s="3"/>
      <c r="G957" s="3"/>
      <c r="H957" s="3"/>
      <c r="I957" s="3"/>
      <c r="J957" s="3"/>
      <c r="K957" s="3"/>
      <c r="L957" s="3"/>
      <c r="M957" s="3"/>
      <c r="N957" s="157"/>
      <c r="O957" s="157"/>
      <c r="P957" s="157"/>
      <c r="R957" s="147"/>
      <c r="S957" s="147"/>
      <c r="T957" s="147"/>
      <c r="U957" s="147"/>
      <c r="X957" s="147"/>
      <c r="Y957" s="147"/>
      <c r="Z957" s="147"/>
      <c r="AA957" s="147"/>
      <c r="AB957" s="147"/>
      <c r="AC957" s="147"/>
      <c r="AD957" s="147"/>
      <c r="AE957" s="147"/>
      <c r="AF957" s="147"/>
      <c r="AG957" s="147"/>
      <c r="AH957" s="147"/>
      <c r="AI957" s="147"/>
      <c r="AJ957" s="147"/>
      <c r="AK957" s="147"/>
      <c r="AL957" s="147"/>
      <c r="AM957" s="147"/>
      <c r="AN957" s="147"/>
      <c r="AO957" s="147"/>
      <c r="AP957" s="147"/>
      <c r="AQ957" s="147"/>
    </row>
    <row r="958" spans="1:43">
      <c r="A958" s="3"/>
      <c r="B958" s="3"/>
      <c r="C958" s="3"/>
      <c r="D958" s="3"/>
      <c r="E958" s="3"/>
      <c r="F958" s="3"/>
      <c r="G958" s="3"/>
      <c r="H958" s="3"/>
      <c r="I958" s="3"/>
      <c r="J958" s="3"/>
      <c r="K958" s="3"/>
      <c r="L958" s="3"/>
      <c r="M958" s="3"/>
      <c r="N958" s="157"/>
      <c r="O958" s="157"/>
      <c r="P958" s="157"/>
      <c r="R958" s="147"/>
      <c r="S958" s="147"/>
      <c r="T958" s="147"/>
      <c r="U958" s="147"/>
      <c r="X958" s="147"/>
      <c r="Y958" s="147"/>
      <c r="Z958" s="147"/>
      <c r="AA958" s="147"/>
      <c r="AB958" s="147"/>
      <c r="AC958" s="147"/>
      <c r="AD958" s="147"/>
      <c r="AE958" s="147"/>
      <c r="AF958" s="147"/>
      <c r="AG958" s="147"/>
      <c r="AH958" s="147"/>
      <c r="AI958" s="147"/>
      <c r="AJ958" s="147"/>
      <c r="AK958" s="147"/>
      <c r="AL958" s="147"/>
      <c r="AM958" s="147"/>
      <c r="AN958" s="147"/>
      <c r="AO958" s="147"/>
      <c r="AP958" s="147"/>
      <c r="AQ958" s="147"/>
    </row>
    <row r="959" spans="1:43">
      <c r="A959" s="3"/>
      <c r="B959" s="3"/>
      <c r="C959" s="3"/>
      <c r="D959" s="3"/>
      <c r="E959" s="3"/>
      <c r="F959" s="3"/>
      <c r="G959" s="3"/>
      <c r="H959" s="3"/>
      <c r="I959" s="3"/>
      <c r="J959" s="3"/>
      <c r="K959" s="3"/>
      <c r="L959" s="3"/>
      <c r="M959" s="3"/>
      <c r="N959" s="157"/>
      <c r="O959" s="157"/>
      <c r="P959" s="157"/>
      <c r="R959" s="147"/>
      <c r="S959" s="147"/>
      <c r="T959" s="147"/>
      <c r="U959" s="147"/>
      <c r="X959" s="147"/>
      <c r="Y959" s="147"/>
      <c r="Z959" s="147"/>
      <c r="AA959" s="147"/>
      <c r="AB959" s="147"/>
      <c r="AC959" s="147"/>
      <c r="AD959" s="147"/>
      <c r="AE959" s="147"/>
      <c r="AF959" s="147"/>
      <c r="AG959" s="147"/>
      <c r="AH959" s="147"/>
      <c r="AI959" s="147"/>
      <c r="AJ959" s="147"/>
      <c r="AK959" s="147"/>
      <c r="AL959" s="147"/>
      <c r="AM959" s="147"/>
      <c r="AN959" s="147"/>
      <c r="AO959" s="147"/>
      <c r="AP959" s="147"/>
      <c r="AQ959" s="147"/>
    </row>
    <row r="960" spans="1:43">
      <c r="A960" s="3"/>
      <c r="B960" s="3"/>
      <c r="C960" s="3"/>
      <c r="D960" s="3"/>
      <c r="E960" s="3"/>
      <c r="F960" s="3"/>
      <c r="G960" s="3"/>
      <c r="H960" s="3"/>
      <c r="I960" s="3"/>
      <c r="J960" s="3"/>
      <c r="K960" s="3"/>
      <c r="L960" s="3"/>
      <c r="M960" s="3"/>
      <c r="N960" s="157"/>
      <c r="O960" s="157"/>
      <c r="P960" s="157"/>
      <c r="R960" s="147"/>
      <c r="S960" s="147"/>
      <c r="T960" s="147"/>
      <c r="U960" s="147"/>
      <c r="X960" s="147"/>
      <c r="Y960" s="147"/>
      <c r="Z960" s="147"/>
      <c r="AA960" s="147"/>
      <c r="AB960" s="147"/>
      <c r="AC960" s="147"/>
      <c r="AD960" s="147"/>
      <c r="AE960" s="147"/>
      <c r="AF960" s="147"/>
      <c r="AG960" s="147"/>
      <c r="AH960" s="147"/>
      <c r="AI960" s="147"/>
      <c r="AJ960" s="147"/>
      <c r="AK960" s="147"/>
      <c r="AL960" s="147"/>
      <c r="AM960" s="147"/>
      <c r="AN960" s="147"/>
      <c r="AO960" s="147"/>
      <c r="AP960" s="147"/>
      <c r="AQ960" s="147"/>
    </row>
    <row r="961" spans="1:43">
      <c r="A961" s="3"/>
      <c r="B961" s="3"/>
      <c r="C961" s="3"/>
      <c r="D961" s="3"/>
      <c r="E961" s="3"/>
      <c r="F961" s="3"/>
      <c r="G961" s="3"/>
      <c r="H961" s="3"/>
      <c r="I961" s="3"/>
      <c r="J961" s="3"/>
      <c r="K961" s="3"/>
      <c r="L961" s="3"/>
      <c r="M961" s="3"/>
      <c r="N961" s="157"/>
      <c r="O961" s="157"/>
      <c r="P961" s="157"/>
      <c r="R961" s="147"/>
      <c r="S961" s="147"/>
      <c r="T961" s="147"/>
      <c r="U961" s="147"/>
      <c r="X961" s="147"/>
      <c r="Y961" s="147"/>
      <c r="Z961" s="147"/>
      <c r="AA961" s="147"/>
      <c r="AB961" s="147"/>
      <c r="AC961" s="147"/>
      <c r="AD961" s="147"/>
      <c r="AE961" s="147"/>
      <c r="AF961" s="147"/>
      <c r="AG961" s="147"/>
      <c r="AH961" s="147"/>
      <c r="AI961" s="147"/>
      <c r="AJ961" s="147"/>
      <c r="AK961" s="147"/>
      <c r="AL961" s="147"/>
      <c r="AM961" s="147"/>
      <c r="AN961" s="147"/>
      <c r="AO961" s="147"/>
      <c r="AP961" s="147"/>
      <c r="AQ961" s="147"/>
    </row>
    <row r="962" spans="1:43">
      <c r="A962" s="3"/>
      <c r="B962" s="3"/>
      <c r="C962" s="3"/>
      <c r="D962" s="3"/>
      <c r="E962" s="3"/>
      <c r="F962" s="3"/>
      <c r="G962" s="3"/>
      <c r="H962" s="3"/>
      <c r="I962" s="3"/>
      <c r="J962" s="3"/>
      <c r="K962" s="3"/>
      <c r="L962" s="3"/>
      <c r="M962" s="3"/>
      <c r="N962" s="157"/>
      <c r="O962" s="157"/>
      <c r="P962" s="157"/>
      <c r="R962" s="147"/>
      <c r="S962" s="147"/>
      <c r="T962" s="147"/>
      <c r="U962" s="147"/>
      <c r="X962" s="147"/>
      <c r="Y962" s="147"/>
      <c r="Z962" s="147"/>
      <c r="AA962" s="147"/>
      <c r="AB962" s="147"/>
      <c r="AC962" s="147"/>
      <c r="AD962" s="147"/>
      <c r="AE962" s="147"/>
      <c r="AF962" s="147"/>
      <c r="AG962" s="147"/>
      <c r="AH962" s="147"/>
      <c r="AI962" s="147"/>
      <c r="AJ962" s="147"/>
      <c r="AK962" s="147"/>
      <c r="AL962" s="147"/>
      <c r="AM962" s="147"/>
      <c r="AN962" s="147"/>
      <c r="AO962" s="147"/>
      <c r="AP962" s="147"/>
      <c r="AQ962" s="147"/>
    </row>
    <row r="963" spans="1:43">
      <c r="A963" s="3"/>
      <c r="B963" s="3"/>
      <c r="C963" s="3"/>
      <c r="D963" s="3"/>
      <c r="E963" s="3"/>
      <c r="F963" s="3"/>
      <c r="G963" s="3"/>
      <c r="H963" s="3"/>
      <c r="I963" s="3"/>
      <c r="J963" s="3"/>
      <c r="K963" s="3"/>
      <c r="L963" s="3"/>
      <c r="M963" s="3"/>
      <c r="N963" s="157"/>
      <c r="O963" s="157"/>
      <c r="P963" s="157"/>
      <c r="R963" s="147"/>
      <c r="S963" s="147"/>
      <c r="T963" s="147"/>
      <c r="U963" s="147"/>
      <c r="X963" s="147"/>
      <c r="Y963" s="147"/>
      <c r="Z963" s="147"/>
      <c r="AA963" s="147"/>
      <c r="AB963" s="147"/>
      <c r="AC963" s="147"/>
      <c r="AD963" s="147"/>
      <c r="AE963" s="147"/>
      <c r="AF963" s="147"/>
      <c r="AG963" s="147"/>
      <c r="AH963" s="147"/>
      <c r="AI963" s="147"/>
      <c r="AJ963" s="147"/>
      <c r="AK963" s="147"/>
      <c r="AL963" s="147"/>
      <c r="AM963" s="147"/>
      <c r="AN963" s="147"/>
      <c r="AO963" s="147"/>
      <c r="AP963" s="147"/>
      <c r="AQ963" s="147"/>
    </row>
    <row r="964" spans="1:43">
      <c r="A964" s="3"/>
      <c r="B964" s="3"/>
      <c r="C964" s="3"/>
      <c r="D964" s="3"/>
      <c r="E964" s="3"/>
      <c r="F964" s="3"/>
      <c r="G964" s="3"/>
      <c r="H964" s="3"/>
      <c r="I964" s="3"/>
      <c r="J964" s="3"/>
      <c r="K964" s="3"/>
      <c r="L964" s="3"/>
      <c r="M964" s="3"/>
      <c r="N964" s="157"/>
      <c r="O964" s="157"/>
      <c r="P964" s="157"/>
      <c r="R964" s="147"/>
      <c r="S964" s="147"/>
      <c r="T964" s="147"/>
      <c r="U964" s="147"/>
      <c r="X964" s="147"/>
      <c r="Y964" s="147"/>
      <c r="Z964" s="147"/>
      <c r="AA964" s="147"/>
      <c r="AB964" s="147"/>
      <c r="AC964" s="147"/>
      <c r="AD964" s="147"/>
      <c r="AE964" s="147"/>
      <c r="AF964" s="147"/>
      <c r="AG964" s="147"/>
      <c r="AH964" s="147"/>
      <c r="AI964" s="147"/>
      <c r="AJ964" s="147"/>
      <c r="AK964" s="147"/>
      <c r="AL964" s="147"/>
      <c r="AM964" s="147"/>
      <c r="AN964" s="147"/>
      <c r="AO964" s="147"/>
      <c r="AP964" s="147"/>
      <c r="AQ964" s="147"/>
    </row>
    <row r="965" spans="1:43">
      <c r="A965" s="3"/>
      <c r="B965" s="3"/>
      <c r="C965" s="3"/>
      <c r="D965" s="3"/>
      <c r="E965" s="3"/>
      <c r="F965" s="3"/>
      <c r="G965" s="3"/>
      <c r="H965" s="3"/>
      <c r="I965" s="3"/>
      <c r="J965" s="3"/>
      <c r="K965" s="3"/>
      <c r="L965" s="3"/>
      <c r="M965" s="3"/>
      <c r="N965" s="157"/>
      <c r="O965" s="157"/>
      <c r="P965" s="157"/>
      <c r="R965" s="147"/>
      <c r="S965" s="147"/>
      <c r="T965" s="147"/>
      <c r="U965" s="147"/>
      <c r="X965" s="147"/>
      <c r="Y965" s="147"/>
      <c r="Z965" s="147"/>
      <c r="AA965" s="147"/>
      <c r="AB965" s="147"/>
      <c r="AC965" s="147"/>
      <c r="AD965" s="147"/>
      <c r="AE965" s="147"/>
      <c r="AF965" s="147"/>
      <c r="AG965" s="147"/>
      <c r="AH965" s="147"/>
      <c r="AI965" s="147"/>
      <c r="AJ965" s="147"/>
      <c r="AK965" s="147"/>
      <c r="AL965" s="147"/>
      <c r="AM965" s="147"/>
      <c r="AN965" s="147"/>
      <c r="AO965" s="147"/>
      <c r="AP965" s="147"/>
      <c r="AQ965" s="147"/>
    </row>
    <row r="966" spans="1:43">
      <c r="A966" s="3"/>
      <c r="B966" s="3"/>
      <c r="C966" s="3"/>
      <c r="D966" s="3"/>
      <c r="E966" s="3"/>
      <c r="F966" s="3"/>
      <c r="G966" s="3"/>
      <c r="H966" s="3"/>
      <c r="I966" s="3"/>
      <c r="J966" s="3"/>
      <c r="K966" s="3"/>
      <c r="L966" s="3"/>
      <c r="M966" s="3"/>
      <c r="N966" s="157"/>
      <c r="O966" s="157"/>
      <c r="P966" s="157"/>
      <c r="R966" s="147"/>
      <c r="S966" s="147"/>
      <c r="T966" s="147"/>
      <c r="U966" s="147"/>
      <c r="X966" s="147"/>
      <c r="Y966" s="147"/>
      <c r="Z966" s="147"/>
      <c r="AA966" s="147"/>
      <c r="AB966" s="147"/>
      <c r="AC966" s="147"/>
      <c r="AD966" s="147"/>
      <c r="AE966" s="147"/>
      <c r="AF966" s="147"/>
      <c r="AG966" s="147"/>
      <c r="AH966" s="147"/>
      <c r="AI966" s="147"/>
      <c r="AJ966" s="147"/>
      <c r="AK966" s="147"/>
      <c r="AL966" s="147"/>
      <c r="AM966" s="147"/>
      <c r="AN966" s="147"/>
      <c r="AO966" s="147"/>
      <c r="AP966" s="147"/>
      <c r="AQ966" s="147"/>
    </row>
    <row r="967" spans="1:43">
      <c r="A967" s="3"/>
      <c r="B967" s="3"/>
      <c r="C967" s="3"/>
      <c r="D967" s="3"/>
      <c r="E967" s="3"/>
      <c r="F967" s="3"/>
      <c r="G967" s="3"/>
      <c r="H967" s="3"/>
      <c r="I967" s="3"/>
      <c r="J967" s="3"/>
      <c r="K967" s="3"/>
      <c r="L967" s="3"/>
      <c r="M967" s="3"/>
      <c r="N967" s="157"/>
      <c r="O967" s="157"/>
      <c r="P967" s="157"/>
      <c r="R967" s="147"/>
      <c r="S967" s="147"/>
      <c r="T967" s="147"/>
      <c r="U967" s="147"/>
      <c r="X967" s="147"/>
      <c r="Y967" s="147"/>
      <c r="Z967" s="147"/>
      <c r="AA967" s="147"/>
      <c r="AB967" s="147"/>
      <c r="AC967" s="147"/>
      <c r="AD967" s="147"/>
      <c r="AE967" s="147"/>
      <c r="AF967" s="147"/>
      <c r="AG967" s="147"/>
      <c r="AH967" s="147"/>
      <c r="AI967" s="147"/>
      <c r="AJ967" s="147"/>
      <c r="AK967" s="147"/>
      <c r="AL967" s="147"/>
      <c r="AM967" s="147"/>
      <c r="AN967" s="147"/>
      <c r="AO967" s="147"/>
      <c r="AP967" s="147"/>
      <c r="AQ967" s="147"/>
    </row>
    <row r="968" spans="1:43">
      <c r="A968" s="3"/>
      <c r="B968" s="3"/>
      <c r="C968" s="3"/>
      <c r="D968" s="3"/>
      <c r="E968" s="3"/>
      <c r="F968" s="3"/>
      <c r="G968" s="3"/>
      <c r="H968" s="3"/>
      <c r="I968" s="3"/>
      <c r="J968" s="3"/>
      <c r="K968" s="3"/>
      <c r="L968" s="3"/>
      <c r="M968" s="3"/>
      <c r="N968" s="157"/>
      <c r="O968" s="157"/>
      <c r="P968" s="157"/>
      <c r="R968" s="147"/>
      <c r="S968" s="147"/>
      <c r="T968" s="147"/>
      <c r="U968" s="147"/>
      <c r="X968" s="147"/>
      <c r="Y968" s="147"/>
      <c r="Z968" s="147"/>
      <c r="AA968" s="147"/>
      <c r="AB968" s="147"/>
      <c r="AC968" s="147"/>
      <c r="AD968" s="147"/>
      <c r="AE968" s="147"/>
      <c r="AF968" s="147"/>
      <c r="AG968" s="147"/>
      <c r="AH968" s="147"/>
      <c r="AI968" s="147"/>
      <c r="AJ968" s="147"/>
      <c r="AK968" s="147"/>
      <c r="AL968" s="147"/>
      <c r="AM968" s="147"/>
      <c r="AN968" s="147"/>
      <c r="AO968" s="147"/>
      <c r="AP968" s="147"/>
      <c r="AQ968" s="147"/>
    </row>
    <row r="969" spans="1:43">
      <c r="A969" s="3"/>
      <c r="B969" s="3"/>
      <c r="C969" s="3"/>
      <c r="D969" s="3"/>
      <c r="E969" s="3"/>
      <c r="F969" s="3"/>
      <c r="G969" s="3"/>
      <c r="H969" s="3"/>
      <c r="I969" s="3"/>
      <c r="J969" s="3"/>
      <c r="K969" s="3"/>
      <c r="L969" s="3"/>
      <c r="M969" s="3"/>
      <c r="N969" s="157"/>
      <c r="O969" s="157"/>
      <c r="P969" s="157"/>
      <c r="R969" s="147"/>
      <c r="S969" s="147"/>
      <c r="T969" s="147"/>
      <c r="U969" s="147"/>
      <c r="X969" s="147"/>
      <c r="Y969" s="147"/>
      <c r="Z969" s="147"/>
      <c r="AA969" s="147"/>
      <c r="AB969" s="147"/>
      <c r="AC969" s="147"/>
      <c r="AD969" s="147"/>
      <c r="AE969" s="147"/>
      <c r="AF969" s="147"/>
      <c r="AG969" s="147"/>
      <c r="AH969" s="147"/>
      <c r="AI969" s="147"/>
      <c r="AJ969" s="147"/>
      <c r="AK969" s="147"/>
      <c r="AL969" s="147"/>
      <c r="AM969" s="147"/>
      <c r="AN969" s="147"/>
      <c r="AO969" s="147"/>
      <c r="AP969" s="147"/>
      <c r="AQ969" s="147"/>
    </row>
    <row r="970" spans="1:43">
      <c r="A970" s="3"/>
      <c r="B970" s="3"/>
      <c r="C970" s="3"/>
      <c r="D970" s="3"/>
      <c r="E970" s="3"/>
      <c r="F970" s="3"/>
      <c r="G970" s="3"/>
      <c r="H970" s="3"/>
      <c r="I970" s="3"/>
      <c r="J970" s="3"/>
      <c r="K970" s="3"/>
      <c r="L970" s="3"/>
      <c r="M970" s="3"/>
      <c r="N970" s="157"/>
      <c r="O970" s="157"/>
      <c r="P970" s="157"/>
      <c r="R970" s="147"/>
      <c r="S970" s="147"/>
      <c r="T970" s="147"/>
      <c r="U970" s="147"/>
      <c r="X970" s="147"/>
      <c r="Y970" s="147"/>
      <c r="Z970" s="147"/>
      <c r="AA970" s="147"/>
      <c r="AB970" s="147"/>
      <c r="AC970" s="147"/>
      <c r="AD970" s="147"/>
      <c r="AE970" s="147"/>
      <c r="AF970" s="147"/>
      <c r="AG970" s="147"/>
      <c r="AH970" s="147"/>
      <c r="AI970" s="147"/>
      <c r="AJ970" s="147"/>
      <c r="AK970" s="147"/>
      <c r="AL970" s="147"/>
      <c r="AM970" s="147"/>
      <c r="AN970" s="147"/>
      <c r="AO970" s="147"/>
      <c r="AP970" s="147"/>
      <c r="AQ970" s="147"/>
    </row>
    <row r="971" spans="1:43">
      <c r="A971" s="3"/>
      <c r="B971" s="3"/>
      <c r="C971" s="3"/>
      <c r="D971" s="3"/>
      <c r="E971" s="3"/>
      <c r="F971" s="3"/>
      <c r="G971" s="3"/>
      <c r="H971" s="3"/>
      <c r="I971" s="3"/>
      <c r="J971" s="3"/>
      <c r="K971" s="3"/>
      <c r="L971" s="3"/>
      <c r="M971" s="3"/>
      <c r="N971" s="157"/>
      <c r="O971" s="157"/>
      <c r="P971" s="157"/>
      <c r="R971" s="147"/>
      <c r="S971" s="147"/>
      <c r="T971" s="147"/>
      <c r="U971" s="147"/>
      <c r="X971" s="147"/>
      <c r="Y971" s="147"/>
      <c r="Z971" s="147"/>
      <c r="AA971" s="147"/>
      <c r="AB971" s="147"/>
      <c r="AC971" s="147"/>
      <c r="AD971" s="147"/>
      <c r="AE971" s="147"/>
      <c r="AF971" s="147"/>
      <c r="AG971" s="147"/>
      <c r="AH971" s="147"/>
      <c r="AI971" s="147"/>
      <c r="AJ971" s="147"/>
      <c r="AK971" s="147"/>
      <c r="AL971" s="147"/>
      <c r="AM971" s="147"/>
      <c r="AN971" s="147"/>
      <c r="AO971" s="147"/>
      <c r="AP971" s="147"/>
      <c r="AQ971" s="147"/>
    </row>
    <row r="972" spans="1:43">
      <c r="A972" s="3"/>
      <c r="B972" s="3"/>
      <c r="C972" s="3"/>
      <c r="D972" s="3"/>
      <c r="E972" s="3"/>
      <c r="F972" s="3"/>
      <c r="G972" s="3"/>
      <c r="H972" s="3"/>
      <c r="I972" s="3"/>
      <c r="J972" s="3"/>
      <c r="K972" s="3"/>
      <c r="L972" s="3"/>
      <c r="M972" s="3"/>
      <c r="N972" s="157"/>
      <c r="O972" s="157"/>
      <c r="P972" s="157"/>
      <c r="R972" s="147"/>
      <c r="S972" s="147"/>
      <c r="T972" s="147"/>
      <c r="U972" s="147"/>
      <c r="X972" s="147"/>
      <c r="Y972" s="147"/>
      <c r="Z972" s="147"/>
      <c r="AA972" s="147"/>
      <c r="AB972" s="147"/>
      <c r="AC972" s="147"/>
      <c r="AD972" s="147"/>
      <c r="AE972" s="147"/>
      <c r="AF972" s="147"/>
      <c r="AG972" s="147"/>
      <c r="AH972" s="147"/>
      <c r="AI972" s="147"/>
      <c r="AJ972" s="147"/>
      <c r="AK972" s="147"/>
      <c r="AL972" s="147"/>
      <c r="AM972" s="147"/>
      <c r="AN972" s="147"/>
      <c r="AO972" s="147"/>
      <c r="AP972" s="147"/>
      <c r="AQ972" s="147"/>
    </row>
    <row r="973" spans="1:43">
      <c r="A973" s="3"/>
      <c r="B973" s="3"/>
      <c r="C973" s="3"/>
      <c r="D973" s="3"/>
      <c r="E973" s="3"/>
      <c r="F973" s="3"/>
      <c r="G973" s="3"/>
      <c r="H973" s="3"/>
      <c r="I973" s="3"/>
      <c r="J973" s="3"/>
      <c r="K973" s="3"/>
      <c r="L973" s="3"/>
      <c r="M973" s="3"/>
      <c r="N973" s="157"/>
      <c r="O973" s="157"/>
      <c r="P973" s="157"/>
      <c r="R973" s="147"/>
      <c r="S973" s="147"/>
      <c r="T973" s="147"/>
      <c r="U973" s="147"/>
      <c r="X973" s="147"/>
      <c r="Y973" s="147"/>
      <c r="Z973" s="147"/>
      <c r="AA973" s="147"/>
      <c r="AB973" s="147"/>
      <c r="AC973" s="147"/>
      <c r="AD973" s="147"/>
      <c r="AE973" s="147"/>
      <c r="AF973" s="147"/>
      <c r="AG973" s="147"/>
      <c r="AH973" s="147"/>
      <c r="AI973" s="147"/>
      <c r="AJ973" s="147"/>
      <c r="AK973" s="147"/>
      <c r="AL973" s="147"/>
      <c r="AM973" s="147"/>
      <c r="AN973" s="147"/>
      <c r="AO973" s="147"/>
      <c r="AP973" s="147"/>
      <c r="AQ973" s="147"/>
    </row>
    <row r="974" spans="1:43">
      <c r="A974" s="3"/>
      <c r="B974" s="3"/>
      <c r="C974" s="3"/>
      <c r="D974" s="3"/>
      <c r="E974" s="3"/>
      <c r="F974" s="3"/>
      <c r="G974" s="3"/>
      <c r="H974" s="3"/>
      <c r="I974" s="3"/>
      <c r="J974" s="3"/>
      <c r="K974" s="3"/>
      <c r="L974" s="3"/>
      <c r="M974" s="3"/>
      <c r="N974" s="157"/>
      <c r="O974" s="157"/>
      <c r="P974" s="157"/>
      <c r="R974" s="147"/>
      <c r="S974" s="147"/>
      <c r="T974" s="147"/>
      <c r="U974" s="147"/>
      <c r="X974" s="147"/>
      <c r="Y974" s="147"/>
      <c r="Z974" s="147"/>
      <c r="AA974" s="147"/>
      <c r="AB974" s="147"/>
      <c r="AC974" s="147"/>
      <c r="AD974" s="147"/>
      <c r="AE974" s="147"/>
      <c r="AF974" s="147"/>
      <c r="AG974" s="147"/>
      <c r="AH974" s="147"/>
      <c r="AI974" s="147"/>
      <c r="AJ974" s="147"/>
      <c r="AK974" s="147"/>
      <c r="AL974" s="147"/>
      <c r="AM974" s="147"/>
      <c r="AN974" s="147"/>
      <c r="AO974" s="147"/>
      <c r="AP974" s="147"/>
      <c r="AQ974" s="147"/>
    </row>
    <row r="975" spans="1:43">
      <c r="A975" s="3"/>
      <c r="B975" s="3"/>
      <c r="C975" s="3"/>
      <c r="D975" s="3"/>
      <c r="E975" s="3"/>
      <c r="F975" s="3"/>
      <c r="G975" s="3"/>
      <c r="H975" s="3"/>
      <c r="I975" s="3"/>
      <c r="J975" s="3"/>
      <c r="K975" s="3"/>
      <c r="L975" s="3"/>
      <c r="M975" s="3"/>
      <c r="N975" s="157"/>
      <c r="O975" s="157"/>
      <c r="P975" s="157"/>
      <c r="R975" s="147"/>
      <c r="S975" s="147"/>
      <c r="T975" s="147"/>
      <c r="U975" s="147"/>
      <c r="X975" s="147"/>
      <c r="Y975" s="147"/>
      <c r="Z975" s="147"/>
      <c r="AA975" s="147"/>
      <c r="AB975" s="147"/>
      <c r="AC975" s="147"/>
      <c r="AD975" s="147"/>
      <c r="AE975" s="147"/>
      <c r="AF975" s="147"/>
      <c r="AG975" s="147"/>
      <c r="AH975" s="147"/>
      <c r="AI975" s="147"/>
      <c r="AJ975" s="147"/>
      <c r="AK975" s="147"/>
      <c r="AL975" s="147"/>
      <c r="AM975" s="147"/>
      <c r="AN975" s="147"/>
      <c r="AO975" s="147"/>
      <c r="AP975" s="147"/>
      <c r="AQ975" s="147"/>
    </row>
    <row r="976" spans="1:43">
      <c r="A976" s="3"/>
      <c r="B976" s="3"/>
      <c r="C976" s="3"/>
      <c r="D976" s="3"/>
      <c r="E976" s="3"/>
      <c r="F976" s="3"/>
      <c r="G976" s="3"/>
      <c r="H976" s="3"/>
      <c r="I976" s="3"/>
      <c r="J976" s="3"/>
      <c r="K976" s="3"/>
      <c r="L976" s="3"/>
      <c r="M976" s="3"/>
      <c r="N976" s="157"/>
      <c r="O976" s="157"/>
      <c r="P976" s="157"/>
      <c r="R976" s="147"/>
      <c r="S976" s="147"/>
      <c r="T976" s="147"/>
      <c r="U976" s="147"/>
      <c r="X976" s="147"/>
      <c r="Y976" s="147"/>
      <c r="Z976" s="147"/>
      <c r="AA976" s="147"/>
      <c r="AB976" s="147"/>
      <c r="AC976" s="147"/>
      <c r="AD976" s="147"/>
      <c r="AE976" s="147"/>
      <c r="AF976" s="147"/>
      <c r="AG976" s="147"/>
      <c r="AH976" s="147"/>
      <c r="AI976" s="147"/>
      <c r="AJ976" s="147"/>
      <c r="AK976" s="147"/>
      <c r="AL976" s="147"/>
      <c r="AM976" s="147"/>
      <c r="AN976" s="147"/>
      <c r="AO976" s="147"/>
      <c r="AP976" s="147"/>
      <c r="AQ976" s="147"/>
    </row>
    <row r="977" spans="1:43">
      <c r="A977" s="3"/>
      <c r="B977" s="3"/>
      <c r="C977" s="3"/>
      <c r="D977" s="3"/>
      <c r="E977" s="3"/>
      <c r="F977" s="3"/>
      <c r="G977" s="3"/>
      <c r="H977" s="3"/>
      <c r="I977" s="3"/>
      <c r="J977" s="3"/>
      <c r="K977" s="3"/>
      <c r="L977" s="3"/>
      <c r="M977" s="3"/>
      <c r="N977" s="157"/>
      <c r="O977" s="157"/>
      <c r="P977" s="157"/>
      <c r="R977" s="147"/>
      <c r="S977" s="147"/>
      <c r="T977" s="147"/>
      <c r="U977" s="147"/>
      <c r="X977" s="147"/>
      <c r="Y977" s="147"/>
      <c r="Z977" s="147"/>
      <c r="AA977" s="147"/>
      <c r="AB977" s="147"/>
      <c r="AC977" s="147"/>
      <c r="AD977" s="147"/>
      <c r="AE977" s="147"/>
      <c r="AF977" s="147"/>
      <c r="AG977" s="147"/>
      <c r="AH977" s="147"/>
      <c r="AI977" s="147"/>
      <c r="AJ977" s="147"/>
      <c r="AK977" s="147"/>
      <c r="AL977" s="147"/>
      <c r="AM977" s="147"/>
      <c r="AN977" s="147"/>
      <c r="AO977" s="147"/>
      <c r="AP977" s="147"/>
      <c r="AQ977" s="147"/>
    </row>
    <row r="978" spans="1:43">
      <c r="A978" s="3"/>
      <c r="B978" s="3"/>
      <c r="C978" s="3"/>
      <c r="D978" s="3"/>
      <c r="E978" s="3"/>
      <c r="F978" s="3"/>
      <c r="G978" s="3"/>
      <c r="H978" s="3"/>
      <c r="I978" s="3"/>
      <c r="J978" s="3"/>
      <c r="K978" s="3"/>
      <c r="L978" s="3"/>
      <c r="M978" s="3"/>
      <c r="N978" s="157"/>
      <c r="O978" s="157"/>
      <c r="P978" s="157"/>
      <c r="R978" s="147"/>
      <c r="S978" s="147"/>
      <c r="T978" s="147"/>
      <c r="U978" s="147"/>
      <c r="X978" s="147"/>
      <c r="Y978" s="147"/>
      <c r="Z978" s="147"/>
      <c r="AA978" s="147"/>
      <c r="AB978" s="147"/>
      <c r="AC978" s="147"/>
      <c r="AD978" s="147"/>
      <c r="AE978" s="147"/>
      <c r="AF978" s="147"/>
      <c r="AG978" s="147"/>
      <c r="AH978" s="147"/>
      <c r="AI978" s="147"/>
      <c r="AJ978" s="147"/>
      <c r="AK978" s="147"/>
      <c r="AL978" s="147"/>
      <c r="AM978" s="147"/>
      <c r="AN978" s="147"/>
      <c r="AO978" s="147"/>
      <c r="AP978" s="147"/>
      <c r="AQ978" s="147"/>
    </row>
    <row r="979" spans="1:43">
      <c r="A979" s="3"/>
      <c r="B979" s="3"/>
      <c r="C979" s="3"/>
      <c r="D979" s="3"/>
      <c r="E979" s="3"/>
      <c r="F979" s="3"/>
      <c r="G979" s="3"/>
      <c r="H979" s="3"/>
      <c r="I979" s="3"/>
      <c r="J979" s="3"/>
      <c r="K979" s="3"/>
      <c r="L979" s="3"/>
      <c r="M979" s="3"/>
      <c r="N979" s="157"/>
      <c r="O979" s="157"/>
      <c r="P979" s="157"/>
      <c r="R979" s="147"/>
      <c r="S979" s="147"/>
      <c r="T979" s="147"/>
      <c r="U979" s="147"/>
      <c r="X979" s="147"/>
      <c r="Y979" s="147"/>
      <c r="Z979" s="147"/>
      <c r="AA979" s="147"/>
      <c r="AB979" s="147"/>
      <c r="AC979" s="147"/>
      <c r="AD979" s="147"/>
      <c r="AE979" s="147"/>
      <c r="AF979" s="147"/>
      <c r="AG979" s="147"/>
      <c r="AH979" s="147"/>
      <c r="AI979" s="147"/>
      <c r="AJ979" s="147"/>
      <c r="AK979" s="147"/>
      <c r="AL979" s="147"/>
      <c r="AM979" s="147"/>
      <c r="AN979" s="147"/>
      <c r="AO979" s="147"/>
      <c r="AP979" s="147"/>
      <c r="AQ979" s="147"/>
    </row>
    <row r="980" spans="1:43">
      <c r="A980" s="3"/>
      <c r="B980" s="3"/>
      <c r="C980" s="3"/>
      <c r="D980" s="3"/>
      <c r="E980" s="3"/>
      <c r="F980" s="3"/>
      <c r="G980" s="3"/>
      <c r="H980" s="3"/>
      <c r="I980" s="3"/>
      <c r="J980" s="3"/>
      <c r="K980" s="3"/>
      <c r="L980" s="3"/>
      <c r="M980" s="3"/>
      <c r="N980" s="157"/>
      <c r="O980" s="157"/>
      <c r="P980" s="157"/>
      <c r="R980" s="147"/>
      <c r="S980" s="147"/>
      <c r="T980" s="147"/>
      <c r="U980" s="147"/>
      <c r="X980" s="147"/>
      <c r="Y980" s="147"/>
      <c r="Z980" s="147"/>
      <c r="AA980" s="147"/>
      <c r="AB980" s="147"/>
      <c r="AC980" s="147"/>
      <c r="AD980" s="147"/>
      <c r="AE980" s="147"/>
      <c r="AF980" s="147"/>
      <c r="AG980" s="147"/>
      <c r="AH980" s="147"/>
      <c r="AI980" s="147"/>
      <c r="AJ980" s="147"/>
      <c r="AK980" s="147"/>
      <c r="AL980" s="147"/>
      <c r="AM980" s="147"/>
      <c r="AN980" s="147"/>
      <c r="AO980" s="147"/>
      <c r="AP980" s="147"/>
      <c r="AQ980" s="147"/>
    </row>
    <row r="981" spans="1:43">
      <c r="A981" s="3"/>
      <c r="B981" s="3"/>
      <c r="C981" s="3"/>
      <c r="D981" s="3"/>
      <c r="E981" s="3"/>
      <c r="F981" s="3"/>
      <c r="G981" s="3"/>
      <c r="H981" s="3"/>
      <c r="I981" s="3"/>
      <c r="J981" s="3"/>
      <c r="K981" s="3"/>
      <c r="L981" s="3"/>
      <c r="M981" s="3"/>
      <c r="N981" s="157"/>
      <c r="O981" s="157"/>
      <c r="P981" s="157"/>
      <c r="R981" s="147"/>
      <c r="S981" s="147"/>
      <c r="T981" s="147"/>
      <c r="U981" s="147"/>
      <c r="X981" s="147"/>
      <c r="Y981" s="147"/>
      <c r="Z981" s="147"/>
      <c r="AA981" s="147"/>
      <c r="AB981" s="147"/>
      <c r="AC981" s="147"/>
      <c r="AD981" s="147"/>
      <c r="AE981" s="147"/>
      <c r="AF981" s="147"/>
      <c r="AG981" s="147"/>
      <c r="AH981" s="147"/>
      <c r="AI981" s="147"/>
      <c r="AJ981" s="147"/>
      <c r="AK981" s="147"/>
      <c r="AL981" s="147"/>
      <c r="AM981" s="147"/>
      <c r="AN981" s="147"/>
      <c r="AO981" s="147"/>
      <c r="AP981" s="147"/>
      <c r="AQ981" s="147"/>
    </row>
    <row r="982" spans="1:43">
      <c r="A982" s="3"/>
      <c r="B982" s="3"/>
      <c r="C982" s="3"/>
      <c r="D982" s="3"/>
      <c r="E982" s="3"/>
      <c r="F982" s="3"/>
      <c r="G982" s="3"/>
      <c r="H982" s="3"/>
      <c r="I982" s="3"/>
      <c r="J982" s="3"/>
      <c r="K982" s="3"/>
      <c r="L982" s="3"/>
      <c r="M982" s="3"/>
      <c r="N982" s="157"/>
      <c r="O982" s="157"/>
      <c r="P982" s="157"/>
      <c r="R982" s="147"/>
      <c r="S982" s="147"/>
      <c r="T982" s="147"/>
      <c r="U982" s="147"/>
      <c r="X982" s="147"/>
      <c r="Y982" s="147"/>
      <c r="Z982" s="147"/>
      <c r="AA982" s="147"/>
      <c r="AB982" s="147"/>
      <c r="AC982" s="147"/>
      <c r="AD982" s="147"/>
      <c r="AE982" s="147"/>
      <c r="AF982" s="147"/>
      <c r="AG982" s="147"/>
      <c r="AH982" s="147"/>
      <c r="AI982" s="147"/>
      <c r="AJ982" s="147"/>
      <c r="AK982" s="147"/>
      <c r="AL982" s="147"/>
      <c r="AM982" s="147"/>
      <c r="AN982" s="147"/>
      <c r="AO982" s="147"/>
      <c r="AP982" s="147"/>
      <c r="AQ982" s="147"/>
    </row>
    <row r="983" spans="1:43">
      <c r="A983" s="3"/>
      <c r="B983" s="3"/>
      <c r="C983" s="3"/>
      <c r="D983" s="3"/>
      <c r="E983" s="3"/>
      <c r="F983" s="3"/>
      <c r="G983" s="3"/>
      <c r="H983" s="3"/>
      <c r="I983" s="3"/>
      <c r="J983" s="3"/>
      <c r="K983" s="3"/>
      <c r="L983" s="3"/>
      <c r="M983" s="3"/>
      <c r="N983" s="157"/>
      <c r="O983" s="157"/>
      <c r="P983" s="157"/>
      <c r="R983" s="147"/>
      <c r="S983" s="147"/>
      <c r="T983" s="147"/>
      <c r="U983" s="147"/>
      <c r="X983" s="147"/>
      <c r="Y983" s="147"/>
      <c r="Z983" s="147"/>
      <c r="AA983" s="147"/>
      <c r="AB983" s="147"/>
      <c r="AC983" s="147"/>
      <c r="AD983" s="147"/>
      <c r="AE983" s="147"/>
      <c r="AF983" s="147"/>
      <c r="AG983" s="147"/>
      <c r="AH983" s="147"/>
      <c r="AI983" s="147"/>
      <c r="AJ983" s="147"/>
      <c r="AK983" s="147"/>
      <c r="AL983" s="147"/>
      <c r="AM983" s="147"/>
      <c r="AN983" s="147"/>
      <c r="AO983" s="147"/>
      <c r="AP983" s="147"/>
      <c r="AQ983" s="147"/>
    </row>
    <row r="984" spans="1:43">
      <c r="A984" s="3"/>
      <c r="B984" s="3"/>
      <c r="C984" s="3"/>
      <c r="D984" s="3"/>
      <c r="E984" s="3"/>
      <c r="F984" s="3"/>
      <c r="G984" s="3"/>
      <c r="H984" s="3"/>
      <c r="I984" s="3"/>
      <c r="J984" s="3"/>
      <c r="K984" s="3"/>
      <c r="L984" s="3"/>
      <c r="M984" s="3"/>
      <c r="N984" s="157"/>
      <c r="O984" s="157"/>
      <c r="P984" s="157"/>
      <c r="R984" s="147"/>
      <c r="S984" s="147"/>
      <c r="T984" s="147"/>
      <c r="U984" s="147"/>
      <c r="X984" s="147"/>
      <c r="Y984" s="147"/>
      <c r="Z984" s="147"/>
      <c r="AA984" s="147"/>
      <c r="AB984" s="147"/>
      <c r="AC984" s="147"/>
      <c r="AD984" s="147"/>
      <c r="AE984" s="147"/>
      <c r="AF984" s="147"/>
      <c r="AG984" s="147"/>
      <c r="AH984" s="147"/>
      <c r="AI984" s="147"/>
      <c r="AJ984" s="147"/>
      <c r="AK984" s="147"/>
      <c r="AL984" s="147"/>
      <c r="AM984" s="147"/>
      <c r="AN984" s="147"/>
      <c r="AO984" s="147"/>
      <c r="AP984" s="147"/>
      <c r="AQ984" s="147"/>
    </row>
    <row r="985" spans="1:43">
      <c r="A985" s="3"/>
      <c r="B985" s="3"/>
      <c r="C985" s="3"/>
      <c r="D985" s="3"/>
      <c r="E985" s="3"/>
      <c r="F985" s="3"/>
      <c r="G985" s="3"/>
      <c r="H985" s="3"/>
      <c r="I985" s="3"/>
      <c r="J985" s="3"/>
      <c r="K985" s="3"/>
      <c r="L985" s="3"/>
      <c r="M985" s="3"/>
      <c r="N985" s="157"/>
      <c r="O985" s="157"/>
      <c r="P985" s="157"/>
      <c r="R985" s="147"/>
      <c r="S985" s="147"/>
      <c r="T985" s="147"/>
      <c r="U985" s="147"/>
      <c r="X985" s="147"/>
      <c r="Y985" s="147"/>
      <c r="Z985" s="147"/>
      <c r="AA985" s="147"/>
      <c r="AB985" s="147"/>
      <c r="AC985" s="147"/>
      <c r="AD985" s="147"/>
      <c r="AE985" s="147"/>
      <c r="AF985" s="147"/>
      <c r="AG985" s="147"/>
      <c r="AH985" s="147"/>
      <c r="AI985" s="147"/>
      <c r="AJ985" s="147"/>
      <c r="AK985" s="147"/>
      <c r="AL985" s="147"/>
      <c r="AM985" s="147"/>
      <c r="AN985" s="147"/>
      <c r="AO985" s="147"/>
      <c r="AP985" s="147"/>
      <c r="AQ985" s="147"/>
    </row>
    <row r="986" spans="1:43">
      <c r="A986" s="3"/>
      <c r="B986" s="3"/>
      <c r="C986" s="3"/>
      <c r="D986" s="3"/>
      <c r="E986" s="3"/>
      <c r="F986" s="3"/>
      <c r="G986" s="3"/>
      <c r="H986" s="3"/>
      <c r="I986" s="3"/>
      <c r="J986" s="3"/>
      <c r="K986" s="3"/>
      <c r="L986" s="3"/>
      <c r="M986" s="3"/>
      <c r="N986" s="157"/>
      <c r="O986" s="157"/>
      <c r="P986" s="157"/>
      <c r="R986" s="147"/>
      <c r="S986" s="147"/>
      <c r="T986" s="147"/>
      <c r="U986" s="147"/>
      <c r="X986" s="147"/>
      <c r="Y986" s="147"/>
      <c r="Z986" s="147"/>
      <c r="AA986" s="147"/>
      <c r="AB986" s="147"/>
      <c r="AC986" s="147"/>
      <c r="AD986" s="147"/>
      <c r="AE986" s="147"/>
      <c r="AF986" s="147"/>
      <c r="AG986" s="147"/>
      <c r="AH986" s="147"/>
      <c r="AI986" s="147"/>
      <c r="AJ986" s="147"/>
      <c r="AK986" s="147"/>
      <c r="AL986" s="147"/>
      <c r="AM986" s="147"/>
      <c r="AN986" s="147"/>
      <c r="AO986" s="147"/>
      <c r="AP986" s="147"/>
      <c r="AQ986" s="147"/>
    </row>
    <row r="987" spans="1:43">
      <c r="A987" s="3"/>
      <c r="B987" s="3"/>
      <c r="C987" s="3"/>
      <c r="D987" s="3"/>
      <c r="E987" s="3"/>
      <c r="F987" s="3"/>
      <c r="G987" s="3"/>
      <c r="H987" s="3"/>
      <c r="I987" s="3"/>
      <c r="J987" s="3"/>
      <c r="K987" s="3"/>
      <c r="L987" s="3"/>
      <c r="M987" s="3"/>
      <c r="N987" s="157"/>
      <c r="O987" s="157"/>
      <c r="P987" s="157"/>
      <c r="R987" s="147"/>
      <c r="S987" s="147"/>
      <c r="T987" s="147"/>
      <c r="U987" s="147"/>
      <c r="X987" s="147"/>
      <c r="Y987" s="147"/>
      <c r="Z987" s="147"/>
      <c r="AA987" s="147"/>
      <c r="AB987" s="147"/>
      <c r="AC987" s="147"/>
      <c r="AD987" s="147"/>
      <c r="AE987" s="147"/>
      <c r="AF987" s="147"/>
      <c r="AG987" s="147"/>
      <c r="AH987" s="147"/>
      <c r="AI987" s="147"/>
      <c r="AJ987" s="147"/>
      <c r="AK987" s="147"/>
      <c r="AL987" s="147"/>
      <c r="AM987" s="147"/>
      <c r="AN987" s="147"/>
      <c r="AO987" s="147"/>
      <c r="AP987" s="147"/>
      <c r="AQ987" s="147"/>
    </row>
    <row r="988" spans="1:43">
      <c r="A988" s="3"/>
      <c r="B988" s="3"/>
      <c r="C988" s="3"/>
      <c r="D988" s="3"/>
      <c r="E988" s="3"/>
      <c r="F988" s="3"/>
      <c r="G988" s="3"/>
      <c r="H988" s="3"/>
      <c r="I988" s="3"/>
      <c r="J988" s="3"/>
      <c r="K988" s="3"/>
      <c r="L988" s="3"/>
      <c r="M988" s="3"/>
      <c r="N988" s="157"/>
      <c r="O988" s="157"/>
      <c r="P988" s="157"/>
      <c r="R988" s="147"/>
      <c r="S988" s="147"/>
      <c r="T988" s="147"/>
      <c r="U988" s="147"/>
      <c r="X988" s="147"/>
      <c r="Y988" s="147"/>
      <c r="Z988" s="147"/>
      <c r="AA988" s="147"/>
      <c r="AB988" s="147"/>
      <c r="AC988" s="147"/>
      <c r="AD988" s="147"/>
      <c r="AE988" s="147"/>
      <c r="AF988" s="147"/>
      <c r="AG988" s="147"/>
      <c r="AH988" s="147"/>
      <c r="AI988" s="147"/>
      <c r="AJ988" s="147"/>
      <c r="AK988" s="147"/>
      <c r="AL988" s="147"/>
      <c r="AM988" s="147"/>
      <c r="AN988" s="147"/>
      <c r="AO988" s="147"/>
      <c r="AP988" s="147"/>
      <c r="AQ988" s="147"/>
    </row>
    <row r="989" spans="1:43">
      <c r="A989" s="3"/>
      <c r="B989" s="3"/>
      <c r="C989" s="3"/>
      <c r="D989" s="3"/>
      <c r="E989" s="3"/>
      <c r="F989" s="3"/>
      <c r="G989" s="3"/>
      <c r="H989" s="3"/>
      <c r="I989" s="3"/>
      <c r="J989" s="3"/>
      <c r="K989" s="3"/>
      <c r="L989" s="3"/>
      <c r="M989" s="3"/>
      <c r="N989" s="157"/>
      <c r="O989" s="157"/>
      <c r="P989" s="157"/>
      <c r="R989" s="147"/>
      <c r="S989" s="147"/>
      <c r="T989" s="147"/>
      <c r="U989" s="147"/>
      <c r="X989" s="147"/>
      <c r="Y989" s="147"/>
      <c r="Z989" s="147"/>
      <c r="AA989" s="147"/>
      <c r="AB989" s="147"/>
      <c r="AC989" s="147"/>
      <c r="AD989" s="147"/>
      <c r="AE989" s="147"/>
      <c r="AF989" s="147"/>
      <c r="AG989" s="147"/>
      <c r="AH989" s="147"/>
      <c r="AI989" s="147"/>
      <c r="AJ989" s="147"/>
      <c r="AK989" s="147"/>
      <c r="AL989" s="147"/>
      <c r="AM989" s="147"/>
      <c r="AN989" s="147"/>
      <c r="AO989" s="147"/>
      <c r="AP989" s="147"/>
      <c r="AQ989" s="147"/>
    </row>
    <row r="990" spans="1:43">
      <c r="A990" s="3"/>
      <c r="B990" s="3"/>
      <c r="C990" s="3"/>
      <c r="D990" s="3"/>
      <c r="E990" s="3"/>
      <c r="F990" s="3"/>
      <c r="G990" s="3"/>
      <c r="H990" s="3"/>
      <c r="I990" s="3"/>
      <c r="J990" s="3"/>
      <c r="K990" s="3"/>
      <c r="L990" s="3"/>
      <c r="M990" s="3"/>
      <c r="N990" s="157"/>
      <c r="O990" s="157"/>
      <c r="P990" s="157"/>
      <c r="R990" s="147"/>
      <c r="S990" s="147"/>
      <c r="T990" s="147"/>
      <c r="U990" s="147"/>
      <c r="X990" s="147"/>
      <c r="Y990" s="147"/>
      <c r="Z990" s="147"/>
      <c r="AA990" s="147"/>
      <c r="AB990" s="147"/>
      <c r="AC990" s="147"/>
      <c r="AD990" s="147"/>
      <c r="AE990" s="147"/>
      <c r="AF990" s="147"/>
      <c r="AG990" s="147"/>
      <c r="AH990" s="147"/>
      <c r="AI990" s="147"/>
      <c r="AJ990" s="147"/>
      <c r="AK990" s="147"/>
      <c r="AL990" s="147"/>
      <c r="AM990" s="147"/>
      <c r="AN990" s="147"/>
      <c r="AO990" s="147"/>
      <c r="AP990" s="147"/>
      <c r="AQ990" s="147"/>
    </row>
    <row r="991" spans="1:43">
      <c r="A991" s="3"/>
      <c r="B991" s="3"/>
      <c r="C991" s="3"/>
      <c r="D991" s="3"/>
      <c r="E991" s="3"/>
      <c r="F991" s="3"/>
      <c r="G991" s="3"/>
      <c r="H991" s="3"/>
      <c r="I991" s="3"/>
      <c r="J991" s="3"/>
      <c r="K991" s="3"/>
      <c r="L991" s="3"/>
      <c r="M991" s="3"/>
      <c r="N991" s="157"/>
      <c r="O991" s="157"/>
      <c r="P991" s="157"/>
      <c r="R991" s="147"/>
      <c r="S991" s="147"/>
      <c r="T991" s="147"/>
      <c r="U991" s="147"/>
      <c r="X991" s="147"/>
      <c r="Y991" s="147"/>
      <c r="Z991" s="147"/>
      <c r="AA991" s="147"/>
      <c r="AB991" s="147"/>
      <c r="AC991" s="147"/>
      <c r="AD991" s="147"/>
      <c r="AE991" s="147"/>
      <c r="AF991" s="147"/>
      <c r="AG991" s="147"/>
      <c r="AH991" s="147"/>
      <c r="AI991" s="147"/>
      <c r="AJ991" s="147"/>
      <c r="AK991" s="147"/>
      <c r="AL991" s="147"/>
      <c r="AM991" s="147"/>
      <c r="AN991" s="147"/>
      <c r="AO991" s="147"/>
      <c r="AP991" s="147"/>
      <c r="AQ991" s="147"/>
    </row>
    <row r="992" spans="1:43">
      <c r="A992" s="3"/>
      <c r="B992" s="3"/>
      <c r="C992" s="3"/>
      <c r="D992" s="3"/>
      <c r="E992" s="3"/>
      <c r="F992" s="3"/>
      <c r="G992" s="3"/>
      <c r="H992" s="3"/>
      <c r="I992" s="3"/>
      <c r="J992" s="3"/>
      <c r="K992" s="3"/>
      <c r="L992" s="3"/>
      <c r="M992" s="3"/>
      <c r="N992" s="157"/>
      <c r="O992" s="157"/>
      <c r="P992" s="157"/>
      <c r="R992" s="147"/>
      <c r="S992" s="147"/>
      <c r="T992" s="147"/>
      <c r="U992" s="147"/>
      <c r="X992" s="147"/>
      <c r="Y992" s="147"/>
      <c r="Z992" s="147"/>
      <c r="AA992" s="147"/>
      <c r="AB992" s="147"/>
      <c r="AC992" s="147"/>
      <c r="AD992" s="147"/>
      <c r="AE992" s="147"/>
      <c r="AF992" s="147"/>
      <c r="AG992" s="147"/>
      <c r="AH992" s="147"/>
      <c r="AI992" s="147"/>
      <c r="AJ992" s="147"/>
      <c r="AK992" s="147"/>
      <c r="AL992" s="147"/>
      <c r="AM992" s="147"/>
      <c r="AN992" s="147"/>
      <c r="AO992" s="147"/>
      <c r="AP992" s="147"/>
      <c r="AQ992" s="147"/>
    </row>
    <row r="993" spans="1:43">
      <c r="A993" s="3"/>
      <c r="B993" s="3"/>
      <c r="C993" s="3"/>
      <c r="D993" s="3"/>
      <c r="E993" s="3"/>
      <c r="F993" s="3"/>
      <c r="G993" s="3"/>
      <c r="H993" s="3"/>
      <c r="I993" s="3"/>
      <c r="J993" s="3"/>
      <c r="K993" s="3"/>
      <c r="L993" s="3"/>
      <c r="M993" s="3"/>
      <c r="N993" s="157"/>
      <c r="O993" s="157"/>
      <c r="P993" s="157"/>
      <c r="R993" s="147"/>
      <c r="S993" s="147"/>
      <c r="T993" s="147"/>
      <c r="U993" s="147"/>
      <c r="X993" s="147"/>
      <c r="Y993" s="147"/>
      <c r="Z993" s="147"/>
      <c r="AA993" s="147"/>
      <c r="AB993" s="147"/>
      <c r="AC993" s="147"/>
      <c r="AD993" s="147"/>
      <c r="AE993" s="147"/>
      <c r="AF993" s="147"/>
      <c r="AG993" s="147"/>
      <c r="AH993" s="147"/>
      <c r="AI993" s="147"/>
      <c r="AJ993" s="147"/>
      <c r="AK993" s="147"/>
      <c r="AL993" s="147"/>
      <c r="AM993" s="147"/>
      <c r="AN993" s="147"/>
      <c r="AO993" s="147"/>
      <c r="AP993" s="147"/>
      <c r="AQ993" s="147"/>
    </row>
    <row r="994" spans="1:43">
      <c r="A994" s="3"/>
      <c r="B994" s="3"/>
      <c r="C994" s="3"/>
      <c r="D994" s="3"/>
      <c r="E994" s="3"/>
      <c r="F994" s="3"/>
      <c r="G994" s="3"/>
      <c r="H994" s="3"/>
      <c r="I994" s="3"/>
      <c r="J994" s="3"/>
      <c r="K994" s="3"/>
      <c r="L994" s="3"/>
      <c r="M994" s="3"/>
      <c r="N994" s="157"/>
      <c r="O994" s="157"/>
      <c r="P994" s="157"/>
      <c r="R994" s="147"/>
      <c r="S994" s="147"/>
      <c r="T994" s="147"/>
      <c r="U994" s="147"/>
      <c r="X994" s="147"/>
      <c r="Y994" s="147"/>
      <c r="Z994" s="147"/>
      <c r="AA994" s="147"/>
      <c r="AB994" s="147"/>
      <c r="AC994" s="147"/>
      <c r="AD994" s="147"/>
      <c r="AE994" s="147"/>
      <c r="AF994" s="147"/>
      <c r="AG994" s="147"/>
      <c r="AH994" s="147"/>
      <c r="AI994" s="147"/>
      <c r="AJ994" s="147"/>
      <c r="AK994" s="147"/>
      <c r="AL994" s="147"/>
      <c r="AM994" s="147"/>
      <c r="AN994" s="147"/>
      <c r="AO994" s="147"/>
      <c r="AP994" s="147"/>
      <c r="AQ994" s="147"/>
    </row>
    <row r="995" spans="1:43">
      <c r="A995" s="3"/>
      <c r="B995" s="3"/>
      <c r="C995" s="3"/>
      <c r="D995" s="3"/>
      <c r="E995" s="3"/>
      <c r="F995" s="3"/>
      <c r="G995" s="3"/>
      <c r="H995" s="3"/>
      <c r="I995" s="3"/>
      <c r="J995" s="3"/>
      <c r="K995" s="3"/>
      <c r="L995" s="3"/>
      <c r="M995" s="3"/>
      <c r="N995" s="157"/>
      <c r="O995" s="157"/>
      <c r="P995" s="157"/>
      <c r="R995" s="147"/>
      <c r="S995" s="147"/>
      <c r="T995" s="147"/>
      <c r="U995" s="147"/>
      <c r="X995" s="147"/>
      <c r="Y995" s="147"/>
      <c r="Z995" s="147"/>
      <c r="AA995" s="147"/>
      <c r="AB995" s="147"/>
      <c r="AC995" s="147"/>
      <c r="AD995" s="147"/>
      <c r="AE995" s="147"/>
      <c r="AF995" s="147"/>
      <c r="AG995" s="147"/>
      <c r="AH995" s="147"/>
      <c r="AI995" s="147"/>
      <c r="AJ995" s="147"/>
      <c r="AK995" s="147"/>
      <c r="AL995" s="147"/>
      <c r="AM995" s="147"/>
      <c r="AN995" s="147"/>
      <c r="AO995" s="147"/>
      <c r="AP995" s="147"/>
      <c r="AQ995" s="147"/>
    </row>
    <row r="996" spans="1:43">
      <c r="A996" s="3"/>
      <c r="B996" s="3"/>
      <c r="C996" s="3"/>
      <c r="D996" s="3"/>
      <c r="E996" s="3"/>
      <c r="F996" s="3"/>
      <c r="G996" s="3"/>
      <c r="H996" s="3"/>
      <c r="I996" s="3"/>
      <c r="J996" s="3"/>
      <c r="K996" s="3"/>
      <c r="L996" s="3"/>
      <c r="M996" s="3"/>
      <c r="N996" s="157"/>
      <c r="O996" s="157"/>
      <c r="P996" s="157"/>
      <c r="R996" s="147"/>
      <c r="S996" s="147"/>
      <c r="T996" s="147"/>
      <c r="U996" s="147"/>
      <c r="X996" s="147"/>
      <c r="Y996" s="147"/>
      <c r="Z996" s="147"/>
      <c r="AA996" s="147"/>
      <c r="AB996" s="147"/>
      <c r="AC996" s="147"/>
      <c r="AD996" s="147"/>
      <c r="AE996" s="147"/>
      <c r="AF996" s="147"/>
      <c r="AG996" s="147"/>
      <c r="AH996" s="147"/>
      <c r="AI996" s="147"/>
      <c r="AJ996" s="147"/>
      <c r="AK996" s="147"/>
      <c r="AL996" s="147"/>
      <c r="AM996" s="147"/>
      <c r="AN996" s="147"/>
      <c r="AO996" s="147"/>
      <c r="AP996" s="147"/>
      <c r="AQ996" s="147"/>
    </row>
    <row r="997" spans="1:43">
      <c r="A997" s="3"/>
      <c r="B997" s="3"/>
      <c r="C997" s="3"/>
      <c r="D997" s="3"/>
      <c r="E997" s="3"/>
      <c r="F997" s="3"/>
      <c r="G997" s="3"/>
      <c r="H997" s="3"/>
      <c r="I997" s="3"/>
      <c r="J997" s="3"/>
      <c r="K997" s="3"/>
      <c r="L997" s="3"/>
      <c r="M997" s="3"/>
      <c r="N997" s="157"/>
      <c r="O997" s="157"/>
      <c r="P997" s="157"/>
      <c r="R997" s="147"/>
      <c r="S997" s="147"/>
      <c r="T997" s="147"/>
      <c r="U997" s="147"/>
      <c r="X997" s="147"/>
      <c r="Y997" s="147"/>
      <c r="Z997" s="147"/>
      <c r="AA997" s="147"/>
      <c r="AB997" s="147"/>
      <c r="AC997" s="147"/>
      <c r="AD997" s="147"/>
      <c r="AE997" s="147"/>
      <c r="AF997" s="147"/>
      <c r="AG997" s="147"/>
      <c r="AH997" s="147"/>
      <c r="AI997" s="147"/>
      <c r="AJ997" s="147"/>
      <c r="AK997" s="147"/>
      <c r="AL997" s="147"/>
      <c r="AM997" s="147"/>
      <c r="AN997" s="147"/>
      <c r="AO997" s="147"/>
      <c r="AP997" s="147"/>
      <c r="AQ997" s="147"/>
    </row>
    <row r="998" spans="1:43">
      <c r="A998" s="3"/>
      <c r="B998" s="3"/>
      <c r="C998" s="3"/>
      <c r="D998" s="3"/>
      <c r="E998" s="3"/>
      <c r="F998" s="3"/>
      <c r="G998" s="3"/>
      <c r="H998" s="3"/>
      <c r="I998" s="3"/>
      <c r="J998" s="3"/>
      <c r="K998" s="3"/>
      <c r="L998" s="3"/>
      <c r="M998" s="3"/>
      <c r="N998" s="157"/>
      <c r="O998" s="157"/>
      <c r="P998" s="157"/>
      <c r="R998" s="147"/>
      <c r="S998" s="147"/>
      <c r="T998" s="147"/>
      <c r="U998" s="147"/>
      <c r="X998" s="147"/>
      <c r="Y998" s="147"/>
      <c r="Z998" s="147"/>
      <c r="AA998" s="147"/>
      <c r="AB998" s="147"/>
      <c r="AC998" s="147"/>
      <c r="AD998" s="147"/>
      <c r="AE998" s="147"/>
      <c r="AF998" s="147"/>
      <c r="AG998" s="147"/>
      <c r="AH998" s="147"/>
      <c r="AI998" s="147"/>
      <c r="AJ998" s="147"/>
      <c r="AK998" s="147"/>
      <c r="AL998" s="147"/>
      <c r="AM998" s="147"/>
      <c r="AN998" s="147"/>
      <c r="AO998" s="147"/>
      <c r="AP998" s="147"/>
      <c r="AQ998" s="147"/>
    </row>
    <row r="999" spans="1:43">
      <c r="A999" s="3"/>
      <c r="B999" s="3"/>
      <c r="C999" s="3"/>
      <c r="D999" s="3"/>
      <c r="E999" s="3"/>
      <c r="F999" s="3"/>
      <c r="G999" s="3"/>
      <c r="H999" s="3"/>
      <c r="I999" s="3"/>
      <c r="J999" s="3"/>
      <c r="K999" s="3"/>
      <c r="L999" s="3"/>
      <c r="M999" s="3"/>
      <c r="N999" s="157"/>
      <c r="O999" s="157"/>
      <c r="P999" s="157"/>
      <c r="R999" s="147"/>
      <c r="S999" s="147"/>
      <c r="T999" s="147"/>
      <c r="U999" s="147"/>
      <c r="X999" s="147"/>
      <c r="Y999" s="147"/>
      <c r="Z999" s="147"/>
      <c r="AA999" s="147"/>
      <c r="AB999" s="147"/>
      <c r="AC999" s="147"/>
      <c r="AD999" s="147"/>
      <c r="AE999" s="147"/>
      <c r="AF999" s="147"/>
      <c r="AG999" s="147"/>
      <c r="AH999" s="147"/>
      <c r="AI999" s="147"/>
      <c r="AJ999" s="147"/>
      <c r="AK999" s="147"/>
      <c r="AL999" s="147"/>
      <c r="AM999" s="147"/>
      <c r="AN999" s="147"/>
      <c r="AO999" s="147"/>
      <c r="AP999" s="147"/>
      <c r="AQ999" s="147"/>
    </row>
    <row r="1000" spans="1:43">
      <c r="A1000" s="3"/>
      <c r="B1000" s="3"/>
      <c r="C1000" s="3"/>
      <c r="D1000" s="3"/>
      <c r="E1000" s="3"/>
      <c r="F1000" s="3"/>
      <c r="G1000" s="3"/>
      <c r="H1000" s="3"/>
      <c r="I1000" s="3"/>
      <c r="J1000" s="3"/>
      <c r="K1000" s="3"/>
      <c r="L1000" s="3"/>
      <c r="M1000" s="3"/>
      <c r="N1000" s="157"/>
      <c r="O1000" s="157"/>
      <c r="P1000" s="157"/>
      <c r="R1000" s="147"/>
      <c r="S1000" s="147"/>
      <c r="T1000" s="147"/>
      <c r="U1000" s="147"/>
      <c r="X1000" s="147"/>
      <c r="Y1000" s="147"/>
      <c r="Z1000" s="147"/>
      <c r="AA1000" s="147"/>
      <c r="AB1000" s="147"/>
      <c r="AC1000" s="147"/>
      <c r="AD1000" s="147"/>
      <c r="AE1000" s="147"/>
      <c r="AF1000" s="147"/>
      <c r="AG1000" s="147"/>
      <c r="AH1000" s="147"/>
      <c r="AI1000" s="147"/>
      <c r="AJ1000" s="147"/>
      <c r="AK1000" s="147"/>
      <c r="AL1000" s="147"/>
      <c r="AM1000" s="147"/>
      <c r="AN1000" s="147"/>
      <c r="AO1000" s="147"/>
      <c r="AP1000" s="147"/>
      <c r="AQ1000" s="147"/>
    </row>
    <row r="1001" spans="1:43">
      <c r="A1001" s="3"/>
      <c r="B1001" s="3"/>
      <c r="C1001" s="3"/>
      <c r="D1001" s="3"/>
      <c r="E1001" s="3"/>
      <c r="F1001" s="3"/>
      <c r="G1001" s="3"/>
      <c r="H1001" s="3"/>
      <c r="I1001" s="3"/>
      <c r="J1001" s="3"/>
      <c r="K1001" s="3"/>
      <c r="L1001" s="3"/>
      <c r="M1001" s="3"/>
      <c r="N1001" s="157"/>
      <c r="O1001" s="157"/>
      <c r="P1001" s="157"/>
      <c r="R1001" s="147"/>
      <c r="S1001" s="147"/>
      <c r="T1001" s="147"/>
      <c r="U1001" s="147"/>
      <c r="X1001" s="147"/>
      <c r="Y1001" s="147"/>
      <c r="Z1001" s="147"/>
      <c r="AA1001" s="147"/>
      <c r="AB1001" s="147"/>
      <c r="AC1001" s="147"/>
      <c r="AD1001" s="147"/>
      <c r="AE1001" s="147"/>
      <c r="AF1001" s="147"/>
      <c r="AG1001" s="147"/>
      <c r="AH1001" s="147"/>
      <c r="AI1001" s="147"/>
      <c r="AJ1001" s="147"/>
      <c r="AK1001" s="147"/>
      <c r="AL1001" s="147"/>
      <c r="AM1001" s="147"/>
      <c r="AN1001" s="147"/>
      <c r="AO1001" s="147"/>
      <c r="AP1001" s="147"/>
      <c r="AQ1001" s="147"/>
    </row>
    <row r="1002" spans="1:43">
      <c r="A1002" s="3"/>
      <c r="B1002" s="3"/>
      <c r="C1002" s="3"/>
      <c r="D1002" s="3"/>
      <c r="E1002" s="3"/>
      <c r="F1002" s="3"/>
      <c r="G1002" s="3"/>
      <c r="H1002" s="3"/>
      <c r="I1002" s="3"/>
      <c r="J1002" s="3"/>
      <c r="K1002" s="3"/>
      <c r="L1002" s="3"/>
      <c r="M1002" s="3"/>
      <c r="N1002" s="157"/>
      <c r="O1002" s="157"/>
      <c r="P1002" s="157"/>
      <c r="R1002" s="147"/>
      <c r="S1002" s="147"/>
      <c r="T1002" s="147"/>
      <c r="U1002" s="147"/>
      <c r="X1002" s="147"/>
      <c r="Y1002" s="147"/>
      <c r="Z1002" s="147"/>
      <c r="AA1002" s="147"/>
      <c r="AB1002" s="147"/>
      <c r="AC1002" s="147"/>
      <c r="AD1002" s="147"/>
      <c r="AE1002" s="147"/>
      <c r="AF1002" s="147"/>
      <c r="AG1002" s="147"/>
      <c r="AH1002" s="147"/>
      <c r="AI1002" s="147"/>
      <c r="AJ1002" s="147"/>
      <c r="AK1002" s="147"/>
      <c r="AL1002" s="147"/>
      <c r="AM1002" s="147"/>
      <c r="AN1002" s="147"/>
      <c r="AO1002" s="147"/>
      <c r="AP1002" s="147"/>
      <c r="AQ1002" s="147"/>
    </row>
    <row r="1003" spans="1:43">
      <c r="A1003" s="3"/>
      <c r="B1003" s="3"/>
      <c r="C1003" s="3"/>
      <c r="D1003" s="3"/>
      <c r="E1003" s="3"/>
      <c r="F1003" s="3"/>
      <c r="G1003" s="3"/>
      <c r="H1003" s="3"/>
      <c r="I1003" s="3"/>
      <c r="J1003" s="3"/>
      <c r="K1003" s="3"/>
      <c r="L1003" s="3"/>
      <c r="M1003" s="3"/>
      <c r="N1003" s="157"/>
      <c r="O1003" s="157"/>
      <c r="P1003" s="157"/>
      <c r="R1003" s="147"/>
      <c r="S1003" s="147"/>
      <c r="T1003" s="147"/>
      <c r="U1003" s="147"/>
      <c r="X1003" s="147"/>
      <c r="Y1003" s="147"/>
      <c r="Z1003" s="147"/>
      <c r="AA1003" s="147"/>
      <c r="AB1003" s="147"/>
      <c r="AC1003" s="147"/>
      <c r="AD1003" s="147"/>
      <c r="AE1003" s="147"/>
      <c r="AF1003" s="147"/>
      <c r="AG1003" s="147"/>
      <c r="AH1003" s="147"/>
      <c r="AI1003" s="147"/>
      <c r="AJ1003" s="147"/>
      <c r="AK1003" s="147"/>
      <c r="AL1003" s="147"/>
      <c r="AM1003" s="147"/>
      <c r="AN1003" s="147"/>
      <c r="AO1003" s="147"/>
      <c r="AP1003" s="147"/>
      <c r="AQ1003" s="147"/>
    </row>
    <row r="1004" spans="1:43">
      <c r="A1004" s="3"/>
      <c r="B1004" s="3"/>
      <c r="C1004" s="3"/>
      <c r="D1004" s="3"/>
      <c r="E1004" s="3"/>
      <c r="F1004" s="3"/>
      <c r="G1004" s="3"/>
      <c r="H1004" s="3"/>
      <c r="I1004" s="3"/>
      <c r="J1004" s="3"/>
      <c r="K1004" s="3"/>
      <c r="L1004" s="3"/>
      <c r="M1004" s="3"/>
      <c r="N1004" s="157"/>
      <c r="O1004" s="157"/>
      <c r="P1004" s="157"/>
      <c r="R1004" s="147"/>
      <c r="S1004" s="147"/>
      <c r="T1004" s="147"/>
      <c r="U1004" s="147"/>
      <c r="X1004" s="147"/>
      <c r="Y1004" s="147"/>
      <c r="Z1004" s="147"/>
      <c r="AA1004" s="147"/>
      <c r="AB1004" s="147"/>
      <c r="AC1004" s="147"/>
      <c r="AD1004" s="147"/>
      <c r="AE1004" s="147"/>
      <c r="AF1004" s="147"/>
      <c r="AG1004" s="147"/>
      <c r="AH1004" s="147"/>
      <c r="AI1004" s="147"/>
      <c r="AJ1004" s="147"/>
      <c r="AK1004" s="147"/>
      <c r="AL1004" s="147"/>
      <c r="AM1004" s="147"/>
      <c r="AN1004" s="147"/>
      <c r="AO1004" s="147"/>
      <c r="AP1004" s="147"/>
      <c r="AQ1004" s="147"/>
    </row>
    <row r="1005" spans="1:43">
      <c r="A1005" s="3"/>
      <c r="B1005" s="3"/>
      <c r="C1005" s="3"/>
      <c r="D1005" s="3"/>
      <c r="E1005" s="3"/>
      <c r="F1005" s="3"/>
      <c r="G1005" s="3"/>
      <c r="H1005" s="3"/>
      <c r="I1005" s="3"/>
      <c r="J1005" s="3"/>
      <c r="K1005" s="3"/>
      <c r="L1005" s="3"/>
      <c r="M1005" s="3"/>
      <c r="N1005" s="157"/>
      <c r="O1005" s="157"/>
      <c r="P1005" s="157"/>
      <c r="R1005" s="147"/>
      <c r="S1005" s="147"/>
      <c r="T1005" s="147"/>
      <c r="U1005" s="147"/>
      <c r="X1005" s="147"/>
      <c r="Y1005" s="147"/>
      <c r="Z1005" s="147"/>
      <c r="AA1005" s="147"/>
      <c r="AB1005" s="147"/>
      <c r="AC1005" s="147"/>
      <c r="AD1005" s="147"/>
      <c r="AE1005" s="147"/>
      <c r="AF1005" s="147"/>
      <c r="AG1005" s="147"/>
      <c r="AH1005" s="147"/>
      <c r="AI1005" s="147"/>
      <c r="AJ1005" s="147"/>
      <c r="AK1005" s="147"/>
      <c r="AL1005" s="147"/>
      <c r="AM1005" s="147"/>
      <c r="AN1005" s="147"/>
      <c r="AO1005" s="147"/>
      <c r="AP1005" s="147"/>
      <c r="AQ1005" s="147"/>
    </row>
    <row r="1006" spans="1:43">
      <c r="A1006" s="3"/>
      <c r="B1006" s="3"/>
      <c r="C1006" s="3"/>
      <c r="D1006" s="3"/>
      <c r="E1006" s="3"/>
      <c r="F1006" s="3"/>
      <c r="G1006" s="3"/>
      <c r="H1006" s="3"/>
      <c r="I1006" s="3"/>
      <c r="J1006" s="3"/>
      <c r="K1006" s="3"/>
      <c r="L1006" s="3"/>
      <c r="M1006" s="3"/>
      <c r="N1006" s="157"/>
      <c r="O1006" s="157"/>
      <c r="P1006" s="157"/>
      <c r="R1006" s="147"/>
      <c r="S1006" s="147"/>
      <c r="T1006" s="147"/>
      <c r="U1006" s="147"/>
      <c r="X1006" s="147"/>
      <c r="Y1006" s="147"/>
      <c r="Z1006" s="147"/>
      <c r="AA1006" s="147"/>
      <c r="AB1006" s="147"/>
      <c r="AC1006" s="147"/>
      <c r="AD1006" s="147"/>
      <c r="AE1006" s="147"/>
      <c r="AF1006" s="147"/>
      <c r="AG1006" s="147"/>
      <c r="AH1006" s="147"/>
      <c r="AI1006" s="147"/>
      <c r="AJ1006" s="147"/>
      <c r="AK1006" s="147"/>
      <c r="AL1006" s="147"/>
      <c r="AM1006" s="147"/>
      <c r="AN1006" s="147"/>
      <c r="AO1006" s="147"/>
      <c r="AP1006" s="147"/>
      <c r="AQ1006" s="147"/>
    </row>
    <row r="1007" spans="1:43">
      <c r="A1007" s="3"/>
      <c r="B1007" s="3"/>
      <c r="C1007" s="3"/>
      <c r="D1007" s="3"/>
      <c r="E1007" s="3"/>
      <c r="F1007" s="3"/>
      <c r="G1007" s="3"/>
      <c r="H1007" s="3"/>
      <c r="I1007" s="3"/>
      <c r="J1007" s="3"/>
      <c r="K1007" s="3"/>
      <c r="L1007" s="3"/>
      <c r="M1007" s="3"/>
      <c r="N1007" s="157"/>
      <c r="O1007" s="157"/>
      <c r="P1007" s="157"/>
      <c r="R1007" s="147"/>
      <c r="S1007" s="147"/>
      <c r="T1007" s="147"/>
      <c r="U1007" s="147"/>
      <c r="X1007" s="147"/>
      <c r="Y1007" s="147"/>
      <c r="Z1007" s="147"/>
      <c r="AA1007" s="147"/>
      <c r="AB1007" s="147"/>
      <c r="AC1007" s="147"/>
      <c r="AD1007" s="147"/>
      <c r="AE1007" s="147"/>
      <c r="AF1007" s="147"/>
      <c r="AG1007" s="147"/>
      <c r="AH1007" s="147"/>
      <c r="AI1007" s="147"/>
      <c r="AJ1007" s="147"/>
      <c r="AK1007" s="147"/>
      <c r="AL1007" s="147"/>
      <c r="AM1007" s="147"/>
      <c r="AN1007" s="147"/>
      <c r="AO1007" s="147"/>
      <c r="AP1007" s="147"/>
      <c r="AQ1007" s="147"/>
    </row>
    <row r="1008" spans="1:43">
      <c r="A1008" s="3"/>
      <c r="B1008" s="3"/>
      <c r="C1008" s="3"/>
      <c r="D1008" s="3"/>
      <c r="E1008" s="3"/>
      <c r="F1008" s="3"/>
      <c r="G1008" s="3"/>
      <c r="H1008" s="3"/>
      <c r="I1008" s="3"/>
      <c r="J1008" s="3"/>
      <c r="K1008" s="3"/>
      <c r="L1008" s="3"/>
      <c r="M1008" s="3"/>
      <c r="N1008" s="157"/>
      <c r="O1008" s="157"/>
      <c r="P1008" s="157"/>
      <c r="R1008" s="147"/>
      <c r="S1008" s="147"/>
      <c r="T1008" s="147"/>
      <c r="U1008" s="147"/>
      <c r="X1008" s="147"/>
      <c r="Y1008" s="147"/>
      <c r="Z1008" s="147"/>
      <c r="AA1008" s="147"/>
      <c r="AB1008" s="147"/>
      <c r="AC1008" s="147"/>
      <c r="AD1008" s="147"/>
      <c r="AE1008" s="147"/>
      <c r="AF1008" s="147"/>
      <c r="AG1008" s="147"/>
      <c r="AH1008" s="147"/>
      <c r="AI1008" s="147"/>
      <c r="AJ1008" s="147"/>
      <c r="AK1008" s="147"/>
      <c r="AL1008" s="147"/>
      <c r="AM1008" s="147"/>
      <c r="AN1008" s="147"/>
      <c r="AO1008" s="147"/>
      <c r="AP1008" s="147"/>
      <c r="AQ1008" s="147"/>
    </row>
    <row r="1009" spans="1:43">
      <c r="A1009" s="3"/>
      <c r="B1009" s="3"/>
      <c r="C1009" s="3"/>
      <c r="D1009" s="3"/>
      <c r="E1009" s="3"/>
      <c r="F1009" s="3"/>
      <c r="G1009" s="3"/>
      <c r="H1009" s="3"/>
      <c r="I1009" s="3"/>
      <c r="J1009" s="3"/>
      <c r="K1009" s="3"/>
      <c r="L1009" s="3"/>
      <c r="M1009" s="3"/>
      <c r="N1009" s="157"/>
      <c r="O1009" s="157"/>
      <c r="P1009" s="157"/>
      <c r="R1009" s="147"/>
      <c r="S1009" s="147"/>
      <c r="T1009" s="147"/>
      <c r="U1009" s="147"/>
      <c r="X1009" s="147"/>
      <c r="Y1009" s="147"/>
      <c r="Z1009" s="147"/>
      <c r="AA1009" s="147"/>
      <c r="AB1009" s="147"/>
      <c r="AC1009" s="147"/>
      <c r="AD1009" s="147"/>
      <c r="AE1009" s="147"/>
      <c r="AF1009" s="147"/>
      <c r="AG1009" s="147"/>
      <c r="AH1009" s="147"/>
      <c r="AI1009" s="147"/>
      <c r="AJ1009" s="147"/>
      <c r="AK1009" s="147"/>
      <c r="AL1009" s="147"/>
      <c r="AM1009" s="147"/>
      <c r="AN1009" s="147"/>
      <c r="AO1009" s="147"/>
      <c r="AP1009" s="147"/>
      <c r="AQ1009" s="147"/>
    </row>
    <row r="1010" spans="1:43">
      <c r="A1010" s="3"/>
      <c r="B1010" s="3"/>
      <c r="C1010" s="3"/>
      <c r="D1010" s="3"/>
      <c r="E1010" s="3"/>
      <c r="F1010" s="3"/>
      <c r="G1010" s="3"/>
      <c r="H1010" s="3"/>
      <c r="I1010" s="3"/>
      <c r="J1010" s="3"/>
      <c r="K1010" s="3"/>
      <c r="L1010" s="3"/>
      <c r="M1010" s="3"/>
      <c r="N1010" s="157"/>
      <c r="O1010" s="157"/>
      <c r="P1010" s="157"/>
      <c r="R1010" s="147"/>
      <c r="S1010" s="147"/>
      <c r="T1010" s="147"/>
      <c r="U1010" s="147"/>
      <c r="X1010" s="147"/>
      <c r="Y1010" s="147"/>
      <c r="Z1010" s="147"/>
      <c r="AA1010" s="147"/>
      <c r="AB1010" s="147"/>
      <c r="AC1010" s="147"/>
      <c r="AD1010" s="147"/>
      <c r="AE1010" s="147"/>
      <c r="AF1010" s="147"/>
      <c r="AG1010" s="147"/>
      <c r="AH1010" s="147"/>
      <c r="AI1010" s="147"/>
      <c r="AJ1010" s="147"/>
      <c r="AK1010" s="147"/>
      <c r="AL1010" s="147"/>
      <c r="AM1010" s="147"/>
      <c r="AN1010" s="147"/>
      <c r="AO1010" s="147"/>
      <c r="AP1010" s="147"/>
      <c r="AQ1010" s="147"/>
    </row>
    <row r="1011" spans="1:43">
      <c r="A1011" s="3"/>
      <c r="B1011" s="3"/>
      <c r="C1011" s="3"/>
      <c r="D1011" s="3"/>
      <c r="E1011" s="3"/>
      <c r="F1011" s="3"/>
      <c r="G1011" s="3"/>
      <c r="H1011" s="3"/>
      <c r="I1011" s="3"/>
      <c r="J1011" s="3"/>
      <c r="K1011" s="3"/>
      <c r="L1011" s="3"/>
      <c r="M1011" s="3"/>
      <c r="N1011" s="157"/>
      <c r="O1011" s="157"/>
      <c r="P1011" s="157"/>
      <c r="R1011" s="147"/>
      <c r="S1011" s="147"/>
      <c r="T1011" s="147"/>
      <c r="U1011" s="147"/>
      <c r="X1011" s="147"/>
      <c r="Y1011" s="147"/>
      <c r="Z1011" s="147"/>
      <c r="AA1011" s="147"/>
      <c r="AB1011" s="147"/>
      <c r="AC1011" s="147"/>
      <c r="AD1011" s="147"/>
      <c r="AE1011" s="147"/>
      <c r="AF1011" s="147"/>
      <c r="AG1011" s="147"/>
      <c r="AH1011" s="147"/>
      <c r="AI1011" s="147"/>
      <c r="AJ1011" s="147"/>
      <c r="AK1011" s="147"/>
      <c r="AL1011" s="147"/>
      <c r="AM1011" s="147"/>
      <c r="AN1011" s="147"/>
      <c r="AO1011" s="147"/>
      <c r="AP1011" s="147"/>
      <c r="AQ1011" s="147"/>
    </row>
    <row r="1012" spans="1:43">
      <c r="A1012" s="3"/>
      <c r="B1012" s="3"/>
      <c r="C1012" s="3"/>
      <c r="D1012" s="3"/>
      <c r="E1012" s="3"/>
      <c r="F1012" s="3"/>
      <c r="G1012" s="3"/>
      <c r="H1012" s="3"/>
      <c r="I1012" s="3"/>
      <c r="J1012" s="3"/>
      <c r="K1012" s="3"/>
      <c r="L1012" s="3"/>
      <c r="M1012" s="3"/>
      <c r="N1012" s="157"/>
      <c r="O1012" s="157"/>
      <c r="P1012" s="157"/>
      <c r="R1012" s="147"/>
      <c r="S1012" s="147"/>
      <c r="T1012" s="147"/>
      <c r="U1012" s="147"/>
      <c r="X1012" s="147"/>
      <c r="Y1012" s="147"/>
      <c r="Z1012" s="147"/>
      <c r="AA1012" s="147"/>
      <c r="AB1012" s="147"/>
      <c r="AC1012" s="147"/>
      <c r="AD1012" s="147"/>
      <c r="AE1012" s="147"/>
      <c r="AF1012" s="147"/>
      <c r="AG1012" s="147"/>
      <c r="AH1012" s="147"/>
      <c r="AI1012" s="147"/>
      <c r="AJ1012" s="147"/>
      <c r="AK1012" s="147"/>
      <c r="AL1012" s="147"/>
      <c r="AM1012" s="147"/>
      <c r="AN1012" s="147"/>
      <c r="AO1012" s="147"/>
      <c r="AP1012" s="147"/>
      <c r="AQ1012" s="147"/>
    </row>
    <row r="1013" spans="1:43">
      <c r="A1013" s="3"/>
      <c r="B1013" s="3"/>
      <c r="C1013" s="3"/>
      <c r="D1013" s="3"/>
      <c r="E1013" s="3"/>
      <c r="F1013" s="3"/>
      <c r="G1013" s="3"/>
      <c r="H1013" s="3"/>
      <c r="I1013" s="3"/>
      <c r="J1013" s="3"/>
      <c r="K1013" s="3"/>
      <c r="L1013" s="3"/>
      <c r="M1013" s="3"/>
      <c r="N1013" s="157"/>
      <c r="O1013" s="157"/>
      <c r="P1013" s="157"/>
      <c r="R1013" s="147"/>
      <c r="S1013" s="147"/>
      <c r="T1013" s="147"/>
      <c r="U1013" s="147"/>
      <c r="X1013" s="147"/>
      <c r="Y1013" s="147"/>
      <c r="Z1013" s="147"/>
      <c r="AA1013" s="147"/>
      <c r="AB1013" s="147"/>
      <c r="AC1013" s="147"/>
      <c r="AD1013" s="147"/>
      <c r="AE1013" s="147"/>
      <c r="AF1013" s="147"/>
      <c r="AG1013" s="147"/>
      <c r="AH1013" s="147"/>
      <c r="AI1013" s="147"/>
      <c r="AJ1013" s="147"/>
      <c r="AK1013" s="147"/>
      <c r="AL1013" s="147"/>
      <c r="AM1013" s="147"/>
      <c r="AN1013" s="147"/>
      <c r="AO1013" s="147"/>
      <c r="AP1013" s="147"/>
      <c r="AQ1013" s="147"/>
    </row>
    <row r="1014" spans="1:43">
      <c r="A1014" s="3"/>
      <c r="B1014" s="3"/>
      <c r="C1014" s="3"/>
      <c r="D1014" s="3"/>
      <c r="E1014" s="3"/>
      <c r="F1014" s="3"/>
      <c r="G1014" s="3"/>
      <c r="H1014" s="3"/>
      <c r="I1014" s="3"/>
      <c r="J1014" s="3"/>
      <c r="K1014" s="3"/>
      <c r="L1014" s="3"/>
      <c r="M1014" s="3"/>
      <c r="N1014" s="157"/>
      <c r="O1014" s="157"/>
      <c r="P1014" s="157"/>
      <c r="R1014" s="147"/>
      <c r="S1014" s="147"/>
      <c r="T1014" s="147"/>
      <c r="U1014" s="147"/>
      <c r="X1014" s="147"/>
      <c r="Y1014" s="147"/>
      <c r="Z1014" s="147"/>
      <c r="AA1014" s="147"/>
      <c r="AB1014" s="147"/>
      <c r="AC1014" s="147"/>
      <c r="AD1014" s="147"/>
      <c r="AE1014" s="147"/>
      <c r="AF1014" s="147"/>
      <c r="AG1014" s="147"/>
      <c r="AH1014" s="147"/>
      <c r="AI1014" s="147"/>
      <c r="AJ1014" s="147"/>
      <c r="AK1014" s="147"/>
      <c r="AL1014" s="147"/>
      <c r="AM1014" s="147"/>
      <c r="AN1014" s="147"/>
      <c r="AO1014" s="147"/>
      <c r="AP1014" s="147"/>
      <c r="AQ1014" s="147"/>
    </row>
    <row r="1015" spans="1:43">
      <c r="A1015" s="3"/>
      <c r="B1015" s="3"/>
      <c r="C1015" s="3"/>
      <c r="D1015" s="3"/>
      <c r="E1015" s="3"/>
      <c r="F1015" s="3"/>
      <c r="G1015" s="3"/>
      <c r="H1015" s="3"/>
      <c r="I1015" s="3"/>
      <c r="J1015" s="3"/>
      <c r="K1015" s="3"/>
      <c r="L1015" s="3"/>
      <c r="M1015" s="3"/>
      <c r="N1015" s="157"/>
      <c r="O1015" s="157"/>
      <c r="P1015" s="157"/>
      <c r="R1015" s="147"/>
      <c r="S1015" s="147"/>
      <c r="T1015" s="147"/>
      <c r="U1015" s="147"/>
      <c r="X1015" s="147"/>
      <c r="Y1015" s="147"/>
      <c r="Z1015" s="147"/>
      <c r="AA1015" s="147"/>
      <c r="AB1015" s="147"/>
      <c r="AC1015" s="147"/>
      <c r="AD1015" s="147"/>
      <c r="AE1015" s="147"/>
      <c r="AF1015" s="147"/>
      <c r="AG1015" s="147"/>
      <c r="AH1015" s="147"/>
      <c r="AI1015" s="147"/>
      <c r="AJ1015" s="147"/>
      <c r="AK1015" s="147"/>
      <c r="AL1015" s="147"/>
      <c r="AM1015" s="147"/>
      <c r="AN1015" s="147"/>
      <c r="AO1015" s="147"/>
      <c r="AP1015" s="147"/>
      <c r="AQ1015" s="147"/>
    </row>
    <row r="1016" spans="1:43">
      <c r="A1016" s="3"/>
      <c r="B1016" s="3"/>
      <c r="C1016" s="3"/>
      <c r="D1016" s="3"/>
      <c r="E1016" s="3"/>
      <c r="F1016" s="3"/>
      <c r="G1016" s="3"/>
      <c r="H1016" s="3"/>
      <c r="I1016" s="3"/>
      <c r="J1016" s="3"/>
      <c r="K1016" s="3"/>
      <c r="L1016" s="3"/>
      <c r="M1016" s="3"/>
      <c r="N1016" s="157"/>
      <c r="O1016" s="157"/>
      <c r="P1016" s="157"/>
      <c r="R1016" s="147"/>
      <c r="S1016" s="147"/>
      <c r="T1016" s="147"/>
      <c r="U1016" s="147"/>
      <c r="X1016" s="147"/>
      <c r="Y1016" s="147"/>
      <c r="Z1016" s="147"/>
      <c r="AA1016" s="147"/>
      <c r="AB1016" s="147"/>
      <c r="AC1016" s="147"/>
      <c r="AD1016" s="147"/>
      <c r="AE1016" s="147"/>
      <c r="AF1016" s="147"/>
      <c r="AG1016" s="147"/>
      <c r="AH1016" s="147"/>
      <c r="AI1016" s="147"/>
      <c r="AJ1016" s="147"/>
      <c r="AK1016" s="147"/>
      <c r="AL1016" s="147"/>
      <c r="AM1016" s="147"/>
      <c r="AN1016" s="147"/>
      <c r="AO1016" s="147"/>
      <c r="AP1016" s="147"/>
      <c r="AQ1016" s="147"/>
    </row>
    <row r="1017" spans="1:43">
      <c r="A1017" s="3"/>
      <c r="B1017" s="3"/>
      <c r="C1017" s="3"/>
      <c r="D1017" s="3"/>
      <c r="E1017" s="3"/>
      <c r="F1017" s="3"/>
      <c r="G1017" s="3"/>
      <c r="H1017" s="3"/>
      <c r="I1017" s="3"/>
      <c r="J1017" s="3"/>
      <c r="K1017" s="3"/>
      <c r="L1017" s="3"/>
      <c r="M1017" s="3"/>
      <c r="N1017" s="157"/>
      <c r="O1017" s="157"/>
      <c r="P1017" s="157"/>
      <c r="R1017" s="147"/>
      <c r="S1017" s="147"/>
      <c r="T1017" s="147"/>
      <c r="U1017" s="147"/>
      <c r="X1017" s="147"/>
      <c r="Y1017" s="147"/>
      <c r="Z1017" s="147"/>
      <c r="AA1017" s="147"/>
      <c r="AB1017" s="147"/>
      <c r="AC1017" s="147"/>
      <c r="AD1017" s="147"/>
      <c r="AE1017" s="147"/>
      <c r="AF1017" s="147"/>
      <c r="AG1017" s="147"/>
      <c r="AH1017" s="147"/>
      <c r="AI1017" s="147"/>
      <c r="AJ1017" s="147"/>
      <c r="AK1017" s="147"/>
      <c r="AL1017" s="147"/>
      <c r="AM1017" s="147"/>
      <c r="AN1017" s="147"/>
      <c r="AO1017" s="147"/>
      <c r="AP1017" s="147"/>
      <c r="AQ1017" s="147"/>
    </row>
    <row r="1018" spans="1:43">
      <c r="A1018" s="3"/>
      <c r="B1018" s="3"/>
      <c r="C1018" s="3"/>
      <c r="D1018" s="3"/>
      <c r="E1018" s="3"/>
      <c r="F1018" s="3"/>
      <c r="G1018" s="3"/>
      <c r="H1018" s="3"/>
      <c r="I1018" s="3"/>
      <c r="J1018" s="3"/>
      <c r="K1018" s="3"/>
      <c r="L1018" s="3"/>
      <c r="M1018" s="3"/>
      <c r="N1018" s="157"/>
      <c r="O1018" s="157"/>
      <c r="P1018" s="157"/>
      <c r="R1018" s="147"/>
      <c r="S1018" s="147"/>
      <c r="T1018" s="147"/>
      <c r="U1018" s="147"/>
      <c r="X1018" s="147"/>
      <c r="Y1018" s="147"/>
      <c r="Z1018" s="147"/>
      <c r="AA1018" s="147"/>
      <c r="AB1018" s="147"/>
      <c r="AC1018" s="147"/>
      <c r="AD1018" s="147"/>
      <c r="AE1018" s="147"/>
      <c r="AF1018" s="147"/>
      <c r="AG1018" s="147"/>
      <c r="AH1018" s="147"/>
      <c r="AI1018" s="147"/>
      <c r="AJ1018" s="147"/>
      <c r="AK1018" s="147"/>
      <c r="AL1018" s="147"/>
      <c r="AM1018" s="147"/>
      <c r="AN1018" s="147"/>
      <c r="AO1018" s="147"/>
      <c r="AP1018" s="147"/>
      <c r="AQ1018" s="147"/>
    </row>
    <row r="1019" spans="1:43">
      <c r="A1019" s="3"/>
      <c r="B1019" s="3"/>
      <c r="C1019" s="3"/>
      <c r="D1019" s="3"/>
      <c r="E1019" s="3"/>
      <c r="F1019" s="3"/>
      <c r="G1019" s="3"/>
      <c r="H1019" s="3"/>
      <c r="I1019" s="3"/>
      <c r="J1019" s="3"/>
      <c r="K1019" s="3"/>
      <c r="L1019" s="3"/>
      <c r="M1019" s="3"/>
      <c r="N1019" s="157"/>
      <c r="O1019" s="157"/>
      <c r="P1019" s="157"/>
      <c r="R1019" s="147"/>
      <c r="S1019" s="147"/>
      <c r="T1019" s="147"/>
      <c r="U1019" s="147"/>
      <c r="X1019" s="147"/>
      <c r="Y1019" s="147"/>
      <c r="Z1019" s="147"/>
      <c r="AA1019" s="147"/>
      <c r="AB1019" s="147"/>
      <c r="AC1019" s="147"/>
      <c r="AD1019" s="147"/>
      <c r="AE1019" s="147"/>
      <c r="AF1019" s="147"/>
      <c r="AG1019" s="147"/>
      <c r="AH1019" s="147"/>
      <c r="AI1019" s="147"/>
      <c r="AJ1019" s="147"/>
      <c r="AK1019" s="147"/>
      <c r="AL1019" s="147"/>
      <c r="AM1019" s="147"/>
      <c r="AN1019" s="147"/>
      <c r="AO1019" s="147"/>
      <c r="AP1019" s="147"/>
      <c r="AQ1019" s="147"/>
    </row>
    <row r="1020" spans="1:43">
      <c r="A1020" s="3"/>
      <c r="B1020" s="3"/>
      <c r="C1020" s="3"/>
      <c r="D1020" s="3"/>
      <c r="E1020" s="3"/>
      <c r="F1020" s="3"/>
      <c r="G1020" s="3"/>
      <c r="H1020" s="3"/>
      <c r="I1020" s="3"/>
      <c r="J1020" s="3"/>
      <c r="K1020" s="3"/>
      <c r="L1020" s="3"/>
      <c r="M1020" s="3"/>
      <c r="N1020" s="157"/>
      <c r="O1020" s="157"/>
      <c r="P1020" s="157"/>
      <c r="R1020" s="147"/>
      <c r="S1020" s="147"/>
      <c r="T1020" s="147"/>
      <c r="U1020" s="147"/>
      <c r="X1020" s="147"/>
      <c r="Y1020" s="147"/>
      <c r="Z1020" s="147"/>
      <c r="AA1020" s="147"/>
      <c r="AB1020" s="147"/>
      <c r="AC1020" s="147"/>
      <c r="AD1020" s="147"/>
      <c r="AE1020" s="147"/>
      <c r="AF1020" s="147"/>
      <c r="AG1020" s="147"/>
      <c r="AH1020" s="147"/>
      <c r="AI1020" s="147"/>
      <c r="AJ1020" s="147"/>
      <c r="AK1020" s="147"/>
      <c r="AL1020" s="147"/>
      <c r="AM1020" s="147"/>
      <c r="AN1020" s="147"/>
      <c r="AO1020" s="147"/>
      <c r="AP1020" s="147"/>
      <c r="AQ1020" s="147"/>
    </row>
    <row r="1021" spans="1:43">
      <c r="A1021" s="3"/>
      <c r="B1021" s="3"/>
      <c r="C1021" s="3"/>
      <c r="D1021" s="3"/>
      <c r="E1021" s="3"/>
      <c r="F1021" s="3"/>
      <c r="G1021" s="3"/>
      <c r="H1021" s="3"/>
      <c r="I1021" s="3"/>
      <c r="J1021" s="3"/>
      <c r="K1021" s="3"/>
      <c r="L1021" s="3"/>
      <c r="M1021" s="3"/>
      <c r="N1021" s="157"/>
      <c r="O1021" s="157"/>
      <c r="P1021" s="157"/>
      <c r="R1021" s="147"/>
      <c r="S1021" s="147"/>
      <c r="T1021" s="147"/>
      <c r="U1021" s="147"/>
      <c r="X1021" s="147"/>
      <c r="Y1021" s="147"/>
      <c r="Z1021" s="147"/>
      <c r="AA1021" s="147"/>
      <c r="AB1021" s="147"/>
      <c r="AC1021" s="147"/>
      <c r="AD1021" s="147"/>
      <c r="AE1021" s="147"/>
      <c r="AF1021" s="147"/>
      <c r="AG1021" s="147"/>
      <c r="AH1021" s="147"/>
      <c r="AI1021" s="147"/>
      <c r="AJ1021" s="147"/>
      <c r="AK1021" s="147"/>
      <c r="AL1021" s="147"/>
      <c r="AM1021" s="147"/>
      <c r="AN1021" s="147"/>
      <c r="AO1021" s="147"/>
      <c r="AP1021" s="147"/>
      <c r="AQ1021" s="147"/>
    </row>
    <row r="1022" spans="1:43">
      <c r="A1022" s="3"/>
      <c r="B1022" s="3"/>
      <c r="C1022" s="3"/>
      <c r="D1022" s="3"/>
      <c r="E1022" s="3"/>
      <c r="F1022" s="3"/>
      <c r="G1022" s="3"/>
      <c r="H1022" s="3"/>
      <c r="I1022" s="3"/>
      <c r="J1022" s="3"/>
      <c r="K1022" s="3"/>
      <c r="L1022" s="3"/>
      <c r="M1022" s="3"/>
      <c r="N1022" s="157"/>
      <c r="O1022" s="157"/>
      <c r="P1022" s="157"/>
      <c r="R1022" s="147"/>
      <c r="S1022" s="147"/>
      <c r="T1022" s="147"/>
      <c r="U1022" s="147"/>
      <c r="X1022" s="147"/>
      <c r="Y1022" s="147"/>
      <c r="Z1022" s="147"/>
      <c r="AA1022" s="147"/>
      <c r="AB1022" s="147"/>
      <c r="AC1022" s="147"/>
      <c r="AD1022" s="147"/>
      <c r="AE1022" s="147"/>
      <c r="AF1022" s="147"/>
      <c r="AG1022" s="147"/>
      <c r="AH1022" s="147"/>
      <c r="AI1022" s="147"/>
      <c r="AJ1022" s="147"/>
      <c r="AK1022" s="147"/>
      <c r="AL1022" s="147"/>
      <c r="AM1022" s="147"/>
      <c r="AN1022" s="147"/>
      <c r="AO1022" s="147"/>
      <c r="AP1022" s="147"/>
      <c r="AQ1022" s="147"/>
    </row>
    <row r="1023" spans="1:43">
      <c r="A1023" s="3"/>
      <c r="B1023" s="3"/>
      <c r="C1023" s="3"/>
      <c r="D1023" s="3"/>
      <c r="E1023" s="3"/>
      <c r="F1023" s="3"/>
      <c r="G1023" s="3"/>
      <c r="H1023" s="3"/>
      <c r="I1023" s="3"/>
      <c r="J1023" s="3"/>
      <c r="K1023" s="3"/>
      <c r="L1023" s="3"/>
      <c r="M1023" s="3"/>
      <c r="N1023" s="157"/>
      <c r="O1023" s="157"/>
      <c r="P1023" s="157"/>
      <c r="R1023" s="147"/>
      <c r="S1023" s="147"/>
      <c r="T1023" s="147"/>
      <c r="U1023" s="147"/>
      <c r="X1023" s="147"/>
      <c r="Y1023" s="147"/>
      <c r="Z1023" s="147"/>
      <c r="AA1023" s="147"/>
      <c r="AB1023" s="147"/>
      <c r="AC1023" s="147"/>
      <c r="AD1023" s="147"/>
      <c r="AE1023" s="147"/>
      <c r="AF1023" s="147"/>
      <c r="AG1023" s="147"/>
      <c r="AH1023" s="147"/>
      <c r="AI1023" s="147"/>
      <c r="AJ1023" s="147"/>
      <c r="AK1023" s="147"/>
      <c r="AL1023" s="147"/>
      <c r="AM1023" s="147"/>
      <c r="AN1023" s="147"/>
      <c r="AO1023" s="147"/>
      <c r="AP1023" s="147"/>
      <c r="AQ1023" s="147"/>
    </row>
    <row r="1024" spans="1:43">
      <c r="A1024" s="3"/>
      <c r="B1024" s="3"/>
      <c r="C1024" s="3"/>
      <c r="D1024" s="3"/>
      <c r="E1024" s="3"/>
      <c r="F1024" s="3"/>
      <c r="G1024" s="3"/>
      <c r="H1024" s="3"/>
      <c r="I1024" s="3"/>
      <c r="J1024" s="3"/>
      <c r="K1024" s="3"/>
      <c r="L1024" s="3"/>
      <c r="M1024" s="3"/>
      <c r="N1024" s="157"/>
      <c r="O1024" s="157"/>
      <c r="P1024" s="157"/>
      <c r="R1024" s="147"/>
      <c r="S1024" s="147"/>
      <c r="T1024" s="147"/>
      <c r="U1024" s="147"/>
      <c r="X1024" s="147"/>
      <c r="Y1024" s="147"/>
      <c r="Z1024" s="147"/>
      <c r="AA1024" s="147"/>
      <c r="AB1024" s="147"/>
      <c r="AC1024" s="147"/>
      <c r="AD1024" s="147"/>
      <c r="AE1024" s="147"/>
      <c r="AF1024" s="147"/>
      <c r="AG1024" s="147"/>
      <c r="AH1024" s="147"/>
      <c r="AI1024" s="147"/>
      <c r="AJ1024" s="147"/>
      <c r="AK1024" s="147"/>
      <c r="AL1024" s="147"/>
      <c r="AM1024" s="147"/>
      <c r="AN1024" s="147"/>
      <c r="AO1024" s="147"/>
      <c r="AP1024" s="147"/>
      <c r="AQ1024" s="147"/>
    </row>
    <row r="1025" spans="1:43">
      <c r="A1025" s="3"/>
      <c r="B1025" s="3"/>
      <c r="C1025" s="3"/>
      <c r="D1025" s="3"/>
      <c r="E1025" s="3"/>
      <c r="F1025" s="3"/>
      <c r="G1025" s="3"/>
      <c r="H1025" s="3"/>
      <c r="I1025" s="3"/>
      <c r="J1025" s="3"/>
      <c r="K1025" s="3"/>
      <c r="L1025" s="3"/>
      <c r="M1025" s="3"/>
      <c r="N1025" s="157"/>
      <c r="O1025" s="157"/>
      <c r="P1025" s="157"/>
      <c r="R1025" s="147"/>
      <c r="S1025" s="147"/>
      <c r="T1025" s="147"/>
      <c r="U1025" s="147"/>
      <c r="X1025" s="147"/>
      <c r="Y1025" s="147"/>
      <c r="Z1025" s="147"/>
      <c r="AA1025" s="147"/>
      <c r="AB1025" s="147"/>
      <c r="AC1025" s="147"/>
      <c r="AD1025" s="147"/>
      <c r="AE1025" s="147"/>
      <c r="AF1025" s="147"/>
      <c r="AG1025" s="147"/>
      <c r="AH1025" s="147"/>
      <c r="AI1025" s="147"/>
      <c r="AJ1025" s="147"/>
      <c r="AK1025" s="147"/>
      <c r="AL1025" s="147"/>
      <c r="AM1025" s="147"/>
      <c r="AN1025" s="147"/>
      <c r="AO1025" s="147"/>
      <c r="AP1025" s="147"/>
      <c r="AQ1025" s="147"/>
    </row>
    <row r="1026" spans="1:43">
      <c r="A1026" s="3"/>
      <c r="B1026" s="3"/>
      <c r="C1026" s="3"/>
      <c r="D1026" s="3"/>
      <c r="E1026" s="3"/>
      <c r="F1026" s="3"/>
      <c r="G1026" s="3"/>
      <c r="H1026" s="3"/>
      <c r="I1026" s="3"/>
      <c r="J1026" s="3"/>
      <c r="K1026" s="3"/>
      <c r="L1026" s="3"/>
      <c r="M1026" s="3"/>
      <c r="N1026" s="157"/>
      <c r="O1026" s="157"/>
      <c r="P1026" s="157"/>
      <c r="R1026" s="147"/>
      <c r="S1026" s="147"/>
      <c r="T1026" s="147"/>
      <c r="U1026" s="147"/>
      <c r="X1026" s="147"/>
      <c r="Y1026" s="147"/>
      <c r="Z1026" s="147"/>
      <c r="AA1026" s="147"/>
      <c r="AB1026" s="147"/>
      <c r="AC1026" s="147"/>
      <c r="AD1026" s="147"/>
      <c r="AE1026" s="147"/>
      <c r="AF1026" s="147"/>
      <c r="AG1026" s="147"/>
      <c r="AH1026" s="147"/>
      <c r="AI1026" s="147"/>
      <c r="AJ1026" s="147"/>
      <c r="AK1026" s="147"/>
      <c r="AL1026" s="147"/>
      <c r="AM1026" s="147"/>
      <c r="AN1026" s="147"/>
      <c r="AO1026" s="147"/>
      <c r="AP1026" s="147"/>
      <c r="AQ1026" s="147"/>
    </row>
    <row r="1027" spans="1:43">
      <c r="A1027" s="3"/>
      <c r="B1027" s="3"/>
      <c r="C1027" s="3"/>
      <c r="D1027" s="3"/>
      <c r="E1027" s="3"/>
      <c r="F1027" s="3"/>
      <c r="G1027" s="3"/>
      <c r="H1027" s="3"/>
      <c r="I1027" s="3"/>
      <c r="J1027" s="3"/>
      <c r="K1027" s="3"/>
      <c r="L1027" s="3"/>
      <c r="M1027" s="3"/>
      <c r="N1027" s="157"/>
      <c r="O1027" s="157"/>
      <c r="P1027" s="157"/>
      <c r="R1027" s="147"/>
      <c r="S1027" s="147"/>
      <c r="T1027" s="147"/>
      <c r="U1027" s="147"/>
      <c r="X1027" s="147"/>
      <c r="Y1027" s="147"/>
      <c r="Z1027" s="147"/>
      <c r="AA1027" s="147"/>
      <c r="AB1027" s="147"/>
      <c r="AC1027" s="147"/>
      <c r="AD1027" s="147"/>
      <c r="AE1027" s="147"/>
      <c r="AF1027" s="147"/>
      <c r="AG1027" s="147"/>
      <c r="AH1027" s="147"/>
      <c r="AI1027" s="147"/>
      <c r="AJ1027" s="147"/>
      <c r="AK1027" s="147"/>
      <c r="AL1027" s="147"/>
      <c r="AM1027" s="147"/>
      <c r="AN1027" s="147"/>
      <c r="AO1027" s="147"/>
      <c r="AP1027" s="147"/>
      <c r="AQ1027" s="147"/>
    </row>
    <row r="1028" spans="1:43">
      <c r="A1028" s="3"/>
      <c r="B1028" s="3"/>
      <c r="C1028" s="3"/>
      <c r="D1028" s="3"/>
      <c r="E1028" s="3"/>
      <c r="F1028" s="3"/>
      <c r="G1028" s="3"/>
      <c r="H1028" s="3"/>
      <c r="I1028" s="3"/>
      <c r="J1028" s="3"/>
      <c r="K1028" s="3"/>
      <c r="L1028" s="3"/>
      <c r="M1028" s="3"/>
      <c r="N1028" s="157"/>
      <c r="O1028" s="157"/>
      <c r="P1028" s="157"/>
      <c r="R1028" s="147"/>
      <c r="S1028" s="147"/>
      <c r="T1028" s="147"/>
      <c r="U1028" s="147"/>
      <c r="X1028" s="147"/>
      <c r="Y1028" s="147"/>
      <c r="Z1028" s="147"/>
      <c r="AA1028" s="147"/>
      <c r="AB1028" s="147"/>
      <c r="AC1028" s="147"/>
      <c r="AD1028" s="147"/>
      <c r="AE1028" s="147"/>
      <c r="AF1028" s="147"/>
      <c r="AG1028" s="147"/>
      <c r="AH1028" s="147"/>
      <c r="AI1028" s="147"/>
      <c r="AJ1028" s="147"/>
      <c r="AK1028" s="147"/>
      <c r="AL1028" s="147"/>
      <c r="AM1028" s="147"/>
      <c r="AN1028" s="147"/>
      <c r="AO1028" s="147"/>
      <c r="AP1028" s="147"/>
      <c r="AQ1028" s="147"/>
    </row>
    <row r="1029" spans="1:43">
      <c r="A1029" s="3"/>
      <c r="B1029" s="3"/>
      <c r="C1029" s="3"/>
      <c r="D1029" s="3"/>
      <c r="E1029" s="3"/>
      <c r="F1029" s="3"/>
      <c r="G1029" s="3"/>
      <c r="H1029" s="3"/>
      <c r="I1029" s="3"/>
      <c r="J1029" s="3"/>
      <c r="K1029" s="3"/>
      <c r="L1029" s="3"/>
      <c r="M1029" s="3"/>
      <c r="N1029" s="157"/>
      <c r="O1029" s="157"/>
      <c r="P1029" s="157"/>
      <c r="R1029" s="147"/>
      <c r="S1029" s="147"/>
      <c r="T1029" s="147"/>
      <c r="U1029" s="147"/>
      <c r="X1029" s="147"/>
      <c r="Y1029" s="147"/>
      <c r="Z1029" s="147"/>
      <c r="AA1029" s="147"/>
      <c r="AB1029" s="147"/>
      <c r="AC1029" s="147"/>
      <c r="AD1029" s="147"/>
      <c r="AE1029" s="147"/>
      <c r="AF1029" s="147"/>
      <c r="AG1029" s="147"/>
      <c r="AH1029" s="147"/>
      <c r="AI1029" s="147"/>
      <c r="AJ1029" s="147"/>
      <c r="AK1029" s="147"/>
      <c r="AL1029" s="147"/>
      <c r="AM1029" s="147"/>
      <c r="AN1029" s="147"/>
      <c r="AO1029" s="147"/>
      <c r="AP1029" s="147"/>
      <c r="AQ1029" s="147"/>
    </row>
    <row r="1030" spans="1:43">
      <c r="A1030" s="3"/>
      <c r="B1030" s="3"/>
      <c r="C1030" s="3"/>
      <c r="D1030" s="3"/>
      <c r="E1030" s="3"/>
      <c r="F1030" s="3"/>
      <c r="G1030" s="3"/>
      <c r="H1030" s="3"/>
      <c r="I1030" s="3"/>
      <c r="J1030" s="3"/>
      <c r="K1030" s="3"/>
      <c r="L1030" s="3"/>
      <c r="M1030" s="3"/>
      <c r="N1030" s="157"/>
      <c r="O1030" s="157"/>
      <c r="P1030" s="157"/>
      <c r="R1030" s="147"/>
      <c r="S1030" s="147"/>
      <c r="T1030" s="147"/>
      <c r="U1030" s="147"/>
      <c r="X1030" s="147"/>
      <c r="Y1030" s="147"/>
      <c r="Z1030" s="147"/>
      <c r="AA1030" s="147"/>
      <c r="AB1030" s="147"/>
      <c r="AC1030" s="147"/>
      <c r="AD1030" s="147"/>
      <c r="AE1030" s="147"/>
      <c r="AF1030" s="147"/>
      <c r="AG1030" s="147"/>
      <c r="AH1030" s="147"/>
      <c r="AI1030" s="147"/>
      <c r="AJ1030" s="147"/>
      <c r="AK1030" s="147"/>
      <c r="AL1030" s="147"/>
      <c r="AM1030" s="147"/>
      <c r="AN1030" s="147"/>
      <c r="AO1030" s="147"/>
      <c r="AP1030" s="147"/>
      <c r="AQ1030" s="147"/>
    </row>
    <row r="1031" spans="1:43">
      <c r="A1031" s="3"/>
      <c r="B1031" s="3"/>
      <c r="C1031" s="3"/>
      <c r="D1031" s="3"/>
      <c r="E1031" s="3"/>
      <c r="F1031" s="3"/>
      <c r="G1031" s="3"/>
      <c r="H1031" s="3"/>
      <c r="I1031" s="3"/>
      <c r="J1031" s="3"/>
      <c r="K1031" s="3"/>
      <c r="L1031" s="3"/>
      <c r="M1031" s="3"/>
      <c r="N1031" s="157"/>
      <c r="O1031" s="157"/>
      <c r="P1031" s="157"/>
      <c r="R1031" s="147"/>
      <c r="S1031" s="147"/>
      <c r="T1031" s="147"/>
      <c r="U1031" s="147"/>
      <c r="X1031" s="147"/>
      <c r="Y1031" s="147"/>
      <c r="Z1031" s="147"/>
      <c r="AA1031" s="147"/>
      <c r="AB1031" s="147"/>
      <c r="AC1031" s="147"/>
      <c r="AD1031" s="147"/>
      <c r="AE1031" s="147"/>
      <c r="AF1031" s="147"/>
      <c r="AG1031" s="147"/>
      <c r="AH1031" s="147"/>
      <c r="AI1031" s="147"/>
      <c r="AJ1031" s="147"/>
      <c r="AK1031" s="147"/>
      <c r="AL1031" s="147"/>
      <c r="AM1031" s="147"/>
      <c r="AN1031" s="147"/>
      <c r="AO1031" s="147"/>
      <c r="AP1031" s="147"/>
      <c r="AQ1031" s="147"/>
    </row>
    <row r="1032" spans="1:43">
      <c r="A1032" s="3"/>
      <c r="B1032" s="3"/>
      <c r="C1032" s="3"/>
      <c r="D1032" s="3"/>
      <c r="E1032" s="3"/>
      <c r="F1032" s="3"/>
      <c r="G1032" s="3"/>
      <c r="H1032" s="3"/>
      <c r="I1032" s="3"/>
      <c r="J1032" s="3"/>
      <c r="K1032" s="3"/>
      <c r="L1032" s="3"/>
      <c r="M1032" s="3"/>
      <c r="N1032" s="157"/>
      <c r="O1032" s="157"/>
      <c r="P1032" s="157"/>
      <c r="R1032" s="147"/>
      <c r="S1032" s="147"/>
      <c r="T1032" s="147"/>
      <c r="U1032" s="147"/>
      <c r="X1032" s="147"/>
      <c r="Y1032" s="147"/>
      <c r="Z1032" s="147"/>
      <c r="AA1032" s="147"/>
      <c r="AB1032" s="147"/>
      <c r="AC1032" s="147"/>
      <c r="AD1032" s="147"/>
      <c r="AE1032" s="147"/>
      <c r="AF1032" s="147"/>
      <c r="AG1032" s="147"/>
      <c r="AH1032" s="147"/>
      <c r="AI1032" s="147"/>
      <c r="AJ1032" s="147"/>
      <c r="AK1032" s="147"/>
      <c r="AL1032" s="147"/>
      <c r="AM1032" s="147"/>
      <c r="AN1032" s="147"/>
      <c r="AO1032" s="147"/>
      <c r="AP1032" s="147"/>
      <c r="AQ1032" s="147"/>
    </row>
    <row r="1033" spans="1:43">
      <c r="A1033" s="3"/>
      <c r="B1033" s="3"/>
      <c r="C1033" s="3"/>
      <c r="D1033" s="3"/>
      <c r="E1033" s="3"/>
      <c r="F1033" s="3"/>
      <c r="G1033" s="3"/>
      <c r="H1033" s="3"/>
      <c r="I1033" s="3"/>
      <c r="J1033" s="3"/>
      <c r="K1033" s="3"/>
      <c r="L1033" s="3"/>
      <c r="M1033" s="3"/>
      <c r="N1033" s="157"/>
      <c r="O1033" s="157"/>
      <c r="P1033" s="157"/>
      <c r="R1033" s="147"/>
      <c r="S1033" s="147"/>
      <c r="T1033" s="147"/>
      <c r="U1033" s="147"/>
      <c r="X1033" s="147"/>
      <c r="Y1033" s="147"/>
      <c r="Z1033" s="147"/>
      <c r="AA1033" s="147"/>
      <c r="AB1033" s="147"/>
      <c r="AC1033" s="147"/>
      <c r="AD1033" s="147"/>
      <c r="AE1033" s="147"/>
      <c r="AF1033" s="147"/>
      <c r="AG1033" s="147"/>
      <c r="AH1033" s="147"/>
      <c r="AI1033" s="147"/>
      <c r="AJ1033" s="147"/>
      <c r="AK1033" s="147"/>
      <c r="AL1033" s="147"/>
      <c r="AM1033" s="147"/>
      <c r="AN1033" s="147"/>
      <c r="AO1033" s="147"/>
      <c r="AP1033" s="147"/>
      <c r="AQ1033" s="147"/>
    </row>
    <row r="1034" spans="1:43">
      <c r="A1034" s="3"/>
      <c r="B1034" s="3"/>
      <c r="C1034" s="3"/>
      <c r="D1034" s="3"/>
      <c r="E1034" s="3"/>
      <c r="F1034" s="3"/>
      <c r="G1034" s="3"/>
      <c r="H1034" s="3"/>
      <c r="I1034" s="3"/>
      <c r="J1034" s="3"/>
      <c r="K1034" s="3"/>
      <c r="L1034" s="3"/>
      <c r="M1034" s="3"/>
      <c r="N1034" s="157"/>
      <c r="O1034" s="157"/>
      <c r="P1034" s="157"/>
      <c r="R1034" s="147"/>
      <c r="S1034" s="147"/>
      <c r="T1034" s="147"/>
      <c r="U1034" s="147"/>
      <c r="X1034" s="147"/>
      <c r="Y1034" s="147"/>
      <c r="Z1034" s="147"/>
      <c r="AA1034" s="147"/>
      <c r="AB1034" s="147"/>
      <c r="AC1034" s="147"/>
      <c r="AD1034" s="147"/>
      <c r="AE1034" s="147"/>
      <c r="AF1034" s="147"/>
      <c r="AG1034" s="147"/>
      <c r="AH1034" s="147"/>
      <c r="AI1034" s="147"/>
      <c r="AJ1034" s="147"/>
      <c r="AK1034" s="147"/>
      <c r="AL1034" s="147"/>
      <c r="AM1034" s="147"/>
      <c r="AN1034" s="147"/>
      <c r="AO1034" s="147"/>
      <c r="AP1034" s="147"/>
      <c r="AQ1034" s="147"/>
    </row>
    <row r="1035" spans="1:43">
      <c r="A1035" s="3"/>
      <c r="B1035" s="3"/>
      <c r="C1035" s="3"/>
      <c r="D1035" s="3"/>
      <c r="E1035" s="3"/>
      <c r="F1035" s="3"/>
      <c r="G1035" s="3"/>
      <c r="H1035" s="3"/>
      <c r="I1035" s="3"/>
      <c r="J1035" s="3"/>
      <c r="K1035" s="3"/>
      <c r="L1035" s="3"/>
      <c r="M1035" s="3"/>
      <c r="N1035" s="157"/>
      <c r="O1035" s="157"/>
      <c r="P1035" s="157"/>
      <c r="R1035" s="147"/>
      <c r="S1035" s="147"/>
      <c r="T1035" s="147"/>
      <c r="U1035" s="147"/>
      <c r="X1035" s="147"/>
      <c r="Y1035" s="147"/>
      <c r="Z1035" s="147"/>
      <c r="AA1035" s="147"/>
      <c r="AB1035" s="147"/>
      <c r="AC1035" s="147"/>
      <c r="AD1035" s="147"/>
      <c r="AE1035" s="147"/>
      <c r="AF1035" s="147"/>
      <c r="AG1035" s="147"/>
      <c r="AH1035" s="147"/>
      <c r="AI1035" s="147"/>
      <c r="AJ1035" s="147"/>
      <c r="AK1035" s="147"/>
      <c r="AL1035" s="147"/>
      <c r="AM1035" s="147"/>
      <c r="AN1035" s="147"/>
      <c r="AO1035" s="147"/>
      <c r="AP1035" s="147"/>
      <c r="AQ1035" s="147"/>
    </row>
    <row r="1036" spans="1:43">
      <c r="A1036" s="3"/>
      <c r="B1036" s="3"/>
      <c r="C1036" s="3"/>
      <c r="D1036" s="3"/>
      <c r="E1036" s="3"/>
      <c r="F1036" s="3"/>
      <c r="G1036" s="3"/>
      <c r="H1036" s="3"/>
      <c r="I1036" s="3"/>
      <c r="J1036" s="3"/>
      <c r="K1036" s="3"/>
      <c r="L1036" s="3"/>
      <c r="M1036" s="3"/>
      <c r="N1036" s="157"/>
      <c r="O1036" s="157"/>
      <c r="P1036" s="157"/>
      <c r="R1036" s="147"/>
      <c r="S1036" s="147"/>
      <c r="T1036" s="147"/>
      <c r="U1036" s="147"/>
      <c r="X1036" s="147"/>
      <c r="Y1036" s="147"/>
      <c r="Z1036" s="147"/>
      <c r="AA1036" s="147"/>
      <c r="AB1036" s="147"/>
      <c r="AC1036" s="147"/>
      <c r="AD1036" s="147"/>
      <c r="AE1036" s="147"/>
      <c r="AF1036" s="147"/>
      <c r="AG1036" s="147"/>
      <c r="AH1036" s="147"/>
      <c r="AI1036" s="147"/>
      <c r="AJ1036" s="147"/>
      <c r="AK1036" s="147"/>
      <c r="AL1036" s="147"/>
      <c r="AM1036" s="147"/>
      <c r="AN1036" s="147"/>
      <c r="AO1036" s="147"/>
      <c r="AP1036" s="147"/>
      <c r="AQ1036" s="147"/>
    </row>
    <row r="1037" spans="1:43">
      <c r="A1037" s="3"/>
      <c r="B1037" s="3"/>
      <c r="C1037" s="3"/>
      <c r="D1037" s="3"/>
      <c r="E1037" s="3"/>
      <c r="F1037" s="3"/>
      <c r="G1037" s="3"/>
      <c r="H1037" s="3"/>
      <c r="I1037" s="3"/>
      <c r="J1037" s="3"/>
      <c r="K1037" s="3"/>
      <c r="L1037" s="3"/>
      <c r="M1037" s="3"/>
      <c r="N1037" s="157"/>
      <c r="O1037" s="157"/>
      <c r="P1037" s="157"/>
      <c r="R1037" s="147"/>
      <c r="S1037" s="147"/>
      <c r="T1037" s="147"/>
      <c r="U1037" s="147"/>
      <c r="X1037" s="147"/>
      <c r="Y1037" s="147"/>
      <c r="Z1037" s="147"/>
      <c r="AA1037" s="147"/>
      <c r="AB1037" s="147"/>
      <c r="AC1037" s="147"/>
      <c r="AD1037" s="147"/>
      <c r="AE1037" s="147"/>
      <c r="AF1037" s="147"/>
      <c r="AG1037" s="147"/>
      <c r="AH1037" s="147"/>
      <c r="AI1037" s="147"/>
      <c r="AJ1037" s="147"/>
      <c r="AK1037" s="147"/>
      <c r="AL1037" s="147"/>
      <c r="AM1037" s="147"/>
      <c r="AN1037" s="147"/>
      <c r="AO1037" s="147"/>
      <c r="AP1037" s="147"/>
      <c r="AQ1037" s="147"/>
    </row>
    <row r="1038" spans="1:43">
      <c r="A1038" s="3"/>
      <c r="B1038" s="3"/>
      <c r="C1038" s="3"/>
      <c r="D1038" s="3"/>
      <c r="E1038" s="3"/>
      <c r="F1038" s="3"/>
      <c r="G1038" s="3"/>
      <c r="H1038" s="3"/>
      <c r="I1038" s="3"/>
      <c r="J1038" s="3"/>
      <c r="K1038" s="3"/>
      <c r="L1038" s="3"/>
      <c r="M1038" s="3"/>
      <c r="N1038" s="157"/>
      <c r="O1038" s="157"/>
      <c r="P1038" s="157"/>
      <c r="R1038" s="147"/>
      <c r="S1038" s="147"/>
      <c r="T1038" s="147"/>
      <c r="U1038" s="147"/>
      <c r="X1038" s="147"/>
      <c r="Y1038" s="147"/>
      <c r="Z1038" s="147"/>
      <c r="AA1038" s="147"/>
      <c r="AB1038" s="147"/>
      <c r="AC1038" s="147"/>
      <c r="AD1038" s="147"/>
      <c r="AE1038" s="147"/>
      <c r="AF1038" s="147"/>
      <c r="AG1038" s="147"/>
      <c r="AH1038" s="147"/>
      <c r="AI1038" s="147"/>
      <c r="AJ1038" s="147"/>
      <c r="AK1038" s="147"/>
      <c r="AL1038" s="147"/>
      <c r="AM1038" s="147"/>
      <c r="AN1038" s="147"/>
      <c r="AO1038" s="147"/>
      <c r="AP1038" s="147"/>
      <c r="AQ1038" s="147"/>
    </row>
    <row r="1039" spans="1:43">
      <c r="A1039" s="3"/>
      <c r="B1039" s="3"/>
      <c r="C1039" s="3"/>
      <c r="D1039" s="3"/>
      <c r="E1039" s="3"/>
      <c r="F1039" s="3"/>
      <c r="G1039" s="3"/>
      <c r="H1039" s="3"/>
      <c r="I1039" s="3"/>
      <c r="J1039" s="3"/>
      <c r="K1039" s="3"/>
      <c r="L1039" s="3"/>
      <c r="M1039" s="3"/>
      <c r="N1039" s="157"/>
      <c r="O1039" s="157"/>
      <c r="P1039" s="157"/>
      <c r="R1039" s="147"/>
      <c r="S1039" s="147"/>
      <c r="T1039" s="147"/>
      <c r="U1039" s="147"/>
      <c r="X1039" s="147"/>
      <c r="Y1039" s="147"/>
      <c r="Z1039" s="147"/>
      <c r="AA1039" s="147"/>
      <c r="AB1039" s="147"/>
      <c r="AC1039" s="147"/>
      <c r="AD1039" s="147"/>
      <c r="AE1039" s="147"/>
      <c r="AF1039" s="147"/>
      <c r="AG1039" s="147"/>
      <c r="AH1039" s="147"/>
      <c r="AI1039" s="147"/>
      <c r="AJ1039" s="147"/>
      <c r="AK1039" s="147"/>
      <c r="AL1039" s="147"/>
      <c r="AM1039" s="147"/>
      <c r="AN1039" s="147"/>
      <c r="AO1039" s="147"/>
      <c r="AP1039" s="147"/>
      <c r="AQ1039" s="147"/>
    </row>
    <row r="1040" spans="1:43">
      <c r="A1040" s="3"/>
      <c r="B1040" s="3"/>
      <c r="C1040" s="3"/>
      <c r="D1040" s="3"/>
      <c r="E1040" s="3"/>
      <c r="F1040" s="3"/>
      <c r="G1040" s="3"/>
      <c r="H1040" s="3"/>
      <c r="I1040" s="3"/>
      <c r="J1040" s="3"/>
      <c r="K1040" s="3"/>
      <c r="L1040" s="3"/>
      <c r="M1040" s="3"/>
      <c r="N1040" s="157"/>
      <c r="O1040" s="157"/>
      <c r="P1040" s="157"/>
      <c r="R1040" s="147"/>
      <c r="S1040" s="147"/>
      <c r="T1040" s="147"/>
      <c r="U1040" s="147"/>
      <c r="X1040" s="147"/>
      <c r="Y1040" s="147"/>
      <c r="Z1040" s="147"/>
      <c r="AA1040" s="147"/>
      <c r="AB1040" s="147"/>
      <c r="AC1040" s="147"/>
      <c r="AD1040" s="147"/>
      <c r="AE1040" s="147"/>
      <c r="AF1040" s="147"/>
      <c r="AG1040" s="147"/>
      <c r="AH1040" s="147"/>
      <c r="AI1040" s="147"/>
      <c r="AJ1040" s="147"/>
      <c r="AK1040" s="147"/>
      <c r="AL1040" s="147"/>
      <c r="AM1040" s="147"/>
      <c r="AN1040" s="147"/>
      <c r="AO1040" s="147"/>
      <c r="AP1040" s="147"/>
      <c r="AQ1040" s="147"/>
    </row>
    <row r="1041" spans="1:43">
      <c r="A1041" s="3"/>
      <c r="B1041" s="3"/>
      <c r="C1041" s="3"/>
      <c r="D1041" s="3"/>
      <c r="E1041" s="3"/>
      <c r="F1041" s="3"/>
      <c r="G1041" s="3"/>
      <c r="H1041" s="3"/>
      <c r="I1041" s="3"/>
      <c r="J1041" s="3"/>
      <c r="K1041" s="3"/>
      <c r="L1041" s="3"/>
      <c r="M1041" s="3"/>
      <c r="N1041" s="157"/>
      <c r="O1041" s="157"/>
      <c r="P1041" s="157"/>
      <c r="R1041" s="147"/>
      <c r="S1041" s="147"/>
      <c r="T1041" s="147"/>
      <c r="U1041" s="147"/>
      <c r="X1041" s="147"/>
      <c r="Y1041" s="147"/>
      <c r="Z1041" s="147"/>
      <c r="AA1041" s="147"/>
      <c r="AB1041" s="147"/>
      <c r="AC1041" s="147"/>
      <c r="AD1041" s="147"/>
      <c r="AE1041" s="147"/>
      <c r="AF1041" s="147"/>
      <c r="AG1041" s="147"/>
      <c r="AH1041" s="147"/>
      <c r="AI1041" s="147"/>
      <c r="AJ1041" s="147"/>
      <c r="AK1041" s="147"/>
      <c r="AL1041" s="147"/>
      <c r="AM1041" s="147"/>
      <c r="AN1041" s="147"/>
      <c r="AO1041" s="147"/>
      <c r="AP1041" s="147"/>
      <c r="AQ1041" s="147"/>
    </row>
    <row r="1042" spans="1:43">
      <c r="A1042" s="3"/>
      <c r="B1042" s="3"/>
      <c r="C1042" s="3"/>
      <c r="D1042" s="3"/>
      <c r="E1042" s="3"/>
      <c r="F1042" s="3"/>
      <c r="G1042" s="3"/>
      <c r="H1042" s="3"/>
      <c r="I1042" s="3"/>
      <c r="J1042" s="3"/>
      <c r="K1042" s="3"/>
      <c r="L1042" s="3"/>
      <c r="M1042" s="3"/>
      <c r="N1042" s="157"/>
      <c r="O1042" s="157"/>
      <c r="P1042" s="157"/>
      <c r="R1042" s="147"/>
      <c r="S1042" s="147"/>
      <c r="T1042" s="147"/>
      <c r="U1042" s="147"/>
      <c r="X1042" s="147"/>
      <c r="Y1042" s="147"/>
      <c r="Z1042" s="147"/>
      <c r="AA1042" s="147"/>
      <c r="AB1042" s="147"/>
      <c r="AC1042" s="147"/>
      <c r="AD1042" s="147"/>
      <c r="AE1042" s="147"/>
      <c r="AF1042" s="147"/>
      <c r="AG1042" s="147"/>
      <c r="AH1042" s="147"/>
      <c r="AI1042" s="147"/>
      <c r="AJ1042" s="147"/>
      <c r="AK1042" s="147"/>
      <c r="AL1042" s="147"/>
      <c r="AM1042" s="147"/>
      <c r="AN1042" s="147"/>
      <c r="AO1042" s="147"/>
      <c r="AP1042" s="147"/>
      <c r="AQ1042" s="147"/>
    </row>
    <row r="1043" spans="1:43">
      <c r="A1043" s="3"/>
      <c r="B1043" s="3"/>
      <c r="C1043" s="3"/>
      <c r="D1043" s="3"/>
      <c r="E1043" s="3"/>
      <c r="F1043" s="3"/>
      <c r="G1043" s="3"/>
      <c r="H1043" s="3"/>
      <c r="I1043" s="3"/>
      <c r="J1043" s="3"/>
      <c r="K1043" s="3"/>
      <c r="L1043" s="3"/>
      <c r="M1043" s="3"/>
      <c r="N1043" s="157"/>
      <c r="O1043" s="157"/>
      <c r="P1043" s="157"/>
      <c r="R1043" s="147"/>
      <c r="S1043" s="147"/>
      <c r="T1043" s="147"/>
      <c r="U1043" s="147"/>
      <c r="X1043" s="147"/>
      <c r="Y1043" s="147"/>
      <c r="Z1043" s="147"/>
      <c r="AA1043" s="147"/>
      <c r="AB1043" s="147"/>
      <c r="AC1043" s="147"/>
      <c r="AD1043" s="147"/>
      <c r="AE1043" s="147"/>
      <c r="AF1043" s="147"/>
      <c r="AG1043" s="147"/>
      <c r="AH1043" s="147"/>
      <c r="AI1043" s="147"/>
      <c r="AJ1043" s="147"/>
      <c r="AK1043" s="147"/>
      <c r="AL1043" s="147"/>
      <c r="AM1043" s="147"/>
      <c r="AN1043" s="147"/>
      <c r="AO1043" s="147"/>
      <c r="AP1043" s="147"/>
      <c r="AQ1043" s="147"/>
    </row>
    <row r="1044" spans="1:43">
      <c r="A1044" s="3"/>
      <c r="B1044" s="3"/>
      <c r="C1044" s="3"/>
      <c r="D1044" s="3"/>
      <c r="E1044" s="3"/>
      <c r="F1044" s="3"/>
      <c r="G1044" s="3"/>
      <c r="H1044" s="3"/>
      <c r="I1044" s="3"/>
      <c r="J1044" s="3"/>
      <c r="K1044" s="3"/>
      <c r="L1044" s="3"/>
      <c r="M1044" s="3"/>
      <c r="N1044" s="157"/>
      <c r="O1044" s="157"/>
      <c r="P1044" s="157"/>
      <c r="R1044" s="147"/>
      <c r="S1044" s="147"/>
      <c r="T1044" s="147"/>
      <c r="U1044" s="147"/>
      <c r="X1044" s="147"/>
      <c r="Y1044" s="147"/>
      <c r="Z1044" s="147"/>
      <c r="AA1044" s="147"/>
      <c r="AB1044" s="147"/>
      <c r="AC1044" s="147"/>
      <c r="AD1044" s="147"/>
      <c r="AE1044" s="147"/>
      <c r="AF1044" s="147"/>
      <c r="AG1044" s="147"/>
      <c r="AH1044" s="147"/>
      <c r="AI1044" s="147"/>
      <c r="AJ1044" s="147"/>
      <c r="AK1044" s="147"/>
      <c r="AL1044" s="147"/>
      <c r="AM1044" s="147"/>
      <c r="AN1044" s="147"/>
      <c r="AO1044" s="147"/>
      <c r="AP1044" s="147"/>
      <c r="AQ1044" s="147"/>
    </row>
    <row r="1045" spans="1:43">
      <c r="A1045" s="3"/>
      <c r="B1045" s="3"/>
      <c r="C1045" s="3"/>
      <c r="D1045" s="3"/>
      <c r="E1045" s="3"/>
      <c r="F1045" s="3"/>
      <c r="G1045" s="3"/>
      <c r="H1045" s="3"/>
      <c r="I1045" s="3"/>
      <c r="J1045" s="3"/>
      <c r="K1045" s="3"/>
      <c r="L1045" s="3"/>
      <c r="M1045" s="3"/>
      <c r="N1045" s="157"/>
      <c r="O1045" s="157"/>
      <c r="P1045" s="157"/>
      <c r="R1045" s="147"/>
      <c r="S1045" s="147"/>
      <c r="T1045" s="147"/>
      <c r="U1045" s="147"/>
      <c r="X1045" s="147"/>
      <c r="Y1045" s="147"/>
      <c r="Z1045" s="147"/>
      <c r="AA1045" s="147"/>
      <c r="AB1045" s="147"/>
      <c r="AC1045" s="147"/>
      <c r="AD1045" s="147"/>
      <c r="AE1045" s="147"/>
      <c r="AF1045" s="147"/>
      <c r="AG1045" s="147"/>
      <c r="AH1045" s="147"/>
      <c r="AI1045" s="147"/>
      <c r="AJ1045" s="147"/>
      <c r="AK1045" s="147"/>
      <c r="AL1045" s="147"/>
      <c r="AM1045" s="147"/>
      <c r="AN1045" s="147"/>
      <c r="AO1045" s="147"/>
      <c r="AP1045" s="147"/>
      <c r="AQ1045" s="147"/>
    </row>
    <row r="1046" spans="1:43">
      <c r="A1046" s="3"/>
      <c r="B1046" s="3"/>
      <c r="C1046" s="3"/>
      <c r="D1046" s="3"/>
      <c r="E1046" s="3"/>
      <c r="F1046" s="3"/>
      <c r="G1046" s="3"/>
      <c r="H1046" s="3"/>
      <c r="I1046" s="3"/>
      <c r="J1046" s="3"/>
      <c r="K1046" s="3"/>
      <c r="L1046" s="3"/>
      <c r="M1046" s="3"/>
      <c r="N1046" s="157"/>
      <c r="O1046" s="157"/>
      <c r="P1046" s="157"/>
      <c r="R1046" s="147"/>
      <c r="S1046" s="147"/>
      <c r="T1046" s="147"/>
      <c r="U1046" s="147"/>
      <c r="X1046" s="147"/>
      <c r="Y1046" s="147"/>
      <c r="Z1046" s="147"/>
      <c r="AA1046" s="147"/>
      <c r="AB1046" s="147"/>
      <c r="AC1046" s="147"/>
      <c r="AD1046" s="147"/>
      <c r="AE1046" s="147"/>
      <c r="AF1046" s="147"/>
      <c r="AG1046" s="147"/>
      <c r="AH1046" s="147"/>
      <c r="AI1046" s="147"/>
      <c r="AJ1046" s="147"/>
      <c r="AK1046" s="147"/>
      <c r="AL1046" s="147"/>
      <c r="AM1046" s="147"/>
      <c r="AN1046" s="147"/>
      <c r="AO1046" s="147"/>
      <c r="AP1046" s="147"/>
      <c r="AQ1046" s="147"/>
    </row>
    <row r="1047" spans="1:43">
      <c r="A1047" s="3"/>
      <c r="B1047" s="3"/>
      <c r="C1047" s="3"/>
      <c r="D1047" s="3"/>
      <c r="E1047" s="3"/>
      <c r="F1047" s="3"/>
      <c r="G1047" s="3"/>
      <c r="H1047" s="3"/>
      <c r="I1047" s="3"/>
      <c r="J1047" s="3"/>
      <c r="K1047" s="3"/>
      <c r="L1047" s="3"/>
      <c r="M1047" s="3"/>
      <c r="N1047" s="157"/>
      <c r="O1047" s="157"/>
      <c r="P1047" s="157"/>
      <c r="R1047" s="147"/>
      <c r="S1047" s="147"/>
      <c r="T1047" s="147"/>
      <c r="U1047" s="147"/>
      <c r="X1047" s="147"/>
      <c r="Y1047" s="147"/>
      <c r="Z1047" s="147"/>
      <c r="AA1047" s="147"/>
      <c r="AB1047" s="147"/>
      <c r="AC1047" s="147"/>
      <c r="AD1047" s="147"/>
      <c r="AE1047" s="147"/>
      <c r="AF1047" s="147"/>
      <c r="AG1047" s="147"/>
      <c r="AH1047" s="147"/>
      <c r="AI1047" s="147"/>
      <c r="AJ1047" s="147"/>
      <c r="AK1047" s="147"/>
      <c r="AL1047" s="147"/>
      <c r="AM1047" s="147"/>
      <c r="AN1047" s="147"/>
      <c r="AO1047" s="147"/>
      <c r="AP1047" s="147"/>
      <c r="AQ1047" s="147"/>
    </row>
    <row r="1048" spans="1:43">
      <c r="A1048" s="3"/>
      <c r="B1048" s="3"/>
      <c r="C1048" s="3"/>
      <c r="D1048" s="3"/>
      <c r="E1048" s="3"/>
      <c r="F1048" s="3"/>
      <c r="G1048" s="3"/>
      <c r="H1048" s="3"/>
      <c r="I1048" s="3"/>
      <c r="J1048" s="3"/>
      <c r="K1048" s="3"/>
      <c r="L1048" s="3"/>
      <c r="M1048" s="3"/>
      <c r="N1048" s="157"/>
      <c r="O1048" s="157"/>
      <c r="P1048" s="157"/>
      <c r="R1048" s="147"/>
      <c r="S1048" s="147"/>
      <c r="T1048" s="147"/>
      <c r="U1048" s="147"/>
      <c r="X1048" s="147"/>
      <c r="Y1048" s="147"/>
      <c r="Z1048" s="147"/>
      <c r="AA1048" s="147"/>
      <c r="AB1048" s="147"/>
      <c r="AC1048" s="147"/>
      <c r="AD1048" s="147"/>
      <c r="AE1048" s="147"/>
      <c r="AF1048" s="147"/>
      <c r="AG1048" s="147"/>
      <c r="AH1048" s="147"/>
      <c r="AI1048" s="147"/>
      <c r="AJ1048" s="147"/>
      <c r="AK1048" s="147"/>
      <c r="AL1048" s="147"/>
      <c r="AM1048" s="147"/>
      <c r="AN1048" s="147"/>
      <c r="AO1048" s="147"/>
      <c r="AP1048" s="147"/>
      <c r="AQ1048" s="147"/>
    </row>
    <row r="1049" spans="1:43">
      <c r="A1049" s="3"/>
      <c r="B1049" s="3"/>
      <c r="C1049" s="3"/>
      <c r="D1049" s="3"/>
      <c r="E1049" s="3"/>
      <c r="F1049" s="3"/>
      <c r="G1049" s="3"/>
      <c r="H1049" s="3"/>
      <c r="I1049" s="3"/>
      <c r="J1049" s="3"/>
      <c r="K1049" s="3"/>
      <c r="L1049" s="3"/>
      <c r="M1049" s="3"/>
      <c r="N1049" s="157"/>
      <c r="O1049" s="157"/>
      <c r="P1049" s="157"/>
      <c r="R1049" s="147"/>
      <c r="S1049" s="147"/>
      <c r="T1049" s="147"/>
      <c r="U1049" s="147"/>
      <c r="X1049" s="147"/>
      <c r="Y1049" s="147"/>
      <c r="Z1049" s="147"/>
      <c r="AA1049" s="147"/>
      <c r="AB1049" s="147"/>
      <c r="AC1049" s="147"/>
      <c r="AD1049" s="147"/>
      <c r="AE1049" s="147"/>
      <c r="AF1049" s="147"/>
      <c r="AG1049" s="147"/>
      <c r="AH1049" s="147"/>
      <c r="AI1049" s="147"/>
      <c r="AJ1049" s="147"/>
      <c r="AK1049" s="147"/>
      <c r="AL1049" s="147"/>
      <c r="AM1049" s="147"/>
      <c r="AN1049" s="147"/>
      <c r="AO1049" s="147"/>
      <c r="AP1049" s="147"/>
      <c r="AQ1049" s="147"/>
    </row>
    <row r="1050" spans="1:43">
      <c r="A1050" s="3"/>
      <c r="B1050" s="3"/>
      <c r="C1050" s="3"/>
      <c r="D1050" s="3"/>
      <c r="E1050" s="3"/>
      <c r="F1050" s="3"/>
      <c r="G1050" s="3"/>
      <c r="H1050" s="3"/>
      <c r="I1050" s="3"/>
      <c r="J1050" s="3"/>
      <c r="K1050" s="3"/>
      <c r="L1050" s="3"/>
      <c r="M1050" s="3"/>
      <c r="N1050" s="157"/>
      <c r="O1050" s="157"/>
      <c r="P1050" s="157"/>
      <c r="R1050" s="147"/>
      <c r="S1050" s="147"/>
      <c r="T1050" s="147"/>
      <c r="U1050" s="147"/>
      <c r="X1050" s="147"/>
      <c r="Y1050" s="147"/>
      <c r="Z1050" s="147"/>
      <c r="AA1050" s="147"/>
      <c r="AB1050" s="147"/>
      <c r="AC1050" s="147"/>
      <c r="AD1050" s="147"/>
      <c r="AE1050" s="147"/>
      <c r="AF1050" s="147"/>
      <c r="AG1050" s="147"/>
      <c r="AH1050" s="147"/>
      <c r="AI1050" s="147"/>
      <c r="AJ1050" s="147"/>
      <c r="AK1050" s="147"/>
      <c r="AL1050" s="147"/>
      <c r="AM1050" s="147"/>
      <c r="AN1050" s="147"/>
      <c r="AO1050" s="147"/>
      <c r="AP1050" s="147"/>
      <c r="AQ1050" s="147"/>
    </row>
    <row r="1051" spans="1:43">
      <c r="A1051" s="3"/>
      <c r="B1051" s="3"/>
      <c r="C1051" s="3"/>
      <c r="D1051" s="3"/>
      <c r="E1051" s="3"/>
      <c r="F1051" s="3"/>
      <c r="G1051" s="3"/>
      <c r="H1051" s="3"/>
      <c r="I1051" s="3"/>
      <c r="J1051" s="3"/>
      <c r="K1051" s="3"/>
      <c r="L1051" s="3"/>
      <c r="M1051" s="3"/>
      <c r="N1051" s="157"/>
      <c r="O1051" s="157"/>
      <c r="P1051" s="157"/>
      <c r="R1051" s="147"/>
      <c r="S1051" s="147"/>
      <c r="T1051" s="147"/>
      <c r="U1051" s="147"/>
      <c r="X1051" s="147"/>
      <c r="Y1051" s="147"/>
      <c r="Z1051" s="147"/>
      <c r="AA1051" s="147"/>
      <c r="AB1051" s="147"/>
      <c r="AC1051" s="147"/>
      <c r="AD1051" s="147"/>
      <c r="AE1051" s="147"/>
      <c r="AF1051" s="147"/>
      <c r="AG1051" s="147"/>
      <c r="AH1051" s="147"/>
      <c r="AI1051" s="147"/>
      <c r="AJ1051" s="147"/>
      <c r="AK1051" s="147"/>
      <c r="AL1051" s="147"/>
      <c r="AM1051" s="147"/>
      <c r="AN1051" s="147"/>
      <c r="AO1051" s="147"/>
      <c r="AP1051" s="147"/>
      <c r="AQ1051" s="147"/>
    </row>
    <row r="1052" spans="1:43">
      <c r="A1052" s="3"/>
      <c r="B1052" s="3"/>
      <c r="C1052" s="3"/>
      <c r="D1052" s="3"/>
      <c r="E1052" s="3"/>
      <c r="F1052" s="3"/>
      <c r="G1052" s="3"/>
      <c r="H1052" s="3"/>
      <c r="I1052" s="3"/>
      <c r="J1052" s="3"/>
      <c r="K1052" s="3"/>
      <c r="L1052" s="3"/>
      <c r="M1052" s="3"/>
      <c r="N1052" s="157"/>
      <c r="O1052" s="157"/>
      <c r="P1052" s="157"/>
      <c r="R1052" s="147"/>
      <c r="S1052" s="147"/>
      <c r="T1052" s="147"/>
      <c r="U1052" s="147"/>
      <c r="X1052" s="147"/>
      <c r="Y1052" s="147"/>
      <c r="Z1052" s="147"/>
      <c r="AA1052" s="147"/>
      <c r="AB1052" s="147"/>
      <c r="AC1052" s="147"/>
      <c r="AD1052" s="147"/>
      <c r="AE1052" s="147"/>
      <c r="AF1052" s="147"/>
      <c r="AG1052" s="147"/>
      <c r="AH1052" s="147"/>
      <c r="AI1052" s="147"/>
      <c r="AJ1052" s="147"/>
      <c r="AK1052" s="147"/>
      <c r="AL1052" s="147"/>
      <c r="AM1052" s="147"/>
      <c r="AN1052" s="147"/>
      <c r="AO1052" s="147"/>
      <c r="AP1052" s="147"/>
      <c r="AQ1052" s="147"/>
    </row>
    <row r="1053" spans="1:43">
      <c r="A1053" s="3"/>
      <c r="B1053" s="3"/>
      <c r="C1053" s="3"/>
      <c r="D1053" s="3"/>
      <c r="E1053" s="3"/>
      <c r="F1053" s="3"/>
      <c r="G1053" s="3"/>
      <c r="H1053" s="3"/>
      <c r="I1053" s="3"/>
      <c r="J1053" s="3"/>
      <c r="K1053" s="3"/>
      <c r="L1053" s="3"/>
      <c r="M1053" s="3"/>
      <c r="N1053" s="157"/>
      <c r="O1053" s="157"/>
      <c r="P1053" s="157"/>
      <c r="R1053" s="147"/>
      <c r="S1053" s="147"/>
      <c r="T1053" s="147"/>
      <c r="U1053" s="147"/>
      <c r="X1053" s="147"/>
      <c r="Y1053" s="147"/>
      <c r="Z1053" s="147"/>
      <c r="AA1053" s="147"/>
      <c r="AB1053" s="147"/>
      <c r="AC1053" s="147"/>
      <c r="AD1053" s="147"/>
      <c r="AE1053" s="147"/>
      <c r="AF1053" s="147"/>
      <c r="AG1053" s="147"/>
      <c r="AH1053" s="147"/>
      <c r="AI1053" s="147"/>
      <c r="AJ1053" s="147"/>
      <c r="AK1053" s="147"/>
      <c r="AL1053" s="147"/>
      <c r="AM1053" s="147"/>
      <c r="AN1053" s="147"/>
      <c r="AO1053" s="147"/>
      <c r="AP1053" s="147"/>
      <c r="AQ1053" s="147"/>
    </row>
    <row r="1054" spans="1:43">
      <c r="A1054" s="3"/>
      <c r="B1054" s="3"/>
      <c r="C1054" s="3"/>
      <c r="D1054" s="3"/>
      <c r="E1054" s="3"/>
      <c r="F1054" s="3"/>
      <c r="G1054" s="3"/>
      <c r="H1054" s="3"/>
      <c r="I1054" s="3"/>
      <c r="J1054" s="3"/>
      <c r="K1054" s="3"/>
      <c r="L1054" s="3"/>
      <c r="M1054" s="3"/>
      <c r="N1054" s="157"/>
      <c r="O1054" s="157"/>
      <c r="P1054" s="157"/>
      <c r="R1054" s="147"/>
      <c r="S1054" s="147"/>
      <c r="T1054" s="147"/>
      <c r="U1054" s="147"/>
      <c r="X1054" s="147"/>
      <c r="Y1054" s="147"/>
      <c r="Z1054" s="147"/>
      <c r="AA1054" s="147"/>
      <c r="AB1054" s="147"/>
      <c r="AC1054" s="147"/>
      <c r="AD1054" s="147"/>
      <c r="AE1054" s="147"/>
      <c r="AF1054" s="147"/>
      <c r="AG1054" s="147"/>
      <c r="AH1054" s="147"/>
      <c r="AI1054" s="147"/>
      <c r="AJ1054" s="147"/>
      <c r="AK1054" s="147"/>
      <c r="AL1054" s="147"/>
      <c r="AM1054" s="147"/>
      <c r="AN1054" s="147"/>
      <c r="AO1054" s="147"/>
      <c r="AP1054" s="147"/>
      <c r="AQ1054" s="147"/>
    </row>
    <row r="1055" spans="1:43">
      <c r="A1055" s="3"/>
      <c r="B1055" s="3"/>
      <c r="C1055" s="3"/>
      <c r="D1055" s="3"/>
      <c r="E1055" s="3"/>
      <c r="F1055" s="3"/>
      <c r="G1055" s="3"/>
      <c r="H1055" s="3"/>
      <c r="I1055" s="3"/>
      <c r="J1055" s="3"/>
      <c r="K1055" s="3"/>
      <c r="L1055" s="3"/>
      <c r="M1055" s="3"/>
      <c r="N1055" s="157"/>
      <c r="O1055" s="157"/>
      <c r="P1055" s="157"/>
      <c r="R1055" s="147"/>
      <c r="S1055" s="147"/>
      <c r="T1055" s="147"/>
      <c r="U1055" s="147"/>
      <c r="X1055" s="147"/>
      <c r="Y1055" s="147"/>
      <c r="Z1055" s="147"/>
      <c r="AA1055" s="147"/>
      <c r="AB1055" s="147"/>
      <c r="AC1055" s="147"/>
      <c r="AD1055" s="147"/>
      <c r="AE1055" s="147"/>
      <c r="AF1055" s="147"/>
      <c r="AG1055" s="147"/>
      <c r="AH1055" s="147"/>
      <c r="AI1055" s="147"/>
      <c r="AJ1055" s="147"/>
      <c r="AK1055" s="147"/>
      <c r="AL1055" s="147"/>
      <c r="AM1055" s="147"/>
      <c r="AN1055" s="147"/>
      <c r="AO1055" s="147"/>
      <c r="AP1055" s="147"/>
      <c r="AQ1055" s="147"/>
    </row>
    <row r="1056" spans="1:43">
      <c r="A1056" s="3"/>
      <c r="B1056" s="3"/>
      <c r="C1056" s="3"/>
      <c r="D1056" s="3"/>
      <c r="E1056" s="3"/>
      <c r="F1056" s="3"/>
      <c r="G1056" s="3"/>
      <c r="H1056" s="3"/>
      <c r="I1056" s="3"/>
      <c r="J1056" s="3"/>
      <c r="K1056" s="3"/>
      <c r="L1056" s="3"/>
      <c r="M1056" s="3"/>
      <c r="N1056" s="157"/>
      <c r="O1056" s="157"/>
      <c r="P1056" s="157"/>
      <c r="R1056" s="147"/>
      <c r="S1056" s="147"/>
      <c r="T1056" s="147"/>
      <c r="U1056" s="147"/>
      <c r="X1056" s="147"/>
      <c r="Y1056" s="147"/>
      <c r="Z1056" s="147"/>
      <c r="AA1056" s="147"/>
      <c r="AB1056" s="147"/>
      <c r="AC1056" s="147"/>
      <c r="AD1056" s="147"/>
      <c r="AE1056" s="147"/>
      <c r="AF1056" s="147"/>
      <c r="AG1056" s="147"/>
      <c r="AH1056" s="147"/>
      <c r="AI1056" s="147"/>
      <c r="AJ1056" s="147"/>
      <c r="AK1056" s="147"/>
      <c r="AL1056" s="147"/>
      <c r="AM1056" s="147"/>
      <c r="AN1056" s="147"/>
      <c r="AO1056" s="147"/>
      <c r="AP1056" s="147"/>
      <c r="AQ1056" s="147"/>
    </row>
    <row r="1057" spans="1:43">
      <c r="A1057" s="3"/>
      <c r="B1057" s="3"/>
      <c r="C1057" s="3"/>
      <c r="D1057" s="3"/>
      <c r="E1057" s="3"/>
      <c r="F1057" s="3"/>
      <c r="G1057" s="3"/>
      <c r="H1057" s="3"/>
      <c r="I1057" s="3"/>
      <c r="J1057" s="3"/>
      <c r="K1057" s="3"/>
      <c r="L1057" s="3"/>
      <c r="M1057" s="3"/>
      <c r="N1057" s="157"/>
      <c r="O1057" s="157"/>
      <c r="P1057" s="157"/>
      <c r="R1057" s="147"/>
      <c r="S1057" s="147"/>
      <c r="T1057" s="147"/>
      <c r="U1057" s="147"/>
      <c r="X1057" s="147"/>
      <c r="Y1057" s="147"/>
      <c r="Z1057" s="147"/>
      <c r="AA1057" s="147"/>
      <c r="AB1057" s="147"/>
      <c r="AC1057" s="147"/>
      <c r="AD1057" s="147"/>
      <c r="AE1057" s="147"/>
      <c r="AF1057" s="147"/>
      <c r="AG1057" s="147"/>
      <c r="AH1057" s="147"/>
      <c r="AI1057" s="147"/>
      <c r="AJ1057" s="147"/>
      <c r="AK1057" s="147"/>
      <c r="AL1057" s="147"/>
      <c r="AM1057" s="147"/>
      <c r="AN1057" s="147"/>
      <c r="AO1057" s="147"/>
      <c r="AP1057" s="147"/>
      <c r="AQ1057" s="147"/>
    </row>
    <row r="1058" spans="1:43">
      <c r="A1058" s="3"/>
      <c r="B1058" s="3"/>
      <c r="C1058" s="3"/>
      <c r="D1058" s="3"/>
      <c r="E1058" s="3"/>
      <c r="F1058" s="3"/>
      <c r="G1058" s="3"/>
      <c r="H1058" s="3"/>
      <c r="I1058" s="3"/>
      <c r="J1058" s="3"/>
      <c r="K1058" s="3"/>
      <c r="L1058" s="3"/>
      <c r="M1058" s="3"/>
      <c r="N1058" s="157"/>
      <c r="O1058" s="157"/>
      <c r="P1058" s="157"/>
      <c r="R1058" s="147"/>
      <c r="S1058" s="147"/>
      <c r="T1058" s="147"/>
      <c r="U1058" s="147"/>
      <c r="X1058" s="147"/>
      <c r="Y1058" s="147"/>
      <c r="Z1058" s="147"/>
      <c r="AA1058" s="147"/>
      <c r="AB1058" s="147"/>
      <c r="AC1058" s="147"/>
      <c r="AD1058" s="147"/>
      <c r="AE1058" s="147"/>
      <c r="AF1058" s="147"/>
      <c r="AG1058" s="147"/>
      <c r="AH1058" s="147"/>
      <c r="AI1058" s="147"/>
      <c r="AJ1058" s="147"/>
      <c r="AK1058" s="147"/>
      <c r="AL1058" s="147"/>
      <c r="AM1058" s="147"/>
      <c r="AN1058" s="147"/>
      <c r="AO1058" s="147"/>
      <c r="AP1058" s="147"/>
      <c r="AQ1058" s="147"/>
    </row>
    <row r="1059" spans="1:43">
      <c r="A1059" s="3"/>
      <c r="B1059" s="3"/>
      <c r="C1059" s="3"/>
      <c r="D1059" s="3"/>
      <c r="E1059" s="3"/>
      <c r="F1059" s="3"/>
      <c r="G1059" s="3"/>
      <c r="H1059" s="3"/>
      <c r="I1059" s="3"/>
      <c r="J1059" s="3"/>
      <c r="K1059" s="3"/>
      <c r="L1059" s="3"/>
      <c r="M1059" s="3"/>
      <c r="N1059" s="157"/>
      <c r="O1059" s="157"/>
      <c r="P1059" s="157"/>
      <c r="R1059" s="147"/>
      <c r="S1059" s="147"/>
      <c r="T1059" s="147"/>
      <c r="U1059" s="147"/>
      <c r="X1059" s="147"/>
      <c r="Y1059" s="147"/>
      <c r="Z1059" s="147"/>
      <c r="AA1059" s="147"/>
      <c r="AB1059" s="147"/>
      <c r="AC1059" s="147"/>
      <c r="AD1059" s="147"/>
      <c r="AE1059" s="147"/>
      <c r="AF1059" s="147"/>
      <c r="AG1059" s="147"/>
      <c r="AH1059" s="147"/>
      <c r="AI1059" s="147"/>
      <c r="AJ1059" s="147"/>
      <c r="AK1059" s="147"/>
      <c r="AL1059" s="147"/>
      <c r="AM1059" s="147"/>
      <c r="AN1059" s="147"/>
      <c r="AO1059" s="147"/>
      <c r="AP1059" s="147"/>
      <c r="AQ1059" s="147"/>
    </row>
    <row r="1060" spans="1:43">
      <c r="A1060" s="3"/>
      <c r="B1060" s="3"/>
      <c r="C1060" s="3"/>
      <c r="D1060" s="3"/>
      <c r="E1060" s="3"/>
      <c r="F1060" s="3"/>
      <c r="G1060" s="3"/>
      <c r="H1060" s="3"/>
      <c r="I1060" s="3"/>
      <c r="J1060" s="3"/>
      <c r="K1060" s="3"/>
      <c r="L1060" s="3"/>
      <c r="M1060" s="3"/>
      <c r="N1060" s="157"/>
      <c r="O1060" s="157"/>
      <c r="P1060" s="157"/>
      <c r="R1060" s="147"/>
      <c r="S1060" s="147"/>
      <c r="T1060" s="147"/>
      <c r="U1060" s="147"/>
      <c r="X1060" s="147"/>
      <c r="Y1060" s="147"/>
      <c r="Z1060" s="147"/>
      <c r="AA1060" s="147"/>
      <c r="AB1060" s="147"/>
      <c r="AC1060" s="147"/>
      <c r="AD1060" s="147"/>
      <c r="AE1060" s="147"/>
      <c r="AF1060" s="147"/>
      <c r="AG1060" s="147"/>
      <c r="AH1060" s="147"/>
      <c r="AI1060" s="147"/>
      <c r="AJ1060" s="147"/>
      <c r="AK1060" s="147"/>
      <c r="AL1060" s="147"/>
      <c r="AM1060" s="147"/>
      <c r="AN1060" s="147"/>
      <c r="AO1060" s="147"/>
      <c r="AP1060" s="147"/>
      <c r="AQ1060" s="147"/>
    </row>
    <row r="1061" spans="1:43">
      <c r="A1061" s="3"/>
      <c r="B1061" s="3"/>
      <c r="C1061" s="3"/>
      <c r="D1061" s="3"/>
      <c r="E1061" s="3"/>
      <c r="F1061" s="3"/>
      <c r="G1061" s="3"/>
      <c r="H1061" s="3"/>
      <c r="I1061" s="3"/>
      <c r="J1061" s="3"/>
      <c r="K1061" s="3"/>
      <c r="L1061" s="3"/>
      <c r="M1061" s="3"/>
      <c r="N1061" s="157"/>
      <c r="O1061" s="157"/>
      <c r="P1061" s="157"/>
      <c r="R1061" s="147"/>
      <c r="S1061" s="147"/>
      <c r="T1061" s="147"/>
      <c r="U1061" s="147"/>
      <c r="X1061" s="147"/>
      <c r="Y1061" s="147"/>
      <c r="Z1061" s="147"/>
      <c r="AA1061" s="147"/>
      <c r="AB1061" s="147"/>
      <c r="AC1061" s="147"/>
      <c r="AD1061" s="147"/>
      <c r="AE1061" s="147"/>
      <c r="AF1061" s="147"/>
      <c r="AG1061" s="147"/>
      <c r="AH1061" s="147"/>
      <c r="AI1061" s="147"/>
      <c r="AJ1061" s="147"/>
      <c r="AK1061" s="147"/>
      <c r="AL1061" s="147"/>
      <c r="AM1061" s="147"/>
      <c r="AN1061" s="147"/>
      <c r="AO1061" s="147"/>
      <c r="AP1061" s="147"/>
      <c r="AQ1061" s="147"/>
    </row>
    <row r="1062" spans="1:43">
      <c r="A1062" s="3"/>
      <c r="B1062" s="3"/>
      <c r="C1062" s="3"/>
      <c r="D1062" s="3"/>
      <c r="E1062" s="3"/>
      <c r="F1062" s="3"/>
      <c r="G1062" s="3"/>
      <c r="H1062" s="3"/>
      <c r="I1062" s="3"/>
      <c r="J1062" s="3"/>
      <c r="K1062" s="3"/>
      <c r="L1062" s="3"/>
      <c r="M1062" s="3"/>
      <c r="N1062" s="157"/>
      <c r="O1062" s="157"/>
      <c r="P1062" s="157"/>
      <c r="R1062" s="147"/>
      <c r="S1062" s="147"/>
      <c r="T1062" s="147"/>
      <c r="U1062" s="147"/>
      <c r="X1062" s="147"/>
      <c r="Y1062" s="147"/>
      <c r="Z1062" s="147"/>
      <c r="AA1062" s="147"/>
      <c r="AB1062" s="147"/>
      <c r="AC1062" s="147"/>
      <c r="AD1062" s="147"/>
      <c r="AE1062" s="147"/>
      <c r="AF1062" s="147"/>
      <c r="AG1062" s="147"/>
      <c r="AH1062" s="147"/>
      <c r="AI1062" s="147"/>
      <c r="AJ1062" s="147"/>
      <c r="AK1062" s="147"/>
      <c r="AL1062" s="147"/>
      <c r="AM1062" s="147"/>
      <c r="AN1062" s="147"/>
      <c r="AO1062" s="147"/>
      <c r="AP1062" s="147"/>
      <c r="AQ1062" s="147"/>
    </row>
    <row r="1063" spans="1:43">
      <c r="A1063" s="3"/>
      <c r="B1063" s="3"/>
      <c r="C1063" s="3"/>
      <c r="D1063" s="3"/>
      <c r="E1063" s="3"/>
      <c r="F1063" s="3"/>
      <c r="G1063" s="3"/>
      <c r="H1063" s="3"/>
      <c r="I1063" s="3"/>
      <c r="J1063" s="3"/>
      <c r="K1063" s="3"/>
      <c r="L1063" s="3"/>
      <c r="M1063" s="3"/>
      <c r="N1063" s="157"/>
      <c r="O1063" s="157"/>
      <c r="P1063" s="157"/>
      <c r="R1063" s="147"/>
      <c r="S1063" s="147"/>
      <c r="T1063" s="147"/>
      <c r="U1063" s="147"/>
      <c r="X1063" s="147"/>
      <c r="Y1063" s="147"/>
      <c r="Z1063" s="147"/>
      <c r="AA1063" s="147"/>
      <c r="AB1063" s="147"/>
      <c r="AC1063" s="147"/>
      <c r="AD1063" s="147"/>
      <c r="AE1063" s="147"/>
      <c r="AF1063" s="147"/>
      <c r="AG1063" s="147"/>
      <c r="AH1063" s="147"/>
      <c r="AI1063" s="147"/>
      <c r="AJ1063" s="147"/>
      <c r="AK1063" s="147"/>
      <c r="AL1063" s="147"/>
      <c r="AM1063" s="147"/>
      <c r="AN1063" s="147"/>
      <c r="AO1063" s="147"/>
      <c r="AP1063" s="147"/>
      <c r="AQ1063" s="147"/>
    </row>
    <row r="1064" spans="1:43">
      <c r="A1064" s="3"/>
      <c r="B1064" s="3"/>
      <c r="C1064" s="3"/>
      <c r="D1064" s="3"/>
      <c r="E1064" s="3"/>
      <c r="F1064" s="3"/>
      <c r="G1064" s="3"/>
      <c r="H1064" s="3"/>
      <c r="I1064" s="3"/>
      <c r="J1064" s="3"/>
      <c r="K1064" s="3"/>
      <c r="L1064" s="3"/>
      <c r="M1064" s="3"/>
      <c r="N1064" s="157"/>
      <c r="O1064" s="157"/>
      <c r="P1064" s="157"/>
      <c r="R1064" s="147"/>
      <c r="S1064" s="147"/>
      <c r="T1064" s="147"/>
      <c r="U1064" s="147"/>
      <c r="X1064" s="147"/>
      <c r="Y1064" s="147"/>
      <c r="Z1064" s="147"/>
      <c r="AA1064" s="147"/>
      <c r="AB1064" s="147"/>
      <c r="AC1064" s="147"/>
      <c r="AD1064" s="147"/>
      <c r="AE1064" s="147"/>
      <c r="AF1064" s="147"/>
      <c r="AG1064" s="147"/>
      <c r="AH1064" s="147"/>
      <c r="AI1064" s="147"/>
      <c r="AJ1064" s="147"/>
      <c r="AK1064" s="147"/>
      <c r="AL1064" s="147"/>
      <c r="AM1064" s="147"/>
      <c r="AN1064" s="147"/>
      <c r="AO1064" s="147"/>
      <c r="AP1064" s="147"/>
      <c r="AQ1064" s="147"/>
    </row>
    <row r="1065" spans="1:43">
      <c r="A1065" s="3"/>
      <c r="B1065" s="3"/>
      <c r="C1065" s="3"/>
      <c r="D1065" s="3"/>
      <c r="E1065" s="3"/>
      <c r="F1065" s="3"/>
      <c r="G1065" s="3"/>
      <c r="H1065" s="3"/>
      <c r="I1065" s="3"/>
      <c r="J1065" s="3"/>
      <c r="K1065" s="3"/>
      <c r="L1065" s="3"/>
      <c r="M1065" s="3"/>
      <c r="N1065" s="157"/>
      <c r="O1065" s="157"/>
      <c r="P1065" s="157"/>
      <c r="R1065" s="147"/>
      <c r="S1065" s="147"/>
      <c r="T1065" s="147"/>
      <c r="U1065" s="147"/>
      <c r="X1065" s="147"/>
      <c r="Y1065" s="147"/>
      <c r="Z1065" s="147"/>
      <c r="AA1065" s="147"/>
      <c r="AB1065" s="147"/>
      <c r="AC1065" s="147"/>
      <c r="AD1065" s="147"/>
      <c r="AE1065" s="147"/>
      <c r="AF1065" s="147"/>
      <c r="AG1065" s="147"/>
      <c r="AH1065" s="147"/>
      <c r="AI1065" s="147"/>
      <c r="AJ1065" s="147"/>
      <c r="AK1065" s="147"/>
      <c r="AL1065" s="147"/>
      <c r="AM1065" s="147"/>
      <c r="AN1065" s="147"/>
      <c r="AO1065" s="147"/>
      <c r="AP1065" s="147"/>
      <c r="AQ1065" s="147"/>
    </row>
    <row r="1066" spans="1:43">
      <c r="A1066" s="3"/>
      <c r="B1066" s="3"/>
      <c r="C1066" s="3"/>
      <c r="D1066" s="3"/>
      <c r="E1066" s="3"/>
      <c r="F1066" s="3"/>
      <c r="G1066" s="3"/>
      <c r="H1066" s="3"/>
      <c r="I1066" s="3"/>
      <c r="J1066" s="3"/>
      <c r="K1066" s="3"/>
      <c r="L1066" s="3"/>
      <c r="M1066" s="3"/>
      <c r="N1066" s="157"/>
      <c r="O1066" s="157"/>
      <c r="P1066" s="157"/>
      <c r="R1066" s="147"/>
      <c r="S1066" s="147"/>
      <c r="T1066" s="147"/>
      <c r="U1066" s="147"/>
      <c r="X1066" s="147"/>
      <c r="Y1066" s="147"/>
      <c r="Z1066" s="147"/>
      <c r="AA1066" s="147"/>
      <c r="AB1066" s="147"/>
      <c r="AC1066" s="147"/>
      <c r="AD1066" s="147"/>
      <c r="AE1066" s="147"/>
      <c r="AF1066" s="147"/>
      <c r="AG1066" s="147"/>
      <c r="AH1066" s="147"/>
      <c r="AI1066" s="147"/>
      <c r="AJ1066" s="147"/>
      <c r="AK1066" s="147"/>
      <c r="AL1066" s="147"/>
      <c r="AM1066" s="147"/>
      <c r="AN1066" s="147"/>
      <c r="AO1066" s="147"/>
      <c r="AP1066" s="147"/>
      <c r="AQ1066" s="147"/>
    </row>
    <row r="1067" spans="1:43">
      <c r="A1067" s="3"/>
      <c r="B1067" s="3"/>
      <c r="C1067" s="3"/>
      <c r="D1067" s="3"/>
      <c r="E1067" s="3"/>
      <c r="F1067" s="3"/>
      <c r="G1067" s="3"/>
      <c r="H1067" s="3"/>
      <c r="I1067" s="3"/>
      <c r="J1067" s="3"/>
      <c r="K1067" s="3"/>
      <c r="L1067" s="3"/>
      <c r="M1067" s="3"/>
      <c r="N1067" s="157"/>
      <c r="O1067" s="157"/>
      <c r="P1067" s="157"/>
      <c r="R1067" s="147"/>
      <c r="S1067" s="147"/>
      <c r="T1067" s="147"/>
      <c r="U1067" s="147"/>
      <c r="X1067" s="147"/>
      <c r="Y1067" s="147"/>
      <c r="Z1067" s="147"/>
      <c r="AA1067" s="147"/>
      <c r="AB1067" s="147"/>
      <c r="AC1067" s="147"/>
      <c r="AD1067" s="147"/>
      <c r="AE1067" s="147"/>
      <c r="AF1067" s="147"/>
      <c r="AG1067" s="147"/>
      <c r="AH1067" s="147"/>
      <c r="AI1067" s="147"/>
      <c r="AJ1067" s="147"/>
      <c r="AK1067" s="147"/>
      <c r="AL1067" s="147"/>
      <c r="AM1067" s="147"/>
      <c r="AN1067" s="147"/>
      <c r="AO1067" s="147"/>
      <c r="AP1067" s="147"/>
      <c r="AQ1067" s="147"/>
    </row>
    <row r="1068" spans="1:43">
      <c r="A1068" s="3"/>
      <c r="B1068" s="3"/>
      <c r="C1068" s="3"/>
      <c r="D1068" s="3"/>
      <c r="E1068" s="3"/>
      <c r="F1068" s="3"/>
      <c r="G1068" s="3"/>
      <c r="H1068" s="3"/>
      <c r="I1068" s="3"/>
      <c r="J1068" s="3"/>
      <c r="K1068" s="3"/>
      <c r="L1068" s="3"/>
      <c r="M1068" s="3"/>
      <c r="N1068" s="157"/>
      <c r="O1068" s="157"/>
      <c r="P1068" s="157"/>
      <c r="R1068" s="147"/>
      <c r="S1068" s="147"/>
      <c r="T1068" s="147"/>
      <c r="U1068" s="147"/>
      <c r="X1068" s="147"/>
      <c r="Y1068" s="147"/>
      <c r="Z1068" s="147"/>
      <c r="AA1068" s="147"/>
      <c r="AB1068" s="147"/>
      <c r="AC1068" s="147"/>
      <c r="AD1068" s="147"/>
      <c r="AE1068" s="147"/>
      <c r="AF1068" s="147"/>
      <c r="AG1068" s="147"/>
      <c r="AH1068" s="147"/>
      <c r="AI1068" s="147"/>
      <c r="AJ1068" s="147"/>
      <c r="AK1068" s="147"/>
      <c r="AL1068" s="147"/>
      <c r="AM1068" s="147"/>
      <c r="AN1068" s="147"/>
      <c r="AO1068" s="147"/>
      <c r="AP1068" s="147"/>
      <c r="AQ1068" s="147"/>
    </row>
    <row r="1069" spans="1:43">
      <c r="A1069" s="3"/>
      <c r="B1069" s="3"/>
      <c r="C1069" s="3"/>
      <c r="D1069" s="3"/>
      <c r="E1069" s="3"/>
      <c r="F1069" s="3"/>
      <c r="G1069" s="3"/>
      <c r="H1069" s="3"/>
      <c r="I1069" s="3"/>
      <c r="J1069" s="3"/>
      <c r="K1069" s="3"/>
      <c r="L1069" s="3"/>
      <c r="M1069" s="3"/>
      <c r="N1069" s="157"/>
      <c r="O1069" s="157"/>
      <c r="P1069" s="157"/>
      <c r="R1069" s="147"/>
      <c r="S1069" s="147"/>
      <c r="T1069" s="147"/>
      <c r="U1069" s="147"/>
      <c r="X1069" s="147"/>
      <c r="Y1069" s="147"/>
      <c r="Z1069" s="147"/>
      <c r="AA1069" s="147"/>
      <c r="AB1069" s="147"/>
      <c r="AC1069" s="147"/>
      <c r="AD1069" s="147"/>
      <c r="AE1069" s="147"/>
      <c r="AF1069" s="147"/>
      <c r="AG1069" s="147"/>
      <c r="AH1069" s="147"/>
      <c r="AI1069" s="147"/>
      <c r="AJ1069" s="147"/>
      <c r="AK1069" s="147"/>
      <c r="AL1069" s="147"/>
      <c r="AM1069" s="147"/>
      <c r="AN1069" s="147"/>
      <c r="AO1069" s="147"/>
      <c r="AP1069" s="147"/>
      <c r="AQ1069" s="147"/>
    </row>
    <row r="1070" spans="1:43">
      <c r="A1070" s="3"/>
      <c r="B1070" s="3"/>
      <c r="C1070" s="3"/>
      <c r="D1070" s="3"/>
      <c r="E1070" s="3"/>
      <c r="F1070" s="3"/>
      <c r="G1070" s="3"/>
      <c r="H1070" s="3"/>
      <c r="I1070" s="3"/>
      <c r="J1070" s="3"/>
      <c r="K1070" s="3"/>
      <c r="L1070" s="3"/>
      <c r="M1070" s="3"/>
      <c r="N1070" s="157"/>
      <c r="O1070" s="157"/>
      <c r="P1070" s="157"/>
      <c r="R1070" s="147"/>
      <c r="S1070" s="147"/>
      <c r="T1070" s="147"/>
      <c r="U1070" s="147"/>
      <c r="X1070" s="147"/>
      <c r="Y1070" s="147"/>
      <c r="Z1070" s="147"/>
      <c r="AA1070" s="147"/>
      <c r="AB1070" s="147"/>
      <c r="AC1070" s="147"/>
      <c r="AD1070" s="147"/>
      <c r="AE1070" s="147"/>
      <c r="AF1070" s="147"/>
      <c r="AG1070" s="147"/>
      <c r="AH1070" s="147"/>
      <c r="AI1070" s="147"/>
      <c r="AJ1070" s="147"/>
      <c r="AK1070" s="147"/>
      <c r="AL1070" s="147"/>
      <c r="AM1070" s="147"/>
      <c r="AN1070" s="147"/>
      <c r="AO1070" s="147"/>
      <c r="AP1070" s="147"/>
      <c r="AQ1070" s="147"/>
    </row>
    <row r="1071" spans="1:43">
      <c r="A1071" s="3"/>
      <c r="B1071" s="3"/>
      <c r="C1071" s="3"/>
      <c r="D1071" s="3"/>
      <c r="E1071" s="3"/>
      <c r="F1071" s="3"/>
      <c r="G1071" s="3"/>
      <c r="H1071" s="3"/>
      <c r="I1071" s="3"/>
      <c r="J1071" s="3"/>
      <c r="K1071" s="3"/>
      <c r="L1071" s="3"/>
      <c r="M1071" s="3"/>
      <c r="N1071" s="157"/>
      <c r="O1071" s="157"/>
      <c r="P1071" s="157"/>
      <c r="R1071" s="147"/>
      <c r="S1071" s="147"/>
      <c r="T1071" s="147"/>
      <c r="U1071" s="147"/>
      <c r="X1071" s="147"/>
      <c r="Y1071" s="147"/>
      <c r="Z1071" s="147"/>
      <c r="AA1071" s="147"/>
      <c r="AB1071" s="147"/>
      <c r="AC1071" s="147"/>
      <c r="AD1071" s="147"/>
      <c r="AE1071" s="147"/>
      <c r="AF1071" s="147"/>
      <c r="AG1071" s="147"/>
      <c r="AH1071" s="147"/>
      <c r="AI1071" s="147"/>
      <c r="AJ1071" s="147"/>
      <c r="AK1071" s="147"/>
      <c r="AL1071" s="147"/>
      <c r="AM1071" s="147"/>
      <c r="AN1071" s="147"/>
      <c r="AO1071" s="147"/>
      <c r="AP1071" s="147"/>
      <c r="AQ1071" s="147"/>
    </row>
    <row r="1072" spans="1:43">
      <c r="A1072" s="3"/>
      <c r="B1072" s="3"/>
      <c r="C1072" s="3"/>
      <c r="D1072" s="3"/>
      <c r="E1072" s="3"/>
      <c r="F1072" s="3"/>
      <c r="G1072" s="3"/>
      <c r="H1072" s="3"/>
      <c r="I1072" s="3"/>
      <c r="J1072" s="3"/>
      <c r="K1072" s="3"/>
      <c r="L1072" s="3"/>
      <c r="M1072" s="3"/>
      <c r="N1072" s="157"/>
      <c r="O1072" s="157"/>
      <c r="P1072" s="157"/>
      <c r="R1072" s="147"/>
      <c r="S1072" s="147"/>
      <c r="T1072" s="147"/>
      <c r="U1072" s="147"/>
      <c r="X1072" s="147"/>
      <c r="Y1072" s="147"/>
      <c r="Z1072" s="147"/>
      <c r="AA1072" s="147"/>
      <c r="AB1072" s="147"/>
      <c r="AC1072" s="147"/>
      <c r="AD1072" s="147"/>
      <c r="AE1072" s="147"/>
      <c r="AF1072" s="147"/>
      <c r="AG1072" s="147"/>
      <c r="AH1072" s="147"/>
      <c r="AI1072" s="147"/>
      <c r="AJ1072" s="147"/>
      <c r="AK1072" s="147"/>
      <c r="AL1072" s="147"/>
      <c r="AM1072" s="147"/>
      <c r="AN1072" s="147"/>
      <c r="AO1072" s="147"/>
      <c r="AP1072" s="147"/>
      <c r="AQ1072" s="147"/>
    </row>
    <row r="1073" spans="1:43">
      <c r="A1073" s="3"/>
      <c r="B1073" s="3"/>
      <c r="C1073" s="3"/>
      <c r="D1073" s="3"/>
      <c r="E1073" s="3"/>
      <c r="F1073" s="3"/>
      <c r="G1073" s="3"/>
      <c r="H1073" s="3"/>
      <c r="I1073" s="3"/>
      <c r="J1073" s="3"/>
      <c r="K1073" s="3"/>
      <c r="L1073" s="3"/>
      <c r="M1073" s="3"/>
      <c r="N1073" s="157"/>
      <c r="O1073" s="157"/>
      <c r="P1073" s="157"/>
      <c r="R1073" s="147"/>
      <c r="S1073" s="147"/>
      <c r="T1073" s="147"/>
      <c r="U1073" s="147"/>
      <c r="X1073" s="147"/>
      <c r="Y1073" s="147"/>
      <c r="Z1073" s="147"/>
      <c r="AA1073" s="147"/>
      <c r="AB1073" s="147"/>
      <c r="AC1073" s="147"/>
      <c r="AD1073" s="147"/>
      <c r="AE1073" s="147"/>
      <c r="AF1073" s="147"/>
      <c r="AG1073" s="147"/>
      <c r="AH1073" s="147"/>
      <c r="AI1073" s="147"/>
      <c r="AJ1073" s="147"/>
      <c r="AK1073" s="147"/>
      <c r="AL1073" s="147"/>
      <c r="AM1073" s="147"/>
      <c r="AN1073" s="147"/>
      <c r="AO1073" s="147"/>
      <c r="AP1073" s="147"/>
      <c r="AQ1073" s="147"/>
    </row>
    <row r="1074" spans="1:43">
      <c r="A1074" s="3"/>
      <c r="B1074" s="3"/>
      <c r="C1074" s="3"/>
      <c r="D1074" s="3"/>
      <c r="E1074" s="3"/>
      <c r="F1074" s="3"/>
      <c r="G1074" s="3"/>
      <c r="H1074" s="3"/>
      <c r="I1074" s="3"/>
      <c r="J1074" s="3"/>
      <c r="K1074" s="3"/>
      <c r="L1074" s="3"/>
      <c r="M1074" s="3"/>
      <c r="N1074" s="157"/>
      <c r="O1074" s="157"/>
      <c r="P1074" s="157"/>
      <c r="R1074" s="147"/>
      <c r="S1074" s="147"/>
      <c r="T1074" s="147"/>
      <c r="U1074" s="147"/>
      <c r="X1074" s="147"/>
      <c r="Y1074" s="147"/>
      <c r="Z1074" s="147"/>
      <c r="AA1074" s="147"/>
      <c r="AB1074" s="147"/>
      <c r="AC1074" s="147"/>
      <c r="AD1074" s="147"/>
      <c r="AE1074" s="147"/>
      <c r="AF1074" s="147"/>
      <c r="AG1074" s="147"/>
      <c r="AH1074" s="147"/>
      <c r="AI1074" s="147"/>
      <c r="AJ1074" s="147"/>
      <c r="AK1074" s="147"/>
      <c r="AL1074" s="147"/>
      <c r="AM1074" s="147"/>
      <c r="AN1074" s="147"/>
      <c r="AO1074" s="147"/>
      <c r="AP1074" s="147"/>
      <c r="AQ1074" s="147"/>
    </row>
    <row r="1075" spans="1:43">
      <c r="A1075" s="3"/>
      <c r="B1075" s="3"/>
      <c r="C1075" s="3"/>
      <c r="D1075" s="3"/>
      <c r="E1075" s="3"/>
      <c r="F1075" s="3"/>
      <c r="G1075" s="3"/>
      <c r="H1075" s="3"/>
      <c r="I1075" s="3"/>
      <c r="J1075" s="3"/>
      <c r="K1075" s="3"/>
      <c r="L1075" s="3"/>
      <c r="M1075" s="3"/>
      <c r="N1075" s="157"/>
      <c r="O1075" s="157"/>
      <c r="P1075" s="157"/>
      <c r="R1075" s="147"/>
      <c r="S1075" s="147"/>
      <c r="T1075" s="147"/>
      <c r="U1075" s="147"/>
      <c r="X1075" s="147"/>
      <c r="Y1075" s="147"/>
      <c r="Z1075" s="147"/>
      <c r="AA1075" s="147"/>
      <c r="AB1075" s="147"/>
      <c r="AC1075" s="147"/>
      <c r="AD1075" s="147"/>
      <c r="AE1075" s="147"/>
      <c r="AF1075" s="147"/>
      <c r="AG1075" s="147"/>
      <c r="AH1075" s="147"/>
      <c r="AI1075" s="147"/>
      <c r="AJ1075" s="147"/>
      <c r="AK1075" s="147"/>
      <c r="AL1075" s="147"/>
      <c r="AM1075" s="147"/>
      <c r="AN1075" s="147"/>
      <c r="AO1075" s="147"/>
      <c r="AP1075" s="147"/>
      <c r="AQ1075" s="147"/>
    </row>
    <row r="1076" spans="1:43">
      <c r="A1076" s="3"/>
      <c r="B1076" s="3"/>
      <c r="C1076" s="3"/>
      <c r="D1076" s="3"/>
      <c r="E1076" s="3"/>
      <c r="F1076" s="3"/>
      <c r="G1076" s="3"/>
      <c r="H1076" s="3"/>
      <c r="I1076" s="3"/>
      <c r="J1076" s="3"/>
      <c r="K1076" s="3"/>
      <c r="L1076" s="3"/>
      <c r="M1076" s="3"/>
      <c r="N1076" s="157"/>
      <c r="O1076" s="157"/>
      <c r="P1076" s="157"/>
      <c r="R1076" s="147"/>
      <c r="S1076" s="147"/>
      <c r="T1076" s="147"/>
      <c r="U1076" s="147"/>
      <c r="X1076" s="147"/>
      <c r="Y1076" s="147"/>
      <c r="Z1076" s="147"/>
      <c r="AA1076" s="147"/>
      <c r="AB1076" s="147"/>
      <c r="AC1076" s="147"/>
      <c r="AD1076" s="147"/>
      <c r="AE1076" s="147"/>
      <c r="AF1076" s="147"/>
      <c r="AG1076" s="147"/>
      <c r="AH1076" s="147"/>
      <c r="AI1076" s="147"/>
      <c r="AJ1076" s="147"/>
      <c r="AK1076" s="147"/>
      <c r="AL1076" s="147"/>
      <c r="AM1076" s="147"/>
      <c r="AN1076" s="147"/>
      <c r="AO1076" s="147"/>
      <c r="AP1076" s="147"/>
      <c r="AQ1076" s="147"/>
    </row>
    <row r="1077" spans="1:43">
      <c r="A1077" s="3"/>
      <c r="B1077" s="3"/>
      <c r="C1077" s="3"/>
      <c r="D1077" s="3"/>
      <c r="E1077" s="3"/>
      <c r="F1077" s="3"/>
      <c r="G1077" s="3"/>
      <c r="H1077" s="3"/>
      <c r="I1077" s="3"/>
      <c r="J1077" s="3"/>
      <c r="K1077" s="3"/>
      <c r="L1077" s="3"/>
      <c r="M1077" s="3"/>
      <c r="N1077" s="157"/>
      <c r="O1077" s="157"/>
      <c r="P1077" s="157"/>
      <c r="R1077" s="147"/>
      <c r="S1077" s="147"/>
      <c r="T1077" s="147"/>
      <c r="U1077" s="147"/>
      <c r="X1077" s="147"/>
      <c r="Y1077" s="147"/>
      <c r="Z1077" s="147"/>
      <c r="AA1077" s="147"/>
      <c r="AB1077" s="147"/>
      <c r="AC1077" s="147"/>
      <c r="AD1077" s="147"/>
      <c r="AE1077" s="147"/>
      <c r="AF1077" s="147"/>
      <c r="AG1077" s="147"/>
      <c r="AH1077" s="147"/>
      <c r="AI1077" s="147"/>
      <c r="AJ1077" s="147"/>
      <c r="AK1077" s="147"/>
      <c r="AL1077" s="147"/>
      <c r="AM1077" s="147"/>
      <c r="AN1077" s="147"/>
      <c r="AO1077" s="147"/>
      <c r="AP1077" s="147"/>
      <c r="AQ1077" s="147"/>
    </row>
    <row r="1078" spans="1:43">
      <c r="A1078" s="3"/>
      <c r="B1078" s="3"/>
      <c r="C1078" s="3"/>
      <c r="D1078" s="3"/>
      <c r="E1078" s="3"/>
      <c r="F1078" s="3"/>
      <c r="G1078" s="3"/>
      <c r="H1078" s="3"/>
      <c r="I1078" s="3"/>
      <c r="J1078" s="3"/>
      <c r="K1078" s="3"/>
      <c r="L1078" s="3"/>
      <c r="M1078" s="3"/>
      <c r="N1078" s="157"/>
      <c r="O1078" s="157"/>
      <c r="P1078" s="157"/>
      <c r="R1078" s="147"/>
      <c r="S1078" s="147"/>
      <c r="T1078" s="147"/>
      <c r="U1078" s="147"/>
      <c r="X1078" s="147"/>
      <c r="Y1078" s="147"/>
      <c r="Z1078" s="147"/>
      <c r="AA1078" s="147"/>
      <c r="AB1078" s="147"/>
      <c r="AC1078" s="147"/>
      <c r="AD1078" s="147"/>
      <c r="AE1078" s="147"/>
      <c r="AF1078" s="147"/>
      <c r="AG1078" s="147"/>
      <c r="AH1078" s="147"/>
      <c r="AI1078" s="147"/>
      <c r="AJ1078" s="147"/>
      <c r="AK1078" s="147"/>
      <c r="AL1078" s="147"/>
      <c r="AM1078" s="147"/>
      <c r="AN1078" s="147"/>
      <c r="AO1078" s="147"/>
      <c r="AP1078" s="147"/>
      <c r="AQ1078" s="147"/>
    </row>
    <row r="1079" spans="1:43">
      <c r="A1079" s="3"/>
      <c r="B1079" s="3"/>
      <c r="C1079" s="3"/>
      <c r="D1079" s="3"/>
      <c r="E1079" s="3"/>
      <c r="F1079" s="3"/>
      <c r="G1079" s="3"/>
      <c r="H1079" s="3"/>
      <c r="I1079" s="3"/>
      <c r="J1079" s="3"/>
      <c r="K1079" s="3"/>
      <c r="L1079" s="3"/>
      <c r="M1079" s="3"/>
      <c r="N1079" s="157"/>
      <c r="O1079" s="157"/>
      <c r="P1079" s="157"/>
      <c r="R1079" s="147"/>
      <c r="S1079" s="147"/>
      <c r="T1079" s="147"/>
      <c r="U1079" s="147"/>
      <c r="X1079" s="147"/>
      <c r="Y1079" s="147"/>
      <c r="Z1079" s="147"/>
      <c r="AA1079" s="147"/>
      <c r="AB1079" s="147"/>
      <c r="AC1079" s="147"/>
      <c r="AD1079" s="147"/>
      <c r="AE1079" s="147"/>
      <c r="AF1079" s="147"/>
      <c r="AG1079" s="147"/>
      <c r="AH1079" s="147"/>
      <c r="AI1079" s="147"/>
      <c r="AJ1079" s="147"/>
      <c r="AK1079" s="147"/>
      <c r="AL1079" s="147"/>
      <c r="AM1079" s="147"/>
      <c r="AN1079" s="147"/>
      <c r="AO1079" s="147"/>
      <c r="AP1079" s="147"/>
      <c r="AQ1079" s="147"/>
    </row>
    <row r="1080" spans="1:43">
      <c r="A1080" s="3"/>
      <c r="B1080" s="3"/>
      <c r="C1080" s="3"/>
      <c r="D1080" s="3"/>
      <c r="E1080" s="3"/>
      <c r="F1080" s="3"/>
      <c r="G1080" s="3"/>
      <c r="H1080" s="3"/>
      <c r="I1080" s="3"/>
      <c r="J1080" s="3"/>
      <c r="K1080" s="3"/>
      <c r="L1080" s="3"/>
      <c r="M1080" s="3"/>
      <c r="N1080" s="157"/>
      <c r="O1080" s="157"/>
      <c r="P1080" s="157"/>
      <c r="R1080" s="147"/>
      <c r="S1080" s="147"/>
      <c r="T1080" s="147"/>
      <c r="U1080" s="147"/>
      <c r="X1080" s="147"/>
      <c r="Y1080" s="147"/>
      <c r="Z1080" s="147"/>
      <c r="AA1080" s="147"/>
      <c r="AB1080" s="147"/>
      <c r="AC1080" s="147"/>
      <c r="AD1080" s="147"/>
      <c r="AE1080" s="147"/>
      <c r="AF1080" s="147"/>
      <c r="AG1080" s="147"/>
      <c r="AH1080" s="147"/>
      <c r="AI1080" s="147"/>
      <c r="AJ1080" s="147"/>
      <c r="AK1080" s="147"/>
      <c r="AL1080" s="147"/>
      <c r="AM1080" s="147"/>
      <c r="AN1080" s="147"/>
      <c r="AO1080" s="147"/>
      <c r="AP1080" s="147"/>
      <c r="AQ1080" s="147"/>
    </row>
    <row r="1081" spans="1:43">
      <c r="A1081" s="3"/>
      <c r="B1081" s="3"/>
      <c r="C1081" s="3"/>
      <c r="D1081" s="3"/>
      <c r="E1081" s="3"/>
      <c r="F1081" s="3"/>
      <c r="G1081" s="3"/>
      <c r="H1081" s="3"/>
      <c r="I1081" s="3"/>
      <c r="J1081" s="3"/>
      <c r="K1081" s="3"/>
      <c r="L1081" s="3"/>
      <c r="M1081" s="3"/>
      <c r="N1081" s="157"/>
      <c r="O1081" s="157"/>
      <c r="P1081" s="157"/>
      <c r="R1081" s="147"/>
      <c r="S1081" s="147"/>
      <c r="T1081" s="147"/>
      <c r="U1081" s="147"/>
      <c r="X1081" s="147"/>
      <c r="Y1081" s="147"/>
      <c r="Z1081" s="147"/>
      <c r="AA1081" s="147"/>
      <c r="AB1081" s="147"/>
      <c r="AC1081" s="147"/>
      <c r="AD1081" s="147"/>
      <c r="AE1081" s="147"/>
      <c r="AF1081" s="147"/>
      <c r="AG1081" s="147"/>
      <c r="AH1081" s="147"/>
      <c r="AI1081" s="147"/>
      <c r="AJ1081" s="147"/>
      <c r="AK1081" s="147"/>
      <c r="AL1081" s="147"/>
      <c r="AM1081" s="147"/>
      <c r="AN1081" s="147"/>
      <c r="AO1081" s="147"/>
      <c r="AP1081" s="147"/>
      <c r="AQ1081" s="147"/>
    </row>
    <row r="1082" spans="1:43">
      <c r="A1082" s="3"/>
      <c r="B1082" s="3"/>
      <c r="C1082" s="3"/>
      <c r="D1082" s="3"/>
      <c r="E1082" s="3"/>
      <c r="F1082" s="3"/>
      <c r="G1082" s="3"/>
      <c r="H1082" s="3"/>
      <c r="I1082" s="3"/>
      <c r="J1082" s="3"/>
      <c r="K1082" s="3"/>
      <c r="L1082" s="3"/>
      <c r="M1082" s="3"/>
      <c r="N1082" s="157"/>
      <c r="O1082" s="157"/>
      <c r="P1082" s="157"/>
      <c r="R1082" s="147"/>
      <c r="S1082" s="147"/>
      <c r="T1082" s="147"/>
      <c r="U1082" s="147"/>
      <c r="X1082" s="147"/>
      <c r="Y1082" s="147"/>
      <c r="Z1082" s="147"/>
      <c r="AA1082" s="147"/>
      <c r="AB1082" s="147"/>
      <c r="AC1082" s="147"/>
      <c r="AD1082" s="147"/>
      <c r="AE1082" s="147"/>
      <c r="AF1082" s="147"/>
      <c r="AG1082" s="147"/>
      <c r="AH1082" s="147"/>
      <c r="AI1082" s="147"/>
      <c r="AJ1082" s="147"/>
      <c r="AK1082" s="147"/>
      <c r="AL1082" s="147"/>
      <c r="AM1082" s="147"/>
      <c r="AN1082" s="147"/>
      <c r="AO1082" s="147"/>
      <c r="AP1082" s="147"/>
      <c r="AQ1082" s="147"/>
    </row>
    <row r="1083" spans="1:43">
      <c r="A1083" s="3"/>
      <c r="B1083" s="3"/>
      <c r="C1083" s="3"/>
      <c r="D1083" s="3"/>
      <c r="E1083" s="3"/>
      <c r="F1083" s="3"/>
      <c r="G1083" s="3"/>
      <c r="H1083" s="3"/>
      <c r="I1083" s="3"/>
      <c r="J1083" s="3"/>
      <c r="K1083" s="3"/>
      <c r="L1083" s="3"/>
      <c r="M1083" s="3"/>
      <c r="N1083" s="157"/>
      <c r="O1083" s="157"/>
      <c r="P1083" s="157"/>
      <c r="R1083" s="147"/>
      <c r="S1083" s="147"/>
      <c r="T1083" s="147"/>
      <c r="U1083" s="147"/>
      <c r="X1083" s="147"/>
      <c r="Y1083" s="147"/>
      <c r="Z1083" s="147"/>
      <c r="AA1083" s="147"/>
      <c r="AB1083" s="147"/>
      <c r="AC1083" s="147"/>
      <c r="AD1083" s="147"/>
      <c r="AE1083" s="147"/>
      <c r="AF1083" s="147"/>
      <c r="AG1083" s="147"/>
      <c r="AH1083" s="147"/>
      <c r="AI1083" s="147"/>
      <c r="AJ1083" s="147"/>
      <c r="AK1083" s="147"/>
      <c r="AL1083" s="147"/>
      <c r="AM1083" s="147"/>
      <c r="AN1083" s="147"/>
      <c r="AO1083" s="147"/>
      <c r="AP1083" s="147"/>
      <c r="AQ1083" s="147"/>
    </row>
    <row r="1084" spans="1:43">
      <c r="A1084" s="3"/>
      <c r="B1084" s="3"/>
      <c r="C1084" s="3"/>
      <c r="D1084" s="3"/>
      <c r="E1084" s="3"/>
      <c r="F1084" s="3"/>
      <c r="G1084" s="3"/>
      <c r="H1084" s="3"/>
      <c r="I1084" s="3"/>
      <c r="J1084" s="3"/>
      <c r="K1084" s="3"/>
      <c r="L1084" s="3"/>
      <c r="M1084" s="3"/>
      <c r="N1084" s="157"/>
      <c r="O1084" s="157"/>
      <c r="P1084" s="157"/>
      <c r="R1084" s="147"/>
      <c r="S1084" s="147"/>
      <c r="T1084" s="147"/>
      <c r="U1084" s="147"/>
      <c r="X1084" s="147"/>
      <c r="Y1084" s="147"/>
      <c r="Z1084" s="147"/>
      <c r="AA1084" s="147"/>
      <c r="AB1084" s="147"/>
      <c r="AC1084" s="147"/>
      <c r="AD1084" s="147"/>
      <c r="AE1084" s="147"/>
      <c r="AF1084" s="147"/>
      <c r="AG1084" s="147"/>
      <c r="AH1084" s="147"/>
      <c r="AI1084" s="147"/>
      <c r="AJ1084" s="147"/>
      <c r="AK1084" s="147"/>
      <c r="AL1084" s="147"/>
      <c r="AM1084" s="147"/>
      <c r="AN1084" s="147"/>
      <c r="AO1084" s="147"/>
      <c r="AP1084" s="147"/>
      <c r="AQ1084" s="147"/>
    </row>
    <row r="1085" spans="1:43">
      <c r="A1085" s="3"/>
      <c r="B1085" s="3"/>
      <c r="C1085" s="3"/>
      <c r="D1085" s="3"/>
      <c r="E1085" s="3"/>
      <c r="F1085" s="3"/>
      <c r="G1085" s="3"/>
      <c r="H1085" s="3"/>
      <c r="I1085" s="3"/>
      <c r="J1085" s="3"/>
      <c r="K1085" s="3"/>
      <c r="L1085" s="3"/>
      <c r="M1085" s="3"/>
      <c r="N1085" s="157"/>
      <c r="O1085" s="157"/>
      <c r="P1085" s="157"/>
      <c r="R1085" s="147"/>
      <c r="S1085" s="147"/>
      <c r="T1085" s="147"/>
      <c r="U1085" s="147"/>
      <c r="X1085" s="147"/>
      <c r="Y1085" s="147"/>
      <c r="Z1085" s="147"/>
      <c r="AA1085" s="147"/>
      <c r="AB1085" s="147"/>
      <c r="AC1085" s="147"/>
      <c r="AD1085" s="147"/>
      <c r="AE1085" s="147"/>
      <c r="AF1085" s="147"/>
      <c r="AG1085" s="147"/>
      <c r="AH1085" s="147"/>
      <c r="AI1085" s="147"/>
      <c r="AJ1085" s="147"/>
      <c r="AK1085" s="147"/>
      <c r="AL1085" s="147"/>
      <c r="AM1085" s="147"/>
      <c r="AN1085" s="147"/>
      <c r="AO1085" s="147"/>
      <c r="AP1085" s="147"/>
      <c r="AQ1085" s="147"/>
    </row>
    <row r="1086" spans="1:43">
      <c r="A1086" s="3"/>
      <c r="B1086" s="3"/>
      <c r="C1086" s="3"/>
      <c r="D1086" s="3"/>
      <c r="E1086" s="3"/>
      <c r="F1086" s="3"/>
      <c r="G1086" s="3"/>
      <c r="H1086" s="3"/>
      <c r="I1086" s="3"/>
      <c r="J1086" s="3"/>
      <c r="K1086" s="3"/>
      <c r="L1086" s="3"/>
      <c r="M1086" s="3"/>
      <c r="N1086" s="157"/>
      <c r="O1086" s="157"/>
      <c r="P1086" s="157"/>
      <c r="R1086" s="147"/>
      <c r="S1086" s="147"/>
      <c r="T1086" s="147"/>
      <c r="U1086" s="147"/>
      <c r="X1086" s="147"/>
      <c r="Y1086" s="147"/>
      <c r="Z1086" s="147"/>
      <c r="AA1086" s="147"/>
      <c r="AB1086" s="147"/>
      <c r="AC1086" s="147"/>
      <c r="AD1086" s="147"/>
      <c r="AE1086" s="147"/>
      <c r="AF1086" s="147"/>
      <c r="AG1086" s="147"/>
      <c r="AH1086" s="147"/>
      <c r="AI1086" s="147"/>
      <c r="AJ1086" s="147"/>
      <c r="AK1086" s="147"/>
      <c r="AL1086" s="147"/>
      <c r="AM1086" s="147"/>
      <c r="AN1086" s="147"/>
      <c r="AO1086" s="147"/>
      <c r="AP1086" s="147"/>
      <c r="AQ1086" s="147"/>
    </row>
    <row r="1087" spans="1:43">
      <c r="A1087" s="3"/>
      <c r="B1087" s="3"/>
      <c r="C1087" s="3"/>
      <c r="D1087" s="3"/>
      <c r="E1087" s="3"/>
      <c r="F1087" s="3"/>
      <c r="G1087" s="3"/>
      <c r="H1087" s="3"/>
      <c r="I1087" s="3"/>
      <c r="J1087" s="3"/>
      <c r="K1087" s="3"/>
      <c r="L1087" s="3"/>
      <c r="M1087" s="3"/>
      <c r="N1087" s="157"/>
      <c r="O1087" s="157"/>
      <c r="P1087" s="157"/>
      <c r="R1087" s="147"/>
      <c r="S1087" s="147"/>
      <c r="T1087" s="147"/>
      <c r="U1087" s="147"/>
      <c r="X1087" s="147"/>
      <c r="Y1087" s="147"/>
      <c r="Z1087" s="147"/>
      <c r="AA1087" s="147"/>
      <c r="AB1087" s="147"/>
      <c r="AC1087" s="147"/>
      <c r="AD1087" s="147"/>
      <c r="AE1087" s="147"/>
      <c r="AF1087" s="147"/>
      <c r="AG1087" s="147"/>
      <c r="AH1087" s="147"/>
      <c r="AI1087" s="147"/>
      <c r="AJ1087" s="147"/>
      <c r="AK1087" s="147"/>
      <c r="AL1087" s="147"/>
      <c r="AM1087" s="147"/>
      <c r="AN1087" s="147"/>
      <c r="AO1087" s="147"/>
      <c r="AP1087" s="147"/>
      <c r="AQ1087" s="147"/>
    </row>
    <row r="1088" spans="1:43">
      <c r="A1088" s="3"/>
      <c r="B1088" s="3"/>
      <c r="C1088" s="3"/>
      <c r="D1088" s="3"/>
      <c r="E1088" s="3"/>
      <c r="F1088" s="3"/>
      <c r="G1088" s="3"/>
      <c r="H1088" s="3"/>
      <c r="I1088" s="3"/>
      <c r="J1088" s="3"/>
      <c r="K1088" s="3"/>
      <c r="L1088" s="3"/>
      <c r="M1088" s="3"/>
      <c r="N1088" s="157"/>
      <c r="O1088" s="157"/>
      <c r="P1088" s="157"/>
      <c r="R1088" s="147"/>
      <c r="S1088" s="147"/>
      <c r="T1088" s="147"/>
      <c r="U1088" s="147"/>
      <c r="X1088" s="147"/>
      <c r="Y1088" s="147"/>
      <c r="Z1088" s="147"/>
      <c r="AA1088" s="147"/>
      <c r="AB1088" s="147"/>
      <c r="AC1088" s="147"/>
      <c r="AD1088" s="147"/>
      <c r="AE1088" s="147"/>
      <c r="AF1088" s="147"/>
      <c r="AG1088" s="147"/>
      <c r="AH1088" s="147"/>
      <c r="AI1088" s="147"/>
      <c r="AJ1088" s="147"/>
      <c r="AK1088" s="147"/>
      <c r="AL1088" s="147"/>
      <c r="AM1088" s="147"/>
      <c r="AN1088" s="147"/>
      <c r="AO1088" s="147"/>
      <c r="AP1088" s="147"/>
      <c r="AQ1088" s="147"/>
    </row>
    <row r="1089" spans="1:43">
      <c r="A1089" s="3"/>
      <c r="B1089" s="3"/>
      <c r="C1089" s="3"/>
      <c r="D1089" s="3"/>
      <c r="E1089" s="3"/>
      <c r="F1089" s="3"/>
      <c r="G1089" s="3"/>
      <c r="H1089" s="3"/>
      <c r="I1089" s="3"/>
      <c r="J1089" s="3"/>
      <c r="K1089" s="3"/>
      <c r="L1089" s="3"/>
      <c r="M1089" s="3"/>
      <c r="N1089" s="157"/>
      <c r="O1089" s="157"/>
      <c r="P1089" s="157"/>
      <c r="R1089" s="147"/>
      <c r="S1089" s="147"/>
      <c r="T1089" s="147"/>
      <c r="U1089" s="147"/>
      <c r="X1089" s="147"/>
      <c r="Y1089" s="147"/>
      <c r="Z1089" s="147"/>
      <c r="AA1089" s="147"/>
      <c r="AB1089" s="147"/>
      <c r="AC1089" s="147"/>
      <c r="AD1089" s="147"/>
      <c r="AE1089" s="147"/>
      <c r="AF1089" s="147"/>
      <c r="AG1089" s="147"/>
      <c r="AH1089" s="147"/>
      <c r="AI1089" s="147"/>
      <c r="AJ1089" s="147"/>
      <c r="AK1089" s="147"/>
      <c r="AL1089" s="147"/>
      <c r="AM1089" s="147"/>
      <c r="AN1089" s="147"/>
      <c r="AO1089" s="147"/>
      <c r="AP1089" s="147"/>
      <c r="AQ1089" s="147"/>
    </row>
    <row r="1090" spans="1:43">
      <c r="A1090" s="3"/>
      <c r="B1090" s="3"/>
      <c r="C1090" s="3"/>
      <c r="D1090" s="3"/>
      <c r="E1090" s="3"/>
      <c r="F1090" s="3"/>
      <c r="G1090" s="3"/>
      <c r="H1090" s="3"/>
      <c r="I1090" s="3"/>
      <c r="J1090" s="3"/>
      <c r="K1090" s="3"/>
      <c r="L1090" s="3"/>
      <c r="M1090" s="3"/>
      <c r="N1090" s="157"/>
      <c r="O1090" s="157"/>
      <c r="P1090" s="157"/>
      <c r="R1090" s="147"/>
      <c r="S1090" s="147"/>
      <c r="T1090" s="147"/>
      <c r="U1090" s="147"/>
      <c r="X1090" s="147"/>
      <c r="Y1090" s="147"/>
      <c r="Z1090" s="147"/>
      <c r="AA1090" s="147"/>
      <c r="AB1090" s="147"/>
      <c r="AC1090" s="147"/>
      <c r="AD1090" s="147"/>
      <c r="AE1090" s="147"/>
      <c r="AF1090" s="147"/>
      <c r="AG1090" s="147"/>
      <c r="AH1090" s="147"/>
      <c r="AI1090" s="147"/>
      <c r="AJ1090" s="147"/>
      <c r="AK1090" s="147"/>
      <c r="AL1090" s="147"/>
      <c r="AM1090" s="147"/>
      <c r="AN1090" s="147"/>
      <c r="AO1090" s="147"/>
      <c r="AP1090" s="147"/>
      <c r="AQ1090" s="147"/>
    </row>
    <row r="1091" spans="1:43">
      <c r="A1091" s="3"/>
      <c r="B1091" s="3"/>
      <c r="C1091" s="3"/>
      <c r="D1091" s="3"/>
      <c r="E1091" s="3"/>
      <c r="F1091" s="3"/>
      <c r="G1091" s="3"/>
      <c r="H1091" s="3"/>
      <c r="I1091" s="3"/>
      <c r="J1091" s="3"/>
      <c r="K1091" s="3"/>
      <c r="L1091" s="3"/>
      <c r="M1091" s="3"/>
      <c r="N1091" s="157"/>
      <c r="O1091" s="157"/>
      <c r="P1091" s="157"/>
      <c r="R1091" s="147"/>
      <c r="S1091" s="147"/>
      <c r="T1091" s="147"/>
      <c r="U1091" s="147"/>
      <c r="X1091" s="147"/>
      <c r="Y1091" s="147"/>
      <c r="Z1091" s="147"/>
      <c r="AA1091" s="147"/>
      <c r="AB1091" s="147"/>
      <c r="AC1091" s="147"/>
      <c r="AD1091" s="147"/>
      <c r="AE1091" s="147"/>
      <c r="AF1091" s="147"/>
      <c r="AG1091" s="147"/>
      <c r="AH1091" s="147"/>
      <c r="AI1091" s="147"/>
      <c r="AJ1091" s="147"/>
      <c r="AK1091" s="147"/>
      <c r="AL1091" s="147"/>
      <c r="AM1091" s="147"/>
      <c r="AN1091" s="147"/>
      <c r="AO1091" s="147"/>
      <c r="AP1091" s="147"/>
      <c r="AQ1091" s="147"/>
    </row>
    <row r="1092" spans="1:43">
      <c r="A1092" s="3"/>
      <c r="B1092" s="3"/>
      <c r="C1092" s="3"/>
      <c r="D1092" s="3"/>
      <c r="E1092" s="3"/>
      <c r="F1092" s="3"/>
      <c r="G1092" s="3"/>
      <c r="H1092" s="3"/>
      <c r="I1092" s="3"/>
      <c r="J1092" s="3"/>
      <c r="K1092" s="3"/>
      <c r="L1092" s="3"/>
      <c r="M1092" s="3"/>
      <c r="N1092" s="157"/>
      <c r="O1092" s="157"/>
      <c r="P1092" s="157"/>
      <c r="R1092" s="147"/>
      <c r="S1092" s="147"/>
      <c r="T1092" s="147"/>
      <c r="U1092" s="147"/>
      <c r="X1092" s="147"/>
      <c r="Y1092" s="147"/>
      <c r="Z1092" s="147"/>
      <c r="AA1092" s="147"/>
      <c r="AB1092" s="147"/>
      <c r="AC1092" s="147"/>
      <c r="AD1092" s="147"/>
      <c r="AE1092" s="147"/>
      <c r="AF1092" s="147"/>
      <c r="AG1092" s="147"/>
      <c r="AH1092" s="147"/>
      <c r="AI1092" s="147"/>
      <c r="AJ1092" s="147"/>
      <c r="AK1092" s="147"/>
      <c r="AL1092" s="147"/>
      <c r="AM1092" s="147"/>
      <c r="AN1092" s="147"/>
      <c r="AO1092" s="147"/>
      <c r="AP1092" s="147"/>
      <c r="AQ1092" s="147"/>
    </row>
    <row r="1093" spans="1:43">
      <c r="A1093" s="3"/>
      <c r="B1093" s="3"/>
      <c r="C1093" s="3"/>
      <c r="D1093" s="3"/>
      <c r="E1093" s="3"/>
      <c r="F1093" s="3"/>
      <c r="G1093" s="3"/>
      <c r="H1093" s="3"/>
      <c r="I1093" s="3"/>
      <c r="J1093" s="3"/>
      <c r="K1093" s="3"/>
      <c r="L1093" s="3"/>
      <c r="M1093" s="3"/>
      <c r="N1093" s="157"/>
      <c r="O1093" s="157"/>
      <c r="P1093" s="157"/>
      <c r="R1093" s="147"/>
      <c r="S1093" s="147"/>
      <c r="T1093" s="147"/>
      <c r="U1093" s="147"/>
      <c r="X1093" s="147"/>
      <c r="Y1093" s="147"/>
      <c r="Z1093" s="147"/>
      <c r="AA1093" s="147"/>
      <c r="AB1093" s="147"/>
      <c r="AC1093" s="147"/>
      <c r="AD1093" s="147"/>
      <c r="AE1093" s="147"/>
      <c r="AF1093" s="147"/>
      <c r="AG1093" s="147"/>
      <c r="AH1093" s="147"/>
      <c r="AI1093" s="147"/>
      <c r="AJ1093" s="147"/>
      <c r="AK1093" s="147"/>
      <c r="AL1093" s="147"/>
      <c r="AM1093" s="147"/>
      <c r="AN1093" s="147"/>
      <c r="AO1093" s="147"/>
      <c r="AP1093" s="147"/>
      <c r="AQ1093" s="147"/>
    </row>
    <row r="1094" spans="1:43">
      <c r="A1094" s="3"/>
      <c r="B1094" s="3"/>
      <c r="C1094" s="3"/>
      <c r="D1094" s="3"/>
      <c r="E1094" s="3"/>
      <c r="F1094" s="3"/>
      <c r="G1094" s="3"/>
      <c r="H1094" s="3"/>
      <c r="I1094" s="3"/>
      <c r="J1094" s="3"/>
      <c r="K1094" s="3"/>
      <c r="L1094" s="3"/>
      <c r="M1094" s="3"/>
      <c r="N1094" s="157"/>
      <c r="O1094" s="157"/>
      <c r="P1094" s="157"/>
      <c r="R1094" s="147"/>
      <c r="S1094" s="147"/>
      <c r="T1094" s="147"/>
      <c r="U1094" s="147"/>
      <c r="X1094" s="147"/>
      <c r="Y1094" s="147"/>
      <c r="Z1094" s="147"/>
      <c r="AA1094" s="147"/>
      <c r="AB1094" s="147"/>
      <c r="AC1094" s="147"/>
      <c r="AD1094" s="147"/>
      <c r="AE1094" s="147"/>
      <c r="AF1094" s="147"/>
      <c r="AG1094" s="147"/>
      <c r="AH1094" s="147"/>
      <c r="AI1094" s="147"/>
      <c r="AJ1094" s="147"/>
      <c r="AK1094" s="147"/>
      <c r="AL1094" s="147"/>
      <c r="AM1094" s="147"/>
      <c r="AN1094" s="147"/>
      <c r="AO1094" s="147"/>
      <c r="AP1094" s="147"/>
      <c r="AQ1094" s="147"/>
    </row>
    <row r="1095" spans="1:43">
      <c r="A1095" s="3"/>
      <c r="B1095" s="3"/>
      <c r="C1095" s="3"/>
      <c r="D1095" s="3"/>
      <c r="E1095" s="3"/>
      <c r="F1095" s="3"/>
      <c r="G1095" s="3"/>
      <c r="H1095" s="3"/>
      <c r="I1095" s="3"/>
      <c r="J1095" s="3"/>
      <c r="K1095" s="3"/>
      <c r="L1095" s="3"/>
      <c r="M1095" s="3"/>
      <c r="N1095" s="157"/>
      <c r="O1095" s="157"/>
      <c r="P1095" s="157"/>
      <c r="R1095" s="147"/>
      <c r="S1095" s="147"/>
      <c r="T1095" s="147"/>
      <c r="U1095" s="147"/>
      <c r="X1095" s="147"/>
      <c r="Y1095" s="147"/>
      <c r="Z1095" s="147"/>
      <c r="AA1095" s="147"/>
      <c r="AB1095" s="147"/>
      <c r="AC1095" s="147"/>
      <c r="AD1095" s="147"/>
      <c r="AE1095" s="147"/>
      <c r="AF1095" s="147"/>
      <c r="AG1095" s="147"/>
      <c r="AH1095" s="147"/>
      <c r="AI1095" s="147"/>
      <c r="AJ1095" s="147"/>
      <c r="AK1095" s="147"/>
      <c r="AL1095" s="147"/>
      <c r="AM1095" s="147"/>
      <c r="AN1095" s="147"/>
      <c r="AO1095" s="147"/>
      <c r="AP1095" s="147"/>
      <c r="AQ1095" s="147"/>
    </row>
    <row r="1096" spans="1:43">
      <c r="A1096" s="3"/>
      <c r="B1096" s="3"/>
      <c r="C1096" s="3"/>
      <c r="D1096" s="3"/>
      <c r="E1096" s="3"/>
      <c r="F1096" s="3"/>
      <c r="G1096" s="3"/>
      <c r="H1096" s="3"/>
      <c r="I1096" s="3"/>
      <c r="J1096" s="3"/>
      <c r="K1096" s="3"/>
      <c r="L1096" s="3"/>
      <c r="M1096" s="3"/>
      <c r="N1096" s="157"/>
      <c r="O1096" s="157"/>
      <c r="P1096" s="157"/>
      <c r="R1096" s="147"/>
      <c r="S1096" s="147"/>
      <c r="T1096" s="147"/>
      <c r="U1096" s="147"/>
      <c r="X1096" s="147"/>
      <c r="Y1096" s="147"/>
      <c r="Z1096" s="147"/>
      <c r="AA1096" s="147"/>
      <c r="AB1096" s="147"/>
      <c r="AC1096" s="147"/>
      <c r="AD1096" s="147"/>
      <c r="AE1096" s="147"/>
      <c r="AF1096" s="147"/>
      <c r="AG1096" s="147"/>
      <c r="AH1096" s="147"/>
      <c r="AI1096" s="147"/>
      <c r="AJ1096" s="147"/>
      <c r="AK1096" s="147"/>
      <c r="AL1096" s="147"/>
      <c r="AM1096" s="147"/>
      <c r="AN1096" s="147"/>
      <c r="AO1096" s="147"/>
      <c r="AP1096" s="147"/>
      <c r="AQ1096" s="147"/>
    </row>
    <row r="1097" spans="1:43">
      <c r="A1097" s="3"/>
      <c r="B1097" s="3"/>
      <c r="C1097" s="3"/>
      <c r="D1097" s="3"/>
      <c r="E1097" s="3"/>
      <c r="F1097" s="3"/>
      <c r="G1097" s="3"/>
      <c r="H1097" s="3"/>
      <c r="I1097" s="3"/>
      <c r="J1097" s="3"/>
      <c r="K1097" s="3"/>
      <c r="L1097" s="3"/>
      <c r="M1097" s="3"/>
      <c r="N1097" s="157"/>
      <c r="O1097" s="157"/>
      <c r="P1097" s="157"/>
      <c r="R1097" s="147"/>
      <c r="S1097" s="147"/>
      <c r="T1097" s="147"/>
      <c r="U1097" s="147"/>
      <c r="X1097" s="147"/>
      <c r="Y1097" s="147"/>
      <c r="Z1097" s="147"/>
      <c r="AA1097" s="147"/>
      <c r="AB1097" s="147"/>
      <c r="AC1097" s="147"/>
      <c r="AD1097" s="147"/>
      <c r="AE1097" s="147"/>
      <c r="AF1097" s="147"/>
      <c r="AG1097" s="147"/>
      <c r="AH1097" s="147"/>
      <c r="AI1097" s="147"/>
      <c r="AJ1097" s="147"/>
      <c r="AK1097" s="147"/>
      <c r="AL1097" s="147"/>
      <c r="AM1097" s="147"/>
      <c r="AN1097" s="147"/>
      <c r="AO1097" s="147"/>
      <c r="AP1097" s="147"/>
      <c r="AQ1097" s="147"/>
    </row>
    <row r="1098" spans="1:43">
      <c r="A1098" s="3"/>
      <c r="B1098" s="3"/>
      <c r="C1098" s="3"/>
      <c r="D1098" s="3"/>
      <c r="E1098" s="3"/>
      <c r="F1098" s="3"/>
      <c r="G1098" s="3"/>
      <c r="H1098" s="3"/>
      <c r="I1098" s="3"/>
      <c r="J1098" s="3"/>
      <c r="K1098" s="3"/>
      <c r="L1098" s="3"/>
      <c r="M1098" s="3"/>
      <c r="N1098" s="157"/>
      <c r="O1098" s="157"/>
      <c r="P1098" s="157"/>
      <c r="R1098" s="147"/>
      <c r="S1098" s="147"/>
      <c r="T1098" s="147"/>
      <c r="U1098" s="147"/>
      <c r="X1098" s="147"/>
      <c r="Y1098" s="147"/>
      <c r="Z1098" s="147"/>
      <c r="AA1098" s="147"/>
      <c r="AB1098" s="147"/>
      <c r="AC1098" s="147"/>
      <c r="AD1098" s="147"/>
      <c r="AE1098" s="147"/>
      <c r="AF1098" s="147"/>
      <c r="AG1098" s="147"/>
      <c r="AH1098" s="147"/>
      <c r="AI1098" s="147"/>
      <c r="AJ1098" s="147"/>
      <c r="AK1098" s="147"/>
      <c r="AL1098" s="147"/>
      <c r="AM1098" s="147"/>
      <c r="AN1098" s="147"/>
      <c r="AO1098" s="147"/>
      <c r="AP1098" s="147"/>
      <c r="AQ1098" s="147"/>
    </row>
    <row r="1099" spans="1:43">
      <c r="A1099" s="3"/>
      <c r="B1099" s="3"/>
      <c r="C1099" s="3"/>
      <c r="D1099" s="3"/>
      <c r="E1099" s="3"/>
      <c r="F1099" s="3"/>
      <c r="G1099" s="3"/>
      <c r="H1099" s="3"/>
      <c r="I1099" s="3"/>
      <c r="J1099" s="3"/>
      <c r="K1099" s="3"/>
      <c r="L1099" s="3"/>
      <c r="M1099" s="3"/>
      <c r="N1099" s="157"/>
      <c r="O1099" s="157"/>
      <c r="P1099" s="157"/>
      <c r="R1099" s="147"/>
      <c r="S1099" s="147"/>
      <c r="T1099" s="147"/>
      <c r="U1099" s="147"/>
      <c r="X1099" s="147"/>
      <c r="Y1099" s="147"/>
      <c r="Z1099" s="147"/>
      <c r="AA1099" s="147"/>
      <c r="AB1099" s="147"/>
      <c r="AC1099" s="147"/>
      <c r="AD1099" s="147"/>
      <c r="AE1099" s="147"/>
      <c r="AF1099" s="147"/>
      <c r="AG1099" s="147"/>
      <c r="AH1099" s="147"/>
      <c r="AI1099" s="147"/>
      <c r="AJ1099" s="147"/>
      <c r="AK1099" s="147"/>
      <c r="AL1099" s="147"/>
      <c r="AM1099" s="147"/>
      <c r="AN1099" s="147"/>
      <c r="AO1099" s="147"/>
      <c r="AP1099" s="147"/>
      <c r="AQ1099" s="147"/>
    </row>
    <row r="1100" spans="1:43">
      <c r="A1100" s="3"/>
      <c r="B1100" s="3"/>
      <c r="C1100" s="3"/>
      <c r="D1100" s="3"/>
      <c r="E1100" s="3"/>
      <c r="F1100" s="3"/>
      <c r="G1100" s="3"/>
      <c r="H1100" s="3"/>
      <c r="I1100" s="3"/>
      <c r="J1100" s="3"/>
      <c r="K1100" s="3"/>
      <c r="L1100" s="3"/>
      <c r="M1100" s="3"/>
      <c r="N1100" s="157"/>
      <c r="O1100" s="157"/>
      <c r="P1100" s="157"/>
      <c r="R1100" s="147"/>
      <c r="S1100" s="147"/>
      <c r="T1100" s="147"/>
      <c r="U1100" s="147"/>
      <c r="X1100" s="147"/>
      <c r="Y1100" s="147"/>
      <c r="Z1100" s="147"/>
      <c r="AA1100" s="147"/>
      <c r="AB1100" s="147"/>
      <c r="AC1100" s="147"/>
      <c r="AD1100" s="147"/>
      <c r="AE1100" s="147"/>
      <c r="AF1100" s="147"/>
      <c r="AG1100" s="147"/>
      <c r="AH1100" s="147"/>
      <c r="AI1100" s="147"/>
      <c r="AJ1100" s="147"/>
      <c r="AK1100" s="147"/>
      <c r="AL1100" s="147"/>
      <c r="AM1100" s="147"/>
      <c r="AN1100" s="147"/>
      <c r="AO1100" s="147"/>
      <c r="AP1100" s="147"/>
      <c r="AQ1100" s="147"/>
    </row>
    <row r="1101" spans="1:43">
      <c r="A1101" s="3"/>
      <c r="B1101" s="3"/>
      <c r="C1101" s="3"/>
      <c r="D1101" s="3"/>
      <c r="E1101" s="3"/>
      <c r="F1101" s="3"/>
      <c r="G1101" s="3"/>
      <c r="H1101" s="3"/>
      <c r="I1101" s="3"/>
      <c r="J1101" s="3"/>
      <c r="K1101" s="3"/>
      <c r="L1101" s="3"/>
      <c r="M1101" s="3"/>
      <c r="N1101" s="157"/>
      <c r="O1101" s="157"/>
      <c r="P1101" s="157"/>
      <c r="R1101" s="147"/>
      <c r="S1101" s="147"/>
      <c r="T1101" s="147"/>
      <c r="U1101" s="147"/>
      <c r="X1101" s="147"/>
      <c r="Y1101" s="147"/>
      <c r="Z1101" s="147"/>
      <c r="AA1101" s="147"/>
      <c r="AB1101" s="147"/>
      <c r="AC1101" s="147"/>
      <c r="AD1101" s="147"/>
      <c r="AE1101" s="147"/>
      <c r="AF1101" s="147"/>
      <c r="AG1101" s="147"/>
      <c r="AH1101" s="147"/>
      <c r="AI1101" s="147"/>
      <c r="AJ1101" s="147"/>
      <c r="AK1101" s="147"/>
      <c r="AL1101" s="147"/>
      <c r="AM1101" s="147"/>
      <c r="AN1101" s="147"/>
      <c r="AO1101" s="147"/>
      <c r="AP1101" s="147"/>
      <c r="AQ1101" s="147"/>
    </row>
    <row r="1102" spans="1:43">
      <c r="A1102" s="3"/>
      <c r="B1102" s="3"/>
      <c r="C1102" s="3"/>
      <c r="D1102" s="3"/>
      <c r="E1102" s="3"/>
      <c r="F1102" s="3"/>
      <c r="G1102" s="3"/>
      <c r="H1102" s="3"/>
      <c r="I1102" s="3"/>
      <c r="J1102" s="3"/>
      <c r="K1102" s="3"/>
      <c r="L1102" s="3"/>
      <c r="M1102" s="3"/>
      <c r="N1102" s="157"/>
      <c r="O1102" s="157"/>
      <c r="P1102" s="157"/>
      <c r="R1102" s="147"/>
      <c r="S1102" s="147"/>
      <c r="T1102" s="147"/>
      <c r="U1102" s="147"/>
      <c r="X1102" s="147"/>
      <c r="Y1102" s="147"/>
      <c r="Z1102" s="147"/>
      <c r="AA1102" s="147"/>
      <c r="AB1102" s="147"/>
      <c r="AC1102" s="147"/>
      <c r="AD1102" s="147"/>
      <c r="AE1102" s="147"/>
      <c r="AF1102" s="147"/>
      <c r="AG1102" s="147"/>
      <c r="AH1102" s="147"/>
      <c r="AI1102" s="147"/>
      <c r="AJ1102" s="147"/>
      <c r="AK1102" s="147"/>
      <c r="AL1102" s="147"/>
      <c r="AM1102" s="147"/>
      <c r="AN1102" s="147"/>
      <c r="AO1102" s="147"/>
      <c r="AP1102" s="147"/>
      <c r="AQ1102" s="147"/>
    </row>
    <row r="1103" spans="1:43">
      <c r="A1103" s="3"/>
      <c r="B1103" s="3"/>
      <c r="C1103" s="3"/>
      <c r="D1103" s="3"/>
      <c r="E1103" s="3"/>
      <c r="F1103" s="3"/>
      <c r="G1103" s="3"/>
      <c r="H1103" s="3"/>
      <c r="I1103" s="3"/>
      <c r="J1103" s="3"/>
      <c r="K1103" s="3"/>
      <c r="L1103" s="3"/>
      <c r="M1103" s="3"/>
      <c r="N1103" s="157"/>
      <c r="O1103" s="157"/>
      <c r="P1103" s="157"/>
      <c r="R1103" s="147"/>
      <c r="S1103" s="147"/>
      <c r="T1103" s="147"/>
      <c r="U1103" s="147"/>
      <c r="X1103" s="147"/>
      <c r="Y1103" s="147"/>
      <c r="Z1103" s="147"/>
      <c r="AA1103" s="147"/>
      <c r="AB1103" s="147"/>
      <c r="AC1103" s="147"/>
      <c r="AD1103" s="147"/>
      <c r="AE1103" s="147"/>
      <c r="AF1103" s="147"/>
      <c r="AG1103" s="147"/>
      <c r="AH1103" s="147"/>
      <c r="AI1103" s="147"/>
      <c r="AJ1103" s="147"/>
      <c r="AK1103" s="147"/>
      <c r="AL1103" s="147"/>
      <c r="AM1103" s="147"/>
      <c r="AN1103" s="147"/>
      <c r="AO1103" s="147"/>
      <c r="AP1103" s="147"/>
      <c r="AQ1103" s="147"/>
    </row>
    <row r="1104" spans="1:43">
      <c r="A1104" s="3"/>
      <c r="B1104" s="3"/>
      <c r="C1104" s="3"/>
      <c r="D1104" s="3"/>
      <c r="E1104" s="3"/>
      <c r="F1104" s="3"/>
      <c r="G1104" s="3"/>
      <c r="H1104" s="3"/>
      <c r="I1104" s="3"/>
      <c r="J1104" s="3"/>
      <c r="K1104" s="3"/>
      <c r="L1104" s="3"/>
      <c r="M1104" s="3"/>
      <c r="N1104" s="157"/>
      <c r="O1104" s="157"/>
      <c r="P1104" s="157"/>
      <c r="R1104" s="147"/>
      <c r="S1104" s="147"/>
      <c r="T1104" s="147"/>
      <c r="U1104" s="147"/>
      <c r="X1104" s="147"/>
      <c r="Y1104" s="147"/>
      <c r="Z1104" s="147"/>
      <c r="AA1104" s="147"/>
      <c r="AB1104" s="147"/>
      <c r="AC1104" s="147"/>
      <c r="AD1104" s="147"/>
      <c r="AE1104" s="147"/>
      <c r="AF1104" s="147"/>
      <c r="AG1104" s="147"/>
      <c r="AH1104" s="147"/>
      <c r="AI1104" s="147"/>
      <c r="AJ1104" s="147"/>
      <c r="AK1104" s="147"/>
      <c r="AL1104" s="147"/>
      <c r="AM1104" s="147"/>
      <c r="AN1104" s="147"/>
      <c r="AO1104" s="147"/>
      <c r="AP1104" s="147"/>
      <c r="AQ1104" s="147"/>
    </row>
    <row r="1105" spans="1:43">
      <c r="A1105" s="3"/>
      <c r="B1105" s="3"/>
      <c r="C1105" s="3"/>
      <c r="D1105" s="3"/>
      <c r="E1105" s="3"/>
      <c r="F1105" s="3"/>
      <c r="G1105" s="3"/>
      <c r="H1105" s="3"/>
      <c r="I1105" s="3"/>
      <c r="J1105" s="3"/>
      <c r="K1105" s="3"/>
      <c r="L1105" s="3"/>
      <c r="M1105" s="3"/>
      <c r="N1105" s="157"/>
      <c r="O1105" s="157"/>
      <c r="P1105" s="157"/>
      <c r="R1105" s="147"/>
      <c r="S1105" s="147"/>
      <c r="T1105" s="147"/>
      <c r="U1105" s="147"/>
      <c r="X1105" s="147"/>
      <c r="Y1105" s="147"/>
      <c r="Z1105" s="147"/>
      <c r="AA1105" s="147"/>
      <c r="AB1105" s="147"/>
      <c r="AC1105" s="147"/>
      <c r="AD1105" s="147"/>
      <c r="AE1105" s="147"/>
      <c r="AF1105" s="147"/>
      <c r="AG1105" s="147"/>
      <c r="AH1105" s="147"/>
      <c r="AI1105" s="147"/>
      <c r="AJ1105" s="147"/>
      <c r="AK1105" s="147"/>
      <c r="AL1105" s="147"/>
      <c r="AM1105" s="147"/>
      <c r="AN1105" s="147"/>
      <c r="AO1105" s="147"/>
      <c r="AP1105" s="147"/>
      <c r="AQ1105" s="147"/>
    </row>
    <row r="1106" spans="1:43">
      <c r="A1106" s="3"/>
      <c r="B1106" s="3"/>
      <c r="C1106" s="3"/>
      <c r="D1106" s="3"/>
      <c r="E1106" s="3"/>
      <c r="F1106" s="3"/>
      <c r="G1106" s="3"/>
      <c r="H1106" s="3"/>
      <c r="I1106" s="3"/>
      <c r="J1106" s="3"/>
      <c r="K1106" s="3"/>
      <c r="L1106" s="3"/>
      <c r="M1106" s="3"/>
      <c r="N1106" s="157"/>
      <c r="O1106" s="157"/>
      <c r="P1106" s="157"/>
      <c r="R1106" s="147"/>
      <c r="S1106" s="147"/>
      <c r="T1106" s="147"/>
      <c r="U1106" s="147"/>
      <c r="X1106" s="147"/>
      <c r="Y1106" s="147"/>
      <c r="Z1106" s="147"/>
      <c r="AA1106" s="147"/>
      <c r="AB1106" s="147"/>
      <c r="AC1106" s="147"/>
      <c r="AD1106" s="147"/>
      <c r="AE1106" s="147"/>
      <c r="AF1106" s="147"/>
      <c r="AG1106" s="147"/>
      <c r="AH1106" s="147"/>
      <c r="AI1106" s="147"/>
      <c r="AJ1106" s="147"/>
      <c r="AK1106" s="147"/>
      <c r="AL1106" s="147"/>
      <c r="AM1106" s="147"/>
      <c r="AN1106" s="147"/>
      <c r="AO1106" s="147"/>
      <c r="AP1106" s="147"/>
      <c r="AQ1106" s="147"/>
    </row>
    <row r="1107" spans="1:43">
      <c r="A1107" s="3"/>
      <c r="B1107" s="3"/>
      <c r="C1107" s="3"/>
      <c r="D1107" s="3"/>
      <c r="E1107" s="3"/>
      <c r="F1107" s="3"/>
      <c r="G1107" s="3"/>
      <c r="H1107" s="3"/>
      <c r="I1107" s="3"/>
      <c r="J1107" s="3"/>
      <c r="K1107" s="3"/>
      <c r="L1107" s="3"/>
      <c r="M1107" s="3"/>
      <c r="N1107" s="157"/>
      <c r="O1107" s="157"/>
      <c r="P1107" s="157"/>
      <c r="R1107" s="147"/>
      <c r="S1107" s="147"/>
      <c r="T1107" s="147"/>
      <c r="U1107" s="147"/>
      <c r="X1107" s="147"/>
      <c r="Y1107" s="147"/>
      <c r="Z1107" s="147"/>
      <c r="AA1107" s="147"/>
      <c r="AB1107" s="147"/>
      <c r="AC1107" s="147"/>
      <c r="AD1107" s="147"/>
      <c r="AE1107" s="147"/>
      <c r="AF1107" s="147"/>
      <c r="AG1107" s="147"/>
      <c r="AH1107" s="147"/>
      <c r="AI1107" s="147"/>
      <c r="AJ1107" s="147"/>
      <c r="AK1107" s="147"/>
      <c r="AL1107" s="147"/>
      <c r="AM1107" s="147"/>
      <c r="AN1107" s="147"/>
      <c r="AO1107" s="147"/>
      <c r="AP1107" s="147"/>
      <c r="AQ1107" s="147"/>
    </row>
    <row r="1108" spans="1:43">
      <c r="A1108" s="3"/>
      <c r="B1108" s="3"/>
      <c r="C1108" s="3"/>
      <c r="D1108" s="3"/>
      <c r="E1108" s="3"/>
      <c r="F1108" s="3"/>
      <c r="G1108" s="3"/>
      <c r="H1108" s="3"/>
      <c r="I1108" s="3"/>
      <c r="J1108" s="3"/>
      <c r="K1108" s="3"/>
      <c r="L1108" s="3"/>
      <c r="M1108" s="3"/>
      <c r="N1108" s="157"/>
      <c r="O1108" s="157"/>
      <c r="P1108" s="157"/>
      <c r="R1108" s="147"/>
      <c r="S1108" s="147"/>
      <c r="T1108" s="147"/>
      <c r="U1108" s="147"/>
      <c r="X1108" s="147"/>
      <c r="Y1108" s="147"/>
      <c r="Z1108" s="147"/>
      <c r="AA1108" s="147"/>
      <c r="AB1108" s="147"/>
      <c r="AC1108" s="147"/>
      <c r="AD1108" s="147"/>
      <c r="AE1108" s="147"/>
      <c r="AF1108" s="147"/>
      <c r="AG1108" s="147"/>
      <c r="AH1108" s="147"/>
      <c r="AI1108" s="147"/>
      <c r="AJ1108" s="147"/>
      <c r="AK1108" s="147"/>
      <c r="AL1108" s="147"/>
      <c r="AM1108" s="147"/>
      <c r="AN1108" s="147"/>
      <c r="AO1108" s="147"/>
      <c r="AP1108" s="147"/>
      <c r="AQ1108" s="147"/>
    </row>
    <row r="1109" spans="1:43">
      <c r="A1109" s="3"/>
      <c r="B1109" s="3"/>
      <c r="C1109" s="3"/>
      <c r="D1109" s="3"/>
      <c r="E1109" s="3"/>
      <c r="F1109" s="3"/>
      <c r="G1109" s="3"/>
      <c r="H1109" s="3"/>
      <c r="I1109" s="3"/>
      <c r="J1109" s="3"/>
      <c r="K1109" s="3"/>
      <c r="L1109" s="3"/>
      <c r="M1109" s="3"/>
      <c r="N1109" s="157"/>
      <c r="O1109" s="157"/>
      <c r="P1109" s="157"/>
      <c r="R1109" s="147"/>
      <c r="S1109" s="147"/>
      <c r="T1109" s="147"/>
      <c r="U1109" s="147"/>
      <c r="X1109" s="147"/>
      <c r="Y1109" s="147"/>
      <c r="Z1109" s="147"/>
      <c r="AA1109" s="147"/>
      <c r="AB1109" s="147"/>
      <c r="AC1109" s="147"/>
      <c r="AD1109" s="147"/>
      <c r="AE1109" s="147"/>
      <c r="AF1109" s="147"/>
      <c r="AG1109" s="147"/>
      <c r="AH1109" s="147"/>
      <c r="AI1109" s="147"/>
      <c r="AJ1109" s="147"/>
      <c r="AK1109" s="147"/>
      <c r="AL1109" s="147"/>
      <c r="AM1109" s="147"/>
      <c r="AN1109" s="147"/>
      <c r="AO1109" s="147"/>
      <c r="AP1109" s="147"/>
      <c r="AQ1109" s="147"/>
    </row>
    <row r="1110" spans="1:43">
      <c r="A1110" s="3"/>
      <c r="B1110" s="3"/>
      <c r="C1110" s="3"/>
      <c r="D1110" s="3"/>
      <c r="E1110" s="3"/>
      <c r="F1110" s="3"/>
      <c r="G1110" s="3"/>
      <c r="H1110" s="3"/>
      <c r="I1110" s="3"/>
      <c r="J1110" s="3"/>
      <c r="K1110" s="3"/>
      <c r="L1110" s="3"/>
      <c r="M1110" s="3"/>
      <c r="N1110" s="157"/>
      <c r="O1110" s="157"/>
      <c r="P1110" s="157"/>
      <c r="R1110" s="147"/>
      <c r="S1110" s="147"/>
      <c r="T1110" s="147"/>
      <c r="U1110" s="147"/>
      <c r="X1110" s="147"/>
      <c r="Y1110" s="147"/>
      <c r="Z1110" s="147"/>
      <c r="AA1110" s="147"/>
      <c r="AB1110" s="147"/>
      <c r="AC1110" s="147"/>
      <c r="AD1110" s="147"/>
      <c r="AE1110" s="147"/>
      <c r="AF1110" s="147"/>
      <c r="AG1110" s="147"/>
      <c r="AH1110" s="147"/>
      <c r="AI1110" s="147"/>
      <c r="AJ1110" s="147"/>
      <c r="AK1110" s="147"/>
      <c r="AL1110" s="147"/>
      <c r="AM1110" s="147"/>
      <c r="AN1110" s="147"/>
      <c r="AO1110" s="147"/>
      <c r="AP1110" s="147"/>
      <c r="AQ1110" s="147"/>
    </row>
    <row r="1111" spans="1:43">
      <c r="A1111" s="3"/>
      <c r="B1111" s="3"/>
      <c r="C1111" s="3"/>
      <c r="D1111" s="3"/>
      <c r="E1111" s="3"/>
      <c r="F1111" s="3"/>
      <c r="G1111" s="3"/>
      <c r="H1111" s="3"/>
      <c r="I1111" s="3"/>
      <c r="J1111" s="3"/>
      <c r="K1111" s="3"/>
      <c r="L1111" s="3"/>
      <c r="M1111" s="3"/>
      <c r="N1111" s="157"/>
      <c r="O1111" s="157"/>
      <c r="P1111" s="157"/>
      <c r="R1111" s="147"/>
      <c r="S1111" s="147"/>
      <c r="T1111" s="147"/>
      <c r="U1111" s="147"/>
      <c r="X1111" s="147"/>
      <c r="Y1111" s="147"/>
      <c r="Z1111" s="147"/>
      <c r="AA1111" s="147"/>
      <c r="AB1111" s="147"/>
      <c r="AC1111" s="147"/>
      <c r="AD1111" s="147"/>
      <c r="AE1111" s="147"/>
      <c r="AF1111" s="147"/>
      <c r="AG1111" s="147"/>
      <c r="AH1111" s="147"/>
      <c r="AI1111" s="147"/>
      <c r="AJ1111" s="147"/>
      <c r="AK1111" s="147"/>
      <c r="AL1111" s="147"/>
      <c r="AM1111" s="147"/>
      <c r="AN1111" s="147"/>
      <c r="AO1111" s="147"/>
      <c r="AP1111" s="147"/>
      <c r="AQ1111" s="147"/>
    </row>
    <row r="1112" spans="1:43">
      <c r="A1112" s="3"/>
      <c r="B1112" s="3"/>
      <c r="C1112" s="3"/>
      <c r="D1112" s="3"/>
      <c r="E1112" s="3"/>
      <c r="F1112" s="3"/>
      <c r="G1112" s="3"/>
      <c r="H1112" s="3"/>
      <c r="I1112" s="3"/>
      <c r="J1112" s="3"/>
      <c r="K1112" s="3"/>
      <c r="L1112" s="3"/>
      <c r="M1112" s="3"/>
      <c r="N1112" s="157"/>
      <c r="O1112" s="157"/>
      <c r="P1112" s="157"/>
      <c r="R1112" s="147"/>
      <c r="S1112" s="147"/>
      <c r="T1112" s="147"/>
      <c r="U1112" s="147"/>
      <c r="X1112" s="147"/>
      <c r="Y1112" s="147"/>
      <c r="Z1112" s="147"/>
      <c r="AA1112" s="147"/>
      <c r="AB1112" s="147"/>
      <c r="AC1112" s="147"/>
      <c r="AD1112" s="147"/>
      <c r="AE1112" s="147"/>
      <c r="AF1112" s="147"/>
      <c r="AG1112" s="147"/>
      <c r="AH1112" s="147"/>
      <c r="AI1112" s="147"/>
      <c r="AJ1112" s="147"/>
      <c r="AK1112" s="147"/>
      <c r="AL1112" s="147"/>
      <c r="AM1112" s="147"/>
      <c r="AN1112" s="147"/>
      <c r="AO1112" s="147"/>
      <c r="AP1112" s="147"/>
      <c r="AQ1112" s="147"/>
    </row>
    <row r="1113" spans="1:43">
      <c r="A1113" s="3"/>
      <c r="B1113" s="3"/>
      <c r="C1113" s="3"/>
      <c r="D1113" s="3"/>
      <c r="E1113" s="3"/>
      <c r="F1113" s="3"/>
      <c r="G1113" s="3"/>
      <c r="H1113" s="3"/>
      <c r="I1113" s="3"/>
      <c r="J1113" s="3"/>
      <c r="K1113" s="3"/>
      <c r="L1113" s="3"/>
      <c r="M1113" s="3"/>
      <c r="N1113" s="157"/>
      <c r="O1113" s="157"/>
      <c r="P1113" s="157"/>
      <c r="R1113" s="147"/>
      <c r="S1113" s="147"/>
      <c r="T1113" s="147"/>
      <c r="U1113" s="147"/>
      <c r="X1113" s="147"/>
      <c r="Y1113" s="147"/>
      <c r="Z1113" s="147"/>
      <c r="AA1113" s="147"/>
      <c r="AB1113" s="147"/>
      <c r="AC1113" s="147"/>
      <c r="AD1113" s="147"/>
      <c r="AE1113" s="147"/>
      <c r="AF1113" s="147"/>
      <c r="AG1113" s="147"/>
      <c r="AH1113" s="147"/>
      <c r="AI1113" s="147"/>
      <c r="AJ1113" s="147"/>
      <c r="AK1113" s="147"/>
      <c r="AL1113" s="147"/>
      <c r="AM1113" s="147"/>
      <c r="AN1113" s="147"/>
      <c r="AO1113" s="147"/>
      <c r="AP1113" s="147"/>
      <c r="AQ1113" s="147"/>
    </row>
    <row r="1114" spans="1:43">
      <c r="A1114" s="3"/>
      <c r="B1114" s="3"/>
      <c r="C1114" s="3"/>
      <c r="D1114" s="3"/>
      <c r="E1114" s="3"/>
      <c r="F1114" s="3"/>
      <c r="G1114" s="3"/>
      <c r="H1114" s="3"/>
      <c r="I1114" s="3"/>
      <c r="J1114" s="3"/>
      <c r="K1114" s="3"/>
      <c r="L1114" s="3"/>
      <c r="M1114" s="3"/>
      <c r="N1114" s="157"/>
      <c r="O1114" s="157"/>
      <c r="P1114" s="157"/>
      <c r="R1114" s="147"/>
      <c r="S1114" s="147"/>
      <c r="T1114" s="147"/>
      <c r="U1114" s="147"/>
      <c r="X1114" s="147"/>
      <c r="Y1114" s="147"/>
      <c r="Z1114" s="147"/>
      <c r="AA1114" s="147"/>
      <c r="AB1114" s="147"/>
      <c r="AC1114" s="147"/>
      <c r="AD1114" s="147"/>
      <c r="AE1114" s="147"/>
      <c r="AF1114" s="147"/>
      <c r="AG1114" s="147"/>
      <c r="AH1114" s="147"/>
      <c r="AI1114" s="147"/>
      <c r="AJ1114" s="147"/>
      <c r="AK1114" s="147"/>
      <c r="AL1114" s="147"/>
      <c r="AM1114" s="147"/>
      <c r="AN1114" s="147"/>
      <c r="AO1114" s="147"/>
      <c r="AP1114" s="147"/>
      <c r="AQ1114" s="147"/>
    </row>
    <row r="1115" spans="1:43">
      <c r="A1115" s="3"/>
      <c r="B1115" s="3"/>
      <c r="C1115" s="3"/>
      <c r="D1115" s="3"/>
      <c r="E1115" s="3"/>
      <c r="F1115" s="3"/>
      <c r="G1115" s="3"/>
      <c r="H1115" s="3"/>
      <c r="I1115" s="3"/>
      <c r="J1115" s="3"/>
      <c r="K1115" s="3"/>
      <c r="L1115" s="3"/>
      <c r="M1115" s="3"/>
      <c r="N1115" s="157"/>
      <c r="O1115" s="157"/>
      <c r="P1115" s="157"/>
      <c r="R1115" s="147"/>
      <c r="S1115" s="147"/>
      <c r="T1115" s="147"/>
      <c r="U1115" s="147"/>
      <c r="X1115" s="147"/>
      <c r="Y1115" s="147"/>
      <c r="Z1115" s="147"/>
      <c r="AA1115" s="147"/>
      <c r="AB1115" s="147"/>
      <c r="AC1115" s="147"/>
      <c r="AD1115" s="147"/>
      <c r="AE1115" s="147"/>
      <c r="AF1115" s="147"/>
      <c r="AG1115" s="147"/>
      <c r="AH1115" s="147"/>
      <c r="AI1115" s="147"/>
      <c r="AJ1115" s="147"/>
      <c r="AK1115" s="147"/>
      <c r="AL1115" s="147"/>
      <c r="AM1115" s="147"/>
      <c r="AN1115" s="147"/>
      <c r="AO1115" s="147"/>
      <c r="AP1115" s="147"/>
      <c r="AQ1115" s="147"/>
    </row>
    <row r="1116" spans="1:43">
      <c r="A1116" s="3"/>
      <c r="B1116" s="3"/>
      <c r="C1116" s="3"/>
      <c r="D1116" s="3"/>
      <c r="E1116" s="3"/>
      <c r="F1116" s="3"/>
      <c r="G1116" s="3"/>
      <c r="H1116" s="3"/>
      <c r="I1116" s="3"/>
      <c r="J1116" s="3"/>
      <c r="K1116" s="3"/>
      <c r="L1116" s="3"/>
      <c r="M1116" s="3"/>
      <c r="N1116" s="157"/>
      <c r="O1116" s="157"/>
      <c r="P1116" s="157"/>
      <c r="R1116" s="147"/>
      <c r="S1116" s="147"/>
      <c r="T1116" s="147"/>
      <c r="U1116" s="147"/>
      <c r="X1116" s="147"/>
      <c r="Y1116" s="147"/>
      <c r="Z1116" s="147"/>
      <c r="AA1116" s="147"/>
      <c r="AB1116" s="147"/>
      <c r="AC1116" s="147"/>
      <c r="AD1116" s="147"/>
      <c r="AE1116" s="147"/>
      <c r="AF1116" s="147"/>
      <c r="AG1116" s="147"/>
      <c r="AH1116" s="147"/>
      <c r="AI1116" s="147"/>
      <c r="AJ1116" s="147"/>
      <c r="AK1116" s="147"/>
      <c r="AL1116" s="147"/>
      <c r="AM1116" s="147"/>
      <c r="AN1116" s="147"/>
      <c r="AO1116" s="147"/>
      <c r="AP1116" s="147"/>
      <c r="AQ1116" s="147"/>
    </row>
    <row r="1117" spans="1:43">
      <c r="A1117" s="3"/>
      <c r="B1117" s="3"/>
      <c r="C1117" s="3"/>
      <c r="D1117" s="3"/>
      <c r="E1117" s="3"/>
      <c r="F1117" s="3"/>
      <c r="G1117" s="3"/>
      <c r="H1117" s="3"/>
      <c r="I1117" s="3"/>
      <c r="J1117" s="3"/>
      <c r="K1117" s="3"/>
      <c r="L1117" s="3"/>
      <c r="M1117" s="3"/>
      <c r="N1117" s="157"/>
      <c r="O1117" s="157"/>
      <c r="P1117" s="157"/>
      <c r="R1117" s="147"/>
      <c r="S1117" s="147"/>
      <c r="T1117" s="147"/>
      <c r="U1117" s="147"/>
      <c r="X1117" s="147"/>
      <c r="Y1117" s="147"/>
      <c r="Z1117" s="147"/>
      <c r="AA1117" s="147"/>
      <c r="AB1117" s="147"/>
      <c r="AC1117" s="147"/>
      <c r="AD1117" s="147"/>
      <c r="AE1117" s="147"/>
      <c r="AF1117" s="147"/>
      <c r="AG1117" s="147"/>
      <c r="AH1117" s="147"/>
      <c r="AI1117" s="147"/>
      <c r="AJ1117" s="147"/>
      <c r="AK1117" s="147"/>
      <c r="AL1117" s="147"/>
      <c r="AM1117" s="147"/>
      <c r="AN1117" s="147"/>
      <c r="AO1117" s="147"/>
      <c r="AP1117" s="147"/>
      <c r="AQ1117" s="147"/>
    </row>
    <row r="1118" spans="1:43">
      <c r="A1118" s="3"/>
      <c r="B1118" s="3"/>
      <c r="C1118" s="3"/>
      <c r="D1118" s="3"/>
      <c r="E1118" s="3"/>
      <c r="F1118" s="3"/>
      <c r="G1118" s="3"/>
      <c r="H1118" s="3"/>
      <c r="I1118" s="3"/>
      <c r="J1118" s="3"/>
      <c r="K1118" s="3"/>
      <c r="L1118" s="3"/>
      <c r="M1118" s="3"/>
      <c r="N1118" s="157"/>
      <c r="O1118" s="157"/>
      <c r="P1118" s="157"/>
      <c r="R1118" s="147"/>
      <c r="S1118" s="147"/>
      <c r="T1118" s="147"/>
      <c r="U1118" s="147"/>
      <c r="X1118" s="147"/>
      <c r="Y1118" s="147"/>
      <c r="Z1118" s="147"/>
      <c r="AA1118" s="147"/>
      <c r="AB1118" s="147"/>
      <c r="AC1118" s="147"/>
      <c r="AD1118" s="147"/>
      <c r="AE1118" s="147"/>
      <c r="AF1118" s="147"/>
      <c r="AG1118" s="147"/>
      <c r="AH1118" s="147"/>
      <c r="AI1118" s="147"/>
      <c r="AJ1118" s="147"/>
      <c r="AK1118" s="147"/>
      <c r="AL1118" s="147"/>
      <c r="AM1118" s="147"/>
      <c r="AN1118" s="147"/>
      <c r="AO1118" s="147"/>
      <c r="AP1118" s="147"/>
      <c r="AQ1118" s="147"/>
    </row>
    <row r="1119" spans="1:43">
      <c r="A1119" s="3"/>
      <c r="B1119" s="3"/>
      <c r="C1119" s="3"/>
      <c r="D1119" s="3"/>
      <c r="E1119" s="3"/>
      <c r="F1119" s="3"/>
      <c r="G1119" s="3"/>
      <c r="H1119" s="3"/>
      <c r="I1119" s="3"/>
      <c r="J1119" s="3"/>
      <c r="K1119" s="3"/>
      <c r="L1119" s="3"/>
      <c r="M1119" s="3"/>
      <c r="N1119" s="157"/>
      <c r="O1119" s="157"/>
      <c r="P1119" s="157"/>
      <c r="R1119" s="147"/>
      <c r="S1119" s="147"/>
      <c r="T1119" s="147"/>
      <c r="U1119" s="147"/>
      <c r="X1119" s="147"/>
      <c r="Y1119" s="147"/>
      <c r="Z1119" s="147"/>
      <c r="AA1119" s="147"/>
      <c r="AB1119" s="147"/>
      <c r="AC1119" s="147"/>
      <c r="AD1119" s="147"/>
      <c r="AE1119" s="147"/>
      <c r="AF1119" s="147"/>
      <c r="AG1119" s="147"/>
      <c r="AH1119" s="147"/>
      <c r="AI1119" s="147"/>
      <c r="AJ1119" s="147"/>
      <c r="AK1119" s="147"/>
      <c r="AL1119" s="147"/>
      <c r="AM1119" s="147"/>
      <c r="AN1119" s="147"/>
      <c r="AO1119" s="147"/>
      <c r="AP1119" s="147"/>
      <c r="AQ1119" s="147"/>
    </row>
    <row r="1120" spans="1:43">
      <c r="A1120" s="3"/>
      <c r="B1120" s="3"/>
      <c r="C1120" s="3"/>
      <c r="D1120" s="3"/>
      <c r="E1120" s="3"/>
      <c r="F1120" s="3"/>
      <c r="G1120" s="3"/>
      <c r="H1120" s="3"/>
      <c r="I1120" s="3"/>
      <c r="J1120" s="3"/>
      <c r="K1120" s="3"/>
      <c r="L1120" s="3"/>
      <c r="M1120" s="3"/>
      <c r="N1120" s="157"/>
      <c r="O1120" s="157"/>
      <c r="P1120" s="157"/>
      <c r="R1120" s="147"/>
      <c r="S1120" s="147"/>
      <c r="T1120" s="147"/>
      <c r="U1120" s="147"/>
      <c r="X1120" s="147"/>
      <c r="Y1120" s="147"/>
      <c r="Z1120" s="147"/>
      <c r="AA1120" s="147"/>
      <c r="AB1120" s="147"/>
      <c r="AC1120" s="147"/>
      <c r="AD1120" s="147"/>
      <c r="AE1120" s="147"/>
      <c r="AF1120" s="147"/>
      <c r="AG1120" s="147"/>
      <c r="AH1120" s="147"/>
      <c r="AI1120" s="147"/>
      <c r="AJ1120" s="147"/>
      <c r="AK1120" s="147"/>
      <c r="AL1120" s="147"/>
      <c r="AM1120" s="147"/>
      <c r="AN1120" s="147"/>
      <c r="AO1120" s="147"/>
      <c r="AP1120" s="147"/>
      <c r="AQ1120" s="147"/>
    </row>
    <row r="1121" spans="1:43">
      <c r="A1121" s="3"/>
      <c r="B1121" s="3"/>
      <c r="C1121" s="3"/>
      <c r="D1121" s="3"/>
      <c r="E1121" s="3"/>
      <c r="F1121" s="3"/>
      <c r="G1121" s="3"/>
      <c r="H1121" s="3"/>
      <c r="I1121" s="3"/>
      <c r="J1121" s="3"/>
      <c r="K1121" s="3"/>
      <c r="L1121" s="3"/>
      <c r="M1121" s="3"/>
      <c r="N1121" s="157"/>
      <c r="O1121" s="157"/>
      <c r="P1121" s="157"/>
      <c r="R1121" s="147"/>
      <c r="S1121" s="147"/>
      <c r="T1121" s="147"/>
      <c r="U1121" s="147"/>
      <c r="X1121" s="147"/>
      <c r="Y1121" s="147"/>
      <c r="Z1121" s="147"/>
      <c r="AA1121" s="147"/>
      <c r="AB1121" s="147"/>
      <c r="AC1121" s="147"/>
      <c r="AD1121" s="147"/>
      <c r="AE1121" s="147"/>
      <c r="AF1121" s="147"/>
      <c r="AG1121" s="147"/>
      <c r="AH1121" s="147"/>
      <c r="AI1121" s="147"/>
      <c r="AJ1121" s="147"/>
      <c r="AK1121" s="147"/>
      <c r="AL1121" s="147"/>
      <c r="AM1121" s="147"/>
      <c r="AN1121" s="147"/>
      <c r="AO1121" s="147"/>
      <c r="AP1121" s="147"/>
      <c r="AQ1121" s="147"/>
    </row>
    <row r="1122" spans="1:43">
      <c r="A1122" s="3"/>
      <c r="B1122" s="3"/>
      <c r="C1122" s="3"/>
      <c r="D1122" s="3"/>
      <c r="E1122" s="3"/>
      <c r="F1122" s="3"/>
      <c r="G1122" s="3"/>
      <c r="H1122" s="3"/>
      <c r="I1122" s="3"/>
      <c r="J1122" s="3"/>
      <c r="K1122" s="3"/>
      <c r="L1122" s="3"/>
      <c r="M1122" s="3"/>
      <c r="N1122" s="157"/>
      <c r="O1122" s="157"/>
      <c r="P1122" s="157"/>
      <c r="R1122" s="147"/>
      <c r="S1122" s="147"/>
      <c r="T1122" s="147"/>
      <c r="U1122" s="147"/>
      <c r="X1122" s="147"/>
      <c r="Y1122" s="147"/>
      <c r="Z1122" s="147"/>
      <c r="AA1122" s="147"/>
      <c r="AB1122" s="147"/>
      <c r="AC1122" s="147"/>
      <c r="AD1122" s="147"/>
      <c r="AE1122" s="147"/>
      <c r="AF1122" s="147"/>
      <c r="AG1122" s="147"/>
      <c r="AH1122" s="147"/>
      <c r="AI1122" s="147"/>
      <c r="AJ1122" s="147"/>
      <c r="AK1122" s="147"/>
      <c r="AL1122" s="147"/>
      <c r="AM1122" s="147"/>
      <c r="AN1122" s="147"/>
      <c r="AO1122" s="147"/>
      <c r="AP1122" s="147"/>
      <c r="AQ1122" s="147"/>
    </row>
    <row r="1123" spans="1:43">
      <c r="A1123" s="3"/>
      <c r="B1123" s="3"/>
      <c r="C1123" s="3"/>
      <c r="D1123" s="3"/>
      <c r="E1123" s="3"/>
      <c r="F1123" s="3"/>
      <c r="G1123" s="3"/>
      <c r="H1123" s="3"/>
      <c r="I1123" s="3"/>
      <c r="J1123" s="3"/>
      <c r="K1123" s="3"/>
      <c r="L1123" s="3"/>
      <c r="M1123" s="3"/>
      <c r="N1123" s="157"/>
      <c r="O1123" s="157"/>
      <c r="P1123" s="157"/>
      <c r="R1123" s="147"/>
      <c r="S1123" s="147"/>
      <c r="T1123" s="147"/>
      <c r="U1123" s="147"/>
      <c r="X1123" s="147"/>
      <c r="Y1123" s="147"/>
      <c r="Z1123" s="147"/>
      <c r="AA1123" s="147"/>
      <c r="AB1123" s="147"/>
      <c r="AC1123" s="147"/>
      <c r="AD1123" s="147"/>
      <c r="AE1123" s="147"/>
      <c r="AF1123" s="147"/>
      <c r="AG1123" s="147"/>
      <c r="AH1123" s="147"/>
      <c r="AI1123" s="147"/>
      <c r="AJ1123" s="147"/>
      <c r="AK1123" s="147"/>
      <c r="AL1123" s="147"/>
      <c r="AM1123" s="147"/>
      <c r="AN1123" s="147"/>
      <c r="AO1123" s="147"/>
      <c r="AP1123" s="147"/>
      <c r="AQ1123" s="147"/>
    </row>
    <row r="1124" spans="1:43">
      <c r="A1124" s="3"/>
      <c r="B1124" s="3"/>
      <c r="C1124" s="3"/>
      <c r="D1124" s="3"/>
      <c r="E1124" s="3"/>
      <c r="F1124" s="3"/>
      <c r="G1124" s="3"/>
      <c r="H1124" s="3"/>
      <c r="I1124" s="3"/>
      <c r="J1124" s="3"/>
      <c r="K1124" s="3"/>
      <c r="L1124" s="3"/>
      <c r="M1124" s="3"/>
      <c r="N1124" s="157"/>
      <c r="O1124" s="157"/>
      <c r="P1124" s="157"/>
      <c r="R1124" s="147"/>
      <c r="S1124" s="147"/>
      <c r="T1124" s="147"/>
      <c r="U1124" s="147"/>
      <c r="X1124" s="147"/>
      <c r="Y1124" s="147"/>
      <c r="Z1124" s="147"/>
      <c r="AA1124" s="147"/>
      <c r="AB1124" s="147"/>
      <c r="AC1124" s="147"/>
      <c r="AD1124" s="147"/>
      <c r="AE1124" s="147"/>
      <c r="AF1124" s="147"/>
      <c r="AG1124" s="147"/>
      <c r="AH1124" s="147"/>
      <c r="AI1124" s="147"/>
      <c r="AJ1124" s="147"/>
      <c r="AK1124" s="147"/>
      <c r="AL1124" s="147"/>
      <c r="AM1124" s="147"/>
      <c r="AN1124" s="147"/>
      <c r="AO1124" s="147"/>
      <c r="AP1124" s="147"/>
      <c r="AQ1124" s="147"/>
    </row>
    <row r="1125" spans="1:43">
      <c r="A1125" s="3"/>
      <c r="B1125" s="3"/>
      <c r="C1125" s="3"/>
      <c r="D1125" s="3"/>
      <c r="E1125" s="3"/>
      <c r="F1125" s="3"/>
      <c r="G1125" s="3"/>
      <c r="H1125" s="3"/>
      <c r="I1125" s="3"/>
      <c r="J1125" s="3"/>
      <c r="K1125" s="3"/>
      <c r="L1125" s="3"/>
      <c r="M1125" s="3"/>
      <c r="N1125" s="157"/>
      <c r="O1125" s="157"/>
      <c r="P1125" s="157"/>
      <c r="R1125" s="147"/>
      <c r="S1125" s="147"/>
      <c r="T1125" s="147"/>
      <c r="U1125" s="147"/>
      <c r="X1125" s="147"/>
      <c r="Y1125" s="147"/>
      <c r="Z1125" s="147"/>
      <c r="AA1125" s="147"/>
      <c r="AB1125" s="147"/>
      <c r="AC1125" s="147"/>
      <c r="AD1125" s="147"/>
      <c r="AE1125" s="147"/>
      <c r="AF1125" s="147"/>
      <c r="AG1125" s="147"/>
      <c r="AH1125" s="147"/>
      <c r="AI1125" s="147"/>
      <c r="AJ1125" s="147"/>
      <c r="AK1125" s="147"/>
      <c r="AL1125" s="147"/>
      <c r="AM1125" s="147"/>
      <c r="AN1125" s="147"/>
      <c r="AO1125" s="147"/>
      <c r="AP1125" s="147"/>
      <c r="AQ1125" s="147"/>
    </row>
    <row r="1126" spans="1:43">
      <c r="A1126" s="3"/>
      <c r="B1126" s="3"/>
      <c r="C1126" s="3"/>
      <c r="D1126" s="3"/>
      <c r="E1126" s="3"/>
      <c r="F1126" s="3"/>
      <c r="G1126" s="3"/>
      <c r="H1126" s="3"/>
      <c r="I1126" s="3"/>
      <c r="J1126" s="3"/>
      <c r="K1126" s="3"/>
      <c r="L1126" s="3"/>
      <c r="M1126" s="3"/>
      <c r="N1126" s="157"/>
      <c r="O1126" s="157"/>
      <c r="P1126" s="157"/>
      <c r="R1126" s="147"/>
      <c r="S1126" s="147"/>
      <c r="T1126" s="147"/>
      <c r="U1126" s="147"/>
      <c r="X1126" s="147"/>
      <c r="Y1126" s="147"/>
      <c r="Z1126" s="147"/>
      <c r="AA1126" s="147"/>
      <c r="AB1126" s="147"/>
      <c r="AC1126" s="147"/>
      <c r="AD1126" s="147"/>
      <c r="AE1126" s="147"/>
      <c r="AF1126" s="147"/>
      <c r="AG1126" s="147"/>
      <c r="AH1126" s="147"/>
      <c r="AI1126" s="147"/>
      <c r="AJ1126" s="147"/>
      <c r="AK1126" s="147"/>
      <c r="AL1126" s="147"/>
      <c r="AM1126" s="147"/>
      <c r="AN1126" s="147"/>
      <c r="AO1126" s="147"/>
      <c r="AP1126" s="147"/>
      <c r="AQ1126" s="147"/>
    </row>
    <row r="1127" spans="1:43">
      <c r="A1127" s="3"/>
      <c r="B1127" s="3"/>
      <c r="C1127" s="3"/>
      <c r="D1127" s="3"/>
      <c r="E1127" s="3"/>
      <c r="F1127" s="3"/>
      <c r="G1127" s="3"/>
      <c r="H1127" s="3"/>
      <c r="I1127" s="3"/>
      <c r="J1127" s="3"/>
      <c r="K1127" s="3"/>
      <c r="L1127" s="3"/>
      <c r="M1127" s="3"/>
      <c r="N1127" s="157"/>
      <c r="O1127" s="157"/>
      <c r="P1127" s="157"/>
      <c r="R1127" s="147"/>
      <c r="S1127" s="147"/>
      <c r="T1127" s="147"/>
      <c r="U1127" s="147"/>
      <c r="X1127" s="147"/>
      <c r="Y1127" s="147"/>
      <c r="Z1127" s="147"/>
      <c r="AA1127" s="147"/>
      <c r="AB1127" s="147"/>
      <c r="AC1127" s="147"/>
      <c r="AD1127" s="147"/>
      <c r="AE1127" s="147"/>
      <c r="AF1127" s="147"/>
      <c r="AG1127" s="147"/>
      <c r="AH1127" s="147"/>
      <c r="AI1127" s="147"/>
      <c r="AJ1127" s="147"/>
      <c r="AK1127" s="147"/>
      <c r="AL1127" s="147"/>
      <c r="AM1127" s="147"/>
      <c r="AN1127" s="147"/>
      <c r="AO1127" s="147"/>
      <c r="AP1127" s="147"/>
      <c r="AQ1127" s="147"/>
    </row>
    <row r="1128" spans="1:43">
      <c r="A1128" s="3"/>
      <c r="B1128" s="3"/>
      <c r="C1128" s="3"/>
      <c r="D1128" s="3"/>
      <c r="E1128" s="3"/>
      <c r="F1128" s="3"/>
      <c r="G1128" s="3"/>
      <c r="H1128" s="3"/>
      <c r="I1128" s="3"/>
      <c r="J1128" s="3"/>
      <c r="K1128" s="3"/>
      <c r="L1128" s="3"/>
      <c r="M1128" s="3"/>
      <c r="N1128" s="157"/>
      <c r="O1128" s="157"/>
      <c r="P1128" s="157"/>
      <c r="R1128" s="147"/>
      <c r="S1128" s="147"/>
      <c r="T1128" s="147"/>
      <c r="U1128" s="147"/>
      <c r="X1128" s="147"/>
      <c r="Y1128" s="147"/>
      <c r="Z1128" s="147"/>
      <c r="AA1128" s="147"/>
      <c r="AB1128" s="147"/>
      <c r="AC1128" s="147"/>
      <c r="AD1128" s="147"/>
      <c r="AE1128" s="147"/>
      <c r="AF1128" s="147"/>
      <c r="AG1128" s="147"/>
      <c r="AH1128" s="147"/>
      <c r="AI1128" s="147"/>
      <c r="AJ1128" s="147"/>
      <c r="AK1128" s="147"/>
      <c r="AL1128" s="147"/>
      <c r="AM1128" s="147"/>
      <c r="AN1128" s="147"/>
      <c r="AO1128" s="147"/>
      <c r="AP1128" s="147"/>
      <c r="AQ1128" s="147"/>
    </row>
    <row r="1129" spans="1:43">
      <c r="A1129" s="3"/>
      <c r="B1129" s="3"/>
      <c r="C1129" s="3"/>
      <c r="D1129" s="3"/>
      <c r="E1129" s="3"/>
      <c r="F1129" s="3"/>
      <c r="G1129" s="3"/>
      <c r="H1129" s="3"/>
      <c r="I1129" s="3"/>
      <c r="J1129" s="3"/>
      <c r="K1129" s="3"/>
      <c r="L1129" s="3"/>
      <c r="M1129" s="3"/>
      <c r="N1129" s="157"/>
      <c r="O1129" s="157"/>
      <c r="P1129" s="157"/>
      <c r="R1129" s="147"/>
      <c r="S1129" s="147"/>
      <c r="T1129" s="147"/>
      <c r="U1129" s="147"/>
      <c r="X1129" s="147"/>
      <c r="Y1129" s="147"/>
      <c r="Z1129" s="147"/>
      <c r="AA1129" s="147"/>
      <c r="AB1129" s="147"/>
      <c r="AC1129" s="147"/>
      <c r="AD1129" s="147"/>
      <c r="AE1129" s="147"/>
      <c r="AF1129" s="147"/>
      <c r="AG1129" s="147"/>
      <c r="AH1129" s="147"/>
      <c r="AI1129" s="147"/>
      <c r="AJ1129" s="147"/>
      <c r="AK1129" s="147"/>
      <c r="AL1129" s="147"/>
      <c r="AM1129" s="147"/>
      <c r="AN1129" s="147"/>
      <c r="AO1129" s="147"/>
      <c r="AP1129" s="147"/>
      <c r="AQ1129" s="147"/>
    </row>
    <row r="1130" spans="1:43">
      <c r="A1130" s="3"/>
      <c r="B1130" s="3"/>
      <c r="C1130" s="3"/>
      <c r="D1130" s="3"/>
      <c r="E1130" s="3"/>
      <c r="F1130" s="3"/>
      <c r="G1130" s="3"/>
      <c r="H1130" s="3"/>
      <c r="I1130" s="3"/>
      <c r="J1130" s="3"/>
      <c r="K1130" s="3"/>
      <c r="L1130" s="3"/>
      <c r="M1130" s="3"/>
      <c r="N1130" s="157"/>
      <c r="O1130" s="157"/>
      <c r="P1130" s="157"/>
      <c r="R1130" s="147"/>
      <c r="S1130" s="147"/>
      <c r="T1130" s="147"/>
      <c r="U1130" s="147"/>
      <c r="X1130" s="147"/>
      <c r="Y1130" s="147"/>
      <c r="Z1130" s="147"/>
      <c r="AA1130" s="147"/>
      <c r="AB1130" s="147"/>
      <c r="AC1130" s="147"/>
      <c r="AD1130" s="147"/>
      <c r="AE1130" s="147"/>
      <c r="AF1130" s="147"/>
      <c r="AG1130" s="147"/>
      <c r="AH1130" s="147"/>
      <c r="AI1130" s="147"/>
      <c r="AJ1130" s="147"/>
      <c r="AK1130" s="147"/>
      <c r="AL1130" s="147"/>
      <c r="AM1130" s="147"/>
      <c r="AN1130" s="147"/>
      <c r="AO1130" s="147"/>
      <c r="AP1130" s="147"/>
      <c r="AQ1130" s="147"/>
    </row>
    <row r="1131" spans="1:43">
      <c r="A1131" s="3"/>
      <c r="B1131" s="3"/>
      <c r="C1131" s="3"/>
      <c r="D1131" s="3"/>
      <c r="E1131" s="3"/>
      <c r="F1131" s="3"/>
      <c r="G1131" s="3"/>
      <c r="H1131" s="3"/>
      <c r="I1131" s="3"/>
      <c r="J1131" s="3"/>
      <c r="K1131" s="3"/>
      <c r="L1131" s="3"/>
      <c r="M1131" s="3"/>
      <c r="N1131" s="157"/>
      <c r="O1131" s="157"/>
      <c r="P1131" s="157"/>
      <c r="R1131" s="147"/>
      <c r="S1131" s="147"/>
      <c r="T1131" s="147"/>
      <c r="U1131" s="147"/>
      <c r="X1131" s="147"/>
      <c r="Y1131" s="147"/>
      <c r="Z1131" s="147"/>
      <c r="AA1131" s="147"/>
      <c r="AB1131" s="147"/>
      <c r="AC1131" s="147"/>
      <c r="AD1131" s="147"/>
      <c r="AE1131" s="147"/>
      <c r="AF1131" s="147"/>
      <c r="AG1131" s="147"/>
      <c r="AH1131" s="147"/>
      <c r="AI1131" s="147"/>
      <c r="AJ1131" s="147"/>
      <c r="AK1131" s="147"/>
      <c r="AL1131" s="147"/>
      <c r="AM1131" s="147"/>
      <c r="AN1131" s="147"/>
      <c r="AO1131" s="147"/>
      <c r="AP1131" s="147"/>
      <c r="AQ1131" s="147"/>
    </row>
    <row r="1132" spans="1:43">
      <c r="A1132" s="3"/>
      <c r="B1132" s="3"/>
      <c r="C1132" s="3"/>
      <c r="D1132" s="3"/>
      <c r="E1132" s="3"/>
      <c r="F1132" s="3"/>
      <c r="G1132" s="3"/>
      <c r="H1132" s="3"/>
      <c r="I1132" s="3"/>
      <c r="J1132" s="3"/>
      <c r="K1132" s="3"/>
      <c r="L1132" s="3"/>
      <c r="M1132" s="3"/>
      <c r="N1132" s="157"/>
      <c r="O1132" s="157"/>
      <c r="P1132" s="157"/>
      <c r="R1132" s="147"/>
      <c r="S1132" s="147"/>
      <c r="T1132" s="147"/>
      <c r="U1132" s="147"/>
      <c r="X1132" s="147"/>
      <c r="Y1132" s="147"/>
      <c r="Z1132" s="147"/>
      <c r="AA1132" s="147"/>
      <c r="AB1132" s="147"/>
      <c r="AC1132" s="147"/>
      <c r="AD1132" s="147"/>
      <c r="AE1132" s="147"/>
      <c r="AF1132" s="147"/>
      <c r="AG1132" s="147"/>
      <c r="AH1132" s="147"/>
      <c r="AI1132" s="147"/>
      <c r="AJ1132" s="147"/>
      <c r="AK1132" s="147"/>
      <c r="AL1132" s="147"/>
      <c r="AM1132" s="147"/>
      <c r="AN1132" s="147"/>
      <c r="AO1132" s="147"/>
      <c r="AP1132" s="147"/>
      <c r="AQ1132" s="147"/>
    </row>
    <row r="1133" spans="1:43">
      <c r="A1133" s="3"/>
      <c r="B1133" s="3"/>
      <c r="C1133" s="3"/>
      <c r="D1133" s="3"/>
      <c r="E1133" s="3"/>
      <c r="F1133" s="3"/>
      <c r="G1133" s="3"/>
      <c r="H1133" s="3"/>
      <c r="I1133" s="3"/>
      <c r="J1133" s="3"/>
      <c r="K1133" s="3"/>
      <c r="L1133" s="3"/>
      <c r="M1133" s="3"/>
      <c r="N1133" s="157"/>
      <c r="O1133" s="157"/>
      <c r="P1133" s="157"/>
      <c r="R1133" s="147"/>
      <c r="S1133" s="147"/>
      <c r="T1133" s="147"/>
      <c r="U1133" s="147"/>
      <c r="X1133" s="147"/>
      <c r="Y1133" s="147"/>
      <c r="Z1133" s="147"/>
      <c r="AA1133" s="147"/>
      <c r="AB1133" s="147"/>
      <c r="AC1133" s="147"/>
      <c r="AD1133" s="147"/>
      <c r="AE1133" s="147"/>
      <c r="AF1133" s="147"/>
      <c r="AG1133" s="147"/>
      <c r="AH1133" s="147"/>
      <c r="AI1133" s="147"/>
      <c r="AJ1133" s="147"/>
      <c r="AK1133" s="147"/>
      <c r="AL1133" s="147"/>
      <c r="AM1133" s="147"/>
      <c r="AN1133" s="147"/>
      <c r="AO1133" s="147"/>
      <c r="AP1133" s="147"/>
      <c r="AQ1133" s="147"/>
    </row>
    <row r="1134" spans="1:43">
      <c r="A1134" s="3"/>
      <c r="B1134" s="3"/>
      <c r="C1134" s="3"/>
      <c r="D1134" s="3"/>
      <c r="E1134" s="3"/>
      <c r="F1134" s="3"/>
      <c r="G1134" s="3"/>
      <c r="H1134" s="3"/>
      <c r="I1134" s="3"/>
      <c r="J1134" s="3"/>
      <c r="K1134" s="3"/>
      <c r="L1134" s="3"/>
      <c r="M1134" s="3"/>
      <c r="N1134" s="157"/>
      <c r="O1134" s="157"/>
      <c r="P1134" s="157"/>
      <c r="R1134" s="147"/>
      <c r="S1134" s="147"/>
      <c r="T1134" s="147"/>
      <c r="U1134" s="147"/>
      <c r="X1134" s="147"/>
      <c r="Y1134" s="147"/>
      <c r="Z1134" s="147"/>
      <c r="AA1134" s="147"/>
      <c r="AB1134" s="147"/>
      <c r="AC1134" s="147"/>
      <c r="AD1134" s="147"/>
      <c r="AE1134" s="147"/>
      <c r="AF1134" s="147"/>
      <c r="AG1134" s="147"/>
      <c r="AH1134" s="147"/>
      <c r="AI1134" s="147"/>
      <c r="AJ1134" s="147"/>
      <c r="AK1134" s="147"/>
      <c r="AL1134" s="147"/>
      <c r="AM1134" s="147"/>
      <c r="AN1134" s="147"/>
      <c r="AO1134" s="147"/>
      <c r="AP1134" s="147"/>
      <c r="AQ1134" s="147"/>
    </row>
    <row r="1135" spans="1:43">
      <c r="A1135" s="3"/>
      <c r="B1135" s="3"/>
      <c r="C1135" s="3"/>
      <c r="D1135" s="3"/>
      <c r="E1135" s="3"/>
      <c r="F1135" s="3"/>
      <c r="G1135" s="3"/>
      <c r="H1135" s="3"/>
      <c r="I1135" s="3"/>
      <c r="J1135" s="3"/>
      <c r="K1135" s="3"/>
      <c r="L1135" s="3"/>
      <c r="M1135" s="3"/>
      <c r="N1135" s="157"/>
      <c r="O1135" s="157"/>
      <c r="P1135" s="157"/>
      <c r="R1135" s="147"/>
      <c r="S1135" s="147"/>
      <c r="T1135" s="147"/>
      <c r="U1135" s="147"/>
      <c r="X1135" s="147"/>
      <c r="Y1135" s="147"/>
      <c r="Z1135" s="147"/>
      <c r="AA1135" s="147"/>
      <c r="AB1135" s="147"/>
      <c r="AC1135" s="147"/>
      <c r="AD1135" s="147"/>
      <c r="AE1135" s="147"/>
      <c r="AF1135" s="147"/>
      <c r="AG1135" s="147"/>
      <c r="AH1135" s="147"/>
      <c r="AI1135" s="147"/>
      <c r="AJ1135" s="147"/>
      <c r="AK1135" s="147"/>
      <c r="AL1135" s="147"/>
      <c r="AM1135" s="147"/>
      <c r="AN1135" s="147"/>
      <c r="AO1135" s="147"/>
      <c r="AP1135" s="147"/>
      <c r="AQ1135" s="147"/>
    </row>
    <row r="1136" spans="1:43">
      <c r="A1136" s="3"/>
      <c r="B1136" s="3"/>
      <c r="C1136" s="3"/>
      <c r="D1136" s="3"/>
      <c r="E1136" s="3"/>
      <c r="F1136" s="3"/>
      <c r="G1136" s="3"/>
      <c r="H1136" s="3"/>
      <c r="I1136" s="3"/>
      <c r="J1136" s="3"/>
      <c r="K1136" s="3"/>
      <c r="L1136" s="3"/>
      <c r="M1136" s="3"/>
      <c r="N1136" s="157"/>
      <c r="O1136" s="157"/>
      <c r="P1136" s="157"/>
      <c r="R1136" s="147"/>
      <c r="S1136" s="147"/>
      <c r="T1136" s="147"/>
      <c r="U1136" s="147"/>
      <c r="X1136" s="147"/>
      <c r="Y1136" s="147"/>
      <c r="Z1136" s="147"/>
      <c r="AA1136" s="147"/>
      <c r="AB1136" s="147"/>
      <c r="AC1136" s="147"/>
      <c r="AD1136" s="147"/>
      <c r="AE1136" s="147"/>
      <c r="AF1136" s="147"/>
      <c r="AG1136" s="147"/>
      <c r="AH1136" s="147"/>
      <c r="AI1136" s="147"/>
      <c r="AJ1136" s="147"/>
      <c r="AK1136" s="147"/>
      <c r="AL1136" s="147"/>
      <c r="AM1136" s="147"/>
      <c r="AN1136" s="147"/>
      <c r="AO1136" s="147"/>
      <c r="AP1136" s="147"/>
      <c r="AQ1136" s="147"/>
    </row>
    <row r="1137" spans="1:43">
      <c r="A1137" s="3"/>
      <c r="B1137" s="3"/>
      <c r="C1137" s="3"/>
      <c r="D1137" s="3"/>
      <c r="E1137" s="3"/>
      <c r="F1137" s="3"/>
      <c r="G1137" s="3"/>
      <c r="H1137" s="3"/>
      <c r="I1137" s="3"/>
      <c r="J1137" s="3"/>
      <c r="K1137" s="3"/>
      <c r="L1137" s="3"/>
      <c r="M1137" s="3"/>
      <c r="N1137" s="157"/>
      <c r="O1137" s="157"/>
      <c r="P1137" s="157"/>
      <c r="R1137" s="147"/>
      <c r="S1137" s="147"/>
      <c r="T1137" s="147"/>
      <c r="U1137" s="147"/>
      <c r="X1137" s="147"/>
      <c r="Y1137" s="147"/>
      <c r="Z1137" s="147"/>
      <c r="AA1137" s="147"/>
      <c r="AB1137" s="147"/>
      <c r="AC1137" s="147"/>
      <c r="AD1137" s="147"/>
      <c r="AE1137" s="147"/>
      <c r="AF1137" s="147"/>
      <c r="AG1137" s="147"/>
      <c r="AH1137" s="147"/>
      <c r="AI1137" s="147"/>
      <c r="AJ1137" s="147"/>
      <c r="AK1137" s="147"/>
      <c r="AL1137" s="147"/>
      <c r="AM1137" s="147"/>
      <c r="AN1137" s="147"/>
      <c r="AO1137" s="147"/>
      <c r="AP1137" s="147"/>
      <c r="AQ1137" s="147"/>
    </row>
    <row r="1138" spans="1:43">
      <c r="A1138" s="3"/>
      <c r="B1138" s="3"/>
      <c r="C1138" s="3"/>
      <c r="D1138" s="3"/>
      <c r="E1138" s="3"/>
      <c r="F1138" s="3"/>
      <c r="G1138" s="3"/>
      <c r="H1138" s="3"/>
      <c r="I1138" s="3"/>
      <c r="J1138" s="3"/>
      <c r="K1138" s="3"/>
      <c r="L1138" s="3"/>
      <c r="M1138" s="3"/>
      <c r="N1138" s="157"/>
      <c r="O1138" s="157"/>
      <c r="P1138" s="157"/>
      <c r="R1138" s="147"/>
      <c r="S1138" s="147"/>
      <c r="T1138" s="147"/>
      <c r="U1138" s="147"/>
      <c r="X1138" s="147"/>
      <c r="Y1138" s="147"/>
      <c r="Z1138" s="147"/>
      <c r="AA1138" s="147"/>
      <c r="AB1138" s="147"/>
      <c r="AC1138" s="147"/>
      <c r="AD1138" s="147"/>
      <c r="AE1138" s="147"/>
      <c r="AF1138" s="147"/>
      <c r="AG1138" s="147"/>
      <c r="AH1138" s="147"/>
      <c r="AI1138" s="147"/>
      <c r="AJ1138" s="147"/>
      <c r="AK1138" s="147"/>
      <c r="AL1138" s="147"/>
      <c r="AM1138" s="147"/>
      <c r="AN1138" s="147"/>
      <c r="AO1138" s="147"/>
      <c r="AP1138" s="147"/>
      <c r="AQ1138" s="147"/>
    </row>
    <row r="1139" spans="1:43">
      <c r="A1139" s="3"/>
      <c r="B1139" s="3"/>
      <c r="C1139" s="3"/>
      <c r="D1139" s="3"/>
      <c r="E1139" s="3"/>
      <c r="F1139" s="3"/>
      <c r="G1139" s="3"/>
      <c r="H1139" s="3"/>
      <c r="I1139" s="3"/>
      <c r="J1139" s="3"/>
      <c r="K1139" s="3"/>
      <c r="L1139" s="3"/>
      <c r="M1139" s="3"/>
      <c r="N1139" s="157"/>
      <c r="O1139" s="157"/>
      <c r="P1139" s="157"/>
      <c r="R1139" s="147"/>
      <c r="S1139" s="147"/>
      <c r="T1139" s="147"/>
      <c r="U1139" s="147"/>
      <c r="X1139" s="147"/>
      <c r="Y1139" s="147"/>
      <c r="Z1139" s="147"/>
      <c r="AA1139" s="147"/>
      <c r="AB1139" s="147"/>
      <c r="AC1139" s="147"/>
      <c r="AD1139" s="147"/>
      <c r="AE1139" s="147"/>
      <c r="AF1139" s="147"/>
      <c r="AG1139" s="147"/>
      <c r="AH1139" s="147"/>
      <c r="AI1139" s="147"/>
      <c r="AJ1139" s="147"/>
      <c r="AK1139" s="147"/>
      <c r="AL1139" s="147"/>
      <c r="AM1139" s="147"/>
      <c r="AN1139" s="147"/>
      <c r="AO1139" s="147"/>
      <c r="AP1139" s="147"/>
      <c r="AQ1139" s="147"/>
    </row>
    <row r="1140" spans="1:43">
      <c r="A1140" s="3"/>
      <c r="B1140" s="3"/>
      <c r="C1140" s="3"/>
      <c r="D1140" s="3"/>
      <c r="E1140" s="3"/>
      <c r="F1140" s="3"/>
      <c r="G1140" s="3"/>
      <c r="H1140" s="3"/>
      <c r="I1140" s="3"/>
      <c r="J1140" s="3"/>
      <c r="K1140" s="3"/>
      <c r="L1140" s="3"/>
      <c r="M1140" s="3"/>
      <c r="N1140" s="157"/>
      <c r="O1140" s="157"/>
      <c r="P1140" s="157"/>
      <c r="R1140" s="147"/>
      <c r="S1140" s="147"/>
      <c r="T1140" s="147"/>
      <c r="U1140" s="147"/>
      <c r="X1140" s="147"/>
      <c r="Y1140" s="147"/>
      <c r="Z1140" s="147"/>
      <c r="AA1140" s="147"/>
      <c r="AB1140" s="147"/>
      <c r="AC1140" s="147"/>
      <c r="AD1140" s="147"/>
      <c r="AE1140" s="147"/>
      <c r="AF1140" s="147"/>
      <c r="AG1140" s="147"/>
      <c r="AH1140" s="147"/>
      <c r="AI1140" s="147"/>
      <c r="AJ1140" s="147"/>
      <c r="AK1140" s="147"/>
      <c r="AL1140" s="147"/>
      <c r="AM1140" s="147"/>
      <c r="AN1140" s="147"/>
      <c r="AO1140" s="147"/>
      <c r="AP1140" s="147"/>
      <c r="AQ1140" s="147"/>
    </row>
    <row r="1141" spans="1:43">
      <c r="A1141" s="3"/>
      <c r="B1141" s="3"/>
      <c r="C1141" s="3"/>
      <c r="D1141" s="3"/>
      <c r="E1141" s="3"/>
      <c r="F1141" s="3"/>
      <c r="G1141" s="3"/>
      <c r="H1141" s="3"/>
      <c r="I1141" s="3"/>
      <c r="J1141" s="3"/>
      <c r="K1141" s="3"/>
      <c r="L1141" s="3"/>
      <c r="M1141" s="3"/>
      <c r="N1141" s="157"/>
      <c r="O1141" s="157"/>
      <c r="P1141" s="157"/>
      <c r="R1141" s="147"/>
      <c r="S1141" s="147"/>
      <c r="T1141" s="147"/>
      <c r="U1141" s="147"/>
      <c r="X1141" s="147"/>
      <c r="Y1141" s="147"/>
      <c r="Z1141" s="147"/>
      <c r="AA1141" s="147"/>
      <c r="AB1141" s="147"/>
      <c r="AC1141" s="147"/>
      <c r="AD1141" s="147"/>
      <c r="AE1141" s="147"/>
      <c r="AF1141" s="147"/>
      <c r="AG1141" s="147"/>
      <c r="AH1141" s="147"/>
      <c r="AI1141" s="147"/>
      <c r="AJ1141" s="147"/>
      <c r="AK1141" s="147"/>
      <c r="AL1141" s="147"/>
      <c r="AM1141" s="147"/>
      <c r="AN1141" s="147"/>
      <c r="AO1141" s="147"/>
      <c r="AP1141" s="147"/>
      <c r="AQ1141" s="147"/>
    </row>
    <row r="1142" spans="1:43">
      <c r="A1142" s="3"/>
      <c r="B1142" s="3"/>
      <c r="C1142" s="3"/>
      <c r="D1142" s="3"/>
      <c r="E1142" s="3"/>
      <c r="F1142" s="3"/>
      <c r="G1142" s="3"/>
      <c r="H1142" s="3"/>
      <c r="I1142" s="3"/>
      <c r="J1142" s="3"/>
      <c r="K1142" s="3"/>
      <c r="L1142" s="3"/>
      <c r="M1142" s="3"/>
      <c r="N1142" s="157"/>
      <c r="O1142" s="157"/>
      <c r="P1142" s="157"/>
      <c r="R1142" s="147"/>
      <c r="S1142" s="147"/>
      <c r="T1142" s="147"/>
      <c r="U1142" s="147"/>
      <c r="X1142" s="147"/>
      <c r="Y1142" s="147"/>
      <c r="Z1142" s="147"/>
      <c r="AA1142" s="147"/>
      <c r="AB1142" s="147"/>
      <c r="AC1142" s="147"/>
      <c r="AD1142" s="147"/>
      <c r="AE1142" s="147"/>
      <c r="AF1142" s="147"/>
      <c r="AG1142" s="147"/>
      <c r="AH1142" s="147"/>
      <c r="AI1142" s="147"/>
      <c r="AJ1142" s="147"/>
      <c r="AK1142" s="147"/>
      <c r="AL1142" s="147"/>
      <c r="AM1142" s="147"/>
      <c r="AN1142" s="147"/>
      <c r="AO1142" s="147"/>
      <c r="AP1142" s="147"/>
      <c r="AQ1142" s="147"/>
    </row>
    <row r="1143" spans="1:43">
      <c r="A1143" s="3"/>
      <c r="B1143" s="3"/>
      <c r="C1143" s="3"/>
      <c r="D1143" s="3"/>
      <c r="E1143" s="3"/>
      <c r="F1143" s="3"/>
      <c r="G1143" s="3"/>
      <c r="H1143" s="3"/>
      <c r="I1143" s="3"/>
      <c r="J1143" s="3"/>
      <c r="K1143" s="3"/>
      <c r="L1143" s="3"/>
      <c r="M1143" s="3"/>
      <c r="N1143" s="157"/>
      <c r="O1143" s="157"/>
      <c r="P1143" s="157"/>
      <c r="R1143" s="147"/>
      <c r="S1143" s="147"/>
      <c r="T1143" s="147"/>
      <c r="U1143" s="147"/>
      <c r="X1143" s="147"/>
      <c r="Y1143" s="147"/>
      <c r="Z1143" s="147"/>
      <c r="AA1143" s="147"/>
      <c r="AB1143" s="147"/>
      <c r="AC1143" s="147"/>
      <c r="AD1143" s="147"/>
      <c r="AE1143" s="147"/>
      <c r="AF1143" s="147"/>
      <c r="AG1143" s="147"/>
      <c r="AH1143" s="147"/>
      <c r="AI1143" s="147"/>
      <c r="AJ1143" s="147"/>
      <c r="AK1143" s="147"/>
      <c r="AL1143" s="147"/>
      <c r="AM1143" s="147"/>
      <c r="AN1143" s="147"/>
      <c r="AO1143" s="147"/>
      <c r="AP1143" s="147"/>
      <c r="AQ1143" s="147"/>
    </row>
    <row r="1144" spans="1:43">
      <c r="A1144" s="3"/>
      <c r="B1144" s="3"/>
      <c r="C1144" s="3"/>
      <c r="D1144" s="3"/>
      <c r="E1144" s="3"/>
      <c r="F1144" s="3"/>
      <c r="G1144" s="3"/>
      <c r="H1144" s="3"/>
      <c r="I1144" s="3"/>
      <c r="J1144" s="3"/>
      <c r="K1144" s="3"/>
      <c r="L1144" s="3"/>
      <c r="M1144" s="3"/>
      <c r="N1144" s="157"/>
      <c r="O1144" s="157"/>
      <c r="P1144" s="157"/>
      <c r="R1144" s="147"/>
      <c r="S1144" s="147"/>
      <c r="T1144" s="147"/>
      <c r="U1144" s="147"/>
      <c r="X1144" s="147"/>
      <c r="Y1144" s="147"/>
      <c r="Z1144" s="147"/>
      <c r="AA1144" s="147"/>
      <c r="AB1144" s="147"/>
      <c r="AC1144" s="147"/>
      <c r="AD1144" s="147"/>
      <c r="AE1144" s="147"/>
      <c r="AF1144" s="147"/>
      <c r="AG1144" s="147"/>
      <c r="AH1144" s="147"/>
      <c r="AI1144" s="147"/>
      <c r="AJ1144" s="147"/>
      <c r="AK1144" s="147"/>
      <c r="AL1144" s="147"/>
      <c r="AM1144" s="147"/>
      <c r="AN1144" s="147"/>
      <c r="AO1144" s="147"/>
      <c r="AP1144" s="147"/>
      <c r="AQ1144" s="147"/>
    </row>
    <row r="1145" spans="1:43">
      <c r="A1145" s="3"/>
      <c r="B1145" s="3"/>
      <c r="C1145" s="3"/>
      <c r="D1145" s="3"/>
      <c r="E1145" s="3"/>
      <c r="F1145" s="3"/>
      <c r="G1145" s="3"/>
      <c r="H1145" s="3"/>
      <c r="I1145" s="3"/>
      <c r="J1145" s="3"/>
      <c r="K1145" s="3"/>
      <c r="L1145" s="3"/>
      <c r="M1145" s="3"/>
      <c r="N1145" s="157"/>
      <c r="O1145" s="157"/>
      <c r="P1145" s="157"/>
      <c r="R1145" s="147"/>
      <c r="S1145" s="147"/>
      <c r="T1145" s="147"/>
      <c r="U1145" s="147"/>
      <c r="X1145" s="147"/>
      <c r="Y1145" s="147"/>
      <c r="Z1145" s="147"/>
      <c r="AA1145" s="147"/>
      <c r="AB1145" s="147"/>
      <c r="AC1145" s="147"/>
      <c r="AD1145" s="147"/>
      <c r="AE1145" s="147"/>
      <c r="AF1145" s="147"/>
      <c r="AG1145" s="147"/>
      <c r="AH1145" s="147"/>
      <c r="AI1145" s="147"/>
      <c r="AJ1145" s="147"/>
      <c r="AK1145" s="147"/>
      <c r="AL1145" s="147"/>
      <c r="AM1145" s="147"/>
      <c r="AN1145" s="147"/>
      <c r="AO1145" s="147"/>
      <c r="AP1145" s="147"/>
      <c r="AQ1145" s="147"/>
    </row>
    <row r="1146" spans="1:43">
      <c r="A1146" s="3"/>
      <c r="B1146" s="3"/>
      <c r="C1146" s="3"/>
      <c r="D1146" s="3"/>
      <c r="E1146" s="3"/>
      <c r="F1146" s="3"/>
      <c r="G1146" s="3"/>
      <c r="H1146" s="3"/>
      <c r="I1146" s="3"/>
      <c r="J1146" s="3"/>
      <c r="K1146" s="3"/>
      <c r="L1146" s="3"/>
      <c r="M1146" s="3"/>
      <c r="N1146" s="157"/>
      <c r="O1146" s="157"/>
      <c r="P1146" s="157"/>
      <c r="R1146" s="147"/>
      <c r="S1146" s="147"/>
      <c r="T1146" s="147"/>
      <c r="U1146" s="147"/>
      <c r="X1146" s="147"/>
      <c r="Y1146" s="147"/>
      <c r="Z1146" s="147"/>
      <c r="AA1146" s="147"/>
      <c r="AB1146" s="147"/>
      <c r="AC1146" s="147"/>
      <c r="AD1146" s="147"/>
      <c r="AE1146" s="147"/>
      <c r="AF1146" s="147"/>
      <c r="AG1146" s="147"/>
      <c r="AH1146" s="147"/>
      <c r="AI1146" s="147"/>
      <c r="AJ1146" s="147"/>
      <c r="AK1146" s="147"/>
      <c r="AL1146" s="147"/>
      <c r="AM1146" s="147"/>
      <c r="AN1146" s="147"/>
      <c r="AO1146" s="147"/>
      <c r="AP1146" s="147"/>
      <c r="AQ1146" s="147"/>
    </row>
    <row r="1147" spans="1:43">
      <c r="A1147" s="3"/>
      <c r="B1147" s="3"/>
      <c r="C1147" s="3"/>
      <c r="D1147" s="3"/>
      <c r="E1147" s="3"/>
      <c r="F1147" s="3"/>
      <c r="G1147" s="3"/>
      <c r="H1147" s="3"/>
      <c r="I1147" s="3"/>
      <c r="J1147" s="3"/>
      <c r="K1147" s="3"/>
      <c r="L1147" s="3"/>
      <c r="M1147" s="3"/>
      <c r="N1147" s="157"/>
      <c r="O1147" s="157"/>
      <c r="P1147" s="157"/>
      <c r="R1147" s="147"/>
      <c r="S1147" s="147"/>
      <c r="T1147" s="147"/>
      <c r="U1147" s="147"/>
      <c r="X1147" s="147"/>
      <c r="Y1147" s="147"/>
      <c r="Z1147" s="147"/>
      <c r="AA1147" s="147"/>
      <c r="AB1147" s="147"/>
      <c r="AC1147" s="147"/>
      <c r="AD1147" s="147"/>
      <c r="AE1147" s="147"/>
      <c r="AF1147" s="147"/>
      <c r="AG1147" s="147"/>
      <c r="AH1147" s="147"/>
      <c r="AI1147" s="147"/>
      <c r="AJ1147" s="147"/>
      <c r="AK1147" s="147"/>
      <c r="AL1147" s="147"/>
      <c r="AM1147" s="147"/>
      <c r="AN1147" s="147"/>
      <c r="AO1147" s="147"/>
      <c r="AP1147" s="147"/>
      <c r="AQ1147" s="147"/>
    </row>
    <row r="1148" spans="1:43">
      <c r="A1148" s="3"/>
      <c r="B1148" s="3"/>
      <c r="C1148" s="3"/>
      <c r="D1148" s="3"/>
      <c r="E1148" s="3"/>
      <c r="F1148" s="3"/>
      <c r="G1148" s="3"/>
      <c r="H1148" s="3"/>
      <c r="I1148" s="3"/>
      <c r="J1148" s="3"/>
      <c r="K1148" s="3"/>
      <c r="L1148" s="3"/>
      <c r="M1148" s="3"/>
      <c r="N1148" s="157"/>
      <c r="O1148" s="157"/>
      <c r="P1148" s="157"/>
      <c r="R1148" s="147"/>
      <c r="S1148" s="147"/>
      <c r="T1148" s="147"/>
      <c r="U1148" s="147"/>
      <c r="X1148" s="147"/>
      <c r="Y1148" s="147"/>
      <c r="Z1148" s="147"/>
      <c r="AA1148" s="147"/>
      <c r="AB1148" s="147"/>
      <c r="AC1148" s="147"/>
      <c r="AD1148" s="147"/>
      <c r="AE1148" s="147"/>
      <c r="AF1148" s="147"/>
      <c r="AG1148" s="147"/>
      <c r="AH1148" s="147"/>
      <c r="AI1148" s="147"/>
      <c r="AJ1148" s="147"/>
      <c r="AK1148" s="147"/>
      <c r="AL1148" s="147"/>
      <c r="AM1148" s="147"/>
      <c r="AN1148" s="147"/>
      <c r="AO1148" s="147"/>
      <c r="AP1148" s="147"/>
      <c r="AQ1148" s="147"/>
    </row>
    <row r="1149" spans="1:43">
      <c r="A1149" s="3"/>
      <c r="B1149" s="3"/>
      <c r="C1149" s="3"/>
      <c r="D1149" s="3"/>
      <c r="E1149" s="3"/>
      <c r="F1149" s="3"/>
      <c r="G1149" s="3"/>
      <c r="H1149" s="3"/>
      <c r="I1149" s="3"/>
      <c r="J1149" s="3"/>
      <c r="K1149" s="3"/>
      <c r="L1149" s="3"/>
      <c r="M1149" s="3"/>
      <c r="N1149" s="157"/>
      <c r="O1149" s="157"/>
      <c r="P1149" s="157"/>
      <c r="R1149" s="147"/>
      <c r="S1149" s="147"/>
      <c r="T1149" s="147"/>
      <c r="U1149" s="147"/>
      <c r="X1149" s="147"/>
      <c r="Y1149" s="147"/>
      <c r="Z1149" s="147"/>
      <c r="AA1149" s="147"/>
      <c r="AB1149" s="147"/>
      <c r="AC1149" s="147"/>
      <c r="AD1149" s="147"/>
      <c r="AE1149" s="147"/>
      <c r="AF1149" s="147"/>
      <c r="AG1149" s="147"/>
      <c r="AH1149" s="147"/>
      <c r="AI1149" s="147"/>
      <c r="AJ1149" s="147"/>
      <c r="AK1149" s="147"/>
      <c r="AL1149" s="147"/>
      <c r="AM1149" s="147"/>
      <c r="AN1149" s="147"/>
      <c r="AO1149" s="147"/>
      <c r="AP1149" s="147"/>
      <c r="AQ1149" s="147"/>
    </row>
    <row r="1150" spans="1:43">
      <c r="A1150" s="3"/>
      <c r="B1150" s="3"/>
      <c r="C1150" s="3"/>
      <c r="D1150" s="3"/>
      <c r="E1150" s="3"/>
      <c r="F1150" s="3"/>
      <c r="G1150" s="3"/>
      <c r="H1150" s="3"/>
      <c r="I1150" s="3"/>
      <c r="J1150" s="3"/>
      <c r="K1150" s="3"/>
      <c r="L1150" s="3"/>
      <c r="M1150" s="3"/>
      <c r="N1150" s="157"/>
      <c r="O1150" s="157"/>
      <c r="P1150" s="157"/>
      <c r="R1150" s="147"/>
      <c r="S1150" s="147"/>
      <c r="T1150" s="147"/>
      <c r="U1150" s="147"/>
      <c r="X1150" s="147"/>
      <c r="Y1150" s="147"/>
      <c r="Z1150" s="147"/>
      <c r="AA1150" s="147"/>
      <c r="AB1150" s="147"/>
      <c r="AC1150" s="147"/>
      <c r="AD1150" s="147"/>
      <c r="AE1150" s="147"/>
      <c r="AF1150" s="147"/>
      <c r="AG1150" s="147"/>
      <c r="AH1150" s="147"/>
      <c r="AI1150" s="147"/>
      <c r="AJ1150" s="147"/>
      <c r="AK1150" s="147"/>
      <c r="AL1150" s="147"/>
      <c r="AM1150" s="147"/>
      <c r="AN1150" s="147"/>
      <c r="AO1150" s="147"/>
      <c r="AP1150" s="147"/>
      <c r="AQ1150" s="147"/>
    </row>
    <row r="1151" spans="1:43">
      <c r="A1151" s="3"/>
      <c r="B1151" s="3"/>
      <c r="C1151" s="3"/>
      <c r="D1151" s="3"/>
      <c r="E1151" s="3"/>
      <c r="F1151" s="3"/>
      <c r="G1151" s="3"/>
      <c r="H1151" s="3"/>
      <c r="I1151" s="3"/>
      <c r="J1151" s="3"/>
      <c r="K1151" s="3"/>
      <c r="L1151" s="3"/>
      <c r="M1151" s="3"/>
      <c r="N1151" s="157"/>
      <c r="O1151" s="157"/>
      <c r="P1151" s="157"/>
      <c r="R1151" s="147"/>
      <c r="S1151" s="147"/>
      <c r="T1151" s="147"/>
      <c r="U1151" s="147"/>
      <c r="X1151" s="147"/>
      <c r="Y1151" s="147"/>
      <c r="Z1151" s="147"/>
      <c r="AA1151" s="147"/>
      <c r="AB1151" s="147"/>
      <c r="AC1151" s="147"/>
      <c r="AD1151" s="147"/>
      <c r="AE1151" s="147"/>
      <c r="AF1151" s="147"/>
      <c r="AG1151" s="147"/>
      <c r="AH1151" s="147"/>
      <c r="AI1151" s="147"/>
      <c r="AJ1151" s="147"/>
      <c r="AK1151" s="147"/>
      <c r="AL1151" s="147"/>
      <c r="AM1151" s="147"/>
      <c r="AN1151" s="147"/>
      <c r="AO1151" s="147"/>
      <c r="AP1151" s="147"/>
      <c r="AQ1151" s="147"/>
    </row>
    <row r="1152" spans="1:43">
      <c r="A1152" s="3"/>
      <c r="B1152" s="3"/>
      <c r="C1152" s="3"/>
      <c r="D1152" s="3"/>
      <c r="E1152" s="3"/>
      <c r="F1152" s="3"/>
      <c r="G1152" s="3"/>
      <c r="H1152" s="3"/>
      <c r="I1152" s="3"/>
      <c r="J1152" s="3"/>
      <c r="K1152" s="3"/>
      <c r="L1152" s="3"/>
      <c r="M1152" s="3"/>
      <c r="N1152" s="157"/>
      <c r="O1152" s="157"/>
      <c r="P1152" s="157"/>
      <c r="R1152" s="147"/>
      <c r="S1152" s="147"/>
      <c r="T1152" s="147"/>
      <c r="U1152" s="147"/>
      <c r="X1152" s="147"/>
      <c r="Y1152" s="147"/>
      <c r="Z1152" s="147"/>
      <c r="AA1152" s="147"/>
      <c r="AB1152" s="147"/>
      <c r="AC1152" s="147"/>
      <c r="AD1152" s="147"/>
      <c r="AE1152" s="147"/>
      <c r="AF1152" s="147"/>
      <c r="AG1152" s="147"/>
      <c r="AH1152" s="147"/>
      <c r="AI1152" s="147"/>
      <c r="AJ1152" s="147"/>
      <c r="AK1152" s="147"/>
      <c r="AL1152" s="147"/>
      <c r="AM1152" s="147"/>
      <c r="AN1152" s="147"/>
      <c r="AO1152" s="147"/>
      <c r="AP1152" s="147"/>
      <c r="AQ1152" s="147"/>
    </row>
    <row r="1153" spans="1:43">
      <c r="A1153" s="3"/>
      <c r="B1153" s="3"/>
      <c r="C1153" s="3"/>
      <c r="D1153" s="3"/>
      <c r="E1153" s="3"/>
      <c r="F1153" s="3"/>
      <c r="G1153" s="3"/>
      <c r="H1153" s="3"/>
      <c r="I1153" s="3"/>
      <c r="J1153" s="3"/>
      <c r="K1153" s="3"/>
      <c r="L1153" s="3"/>
      <c r="M1153" s="3"/>
      <c r="N1153" s="157"/>
      <c r="O1153" s="157"/>
      <c r="P1153" s="157"/>
      <c r="R1153" s="147"/>
      <c r="S1153" s="147"/>
      <c r="T1153" s="147"/>
      <c r="U1153" s="147"/>
      <c r="X1153" s="147"/>
      <c r="Y1153" s="147"/>
      <c r="Z1153" s="147"/>
      <c r="AA1153" s="147"/>
      <c r="AB1153" s="147"/>
      <c r="AC1153" s="147"/>
      <c r="AD1153" s="147"/>
      <c r="AE1153" s="147"/>
      <c r="AF1153" s="147"/>
      <c r="AG1153" s="147"/>
      <c r="AH1153" s="147"/>
      <c r="AI1153" s="147"/>
      <c r="AJ1153" s="147"/>
      <c r="AK1153" s="147"/>
      <c r="AL1153" s="147"/>
      <c r="AM1153" s="147"/>
      <c r="AN1153" s="147"/>
      <c r="AO1153" s="147"/>
      <c r="AP1153" s="147"/>
      <c r="AQ1153" s="147"/>
    </row>
    <row r="1154" spans="1:43">
      <c r="A1154" s="3"/>
      <c r="B1154" s="3"/>
      <c r="C1154" s="3"/>
      <c r="D1154" s="3"/>
      <c r="E1154" s="3"/>
      <c r="F1154" s="3"/>
      <c r="G1154" s="3"/>
      <c r="H1154" s="3"/>
      <c r="I1154" s="3"/>
      <c r="J1154" s="3"/>
      <c r="K1154" s="3"/>
      <c r="L1154" s="3"/>
      <c r="M1154" s="3"/>
      <c r="N1154" s="157"/>
      <c r="O1154" s="157"/>
      <c r="P1154" s="157"/>
      <c r="R1154" s="147"/>
      <c r="S1154" s="147"/>
      <c r="T1154" s="147"/>
      <c r="U1154" s="147"/>
      <c r="X1154" s="147"/>
      <c r="Y1154" s="147"/>
      <c r="Z1154" s="147"/>
      <c r="AA1154" s="147"/>
      <c r="AB1154" s="147"/>
      <c r="AC1154" s="147"/>
      <c r="AD1154" s="147"/>
      <c r="AE1154" s="147"/>
      <c r="AF1154" s="147"/>
      <c r="AG1154" s="147"/>
      <c r="AH1154" s="147"/>
      <c r="AI1154" s="147"/>
      <c r="AJ1154" s="147"/>
      <c r="AK1154" s="147"/>
      <c r="AL1154" s="147"/>
      <c r="AM1154" s="147"/>
      <c r="AN1154" s="147"/>
      <c r="AO1154" s="147"/>
      <c r="AP1154" s="147"/>
      <c r="AQ1154" s="147"/>
    </row>
    <row r="1155" spans="1:43">
      <c r="A1155" s="3"/>
      <c r="B1155" s="3"/>
      <c r="C1155" s="3"/>
      <c r="D1155" s="3"/>
      <c r="E1155" s="3"/>
      <c r="F1155" s="3"/>
      <c r="G1155" s="3"/>
      <c r="H1155" s="3"/>
      <c r="I1155" s="3"/>
      <c r="J1155" s="3"/>
      <c r="K1155" s="3"/>
      <c r="L1155" s="3"/>
      <c r="M1155" s="3"/>
      <c r="N1155" s="157"/>
      <c r="O1155" s="157"/>
      <c r="P1155" s="157"/>
      <c r="R1155" s="147"/>
      <c r="S1155" s="147"/>
      <c r="T1155" s="147"/>
      <c r="U1155" s="147"/>
      <c r="X1155" s="147"/>
      <c r="Y1155" s="147"/>
      <c r="Z1155" s="147"/>
      <c r="AA1155" s="147"/>
      <c r="AB1155" s="147"/>
      <c r="AC1155" s="147"/>
      <c r="AD1155" s="147"/>
      <c r="AE1155" s="147"/>
      <c r="AF1155" s="147"/>
      <c r="AG1155" s="147"/>
      <c r="AH1155" s="147"/>
      <c r="AI1155" s="147"/>
      <c r="AJ1155" s="147"/>
      <c r="AK1155" s="147"/>
      <c r="AL1155" s="147"/>
      <c r="AM1155" s="147"/>
      <c r="AN1155" s="147"/>
      <c r="AO1155" s="147"/>
      <c r="AP1155" s="147"/>
      <c r="AQ1155" s="147"/>
    </row>
    <row r="1156" spans="1:43">
      <c r="A1156" s="3"/>
      <c r="B1156" s="3"/>
      <c r="C1156" s="3"/>
      <c r="D1156" s="3"/>
      <c r="E1156" s="3"/>
      <c r="F1156" s="3"/>
      <c r="G1156" s="3"/>
      <c r="H1156" s="3"/>
      <c r="I1156" s="3"/>
      <c r="J1156" s="3"/>
      <c r="K1156" s="3"/>
      <c r="L1156" s="3"/>
      <c r="M1156" s="3"/>
      <c r="N1156" s="157"/>
      <c r="O1156" s="157"/>
      <c r="P1156" s="157"/>
      <c r="R1156" s="147"/>
      <c r="S1156" s="147"/>
      <c r="T1156" s="147"/>
      <c r="U1156" s="147"/>
      <c r="X1156" s="147"/>
      <c r="Y1156" s="147"/>
      <c r="Z1156" s="147"/>
      <c r="AA1156" s="147"/>
      <c r="AB1156" s="147"/>
      <c r="AC1156" s="147"/>
      <c r="AD1156" s="147"/>
      <c r="AE1156" s="147"/>
      <c r="AF1156" s="147"/>
      <c r="AG1156" s="147"/>
      <c r="AH1156" s="147"/>
      <c r="AI1156" s="147"/>
      <c r="AJ1156" s="147"/>
      <c r="AK1156" s="147"/>
      <c r="AL1156" s="147"/>
      <c r="AM1156" s="147"/>
      <c r="AN1156" s="147"/>
      <c r="AO1156" s="147"/>
      <c r="AP1156" s="147"/>
      <c r="AQ1156" s="147"/>
    </row>
    <row r="1157" spans="1:43">
      <c r="A1157" s="3"/>
      <c r="B1157" s="3"/>
      <c r="C1157" s="3"/>
      <c r="D1157" s="3"/>
      <c r="E1157" s="3"/>
      <c r="F1157" s="3"/>
      <c r="G1157" s="3"/>
      <c r="H1157" s="3"/>
      <c r="I1157" s="3"/>
      <c r="J1157" s="3"/>
      <c r="K1157" s="3"/>
      <c r="L1157" s="3"/>
      <c r="M1157" s="3"/>
      <c r="N1157" s="157"/>
      <c r="O1157" s="157"/>
      <c r="P1157" s="157"/>
      <c r="R1157" s="147"/>
      <c r="S1157" s="147"/>
      <c r="T1157" s="147"/>
      <c r="U1157" s="147"/>
      <c r="X1157" s="147"/>
      <c r="Y1157" s="147"/>
      <c r="Z1157" s="147"/>
      <c r="AA1157" s="147"/>
      <c r="AB1157" s="147"/>
      <c r="AC1157" s="147"/>
      <c r="AD1157" s="147"/>
      <c r="AE1157" s="147"/>
      <c r="AF1157" s="147"/>
      <c r="AG1157" s="147"/>
      <c r="AH1157" s="147"/>
      <c r="AI1157" s="147"/>
      <c r="AJ1157" s="147"/>
      <c r="AK1157" s="147"/>
      <c r="AL1157" s="147"/>
      <c r="AM1157" s="147"/>
      <c r="AN1157" s="147"/>
      <c r="AO1157" s="147"/>
      <c r="AP1157" s="147"/>
      <c r="AQ1157" s="147"/>
    </row>
    <row r="1158" spans="1:43">
      <c r="A1158" s="3"/>
      <c r="B1158" s="3"/>
      <c r="C1158" s="3"/>
      <c r="D1158" s="3"/>
      <c r="E1158" s="3"/>
      <c r="F1158" s="3"/>
      <c r="G1158" s="3"/>
      <c r="H1158" s="3"/>
      <c r="I1158" s="3"/>
      <c r="J1158" s="3"/>
      <c r="K1158" s="3"/>
      <c r="L1158" s="3"/>
      <c r="M1158" s="3"/>
      <c r="N1158" s="157"/>
      <c r="O1158" s="157"/>
      <c r="P1158" s="157"/>
      <c r="R1158" s="147"/>
      <c r="S1158" s="147"/>
      <c r="T1158" s="147"/>
      <c r="U1158" s="147"/>
      <c r="X1158" s="147"/>
      <c r="Y1158" s="147"/>
      <c r="Z1158" s="147"/>
      <c r="AA1158" s="147"/>
      <c r="AB1158" s="147"/>
      <c r="AC1158" s="147"/>
      <c r="AD1158" s="147"/>
      <c r="AE1158" s="147"/>
      <c r="AF1158" s="147"/>
      <c r="AG1158" s="147"/>
      <c r="AH1158" s="147"/>
      <c r="AI1158" s="147"/>
      <c r="AJ1158" s="147"/>
      <c r="AK1158" s="147"/>
      <c r="AL1158" s="147"/>
      <c r="AM1158" s="147"/>
      <c r="AN1158" s="147"/>
      <c r="AO1158" s="147"/>
      <c r="AP1158" s="147"/>
      <c r="AQ1158" s="147"/>
    </row>
    <row r="1159" spans="1:43">
      <c r="A1159" s="3"/>
      <c r="B1159" s="3"/>
      <c r="C1159" s="3"/>
      <c r="D1159" s="3"/>
      <c r="E1159" s="3"/>
      <c r="F1159" s="3"/>
      <c r="G1159" s="3"/>
      <c r="H1159" s="3"/>
      <c r="I1159" s="3"/>
      <c r="J1159" s="3"/>
      <c r="K1159" s="3"/>
      <c r="L1159" s="3"/>
      <c r="M1159" s="3"/>
      <c r="N1159" s="157"/>
      <c r="O1159" s="157"/>
      <c r="P1159" s="157"/>
      <c r="R1159" s="147"/>
      <c r="S1159" s="147"/>
      <c r="T1159" s="147"/>
      <c r="U1159" s="147"/>
      <c r="X1159" s="147"/>
      <c r="Y1159" s="147"/>
      <c r="Z1159" s="147"/>
      <c r="AA1159" s="147"/>
      <c r="AB1159" s="147"/>
      <c r="AC1159" s="147"/>
      <c r="AD1159" s="147"/>
      <c r="AE1159" s="147"/>
      <c r="AF1159" s="147"/>
      <c r="AG1159" s="147"/>
      <c r="AH1159" s="147"/>
      <c r="AI1159" s="147"/>
      <c r="AJ1159" s="147"/>
      <c r="AK1159" s="147"/>
      <c r="AL1159" s="147"/>
      <c r="AM1159" s="147"/>
      <c r="AN1159" s="147"/>
      <c r="AO1159" s="147"/>
      <c r="AP1159" s="147"/>
      <c r="AQ1159" s="147"/>
    </row>
    <row r="1160" spans="1:43">
      <c r="A1160" s="3"/>
      <c r="B1160" s="3"/>
      <c r="C1160" s="3"/>
      <c r="D1160" s="3"/>
      <c r="E1160" s="3"/>
      <c r="F1160" s="3"/>
      <c r="G1160" s="3"/>
      <c r="H1160" s="3"/>
      <c r="I1160" s="3"/>
      <c r="J1160" s="3"/>
      <c r="K1160" s="3"/>
      <c r="L1160" s="3"/>
      <c r="M1160" s="3"/>
      <c r="N1160" s="157"/>
      <c r="O1160" s="157"/>
      <c r="P1160" s="157"/>
      <c r="R1160" s="147"/>
      <c r="S1160" s="147"/>
      <c r="T1160" s="147"/>
      <c r="U1160" s="147"/>
      <c r="X1160" s="147"/>
      <c r="Y1160" s="147"/>
      <c r="Z1160" s="147"/>
      <c r="AA1160" s="147"/>
      <c r="AB1160" s="147"/>
      <c r="AC1160" s="147"/>
      <c r="AD1160" s="147"/>
      <c r="AE1160" s="147"/>
      <c r="AF1160" s="147"/>
      <c r="AG1160" s="147"/>
      <c r="AH1160" s="147"/>
      <c r="AI1160" s="147"/>
      <c r="AJ1160" s="147"/>
      <c r="AK1160" s="147"/>
      <c r="AL1160" s="147"/>
      <c r="AM1160" s="147"/>
      <c r="AN1160" s="147"/>
      <c r="AO1160" s="147"/>
      <c r="AP1160" s="147"/>
      <c r="AQ1160" s="147"/>
    </row>
    <row r="1161" spans="1:43">
      <c r="A1161" s="3"/>
      <c r="B1161" s="3"/>
      <c r="C1161" s="3"/>
      <c r="D1161" s="3"/>
      <c r="E1161" s="3"/>
      <c r="F1161" s="3"/>
      <c r="G1161" s="3"/>
      <c r="H1161" s="3"/>
      <c r="I1161" s="3"/>
      <c r="J1161" s="3"/>
      <c r="K1161" s="3"/>
      <c r="L1161" s="3"/>
      <c r="M1161" s="3"/>
      <c r="N1161" s="157"/>
      <c r="O1161" s="157"/>
      <c r="P1161" s="157"/>
      <c r="R1161" s="147"/>
      <c r="S1161" s="147"/>
      <c r="T1161" s="147"/>
      <c r="U1161" s="147"/>
      <c r="X1161" s="147"/>
      <c r="Y1161" s="147"/>
      <c r="Z1161" s="147"/>
      <c r="AA1161" s="147"/>
      <c r="AB1161" s="147"/>
      <c r="AC1161" s="147"/>
      <c r="AD1161" s="147"/>
      <c r="AE1161" s="147"/>
      <c r="AF1161" s="147"/>
      <c r="AG1161" s="147"/>
      <c r="AH1161" s="147"/>
      <c r="AI1161" s="147"/>
      <c r="AJ1161" s="147"/>
      <c r="AK1161" s="147"/>
      <c r="AL1161" s="147"/>
      <c r="AM1161" s="147"/>
      <c r="AN1161" s="147"/>
      <c r="AO1161" s="147"/>
      <c r="AP1161" s="147"/>
      <c r="AQ1161" s="147"/>
    </row>
    <row r="1162" spans="1:43">
      <c r="A1162" s="3"/>
      <c r="B1162" s="3"/>
      <c r="C1162" s="3"/>
      <c r="D1162" s="3"/>
      <c r="E1162" s="3"/>
      <c r="F1162" s="3"/>
      <c r="G1162" s="3"/>
      <c r="H1162" s="3"/>
      <c r="I1162" s="3"/>
      <c r="J1162" s="3"/>
      <c r="K1162" s="3"/>
      <c r="L1162" s="3"/>
      <c r="M1162" s="3"/>
      <c r="N1162" s="157"/>
      <c r="O1162" s="157"/>
      <c r="P1162" s="157"/>
      <c r="R1162" s="147"/>
      <c r="S1162" s="147"/>
      <c r="T1162" s="147"/>
      <c r="U1162" s="147"/>
      <c r="X1162" s="147"/>
      <c r="Y1162" s="147"/>
      <c r="Z1162" s="147"/>
      <c r="AA1162" s="147"/>
      <c r="AB1162" s="147"/>
      <c r="AC1162" s="147"/>
      <c r="AD1162" s="147"/>
      <c r="AE1162" s="147"/>
      <c r="AF1162" s="147"/>
      <c r="AG1162" s="147"/>
      <c r="AH1162" s="147"/>
      <c r="AI1162" s="147"/>
      <c r="AJ1162" s="147"/>
      <c r="AK1162" s="147"/>
      <c r="AL1162" s="147"/>
      <c r="AM1162" s="147"/>
      <c r="AN1162" s="147"/>
      <c r="AO1162" s="147"/>
      <c r="AP1162" s="147"/>
      <c r="AQ1162" s="147"/>
    </row>
    <row r="1163" spans="1:43">
      <c r="A1163" s="3"/>
      <c r="B1163" s="3"/>
      <c r="C1163" s="3"/>
      <c r="D1163" s="3"/>
      <c r="E1163" s="3"/>
      <c r="F1163" s="3"/>
      <c r="G1163" s="3"/>
      <c r="H1163" s="3"/>
      <c r="I1163" s="3"/>
      <c r="J1163" s="3"/>
      <c r="K1163" s="3"/>
      <c r="L1163" s="3"/>
      <c r="M1163" s="3"/>
      <c r="N1163" s="157"/>
      <c r="O1163" s="157"/>
      <c r="P1163" s="157"/>
      <c r="R1163" s="147"/>
      <c r="S1163" s="147"/>
      <c r="T1163" s="147"/>
      <c r="U1163" s="147"/>
      <c r="X1163" s="147"/>
      <c r="Y1163" s="147"/>
      <c r="Z1163" s="147"/>
      <c r="AA1163" s="147"/>
      <c r="AB1163" s="147"/>
      <c r="AC1163" s="147"/>
      <c r="AD1163" s="147"/>
      <c r="AE1163" s="147"/>
      <c r="AF1163" s="147"/>
      <c r="AG1163" s="147"/>
      <c r="AH1163" s="147"/>
      <c r="AI1163" s="147"/>
      <c r="AJ1163" s="147"/>
      <c r="AK1163" s="147"/>
      <c r="AL1163" s="147"/>
      <c r="AM1163" s="147"/>
      <c r="AN1163" s="147"/>
      <c r="AO1163" s="147"/>
      <c r="AP1163" s="147"/>
      <c r="AQ1163" s="147"/>
    </row>
    <row r="1164" spans="1:43">
      <c r="A1164" s="3"/>
      <c r="B1164" s="3"/>
      <c r="C1164" s="3"/>
      <c r="D1164" s="3"/>
      <c r="E1164" s="3"/>
      <c r="F1164" s="3"/>
      <c r="G1164" s="3"/>
      <c r="H1164" s="3"/>
      <c r="I1164" s="3"/>
      <c r="J1164" s="3"/>
      <c r="K1164" s="3"/>
      <c r="L1164" s="3"/>
      <c r="M1164" s="3"/>
      <c r="N1164" s="157"/>
      <c r="O1164" s="157"/>
      <c r="P1164" s="157"/>
      <c r="R1164" s="147"/>
      <c r="S1164" s="147"/>
      <c r="T1164" s="147"/>
      <c r="U1164" s="147"/>
      <c r="X1164" s="147"/>
      <c r="Y1164" s="147"/>
      <c r="Z1164" s="147"/>
      <c r="AA1164" s="147"/>
      <c r="AB1164" s="147"/>
      <c r="AC1164" s="147"/>
      <c r="AD1164" s="147"/>
      <c r="AE1164" s="147"/>
      <c r="AF1164" s="147"/>
      <c r="AG1164" s="147"/>
      <c r="AH1164" s="147"/>
      <c r="AI1164" s="147"/>
      <c r="AJ1164" s="147"/>
      <c r="AK1164" s="147"/>
      <c r="AL1164" s="147"/>
      <c r="AM1164" s="147"/>
      <c r="AN1164" s="147"/>
      <c r="AO1164" s="147"/>
      <c r="AP1164" s="147"/>
      <c r="AQ1164" s="147"/>
    </row>
    <row r="1165" spans="1:43">
      <c r="A1165" s="3"/>
      <c r="B1165" s="3"/>
      <c r="C1165" s="3"/>
      <c r="D1165" s="3"/>
      <c r="E1165" s="3"/>
      <c r="F1165" s="3"/>
      <c r="G1165" s="3"/>
      <c r="H1165" s="3"/>
      <c r="I1165" s="3"/>
      <c r="J1165" s="3"/>
      <c r="K1165" s="3"/>
      <c r="L1165" s="3"/>
      <c r="M1165" s="3"/>
      <c r="N1165" s="157"/>
      <c r="O1165" s="157"/>
      <c r="P1165" s="157"/>
      <c r="R1165" s="147"/>
      <c r="S1165" s="147"/>
      <c r="T1165" s="147"/>
      <c r="U1165" s="147"/>
      <c r="X1165" s="147"/>
      <c r="Y1165" s="147"/>
      <c r="Z1165" s="147"/>
      <c r="AA1165" s="147"/>
      <c r="AB1165" s="147"/>
      <c r="AC1165" s="147"/>
      <c r="AD1165" s="147"/>
      <c r="AE1165" s="147"/>
      <c r="AF1165" s="147"/>
      <c r="AG1165" s="147"/>
      <c r="AH1165" s="147"/>
      <c r="AI1165" s="147"/>
      <c r="AJ1165" s="147"/>
      <c r="AK1165" s="147"/>
      <c r="AL1165" s="147"/>
      <c r="AM1165" s="147"/>
      <c r="AN1165" s="147"/>
      <c r="AO1165" s="147"/>
      <c r="AP1165" s="147"/>
      <c r="AQ1165" s="147"/>
    </row>
    <row r="1166" spans="1:43">
      <c r="A1166" s="3"/>
      <c r="B1166" s="3"/>
      <c r="C1166" s="3"/>
      <c r="D1166" s="3"/>
      <c r="E1166" s="3"/>
      <c r="F1166" s="3"/>
      <c r="G1166" s="3"/>
      <c r="H1166" s="3"/>
      <c r="I1166" s="3"/>
      <c r="J1166" s="3"/>
      <c r="K1166" s="3"/>
      <c r="L1166" s="3"/>
      <c r="M1166" s="3"/>
      <c r="N1166" s="157"/>
      <c r="O1166" s="157"/>
      <c r="P1166" s="157"/>
      <c r="R1166" s="147"/>
      <c r="S1166" s="147"/>
      <c r="T1166" s="147"/>
      <c r="U1166" s="147"/>
      <c r="X1166" s="147"/>
      <c r="Y1166" s="147"/>
      <c r="Z1166" s="147"/>
      <c r="AA1166" s="147"/>
      <c r="AB1166" s="147"/>
      <c r="AC1166" s="147"/>
      <c r="AD1166" s="147"/>
      <c r="AE1166" s="147"/>
      <c r="AF1166" s="147"/>
      <c r="AG1166" s="147"/>
      <c r="AH1166" s="147"/>
      <c r="AI1166" s="147"/>
      <c r="AJ1166" s="147"/>
      <c r="AK1166" s="147"/>
      <c r="AL1166" s="147"/>
      <c r="AM1166" s="147"/>
      <c r="AN1166" s="147"/>
      <c r="AO1166" s="147"/>
      <c r="AP1166" s="147"/>
      <c r="AQ1166" s="147"/>
    </row>
    <row r="1167" spans="1:43">
      <c r="A1167" s="3"/>
      <c r="B1167" s="3"/>
      <c r="C1167" s="3"/>
      <c r="D1167" s="3"/>
      <c r="E1167" s="3"/>
      <c r="F1167" s="3"/>
      <c r="G1167" s="3"/>
      <c r="H1167" s="3"/>
      <c r="I1167" s="3"/>
      <c r="J1167" s="3"/>
      <c r="K1167" s="3"/>
      <c r="L1167" s="3"/>
      <c r="M1167" s="3"/>
      <c r="N1167" s="157"/>
      <c r="O1167" s="157"/>
      <c r="P1167" s="157"/>
      <c r="R1167" s="147"/>
      <c r="S1167" s="147"/>
      <c r="T1167" s="147"/>
      <c r="U1167" s="147"/>
      <c r="X1167" s="147"/>
      <c r="Y1167" s="147"/>
      <c r="Z1167" s="147"/>
      <c r="AA1167" s="147"/>
      <c r="AB1167" s="147"/>
      <c r="AC1167" s="147"/>
      <c r="AD1167" s="147"/>
      <c r="AE1167" s="147"/>
      <c r="AF1167" s="147"/>
      <c r="AG1167" s="147"/>
      <c r="AH1167" s="147"/>
      <c r="AI1167" s="147"/>
      <c r="AJ1167" s="147"/>
      <c r="AK1167" s="147"/>
      <c r="AL1167" s="147"/>
      <c r="AM1167" s="147"/>
      <c r="AN1167" s="147"/>
      <c r="AO1167" s="147"/>
      <c r="AP1167" s="147"/>
      <c r="AQ1167" s="147"/>
    </row>
    <row r="1168" spans="1:43">
      <c r="A1168" s="3"/>
      <c r="B1168" s="3"/>
      <c r="C1168" s="3"/>
      <c r="D1168" s="3"/>
      <c r="E1168" s="3"/>
      <c r="F1168" s="3"/>
      <c r="G1168" s="3"/>
      <c r="H1168" s="3"/>
      <c r="I1168" s="3"/>
      <c r="J1168" s="3"/>
      <c r="K1168" s="3"/>
      <c r="L1168" s="3"/>
      <c r="M1168" s="3"/>
      <c r="N1168" s="157"/>
      <c r="O1168" s="157"/>
      <c r="P1168" s="157"/>
      <c r="R1168" s="147"/>
      <c r="S1168" s="147"/>
      <c r="T1168" s="147"/>
      <c r="U1168" s="147"/>
      <c r="X1168" s="147"/>
      <c r="Y1168" s="147"/>
      <c r="Z1168" s="147"/>
      <c r="AA1168" s="147"/>
      <c r="AB1168" s="147"/>
      <c r="AC1168" s="147"/>
      <c r="AD1168" s="147"/>
      <c r="AE1168" s="147"/>
      <c r="AF1168" s="147"/>
      <c r="AG1168" s="147"/>
      <c r="AH1168" s="147"/>
      <c r="AI1168" s="147"/>
      <c r="AJ1168" s="147"/>
      <c r="AK1168" s="147"/>
      <c r="AL1168" s="147"/>
      <c r="AM1168" s="147"/>
      <c r="AN1168" s="147"/>
      <c r="AO1168" s="147"/>
      <c r="AP1168" s="147"/>
      <c r="AQ1168" s="147"/>
    </row>
    <row r="1169" spans="1:43">
      <c r="A1169" s="3"/>
      <c r="B1169" s="3"/>
      <c r="C1169" s="3"/>
      <c r="D1169" s="3"/>
      <c r="E1169" s="3"/>
      <c r="F1169" s="3"/>
      <c r="G1169" s="3"/>
      <c r="H1169" s="3"/>
      <c r="I1169" s="3"/>
      <c r="J1169" s="3"/>
      <c r="K1169" s="3"/>
      <c r="L1169" s="3"/>
      <c r="M1169" s="3"/>
      <c r="N1169" s="157"/>
      <c r="O1169" s="157"/>
      <c r="P1169" s="157"/>
      <c r="R1169" s="147"/>
      <c r="S1169" s="147"/>
      <c r="T1169" s="147"/>
      <c r="U1169" s="147"/>
      <c r="X1169" s="147"/>
      <c r="Y1169" s="147"/>
      <c r="Z1169" s="147"/>
      <c r="AA1169" s="147"/>
      <c r="AB1169" s="147"/>
      <c r="AC1169" s="147"/>
      <c r="AD1169" s="147"/>
      <c r="AE1169" s="147"/>
      <c r="AF1169" s="147"/>
      <c r="AG1169" s="147"/>
      <c r="AH1169" s="147"/>
      <c r="AI1169" s="147"/>
      <c r="AJ1169" s="147"/>
      <c r="AK1169" s="147"/>
      <c r="AL1169" s="147"/>
      <c r="AM1169" s="147"/>
      <c r="AN1169" s="147"/>
      <c r="AO1169" s="147"/>
      <c r="AP1169" s="147"/>
      <c r="AQ1169" s="147"/>
    </row>
    <row r="1170" spans="1:43">
      <c r="A1170" s="3"/>
      <c r="B1170" s="3"/>
      <c r="C1170" s="3"/>
      <c r="D1170" s="3"/>
      <c r="E1170" s="3"/>
      <c r="F1170" s="3"/>
      <c r="G1170" s="3"/>
      <c r="H1170" s="3"/>
      <c r="I1170" s="3"/>
      <c r="J1170" s="3"/>
      <c r="K1170" s="3"/>
      <c r="L1170" s="3"/>
      <c r="M1170" s="3"/>
      <c r="N1170" s="157"/>
      <c r="O1170" s="157"/>
      <c r="P1170" s="157"/>
      <c r="R1170" s="147"/>
      <c r="S1170" s="147"/>
      <c r="T1170" s="147"/>
      <c r="U1170" s="147"/>
      <c r="X1170" s="147"/>
      <c r="Y1170" s="147"/>
      <c r="Z1170" s="147"/>
      <c r="AA1170" s="147"/>
      <c r="AB1170" s="147"/>
      <c r="AC1170" s="147"/>
      <c r="AD1170" s="147"/>
      <c r="AE1170" s="147"/>
      <c r="AF1170" s="147"/>
      <c r="AG1170" s="147"/>
      <c r="AH1170" s="147"/>
      <c r="AI1170" s="147"/>
      <c r="AJ1170" s="147"/>
      <c r="AK1170" s="147"/>
      <c r="AL1170" s="147"/>
      <c r="AM1170" s="147"/>
      <c r="AN1170" s="147"/>
      <c r="AO1170" s="147"/>
      <c r="AP1170" s="147"/>
      <c r="AQ1170" s="147"/>
    </row>
    <row r="1171" spans="1:43">
      <c r="A1171" s="3"/>
      <c r="B1171" s="3"/>
      <c r="C1171" s="3"/>
      <c r="D1171" s="3"/>
      <c r="E1171" s="3"/>
      <c r="F1171" s="3"/>
      <c r="G1171" s="3"/>
      <c r="H1171" s="3"/>
      <c r="I1171" s="3"/>
      <c r="J1171" s="3"/>
      <c r="K1171" s="3"/>
      <c r="L1171" s="3"/>
      <c r="M1171" s="3"/>
      <c r="N1171" s="157"/>
      <c r="O1171" s="157"/>
      <c r="P1171" s="157"/>
      <c r="R1171" s="147"/>
      <c r="S1171" s="147"/>
      <c r="T1171" s="147"/>
      <c r="U1171" s="147"/>
      <c r="X1171" s="147"/>
      <c r="Y1171" s="147"/>
      <c r="Z1171" s="147"/>
      <c r="AA1171" s="147"/>
      <c r="AB1171" s="147"/>
      <c r="AC1171" s="147"/>
      <c r="AD1171" s="147"/>
      <c r="AE1171" s="147"/>
      <c r="AF1171" s="147"/>
      <c r="AG1171" s="147"/>
      <c r="AH1171" s="147"/>
      <c r="AI1171" s="147"/>
      <c r="AJ1171" s="147"/>
      <c r="AK1171" s="147"/>
      <c r="AL1171" s="147"/>
      <c r="AM1171" s="147"/>
      <c r="AN1171" s="147"/>
      <c r="AO1171" s="147"/>
      <c r="AP1171" s="147"/>
      <c r="AQ1171" s="147"/>
    </row>
    <row r="1172" spans="1:43">
      <c r="A1172" s="3"/>
      <c r="B1172" s="3"/>
      <c r="C1172" s="3"/>
      <c r="D1172" s="3"/>
      <c r="E1172" s="3"/>
      <c r="F1172" s="3"/>
      <c r="G1172" s="3"/>
      <c r="H1172" s="3"/>
      <c r="I1172" s="3"/>
      <c r="J1172" s="3"/>
      <c r="K1172" s="3"/>
      <c r="L1172" s="3"/>
      <c r="M1172" s="3"/>
      <c r="N1172" s="157"/>
      <c r="O1172" s="157"/>
      <c r="P1172" s="157"/>
      <c r="R1172" s="147"/>
      <c r="S1172" s="147"/>
      <c r="T1172" s="147"/>
      <c r="U1172" s="147"/>
      <c r="X1172" s="147"/>
      <c r="Y1172" s="147"/>
      <c r="Z1172" s="147"/>
      <c r="AA1172" s="147"/>
      <c r="AB1172" s="147"/>
      <c r="AC1172" s="147"/>
      <c r="AD1172" s="147"/>
      <c r="AE1172" s="147"/>
      <c r="AF1172" s="147"/>
      <c r="AG1172" s="147"/>
      <c r="AH1172" s="147"/>
      <c r="AI1172" s="147"/>
      <c r="AJ1172" s="147"/>
      <c r="AK1172" s="147"/>
      <c r="AL1172" s="147"/>
      <c r="AM1172" s="147"/>
      <c r="AN1172" s="147"/>
      <c r="AO1172" s="147"/>
      <c r="AP1172" s="147"/>
      <c r="AQ1172" s="147"/>
    </row>
    <row r="1173" spans="1:43">
      <c r="A1173" s="3"/>
      <c r="B1173" s="3"/>
      <c r="C1173" s="3"/>
      <c r="D1173" s="3"/>
      <c r="E1173" s="3"/>
      <c r="F1173" s="3"/>
      <c r="G1173" s="3"/>
      <c r="H1173" s="3"/>
      <c r="I1173" s="3"/>
      <c r="J1173" s="3"/>
      <c r="K1173" s="3"/>
      <c r="L1173" s="3"/>
      <c r="M1173" s="3"/>
      <c r="N1173" s="157"/>
      <c r="O1173" s="157"/>
      <c r="P1173" s="157"/>
      <c r="R1173" s="147"/>
      <c r="S1173" s="147"/>
      <c r="T1173" s="147"/>
      <c r="U1173" s="147"/>
      <c r="X1173" s="147"/>
      <c r="Y1173" s="147"/>
      <c r="Z1173" s="147"/>
      <c r="AA1173" s="147"/>
      <c r="AB1173" s="147"/>
      <c r="AC1173" s="147"/>
      <c r="AD1173" s="147"/>
      <c r="AE1173" s="147"/>
      <c r="AF1173" s="147"/>
      <c r="AG1173" s="147"/>
      <c r="AH1173" s="147"/>
      <c r="AI1173" s="147"/>
      <c r="AJ1173" s="147"/>
      <c r="AK1173" s="147"/>
      <c r="AL1173" s="147"/>
      <c r="AM1173" s="147"/>
      <c r="AN1173" s="147"/>
      <c r="AO1173" s="147"/>
      <c r="AP1173" s="147"/>
      <c r="AQ1173" s="147"/>
    </row>
    <row r="1174" spans="1:43">
      <c r="A1174" s="3"/>
      <c r="B1174" s="3"/>
      <c r="C1174" s="3"/>
      <c r="D1174" s="3"/>
      <c r="E1174" s="3"/>
      <c r="F1174" s="3"/>
      <c r="G1174" s="3"/>
      <c r="H1174" s="3"/>
      <c r="I1174" s="3"/>
      <c r="J1174" s="3"/>
      <c r="K1174" s="3"/>
      <c r="L1174" s="3"/>
      <c r="M1174" s="3"/>
      <c r="N1174" s="157"/>
      <c r="O1174" s="157"/>
      <c r="P1174" s="157"/>
      <c r="R1174" s="147"/>
      <c r="S1174" s="147"/>
      <c r="T1174" s="147"/>
      <c r="U1174" s="147"/>
      <c r="X1174" s="147"/>
      <c r="Y1174" s="147"/>
      <c r="Z1174" s="147"/>
      <c r="AA1174" s="147"/>
      <c r="AB1174" s="147"/>
      <c r="AC1174" s="147"/>
      <c r="AD1174" s="147"/>
      <c r="AE1174" s="147"/>
      <c r="AF1174" s="147"/>
      <c r="AG1174" s="147"/>
      <c r="AH1174" s="147"/>
      <c r="AI1174" s="147"/>
      <c r="AJ1174" s="147"/>
      <c r="AK1174" s="147"/>
      <c r="AL1174" s="147"/>
      <c r="AM1174" s="147"/>
      <c r="AN1174" s="147"/>
      <c r="AO1174" s="147"/>
      <c r="AP1174" s="147"/>
      <c r="AQ1174" s="147"/>
    </row>
    <row r="1175" spans="1:43">
      <c r="A1175" s="3"/>
      <c r="B1175" s="3"/>
      <c r="C1175" s="3"/>
      <c r="D1175" s="3"/>
      <c r="E1175" s="3"/>
      <c r="F1175" s="3"/>
      <c r="G1175" s="3"/>
      <c r="H1175" s="3"/>
      <c r="I1175" s="3"/>
      <c r="J1175" s="3"/>
      <c r="K1175" s="3"/>
      <c r="L1175" s="3"/>
      <c r="M1175" s="3"/>
      <c r="N1175" s="157"/>
      <c r="O1175" s="157"/>
      <c r="P1175" s="157"/>
      <c r="R1175" s="147"/>
      <c r="S1175" s="147"/>
      <c r="T1175" s="147"/>
      <c r="U1175" s="147"/>
      <c r="X1175" s="147"/>
      <c r="Y1175" s="147"/>
      <c r="Z1175" s="147"/>
      <c r="AA1175" s="147"/>
      <c r="AB1175" s="147"/>
      <c r="AC1175" s="147"/>
      <c r="AD1175" s="147"/>
      <c r="AE1175" s="147"/>
      <c r="AF1175" s="147"/>
      <c r="AG1175" s="147"/>
      <c r="AH1175" s="147"/>
      <c r="AI1175" s="147"/>
      <c r="AJ1175" s="147"/>
      <c r="AK1175" s="147"/>
      <c r="AL1175" s="147"/>
      <c r="AM1175" s="147"/>
      <c r="AN1175" s="147"/>
      <c r="AO1175" s="147"/>
      <c r="AP1175" s="147"/>
      <c r="AQ1175" s="147"/>
    </row>
    <row r="1176" spans="1:43">
      <c r="A1176" s="3"/>
      <c r="B1176" s="3"/>
      <c r="C1176" s="3"/>
      <c r="D1176" s="3"/>
      <c r="E1176" s="3"/>
      <c r="F1176" s="3"/>
      <c r="G1176" s="3"/>
      <c r="H1176" s="3"/>
      <c r="I1176" s="3"/>
      <c r="J1176" s="3"/>
      <c r="K1176" s="3"/>
      <c r="L1176" s="3"/>
      <c r="M1176" s="3"/>
      <c r="N1176" s="157"/>
      <c r="O1176" s="157"/>
      <c r="P1176" s="157"/>
      <c r="R1176" s="147"/>
      <c r="S1176" s="147"/>
      <c r="T1176" s="147"/>
      <c r="U1176" s="147"/>
      <c r="X1176" s="147"/>
      <c r="Y1176" s="147"/>
      <c r="Z1176" s="147"/>
      <c r="AA1176" s="147"/>
      <c r="AB1176" s="147"/>
      <c r="AC1176" s="147"/>
      <c r="AD1176" s="147"/>
      <c r="AE1176" s="147"/>
      <c r="AF1176" s="147"/>
      <c r="AG1176" s="147"/>
      <c r="AH1176" s="147"/>
      <c r="AI1176" s="147"/>
      <c r="AJ1176" s="147"/>
      <c r="AK1176" s="147"/>
      <c r="AL1176" s="147"/>
      <c r="AM1176" s="147"/>
      <c r="AN1176" s="147"/>
      <c r="AO1176" s="147"/>
      <c r="AP1176" s="147"/>
      <c r="AQ1176" s="147"/>
    </row>
    <row r="1177" spans="1:43">
      <c r="A1177" s="3"/>
      <c r="B1177" s="3"/>
      <c r="C1177" s="3"/>
      <c r="D1177" s="3"/>
      <c r="E1177" s="3"/>
      <c r="F1177" s="3"/>
      <c r="G1177" s="3"/>
      <c r="H1177" s="3"/>
      <c r="I1177" s="3"/>
      <c r="J1177" s="3"/>
      <c r="K1177" s="3"/>
      <c r="L1177" s="3"/>
      <c r="M1177" s="3"/>
      <c r="N1177" s="157"/>
      <c r="O1177" s="157"/>
      <c r="P1177" s="157"/>
      <c r="R1177" s="147"/>
      <c r="S1177" s="147"/>
      <c r="T1177" s="147"/>
      <c r="U1177" s="147"/>
      <c r="X1177" s="147"/>
      <c r="Y1177" s="147"/>
      <c r="Z1177" s="147"/>
      <c r="AA1177" s="147"/>
      <c r="AB1177" s="147"/>
      <c r="AC1177" s="147"/>
      <c r="AD1177" s="147"/>
      <c r="AE1177" s="147"/>
      <c r="AF1177" s="147"/>
      <c r="AG1177" s="147"/>
      <c r="AH1177" s="147"/>
      <c r="AI1177" s="147"/>
      <c r="AJ1177" s="147"/>
      <c r="AK1177" s="147"/>
      <c r="AL1177" s="147"/>
      <c r="AM1177" s="147"/>
      <c r="AN1177" s="147"/>
      <c r="AO1177" s="147"/>
      <c r="AP1177" s="147"/>
      <c r="AQ1177" s="147"/>
    </row>
    <row r="1178" spans="1:43">
      <c r="A1178" s="3"/>
      <c r="B1178" s="3"/>
      <c r="C1178" s="3"/>
      <c r="D1178" s="3"/>
      <c r="E1178" s="3"/>
      <c r="F1178" s="3"/>
      <c r="G1178" s="3"/>
      <c r="H1178" s="3"/>
      <c r="I1178" s="3"/>
      <c r="J1178" s="3"/>
      <c r="K1178" s="3"/>
      <c r="L1178" s="3"/>
      <c r="M1178" s="3"/>
      <c r="N1178" s="157"/>
      <c r="O1178" s="157"/>
      <c r="P1178" s="157"/>
      <c r="R1178" s="147"/>
      <c r="S1178" s="147"/>
      <c r="T1178" s="147"/>
      <c r="U1178" s="147"/>
      <c r="X1178" s="147"/>
      <c r="Y1178" s="147"/>
      <c r="Z1178" s="147"/>
      <c r="AA1178" s="147"/>
      <c r="AB1178" s="147"/>
      <c r="AC1178" s="147"/>
      <c r="AD1178" s="147"/>
      <c r="AE1178" s="147"/>
      <c r="AF1178" s="147"/>
      <c r="AG1178" s="147"/>
      <c r="AH1178" s="147"/>
      <c r="AI1178" s="147"/>
      <c r="AJ1178" s="147"/>
      <c r="AK1178" s="147"/>
      <c r="AL1178" s="147"/>
      <c r="AM1178" s="147"/>
      <c r="AN1178" s="147"/>
      <c r="AO1178" s="147"/>
      <c r="AP1178" s="147"/>
      <c r="AQ1178" s="147"/>
    </row>
    <row r="1179" spans="1:43">
      <c r="A1179" s="3"/>
      <c r="B1179" s="3"/>
      <c r="C1179" s="3"/>
      <c r="D1179" s="3"/>
      <c r="E1179" s="3"/>
      <c r="F1179" s="3"/>
      <c r="G1179" s="3"/>
      <c r="H1179" s="3"/>
      <c r="I1179" s="3"/>
      <c r="J1179" s="3"/>
      <c r="K1179" s="3"/>
      <c r="L1179" s="3"/>
      <c r="M1179" s="3"/>
      <c r="N1179" s="157"/>
      <c r="O1179" s="157"/>
      <c r="P1179" s="157"/>
      <c r="R1179" s="147"/>
      <c r="S1179" s="147"/>
      <c r="T1179" s="147"/>
      <c r="U1179" s="147"/>
      <c r="X1179" s="147"/>
      <c r="Y1179" s="147"/>
      <c r="Z1179" s="147"/>
      <c r="AA1179" s="147"/>
      <c r="AB1179" s="147"/>
      <c r="AC1179" s="147"/>
      <c r="AD1179" s="147"/>
      <c r="AE1179" s="147"/>
      <c r="AF1179" s="147"/>
      <c r="AG1179" s="147"/>
      <c r="AH1179" s="147"/>
      <c r="AI1179" s="147"/>
      <c r="AJ1179" s="147"/>
      <c r="AK1179" s="147"/>
      <c r="AL1179" s="147"/>
      <c r="AM1179" s="147"/>
      <c r="AN1179" s="147"/>
      <c r="AO1179" s="147"/>
      <c r="AP1179" s="147"/>
      <c r="AQ1179" s="147"/>
    </row>
    <row r="1180" spans="1:43">
      <c r="A1180" s="3"/>
      <c r="B1180" s="3"/>
      <c r="C1180" s="3"/>
      <c r="D1180" s="3"/>
      <c r="E1180" s="3"/>
      <c r="F1180" s="3"/>
      <c r="G1180" s="3"/>
      <c r="H1180" s="3"/>
      <c r="I1180" s="3"/>
      <c r="J1180" s="3"/>
      <c r="K1180" s="3"/>
      <c r="L1180" s="3"/>
      <c r="M1180" s="3"/>
      <c r="N1180" s="157"/>
      <c r="O1180" s="157"/>
      <c r="P1180" s="157"/>
      <c r="R1180" s="147"/>
      <c r="S1180" s="147"/>
      <c r="T1180" s="147"/>
      <c r="U1180" s="147"/>
      <c r="X1180" s="147"/>
      <c r="Y1180" s="147"/>
      <c r="Z1180" s="147"/>
      <c r="AA1180" s="147"/>
      <c r="AB1180" s="147"/>
      <c r="AC1180" s="147"/>
      <c r="AD1180" s="147"/>
      <c r="AE1180" s="147"/>
      <c r="AF1180" s="147"/>
      <c r="AG1180" s="147"/>
      <c r="AH1180" s="147"/>
      <c r="AI1180" s="147"/>
      <c r="AJ1180" s="147"/>
      <c r="AK1180" s="147"/>
      <c r="AL1180" s="147"/>
      <c r="AM1180" s="147"/>
      <c r="AN1180" s="147"/>
      <c r="AO1180" s="147"/>
      <c r="AP1180" s="147"/>
      <c r="AQ1180" s="147"/>
    </row>
    <row r="1181" spans="1:43">
      <c r="A1181" s="3"/>
      <c r="B1181" s="3"/>
      <c r="C1181" s="3"/>
      <c r="D1181" s="3"/>
      <c r="E1181" s="3"/>
      <c r="F1181" s="3"/>
      <c r="G1181" s="3"/>
      <c r="H1181" s="3"/>
      <c r="I1181" s="3"/>
      <c r="J1181" s="3"/>
      <c r="K1181" s="3"/>
      <c r="L1181" s="3"/>
      <c r="M1181" s="3"/>
      <c r="N1181" s="157"/>
      <c r="O1181" s="157"/>
      <c r="P1181" s="157"/>
      <c r="R1181" s="147"/>
      <c r="S1181" s="147"/>
      <c r="T1181" s="147"/>
      <c r="U1181" s="147"/>
      <c r="X1181" s="147"/>
      <c r="Y1181" s="147"/>
      <c r="Z1181" s="147"/>
      <c r="AA1181" s="147"/>
      <c r="AB1181" s="147"/>
      <c r="AC1181" s="147"/>
      <c r="AD1181" s="147"/>
      <c r="AE1181" s="147"/>
      <c r="AF1181" s="147"/>
      <c r="AG1181" s="147"/>
      <c r="AH1181" s="147"/>
      <c r="AI1181" s="147"/>
      <c r="AJ1181" s="147"/>
      <c r="AK1181" s="147"/>
      <c r="AL1181" s="147"/>
      <c r="AM1181" s="147"/>
      <c r="AN1181" s="147"/>
      <c r="AO1181" s="147"/>
      <c r="AP1181" s="147"/>
      <c r="AQ1181" s="147"/>
    </row>
    <row r="1182" spans="1:43">
      <c r="A1182" s="3"/>
      <c r="B1182" s="3"/>
      <c r="C1182" s="3"/>
      <c r="D1182" s="3"/>
      <c r="E1182" s="3"/>
      <c r="F1182" s="3"/>
      <c r="G1182" s="3"/>
      <c r="H1182" s="3"/>
      <c r="I1182" s="3"/>
      <c r="J1182" s="3"/>
      <c r="K1182" s="3"/>
      <c r="L1182" s="3"/>
      <c r="M1182" s="3"/>
      <c r="N1182" s="157"/>
      <c r="O1182" s="157"/>
      <c r="P1182" s="157"/>
      <c r="R1182" s="147"/>
      <c r="S1182" s="147"/>
      <c r="T1182" s="147"/>
      <c r="U1182" s="147"/>
      <c r="X1182" s="147"/>
      <c r="Y1182" s="147"/>
      <c r="Z1182" s="147"/>
      <c r="AA1182" s="147"/>
      <c r="AB1182" s="147"/>
      <c r="AC1182" s="147"/>
      <c r="AD1182" s="147"/>
      <c r="AE1182" s="147"/>
      <c r="AF1182" s="147"/>
      <c r="AG1182" s="147"/>
      <c r="AH1182" s="147"/>
      <c r="AI1182" s="147"/>
      <c r="AJ1182" s="147"/>
      <c r="AK1182" s="147"/>
      <c r="AL1182" s="147"/>
      <c r="AM1182" s="147"/>
      <c r="AN1182" s="147"/>
      <c r="AO1182" s="147"/>
      <c r="AP1182" s="147"/>
      <c r="AQ1182" s="147"/>
    </row>
    <row r="1183" spans="1:43">
      <c r="A1183" s="3"/>
      <c r="B1183" s="3"/>
      <c r="C1183" s="3"/>
      <c r="D1183" s="3"/>
      <c r="E1183" s="3"/>
      <c r="F1183" s="3"/>
      <c r="G1183" s="3"/>
      <c r="H1183" s="3"/>
      <c r="I1183" s="3"/>
      <c r="J1183" s="3"/>
      <c r="K1183" s="3"/>
      <c r="L1183" s="3"/>
      <c r="M1183" s="3"/>
      <c r="N1183" s="157"/>
      <c r="O1183" s="157"/>
      <c r="P1183" s="157"/>
      <c r="R1183" s="147"/>
      <c r="S1183" s="147"/>
      <c r="T1183" s="147"/>
      <c r="U1183" s="147"/>
      <c r="X1183" s="147"/>
      <c r="Y1183" s="147"/>
      <c r="Z1183" s="147"/>
      <c r="AA1183" s="147"/>
      <c r="AB1183" s="147"/>
      <c r="AC1183" s="147"/>
      <c r="AD1183" s="147"/>
      <c r="AE1183" s="147"/>
      <c r="AF1183" s="147"/>
      <c r="AG1183" s="147"/>
      <c r="AH1183" s="147"/>
      <c r="AI1183" s="147"/>
      <c r="AJ1183" s="147"/>
      <c r="AK1183" s="147"/>
      <c r="AL1183" s="147"/>
      <c r="AM1183" s="147"/>
      <c r="AN1183" s="147"/>
      <c r="AO1183" s="147"/>
      <c r="AP1183" s="147"/>
      <c r="AQ1183" s="147"/>
    </row>
    <row r="1184" spans="1:43">
      <c r="A1184" s="3"/>
      <c r="B1184" s="3"/>
      <c r="C1184" s="3"/>
      <c r="D1184" s="3"/>
      <c r="E1184" s="3"/>
      <c r="F1184" s="3"/>
      <c r="G1184" s="3"/>
      <c r="H1184" s="3"/>
      <c r="I1184" s="3"/>
      <c r="J1184" s="3"/>
      <c r="K1184" s="3"/>
      <c r="L1184" s="3"/>
      <c r="M1184" s="3"/>
      <c r="N1184" s="157"/>
      <c r="O1184" s="157"/>
      <c r="P1184" s="157"/>
      <c r="R1184" s="147"/>
      <c r="S1184" s="147"/>
      <c r="T1184" s="147"/>
      <c r="U1184" s="147"/>
      <c r="X1184" s="147"/>
      <c r="Y1184" s="147"/>
      <c r="Z1184" s="147"/>
      <c r="AA1184" s="147"/>
      <c r="AB1184" s="147"/>
      <c r="AC1184" s="147"/>
      <c r="AD1184" s="147"/>
      <c r="AE1184" s="147"/>
      <c r="AF1184" s="147"/>
      <c r="AG1184" s="147"/>
      <c r="AH1184" s="147"/>
      <c r="AI1184" s="147"/>
      <c r="AJ1184" s="147"/>
      <c r="AK1184" s="147"/>
      <c r="AL1184" s="147"/>
      <c r="AM1184" s="147"/>
      <c r="AN1184" s="147"/>
      <c r="AO1184" s="147"/>
      <c r="AP1184" s="147"/>
      <c r="AQ1184" s="147"/>
    </row>
    <row r="1185" spans="1:43">
      <c r="A1185" s="3"/>
      <c r="B1185" s="3"/>
      <c r="C1185" s="3"/>
      <c r="D1185" s="3"/>
      <c r="E1185" s="3"/>
      <c r="F1185" s="3"/>
      <c r="G1185" s="3"/>
      <c r="H1185" s="3"/>
      <c r="I1185" s="3"/>
      <c r="J1185" s="3"/>
      <c r="K1185" s="3"/>
      <c r="L1185" s="3"/>
      <c r="M1185" s="3"/>
      <c r="N1185" s="157"/>
      <c r="O1185" s="157"/>
      <c r="P1185" s="157"/>
      <c r="R1185" s="147"/>
      <c r="S1185" s="147"/>
      <c r="T1185" s="147"/>
      <c r="U1185" s="147"/>
      <c r="X1185" s="147"/>
      <c r="Y1185" s="147"/>
      <c r="Z1185" s="147"/>
      <c r="AA1185" s="147"/>
      <c r="AB1185" s="147"/>
      <c r="AC1185" s="147"/>
      <c r="AD1185" s="147"/>
      <c r="AE1185" s="147"/>
      <c r="AF1185" s="147"/>
      <c r="AG1185" s="147"/>
      <c r="AH1185" s="147"/>
      <c r="AI1185" s="147"/>
      <c r="AJ1185" s="147"/>
      <c r="AK1185" s="147"/>
      <c r="AL1185" s="147"/>
      <c r="AM1185" s="147"/>
      <c r="AN1185" s="147"/>
      <c r="AO1185" s="147"/>
      <c r="AP1185" s="147"/>
      <c r="AQ1185" s="147"/>
    </row>
    <row r="1186" spans="1:43">
      <c r="A1186" s="3"/>
      <c r="B1186" s="3"/>
      <c r="C1186" s="3"/>
      <c r="D1186" s="3"/>
      <c r="E1186" s="3"/>
      <c r="F1186" s="3"/>
      <c r="G1186" s="3"/>
      <c r="H1186" s="3"/>
      <c r="I1186" s="3"/>
      <c r="J1186" s="3"/>
      <c r="K1186" s="3"/>
      <c r="L1186" s="3"/>
      <c r="M1186" s="3"/>
      <c r="N1186" s="157"/>
      <c r="O1186" s="157"/>
      <c r="P1186" s="157"/>
      <c r="R1186" s="147"/>
      <c r="S1186" s="147"/>
      <c r="T1186" s="147"/>
      <c r="U1186" s="147"/>
      <c r="X1186" s="147"/>
      <c r="Y1186" s="147"/>
      <c r="Z1186" s="147"/>
      <c r="AA1186" s="147"/>
      <c r="AB1186" s="147"/>
      <c r="AC1186" s="147"/>
      <c r="AD1186" s="147"/>
      <c r="AE1186" s="147"/>
      <c r="AF1186" s="147"/>
      <c r="AG1186" s="147"/>
      <c r="AH1186" s="147"/>
      <c r="AI1186" s="147"/>
      <c r="AJ1186" s="147"/>
      <c r="AK1186" s="147"/>
      <c r="AL1186" s="147"/>
      <c r="AM1186" s="147"/>
      <c r="AN1186" s="147"/>
      <c r="AO1186" s="147"/>
      <c r="AP1186" s="147"/>
      <c r="AQ1186" s="147"/>
    </row>
    <row r="1187" spans="1:43">
      <c r="A1187" s="3"/>
      <c r="B1187" s="3"/>
      <c r="C1187" s="3"/>
      <c r="D1187" s="3"/>
      <c r="E1187" s="3"/>
      <c r="F1187" s="3"/>
      <c r="G1187" s="3"/>
      <c r="H1187" s="3"/>
      <c r="I1187" s="3"/>
      <c r="J1187" s="3"/>
      <c r="K1187" s="3"/>
      <c r="L1187" s="3"/>
      <c r="M1187" s="3"/>
      <c r="N1187" s="157"/>
      <c r="O1187" s="157"/>
      <c r="P1187" s="157"/>
      <c r="R1187" s="147"/>
      <c r="S1187" s="147"/>
      <c r="T1187" s="147"/>
      <c r="U1187" s="147"/>
      <c r="X1187" s="147"/>
      <c r="Y1187" s="147"/>
      <c r="Z1187" s="147"/>
      <c r="AA1187" s="147"/>
      <c r="AB1187" s="147"/>
      <c r="AC1187" s="147"/>
      <c r="AD1187" s="147"/>
      <c r="AE1187" s="147"/>
      <c r="AF1187" s="147"/>
      <c r="AG1187" s="147"/>
      <c r="AH1187" s="147"/>
      <c r="AI1187" s="147"/>
      <c r="AJ1187" s="147"/>
      <c r="AK1187" s="147"/>
      <c r="AL1187" s="147"/>
      <c r="AM1187" s="147"/>
      <c r="AN1187" s="147"/>
      <c r="AO1187" s="147"/>
      <c r="AP1187" s="147"/>
      <c r="AQ1187" s="147"/>
    </row>
    <row r="1188" spans="1:43">
      <c r="A1188" s="3"/>
      <c r="B1188" s="3"/>
      <c r="C1188" s="3"/>
      <c r="D1188" s="3"/>
      <c r="E1188" s="3"/>
      <c r="F1188" s="3"/>
      <c r="G1188" s="3"/>
      <c r="H1188" s="3"/>
      <c r="I1188" s="3"/>
      <c r="J1188" s="3"/>
      <c r="K1188" s="3"/>
      <c r="L1188" s="3"/>
      <c r="M1188" s="3"/>
      <c r="N1188" s="157"/>
      <c r="O1188" s="157"/>
      <c r="P1188" s="157"/>
      <c r="R1188" s="147"/>
      <c r="S1188" s="147"/>
      <c r="T1188" s="147"/>
      <c r="U1188" s="147"/>
      <c r="X1188" s="147"/>
      <c r="Y1188" s="147"/>
      <c r="Z1188" s="147"/>
      <c r="AA1188" s="147"/>
      <c r="AB1188" s="147"/>
      <c r="AC1188" s="147"/>
      <c r="AD1188" s="147"/>
      <c r="AE1188" s="147"/>
      <c r="AF1188" s="147"/>
      <c r="AG1188" s="147"/>
      <c r="AH1188" s="147"/>
      <c r="AI1188" s="147"/>
      <c r="AJ1188" s="147"/>
      <c r="AK1188" s="147"/>
      <c r="AL1188" s="147"/>
      <c r="AM1188" s="147"/>
      <c r="AN1188" s="147"/>
      <c r="AO1188" s="147"/>
      <c r="AP1188" s="147"/>
      <c r="AQ1188" s="147"/>
    </row>
    <row r="1189" spans="1:43">
      <c r="A1189" s="3"/>
      <c r="B1189" s="3"/>
      <c r="C1189" s="3"/>
      <c r="D1189" s="3"/>
      <c r="E1189" s="3"/>
      <c r="F1189" s="3"/>
      <c r="G1189" s="3"/>
      <c r="H1189" s="3"/>
      <c r="I1189" s="3"/>
      <c r="J1189" s="3"/>
      <c r="K1189" s="3"/>
      <c r="L1189" s="3"/>
      <c r="M1189" s="3"/>
      <c r="N1189" s="157"/>
      <c r="O1189" s="157"/>
      <c r="P1189" s="157"/>
      <c r="R1189" s="147"/>
      <c r="S1189" s="147"/>
      <c r="T1189" s="147"/>
      <c r="U1189" s="147"/>
      <c r="X1189" s="147"/>
      <c r="Y1189" s="147"/>
      <c r="Z1189" s="147"/>
      <c r="AA1189" s="147"/>
      <c r="AB1189" s="147"/>
      <c r="AC1189" s="147"/>
      <c r="AD1189" s="147"/>
      <c r="AE1189" s="147"/>
      <c r="AF1189" s="147"/>
      <c r="AG1189" s="147"/>
      <c r="AH1189" s="147"/>
      <c r="AI1189" s="147"/>
      <c r="AJ1189" s="147"/>
      <c r="AK1189" s="147"/>
      <c r="AL1189" s="147"/>
      <c r="AM1189" s="147"/>
      <c r="AN1189" s="147"/>
      <c r="AO1189" s="147"/>
      <c r="AP1189" s="147"/>
      <c r="AQ1189" s="147"/>
    </row>
    <row r="1190" spans="1:43">
      <c r="A1190" s="3"/>
      <c r="B1190" s="3"/>
      <c r="C1190" s="3"/>
      <c r="D1190" s="3"/>
      <c r="E1190" s="3"/>
      <c r="F1190" s="3"/>
      <c r="G1190" s="3"/>
      <c r="H1190" s="3"/>
      <c r="I1190" s="3"/>
      <c r="J1190" s="3"/>
      <c r="K1190" s="3"/>
      <c r="L1190" s="3"/>
      <c r="M1190" s="3"/>
      <c r="N1190" s="157"/>
      <c r="O1190" s="157"/>
      <c r="P1190" s="157"/>
      <c r="R1190" s="147"/>
      <c r="S1190" s="147"/>
      <c r="T1190" s="147"/>
      <c r="U1190" s="147"/>
      <c r="X1190" s="147"/>
      <c r="Y1190" s="147"/>
      <c r="Z1190" s="147"/>
      <c r="AA1190" s="147"/>
      <c r="AB1190" s="147"/>
      <c r="AC1190" s="147"/>
      <c r="AD1190" s="147"/>
      <c r="AE1190" s="147"/>
      <c r="AF1190" s="147"/>
      <c r="AG1190" s="147"/>
      <c r="AH1190" s="147"/>
      <c r="AI1190" s="147"/>
      <c r="AJ1190" s="147"/>
      <c r="AK1190" s="147"/>
      <c r="AL1190" s="147"/>
      <c r="AM1190" s="147"/>
      <c r="AN1190" s="147"/>
      <c r="AO1190" s="147"/>
      <c r="AP1190" s="147"/>
      <c r="AQ1190" s="147"/>
    </row>
    <row r="1191" spans="1:43">
      <c r="A1191" s="3"/>
      <c r="B1191" s="3"/>
      <c r="C1191" s="3"/>
      <c r="D1191" s="3"/>
      <c r="E1191" s="3"/>
      <c r="F1191" s="3"/>
      <c r="G1191" s="3"/>
      <c r="H1191" s="3"/>
      <c r="I1191" s="3"/>
      <c r="J1191" s="3"/>
      <c r="K1191" s="3"/>
      <c r="L1191" s="3"/>
      <c r="M1191" s="3"/>
      <c r="N1191" s="157"/>
      <c r="O1191" s="157"/>
      <c r="P1191" s="157"/>
      <c r="R1191" s="147"/>
      <c r="S1191" s="147"/>
      <c r="T1191" s="147"/>
      <c r="U1191" s="147"/>
      <c r="X1191" s="147"/>
      <c r="Y1191" s="147"/>
      <c r="Z1191" s="147"/>
      <c r="AA1191" s="147"/>
      <c r="AB1191" s="147"/>
      <c r="AC1191" s="147"/>
      <c r="AD1191" s="147"/>
      <c r="AE1191" s="147"/>
      <c r="AF1191" s="147"/>
      <c r="AG1191" s="147"/>
      <c r="AH1191" s="147"/>
      <c r="AI1191" s="147"/>
      <c r="AJ1191" s="147"/>
      <c r="AK1191" s="147"/>
      <c r="AL1191" s="147"/>
      <c r="AM1191" s="147"/>
      <c r="AN1191" s="147"/>
      <c r="AO1191" s="147"/>
      <c r="AP1191" s="147"/>
      <c r="AQ1191" s="147"/>
    </row>
    <row r="1192" spans="1:43">
      <c r="A1192" s="3"/>
      <c r="B1192" s="3"/>
      <c r="C1192" s="3"/>
      <c r="D1192" s="3"/>
      <c r="E1192" s="3"/>
      <c r="F1192" s="3"/>
      <c r="G1192" s="3"/>
      <c r="H1192" s="3"/>
      <c r="I1192" s="3"/>
      <c r="J1192" s="3"/>
      <c r="K1192" s="3"/>
      <c r="L1192" s="3"/>
      <c r="M1192" s="3"/>
      <c r="N1192" s="157"/>
      <c r="O1192" s="157"/>
      <c r="P1192" s="157"/>
      <c r="R1192" s="147"/>
      <c r="S1192" s="147"/>
      <c r="T1192" s="147"/>
      <c r="U1192" s="147"/>
      <c r="X1192" s="147"/>
      <c r="Y1192" s="147"/>
      <c r="Z1192" s="147"/>
      <c r="AA1192" s="147"/>
      <c r="AB1192" s="147"/>
      <c r="AC1192" s="147"/>
      <c r="AD1192" s="147"/>
      <c r="AE1192" s="147"/>
      <c r="AF1192" s="147"/>
      <c r="AG1192" s="147"/>
      <c r="AH1192" s="147"/>
      <c r="AI1192" s="147"/>
      <c r="AJ1192" s="147"/>
      <c r="AK1192" s="147"/>
      <c r="AL1192" s="147"/>
      <c r="AM1192" s="147"/>
      <c r="AN1192" s="147"/>
      <c r="AO1192" s="147"/>
      <c r="AP1192" s="147"/>
      <c r="AQ1192" s="147"/>
    </row>
    <row r="1193" spans="1:43">
      <c r="A1193" s="3"/>
      <c r="B1193" s="3"/>
      <c r="C1193" s="3"/>
      <c r="D1193" s="3"/>
      <c r="E1193" s="3"/>
      <c r="F1193" s="3"/>
      <c r="G1193" s="3"/>
      <c r="H1193" s="3"/>
      <c r="I1193" s="3"/>
      <c r="J1193" s="3"/>
      <c r="K1193" s="3"/>
      <c r="L1193" s="3"/>
      <c r="M1193" s="3"/>
      <c r="N1193" s="157"/>
      <c r="O1193" s="157"/>
      <c r="P1193" s="157"/>
      <c r="R1193" s="147"/>
      <c r="S1193" s="147"/>
      <c r="T1193" s="147"/>
      <c r="U1193" s="147"/>
      <c r="X1193" s="147"/>
      <c r="Y1193" s="147"/>
      <c r="Z1193" s="147"/>
      <c r="AA1193" s="147"/>
      <c r="AB1193" s="147"/>
      <c r="AC1193" s="147"/>
      <c r="AD1193" s="147"/>
      <c r="AE1193" s="147"/>
      <c r="AF1193" s="147"/>
      <c r="AG1193" s="147"/>
      <c r="AH1193" s="147"/>
      <c r="AI1193" s="147"/>
      <c r="AJ1193" s="147"/>
      <c r="AK1193" s="147"/>
      <c r="AL1193" s="147"/>
      <c r="AM1193" s="147"/>
      <c r="AN1193" s="147"/>
      <c r="AO1193" s="147"/>
      <c r="AP1193" s="147"/>
      <c r="AQ1193" s="147"/>
    </row>
    <row r="1194" spans="1:43">
      <c r="A1194" s="3"/>
      <c r="B1194" s="3"/>
      <c r="C1194" s="3"/>
      <c r="D1194" s="3"/>
      <c r="E1194" s="3"/>
      <c r="F1194" s="3"/>
      <c r="G1194" s="3"/>
      <c r="H1194" s="3"/>
      <c r="I1194" s="3"/>
      <c r="J1194" s="3"/>
      <c r="K1194" s="3"/>
      <c r="L1194" s="3"/>
      <c r="M1194" s="3"/>
      <c r="N1194" s="157"/>
      <c r="O1194" s="157"/>
      <c r="P1194" s="157"/>
      <c r="R1194" s="147"/>
      <c r="S1194" s="147"/>
      <c r="T1194" s="147"/>
      <c r="U1194" s="147"/>
      <c r="X1194" s="147"/>
      <c r="Y1194" s="147"/>
      <c r="Z1194" s="147"/>
      <c r="AA1194" s="147"/>
      <c r="AB1194" s="147"/>
      <c r="AC1194" s="147"/>
      <c r="AD1194" s="147"/>
      <c r="AE1194" s="147"/>
      <c r="AF1194" s="147"/>
      <c r="AG1194" s="147"/>
      <c r="AH1194" s="147"/>
      <c r="AI1194" s="147"/>
      <c r="AJ1194" s="147"/>
      <c r="AK1194" s="147"/>
      <c r="AL1194" s="147"/>
      <c r="AM1194" s="147"/>
      <c r="AN1194" s="147"/>
      <c r="AO1194" s="147"/>
      <c r="AP1194" s="147"/>
      <c r="AQ1194" s="147"/>
    </row>
    <row r="1195" spans="1:43">
      <c r="A1195" s="3"/>
      <c r="B1195" s="3"/>
      <c r="C1195" s="3"/>
      <c r="D1195" s="3"/>
      <c r="E1195" s="3"/>
      <c r="F1195" s="3"/>
      <c r="G1195" s="3"/>
      <c r="H1195" s="3"/>
      <c r="I1195" s="3"/>
      <c r="J1195" s="3"/>
      <c r="K1195" s="3"/>
      <c r="L1195" s="3"/>
      <c r="M1195" s="3"/>
      <c r="N1195" s="157"/>
      <c r="O1195" s="157"/>
      <c r="P1195" s="157"/>
      <c r="R1195" s="147"/>
      <c r="S1195" s="147"/>
      <c r="T1195" s="147"/>
      <c r="U1195" s="147"/>
      <c r="X1195" s="147"/>
      <c r="Y1195" s="147"/>
      <c r="Z1195" s="147"/>
      <c r="AA1195" s="147"/>
      <c r="AB1195" s="147"/>
      <c r="AC1195" s="147"/>
      <c r="AD1195" s="147"/>
      <c r="AE1195" s="147"/>
      <c r="AF1195" s="147"/>
      <c r="AG1195" s="147"/>
      <c r="AH1195" s="147"/>
      <c r="AI1195" s="147"/>
      <c r="AJ1195" s="147"/>
      <c r="AK1195" s="147"/>
      <c r="AL1195" s="147"/>
      <c r="AM1195" s="147"/>
      <c r="AN1195" s="147"/>
      <c r="AO1195" s="147"/>
      <c r="AP1195" s="147"/>
      <c r="AQ1195" s="147"/>
    </row>
    <row r="1196" spans="1:43">
      <c r="A1196" s="3"/>
      <c r="B1196" s="3"/>
      <c r="C1196" s="3"/>
      <c r="D1196" s="3"/>
      <c r="E1196" s="3"/>
      <c r="F1196" s="3"/>
      <c r="G1196" s="3"/>
      <c r="H1196" s="3"/>
      <c r="I1196" s="3"/>
      <c r="J1196" s="3"/>
      <c r="K1196" s="3"/>
      <c r="L1196" s="3"/>
      <c r="M1196" s="3"/>
      <c r="N1196" s="157"/>
      <c r="O1196" s="157"/>
      <c r="P1196" s="157"/>
      <c r="R1196" s="147"/>
      <c r="S1196" s="147"/>
      <c r="T1196" s="147"/>
      <c r="U1196" s="147"/>
      <c r="X1196" s="147"/>
      <c r="Y1196" s="147"/>
      <c r="Z1196" s="147"/>
      <c r="AA1196" s="147"/>
      <c r="AB1196" s="147"/>
      <c r="AC1196" s="147"/>
      <c r="AD1196" s="147"/>
      <c r="AE1196" s="147"/>
      <c r="AF1196" s="147"/>
      <c r="AG1196" s="147"/>
      <c r="AH1196" s="147"/>
      <c r="AI1196" s="147"/>
      <c r="AJ1196" s="147"/>
      <c r="AK1196" s="147"/>
      <c r="AL1196" s="147"/>
      <c r="AM1196" s="147"/>
      <c r="AN1196" s="147"/>
      <c r="AO1196" s="147"/>
      <c r="AP1196" s="147"/>
      <c r="AQ1196" s="147"/>
    </row>
    <row r="1197" spans="1:43">
      <c r="A1197" s="3"/>
      <c r="B1197" s="3"/>
      <c r="C1197" s="3"/>
      <c r="D1197" s="3"/>
      <c r="E1197" s="3"/>
      <c r="F1197" s="3"/>
      <c r="G1197" s="3"/>
      <c r="H1197" s="3"/>
      <c r="I1197" s="3"/>
      <c r="J1197" s="3"/>
      <c r="K1197" s="3"/>
      <c r="L1197" s="3"/>
      <c r="M1197" s="3"/>
      <c r="N1197" s="157"/>
      <c r="O1197" s="157"/>
      <c r="P1197" s="157"/>
      <c r="R1197" s="147"/>
      <c r="S1197" s="147"/>
      <c r="T1197" s="147"/>
      <c r="U1197" s="147"/>
      <c r="X1197" s="147"/>
      <c r="Y1197" s="147"/>
      <c r="Z1197" s="147"/>
      <c r="AA1197" s="147"/>
      <c r="AB1197" s="147"/>
      <c r="AC1197" s="147"/>
      <c r="AD1197" s="147"/>
      <c r="AE1197" s="147"/>
      <c r="AF1197" s="147"/>
      <c r="AG1197" s="147"/>
      <c r="AH1197" s="147"/>
      <c r="AI1197" s="147"/>
      <c r="AJ1197" s="147"/>
      <c r="AK1197" s="147"/>
      <c r="AL1197" s="147"/>
      <c r="AM1197" s="147"/>
      <c r="AN1197" s="147"/>
      <c r="AO1197" s="147"/>
      <c r="AP1197" s="147"/>
      <c r="AQ1197" s="147"/>
    </row>
    <row r="1198" spans="1:43">
      <c r="A1198" s="3"/>
      <c r="B1198" s="3"/>
      <c r="C1198" s="3"/>
      <c r="D1198" s="3"/>
      <c r="E1198" s="3"/>
      <c r="F1198" s="3"/>
      <c r="G1198" s="3"/>
      <c r="H1198" s="3"/>
      <c r="I1198" s="3"/>
      <c r="J1198" s="3"/>
      <c r="K1198" s="3"/>
      <c r="L1198" s="3"/>
      <c r="M1198" s="3"/>
      <c r="N1198" s="157"/>
      <c r="O1198" s="157"/>
      <c r="P1198" s="157"/>
      <c r="R1198" s="147"/>
      <c r="S1198" s="147"/>
      <c r="T1198" s="147"/>
      <c r="U1198" s="147"/>
      <c r="X1198" s="147"/>
      <c r="Y1198" s="147"/>
      <c r="Z1198" s="147"/>
      <c r="AA1198" s="147"/>
      <c r="AB1198" s="147"/>
      <c r="AC1198" s="147"/>
      <c r="AD1198" s="147"/>
      <c r="AE1198" s="147"/>
      <c r="AF1198" s="147"/>
      <c r="AG1198" s="147"/>
      <c r="AH1198" s="147"/>
      <c r="AI1198" s="147"/>
      <c r="AJ1198" s="147"/>
      <c r="AK1198" s="147"/>
      <c r="AL1198" s="147"/>
      <c r="AM1198" s="147"/>
      <c r="AN1198" s="147"/>
      <c r="AO1198" s="147"/>
      <c r="AP1198" s="147"/>
      <c r="AQ1198" s="147"/>
    </row>
    <row r="1199" spans="1:43">
      <c r="A1199" s="3"/>
      <c r="B1199" s="3"/>
      <c r="C1199" s="3"/>
      <c r="D1199" s="3"/>
      <c r="E1199" s="3"/>
      <c r="F1199" s="3"/>
      <c r="G1199" s="3"/>
      <c r="H1199" s="3"/>
      <c r="I1199" s="3"/>
      <c r="J1199" s="3"/>
      <c r="K1199" s="3"/>
      <c r="L1199" s="3"/>
      <c r="M1199" s="3"/>
      <c r="N1199" s="157"/>
      <c r="O1199" s="157"/>
      <c r="P1199" s="157"/>
      <c r="R1199" s="147"/>
      <c r="S1199" s="147"/>
      <c r="T1199" s="147"/>
      <c r="U1199" s="147"/>
      <c r="X1199" s="147"/>
      <c r="Y1199" s="147"/>
      <c r="Z1199" s="147"/>
      <c r="AA1199" s="147"/>
      <c r="AB1199" s="147"/>
      <c r="AC1199" s="147"/>
      <c r="AD1199" s="147"/>
      <c r="AE1199" s="147"/>
      <c r="AF1199" s="147"/>
      <c r="AG1199" s="147"/>
      <c r="AH1199" s="147"/>
      <c r="AI1199" s="147"/>
      <c r="AJ1199" s="147"/>
      <c r="AK1199" s="147"/>
      <c r="AL1199" s="147"/>
      <c r="AM1199" s="147"/>
      <c r="AN1199" s="147"/>
      <c r="AO1199" s="147"/>
      <c r="AP1199" s="147"/>
      <c r="AQ1199" s="147"/>
    </row>
    <row r="1200" spans="1:43">
      <c r="A1200" s="3"/>
      <c r="B1200" s="3"/>
      <c r="C1200" s="3"/>
      <c r="D1200" s="3"/>
      <c r="E1200" s="3"/>
      <c r="F1200" s="3"/>
      <c r="G1200" s="3"/>
      <c r="H1200" s="3"/>
      <c r="I1200" s="3"/>
      <c r="J1200" s="3"/>
      <c r="K1200" s="3"/>
      <c r="L1200" s="3"/>
      <c r="M1200" s="3"/>
      <c r="N1200" s="157"/>
      <c r="O1200" s="157"/>
      <c r="P1200" s="157"/>
      <c r="R1200" s="147"/>
      <c r="S1200" s="147"/>
      <c r="T1200" s="147"/>
      <c r="U1200" s="147"/>
      <c r="X1200" s="147"/>
      <c r="Y1200" s="147"/>
      <c r="Z1200" s="147"/>
      <c r="AA1200" s="147"/>
      <c r="AB1200" s="147"/>
      <c r="AC1200" s="147"/>
      <c r="AD1200" s="147"/>
      <c r="AE1200" s="147"/>
      <c r="AF1200" s="147"/>
      <c r="AG1200" s="147"/>
      <c r="AH1200" s="147"/>
      <c r="AI1200" s="147"/>
      <c r="AJ1200" s="147"/>
      <c r="AK1200" s="147"/>
      <c r="AL1200" s="147"/>
      <c r="AM1200" s="147"/>
      <c r="AN1200" s="147"/>
      <c r="AO1200" s="147"/>
      <c r="AP1200" s="147"/>
      <c r="AQ1200" s="147"/>
    </row>
    <row r="1201" spans="1:43">
      <c r="A1201" s="3"/>
      <c r="B1201" s="3"/>
      <c r="C1201" s="3"/>
      <c r="D1201" s="3"/>
      <c r="E1201" s="3"/>
      <c r="F1201" s="3"/>
      <c r="G1201" s="3"/>
      <c r="H1201" s="3"/>
      <c r="I1201" s="3"/>
      <c r="J1201" s="3"/>
      <c r="K1201" s="3"/>
      <c r="L1201" s="3"/>
      <c r="M1201" s="3"/>
      <c r="N1201" s="157"/>
      <c r="O1201" s="157"/>
      <c r="P1201" s="157"/>
      <c r="R1201" s="147"/>
      <c r="S1201" s="147"/>
      <c r="T1201" s="147"/>
      <c r="U1201" s="147"/>
      <c r="X1201" s="147"/>
      <c r="Y1201" s="147"/>
      <c r="Z1201" s="147"/>
      <c r="AA1201" s="147"/>
      <c r="AB1201" s="147"/>
      <c r="AC1201" s="147"/>
      <c r="AD1201" s="147"/>
      <c r="AE1201" s="147"/>
      <c r="AF1201" s="147"/>
      <c r="AG1201" s="147"/>
      <c r="AH1201" s="147"/>
      <c r="AI1201" s="147"/>
      <c r="AJ1201" s="147"/>
      <c r="AK1201" s="147"/>
      <c r="AL1201" s="147"/>
      <c r="AM1201" s="147"/>
      <c r="AN1201" s="147"/>
      <c r="AO1201" s="147"/>
      <c r="AP1201" s="147"/>
      <c r="AQ1201" s="147"/>
    </row>
    <row r="1202" spans="1:43">
      <c r="A1202" s="3"/>
      <c r="B1202" s="3"/>
      <c r="C1202" s="3"/>
      <c r="D1202" s="3"/>
      <c r="E1202" s="3"/>
      <c r="F1202" s="3"/>
      <c r="G1202" s="3"/>
      <c r="H1202" s="3"/>
      <c r="I1202" s="3"/>
      <c r="J1202" s="3"/>
      <c r="K1202" s="3"/>
      <c r="L1202" s="3"/>
      <c r="M1202" s="3"/>
      <c r="N1202" s="157"/>
      <c r="O1202" s="157"/>
      <c r="P1202" s="157"/>
      <c r="R1202" s="147"/>
      <c r="S1202" s="147"/>
      <c r="T1202" s="147"/>
      <c r="U1202" s="147"/>
      <c r="X1202" s="147"/>
      <c r="Y1202" s="147"/>
      <c r="Z1202" s="147"/>
      <c r="AA1202" s="147"/>
      <c r="AB1202" s="147"/>
      <c r="AC1202" s="147"/>
      <c r="AD1202" s="147"/>
      <c r="AE1202" s="147"/>
      <c r="AF1202" s="147"/>
      <c r="AG1202" s="147"/>
      <c r="AH1202" s="147"/>
      <c r="AI1202" s="147"/>
      <c r="AJ1202" s="147"/>
      <c r="AK1202" s="147"/>
      <c r="AL1202" s="147"/>
      <c r="AM1202" s="147"/>
      <c r="AN1202" s="147"/>
      <c r="AO1202" s="147"/>
      <c r="AP1202" s="147"/>
      <c r="AQ1202" s="147"/>
    </row>
    <row r="1203" spans="1:43">
      <c r="A1203" s="3"/>
      <c r="B1203" s="3"/>
      <c r="C1203" s="3"/>
      <c r="D1203" s="3"/>
      <c r="E1203" s="3"/>
      <c r="F1203" s="3"/>
      <c r="G1203" s="3"/>
      <c r="H1203" s="3"/>
      <c r="I1203" s="3"/>
      <c r="J1203" s="3"/>
      <c r="K1203" s="3"/>
      <c r="L1203" s="3"/>
      <c r="M1203" s="3"/>
      <c r="N1203" s="157"/>
      <c r="O1203" s="157"/>
      <c r="P1203" s="157"/>
      <c r="R1203" s="147"/>
      <c r="S1203" s="147"/>
      <c r="T1203" s="147"/>
      <c r="U1203" s="147"/>
      <c r="X1203" s="147"/>
      <c r="Y1203" s="147"/>
      <c r="Z1203" s="147"/>
      <c r="AA1203" s="147"/>
      <c r="AB1203" s="147"/>
      <c r="AC1203" s="147"/>
      <c r="AD1203" s="147"/>
      <c r="AE1203" s="147"/>
      <c r="AF1203" s="147"/>
      <c r="AG1203" s="147"/>
      <c r="AH1203" s="147"/>
      <c r="AI1203" s="147"/>
      <c r="AJ1203" s="147"/>
      <c r="AK1203" s="147"/>
      <c r="AL1203" s="147"/>
      <c r="AM1203" s="147"/>
      <c r="AN1203" s="147"/>
      <c r="AO1203" s="147"/>
      <c r="AP1203" s="147"/>
      <c r="AQ1203" s="147"/>
    </row>
    <row r="1204" spans="1:43">
      <c r="A1204" s="3"/>
      <c r="B1204" s="3"/>
      <c r="C1204" s="3"/>
      <c r="D1204" s="3"/>
      <c r="E1204" s="3"/>
      <c r="F1204" s="3"/>
      <c r="G1204" s="3"/>
      <c r="H1204" s="3"/>
      <c r="I1204" s="3"/>
      <c r="J1204" s="3"/>
      <c r="K1204" s="3"/>
      <c r="L1204" s="3"/>
      <c r="M1204" s="3"/>
      <c r="N1204" s="157"/>
      <c r="O1204" s="157"/>
      <c r="P1204" s="157"/>
      <c r="R1204" s="147"/>
      <c r="S1204" s="147"/>
      <c r="T1204" s="147"/>
      <c r="U1204" s="147"/>
      <c r="X1204" s="147"/>
      <c r="Y1204" s="147"/>
      <c r="Z1204" s="147"/>
      <c r="AA1204" s="147"/>
      <c r="AB1204" s="147"/>
      <c r="AC1204" s="147"/>
      <c r="AD1204" s="147"/>
      <c r="AE1204" s="147"/>
      <c r="AF1204" s="147"/>
      <c r="AG1204" s="147"/>
      <c r="AH1204" s="147"/>
      <c r="AI1204" s="147"/>
      <c r="AJ1204" s="147"/>
      <c r="AK1204" s="147"/>
      <c r="AL1204" s="147"/>
      <c r="AM1204" s="147"/>
      <c r="AN1204" s="147"/>
      <c r="AO1204" s="147"/>
      <c r="AP1204" s="147"/>
      <c r="AQ1204" s="147"/>
    </row>
    <row r="1205" spans="1:43">
      <c r="A1205" s="3"/>
      <c r="B1205" s="3"/>
      <c r="C1205" s="3"/>
      <c r="D1205" s="3"/>
      <c r="E1205" s="3"/>
      <c r="F1205" s="3"/>
      <c r="G1205" s="3"/>
      <c r="H1205" s="3"/>
      <c r="I1205" s="3"/>
      <c r="J1205" s="3"/>
      <c r="K1205" s="3"/>
      <c r="L1205" s="3"/>
      <c r="M1205" s="3"/>
      <c r="N1205" s="157"/>
      <c r="O1205" s="157"/>
      <c r="P1205" s="157"/>
      <c r="R1205" s="147"/>
      <c r="S1205" s="147"/>
      <c r="T1205" s="147"/>
      <c r="U1205" s="147"/>
      <c r="X1205" s="147"/>
      <c r="Y1205" s="147"/>
      <c r="Z1205" s="147"/>
      <c r="AA1205" s="147"/>
      <c r="AB1205" s="147"/>
      <c r="AC1205" s="147"/>
      <c r="AD1205" s="147"/>
      <c r="AE1205" s="147"/>
      <c r="AF1205" s="147"/>
      <c r="AG1205" s="147"/>
      <c r="AH1205" s="147"/>
      <c r="AI1205" s="147"/>
      <c r="AJ1205" s="147"/>
      <c r="AK1205" s="147"/>
      <c r="AL1205" s="147"/>
      <c r="AM1205" s="147"/>
      <c r="AN1205" s="147"/>
      <c r="AO1205" s="147"/>
      <c r="AP1205" s="147"/>
      <c r="AQ1205" s="147"/>
    </row>
    <row r="1206" spans="1:43">
      <c r="A1206" s="3"/>
      <c r="B1206" s="3"/>
      <c r="C1206" s="3"/>
      <c r="D1206" s="3"/>
      <c r="E1206" s="3"/>
      <c r="F1206" s="3"/>
      <c r="G1206" s="3"/>
      <c r="H1206" s="3"/>
      <c r="I1206" s="3"/>
      <c r="J1206" s="3"/>
      <c r="K1206" s="3"/>
      <c r="L1206" s="3"/>
      <c r="M1206" s="3"/>
      <c r="N1206" s="157"/>
      <c r="O1206" s="157"/>
      <c r="P1206" s="157"/>
      <c r="R1206" s="147"/>
      <c r="S1206" s="147"/>
      <c r="T1206" s="147"/>
      <c r="U1206" s="147"/>
      <c r="X1206" s="147"/>
      <c r="Y1206" s="147"/>
      <c r="Z1206" s="147"/>
      <c r="AA1206" s="147"/>
      <c r="AB1206" s="147"/>
      <c r="AC1206" s="147"/>
      <c r="AD1206" s="147"/>
      <c r="AE1206" s="147"/>
      <c r="AF1206" s="147"/>
      <c r="AG1206" s="147"/>
      <c r="AH1206" s="147"/>
      <c r="AI1206" s="147"/>
      <c r="AJ1206" s="147"/>
      <c r="AK1206" s="147"/>
      <c r="AL1206" s="147"/>
      <c r="AM1206" s="147"/>
      <c r="AN1206" s="147"/>
      <c r="AO1206" s="147"/>
      <c r="AP1206" s="147"/>
      <c r="AQ1206" s="147"/>
    </row>
    <row r="1207" spans="1:43">
      <c r="A1207" s="3"/>
      <c r="B1207" s="3"/>
      <c r="C1207" s="3"/>
      <c r="D1207" s="3"/>
      <c r="E1207" s="3"/>
      <c r="F1207" s="3"/>
      <c r="G1207" s="3"/>
      <c r="H1207" s="3"/>
      <c r="I1207" s="3"/>
      <c r="J1207" s="3"/>
      <c r="K1207" s="3"/>
      <c r="L1207" s="3"/>
      <c r="M1207" s="3"/>
      <c r="N1207" s="157"/>
      <c r="O1207" s="157"/>
      <c r="P1207" s="157"/>
      <c r="R1207" s="147"/>
      <c r="S1207" s="147"/>
      <c r="T1207" s="147"/>
      <c r="U1207" s="147"/>
      <c r="X1207" s="147"/>
      <c r="Y1207" s="147"/>
      <c r="Z1207" s="147"/>
      <c r="AA1207" s="147"/>
      <c r="AB1207" s="147"/>
      <c r="AC1207" s="147"/>
      <c r="AD1207" s="147"/>
      <c r="AE1207" s="147"/>
      <c r="AF1207" s="147"/>
      <c r="AG1207" s="147"/>
      <c r="AH1207" s="147"/>
      <c r="AI1207" s="147"/>
      <c r="AJ1207" s="147"/>
      <c r="AK1207" s="147"/>
      <c r="AL1207" s="147"/>
      <c r="AM1207" s="147"/>
      <c r="AN1207" s="147"/>
      <c r="AO1207" s="147"/>
      <c r="AP1207" s="147"/>
      <c r="AQ1207" s="147"/>
    </row>
    <row r="1208" spans="1:43">
      <c r="A1208" s="3"/>
      <c r="B1208" s="3"/>
      <c r="C1208" s="3"/>
      <c r="D1208" s="3"/>
      <c r="E1208" s="3"/>
      <c r="F1208" s="3"/>
      <c r="G1208" s="3"/>
      <c r="H1208" s="3"/>
      <c r="I1208" s="3"/>
      <c r="J1208" s="3"/>
      <c r="K1208" s="3"/>
      <c r="L1208" s="3"/>
      <c r="M1208" s="3"/>
      <c r="N1208" s="157"/>
      <c r="O1208" s="157"/>
      <c r="P1208" s="157"/>
      <c r="R1208" s="147"/>
      <c r="S1208" s="147"/>
      <c r="T1208" s="147"/>
      <c r="U1208" s="147"/>
      <c r="X1208" s="147"/>
      <c r="Y1208" s="147"/>
      <c r="Z1208" s="147"/>
      <c r="AA1208" s="147"/>
      <c r="AB1208" s="147"/>
      <c r="AC1208" s="147"/>
      <c r="AD1208" s="147"/>
      <c r="AE1208" s="147"/>
      <c r="AF1208" s="147"/>
      <c r="AG1208" s="147"/>
      <c r="AH1208" s="147"/>
      <c r="AI1208" s="147"/>
      <c r="AJ1208" s="147"/>
      <c r="AK1208" s="147"/>
      <c r="AL1208" s="147"/>
      <c r="AM1208" s="147"/>
      <c r="AN1208" s="147"/>
      <c r="AO1208" s="147"/>
      <c r="AP1208" s="147"/>
      <c r="AQ1208" s="147"/>
    </row>
    <row r="1209" spans="1:43">
      <c r="A1209" s="3"/>
      <c r="B1209" s="3"/>
      <c r="C1209" s="3"/>
      <c r="D1209" s="3"/>
      <c r="E1209" s="3"/>
      <c r="F1209" s="3"/>
      <c r="G1209" s="3"/>
      <c r="H1209" s="3"/>
      <c r="I1209" s="3"/>
      <c r="J1209" s="3"/>
      <c r="K1209" s="3"/>
      <c r="L1209" s="3"/>
      <c r="M1209" s="3"/>
      <c r="N1209" s="157"/>
      <c r="O1209" s="157"/>
      <c r="P1209" s="157"/>
      <c r="R1209" s="147"/>
      <c r="S1209" s="147"/>
      <c r="T1209" s="147"/>
      <c r="U1209" s="147"/>
      <c r="X1209" s="147"/>
      <c r="Y1209" s="147"/>
      <c r="Z1209" s="147"/>
      <c r="AA1209" s="147"/>
      <c r="AB1209" s="147"/>
      <c r="AC1209" s="147"/>
      <c r="AD1209" s="147"/>
      <c r="AE1209" s="147"/>
      <c r="AF1209" s="147"/>
      <c r="AG1209" s="147"/>
      <c r="AH1209" s="147"/>
      <c r="AI1209" s="147"/>
      <c r="AJ1209" s="147"/>
      <c r="AK1209" s="147"/>
      <c r="AL1209" s="147"/>
      <c r="AM1209" s="147"/>
      <c r="AN1209" s="147"/>
      <c r="AO1209" s="147"/>
      <c r="AP1209" s="147"/>
      <c r="AQ1209" s="147"/>
    </row>
    <row r="1210" spans="1:43">
      <c r="A1210" s="3"/>
      <c r="B1210" s="3"/>
      <c r="C1210" s="3"/>
      <c r="D1210" s="3"/>
      <c r="E1210" s="3"/>
      <c r="F1210" s="3"/>
      <c r="G1210" s="3"/>
      <c r="H1210" s="3"/>
      <c r="I1210" s="3"/>
      <c r="J1210" s="3"/>
      <c r="K1210" s="3"/>
      <c r="L1210" s="3"/>
      <c r="M1210" s="3"/>
      <c r="N1210" s="157"/>
      <c r="O1210" s="157"/>
      <c r="P1210" s="157"/>
      <c r="R1210" s="147"/>
      <c r="S1210" s="147"/>
      <c r="T1210" s="147"/>
      <c r="U1210" s="147"/>
      <c r="X1210" s="147"/>
      <c r="Y1210" s="147"/>
      <c r="Z1210" s="147"/>
      <c r="AA1210" s="147"/>
      <c r="AB1210" s="147"/>
      <c r="AC1210" s="147"/>
      <c r="AD1210" s="147"/>
      <c r="AE1210" s="147"/>
      <c r="AF1210" s="147"/>
      <c r="AG1210" s="147"/>
      <c r="AH1210" s="147"/>
      <c r="AI1210" s="147"/>
      <c r="AJ1210" s="147"/>
      <c r="AK1210" s="147"/>
      <c r="AL1210" s="147"/>
      <c r="AM1210" s="147"/>
      <c r="AN1210" s="147"/>
      <c r="AO1210" s="147"/>
      <c r="AP1210" s="147"/>
      <c r="AQ1210" s="147"/>
    </row>
    <row r="1211" spans="1:43">
      <c r="A1211" s="3"/>
      <c r="B1211" s="3"/>
      <c r="C1211" s="3"/>
      <c r="D1211" s="3"/>
      <c r="E1211" s="3"/>
      <c r="F1211" s="3"/>
      <c r="G1211" s="3"/>
      <c r="H1211" s="3"/>
      <c r="I1211" s="3"/>
      <c r="J1211" s="3"/>
      <c r="K1211" s="3"/>
      <c r="L1211" s="3"/>
      <c r="M1211" s="3"/>
      <c r="N1211" s="157"/>
      <c r="O1211" s="157"/>
      <c r="P1211" s="157"/>
      <c r="R1211" s="147"/>
      <c r="S1211" s="147"/>
      <c r="T1211" s="147"/>
      <c r="U1211" s="147"/>
      <c r="X1211" s="147"/>
      <c r="Y1211" s="147"/>
      <c r="Z1211" s="147"/>
      <c r="AA1211" s="147"/>
      <c r="AB1211" s="147"/>
      <c r="AC1211" s="147"/>
      <c r="AD1211" s="147"/>
      <c r="AE1211" s="147"/>
      <c r="AF1211" s="147"/>
      <c r="AG1211" s="147"/>
      <c r="AH1211" s="147"/>
      <c r="AI1211" s="147"/>
      <c r="AJ1211" s="147"/>
      <c r="AK1211" s="147"/>
      <c r="AL1211" s="147"/>
      <c r="AM1211" s="147"/>
      <c r="AN1211" s="147"/>
      <c r="AO1211" s="147"/>
      <c r="AP1211" s="147"/>
      <c r="AQ1211" s="147"/>
    </row>
    <row r="1212" spans="1:43">
      <c r="A1212" s="3"/>
      <c r="B1212" s="3"/>
      <c r="C1212" s="3"/>
      <c r="D1212" s="3"/>
      <c r="E1212" s="3"/>
      <c r="F1212" s="3"/>
      <c r="G1212" s="3"/>
      <c r="H1212" s="3"/>
      <c r="I1212" s="3"/>
      <c r="J1212" s="3"/>
      <c r="K1212" s="3"/>
      <c r="L1212" s="3"/>
      <c r="M1212" s="3"/>
      <c r="N1212" s="157"/>
      <c r="O1212" s="157"/>
      <c r="P1212" s="157"/>
      <c r="R1212" s="147"/>
      <c r="S1212" s="147"/>
      <c r="T1212" s="147"/>
      <c r="U1212" s="147"/>
      <c r="X1212" s="147"/>
      <c r="Y1212" s="147"/>
      <c r="Z1212" s="147"/>
      <c r="AA1212" s="147"/>
      <c r="AB1212" s="147"/>
      <c r="AC1212" s="147"/>
      <c r="AD1212" s="147"/>
      <c r="AE1212" s="147"/>
      <c r="AF1212" s="147"/>
      <c r="AG1212" s="147"/>
      <c r="AH1212" s="147"/>
      <c r="AI1212" s="147"/>
      <c r="AJ1212" s="147"/>
      <c r="AK1212" s="147"/>
      <c r="AL1212" s="147"/>
      <c r="AM1212" s="147"/>
      <c r="AN1212" s="147"/>
      <c r="AO1212" s="147"/>
      <c r="AP1212" s="147"/>
      <c r="AQ1212" s="147"/>
    </row>
    <row r="1213" spans="1:43">
      <c r="A1213" s="3"/>
      <c r="B1213" s="3"/>
      <c r="C1213" s="3"/>
      <c r="D1213" s="3"/>
      <c r="E1213" s="3"/>
      <c r="F1213" s="3"/>
      <c r="G1213" s="3"/>
      <c r="H1213" s="3"/>
      <c r="I1213" s="3"/>
      <c r="J1213" s="3"/>
      <c r="K1213" s="3"/>
      <c r="L1213" s="3"/>
      <c r="M1213" s="3"/>
      <c r="N1213" s="157"/>
      <c r="O1213" s="157"/>
      <c r="P1213" s="157"/>
      <c r="R1213" s="147"/>
      <c r="S1213" s="147"/>
      <c r="T1213" s="147"/>
      <c r="U1213" s="147"/>
      <c r="X1213" s="147"/>
      <c r="Y1213" s="147"/>
      <c r="Z1213" s="147"/>
      <c r="AA1213" s="147"/>
      <c r="AB1213" s="147"/>
      <c r="AC1213" s="147"/>
      <c r="AD1213" s="147"/>
      <c r="AE1213" s="147"/>
      <c r="AF1213" s="147"/>
      <c r="AG1213" s="147"/>
      <c r="AH1213" s="147"/>
      <c r="AI1213" s="147"/>
      <c r="AJ1213" s="147"/>
      <c r="AK1213" s="147"/>
      <c r="AL1213" s="147"/>
      <c r="AM1213" s="147"/>
      <c r="AN1213" s="147"/>
      <c r="AO1213" s="147"/>
      <c r="AP1213" s="147"/>
      <c r="AQ1213" s="147"/>
    </row>
    <row r="1214" spans="1:43">
      <c r="A1214" s="3"/>
      <c r="B1214" s="3"/>
      <c r="C1214" s="3"/>
      <c r="D1214" s="3"/>
      <c r="E1214" s="3"/>
      <c r="F1214" s="3"/>
      <c r="G1214" s="3"/>
      <c r="H1214" s="3"/>
      <c r="I1214" s="3"/>
      <c r="J1214" s="3"/>
      <c r="K1214" s="3"/>
      <c r="L1214" s="3"/>
      <c r="M1214" s="3"/>
      <c r="N1214" s="157"/>
      <c r="O1214" s="157"/>
      <c r="P1214" s="157"/>
      <c r="R1214" s="147"/>
      <c r="S1214" s="147"/>
      <c r="T1214" s="147"/>
      <c r="U1214" s="147"/>
      <c r="X1214" s="147"/>
      <c r="Y1214" s="147"/>
      <c r="Z1214" s="147"/>
      <c r="AA1214" s="147"/>
      <c r="AB1214" s="147"/>
      <c r="AC1214" s="147"/>
      <c r="AD1214" s="147"/>
      <c r="AE1214" s="147"/>
      <c r="AF1214" s="147"/>
      <c r="AG1214" s="147"/>
      <c r="AH1214" s="147"/>
      <c r="AI1214" s="147"/>
      <c r="AJ1214" s="147"/>
      <c r="AK1214" s="147"/>
      <c r="AL1214" s="147"/>
      <c r="AM1214" s="147"/>
      <c r="AN1214" s="147"/>
      <c r="AO1214" s="147"/>
      <c r="AP1214" s="147"/>
      <c r="AQ1214" s="147"/>
    </row>
    <row r="1215" spans="1:43">
      <c r="A1215" s="3"/>
      <c r="B1215" s="3"/>
      <c r="C1215" s="3"/>
      <c r="D1215" s="3"/>
      <c r="E1215" s="3"/>
      <c r="F1215" s="3"/>
      <c r="G1215" s="3"/>
      <c r="H1215" s="3"/>
      <c r="I1215" s="3"/>
      <c r="J1215" s="3"/>
      <c r="K1215" s="3"/>
      <c r="L1215" s="3"/>
      <c r="M1215" s="3"/>
      <c r="N1215" s="157"/>
      <c r="O1215" s="157"/>
      <c r="P1215" s="157"/>
      <c r="R1215" s="147"/>
      <c r="S1215" s="147"/>
      <c r="T1215" s="147"/>
      <c r="U1215" s="147"/>
      <c r="X1215" s="147"/>
      <c r="Y1215" s="147"/>
      <c r="Z1215" s="147"/>
      <c r="AA1215" s="147"/>
      <c r="AB1215" s="147"/>
      <c r="AC1215" s="147"/>
      <c r="AD1215" s="147"/>
      <c r="AE1215" s="147"/>
      <c r="AF1215" s="147"/>
      <c r="AG1215" s="147"/>
      <c r="AH1215" s="147"/>
      <c r="AI1215" s="147"/>
      <c r="AJ1215" s="147"/>
      <c r="AK1215" s="147"/>
      <c r="AL1215" s="147"/>
      <c r="AM1215" s="147"/>
      <c r="AN1215" s="147"/>
      <c r="AO1215" s="147"/>
      <c r="AP1215" s="147"/>
      <c r="AQ1215" s="147"/>
    </row>
    <row r="1216" spans="1:43">
      <c r="A1216" s="3"/>
      <c r="B1216" s="3"/>
      <c r="C1216" s="3"/>
      <c r="D1216" s="3"/>
      <c r="E1216" s="3"/>
      <c r="F1216" s="3"/>
      <c r="G1216" s="3"/>
      <c r="H1216" s="3"/>
      <c r="I1216" s="3"/>
      <c r="J1216" s="3"/>
      <c r="K1216" s="3"/>
      <c r="L1216" s="3"/>
      <c r="M1216" s="3"/>
      <c r="N1216" s="157"/>
      <c r="O1216" s="157"/>
      <c r="P1216" s="157"/>
      <c r="R1216" s="147"/>
      <c r="S1216" s="147"/>
      <c r="T1216" s="147"/>
      <c r="U1216" s="147"/>
      <c r="X1216" s="147"/>
      <c r="Y1216" s="147"/>
      <c r="Z1216" s="147"/>
      <c r="AA1216" s="147"/>
      <c r="AB1216" s="147"/>
      <c r="AC1216" s="147"/>
      <c r="AD1216" s="147"/>
      <c r="AE1216" s="147"/>
      <c r="AF1216" s="147"/>
      <c r="AG1216" s="147"/>
      <c r="AH1216" s="147"/>
      <c r="AI1216" s="147"/>
      <c r="AJ1216" s="147"/>
      <c r="AK1216" s="147"/>
      <c r="AL1216" s="147"/>
      <c r="AM1216" s="147"/>
      <c r="AN1216" s="147"/>
      <c r="AO1216" s="147"/>
      <c r="AP1216" s="147"/>
      <c r="AQ1216" s="147"/>
    </row>
    <row r="1217" spans="1:43">
      <c r="A1217" s="3"/>
      <c r="B1217" s="3"/>
      <c r="C1217" s="3"/>
      <c r="D1217" s="3"/>
      <c r="E1217" s="3"/>
      <c r="F1217" s="3"/>
      <c r="G1217" s="3"/>
      <c r="H1217" s="3"/>
      <c r="I1217" s="3"/>
      <c r="J1217" s="3"/>
      <c r="K1217" s="3"/>
      <c r="L1217" s="3"/>
      <c r="M1217" s="3"/>
      <c r="N1217" s="157"/>
      <c r="O1217" s="157"/>
      <c r="P1217" s="157"/>
      <c r="R1217" s="147"/>
      <c r="S1217" s="147"/>
      <c r="T1217" s="147"/>
      <c r="U1217" s="147"/>
      <c r="X1217" s="147"/>
      <c r="Y1217" s="147"/>
      <c r="Z1217" s="147"/>
      <c r="AA1217" s="147"/>
      <c r="AB1217" s="147"/>
      <c r="AC1217" s="147"/>
      <c r="AD1217" s="147"/>
      <c r="AE1217" s="147"/>
      <c r="AF1217" s="147"/>
      <c r="AG1217" s="147"/>
      <c r="AH1217" s="147"/>
      <c r="AI1217" s="147"/>
      <c r="AJ1217" s="147"/>
      <c r="AK1217" s="147"/>
      <c r="AL1217" s="147"/>
      <c r="AM1217" s="147"/>
      <c r="AN1217" s="147"/>
      <c r="AO1217" s="147"/>
      <c r="AP1217" s="147"/>
      <c r="AQ1217" s="147"/>
    </row>
    <row r="1218" spans="1:43">
      <c r="A1218" s="3"/>
      <c r="B1218" s="3"/>
      <c r="C1218" s="3"/>
      <c r="D1218" s="3"/>
      <c r="E1218" s="3"/>
      <c r="F1218" s="3"/>
      <c r="G1218" s="3"/>
      <c r="H1218" s="3"/>
      <c r="I1218" s="3"/>
      <c r="J1218" s="3"/>
      <c r="K1218" s="3"/>
      <c r="L1218" s="3"/>
      <c r="M1218" s="3"/>
      <c r="N1218" s="157"/>
      <c r="O1218" s="157"/>
      <c r="P1218" s="157"/>
      <c r="R1218" s="147"/>
      <c r="S1218" s="147"/>
      <c r="T1218" s="147"/>
      <c r="U1218" s="147"/>
      <c r="X1218" s="147"/>
      <c r="Y1218" s="147"/>
      <c r="Z1218" s="147"/>
      <c r="AA1218" s="147"/>
      <c r="AB1218" s="147"/>
      <c r="AC1218" s="147"/>
      <c r="AD1218" s="147"/>
      <c r="AE1218" s="147"/>
      <c r="AF1218" s="147"/>
      <c r="AG1218" s="147"/>
      <c r="AH1218" s="147"/>
      <c r="AI1218" s="147"/>
      <c r="AJ1218" s="147"/>
      <c r="AK1218" s="147"/>
      <c r="AL1218" s="147"/>
      <c r="AM1218" s="147"/>
      <c r="AN1218" s="147"/>
      <c r="AO1218" s="147"/>
      <c r="AP1218" s="147"/>
      <c r="AQ1218" s="147"/>
    </row>
    <row r="1219" spans="1:43">
      <c r="A1219" s="3"/>
      <c r="B1219" s="3"/>
      <c r="C1219" s="3"/>
      <c r="D1219" s="3"/>
      <c r="E1219" s="3"/>
      <c r="F1219" s="3"/>
      <c r="G1219" s="3"/>
      <c r="H1219" s="3"/>
      <c r="I1219" s="3"/>
      <c r="J1219" s="3"/>
      <c r="K1219" s="3"/>
      <c r="L1219" s="3"/>
      <c r="M1219" s="3"/>
      <c r="N1219" s="157"/>
      <c r="O1219" s="157"/>
      <c r="P1219" s="157"/>
      <c r="R1219" s="147"/>
      <c r="S1219" s="147"/>
      <c r="T1219" s="147"/>
      <c r="U1219" s="147"/>
      <c r="X1219" s="147"/>
      <c r="Y1219" s="147"/>
      <c r="Z1219" s="147"/>
      <c r="AA1219" s="147"/>
      <c r="AB1219" s="147"/>
      <c r="AC1219" s="147"/>
      <c r="AD1219" s="147"/>
      <c r="AE1219" s="147"/>
      <c r="AF1219" s="147"/>
      <c r="AG1219" s="147"/>
      <c r="AH1219" s="147"/>
      <c r="AI1219" s="147"/>
      <c r="AJ1219" s="147"/>
      <c r="AK1219" s="147"/>
      <c r="AL1219" s="147"/>
      <c r="AM1219" s="147"/>
      <c r="AN1219" s="147"/>
      <c r="AO1219" s="147"/>
      <c r="AP1219" s="147"/>
      <c r="AQ1219" s="147"/>
    </row>
    <row r="1220" spans="1:43">
      <c r="A1220" s="3"/>
      <c r="B1220" s="3"/>
      <c r="C1220" s="3"/>
      <c r="D1220" s="3"/>
      <c r="E1220" s="3"/>
      <c r="F1220" s="3"/>
      <c r="G1220" s="3"/>
      <c r="H1220" s="3"/>
      <c r="I1220" s="3"/>
      <c r="J1220" s="3"/>
      <c r="K1220" s="3"/>
      <c r="L1220" s="3"/>
      <c r="M1220" s="3"/>
      <c r="N1220" s="157"/>
      <c r="O1220" s="157"/>
      <c r="P1220" s="157"/>
      <c r="R1220" s="147"/>
      <c r="S1220" s="147"/>
      <c r="T1220" s="147"/>
      <c r="U1220" s="147"/>
      <c r="X1220" s="147"/>
      <c r="Y1220" s="147"/>
      <c r="Z1220" s="147"/>
      <c r="AA1220" s="147"/>
      <c r="AB1220" s="147"/>
      <c r="AC1220" s="147"/>
      <c r="AD1220" s="147"/>
      <c r="AE1220" s="147"/>
      <c r="AF1220" s="147"/>
      <c r="AG1220" s="147"/>
      <c r="AH1220" s="147"/>
      <c r="AI1220" s="147"/>
      <c r="AJ1220" s="147"/>
      <c r="AK1220" s="147"/>
      <c r="AL1220" s="147"/>
      <c r="AM1220" s="147"/>
      <c r="AN1220" s="147"/>
      <c r="AO1220" s="147"/>
      <c r="AP1220" s="147"/>
      <c r="AQ1220" s="147"/>
    </row>
    <row r="1221" spans="1:43">
      <c r="A1221" s="3"/>
      <c r="B1221" s="3"/>
      <c r="C1221" s="3"/>
      <c r="D1221" s="3"/>
      <c r="E1221" s="3"/>
      <c r="F1221" s="3"/>
      <c r="G1221" s="3"/>
      <c r="H1221" s="3"/>
      <c r="I1221" s="3"/>
      <c r="J1221" s="3"/>
      <c r="K1221" s="3"/>
      <c r="L1221" s="3"/>
      <c r="M1221" s="3"/>
      <c r="N1221" s="157"/>
      <c r="O1221" s="157"/>
      <c r="P1221" s="157"/>
      <c r="R1221" s="147"/>
      <c r="S1221" s="147"/>
      <c r="T1221" s="147"/>
      <c r="U1221" s="147"/>
      <c r="X1221" s="147"/>
      <c r="Y1221" s="147"/>
      <c r="Z1221" s="147"/>
      <c r="AA1221" s="147"/>
      <c r="AB1221" s="147"/>
      <c r="AC1221" s="147"/>
      <c r="AD1221" s="147"/>
      <c r="AE1221" s="147"/>
      <c r="AF1221" s="147"/>
      <c r="AG1221" s="147"/>
      <c r="AH1221" s="147"/>
      <c r="AI1221" s="147"/>
      <c r="AJ1221" s="147"/>
      <c r="AK1221" s="147"/>
      <c r="AL1221" s="147"/>
      <c r="AM1221" s="147"/>
      <c r="AN1221" s="147"/>
      <c r="AO1221" s="147"/>
      <c r="AP1221" s="147"/>
      <c r="AQ1221" s="147"/>
    </row>
    <row r="1222" spans="1:43">
      <c r="A1222" s="3"/>
      <c r="B1222" s="3"/>
      <c r="C1222" s="3"/>
      <c r="D1222" s="3"/>
      <c r="E1222" s="3"/>
      <c r="F1222" s="3"/>
      <c r="G1222" s="3"/>
      <c r="H1222" s="3"/>
      <c r="I1222" s="3"/>
      <c r="J1222" s="3"/>
      <c r="K1222" s="3"/>
      <c r="L1222" s="3"/>
      <c r="M1222" s="3"/>
      <c r="N1222" s="157"/>
      <c r="O1222" s="157"/>
      <c r="P1222" s="157"/>
      <c r="R1222" s="147"/>
      <c r="S1222" s="147"/>
      <c r="T1222" s="147"/>
      <c r="U1222" s="147"/>
      <c r="X1222" s="147"/>
      <c r="Y1222" s="147"/>
      <c r="Z1222" s="147"/>
      <c r="AA1222" s="147"/>
      <c r="AB1222" s="147"/>
      <c r="AC1222" s="147"/>
      <c r="AD1222" s="147"/>
      <c r="AE1222" s="147"/>
      <c r="AF1222" s="147"/>
      <c r="AG1222" s="147"/>
      <c r="AH1222" s="147"/>
      <c r="AI1222" s="147"/>
      <c r="AJ1222" s="147"/>
      <c r="AK1222" s="147"/>
      <c r="AL1222" s="147"/>
      <c r="AM1222" s="147"/>
      <c r="AN1222" s="147"/>
      <c r="AO1222" s="147"/>
      <c r="AP1222" s="147"/>
      <c r="AQ1222" s="147"/>
    </row>
    <row r="1223" spans="1:43">
      <c r="A1223" s="3"/>
      <c r="B1223" s="3"/>
      <c r="C1223" s="3"/>
      <c r="D1223" s="3"/>
      <c r="E1223" s="3"/>
      <c r="F1223" s="3"/>
      <c r="G1223" s="3"/>
      <c r="H1223" s="3"/>
      <c r="I1223" s="3"/>
      <c r="J1223" s="3"/>
      <c r="K1223" s="3"/>
      <c r="L1223" s="3"/>
      <c r="M1223" s="3"/>
      <c r="N1223" s="157"/>
      <c r="O1223" s="157"/>
      <c r="P1223" s="157"/>
      <c r="R1223" s="147"/>
      <c r="S1223" s="147"/>
      <c r="T1223" s="147"/>
      <c r="U1223" s="147"/>
      <c r="X1223" s="147"/>
      <c r="Y1223" s="147"/>
      <c r="Z1223" s="147"/>
      <c r="AA1223" s="147"/>
      <c r="AB1223" s="147"/>
      <c r="AC1223" s="147"/>
      <c r="AD1223" s="147"/>
      <c r="AE1223" s="147"/>
      <c r="AF1223" s="147"/>
      <c r="AG1223" s="147"/>
      <c r="AH1223" s="147"/>
      <c r="AI1223" s="147"/>
      <c r="AJ1223" s="147"/>
      <c r="AK1223" s="147"/>
      <c r="AL1223" s="147"/>
      <c r="AM1223" s="147"/>
      <c r="AN1223" s="147"/>
      <c r="AO1223" s="147"/>
      <c r="AP1223" s="147"/>
      <c r="AQ1223" s="147"/>
    </row>
    <row r="1224" spans="1:43">
      <c r="A1224" s="3"/>
      <c r="B1224" s="3"/>
      <c r="C1224" s="3"/>
      <c r="D1224" s="3"/>
      <c r="E1224" s="3"/>
      <c r="F1224" s="3"/>
      <c r="G1224" s="3"/>
      <c r="H1224" s="3"/>
      <c r="I1224" s="3"/>
      <c r="J1224" s="3"/>
      <c r="K1224" s="3"/>
      <c r="L1224" s="3"/>
      <c r="M1224" s="3"/>
      <c r="N1224" s="157"/>
      <c r="O1224" s="157"/>
      <c r="P1224" s="157"/>
      <c r="R1224" s="147"/>
      <c r="S1224" s="147"/>
      <c r="T1224" s="147"/>
      <c r="U1224" s="147"/>
      <c r="X1224" s="147"/>
      <c r="Y1224" s="147"/>
      <c r="Z1224" s="147"/>
      <c r="AA1224" s="147"/>
      <c r="AB1224" s="147"/>
      <c r="AC1224" s="147"/>
      <c r="AD1224" s="147"/>
      <c r="AE1224" s="147"/>
      <c r="AF1224" s="147"/>
      <c r="AG1224" s="147"/>
      <c r="AH1224" s="147"/>
      <c r="AI1224" s="147"/>
      <c r="AJ1224" s="147"/>
      <c r="AK1224" s="147"/>
      <c r="AL1224" s="147"/>
      <c r="AM1224" s="147"/>
      <c r="AN1224" s="147"/>
      <c r="AO1224" s="147"/>
      <c r="AP1224" s="147"/>
      <c r="AQ1224" s="147"/>
    </row>
    <row r="1225" spans="1:43">
      <c r="A1225" s="3"/>
      <c r="B1225" s="3"/>
      <c r="C1225" s="3"/>
      <c r="D1225" s="3"/>
      <c r="E1225" s="3"/>
      <c r="F1225" s="3"/>
      <c r="G1225" s="3"/>
      <c r="H1225" s="3"/>
      <c r="I1225" s="3"/>
      <c r="J1225" s="3"/>
      <c r="K1225" s="3"/>
      <c r="L1225" s="3"/>
      <c r="M1225" s="3"/>
      <c r="N1225" s="157"/>
      <c r="O1225" s="157"/>
      <c r="P1225" s="157"/>
      <c r="R1225" s="147"/>
      <c r="S1225" s="147"/>
      <c r="T1225" s="147"/>
      <c r="U1225" s="147"/>
      <c r="X1225" s="147"/>
      <c r="Y1225" s="147"/>
      <c r="Z1225" s="147"/>
      <c r="AA1225" s="147"/>
      <c r="AB1225" s="147"/>
      <c r="AC1225" s="147"/>
      <c r="AD1225" s="147"/>
      <c r="AE1225" s="147"/>
      <c r="AF1225" s="147"/>
      <c r="AG1225" s="147"/>
      <c r="AH1225" s="147"/>
      <c r="AI1225" s="147"/>
      <c r="AJ1225" s="147"/>
      <c r="AK1225" s="147"/>
      <c r="AL1225" s="147"/>
      <c r="AM1225" s="147"/>
      <c r="AN1225" s="147"/>
      <c r="AO1225" s="147"/>
      <c r="AP1225" s="147"/>
      <c r="AQ1225" s="147"/>
    </row>
    <row r="1226" spans="1:43">
      <c r="A1226" s="3"/>
      <c r="B1226" s="3"/>
      <c r="C1226" s="3"/>
      <c r="D1226" s="3"/>
      <c r="E1226" s="3"/>
      <c r="F1226" s="3"/>
      <c r="G1226" s="3"/>
      <c r="H1226" s="3"/>
      <c r="I1226" s="3"/>
      <c r="J1226" s="3"/>
      <c r="K1226" s="3"/>
      <c r="L1226" s="3"/>
      <c r="M1226" s="3"/>
      <c r="N1226" s="157"/>
      <c r="O1226" s="157"/>
      <c r="P1226" s="157"/>
      <c r="R1226" s="147"/>
      <c r="S1226" s="147"/>
      <c r="T1226" s="147"/>
      <c r="U1226" s="147"/>
      <c r="X1226" s="147"/>
      <c r="Y1226" s="147"/>
      <c r="Z1226" s="147"/>
      <c r="AA1226" s="147"/>
      <c r="AB1226" s="147"/>
      <c r="AC1226" s="147"/>
      <c r="AD1226" s="147"/>
      <c r="AE1226" s="147"/>
      <c r="AF1226" s="147"/>
      <c r="AG1226" s="147"/>
      <c r="AH1226" s="147"/>
      <c r="AI1226" s="147"/>
      <c r="AJ1226" s="147"/>
      <c r="AK1226" s="147"/>
      <c r="AL1226" s="147"/>
      <c r="AM1226" s="147"/>
      <c r="AN1226" s="147"/>
      <c r="AO1226" s="147"/>
      <c r="AP1226" s="147"/>
      <c r="AQ1226" s="147"/>
    </row>
    <row r="1227" spans="1:43">
      <c r="A1227" s="3"/>
      <c r="B1227" s="3"/>
      <c r="C1227" s="3"/>
      <c r="D1227" s="3"/>
      <c r="E1227" s="3"/>
      <c r="F1227" s="3"/>
      <c r="G1227" s="3"/>
      <c r="H1227" s="3"/>
      <c r="I1227" s="3"/>
      <c r="J1227" s="3"/>
      <c r="K1227" s="3"/>
      <c r="L1227" s="3"/>
      <c r="M1227" s="3"/>
      <c r="N1227" s="157"/>
      <c r="O1227" s="157"/>
      <c r="P1227" s="157"/>
      <c r="R1227" s="147"/>
      <c r="S1227" s="147"/>
      <c r="T1227" s="147"/>
      <c r="U1227" s="147"/>
      <c r="X1227" s="147"/>
      <c r="Y1227" s="147"/>
      <c r="Z1227" s="147"/>
      <c r="AA1227" s="147"/>
      <c r="AB1227" s="147"/>
      <c r="AC1227" s="147"/>
      <c r="AD1227" s="147"/>
      <c r="AE1227" s="147"/>
      <c r="AF1227" s="147"/>
      <c r="AG1227" s="147"/>
      <c r="AH1227" s="147"/>
      <c r="AI1227" s="147"/>
      <c r="AJ1227" s="147"/>
      <c r="AK1227" s="147"/>
      <c r="AL1227" s="147"/>
      <c r="AM1227" s="147"/>
      <c r="AN1227" s="147"/>
      <c r="AO1227" s="147"/>
      <c r="AP1227" s="147"/>
      <c r="AQ1227" s="147"/>
    </row>
    <row r="1228" spans="1:43">
      <c r="A1228" s="3"/>
      <c r="B1228" s="3"/>
      <c r="C1228" s="3"/>
      <c r="D1228" s="3"/>
      <c r="E1228" s="3"/>
      <c r="F1228" s="3"/>
      <c r="G1228" s="3"/>
      <c r="H1228" s="3"/>
      <c r="I1228" s="3"/>
      <c r="J1228" s="3"/>
      <c r="K1228" s="3"/>
      <c r="L1228" s="3"/>
      <c r="M1228" s="3"/>
      <c r="N1228" s="157"/>
      <c r="O1228" s="157"/>
      <c r="P1228" s="157"/>
      <c r="R1228" s="147"/>
      <c r="S1228" s="147"/>
      <c r="T1228" s="147"/>
      <c r="U1228" s="147"/>
      <c r="X1228" s="147"/>
      <c r="Y1228" s="147"/>
      <c r="Z1228" s="147"/>
      <c r="AA1228" s="147"/>
      <c r="AB1228" s="147"/>
      <c r="AC1228" s="147"/>
      <c r="AD1228" s="147"/>
      <c r="AE1228" s="147"/>
      <c r="AF1228" s="147"/>
      <c r="AG1228" s="147"/>
      <c r="AH1228" s="147"/>
      <c r="AI1228" s="147"/>
      <c r="AJ1228" s="147"/>
      <c r="AK1228" s="147"/>
      <c r="AL1228" s="147"/>
      <c r="AM1228" s="147"/>
      <c r="AN1228" s="147"/>
      <c r="AO1228" s="147"/>
      <c r="AP1228" s="147"/>
      <c r="AQ1228" s="147"/>
    </row>
    <row r="1229" spans="1:43">
      <c r="A1229" s="3"/>
      <c r="B1229" s="3"/>
      <c r="C1229" s="3"/>
      <c r="D1229" s="3"/>
      <c r="E1229" s="3"/>
      <c r="F1229" s="3"/>
      <c r="G1229" s="3"/>
      <c r="H1229" s="3"/>
      <c r="I1229" s="3"/>
      <c r="J1229" s="3"/>
      <c r="K1229" s="3"/>
      <c r="L1229" s="3"/>
      <c r="M1229" s="3"/>
      <c r="N1229" s="157"/>
      <c r="O1229" s="157"/>
      <c r="P1229" s="157"/>
      <c r="R1229" s="147"/>
      <c r="S1229" s="147"/>
      <c r="T1229" s="147"/>
      <c r="U1229" s="147"/>
      <c r="X1229" s="147"/>
      <c r="Y1229" s="147"/>
      <c r="Z1229" s="147"/>
      <c r="AA1229" s="147"/>
      <c r="AB1229" s="147"/>
      <c r="AC1229" s="147"/>
      <c r="AD1229" s="147"/>
      <c r="AE1229" s="147"/>
      <c r="AF1229" s="147"/>
      <c r="AG1229" s="147"/>
      <c r="AH1229" s="147"/>
      <c r="AI1229" s="147"/>
      <c r="AJ1229" s="147"/>
      <c r="AK1229" s="147"/>
      <c r="AL1229" s="147"/>
      <c r="AM1229" s="147"/>
      <c r="AN1229" s="147"/>
      <c r="AO1229" s="147"/>
      <c r="AP1229" s="147"/>
      <c r="AQ1229" s="147"/>
    </row>
    <row r="1230" spans="1:43">
      <c r="A1230" s="3"/>
      <c r="B1230" s="3"/>
      <c r="C1230" s="3"/>
      <c r="D1230" s="3"/>
      <c r="E1230" s="3"/>
      <c r="F1230" s="3"/>
      <c r="G1230" s="3"/>
      <c r="H1230" s="3"/>
      <c r="I1230" s="3"/>
      <c r="J1230" s="3"/>
      <c r="K1230" s="3"/>
      <c r="L1230" s="3"/>
      <c r="M1230" s="3"/>
      <c r="N1230" s="157"/>
      <c r="O1230" s="157"/>
      <c r="P1230" s="157"/>
      <c r="R1230" s="147"/>
      <c r="S1230" s="147"/>
      <c r="T1230" s="147"/>
      <c r="U1230" s="147"/>
      <c r="X1230" s="147"/>
      <c r="Y1230" s="147"/>
      <c r="Z1230" s="147"/>
      <c r="AA1230" s="147"/>
      <c r="AB1230" s="147"/>
      <c r="AC1230" s="147"/>
      <c r="AD1230" s="147"/>
      <c r="AE1230" s="147"/>
      <c r="AF1230" s="147"/>
      <c r="AG1230" s="147"/>
      <c r="AH1230" s="147"/>
      <c r="AI1230" s="147"/>
      <c r="AJ1230" s="147"/>
      <c r="AK1230" s="147"/>
      <c r="AL1230" s="147"/>
      <c r="AM1230" s="147"/>
      <c r="AN1230" s="147"/>
      <c r="AO1230" s="147"/>
      <c r="AP1230" s="147"/>
      <c r="AQ1230" s="147"/>
    </row>
    <row r="1231" spans="1:43">
      <c r="A1231" s="3"/>
      <c r="B1231" s="3"/>
      <c r="C1231" s="3"/>
      <c r="D1231" s="3"/>
      <c r="E1231" s="3"/>
      <c r="F1231" s="3"/>
      <c r="G1231" s="3"/>
      <c r="H1231" s="3"/>
      <c r="I1231" s="3"/>
      <c r="J1231" s="3"/>
      <c r="K1231" s="3"/>
      <c r="L1231" s="3"/>
      <c r="M1231" s="3"/>
      <c r="N1231" s="157"/>
      <c r="O1231" s="157"/>
      <c r="P1231" s="157"/>
      <c r="R1231" s="147"/>
      <c r="S1231" s="147"/>
      <c r="T1231" s="147"/>
      <c r="U1231" s="147"/>
      <c r="X1231" s="147"/>
      <c r="Y1231" s="147"/>
      <c r="Z1231" s="147"/>
      <c r="AA1231" s="147"/>
      <c r="AB1231" s="147"/>
      <c r="AC1231" s="147"/>
      <c r="AD1231" s="147"/>
      <c r="AE1231" s="147"/>
      <c r="AF1231" s="147"/>
      <c r="AG1231" s="147"/>
      <c r="AH1231" s="147"/>
      <c r="AI1231" s="147"/>
      <c r="AJ1231" s="147"/>
      <c r="AK1231" s="147"/>
      <c r="AL1231" s="147"/>
      <c r="AM1231" s="147"/>
      <c r="AN1231" s="147"/>
      <c r="AO1231" s="147"/>
      <c r="AP1231" s="147"/>
      <c r="AQ1231" s="147"/>
    </row>
    <row r="1232" spans="1:43">
      <c r="A1232" s="3"/>
      <c r="B1232" s="3"/>
      <c r="C1232" s="3"/>
      <c r="D1232" s="3"/>
      <c r="E1232" s="3"/>
      <c r="F1232" s="3"/>
      <c r="G1232" s="3"/>
      <c r="H1232" s="3"/>
      <c r="I1232" s="3"/>
      <c r="J1232" s="3"/>
      <c r="K1232" s="3"/>
      <c r="L1232" s="3"/>
      <c r="M1232" s="3"/>
      <c r="N1232" s="157"/>
      <c r="O1232" s="157"/>
      <c r="P1232" s="157"/>
      <c r="R1232" s="147"/>
      <c r="S1232" s="147"/>
      <c r="T1232" s="147"/>
      <c r="U1232" s="147"/>
      <c r="X1232" s="147"/>
      <c r="Y1232" s="147"/>
      <c r="Z1232" s="147"/>
      <c r="AA1232" s="147"/>
      <c r="AB1232" s="147"/>
      <c r="AC1232" s="147"/>
      <c r="AD1232" s="147"/>
      <c r="AE1232" s="147"/>
      <c r="AF1232" s="147"/>
      <c r="AG1232" s="147"/>
      <c r="AH1232" s="147"/>
      <c r="AI1232" s="147"/>
      <c r="AJ1232" s="147"/>
      <c r="AK1232" s="147"/>
      <c r="AL1232" s="147"/>
      <c r="AM1232" s="147"/>
      <c r="AN1232" s="147"/>
      <c r="AO1232" s="147"/>
      <c r="AP1232" s="147"/>
      <c r="AQ1232" s="147"/>
    </row>
    <row r="1233" spans="1:43">
      <c r="A1233" s="3"/>
      <c r="B1233" s="3"/>
      <c r="C1233" s="3"/>
      <c r="D1233" s="3"/>
      <c r="E1233" s="3"/>
      <c r="F1233" s="3"/>
      <c r="G1233" s="3"/>
      <c r="H1233" s="3"/>
      <c r="I1233" s="3"/>
      <c r="J1233" s="3"/>
      <c r="K1233" s="3"/>
      <c r="L1233" s="3"/>
      <c r="M1233" s="3"/>
      <c r="N1233" s="157"/>
      <c r="O1233" s="157"/>
      <c r="P1233" s="157"/>
      <c r="R1233" s="147"/>
      <c r="S1233" s="147"/>
      <c r="T1233" s="147"/>
      <c r="U1233" s="147"/>
      <c r="X1233" s="147"/>
      <c r="Y1233" s="147"/>
      <c r="Z1233" s="147"/>
      <c r="AA1233" s="147"/>
      <c r="AB1233" s="147"/>
      <c r="AC1233" s="147"/>
      <c r="AD1233" s="147"/>
      <c r="AE1233" s="147"/>
      <c r="AF1233" s="147"/>
      <c r="AG1233" s="147"/>
      <c r="AH1233" s="147"/>
      <c r="AI1233" s="147"/>
      <c r="AJ1233" s="147"/>
      <c r="AK1233" s="147"/>
      <c r="AL1233" s="147"/>
      <c r="AM1233" s="147"/>
      <c r="AN1233" s="147"/>
      <c r="AO1233" s="147"/>
      <c r="AP1233" s="147"/>
      <c r="AQ1233" s="147"/>
    </row>
    <row r="1234" spans="1:43">
      <c r="A1234" s="3"/>
      <c r="B1234" s="3"/>
      <c r="C1234" s="3"/>
      <c r="D1234" s="3"/>
      <c r="E1234" s="3"/>
      <c r="F1234" s="3"/>
      <c r="G1234" s="3"/>
      <c r="H1234" s="3"/>
      <c r="I1234" s="3"/>
      <c r="J1234" s="3"/>
      <c r="K1234" s="3"/>
      <c r="L1234" s="3"/>
      <c r="M1234" s="3"/>
      <c r="N1234" s="157"/>
      <c r="O1234" s="157"/>
      <c r="P1234" s="157"/>
      <c r="R1234" s="147"/>
      <c r="S1234" s="147"/>
      <c r="T1234" s="147"/>
      <c r="U1234" s="147"/>
      <c r="X1234" s="147"/>
      <c r="Y1234" s="147"/>
      <c r="Z1234" s="147"/>
      <c r="AA1234" s="147"/>
      <c r="AB1234" s="147"/>
      <c r="AC1234" s="147"/>
      <c r="AD1234" s="147"/>
      <c r="AE1234" s="147"/>
      <c r="AF1234" s="147"/>
      <c r="AG1234" s="147"/>
      <c r="AH1234" s="147"/>
      <c r="AI1234" s="147"/>
      <c r="AJ1234" s="147"/>
      <c r="AK1234" s="147"/>
      <c r="AL1234" s="147"/>
      <c r="AM1234" s="147"/>
      <c r="AN1234" s="147"/>
      <c r="AO1234" s="147"/>
      <c r="AP1234" s="147"/>
      <c r="AQ1234" s="147"/>
    </row>
    <row r="1235" spans="1:43">
      <c r="A1235" s="3"/>
      <c r="B1235" s="3"/>
      <c r="C1235" s="3"/>
      <c r="D1235" s="3"/>
      <c r="E1235" s="3"/>
      <c r="F1235" s="3"/>
      <c r="G1235" s="3"/>
      <c r="H1235" s="3"/>
      <c r="I1235" s="3"/>
      <c r="J1235" s="3"/>
      <c r="K1235" s="3"/>
      <c r="L1235" s="3"/>
      <c r="M1235" s="3"/>
      <c r="N1235" s="157"/>
      <c r="O1235" s="157"/>
      <c r="P1235" s="157"/>
      <c r="R1235" s="147"/>
      <c r="S1235" s="147"/>
      <c r="T1235" s="147"/>
      <c r="U1235" s="147"/>
      <c r="X1235" s="147"/>
      <c r="Y1235" s="147"/>
      <c r="Z1235" s="147"/>
      <c r="AA1235" s="147"/>
      <c r="AB1235" s="147"/>
      <c r="AC1235" s="147"/>
      <c r="AD1235" s="147"/>
      <c r="AE1235" s="147"/>
      <c r="AF1235" s="147"/>
      <c r="AG1235" s="147"/>
      <c r="AH1235" s="147"/>
      <c r="AI1235" s="147"/>
      <c r="AJ1235" s="147"/>
      <c r="AK1235" s="147"/>
      <c r="AL1235" s="147"/>
      <c r="AM1235" s="147"/>
      <c r="AN1235" s="147"/>
      <c r="AO1235" s="147"/>
      <c r="AP1235" s="147"/>
      <c r="AQ1235" s="147"/>
    </row>
    <row r="1236" spans="1:43">
      <c r="A1236" s="3"/>
      <c r="B1236" s="3"/>
      <c r="C1236" s="3"/>
      <c r="D1236" s="3"/>
      <c r="E1236" s="3"/>
      <c r="F1236" s="3"/>
      <c r="G1236" s="3"/>
      <c r="H1236" s="3"/>
      <c r="I1236" s="3"/>
      <c r="J1236" s="3"/>
      <c r="K1236" s="3"/>
      <c r="L1236" s="3"/>
      <c r="M1236" s="3"/>
      <c r="N1236" s="157"/>
      <c r="O1236" s="157"/>
      <c r="P1236" s="157"/>
      <c r="R1236" s="147"/>
      <c r="S1236" s="147"/>
      <c r="T1236" s="147"/>
      <c r="U1236" s="147"/>
      <c r="X1236" s="147"/>
      <c r="Y1236" s="147"/>
      <c r="Z1236" s="147"/>
      <c r="AA1236" s="147"/>
      <c r="AB1236" s="147"/>
      <c r="AC1236" s="147"/>
      <c r="AD1236" s="147"/>
      <c r="AE1236" s="147"/>
      <c r="AF1236" s="147"/>
      <c r="AG1236" s="147"/>
      <c r="AH1236" s="147"/>
      <c r="AI1236" s="147"/>
      <c r="AJ1236" s="147"/>
      <c r="AK1236" s="147"/>
      <c r="AL1236" s="147"/>
      <c r="AM1236" s="147"/>
      <c r="AN1236" s="147"/>
      <c r="AO1236" s="147"/>
      <c r="AP1236" s="147"/>
      <c r="AQ1236" s="147"/>
    </row>
    <row r="1237" spans="1:43">
      <c r="A1237" s="3"/>
      <c r="B1237" s="3"/>
      <c r="C1237" s="3"/>
      <c r="D1237" s="3"/>
      <c r="E1237" s="3"/>
      <c r="F1237" s="3"/>
      <c r="G1237" s="3"/>
      <c r="H1237" s="3"/>
      <c r="I1237" s="3"/>
      <c r="J1237" s="3"/>
      <c r="K1237" s="3"/>
      <c r="L1237" s="3"/>
      <c r="M1237" s="3"/>
      <c r="N1237" s="157"/>
      <c r="O1237" s="157"/>
      <c r="P1237" s="157"/>
      <c r="R1237" s="147"/>
      <c r="S1237" s="147"/>
      <c r="T1237" s="147"/>
      <c r="U1237" s="147"/>
      <c r="X1237" s="147"/>
      <c r="Y1237" s="147"/>
      <c r="Z1237" s="147"/>
      <c r="AA1237" s="147"/>
      <c r="AB1237" s="147"/>
      <c r="AC1237" s="147"/>
      <c r="AD1237" s="147"/>
      <c r="AE1237" s="147"/>
      <c r="AF1237" s="147"/>
      <c r="AG1237" s="147"/>
      <c r="AH1237" s="147"/>
      <c r="AI1237" s="147"/>
      <c r="AJ1237" s="147"/>
      <c r="AK1237" s="147"/>
      <c r="AL1237" s="147"/>
      <c r="AM1237" s="147"/>
      <c r="AN1237" s="147"/>
      <c r="AO1237" s="147"/>
      <c r="AP1237" s="147"/>
      <c r="AQ1237" s="147"/>
    </row>
    <row r="1238" spans="1:43">
      <c r="A1238" s="3"/>
      <c r="B1238" s="3"/>
      <c r="C1238" s="3"/>
      <c r="D1238" s="3"/>
      <c r="E1238" s="3"/>
      <c r="F1238" s="3"/>
      <c r="G1238" s="3"/>
      <c r="H1238" s="3"/>
      <c r="I1238" s="3"/>
      <c r="J1238" s="3"/>
      <c r="K1238" s="3"/>
      <c r="L1238" s="3"/>
      <c r="M1238" s="3"/>
      <c r="N1238" s="157"/>
      <c r="O1238" s="157"/>
      <c r="P1238" s="157"/>
      <c r="R1238" s="147"/>
      <c r="S1238" s="147"/>
      <c r="T1238" s="147"/>
      <c r="U1238" s="147"/>
      <c r="X1238" s="147"/>
      <c r="Y1238" s="147"/>
      <c r="Z1238" s="147"/>
      <c r="AA1238" s="147"/>
      <c r="AB1238" s="147"/>
      <c r="AC1238" s="147"/>
      <c r="AD1238" s="147"/>
      <c r="AE1238" s="147"/>
      <c r="AF1238" s="147"/>
      <c r="AG1238" s="147"/>
      <c r="AH1238" s="147"/>
      <c r="AI1238" s="147"/>
      <c r="AJ1238" s="147"/>
      <c r="AK1238" s="147"/>
      <c r="AL1238" s="147"/>
      <c r="AM1238" s="147"/>
      <c r="AN1238" s="147"/>
      <c r="AO1238" s="147"/>
      <c r="AP1238" s="147"/>
      <c r="AQ1238" s="147"/>
    </row>
    <row r="1239" spans="1:43">
      <c r="A1239" s="3"/>
      <c r="B1239" s="3"/>
      <c r="C1239" s="3"/>
      <c r="D1239" s="3"/>
      <c r="E1239" s="3"/>
      <c r="F1239" s="3"/>
      <c r="G1239" s="3"/>
      <c r="H1239" s="3"/>
      <c r="I1239" s="3"/>
      <c r="J1239" s="3"/>
      <c r="K1239" s="3"/>
      <c r="L1239" s="3"/>
      <c r="M1239" s="3"/>
      <c r="N1239" s="157"/>
      <c r="O1239" s="157"/>
      <c r="P1239" s="157"/>
      <c r="R1239" s="147"/>
      <c r="S1239" s="147"/>
      <c r="T1239" s="147"/>
      <c r="U1239" s="147"/>
      <c r="X1239" s="147"/>
      <c r="Y1239" s="147"/>
      <c r="Z1239" s="147"/>
      <c r="AA1239" s="147"/>
      <c r="AB1239" s="147"/>
      <c r="AC1239" s="147"/>
      <c r="AD1239" s="147"/>
      <c r="AE1239" s="147"/>
      <c r="AF1239" s="147"/>
      <c r="AG1239" s="147"/>
      <c r="AH1239" s="147"/>
      <c r="AI1239" s="147"/>
      <c r="AJ1239" s="147"/>
      <c r="AK1239" s="147"/>
      <c r="AL1239" s="147"/>
      <c r="AM1239" s="147"/>
      <c r="AN1239" s="147"/>
      <c r="AO1239" s="147"/>
      <c r="AP1239" s="147"/>
      <c r="AQ1239" s="147"/>
    </row>
    <row r="1240" spans="1:43">
      <c r="A1240" s="3"/>
      <c r="B1240" s="3"/>
      <c r="C1240" s="3"/>
      <c r="D1240" s="3"/>
      <c r="E1240" s="3"/>
      <c r="F1240" s="3"/>
      <c r="G1240" s="3"/>
      <c r="H1240" s="3"/>
      <c r="I1240" s="3"/>
      <c r="J1240" s="3"/>
      <c r="K1240" s="3"/>
      <c r="L1240" s="3"/>
      <c r="M1240" s="3"/>
      <c r="N1240" s="157"/>
      <c r="O1240" s="157"/>
      <c r="P1240" s="157"/>
      <c r="R1240" s="147"/>
      <c r="S1240" s="147"/>
      <c r="T1240" s="147"/>
      <c r="U1240" s="147"/>
      <c r="X1240" s="147"/>
      <c r="Y1240" s="147"/>
      <c r="Z1240" s="147"/>
      <c r="AA1240" s="147"/>
      <c r="AB1240" s="147"/>
      <c r="AC1240" s="147"/>
      <c r="AD1240" s="147"/>
      <c r="AE1240" s="147"/>
      <c r="AF1240" s="147"/>
      <c r="AG1240" s="147"/>
      <c r="AH1240" s="147"/>
      <c r="AI1240" s="147"/>
      <c r="AJ1240" s="147"/>
      <c r="AK1240" s="147"/>
      <c r="AL1240" s="147"/>
      <c r="AM1240" s="147"/>
      <c r="AN1240" s="147"/>
      <c r="AO1240" s="147"/>
      <c r="AP1240" s="147"/>
      <c r="AQ1240" s="147"/>
    </row>
    <row r="1241" spans="1:43">
      <c r="A1241" s="3"/>
      <c r="B1241" s="3"/>
      <c r="C1241" s="3"/>
      <c r="D1241" s="3"/>
      <c r="E1241" s="3"/>
      <c r="F1241" s="3"/>
      <c r="G1241" s="3"/>
      <c r="H1241" s="3"/>
      <c r="I1241" s="3"/>
      <c r="J1241" s="3"/>
      <c r="K1241" s="3"/>
      <c r="L1241" s="3"/>
      <c r="M1241" s="3"/>
      <c r="N1241" s="157"/>
      <c r="O1241" s="157"/>
      <c r="P1241" s="157"/>
      <c r="R1241" s="147"/>
      <c r="S1241" s="147"/>
      <c r="T1241" s="147"/>
      <c r="U1241" s="147"/>
      <c r="X1241" s="147"/>
      <c r="Y1241" s="147"/>
      <c r="Z1241" s="147"/>
      <c r="AA1241" s="147"/>
      <c r="AB1241" s="147"/>
      <c r="AC1241" s="147"/>
      <c r="AD1241" s="147"/>
      <c r="AE1241" s="147"/>
      <c r="AF1241" s="147"/>
      <c r="AG1241" s="147"/>
      <c r="AH1241" s="147"/>
      <c r="AI1241" s="147"/>
      <c r="AJ1241" s="147"/>
      <c r="AK1241" s="147"/>
      <c r="AL1241" s="147"/>
      <c r="AM1241" s="147"/>
      <c r="AN1241" s="147"/>
      <c r="AO1241" s="147"/>
      <c r="AP1241" s="147"/>
      <c r="AQ1241" s="147"/>
    </row>
    <row r="1242" spans="1:43">
      <c r="A1242" s="3"/>
      <c r="B1242" s="3"/>
      <c r="C1242" s="3"/>
      <c r="D1242" s="3"/>
      <c r="E1242" s="3"/>
      <c r="F1242" s="3"/>
      <c r="G1242" s="3"/>
      <c r="H1242" s="3"/>
      <c r="I1242" s="3"/>
      <c r="J1242" s="3"/>
      <c r="K1242" s="3"/>
      <c r="L1242" s="3"/>
      <c r="M1242" s="3"/>
      <c r="N1242" s="157"/>
      <c r="O1242" s="157"/>
      <c r="P1242" s="157"/>
      <c r="R1242" s="147"/>
      <c r="S1242" s="147"/>
      <c r="T1242" s="147"/>
      <c r="U1242" s="147"/>
      <c r="X1242" s="147"/>
      <c r="Y1242" s="147"/>
      <c r="Z1242" s="147"/>
      <c r="AA1242" s="147"/>
      <c r="AB1242" s="147"/>
      <c r="AC1242" s="147"/>
      <c r="AD1242" s="147"/>
      <c r="AE1242" s="147"/>
      <c r="AF1242" s="147"/>
      <c r="AG1242" s="147"/>
      <c r="AH1242" s="147"/>
      <c r="AI1242" s="147"/>
      <c r="AJ1242" s="147"/>
      <c r="AK1242" s="147"/>
      <c r="AL1242" s="147"/>
      <c r="AM1242" s="147"/>
      <c r="AN1242" s="147"/>
      <c r="AO1242" s="147"/>
      <c r="AP1242" s="147"/>
      <c r="AQ1242" s="147"/>
    </row>
    <row r="1243" spans="1:43">
      <c r="A1243" s="3"/>
      <c r="B1243" s="3"/>
      <c r="C1243" s="3"/>
      <c r="D1243" s="3"/>
      <c r="E1243" s="3"/>
      <c r="F1243" s="3"/>
      <c r="G1243" s="3"/>
      <c r="H1243" s="3"/>
      <c r="I1243" s="3"/>
      <c r="J1243" s="3"/>
      <c r="K1243" s="3"/>
      <c r="L1243" s="3"/>
      <c r="M1243" s="3"/>
      <c r="N1243" s="157"/>
      <c r="O1243" s="157"/>
      <c r="P1243" s="157"/>
      <c r="R1243" s="147"/>
      <c r="S1243" s="147"/>
      <c r="T1243" s="147"/>
      <c r="U1243" s="147"/>
      <c r="X1243" s="147"/>
      <c r="Y1243" s="147"/>
      <c r="Z1243" s="147"/>
      <c r="AA1243" s="147"/>
      <c r="AB1243" s="147"/>
      <c r="AC1243" s="147"/>
      <c r="AD1243" s="147"/>
      <c r="AE1243" s="147"/>
      <c r="AF1243" s="147"/>
      <c r="AG1243" s="147"/>
      <c r="AH1243" s="147"/>
      <c r="AI1243" s="147"/>
      <c r="AJ1243" s="147"/>
      <c r="AK1243" s="147"/>
      <c r="AL1243" s="147"/>
      <c r="AM1243" s="147"/>
      <c r="AN1243" s="147"/>
      <c r="AO1243" s="147"/>
      <c r="AP1243" s="147"/>
      <c r="AQ1243" s="147"/>
    </row>
    <row r="1244" spans="1:43">
      <c r="A1244" s="3"/>
      <c r="B1244" s="3"/>
      <c r="C1244" s="3"/>
      <c r="D1244" s="3"/>
      <c r="E1244" s="3"/>
      <c r="F1244" s="3"/>
      <c r="G1244" s="3"/>
      <c r="H1244" s="3"/>
      <c r="I1244" s="3"/>
      <c r="J1244" s="3"/>
      <c r="K1244" s="3"/>
      <c r="L1244" s="3"/>
      <c r="M1244" s="3"/>
      <c r="N1244" s="157"/>
      <c r="O1244" s="157"/>
      <c r="P1244" s="157"/>
      <c r="R1244" s="147"/>
      <c r="S1244" s="147"/>
      <c r="T1244" s="147"/>
      <c r="U1244" s="147"/>
      <c r="X1244" s="147"/>
      <c r="Y1244" s="147"/>
      <c r="Z1244" s="147"/>
      <c r="AA1244" s="147"/>
      <c r="AB1244" s="147"/>
      <c r="AC1244" s="147"/>
      <c r="AD1244" s="147"/>
      <c r="AE1244" s="147"/>
      <c r="AF1244" s="147"/>
      <c r="AG1244" s="147"/>
      <c r="AH1244" s="147"/>
      <c r="AI1244" s="147"/>
      <c r="AJ1244" s="147"/>
      <c r="AK1244" s="147"/>
      <c r="AL1244" s="147"/>
      <c r="AM1244" s="147"/>
      <c r="AN1244" s="147"/>
      <c r="AO1244" s="147"/>
      <c r="AP1244" s="147"/>
      <c r="AQ1244" s="147"/>
    </row>
    <row r="1245" spans="1:43">
      <c r="A1245" s="3"/>
      <c r="B1245" s="3"/>
      <c r="C1245" s="3"/>
      <c r="D1245" s="3"/>
      <c r="E1245" s="3"/>
      <c r="F1245" s="3"/>
      <c r="G1245" s="3"/>
      <c r="H1245" s="3"/>
      <c r="I1245" s="3"/>
      <c r="J1245" s="3"/>
      <c r="K1245" s="3"/>
      <c r="L1245" s="3"/>
      <c r="M1245" s="3"/>
      <c r="N1245" s="157"/>
      <c r="O1245" s="157"/>
      <c r="P1245" s="157"/>
      <c r="R1245" s="147"/>
      <c r="S1245" s="147"/>
      <c r="T1245" s="147"/>
      <c r="U1245" s="147"/>
      <c r="X1245" s="147"/>
      <c r="Y1245" s="147"/>
      <c r="Z1245" s="147"/>
      <c r="AA1245" s="147"/>
      <c r="AB1245" s="147"/>
      <c r="AC1245" s="147"/>
      <c r="AD1245" s="147"/>
      <c r="AE1245" s="147"/>
      <c r="AF1245" s="147"/>
      <c r="AG1245" s="147"/>
      <c r="AH1245" s="147"/>
      <c r="AI1245" s="147"/>
      <c r="AJ1245" s="147"/>
      <c r="AK1245" s="147"/>
      <c r="AL1245" s="147"/>
      <c r="AM1245" s="147"/>
      <c r="AN1245" s="147"/>
      <c r="AO1245" s="147"/>
      <c r="AP1245" s="147"/>
      <c r="AQ1245" s="147"/>
    </row>
    <row r="1246" spans="1:43">
      <c r="A1246" s="3"/>
      <c r="B1246" s="3"/>
      <c r="C1246" s="3"/>
      <c r="D1246" s="3"/>
      <c r="E1246" s="3"/>
      <c r="F1246" s="3"/>
      <c r="G1246" s="3"/>
      <c r="H1246" s="3"/>
      <c r="I1246" s="3"/>
      <c r="J1246" s="3"/>
      <c r="K1246" s="3"/>
      <c r="L1246" s="3"/>
      <c r="M1246" s="3"/>
      <c r="N1246" s="157"/>
      <c r="O1246" s="157"/>
      <c r="P1246" s="157"/>
      <c r="R1246" s="147"/>
      <c r="S1246" s="147"/>
      <c r="T1246" s="147"/>
      <c r="U1246" s="147"/>
      <c r="X1246" s="147"/>
      <c r="Y1246" s="147"/>
      <c r="Z1246" s="147"/>
      <c r="AA1246" s="147"/>
      <c r="AB1246" s="147"/>
      <c r="AC1246" s="147"/>
      <c r="AD1246" s="147"/>
      <c r="AE1246" s="147"/>
      <c r="AF1246" s="147"/>
      <c r="AG1246" s="147"/>
      <c r="AH1246" s="147"/>
      <c r="AI1246" s="147"/>
      <c r="AJ1246" s="147"/>
      <c r="AK1246" s="147"/>
      <c r="AL1246" s="147"/>
      <c r="AM1246" s="147"/>
      <c r="AN1246" s="147"/>
      <c r="AO1246" s="147"/>
      <c r="AP1246" s="147"/>
      <c r="AQ1246" s="147"/>
    </row>
    <row r="1247" spans="1:43">
      <c r="A1247" s="3"/>
      <c r="B1247" s="3"/>
      <c r="C1247" s="3"/>
      <c r="D1247" s="3"/>
      <c r="E1247" s="3"/>
      <c r="F1247" s="3"/>
      <c r="G1247" s="3"/>
      <c r="H1247" s="3"/>
      <c r="I1247" s="3"/>
      <c r="J1247" s="3"/>
      <c r="K1247" s="3"/>
      <c r="L1247" s="3"/>
      <c r="M1247" s="3"/>
      <c r="N1247" s="157"/>
      <c r="O1247" s="157"/>
      <c r="P1247" s="157"/>
      <c r="R1247" s="147"/>
      <c r="S1247" s="147"/>
      <c r="T1247" s="147"/>
      <c r="U1247" s="147"/>
      <c r="X1247" s="147"/>
      <c r="Y1247" s="147"/>
      <c r="Z1247" s="147"/>
      <c r="AA1247" s="147"/>
      <c r="AB1247" s="147"/>
      <c r="AC1247" s="147"/>
      <c r="AD1247" s="147"/>
      <c r="AE1247" s="147"/>
      <c r="AF1247" s="147"/>
      <c r="AG1247" s="147"/>
      <c r="AH1247" s="147"/>
      <c r="AI1247" s="147"/>
      <c r="AJ1247" s="147"/>
      <c r="AK1247" s="147"/>
      <c r="AL1247" s="147"/>
      <c r="AM1247" s="147"/>
      <c r="AN1247" s="147"/>
      <c r="AO1247" s="147"/>
      <c r="AP1247" s="147"/>
      <c r="AQ1247" s="147"/>
    </row>
    <row r="1248" spans="1:43">
      <c r="A1248" s="3"/>
      <c r="B1248" s="3"/>
      <c r="C1248" s="3"/>
      <c r="D1248" s="3"/>
      <c r="E1248" s="3"/>
      <c r="F1248" s="3"/>
      <c r="G1248" s="3"/>
      <c r="H1248" s="3"/>
      <c r="I1248" s="3"/>
      <c r="J1248" s="3"/>
      <c r="K1248" s="3"/>
      <c r="L1248" s="3"/>
      <c r="M1248" s="3"/>
      <c r="N1248" s="157"/>
      <c r="O1248" s="157"/>
      <c r="P1248" s="157"/>
      <c r="R1248" s="147"/>
      <c r="S1248" s="147"/>
      <c r="T1248" s="147"/>
      <c r="U1248" s="147"/>
      <c r="X1248" s="147"/>
      <c r="Y1248" s="147"/>
      <c r="Z1248" s="147"/>
      <c r="AA1248" s="147"/>
      <c r="AB1248" s="147"/>
      <c r="AC1248" s="147"/>
      <c r="AD1248" s="147"/>
      <c r="AE1248" s="147"/>
      <c r="AF1248" s="147"/>
      <c r="AG1248" s="147"/>
      <c r="AH1248" s="147"/>
      <c r="AI1248" s="147"/>
      <c r="AJ1248" s="147"/>
      <c r="AK1248" s="147"/>
      <c r="AL1248" s="147"/>
      <c r="AM1248" s="147"/>
      <c r="AN1248" s="147"/>
      <c r="AO1248" s="147"/>
      <c r="AP1248" s="147"/>
      <c r="AQ1248" s="147"/>
    </row>
    <row r="1249" spans="1:43">
      <c r="A1249" s="3"/>
      <c r="B1249" s="3"/>
      <c r="C1249" s="3"/>
      <c r="D1249" s="3"/>
      <c r="E1249" s="3"/>
      <c r="F1249" s="3"/>
      <c r="G1249" s="3"/>
      <c r="H1249" s="3"/>
      <c r="I1249" s="3"/>
      <c r="J1249" s="3"/>
      <c r="K1249" s="3"/>
      <c r="L1249" s="3"/>
      <c r="M1249" s="3"/>
      <c r="N1249" s="157"/>
      <c r="O1249" s="157"/>
      <c r="P1249" s="157"/>
      <c r="R1249" s="147"/>
      <c r="S1249" s="147"/>
      <c r="T1249" s="147"/>
      <c r="U1249" s="147"/>
      <c r="X1249" s="147"/>
      <c r="Y1249" s="147"/>
      <c r="Z1249" s="147"/>
      <c r="AA1249" s="147"/>
      <c r="AB1249" s="147"/>
      <c r="AC1249" s="147"/>
      <c r="AD1249" s="147"/>
      <c r="AE1249" s="147"/>
      <c r="AF1249" s="147"/>
      <c r="AG1249" s="147"/>
      <c r="AH1249" s="147"/>
      <c r="AI1249" s="147"/>
      <c r="AJ1249" s="147"/>
      <c r="AK1249" s="147"/>
      <c r="AL1249" s="147"/>
      <c r="AM1249" s="147"/>
      <c r="AN1249" s="147"/>
      <c r="AO1249" s="147"/>
      <c r="AP1249" s="147"/>
      <c r="AQ1249" s="147"/>
    </row>
    <row r="1250" spans="1:43">
      <c r="A1250" s="3"/>
      <c r="B1250" s="3"/>
      <c r="C1250" s="3"/>
      <c r="D1250" s="3"/>
      <c r="E1250" s="3"/>
      <c r="F1250" s="3"/>
      <c r="G1250" s="3"/>
      <c r="H1250" s="3"/>
      <c r="I1250" s="3"/>
      <c r="J1250" s="3"/>
      <c r="K1250" s="3"/>
      <c r="L1250" s="3"/>
      <c r="M1250" s="3"/>
      <c r="N1250" s="157"/>
      <c r="O1250" s="157"/>
      <c r="P1250" s="157"/>
      <c r="R1250" s="147"/>
      <c r="S1250" s="147"/>
      <c r="T1250" s="147"/>
      <c r="U1250" s="147"/>
      <c r="X1250" s="147"/>
      <c r="Y1250" s="147"/>
      <c r="Z1250" s="147"/>
      <c r="AA1250" s="147"/>
      <c r="AB1250" s="147"/>
      <c r="AC1250" s="147"/>
      <c r="AD1250" s="147"/>
      <c r="AE1250" s="147"/>
      <c r="AF1250" s="147"/>
      <c r="AG1250" s="147"/>
      <c r="AH1250" s="147"/>
      <c r="AI1250" s="147"/>
      <c r="AJ1250" s="147"/>
      <c r="AK1250" s="147"/>
      <c r="AL1250" s="147"/>
      <c r="AM1250" s="147"/>
      <c r="AN1250" s="147"/>
      <c r="AO1250" s="147"/>
      <c r="AP1250" s="147"/>
      <c r="AQ1250" s="147"/>
    </row>
    <row r="1251" spans="1:43">
      <c r="A1251" s="3"/>
      <c r="B1251" s="3"/>
      <c r="C1251" s="3"/>
      <c r="D1251" s="3"/>
      <c r="E1251" s="3"/>
      <c r="F1251" s="3"/>
      <c r="G1251" s="3"/>
      <c r="H1251" s="3"/>
      <c r="I1251" s="3"/>
      <c r="J1251" s="3"/>
      <c r="K1251" s="3"/>
      <c r="L1251" s="3"/>
      <c r="M1251" s="3"/>
      <c r="N1251" s="157"/>
      <c r="O1251" s="157"/>
      <c r="P1251" s="157"/>
      <c r="R1251" s="147"/>
      <c r="S1251" s="147"/>
      <c r="T1251" s="147"/>
      <c r="U1251" s="147"/>
      <c r="X1251" s="147"/>
      <c r="Y1251" s="147"/>
      <c r="Z1251" s="147"/>
      <c r="AA1251" s="147"/>
      <c r="AB1251" s="147"/>
      <c r="AC1251" s="147"/>
      <c r="AD1251" s="147"/>
      <c r="AE1251" s="147"/>
      <c r="AF1251" s="147"/>
      <c r="AG1251" s="147"/>
      <c r="AH1251" s="147"/>
      <c r="AI1251" s="147"/>
      <c r="AJ1251" s="147"/>
      <c r="AK1251" s="147"/>
      <c r="AL1251" s="147"/>
      <c r="AM1251" s="147"/>
      <c r="AN1251" s="147"/>
      <c r="AO1251" s="147"/>
      <c r="AP1251" s="147"/>
      <c r="AQ1251" s="147"/>
    </row>
    <row r="1252" spans="1:43">
      <c r="A1252" s="3"/>
      <c r="B1252" s="3"/>
      <c r="C1252" s="3"/>
      <c r="D1252" s="3"/>
      <c r="E1252" s="3"/>
      <c r="F1252" s="3"/>
      <c r="G1252" s="3"/>
      <c r="H1252" s="3"/>
      <c r="I1252" s="3"/>
      <c r="J1252" s="3"/>
      <c r="K1252" s="3"/>
      <c r="L1252" s="3"/>
      <c r="M1252" s="3"/>
      <c r="N1252" s="157"/>
      <c r="O1252" s="157"/>
      <c r="P1252" s="157"/>
      <c r="R1252" s="147"/>
      <c r="S1252" s="147"/>
      <c r="T1252" s="147"/>
      <c r="U1252" s="147"/>
      <c r="X1252" s="147"/>
      <c r="Y1252" s="147"/>
      <c r="Z1252" s="147"/>
      <c r="AA1252" s="147"/>
      <c r="AB1252" s="147"/>
      <c r="AC1252" s="147"/>
      <c r="AD1252" s="147"/>
      <c r="AE1252" s="147"/>
      <c r="AF1252" s="147"/>
      <c r="AG1252" s="147"/>
      <c r="AH1252" s="147"/>
      <c r="AI1252" s="147"/>
      <c r="AJ1252" s="147"/>
      <c r="AK1252" s="147"/>
      <c r="AL1252" s="147"/>
      <c r="AM1252" s="147"/>
      <c r="AN1252" s="147"/>
      <c r="AO1252" s="147"/>
      <c r="AP1252" s="147"/>
      <c r="AQ1252" s="147"/>
    </row>
    <row r="1253" spans="1:43">
      <c r="A1253" s="3"/>
      <c r="B1253" s="3"/>
      <c r="C1253" s="3"/>
      <c r="D1253" s="3"/>
      <c r="E1253" s="3"/>
      <c r="F1253" s="3"/>
      <c r="G1253" s="3"/>
      <c r="H1253" s="3"/>
      <c r="I1253" s="3"/>
      <c r="J1253" s="3"/>
      <c r="K1253" s="3"/>
      <c r="L1253" s="3"/>
      <c r="M1253" s="3"/>
      <c r="N1253" s="157"/>
      <c r="O1253" s="157"/>
      <c r="P1253" s="157"/>
      <c r="R1253" s="147"/>
      <c r="S1253" s="147"/>
      <c r="T1253" s="147"/>
      <c r="U1253" s="147"/>
      <c r="X1253" s="147"/>
      <c r="Y1253" s="147"/>
      <c r="Z1253" s="147"/>
      <c r="AA1253" s="147"/>
      <c r="AB1253" s="147"/>
      <c r="AC1253" s="147"/>
      <c r="AD1253" s="147"/>
      <c r="AE1253" s="147"/>
      <c r="AF1253" s="147"/>
      <c r="AG1253" s="147"/>
      <c r="AH1253" s="147"/>
      <c r="AI1253" s="147"/>
      <c r="AJ1253" s="147"/>
      <c r="AK1253" s="147"/>
      <c r="AL1253" s="147"/>
      <c r="AM1253" s="147"/>
      <c r="AN1253" s="147"/>
      <c r="AO1253" s="147"/>
      <c r="AP1253" s="147"/>
      <c r="AQ1253" s="147"/>
    </row>
    <row r="1254" spans="1:43">
      <c r="A1254" s="3"/>
      <c r="B1254" s="3"/>
      <c r="C1254" s="3"/>
      <c r="D1254" s="3"/>
      <c r="E1254" s="3"/>
      <c r="F1254" s="3"/>
      <c r="G1254" s="3"/>
      <c r="H1254" s="3"/>
      <c r="I1254" s="3"/>
      <c r="J1254" s="3"/>
      <c r="K1254" s="3"/>
      <c r="L1254" s="3"/>
      <c r="M1254" s="3"/>
      <c r="N1254" s="157"/>
      <c r="O1254" s="157"/>
      <c r="P1254" s="157"/>
      <c r="R1254" s="147"/>
      <c r="S1254" s="147"/>
      <c r="T1254" s="147"/>
      <c r="U1254" s="147"/>
      <c r="X1254" s="147"/>
      <c r="Y1254" s="147"/>
      <c r="Z1254" s="147"/>
      <c r="AA1254" s="147"/>
      <c r="AB1254" s="147"/>
      <c r="AC1254" s="147"/>
      <c r="AD1254" s="147"/>
      <c r="AE1254" s="147"/>
      <c r="AF1254" s="147"/>
      <c r="AG1254" s="147"/>
      <c r="AH1254" s="147"/>
      <c r="AI1254" s="147"/>
      <c r="AJ1254" s="147"/>
      <c r="AK1254" s="147"/>
      <c r="AL1254" s="147"/>
      <c r="AM1254" s="147"/>
      <c r="AN1254" s="147"/>
      <c r="AO1254" s="147"/>
      <c r="AP1254" s="147"/>
      <c r="AQ1254" s="147"/>
    </row>
    <row r="1255" spans="1:43">
      <c r="A1255" s="3"/>
      <c r="B1255" s="3"/>
      <c r="C1255" s="3"/>
      <c r="D1255" s="3"/>
      <c r="E1255" s="3"/>
      <c r="F1255" s="3"/>
      <c r="G1255" s="3"/>
      <c r="H1255" s="3"/>
      <c r="I1255" s="3"/>
      <c r="J1255" s="3"/>
      <c r="K1255" s="3"/>
      <c r="L1255" s="3"/>
      <c r="M1255" s="3"/>
      <c r="N1255" s="157"/>
      <c r="O1255" s="157"/>
      <c r="P1255" s="157"/>
      <c r="R1255" s="147"/>
      <c r="S1255" s="147"/>
      <c r="T1255" s="147"/>
      <c r="U1255" s="147"/>
      <c r="X1255" s="147"/>
      <c r="Y1255" s="147"/>
      <c r="Z1255" s="147"/>
      <c r="AA1255" s="147"/>
      <c r="AB1255" s="147"/>
      <c r="AC1255" s="147"/>
      <c r="AD1255" s="147"/>
      <c r="AE1255" s="147"/>
      <c r="AF1255" s="147"/>
      <c r="AG1255" s="147"/>
      <c r="AH1255" s="147"/>
      <c r="AI1255" s="147"/>
      <c r="AJ1255" s="147"/>
      <c r="AK1255" s="147"/>
      <c r="AL1255" s="147"/>
      <c r="AM1255" s="147"/>
      <c r="AN1255" s="147"/>
      <c r="AO1255" s="147"/>
      <c r="AP1255" s="147"/>
      <c r="AQ1255" s="147"/>
    </row>
    <row r="1256" spans="1:43">
      <c r="A1256" s="3"/>
      <c r="B1256" s="3"/>
      <c r="C1256" s="3"/>
      <c r="D1256" s="3"/>
      <c r="E1256" s="3"/>
      <c r="F1256" s="3"/>
      <c r="G1256" s="3"/>
      <c r="H1256" s="3"/>
      <c r="I1256" s="3"/>
      <c r="J1256" s="3"/>
      <c r="K1256" s="3"/>
      <c r="L1256" s="3"/>
      <c r="M1256" s="3"/>
      <c r="N1256" s="157"/>
      <c r="O1256" s="157"/>
      <c r="P1256" s="157"/>
      <c r="R1256" s="147"/>
      <c r="S1256" s="147"/>
      <c r="T1256" s="147"/>
      <c r="U1256" s="147"/>
      <c r="X1256" s="147"/>
      <c r="Y1256" s="147"/>
      <c r="Z1256" s="147"/>
      <c r="AA1256" s="147"/>
      <c r="AB1256" s="147"/>
      <c r="AC1256" s="147"/>
      <c r="AD1256" s="147"/>
      <c r="AE1256" s="147"/>
      <c r="AF1256" s="147"/>
      <c r="AG1256" s="147"/>
      <c r="AH1256" s="147"/>
      <c r="AI1256" s="147"/>
      <c r="AJ1256" s="147"/>
      <c r="AK1256" s="147"/>
      <c r="AL1256" s="147"/>
      <c r="AM1256" s="147"/>
      <c r="AN1256" s="147"/>
      <c r="AO1256" s="147"/>
      <c r="AP1256" s="147"/>
      <c r="AQ1256" s="147"/>
    </row>
    <row r="1257" spans="1:43">
      <c r="A1257" s="3"/>
      <c r="B1257" s="3"/>
      <c r="C1257" s="3"/>
      <c r="D1257" s="3"/>
      <c r="E1257" s="3"/>
      <c r="F1257" s="3"/>
      <c r="G1257" s="3"/>
      <c r="H1257" s="3"/>
      <c r="I1257" s="3"/>
      <c r="J1257" s="3"/>
      <c r="K1257" s="3"/>
      <c r="L1257" s="3"/>
      <c r="M1257" s="3"/>
      <c r="N1257" s="157"/>
      <c r="O1257" s="157"/>
      <c r="P1257" s="157"/>
      <c r="R1257" s="147"/>
      <c r="S1257" s="147"/>
      <c r="T1257" s="147"/>
      <c r="U1257" s="147"/>
      <c r="X1257" s="147"/>
      <c r="Y1257" s="147"/>
      <c r="Z1257" s="147"/>
      <c r="AA1257" s="147"/>
      <c r="AB1257" s="147"/>
      <c r="AC1257" s="147"/>
      <c r="AD1257" s="147"/>
      <c r="AE1257" s="147"/>
      <c r="AF1257" s="147"/>
      <c r="AG1257" s="147"/>
      <c r="AH1257" s="147"/>
      <c r="AI1257" s="147"/>
      <c r="AJ1257" s="147"/>
      <c r="AK1257" s="147"/>
      <c r="AL1257" s="147"/>
      <c r="AM1257" s="147"/>
      <c r="AN1257" s="147"/>
      <c r="AO1257" s="147"/>
      <c r="AP1257" s="147"/>
      <c r="AQ1257" s="147"/>
    </row>
    <row r="1258" spans="1:43">
      <c r="A1258" s="3"/>
      <c r="B1258" s="3"/>
      <c r="C1258" s="3"/>
      <c r="D1258" s="3"/>
      <c r="E1258" s="3"/>
      <c r="F1258" s="3"/>
      <c r="G1258" s="3"/>
      <c r="H1258" s="3"/>
      <c r="I1258" s="3"/>
      <c r="J1258" s="3"/>
      <c r="K1258" s="3"/>
      <c r="L1258" s="3"/>
      <c r="M1258" s="3"/>
      <c r="N1258" s="157"/>
      <c r="O1258" s="157"/>
      <c r="P1258" s="157"/>
      <c r="R1258" s="147"/>
      <c r="S1258" s="147"/>
      <c r="T1258" s="147"/>
      <c r="U1258" s="147"/>
      <c r="X1258" s="147"/>
      <c r="Y1258" s="147"/>
      <c r="Z1258" s="147"/>
      <c r="AA1258" s="147"/>
      <c r="AB1258" s="147"/>
      <c r="AC1258" s="147"/>
      <c r="AD1258" s="147"/>
      <c r="AE1258" s="147"/>
      <c r="AF1258" s="147"/>
      <c r="AG1258" s="147"/>
      <c r="AH1258" s="147"/>
      <c r="AI1258" s="147"/>
      <c r="AJ1258" s="147"/>
      <c r="AK1258" s="147"/>
      <c r="AL1258" s="147"/>
      <c r="AM1258" s="147"/>
      <c r="AN1258" s="147"/>
      <c r="AO1258" s="147"/>
      <c r="AP1258" s="147"/>
      <c r="AQ1258" s="147"/>
    </row>
    <row r="1259" spans="1:43">
      <c r="A1259" s="3"/>
      <c r="B1259" s="3"/>
      <c r="C1259" s="3"/>
      <c r="D1259" s="3"/>
      <c r="E1259" s="3"/>
      <c r="F1259" s="3"/>
      <c r="G1259" s="3"/>
      <c r="H1259" s="3"/>
      <c r="I1259" s="3"/>
      <c r="J1259" s="3"/>
      <c r="K1259" s="3"/>
      <c r="L1259" s="3"/>
      <c r="M1259" s="3"/>
      <c r="N1259" s="157"/>
      <c r="O1259" s="157"/>
      <c r="P1259" s="157"/>
      <c r="R1259" s="147"/>
      <c r="S1259" s="147"/>
      <c r="T1259" s="147"/>
      <c r="U1259" s="147"/>
      <c r="X1259" s="147"/>
      <c r="Y1259" s="147"/>
      <c r="Z1259" s="147"/>
      <c r="AA1259" s="147"/>
      <c r="AB1259" s="147"/>
      <c r="AC1259" s="147"/>
      <c r="AD1259" s="147"/>
      <c r="AE1259" s="147"/>
      <c r="AF1259" s="147"/>
      <c r="AG1259" s="147"/>
      <c r="AH1259" s="147"/>
      <c r="AI1259" s="147"/>
      <c r="AJ1259" s="147"/>
      <c r="AK1259" s="147"/>
      <c r="AL1259" s="147"/>
      <c r="AM1259" s="147"/>
      <c r="AN1259" s="147"/>
      <c r="AO1259" s="147"/>
      <c r="AP1259" s="147"/>
      <c r="AQ1259" s="147"/>
    </row>
    <row r="1260" spans="1:43">
      <c r="A1260" s="3"/>
      <c r="B1260" s="3"/>
      <c r="C1260" s="3"/>
      <c r="D1260" s="3"/>
      <c r="E1260" s="3"/>
      <c r="F1260" s="3"/>
      <c r="G1260" s="3"/>
      <c r="H1260" s="3"/>
      <c r="I1260" s="3"/>
      <c r="J1260" s="3"/>
      <c r="K1260" s="3"/>
      <c r="L1260" s="3"/>
      <c r="M1260" s="3"/>
      <c r="N1260" s="157"/>
      <c r="O1260" s="157"/>
      <c r="P1260" s="157"/>
      <c r="R1260" s="147"/>
      <c r="S1260" s="147"/>
      <c r="T1260" s="147"/>
      <c r="U1260" s="147"/>
      <c r="X1260" s="147"/>
      <c r="Y1260" s="147"/>
      <c r="Z1260" s="147"/>
      <c r="AA1260" s="147"/>
      <c r="AB1260" s="147"/>
      <c r="AC1260" s="147"/>
      <c r="AD1260" s="147"/>
      <c r="AE1260" s="147"/>
      <c r="AF1260" s="147"/>
      <c r="AG1260" s="147"/>
      <c r="AH1260" s="147"/>
      <c r="AI1260" s="147"/>
      <c r="AJ1260" s="147"/>
      <c r="AK1260" s="147"/>
      <c r="AL1260" s="147"/>
      <c r="AM1260" s="147"/>
      <c r="AN1260" s="147"/>
      <c r="AO1260" s="147"/>
      <c r="AP1260" s="147"/>
      <c r="AQ1260" s="147"/>
    </row>
    <row r="1261" spans="1:43">
      <c r="A1261" s="3"/>
      <c r="B1261" s="3"/>
      <c r="C1261" s="3"/>
      <c r="D1261" s="3"/>
      <c r="E1261" s="3"/>
      <c r="F1261" s="3"/>
      <c r="G1261" s="3"/>
      <c r="H1261" s="3"/>
      <c r="I1261" s="3"/>
      <c r="J1261" s="3"/>
      <c r="K1261" s="3"/>
      <c r="L1261" s="3"/>
      <c r="M1261" s="3"/>
      <c r="N1261" s="157"/>
      <c r="O1261" s="157"/>
      <c r="P1261" s="157"/>
      <c r="R1261" s="147"/>
      <c r="S1261" s="147"/>
      <c r="T1261" s="147"/>
      <c r="U1261" s="147"/>
      <c r="X1261" s="147"/>
      <c r="Y1261" s="147"/>
      <c r="Z1261" s="147"/>
      <c r="AA1261" s="147"/>
      <c r="AB1261" s="147"/>
      <c r="AC1261" s="147"/>
      <c r="AD1261" s="147"/>
      <c r="AE1261" s="147"/>
      <c r="AF1261" s="147"/>
      <c r="AG1261" s="147"/>
      <c r="AH1261" s="147"/>
      <c r="AI1261" s="147"/>
      <c r="AJ1261" s="147"/>
      <c r="AK1261" s="147"/>
      <c r="AL1261" s="147"/>
      <c r="AM1261" s="147"/>
      <c r="AN1261" s="147"/>
      <c r="AO1261" s="147"/>
      <c r="AP1261" s="147"/>
      <c r="AQ1261" s="147"/>
    </row>
    <row r="1262" spans="1:43">
      <c r="A1262" s="3"/>
      <c r="B1262" s="3"/>
      <c r="C1262" s="3"/>
      <c r="D1262" s="3"/>
      <c r="E1262" s="3"/>
      <c r="F1262" s="3"/>
      <c r="G1262" s="3"/>
      <c r="H1262" s="3"/>
      <c r="I1262" s="3"/>
      <c r="J1262" s="3"/>
      <c r="K1262" s="3"/>
      <c r="L1262" s="3"/>
      <c r="M1262" s="3"/>
      <c r="N1262" s="157"/>
      <c r="O1262" s="157"/>
      <c r="P1262" s="157"/>
      <c r="R1262" s="147"/>
      <c r="S1262" s="147"/>
      <c r="T1262" s="147"/>
      <c r="U1262" s="147"/>
      <c r="X1262" s="147"/>
      <c r="Y1262" s="147"/>
      <c r="Z1262" s="147"/>
      <c r="AA1262" s="147"/>
      <c r="AB1262" s="147"/>
      <c r="AC1262" s="147"/>
      <c r="AD1262" s="147"/>
      <c r="AE1262" s="147"/>
      <c r="AF1262" s="147"/>
      <c r="AG1262" s="147"/>
      <c r="AH1262" s="147"/>
      <c r="AI1262" s="147"/>
      <c r="AJ1262" s="147"/>
      <c r="AK1262" s="147"/>
      <c r="AL1262" s="147"/>
      <c r="AM1262" s="147"/>
      <c r="AN1262" s="147"/>
      <c r="AO1262" s="147"/>
      <c r="AP1262" s="147"/>
      <c r="AQ1262" s="147"/>
    </row>
    <row r="1263" spans="1:43">
      <c r="A1263" s="3"/>
      <c r="B1263" s="3"/>
      <c r="C1263" s="3"/>
      <c r="D1263" s="3"/>
      <c r="E1263" s="3"/>
      <c r="F1263" s="3"/>
      <c r="G1263" s="3"/>
      <c r="H1263" s="3"/>
      <c r="I1263" s="3"/>
      <c r="J1263" s="3"/>
      <c r="K1263" s="3"/>
      <c r="L1263" s="3"/>
      <c r="M1263" s="3"/>
      <c r="N1263" s="157"/>
      <c r="O1263" s="157"/>
      <c r="P1263" s="157"/>
      <c r="R1263" s="147"/>
      <c r="S1263" s="147"/>
      <c r="T1263" s="147"/>
      <c r="U1263" s="147"/>
      <c r="X1263" s="147"/>
      <c r="Y1263" s="147"/>
      <c r="Z1263" s="147"/>
      <c r="AA1263" s="147"/>
      <c r="AB1263" s="147"/>
      <c r="AC1263" s="147"/>
      <c r="AD1263" s="147"/>
      <c r="AE1263" s="147"/>
      <c r="AF1263" s="147"/>
      <c r="AG1263" s="147"/>
      <c r="AH1263" s="147"/>
      <c r="AI1263" s="147"/>
      <c r="AJ1263" s="147"/>
      <c r="AK1263" s="147"/>
      <c r="AL1263" s="147"/>
      <c r="AM1263" s="147"/>
      <c r="AN1263" s="147"/>
      <c r="AO1263" s="147"/>
      <c r="AP1263" s="147"/>
      <c r="AQ1263" s="147"/>
    </row>
    <row r="1264" spans="1:43">
      <c r="A1264" s="3"/>
      <c r="B1264" s="3"/>
      <c r="C1264" s="3"/>
      <c r="D1264" s="3"/>
      <c r="E1264" s="3"/>
      <c r="F1264" s="3"/>
      <c r="G1264" s="3"/>
      <c r="H1264" s="3"/>
      <c r="I1264" s="3"/>
      <c r="J1264" s="3"/>
      <c r="K1264" s="3"/>
      <c r="L1264" s="3"/>
      <c r="M1264" s="3"/>
      <c r="N1264" s="157"/>
      <c r="O1264" s="157"/>
      <c r="P1264" s="157"/>
      <c r="R1264" s="147"/>
      <c r="S1264" s="147"/>
      <c r="T1264" s="147"/>
      <c r="U1264" s="147"/>
      <c r="X1264" s="147"/>
      <c r="Y1264" s="147"/>
      <c r="Z1264" s="147"/>
      <c r="AA1264" s="147"/>
      <c r="AB1264" s="147"/>
      <c r="AC1264" s="147"/>
      <c r="AD1264" s="147"/>
      <c r="AE1264" s="147"/>
      <c r="AF1264" s="147"/>
      <c r="AG1264" s="147"/>
      <c r="AH1264" s="147"/>
      <c r="AI1264" s="147"/>
      <c r="AJ1264" s="147"/>
      <c r="AK1264" s="147"/>
      <c r="AL1264" s="147"/>
      <c r="AM1264" s="147"/>
      <c r="AN1264" s="147"/>
      <c r="AO1264" s="147"/>
      <c r="AP1264" s="147"/>
      <c r="AQ1264" s="147"/>
    </row>
    <row r="1265" spans="1:43">
      <c r="A1265" s="3"/>
      <c r="B1265" s="3"/>
      <c r="C1265" s="3"/>
      <c r="D1265" s="3"/>
      <c r="E1265" s="3"/>
      <c r="F1265" s="3"/>
      <c r="G1265" s="3"/>
      <c r="H1265" s="3"/>
      <c r="I1265" s="3"/>
      <c r="J1265" s="3"/>
      <c r="K1265" s="3"/>
      <c r="L1265" s="3"/>
      <c r="M1265" s="3"/>
      <c r="N1265" s="157"/>
      <c r="O1265" s="157"/>
      <c r="P1265" s="157"/>
      <c r="R1265" s="147"/>
      <c r="S1265" s="147"/>
      <c r="T1265" s="147"/>
      <c r="U1265" s="147"/>
      <c r="X1265" s="147"/>
      <c r="Y1265" s="147"/>
      <c r="Z1265" s="147"/>
      <c r="AA1265" s="147"/>
      <c r="AB1265" s="147"/>
      <c r="AC1265" s="147"/>
      <c r="AD1265" s="147"/>
      <c r="AE1265" s="147"/>
      <c r="AF1265" s="147"/>
      <c r="AG1265" s="147"/>
      <c r="AH1265" s="147"/>
      <c r="AI1265" s="147"/>
      <c r="AJ1265" s="147"/>
      <c r="AK1265" s="147"/>
      <c r="AL1265" s="147"/>
      <c r="AM1265" s="147"/>
      <c r="AN1265" s="147"/>
      <c r="AO1265" s="147"/>
      <c r="AP1265" s="147"/>
      <c r="AQ1265" s="147"/>
    </row>
    <row r="1266" spans="1:43">
      <c r="A1266" s="3"/>
      <c r="B1266" s="3"/>
      <c r="C1266" s="3"/>
      <c r="D1266" s="3"/>
      <c r="E1266" s="3"/>
      <c r="F1266" s="3"/>
      <c r="G1266" s="3"/>
      <c r="H1266" s="3"/>
      <c r="I1266" s="3"/>
      <c r="J1266" s="3"/>
      <c r="K1266" s="3"/>
      <c r="L1266" s="3"/>
      <c r="M1266" s="3"/>
      <c r="N1266" s="157"/>
      <c r="O1266" s="157"/>
      <c r="P1266" s="157"/>
      <c r="R1266" s="147"/>
      <c r="S1266" s="147"/>
      <c r="T1266" s="147"/>
      <c r="U1266" s="147"/>
      <c r="X1266" s="147"/>
      <c r="Y1266" s="147"/>
      <c r="Z1266" s="147"/>
      <c r="AA1266" s="147"/>
      <c r="AB1266" s="147"/>
      <c r="AC1266" s="147"/>
      <c r="AD1266" s="147"/>
      <c r="AE1266" s="147"/>
      <c r="AF1266" s="147"/>
      <c r="AG1266" s="147"/>
      <c r="AH1266" s="147"/>
      <c r="AI1266" s="147"/>
      <c r="AJ1266" s="147"/>
      <c r="AK1266" s="147"/>
      <c r="AL1266" s="147"/>
      <c r="AM1266" s="147"/>
      <c r="AN1266" s="147"/>
      <c r="AO1266" s="147"/>
      <c r="AP1266" s="147"/>
      <c r="AQ1266" s="147"/>
    </row>
    <row r="1267" spans="1:43">
      <c r="A1267" s="3"/>
      <c r="B1267" s="3"/>
      <c r="C1267" s="3"/>
      <c r="D1267" s="3"/>
      <c r="E1267" s="3"/>
      <c r="F1267" s="3"/>
      <c r="G1267" s="3"/>
      <c r="H1267" s="3"/>
      <c r="I1267" s="3"/>
      <c r="J1267" s="3"/>
      <c r="K1267" s="3"/>
      <c r="L1267" s="3"/>
      <c r="M1267" s="3"/>
      <c r="N1267" s="157"/>
      <c r="O1267" s="157"/>
      <c r="P1267" s="157"/>
      <c r="R1267" s="147"/>
      <c r="S1267" s="147"/>
      <c r="T1267" s="147"/>
      <c r="U1267" s="147"/>
      <c r="X1267" s="147"/>
      <c r="Y1267" s="147"/>
      <c r="Z1267" s="147"/>
      <c r="AA1267" s="147"/>
      <c r="AB1267" s="147"/>
      <c r="AC1267" s="147"/>
      <c r="AD1267" s="147"/>
      <c r="AE1267" s="147"/>
      <c r="AF1267" s="147"/>
      <c r="AG1267" s="147"/>
      <c r="AH1267" s="147"/>
      <c r="AI1267" s="147"/>
      <c r="AJ1267" s="147"/>
      <c r="AK1267" s="147"/>
      <c r="AL1267" s="147"/>
      <c r="AM1267" s="147"/>
      <c r="AN1267" s="147"/>
      <c r="AO1267" s="147"/>
      <c r="AP1267" s="147"/>
      <c r="AQ1267" s="147"/>
    </row>
    <row r="1268" spans="1:43">
      <c r="A1268" s="3"/>
      <c r="B1268" s="3"/>
      <c r="C1268" s="3"/>
      <c r="D1268" s="3"/>
      <c r="E1268" s="3"/>
      <c r="F1268" s="3"/>
      <c r="G1268" s="3"/>
      <c r="H1268" s="3"/>
      <c r="I1268" s="3"/>
      <c r="J1268" s="3"/>
      <c r="K1268" s="3"/>
      <c r="L1268" s="3"/>
      <c r="M1268" s="3"/>
      <c r="N1268" s="157"/>
      <c r="O1268" s="157"/>
      <c r="P1268" s="157"/>
      <c r="R1268" s="147"/>
      <c r="S1268" s="147"/>
      <c r="T1268" s="147"/>
      <c r="U1268" s="147"/>
      <c r="X1268" s="147"/>
      <c r="Y1268" s="147"/>
      <c r="Z1268" s="147"/>
      <c r="AA1268" s="147"/>
      <c r="AB1268" s="147"/>
      <c r="AC1268" s="147"/>
      <c r="AD1268" s="147"/>
      <c r="AE1268" s="147"/>
      <c r="AF1268" s="147"/>
      <c r="AG1268" s="147"/>
      <c r="AH1268" s="147"/>
      <c r="AI1268" s="147"/>
      <c r="AJ1268" s="147"/>
      <c r="AK1268" s="147"/>
      <c r="AL1268" s="147"/>
      <c r="AM1268" s="147"/>
      <c r="AN1268" s="147"/>
      <c r="AO1268" s="147"/>
      <c r="AP1268" s="147"/>
      <c r="AQ1268" s="147"/>
    </row>
    <row r="1269" spans="1:43">
      <c r="A1269" s="3"/>
      <c r="B1269" s="3"/>
      <c r="C1269" s="3"/>
      <c r="D1269" s="3"/>
      <c r="E1269" s="3"/>
      <c r="F1269" s="3"/>
      <c r="G1269" s="3"/>
      <c r="H1269" s="3"/>
      <c r="I1269" s="3"/>
      <c r="J1269" s="3"/>
      <c r="K1269" s="3"/>
      <c r="L1269" s="3"/>
      <c r="M1269" s="3"/>
      <c r="N1269" s="157"/>
      <c r="O1269" s="157"/>
      <c r="P1269" s="157"/>
      <c r="R1269" s="147"/>
      <c r="S1269" s="147"/>
      <c r="T1269" s="147"/>
      <c r="U1269" s="147"/>
      <c r="X1269" s="147"/>
      <c r="Y1269" s="147"/>
      <c r="Z1269" s="147"/>
      <c r="AA1269" s="147"/>
      <c r="AB1269" s="147"/>
      <c r="AC1269" s="147"/>
      <c r="AD1269" s="147"/>
      <c r="AE1269" s="147"/>
      <c r="AF1269" s="147"/>
      <c r="AG1269" s="147"/>
      <c r="AH1269" s="147"/>
      <c r="AI1269" s="147"/>
      <c r="AJ1269" s="147"/>
      <c r="AK1269" s="147"/>
      <c r="AL1269" s="147"/>
      <c r="AM1269" s="147"/>
      <c r="AN1269" s="147"/>
      <c r="AO1269" s="147"/>
      <c r="AP1269" s="147"/>
      <c r="AQ1269" s="147"/>
    </row>
    <row r="1270" spans="1:43">
      <c r="A1270" s="3"/>
      <c r="B1270" s="3"/>
      <c r="C1270" s="3"/>
      <c r="D1270" s="3"/>
      <c r="E1270" s="3"/>
      <c r="F1270" s="3"/>
      <c r="G1270" s="3"/>
      <c r="H1270" s="3"/>
      <c r="I1270" s="3"/>
      <c r="J1270" s="3"/>
      <c r="K1270" s="3"/>
      <c r="L1270" s="3"/>
      <c r="M1270" s="3"/>
      <c r="N1270" s="157"/>
      <c r="O1270" s="157"/>
      <c r="P1270" s="157"/>
      <c r="R1270" s="147"/>
      <c r="S1270" s="147"/>
      <c r="T1270" s="147"/>
      <c r="U1270" s="147"/>
      <c r="X1270" s="147"/>
      <c r="Y1270" s="147"/>
      <c r="Z1270" s="147"/>
      <c r="AA1270" s="147"/>
      <c r="AB1270" s="147"/>
      <c r="AC1270" s="147"/>
      <c r="AD1270" s="147"/>
      <c r="AE1270" s="147"/>
      <c r="AF1270" s="147"/>
      <c r="AG1270" s="147"/>
      <c r="AH1270" s="147"/>
      <c r="AI1270" s="147"/>
      <c r="AJ1270" s="147"/>
      <c r="AK1270" s="147"/>
      <c r="AL1270" s="147"/>
      <c r="AM1270" s="147"/>
      <c r="AN1270" s="147"/>
      <c r="AO1270" s="147"/>
      <c r="AP1270" s="147"/>
      <c r="AQ1270" s="147"/>
    </row>
    <row r="1271" spans="1:43">
      <c r="A1271" s="3"/>
      <c r="B1271" s="3"/>
      <c r="C1271" s="3"/>
      <c r="D1271" s="3"/>
      <c r="E1271" s="3"/>
      <c r="F1271" s="3"/>
      <c r="G1271" s="3"/>
      <c r="H1271" s="3"/>
      <c r="I1271" s="3"/>
      <c r="J1271" s="3"/>
      <c r="K1271" s="3"/>
      <c r="L1271" s="3"/>
      <c r="M1271" s="3"/>
      <c r="N1271" s="157"/>
      <c r="O1271" s="157"/>
      <c r="P1271" s="157"/>
      <c r="R1271" s="147"/>
      <c r="S1271" s="147"/>
      <c r="T1271" s="147"/>
      <c r="U1271" s="147"/>
      <c r="X1271" s="147"/>
      <c r="Y1271" s="147"/>
      <c r="Z1271" s="147"/>
      <c r="AA1271" s="147"/>
      <c r="AB1271" s="147"/>
      <c r="AC1271" s="147"/>
      <c r="AD1271" s="147"/>
      <c r="AE1271" s="147"/>
      <c r="AF1271" s="147"/>
      <c r="AG1271" s="147"/>
      <c r="AH1271" s="147"/>
      <c r="AI1271" s="147"/>
      <c r="AJ1271" s="147"/>
      <c r="AK1271" s="147"/>
      <c r="AL1271" s="147"/>
      <c r="AM1271" s="147"/>
      <c r="AN1271" s="147"/>
      <c r="AO1271" s="147"/>
      <c r="AP1271" s="147"/>
      <c r="AQ1271" s="147"/>
    </row>
    <row r="1272" spans="1:43">
      <c r="A1272" s="3"/>
      <c r="B1272" s="3"/>
      <c r="C1272" s="3"/>
      <c r="D1272" s="3"/>
      <c r="E1272" s="3"/>
      <c r="F1272" s="3"/>
      <c r="G1272" s="3"/>
      <c r="H1272" s="3"/>
      <c r="I1272" s="3"/>
      <c r="J1272" s="3"/>
      <c r="K1272" s="3"/>
      <c r="L1272" s="3"/>
      <c r="M1272" s="3"/>
      <c r="N1272" s="157"/>
      <c r="O1272" s="157"/>
      <c r="P1272" s="157"/>
      <c r="R1272" s="147"/>
      <c r="S1272" s="147"/>
      <c r="T1272" s="147"/>
      <c r="U1272" s="147"/>
      <c r="X1272" s="147"/>
      <c r="Y1272" s="147"/>
      <c r="Z1272" s="147"/>
      <c r="AA1272" s="147"/>
      <c r="AB1272" s="147"/>
      <c r="AC1272" s="147"/>
      <c r="AD1272" s="147"/>
      <c r="AE1272" s="147"/>
      <c r="AF1272" s="147"/>
      <c r="AG1272" s="147"/>
      <c r="AH1272" s="147"/>
      <c r="AI1272" s="147"/>
      <c r="AJ1272" s="147"/>
      <c r="AK1272" s="147"/>
      <c r="AL1272" s="147"/>
      <c r="AM1272" s="147"/>
      <c r="AN1272" s="147"/>
      <c r="AO1272" s="147"/>
      <c r="AP1272" s="147"/>
      <c r="AQ1272" s="147"/>
    </row>
    <row r="1273" spans="1:43">
      <c r="A1273" s="3"/>
      <c r="B1273" s="3"/>
      <c r="C1273" s="3"/>
      <c r="D1273" s="3"/>
      <c r="E1273" s="3"/>
      <c r="F1273" s="3"/>
      <c r="G1273" s="3"/>
      <c r="H1273" s="3"/>
      <c r="I1273" s="3"/>
      <c r="J1273" s="3"/>
      <c r="K1273" s="3"/>
      <c r="L1273" s="3"/>
      <c r="M1273" s="3"/>
      <c r="N1273" s="157"/>
      <c r="O1273" s="157"/>
      <c r="P1273" s="157"/>
      <c r="R1273" s="147"/>
      <c r="S1273" s="147"/>
      <c r="T1273" s="147"/>
      <c r="U1273" s="147"/>
      <c r="X1273" s="147"/>
      <c r="Y1273" s="147"/>
      <c r="Z1273" s="147"/>
      <c r="AA1273" s="147"/>
      <c r="AB1273" s="147"/>
      <c r="AC1273" s="147"/>
      <c r="AD1273" s="147"/>
      <c r="AE1273" s="147"/>
      <c r="AF1273" s="147"/>
      <c r="AG1273" s="147"/>
      <c r="AH1273" s="147"/>
      <c r="AI1273" s="147"/>
      <c r="AJ1273" s="147"/>
      <c r="AK1273" s="147"/>
      <c r="AL1273" s="147"/>
      <c r="AM1273" s="147"/>
      <c r="AN1273" s="147"/>
      <c r="AO1273" s="147"/>
      <c r="AP1273" s="147"/>
      <c r="AQ1273" s="147"/>
    </row>
    <row r="1274" spans="1:43">
      <c r="A1274" s="3"/>
      <c r="B1274" s="3"/>
      <c r="C1274" s="3"/>
      <c r="D1274" s="3"/>
      <c r="E1274" s="3"/>
      <c r="F1274" s="3"/>
      <c r="G1274" s="3"/>
      <c r="H1274" s="3"/>
      <c r="I1274" s="3"/>
      <c r="J1274" s="3"/>
      <c r="K1274" s="3"/>
      <c r="L1274" s="3"/>
      <c r="M1274" s="3"/>
      <c r="N1274" s="157"/>
      <c r="O1274" s="157"/>
      <c r="P1274" s="157"/>
      <c r="R1274" s="147"/>
      <c r="S1274" s="147"/>
      <c r="T1274" s="147"/>
      <c r="U1274" s="147"/>
      <c r="X1274" s="147"/>
      <c r="Y1274" s="147"/>
      <c r="Z1274" s="147"/>
      <c r="AA1274" s="147"/>
      <c r="AB1274" s="147"/>
      <c r="AC1274" s="147"/>
      <c r="AD1274" s="147"/>
      <c r="AE1274" s="147"/>
      <c r="AF1274" s="147"/>
      <c r="AG1274" s="147"/>
      <c r="AH1274" s="147"/>
      <c r="AI1274" s="147"/>
      <c r="AJ1274" s="147"/>
      <c r="AK1274" s="147"/>
      <c r="AL1274" s="147"/>
      <c r="AM1274" s="147"/>
      <c r="AN1274" s="147"/>
      <c r="AO1274" s="147"/>
      <c r="AP1274" s="147"/>
      <c r="AQ1274" s="147"/>
    </row>
    <row r="1275" spans="1:43">
      <c r="A1275" s="3"/>
      <c r="B1275" s="3"/>
      <c r="C1275" s="3"/>
      <c r="D1275" s="3"/>
      <c r="E1275" s="3"/>
      <c r="F1275" s="3"/>
      <c r="G1275" s="3"/>
      <c r="H1275" s="3"/>
      <c r="I1275" s="3"/>
      <c r="J1275" s="3"/>
      <c r="K1275" s="3"/>
      <c r="L1275" s="3"/>
      <c r="M1275" s="3"/>
      <c r="N1275" s="157"/>
      <c r="O1275" s="157"/>
      <c r="P1275" s="157"/>
      <c r="R1275" s="147"/>
      <c r="S1275" s="147"/>
      <c r="T1275" s="147"/>
      <c r="U1275" s="147"/>
      <c r="X1275" s="147"/>
      <c r="Y1275" s="147"/>
      <c r="Z1275" s="147"/>
      <c r="AA1275" s="147"/>
      <c r="AB1275" s="147"/>
      <c r="AC1275" s="147"/>
      <c r="AD1275" s="147"/>
      <c r="AE1275" s="147"/>
      <c r="AF1275" s="147"/>
      <c r="AG1275" s="147"/>
      <c r="AH1275" s="147"/>
      <c r="AI1275" s="147"/>
      <c r="AJ1275" s="147"/>
      <c r="AK1275" s="147"/>
      <c r="AL1275" s="147"/>
      <c r="AM1275" s="147"/>
      <c r="AN1275" s="147"/>
      <c r="AO1275" s="147"/>
      <c r="AP1275" s="147"/>
      <c r="AQ1275" s="147"/>
    </row>
    <row r="1276" spans="1:43">
      <c r="A1276" s="3"/>
      <c r="B1276" s="3"/>
      <c r="C1276" s="3"/>
      <c r="D1276" s="3"/>
      <c r="E1276" s="3"/>
      <c r="F1276" s="3"/>
      <c r="G1276" s="3"/>
      <c r="H1276" s="3"/>
      <c r="I1276" s="3"/>
      <c r="J1276" s="3"/>
      <c r="K1276" s="3"/>
      <c r="L1276" s="3"/>
      <c r="M1276" s="3"/>
      <c r="N1276" s="157"/>
      <c r="O1276" s="157"/>
      <c r="P1276" s="157"/>
      <c r="R1276" s="147"/>
      <c r="S1276" s="147"/>
      <c r="T1276" s="147"/>
      <c r="U1276" s="147"/>
      <c r="X1276" s="147"/>
      <c r="Y1276" s="147"/>
      <c r="Z1276" s="147"/>
      <c r="AA1276" s="147"/>
      <c r="AB1276" s="147"/>
      <c r="AC1276" s="147"/>
      <c r="AD1276" s="147"/>
      <c r="AE1276" s="147"/>
      <c r="AF1276" s="147"/>
      <c r="AG1276" s="147"/>
      <c r="AH1276" s="147"/>
      <c r="AI1276" s="147"/>
      <c r="AJ1276" s="147"/>
      <c r="AK1276" s="147"/>
      <c r="AL1276" s="147"/>
      <c r="AM1276" s="147"/>
      <c r="AN1276" s="147"/>
      <c r="AO1276" s="147"/>
      <c r="AP1276" s="147"/>
      <c r="AQ1276" s="147"/>
    </row>
    <row r="1277" spans="1:43">
      <c r="A1277" s="3"/>
      <c r="B1277" s="3"/>
      <c r="C1277" s="3"/>
      <c r="D1277" s="3"/>
      <c r="E1277" s="3"/>
      <c r="F1277" s="3"/>
      <c r="G1277" s="3"/>
      <c r="H1277" s="3"/>
      <c r="I1277" s="3"/>
      <c r="J1277" s="3"/>
      <c r="K1277" s="3"/>
      <c r="L1277" s="3"/>
      <c r="M1277" s="3"/>
      <c r="N1277" s="157"/>
      <c r="O1277" s="157"/>
      <c r="P1277" s="157"/>
      <c r="R1277" s="147"/>
      <c r="S1277" s="147"/>
      <c r="T1277" s="147"/>
      <c r="U1277" s="147"/>
      <c r="X1277" s="147"/>
      <c r="Y1277" s="147"/>
      <c r="Z1277" s="147"/>
      <c r="AA1277" s="147"/>
      <c r="AB1277" s="147"/>
      <c r="AC1277" s="147"/>
      <c r="AD1277" s="147"/>
      <c r="AE1277" s="147"/>
      <c r="AF1277" s="147"/>
      <c r="AG1277" s="147"/>
      <c r="AH1277" s="147"/>
      <c r="AI1277" s="147"/>
      <c r="AJ1277" s="147"/>
      <c r="AK1277" s="147"/>
      <c r="AL1277" s="147"/>
      <c r="AM1277" s="147"/>
      <c r="AN1277" s="147"/>
      <c r="AO1277" s="147"/>
      <c r="AP1277" s="147"/>
      <c r="AQ1277" s="147"/>
    </row>
    <row r="1278" spans="1:43">
      <c r="A1278" s="3"/>
      <c r="B1278" s="3"/>
      <c r="C1278" s="3"/>
      <c r="D1278" s="3"/>
      <c r="E1278" s="3"/>
      <c r="F1278" s="3"/>
      <c r="G1278" s="3"/>
      <c r="H1278" s="3"/>
      <c r="I1278" s="3"/>
      <c r="J1278" s="3"/>
      <c r="K1278" s="3"/>
      <c r="L1278" s="3"/>
      <c r="M1278" s="3"/>
      <c r="N1278" s="157"/>
      <c r="O1278" s="157"/>
      <c r="P1278" s="157"/>
      <c r="R1278" s="147"/>
      <c r="S1278" s="147"/>
      <c r="T1278" s="147"/>
      <c r="U1278" s="147"/>
      <c r="X1278" s="147"/>
      <c r="Y1278" s="147"/>
      <c r="Z1278" s="147"/>
      <c r="AA1278" s="147"/>
      <c r="AB1278" s="147"/>
      <c r="AC1278" s="147"/>
      <c r="AD1278" s="147"/>
      <c r="AE1278" s="147"/>
      <c r="AF1278" s="147"/>
      <c r="AG1278" s="147"/>
      <c r="AH1278" s="147"/>
      <c r="AI1278" s="147"/>
      <c r="AJ1278" s="147"/>
      <c r="AK1278" s="147"/>
      <c r="AL1278" s="147"/>
      <c r="AM1278" s="147"/>
      <c r="AN1278" s="147"/>
      <c r="AO1278" s="147"/>
      <c r="AP1278" s="147"/>
      <c r="AQ1278" s="147"/>
    </row>
    <row r="1279" spans="1:43">
      <c r="A1279" s="3"/>
      <c r="B1279" s="3"/>
      <c r="C1279" s="3"/>
      <c r="D1279" s="3"/>
      <c r="E1279" s="3"/>
      <c r="F1279" s="3"/>
      <c r="G1279" s="3"/>
      <c r="H1279" s="3"/>
      <c r="I1279" s="3"/>
      <c r="J1279" s="3"/>
      <c r="K1279" s="3"/>
      <c r="L1279" s="3"/>
      <c r="M1279" s="3"/>
      <c r="N1279" s="157"/>
      <c r="O1279" s="157"/>
      <c r="P1279" s="157"/>
      <c r="R1279" s="147"/>
      <c r="S1279" s="147"/>
      <c r="T1279" s="147"/>
      <c r="U1279" s="147"/>
      <c r="X1279" s="147"/>
      <c r="Y1279" s="147"/>
      <c r="Z1279" s="147"/>
      <c r="AA1279" s="147"/>
      <c r="AB1279" s="147"/>
      <c r="AC1279" s="147"/>
      <c r="AD1279" s="147"/>
      <c r="AE1279" s="147"/>
      <c r="AF1279" s="147"/>
      <c r="AG1279" s="147"/>
      <c r="AH1279" s="147"/>
      <c r="AI1279" s="147"/>
      <c r="AJ1279" s="147"/>
      <c r="AK1279" s="147"/>
      <c r="AL1279" s="147"/>
      <c r="AM1279" s="147"/>
      <c r="AN1279" s="147"/>
      <c r="AO1279" s="147"/>
      <c r="AP1279" s="147"/>
      <c r="AQ1279" s="147"/>
    </row>
    <row r="1280" spans="1:43">
      <c r="A1280" s="3"/>
      <c r="B1280" s="3"/>
      <c r="C1280" s="3"/>
      <c r="D1280" s="3"/>
      <c r="E1280" s="3"/>
      <c r="F1280" s="3"/>
      <c r="G1280" s="3"/>
      <c r="H1280" s="3"/>
      <c r="I1280" s="3"/>
      <c r="J1280" s="3"/>
      <c r="K1280" s="3"/>
      <c r="L1280" s="3"/>
      <c r="M1280" s="3"/>
      <c r="N1280" s="157"/>
      <c r="O1280" s="157"/>
      <c r="P1280" s="157"/>
      <c r="R1280" s="147"/>
      <c r="S1280" s="147"/>
      <c r="T1280" s="147"/>
      <c r="U1280" s="147"/>
      <c r="X1280" s="147"/>
      <c r="Y1280" s="147"/>
      <c r="Z1280" s="147"/>
      <c r="AA1280" s="147"/>
      <c r="AB1280" s="147"/>
      <c r="AC1280" s="147"/>
      <c r="AD1280" s="147"/>
      <c r="AE1280" s="147"/>
      <c r="AF1280" s="147"/>
      <c r="AG1280" s="147"/>
      <c r="AH1280" s="147"/>
      <c r="AI1280" s="147"/>
      <c r="AJ1280" s="147"/>
      <c r="AK1280" s="147"/>
      <c r="AL1280" s="147"/>
      <c r="AM1280" s="147"/>
      <c r="AN1280" s="147"/>
      <c r="AO1280" s="147"/>
      <c r="AP1280" s="147"/>
      <c r="AQ1280" s="147"/>
    </row>
    <row r="1281" spans="1:43">
      <c r="A1281" s="3"/>
      <c r="B1281" s="3"/>
      <c r="C1281" s="3"/>
      <c r="D1281" s="3"/>
      <c r="E1281" s="3"/>
      <c r="F1281" s="3"/>
      <c r="G1281" s="3"/>
      <c r="H1281" s="3"/>
      <c r="I1281" s="3"/>
      <c r="J1281" s="3"/>
      <c r="K1281" s="3"/>
      <c r="L1281" s="3"/>
      <c r="M1281" s="3"/>
      <c r="N1281" s="157"/>
      <c r="O1281" s="157"/>
      <c r="P1281" s="157"/>
      <c r="R1281" s="147"/>
      <c r="S1281" s="147"/>
      <c r="T1281" s="147"/>
      <c r="U1281" s="147"/>
      <c r="X1281" s="147"/>
      <c r="Y1281" s="147"/>
      <c r="Z1281" s="147"/>
      <c r="AA1281" s="147"/>
      <c r="AB1281" s="147"/>
      <c r="AC1281" s="147"/>
      <c r="AD1281" s="147"/>
      <c r="AE1281" s="147"/>
      <c r="AF1281" s="147"/>
      <c r="AG1281" s="147"/>
      <c r="AH1281" s="147"/>
      <c r="AI1281" s="147"/>
      <c r="AJ1281" s="147"/>
      <c r="AK1281" s="147"/>
      <c r="AL1281" s="147"/>
      <c r="AM1281" s="147"/>
      <c r="AN1281" s="147"/>
      <c r="AO1281" s="147"/>
      <c r="AP1281" s="147"/>
      <c r="AQ1281" s="147"/>
    </row>
    <row r="1282" spans="1:43">
      <c r="A1282" s="3"/>
      <c r="B1282" s="3"/>
      <c r="C1282" s="3"/>
      <c r="D1282" s="3"/>
      <c r="E1282" s="3"/>
      <c r="F1282" s="3"/>
      <c r="G1282" s="3"/>
      <c r="H1282" s="3"/>
      <c r="I1282" s="3"/>
      <c r="J1282" s="3"/>
      <c r="K1282" s="3"/>
      <c r="L1282" s="3"/>
      <c r="M1282" s="3"/>
      <c r="N1282" s="157"/>
      <c r="O1282" s="157"/>
      <c r="P1282" s="157"/>
      <c r="R1282" s="147"/>
      <c r="S1282" s="147"/>
      <c r="T1282" s="147"/>
      <c r="U1282" s="147"/>
      <c r="X1282" s="147"/>
      <c r="Y1282" s="147"/>
      <c r="Z1282" s="147"/>
      <c r="AA1282" s="147"/>
      <c r="AB1282" s="147"/>
      <c r="AC1282" s="147"/>
      <c r="AD1282" s="147"/>
      <c r="AE1282" s="147"/>
      <c r="AF1282" s="147"/>
      <c r="AG1282" s="147"/>
      <c r="AH1282" s="147"/>
      <c r="AI1282" s="147"/>
      <c r="AJ1282" s="147"/>
      <c r="AK1282" s="147"/>
      <c r="AL1282" s="147"/>
      <c r="AM1282" s="147"/>
      <c r="AN1282" s="147"/>
      <c r="AO1282" s="147"/>
      <c r="AP1282" s="147"/>
      <c r="AQ1282" s="147"/>
    </row>
    <row r="1283" spans="1:43">
      <c r="A1283" s="3"/>
      <c r="B1283" s="3"/>
      <c r="C1283" s="3"/>
      <c r="D1283" s="3"/>
      <c r="E1283" s="3"/>
      <c r="F1283" s="3"/>
      <c r="G1283" s="3"/>
      <c r="H1283" s="3"/>
      <c r="I1283" s="3"/>
      <c r="J1283" s="3"/>
      <c r="K1283" s="3"/>
      <c r="L1283" s="3"/>
      <c r="M1283" s="3"/>
      <c r="N1283" s="157"/>
      <c r="O1283" s="157"/>
      <c r="P1283" s="157"/>
      <c r="R1283" s="147"/>
      <c r="S1283" s="147"/>
      <c r="T1283" s="147"/>
      <c r="U1283" s="147"/>
      <c r="X1283" s="147"/>
      <c r="Y1283" s="147"/>
      <c r="Z1283" s="147"/>
      <c r="AA1283" s="147"/>
      <c r="AB1283" s="147"/>
      <c r="AC1283" s="147"/>
      <c r="AD1283" s="147"/>
      <c r="AE1283" s="147"/>
      <c r="AF1283" s="147"/>
      <c r="AG1283" s="147"/>
      <c r="AH1283" s="147"/>
      <c r="AI1283" s="147"/>
      <c r="AJ1283" s="147"/>
      <c r="AK1283" s="147"/>
      <c r="AL1283" s="147"/>
      <c r="AM1283" s="147"/>
      <c r="AN1283" s="147"/>
      <c r="AO1283" s="147"/>
      <c r="AP1283" s="147"/>
      <c r="AQ1283" s="147"/>
    </row>
    <row r="1284" spans="1:43">
      <c r="A1284" s="3"/>
      <c r="B1284" s="3"/>
      <c r="C1284" s="3"/>
      <c r="D1284" s="3"/>
      <c r="E1284" s="3"/>
      <c r="F1284" s="3"/>
      <c r="G1284" s="3"/>
      <c r="H1284" s="3"/>
      <c r="I1284" s="3"/>
      <c r="J1284" s="3"/>
      <c r="K1284" s="3"/>
      <c r="L1284" s="3"/>
      <c r="M1284" s="3"/>
      <c r="N1284" s="157"/>
      <c r="O1284" s="157"/>
      <c r="P1284" s="157"/>
      <c r="R1284" s="147"/>
      <c r="S1284" s="147"/>
      <c r="T1284" s="147"/>
      <c r="U1284" s="147"/>
      <c r="X1284" s="147"/>
      <c r="Y1284" s="147"/>
      <c r="Z1284" s="147"/>
      <c r="AA1284" s="147"/>
      <c r="AB1284" s="147"/>
      <c r="AC1284" s="147"/>
      <c r="AD1284" s="147"/>
      <c r="AE1284" s="147"/>
      <c r="AF1284" s="147"/>
      <c r="AG1284" s="147"/>
      <c r="AH1284" s="147"/>
      <c r="AI1284" s="147"/>
      <c r="AJ1284" s="147"/>
      <c r="AK1284" s="147"/>
      <c r="AL1284" s="147"/>
      <c r="AM1284" s="147"/>
      <c r="AN1284" s="147"/>
      <c r="AO1284" s="147"/>
      <c r="AP1284" s="147"/>
      <c r="AQ1284" s="147"/>
    </row>
    <row r="1285" spans="1:43">
      <c r="A1285" s="3"/>
      <c r="B1285" s="3"/>
      <c r="C1285" s="3"/>
      <c r="D1285" s="3"/>
      <c r="E1285" s="3"/>
      <c r="F1285" s="3"/>
      <c r="G1285" s="3"/>
      <c r="H1285" s="3"/>
      <c r="I1285" s="3"/>
      <c r="J1285" s="3"/>
      <c r="K1285" s="3"/>
      <c r="L1285" s="3"/>
      <c r="M1285" s="3"/>
      <c r="N1285" s="157"/>
      <c r="O1285" s="157"/>
      <c r="P1285" s="157"/>
      <c r="R1285" s="147"/>
      <c r="S1285" s="147"/>
      <c r="T1285" s="147"/>
      <c r="U1285" s="147"/>
      <c r="X1285" s="147"/>
      <c r="Y1285" s="147"/>
      <c r="Z1285" s="147"/>
      <c r="AA1285" s="147"/>
      <c r="AB1285" s="147"/>
      <c r="AC1285" s="147"/>
      <c r="AD1285" s="147"/>
      <c r="AE1285" s="147"/>
      <c r="AF1285" s="147"/>
      <c r="AG1285" s="147"/>
      <c r="AH1285" s="147"/>
      <c r="AI1285" s="147"/>
      <c r="AJ1285" s="147"/>
      <c r="AK1285" s="147"/>
      <c r="AL1285" s="147"/>
      <c r="AM1285" s="147"/>
      <c r="AN1285" s="147"/>
      <c r="AO1285" s="147"/>
      <c r="AP1285" s="147"/>
      <c r="AQ1285" s="147"/>
    </row>
    <row r="1286" spans="1:43">
      <c r="A1286" s="3"/>
      <c r="B1286" s="3"/>
      <c r="C1286" s="3"/>
      <c r="D1286" s="3"/>
      <c r="E1286" s="3"/>
      <c r="F1286" s="3"/>
      <c r="G1286" s="3"/>
      <c r="H1286" s="3"/>
      <c r="I1286" s="3"/>
      <c r="J1286" s="3"/>
      <c r="K1286" s="3"/>
      <c r="L1286" s="3"/>
      <c r="M1286" s="3"/>
      <c r="N1286" s="157"/>
      <c r="O1286" s="157"/>
      <c r="P1286" s="157"/>
      <c r="R1286" s="147"/>
      <c r="S1286" s="147"/>
      <c r="T1286" s="147"/>
      <c r="U1286" s="147"/>
      <c r="X1286" s="147"/>
      <c r="Y1286" s="147"/>
      <c r="Z1286" s="147"/>
      <c r="AA1286" s="147"/>
      <c r="AB1286" s="147"/>
      <c r="AC1286" s="147"/>
      <c r="AD1286" s="147"/>
      <c r="AE1286" s="147"/>
      <c r="AF1286" s="147"/>
      <c r="AG1286" s="147"/>
      <c r="AH1286" s="147"/>
      <c r="AI1286" s="147"/>
      <c r="AJ1286" s="147"/>
      <c r="AK1286" s="147"/>
      <c r="AL1286" s="147"/>
      <c r="AM1286" s="147"/>
      <c r="AN1286" s="147"/>
      <c r="AO1286" s="147"/>
      <c r="AP1286" s="147"/>
      <c r="AQ1286" s="147"/>
    </row>
    <row r="1287" spans="1:43">
      <c r="A1287" s="3"/>
      <c r="B1287" s="3"/>
      <c r="C1287" s="3"/>
      <c r="D1287" s="3"/>
      <c r="E1287" s="3"/>
      <c r="F1287" s="3"/>
      <c r="G1287" s="3"/>
      <c r="H1287" s="3"/>
      <c r="I1287" s="3"/>
      <c r="J1287" s="3"/>
      <c r="K1287" s="3"/>
      <c r="L1287" s="3"/>
      <c r="M1287" s="3"/>
      <c r="N1287" s="157"/>
      <c r="O1287" s="157"/>
      <c r="P1287" s="157"/>
      <c r="R1287" s="147"/>
      <c r="S1287" s="147"/>
      <c r="T1287" s="147"/>
      <c r="U1287" s="147"/>
      <c r="X1287" s="147"/>
      <c r="Y1287" s="147"/>
      <c r="Z1287" s="147"/>
      <c r="AA1287" s="147"/>
      <c r="AB1287" s="147"/>
      <c r="AC1287" s="147"/>
      <c r="AD1287" s="147"/>
      <c r="AE1287" s="147"/>
      <c r="AF1287" s="147"/>
      <c r="AG1287" s="147"/>
      <c r="AH1287" s="147"/>
      <c r="AI1287" s="147"/>
      <c r="AJ1287" s="147"/>
      <c r="AK1287" s="147"/>
      <c r="AL1287" s="147"/>
      <c r="AM1287" s="147"/>
      <c r="AN1287" s="147"/>
      <c r="AO1287" s="147"/>
      <c r="AP1287" s="147"/>
      <c r="AQ1287" s="147"/>
    </row>
    <row r="1288" spans="1:43">
      <c r="A1288" s="3"/>
      <c r="B1288" s="3"/>
      <c r="C1288" s="3"/>
      <c r="D1288" s="3"/>
      <c r="E1288" s="3"/>
      <c r="F1288" s="3"/>
      <c r="G1288" s="3"/>
      <c r="H1288" s="3"/>
      <c r="I1288" s="3"/>
      <c r="J1288" s="3"/>
      <c r="K1288" s="3"/>
      <c r="L1288" s="3"/>
      <c r="M1288" s="3"/>
      <c r="N1288" s="157"/>
      <c r="O1288" s="157"/>
      <c r="P1288" s="157"/>
      <c r="R1288" s="147"/>
      <c r="S1288" s="147"/>
      <c r="T1288" s="147"/>
      <c r="U1288" s="147"/>
      <c r="X1288" s="147"/>
      <c r="Y1288" s="147"/>
      <c r="Z1288" s="147"/>
      <c r="AA1288" s="147"/>
      <c r="AB1288" s="147"/>
      <c r="AC1288" s="147"/>
      <c r="AD1288" s="147"/>
      <c r="AE1288" s="147"/>
      <c r="AF1288" s="147"/>
      <c r="AG1288" s="147"/>
      <c r="AH1288" s="147"/>
      <c r="AI1288" s="147"/>
      <c r="AJ1288" s="147"/>
      <c r="AK1288" s="147"/>
      <c r="AL1288" s="147"/>
      <c r="AM1288" s="147"/>
      <c r="AN1288" s="147"/>
      <c r="AO1288" s="147"/>
      <c r="AP1288" s="147"/>
      <c r="AQ1288" s="147"/>
    </row>
    <row r="1289" spans="1:43">
      <c r="A1289" s="3"/>
      <c r="B1289" s="3"/>
      <c r="C1289" s="3"/>
      <c r="D1289" s="3"/>
      <c r="E1289" s="3"/>
      <c r="F1289" s="3"/>
      <c r="G1289" s="3"/>
      <c r="H1289" s="3"/>
      <c r="I1289" s="3"/>
      <c r="J1289" s="3"/>
      <c r="K1289" s="3"/>
      <c r="L1289" s="3"/>
      <c r="M1289" s="3"/>
      <c r="N1289" s="157"/>
      <c r="O1289" s="157"/>
      <c r="P1289" s="157"/>
      <c r="R1289" s="147"/>
      <c r="S1289" s="147"/>
      <c r="T1289" s="147"/>
      <c r="U1289" s="147"/>
      <c r="X1289" s="147"/>
      <c r="Y1289" s="147"/>
      <c r="Z1289" s="147"/>
      <c r="AA1289" s="147"/>
      <c r="AB1289" s="147"/>
      <c r="AC1289" s="147"/>
      <c r="AD1289" s="147"/>
      <c r="AE1289" s="147"/>
      <c r="AF1289" s="147"/>
      <c r="AG1289" s="147"/>
      <c r="AH1289" s="147"/>
      <c r="AI1289" s="147"/>
      <c r="AJ1289" s="147"/>
      <c r="AK1289" s="147"/>
      <c r="AL1289" s="147"/>
      <c r="AM1289" s="147"/>
      <c r="AN1289" s="147"/>
      <c r="AO1289" s="147"/>
      <c r="AP1289" s="147"/>
      <c r="AQ1289" s="147"/>
    </row>
    <row r="1290" spans="1:43">
      <c r="A1290" s="3"/>
      <c r="B1290" s="3"/>
      <c r="C1290" s="3"/>
      <c r="D1290" s="3"/>
      <c r="E1290" s="3"/>
      <c r="F1290" s="3"/>
      <c r="G1290" s="3"/>
      <c r="H1290" s="3"/>
      <c r="I1290" s="3"/>
      <c r="J1290" s="3"/>
      <c r="K1290" s="3"/>
      <c r="L1290" s="3"/>
      <c r="M1290" s="3"/>
      <c r="N1290" s="157"/>
      <c r="O1290" s="157"/>
      <c r="P1290" s="157"/>
      <c r="R1290" s="147"/>
      <c r="S1290" s="147"/>
      <c r="T1290" s="147"/>
      <c r="U1290" s="147"/>
      <c r="X1290" s="147"/>
      <c r="Y1290" s="147"/>
      <c r="Z1290" s="147"/>
      <c r="AA1290" s="147"/>
      <c r="AB1290" s="147"/>
      <c r="AC1290" s="147"/>
      <c r="AD1290" s="147"/>
      <c r="AE1290" s="147"/>
      <c r="AF1290" s="147"/>
      <c r="AG1290" s="147"/>
      <c r="AH1290" s="147"/>
      <c r="AI1290" s="147"/>
      <c r="AJ1290" s="147"/>
      <c r="AK1290" s="147"/>
      <c r="AL1290" s="147"/>
      <c r="AM1290" s="147"/>
      <c r="AN1290" s="147"/>
      <c r="AO1290" s="147"/>
      <c r="AP1290" s="147"/>
      <c r="AQ1290" s="147"/>
    </row>
    <row r="1291" spans="1:43">
      <c r="A1291" s="3"/>
      <c r="B1291" s="3"/>
      <c r="C1291" s="3"/>
      <c r="D1291" s="3"/>
      <c r="E1291" s="3"/>
      <c r="F1291" s="3"/>
      <c r="G1291" s="3"/>
      <c r="H1291" s="3"/>
      <c r="I1291" s="3"/>
      <c r="J1291" s="3"/>
      <c r="K1291" s="3"/>
      <c r="L1291" s="3"/>
      <c r="M1291" s="3"/>
      <c r="N1291" s="157"/>
      <c r="O1291" s="157"/>
      <c r="P1291" s="157"/>
      <c r="R1291" s="147"/>
      <c r="S1291" s="147"/>
      <c r="T1291" s="147"/>
      <c r="U1291" s="147"/>
      <c r="X1291" s="147"/>
      <c r="Y1291" s="147"/>
      <c r="Z1291" s="147"/>
      <c r="AA1291" s="147"/>
      <c r="AB1291" s="147"/>
      <c r="AC1291" s="147"/>
      <c r="AD1291" s="147"/>
      <c r="AE1291" s="147"/>
      <c r="AF1291" s="147"/>
      <c r="AG1291" s="147"/>
      <c r="AH1291" s="147"/>
      <c r="AI1291" s="147"/>
      <c r="AJ1291" s="147"/>
      <c r="AK1291" s="147"/>
      <c r="AL1291" s="147"/>
      <c r="AM1291" s="147"/>
      <c r="AN1291" s="147"/>
      <c r="AO1291" s="147"/>
      <c r="AP1291" s="147"/>
      <c r="AQ1291" s="147"/>
    </row>
    <row r="1292" spans="1:43">
      <c r="A1292" s="3"/>
      <c r="B1292" s="3"/>
      <c r="C1292" s="3"/>
      <c r="D1292" s="3"/>
      <c r="E1292" s="3"/>
      <c r="F1292" s="3"/>
      <c r="G1292" s="3"/>
      <c r="H1292" s="3"/>
      <c r="I1292" s="3"/>
      <c r="J1292" s="3"/>
      <c r="K1292" s="3"/>
      <c r="L1292" s="3"/>
      <c r="M1292" s="3"/>
      <c r="N1292" s="157"/>
      <c r="O1292" s="157"/>
      <c r="P1292" s="157"/>
      <c r="R1292" s="147"/>
      <c r="S1292" s="147"/>
      <c r="T1292" s="147"/>
      <c r="U1292" s="147"/>
      <c r="X1292" s="147"/>
      <c r="Y1292" s="147"/>
      <c r="Z1292" s="147"/>
      <c r="AA1292" s="147"/>
      <c r="AB1292" s="147"/>
      <c r="AC1292" s="147"/>
      <c r="AD1292" s="147"/>
      <c r="AE1292" s="147"/>
      <c r="AF1292" s="147"/>
      <c r="AG1292" s="147"/>
      <c r="AH1292" s="147"/>
      <c r="AI1292" s="147"/>
      <c r="AJ1292" s="147"/>
      <c r="AK1292" s="147"/>
      <c r="AL1292" s="147"/>
      <c r="AM1292" s="147"/>
      <c r="AN1292" s="147"/>
      <c r="AO1292" s="147"/>
      <c r="AP1292" s="147"/>
      <c r="AQ1292" s="147"/>
    </row>
    <row r="1293" spans="1:43">
      <c r="A1293" s="3"/>
      <c r="B1293" s="3"/>
      <c r="C1293" s="3"/>
      <c r="D1293" s="3"/>
      <c r="E1293" s="3"/>
      <c r="F1293" s="3"/>
      <c r="G1293" s="3"/>
      <c r="H1293" s="3"/>
      <c r="I1293" s="3"/>
      <c r="J1293" s="3"/>
      <c r="K1293" s="3"/>
      <c r="L1293" s="3"/>
      <c r="M1293" s="3"/>
      <c r="N1293" s="157"/>
      <c r="O1293" s="157"/>
      <c r="P1293" s="157"/>
      <c r="R1293" s="147"/>
      <c r="S1293" s="147"/>
      <c r="T1293" s="147"/>
      <c r="U1293" s="147"/>
      <c r="X1293" s="147"/>
      <c r="Y1293" s="147"/>
      <c r="Z1293" s="147"/>
      <c r="AA1293" s="147"/>
      <c r="AB1293" s="147"/>
      <c r="AC1293" s="147"/>
      <c r="AD1293" s="147"/>
      <c r="AE1293" s="147"/>
      <c r="AF1293" s="147"/>
      <c r="AG1293" s="147"/>
      <c r="AH1293" s="147"/>
      <c r="AI1293" s="147"/>
      <c r="AJ1293" s="147"/>
      <c r="AK1293" s="147"/>
      <c r="AL1293" s="147"/>
      <c r="AM1293" s="147"/>
      <c r="AN1293" s="147"/>
      <c r="AO1293" s="147"/>
      <c r="AP1293" s="147"/>
      <c r="AQ1293" s="147"/>
    </row>
    <row r="1294" spans="1:43">
      <c r="A1294" s="3"/>
      <c r="B1294" s="3"/>
      <c r="C1294" s="3"/>
      <c r="D1294" s="3"/>
      <c r="E1294" s="3"/>
      <c r="F1294" s="3"/>
      <c r="G1294" s="3"/>
      <c r="H1294" s="3"/>
      <c r="I1294" s="3"/>
      <c r="J1294" s="3"/>
      <c r="K1294" s="3"/>
      <c r="L1294" s="3"/>
      <c r="M1294" s="3"/>
      <c r="N1294" s="157"/>
      <c r="O1294" s="157"/>
      <c r="P1294" s="157"/>
      <c r="R1294" s="147"/>
      <c r="S1294" s="147"/>
      <c r="T1294" s="147"/>
      <c r="U1294" s="147"/>
      <c r="X1294" s="147"/>
      <c r="Y1294" s="147"/>
      <c r="Z1294" s="147"/>
      <c r="AA1294" s="147"/>
      <c r="AB1294" s="147"/>
      <c r="AC1294" s="147"/>
      <c r="AD1294" s="147"/>
      <c r="AE1294" s="147"/>
      <c r="AF1294" s="147"/>
      <c r="AG1294" s="147"/>
      <c r="AH1294" s="147"/>
      <c r="AI1294" s="147"/>
      <c r="AJ1294" s="147"/>
      <c r="AK1294" s="147"/>
      <c r="AL1294" s="147"/>
      <c r="AM1294" s="147"/>
      <c r="AN1294" s="147"/>
      <c r="AO1294" s="147"/>
      <c r="AP1294" s="147"/>
      <c r="AQ1294" s="147"/>
    </row>
    <row r="1295" spans="1:43">
      <c r="A1295" s="3"/>
      <c r="B1295" s="3"/>
      <c r="C1295" s="3"/>
      <c r="D1295" s="3"/>
      <c r="E1295" s="3"/>
      <c r="F1295" s="3"/>
      <c r="G1295" s="3"/>
      <c r="H1295" s="3"/>
      <c r="I1295" s="3"/>
      <c r="J1295" s="3"/>
      <c r="K1295" s="3"/>
      <c r="L1295" s="3"/>
      <c r="M1295" s="3"/>
      <c r="N1295" s="157"/>
      <c r="O1295" s="157"/>
      <c r="P1295" s="157"/>
      <c r="R1295" s="147"/>
      <c r="S1295" s="147"/>
      <c r="T1295" s="147"/>
      <c r="U1295" s="147"/>
      <c r="X1295" s="147"/>
      <c r="Y1295" s="147"/>
      <c r="Z1295" s="147"/>
      <c r="AA1295" s="147"/>
      <c r="AB1295" s="147"/>
      <c r="AC1295" s="147"/>
      <c r="AD1295" s="147"/>
      <c r="AE1295" s="147"/>
      <c r="AF1295" s="147"/>
      <c r="AG1295" s="147"/>
      <c r="AH1295" s="147"/>
      <c r="AI1295" s="147"/>
      <c r="AJ1295" s="147"/>
      <c r="AK1295" s="147"/>
      <c r="AL1295" s="147"/>
      <c r="AM1295" s="147"/>
      <c r="AN1295" s="147"/>
      <c r="AO1295" s="147"/>
      <c r="AP1295" s="147"/>
      <c r="AQ1295" s="147"/>
    </row>
    <row r="1296" spans="1:43">
      <c r="A1296" s="3"/>
      <c r="B1296" s="3"/>
      <c r="C1296" s="3"/>
      <c r="D1296" s="3"/>
      <c r="E1296" s="3"/>
      <c r="F1296" s="3"/>
      <c r="G1296" s="3"/>
      <c r="H1296" s="3"/>
      <c r="I1296" s="3"/>
      <c r="J1296" s="3"/>
      <c r="K1296" s="3"/>
      <c r="L1296" s="3"/>
      <c r="M1296" s="3"/>
      <c r="N1296" s="157"/>
      <c r="O1296" s="157"/>
      <c r="P1296" s="157"/>
      <c r="R1296" s="147"/>
      <c r="S1296" s="147"/>
      <c r="T1296" s="147"/>
      <c r="U1296" s="147"/>
      <c r="X1296" s="147"/>
      <c r="Y1296" s="147"/>
      <c r="Z1296" s="147"/>
      <c r="AA1296" s="147"/>
      <c r="AB1296" s="147"/>
      <c r="AC1296" s="147"/>
      <c r="AD1296" s="147"/>
      <c r="AE1296" s="147"/>
      <c r="AF1296" s="147"/>
      <c r="AG1296" s="147"/>
      <c r="AH1296" s="147"/>
      <c r="AI1296" s="147"/>
      <c r="AJ1296" s="147"/>
      <c r="AK1296" s="147"/>
      <c r="AL1296" s="147"/>
      <c r="AM1296" s="147"/>
      <c r="AN1296" s="147"/>
      <c r="AO1296" s="147"/>
      <c r="AP1296" s="147"/>
      <c r="AQ1296" s="147"/>
    </row>
    <row r="1297" spans="1:43">
      <c r="A1297" s="3"/>
      <c r="B1297" s="3"/>
      <c r="C1297" s="3"/>
      <c r="D1297" s="3"/>
      <c r="E1297" s="3"/>
      <c r="F1297" s="3"/>
      <c r="G1297" s="3"/>
      <c r="H1297" s="3"/>
      <c r="I1297" s="3"/>
      <c r="J1297" s="3"/>
      <c r="K1297" s="3"/>
      <c r="L1297" s="3"/>
      <c r="M1297" s="3"/>
      <c r="N1297" s="157"/>
      <c r="O1297" s="157"/>
      <c r="P1297" s="157"/>
      <c r="R1297" s="147"/>
      <c r="S1297" s="147"/>
      <c r="T1297" s="147"/>
      <c r="U1297" s="147"/>
      <c r="X1297" s="147"/>
      <c r="Y1297" s="147"/>
      <c r="Z1297" s="147"/>
      <c r="AA1297" s="147"/>
      <c r="AB1297" s="147"/>
      <c r="AC1297" s="147"/>
      <c r="AD1297" s="147"/>
      <c r="AE1297" s="147"/>
      <c r="AF1297" s="147"/>
      <c r="AG1297" s="147"/>
      <c r="AH1297" s="147"/>
      <c r="AI1297" s="147"/>
      <c r="AJ1297" s="147"/>
      <c r="AK1297" s="147"/>
      <c r="AL1297" s="147"/>
      <c r="AM1297" s="147"/>
      <c r="AN1297" s="147"/>
      <c r="AO1297" s="147"/>
      <c r="AP1297" s="147"/>
      <c r="AQ1297" s="147"/>
    </row>
    <row r="1298" spans="1:43">
      <c r="A1298" s="3"/>
      <c r="B1298" s="3"/>
      <c r="C1298" s="3"/>
      <c r="D1298" s="3"/>
      <c r="E1298" s="3"/>
      <c r="F1298" s="3"/>
      <c r="G1298" s="3"/>
      <c r="H1298" s="3"/>
      <c r="I1298" s="3"/>
      <c r="J1298" s="3"/>
      <c r="K1298" s="3"/>
      <c r="L1298" s="3"/>
      <c r="M1298" s="3"/>
      <c r="N1298" s="157"/>
      <c r="O1298" s="157"/>
      <c r="P1298" s="157"/>
      <c r="R1298" s="147"/>
      <c r="S1298" s="147"/>
      <c r="T1298" s="147"/>
      <c r="U1298" s="147"/>
      <c r="X1298" s="147"/>
      <c r="Y1298" s="147"/>
      <c r="Z1298" s="147"/>
      <c r="AA1298" s="147"/>
      <c r="AB1298" s="147"/>
      <c r="AC1298" s="147"/>
      <c r="AD1298" s="147"/>
      <c r="AE1298" s="147"/>
      <c r="AF1298" s="147"/>
      <c r="AG1298" s="147"/>
      <c r="AH1298" s="147"/>
      <c r="AI1298" s="147"/>
      <c r="AJ1298" s="147"/>
      <c r="AK1298" s="147"/>
      <c r="AL1298" s="147"/>
      <c r="AM1298" s="147"/>
      <c r="AN1298" s="147"/>
      <c r="AO1298" s="147"/>
      <c r="AP1298" s="147"/>
      <c r="AQ1298" s="147"/>
    </row>
    <row r="1299" spans="1:43">
      <c r="A1299" s="3"/>
      <c r="B1299" s="3"/>
      <c r="C1299" s="3"/>
      <c r="D1299" s="3"/>
      <c r="E1299" s="3"/>
      <c r="F1299" s="3"/>
      <c r="G1299" s="3"/>
      <c r="H1299" s="3"/>
      <c r="I1299" s="3"/>
      <c r="J1299" s="3"/>
      <c r="K1299" s="3"/>
      <c r="L1299" s="3"/>
      <c r="M1299" s="3"/>
      <c r="N1299" s="157"/>
      <c r="O1299" s="157"/>
      <c r="P1299" s="157"/>
      <c r="R1299" s="147"/>
      <c r="S1299" s="147"/>
      <c r="T1299" s="147"/>
      <c r="U1299" s="147"/>
      <c r="X1299" s="147"/>
      <c r="Y1299" s="147"/>
      <c r="Z1299" s="147"/>
      <c r="AA1299" s="147"/>
      <c r="AB1299" s="147"/>
      <c r="AC1299" s="147"/>
      <c r="AD1299" s="147"/>
      <c r="AE1299" s="147"/>
      <c r="AF1299" s="147"/>
      <c r="AG1299" s="147"/>
      <c r="AH1299" s="147"/>
      <c r="AI1299" s="147"/>
      <c r="AJ1299" s="147"/>
      <c r="AK1299" s="147"/>
      <c r="AL1299" s="147"/>
      <c r="AM1299" s="147"/>
      <c r="AN1299" s="147"/>
      <c r="AO1299" s="147"/>
      <c r="AP1299" s="147"/>
      <c r="AQ1299" s="147"/>
    </row>
    <row r="1300" spans="1:43">
      <c r="A1300" s="3"/>
      <c r="B1300" s="3"/>
      <c r="C1300" s="3"/>
      <c r="D1300" s="3"/>
      <c r="E1300" s="3"/>
      <c r="F1300" s="3"/>
      <c r="G1300" s="3"/>
      <c r="H1300" s="3"/>
      <c r="I1300" s="3"/>
      <c r="J1300" s="3"/>
      <c r="K1300" s="3"/>
      <c r="L1300" s="3"/>
      <c r="M1300" s="3"/>
      <c r="N1300" s="157"/>
      <c r="O1300" s="157"/>
      <c r="P1300" s="157"/>
      <c r="R1300" s="147"/>
      <c r="S1300" s="147"/>
      <c r="T1300" s="147"/>
      <c r="U1300" s="147"/>
      <c r="X1300" s="147"/>
      <c r="Y1300" s="147"/>
      <c r="Z1300" s="147"/>
      <c r="AA1300" s="147"/>
      <c r="AB1300" s="147"/>
      <c r="AC1300" s="147"/>
      <c r="AD1300" s="147"/>
      <c r="AE1300" s="147"/>
      <c r="AF1300" s="147"/>
      <c r="AG1300" s="147"/>
      <c r="AH1300" s="147"/>
      <c r="AI1300" s="147"/>
      <c r="AJ1300" s="147"/>
      <c r="AK1300" s="147"/>
      <c r="AL1300" s="147"/>
      <c r="AM1300" s="147"/>
      <c r="AN1300" s="147"/>
      <c r="AO1300" s="147"/>
      <c r="AP1300" s="147"/>
      <c r="AQ1300" s="147"/>
    </row>
    <row r="1301" spans="1:43">
      <c r="A1301" s="3"/>
      <c r="B1301" s="3"/>
      <c r="C1301" s="3"/>
      <c r="D1301" s="3"/>
      <c r="E1301" s="3"/>
      <c r="F1301" s="3"/>
      <c r="G1301" s="3"/>
      <c r="H1301" s="3"/>
      <c r="I1301" s="3"/>
      <c r="J1301" s="3"/>
      <c r="K1301" s="3"/>
      <c r="L1301" s="3"/>
      <c r="M1301" s="3"/>
      <c r="N1301" s="157"/>
      <c r="O1301" s="157"/>
      <c r="P1301" s="157"/>
      <c r="R1301" s="147"/>
      <c r="S1301" s="147"/>
      <c r="T1301" s="147"/>
      <c r="U1301" s="147"/>
      <c r="X1301" s="147"/>
      <c r="Y1301" s="147"/>
      <c r="Z1301" s="147"/>
      <c r="AA1301" s="147"/>
      <c r="AB1301" s="147"/>
      <c r="AC1301" s="147"/>
      <c r="AD1301" s="147"/>
      <c r="AE1301" s="147"/>
      <c r="AF1301" s="147"/>
      <c r="AG1301" s="147"/>
      <c r="AH1301" s="147"/>
      <c r="AI1301" s="147"/>
      <c r="AJ1301" s="147"/>
      <c r="AK1301" s="147"/>
      <c r="AL1301" s="147"/>
      <c r="AM1301" s="147"/>
      <c r="AN1301" s="147"/>
      <c r="AO1301" s="147"/>
      <c r="AP1301" s="147"/>
      <c r="AQ1301" s="147"/>
    </row>
    <row r="1302" spans="1:43">
      <c r="A1302" s="3"/>
      <c r="B1302" s="3"/>
      <c r="C1302" s="3"/>
      <c r="D1302" s="3"/>
      <c r="E1302" s="3"/>
      <c r="F1302" s="3"/>
      <c r="G1302" s="3"/>
      <c r="H1302" s="3"/>
      <c r="I1302" s="3"/>
      <c r="J1302" s="3"/>
      <c r="K1302" s="3"/>
      <c r="L1302" s="3"/>
      <c r="M1302" s="3"/>
      <c r="N1302" s="157"/>
      <c r="O1302" s="157"/>
      <c r="P1302" s="157"/>
      <c r="R1302" s="147"/>
      <c r="S1302" s="147"/>
      <c r="T1302" s="147"/>
      <c r="U1302" s="147"/>
      <c r="X1302" s="147"/>
      <c r="Y1302" s="147"/>
      <c r="Z1302" s="147"/>
      <c r="AA1302" s="147"/>
      <c r="AB1302" s="147"/>
      <c r="AC1302" s="147"/>
      <c r="AD1302" s="147"/>
      <c r="AE1302" s="147"/>
      <c r="AF1302" s="147"/>
      <c r="AG1302" s="147"/>
      <c r="AH1302" s="147"/>
      <c r="AI1302" s="147"/>
      <c r="AJ1302" s="147"/>
      <c r="AK1302" s="147"/>
      <c r="AL1302" s="147"/>
      <c r="AM1302" s="147"/>
      <c r="AN1302" s="147"/>
      <c r="AO1302" s="147"/>
      <c r="AP1302" s="147"/>
      <c r="AQ1302" s="147"/>
    </row>
    <row r="1303" spans="1:43">
      <c r="A1303" s="3"/>
      <c r="B1303" s="3"/>
      <c r="C1303" s="3"/>
      <c r="D1303" s="3"/>
      <c r="E1303" s="3"/>
      <c r="F1303" s="3"/>
      <c r="G1303" s="3"/>
      <c r="H1303" s="3"/>
      <c r="I1303" s="3"/>
      <c r="J1303" s="3"/>
      <c r="K1303" s="3"/>
      <c r="L1303" s="3"/>
      <c r="M1303" s="3"/>
      <c r="N1303" s="157"/>
      <c r="O1303" s="157"/>
      <c r="P1303" s="157"/>
      <c r="R1303" s="147"/>
      <c r="S1303" s="147"/>
      <c r="T1303" s="147"/>
      <c r="U1303" s="147"/>
      <c r="X1303" s="147"/>
      <c r="Y1303" s="147"/>
      <c r="Z1303" s="147"/>
      <c r="AA1303" s="147"/>
      <c r="AB1303" s="147"/>
      <c r="AC1303" s="147"/>
      <c r="AD1303" s="147"/>
      <c r="AE1303" s="147"/>
      <c r="AF1303" s="147"/>
      <c r="AG1303" s="147"/>
      <c r="AH1303" s="147"/>
      <c r="AI1303" s="147"/>
      <c r="AJ1303" s="147"/>
      <c r="AK1303" s="147"/>
      <c r="AL1303" s="147"/>
      <c r="AM1303" s="147"/>
      <c r="AN1303" s="147"/>
      <c r="AO1303" s="147"/>
      <c r="AP1303" s="147"/>
      <c r="AQ1303" s="147"/>
    </row>
    <row r="1304" spans="1:43">
      <c r="A1304" s="3"/>
      <c r="B1304" s="3"/>
      <c r="C1304" s="3"/>
      <c r="D1304" s="3"/>
      <c r="E1304" s="3"/>
      <c r="F1304" s="3"/>
      <c r="G1304" s="3"/>
      <c r="H1304" s="3"/>
      <c r="I1304" s="3"/>
      <c r="J1304" s="3"/>
      <c r="K1304" s="3"/>
      <c r="L1304" s="3"/>
      <c r="M1304" s="3"/>
      <c r="N1304" s="157"/>
      <c r="O1304" s="157"/>
      <c r="P1304" s="157"/>
      <c r="R1304" s="147"/>
      <c r="S1304" s="147"/>
      <c r="T1304" s="147"/>
      <c r="U1304" s="147"/>
      <c r="X1304" s="147"/>
      <c r="Y1304" s="147"/>
      <c r="Z1304" s="147"/>
      <c r="AA1304" s="147"/>
      <c r="AB1304" s="147"/>
      <c r="AC1304" s="147"/>
      <c r="AD1304" s="147"/>
      <c r="AE1304" s="147"/>
      <c r="AF1304" s="147"/>
      <c r="AG1304" s="147"/>
      <c r="AH1304" s="147"/>
      <c r="AI1304" s="147"/>
      <c r="AJ1304" s="147"/>
      <c r="AK1304" s="147"/>
      <c r="AL1304" s="147"/>
      <c r="AM1304" s="147"/>
      <c r="AN1304" s="147"/>
      <c r="AO1304" s="147"/>
      <c r="AP1304" s="147"/>
      <c r="AQ1304" s="147"/>
    </row>
    <row r="1305" spans="1:43">
      <c r="A1305" s="3"/>
      <c r="B1305" s="3"/>
      <c r="C1305" s="3"/>
      <c r="D1305" s="3"/>
      <c r="E1305" s="3"/>
      <c r="F1305" s="3"/>
      <c r="G1305" s="3"/>
      <c r="H1305" s="3"/>
      <c r="I1305" s="3"/>
      <c r="J1305" s="3"/>
      <c r="K1305" s="3"/>
      <c r="L1305" s="3"/>
      <c r="M1305" s="3"/>
      <c r="N1305" s="157"/>
      <c r="O1305" s="157"/>
      <c r="P1305" s="157"/>
      <c r="R1305" s="147"/>
      <c r="S1305" s="147"/>
      <c r="T1305" s="147"/>
      <c r="U1305" s="147"/>
      <c r="X1305" s="147"/>
      <c r="Y1305" s="147"/>
      <c r="Z1305" s="147"/>
      <c r="AA1305" s="147"/>
      <c r="AB1305" s="147"/>
      <c r="AC1305" s="147"/>
      <c r="AD1305" s="147"/>
      <c r="AE1305" s="147"/>
      <c r="AF1305" s="147"/>
      <c r="AG1305" s="147"/>
      <c r="AH1305" s="147"/>
      <c r="AI1305" s="147"/>
      <c r="AJ1305" s="147"/>
      <c r="AK1305" s="147"/>
      <c r="AL1305" s="147"/>
      <c r="AM1305" s="147"/>
      <c r="AN1305" s="147"/>
      <c r="AO1305" s="147"/>
      <c r="AP1305" s="147"/>
      <c r="AQ1305" s="147"/>
    </row>
    <row r="1306" spans="1:43">
      <c r="A1306" s="3"/>
      <c r="B1306" s="3"/>
      <c r="C1306" s="3"/>
      <c r="D1306" s="3"/>
      <c r="E1306" s="3"/>
      <c r="F1306" s="3"/>
      <c r="G1306" s="3"/>
      <c r="H1306" s="3"/>
      <c r="I1306" s="3"/>
      <c r="J1306" s="3"/>
      <c r="K1306" s="3"/>
      <c r="L1306" s="3"/>
      <c r="M1306" s="3"/>
      <c r="N1306" s="157"/>
      <c r="O1306" s="157"/>
      <c r="P1306" s="157"/>
      <c r="R1306" s="147"/>
      <c r="S1306" s="147"/>
      <c r="T1306" s="147"/>
      <c r="U1306" s="147"/>
      <c r="X1306" s="147"/>
      <c r="Y1306" s="147"/>
      <c r="Z1306" s="147"/>
      <c r="AA1306" s="147"/>
      <c r="AB1306" s="147"/>
      <c r="AC1306" s="147"/>
      <c r="AD1306" s="147"/>
      <c r="AE1306" s="147"/>
      <c r="AF1306" s="147"/>
      <c r="AG1306" s="147"/>
      <c r="AH1306" s="147"/>
      <c r="AI1306" s="147"/>
      <c r="AJ1306" s="147"/>
      <c r="AK1306" s="147"/>
      <c r="AL1306" s="147"/>
      <c r="AM1306" s="147"/>
      <c r="AN1306" s="147"/>
      <c r="AO1306" s="147"/>
      <c r="AP1306" s="147"/>
      <c r="AQ1306" s="147"/>
    </row>
    <row r="1307" spans="1:43">
      <c r="A1307" s="3"/>
      <c r="B1307" s="3"/>
      <c r="C1307" s="3"/>
      <c r="D1307" s="3"/>
      <c r="E1307" s="3"/>
      <c r="F1307" s="3"/>
      <c r="G1307" s="3"/>
      <c r="H1307" s="3"/>
      <c r="I1307" s="3"/>
      <c r="J1307" s="3"/>
      <c r="K1307" s="3"/>
      <c r="L1307" s="3"/>
      <c r="M1307" s="3"/>
      <c r="N1307" s="157"/>
      <c r="O1307" s="157"/>
      <c r="P1307" s="157"/>
      <c r="R1307" s="147"/>
      <c r="S1307" s="147"/>
      <c r="T1307" s="147"/>
      <c r="U1307" s="147"/>
      <c r="X1307" s="147"/>
      <c r="Y1307" s="147"/>
      <c r="Z1307" s="147"/>
      <c r="AA1307" s="147"/>
      <c r="AB1307" s="147"/>
      <c r="AC1307" s="147"/>
      <c r="AD1307" s="147"/>
      <c r="AE1307" s="147"/>
      <c r="AF1307" s="147"/>
      <c r="AG1307" s="147"/>
      <c r="AH1307" s="147"/>
      <c r="AI1307" s="147"/>
      <c r="AJ1307" s="147"/>
      <c r="AK1307" s="147"/>
      <c r="AL1307" s="147"/>
      <c r="AM1307" s="147"/>
      <c r="AN1307" s="147"/>
      <c r="AO1307" s="147"/>
      <c r="AP1307" s="147"/>
      <c r="AQ1307" s="147"/>
    </row>
    <row r="1308" spans="1:43">
      <c r="A1308" s="3"/>
      <c r="B1308" s="3"/>
      <c r="C1308" s="3"/>
      <c r="D1308" s="3"/>
      <c r="E1308" s="3"/>
      <c r="F1308" s="3"/>
      <c r="G1308" s="3"/>
      <c r="H1308" s="3"/>
      <c r="I1308" s="3"/>
      <c r="J1308" s="3"/>
      <c r="K1308" s="3"/>
      <c r="L1308" s="3"/>
      <c r="M1308" s="3"/>
      <c r="N1308" s="157"/>
      <c r="O1308" s="157"/>
      <c r="P1308" s="157"/>
      <c r="R1308" s="147"/>
      <c r="S1308" s="147"/>
      <c r="T1308" s="147"/>
      <c r="U1308" s="147"/>
      <c r="X1308" s="147"/>
      <c r="Y1308" s="147"/>
      <c r="Z1308" s="147"/>
      <c r="AA1308" s="147"/>
      <c r="AB1308" s="147"/>
      <c r="AC1308" s="147"/>
      <c r="AD1308" s="147"/>
      <c r="AE1308" s="147"/>
      <c r="AF1308" s="147"/>
      <c r="AG1308" s="147"/>
      <c r="AH1308" s="147"/>
      <c r="AI1308" s="147"/>
      <c r="AJ1308" s="147"/>
      <c r="AK1308" s="147"/>
      <c r="AL1308" s="147"/>
      <c r="AM1308" s="147"/>
      <c r="AN1308" s="147"/>
      <c r="AO1308" s="147"/>
      <c r="AP1308" s="147"/>
      <c r="AQ1308" s="147"/>
    </row>
    <row r="1309" spans="1:43">
      <c r="A1309" s="3"/>
      <c r="B1309" s="3"/>
      <c r="C1309" s="3"/>
      <c r="D1309" s="3"/>
      <c r="E1309" s="3"/>
      <c r="F1309" s="3"/>
      <c r="G1309" s="3"/>
      <c r="H1309" s="3"/>
      <c r="I1309" s="3"/>
      <c r="J1309" s="3"/>
      <c r="K1309" s="3"/>
      <c r="L1309" s="3"/>
      <c r="M1309" s="3"/>
      <c r="N1309" s="157"/>
      <c r="O1309" s="157"/>
      <c r="P1309" s="157"/>
      <c r="R1309" s="147"/>
      <c r="S1309" s="147"/>
      <c r="T1309" s="147"/>
      <c r="U1309" s="147"/>
      <c r="X1309" s="147"/>
      <c r="Y1309" s="147"/>
      <c r="Z1309" s="147"/>
      <c r="AA1309" s="147"/>
      <c r="AB1309" s="147"/>
      <c r="AC1309" s="147"/>
      <c r="AD1309" s="147"/>
      <c r="AE1309" s="147"/>
      <c r="AF1309" s="147"/>
      <c r="AG1309" s="147"/>
      <c r="AH1309" s="147"/>
      <c r="AI1309" s="147"/>
      <c r="AJ1309" s="147"/>
      <c r="AK1309" s="147"/>
      <c r="AL1309" s="147"/>
      <c r="AM1309" s="147"/>
      <c r="AN1309" s="147"/>
      <c r="AO1309" s="147"/>
      <c r="AP1309" s="147"/>
      <c r="AQ1309" s="147"/>
    </row>
    <row r="1310" spans="1:43">
      <c r="A1310" s="3"/>
      <c r="B1310" s="3"/>
      <c r="C1310" s="3"/>
      <c r="D1310" s="3"/>
      <c r="E1310" s="3"/>
      <c r="F1310" s="3"/>
      <c r="G1310" s="3"/>
      <c r="H1310" s="3"/>
      <c r="I1310" s="3"/>
      <c r="J1310" s="3"/>
      <c r="K1310" s="3"/>
      <c r="L1310" s="3"/>
      <c r="M1310" s="3"/>
      <c r="N1310" s="157"/>
      <c r="O1310" s="157"/>
      <c r="P1310" s="157"/>
      <c r="R1310" s="147"/>
      <c r="S1310" s="147"/>
      <c r="T1310" s="147"/>
      <c r="U1310" s="147"/>
      <c r="X1310" s="147"/>
      <c r="Y1310" s="147"/>
      <c r="Z1310" s="147"/>
      <c r="AA1310" s="147"/>
      <c r="AB1310" s="147"/>
      <c r="AC1310" s="147"/>
      <c r="AD1310" s="147"/>
      <c r="AE1310" s="147"/>
      <c r="AF1310" s="147"/>
      <c r="AG1310" s="147"/>
      <c r="AH1310" s="147"/>
      <c r="AI1310" s="147"/>
      <c r="AJ1310" s="147"/>
      <c r="AK1310" s="147"/>
      <c r="AL1310" s="147"/>
      <c r="AM1310" s="147"/>
      <c r="AN1310" s="147"/>
      <c r="AO1310" s="147"/>
      <c r="AP1310" s="147"/>
      <c r="AQ1310" s="147"/>
    </row>
    <row r="1311" spans="1:43">
      <c r="A1311" s="3"/>
      <c r="B1311" s="3"/>
      <c r="C1311" s="3"/>
      <c r="D1311" s="3"/>
      <c r="E1311" s="3"/>
      <c r="F1311" s="3"/>
      <c r="G1311" s="3"/>
      <c r="H1311" s="3"/>
      <c r="I1311" s="3"/>
      <c r="J1311" s="3"/>
      <c r="K1311" s="3"/>
      <c r="L1311" s="3"/>
      <c r="M1311" s="3"/>
      <c r="N1311" s="157"/>
      <c r="O1311" s="157"/>
      <c r="P1311" s="157"/>
      <c r="R1311" s="147"/>
      <c r="S1311" s="147"/>
      <c r="T1311" s="147"/>
      <c r="U1311" s="147"/>
      <c r="X1311" s="147"/>
      <c r="Y1311" s="147"/>
      <c r="Z1311" s="147"/>
      <c r="AA1311" s="147"/>
      <c r="AB1311" s="147"/>
      <c r="AC1311" s="147"/>
      <c r="AD1311" s="147"/>
      <c r="AE1311" s="147"/>
      <c r="AF1311" s="147"/>
      <c r="AG1311" s="147"/>
      <c r="AH1311" s="147"/>
      <c r="AI1311" s="147"/>
      <c r="AJ1311" s="147"/>
      <c r="AK1311" s="147"/>
      <c r="AL1311" s="147"/>
      <c r="AM1311" s="147"/>
      <c r="AN1311" s="147"/>
      <c r="AO1311" s="147"/>
      <c r="AP1311" s="147"/>
      <c r="AQ1311" s="147"/>
    </row>
    <row r="1312" spans="1:43">
      <c r="A1312" s="3"/>
      <c r="B1312" s="3"/>
      <c r="C1312" s="3"/>
      <c r="D1312" s="3"/>
      <c r="E1312" s="3"/>
      <c r="F1312" s="3"/>
      <c r="G1312" s="3"/>
      <c r="H1312" s="3"/>
      <c r="I1312" s="3"/>
      <c r="J1312" s="3"/>
      <c r="K1312" s="3"/>
      <c r="L1312" s="3"/>
      <c r="M1312" s="3"/>
      <c r="N1312" s="157"/>
      <c r="O1312" s="157"/>
      <c r="P1312" s="157"/>
      <c r="R1312" s="147"/>
      <c r="S1312" s="147"/>
      <c r="T1312" s="147"/>
      <c r="U1312" s="147"/>
      <c r="X1312" s="147"/>
      <c r="Y1312" s="147"/>
      <c r="Z1312" s="147"/>
      <c r="AA1312" s="147"/>
      <c r="AB1312" s="147"/>
      <c r="AC1312" s="147"/>
      <c r="AD1312" s="147"/>
      <c r="AE1312" s="147"/>
      <c r="AF1312" s="147"/>
      <c r="AG1312" s="147"/>
      <c r="AH1312" s="147"/>
      <c r="AI1312" s="147"/>
      <c r="AJ1312" s="147"/>
      <c r="AK1312" s="147"/>
      <c r="AL1312" s="147"/>
      <c r="AM1312" s="147"/>
      <c r="AN1312" s="147"/>
      <c r="AO1312" s="147"/>
      <c r="AP1312" s="147"/>
      <c r="AQ1312" s="147"/>
    </row>
    <row r="1313" spans="1:43">
      <c r="A1313" s="3"/>
      <c r="B1313" s="3"/>
      <c r="C1313" s="3"/>
      <c r="D1313" s="3"/>
      <c r="E1313" s="3"/>
      <c r="F1313" s="3"/>
      <c r="G1313" s="3"/>
      <c r="H1313" s="3"/>
      <c r="I1313" s="3"/>
      <c r="J1313" s="3"/>
      <c r="K1313" s="3"/>
      <c r="L1313" s="3"/>
      <c r="M1313" s="3"/>
      <c r="N1313" s="157"/>
      <c r="O1313" s="157"/>
      <c r="P1313" s="157"/>
      <c r="R1313" s="147"/>
      <c r="S1313" s="147"/>
      <c r="T1313" s="147"/>
      <c r="U1313" s="147"/>
      <c r="X1313" s="147"/>
      <c r="Y1313" s="147"/>
      <c r="Z1313" s="147"/>
      <c r="AA1313" s="147"/>
      <c r="AB1313" s="147"/>
      <c r="AC1313" s="147"/>
      <c r="AD1313" s="147"/>
      <c r="AE1313" s="147"/>
      <c r="AF1313" s="147"/>
      <c r="AG1313" s="147"/>
      <c r="AH1313" s="147"/>
      <c r="AI1313" s="147"/>
      <c r="AJ1313" s="147"/>
      <c r="AK1313" s="147"/>
      <c r="AL1313" s="147"/>
      <c r="AM1313" s="147"/>
      <c r="AN1313" s="147"/>
      <c r="AO1313" s="147"/>
      <c r="AP1313" s="147"/>
      <c r="AQ1313" s="147"/>
    </row>
    <row r="1314" spans="1:43">
      <c r="A1314" s="3"/>
      <c r="B1314" s="3"/>
      <c r="C1314" s="3"/>
      <c r="D1314" s="3"/>
      <c r="E1314" s="3"/>
      <c r="F1314" s="3"/>
      <c r="G1314" s="3"/>
      <c r="H1314" s="3"/>
      <c r="I1314" s="3"/>
      <c r="J1314" s="3"/>
      <c r="K1314" s="3"/>
      <c r="L1314" s="3"/>
      <c r="M1314" s="3"/>
      <c r="N1314" s="157"/>
      <c r="O1314" s="157"/>
      <c r="P1314" s="157"/>
      <c r="R1314" s="147"/>
      <c r="S1314" s="147"/>
      <c r="T1314" s="147"/>
      <c r="U1314" s="147"/>
      <c r="X1314" s="147"/>
      <c r="Y1314" s="147"/>
      <c r="Z1314" s="147"/>
      <c r="AA1314" s="147"/>
      <c r="AB1314" s="147"/>
      <c r="AC1314" s="147"/>
      <c r="AD1314" s="147"/>
      <c r="AE1314" s="147"/>
      <c r="AF1314" s="147"/>
      <c r="AG1314" s="147"/>
      <c r="AH1314" s="147"/>
      <c r="AI1314" s="147"/>
      <c r="AJ1314" s="147"/>
      <c r="AK1314" s="147"/>
      <c r="AL1314" s="147"/>
      <c r="AM1314" s="147"/>
      <c r="AN1314" s="147"/>
      <c r="AO1314" s="147"/>
      <c r="AP1314" s="147"/>
      <c r="AQ1314" s="147"/>
    </row>
    <row r="1315" spans="1:43">
      <c r="A1315" s="3"/>
      <c r="B1315" s="3"/>
      <c r="C1315" s="3"/>
      <c r="D1315" s="3"/>
      <c r="E1315" s="3"/>
      <c r="F1315" s="3"/>
      <c r="G1315" s="3"/>
      <c r="H1315" s="3"/>
      <c r="I1315" s="3"/>
      <c r="J1315" s="3"/>
      <c r="K1315" s="3"/>
      <c r="L1315" s="3"/>
      <c r="M1315" s="3"/>
      <c r="N1315" s="157"/>
      <c r="O1315" s="157"/>
      <c r="P1315" s="157"/>
      <c r="R1315" s="147"/>
      <c r="S1315" s="147"/>
      <c r="T1315" s="147"/>
      <c r="U1315" s="147"/>
      <c r="X1315" s="147"/>
      <c r="Y1315" s="147"/>
      <c r="Z1315" s="147"/>
      <c r="AA1315" s="147"/>
      <c r="AB1315" s="147"/>
      <c r="AC1315" s="147"/>
      <c r="AD1315" s="147"/>
      <c r="AE1315" s="147"/>
      <c r="AF1315" s="147"/>
      <c r="AG1315" s="147"/>
      <c r="AH1315" s="147"/>
      <c r="AI1315" s="147"/>
      <c r="AJ1315" s="147"/>
      <c r="AK1315" s="147"/>
      <c r="AL1315" s="147"/>
      <c r="AM1315" s="147"/>
      <c r="AN1315" s="147"/>
      <c r="AO1315" s="147"/>
      <c r="AP1315" s="147"/>
      <c r="AQ1315" s="147"/>
    </row>
    <row r="1316" spans="1:43">
      <c r="A1316" s="3"/>
      <c r="B1316" s="3"/>
      <c r="C1316" s="3"/>
      <c r="D1316" s="3"/>
      <c r="E1316" s="3"/>
      <c r="F1316" s="3"/>
      <c r="G1316" s="3"/>
      <c r="H1316" s="3"/>
      <c r="I1316" s="3"/>
      <c r="J1316" s="3"/>
      <c r="K1316" s="3"/>
      <c r="L1316" s="3"/>
      <c r="M1316" s="3"/>
      <c r="N1316" s="157"/>
      <c r="O1316" s="157"/>
      <c r="P1316" s="157"/>
      <c r="R1316" s="147"/>
      <c r="S1316" s="147"/>
      <c r="T1316" s="147"/>
      <c r="U1316" s="147"/>
      <c r="X1316" s="147"/>
      <c r="Y1316" s="147"/>
      <c r="Z1316" s="147"/>
      <c r="AA1316" s="147"/>
      <c r="AB1316" s="147"/>
      <c r="AC1316" s="147"/>
      <c r="AD1316" s="147"/>
      <c r="AE1316" s="147"/>
      <c r="AF1316" s="147"/>
      <c r="AG1316" s="147"/>
      <c r="AH1316" s="147"/>
      <c r="AI1316" s="147"/>
      <c r="AJ1316" s="147"/>
      <c r="AK1316" s="147"/>
      <c r="AL1316" s="147"/>
      <c r="AM1316" s="147"/>
      <c r="AN1316" s="147"/>
      <c r="AO1316" s="147"/>
      <c r="AP1316" s="147"/>
      <c r="AQ1316" s="147"/>
    </row>
    <row r="1317" spans="1:43">
      <c r="A1317" s="3"/>
      <c r="B1317" s="3"/>
      <c r="C1317" s="3"/>
      <c r="D1317" s="3"/>
      <c r="E1317" s="3"/>
      <c r="F1317" s="3"/>
      <c r="G1317" s="3"/>
      <c r="H1317" s="3"/>
      <c r="I1317" s="3"/>
      <c r="J1317" s="3"/>
      <c r="K1317" s="3"/>
      <c r="L1317" s="3"/>
      <c r="M1317" s="3"/>
      <c r="N1317" s="157"/>
      <c r="O1317" s="157"/>
      <c r="P1317" s="157"/>
      <c r="R1317" s="147"/>
      <c r="S1317" s="147"/>
      <c r="T1317" s="147"/>
      <c r="U1317" s="147"/>
      <c r="X1317" s="147"/>
      <c r="Y1317" s="147"/>
      <c r="Z1317" s="147"/>
      <c r="AA1317" s="147"/>
      <c r="AB1317" s="147"/>
      <c r="AC1317" s="147"/>
      <c r="AD1317" s="147"/>
      <c r="AE1317" s="147"/>
      <c r="AF1317" s="147"/>
      <c r="AG1317" s="147"/>
      <c r="AH1317" s="147"/>
      <c r="AI1317" s="147"/>
      <c r="AJ1317" s="147"/>
      <c r="AK1317" s="147"/>
      <c r="AL1317" s="147"/>
      <c r="AM1317" s="147"/>
      <c r="AN1317" s="147"/>
      <c r="AO1317" s="147"/>
      <c r="AP1317" s="147"/>
      <c r="AQ1317" s="147"/>
    </row>
    <row r="1318" spans="1:43">
      <c r="A1318" s="3"/>
      <c r="B1318" s="3"/>
      <c r="C1318" s="3"/>
      <c r="D1318" s="3"/>
      <c r="E1318" s="3"/>
      <c r="F1318" s="3"/>
      <c r="G1318" s="3"/>
      <c r="H1318" s="3"/>
      <c r="I1318" s="3"/>
      <c r="J1318" s="3"/>
      <c r="K1318" s="3"/>
      <c r="L1318" s="3"/>
      <c r="M1318" s="3"/>
      <c r="N1318" s="157"/>
      <c r="O1318" s="157"/>
      <c r="P1318" s="157"/>
      <c r="R1318" s="147"/>
      <c r="S1318" s="147"/>
      <c r="T1318" s="147"/>
      <c r="U1318" s="147"/>
      <c r="X1318" s="147"/>
      <c r="Y1318" s="147"/>
      <c r="Z1318" s="147"/>
      <c r="AA1318" s="147"/>
      <c r="AB1318" s="147"/>
      <c r="AC1318" s="147"/>
      <c r="AD1318" s="147"/>
      <c r="AE1318" s="147"/>
      <c r="AF1318" s="147"/>
      <c r="AG1318" s="147"/>
      <c r="AH1318" s="147"/>
      <c r="AI1318" s="147"/>
      <c r="AJ1318" s="147"/>
      <c r="AK1318" s="147"/>
      <c r="AL1318" s="147"/>
      <c r="AM1318" s="147"/>
      <c r="AN1318" s="147"/>
      <c r="AO1318" s="147"/>
      <c r="AP1318" s="147"/>
      <c r="AQ1318" s="147"/>
    </row>
    <row r="1319" spans="1:43">
      <c r="A1319" s="3"/>
      <c r="B1319" s="3"/>
      <c r="C1319" s="3"/>
      <c r="D1319" s="3"/>
      <c r="E1319" s="3"/>
      <c r="F1319" s="3"/>
      <c r="G1319" s="3"/>
      <c r="H1319" s="3"/>
      <c r="I1319" s="3"/>
      <c r="J1319" s="3"/>
      <c r="K1319" s="3"/>
      <c r="L1319" s="3"/>
      <c r="M1319" s="3"/>
      <c r="N1319" s="157"/>
      <c r="O1319" s="157"/>
      <c r="P1319" s="157"/>
      <c r="R1319" s="147"/>
      <c r="S1319" s="147"/>
      <c r="T1319" s="147"/>
      <c r="U1319" s="147"/>
      <c r="X1319" s="147"/>
      <c r="Y1319" s="147"/>
      <c r="Z1319" s="147"/>
      <c r="AA1319" s="147"/>
      <c r="AB1319" s="147"/>
      <c r="AC1319" s="147"/>
      <c r="AD1319" s="147"/>
      <c r="AE1319" s="147"/>
      <c r="AF1319" s="147"/>
      <c r="AG1319" s="147"/>
      <c r="AH1319" s="147"/>
      <c r="AI1319" s="147"/>
      <c r="AJ1319" s="147"/>
      <c r="AK1319" s="147"/>
      <c r="AL1319" s="147"/>
      <c r="AM1319" s="147"/>
      <c r="AN1319" s="147"/>
      <c r="AO1319" s="147"/>
      <c r="AP1319" s="147"/>
      <c r="AQ1319" s="147"/>
    </row>
    <row r="1320" spans="1:43">
      <c r="A1320" s="3"/>
      <c r="B1320" s="3"/>
      <c r="C1320" s="3"/>
      <c r="D1320" s="3"/>
      <c r="E1320" s="3"/>
      <c r="F1320" s="3"/>
      <c r="G1320" s="3"/>
      <c r="H1320" s="3"/>
      <c r="I1320" s="3"/>
      <c r="J1320" s="3"/>
      <c r="K1320" s="3"/>
      <c r="L1320" s="3"/>
      <c r="M1320" s="3"/>
      <c r="N1320" s="157"/>
      <c r="O1320" s="157"/>
      <c r="P1320" s="157"/>
      <c r="R1320" s="147"/>
      <c r="S1320" s="147"/>
      <c r="T1320" s="147"/>
      <c r="U1320" s="147"/>
      <c r="X1320" s="147"/>
      <c r="Y1320" s="147"/>
      <c r="Z1320" s="147"/>
      <c r="AA1320" s="147"/>
      <c r="AB1320" s="147"/>
      <c r="AC1320" s="147"/>
      <c r="AD1320" s="147"/>
      <c r="AE1320" s="147"/>
      <c r="AF1320" s="147"/>
      <c r="AG1320" s="147"/>
      <c r="AH1320" s="147"/>
      <c r="AI1320" s="147"/>
      <c r="AJ1320" s="147"/>
      <c r="AK1320" s="147"/>
      <c r="AL1320" s="147"/>
      <c r="AM1320" s="147"/>
      <c r="AN1320" s="147"/>
      <c r="AO1320" s="147"/>
      <c r="AP1320" s="147"/>
      <c r="AQ1320" s="147"/>
    </row>
    <row r="1321" spans="1:43">
      <c r="A1321" s="3"/>
      <c r="B1321" s="3"/>
      <c r="C1321" s="3"/>
      <c r="D1321" s="3"/>
      <c r="E1321" s="3"/>
      <c r="F1321" s="3"/>
      <c r="G1321" s="3"/>
      <c r="H1321" s="3"/>
      <c r="I1321" s="3"/>
      <c r="J1321" s="3"/>
      <c r="K1321" s="3"/>
      <c r="L1321" s="3"/>
      <c r="M1321" s="3"/>
      <c r="N1321" s="157"/>
      <c r="O1321" s="157"/>
      <c r="P1321" s="157"/>
      <c r="R1321" s="147"/>
      <c r="S1321" s="147"/>
      <c r="T1321" s="147"/>
      <c r="U1321" s="147"/>
      <c r="X1321" s="147"/>
      <c r="Y1321" s="147"/>
      <c r="Z1321" s="147"/>
      <c r="AA1321" s="147"/>
      <c r="AB1321" s="147"/>
      <c r="AC1321" s="147"/>
      <c r="AD1321" s="147"/>
      <c r="AE1321" s="147"/>
      <c r="AF1321" s="147"/>
      <c r="AG1321" s="147"/>
      <c r="AH1321" s="147"/>
      <c r="AI1321" s="147"/>
      <c r="AJ1321" s="147"/>
      <c r="AK1321" s="147"/>
      <c r="AL1321" s="147"/>
      <c r="AM1321" s="147"/>
      <c r="AN1321" s="147"/>
      <c r="AO1321" s="147"/>
      <c r="AP1321" s="147"/>
      <c r="AQ1321" s="147"/>
    </row>
    <row r="1322" spans="1:43">
      <c r="A1322" s="3"/>
      <c r="B1322" s="3"/>
      <c r="C1322" s="3"/>
      <c r="D1322" s="3"/>
      <c r="E1322" s="3"/>
      <c r="F1322" s="3"/>
      <c r="G1322" s="3"/>
      <c r="H1322" s="3"/>
      <c r="I1322" s="3"/>
      <c r="J1322" s="3"/>
      <c r="K1322" s="3"/>
      <c r="L1322" s="3"/>
      <c r="M1322" s="3"/>
      <c r="N1322" s="157"/>
      <c r="O1322" s="157"/>
      <c r="P1322" s="157"/>
      <c r="R1322" s="147"/>
      <c r="S1322" s="147"/>
      <c r="T1322" s="147"/>
      <c r="U1322" s="147"/>
      <c r="X1322" s="147"/>
      <c r="Y1322" s="147"/>
      <c r="Z1322" s="147"/>
      <c r="AA1322" s="147"/>
      <c r="AB1322" s="147"/>
      <c r="AC1322" s="147"/>
      <c r="AD1322" s="147"/>
      <c r="AE1322" s="147"/>
      <c r="AF1322" s="147"/>
      <c r="AG1322" s="147"/>
      <c r="AH1322" s="147"/>
      <c r="AI1322" s="147"/>
      <c r="AJ1322" s="147"/>
      <c r="AK1322" s="147"/>
      <c r="AL1322" s="147"/>
      <c r="AM1322" s="147"/>
      <c r="AN1322" s="147"/>
      <c r="AO1322" s="147"/>
      <c r="AP1322" s="147"/>
      <c r="AQ1322" s="147"/>
    </row>
    <row r="1323" spans="1:43">
      <c r="A1323" s="3"/>
      <c r="B1323" s="3"/>
      <c r="C1323" s="3"/>
      <c r="D1323" s="3"/>
      <c r="E1323" s="3"/>
      <c r="F1323" s="3"/>
      <c r="G1323" s="3"/>
      <c r="H1323" s="3"/>
      <c r="I1323" s="3"/>
      <c r="J1323" s="3"/>
      <c r="K1323" s="3"/>
      <c r="L1323" s="3"/>
      <c r="M1323" s="3"/>
      <c r="N1323" s="157"/>
      <c r="O1323" s="157"/>
      <c r="P1323" s="157"/>
      <c r="R1323" s="147"/>
      <c r="S1323" s="147"/>
      <c r="T1323" s="147"/>
      <c r="U1323" s="147"/>
      <c r="X1323" s="147"/>
      <c r="Y1323" s="147"/>
      <c r="Z1323" s="147"/>
      <c r="AA1323" s="147"/>
      <c r="AB1323" s="147"/>
      <c r="AC1323" s="147"/>
      <c r="AD1323" s="147"/>
      <c r="AE1323" s="147"/>
      <c r="AF1323" s="147"/>
      <c r="AG1323" s="147"/>
      <c r="AH1323" s="147"/>
      <c r="AI1323" s="147"/>
      <c r="AJ1323" s="147"/>
      <c r="AK1323" s="147"/>
      <c r="AL1323" s="147"/>
      <c r="AM1323" s="147"/>
      <c r="AN1323" s="147"/>
      <c r="AO1323" s="147"/>
      <c r="AP1323" s="147"/>
      <c r="AQ1323" s="147"/>
    </row>
    <row r="1324" spans="1:43">
      <c r="A1324" s="3"/>
      <c r="B1324" s="3"/>
      <c r="C1324" s="3"/>
      <c r="D1324" s="3"/>
      <c r="E1324" s="3"/>
      <c r="F1324" s="3"/>
      <c r="G1324" s="3"/>
      <c r="H1324" s="3"/>
      <c r="I1324" s="3"/>
      <c r="J1324" s="3"/>
      <c r="K1324" s="3"/>
      <c r="L1324" s="3"/>
      <c r="M1324" s="3"/>
      <c r="N1324" s="157"/>
      <c r="O1324" s="157"/>
      <c r="P1324" s="157"/>
      <c r="R1324" s="147"/>
      <c r="S1324" s="147"/>
      <c r="T1324" s="147"/>
      <c r="U1324" s="147"/>
      <c r="X1324" s="147"/>
      <c r="Y1324" s="147"/>
      <c r="Z1324" s="147"/>
      <c r="AA1324" s="147"/>
      <c r="AB1324" s="147"/>
      <c r="AC1324" s="147"/>
      <c r="AD1324" s="147"/>
      <c r="AE1324" s="147"/>
      <c r="AF1324" s="147"/>
      <c r="AG1324" s="147"/>
      <c r="AH1324" s="147"/>
      <c r="AI1324" s="147"/>
      <c r="AJ1324" s="147"/>
      <c r="AK1324" s="147"/>
      <c r="AL1324" s="147"/>
      <c r="AM1324" s="147"/>
      <c r="AN1324" s="147"/>
      <c r="AO1324" s="147"/>
      <c r="AP1324" s="147"/>
      <c r="AQ1324" s="147"/>
    </row>
    <row r="1325" spans="1:43">
      <c r="A1325" s="3"/>
      <c r="B1325" s="3"/>
      <c r="C1325" s="3"/>
      <c r="D1325" s="3"/>
      <c r="E1325" s="3"/>
      <c r="F1325" s="3"/>
      <c r="G1325" s="3"/>
      <c r="H1325" s="3"/>
      <c r="I1325" s="3"/>
      <c r="J1325" s="3"/>
      <c r="K1325" s="3"/>
      <c r="L1325" s="3"/>
      <c r="M1325" s="3"/>
      <c r="N1325" s="157"/>
      <c r="O1325" s="157"/>
      <c r="P1325" s="157"/>
      <c r="R1325" s="147"/>
      <c r="S1325" s="147"/>
      <c r="T1325" s="147"/>
      <c r="U1325" s="147"/>
      <c r="X1325" s="147"/>
      <c r="Y1325" s="147"/>
      <c r="Z1325" s="147"/>
      <c r="AA1325" s="147"/>
      <c r="AB1325" s="147"/>
      <c r="AC1325" s="147"/>
      <c r="AD1325" s="147"/>
      <c r="AE1325" s="147"/>
      <c r="AF1325" s="147"/>
      <c r="AG1325" s="147"/>
      <c r="AH1325" s="147"/>
      <c r="AI1325" s="147"/>
      <c r="AJ1325" s="147"/>
      <c r="AK1325" s="147"/>
      <c r="AL1325" s="147"/>
      <c r="AM1325" s="147"/>
      <c r="AN1325" s="147"/>
      <c r="AO1325" s="147"/>
      <c r="AP1325" s="147"/>
      <c r="AQ1325" s="147"/>
    </row>
    <row r="1326" spans="1:43">
      <c r="A1326" s="3"/>
      <c r="B1326" s="3"/>
      <c r="C1326" s="3"/>
      <c r="D1326" s="3"/>
      <c r="E1326" s="3"/>
      <c r="F1326" s="3"/>
      <c r="G1326" s="3"/>
      <c r="H1326" s="3"/>
      <c r="I1326" s="3"/>
      <c r="J1326" s="3"/>
      <c r="K1326" s="3"/>
      <c r="L1326" s="3"/>
      <c r="M1326" s="3"/>
      <c r="N1326" s="157"/>
      <c r="O1326" s="157"/>
      <c r="P1326" s="157"/>
      <c r="R1326" s="147"/>
      <c r="S1326" s="147"/>
      <c r="T1326" s="147"/>
      <c r="U1326" s="147"/>
      <c r="X1326" s="147"/>
      <c r="Y1326" s="147"/>
      <c r="Z1326" s="147"/>
      <c r="AA1326" s="147"/>
      <c r="AB1326" s="147"/>
      <c r="AC1326" s="147"/>
      <c r="AD1326" s="147"/>
      <c r="AE1326" s="147"/>
      <c r="AF1326" s="147"/>
      <c r="AG1326" s="147"/>
      <c r="AH1326" s="147"/>
      <c r="AI1326" s="147"/>
      <c r="AJ1326" s="147"/>
      <c r="AK1326" s="147"/>
      <c r="AL1326" s="147"/>
      <c r="AM1326" s="147"/>
      <c r="AN1326" s="147"/>
      <c r="AO1326" s="147"/>
      <c r="AP1326" s="147"/>
      <c r="AQ1326" s="147"/>
    </row>
    <row r="1327" spans="1:43">
      <c r="A1327" s="3"/>
      <c r="B1327" s="3"/>
      <c r="C1327" s="3"/>
      <c r="D1327" s="3"/>
      <c r="E1327" s="3"/>
      <c r="F1327" s="3"/>
      <c r="G1327" s="3"/>
      <c r="H1327" s="3"/>
      <c r="I1327" s="3"/>
      <c r="J1327" s="3"/>
      <c r="K1327" s="3"/>
      <c r="L1327" s="3"/>
      <c r="M1327" s="3"/>
      <c r="N1327" s="157"/>
      <c r="O1327" s="157"/>
      <c r="P1327" s="157"/>
      <c r="R1327" s="147"/>
      <c r="S1327" s="147"/>
      <c r="T1327" s="147"/>
      <c r="U1327" s="147"/>
      <c r="X1327" s="147"/>
      <c r="Y1327" s="147"/>
      <c r="Z1327" s="147"/>
      <c r="AA1327" s="147"/>
      <c r="AB1327" s="147"/>
      <c r="AC1327" s="147"/>
      <c r="AD1327" s="147"/>
      <c r="AE1327" s="147"/>
      <c r="AF1327" s="147"/>
      <c r="AG1327" s="147"/>
      <c r="AH1327" s="147"/>
      <c r="AI1327" s="147"/>
      <c r="AJ1327" s="147"/>
      <c r="AK1327" s="147"/>
      <c r="AL1327" s="147"/>
      <c r="AM1327" s="147"/>
      <c r="AN1327" s="147"/>
      <c r="AO1327" s="147"/>
      <c r="AP1327" s="147"/>
      <c r="AQ1327" s="147"/>
    </row>
    <row r="1328" spans="1:43">
      <c r="A1328" s="3"/>
      <c r="B1328" s="3"/>
      <c r="C1328" s="3"/>
      <c r="D1328" s="3"/>
      <c r="E1328" s="3"/>
      <c r="F1328" s="3"/>
      <c r="G1328" s="3"/>
      <c r="H1328" s="3"/>
      <c r="I1328" s="3"/>
      <c r="J1328" s="3"/>
      <c r="K1328" s="3"/>
      <c r="L1328" s="3"/>
      <c r="M1328" s="3"/>
      <c r="N1328" s="157"/>
      <c r="O1328" s="157"/>
      <c r="P1328" s="157"/>
      <c r="R1328" s="147"/>
      <c r="S1328" s="147"/>
      <c r="T1328" s="147"/>
      <c r="U1328" s="147"/>
      <c r="X1328" s="147"/>
      <c r="Y1328" s="147"/>
      <c r="Z1328" s="147"/>
      <c r="AA1328" s="147"/>
      <c r="AB1328" s="147"/>
      <c r="AC1328" s="147"/>
      <c r="AD1328" s="147"/>
      <c r="AE1328" s="147"/>
      <c r="AF1328" s="147"/>
      <c r="AG1328" s="147"/>
      <c r="AH1328" s="147"/>
      <c r="AI1328" s="147"/>
      <c r="AJ1328" s="147"/>
      <c r="AK1328" s="147"/>
      <c r="AL1328" s="147"/>
      <c r="AM1328" s="147"/>
      <c r="AN1328" s="147"/>
      <c r="AO1328" s="147"/>
      <c r="AP1328" s="147"/>
      <c r="AQ1328" s="147"/>
    </row>
    <row r="1329" spans="1:43">
      <c r="A1329" s="3"/>
      <c r="B1329" s="3"/>
      <c r="C1329" s="3"/>
      <c r="D1329" s="3"/>
      <c r="E1329" s="3"/>
      <c r="F1329" s="3"/>
      <c r="G1329" s="3"/>
      <c r="H1329" s="3"/>
      <c r="I1329" s="3"/>
      <c r="J1329" s="3"/>
      <c r="K1329" s="3"/>
      <c r="L1329" s="3"/>
      <c r="M1329" s="3"/>
      <c r="N1329" s="157"/>
      <c r="O1329" s="157"/>
      <c r="P1329" s="157"/>
      <c r="R1329" s="147"/>
      <c r="S1329" s="147"/>
      <c r="T1329" s="147"/>
      <c r="U1329" s="147"/>
      <c r="X1329" s="147"/>
      <c r="Y1329" s="147"/>
      <c r="Z1329" s="147"/>
      <c r="AA1329" s="147"/>
      <c r="AB1329" s="147"/>
      <c r="AC1329" s="147"/>
      <c r="AD1329" s="147"/>
      <c r="AE1329" s="147"/>
      <c r="AF1329" s="147"/>
      <c r="AG1329" s="147"/>
      <c r="AH1329" s="147"/>
      <c r="AI1329" s="147"/>
      <c r="AJ1329" s="147"/>
      <c r="AK1329" s="147"/>
      <c r="AL1329" s="147"/>
      <c r="AM1329" s="147"/>
      <c r="AN1329" s="147"/>
      <c r="AO1329" s="147"/>
      <c r="AP1329" s="147"/>
      <c r="AQ1329" s="147"/>
    </row>
    <row r="1330" spans="1:43">
      <c r="A1330" s="3"/>
      <c r="B1330" s="3"/>
      <c r="C1330" s="3"/>
      <c r="D1330" s="3"/>
      <c r="E1330" s="3"/>
      <c r="F1330" s="3"/>
      <c r="G1330" s="3"/>
      <c r="H1330" s="3"/>
      <c r="I1330" s="3"/>
      <c r="J1330" s="3"/>
      <c r="K1330" s="3"/>
      <c r="L1330" s="3"/>
      <c r="M1330" s="3"/>
      <c r="N1330" s="157"/>
      <c r="O1330" s="157"/>
      <c r="P1330" s="157"/>
      <c r="R1330" s="147"/>
      <c r="S1330" s="147"/>
      <c r="T1330" s="147"/>
      <c r="U1330" s="147"/>
      <c r="X1330" s="147"/>
      <c r="Y1330" s="147"/>
      <c r="Z1330" s="147"/>
      <c r="AA1330" s="147"/>
      <c r="AB1330" s="147"/>
      <c r="AC1330" s="147"/>
      <c r="AD1330" s="147"/>
      <c r="AE1330" s="147"/>
      <c r="AF1330" s="147"/>
      <c r="AG1330" s="147"/>
      <c r="AH1330" s="147"/>
      <c r="AI1330" s="147"/>
      <c r="AJ1330" s="147"/>
      <c r="AK1330" s="147"/>
      <c r="AL1330" s="147"/>
      <c r="AM1330" s="147"/>
      <c r="AN1330" s="147"/>
      <c r="AO1330" s="147"/>
      <c r="AP1330" s="147"/>
      <c r="AQ1330" s="147"/>
    </row>
    <row r="1331" spans="1:43">
      <c r="A1331" s="3"/>
      <c r="B1331" s="3"/>
      <c r="C1331" s="3"/>
      <c r="D1331" s="3"/>
      <c r="E1331" s="3"/>
      <c r="F1331" s="3"/>
      <c r="G1331" s="3"/>
      <c r="H1331" s="3"/>
      <c r="I1331" s="3"/>
      <c r="J1331" s="3"/>
      <c r="K1331" s="3"/>
      <c r="L1331" s="3"/>
      <c r="M1331" s="3"/>
      <c r="N1331" s="157"/>
      <c r="O1331" s="157"/>
      <c r="P1331" s="157"/>
      <c r="R1331" s="147"/>
      <c r="S1331" s="147"/>
      <c r="T1331" s="147"/>
      <c r="U1331" s="147"/>
      <c r="X1331" s="147"/>
      <c r="Y1331" s="147"/>
      <c r="Z1331" s="147"/>
      <c r="AA1331" s="147"/>
      <c r="AB1331" s="147"/>
      <c r="AC1331" s="147"/>
      <c r="AD1331" s="147"/>
      <c r="AE1331" s="147"/>
      <c r="AF1331" s="147"/>
      <c r="AG1331" s="147"/>
      <c r="AH1331" s="147"/>
      <c r="AI1331" s="147"/>
      <c r="AJ1331" s="147"/>
      <c r="AK1331" s="147"/>
      <c r="AL1331" s="147"/>
      <c r="AM1331" s="147"/>
      <c r="AN1331" s="147"/>
      <c r="AO1331" s="147"/>
      <c r="AP1331" s="147"/>
      <c r="AQ1331" s="147"/>
    </row>
    <row r="1332" spans="1:43">
      <c r="A1332" s="3"/>
      <c r="B1332" s="3"/>
      <c r="C1332" s="3"/>
      <c r="D1332" s="3"/>
      <c r="E1332" s="3"/>
      <c r="F1332" s="3"/>
      <c r="G1332" s="3"/>
      <c r="H1332" s="3"/>
      <c r="I1332" s="3"/>
      <c r="J1332" s="3"/>
      <c r="K1332" s="3"/>
      <c r="L1332" s="3"/>
      <c r="M1332" s="3"/>
      <c r="N1332" s="157"/>
      <c r="O1332" s="157"/>
      <c r="P1332" s="157"/>
      <c r="R1332" s="147"/>
      <c r="S1332" s="147"/>
      <c r="T1332" s="147"/>
      <c r="U1332" s="147"/>
      <c r="X1332" s="147"/>
      <c r="Y1332" s="147"/>
      <c r="Z1332" s="147"/>
      <c r="AA1332" s="147"/>
      <c r="AB1332" s="147"/>
      <c r="AC1332" s="147"/>
      <c r="AD1332" s="147"/>
      <c r="AE1332" s="147"/>
      <c r="AF1332" s="147"/>
      <c r="AG1332" s="147"/>
      <c r="AH1332" s="147"/>
      <c r="AI1332" s="147"/>
      <c r="AJ1332" s="147"/>
      <c r="AK1332" s="147"/>
      <c r="AL1332" s="147"/>
      <c r="AM1332" s="147"/>
      <c r="AN1332" s="147"/>
      <c r="AO1332" s="147"/>
      <c r="AP1332" s="147"/>
      <c r="AQ1332" s="147"/>
    </row>
    <row r="1333" spans="1:43">
      <c r="A1333" s="3"/>
      <c r="B1333" s="3"/>
      <c r="C1333" s="3"/>
      <c r="D1333" s="3"/>
      <c r="E1333" s="3"/>
      <c r="F1333" s="3"/>
      <c r="G1333" s="3"/>
      <c r="H1333" s="3"/>
      <c r="I1333" s="3"/>
      <c r="J1333" s="3"/>
      <c r="K1333" s="3"/>
      <c r="L1333" s="3"/>
      <c r="M1333" s="3"/>
      <c r="N1333" s="157"/>
      <c r="O1333" s="157"/>
      <c r="P1333" s="157"/>
      <c r="R1333" s="147"/>
      <c r="S1333" s="147"/>
      <c r="T1333" s="147"/>
      <c r="U1333" s="147"/>
      <c r="X1333" s="147"/>
      <c r="Y1333" s="147"/>
      <c r="Z1333" s="147"/>
      <c r="AA1333" s="147"/>
      <c r="AB1333" s="147"/>
      <c r="AC1333" s="147"/>
      <c r="AD1333" s="147"/>
      <c r="AE1333" s="147"/>
      <c r="AF1333" s="147"/>
      <c r="AG1333" s="147"/>
      <c r="AH1333" s="147"/>
      <c r="AI1333" s="147"/>
      <c r="AJ1333" s="147"/>
      <c r="AK1333" s="147"/>
      <c r="AL1333" s="147"/>
      <c r="AM1333" s="147"/>
      <c r="AN1333" s="147"/>
      <c r="AO1333" s="147"/>
      <c r="AP1333" s="147"/>
      <c r="AQ1333" s="147"/>
    </row>
    <row r="1334" spans="1:43">
      <c r="A1334" s="3"/>
      <c r="B1334" s="3"/>
      <c r="C1334" s="3"/>
      <c r="D1334" s="3"/>
      <c r="E1334" s="3"/>
      <c r="F1334" s="3"/>
      <c r="G1334" s="3"/>
      <c r="H1334" s="3"/>
      <c r="I1334" s="3"/>
      <c r="J1334" s="3"/>
      <c r="K1334" s="3"/>
      <c r="L1334" s="3"/>
      <c r="M1334" s="3"/>
      <c r="N1334" s="157"/>
      <c r="O1334" s="157"/>
      <c r="P1334" s="157"/>
      <c r="R1334" s="147"/>
      <c r="S1334" s="147"/>
      <c r="T1334" s="147"/>
      <c r="U1334" s="147"/>
      <c r="X1334" s="147"/>
      <c r="Y1334" s="147"/>
      <c r="Z1334" s="147"/>
      <c r="AA1334" s="147"/>
      <c r="AB1334" s="147"/>
      <c r="AC1334" s="147"/>
      <c r="AD1334" s="147"/>
      <c r="AE1334" s="147"/>
      <c r="AF1334" s="147"/>
      <c r="AG1334" s="147"/>
      <c r="AH1334" s="147"/>
      <c r="AI1334" s="147"/>
      <c r="AJ1334" s="147"/>
      <c r="AK1334" s="147"/>
      <c r="AL1334" s="147"/>
      <c r="AM1334" s="147"/>
      <c r="AN1334" s="147"/>
      <c r="AO1334" s="147"/>
      <c r="AP1334" s="147"/>
      <c r="AQ1334" s="147"/>
    </row>
    <row r="1335" spans="1:43">
      <c r="A1335" s="3"/>
      <c r="B1335" s="3"/>
      <c r="C1335" s="3"/>
      <c r="D1335" s="3"/>
      <c r="E1335" s="3"/>
      <c r="F1335" s="3"/>
      <c r="G1335" s="3"/>
      <c r="H1335" s="3"/>
      <c r="I1335" s="3"/>
      <c r="J1335" s="3"/>
      <c r="K1335" s="3"/>
      <c r="L1335" s="3"/>
      <c r="M1335" s="3"/>
      <c r="N1335" s="157"/>
      <c r="O1335" s="157"/>
      <c r="P1335" s="157"/>
      <c r="R1335" s="147"/>
      <c r="S1335" s="147"/>
      <c r="T1335" s="147"/>
      <c r="U1335" s="147"/>
      <c r="X1335" s="147"/>
      <c r="Y1335" s="147"/>
      <c r="Z1335" s="147"/>
      <c r="AA1335" s="147"/>
      <c r="AB1335" s="147"/>
      <c r="AC1335" s="147"/>
      <c r="AD1335" s="147"/>
      <c r="AE1335" s="147"/>
      <c r="AF1335" s="147"/>
      <c r="AG1335" s="147"/>
      <c r="AH1335" s="147"/>
      <c r="AI1335" s="147"/>
      <c r="AJ1335" s="147"/>
      <c r="AK1335" s="147"/>
      <c r="AL1335" s="147"/>
      <c r="AM1335" s="147"/>
      <c r="AN1335" s="147"/>
      <c r="AO1335" s="147"/>
      <c r="AP1335" s="147"/>
      <c r="AQ1335" s="147"/>
    </row>
    <row r="1336" spans="1:43">
      <c r="A1336" s="3"/>
      <c r="B1336" s="3"/>
      <c r="C1336" s="3"/>
      <c r="D1336" s="3"/>
      <c r="E1336" s="3"/>
      <c r="F1336" s="3"/>
      <c r="G1336" s="3"/>
      <c r="H1336" s="3"/>
      <c r="I1336" s="3"/>
      <c r="J1336" s="3"/>
      <c r="K1336" s="3"/>
      <c r="L1336" s="3"/>
      <c r="M1336" s="3"/>
      <c r="N1336" s="157"/>
      <c r="O1336" s="157"/>
      <c r="P1336" s="157"/>
      <c r="R1336" s="147"/>
      <c r="S1336" s="147"/>
      <c r="T1336" s="147"/>
      <c r="U1336" s="147"/>
      <c r="X1336" s="147"/>
      <c r="Y1336" s="147"/>
      <c r="Z1336" s="147"/>
      <c r="AA1336" s="147"/>
      <c r="AB1336" s="147"/>
      <c r="AC1336" s="147"/>
      <c r="AD1336" s="147"/>
      <c r="AE1336" s="147"/>
      <c r="AF1336" s="147"/>
      <c r="AG1336" s="147"/>
      <c r="AH1336" s="147"/>
      <c r="AI1336" s="147"/>
      <c r="AJ1336" s="147"/>
      <c r="AK1336" s="147"/>
      <c r="AL1336" s="147"/>
      <c r="AM1336" s="147"/>
      <c r="AN1336" s="147"/>
      <c r="AO1336" s="147"/>
      <c r="AP1336" s="147"/>
      <c r="AQ1336" s="147"/>
    </row>
    <row r="1337" spans="1:43">
      <c r="A1337" s="3"/>
      <c r="B1337" s="3"/>
      <c r="C1337" s="3"/>
      <c r="D1337" s="3"/>
      <c r="E1337" s="3"/>
      <c r="F1337" s="3"/>
      <c r="G1337" s="3"/>
      <c r="H1337" s="3"/>
      <c r="I1337" s="3"/>
      <c r="J1337" s="3"/>
      <c r="K1337" s="3"/>
      <c r="L1337" s="3"/>
      <c r="M1337" s="3"/>
      <c r="N1337" s="157"/>
      <c r="O1337" s="157"/>
      <c r="P1337" s="157"/>
      <c r="R1337" s="147"/>
      <c r="S1337" s="147"/>
      <c r="T1337" s="147"/>
      <c r="U1337" s="147"/>
      <c r="X1337" s="147"/>
      <c r="Y1337" s="147"/>
      <c r="Z1337" s="147"/>
      <c r="AA1337" s="147"/>
      <c r="AB1337" s="147"/>
      <c r="AC1337" s="147"/>
      <c r="AD1337" s="147"/>
      <c r="AE1337" s="147"/>
      <c r="AF1337" s="147"/>
      <c r="AG1337" s="147"/>
      <c r="AH1337" s="147"/>
      <c r="AI1337" s="147"/>
      <c r="AJ1337" s="147"/>
      <c r="AK1337" s="147"/>
      <c r="AL1337" s="147"/>
      <c r="AM1337" s="147"/>
      <c r="AN1337" s="147"/>
      <c r="AO1337" s="147"/>
      <c r="AP1337" s="147"/>
      <c r="AQ1337" s="147"/>
    </row>
    <row r="1338" spans="1:43">
      <c r="A1338" s="3"/>
      <c r="B1338" s="3"/>
      <c r="C1338" s="3"/>
      <c r="D1338" s="3"/>
      <c r="E1338" s="3"/>
      <c r="F1338" s="3"/>
      <c r="G1338" s="3"/>
      <c r="H1338" s="3"/>
      <c r="I1338" s="3"/>
      <c r="J1338" s="3"/>
      <c r="K1338" s="3"/>
      <c r="L1338" s="3"/>
      <c r="M1338" s="3"/>
      <c r="N1338" s="157"/>
      <c r="O1338" s="157"/>
      <c r="P1338" s="157"/>
      <c r="R1338" s="147"/>
      <c r="S1338" s="147"/>
      <c r="T1338" s="147"/>
      <c r="U1338" s="147"/>
      <c r="X1338" s="147"/>
      <c r="Y1338" s="147"/>
      <c r="Z1338" s="147"/>
      <c r="AA1338" s="147"/>
      <c r="AB1338" s="147"/>
      <c r="AC1338" s="147"/>
      <c r="AD1338" s="147"/>
      <c r="AE1338" s="147"/>
      <c r="AF1338" s="147"/>
      <c r="AG1338" s="147"/>
      <c r="AH1338" s="147"/>
      <c r="AI1338" s="147"/>
      <c r="AJ1338" s="147"/>
      <c r="AK1338" s="147"/>
      <c r="AL1338" s="147"/>
      <c r="AM1338" s="147"/>
      <c r="AN1338" s="147"/>
      <c r="AO1338" s="147"/>
      <c r="AP1338" s="147"/>
      <c r="AQ1338" s="147"/>
    </row>
    <row r="1339" spans="1:43">
      <c r="A1339" s="3"/>
      <c r="B1339" s="3"/>
      <c r="C1339" s="3"/>
      <c r="D1339" s="3"/>
      <c r="E1339" s="3"/>
      <c r="F1339" s="3"/>
      <c r="G1339" s="3"/>
      <c r="H1339" s="3"/>
      <c r="I1339" s="3"/>
      <c r="J1339" s="3"/>
      <c r="K1339" s="3"/>
      <c r="L1339" s="3"/>
      <c r="M1339" s="3"/>
      <c r="N1339" s="157"/>
      <c r="O1339" s="157"/>
      <c r="P1339" s="157"/>
      <c r="R1339" s="147"/>
      <c r="S1339" s="147"/>
      <c r="T1339" s="147"/>
      <c r="U1339" s="147"/>
      <c r="X1339" s="147"/>
      <c r="Y1339" s="147"/>
      <c r="Z1339" s="147"/>
      <c r="AA1339" s="147"/>
      <c r="AB1339" s="147"/>
      <c r="AC1339" s="147"/>
      <c r="AD1339" s="147"/>
      <c r="AE1339" s="147"/>
      <c r="AF1339" s="147"/>
      <c r="AG1339" s="147"/>
      <c r="AH1339" s="147"/>
      <c r="AI1339" s="147"/>
      <c r="AJ1339" s="147"/>
      <c r="AK1339" s="147"/>
      <c r="AL1339" s="147"/>
      <c r="AM1339" s="147"/>
      <c r="AN1339" s="147"/>
      <c r="AO1339" s="147"/>
      <c r="AP1339" s="147"/>
      <c r="AQ1339" s="147"/>
    </row>
    <row r="1340" spans="1:43">
      <c r="A1340" s="3"/>
      <c r="B1340" s="3"/>
      <c r="C1340" s="3"/>
      <c r="D1340" s="3"/>
      <c r="E1340" s="3"/>
      <c r="F1340" s="3"/>
      <c r="G1340" s="3"/>
      <c r="H1340" s="3"/>
      <c r="I1340" s="3"/>
      <c r="J1340" s="3"/>
      <c r="K1340" s="3"/>
      <c r="L1340" s="3"/>
      <c r="M1340" s="3"/>
      <c r="N1340" s="157"/>
      <c r="O1340" s="157"/>
      <c r="P1340" s="157"/>
      <c r="R1340" s="147"/>
      <c r="S1340" s="147"/>
      <c r="T1340" s="147"/>
      <c r="U1340" s="147"/>
      <c r="X1340" s="147"/>
      <c r="Y1340" s="147"/>
      <c r="Z1340" s="147"/>
      <c r="AA1340" s="147"/>
      <c r="AB1340" s="147"/>
      <c r="AC1340" s="147"/>
      <c r="AD1340" s="147"/>
      <c r="AE1340" s="147"/>
      <c r="AF1340" s="147"/>
      <c r="AG1340" s="147"/>
      <c r="AH1340" s="147"/>
      <c r="AI1340" s="147"/>
      <c r="AJ1340" s="147"/>
      <c r="AK1340" s="147"/>
      <c r="AL1340" s="147"/>
      <c r="AM1340" s="147"/>
      <c r="AN1340" s="147"/>
      <c r="AO1340" s="147"/>
      <c r="AP1340" s="147"/>
      <c r="AQ1340" s="147"/>
    </row>
    <row r="1341" spans="1:43">
      <c r="A1341" s="3"/>
      <c r="B1341" s="3"/>
      <c r="C1341" s="3"/>
      <c r="D1341" s="3"/>
      <c r="E1341" s="3"/>
      <c r="F1341" s="3"/>
      <c r="G1341" s="3"/>
      <c r="H1341" s="3"/>
      <c r="I1341" s="3"/>
      <c r="J1341" s="3"/>
      <c r="K1341" s="3"/>
      <c r="L1341" s="3"/>
      <c r="M1341" s="3"/>
      <c r="N1341" s="157"/>
      <c r="O1341" s="157"/>
      <c r="P1341" s="157"/>
      <c r="R1341" s="147"/>
      <c r="S1341" s="147"/>
      <c r="T1341" s="147"/>
      <c r="U1341" s="147"/>
      <c r="X1341" s="147"/>
      <c r="Y1341" s="147"/>
      <c r="Z1341" s="147"/>
      <c r="AA1341" s="147"/>
      <c r="AB1341" s="147"/>
      <c r="AC1341" s="147"/>
      <c r="AD1341" s="147"/>
      <c r="AE1341" s="147"/>
      <c r="AF1341" s="147"/>
      <c r="AG1341" s="147"/>
      <c r="AH1341" s="147"/>
      <c r="AI1341" s="147"/>
      <c r="AJ1341" s="147"/>
      <c r="AK1341" s="147"/>
      <c r="AL1341" s="147"/>
      <c r="AM1341" s="147"/>
      <c r="AN1341" s="147"/>
      <c r="AO1341" s="147"/>
      <c r="AP1341" s="147"/>
      <c r="AQ1341" s="147"/>
    </row>
    <row r="1342" spans="1:43">
      <c r="A1342" s="3"/>
      <c r="B1342" s="3"/>
      <c r="C1342" s="3"/>
      <c r="D1342" s="3"/>
      <c r="E1342" s="3"/>
      <c r="F1342" s="3"/>
      <c r="G1342" s="3"/>
      <c r="H1342" s="3"/>
      <c r="I1342" s="3"/>
      <c r="J1342" s="3"/>
      <c r="K1342" s="3"/>
      <c r="L1342" s="3"/>
      <c r="M1342" s="3"/>
      <c r="N1342" s="157"/>
      <c r="O1342" s="157"/>
      <c r="P1342" s="157"/>
      <c r="R1342" s="147"/>
      <c r="S1342" s="147"/>
      <c r="T1342" s="147"/>
      <c r="U1342" s="147"/>
      <c r="X1342" s="147"/>
      <c r="Y1342" s="147"/>
      <c r="Z1342" s="147"/>
      <c r="AA1342" s="147"/>
      <c r="AB1342" s="147"/>
      <c r="AC1342" s="147"/>
      <c r="AD1342" s="147"/>
      <c r="AE1342" s="147"/>
      <c r="AF1342" s="147"/>
      <c r="AG1342" s="147"/>
      <c r="AH1342" s="147"/>
      <c r="AI1342" s="147"/>
      <c r="AJ1342" s="147"/>
      <c r="AK1342" s="147"/>
      <c r="AL1342" s="147"/>
      <c r="AM1342" s="147"/>
      <c r="AN1342" s="147"/>
      <c r="AO1342" s="147"/>
      <c r="AP1342" s="147"/>
      <c r="AQ1342" s="147"/>
    </row>
    <row r="1343" spans="1:43">
      <c r="A1343" s="3"/>
      <c r="B1343" s="3"/>
      <c r="C1343" s="3"/>
      <c r="D1343" s="3"/>
      <c r="E1343" s="3"/>
      <c r="F1343" s="3"/>
      <c r="G1343" s="3"/>
      <c r="H1343" s="3"/>
      <c r="I1343" s="3"/>
      <c r="J1343" s="3"/>
      <c r="K1343" s="3"/>
      <c r="L1343" s="3"/>
      <c r="M1343" s="3"/>
      <c r="N1343" s="157"/>
      <c r="O1343" s="157"/>
      <c r="P1343" s="157"/>
      <c r="R1343" s="147"/>
      <c r="S1343" s="147"/>
      <c r="T1343" s="147"/>
      <c r="U1343" s="147"/>
      <c r="X1343" s="147"/>
      <c r="Y1343" s="147"/>
      <c r="Z1343" s="147"/>
      <c r="AA1343" s="147"/>
      <c r="AB1343" s="147"/>
      <c r="AC1343" s="147"/>
      <c r="AD1343" s="147"/>
      <c r="AE1343" s="147"/>
      <c r="AF1343" s="147"/>
      <c r="AG1343" s="147"/>
      <c r="AH1343" s="147"/>
      <c r="AI1343" s="147"/>
      <c r="AJ1343" s="147"/>
      <c r="AK1343" s="147"/>
      <c r="AL1343" s="147"/>
      <c r="AM1343" s="147"/>
      <c r="AN1343" s="147"/>
      <c r="AO1343" s="147"/>
      <c r="AP1343" s="147"/>
      <c r="AQ1343" s="147"/>
    </row>
    <row r="1344" spans="1:43">
      <c r="A1344" s="3"/>
      <c r="B1344" s="3"/>
      <c r="C1344" s="3"/>
      <c r="D1344" s="3"/>
      <c r="E1344" s="3"/>
      <c r="F1344" s="3"/>
      <c r="G1344" s="3"/>
      <c r="H1344" s="3"/>
      <c r="I1344" s="3"/>
      <c r="J1344" s="3"/>
      <c r="K1344" s="3"/>
      <c r="L1344" s="3"/>
      <c r="M1344" s="3"/>
      <c r="N1344" s="157"/>
      <c r="O1344" s="157"/>
      <c r="P1344" s="157"/>
      <c r="R1344" s="147"/>
      <c r="S1344" s="147"/>
      <c r="T1344" s="147"/>
      <c r="U1344" s="147"/>
      <c r="X1344" s="147"/>
      <c r="Y1344" s="147"/>
      <c r="Z1344" s="147"/>
      <c r="AA1344" s="147"/>
      <c r="AB1344" s="147"/>
      <c r="AC1344" s="147"/>
      <c r="AD1344" s="147"/>
      <c r="AE1344" s="147"/>
      <c r="AF1344" s="147"/>
      <c r="AG1344" s="147"/>
      <c r="AH1344" s="147"/>
      <c r="AI1344" s="147"/>
      <c r="AJ1344" s="147"/>
      <c r="AK1344" s="147"/>
      <c r="AL1344" s="147"/>
      <c r="AM1344" s="147"/>
      <c r="AN1344" s="147"/>
      <c r="AO1344" s="147"/>
      <c r="AP1344" s="147"/>
      <c r="AQ1344" s="147"/>
    </row>
    <row r="1345" spans="1:43">
      <c r="A1345" s="3"/>
      <c r="B1345" s="3"/>
      <c r="C1345" s="3"/>
      <c r="D1345" s="3"/>
      <c r="E1345" s="3"/>
      <c r="F1345" s="3"/>
      <c r="G1345" s="3"/>
      <c r="H1345" s="3"/>
      <c r="I1345" s="3"/>
      <c r="J1345" s="3"/>
      <c r="K1345" s="3"/>
      <c r="L1345" s="3"/>
      <c r="M1345" s="3"/>
      <c r="N1345" s="157"/>
      <c r="O1345" s="157"/>
      <c r="P1345" s="157"/>
      <c r="R1345" s="147"/>
      <c r="S1345" s="147"/>
      <c r="T1345" s="147"/>
      <c r="U1345" s="147"/>
      <c r="X1345" s="147"/>
      <c r="Y1345" s="147"/>
      <c r="Z1345" s="147"/>
      <c r="AA1345" s="147"/>
      <c r="AB1345" s="147"/>
      <c r="AC1345" s="147"/>
      <c r="AD1345" s="147"/>
      <c r="AE1345" s="147"/>
      <c r="AF1345" s="147"/>
      <c r="AG1345" s="147"/>
      <c r="AH1345" s="147"/>
      <c r="AI1345" s="147"/>
      <c r="AJ1345" s="147"/>
      <c r="AK1345" s="147"/>
      <c r="AL1345" s="147"/>
      <c r="AM1345" s="147"/>
      <c r="AN1345" s="147"/>
      <c r="AO1345" s="147"/>
      <c r="AP1345" s="147"/>
      <c r="AQ1345" s="147"/>
    </row>
    <row r="1346" spans="1:43">
      <c r="A1346" s="3"/>
      <c r="B1346" s="3"/>
      <c r="C1346" s="3"/>
      <c r="D1346" s="3"/>
      <c r="E1346" s="3"/>
      <c r="F1346" s="3"/>
      <c r="G1346" s="3"/>
      <c r="H1346" s="3"/>
      <c r="I1346" s="3"/>
      <c r="J1346" s="3"/>
      <c r="K1346" s="3"/>
      <c r="L1346" s="3"/>
      <c r="M1346" s="3"/>
      <c r="N1346" s="157"/>
      <c r="O1346" s="157"/>
      <c r="P1346" s="157"/>
      <c r="R1346" s="147"/>
      <c r="S1346" s="147"/>
      <c r="T1346" s="147"/>
      <c r="U1346" s="147"/>
      <c r="X1346" s="147"/>
      <c r="Y1346" s="147"/>
      <c r="Z1346" s="147"/>
      <c r="AA1346" s="147"/>
      <c r="AB1346" s="147"/>
      <c r="AC1346" s="147"/>
      <c r="AD1346" s="147"/>
      <c r="AE1346" s="147"/>
      <c r="AF1346" s="147"/>
      <c r="AG1346" s="147"/>
      <c r="AH1346" s="147"/>
      <c r="AI1346" s="147"/>
      <c r="AJ1346" s="147"/>
      <c r="AK1346" s="147"/>
      <c r="AL1346" s="147"/>
      <c r="AM1346" s="147"/>
      <c r="AN1346" s="147"/>
      <c r="AO1346" s="147"/>
      <c r="AP1346" s="147"/>
      <c r="AQ1346" s="147"/>
    </row>
    <row r="1347" spans="1:43">
      <c r="A1347" s="3"/>
      <c r="B1347" s="3"/>
      <c r="C1347" s="3"/>
      <c r="D1347" s="3"/>
      <c r="E1347" s="3"/>
      <c r="F1347" s="3"/>
      <c r="G1347" s="3"/>
      <c r="H1347" s="3"/>
      <c r="I1347" s="3"/>
      <c r="J1347" s="3"/>
      <c r="K1347" s="3"/>
      <c r="L1347" s="3"/>
      <c r="M1347" s="3"/>
      <c r="N1347" s="157"/>
      <c r="O1347" s="157"/>
      <c r="P1347" s="157"/>
      <c r="R1347" s="147"/>
      <c r="S1347" s="147"/>
      <c r="T1347" s="147"/>
      <c r="U1347" s="147"/>
      <c r="X1347" s="147"/>
      <c r="Y1347" s="147"/>
      <c r="Z1347" s="147"/>
      <c r="AA1347" s="147"/>
      <c r="AB1347" s="147"/>
      <c r="AC1347" s="147"/>
      <c r="AD1347" s="147"/>
      <c r="AE1347" s="147"/>
      <c r="AF1347" s="147"/>
      <c r="AG1347" s="147"/>
      <c r="AH1347" s="147"/>
      <c r="AI1347" s="147"/>
      <c r="AJ1347" s="147"/>
      <c r="AK1347" s="147"/>
      <c r="AL1347" s="147"/>
      <c r="AM1347" s="147"/>
      <c r="AN1347" s="147"/>
      <c r="AO1347" s="147"/>
      <c r="AP1347" s="147"/>
      <c r="AQ1347" s="147"/>
    </row>
    <row r="1348" spans="1:43">
      <c r="A1348" s="3"/>
      <c r="B1348" s="3"/>
      <c r="C1348" s="3"/>
      <c r="D1348" s="3"/>
      <c r="E1348" s="3"/>
      <c r="F1348" s="3"/>
      <c r="G1348" s="3"/>
      <c r="H1348" s="3"/>
      <c r="I1348" s="3"/>
      <c r="J1348" s="3"/>
      <c r="K1348" s="3"/>
      <c r="L1348" s="3"/>
      <c r="M1348" s="3"/>
      <c r="N1348" s="157"/>
      <c r="O1348" s="157"/>
      <c r="P1348" s="157"/>
      <c r="R1348" s="147"/>
      <c r="S1348" s="147"/>
      <c r="T1348" s="147"/>
      <c r="U1348" s="147"/>
      <c r="X1348" s="147"/>
      <c r="Y1348" s="147"/>
      <c r="Z1348" s="147"/>
      <c r="AA1348" s="147"/>
      <c r="AB1348" s="147"/>
      <c r="AC1348" s="147"/>
      <c r="AD1348" s="147"/>
      <c r="AE1348" s="147"/>
      <c r="AF1348" s="147"/>
      <c r="AG1348" s="147"/>
      <c r="AH1348" s="147"/>
      <c r="AI1348" s="147"/>
      <c r="AJ1348" s="147"/>
      <c r="AK1348" s="147"/>
      <c r="AL1348" s="147"/>
      <c r="AM1348" s="147"/>
      <c r="AN1348" s="147"/>
      <c r="AO1348" s="147"/>
      <c r="AP1348" s="147"/>
      <c r="AQ1348" s="147"/>
    </row>
    <row r="1349" spans="1:43">
      <c r="A1349" s="3"/>
      <c r="B1349" s="3"/>
      <c r="C1349" s="3"/>
      <c r="D1349" s="3"/>
      <c r="E1349" s="3"/>
      <c r="F1349" s="3"/>
      <c r="G1349" s="3"/>
      <c r="H1349" s="3"/>
      <c r="I1349" s="3"/>
      <c r="J1349" s="3"/>
      <c r="K1349" s="3"/>
      <c r="L1349" s="3"/>
      <c r="M1349" s="3"/>
      <c r="N1349" s="157"/>
      <c r="O1349" s="157"/>
      <c r="P1349" s="157"/>
      <c r="R1349" s="147"/>
      <c r="S1349" s="147"/>
      <c r="T1349" s="147"/>
      <c r="U1349" s="147"/>
      <c r="X1349" s="147"/>
      <c r="Y1349" s="147"/>
      <c r="Z1349" s="147"/>
      <c r="AA1349" s="147"/>
      <c r="AB1349" s="147"/>
      <c r="AC1349" s="147"/>
      <c r="AD1349" s="147"/>
      <c r="AE1349" s="147"/>
      <c r="AF1349" s="147"/>
      <c r="AG1349" s="147"/>
      <c r="AH1349" s="147"/>
      <c r="AI1349" s="147"/>
      <c r="AJ1349" s="147"/>
      <c r="AK1349" s="147"/>
      <c r="AL1349" s="147"/>
      <c r="AM1349" s="147"/>
      <c r="AN1349" s="147"/>
      <c r="AO1349" s="147"/>
      <c r="AP1349" s="147"/>
      <c r="AQ1349" s="147"/>
    </row>
    <row r="1350" spans="1:43">
      <c r="A1350" s="3"/>
      <c r="B1350" s="3"/>
      <c r="C1350" s="3"/>
      <c r="D1350" s="3"/>
      <c r="E1350" s="3"/>
      <c r="F1350" s="3"/>
      <c r="G1350" s="3"/>
      <c r="H1350" s="3"/>
      <c r="I1350" s="3"/>
      <c r="J1350" s="3"/>
      <c r="K1350" s="3"/>
      <c r="L1350" s="3"/>
      <c r="M1350" s="3"/>
      <c r="N1350" s="157"/>
      <c r="O1350" s="157"/>
      <c r="P1350" s="157"/>
      <c r="R1350" s="147"/>
      <c r="S1350" s="147"/>
      <c r="T1350" s="147"/>
      <c r="U1350" s="147"/>
      <c r="X1350" s="147"/>
      <c r="Y1350" s="147"/>
      <c r="Z1350" s="147"/>
      <c r="AA1350" s="147"/>
      <c r="AB1350" s="147"/>
      <c r="AC1350" s="147"/>
      <c r="AD1350" s="147"/>
      <c r="AE1350" s="147"/>
      <c r="AF1350" s="147"/>
      <c r="AG1350" s="147"/>
      <c r="AH1350" s="147"/>
      <c r="AI1350" s="147"/>
      <c r="AJ1350" s="147"/>
      <c r="AK1350" s="147"/>
      <c r="AL1350" s="147"/>
      <c r="AM1350" s="147"/>
      <c r="AN1350" s="147"/>
      <c r="AO1350" s="147"/>
      <c r="AP1350" s="147"/>
      <c r="AQ1350" s="147"/>
    </row>
    <row r="1351" spans="1:43">
      <c r="A1351" s="3"/>
      <c r="B1351" s="3"/>
      <c r="C1351" s="3"/>
      <c r="D1351" s="3"/>
      <c r="E1351" s="3"/>
      <c r="F1351" s="3"/>
      <c r="G1351" s="3"/>
      <c r="H1351" s="3"/>
      <c r="I1351" s="3"/>
      <c r="J1351" s="3"/>
      <c r="K1351" s="3"/>
      <c r="L1351" s="3"/>
      <c r="M1351" s="3"/>
      <c r="N1351" s="157"/>
      <c r="O1351" s="157"/>
      <c r="P1351" s="157"/>
      <c r="R1351" s="147"/>
      <c r="S1351" s="147"/>
      <c r="T1351" s="147"/>
      <c r="U1351" s="147"/>
      <c r="X1351" s="147"/>
      <c r="Y1351" s="147"/>
      <c r="Z1351" s="147"/>
      <c r="AA1351" s="147"/>
      <c r="AB1351" s="147"/>
      <c r="AC1351" s="147"/>
      <c r="AD1351" s="147"/>
      <c r="AE1351" s="147"/>
      <c r="AF1351" s="147"/>
      <c r="AG1351" s="147"/>
      <c r="AH1351" s="147"/>
      <c r="AI1351" s="147"/>
      <c r="AJ1351" s="147"/>
      <c r="AK1351" s="147"/>
      <c r="AL1351" s="147"/>
      <c r="AM1351" s="147"/>
      <c r="AN1351" s="147"/>
      <c r="AO1351" s="147"/>
      <c r="AP1351" s="147"/>
      <c r="AQ1351" s="147"/>
    </row>
    <row r="1352" spans="1:43">
      <c r="A1352" s="3"/>
      <c r="B1352" s="3"/>
      <c r="C1352" s="3"/>
      <c r="D1352" s="3"/>
      <c r="E1352" s="3"/>
      <c r="F1352" s="3"/>
      <c r="G1352" s="3"/>
      <c r="H1352" s="3"/>
      <c r="I1352" s="3"/>
      <c r="J1352" s="3"/>
      <c r="K1352" s="3"/>
      <c r="L1352" s="3"/>
      <c r="M1352" s="3"/>
      <c r="N1352" s="157"/>
      <c r="O1352" s="157"/>
      <c r="P1352" s="157"/>
      <c r="R1352" s="147"/>
      <c r="S1352" s="147"/>
      <c r="T1352" s="147"/>
      <c r="U1352" s="147"/>
      <c r="X1352" s="147"/>
      <c r="Y1352" s="147"/>
      <c r="Z1352" s="147"/>
      <c r="AA1352" s="147"/>
      <c r="AB1352" s="147"/>
      <c r="AC1352" s="147"/>
      <c r="AD1352" s="147"/>
      <c r="AE1352" s="147"/>
      <c r="AF1352" s="147"/>
      <c r="AG1352" s="147"/>
      <c r="AH1352" s="147"/>
      <c r="AI1352" s="147"/>
      <c r="AJ1352" s="147"/>
      <c r="AK1352" s="147"/>
      <c r="AL1352" s="147"/>
      <c r="AM1352" s="147"/>
      <c r="AN1352" s="147"/>
      <c r="AO1352" s="147"/>
      <c r="AP1352" s="147"/>
      <c r="AQ1352" s="147"/>
    </row>
    <row r="1353" spans="1:43">
      <c r="A1353" s="3"/>
      <c r="B1353" s="3"/>
      <c r="C1353" s="3"/>
      <c r="D1353" s="3"/>
      <c r="E1353" s="3"/>
      <c r="F1353" s="3"/>
      <c r="G1353" s="3"/>
      <c r="H1353" s="3"/>
      <c r="I1353" s="3"/>
      <c r="J1353" s="3"/>
      <c r="K1353" s="3"/>
      <c r="L1353" s="3"/>
      <c r="M1353" s="3"/>
      <c r="N1353" s="157"/>
      <c r="O1353" s="157"/>
      <c r="P1353" s="157"/>
      <c r="R1353" s="147"/>
      <c r="S1353" s="147"/>
      <c r="T1353" s="147"/>
      <c r="U1353" s="147"/>
      <c r="X1353" s="147"/>
      <c r="Y1353" s="147"/>
      <c r="Z1353" s="147"/>
      <c r="AA1353" s="147"/>
      <c r="AB1353" s="147"/>
      <c r="AC1353" s="147"/>
      <c r="AD1353" s="147"/>
      <c r="AE1353" s="147"/>
      <c r="AF1353" s="147"/>
      <c r="AG1353" s="147"/>
      <c r="AH1353" s="147"/>
      <c r="AI1353" s="147"/>
      <c r="AJ1353" s="147"/>
      <c r="AK1353" s="147"/>
      <c r="AL1353" s="147"/>
      <c r="AM1353" s="147"/>
      <c r="AN1353" s="147"/>
      <c r="AO1353" s="147"/>
      <c r="AP1353" s="147"/>
      <c r="AQ1353" s="147"/>
    </row>
    <row r="1354" spans="1:43">
      <c r="A1354" s="3"/>
      <c r="B1354" s="3"/>
      <c r="C1354" s="3"/>
      <c r="D1354" s="3"/>
      <c r="E1354" s="3"/>
      <c r="F1354" s="3"/>
      <c r="G1354" s="3"/>
      <c r="H1354" s="3"/>
      <c r="I1354" s="3"/>
      <c r="J1354" s="3"/>
      <c r="K1354" s="3"/>
      <c r="L1354" s="3"/>
      <c r="M1354" s="3"/>
      <c r="N1354" s="157"/>
      <c r="O1354" s="157"/>
      <c r="P1354" s="157"/>
      <c r="R1354" s="147"/>
      <c r="S1354" s="147"/>
      <c r="T1354" s="147"/>
      <c r="U1354" s="147"/>
      <c r="X1354" s="147"/>
      <c r="Y1354" s="147"/>
      <c r="Z1354" s="147"/>
      <c r="AA1354" s="147"/>
      <c r="AB1354" s="147"/>
      <c r="AC1354" s="147"/>
      <c r="AD1354" s="147"/>
      <c r="AE1354" s="147"/>
      <c r="AF1354" s="147"/>
      <c r="AG1354" s="147"/>
      <c r="AH1354" s="147"/>
      <c r="AI1354" s="147"/>
      <c r="AJ1354" s="147"/>
      <c r="AK1354" s="147"/>
      <c r="AL1354" s="147"/>
      <c r="AM1354" s="147"/>
      <c r="AN1354" s="147"/>
      <c r="AO1354" s="147"/>
      <c r="AP1354" s="147"/>
      <c r="AQ1354" s="147"/>
    </row>
    <row r="1355" spans="1:43">
      <c r="A1355" s="3"/>
      <c r="B1355" s="3"/>
      <c r="C1355" s="3"/>
      <c r="D1355" s="3"/>
      <c r="E1355" s="3"/>
      <c r="F1355" s="3"/>
      <c r="G1355" s="3"/>
      <c r="H1355" s="3"/>
      <c r="I1355" s="3"/>
      <c r="J1355" s="3"/>
      <c r="K1355" s="3"/>
      <c r="L1355" s="3"/>
      <c r="M1355" s="3"/>
      <c r="N1355" s="157"/>
      <c r="O1355" s="157"/>
      <c r="P1355" s="157"/>
      <c r="R1355" s="147"/>
      <c r="S1355" s="147"/>
      <c r="T1355" s="147"/>
      <c r="U1355" s="147"/>
      <c r="X1355" s="147"/>
      <c r="Y1355" s="147"/>
      <c r="Z1355" s="147"/>
      <c r="AA1355" s="147"/>
      <c r="AB1355" s="147"/>
      <c r="AC1355" s="147"/>
      <c r="AD1355" s="147"/>
      <c r="AE1355" s="147"/>
      <c r="AF1355" s="147"/>
      <c r="AG1355" s="147"/>
      <c r="AH1355" s="147"/>
      <c r="AI1355" s="147"/>
      <c r="AJ1355" s="147"/>
      <c r="AK1355" s="147"/>
      <c r="AL1355" s="147"/>
      <c r="AM1355" s="147"/>
      <c r="AN1355" s="147"/>
      <c r="AO1355" s="147"/>
      <c r="AP1355" s="147"/>
      <c r="AQ1355" s="147"/>
    </row>
    <row r="1356" spans="1:43">
      <c r="A1356" s="3"/>
      <c r="B1356" s="3"/>
      <c r="C1356" s="3"/>
      <c r="D1356" s="3"/>
      <c r="E1356" s="3"/>
      <c r="F1356" s="3"/>
      <c r="G1356" s="3"/>
      <c r="H1356" s="3"/>
      <c r="I1356" s="3"/>
      <c r="J1356" s="3"/>
      <c r="K1356" s="3"/>
      <c r="L1356" s="3"/>
      <c r="M1356" s="3"/>
      <c r="N1356" s="157"/>
      <c r="O1356" s="157"/>
      <c r="P1356" s="157"/>
      <c r="R1356" s="147"/>
      <c r="S1356" s="147"/>
      <c r="T1356" s="147"/>
      <c r="U1356" s="147"/>
      <c r="X1356" s="147"/>
      <c r="Y1356" s="147"/>
      <c r="Z1356" s="147"/>
      <c r="AA1356" s="147"/>
      <c r="AB1356" s="147"/>
      <c r="AC1356" s="147"/>
      <c r="AD1356" s="147"/>
      <c r="AE1356" s="147"/>
      <c r="AF1356" s="147"/>
      <c r="AG1356" s="147"/>
      <c r="AH1356" s="147"/>
      <c r="AI1356" s="147"/>
      <c r="AJ1356" s="147"/>
      <c r="AK1356" s="147"/>
      <c r="AL1356" s="147"/>
      <c r="AM1356" s="147"/>
      <c r="AN1356" s="147"/>
      <c r="AO1356" s="147"/>
      <c r="AP1356" s="147"/>
      <c r="AQ1356" s="147"/>
    </row>
    <row r="1357" spans="1:43">
      <c r="A1357" s="3"/>
      <c r="B1357" s="3"/>
      <c r="C1357" s="3"/>
      <c r="D1357" s="3"/>
      <c r="E1357" s="3"/>
      <c r="F1357" s="3"/>
      <c r="G1357" s="3"/>
      <c r="H1357" s="3"/>
      <c r="I1357" s="3"/>
      <c r="J1357" s="3"/>
      <c r="K1357" s="3"/>
      <c r="L1357" s="3"/>
      <c r="M1357" s="3"/>
      <c r="N1357" s="157"/>
      <c r="O1357" s="157"/>
      <c r="P1357" s="157"/>
      <c r="R1357" s="147"/>
      <c r="S1357" s="147"/>
      <c r="T1357" s="147"/>
      <c r="U1357" s="147"/>
      <c r="X1357" s="147"/>
      <c r="Y1357" s="147"/>
      <c r="Z1357" s="147"/>
      <c r="AA1357" s="147"/>
      <c r="AB1357" s="147"/>
      <c r="AC1357" s="147"/>
      <c r="AD1357" s="147"/>
      <c r="AE1357" s="147"/>
      <c r="AF1357" s="147"/>
      <c r="AG1357" s="147"/>
      <c r="AH1357" s="147"/>
      <c r="AI1357" s="147"/>
      <c r="AJ1357" s="147"/>
      <c r="AK1357" s="147"/>
      <c r="AL1357" s="147"/>
      <c r="AM1357" s="147"/>
      <c r="AN1357" s="147"/>
      <c r="AO1357" s="147"/>
      <c r="AP1357" s="147"/>
      <c r="AQ1357" s="147"/>
    </row>
    <row r="1358" spans="1:43">
      <c r="A1358" s="3"/>
      <c r="B1358" s="3"/>
      <c r="C1358" s="3"/>
      <c r="D1358" s="3"/>
      <c r="E1358" s="3"/>
      <c r="F1358" s="3"/>
      <c r="G1358" s="3"/>
      <c r="H1358" s="3"/>
      <c r="I1358" s="3"/>
      <c r="J1358" s="3"/>
      <c r="K1358" s="3"/>
      <c r="L1358" s="3"/>
      <c r="M1358" s="3"/>
      <c r="N1358" s="157"/>
      <c r="O1358" s="157"/>
      <c r="P1358" s="157"/>
      <c r="R1358" s="147"/>
      <c r="S1358" s="147"/>
      <c r="T1358" s="147"/>
      <c r="U1358" s="147"/>
      <c r="X1358" s="147"/>
      <c r="Y1358" s="147"/>
      <c r="Z1358" s="147"/>
      <c r="AA1358" s="147"/>
      <c r="AB1358" s="147"/>
      <c r="AC1358" s="147"/>
      <c r="AD1358" s="147"/>
      <c r="AE1358" s="147"/>
      <c r="AF1358" s="147"/>
      <c r="AG1358" s="147"/>
      <c r="AH1358" s="147"/>
      <c r="AI1358" s="147"/>
      <c r="AJ1358" s="147"/>
      <c r="AK1358" s="147"/>
      <c r="AL1358" s="147"/>
      <c r="AM1358" s="147"/>
      <c r="AN1358" s="147"/>
      <c r="AO1358" s="147"/>
      <c r="AP1358" s="147"/>
      <c r="AQ1358" s="147"/>
    </row>
    <row r="1359" spans="1:43">
      <c r="A1359" s="3"/>
      <c r="B1359" s="3"/>
      <c r="C1359" s="3"/>
      <c r="D1359" s="3"/>
      <c r="E1359" s="3"/>
      <c r="F1359" s="3"/>
      <c r="G1359" s="3"/>
      <c r="H1359" s="3"/>
      <c r="I1359" s="3"/>
      <c r="J1359" s="3"/>
      <c r="K1359" s="3"/>
      <c r="L1359" s="3"/>
      <c r="M1359" s="3"/>
      <c r="N1359" s="157"/>
      <c r="O1359" s="157"/>
      <c r="P1359" s="157"/>
      <c r="R1359" s="147"/>
      <c r="S1359" s="147"/>
      <c r="T1359" s="147"/>
      <c r="U1359" s="147"/>
      <c r="X1359" s="147"/>
      <c r="Y1359" s="147"/>
      <c r="Z1359" s="147"/>
      <c r="AA1359" s="147"/>
      <c r="AB1359" s="147"/>
      <c r="AC1359" s="147"/>
      <c r="AD1359" s="147"/>
      <c r="AE1359" s="147"/>
      <c r="AF1359" s="147"/>
      <c r="AG1359" s="147"/>
      <c r="AH1359" s="147"/>
      <c r="AI1359" s="147"/>
      <c r="AJ1359" s="147"/>
      <c r="AK1359" s="147"/>
      <c r="AL1359" s="147"/>
      <c r="AM1359" s="147"/>
      <c r="AN1359" s="147"/>
      <c r="AO1359" s="147"/>
      <c r="AP1359" s="147"/>
      <c r="AQ1359" s="147"/>
    </row>
    <row r="1360" spans="1:43">
      <c r="A1360" s="3"/>
      <c r="B1360" s="3"/>
      <c r="C1360" s="3"/>
      <c r="D1360" s="3"/>
      <c r="E1360" s="3"/>
      <c r="F1360" s="3"/>
      <c r="G1360" s="3"/>
      <c r="H1360" s="3"/>
      <c r="I1360" s="3"/>
      <c r="J1360" s="3"/>
      <c r="K1360" s="3"/>
      <c r="L1360" s="3"/>
      <c r="M1360" s="3"/>
      <c r="N1360" s="157"/>
      <c r="O1360" s="157"/>
      <c r="P1360" s="157"/>
      <c r="R1360" s="147"/>
      <c r="S1360" s="147"/>
      <c r="T1360" s="147"/>
      <c r="U1360" s="147"/>
      <c r="X1360" s="147"/>
      <c r="Y1360" s="147"/>
      <c r="Z1360" s="147"/>
      <c r="AA1360" s="147"/>
      <c r="AB1360" s="147"/>
      <c r="AC1360" s="147"/>
      <c r="AD1360" s="147"/>
      <c r="AE1360" s="147"/>
      <c r="AF1360" s="147"/>
      <c r="AG1360" s="147"/>
      <c r="AH1360" s="147"/>
      <c r="AI1360" s="147"/>
      <c r="AJ1360" s="147"/>
      <c r="AK1360" s="147"/>
      <c r="AL1360" s="147"/>
      <c r="AM1360" s="147"/>
      <c r="AN1360" s="147"/>
      <c r="AO1360" s="147"/>
      <c r="AP1360" s="147"/>
      <c r="AQ1360" s="147"/>
    </row>
    <row r="1361" spans="1:43">
      <c r="A1361" s="3"/>
      <c r="B1361" s="3"/>
      <c r="C1361" s="3"/>
      <c r="D1361" s="3"/>
      <c r="E1361" s="3"/>
      <c r="F1361" s="3"/>
      <c r="G1361" s="3"/>
      <c r="H1361" s="3"/>
      <c r="I1361" s="3"/>
      <c r="J1361" s="3"/>
      <c r="K1361" s="3"/>
      <c r="L1361" s="3"/>
      <c r="M1361" s="3"/>
      <c r="N1361" s="157"/>
      <c r="O1361" s="157"/>
      <c r="P1361" s="157"/>
      <c r="R1361" s="147"/>
      <c r="S1361" s="147"/>
      <c r="T1361" s="147"/>
      <c r="U1361" s="147"/>
      <c r="X1361" s="147"/>
      <c r="Y1361" s="147"/>
      <c r="Z1361" s="147"/>
      <c r="AA1361" s="147"/>
      <c r="AB1361" s="147"/>
      <c r="AC1361" s="147"/>
      <c r="AD1361" s="147"/>
      <c r="AE1361" s="147"/>
      <c r="AF1361" s="147"/>
      <c r="AG1361" s="147"/>
      <c r="AH1361" s="147"/>
      <c r="AI1361" s="147"/>
      <c r="AJ1361" s="147"/>
      <c r="AK1361" s="147"/>
      <c r="AL1361" s="147"/>
      <c r="AM1361" s="147"/>
      <c r="AN1361" s="147"/>
      <c r="AO1361" s="147"/>
      <c r="AP1361" s="147"/>
      <c r="AQ1361" s="147"/>
    </row>
    <row r="1362" spans="1:43">
      <c r="A1362" s="3"/>
      <c r="B1362" s="3"/>
      <c r="C1362" s="3"/>
      <c r="D1362" s="3"/>
      <c r="E1362" s="3"/>
      <c r="F1362" s="3"/>
      <c r="G1362" s="3"/>
      <c r="H1362" s="3"/>
      <c r="I1362" s="3"/>
      <c r="J1362" s="3"/>
      <c r="K1362" s="3"/>
      <c r="L1362" s="3"/>
      <c r="M1362" s="3"/>
      <c r="N1362" s="157"/>
      <c r="O1362" s="157"/>
      <c r="P1362" s="157"/>
      <c r="R1362" s="147"/>
      <c r="S1362" s="147"/>
      <c r="T1362" s="147"/>
      <c r="U1362" s="147"/>
      <c r="X1362" s="147"/>
      <c r="Y1362" s="147"/>
      <c r="Z1362" s="147"/>
      <c r="AA1362" s="147"/>
      <c r="AB1362" s="147"/>
      <c r="AC1362" s="147"/>
      <c r="AD1362" s="147"/>
      <c r="AE1362" s="147"/>
      <c r="AF1362" s="147"/>
      <c r="AG1362" s="147"/>
      <c r="AH1362" s="147"/>
      <c r="AI1362" s="147"/>
      <c r="AJ1362" s="147"/>
      <c r="AK1362" s="147"/>
      <c r="AL1362" s="147"/>
      <c r="AM1362" s="147"/>
      <c r="AN1362" s="147"/>
      <c r="AO1362" s="147"/>
      <c r="AP1362" s="147"/>
      <c r="AQ1362" s="147"/>
    </row>
    <row r="1363" spans="1:43">
      <c r="A1363" s="3"/>
      <c r="B1363" s="3"/>
      <c r="C1363" s="3"/>
      <c r="D1363" s="3"/>
      <c r="E1363" s="3"/>
      <c r="F1363" s="3"/>
      <c r="G1363" s="3"/>
      <c r="H1363" s="3"/>
      <c r="I1363" s="3"/>
      <c r="J1363" s="3"/>
      <c r="K1363" s="3"/>
      <c r="L1363" s="3"/>
      <c r="M1363" s="3"/>
      <c r="N1363" s="157"/>
      <c r="O1363" s="157"/>
      <c r="P1363" s="157"/>
      <c r="R1363" s="147"/>
      <c r="S1363" s="147"/>
      <c r="T1363" s="147"/>
      <c r="U1363" s="147"/>
      <c r="X1363" s="147"/>
      <c r="Y1363" s="147"/>
      <c r="Z1363" s="147"/>
      <c r="AA1363" s="147"/>
      <c r="AB1363" s="147"/>
      <c r="AC1363" s="147"/>
      <c r="AD1363" s="147"/>
      <c r="AE1363" s="147"/>
      <c r="AF1363" s="147"/>
      <c r="AG1363" s="147"/>
      <c r="AH1363" s="147"/>
      <c r="AI1363" s="147"/>
      <c r="AJ1363" s="147"/>
      <c r="AK1363" s="147"/>
      <c r="AL1363" s="147"/>
      <c r="AM1363" s="147"/>
      <c r="AN1363" s="147"/>
      <c r="AO1363" s="147"/>
      <c r="AP1363" s="147"/>
      <c r="AQ1363" s="147"/>
    </row>
    <row r="1364" spans="1:43">
      <c r="A1364" s="3"/>
      <c r="B1364" s="3"/>
      <c r="C1364" s="3"/>
      <c r="D1364" s="3"/>
      <c r="E1364" s="3"/>
      <c r="F1364" s="3"/>
      <c r="G1364" s="3"/>
      <c r="H1364" s="3"/>
      <c r="I1364" s="3"/>
      <c r="J1364" s="3"/>
      <c r="K1364" s="3"/>
      <c r="L1364" s="3"/>
      <c r="M1364" s="3"/>
      <c r="N1364" s="157"/>
      <c r="O1364" s="157"/>
      <c r="P1364" s="157"/>
      <c r="R1364" s="147"/>
      <c r="S1364" s="147"/>
      <c r="T1364" s="147"/>
      <c r="U1364" s="147"/>
      <c r="X1364" s="147"/>
      <c r="Y1364" s="147"/>
      <c r="Z1364" s="147"/>
      <c r="AA1364" s="147"/>
      <c r="AB1364" s="147"/>
      <c r="AC1364" s="147"/>
      <c r="AD1364" s="147"/>
      <c r="AE1364" s="147"/>
      <c r="AF1364" s="147"/>
      <c r="AG1364" s="147"/>
      <c r="AH1364" s="147"/>
      <c r="AI1364" s="147"/>
      <c r="AJ1364" s="147"/>
      <c r="AK1364" s="147"/>
      <c r="AL1364" s="147"/>
      <c r="AM1364" s="147"/>
      <c r="AN1364" s="147"/>
      <c r="AO1364" s="147"/>
      <c r="AP1364" s="147"/>
      <c r="AQ1364" s="147"/>
    </row>
    <row r="1365" spans="1:43">
      <c r="A1365" s="3"/>
      <c r="B1365" s="3"/>
      <c r="C1365" s="3"/>
      <c r="D1365" s="3"/>
      <c r="E1365" s="3"/>
      <c r="F1365" s="3"/>
      <c r="G1365" s="3"/>
      <c r="H1365" s="3"/>
      <c r="I1365" s="3"/>
      <c r="J1365" s="3"/>
      <c r="K1365" s="3"/>
      <c r="L1365" s="3"/>
      <c r="M1365" s="3"/>
      <c r="N1365" s="157"/>
      <c r="O1365" s="157"/>
      <c r="P1365" s="157"/>
      <c r="R1365" s="147"/>
      <c r="S1365" s="147"/>
      <c r="T1365" s="147"/>
      <c r="U1365" s="147"/>
      <c r="X1365" s="147"/>
      <c r="Y1365" s="147"/>
      <c r="Z1365" s="147"/>
      <c r="AA1365" s="147"/>
      <c r="AB1365" s="147"/>
      <c r="AC1365" s="147"/>
      <c r="AD1365" s="147"/>
      <c r="AE1365" s="147"/>
      <c r="AF1365" s="147"/>
      <c r="AG1365" s="147"/>
      <c r="AH1365" s="147"/>
      <c r="AI1365" s="147"/>
      <c r="AJ1365" s="147"/>
      <c r="AK1365" s="147"/>
      <c r="AL1365" s="147"/>
      <c r="AM1365" s="147"/>
      <c r="AN1365" s="147"/>
      <c r="AO1365" s="147"/>
      <c r="AP1365" s="147"/>
      <c r="AQ1365" s="147"/>
    </row>
    <row r="1366" spans="1:43">
      <c r="A1366" s="3"/>
      <c r="B1366" s="3"/>
      <c r="C1366" s="3"/>
      <c r="D1366" s="3"/>
      <c r="E1366" s="3"/>
      <c r="F1366" s="3"/>
      <c r="G1366" s="3"/>
      <c r="H1366" s="3"/>
      <c r="I1366" s="3"/>
      <c r="J1366" s="3"/>
      <c r="K1366" s="3"/>
      <c r="L1366" s="3"/>
      <c r="M1366" s="3"/>
      <c r="N1366" s="157"/>
      <c r="O1366" s="157"/>
      <c r="P1366" s="157"/>
      <c r="R1366" s="147"/>
      <c r="S1366" s="147"/>
      <c r="T1366" s="147"/>
      <c r="U1366" s="147"/>
      <c r="X1366" s="147"/>
      <c r="Y1366" s="147"/>
      <c r="Z1366" s="147"/>
      <c r="AA1366" s="147"/>
      <c r="AB1366" s="147"/>
      <c r="AC1366" s="147"/>
      <c r="AD1366" s="147"/>
      <c r="AE1366" s="147"/>
      <c r="AF1366" s="147"/>
      <c r="AG1366" s="147"/>
      <c r="AH1366" s="147"/>
      <c r="AI1366" s="147"/>
      <c r="AJ1366" s="147"/>
      <c r="AK1366" s="147"/>
      <c r="AL1366" s="147"/>
      <c r="AM1366" s="147"/>
      <c r="AN1366" s="147"/>
      <c r="AO1366" s="147"/>
      <c r="AP1366" s="147"/>
      <c r="AQ1366" s="147"/>
    </row>
    <row r="1367" spans="1:43">
      <c r="A1367" s="3"/>
      <c r="B1367" s="3"/>
      <c r="C1367" s="3"/>
      <c r="D1367" s="3"/>
      <c r="E1367" s="3"/>
      <c r="F1367" s="3"/>
      <c r="G1367" s="3"/>
      <c r="H1367" s="3"/>
      <c r="I1367" s="3"/>
      <c r="J1367" s="3"/>
      <c r="K1367" s="3"/>
      <c r="L1367" s="3"/>
      <c r="M1367" s="3"/>
      <c r="N1367" s="157"/>
      <c r="O1367" s="157"/>
      <c r="P1367" s="157"/>
      <c r="R1367" s="147"/>
      <c r="S1367" s="147"/>
      <c r="T1367" s="147"/>
      <c r="U1367" s="147"/>
      <c r="X1367" s="147"/>
      <c r="Y1367" s="147"/>
      <c r="Z1367" s="147"/>
      <c r="AA1367" s="147"/>
      <c r="AB1367" s="147"/>
      <c r="AC1367" s="147"/>
      <c r="AD1367" s="147"/>
      <c r="AE1367" s="147"/>
      <c r="AF1367" s="147"/>
      <c r="AG1367" s="147"/>
      <c r="AH1367" s="147"/>
      <c r="AI1367" s="147"/>
      <c r="AJ1367" s="147"/>
      <c r="AK1367" s="147"/>
      <c r="AL1367" s="147"/>
      <c r="AM1367" s="147"/>
      <c r="AN1367" s="147"/>
      <c r="AO1367" s="147"/>
      <c r="AP1367" s="147"/>
      <c r="AQ1367" s="147"/>
    </row>
    <row r="1368" spans="1:43">
      <c r="A1368" s="3"/>
      <c r="B1368" s="3"/>
      <c r="C1368" s="3"/>
      <c r="D1368" s="3"/>
      <c r="E1368" s="3"/>
      <c r="F1368" s="3"/>
      <c r="G1368" s="3"/>
      <c r="H1368" s="3"/>
      <c r="I1368" s="3"/>
      <c r="J1368" s="3"/>
      <c r="K1368" s="3"/>
      <c r="L1368" s="3"/>
      <c r="M1368" s="3"/>
      <c r="N1368" s="157"/>
      <c r="O1368" s="157"/>
      <c r="P1368" s="157"/>
      <c r="R1368" s="147"/>
      <c r="S1368" s="147"/>
      <c r="T1368" s="147"/>
      <c r="U1368" s="147"/>
      <c r="X1368" s="147"/>
      <c r="Y1368" s="147"/>
      <c r="Z1368" s="147"/>
      <c r="AA1368" s="147"/>
      <c r="AB1368" s="147"/>
      <c r="AC1368" s="147"/>
      <c r="AD1368" s="147"/>
      <c r="AE1368" s="147"/>
      <c r="AF1368" s="147"/>
      <c r="AG1368" s="147"/>
      <c r="AH1368" s="147"/>
      <c r="AI1368" s="147"/>
      <c r="AJ1368" s="147"/>
      <c r="AK1368" s="147"/>
      <c r="AL1368" s="147"/>
      <c r="AM1368" s="147"/>
      <c r="AN1368" s="147"/>
      <c r="AO1368" s="147"/>
      <c r="AP1368" s="147"/>
      <c r="AQ1368" s="147"/>
    </row>
    <row r="1369" spans="1:43">
      <c r="A1369" s="3"/>
      <c r="B1369" s="3"/>
      <c r="C1369" s="3"/>
      <c r="D1369" s="3"/>
      <c r="E1369" s="3"/>
      <c r="F1369" s="3"/>
      <c r="G1369" s="3"/>
      <c r="H1369" s="3"/>
      <c r="I1369" s="3"/>
      <c r="J1369" s="3"/>
      <c r="K1369" s="3"/>
      <c r="L1369" s="3"/>
      <c r="M1369" s="3"/>
      <c r="N1369" s="157"/>
      <c r="O1369" s="157"/>
      <c r="P1369" s="157"/>
      <c r="R1369" s="147"/>
      <c r="S1369" s="147"/>
      <c r="T1369" s="147"/>
      <c r="U1369" s="147"/>
      <c r="X1369" s="147"/>
      <c r="Y1369" s="147"/>
      <c r="Z1369" s="147"/>
      <c r="AA1369" s="147"/>
      <c r="AB1369" s="147"/>
      <c r="AC1369" s="147"/>
      <c r="AD1369" s="147"/>
      <c r="AE1369" s="147"/>
      <c r="AF1369" s="147"/>
      <c r="AG1369" s="147"/>
      <c r="AH1369" s="147"/>
      <c r="AI1369" s="147"/>
      <c r="AJ1369" s="147"/>
      <c r="AK1369" s="147"/>
      <c r="AL1369" s="147"/>
      <c r="AM1369" s="147"/>
      <c r="AN1369" s="147"/>
      <c r="AO1369" s="147"/>
      <c r="AP1369" s="147"/>
      <c r="AQ1369" s="147"/>
    </row>
    <row r="1370" spans="1:43">
      <c r="A1370" s="3"/>
      <c r="B1370" s="3"/>
      <c r="C1370" s="3"/>
      <c r="D1370" s="3"/>
      <c r="E1370" s="3"/>
      <c r="F1370" s="3"/>
      <c r="G1370" s="3"/>
      <c r="H1370" s="3"/>
      <c r="I1370" s="3"/>
      <c r="J1370" s="3"/>
      <c r="K1370" s="3"/>
      <c r="L1370" s="3"/>
      <c r="M1370" s="3"/>
      <c r="N1370" s="157"/>
      <c r="O1370" s="157"/>
      <c r="P1370" s="157"/>
      <c r="R1370" s="147"/>
      <c r="S1370" s="147"/>
      <c r="T1370" s="147"/>
      <c r="U1370" s="147"/>
      <c r="X1370" s="147"/>
      <c r="Y1370" s="147"/>
      <c r="Z1370" s="147"/>
      <c r="AA1370" s="147"/>
      <c r="AB1370" s="147"/>
      <c r="AC1370" s="147"/>
      <c r="AD1370" s="147"/>
      <c r="AE1370" s="147"/>
      <c r="AF1370" s="147"/>
      <c r="AG1370" s="147"/>
      <c r="AH1370" s="147"/>
      <c r="AI1370" s="147"/>
      <c r="AJ1370" s="147"/>
      <c r="AK1370" s="147"/>
      <c r="AL1370" s="147"/>
      <c r="AM1370" s="147"/>
      <c r="AN1370" s="147"/>
      <c r="AO1370" s="147"/>
      <c r="AP1370" s="147"/>
      <c r="AQ1370" s="147"/>
    </row>
    <row r="1371" spans="1:43">
      <c r="A1371" s="3"/>
      <c r="B1371" s="3"/>
      <c r="C1371" s="3"/>
      <c r="D1371" s="3"/>
      <c r="E1371" s="3"/>
      <c r="F1371" s="3"/>
      <c r="G1371" s="3"/>
      <c r="H1371" s="3"/>
      <c r="I1371" s="3"/>
      <c r="J1371" s="3"/>
      <c r="K1371" s="3"/>
      <c r="L1371" s="3"/>
      <c r="M1371" s="3"/>
      <c r="N1371" s="157"/>
      <c r="O1371" s="157"/>
      <c r="P1371" s="157"/>
      <c r="R1371" s="147"/>
      <c r="S1371" s="147"/>
      <c r="T1371" s="147"/>
      <c r="U1371" s="147"/>
      <c r="X1371" s="147"/>
      <c r="Y1371" s="147"/>
      <c r="Z1371" s="147"/>
      <c r="AA1371" s="147"/>
      <c r="AB1371" s="147"/>
      <c r="AC1371" s="147"/>
      <c r="AD1371" s="147"/>
      <c r="AE1371" s="147"/>
      <c r="AF1371" s="147"/>
      <c r="AG1371" s="147"/>
      <c r="AH1371" s="147"/>
      <c r="AI1371" s="147"/>
      <c r="AJ1371" s="147"/>
      <c r="AK1371" s="147"/>
      <c r="AL1371" s="147"/>
      <c r="AM1371" s="147"/>
      <c r="AN1371" s="147"/>
      <c r="AO1371" s="147"/>
      <c r="AP1371" s="147"/>
      <c r="AQ1371" s="147"/>
    </row>
    <row r="1372" spans="1:43">
      <c r="A1372" s="3"/>
      <c r="B1372" s="3"/>
      <c r="C1372" s="3"/>
      <c r="D1372" s="3"/>
      <c r="E1372" s="3"/>
      <c r="F1372" s="3"/>
      <c r="G1372" s="3"/>
      <c r="H1372" s="3"/>
      <c r="I1372" s="3"/>
      <c r="J1372" s="3"/>
      <c r="K1372" s="3"/>
      <c r="L1372" s="3"/>
      <c r="M1372" s="3"/>
      <c r="N1372" s="157"/>
      <c r="O1372" s="157"/>
      <c r="P1372" s="157"/>
      <c r="R1372" s="147"/>
      <c r="S1372" s="147"/>
      <c r="T1372" s="147"/>
      <c r="U1372" s="147"/>
      <c r="X1372" s="147"/>
      <c r="Y1372" s="147"/>
      <c r="Z1372" s="147"/>
      <c r="AA1372" s="147"/>
      <c r="AB1372" s="147"/>
      <c r="AC1372" s="147"/>
      <c r="AD1372" s="147"/>
      <c r="AE1372" s="147"/>
      <c r="AF1372" s="147"/>
      <c r="AG1372" s="147"/>
      <c r="AH1372" s="147"/>
      <c r="AI1372" s="147"/>
      <c r="AJ1372" s="147"/>
      <c r="AK1372" s="147"/>
      <c r="AL1372" s="147"/>
      <c r="AM1372" s="147"/>
      <c r="AN1372" s="147"/>
      <c r="AO1372" s="147"/>
      <c r="AP1372" s="147"/>
      <c r="AQ1372" s="147"/>
    </row>
    <row r="1373" spans="1:43">
      <c r="A1373" s="3"/>
      <c r="B1373" s="3"/>
      <c r="C1373" s="3"/>
      <c r="D1373" s="3"/>
      <c r="E1373" s="3"/>
      <c r="F1373" s="3"/>
      <c r="G1373" s="3"/>
      <c r="H1373" s="3"/>
      <c r="I1373" s="3"/>
      <c r="J1373" s="3"/>
      <c r="K1373" s="3"/>
      <c r="L1373" s="3"/>
      <c r="M1373" s="3"/>
      <c r="N1373" s="157"/>
      <c r="O1373" s="157"/>
      <c r="P1373" s="157"/>
      <c r="R1373" s="147"/>
      <c r="S1373" s="147"/>
      <c r="T1373" s="147"/>
      <c r="U1373" s="147"/>
      <c r="X1373" s="147"/>
      <c r="Y1373" s="147"/>
      <c r="Z1373" s="147"/>
      <c r="AA1373" s="147"/>
      <c r="AB1373" s="147"/>
      <c r="AC1373" s="147"/>
      <c r="AD1373" s="147"/>
      <c r="AE1373" s="147"/>
      <c r="AF1373" s="147"/>
      <c r="AG1373" s="147"/>
      <c r="AH1373" s="147"/>
      <c r="AI1373" s="147"/>
      <c r="AJ1373" s="147"/>
      <c r="AK1373" s="147"/>
      <c r="AL1373" s="147"/>
      <c r="AM1373" s="147"/>
      <c r="AN1373" s="147"/>
      <c r="AO1373" s="147"/>
      <c r="AP1373" s="147"/>
      <c r="AQ1373" s="147"/>
    </row>
    <row r="1374" spans="1:43">
      <c r="A1374" s="3"/>
      <c r="B1374" s="3"/>
      <c r="C1374" s="3"/>
      <c r="D1374" s="3"/>
      <c r="E1374" s="3"/>
      <c r="F1374" s="3"/>
      <c r="G1374" s="3"/>
      <c r="H1374" s="3"/>
      <c r="I1374" s="3"/>
      <c r="J1374" s="3"/>
      <c r="K1374" s="3"/>
      <c r="L1374" s="3"/>
      <c r="M1374" s="3"/>
      <c r="N1374" s="157"/>
      <c r="O1374" s="157"/>
      <c r="P1374" s="157"/>
      <c r="R1374" s="147"/>
      <c r="S1374" s="147"/>
      <c r="T1374" s="147"/>
      <c r="U1374" s="147"/>
      <c r="X1374" s="147"/>
      <c r="Y1374" s="147"/>
      <c r="Z1374" s="147"/>
      <c r="AA1374" s="147"/>
      <c r="AB1374" s="147"/>
      <c r="AC1374" s="147"/>
      <c r="AD1374" s="147"/>
      <c r="AE1374" s="147"/>
      <c r="AF1374" s="147"/>
      <c r="AG1374" s="147"/>
      <c r="AH1374" s="147"/>
      <c r="AI1374" s="147"/>
      <c r="AJ1374" s="147"/>
      <c r="AK1374" s="147"/>
      <c r="AL1374" s="147"/>
      <c r="AM1374" s="147"/>
      <c r="AN1374" s="147"/>
      <c r="AO1374" s="147"/>
      <c r="AP1374" s="147"/>
      <c r="AQ1374" s="147"/>
    </row>
    <row r="1375" spans="1:43">
      <c r="A1375" s="3"/>
      <c r="B1375" s="3"/>
      <c r="C1375" s="3"/>
      <c r="D1375" s="3"/>
      <c r="E1375" s="3"/>
      <c r="F1375" s="3"/>
      <c r="G1375" s="3"/>
      <c r="H1375" s="3"/>
      <c r="I1375" s="3"/>
      <c r="J1375" s="3"/>
      <c r="K1375" s="3"/>
      <c r="L1375" s="3"/>
      <c r="M1375" s="3"/>
      <c r="N1375" s="157"/>
      <c r="O1375" s="157"/>
      <c r="P1375" s="157"/>
      <c r="R1375" s="147"/>
      <c r="S1375" s="147"/>
      <c r="T1375" s="147"/>
      <c r="U1375" s="147"/>
      <c r="X1375" s="147"/>
      <c r="Y1375" s="147"/>
      <c r="Z1375" s="147"/>
      <c r="AA1375" s="147"/>
      <c r="AB1375" s="147"/>
      <c r="AC1375" s="147"/>
      <c r="AD1375" s="147"/>
      <c r="AE1375" s="147"/>
      <c r="AF1375" s="147"/>
      <c r="AG1375" s="147"/>
      <c r="AH1375" s="147"/>
      <c r="AI1375" s="147"/>
      <c r="AJ1375" s="147"/>
      <c r="AK1375" s="147"/>
      <c r="AL1375" s="147"/>
      <c r="AM1375" s="147"/>
      <c r="AN1375" s="147"/>
      <c r="AO1375" s="147"/>
      <c r="AP1375" s="147"/>
      <c r="AQ1375" s="147"/>
    </row>
    <row r="1376" spans="1:43">
      <c r="A1376" s="3"/>
      <c r="B1376" s="3"/>
      <c r="C1376" s="3"/>
      <c r="D1376" s="3"/>
      <c r="E1376" s="3"/>
      <c r="F1376" s="3"/>
      <c r="G1376" s="3"/>
      <c r="H1376" s="3"/>
      <c r="I1376" s="3"/>
      <c r="J1376" s="3"/>
      <c r="K1376" s="3"/>
      <c r="L1376" s="3"/>
      <c r="M1376" s="3"/>
      <c r="N1376" s="157"/>
      <c r="O1376" s="157"/>
      <c r="P1376" s="157"/>
      <c r="R1376" s="147"/>
      <c r="S1376" s="147"/>
      <c r="T1376" s="147"/>
      <c r="U1376" s="147"/>
      <c r="X1376" s="147"/>
      <c r="Y1376" s="147"/>
      <c r="Z1376" s="147"/>
      <c r="AA1376" s="147"/>
      <c r="AB1376" s="147"/>
      <c r="AC1376" s="147"/>
      <c r="AD1376" s="147"/>
      <c r="AE1376" s="147"/>
      <c r="AF1376" s="147"/>
      <c r="AG1376" s="147"/>
      <c r="AH1376" s="147"/>
      <c r="AI1376" s="147"/>
      <c r="AJ1376" s="147"/>
      <c r="AK1376" s="147"/>
      <c r="AL1376" s="147"/>
      <c r="AM1376" s="147"/>
      <c r="AN1376" s="147"/>
      <c r="AO1376" s="147"/>
      <c r="AP1376" s="147"/>
      <c r="AQ1376" s="147"/>
    </row>
    <row r="1377" spans="1:43">
      <c r="A1377" s="3"/>
      <c r="B1377" s="3"/>
      <c r="C1377" s="3"/>
      <c r="D1377" s="3"/>
      <c r="E1377" s="3"/>
      <c r="F1377" s="3"/>
      <c r="G1377" s="3"/>
      <c r="H1377" s="3"/>
      <c r="I1377" s="3"/>
      <c r="J1377" s="3"/>
      <c r="K1377" s="3"/>
      <c r="L1377" s="3"/>
      <c r="M1377" s="3"/>
      <c r="N1377" s="157"/>
      <c r="O1377" s="157"/>
      <c r="P1377" s="157"/>
      <c r="R1377" s="147"/>
      <c r="S1377" s="147"/>
      <c r="T1377" s="147"/>
      <c r="U1377" s="147"/>
      <c r="X1377" s="147"/>
      <c r="Y1377" s="147"/>
      <c r="Z1377" s="147"/>
      <c r="AA1377" s="147"/>
      <c r="AB1377" s="147"/>
      <c r="AC1377" s="147"/>
      <c r="AD1377" s="147"/>
      <c r="AE1377" s="147"/>
      <c r="AF1377" s="147"/>
      <c r="AG1377" s="147"/>
      <c r="AH1377" s="147"/>
      <c r="AI1377" s="147"/>
      <c r="AJ1377" s="147"/>
      <c r="AK1377" s="147"/>
      <c r="AL1377" s="147"/>
      <c r="AM1377" s="147"/>
      <c r="AN1377" s="147"/>
      <c r="AO1377" s="147"/>
      <c r="AP1377" s="147"/>
      <c r="AQ1377" s="147"/>
    </row>
    <row r="1378" spans="1:43">
      <c r="A1378" s="3"/>
      <c r="B1378" s="3"/>
      <c r="C1378" s="3"/>
      <c r="D1378" s="3"/>
      <c r="E1378" s="3"/>
      <c r="F1378" s="3"/>
      <c r="G1378" s="3"/>
      <c r="H1378" s="3"/>
      <c r="I1378" s="3"/>
      <c r="J1378" s="3"/>
      <c r="K1378" s="3"/>
      <c r="L1378" s="3"/>
      <c r="M1378" s="3"/>
      <c r="N1378" s="157"/>
      <c r="O1378" s="157"/>
      <c r="P1378" s="157"/>
      <c r="R1378" s="147"/>
      <c r="S1378" s="147"/>
      <c r="T1378" s="147"/>
      <c r="U1378" s="147"/>
      <c r="X1378" s="147"/>
      <c r="Y1378" s="147"/>
      <c r="Z1378" s="147"/>
      <c r="AA1378" s="147"/>
      <c r="AB1378" s="147"/>
      <c r="AC1378" s="147"/>
      <c r="AD1378" s="147"/>
      <c r="AE1378" s="147"/>
      <c r="AF1378" s="147"/>
      <c r="AG1378" s="147"/>
      <c r="AH1378" s="147"/>
      <c r="AI1378" s="147"/>
      <c r="AJ1378" s="147"/>
      <c r="AK1378" s="147"/>
      <c r="AL1378" s="147"/>
      <c r="AM1378" s="147"/>
      <c r="AN1378" s="147"/>
      <c r="AO1378" s="147"/>
      <c r="AP1378" s="147"/>
      <c r="AQ1378" s="147"/>
    </row>
    <row r="1379" spans="1:43">
      <c r="A1379" s="3"/>
      <c r="B1379" s="3"/>
      <c r="C1379" s="3"/>
      <c r="D1379" s="3"/>
      <c r="E1379" s="3"/>
      <c r="F1379" s="3"/>
      <c r="G1379" s="3"/>
      <c r="H1379" s="3"/>
      <c r="I1379" s="3"/>
      <c r="J1379" s="3"/>
      <c r="K1379" s="3"/>
      <c r="L1379" s="3"/>
      <c r="M1379" s="3"/>
      <c r="N1379" s="157"/>
      <c r="O1379" s="157"/>
      <c r="P1379" s="157"/>
      <c r="R1379" s="147"/>
      <c r="S1379" s="147"/>
      <c r="T1379" s="147"/>
      <c r="U1379" s="147"/>
      <c r="X1379" s="147"/>
      <c r="Y1379" s="147"/>
      <c r="Z1379" s="147"/>
      <c r="AA1379" s="147"/>
      <c r="AB1379" s="147"/>
      <c r="AC1379" s="147"/>
      <c r="AD1379" s="147"/>
      <c r="AE1379" s="147"/>
      <c r="AF1379" s="147"/>
      <c r="AG1379" s="147"/>
      <c r="AH1379" s="147"/>
      <c r="AI1379" s="147"/>
      <c r="AJ1379" s="147"/>
      <c r="AK1379" s="147"/>
      <c r="AL1379" s="147"/>
      <c r="AM1379" s="147"/>
      <c r="AN1379" s="147"/>
      <c r="AO1379" s="147"/>
      <c r="AP1379" s="147"/>
      <c r="AQ1379" s="147"/>
    </row>
    <row r="1380" spans="1:43">
      <c r="A1380" s="3"/>
      <c r="B1380" s="3"/>
      <c r="C1380" s="3"/>
      <c r="D1380" s="3"/>
      <c r="E1380" s="3"/>
      <c r="F1380" s="3"/>
      <c r="G1380" s="3"/>
      <c r="H1380" s="3"/>
      <c r="I1380" s="3"/>
      <c r="J1380" s="3"/>
      <c r="K1380" s="3"/>
      <c r="L1380" s="3"/>
      <c r="M1380" s="3"/>
      <c r="N1380" s="157"/>
      <c r="O1380" s="157"/>
      <c r="P1380" s="157"/>
      <c r="R1380" s="147"/>
      <c r="S1380" s="147"/>
      <c r="T1380" s="147"/>
      <c r="U1380" s="147"/>
      <c r="X1380" s="147"/>
      <c r="Y1380" s="147"/>
      <c r="Z1380" s="147"/>
      <c r="AA1380" s="147"/>
      <c r="AB1380" s="147"/>
      <c r="AC1380" s="147"/>
      <c r="AD1380" s="147"/>
      <c r="AE1380" s="147"/>
      <c r="AF1380" s="147"/>
      <c r="AG1380" s="147"/>
      <c r="AH1380" s="147"/>
      <c r="AI1380" s="147"/>
      <c r="AJ1380" s="147"/>
      <c r="AK1380" s="147"/>
      <c r="AL1380" s="147"/>
      <c r="AM1380" s="147"/>
      <c r="AN1380" s="147"/>
      <c r="AO1380" s="147"/>
      <c r="AP1380" s="147"/>
      <c r="AQ1380" s="147"/>
    </row>
    <row r="1381" spans="1:43">
      <c r="A1381" s="3"/>
      <c r="B1381" s="3"/>
      <c r="C1381" s="3"/>
      <c r="D1381" s="3"/>
      <c r="E1381" s="3"/>
      <c r="F1381" s="3"/>
      <c r="G1381" s="3"/>
      <c r="H1381" s="3"/>
      <c r="I1381" s="3"/>
      <c r="J1381" s="3"/>
      <c r="K1381" s="3"/>
      <c r="L1381" s="3"/>
      <c r="M1381" s="3"/>
      <c r="N1381" s="157"/>
      <c r="O1381" s="157"/>
      <c r="P1381" s="157"/>
      <c r="R1381" s="147"/>
      <c r="S1381" s="147"/>
      <c r="T1381" s="147"/>
      <c r="U1381" s="147"/>
      <c r="X1381" s="147"/>
      <c r="Y1381" s="147"/>
      <c r="Z1381" s="147"/>
      <c r="AA1381" s="147"/>
      <c r="AB1381" s="147"/>
      <c r="AC1381" s="147"/>
      <c r="AD1381" s="147"/>
      <c r="AE1381" s="147"/>
      <c r="AF1381" s="147"/>
      <c r="AG1381" s="147"/>
      <c r="AH1381" s="147"/>
      <c r="AI1381" s="147"/>
      <c r="AJ1381" s="147"/>
      <c r="AK1381" s="147"/>
      <c r="AL1381" s="147"/>
      <c r="AM1381" s="147"/>
      <c r="AN1381" s="147"/>
      <c r="AO1381" s="147"/>
      <c r="AP1381" s="147"/>
      <c r="AQ1381" s="147"/>
    </row>
    <row r="1382" spans="1:43">
      <c r="A1382" s="3"/>
      <c r="B1382" s="3"/>
      <c r="C1382" s="3"/>
      <c r="D1382" s="3"/>
      <c r="E1382" s="3"/>
      <c r="F1382" s="3"/>
      <c r="G1382" s="3"/>
      <c r="H1382" s="3"/>
      <c r="I1382" s="3"/>
      <c r="J1382" s="3"/>
      <c r="K1382" s="3"/>
      <c r="L1382" s="3"/>
      <c r="M1382" s="3"/>
      <c r="N1382" s="157"/>
      <c r="O1382" s="157"/>
      <c r="P1382" s="157"/>
      <c r="R1382" s="147"/>
      <c r="S1382" s="147"/>
      <c r="T1382" s="147"/>
      <c r="U1382" s="147"/>
      <c r="X1382" s="147"/>
      <c r="Y1382" s="147"/>
      <c r="Z1382" s="147"/>
      <c r="AA1382" s="147"/>
      <c r="AB1382" s="147"/>
      <c r="AC1382" s="147"/>
      <c r="AD1382" s="147"/>
      <c r="AE1382" s="147"/>
      <c r="AF1382" s="147"/>
      <c r="AG1382" s="147"/>
      <c r="AH1382" s="147"/>
      <c r="AI1382" s="147"/>
      <c r="AJ1382" s="147"/>
      <c r="AK1382" s="147"/>
      <c r="AL1382" s="147"/>
      <c r="AM1382" s="147"/>
      <c r="AN1382" s="147"/>
      <c r="AO1382" s="147"/>
      <c r="AP1382" s="147"/>
      <c r="AQ1382" s="147"/>
    </row>
    <row r="1383" spans="1:43">
      <c r="A1383" s="3"/>
      <c r="B1383" s="3"/>
      <c r="C1383" s="3"/>
      <c r="D1383" s="3"/>
      <c r="E1383" s="3"/>
      <c r="F1383" s="3"/>
      <c r="G1383" s="3"/>
      <c r="H1383" s="3"/>
      <c r="I1383" s="3"/>
      <c r="J1383" s="3"/>
      <c r="K1383" s="3"/>
      <c r="L1383" s="3"/>
      <c r="M1383" s="3"/>
      <c r="N1383" s="157"/>
      <c r="O1383" s="157"/>
      <c r="P1383" s="157"/>
      <c r="R1383" s="147"/>
      <c r="S1383" s="147"/>
      <c r="T1383" s="147"/>
      <c r="U1383" s="147"/>
      <c r="X1383" s="147"/>
      <c r="Y1383" s="147"/>
      <c r="Z1383" s="147"/>
      <c r="AA1383" s="147"/>
      <c r="AB1383" s="147"/>
      <c r="AC1383" s="147"/>
      <c r="AD1383" s="147"/>
      <c r="AE1383" s="147"/>
      <c r="AF1383" s="147"/>
      <c r="AG1383" s="147"/>
      <c r="AH1383" s="147"/>
      <c r="AI1383" s="147"/>
      <c r="AJ1383" s="147"/>
      <c r="AK1383" s="147"/>
      <c r="AL1383" s="147"/>
      <c r="AM1383" s="147"/>
      <c r="AN1383" s="147"/>
      <c r="AO1383" s="147"/>
      <c r="AP1383" s="147"/>
      <c r="AQ1383" s="147"/>
    </row>
    <row r="1384" spans="1:43">
      <c r="A1384" s="3"/>
      <c r="B1384" s="3"/>
      <c r="C1384" s="3"/>
      <c r="D1384" s="3"/>
      <c r="E1384" s="3"/>
      <c r="F1384" s="3"/>
      <c r="G1384" s="3"/>
      <c r="H1384" s="3"/>
      <c r="I1384" s="3"/>
      <c r="J1384" s="3"/>
      <c r="K1384" s="3"/>
      <c r="L1384" s="3"/>
      <c r="M1384" s="3"/>
      <c r="N1384" s="157"/>
      <c r="O1384" s="157"/>
      <c r="P1384" s="157"/>
      <c r="R1384" s="147"/>
      <c r="S1384" s="147"/>
      <c r="T1384" s="147"/>
      <c r="U1384" s="147"/>
      <c r="X1384" s="147"/>
      <c r="Y1384" s="147"/>
      <c r="Z1384" s="147"/>
      <c r="AA1384" s="147"/>
      <c r="AB1384" s="147"/>
      <c r="AC1384" s="147"/>
      <c r="AD1384" s="147"/>
      <c r="AE1384" s="147"/>
      <c r="AF1384" s="147"/>
      <c r="AG1384" s="147"/>
      <c r="AH1384" s="147"/>
      <c r="AI1384" s="147"/>
      <c r="AJ1384" s="147"/>
      <c r="AK1384" s="147"/>
      <c r="AL1384" s="147"/>
      <c r="AM1384" s="147"/>
      <c r="AN1384" s="147"/>
      <c r="AO1384" s="147"/>
      <c r="AP1384" s="147"/>
      <c r="AQ1384" s="147"/>
    </row>
    <row r="1385" spans="1:43">
      <c r="A1385" s="3"/>
      <c r="B1385" s="3"/>
      <c r="C1385" s="3"/>
      <c r="D1385" s="3"/>
      <c r="E1385" s="3"/>
      <c r="F1385" s="3"/>
      <c r="G1385" s="3"/>
      <c r="H1385" s="3"/>
      <c r="I1385" s="3"/>
      <c r="J1385" s="3"/>
      <c r="K1385" s="3"/>
      <c r="L1385" s="3"/>
      <c r="M1385" s="3"/>
      <c r="N1385" s="157"/>
      <c r="O1385" s="157"/>
      <c r="P1385" s="157"/>
      <c r="R1385" s="147"/>
      <c r="S1385" s="147"/>
      <c r="T1385" s="147"/>
      <c r="U1385" s="147"/>
      <c r="X1385" s="147"/>
      <c r="Y1385" s="147"/>
      <c r="Z1385" s="147"/>
      <c r="AA1385" s="147"/>
      <c r="AB1385" s="147"/>
      <c r="AC1385" s="147"/>
      <c r="AD1385" s="147"/>
      <c r="AE1385" s="147"/>
      <c r="AF1385" s="147"/>
      <c r="AG1385" s="147"/>
      <c r="AH1385" s="147"/>
      <c r="AI1385" s="147"/>
      <c r="AJ1385" s="147"/>
      <c r="AK1385" s="147"/>
      <c r="AL1385" s="147"/>
      <c r="AM1385" s="147"/>
      <c r="AN1385" s="147"/>
      <c r="AO1385" s="147"/>
      <c r="AP1385" s="147"/>
      <c r="AQ1385" s="147"/>
    </row>
    <row r="1386" spans="1:43">
      <c r="A1386" s="3"/>
      <c r="B1386" s="3"/>
      <c r="C1386" s="3"/>
      <c r="D1386" s="3"/>
      <c r="E1386" s="3"/>
      <c r="F1386" s="3"/>
      <c r="G1386" s="3"/>
      <c r="H1386" s="3"/>
      <c r="I1386" s="3"/>
      <c r="J1386" s="3"/>
      <c r="K1386" s="3"/>
      <c r="L1386" s="3"/>
      <c r="M1386" s="3"/>
      <c r="N1386" s="157"/>
      <c r="O1386" s="157"/>
      <c r="P1386" s="157"/>
      <c r="R1386" s="147"/>
      <c r="S1386" s="147"/>
      <c r="T1386" s="147"/>
      <c r="U1386" s="147"/>
      <c r="X1386" s="147"/>
      <c r="Y1386" s="147"/>
      <c r="Z1386" s="147"/>
      <c r="AA1386" s="147"/>
      <c r="AB1386" s="147"/>
      <c r="AC1386" s="147"/>
      <c r="AD1386" s="147"/>
      <c r="AE1386" s="147"/>
      <c r="AF1386" s="147"/>
      <c r="AG1386" s="147"/>
      <c r="AH1386" s="147"/>
      <c r="AI1386" s="147"/>
      <c r="AJ1386" s="147"/>
      <c r="AK1386" s="147"/>
      <c r="AL1386" s="147"/>
      <c r="AM1386" s="147"/>
      <c r="AN1386" s="147"/>
      <c r="AO1386" s="147"/>
      <c r="AP1386" s="147"/>
      <c r="AQ1386" s="147"/>
    </row>
    <row r="1387" spans="1:43">
      <c r="A1387" s="3"/>
      <c r="B1387" s="3"/>
      <c r="C1387" s="3"/>
      <c r="D1387" s="3"/>
      <c r="E1387" s="3"/>
      <c r="F1387" s="3"/>
      <c r="G1387" s="3"/>
      <c r="H1387" s="3"/>
      <c r="I1387" s="3"/>
      <c r="J1387" s="3"/>
      <c r="K1387" s="3"/>
      <c r="L1387" s="3"/>
      <c r="M1387" s="3"/>
      <c r="N1387" s="157"/>
      <c r="O1387" s="157"/>
      <c r="P1387" s="157"/>
      <c r="R1387" s="147"/>
      <c r="S1387" s="147"/>
      <c r="T1387" s="147"/>
      <c r="U1387" s="147"/>
      <c r="X1387" s="147"/>
      <c r="Y1387" s="147"/>
      <c r="Z1387" s="147"/>
      <c r="AA1387" s="147"/>
      <c r="AB1387" s="147"/>
      <c r="AC1387" s="147"/>
      <c r="AD1387" s="147"/>
      <c r="AE1387" s="147"/>
      <c r="AF1387" s="147"/>
      <c r="AG1387" s="147"/>
      <c r="AH1387" s="147"/>
      <c r="AI1387" s="147"/>
      <c r="AJ1387" s="147"/>
      <c r="AK1387" s="147"/>
      <c r="AL1387" s="147"/>
      <c r="AM1387" s="147"/>
      <c r="AN1387" s="147"/>
      <c r="AO1387" s="147"/>
      <c r="AP1387" s="147"/>
      <c r="AQ1387" s="147"/>
    </row>
    <row r="1388" spans="1:43">
      <c r="A1388" s="3"/>
      <c r="B1388" s="3"/>
      <c r="C1388" s="3"/>
      <c r="D1388" s="3"/>
      <c r="E1388" s="3"/>
      <c r="F1388" s="3"/>
      <c r="G1388" s="3"/>
      <c r="H1388" s="3"/>
      <c r="I1388" s="3"/>
      <c r="J1388" s="3"/>
      <c r="K1388" s="3"/>
      <c r="L1388" s="3"/>
      <c r="M1388" s="3"/>
      <c r="N1388" s="157"/>
      <c r="O1388" s="157"/>
      <c r="P1388" s="157"/>
      <c r="R1388" s="147"/>
      <c r="S1388" s="147"/>
      <c r="T1388" s="147"/>
      <c r="U1388" s="147"/>
      <c r="X1388" s="147"/>
      <c r="Y1388" s="147"/>
      <c r="Z1388" s="147"/>
      <c r="AA1388" s="147"/>
      <c r="AB1388" s="147"/>
      <c r="AC1388" s="147"/>
      <c r="AD1388" s="147"/>
      <c r="AE1388" s="147"/>
      <c r="AF1388" s="147"/>
      <c r="AG1388" s="147"/>
      <c r="AH1388" s="147"/>
      <c r="AI1388" s="147"/>
      <c r="AJ1388" s="147"/>
      <c r="AK1388" s="147"/>
      <c r="AL1388" s="147"/>
      <c r="AM1388" s="147"/>
      <c r="AN1388" s="147"/>
      <c r="AO1388" s="147"/>
      <c r="AP1388" s="147"/>
      <c r="AQ1388" s="147"/>
    </row>
    <row r="1389" spans="1:43">
      <c r="A1389" s="3"/>
      <c r="B1389" s="3"/>
      <c r="C1389" s="3"/>
      <c r="D1389" s="3"/>
      <c r="E1389" s="3"/>
      <c r="F1389" s="3"/>
      <c r="G1389" s="3"/>
      <c r="H1389" s="3"/>
      <c r="I1389" s="3"/>
      <c r="J1389" s="3"/>
      <c r="K1389" s="3"/>
      <c r="L1389" s="3"/>
      <c r="M1389" s="3"/>
      <c r="N1389" s="157"/>
      <c r="O1389" s="157"/>
      <c r="P1389" s="157"/>
      <c r="R1389" s="147"/>
      <c r="S1389" s="147"/>
      <c r="T1389" s="147"/>
      <c r="U1389" s="147"/>
      <c r="X1389" s="147"/>
      <c r="Y1389" s="147"/>
      <c r="Z1389" s="147"/>
      <c r="AA1389" s="147"/>
      <c r="AB1389" s="147"/>
      <c r="AC1389" s="147"/>
      <c r="AD1389" s="147"/>
      <c r="AE1389" s="147"/>
      <c r="AF1389" s="147"/>
      <c r="AG1389" s="147"/>
      <c r="AH1389" s="147"/>
      <c r="AI1389" s="147"/>
      <c r="AJ1389" s="147"/>
      <c r="AK1389" s="147"/>
      <c r="AL1389" s="147"/>
      <c r="AM1389" s="147"/>
      <c r="AN1389" s="147"/>
      <c r="AO1389" s="147"/>
      <c r="AP1389" s="147"/>
      <c r="AQ1389" s="147"/>
    </row>
    <row r="1390" spans="1:43">
      <c r="A1390" s="3"/>
      <c r="B1390" s="3"/>
      <c r="C1390" s="3"/>
      <c r="D1390" s="3"/>
      <c r="E1390" s="3"/>
      <c r="F1390" s="3"/>
      <c r="G1390" s="3"/>
      <c r="H1390" s="3"/>
      <c r="I1390" s="3"/>
      <c r="J1390" s="3"/>
      <c r="K1390" s="3"/>
      <c r="L1390" s="3"/>
      <c r="M1390" s="3"/>
      <c r="N1390" s="157"/>
      <c r="O1390" s="157"/>
      <c r="P1390" s="157"/>
      <c r="R1390" s="147"/>
      <c r="S1390" s="147"/>
      <c r="T1390" s="147"/>
      <c r="U1390" s="147"/>
      <c r="X1390" s="147"/>
      <c r="Y1390" s="147"/>
      <c r="Z1390" s="147"/>
      <c r="AA1390" s="147"/>
      <c r="AB1390" s="147"/>
      <c r="AC1390" s="147"/>
      <c r="AD1390" s="147"/>
      <c r="AE1390" s="147"/>
      <c r="AF1390" s="147"/>
      <c r="AG1390" s="147"/>
      <c r="AH1390" s="147"/>
      <c r="AI1390" s="147"/>
      <c r="AJ1390" s="147"/>
      <c r="AK1390" s="147"/>
      <c r="AL1390" s="147"/>
      <c r="AM1390" s="147"/>
      <c r="AN1390" s="147"/>
      <c r="AO1390" s="147"/>
      <c r="AP1390" s="147"/>
      <c r="AQ1390" s="147"/>
    </row>
    <row r="1391" spans="1:43">
      <c r="A1391" s="3"/>
      <c r="B1391" s="3"/>
      <c r="C1391" s="3"/>
      <c r="D1391" s="3"/>
      <c r="E1391" s="3"/>
      <c r="F1391" s="3"/>
      <c r="G1391" s="3"/>
      <c r="H1391" s="3"/>
      <c r="I1391" s="3"/>
      <c r="J1391" s="3"/>
      <c r="K1391" s="3"/>
      <c r="L1391" s="3"/>
      <c r="M1391" s="3"/>
      <c r="N1391" s="157"/>
      <c r="O1391" s="157"/>
      <c r="P1391" s="157"/>
      <c r="R1391" s="147"/>
      <c r="S1391" s="147"/>
      <c r="T1391" s="147"/>
      <c r="U1391" s="147"/>
      <c r="X1391" s="147"/>
      <c r="Y1391" s="147"/>
      <c r="Z1391" s="147"/>
      <c r="AA1391" s="147"/>
      <c r="AB1391" s="147"/>
      <c r="AC1391" s="147"/>
      <c r="AD1391" s="147"/>
      <c r="AE1391" s="147"/>
      <c r="AF1391" s="147"/>
      <c r="AG1391" s="147"/>
      <c r="AH1391" s="147"/>
      <c r="AI1391" s="147"/>
      <c r="AJ1391" s="147"/>
      <c r="AK1391" s="147"/>
      <c r="AL1391" s="147"/>
      <c r="AM1391" s="147"/>
      <c r="AN1391" s="147"/>
      <c r="AO1391" s="147"/>
      <c r="AP1391" s="147"/>
      <c r="AQ1391" s="147"/>
    </row>
    <row r="1392" spans="1:43">
      <c r="A1392" s="3"/>
      <c r="B1392" s="3"/>
      <c r="C1392" s="3"/>
      <c r="D1392" s="3"/>
      <c r="E1392" s="3"/>
      <c r="F1392" s="3"/>
      <c r="G1392" s="3"/>
      <c r="H1392" s="3"/>
      <c r="I1392" s="3"/>
      <c r="J1392" s="3"/>
      <c r="K1392" s="3"/>
      <c r="L1392" s="3"/>
      <c r="M1392" s="3"/>
      <c r="N1392" s="157"/>
      <c r="O1392" s="157"/>
      <c r="P1392" s="157"/>
      <c r="R1392" s="147"/>
      <c r="S1392" s="147"/>
      <c r="T1392" s="147"/>
      <c r="U1392" s="147"/>
      <c r="X1392" s="147"/>
      <c r="Y1392" s="147"/>
      <c r="Z1392" s="147"/>
      <c r="AA1392" s="147"/>
      <c r="AB1392" s="147"/>
      <c r="AC1392" s="147"/>
      <c r="AD1392" s="147"/>
      <c r="AE1392" s="147"/>
      <c r="AF1392" s="147"/>
      <c r="AG1392" s="147"/>
      <c r="AH1392" s="147"/>
      <c r="AI1392" s="147"/>
      <c r="AJ1392" s="147"/>
      <c r="AK1392" s="147"/>
      <c r="AL1392" s="147"/>
      <c r="AM1392" s="147"/>
      <c r="AN1392" s="147"/>
      <c r="AO1392" s="147"/>
      <c r="AP1392" s="147"/>
      <c r="AQ1392" s="147"/>
    </row>
    <row r="1393" spans="1:43">
      <c r="A1393" s="3"/>
      <c r="B1393" s="3"/>
      <c r="C1393" s="3"/>
      <c r="D1393" s="3"/>
      <c r="E1393" s="3"/>
      <c r="F1393" s="3"/>
      <c r="G1393" s="3"/>
      <c r="H1393" s="3"/>
      <c r="I1393" s="3"/>
      <c r="J1393" s="3"/>
      <c r="K1393" s="3"/>
      <c r="L1393" s="3"/>
      <c r="M1393" s="3"/>
      <c r="N1393" s="157"/>
      <c r="O1393" s="157"/>
      <c r="P1393" s="157"/>
      <c r="R1393" s="147"/>
      <c r="S1393" s="147"/>
      <c r="T1393" s="147"/>
      <c r="U1393" s="147"/>
      <c r="X1393" s="147"/>
      <c r="Y1393" s="147"/>
      <c r="Z1393" s="147"/>
      <c r="AA1393" s="147"/>
      <c r="AB1393" s="147"/>
      <c r="AC1393" s="147"/>
      <c r="AD1393" s="147"/>
      <c r="AE1393" s="147"/>
      <c r="AF1393" s="147"/>
      <c r="AG1393" s="147"/>
      <c r="AH1393" s="147"/>
      <c r="AI1393" s="147"/>
      <c r="AJ1393" s="147"/>
      <c r="AK1393" s="147"/>
      <c r="AL1393" s="147"/>
      <c r="AM1393" s="147"/>
      <c r="AN1393" s="147"/>
      <c r="AO1393" s="147"/>
      <c r="AP1393" s="147"/>
      <c r="AQ1393" s="147"/>
    </row>
    <row r="1394" spans="1:43">
      <c r="A1394" s="3"/>
      <c r="B1394" s="3"/>
      <c r="C1394" s="3"/>
      <c r="D1394" s="3"/>
      <c r="E1394" s="3"/>
      <c r="F1394" s="3"/>
      <c r="G1394" s="3"/>
      <c r="H1394" s="3"/>
      <c r="I1394" s="3"/>
      <c r="J1394" s="3"/>
      <c r="K1394" s="3"/>
      <c r="L1394" s="3"/>
      <c r="M1394" s="3"/>
      <c r="N1394" s="157"/>
      <c r="O1394" s="157"/>
      <c r="P1394" s="157"/>
      <c r="R1394" s="147"/>
      <c r="S1394" s="147"/>
      <c r="T1394" s="147"/>
      <c r="U1394" s="147"/>
      <c r="X1394" s="147"/>
      <c r="Y1394" s="147"/>
      <c r="Z1394" s="147"/>
      <c r="AA1394" s="147"/>
      <c r="AB1394" s="147"/>
      <c r="AC1394" s="147"/>
      <c r="AD1394" s="147"/>
      <c r="AE1394" s="147"/>
      <c r="AF1394" s="147"/>
      <c r="AG1394" s="147"/>
      <c r="AH1394" s="147"/>
      <c r="AI1394" s="147"/>
      <c r="AJ1394" s="147"/>
      <c r="AK1394" s="147"/>
      <c r="AL1394" s="147"/>
      <c r="AM1394" s="147"/>
      <c r="AN1394" s="147"/>
      <c r="AO1394" s="147"/>
      <c r="AP1394" s="147"/>
      <c r="AQ1394" s="147"/>
    </row>
    <row r="1395" spans="1:43">
      <c r="A1395" s="3"/>
      <c r="B1395" s="3"/>
      <c r="C1395" s="3"/>
      <c r="D1395" s="3"/>
      <c r="E1395" s="3"/>
      <c r="F1395" s="3"/>
      <c r="G1395" s="3"/>
      <c r="H1395" s="3"/>
      <c r="I1395" s="3"/>
      <c r="J1395" s="3"/>
      <c r="K1395" s="3"/>
      <c r="L1395" s="3"/>
      <c r="M1395" s="3"/>
      <c r="N1395" s="157"/>
      <c r="O1395" s="157"/>
      <c r="P1395" s="157"/>
      <c r="R1395" s="147"/>
      <c r="S1395" s="147"/>
      <c r="T1395" s="147"/>
      <c r="U1395" s="147"/>
      <c r="X1395" s="147"/>
      <c r="Y1395" s="147"/>
      <c r="Z1395" s="147"/>
      <c r="AA1395" s="147"/>
      <c r="AB1395" s="147"/>
      <c r="AC1395" s="147"/>
      <c r="AD1395" s="147"/>
      <c r="AE1395" s="147"/>
      <c r="AF1395" s="147"/>
      <c r="AG1395" s="147"/>
      <c r="AH1395" s="147"/>
      <c r="AI1395" s="147"/>
      <c r="AJ1395" s="147"/>
      <c r="AK1395" s="147"/>
      <c r="AL1395" s="147"/>
      <c r="AM1395" s="147"/>
      <c r="AN1395" s="147"/>
      <c r="AO1395" s="147"/>
      <c r="AP1395" s="147"/>
      <c r="AQ1395" s="147"/>
    </row>
    <row r="1396" spans="1:43">
      <c r="A1396" s="3"/>
      <c r="B1396" s="3"/>
      <c r="C1396" s="3"/>
      <c r="D1396" s="3"/>
      <c r="E1396" s="3"/>
      <c r="F1396" s="3"/>
      <c r="G1396" s="3"/>
      <c r="H1396" s="3"/>
      <c r="I1396" s="3"/>
      <c r="J1396" s="3"/>
      <c r="K1396" s="3"/>
      <c r="L1396" s="3"/>
      <c r="M1396" s="3"/>
      <c r="N1396" s="157"/>
      <c r="O1396" s="157"/>
      <c r="P1396" s="157"/>
      <c r="R1396" s="147"/>
      <c r="S1396" s="147"/>
      <c r="T1396" s="147"/>
      <c r="U1396" s="147"/>
      <c r="X1396" s="147"/>
      <c r="Y1396" s="147"/>
      <c r="Z1396" s="147"/>
      <c r="AA1396" s="147"/>
      <c r="AB1396" s="147"/>
      <c r="AC1396" s="147"/>
      <c r="AD1396" s="147"/>
      <c r="AE1396" s="147"/>
      <c r="AF1396" s="147"/>
      <c r="AG1396" s="147"/>
      <c r="AH1396" s="147"/>
      <c r="AI1396" s="147"/>
      <c r="AJ1396" s="147"/>
      <c r="AK1396" s="147"/>
      <c r="AL1396" s="147"/>
      <c r="AM1396" s="147"/>
      <c r="AN1396" s="147"/>
      <c r="AO1396" s="147"/>
      <c r="AP1396" s="147"/>
      <c r="AQ1396" s="147"/>
    </row>
    <row r="1397" spans="1:43">
      <c r="A1397" s="3"/>
      <c r="B1397" s="3"/>
      <c r="C1397" s="3"/>
      <c r="D1397" s="3"/>
      <c r="E1397" s="3"/>
      <c r="F1397" s="3"/>
      <c r="G1397" s="3"/>
      <c r="H1397" s="3"/>
      <c r="I1397" s="3"/>
      <c r="J1397" s="3"/>
      <c r="K1397" s="3"/>
      <c r="L1397" s="3"/>
      <c r="M1397" s="3"/>
      <c r="N1397" s="157"/>
      <c r="O1397" s="157"/>
      <c r="P1397" s="157"/>
      <c r="R1397" s="147"/>
      <c r="S1397" s="147"/>
      <c r="T1397" s="147"/>
      <c r="U1397" s="147"/>
      <c r="X1397" s="147"/>
      <c r="Y1397" s="147"/>
      <c r="Z1397" s="147"/>
      <c r="AA1397" s="147"/>
      <c r="AB1397" s="147"/>
      <c r="AC1397" s="147"/>
      <c r="AD1397" s="147"/>
      <c r="AE1397" s="147"/>
      <c r="AF1397" s="147"/>
      <c r="AG1397" s="147"/>
      <c r="AH1397" s="147"/>
      <c r="AI1397" s="147"/>
      <c r="AJ1397" s="147"/>
      <c r="AK1397" s="147"/>
      <c r="AL1397" s="147"/>
      <c r="AM1397" s="147"/>
      <c r="AN1397" s="147"/>
      <c r="AO1397" s="147"/>
      <c r="AP1397" s="147"/>
      <c r="AQ1397" s="147"/>
    </row>
    <row r="1398" spans="1:43">
      <c r="A1398" s="3"/>
      <c r="B1398" s="3"/>
      <c r="C1398" s="3"/>
      <c r="D1398" s="3"/>
      <c r="E1398" s="3"/>
      <c r="F1398" s="3"/>
      <c r="G1398" s="3"/>
      <c r="H1398" s="3"/>
      <c r="I1398" s="3"/>
      <c r="J1398" s="3"/>
      <c r="K1398" s="3"/>
      <c r="L1398" s="3"/>
      <c r="M1398" s="3"/>
      <c r="N1398" s="157"/>
      <c r="O1398" s="157"/>
      <c r="P1398" s="157"/>
      <c r="R1398" s="147"/>
      <c r="S1398" s="147"/>
      <c r="T1398" s="147"/>
      <c r="U1398" s="147"/>
      <c r="X1398" s="147"/>
      <c r="Y1398" s="147"/>
      <c r="Z1398" s="147"/>
      <c r="AA1398" s="147"/>
      <c r="AB1398" s="147"/>
      <c r="AC1398" s="147"/>
      <c r="AD1398" s="147"/>
      <c r="AE1398" s="147"/>
      <c r="AF1398" s="147"/>
      <c r="AG1398" s="147"/>
      <c r="AH1398" s="147"/>
      <c r="AI1398" s="147"/>
      <c r="AJ1398" s="147"/>
      <c r="AK1398" s="147"/>
      <c r="AL1398" s="147"/>
      <c r="AM1398" s="147"/>
      <c r="AN1398" s="147"/>
      <c r="AO1398" s="147"/>
      <c r="AP1398" s="147"/>
      <c r="AQ1398" s="147"/>
    </row>
    <row r="1399" spans="1:43">
      <c r="A1399" s="3"/>
      <c r="B1399" s="3"/>
      <c r="C1399" s="3"/>
      <c r="D1399" s="3"/>
      <c r="E1399" s="3"/>
      <c r="F1399" s="3"/>
      <c r="G1399" s="3"/>
      <c r="H1399" s="3"/>
      <c r="I1399" s="3"/>
      <c r="J1399" s="3"/>
      <c r="K1399" s="3"/>
      <c r="L1399" s="3"/>
      <c r="M1399" s="3"/>
      <c r="N1399" s="157"/>
      <c r="O1399" s="157"/>
      <c r="P1399" s="157"/>
      <c r="R1399" s="147"/>
      <c r="S1399" s="147"/>
      <c r="T1399" s="147"/>
      <c r="U1399" s="147"/>
      <c r="X1399" s="147"/>
      <c r="Y1399" s="147"/>
      <c r="Z1399" s="147"/>
      <c r="AA1399" s="147"/>
      <c r="AB1399" s="147"/>
      <c r="AC1399" s="147"/>
      <c r="AD1399" s="147"/>
      <c r="AE1399" s="147"/>
      <c r="AF1399" s="147"/>
      <c r="AG1399" s="147"/>
      <c r="AH1399" s="147"/>
      <c r="AI1399" s="147"/>
      <c r="AJ1399" s="147"/>
      <c r="AK1399" s="147"/>
      <c r="AL1399" s="147"/>
      <c r="AM1399" s="147"/>
      <c r="AN1399" s="147"/>
      <c r="AO1399" s="147"/>
      <c r="AP1399" s="147"/>
      <c r="AQ1399" s="147"/>
    </row>
    <row r="1400" spans="1:43">
      <c r="A1400" s="3"/>
      <c r="B1400" s="3"/>
      <c r="C1400" s="3"/>
      <c r="D1400" s="3"/>
      <c r="E1400" s="3"/>
      <c r="F1400" s="3"/>
      <c r="G1400" s="3"/>
      <c r="H1400" s="3"/>
      <c r="I1400" s="3"/>
      <c r="J1400" s="3"/>
      <c r="K1400" s="3"/>
      <c r="L1400" s="3"/>
      <c r="M1400" s="3"/>
      <c r="N1400" s="157"/>
      <c r="O1400" s="157"/>
      <c r="P1400" s="157"/>
      <c r="R1400" s="147"/>
      <c r="S1400" s="147"/>
      <c r="T1400" s="147"/>
      <c r="U1400" s="147"/>
      <c r="X1400" s="147"/>
      <c r="Y1400" s="147"/>
      <c r="Z1400" s="147"/>
      <c r="AA1400" s="147"/>
      <c r="AB1400" s="147"/>
      <c r="AC1400" s="147"/>
      <c r="AD1400" s="147"/>
      <c r="AE1400" s="147"/>
      <c r="AF1400" s="147"/>
      <c r="AG1400" s="147"/>
      <c r="AH1400" s="147"/>
      <c r="AI1400" s="147"/>
      <c r="AJ1400" s="147"/>
      <c r="AK1400" s="147"/>
      <c r="AL1400" s="147"/>
      <c r="AM1400" s="147"/>
      <c r="AN1400" s="147"/>
      <c r="AO1400" s="147"/>
      <c r="AP1400" s="147"/>
      <c r="AQ1400" s="147"/>
    </row>
    <row r="1401" spans="1:43">
      <c r="A1401" s="3"/>
      <c r="B1401" s="3"/>
      <c r="C1401" s="3"/>
      <c r="D1401" s="3"/>
      <c r="E1401" s="3"/>
      <c r="F1401" s="3"/>
      <c r="G1401" s="3"/>
      <c r="H1401" s="3"/>
      <c r="I1401" s="3"/>
      <c r="J1401" s="3"/>
      <c r="K1401" s="3"/>
      <c r="L1401" s="3"/>
      <c r="M1401" s="3"/>
      <c r="N1401" s="157"/>
      <c r="O1401" s="157"/>
      <c r="P1401" s="157"/>
      <c r="R1401" s="147"/>
      <c r="S1401" s="147"/>
      <c r="T1401" s="147"/>
      <c r="U1401" s="147"/>
      <c r="X1401" s="147"/>
      <c r="Y1401" s="147"/>
      <c r="Z1401" s="147"/>
      <c r="AA1401" s="147"/>
      <c r="AB1401" s="147"/>
      <c r="AC1401" s="147"/>
      <c r="AD1401" s="147"/>
      <c r="AE1401" s="147"/>
      <c r="AF1401" s="147"/>
      <c r="AG1401" s="147"/>
      <c r="AH1401" s="147"/>
      <c r="AI1401" s="147"/>
      <c r="AJ1401" s="147"/>
      <c r="AK1401" s="147"/>
      <c r="AL1401" s="147"/>
      <c r="AM1401" s="147"/>
      <c r="AN1401" s="147"/>
      <c r="AO1401" s="147"/>
      <c r="AP1401" s="147"/>
      <c r="AQ1401" s="147"/>
    </row>
    <row r="1402" spans="1:43">
      <c r="A1402" s="3"/>
      <c r="B1402" s="3"/>
      <c r="C1402" s="3"/>
      <c r="D1402" s="3"/>
      <c r="E1402" s="3"/>
      <c r="F1402" s="3"/>
      <c r="G1402" s="3"/>
      <c r="H1402" s="3"/>
      <c r="I1402" s="3"/>
      <c r="J1402" s="3"/>
      <c r="K1402" s="3"/>
      <c r="L1402" s="3"/>
      <c r="M1402" s="3"/>
      <c r="N1402" s="157"/>
      <c r="O1402" s="157"/>
      <c r="P1402" s="157"/>
      <c r="R1402" s="147"/>
      <c r="S1402" s="147"/>
      <c r="T1402" s="147"/>
      <c r="U1402" s="147"/>
      <c r="X1402" s="147"/>
      <c r="Y1402" s="147"/>
      <c r="Z1402" s="147"/>
      <c r="AA1402" s="147"/>
      <c r="AB1402" s="147"/>
      <c r="AC1402" s="147"/>
      <c r="AD1402" s="147"/>
      <c r="AE1402" s="147"/>
      <c r="AF1402" s="147"/>
      <c r="AG1402" s="147"/>
      <c r="AH1402" s="147"/>
      <c r="AI1402" s="147"/>
      <c r="AJ1402" s="147"/>
      <c r="AK1402" s="147"/>
      <c r="AL1402" s="147"/>
      <c r="AM1402" s="147"/>
      <c r="AN1402" s="147"/>
      <c r="AO1402" s="147"/>
      <c r="AP1402" s="147"/>
      <c r="AQ1402" s="147"/>
    </row>
    <row r="1403" spans="1:43">
      <c r="A1403" s="3"/>
      <c r="B1403" s="3"/>
      <c r="C1403" s="3"/>
      <c r="D1403" s="3"/>
      <c r="E1403" s="3"/>
      <c r="F1403" s="3"/>
      <c r="G1403" s="3"/>
      <c r="H1403" s="3"/>
      <c r="I1403" s="3"/>
      <c r="J1403" s="3"/>
      <c r="K1403" s="3"/>
      <c r="L1403" s="3"/>
      <c r="M1403" s="3"/>
      <c r="N1403" s="157"/>
      <c r="O1403" s="157"/>
      <c r="P1403" s="157"/>
      <c r="R1403" s="147"/>
      <c r="S1403" s="147"/>
      <c r="T1403" s="147"/>
      <c r="U1403" s="147"/>
      <c r="X1403" s="147"/>
      <c r="Y1403" s="147"/>
      <c r="Z1403" s="147"/>
      <c r="AA1403" s="147"/>
      <c r="AB1403" s="147"/>
      <c r="AC1403" s="147"/>
      <c r="AD1403" s="147"/>
      <c r="AE1403" s="147"/>
      <c r="AF1403" s="147"/>
      <c r="AG1403" s="147"/>
      <c r="AH1403" s="147"/>
      <c r="AI1403" s="147"/>
      <c r="AJ1403" s="147"/>
      <c r="AK1403" s="147"/>
      <c r="AL1403" s="147"/>
      <c r="AM1403" s="147"/>
      <c r="AN1403" s="147"/>
      <c r="AO1403" s="147"/>
      <c r="AP1403" s="147"/>
      <c r="AQ1403" s="147"/>
    </row>
    <row r="1404" spans="1:43">
      <c r="A1404" s="3"/>
      <c r="B1404" s="3"/>
      <c r="C1404" s="3"/>
      <c r="D1404" s="3"/>
      <c r="E1404" s="3"/>
      <c r="F1404" s="3"/>
      <c r="G1404" s="3"/>
      <c r="H1404" s="3"/>
      <c r="I1404" s="3"/>
      <c r="J1404" s="3"/>
      <c r="K1404" s="3"/>
      <c r="L1404" s="3"/>
      <c r="M1404" s="3"/>
      <c r="N1404" s="157"/>
      <c r="O1404" s="157"/>
      <c r="P1404" s="157"/>
      <c r="R1404" s="147"/>
      <c r="S1404" s="147"/>
      <c r="T1404" s="147"/>
      <c r="U1404" s="147"/>
      <c r="X1404" s="147"/>
      <c r="Y1404" s="147"/>
      <c r="Z1404" s="147"/>
      <c r="AA1404" s="147"/>
      <c r="AB1404" s="147"/>
      <c r="AC1404" s="147"/>
      <c r="AD1404" s="147"/>
      <c r="AE1404" s="147"/>
      <c r="AF1404" s="147"/>
      <c r="AG1404" s="147"/>
      <c r="AH1404" s="147"/>
      <c r="AI1404" s="147"/>
      <c r="AJ1404" s="147"/>
      <c r="AK1404" s="147"/>
      <c r="AL1404" s="147"/>
      <c r="AM1404" s="147"/>
      <c r="AN1404" s="147"/>
      <c r="AO1404" s="147"/>
      <c r="AP1404" s="147"/>
      <c r="AQ1404" s="147"/>
    </row>
    <row r="1405" spans="1:43">
      <c r="A1405" s="3"/>
      <c r="B1405" s="3"/>
      <c r="C1405" s="3"/>
      <c r="D1405" s="3"/>
      <c r="E1405" s="3"/>
      <c r="F1405" s="3"/>
      <c r="G1405" s="3"/>
      <c r="H1405" s="3"/>
      <c r="I1405" s="3"/>
      <c r="J1405" s="3"/>
      <c r="K1405" s="3"/>
      <c r="L1405" s="3"/>
      <c r="M1405" s="3"/>
      <c r="N1405" s="157"/>
      <c r="O1405" s="157"/>
      <c r="P1405" s="157"/>
      <c r="R1405" s="147"/>
      <c r="S1405" s="147"/>
      <c r="T1405" s="147"/>
      <c r="U1405" s="147"/>
      <c r="X1405" s="147"/>
      <c r="Y1405" s="147"/>
      <c r="Z1405" s="147"/>
      <c r="AA1405" s="147"/>
      <c r="AB1405" s="147"/>
      <c r="AC1405" s="147"/>
      <c r="AD1405" s="147"/>
      <c r="AE1405" s="147"/>
      <c r="AF1405" s="147"/>
      <c r="AG1405" s="147"/>
      <c r="AH1405" s="147"/>
      <c r="AI1405" s="147"/>
      <c r="AJ1405" s="147"/>
      <c r="AK1405" s="147"/>
      <c r="AL1405" s="147"/>
      <c r="AM1405" s="147"/>
      <c r="AN1405" s="147"/>
      <c r="AO1405" s="147"/>
      <c r="AP1405" s="147"/>
      <c r="AQ1405" s="147"/>
    </row>
    <row r="1406" spans="1:43">
      <c r="A1406" s="3"/>
      <c r="B1406" s="3"/>
      <c r="C1406" s="3"/>
      <c r="D1406" s="3"/>
      <c r="E1406" s="3"/>
      <c r="F1406" s="3"/>
      <c r="G1406" s="3"/>
      <c r="H1406" s="3"/>
      <c r="I1406" s="3"/>
      <c r="J1406" s="3"/>
      <c r="K1406" s="3"/>
      <c r="L1406" s="3"/>
      <c r="M1406" s="3"/>
      <c r="N1406" s="157"/>
      <c r="O1406" s="157"/>
      <c r="P1406" s="157"/>
      <c r="R1406" s="147"/>
      <c r="S1406" s="147"/>
      <c r="T1406" s="147"/>
      <c r="U1406" s="147"/>
      <c r="X1406" s="147"/>
      <c r="Y1406" s="147"/>
      <c r="Z1406" s="147"/>
      <c r="AA1406" s="147"/>
      <c r="AB1406" s="147"/>
      <c r="AC1406" s="147"/>
      <c r="AD1406" s="147"/>
      <c r="AE1406" s="147"/>
      <c r="AF1406" s="147"/>
      <c r="AG1406" s="147"/>
      <c r="AH1406" s="147"/>
      <c r="AI1406" s="147"/>
      <c r="AJ1406" s="147"/>
      <c r="AK1406" s="147"/>
      <c r="AL1406" s="147"/>
      <c r="AM1406" s="147"/>
      <c r="AN1406" s="147"/>
      <c r="AO1406" s="147"/>
      <c r="AP1406" s="147"/>
      <c r="AQ1406" s="147"/>
    </row>
    <row r="1407" spans="1:43">
      <c r="A1407" s="3"/>
      <c r="B1407" s="3"/>
      <c r="C1407" s="3"/>
      <c r="D1407" s="3"/>
      <c r="E1407" s="3"/>
      <c r="F1407" s="3"/>
      <c r="G1407" s="3"/>
      <c r="H1407" s="3"/>
      <c r="I1407" s="3"/>
      <c r="J1407" s="3"/>
      <c r="K1407" s="3"/>
      <c r="L1407" s="3"/>
      <c r="M1407" s="3"/>
      <c r="N1407" s="157"/>
      <c r="O1407" s="157"/>
      <c r="P1407" s="157"/>
      <c r="R1407" s="147"/>
      <c r="S1407" s="147"/>
      <c r="T1407" s="147"/>
      <c r="U1407" s="147"/>
      <c r="X1407" s="147"/>
      <c r="Y1407" s="147"/>
      <c r="Z1407" s="147"/>
      <c r="AA1407" s="147"/>
      <c r="AB1407" s="147"/>
      <c r="AC1407" s="147"/>
      <c r="AD1407" s="147"/>
      <c r="AE1407" s="147"/>
      <c r="AF1407" s="147"/>
      <c r="AG1407" s="147"/>
      <c r="AH1407" s="147"/>
      <c r="AI1407" s="147"/>
      <c r="AJ1407" s="147"/>
      <c r="AK1407" s="147"/>
      <c r="AL1407" s="147"/>
      <c r="AM1407" s="147"/>
      <c r="AN1407" s="147"/>
      <c r="AO1407" s="147"/>
      <c r="AP1407" s="147"/>
      <c r="AQ1407" s="147"/>
    </row>
    <row r="1408" spans="1:43">
      <c r="A1408" s="3"/>
      <c r="B1408" s="3"/>
      <c r="C1408" s="3"/>
      <c r="D1408" s="3"/>
      <c r="E1408" s="3"/>
      <c r="F1408" s="3"/>
      <c r="G1408" s="3"/>
      <c r="H1408" s="3"/>
      <c r="I1408" s="3"/>
      <c r="J1408" s="3"/>
      <c r="K1408" s="3"/>
      <c r="L1408" s="3"/>
      <c r="M1408" s="3"/>
      <c r="N1408" s="157"/>
      <c r="O1408" s="157"/>
      <c r="P1408" s="157"/>
      <c r="R1408" s="147"/>
      <c r="S1408" s="147"/>
      <c r="T1408" s="147"/>
      <c r="U1408" s="147"/>
      <c r="X1408" s="147"/>
      <c r="Y1408" s="147"/>
      <c r="Z1408" s="147"/>
      <c r="AA1408" s="147"/>
      <c r="AB1408" s="147"/>
      <c r="AC1408" s="147"/>
      <c r="AD1408" s="147"/>
      <c r="AE1408" s="147"/>
      <c r="AF1408" s="147"/>
      <c r="AG1408" s="147"/>
      <c r="AH1408" s="147"/>
      <c r="AI1408" s="147"/>
      <c r="AJ1408" s="147"/>
      <c r="AK1408" s="147"/>
      <c r="AL1408" s="147"/>
      <c r="AM1408" s="147"/>
      <c r="AN1408" s="147"/>
      <c r="AO1408" s="147"/>
      <c r="AP1408" s="147"/>
      <c r="AQ1408" s="147"/>
    </row>
    <row r="1409" spans="1:43">
      <c r="A1409" s="3"/>
      <c r="B1409" s="3"/>
      <c r="C1409" s="3"/>
      <c r="D1409" s="3"/>
      <c r="E1409" s="3"/>
      <c r="F1409" s="3"/>
      <c r="G1409" s="3"/>
      <c r="H1409" s="3"/>
      <c r="I1409" s="3"/>
      <c r="J1409" s="3"/>
      <c r="K1409" s="3"/>
      <c r="L1409" s="3"/>
      <c r="M1409" s="3"/>
      <c r="N1409" s="157"/>
      <c r="O1409" s="157"/>
      <c r="P1409" s="157"/>
      <c r="R1409" s="147"/>
      <c r="S1409" s="147"/>
      <c r="T1409" s="147"/>
      <c r="U1409" s="147"/>
      <c r="X1409" s="147"/>
      <c r="Y1409" s="147"/>
      <c r="Z1409" s="147"/>
      <c r="AA1409" s="147"/>
      <c r="AB1409" s="147"/>
      <c r="AC1409" s="147"/>
      <c r="AD1409" s="147"/>
      <c r="AE1409" s="147"/>
      <c r="AF1409" s="147"/>
      <c r="AG1409" s="147"/>
      <c r="AH1409" s="147"/>
      <c r="AI1409" s="147"/>
      <c r="AJ1409" s="147"/>
      <c r="AK1409" s="147"/>
      <c r="AL1409" s="147"/>
      <c r="AM1409" s="147"/>
      <c r="AN1409" s="147"/>
      <c r="AO1409" s="147"/>
      <c r="AP1409" s="147"/>
      <c r="AQ1409" s="147"/>
    </row>
    <row r="1410" spans="1:43">
      <c r="A1410" s="3"/>
      <c r="B1410" s="3"/>
      <c r="C1410" s="3"/>
      <c r="D1410" s="3"/>
      <c r="E1410" s="3"/>
      <c r="F1410" s="3"/>
      <c r="G1410" s="3"/>
      <c r="H1410" s="3"/>
      <c r="I1410" s="3"/>
      <c r="J1410" s="3"/>
      <c r="K1410" s="3"/>
      <c r="L1410" s="3"/>
      <c r="M1410" s="3"/>
      <c r="N1410" s="157"/>
      <c r="O1410" s="157"/>
      <c r="P1410" s="157"/>
      <c r="R1410" s="147"/>
      <c r="S1410" s="147"/>
      <c r="T1410" s="147"/>
      <c r="U1410" s="147"/>
      <c r="X1410" s="147"/>
      <c r="Y1410" s="147"/>
      <c r="Z1410" s="147"/>
      <c r="AA1410" s="147"/>
      <c r="AB1410" s="147"/>
      <c r="AC1410" s="147"/>
      <c r="AD1410" s="147"/>
      <c r="AE1410" s="147"/>
      <c r="AF1410" s="147"/>
      <c r="AG1410" s="147"/>
      <c r="AH1410" s="147"/>
      <c r="AI1410" s="147"/>
      <c r="AJ1410" s="147"/>
      <c r="AK1410" s="147"/>
      <c r="AL1410" s="147"/>
      <c r="AM1410" s="147"/>
      <c r="AN1410" s="147"/>
      <c r="AO1410" s="147"/>
      <c r="AP1410" s="147"/>
      <c r="AQ1410" s="147"/>
    </row>
    <row r="1411" spans="1:43">
      <c r="A1411" s="3"/>
      <c r="B1411" s="3"/>
      <c r="C1411" s="3"/>
      <c r="D1411" s="3"/>
      <c r="E1411" s="3"/>
      <c r="F1411" s="3"/>
      <c r="G1411" s="3"/>
      <c r="H1411" s="3"/>
      <c r="I1411" s="3"/>
      <c r="J1411" s="3"/>
      <c r="K1411" s="3"/>
      <c r="L1411" s="3"/>
      <c r="M1411" s="3"/>
      <c r="N1411" s="157"/>
      <c r="O1411" s="157"/>
      <c r="P1411" s="157"/>
      <c r="R1411" s="147"/>
      <c r="S1411" s="147"/>
      <c r="T1411" s="147"/>
      <c r="U1411" s="147"/>
      <c r="X1411" s="147"/>
      <c r="Y1411" s="147"/>
      <c r="Z1411" s="147"/>
      <c r="AA1411" s="147"/>
      <c r="AB1411" s="147"/>
      <c r="AC1411" s="147"/>
      <c r="AD1411" s="147"/>
      <c r="AE1411" s="147"/>
      <c r="AF1411" s="147"/>
      <c r="AG1411" s="147"/>
      <c r="AH1411" s="147"/>
      <c r="AI1411" s="147"/>
      <c r="AJ1411" s="147"/>
      <c r="AK1411" s="147"/>
      <c r="AL1411" s="147"/>
      <c r="AM1411" s="147"/>
      <c r="AN1411" s="147"/>
      <c r="AO1411" s="147"/>
      <c r="AP1411" s="147"/>
      <c r="AQ1411" s="147"/>
    </row>
    <row r="1412" spans="1:43">
      <c r="A1412" s="3"/>
      <c r="B1412" s="3"/>
      <c r="C1412" s="3"/>
      <c r="D1412" s="3"/>
      <c r="E1412" s="3"/>
      <c r="F1412" s="3"/>
      <c r="G1412" s="3"/>
      <c r="H1412" s="3"/>
      <c r="I1412" s="3"/>
      <c r="J1412" s="3"/>
      <c r="K1412" s="3"/>
      <c r="L1412" s="3"/>
      <c r="M1412" s="3"/>
      <c r="N1412" s="157"/>
      <c r="O1412" s="157"/>
      <c r="P1412" s="157"/>
      <c r="R1412" s="147"/>
      <c r="S1412" s="147"/>
      <c r="T1412" s="147"/>
      <c r="U1412" s="147"/>
      <c r="X1412" s="147"/>
      <c r="Y1412" s="147"/>
      <c r="Z1412" s="147"/>
      <c r="AA1412" s="147"/>
      <c r="AB1412" s="147"/>
      <c r="AC1412" s="147"/>
      <c r="AD1412" s="147"/>
      <c r="AE1412" s="147"/>
      <c r="AF1412" s="147"/>
      <c r="AG1412" s="147"/>
      <c r="AH1412" s="147"/>
      <c r="AI1412" s="147"/>
      <c r="AJ1412" s="147"/>
      <c r="AK1412" s="147"/>
      <c r="AL1412" s="147"/>
      <c r="AM1412" s="147"/>
      <c r="AN1412" s="147"/>
      <c r="AO1412" s="147"/>
      <c r="AP1412" s="147"/>
      <c r="AQ1412" s="147"/>
    </row>
    <row r="1413" spans="1:43">
      <c r="A1413" s="3"/>
      <c r="B1413" s="3"/>
      <c r="C1413" s="3"/>
      <c r="D1413" s="3"/>
      <c r="E1413" s="3"/>
      <c r="F1413" s="3"/>
      <c r="G1413" s="3"/>
      <c r="H1413" s="3"/>
      <c r="I1413" s="3"/>
      <c r="J1413" s="3"/>
      <c r="K1413" s="3"/>
      <c r="L1413" s="3"/>
      <c r="M1413" s="3"/>
      <c r="N1413" s="157"/>
      <c r="O1413" s="157"/>
      <c r="P1413" s="157"/>
      <c r="R1413" s="147"/>
      <c r="S1413" s="147"/>
      <c r="T1413" s="147"/>
      <c r="U1413" s="147"/>
      <c r="X1413" s="147"/>
      <c r="Y1413" s="147"/>
      <c r="Z1413" s="147"/>
      <c r="AA1413" s="147"/>
      <c r="AB1413" s="147"/>
      <c r="AC1413" s="147"/>
      <c r="AD1413" s="147"/>
      <c r="AE1413" s="147"/>
      <c r="AF1413" s="147"/>
      <c r="AG1413" s="147"/>
      <c r="AH1413" s="147"/>
      <c r="AI1413" s="147"/>
      <c r="AJ1413" s="147"/>
      <c r="AK1413" s="147"/>
      <c r="AL1413" s="147"/>
      <c r="AM1413" s="147"/>
      <c r="AN1413" s="147"/>
      <c r="AO1413" s="147"/>
      <c r="AP1413" s="147"/>
      <c r="AQ1413" s="147"/>
    </row>
    <row r="1414" spans="1:43">
      <c r="A1414" s="3"/>
      <c r="B1414" s="3"/>
      <c r="C1414" s="3"/>
      <c r="D1414" s="3"/>
      <c r="E1414" s="3"/>
      <c r="F1414" s="3"/>
      <c r="G1414" s="3"/>
      <c r="H1414" s="3"/>
      <c r="I1414" s="3"/>
      <c r="J1414" s="3"/>
      <c r="K1414" s="3"/>
      <c r="L1414" s="3"/>
      <c r="M1414" s="3"/>
      <c r="N1414" s="157"/>
      <c r="O1414" s="157"/>
      <c r="P1414" s="157"/>
      <c r="R1414" s="147"/>
      <c r="S1414" s="147"/>
      <c r="T1414" s="147"/>
      <c r="U1414" s="147"/>
      <c r="X1414" s="147"/>
      <c r="Y1414" s="147"/>
      <c r="Z1414" s="147"/>
      <c r="AA1414" s="147"/>
      <c r="AB1414" s="147"/>
      <c r="AC1414" s="147"/>
      <c r="AD1414" s="147"/>
      <c r="AE1414" s="147"/>
      <c r="AF1414" s="147"/>
      <c r="AG1414" s="147"/>
      <c r="AH1414" s="147"/>
      <c r="AI1414" s="147"/>
      <c r="AJ1414" s="147"/>
      <c r="AK1414" s="147"/>
      <c r="AL1414" s="147"/>
      <c r="AM1414" s="147"/>
      <c r="AN1414" s="147"/>
      <c r="AO1414" s="147"/>
      <c r="AP1414" s="147"/>
      <c r="AQ1414" s="147"/>
    </row>
    <row r="1415" spans="1:43">
      <c r="A1415" s="3"/>
      <c r="B1415" s="3"/>
      <c r="C1415" s="3"/>
      <c r="D1415" s="3"/>
      <c r="E1415" s="3"/>
      <c r="F1415" s="3"/>
      <c r="G1415" s="3"/>
      <c r="H1415" s="3"/>
      <c r="I1415" s="3"/>
      <c r="J1415" s="3"/>
      <c r="K1415" s="3"/>
      <c r="L1415" s="3"/>
      <c r="M1415" s="3"/>
      <c r="N1415" s="157"/>
      <c r="O1415" s="157"/>
      <c r="P1415" s="157"/>
      <c r="R1415" s="147"/>
      <c r="S1415" s="147"/>
      <c r="T1415" s="147"/>
      <c r="U1415" s="147"/>
      <c r="X1415" s="147"/>
      <c r="Y1415" s="147"/>
      <c r="Z1415" s="147"/>
      <c r="AA1415" s="147"/>
      <c r="AB1415" s="147"/>
      <c r="AC1415" s="147"/>
      <c r="AD1415" s="147"/>
      <c r="AE1415" s="147"/>
      <c r="AF1415" s="147"/>
      <c r="AG1415" s="147"/>
      <c r="AH1415" s="147"/>
      <c r="AI1415" s="147"/>
      <c r="AJ1415" s="147"/>
      <c r="AK1415" s="147"/>
      <c r="AL1415" s="147"/>
      <c r="AM1415" s="147"/>
      <c r="AN1415" s="147"/>
      <c r="AO1415" s="147"/>
      <c r="AP1415" s="147"/>
      <c r="AQ1415" s="147"/>
    </row>
    <row r="1416" spans="1:43">
      <c r="A1416" s="3"/>
      <c r="B1416" s="3"/>
      <c r="C1416" s="3"/>
      <c r="D1416" s="3"/>
      <c r="E1416" s="3"/>
      <c r="F1416" s="3"/>
      <c r="G1416" s="3"/>
      <c r="H1416" s="3"/>
      <c r="I1416" s="3"/>
      <c r="J1416" s="3"/>
      <c r="K1416" s="3"/>
      <c r="L1416" s="3"/>
      <c r="M1416" s="3"/>
      <c r="N1416" s="157"/>
      <c r="O1416" s="157"/>
      <c r="P1416" s="157"/>
      <c r="R1416" s="147"/>
      <c r="S1416" s="147"/>
      <c r="T1416" s="147"/>
      <c r="U1416" s="147"/>
      <c r="X1416" s="147"/>
      <c r="Y1416" s="147"/>
      <c r="Z1416" s="147"/>
      <c r="AA1416" s="147"/>
      <c r="AB1416" s="147"/>
      <c r="AC1416" s="147"/>
      <c r="AD1416" s="147"/>
      <c r="AE1416" s="147"/>
      <c r="AF1416" s="147"/>
      <c r="AG1416" s="147"/>
      <c r="AH1416" s="147"/>
      <c r="AI1416" s="147"/>
      <c r="AJ1416" s="147"/>
      <c r="AK1416" s="147"/>
      <c r="AL1416" s="147"/>
      <c r="AM1416" s="147"/>
      <c r="AN1416" s="147"/>
      <c r="AO1416" s="147"/>
      <c r="AP1416" s="147"/>
      <c r="AQ1416" s="147"/>
    </row>
    <row r="1417" spans="1:43">
      <c r="A1417" s="3"/>
      <c r="B1417" s="3"/>
      <c r="C1417" s="3"/>
      <c r="D1417" s="3"/>
      <c r="E1417" s="3"/>
      <c r="F1417" s="3"/>
      <c r="G1417" s="3"/>
      <c r="H1417" s="3"/>
      <c r="I1417" s="3"/>
      <c r="J1417" s="3"/>
      <c r="K1417" s="3"/>
      <c r="L1417" s="3"/>
      <c r="M1417" s="3"/>
      <c r="N1417" s="157"/>
      <c r="O1417" s="157"/>
      <c r="P1417" s="157"/>
      <c r="R1417" s="147"/>
      <c r="S1417" s="147"/>
      <c r="T1417" s="147"/>
      <c r="U1417" s="147"/>
      <c r="X1417" s="147"/>
      <c r="Y1417" s="147"/>
      <c r="Z1417" s="147"/>
      <c r="AA1417" s="147"/>
      <c r="AB1417" s="147"/>
      <c r="AC1417" s="147"/>
      <c r="AD1417" s="147"/>
      <c r="AE1417" s="147"/>
      <c r="AF1417" s="147"/>
      <c r="AG1417" s="147"/>
      <c r="AH1417" s="147"/>
      <c r="AI1417" s="147"/>
      <c r="AJ1417" s="147"/>
      <c r="AK1417" s="147"/>
      <c r="AL1417" s="147"/>
      <c r="AM1417" s="147"/>
      <c r="AN1417" s="147"/>
      <c r="AO1417" s="147"/>
      <c r="AP1417" s="147"/>
      <c r="AQ1417" s="147"/>
    </row>
    <row r="1418" spans="1:43">
      <c r="A1418" s="3"/>
      <c r="B1418" s="3"/>
      <c r="C1418" s="3"/>
      <c r="D1418" s="3"/>
      <c r="E1418" s="3"/>
      <c r="F1418" s="3"/>
      <c r="G1418" s="3"/>
      <c r="H1418" s="3"/>
      <c r="I1418" s="3"/>
      <c r="J1418" s="3"/>
      <c r="K1418" s="3"/>
      <c r="L1418" s="3"/>
      <c r="M1418" s="3"/>
      <c r="N1418" s="157"/>
      <c r="O1418" s="157"/>
      <c r="P1418" s="157"/>
      <c r="R1418" s="147"/>
      <c r="S1418" s="147"/>
      <c r="T1418" s="147"/>
      <c r="U1418" s="147"/>
      <c r="X1418" s="147"/>
      <c r="Y1418" s="147"/>
      <c r="Z1418" s="147"/>
      <c r="AA1418" s="147"/>
      <c r="AB1418" s="147"/>
      <c r="AC1418" s="147"/>
      <c r="AD1418" s="147"/>
      <c r="AE1418" s="147"/>
      <c r="AF1418" s="147"/>
      <c r="AG1418" s="147"/>
      <c r="AH1418" s="147"/>
      <c r="AI1418" s="147"/>
      <c r="AJ1418" s="147"/>
      <c r="AK1418" s="147"/>
      <c r="AL1418" s="147"/>
      <c r="AM1418" s="147"/>
      <c r="AN1418" s="147"/>
      <c r="AO1418" s="147"/>
      <c r="AP1418" s="147"/>
      <c r="AQ1418" s="147"/>
    </row>
    <row r="1419" spans="1:43">
      <c r="A1419" s="3"/>
      <c r="B1419" s="3"/>
      <c r="C1419" s="3"/>
      <c r="D1419" s="3"/>
      <c r="E1419" s="3"/>
      <c r="F1419" s="3"/>
      <c r="G1419" s="3"/>
      <c r="H1419" s="3"/>
      <c r="I1419" s="3"/>
      <c r="J1419" s="3"/>
      <c r="K1419" s="3"/>
      <c r="L1419" s="3"/>
      <c r="M1419" s="3"/>
      <c r="N1419" s="157"/>
      <c r="O1419" s="157"/>
      <c r="P1419" s="157"/>
      <c r="R1419" s="147"/>
      <c r="S1419" s="147"/>
      <c r="T1419" s="147"/>
      <c r="U1419" s="147"/>
      <c r="X1419" s="147"/>
      <c r="Y1419" s="147"/>
      <c r="Z1419" s="147"/>
      <c r="AA1419" s="147"/>
      <c r="AB1419" s="147"/>
      <c r="AC1419" s="147"/>
      <c r="AD1419" s="147"/>
      <c r="AE1419" s="147"/>
      <c r="AF1419" s="147"/>
      <c r="AG1419" s="147"/>
      <c r="AH1419" s="147"/>
      <c r="AI1419" s="147"/>
      <c r="AJ1419" s="147"/>
      <c r="AK1419" s="147"/>
      <c r="AL1419" s="147"/>
      <c r="AM1419" s="147"/>
      <c r="AN1419" s="147"/>
      <c r="AO1419" s="147"/>
      <c r="AP1419" s="147"/>
      <c r="AQ1419" s="147"/>
    </row>
    <row r="1420" spans="1:43">
      <c r="A1420" s="3"/>
      <c r="B1420" s="3"/>
      <c r="C1420" s="3"/>
      <c r="D1420" s="3"/>
      <c r="E1420" s="3"/>
      <c r="F1420" s="3"/>
      <c r="G1420" s="3"/>
      <c r="H1420" s="3"/>
      <c r="I1420" s="3"/>
      <c r="J1420" s="3"/>
      <c r="K1420" s="3"/>
      <c r="L1420" s="3"/>
      <c r="M1420" s="3"/>
      <c r="N1420" s="157"/>
      <c r="O1420" s="157"/>
      <c r="P1420" s="157"/>
      <c r="R1420" s="147"/>
      <c r="S1420" s="147"/>
      <c r="T1420" s="147"/>
      <c r="U1420" s="147"/>
      <c r="X1420" s="147"/>
      <c r="Y1420" s="147"/>
      <c r="Z1420" s="147"/>
      <c r="AA1420" s="147"/>
      <c r="AB1420" s="147"/>
      <c r="AC1420" s="147"/>
      <c r="AD1420" s="147"/>
      <c r="AE1420" s="147"/>
      <c r="AF1420" s="147"/>
      <c r="AG1420" s="147"/>
      <c r="AH1420" s="147"/>
      <c r="AI1420" s="147"/>
      <c r="AJ1420" s="147"/>
      <c r="AK1420" s="147"/>
      <c r="AL1420" s="147"/>
      <c r="AM1420" s="147"/>
      <c r="AN1420" s="147"/>
      <c r="AO1420" s="147"/>
      <c r="AP1420" s="147"/>
      <c r="AQ1420" s="147"/>
    </row>
    <row r="1421" spans="1:43">
      <c r="A1421" s="3"/>
      <c r="B1421" s="3"/>
      <c r="C1421" s="3"/>
      <c r="D1421" s="3"/>
      <c r="E1421" s="3"/>
      <c r="F1421" s="3"/>
      <c r="G1421" s="3"/>
      <c r="H1421" s="3"/>
      <c r="I1421" s="3"/>
      <c r="J1421" s="3"/>
      <c r="K1421" s="3"/>
      <c r="L1421" s="3"/>
      <c r="M1421" s="3"/>
      <c r="N1421" s="157"/>
      <c r="O1421" s="157"/>
      <c r="P1421" s="157"/>
      <c r="R1421" s="147"/>
      <c r="S1421" s="147"/>
      <c r="T1421" s="147"/>
      <c r="U1421" s="147"/>
      <c r="X1421" s="147"/>
      <c r="Y1421" s="147"/>
      <c r="Z1421" s="147"/>
      <c r="AA1421" s="147"/>
      <c r="AB1421" s="147"/>
      <c r="AC1421" s="147"/>
      <c r="AD1421" s="147"/>
      <c r="AE1421" s="147"/>
      <c r="AF1421" s="147"/>
      <c r="AG1421" s="147"/>
      <c r="AH1421" s="147"/>
      <c r="AI1421" s="147"/>
      <c r="AJ1421" s="147"/>
      <c r="AK1421" s="147"/>
      <c r="AL1421" s="147"/>
      <c r="AM1421" s="147"/>
      <c r="AN1421" s="147"/>
      <c r="AO1421" s="147"/>
      <c r="AP1421" s="147"/>
      <c r="AQ1421" s="147"/>
    </row>
    <row r="1422" spans="1:43">
      <c r="A1422" s="3"/>
      <c r="B1422" s="3"/>
      <c r="C1422" s="3"/>
      <c r="D1422" s="3"/>
      <c r="E1422" s="3"/>
      <c r="F1422" s="3"/>
      <c r="G1422" s="3"/>
      <c r="H1422" s="3"/>
      <c r="I1422" s="3"/>
      <c r="J1422" s="3"/>
      <c r="K1422" s="3"/>
      <c r="L1422" s="3"/>
      <c r="M1422" s="3"/>
      <c r="N1422" s="157"/>
      <c r="O1422" s="157"/>
      <c r="P1422" s="157"/>
      <c r="R1422" s="147"/>
      <c r="S1422" s="147"/>
      <c r="T1422" s="147"/>
      <c r="U1422" s="147"/>
      <c r="X1422" s="147"/>
      <c r="Y1422" s="147"/>
      <c r="Z1422" s="147"/>
      <c r="AA1422" s="147"/>
      <c r="AB1422" s="147"/>
      <c r="AC1422" s="147"/>
      <c r="AD1422" s="147"/>
      <c r="AE1422" s="147"/>
      <c r="AF1422" s="147"/>
      <c r="AG1422" s="147"/>
      <c r="AH1422" s="147"/>
      <c r="AI1422" s="147"/>
      <c r="AJ1422" s="147"/>
      <c r="AK1422" s="147"/>
      <c r="AL1422" s="147"/>
      <c r="AM1422" s="147"/>
      <c r="AN1422" s="147"/>
      <c r="AO1422" s="147"/>
      <c r="AP1422" s="147"/>
      <c r="AQ1422" s="147"/>
    </row>
    <row r="1423" spans="1:43">
      <c r="A1423" s="3"/>
      <c r="B1423" s="3"/>
      <c r="C1423" s="3"/>
      <c r="D1423" s="3"/>
      <c r="E1423" s="3"/>
      <c r="F1423" s="3"/>
      <c r="G1423" s="3"/>
      <c r="H1423" s="3"/>
      <c r="I1423" s="3"/>
      <c r="J1423" s="3"/>
      <c r="K1423" s="3"/>
      <c r="L1423" s="3"/>
      <c r="M1423" s="3"/>
      <c r="N1423" s="157"/>
      <c r="O1423" s="157"/>
      <c r="P1423" s="157"/>
      <c r="R1423" s="147"/>
      <c r="S1423" s="147"/>
      <c r="T1423" s="147"/>
      <c r="U1423" s="147"/>
      <c r="X1423" s="147"/>
      <c r="Y1423" s="147"/>
      <c r="Z1423" s="147"/>
      <c r="AA1423" s="147"/>
      <c r="AB1423" s="147"/>
      <c r="AC1423" s="147"/>
      <c r="AD1423" s="147"/>
      <c r="AE1423" s="147"/>
      <c r="AF1423" s="147"/>
      <c r="AG1423" s="147"/>
      <c r="AH1423" s="147"/>
      <c r="AI1423" s="147"/>
      <c r="AJ1423" s="147"/>
      <c r="AK1423" s="147"/>
      <c r="AL1423" s="147"/>
      <c r="AM1423" s="147"/>
      <c r="AN1423" s="147"/>
      <c r="AO1423" s="147"/>
      <c r="AP1423" s="147"/>
      <c r="AQ1423" s="147"/>
    </row>
    <row r="1424" spans="1:43">
      <c r="A1424" s="3"/>
      <c r="B1424" s="3"/>
      <c r="C1424" s="3"/>
      <c r="D1424" s="3"/>
      <c r="E1424" s="3"/>
      <c r="F1424" s="3"/>
      <c r="G1424" s="3"/>
      <c r="H1424" s="3"/>
      <c r="I1424" s="3"/>
      <c r="J1424" s="3"/>
      <c r="K1424" s="3"/>
      <c r="L1424" s="3"/>
      <c r="M1424" s="3"/>
      <c r="N1424" s="157"/>
      <c r="O1424" s="157"/>
      <c r="P1424" s="157"/>
      <c r="R1424" s="147"/>
      <c r="S1424" s="147"/>
      <c r="T1424" s="147"/>
      <c r="U1424" s="147"/>
      <c r="X1424" s="147"/>
      <c r="Y1424" s="147"/>
      <c r="Z1424" s="147"/>
      <c r="AA1424" s="147"/>
      <c r="AB1424" s="147"/>
      <c r="AC1424" s="147"/>
      <c r="AD1424" s="147"/>
      <c r="AE1424" s="147"/>
      <c r="AF1424" s="147"/>
      <c r="AG1424" s="147"/>
      <c r="AH1424" s="147"/>
      <c r="AI1424" s="147"/>
      <c r="AJ1424" s="147"/>
      <c r="AK1424" s="147"/>
      <c r="AL1424" s="147"/>
      <c r="AM1424" s="147"/>
      <c r="AN1424" s="147"/>
      <c r="AO1424" s="147"/>
      <c r="AP1424" s="147"/>
      <c r="AQ1424" s="147"/>
    </row>
    <row r="1425" spans="1:43">
      <c r="A1425" s="3"/>
      <c r="B1425" s="3"/>
      <c r="C1425" s="3"/>
      <c r="D1425" s="3"/>
      <c r="E1425" s="3"/>
      <c r="F1425" s="3"/>
      <c r="G1425" s="3"/>
      <c r="H1425" s="3"/>
      <c r="I1425" s="3"/>
      <c r="J1425" s="3"/>
      <c r="K1425" s="3"/>
      <c r="L1425" s="3"/>
      <c r="M1425" s="3"/>
      <c r="N1425" s="157"/>
      <c r="O1425" s="157"/>
      <c r="P1425" s="157"/>
      <c r="R1425" s="147"/>
      <c r="S1425" s="147"/>
      <c r="T1425" s="147"/>
      <c r="U1425" s="147"/>
      <c r="X1425" s="147"/>
      <c r="Y1425" s="147"/>
      <c r="Z1425" s="147"/>
      <c r="AA1425" s="147"/>
      <c r="AB1425" s="147"/>
      <c r="AC1425" s="147"/>
      <c r="AD1425" s="147"/>
      <c r="AE1425" s="147"/>
      <c r="AF1425" s="147"/>
      <c r="AG1425" s="147"/>
      <c r="AH1425" s="147"/>
      <c r="AI1425" s="147"/>
      <c r="AJ1425" s="147"/>
      <c r="AK1425" s="147"/>
      <c r="AL1425" s="147"/>
      <c r="AM1425" s="147"/>
      <c r="AN1425" s="147"/>
      <c r="AO1425" s="147"/>
      <c r="AP1425" s="147"/>
      <c r="AQ1425" s="147"/>
    </row>
    <row r="1426" spans="1:43">
      <c r="A1426" s="3"/>
      <c r="B1426" s="3"/>
      <c r="C1426" s="3"/>
      <c r="D1426" s="3"/>
      <c r="E1426" s="3"/>
      <c r="F1426" s="3"/>
      <c r="G1426" s="3"/>
      <c r="H1426" s="3"/>
      <c r="I1426" s="3"/>
      <c r="J1426" s="3"/>
      <c r="K1426" s="3"/>
      <c r="L1426" s="3"/>
      <c r="M1426" s="3"/>
      <c r="N1426" s="157"/>
      <c r="O1426" s="157"/>
      <c r="P1426" s="157"/>
      <c r="R1426" s="147"/>
      <c r="S1426" s="147"/>
      <c r="T1426" s="147"/>
      <c r="U1426" s="147"/>
      <c r="X1426" s="147"/>
      <c r="Y1426" s="147"/>
      <c r="Z1426" s="147"/>
      <c r="AA1426" s="147"/>
      <c r="AB1426" s="147"/>
      <c r="AC1426" s="147"/>
      <c r="AD1426" s="147"/>
      <c r="AE1426" s="147"/>
      <c r="AF1426" s="147"/>
      <c r="AG1426" s="147"/>
      <c r="AH1426" s="147"/>
      <c r="AI1426" s="147"/>
      <c r="AJ1426" s="147"/>
      <c r="AK1426" s="147"/>
      <c r="AL1426" s="147"/>
      <c r="AM1426" s="147"/>
      <c r="AN1426" s="147"/>
      <c r="AO1426" s="147"/>
      <c r="AP1426" s="147"/>
      <c r="AQ1426" s="147"/>
    </row>
    <row r="1427" spans="1:43">
      <c r="A1427" s="3"/>
      <c r="B1427" s="3"/>
      <c r="C1427" s="3"/>
      <c r="D1427" s="3"/>
      <c r="E1427" s="3"/>
      <c r="F1427" s="3"/>
      <c r="G1427" s="3"/>
      <c r="H1427" s="3"/>
      <c r="I1427" s="3"/>
      <c r="J1427" s="3"/>
      <c r="K1427" s="3"/>
      <c r="L1427" s="3"/>
      <c r="M1427" s="3"/>
      <c r="N1427" s="157"/>
      <c r="O1427" s="157"/>
      <c r="P1427" s="157"/>
      <c r="R1427" s="147"/>
      <c r="S1427" s="147"/>
      <c r="T1427" s="147"/>
      <c r="U1427" s="147"/>
      <c r="X1427" s="147"/>
      <c r="Y1427" s="147"/>
      <c r="Z1427" s="147"/>
      <c r="AA1427" s="147"/>
      <c r="AB1427" s="147"/>
      <c r="AC1427" s="147"/>
      <c r="AD1427" s="147"/>
      <c r="AE1427" s="147"/>
      <c r="AF1427" s="147"/>
      <c r="AG1427" s="147"/>
      <c r="AH1427" s="147"/>
      <c r="AI1427" s="147"/>
      <c r="AJ1427" s="147"/>
      <c r="AK1427" s="147"/>
      <c r="AL1427" s="147"/>
      <c r="AM1427" s="147"/>
      <c r="AN1427" s="147"/>
      <c r="AO1427" s="147"/>
      <c r="AP1427" s="147"/>
      <c r="AQ1427" s="147"/>
    </row>
    <row r="1428" spans="1:43">
      <c r="A1428" s="3"/>
      <c r="B1428" s="3"/>
      <c r="C1428" s="3"/>
      <c r="D1428" s="3"/>
      <c r="E1428" s="3"/>
      <c r="F1428" s="3"/>
      <c r="G1428" s="3"/>
      <c r="H1428" s="3"/>
      <c r="I1428" s="3"/>
      <c r="J1428" s="3"/>
      <c r="K1428" s="3"/>
      <c r="L1428" s="3"/>
      <c r="M1428" s="3"/>
      <c r="N1428" s="157"/>
      <c r="O1428" s="157"/>
      <c r="P1428" s="157"/>
      <c r="R1428" s="147"/>
      <c r="S1428" s="147"/>
      <c r="T1428" s="147"/>
      <c r="U1428" s="147"/>
      <c r="X1428" s="147"/>
      <c r="Y1428" s="147"/>
      <c r="Z1428" s="147"/>
      <c r="AA1428" s="147"/>
      <c r="AB1428" s="147"/>
      <c r="AC1428" s="147"/>
      <c r="AD1428" s="147"/>
      <c r="AE1428" s="147"/>
      <c r="AF1428" s="147"/>
      <c r="AG1428" s="147"/>
      <c r="AH1428" s="147"/>
      <c r="AI1428" s="147"/>
      <c r="AJ1428" s="147"/>
      <c r="AK1428" s="147"/>
      <c r="AL1428" s="147"/>
      <c r="AM1428" s="147"/>
      <c r="AN1428" s="147"/>
      <c r="AO1428" s="147"/>
      <c r="AP1428" s="147"/>
      <c r="AQ1428" s="147"/>
    </row>
    <row r="1429" spans="1:43">
      <c r="A1429" s="3"/>
      <c r="B1429" s="3"/>
      <c r="C1429" s="3"/>
      <c r="D1429" s="3"/>
      <c r="E1429" s="3"/>
      <c r="F1429" s="3"/>
      <c r="G1429" s="3"/>
      <c r="H1429" s="3"/>
      <c r="I1429" s="3"/>
      <c r="J1429" s="3"/>
      <c r="K1429" s="3"/>
      <c r="L1429" s="3"/>
      <c r="M1429" s="3"/>
      <c r="N1429" s="157"/>
      <c r="O1429" s="157"/>
      <c r="P1429" s="157"/>
      <c r="R1429" s="147"/>
      <c r="S1429" s="147"/>
      <c r="T1429" s="147"/>
      <c r="U1429" s="147"/>
      <c r="X1429" s="147"/>
      <c r="Y1429" s="147"/>
      <c r="Z1429" s="147"/>
      <c r="AA1429" s="147"/>
      <c r="AB1429" s="147"/>
      <c r="AC1429" s="147"/>
      <c r="AD1429" s="147"/>
      <c r="AE1429" s="147"/>
      <c r="AF1429" s="147"/>
      <c r="AG1429" s="147"/>
      <c r="AH1429" s="147"/>
      <c r="AI1429" s="147"/>
      <c r="AJ1429" s="147"/>
      <c r="AK1429" s="147"/>
      <c r="AL1429" s="147"/>
      <c r="AM1429" s="147"/>
      <c r="AN1429" s="147"/>
      <c r="AO1429" s="147"/>
      <c r="AP1429" s="147"/>
      <c r="AQ1429" s="147"/>
    </row>
    <row r="1430" spans="1:43">
      <c r="A1430" s="3"/>
      <c r="B1430" s="3"/>
      <c r="C1430" s="3"/>
      <c r="D1430" s="3"/>
      <c r="E1430" s="3"/>
      <c r="F1430" s="3"/>
      <c r="G1430" s="3"/>
      <c r="H1430" s="3"/>
      <c r="I1430" s="3"/>
      <c r="J1430" s="3"/>
      <c r="K1430" s="3"/>
      <c r="L1430" s="3"/>
      <c r="M1430" s="3"/>
      <c r="N1430" s="157"/>
      <c r="O1430" s="157"/>
      <c r="P1430" s="157"/>
      <c r="R1430" s="147"/>
      <c r="S1430" s="147"/>
      <c r="T1430" s="147"/>
      <c r="U1430" s="147"/>
      <c r="X1430" s="147"/>
      <c r="Y1430" s="147"/>
      <c r="Z1430" s="147"/>
      <c r="AA1430" s="147"/>
      <c r="AB1430" s="147"/>
      <c r="AC1430" s="147"/>
      <c r="AD1430" s="147"/>
      <c r="AE1430" s="147"/>
      <c r="AF1430" s="147"/>
      <c r="AG1430" s="147"/>
      <c r="AH1430" s="147"/>
      <c r="AI1430" s="147"/>
      <c r="AJ1430" s="147"/>
      <c r="AK1430" s="147"/>
      <c r="AL1430" s="147"/>
      <c r="AM1430" s="147"/>
      <c r="AN1430" s="147"/>
      <c r="AO1430" s="147"/>
      <c r="AP1430" s="147"/>
      <c r="AQ1430" s="147"/>
    </row>
    <row r="1431" spans="1:43">
      <c r="A1431" s="3"/>
      <c r="B1431" s="3"/>
      <c r="C1431" s="3"/>
      <c r="D1431" s="3"/>
      <c r="E1431" s="3"/>
      <c r="F1431" s="3"/>
      <c r="G1431" s="3"/>
      <c r="H1431" s="3"/>
      <c r="I1431" s="3"/>
      <c r="J1431" s="3"/>
      <c r="K1431" s="3"/>
      <c r="L1431" s="3"/>
      <c r="M1431" s="3"/>
      <c r="N1431" s="157"/>
      <c r="O1431" s="157"/>
      <c r="P1431" s="157"/>
      <c r="R1431" s="147"/>
      <c r="S1431" s="147"/>
      <c r="T1431" s="147"/>
      <c r="U1431" s="147"/>
      <c r="X1431" s="147"/>
      <c r="Y1431" s="147"/>
      <c r="Z1431" s="147"/>
      <c r="AA1431" s="147"/>
      <c r="AB1431" s="147"/>
      <c r="AC1431" s="147"/>
      <c r="AD1431" s="147"/>
      <c r="AE1431" s="147"/>
      <c r="AF1431" s="147"/>
      <c r="AG1431" s="147"/>
      <c r="AH1431" s="147"/>
      <c r="AI1431" s="147"/>
      <c r="AJ1431" s="147"/>
      <c r="AK1431" s="147"/>
      <c r="AL1431" s="147"/>
      <c r="AM1431" s="147"/>
      <c r="AN1431" s="147"/>
      <c r="AO1431" s="147"/>
      <c r="AP1431" s="147"/>
      <c r="AQ1431" s="147"/>
    </row>
    <row r="1432" spans="1:43">
      <c r="A1432" s="3"/>
      <c r="B1432" s="3"/>
      <c r="C1432" s="3"/>
      <c r="D1432" s="3"/>
      <c r="E1432" s="3"/>
      <c r="F1432" s="3"/>
      <c r="G1432" s="3"/>
      <c r="H1432" s="3"/>
      <c r="I1432" s="3"/>
      <c r="J1432" s="3"/>
      <c r="K1432" s="3"/>
      <c r="L1432" s="3"/>
      <c r="M1432" s="3"/>
      <c r="N1432" s="157"/>
      <c r="O1432" s="157"/>
      <c r="P1432" s="157"/>
      <c r="R1432" s="147"/>
      <c r="S1432" s="147"/>
      <c r="T1432" s="147"/>
      <c r="U1432" s="147"/>
      <c r="X1432" s="147"/>
      <c r="Y1432" s="147"/>
      <c r="Z1432" s="147"/>
      <c r="AA1432" s="147"/>
      <c r="AB1432" s="147"/>
      <c r="AC1432" s="147"/>
      <c r="AD1432" s="147"/>
      <c r="AE1432" s="147"/>
      <c r="AF1432" s="147"/>
      <c r="AG1432" s="147"/>
      <c r="AH1432" s="147"/>
      <c r="AI1432" s="147"/>
      <c r="AJ1432" s="147"/>
      <c r="AK1432" s="147"/>
      <c r="AL1432" s="147"/>
      <c r="AM1432" s="147"/>
      <c r="AN1432" s="147"/>
      <c r="AO1432" s="147"/>
      <c r="AP1432" s="147"/>
      <c r="AQ1432" s="147"/>
    </row>
    <row r="1433" spans="1:43">
      <c r="A1433" s="3"/>
      <c r="B1433" s="3"/>
      <c r="C1433" s="3"/>
      <c r="D1433" s="3"/>
      <c r="E1433" s="3"/>
      <c r="F1433" s="3"/>
      <c r="G1433" s="3"/>
      <c r="H1433" s="3"/>
      <c r="I1433" s="3"/>
      <c r="J1433" s="3"/>
      <c r="K1433" s="3"/>
      <c r="L1433" s="3"/>
      <c r="M1433" s="3"/>
      <c r="N1433" s="157"/>
      <c r="O1433" s="157"/>
      <c r="P1433" s="157"/>
      <c r="R1433" s="147"/>
      <c r="S1433" s="147"/>
      <c r="T1433" s="147"/>
      <c r="U1433" s="147"/>
      <c r="X1433" s="147"/>
      <c r="Y1433" s="147"/>
      <c r="Z1433" s="147"/>
      <c r="AA1433" s="147"/>
      <c r="AB1433" s="147"/>
      <c r="AC1433" s="147"/>
      <c r="AD1433" s="147"/>
      <c r="AE1433" s="147"/>
      <c r="AF1433" s="147"/>
      <c r="AG1433" s="147"/>
      <c r="AH1433" s="147"/>
      <c r="AI1433" s="147"/>
      <c r="AJ1433" s="147"/>
      <c r="AK1433" s="147"/>
      <c r="AL1433" s="147"/>
      <c r="AM1433" s="147"/>
      <c r="AN1433" s="147"/>
      <c r="AO1433" s="147"/>
      <c r="AP1433" s="147"/>
      <c r="AQ1433" s="147"/>
    </row>
    <row r="1434" spans="1:43">
      <c r="A1434" s="3"/>
      <c r="B1434" s="3"/>
      <c r="C1434" s="3"/>
      <c r="D1434" s="3"/>
      <c r="E1434" s="3"/>
      <c r="F1434" s="3"/>
      <c r="G1434" s="3"/>
      <c r="H1434" s="3"/>
      <c r="I1434" s="3"/>
      <c r="J1434" s="3"/>
      <c r="K1434" s="3"/>
      <c r="L1434" s="3"/>
      <c r="M1434" s="3"/>
      <c r="N1434" s="157"/>
      <c r="O1434" s="157"/>
      <c r="P1434" s="157"/>
      <c r="R1434" s="147"/>
      <c r="S1434" s="147"/>
      <c r="T1434" s="147"/>
      <c r="U1434" s="147"/>
      <c r="X1434" s="147"/>
      <c r="Y1434" s="147"/>
      <c r="Z1434" s="147"/>
      <c r="AA1434" s="147"/>
      <c r="AB1434" s="147"/>
      <c r="AC1434" s="147"/>
      <c r="AD1434" s="147"/>
      <c r="AE1434" s="147"/>
      <c r="AF1434" s="147"/>
      <c r="AG1434" s="147"/>
      <c r="AH1434" s="147"/>
      <c r="AI1434" s="147"/>
      <c r="AJ1434" s="147"/>
      <c r="AK1434" s="147"/>
      <c r="AL1434" s="147"/>
      <c r="AM1434" s="147"/>
      <c r="AN1434" s="147"/>
      <c r="AO1434" s="147"/>
      <c r="AP1434" s="147"/>
      <c r="AQ1434" s="147"/>
    </row>
    <row r="1435" spans="1:43">
      <c r="A1435" s="3"/>
      <c r="B1435" s="3"/>
      <c r="C1435" s="3"/>
      <c r="D1435" s="3"/>
      <c r="E1435" s="3"/>
      <c r="F1435" s="3"/>
      <c r="G1435" s="3"/>
      <c r="H1435" s="3"/>
      <c r="I1435" s="3"/>
      <c r="J1435" s="3"/>
      <c r="K1435" s="3"/>
      <c r="L1435" s="3"/>
      <c r="M1435" s="3"/>
      <c r="N1435" s="157"/>
      <c r="O1435" s="157"/>
      <c r="P1435" s="157"/>
      <c r="R1435" s="147"/>
      <c r="S1435" s="147"/>
      <c r="T1435" s="147"/>
      <c r="U1435" s="147"/>
      <c r="X1435" s="147"/>
      <c r="Y1435" s="147"/>
      <c r="Z1435" s="147"/>
      <c r="AA1435" s="147"/>
      <c r="AB1435" s="147"/>
      <c r="AC1435" s="147"/>
      <c r="AD1435" s="147"/>
      <c r="AE1435" s="147"/>
      <c r="AF1435" s="147"/>
      <c r="AG1435" s="147"/>
      <c r="AH1435" s="147"/>
      <c r="AI1435" s="147"/>
      <c r="AJ1435" s="147"/>
      <c r="AK1435" s="147"/>
      <c r="AL1435" s="147"/>
      <c r="AM1435" s="147"/>
      <c r="AN1435" s="147"/>
      <c r="AO1435" s="147"/>
      <c r="AP1435" s="147"/>
      <c r="AQ1435" s="147"/>
    </row>
    <row r="1436" spans="1:43">
      <c r="A1436" s="3"/>
      <c r="B1436" s="3"/>
      <c r="C1436" s="3"/>
      <c r="D1436" s="3"/>
      <c r="E1436" s="3"/>
      <c r="F1436" s="3"/>
      <c r="G1436" s="3"/>
      <c r="H1436" s="3"/>
      <c r="I1436" s="3"/>
      <c r="J1436" s="3"/>
      <c r="K1436" s="3"/>
      <c r="L1436" s="3"/>
      <c r="M1436" s="3"/>
      <c r="N1436" s="157"/>
      <c r="O1436" s="157"/>
      <c r="P1436" s="157"/>
      <c r="R1436" s="147"/>
      <c r="S1436" s="147"/>
      <c r="T1436" s="147"/>
      <c r="U1436" s="147"/>
      <c r="X1436" s="147"/>
      <c r="Y1436" s="147"/>
      <c r="Z1436" s="147"/>
      <c r="AA1436" s="147"/>
      <c r="AB1436" s="147"/>
      <c r="AC1436" s="147"/>
      <c r="AD1436" s="147"/>
      <c r="AE1436" s="147"/>
      <c r="AF1436" s="147"/>
      <c r="AG1436" s="147"/>
      <c r="AH1436" s="147"/>
      <c r="AI1436" s="147"/>
      <c r="AJ1436" s="147"/>
      <c r="AK1436" s="147"/>
      <c r="AL1436" s="147"/>
      <c r="AM1436" s="147"/>
      <c r="AN1436" s="147"/>
      <c r="AO1436" s="147"/>
      <c r="AP1436" s="147"/>
      <c r="AQ1436" s="147"/>
    </row>
    <row r="1437" spans="1:43">
      <c r="A1437" s="3"/>
      <c r="B1437" s="3"/>
      <c r="C1437" s="3"/>
      <c r="D1437" s="3"/>
      <c r="E1437" s="3"/>
      <c r="F1437" s="3"/>
      <c r="G1437" s="3"/>
      <c r="H1437" s="3"/>
      <c r="I1437" s="3"/>
      <c r="J1437" s="3"/>
      <c r="K1437" s="3"/>
      <c r="L1437" s="3"/>
      <c r="M1437" s="3"/>
      <c r="N1437" s="157"/>
      <c r="O1437" s="157"/>
      <c r="P1437" s="157"/>
      <c r="R1437" s="147"/>
      <c r="S1437" s="147"/>
      <c r="T1437" s="147"/>
      <c r="U1437" s="147"/>
      <c r="X1437" s="147"/>
      <c r="Y1437" s="147"/>
      <c r="Z1437" s="147"/>
      <c r="AA1437" s="147"/>
      <c r="AB1437" s="147"/>
      <c r="AC1437" s="147"/>
      <c r="AD1437" s="147"/>
      <c r="AE1437" s="147"/>
      <c r="AF1437" s="147"/>
      <c r="AG1437" s="147"/>
      <c r="AH1437" s="147"/>
      <c r="AI1437" s="147"/>
      <c r="AJ1437" s="147"/>
      <c r="AK1437" s="147"/>
      <c r="AL1437" s="147"/>
      <c r="AM1437" s="147"/>
      <c r="AN1437" s="147"/>
      <c r="AO1437" s="147"/>
      <c r="AP1437" s="147"/>
      <c r="AQ1437" s="147"/>
    </row>
    <row r="1438" spans="1:43">
      <c r="A1438" s="3"/>
      <c r="B1438" s="3"/>
      <c r="C1438" s="3"/>
      <c r="D1438" s="3"/>
      <c r="E1438" s="3"/>
      <c r="F1438" s="3"/>
      <c r="G1438" s="3"/>
      <c r="H1438" s="3"/>
      <c r="I1438" s="3"/>
      <c r="J1438" s="3"/>
      <c r="K1438" s="3"/>
      <c r="L1438" s="3"/>
      <c r="M1438" s="3"/>
      <c r="N1438" s="157"/>
      <c r="O1438" s="157"/>
      <c r="P1438" s="157"/>
      <c r="R1438" s="147"/>
      <c r="S1438" s="147"/>
      <c r="T1438" s="147"/>
      <c r="U1438" s="147"/>
      <c r="X1438" s="147"/>
      <c r="Y1438" s="147"/>
      <c r="Z1438" s="147"/>
      <c r="AA1438" s="147"/>
      <c r="AB1438" s="147"/>
      <c r="AC1438" s="147"/>
      <c r="AD1438" s="147"/>
      <c r="AE1438" s="147"/>
      <c r="AF1438" s="147"/>
      <c r="AG1438" s="147"/>
      <c r="AH1438" s="147"/>
      <c r="AI1438" s="147"/>
      <c r="AJ1438" s="147"/>
      <c r="AK1438" s="147"/>
      <c r="AL1438" s="147"/>
      <c r="AM1438" s="147"/>
      <c r="AN1438" s="147"/>
      <c r="AO1438" s="147"/>
      <c r="AP1438" s="147"/>
      <c r="AQ1438" s="147"/>
    </row>
    <row r="1439" spans="1:43">
      <c r="A1439" s="3"/>
      <c r="B1439" s="3"/>
      <c r="C1439" s="3"/>
      <c r="D1439" s="3"/>
      <c r="E1439" s="3"/>
      <c r="F1439" s="3"/>
      <c r="G1439" s="3"/>
      <c r="H1439" s="3"/>
      <c r="I1439" s="3"/>
      <c r="J1439" s="3"/>
      <c r="K1439" s="3"/>
      <c r="L1439" s="3"/>
      <c r="M1439" s="3"/>
      <c r="N1439" s="157"/>
      <c r="O1439" s="157"/>
      <c r="P1439" s="157"/>
      <c r="R1439" s="147"/>
      <c r="S1439" s="147"/>
      <c r="T1439" s="147"/>
      <c r="U1439" s="147"/>
      <c r="X1439" s="147"/>
      <c r="Y1439" s="147"/>
      <c r="Z1439" s="147"/>
      <c r="AA1439" s="147"/>
      <c r="AB1439" s="147"/>
      <c r="AC1439" s="147"/>
      <c r="AD1439" s="147"/>
      <c r="AE1439" s="147"/>
      <c r="AF1439" s="147"/>
      <c r="AG1439" s="147"/>
      <c r="AH1439" s="147"/>
      <c r="AI1439" s="147"/>
      <c r="AJ1439" s="147"/>
      <c r="AK1439" s="147"/>
      <c r="AL1439" s="147"/>
      <c r="AM1439" s="147"/>
      <c r="AN1439" s="147"/>
      <c r="AO1439" s="147"/>
      <c r="AP1439" s="147"/>
      <c r="AQ1439" s="147"/>
    </row>
    <row r="1440" spans="1:43">
      <c r="A1440" s="3"/>
      <c r="B1440" s="3"/>
      <c r="C1440" s="3"/>
      <c r="D1440" s="3"/>
      <c r="E1440" s="3"/>
      <c r="F1440" s="3"/>
      <c r="G1440" s="3"/>
      <c r="H1440" s="3"/>
      <c r="I1440" s="3"/>
      <c r="J1440" s="3"/>
      <c r="K1440" s="3"/>
      <c r="L1440" s="3"/>
      <c r="M1440" s="3"/>
      <c r="N1440" s="157"/>
      <c r="O1440" s="157"/>
      <c r="P1440" s="157"/>
      <c r="R1440" s="147"/>
      <c r="S1440" s="147"/>
      <c r="T1440" s="147"/>
      <c r="U1440" s="147"/>
      <c r="X1440" s="147"/>
      <c r="Y1440" s="147"/>
      <c r="Z1440" s="147"/>
      <c r="AA1440" s="147"/>
      <c r="AB1440" s="147"/>
      <c r="AC1440" s="147"/>
      <c r="AD1440" s="147"/>
      <c r="AE1440" s="147"/>
      <c r="AF1440" s="147"/>
      <c r="AG1440" s="147"/>
      <c r="AH1440" s="147"/>
      <c r="AI1440" s="147"/>
      <c r="AJ1440" s="147"/>
      <c r="AK1440" s="147"/>
      <c r="AL1440" s="147"/>
      <c r="AM1440" s="147"/>
      <c r="AN1440" s="147"/>
      <c r="AO1440" s="147"/>
      <c r="AP1440" s="147"/>
      <c r="AQ1440" s="147"/>
    </row>
    <row r="1441" spans="1:43">
      <c r="A1441" s="3"/>
      <c r="B1441" s="3"/>
      <c r="C1441" s="3"/>
      <c r="D1441" s="3"/>
      <c r="E1441" s="3"/>
      <c r="F1441" s="3"/>
      <c r="G1441" s="3"/>
      <c r="H1441" s="3"/>
      <c r="I1441" s="3"/>
      <c r="J1441" s="3"/>
      <c r="K1441" s="3"/>
      <c r="L1441" s="3"/>
      <c r="M1441" s="3"/>
      <c r="N1441" s="157"/>
      <c r="O1441" s="157"/>
      <c r="P1441" s="157"/>
      <c r="R1441" s="147"/>
      <c r="S1441" s="147"/>
      <c r="T1441" s="147"/>
      <c r="U1441" s="147"/>
      <c r="X1441" s="147"/>
      <c r="Y1441" s="147"/>
      <c r="Z1441" s="147"/>
      <c r="AA1441" s="147"/>
      <c r="AB1441" s="147"/>
      <c r="AC1441" s="147"/>
      <c r="AD1441" s="147"/>
      <c r="AE1441" s="147"/>
      <c r="AF1441" s="147"/>
      <c r="AG1441" s="147"/>
      <c r="AH1441" s="147"/>
      <c r="AI1441" s="147"/>
      <c r="AJ1441" s="147"/>
      <c r="AK1441" s="147"/>
      <c r="AL1441" s="147"/>
      <c r="AM1441" s="147"/>
      <c r="AN1441" s="147"/>
      <c r="AO1441" s="147"/>
      <c r="AP1441" s="147"/>
      <c r="AQ1441" s="147"/>
    </row>
    <row r="1442" spans="1:43">
      <c r="A1442" s="3"/>
      <c r="B1442" s="3"/>
      <c r="C1442" s="3"/>
      <c r="D1442" s="3"/>
      <c r="E1442" s="3"/>
      <c r="F1442" s="3"/>
      <c r="G1442" s="3"/>
      <c r="H1442" s="3"/>
      <c r="I1442" s="3"/>
      <c r="J1442" s="3"/>
      <c r="K1442" s="3"/>
      <c r="L1442" s="3"/>
      <c r="M1442" s="3"/>
      <c r="N1442" s="157"/>
      <c r="O1442" s="157"/>
      <c r="P1442" s="157"/>
      <c r="R1442" s="147"/>
      <c r="S1442" s="147"/>
      <c r="T1442" s="147"/>
      <c r="U1442" s="147"/>
      <c r="X1442" s="147"/>
      <c r="Y1442" s="147"/>
      <c r="Z1442" s="147"/>
      <c r="AA1442" s="147"/>
      <c r="AB1442" s="147"/>
      <c r="AC1442" s="147"/>
      <c r="AD1442" s="147"/>
      <c r="AE1442" s="147"/>
      <c r="AF1442" s="147"/>
      <c r="AG1442" s="147"/>
      <c r="AH1442" s="147"/>
      <c r="AI1442" s="147"/>
      <c r="AJ1442" s="147"/>
      <c r="AK1442" s="147"/>
      <c r="AL1442" s="147"/>
      <c r="AM1442" s="147"/>
      <c r="AN1442" s="147"/>
      <c r="AO1442" s="147"/>
      <c r="AP1442" s="147"/>
      <c r="AQ1442" s="147"/>
    </row>
    <row r="1443" spans="1:43">
      <c r="A1443" s="3"/>
      <c r="B1443" s="3"/>
      <c r="C1443" s="3"/>
      <c r="D1443" s="3"/>
      <c r="E1443" s="3"/>
      <c r="F1443" s="3"/>
      <c r="G1443" s="3"/>
      <c r="H1443" s="3"/>
      <c r="I1443" s="3"/>
      <c r="J1443" s="3"/>
      <c r="K1443" s="3"/>
      <c r="L1443" s="3"/>
      <c r="M1443" s="3"/>
      <c r="N1443" s="157"/>
      <c r="O1443" s="157"/>
      <c r="P1443" s="157"/>
      <c r="R1443" s="147"/>
      <c r="S1443" s="147"/>
      <c r="T1443" s="147"/>
      <c r="U1443" s="147"/>
      <c r="X1443" s="147"/>
      <c r="Y1443" s="147"/>
      <c r="Z1443" s="147"/>
      <c r="AA1443" s="147"/>
      <c r="AB1443" s="147"/>
      <c r="AC1443" s="147"/>
      <c r="AD1443" s="147"/>
      <c r="AE1443" s="147"/>
      <c r="AF1443" s="147"/>
      <c r="AG1443" s="147"/>
      <c r="AH1443" s="147"/>
      <c r="AI1443" s="147"/>
      <c r="AJ1443" s="147"/>
      <c r="AK1443" s="147"/>
      <c r="AL1443" s="147"/>
      <c r="AM1443" s="147"/>
      <c r="AN1443" s="147"/>
      <c r="AO1443" s="147"/>
      <c r="AP1443" s="147"/>
      <c r="AQ1443" s="147"/>
    </row>
    <row r="1444" spans="1:43">
      <c r="A1444" s="3"/>
      <c r="B1444" s="3"/>
      <c r="C1444" s="3"/>
      <c r="D1444" s="3"/>
      <c r="E1444" s="3"/>
      <c r="F1444" s="3"/>
      <c r="G1444" s="3"/>
      <c r="H1444" s="3"/>
      <c r="I1444" s="3"/>
      <c r="J1444" s="3"/>
      <c r="K1444" s="3"/>
      <c r="L1444" s="3"/>
      <c r="M1444" s="3"/>
      <c r="N1444" s="157"/>
      <c r="O1444" s="157"/>
      <c r="P1444" s="157"/>
      <c r="R1444" s="147"/>
      <c r="S1444" s="147"/>
      <c r="T1444" s="147"/>
      <c r="U1444" s="147"/>
      <c r="X1444" s="147"/>
      <c r="Y1444" s="147"/>
      <c r="Z1444" s="147"/>
      <c r="AA1444" s="147"/>
      <c r="AB1444" s="147"/>
      <c r="AC1444" s="147"/>
      <c r="AD1444" s="147"/>
      <c r="AE1444" s="147"/>
      <c r="AF1444" s="147"/>
      <c r="AG1444" s="147"/>
      <c r="AH1444" s="147"/>
      <c r="AI1444" s="147"/>
      <c r="AJ1444" s="147"/>
      <c r="AK1444" s="147"/>
      <c r="AL1444" s="147"/>
      <c r="AM1444" s="147"/>
      <c r="AN1444" s="147"/>
      <c r="AO1444" s="147"/>
      <c r="AP1444" s="147"/>
      <c r="AQ1444" s="147"/>
    </row>
    <row r="1445" spans="1:43">
      <c r="A1445" s="3"/>
      <c r="B1445" s="3"/>
      <c r="C1445" s="3"/>
      <c r="D1445" s="3"/>
      <c r="E1445" s="3"/>
      <c r="F1445" s="3"/>
      <c r="G1445" s="3"/>
      <c r="H1445" s="3"/>
      <c r="I1445" s="3"/>
      <c r="J1445" s="3"/>
      <c r="K1445" s="3"/>
      <c r="L1445" s="3"/>
      <c r="M1445" s="3"/>
      <c r="N1445" s="157"/>
      <c r="O1445" s="157"/>
      <c r="P1445" s="157"/>
      <c r="R1445" s="147"/>
      <c r="S1445" s="147"/>
      <c r="T1445" s="147"/>
      <c r="U1445" s="147"/>
      <c r="X1445" s="147"/>
      <c r="Y1445" s="147"/>
      <c r="Z1445" s="147"/>
      <c r="AA1445" s="147"/>
      <c r="AB1445" s="147"/>
      <c r="AC1445" s="147"/>
      <c r="AD1445" s="147"/>
      <c r="AE1445" s="147"/>
      <c r="AF1445" s="147"/>
      <c r="AG1445" s="147"/>
      <c r="AH1445" s="147"/>
      <c r="AI1445" s="147"/>
      <c r="AJ1445" s="147"/>
      <c r="AK1445" s="147"/>
      <c r="AL1445" s="147"/>
      <c r="AM1445" s="147"/>
      <c r="AN1445" s="147"/>
      <c r="AO1445" s="147"/>
      <c r="AP1445" s="147"/>
      <c r="AQ1445" s="147"/>
    </row>
    <row r="1446" spans="1:43">
      <c r="A1446" s="3"/>
      <c r="B1446" s="3"/>
      <c r="C1446" s="3"/>
      <c r="D1446" s="3"/>
      <c r="E1446" s="3"/>
      <c r="F1446" s="3"/>
      <c r="G1446" s="3"/>
      <c r="H1446" s="3"/>
      <c r="I1446" s="3"/>
      <c r="J1446" s="3"/>
      <c r="K1446" s="3"/>
      <c r="L1446" s="3"/>
      <c r="M1446" s="3"/>
      <c r="N1446" s="157"/>
      <c r="O1446" s="157"/>
      <c r="P1446" s="157"/>
      <c r="R1446" s="147"/>
      <c r="S1446" s="147"/>
      <c r="T1446" s="147"/>
      <c r="U1446" s="147"/>
      <c r="X1446" s="147"/>
      <c r="Y1446" s="147"/>
      <c r="Z1446" s="147"/>
      <c r="AA1446" s="147"/>
      <c r="AB1446" s="147"/>
      <c r="AC1446" s="147"/>
      <c r="AD1446" s="147"/>
      <c r="AE1446" s="147"/>
      <c r="AF1446" s="147"/>
      <c r="AG1446" s="147"/>
      <c r="AH1446" s="147"/>
      <c r="AI1446" s="147"/>
      <c r="AJ1446" s="147"/>
      <c r="AK1446" s="147"/>
      <c r="AL1446" s="147"/>
      <c r="AM1446" s="147"/>
      <c r="AN1446" s="147"/>
      <c r="AO1446" s="147"/>
      <c r="AP1446" s="147"/>
      <c r="AQ1446" s="147"/>
    </row>
    <row r="1447" spans="1:43">
      <c r="A1447" s="3"/>
      <c r="B1447" s="3"/>
      <c r="C1447" s="3"/>
      <c r="D1447" s="3"/>
      <c r="E1447" s="3"/>
      <c r="F1447" s="3"/>
      <c r="G1447" s="3"/>
      <c r="H1447" s="3"/>
      <c r="I1447" s="3"/>
      <c r="J1447" s="3"/>
      <c r="K1447" s="3"/>
      <c r="L1447" s="3"/>
      <c r="M1447" s="3"/>
      <c r="N1447" s="157"/>
      <c r="O1447" s="157"/>
      <c r="P1447" s="157"/>
      <c r="R1447" s="147"/>
      <c r="S1447" s="147"/>
      <c r="T1447" s="147"/>
      <c r="U1447" s="147"/>
      <c r="X1447" s="147"/>
      <c r="Y1447" s="147"/>
      <c r="Z1447" s="147"/>
      <c r="AA1447" s="147"/>
      <c r="AB1447" s="147"/>
      <c r="AC1447" s="147"/>
      <c r="AD1447" s="147"/>
      <c r="AE1447" s="147"/>
      <c r="AF1447" s="147"/>
      <c r="AG1447" s="147"/>
      <c r="AH1447" s="147"/>
      <c r="AI1447" s="147"/>
      <c r="AJ1447" s="147"/>
      <c r="AK1447" s="147"/>
      <c r="AL1447" s="147"/>
      <c r="AM1447" s="147"/>
      <c r="AN1447" s="147"/>
      <c r="AO1447" s="147"/>
      <c r="AP1447" s="147"/>
      <c r="AQ1447" s="147"/>
    </row>
    <row r="1448" spans="1:43">
      <c r="A1448" s="3"/>
      <c r="B1448" s="3"/>
      <c r="C1448" s="3"/>
      <c r="D1448" s="3"/>
      <c r="E1448" s="3"/>
      <c r="F1448" s="3"/>
      <c r="G1448" s="3"/>
      <c r="H1448" s="3"/>
      <c r="I1448" s="3"/>
      <c r="J1448" s="3"/>
      <c r="K1448" s="3"/>
      <c r="L1448" s="3"/>
      <c r="M1448" s="3"/>
      <c r="N1448" s="157"/>
      <c r="O1448" s="157"/>
      <c r="P1448" s="157"/>
      <c r="R1448" s="147"/>
      <c r="S1448" s="147"/>
      <c r="T1448" s="147"/>
      <c r="U1448" s="147"/>
      <c r="X1448" s="147"/>
      <c r="Y1448" s="147"/>
      <c r="Z1448" s="147"/>
      <c r="AA1448" s="147"/>
      <c r="AB1448" s="147"/>
      <c r="AC1448" s="147"/>
      <c r="AD1448" s="147"/>
      <c r="AE1448" s="147"/>
      <c r="AF1448" s="147"/>
      <c r="AG1448" s="147"/>
      <c r="AH1448" s="147"/>
      <c r="AI1448" s="147"/>
      <c r="AJ1448" s="147"/>
      <c r="AK1448" s="147"/>
      <c r="AL1448" s="147"/>
      <c r="AM1448" s="147"/>
      <c r="AN1448" s="147"/>
      <c r="AO1448" s="147"/>
      <c r="AP1448" s="147"/>
      <c r="AQ1448" s="147"/>
    </row>
    <row r="1449" spans="1:43">
      <c r="A1449" s="3"/>
      <c r="B1449" s="3"/>
      <c r="C1449" s="3"/>
      <c r="D1449" s="3"/>
      <c r="E1449" s="3"/>
      <c r="F1449" s="3"/>
      <c r="G1449" s="3"/>
      <c r="H1449" s="3"/>
      <c r="I1449" s="3"/>
      <c r="J1449" s="3"/>
      <c r="K1449" s="3"/>
      <c r="L1449" s="3"/>
      <c r="M1449" s="3"/>
      <c r="N1449" s="157"/>
      <c r="O1449" s="157"/>
      <c r="P1449" s="157"/>
      <c r="R1449" s="147"/>
      <c r="S1449" s="147"/>
      <c r="T1449" s="147"/>
      <c r="U1449" s="147"/>
      <c r="X1449" s="147"/>
      <c r="Y1449" s="147"/>
      <c r="Z1449" s="147"/>
      <c r="AA1449" s="147"/>
      <c r="AB1449" s="147"/>
      <c r="AC1449" s="147"/>
      <c r="AD1449" s="147"/>
      <c r="AE1449" s="147"/>
      <c r="AF1449" s="147"/>
      <c r="AG1449" s="147"/>
      <c r="AH1449" s="147"/>
      <c r="AI1449" s="147"/>
      <c r="AJ1449" s="147"/>
      <c r="AK1449" s="147"/>
      <c r="AL1449" s="147"/>
      <c r="AM1449" s="147"/>
      <c r="AN1449" s="147"/>
      <c r="AO1449" s="147"/>
      <c r="AP1449" s="147"/>
      <c r="AQ1449" s="147"/>
    </row>
    <row r="1450" spans="1:43">
      <c r="A1450" s="3"/>
      <c r="B1450" s="3"/>
      <c r="C1450" s="3"/>
      <c r="D1450" s="3"/>
      <c r="E1450" s="3"/>
      <c r="F1450" s="3"/>
      <c r="G1450" s="3"/>
      <c r="H1450" s="3"/>
      <c r="I1450" s="3"/>
      <c r="J1450" s="3"/>
      <c r="K1450" s="3"/>
      <c r="L1450" s="3"/>
      <c r="M1450" s="3"/>
      <c r="N1450" s="157"/>
      <c r="O1450" s="157"/>
      <c r="P1450" s="157"/>
      <c r="R1450" s="147"/>
      <c r="S1450" s="147"/>
      <c r="T1450" s="147"/>
      <c r="U1450" s="147"/>
      <c r="X1450" s="147"/>
      <c r="Y1450" s="147"/>
      <c r="Z1450" s="147"/>
      <c r="AA1450" s="147"/>
      <c r="AB1450" s="147"/>
      <c r="AC1450" s="147"/>
      <c r="AD1450" s="147"/>
      <c r="AE1450" s="147"/>
      <c r="AF1450" s="147"/>
      <c r="AG1450" s="147"/>
      <c r="AH1450" s="147"/>
      <c r="AI1450" s="147"/>
      <c r="AJ1450" s="147"/>
      <c r="AK1450" s="147"/>
      <c r="AL1450" s="147"/>
      <c r="AM1450" s="147"/>
      <c r="AN1450" s="147"/>
      <c r="AO1450" s="147"/>
      <c r="AP1450" s="147"/>
      <c r="AQ1450" s="147"/>
    </row>
    <row r="1451" spans="1:43">
      <c r="A1451" s="3"/>
      <c r="B1451" s="3"/>
      <c r="C1451" s="3"/>
      <c r="D1451" s="3"/>
      <c r="E1451" s="3"/>
      <c r="F1451" s="3"/>
      <c r="G1451" s="3"/>
      <c r="H1451" s="3"/>
      <c r="I1451" s="3"/>
      <c r="J1451" s="3"/>
      <c r="K1451" s="3"/>
      <c r="L1451" s="3"/>
      <c r="M1451" s="3"/>
      <c r="N1451" s="157"/>
      <c r="O1451" s="157"/>
      <c r="P1451" s="157"/>
      <c r="R1451" s="147"/>
      <c r="S1451" s="147"/>
      <c r="T1451" s="147"/>
      <c r="U1451" s="147"/>
      <c r="X1451" s="147"/>
      <c r="Y1451" s="147"/>
      <c r="Z1451" s="147"/>
      <c r="AA1451" s="147"/>
      <c r="AB1451" s="147"/>
      <c r="AC1451" s="147"/>
      <c r="AD1451" s="147"/>
      <c r="AE1451" s="147"/>
      <c r="AF1451" s="147"/>
      <c r="AG1451" s="147"/>
      <c r="AH1451" s="147"/>
      <c r="AI1451" s="147"/>
      <c r="AJ1451" s="147"/>
      <c r="AK1451" s="147"/>
      <c r="AL1451" s="147"/>
      <c r="AM1451" s="147"/>
      <c r="AN1451" s="147"/>
      <c r="AO1451" s="147"/>
      <c r="AP1451" s="147"/>
      <c r="AQ1451" s="147"/>
    </row>
    <row r="1452" spans="1:43">
      <c r="A1452" s="3"/>
      <c r="B1452" s="3"/>
      <c r="C1452" s="3"/>
      <c r="D1452" s="3"/>
      <c r="E1452" s="3"/>
      <c r="F1452" s="3"/>
      <c r="G1452" s="3"/>
      <c r="H1452" s="3"/>
      <c r="I1452" s="3"/>
      <c r="J1452" s="3"/>
      <c r="K1452" s="3"/>
      <c r="L1452" s="3"/>
      <c r="M1452" s="3"/>
      <c r="N1452" s="157"/>
      <c r="O1452" s="157"/>
      <c r="P1452" s="157"/>
      <c r="R1452" s="147"/>
      <c r="S1452" s="147"/>
      <c r="T1452" s="147"/>
      <c r="U1452" s="147"/>
      <c r="X1452" s="147"/>
      <c r="Y1452" s="147"/>
      <c r="Z1452" s="147"/>
      <c r="AA1452" s="147"/>
      <c r="AB1452" s="147"/>
      <c r="AC1452" s="147"/>
      <c r="AD1452" s="147"/>
      <c r="AE1452" s="147"/>
      <c r="AF1452" s="147"/>
      <c r="AG1452" s="147"/>
      <c r="AH1452" s="147"/>
      <c r="AI1452" s="147"/>
      <c r="AJ1452" s="147"/>
      <c r="AK1452" s="147"/>
      <c r="AL1452" s="147"/>
      <c r="AM1452" s="147"/>
      <c r="AN1452" s="147"/>
      <c r="AO1452" s="147"/>
      <c r="AP1452" s="147"/>
      <c r="AQ1452" s="147"/>
    </row>
    <row r="1453" spans="1:43">
      <c r="A1453" s="3"/>
      <c r="B1453" s="3"/>
      <c r="C1453" s="3"/>
      <c r="D1453" s="3"/>
      <c r="E1453" s="3"/>
      <c r="F1453" s="3"/>
      <c r="G1453" s="3"/>
      <c r="H1453" s="3"/>
      <c r="I1453" s="3"/>
      <c r="J1453" s="3"/>
      <c r="K1453" s="3"/>
      <c r="L1453" s="3"/>
      <c r="M1453" s="3"/>
      <c r="N1453" s="157"/>
      <c r="O1453" s="157"/>
      <c r="P1453" s="157"/>
      <c r="R1453" s="147"/>
      <c r="S1453" s="147"/>
      <c r="T1453" s="147"/>
      <c r="U1453" s="147"/>
      <c r="X1453" s="147"/>
      <c r="Y1453" s="147"/>
      <c r="Z1453" s="147"/>
      <c r="AA1453" s="147"/>
      <c r="AB1453" s="147"/>
      <c r="AC1453" s="147"/>
      <c r="AD1453" s="147"/>
      <c r="AE1453" s="147"/>
      <c r="AF1453" s="147"/>
      <c r="AG1453" s="147"/>
      <c r="AH1453" s="147"/>
      <c r="AI1453" s="147"/>
      <c r="AJ1453" s="147"/>
      <c r="AK1453" s="147"/>
      <c r="AL1453" s="147"/>
      <c r="AM1453" s="147"/>
      <c r="AN1453" s="147"/>
      <c r="AO1453" s="147"/>
      <c r="AP1453" s="147"/>
      <c r="AQ1453" s="147"/>
    </row>
    <row r="1454" spans="1:43">
      <c r="A1454" s="3"/>
      <c r="B1454" s="3"/>
      <c r="C1454" s="3"/>
      <c r="D1454" s="3"/>
      <c r="E1454" s="3"/>
      <c r="F1454" s="3"/>
      <c r="G1454" s="3"/>
      <c r="H1454" s="3"/>
      <c r="I1454" s="3"/>
      <c r="J1454" s="3"/>
      <c r="K1454" s="3"/>
      <c r="L1454" s="3"/>
      <c r="M1454" s="3"/>
      <c r="N1454" s="157"/>
      <c r="O1454" s="157"/>
      <c r="P1454" s="157"/>
      <c r="R1454" s="147"/>
      <c r="S1454" s="147"/>
      <c r="T1454" s="147"/>
      <c r="U1454" s="147"/>
      <c r="X1454" s="147"/>
      <c r="Y1454" s="147"/>
      <c r="Z1454" s="147"/>
      <c r="AA1454" s="147"/>
      <c r="AB1454" s="147"/>
      <c r="AC1454" s="147"/>
      <c r="AD1454" s="147"/>
      <c r="AE1454" s="147"/>
      <c r="AF1454" s="147"/>
      <c r="AG1454" s="147"/>
      <c r="AH1454" s="147"/>
      <c r="AI1454" s="147"/>
      <c r="AJ1454" s="147"/>
      <c r="AK1454" s="147"/>
      <c r="AL1454" s="147"/>
      <c r="AM1454" s="147"/>
      <c r="AN1454" s="147"/>
      <c r="AO1454" s="147"/>
      <c r="AP1454" s="147"/>
      <c r="AQ1454" s="147"/>
    </row>
    <row r="1455" spans="1:43">
      <c r="A1455" s="3"/>
      <c r="B1455" s="3"/>
      <c r="C1455" s="3"/>
      <c r="D1455" s="3"/>
      <c r="E1455" s="3"/>
      <c r="F1455" s="3"/>
      <c r="G1455" s="3"/>
      <c r="H1455" s="3"/>
      <c r="I1455" s="3"/>
      <c r="J1455" s="3"/>
      <c r="K1455" s="3"/>
      <c r="L1455" s="3"/>
      <c r="M1455" s="3"/>
      <c r="N1455" s="157"/>
      <c r="O1455" s="157"/>
      <c r="P1455" s="157"/>
      <c r="R1455" s="147"/>
      <c r="S1455" s="147"/>
      <c r="T1455" s="147"/>
      <c r="U1455" s="147"/>
      <c r="X1455" s="147"/>
      <c r="Y1455" s="147"/>
      <c r="Z1455" s="147"/>
      <c r="AA1455" s="147"/>
      <c r="AB1455" s="147"/>
      <c r="AC1455" s="147"/>
      <c r="AD1455" s="147"/>
      <c r="AE1455" s="147"/>
      <c r="AF1455" s="147"/>
      <c r="AG1455" s="147"/>
      <c r="AH1455" s="147"/>
      <c r="AI1455" s="147"/>
      <c r="AJ1455" s="147"/>
      <c r="AK1455" s="147"/>
      <c r="AL1455" s="147"/>
      <c r="AM1455" s="147"/>
      <c r="AN1455" s="147"/>
      <c r="AO1455" s="147"/>
      <c r="AP1455" s="147"/>
      <c r="AQ1455" s="147"/>
    </row>
    <row r="1456" spans="1:43">
      <c r="A1456" s="3"/>
      <c r="B1456" s="3"/>
      <c r="C1456" s="3"/>
      <c r="D1456" s="3"/>
      <c r="E1456" s="3"/>
      <c r="F1456" s="3"/>
      <c r="G1456" s="3"/>
      <c r="H1456" s="3"/>
      <c r="I1456" s="3"/>
      <c r="J1456" s="3"/>
      <c r="K1456" s="3"/>
      <c r="L1456" s="3"/>
      <c r="M1456" s="3"/>
      <c r="N1456" s="157"/>
      <c r="O1456" s="157"/>
      <c r="P1456" s="157"/>
      <c r="R1456" s="147"/>
      <c r="S1456" s="147"/>
      <c r="T1456" s="147"/>
      <c r="U1456" s="147"/>
      <c r="X1456" s="147"/>
      <c r="Y1456" s="147"/>
      <c r="Z1456" s="147"/>
      <c r="AA1456" s="147"/>
      <c r="AB1456" s="147"/>
      <c r="AC1456" s="147"/>
      <c r="AD1456" s="147"/>
      <c r="AE1456" s="147"/>
      <c r="AF1456" s="147"/>
      <c r="AG1456" s="147"/>
      <c r="AH1456" s="147"/>
      <c r="AI1456" s="147"/>
      <c r="AJ1456" s="147"/>
      <c r="AK1456" s="147"/>
      <c r="AL1456" s="147"/>
      <c r="AM1456" s="147"/>
      <c r="AN1456" s="147"/>
      <c r="AO1456" s="147"/>
      <c r="AP1456" s="147"/>
      <c r="AQ1456" s="147"/>
    </row>
    <row r="1457" spans="1:43">
      <c r="A1457" s="3"/>
      <c r="B1457" s="3"/>
      <c r="C1457" s="3"/>
      <c r="D1457" s="3"/>
      <c r="E1457" s="3"/>
      <c r="F1457" s="3"/>
      <c r="G1457" s="3"/>
      <c r="H1457" s="3"/>
      <c r="I1457" s="3"/>
      <c r="J1457" s="3"/>
      <c r="K1457" s="3"/>
      <c r="L1457" s="3"/>
      <c r="M1457" s="3"/>
      <c r="N1457" s="157"/>
      <c r="O1457" s="157"/>
      <c r="P1457" s="157"/>
      <c r="R1457" s="147"/>
      <c r="S1457" s="147"/>
      <c r="T1457" s="147"/>
      <c r="U1457" s="147"/>
      <c r="X1457" s="147"/>
      <c r="Y1457" s="147"/>
      <c r="Z1457" s="147"/>
      <c r="AA1457" s="147"/>
      <c r="AB1457" s="147"/>
      <c r="AC1457" s="147"/>
      <c r="AD1457" s="147"/>
      <c r="AE1457" s="147"/>
      <c r="AF1457" s="147"/>
      <c r="AG1457" s="147"/>
      <c r="AH1457" s="147"/>
      <c r="AI1457" s="147"/>
      <c r="AJ1457" s="147"/>
      <c r="AK1457" s="147"/>
      <c r="AL1457" s="147"/>
      <c r="AM1457" s="147"/>
      <c r="AN1457" s="147"/>
      <c r="AO1457" s="147"/>
      <c r="AP1457" s="147"/>
      <c r="AQ1457" s="147"/>
    </row>
    <row r="1458" spans="1:43">
      <c r="A1458" s="3"/>
      <c r="B1458" s="3"/>
      <c r="C1458" s="3"/>
      <c r="D1458" s="3"/>
      <c r="E1458" s="3"/>
      <c r="F1458" s="3"/>
      <c r="G1458" s="3"/>
      <c r="H1458" s="3"/>
      <c r="I1458" s="3"/>
      <c r="J1458" s="3"/>
      <c r="K1458" s="3"/>
      <c r="L1458" s="3"/>
      <c r="M1458" s="3"/>
      <c r="N1458" s="157"/>
      <c r="O1458" s="157"/>
      <c r="P1458" s="157"/>
      <c r="R1458" s="147"/>
      <c r="S1458" s="147"/>
      <c r="T1458" s="147"/>
      <c r="U1458" s="147"/>
      <c r="X1458" s="147"/>
      <c r="Y1458" s="147"/>
      <c r="Z1458" s="147"/>
      <c r="AA1458" s="147"/>
      <c r="AB1458" s="147"/>
      <c r="AC1458" s="147"/>
      <c r="AD1458" s="147"/>
      <c r="AE1458" s="147"/>
      <c r="AF1458" s="147"/>
      <c r="AG1458" s="147"/>
      <c r="AH1458" s="147"/>
      <c r="AI1458" s="147"/>
      <c r="AJ1458" s="147"/>
      <c r="AK1458" s="147"/>
      <c r="AL1458" s="147"/>
      <c r="AM1458" s="147"/>
      <c r="AN1458" s="147"/>
      <c r="AO1458" s="147"/>
      <c r="AP1458" s="147"/>
      <c r="AQ1458" s="147"/>
    </row>
    <row r="1459" spans="1:43">
      <c r="A1459" s="3"/>
      <c r="B1459" s="3"/>
      <c r="C1459" s="3"/>
      <c r="D1459" s="3"/>
      <c r="E1459" s="3"/>
      <c r="F1459" s="3"/>
      <c r="G1459" s="3"/>
      <c r="H1459" s="3"/>
      <c r="I1459" s="3"/>
      <c r="J1459" s="3"/>
      <c r="K1459" s="3"/>
      <c r="L1459" s="3"/>
      <c r="M1459" s="3"/>
      <c r="N1459" s="157"/>
      <c r="O1459" s="157"/>
      <c r="P1459" s="157"/>
      <c r="R1459" s="147"/>
      <c r="S1459" s="147"/>
      <c r="T1459" s="147"/>
      <c r="U1459" s="147"/>
      <c r="X1459" s="147"/>
      <c r="Y1459" s="147"/>
      <c r="Z1459" s="147"/>
      <c r="AA1459" s="147"/>
      <c r="AB1459" s="147"/>
      <c r="AC1459" s="147"/>
      <c r="AD1459" s="147"/>
      <c r="AE1459" s="147"/>
      <c r="AF1459" s="147"/>
      <c r="AG1459" s="147"/>
      <c r="AH1459" s="147"/>
      <c r="AI1459" s="147"/>
      <c r="AJ1459" s="147"/>
      <c r="AK1459" s="147"/>
      <c r="AL1459" s="147"/>
      <c r="AM1459" s="147"/>
      <c r="AN1459" s="147"/>
      <c r="AO1459" s="147"/>
      <c r="AP1459" s="147"/>
      <c r="AQ1459" s="147"/>
    </row>
    <row r="1460" spans="1:43">
      <c r="A1460" s="3"/>
      <c r="B1460" s="3"/>
      <c r="C1460" s="3"/>
      <c r="D1460" s="3"/>
      <c r="E1460" s="3"/>
      <c r="F1460" s="3"/>
      <c r="G1460" s="3"/>
      <c r="H1460" s="3"/>
      <c r="I1460" s="3"/>
      <c r="J1460" s="3"/>
      <c r="K1460" s="3"/>
      <c r="L1460" s="3"/>
      <c r="M1460" s="3"/>
      <c r="N1460" s="157"/>
      <c r="O1460" s="157"/>
      <c r="P1460" s="157"/>
      <c r="R1460" s="147"/>
      <c r="S1460" s="147"/>
      <c r="T1460" s="147"/>
      <c r="U1460" s="147"/>
      <c r="X1460" s="147"/>
      <c r="Y1460" s="147"/>
      <c r="Z1460" s="147"/>
      <c r="AA1460" s="147"/>
      <c r="AB1460" s="147"/>
      <c r="AC1460" s="147"/>
      <c r="AD1460" s="147"/>
      <c r="AE1460" s="147"/>
      <c r="AF1460" s="147"/>
      <c r="AG1460" s="147"/>
      <c r="AH1460" s="147"/>
      <c r="AI1460" s="147"/>
      <c r="AJ1460" s="147"/>
      <c r="AK1460" s="147"/>
      <c r="AL1460" s="147"/>
      <c r="AM1460" s="147"/>
      <c r="AN1460" s="147"/>
      <c r="AO1460" s="147"/>
      <c r="AP1460" s="147"/>
      <c r="AQ1460" s="147"/>
    </row>
    <row r="1461" spans="1:43">
      <c r="A1461" s="3"/>
      <c r="B1461" s="3"/>
      <c r="C1461" s="3"/>
      <c r="D1461" s="3"/>
      <c r="E1461" s="3"/>
      <c r="F1461" s="3"/>
      <c r="G1461" s="3"/>
      <c r="H1461" s="3"/>
      <c r="I1461" s="3"/>
      <c r="J1461" s="3"/>
      <c r="K1461" s="3"/>
      <c r="L1461" s="3"/>
      <c r="M1461" s="3"/>
      <c r="N1461" s="157"/>
      <c r="O1461" s="157"/>
      <c r="P1461" s="157"/>
      <c r="R1461" s="147"/>
      <c r="S1461" s="147"/>
      <c r="T1461" s="147"/>
      <c r="U1461" s="147"/>
      <c r="X1461" s="147"/>
      <c r="Y1461" s="147"/>
      <c r="Z1461" s="147"/>
      <c r="AA1461" s="147"/>
      <c r="AB1461" s="147"/>
      <c r="AC1461" s="147"/>
      <c r="AD1461" s="147"/>
      <c r="AE1461" s="147"/>
      <c r="AF1461" s="147"/>
      <c r="AG1461" s="147"/>
      <c r="AH1461" s="147"/>
      <c r="AI1461" s="147"/>
      <c r="AJ1461" s="147"/>
      <c r="AK1461" s="147"/>
      <c r="AL1461" s="147"/>
      <c r="AM1461" s="147"/>
      <c r="AN1461" s="147"/>
      <c r="AO1461" s="147"/>
      <c r="AP1461" s="147"/>
      <c r="AQ1461" s="147"/>
    </row>
    <row r="1462" spans="1:43">
      <c r="A1462" s="3"/>
      <c r="B1462" s="3"/>
      <c r="C1462" s="3"/>
      <c r="D1462" s="3"/>
      <c r="E1462" s="3"/>
      <c r="F1462" s="3"/>
      <c r="G1462" s="3"/>
      <c r="H1462" s="3"/>
      <c r="I1462" s="3"/>
      <c r="J1462" s="3"/>
      <c r="K1462" s="3"/>
      <c r="L1462" s="3"/>
      <c r="M1462" s="3"/>
      <c r="N1462" s="157"/>
      <c r="O1462" s="157"/>
      <c r="P1462" s="157"/>
      <c r="R1462" s="147"/>
      <c r="S1462" s="147"/>
      <c r="T1462" s="147"/>
      <c r="U1462" s="147"/>
      <c r="X1462" s="147"/>
      <c r="Y1462" s="147"/>
      <c r="Z1462" s="147"/>
      <c r="AA1462" s="147"/>
      <c r="AB1462" s="147"/>
      <c r="AC1462" s="147"/>
      <c r="AD1462" s="147"/>
      <c r="AE1462" s="147"/>
      <c r="AF1462" s="147"/>
      <c r="AG1462" s="147"/>
      <c r="AH1462" s="147"/>
      <c r="AI1462" s="147"/>
      <c r="AJ1462" s="147"/>
      <c r="AK1462" s="147"/>
      <c r="AL1462" s="147"/>
      <c r="AM1462" s="147"/>
      <c r="AN1462" s="147"/>
      <c r="AO1462" s="147"/>
      <c r="AP1462" s="147"/>
      <c r="AQ1462" s="147"/>
    </row>
    <row r="1463" spans="1:43">
      <c r="A1463" s="3"/>
      <c r="B1463" s="3"/>
      <c r="C1463" s="3"/>
      <c r="D1463" s="3"/>
      <c r="E1463" s="3"/>
      <c r="F1463" s="3"/>
      <c r="G1463" s="3"/>
      <c r="H1463" s="3"/>
      <c r="I1463" s="3"/>
      <c r="J1463" s="3"/>
      <c r="K1463" s="3"/>
      <c r="L1463" s="3"/>
      <c r="M1463" s="3"/>
      <c r="N1463" s="157"/>
      <c r="O1463" s="157"/>
      <c r="P1463" s="157"/>
      <c r="R1463" s="147"/>
      <c r="S1463" s="147"/>
      <c r="T1463" s="147"/>
      <c r="U1463" s="147"/>
      <c r="X1463" s="147"/>
      <c r="Y1463" s="147"/>
      <c r="Z1463" s="147"/>
      <c r="AA1463" s="147"/>
      <c r="AB1463" s="147"/>
      <c r="AC1463" s="147"/>
      <c r="AD1463" s="147"/>
      <c r="AE1463" s="147"/>
      <c r="AF1463" s="147"/>
      <c r="AG1463" s="147"/>
      <c r="AH1463" s="147"/>
      <c r="AI1463" s="147"/>
      <c r="AJ1463" s="147"/>
      <c r="AK1463" s="147"/>
      <c r="AL1463" s="147"/>
      <c r="AM1463" s="147"/>
      <c r="AN1463" s="147"/>
      <c r="AO1463" s="147"/>
      <c r="AP1463" s="147"/>
      <c r="AQ1463" s="147"/>
    </row>
    <row r="1464" spans="1:43">
      <c r="A1464" s="3"/>
      <c r="B1464" s="3"/>
      <c r="C1464" s="3"/>
      <c r="D1464" s="3"/>
      <c r="E1464" s="3"/>
      <c r="F1464" s="3"/>
      <c r="G1464" s="3"/>
      <c r="H1464" s="3"/>
      <c r="I1464" s="3"/>
      <c r="J1464" s="3"/>
      <c r="K1464" s="3"/>
      <c r="L1464" s="3"/>
      <c r="M1464" s="3"/>
      <c r="N1464" s="157"/>
      <c r="O1464" s="157"/>
      <c r="P1464" s="157"/>
      <c r="R1464" s="147"/>
      <c r="S1464" s="147"/>
      <c r="T1464" s="147"/>
      <c r="U1464" s="147"/>
      <c r="X1464" s="147"/>
      <c r="Y1464" s="147"/>
      <c r="Z1464" s="147"/>
      <c r="AA1464" s="147"/>
      <c r="AB1464" s="147"/>
      <c r="AC1464" s="147"/>
      <c r="AD1464" s="147"/>
      <c r="AE1464" s="147"/>
      <c r="AF1464" s="147"/>
      <c r="AG1464" s="147"/>
      <c r="AH1464" s="147"/>
      <c r="AI1464" s="147"/>
      <c r="AJ1464" s="147"/>
      <c r="AK1464" s="147"/>
      <c r="AL1464" s="147"/>
      <c r="AM1464" s="147"/>
      <c r="AN1464" s="147"/>
      <c r="AO1464" s="147"/>
      <c r="AP1464" s="147"/>
      <c r="AQ1464" s="147"/>
    </row>
    <row r="1465" spans="1:43">
      <c r="A1465" s="3"/>
      <c r="B1465" s="3"/>
      <c r="C1465" s="3"/>
      <c r="D1465" s="3"/>
      <c r="E1465" s="3"/>
      <c r="F1465" s="3"/>
      <c r="G1465" s="3"/>
      <c r="H1465" s="3"/>
      <c r="I1465" s="3"/>
      <c r="J1465" s="3"/>
      <c r="K1465" s="3"/>
      <c r="L1465" s="3"/>
      <c r="M1465" s="3"/>
      <c r="N1465" s="157"/>
      <c r="O1465" s="157"/>
      <c r="P1465" s="157"/>
      <c r="R1465" s="147"/>
      <c r="S1465" s="147"/>
      <c r="T1465" s="147"/>
      <c r="U1465" s="147"/>
      <c r="X1465" s="147"/>
      <c r="Y1465" s="147"/>
      <c r="Z1465" s="147"/>
      <c r="AA1465" s="147"/>
      <c r="AB1465" s="147"/>
      <c r="AC1465" s="147"/>
      <c r="AD1465" s="147"/>
      <c r="AE1465" s="147"/>
      <c r="AF1465" s="147"/>
      <c r="AG1465" s="147"/>
      <c r="AH1465" s="147"/>
      <c r="AI1465" s="147"/>
      <c r="AJ1465" s="147"/>
      <c r="AK1465" s="147"/>
      <c r="AL1465" s="147"/>
      <c r="AM1465" s="147"/>
      <c r="AN1465" s="147"/>
      <c r="AO1465" s="147"/>
      <c r="AP1465" s="147"/>
      <c r="AQ1465" s="147"/>
    </row>
    <row r="1466" spans="1:43">
      <c r="A1466" s="3"/>
      <c r="B1466" s="3"/>
      <c r="C1466" s="3"/>
      <c r="D1466" s="3"/>
      <c r="E1466" s="3"/>
      <c r="F1466" s="3"/>
      <c r="G1466" s="3"/>
      <c r="H1466" s="3"/>
      <c r="I1466" s="3"/>
      <c r="J1466" s="3"/>
      <c r="K1466" s="3"/>
      <c r="L1466" s="3"/>
      <c r="M1466" s="3"/>
      <c r="N1466" s="157"/>
      <c r="O1466" s="157"/>
      <c r="P1466" s="157"/>
      <c r="R1466" s="147"/>
      <c r="S1466" s="147"/>
      <c r="T1466" s="147"/>
      <c r="U1466" s="147"/>
      <c r="X1466" s="147"/>
      <c r="Y1466" s="147"/>
      <c r="Z1466" s="147"/>
      <c r="AA1466" s="147"/>
      <c r="AB1466" s="147"/>
      <c r="AC1466" s="147"/>
      <c r="AD1466" s="147"/>
      <c r="AE1466" s="147"/>
      <c r="AF1466" s="147"/>
      <c r="AG1466" s="147"/>
      <c r="AH1466" s="147"/>
      <c r="AI1466" s="147"/>
      <c r="AJ1466" s="147"/>
      <c r="AK1466" s="147"/>
      <c r="AL1466" s="147"/>
      <c r="AM1466" s="147"/>
      <c r="AN1466" s="147"/>
      <c r="AO1466" s="147"/>
      <c r="AP1466" s="147"/>
      <c r="AQ1466" s="147"/>
    </row>
    <row r="1467" spans="1:43">
      <c r="A1467" s="3"/>
      <c r="B1467" s="3"/>
      <c r="C1467" s="3"/>
      <c r="D1467" s="3"/>
      <c r="E1467" s="3"/>
      <c r="F1467" s="3"/>
      <c r="G1467" s="3"/>
      <c r="H1467" s="3"/>
      <c r="I1467" s="3"/>
      <c r="J1467" s="3"/>
      <c r="K1467" s="3"/>
      <c r="L1467" s="3"/>
      <c r="M1467" s="3"/>
      <c r="N1467" s="157"/>
      <c r="O1467" s="157"/>
      <c r="P1467" s="157"/>
      <c r="R1467" s="147"/>
      <c r="S1467" s="147"/>
      <c r="T1467" s="147"/>
      <c r="U1467" s="147"/>
      <c r="X1467" s="147"/>
      <c r="Y1467" s="147"/>
      <c r="Z1467" s="147"/>
      <c r="AA1467" s="147"/>
      <c r="AB1467" s="147"/>
      <c r="AC1467" s="147"/>
      <c r="AD1467" s="147"/>
      <c r="AE1467" s="147"/>
      <c r="AF1467" s="147"/>
      <c r="AG1467" s="147"/>
      <c r="AH1467" s="147"/>
      <c r="AI1467" s="147"/>
      <c r="AJ1467" s="147"/>
      <c r="AK1467" s="147"/>
      <c r="AL1467" s="147"/>
      <c r="AM1467" s="147"/>
      <c r="AN1467" s="147"/>
      <c r="AO1467" s="147"/>
      <c r="AP1467" s="147"/>
      <c r="AQ1467" s="147"/>
    </row>
    <row r="1468" spans="1:43">
      <c r="A1468" s="3"/>
      <c r="B1468" s="3"/>
      <c r="C1468" s="3"/>
      <c r="D1468" s="3"/>
      <c r="E1468" s="3"/>
      <c r="F1468" s="3"/>
      <c r="G1468" s="3"/>
      <c r="H1468" s="3"/>
      <c r="I1468" s="3"/>
      <c r="J1468" s="3"/>
      <c r="K1468" s="3"/>
      <c r="L1468" s="3"/>
      <c r="M1468" s="3"/>
      <c r="N1468" s="157"/>
      <c r="O1468" s="157"/>
      <c r="P1468" s="157"/>
      <c r="R1468" s="147"/>
      <c r="S1468" s="147"/>
      <c r="T1468" s="147"/>
      <c r="U1468" s="147"/>
      <c r="X1468" s="147"/>
      <c r="Y1468" s="147"/>
      <c r="Z1468" s="147"/>
      <c r="AA1468" s="147"/>
      <c r="AB1468" s="147"/>
      <c r="AC1468" s="147"/>
      <c r="AD1468" s="147"/>
      <c r="AE1468" s="147"/>
      <c r="AF1468" s="147"/>
      <c r="AG1468" s="147"/>
      <c r="AH1468" s="147"/>
      <c r="AI1468" s="147"/>
      <c r="AJ1468" s="147"/>
      <c r="AK1468" s="147"/>
      <c r="AL1468" s="147"/>
      <c r="AM1468" s="147"/>
      <c r="AN1468" s="147"/>
      <c r="AO1468" s="147"/>
      <c r="AP1468" s="147"/>
      <c r="AQ1468" s="147"/>
    </row>
    <row r="1469" spans="1:43">
      <c r="A1469" s="3"/>
      <c r="B1469" s="3"/>
      <c r="C1469" s="3"/>
      <c r="D1469" s="3"/>
      <c r="E1469" s="3"/>
      <c r="F1469" s="3"/>
      <c r="G1469" s="3"/>
      <c r="H1469" s="3"/>
      <c r="I1469" s="3"/>
      <c r="J1469" s="3"/>
      <c r="K1469" s="3"/>
      <c r="L1469" s="3"/>
      <c r="M1469" s="3"/>
      <c r="N1469" s="157"/>
      <c r="O1469" s="157"/>
      <c r="P1469" s="157"/>
      <c r="R1469" s="147"/>
      <c r="S1469" s="147"/>
      <c r="T1469" s="147"/>
      <c r="U1469" s="147"/>
      <c r="X1469" s="147"/>
      <c r="Y1469" s="147"/>
      <c r="Z1469" s="147"/>
      <c r="AA1469" s="147"/>
      <c r="AB1469" s="147"/>
      <c r="AC1469" s="147"/>
      <c r="AD1469" s="147"/>
      <c r="AE1469" s="147"/>
      <c r="AF1469" s="147"/>
      <c r="AG1469" s="147"/>
      <c r="AH1469" s="147"/>
      <c r="AI1469" s="147"/>
      <c r="AJ1469" s="147"/>
      <c r="AK1469" s="147"/>
      <c r="AL1469" s="147"/>
      <c r="AM1469" s="147"/>
      <c r="AN1469" s="147"/>
      <c r="AO1469" s="147"/>
      <c r="AP1469" s="147"/>
      <c r="AQ1469" s="147"/>
    </row>
    <row r="1470" spans="1:43">
      <c r="A1470" s="3"/>
      <c r="B1470" s="3"/>
      <c r="C1470" s="3"/>
      <c r="D1470" s="3"/>
      <c r="E1470" s="3"/>
      <c r="F1470" s="3"/>
      <c r="G1470" s="3"/>
      <c r="H1470" s="3"/>
      <c r="I1470" s="3"/>
      <c r="J1470" s="3"/>
      <c r="K1470" s="3"/>
      <c r="L1470" s="3"/>
      <c r="M1470" s="3"/>
      <c r="N1470" s="157"/>
      <c r="O1470" s="157"/>
      <c r="P1470" s="157"/>
      <c r="R1470" s="147"/>
      <c r="S1470" s="147"/>
      <c r="T1470" s="147"/>
      <c r="U1470" s="147"/>
      <c r="X1470" s="147"/>
      <c r="Y1470" s="147"/>
      <c r="Z1470" s="147"/>
      <c r="AA1470" s="147"/>
      <c r="AB1470" s="147"/>
      <c r="AC1470" s="147"/>
      <c r="AD1470" s="147"/>
      <c r="AE1470" s="147"/>
      <c r="AF1470" s="147"/>
      <c r="AG1470" s="147"/>
      <c r="AH1470" s="147"/>
      <c r="AI1470" s="147"/>
      <c r="AJ1470" s="147"/>
      <c r="AK1470" s="147"/>
      <c r="AL1470" s="147"/>
      <c r="AM1470" s="147"/>
      <c r="AN1470" s="147"/>
      <c r="AO1470" s="147"/>
      <c r="AP1470" s="147"/>
      <c r="AQ1470" s="147"/>
    </row>
    <row r="1471" spans="1:43">
      <c r="A1471" s="3"/>
      <c r="B1471" s="3"/>
      <c r="C1471" s="3"/>
      <c r="D1471" s="3"/>
      <c r="E1471" s="3"/>
      <c r="F1471" s="3"/>
      <c r="G1471" s="3"/>
      <c r="H1471" s="3"/>
      <c r="I1471" s="3"/>
      <c r="J1471" s="3"/>
      <c r="K1471" s="3"/>
      <c r="L1471" s="3"/>
      <c r="M1471" s="3"/>
      <c r="N1471" s="157"/>
      <c r="O1471" s="157"/>
      <c r="P1471" s="157"/>
      <c r="R1471" s="147"/>
      <c r="S1471" s="147"/>
      <c r="T1471" s="147"/>
      <c r="U1471" s="147"/>
      <c r="X1471" s="147"/>
      <c r="Y1471" s="147"/>
      <c r="Z1471" s="147"/>
      <c r="AA1471" s="147"/>
      <c r="AB1471" s="147"/>
      <c r="AC1471" s="147"/>
      <c r="AD1471" s="147"/>
      <c r="AE1471" s="147"/>
      <c r="AF1471" s="147"/>
      <c r="AG1471" s="147"/>
      <c r="AH1471" s="147"/>
      <c r="AI1471" s="147"/>
      <c r="AJ1471" s="147"/>
      <c r="AK1471" s="147"/>
      <c r="AL1471" s="147"/>
      <c r="AM1471" s="147"/>
      <c r="AN1471" s="147"/>
      <c r="AO1471" s="147"/>
      <c r="AP1471" s="147"/>
      <c r="AQ1471" s="147"/>
    </row>
    <row r="1472" spans="1:43">
      <c r="A1472" s="3"/>
      <c r="B1472" s="3"/>
      <c r="C1472" s="3"/>
      <c r="D1472" s="3"/>
      <c r="E1472" s="3"/>
      <c r="F1472" s="3"/>
      <c r="G1472" s="3"/>
      <c r="H1472" s="3"/>
      <c r="I1472" s="3"/>
      <c r="J1472" s="3"/>
      <c r="K1472" s="3"/>
      <c r="L1472" s="3"/>
      <c r="M1472" s="3"/>
      <c r="N1472" s="157"/>
      <c r="O1472" s="157"/>
      <c r="P1472" s="157"/>
      <c r="R1472" s="147"/>
      <c r="S1472" s="147"/>
      <c r="T1472" s="147"/>
      <c r="U1472" s="147"/>
      <c r="X1472" s="147"/>
      <c r="Y1472" s="147"/>
      <c r="Z1472" s="147"/>
      <c r="AA1472" s="147"/>
      <c r="AB1472" s="147"/>
      <c r="AC1472" s="147"/>
      <c r="AD1472" s="147"/>
      <c r="AE1472" s="147"/>
      <c r="AF1472" s="147"/>
      <c r="AG1472" s="147"/>
      <c r="AH1472" s="147"/>
      <c r="AI1472" s="147"/>
      <c r="AJ1472" s="147"/>
      <c r="AK1472" s="147"/>
      <c r="AL1472" s="147"/>
      <c r="AM1472" s="147"/>
      <c r="AN1472" s="147"/>
      <c r="AO1472" s="147"/>
      <c r="AP1472" s="147"/>
      <c r="AQ1472" s="147"/>
    </row>
    <row r="1473" spans="1:43">
      <c r="A1473" s="3"/>
      <c r="B1473" s="3"/>
      <c r="C1473" s="3"/>
      <c r="D1473" s="3"/>
      <c r="E1473" s="3"/>
      <c r="F1473" s="3"/>
      <c r="G1473" s="3"/>
      <c r="H1473" s="3"/>
      <c r="I1473" s="3"/>
      <c r="J1473" s="3"/>
      <c r="K1473" s="3"/>
      <c r="L1473" s="3"/>
      <c r="M1473" s="3"/>
      <c r="N1473" s="157"/>
      <c r="O1473" s="157"/>
      <c r="P1473" s="157"/>
      <c r="R1473" s="147"/>
      <c r="S1473" s="147"/>
      <c r="T1473" s="147"/>
      <c r="U1473" s="147"/>
      <c r="X1473" s="147"/>
      <c r="Y1473" s="147"/>
      <c r="Z1473" s="147"/>
      <c r="AA1473" s="147"/>
      <c r="AB1473" s="147"/>
      <c r="AC1473" s="147"/>
      <c r="AD1473" s="147"/>
      <c r="AE1473" s="147"/>
      <c r="AF1473" s="147"/>
      <c r="AG1473" s="147"/>
      <c r="AH1473" s="147"/>
      <c r="AI1473" s="147"/>
      <c r="AJ1473" s="147"/>
      <c r="AK1473" s="147"/>
      <c r="AL1473" s="147"/>
      <c r="AM1473" s="147"/>
      <c r="AN1473" s="147"/>
      <c r="AO1473" s="147"/>
      <c r="AP1473" s="147"/>
      <c r="AQ1473" s="147"/>
    </row>
    <row r="1474" spans="1:43">
      <c r="A1474" s="3"/>
      <c r="B1474" s="3"/>
      <c r="C1474" s="3"/>
      <c r="D1474" s="3"/>
      <c r="E1474" s="3"/>
      <c r="F1474" s="3"/>
      <c r="G1474" s="3"/>
      <c r="H1474" s="3"/>
      <c r="I1474" s="3"/>
      <c r="J1474" s="3"/>
      <c r="K1474" s="3"/>
      <c r="L1474" s="3"/>
      <c r="M1474" s="3"/>
      <c r="N1474" s="157"/>
      <c r="O1474" s="157"/>
      <c r="P1474" s="157"/>
      <c r="R1474" s="147"/>
      <c r="S1474" s="147"/>
      <c r="T1474" s="147"/>
      <c r="U1474" s="147"/>
      <c r="X1474" s="147"/>
      <c r="Y1474" s="147"/>
      <c r="Z1474" s="147"/>
      <c r="AA1474" s="147"/>
      <c r="AB1474" s="147"/>
      <c r="AC1474" s="147"/>
      <c r="AD1474" s="147"/>
      <c r="AE1474" s="147"/>
      <c r="AF1474" s="147"/>
      <c r="AG1474" s="147"/>
      <c r="AH1474" s="147"/>
      <c r="AI1474" s="147"/>
      <c r="AJ1474" s="147"/>
      <c r="AK1474" s="147"/>
      <c r="AL1474" s="147"/>
      <c r="AM1474" s="147"/>
      <c r="AN1474" s="147"/>
      <c r="AO1474" s="147"/>
      <c r="AP1474" s="147"/>
      <c r="AQ1474" s="147"/>
    </row>
    <row r="1475" spans="1:43">
      <c r="A1475" s="3"/>
      <c r="B1475" s="3"/>
      <c r="C1475" s="3"/>
      <c r="D1475" s="3"/>
      <c r="E1475" s="3"/>
      <c r="F1475" s="3"/>
      <c r="G1475" s="3"/>
      <c r="H1475" s="3"/>
      <c r="I1475" s="3"/>
      <c r="J1475" s="3"/>
      <c r="K1475" s="3"/>
      <c r="L1475" s="3"/>
      <c r="M1475" s="3"/>
      <c r="N1475" s="157"/>
      <c r="O1475" s="157"/>
      <c r="P1475" s="157"/>
      <c r="R1475" s="147"/>
      <c r="S1475" s="147"/>
      <c r="T1475" s="147"/>
      <c r="U1475" s="147"/>
      <c r="X1475" s="147"/>
      <c r="Y1475" s="147"/>
      <c r="Z1475" s="147"/>
      <c r="AA1475" s="147"/>
      <c r="AB1475" s="147"/>
      <c r="AC1475" s="147"/>
      <c r="AD1475" s="147"/>
      <c r="AE1475" s="147"/>
      <c r="AF1475" s="147"/>
      <c r="AG1475" s="147"/>
      <c r="AH1475" s="147"/>
      <c r="AI1475" s="147"/>
      <c r="AJ1475" s="147"/>
      <c r="AK1475" s="147"/>
      <c r="AL1475" s="147"/>
      <c r="AM1475" s="147"/>
      <c r="AN1475" s="147"/>
      <c r="AO1475" s="147"/>
      <c r="AP1475" s="147"/>
      <c r="AQ1475" s="147"/>
    </row>
    <row r="1476" spans="1:43">
      <c r="A1476" s="3"/>
      <c r="B1476" s="3"/>
      <c r="C1476" s="3"/>
      <c r="D1476" s="3"/>
      <c r="E1476" s="3"/>
      <c r="F1476" s="3"/>
      <c r="G1476" s="3"/>
      <c r="H1476" s="3"/>
      <c r="I1476" s="3"/>
      <c r="J1476" s="3"/>
      <c r="K1476" s="3"/>
      <c r="L1476" s="3"/>
      <c r="M1476" s="3"/>
      <c r="N1476" s="157"/>
      <c r="O1476" s="157"/>
      <c r="P1476" s="157"/>
      <c r="R1476" s="147"/>
      <c r="S1476" s="147"/>
      <c r="T1476" s="147"/>
      <c r="U1476" s="147"/>
      <c r="X1476" s="147"/>
      <c r="Y1476" s="147"/>
      <c r="Z1476" s="147"/>
      <c r="AA1476" s="147"/>
      <c r="AB1476" s="147"/>
      <c r="AC1476" s="147"/>
      <c r="AD1476" s="147"/>
      <c r="AE1476" s="147"/>
      <c r="AF1476" s="147"/>
      <c r="AG1476" s="147"/>
      <c r="AH1476" s="147"/>
      <c r="AI1476" s="147"/>
      <c r="AJ1476" s="147"/>
      <c r="AK1476" s="147"/>
      <c r="AL1476" s="147"/>
      <c r="AM1476" s="147"/>
      <c r="AN1476" s="147"/>
      <c r="AO1476" s="147"/>
      <c r="AP1476" s="147"/>
      <c r="AQ1476" s="147"/>
    </row>
    <row r="1477" spans="1:43">
      <c r="A1477" s="3"/>
      <c r="B1477" s="3"/>
      <c r="C1477" s="3"/>
      <c r="D1477" s="3"/>
      <c r="E1477" s="3"/>
      <c r="F1477" s="3"/>
      <c r="G1477" s="3"/>
      <c r="H1477" s="3"/>
      <c r="I1477" s="3"/>
      <c r="J1477" s="3"/>
      <c r="K1477" s="3"/>
      <c r="L1477" s="3"/>
      <c r="M1477" s="3"/>
      <c r="N1477" s="157"/>
      <c r="O1477" s="157"/>
      <c r="P1477" s="157"/>
      <c r="R1477" s="147"/>
      <c r="S1477" s="147"/>
      <c r="T1477" s="147"/>
      <c r="U1477" s="147"/>
      <c r="X1477" s="147"/>
      <c r="Y1477" s="147"/>
      <c r="Z1477" s="147"/>
      <c r="AA1477" s="147"/>
      <c r="AB1477" s="147"/>
      <c r="AC1477" s="147"/>
      <c r="AD1477" s="147"/>
      <c r="AE1477" s="147"/>
      <c r="AF1477" s="147"/>
      <c r="AG1477" s="147"/>
      <c r="AH1477" s="147"/>
      <c r="AI1477" s="147"/>
      <c r="AJ1477" s="147"/>
      <c r="AK1477" s="147"/>
      <c r="AL1477" s="147"/>
      <c r="AM1477" s="147"/>
      <c r="AN1477" s="147"/>
      <c r="AO1477" s="147"/>
      <c r="AP1477" s="147"/>
      <c r="AQ1477" s="147"/>
    </row>
    <row r="1478" spans="1:43">
      <c r="A1478" s="3"/>
      <c r="B1478" s="3"/>
      <c r="C1478" s="3"/>
      <c r="D1478" s="3"/>
      <c r="E1478" s="3"/>
      <c r="F1478" s="3"/>
      <c r="G1478" s="3"/>
      <c r="H1478" s="3"/>
      <c r="I1478" s="3"/>
      <c r="J1478" s="3"/>
      <c r="K1478" s="3"/>
      <c r="L1478" s="3"/>
      <c r="M1478" s="3"/>
      <c r="N1478" s="157"/>
      <c r="O1478" s="157"/>
      <c r="P1478" s="157"/>
      <c r="R1478" s="147"/>
      <c r="S1478" s="147"/>
      <c r="T1478" s="147"/>
      <c r="U1478" s="147"/>
      <c r="X1478" s="147"/>
      <c r="Y1478" s="147"/>
      <c r="Z1478" s="147"/>
      <c r="AA1478" s="147"/>
      <c r="AB1478" s="147"/>
      <c r="AC1478" s="147"/>
      <c r="AD1478" s="147"/>
      <c r="AE1478" s="147"/>
      <c r="AF1478" s="147"/>
      <c r="AG1478" s="147"/>
      <c r="AH1478" s="147"/>
      <c r="AI1478" s="147"/>
      <c r="AJ1478" s="147"/>
      <c r="AK1478" s="147"/>
      <c r="AL1478" s="147"/>
      <c r="AM1478" s="147"/>
      <c r="AN1478" s="147"/>
      <c r="AO1478" s="147"/>
      <c r="AP1478" s="147"/>
      <c r="AQ1478" s="147"/>
    </row>
    <row r="1479" spans="1:43">
      <c r="A1479" s="3"/>
      <c r="B1479" s="3"/>
      <c r="C1479" s="3"/>
      <c r="D1479" s="3"/>
      <c r="E1479" s="3"/>
      <c r="F1479" s="3"/>
      <c r="G1479" s="3"/>
      <c r="H1479" s="3"/>
      <c r="I1479" s="3"/>
      <c r="J1479" s="3"/>
      <c r="K1479" s="3"/>
      <c r="L1479" s="3"/>
      <c r="M1479" s="3"/>
      <c r="N1479" s="157"/>
      <c r="O1479" s="157"/>
      <c r="P1479" s="157"/>
      <c r="R1479" s="147"/>
      <c r="S1479" s="147"/>
      <c r="T1479" s="147"/>
      <c r="U1479" s="147"/>
      <c r="X1479" s="147"/>
      <c r="Y1479" s="147"/>
      <c r="Z1479" s="147"/>
      <c r="AA1479" s="147"/>
      <c r="AB1479" s="147"/>
      <c r="AC1479" s="147"/>
      <c r="AD1479" s="147"/>
      <c r="AE1479" s="147"/>
      <c r="AF1479" s="147"/>
      <c r="AG1479" s="147"/>
      <c r="AH1479" s="147"/>
      <c r="AI1479" s="147"/>
      <c r="AJ1479" s="147"/>
      <c r="AK1479" s="147"/>
      <c r="AL1479" s="147"/>
      <c r="AM1479" s="147"/>
      <c r="AN1479" s="147"/>
      <c r="AO1479" s="147"/>
      <c r="AP1479" s="147"/>
      <c r="AQ1479" s="147"/>
    </row>
    <row r="1480" spans="1:43">
      <c r="A1480" s="3"/>
      <c r="B1480" s="3"/>
      <c r="C1480" s="3"/>
      <c r="D1480" s="3"/>
      <c r="E1480" s="3"/>
      <c r="F1480" s="3"/>
      <c r="G1480" s="3"/>
      <c r="H1480" s="3"/>
      <c r="I1480" s="3"/>
      <c r="J1480" s="3"/>
      <c r="K1480" s="3"/>
      <c r="L1480" s="3"/>
      <c r="M1480" s="3"/>
      <c r="N1480" s="157"/>
      <c r="O1480" s="157"/>
      <c r="P1480" s="157"/>
      <c r="R1480" s="147"/>
      <c r="S1480" s="147"/>
      <c r="T1480" s="147"/>
      <c r="U1480" s="147"/>
      <c r="X1480" s="147"/>
      <c r="Y1480" s="147"/>
      <c r="Z1480" s="147"/>
      <c r="AA1480" s="147"/>
      <c r="AB1480" s="147"/>
      <c r="AC1480" s="147"/>
      <c r="AD1480" s="147"/>
      <c r="AE1480" s="147"/>
      <c r="AF1480" s="147"/>
      <c r="AG1480" s="147"/>
      <c r="AH1480" s="147"/>
      <c r="AI1480" s="147"/>
      <c r="AJ1480" s="147"/>
      <c r="AK1480" s="147"/>
      <c r="AL1480" s="147"/>
      <c r="AM1480" s="147"/>
      <c r="AN1480" s="147"/>
      <c r="AO1480" s="147"/>
      <c r="AP1480" s="147"/>
      <c r="AQ1480" s="147"/>
    </row>
    <row r="1481" spans="1:43">
      <c r="A1481" s="3"/>
      <c r="B1481" s="3"/>
      <c r="C1481" s="3"/>
      <c r="D1481" s="3"/>
      <c r="E1481" s="3"/>
      <c r="F1481" s="3"/>
      <c r="G1481" s="3"/>
      <c r="H1481" s="3"/>
      <c r="I1481" s="3"/>
      <c r="J1481" s="3"/>
      <c r="K1481" s="3"/>
      <c r="L1481" s="3"/>
      <c r="M1481" s="3"/>
      <c r="N1481" s="157"/>
      <c r="O1481" s="157"/>
      <c r="P1481" s="157"/>
      <c r="R1481" s="147"/>
      <c r="S1481" s="147"/>
      <c r="T1481" s="147"/>
      <c r="U1481" s="147"/>
      <c r="X1481" s="147"/>
      <c r="Y1481" s="147"/>
      <c r="Z1481" s="147"/>
      <c r="AA1481" s="147"/>
      <c r="AB1481" s="147"/>
      <c r="AC1481" s="147"/>
      <c r="AD1481" s="147"/>
      <c r="AE1481" s="147"/>
      <c r="AF1481" s="147"/>
      <c r="AG1481" s="147"/>
      <c r="AH1481" s="147"/>
      <c r="AI1481" s="147"/>
      <c r="AJ1481" s="147"/>
      <c r="AK1481" s="147"/>
      <c r="AL1481" s="147"/>
      <c r="AM1481" s="147"/>
      <c r="AN1481" s="147"/>
      <c r="AO1481" s="147"/>
      <c r="AP1481" s="147"/>
      <c r="AQ1481" s="147"/>
    </row>
    <row r="1482" spans="1:43">
      <c r="A1482" s="3"/>
      <c r="B1482" s="3"/>
      <c r="C1482" s="3"/>
      <c r="D1482" s="3"/>
      <c r="E1482" s="3"/>
      <c r="F1482" s="3"/>
      <c r="G1482" s="3"/>
      <c r="H1482" s="3"/>
      <c r="I1482" s="3"/>
      <c r="J1482" s="3"/>
      <c r="K1482" s="3"/>
      <c r="L1482" s="3"/>
      <c r="M1482" s="3"/>
      <c r="N1482" s="157"/>
      <c r="O1482" s="157"/>
      <c r="P1482" s="157"/>
      <c r="R1482" s="147"/>
      <c r="S1482" s="147"/>
      <c r="T1482" s="147"/>
      <c r="U1482" s="147"/>
      <c r="X1482" s="147"/>
      <c r="Y1482" s="147"/>
      <c r="Z1482" s="147"/>
      <c r="AA1482" s="147"/>
      <c r="AB1482" s="147"/>
      <c r="AC1482" s="147"/>
      <c r="AD1482" s="147"/>
      <c r="AE1482" s="147"/>
      <c r="AF1482" s="147"/>
      <c r="AG1482" s="147"/>
      <c r="AH1482" s="147"/>
      <c r="AI1482" s="147"/>
      <c r="AJ1482" s="147"/>
      <c r="AK1482" s="147"/>
      <c r="AL1482" s="147"/>
      <c r="AM1482" s="147"/>
      <c r="AN1482" s="147"/>
      <c r="AO1482" s="147"/>
      <c r="AP1482" s="147"/>
      <c r="AQ1482" s="147"/>
    </row>
    <row r="1483" spans="1:43">
      <c r="A1483" s="3"/>
      <c r="B1483" s="3"/>
      <c r="C1483" s="3"/>
      <c r="D1483" s="3"/>
      <c r="E1483" s="3"/>
      <c r="F1483" s="3"/>
      <c r="G1483" s="3"/>
      <c r="H1483" s="3"/>
      <c r="I1483" s="3"/>
      <c r="J1483" s="3"/>
      <c r="K1483" s="3"/>
      <c r="L1483" s="3"/>
      <c r="M1483" s="3"/>
      <c r="N1483" s="157"/>
      <c r="O1483" s="157"/>
      <c r="P1483" s="157"/>
      <c r="R1483" s="147"/>
      <c r="S1483" s="147"/>
      <c r="T1483" s="147"/>
      <c r="U1483" s="147"/>
      <c r="X1483" s="147"/>
      <c r="Y1483" s="147"/>
      <c r="Z1483" s="147"/>
      <c r="AA1483" s="147"/>
      <c r="AB1483" s="147"/>
      <c r="AC1483" s="147"/>
      <c r="AD1483" s="147"/>
      <c r="AE1483" s="147"/>
      <c r="AF1483" s="147"/>
      <c r="AG1483" s="147"/>
      <c r="AH1483" s="147"/>
      <c r="AI1483" s="147"/>
      <c r="AJ1483" s="147"/>
      <c r="AK1483" s="147"/>
      <c r="AL1483" s="147"/>
      <c r="AM1483" s="147"/>
      <c r="AN1483" s="147"/>
      <c r="AO1483" s="147"/>
      <c r="AP1483" s="147"/>
      <c r="AQ1483" s="147"/>
    </row>
    <row r="1484" spans="1:43">
      <c r="A1484" s="3"/>
      <c r="B1484" s="3"/>
      <c r="C1484" s="3"/>
      <c r="D1484" s="3"/>
      <c r="E1484" s="3"/>
      <c r="F1484" s="3"/>
      <c r="G1484" s="3"/>
      <c r="H1484" s="3"/>
      <c r="I1484" s="3"/>
      <c r="J1484" s="3"/>
      <c r="K1484" s="3"/>
      <c r="L1484" s="3"/>
      <c r="M1484" s="3"/>
      <c r="N1484" s="157"/>
      <c r="O1484" s="157"/>
      <c r="P1484" s="157"/>
      <c r="R1484" s="147"/>
      <c r="S1484" s="147"/>
      <c r="T1484" s="147"/>
      <c r="U1484" s="147"/>
      <c r="X1484" s="147"/>
      <c r="Y1484" s="147"/>
      <c r="Z1484" s="147"/>
      <c r="AA1484" s="147"/>
      <c r="AB1484" s="147"/>
      <c r="AC1484" s="147"/>
      <c r="AD1484" s="147"/>
      <c r="AE1484" s="147"/>
      <c r="AF1484" s="147"/>
      <c r="AG1484" s="147"/>
      <c r="AH1484" s="147"/>
      <c r="AI1484" s="147"/>
      <c r="AJ1484" s="147"/>
      <c r="AK1484" s="147"/>
      <c r="AL1484" s="147"/>
      <c r="AM1484" s="147"/>
      <c r="AN1484" s="147"/>
      <c r="AO1484" s="147"/>
      <c r="AP1484" s="147"/>
      <c r="AQ1484" s="147"/>
    </row>
    <row r="1485" spans="1:43">
      <c r="A1485" s="3"/>
      <c r="B1485" s="3"/>
      <c r="C1485" s="3"/>
      <c r="D1485" s="3"/>
      <c r="E1485" s="3"/>
      <c r="F1485" s="3"/>
      <c r="G1485" s="3"/>
      <c r="H1485" s="3"/>
      <c r="I1485" s="3"/>
      <c r="J1485" s="3"/>
      <c r="K1485" s="3"/>
      <c r="L1485" s="3"/>
      <c r="M1485" s="3"/>
      <c r="N1485" s="157"/>
      <c r="O1485" s="157"/>
      <c r="P1485" s="157"/>
      <c r="R1485" s="147"/>
      <c r="S1485" s="147"/>
      <c r="T1485" s="147"/>
      <c r="U1485" s="147"/>
      <c r="X1485" s="147"/>
      <c r="Y1485" s="147"/>
      <c r="Z1485" s="147"/>
      <c r="AA1485" s="147"/>
      <c r="AB1485" s="147"/>
      <c r="AC1485" s="147"/>
      <c r="AD1485" s="147"/>
      <c r="AE1485" s="147"/>
      <c r="AF1485" s="147"/>
      <c r="AG1485" s="147"/>
      <c r="AH1485" s="147"/>
      <c r="AI1485" s="147"/>
      <c r="AJ1485" s="147"/>
      <c r="AK1485" s="147"/>
      <c r="AL1485" s="147"/>
      <c r="AM1485" s="147"/>
      <c r="AN1485" s="147"/>
      <c r="AO1485" s="147"/>
      <c r="AP1485" s="147"/>
      <c r="AQ1485" s="147"/>
    </row>
    <row r="1486" spans="1:43">
      <c r="A1486" s="3"/>
      <c r="B1486" s="3"/>
      <c r="C1486" s="3"/>
      <c r="D1486" s="3"/>
      <c r="E1486" s="3"/>
      <c r="F1486" s="3"/>
      <c r="G1486" s="3"/>
      <c r="H1486" s="3"/>
      <c r="I1486" s="3"/>
      <c r="J1486" s="3"/>
      <c r="K1486" s="3"/>
      <c r="L1486" s="3"/>
      <c r="M1486" s="3"/>
      <c r="N1486" s="157"/>
      <c r="O1486" s="157"/>
      <c r="P1486" s="157"/>
      <c r="R1486" s="147"/>
      <c r="S1486" s="147"/>
      <c r="T1486" s="147"/>
      <c r="U1486" s="147"/>
      <c r="X1486" s="147"/>
      <c r="Y1486" s="147"/>
      <c r="Z1486" s="147"/>
      <c r="AA1486" s="147"/>
      <c r="AB1486" s="147"/>
      <c r="AC1486" s="147"/>
      <c r="AD1486" s="147"/>
      <c r="AE1486" s="147"/>
      <c r="AF1486" s="147"/>
      <c r="AG1486" s="147"/>
      <c r="AH1486" s="147"/>
      <c r="AI1486" s="147"/>
      <c r="AJ1486" s="147"/>
      <c r="AK1486" s="147"/>
      <c r="AL1486" s="147"/>
      <c r="AM1486" s="147"/>
      <c r="AN1486" s="147"/>
      <c r="AO1486" s="147"/>
      <c r="AP1486" s="147"/>
      <c r="AQ1486" s="147"/>
    </row>
    <row r="1487" spans="1:43">
      <c r="A1487" s="3"/>
      <c r="B1487" s="3"/>
      <c r="C1487" s="3"/>
      <c r="D1487" s="3"/>
      <c r="E1487" s="3"/>
      <c r="F1487" s="3"/>
      <c r="G1487" s="3"/>
      <c r="H1487" s="3"/>
      <c r="I1487" s="3"/>
      <c r="J1487" s="3"/>
      <c r="K1487" s="3"/>
      <c r="L1487" s="3"/>
      <c r="M1487" s="3"/>
      <c r="N1487" s="157"/>
      <c r="O1487" s="157"/>
      <c r="P1487" s="157"/>
      <c r="R1487" s="147"/>
      <c r="S1487" s="147"/>
      <c r="T1487" s="147"/>
      <c r="U1487" s="147"/>
      <c r="X1487" s="147"/>
      <c r="Y1487" s="147"/>
      <c r="Z1487" s="147"/>
      <c r="AA1487" s="147"/>
      <c r="AB1487" s="147"/>
      <c r="AC1487" s="147"/>
      <c r="AD1487" s="147"/>
      <c r="AE1487" s="147"/>
      <c r="AF1487" s="147"/>
      <c r="AG1487" s="147"/>
      <c r="AH1487" s="147"/>
      <c r="AI1487" s="147"/>
      <c r="AJ1487" s="147"/>
      <c r="AK1487" s="147"/>
      <c r="AL1487" s="147"/>
      <c r="AM1487" s="147"/>
      <c r="AN1487" s="147"/>
      <c r="AO1487" s="147"/>
      <c r="AP1487" s="147"/>
      <c r="AQ1487" s="147"/>
    </row>
    <row r="1488" spans="1:43">
      <c r="A1488" s="3"/>
      <c r="B1488" s="3"/>
      <c r="C1488" s="3"/>
      <c r="D1488" s="3"/>
      <c r="E1488" s="3"/>
      <c r="F1488" s="3"/>
      <c r="G1488" s="3"/>
      <c r="H1488" s="3"/>
      <c r="I1488" s="3"/>
      <c r="J1488" s="3"/>
      <c r="K1488" s="3"/>
      <c r="L1488" s="3"/>
      <c r="M1488" s="3"/>
      <c r="N1488" s="157"/>
      <c r="O1488" s="157"/>
      <c r="P1488" s="157"/>
      <c r="R1488" s="147"/>
      <c r="S1488" s="147"/>
      <c r="T1488" s="147"/>
      <c r="U1488" s="147"/>
      <c r="X1488" s="147"/>
      <c r="Y1488" s="147"/>
      <c r="Z1488" s="147"/>
      <c r="AA1488" s="147"/>
      <c r="AB1488" s="147"/>
      <c r="AC1488" s="147"/>
      <c r="AD1488" s="147"/>
      <c r="AE1488" s="147"/>
      <c r="AF1488" s="147"/>
      <c r="AG1488" s="147"/>
      <c r="AH1488" s="147"/>
      <c r="AI1488" s="147"/>
      <c r="AJ1488" s="147"/>
      <c r="AK1488" s="147"/>
      <c r="AL1488" s="147"/>
      <c r="AM1488" s="147"/>
      <c r="AN1488" s="147"/>
      <c r="AO1488" s="147"/>
      <c r="AP1488" s="147"/>
      <c r="AQ1488" s="147"/>
    </row>
    <row r="1489" spans="1:43">
      <c r="A1489" s="3"/>
      <c r="B1489" s="3"/>
      <c r="C1489" s="3"/>
      <c r="D1489" s="3"/>
      <c r="E1489" s="3"/>
      <c r="F1489" s="3"/>
      <c r="G1489" s="3"/>
      <c r="H1489" s="3"/>
      <c r="I1489" s="3"/>
      <c r="J1489" s="3"/>
      <c r="K1489" s="3"/>
      <c r="L1489" s="3"/>
      <c r="M1489" s="3"/>
      <c r="N1489" s="157"/>
      <c r="O1489" s="157"/>
      <c r="P1489" s="157"/>
      <c r="R1489" s="147"/>
      <c r="S1489" s="147"/>
      <c r="T1489" s="147"/>
      <c r="U1489" s="147"/>
      <c r="X1489" s="147"/>
      <c r="Y1489" s="147"/>
      <c r="Z1489" s="147"/>
      <c r="AA1489" s="147"/>
      <c r="AB1489" s="147"/>
      <c r="AC1489" s="147"/>
      <c r="AD1489" s="147"/>
      <c r="AE1489" s="147"/>
      <c r="AF1489" s="147"/>
      <c r="AG1489" s="147"/>
      <c r="AH1489" s="147"/>
      <c r="AI1489" s="147"/>
      <c r="AJ1489" s="147"/>
      <c r="AK1489" s="147"/>
      <c r="AL1489" s="147"/>
      <c r="AM1489" s="147"/>
      <c r="AN1489" s="147"/>
      <c r="AO1489" s="147"/>
      <c r="AP1489" s="147"/>
      <c r="AQ1489" s="147"/>
    </row>
    <row r="1490" spans="1:43">
      <c r="A1490" s="3"/>
      <c r="B1490" s="3"/>
      <c r="C1490" s="3"/>
      <c r="D1490" s="3"/>
      <c r="E1490" s="3"/>
      <c r="F1490" s="3"/>
      <c r="G1490" s="3"/>
      <c r="H1490" s="3"/>
      <c r="I1490" s="3"/>
      <c r="J1490" s="3"/>
      <c r="K1490" s="3"/>
      <c r="L1490" s="3"/>
      <c r="M1490" s="3"/>
      <c r="N1490" s="157"/>
      <c r="O1490" s="157"/>
      <c r="P1490" s="157"/>
      <c r="R1490" s="147"/>
      <c r="S1490" s="147"/>
      <c r="T1490" s="147"/>
      <c r="U1490" s="147"/>
      <c r="X1490" s="147"/>
      <c r="Y1490" s="147"/>
      <c r="Z1490" s="147"/>
      <c r="AA1490" s="147"/>
      <c r="AB1490" s="147"/>
      <c r="AC1490" s="147"/>
      <c r="AD1490" s="147"/>
      <c r="AE1490" s="147"/>
      <c r="AF1490" s="147"/>
      <c r="AG1490" s="147"/>
      <c r="AH1490" s="147"/>
      <c r="AI1490" s="147"/>
      <c r="AJ1490" s="147"/>
      <c r="AK1490" s="147"/>
      <c r="AL1490" s="147"/>
      <c r="AM1490" s="147"/>
      <c r="AN1490" s="147"/>
      <c r="AO1490" s="147"/>
      <c r="AP1490" s="147"/>
      <c r="AQ1490" s="147"/>
    </row>
    <row r="1491" spans="1:43">
      <c r="A1491" s="3"/>
      <c r="B1491" s="3"/>
      <c r="C1491" s="3"/>
      <c r="D1491" s="3"/>
      <c r="E1491" s="3"/>
      <c r="F1491" s="3"/>
      <c r="G1491" s="3"/>
      <c r="H1491" s="3"/>
      <c r="I1491" s="3"/>
      <c r="J1491" s="3"/>
      <c r="K1491" s="3"/>
      <c r="L1491" s="3"/>
      <c r="M1491" s="3"/>
      <c r="N1491" s="157"/>
      <c r="O1491" s="157"/>
      <c r="P1491" s="157"/>
      <c r="R1491" s="147"/>
      <c r="S1491" s="147"/>
      <c r="T1491" s="147"/>
      <c r="U1491" s="147"/>
      <c r="X1491" s="147"/>
      <c r="Y1491" s="147"/>
      <c r="Z1491" s="147"/>
      <c r="AA1491" s="147"/>
      <c r="AB1491" s="147"/>
      <c r="AC1491" s="147"/>
      <c r="AD1491" s="147"/>
      <c r="AE1491" s="147"/>
      <c r="AF1491" s="147"/>
      <c r="AG1491" s="147"/>
      <c r="AH1491" s="147"/>
      <c r="AI1491" s="147"/>
      <c r="AJ1491" s="147"/>
      <c r="AK1491" s="147"/>
      <c r="AL1491" s="147"/>
      <c r="AM1491" s="147"/>
      <c r="AN1491" s="147"/>
      <c r="AO1491" s="147"/>
      <c r="AP1491" s="147"/>
      <c r="AQ1491" s="147"/>
    </row>
    <row r="1492" spans="1:43">
      <c r="A1492" s="3"/>
      <c r="B1492" s="3"/>
      <c r="C1492" s="3"/>
      <c r="D1492" s="3"/>
      <c r="E1492" s="3"/>
      <c r="F1492" s="3"/>
      <c r="G1492" s="3"/>
      <c r="H1492" s="3"/>
      <c r="I1492" s="3"/>
      <c r="J1492" s="3"/>
      <c r="K1492" s="3"/>
      <c r="L1492" s="3"/>
      <c r="M1492" s="3"/>
      <c r="N1492" s="157"/>
      <c r="O1492" s="157"/>
      <c r="P1492" s="157"/>
      <c r="R1492" s="147"/>
      <c r="S1492" s="147"/>
      <c r="T1492" s="147"/>
      <c r="U1492" s="147"/>
      <c r="X1492" s="147"/>
      <c r="Y1492" s="147"/>
      <c r="Z1492" s="147"/>
      <c r="AA1492" s="147"/>
      <c r="AB1492" s="147"/>
      <c r="AC1492" s="147"/>
      <c r="AD1492" s="147"/>
      <c r="AE1492" s="147"/>
      <c r="AF1492" s="147"/>
      <c r="AG1492" s="147"/>
      <c r="AH1492" s="147"/>
      <c r="AI1492" s="147"/>
      <c r="AJ1492" s="147"/>
      <c r="AK1492" s="147"/>
      <c r="AL1492" s="147"/>
      <c r="AM1492" s="147"/>
      <c r="AN1492" s="147"/>
      <c r="AO1492" s="147"/>
      <c r="AP1492" s="147"/>
      <c r="AQ1492" s="147"/>
    </row>
    <row r="1493" spans="1:43">
      <c r="A1493" s="3"/>
      <c r="B1493" s="3"/>
      <c r="C1493" s="3"/>
      <c r="D1493" s="3"/>
      <c r="E1493" s="3"/>
      <c r="F1493" s="3"/>
      <c r="G1493" s="3"/>
      <c r="H1493" s="3"/>
      <c r="I1493" s="3"/>
      <c r="J1493" s="3"/>
      <c r="K1493" s="3"/>
      <c r="L1493" s="3"/>
      <c r="M1493" s="3"/>
      <c r="N1493" s="157"/>
      <c r="O1493" s="157"/>
      <c r="P1493" s="157"/>
      <c r="R1493" s="147"/>
      <c r="S1493" s="147"/>
      <c r="T1493" s="147"/>
      <c r="U1493" s="147"/>
      <c r="X1493" s="147"/>
      <c r="Y1493" s="147"/>
      <c r="Z1493" s="147"/>
      <c r="AA1493" s="147"/>
      <c r="AB1493" s="147"/>
      <c r="AC1493" s="147"/>
      <c r="AD1493" s="147"/>
      <c r="AE1493" s="147"/>
      <c r="AF1493" s="147"/>
      <c r="AG1493" s="147"/>
      <c r="AH1493" s="147"/>
      <c r="AI1493" s="147"/>
      <c r="AJ1493" s="147"/>
      <c r="AK1493" s="147"/>
      <c r="AL1493" s="147"/>
      <c r="AM1493" s="147"/>
      <c r="AN1493" s="147"/>
      <c r="AO1493" s="147"/>
      <c r="AP1493" s="147"/>
      <c r="AQ1493" s="147"/>
    </row>
    <row r="1494" spans="1:43">
      <c r="A1494" s="3"/>
      <c r="B1494" s="3"/>
      <c r="C1494" s="3"/>
      <c r="D1494" s="3"/>
      <c r="E1494" s="3"/>
      <c r="F1494" s="3"/>
      <c r="G1494" s="3"/>
      <c r="H1494" s="3"/>
      <c r="I1494" s="3"/>
      <c r="J1494" s="3"/>
      <c r="K1494" s="3"/>
      <c r="L1494" s="3"/>
      <c r="M1494" s="3"/>
      <c r="N1494" s="157"/>
      <c r="O1494" s="157"/>
      <c r="P1494" s="157"/>
      <c r="R1494" s="147"/>
      <c r="S1494" s="147"/>
      <c r="T1494" s="147"/>
      <c r="U1494" s="147"/>
      <c r="X1494" s="147"/>
      <c r="Y1494" s="147"/>
      <c r="Z1494" s="147"/>
      <c r="AA1494" s="147"/>
      <c r="AB1494" s="147"/>
      <c r="AC1494" s="147"/>
      <c r="AD1494" s="147"/>
      <c r="AE1494" s="147"/>
      <c r="AF1494" s="147"/>
      <c r="AG1494" s="147"/>
      <c r="AH1494" s="147"/>
      <c r="AI1494" s="147"/>
      <c r="AJ1494" s="147"/>
      <c r="AK1494" s="147"/>
      <c r="AL1494" s="147"/>
      <c r="AM1494" s="147"/>
      <c r="AN1494" s="147"/>
      <c r="AO1494" s="147"/>
      <c r="AP1494" s="147"/>
      <c r="AQ1494" s="147"/>
    </row>
    <row r="1495" spans="1:43">
      <c r="A1495" s="3"/>
      <c r="B1495" s="3"/>
      <c r="C1495" s="3"/>
      <c r="D1495" s="3"/>
      <c r="E1495" s="3"/>
      <c r="F1495" s="3"/>
      <c r="G1495" s="3"/>
      <c r="H1495" s="3"/>
      <c r="I1495" s="3"/>
      <c r="J1495" s="3"/>
      <c r="K1495" s="3"/>
      <c r="L1495" s="3"/>
      <c r="M1495" s="3"/>
      <c r="N1495" s="157"/>
      <c r="O1495" s="157"/>
      <c r="P1495" s="157"/>
      <c r="R1495" s="147"/>
      <c r="S1495" s="147"/>
      <c r="T1495" s="147"/>
      <c r="U1495" s="147"/>
      <c r="X1495" s="147"/>
      <c r="Y1495" s="147"/>
      <c r="Z1495" s="147"/>
      <c r="AA1495" s="147"/>
      <c r="AB1495" s="147"/>
      <c r="AC1495" s="147"/>
      <c r="AD1495" s="147"/>
      <c r="AE1495" s="147"/>
      <c r="AF1495" s="147"/>
      <c r="AG1495" s="147"/>
      <c r="AH1495" s="147"/>
      <c r="AI1495" s="147"/>
      <c r="AJ1495" s="147"/>
      <c r="AK1495" s="147"/>
      <c r="AL1495" s="147"/>
      <c r="AM1495" s="147"/>
      <c r="AN1495" s="147"/>
      <c r="AO1495" s="147"/>
      <c r="AP1495" s="147"/>
      <c r="AQ1495" s="147"/>
    </row>
    <row r="1496" spans="1:43">
      <c r="A1496" s="3"/>
      <c r="B1496" s="3"/>
      <c r="C1496" s="3"/>
      <c r="D1496" s="3"/>
      <c r="E1496" s="3"/>
      <c r="F1496" s="3"/>
      <c r="G1496" s="3"/>
      <c r="H1496" s="3"/>
      <c r="I1496" s="3"/>
      <c r="J1496" s="3"/>
      <c r="K1496" s="3"/>
      <c r="L1496" s="3"/>
      <c r="M1496" s="3"/>
      <c r="N1496" s="157"/>
      <c r="O1496" s="157"/>
      <c r="P1496" s="157"/>
      <c r="R1496" s="147"/>
      <c r="S1496" s="147"/>
      <c r="T1496" s="147"/>
      <c r="U1496" s="147"/>
      <c r="X1496" s="147"/>
      <c r="Y1496" s="147"/>
      <c r="Z1496" s="147"/>
      <c r="AA1496" s="147"/>
      <c r="AB1496" s="147"/>
      <c r="AC1496" s="147"/>
      <c r="AD1496" s="147"/>
      <c r="AE1496" s="147"/>
      <c r="AF1496" s="147"/>
      <c r="AG1496" s="147"/>
      <c r="AH1496" s="147"/>
      <c r="AI1496" s="147"/>
      <c r="AJ1496" s="147"/>
      <c r="AK1496" s="147"/>
      <c r="AL1496" s="147"/>
      <c r="AM1496" s="147"/>
      <c r="AN1496" s="147"/>
      <c r="AO1496" s="147"/>
      <c r="AP1496" s="147"/>
      <c r="AQ1496" s="147"/>
    </row>
    <row r="1497" spans="1:43">
      <c r="A1497" s="3"/>
      <c r="B1497" s="3"/>
      <c r="C1497" s="3"/>
      <c r="D1497" s="3"/>
      <c r="E1497" s="3"/>
      <c r="F1497" s="3"/>
      <c r="G1497" s="3"/>
      <c r="H1497" s="3"/>
      <c r="I1497" s="3"/>
      <c r="J1497" s="3"/>
      <c r="K1497" s="3"/>
      <c r="L1497" s="3"/>
      <c r="M1497" s="3"/>
      <c r="N1497" s="157"/>
      <c r="O1497" s="157"/>
      <c r="P1497" s="157"/>
      <c r="R1497" s="147"/>
      <c r="S1497" s="147"/>
      <c r="T1497" s="147"/>
      <c r="U1497" s="147"/>
      <c r="X1497" s="147"/>
      <c r="Y1497" s="147"/>
      <c r="Z1497" s="147"/>
      <c r="AA1497" s="147"/>
      <c r="AB1497" s="147"/>
      <c r="AC1497" s="147"/>
      <c r="AD1497" s="147"/>
      <c r="AE1497" s="147"/>
      <c r="AF1497" s="147"/>
      <c r="AG1497" s="147"/>
      <c r="AH1497" s="147"/>
      <c r="AI1497" s="147"/>
      <c r="AJ1497" s="147"/>
      <c r="AK1497" s="147"/>
      <c r="AL1497" s="147"/>
      <c r="AM1497" s="147"/>
      <c r="AN1497" s="147"/>
      <c r="AO1497" s="147"/>
      <c r="AP1497" s="147"/>
      <c r="AQ1497" s="147"/>
    </row>
    <row r="1498" spans="1:43">
      <c r="A1498" s="3"/>
      <c r="B1498" s="3"/>
      <c r="C1498" s="3"/>
      <c r="D1498" s="3"/>
      <c r="E1498" s="3"/>
      <c r="F1498" s="3"/>
      <c r="G1498" s="3"/>
      <c r="H1498" s="3"/>
      <c r="I1498" s="3"/>
      <c r="J1498" s="3"/>
      <c r="K1498" s="3"/>
      <c r="L1498" s="3"/>
      <c r="M1498" s="3"/>
      <c r="N1498" s="157"/>
      <c r="O1498" s="157"/>
      <c r="P1498" s="157"/>
      <c r="R1498" s="147"/>
      <c r="S1498" s="147"/>
      <c r="T1498" s="147"/>
      <c r="U1498" s="147"/>
      <c r="X1498" s="147"/>
      <c r="Y1498" s="147"/>
      <c r="Z1498" s="147"/>
      <c r="AA1498" s="147"/>
      <c r="AB1498" s="147"/>
      <c r="AC1498" s="147"/>
      <c r="AD1498" s="147"/>
      <c r="AE1498" s="147"/>
      <c r="AF1498" s="147"/>
      <c r="AG1498" s="147"/>
      <c r="AH1498" s="147"/>
      <c r="AI1498" s="147"/>
      <c r="AJ1498" s="147"/>
      <c r="AK1498" s="147"/>
      <c r="AL1498" s="147"/>
      <c r="AM1498" s="147"/>
      <c r="AN1498" s="147"/>
      <c r="AO1498" s="147"/>
      <c r="AP1498" s="147"/>
      <c r="AQ1498" s="147"/>
    </row>
    <row r="1499" spans="1:43">
      <c r="A1499" s="3"/>
      <c r="B1499" s="3"/>
      <c r="C1499" s="3"/>
      <c r="D1499" s="3"/>
      <c r="E1499" s="3"/>
      <c r="F1499" s="3"/>
      <c r="G1499" s="3"/>
      <c r="H1499" s="3"/>
      <c r="I1499" s="3"/>
      <c r="J1499" s="3"/>
      <c r="K1499" s="3"/>
      <c r="L1499" s="3"/>
      <c r="M1499" s="3"/>
      <c r="N1499" s="157"/>
      <c r="O1499" s="157"/>
      <c r="P1499" s="157"/>
      <c r="R1499" s="147"/>
      <c r="S1499" s="147"/>
      <c r="T1499" s="147"/>
      <c r="U1499" s="147"/>
      <c r="X1499" s="147"/>
      <c r="Y1499" s="147"/>
      <c r="Z1499" s="147"/>
      <c r="AA1499" s="147"/>
      <c r="AB1499" s="147"/>
      <c r="AC1499" s="147"/>
      <c r="AD1499" s="147"/>
      <c r="AE1499" s="147"/>
      <c r="AF1499" s="147"/>
      <c r="AG1499" s="147"/>
      <c r="AH1499" s="147"/>
      <c r="AI1499" s="147"/>
      <c r="AJ1499" s="147"/>
      <c r="AK1499" s="147"/>
      <c r="AL1499" s="147"/>
      <c r="AM1499" s="147"/>
      <c r="AN1499" s="147"/>
      <c r="AO1499" s="147"/>
      <c r="AP1499" s="147"/>
      <c r="AQ1499" s="147"/>
    </row>
    <row r="1500" spans="1:43">
      <c r="A1500" s="3"/>
      <c r="B1500" s="3"/>
      <c r="C1500" s="3"/>
      <c r="D1500" s="3"/>
      <c r="E1500" s="3"/>
      <c r="F1500" s="3"/>
      <c r="G1500" s="3"/>
      <c r="H1500" s="3"/>
      <c r="I1500" s="3"/>
      <c r="J1500" s="3"/>
      <c r="K1500" s="3"/>
      <c r="L1500" s="3"/>
      <c r="M1500" s="3"/>
      <c r="N1500" s="157"/>
      <c r="O1500" s="157"/>
      <c r="P1500" s="157"/>
      <c r="R1500" s="147"/>
      <c r="S1500" s="147"/>
      <c r="T1500" s="147"/>
      <c r="U1500" s="147"/>
      <c r="X1500" s="147"/>
      <c r="Y1500" s="147"/>
      <c r="Z1500" s="147"/>
      <c r="AA1500" s="147"/>
      <c r="AB1500" s="147"/>
      <c r="AC1500" s="147"/>
      <c r="AD1500" s="147"/>
      <c r="AE1500" s="147"/>
      <c r="AF1500" s="147"/>
      <c r="AG1500" s="147"/>
      <c r="AH1500" s="147"/>
      <c r="AI1500" s="147"/>
      <c r="AJ1500" s="147"/>
      <c r="AK1500" s="147"/>
      <c r="AL1500" s="147"/>
      <c r="AM1500" s="147"/>
      <c r="AN1500" s="147"/>
      <c r="AO1500" s="147"/>
      <c r="AP1500" s="147"/>
      <c r="AQ1500" s="147"/>
    </row>
    <row r="1501" spans="1:43">
      <c r="A1501" s="3"/>
      <c r="B1501" s="3"/>
      <c r="C1501" s="3"/>
      <c r="D1501" s="3"/>
      <c r="E1501" s="3"/>
      <c r="F1501" s="3"/>
      <c r="G1501" s="3"/>
      <c r="H1501" s="3"/>
      <c r="I1501" s="3"/>
      <c r="J1501" s="3"/>
      <c r="K1501" s="3"/>
      <c r="L1501" s="3"/>
      <c r="M1501" s="3"/>
      <c r="N1501" s="157"/>
      <c r="O1501" s="157"/>
      <c r="P1501" s="157"/>
      <c r="R1501" s="147"/>
      <c r="S1501" s="147"/>
      <c r="T1501" s="147"/>
      <c r="U1501" s="147"/>
      <c r="X1501" s="147"/>
      <c r="Y1501" s="147"/>
      <c r="Z1501" s="147"/>
      <c r="AA1501" s="147"/>
      <c r="AB1501" s="147"/>
      <c r="AC1501" s="147"/>
      <c r="AD1501" s="147"/>
      <c r="AE1501" s="147"/>
      <c r="AF1501" s="147"/>
      <c r="AG1501" s="147"/>
      <c r="AH1501" s="147"/>
      <c r="AI1501" s="147"/>
      <c r="AJ1501" s="147"/>
      <c r="AK1501" s="147"/>
      <c r="AL1501" s="147"/>
      <c r="AM1501" s="147"/>
      <c r="AN1501" s="147"/>
      <c r="AO1501" s="147"/>
      <c r="AP1501" s="147"/>
      <c r="AQ1501" s="147"/>
    </row>
    <row r="1502" spans="1:43">
      <c r="A1502" s="3"/>
      <c r="B1502" s="3"/>
      <c r="C1502" s="3"/>
      <c r="D1502" s="3"/>
      <c r="E1502" s="3"/>
      <c r="F1502" s="3"/>
      <c r="G1502" s="3"/>
      <c r="H1502" s="3"/>
      <c r="I1502" s="3"/>
      <c r="J1502" s="3"/>
      <c r="K1502" s="3"/>
      <c r="L1502" s="3"/>
      <c r="M1502" s="3"/>
      <c r="N1502" s="157"/>
      <c r="O1502" s="157"/>
      <c r="P1502" s="157"/>
      <c r="R1502" s="147"/>
      <c r="S1502" s="147"/>
      <c r="T1502" s="147"/>
      <c r="U1502" s="147"/>
      <c r="X1502" s="147"/>
      <c r="Y1502" s="147"/>
      <c r="Z1502" s="147"/>
      <c r="AA1502" s="147"/>
      <c r="AB1502" s="147"/>
      <c r="AC1502" s="147"/>
      <c r="AD1502" s="147"/>
      <c r="AE1502" s="147"/>
      <c r="AF1502" s="147"/>
      <c r="AG1502" s="147"/>
      <c r="AH1502" s="147"/>
      <c r="AI1502" s="147"/>
      <c r="AJ1502" s="147"/>
      <c r="AK1502" s="147"/>
      <c r="AL1502" s="147"/>
      <c r="AM1502" s="147"/>
      <c r="AN1502" s="147"/>
      <c r="AO1502" s="147"/>
      <c r="AP1502" s="147"/>
      <c r="AQ1502" s="147"/>
    </row>
    <row r="1503" spans="1:43">
      <c r="A1503" s="3"/>
      <c r="B1503" s="3"/>
      <c r="C1503" s="3"/>
      <c r="D1503" s="3"/>
      <c r="E1503" s="3"/>
      <c r="F1503" s="3"/>
      <c r="G1503" s="3"/>
      <c r="H1503" s="3"/>
      <c r="I1503" s="3"/>
      <c r="J1503" s="3"/>
      <c r="K1503" s="3"/>
      <c r="L1503" s="3"/>
      <c r="M1503" s="3"/>
      <c r="N1503" s="157"/>
      <c r="O1503" s="157"/>
      <c r="P1503" s="157"/>
      <c r="R1503" s="147"/>
      <c r="S1503" s="147"/>
      <c r="T1503" s="147"/>
      <c r="U1503" s="147"/>
      <c r="X1503" s="147"/>
      <c r="Y1503" s="147"/>
      <c r="Z1503" s="147"/>
      <c r="AA1503" s="147"/>
      <c r="AB1503" s="147"/>
      <c r="AC1503" s="147"/>
      <c r="AD1503" s="147"/>
      <c r="AE1503" s="147"/>
      <c r="AF1503" s="147"/>
      <c r="AG1503" s="147"/>
      <c r="AH1503" s="147"/>
      <c r="AI1503" s="147"/>
      <c r="AJ1503" s="147"/>
      <c r="AK1503" s="147"/>
      <c r="AL1503" s="147"/>
      <c r="AM1503" s="147"/>
      <c r="AN1503" s="147"/>
      <c r="AO1503" s="147"/>
      <c r="AP1503" s="147"/>
      <c r="AQ1503" s="147"/>
    </row>
    <row r="1504" spans="1:43">
      <c r="A1504" s="3"/>
      <c r="B1504" s="3"/>
      <c r="C1504" s="3"/>
      <c r="D1504" s="3"/>
      <c r="E1504" s="3"/>
      <c r="F1504" s="3"/>
      <c r="G1504" s="3"/>
      <c r="H1504" s="3"/>
      <c r="I1504" s="3"/>
      <c r="J1504" s="3"/>
      <c r="K1504" s="3"/>
      <c r="L1504" s="3"/>
      <c r="M1504" s="3"/>
      <c r="N1504" s="157"/>
      <c r="O1504" s="157"/>
      <c r="P1504" s="157"/>
      <c r="R1504" s="147"/>
      <c r="S1504" s="147"/>
      <c r="T1504" s="147"/>
      <c r="U1504" s="147"/>
      <c r="X1504" s="147"/>
      <c r="Y1504" s="147"/>
      <c r="Z1504" s="147"/>
      <c r="AA1504" s="147"/>
      <c r="AB1504" s="147"/>
      <c r="AC1504" s="147"/>
      <c r="AD1504" s="147"/>
      <c r="AE1504" s="147"/>
      <c r="AF1504" s="147"/>
      <c r="AG1504" s="147"/>
      <c r="AH1504" s="147"/>
      <c r="AI1504" s="147"/>
      <c r="AJ1504" s="147"/>
      <c r="AK1504" s="147"/>
      <c r="AL1504" s="147"/>
      <c r="AM1504" s="147"/>
      <c r="AN1504" s="147"/>
      <c r="AO1504" s="147"/>
      <c r="AP1504" s="147"/>
      <c r="AQ1504" s="147"/>
    </row>
    <row r="1505" spans="1:43">
      <c r="A1505" s="3"/>
      <c r="B1505" s="3"/>
      <c r="C1505" s="3"/>
      <c r="D1505" s="3"/>
      <c r="E1505" s="3"/>
      <c r="F1505" s="3"/>
      <c r="G1505" s="3"/>
      <c r="H1505" s="3"/>
      <c r="I1505" s="3"/>
      <c r="J1505" s="3"/>
      <c r="K1505" s="3"/>
      <c r="L1505" s="3"/>
      <c r="M1505" s="3"/>
      <c r="N1505" s="157"/>
      <c r="O1505" s="157"/>
      <c r="P1505" s="157"/>
      <c r="R1505" s="147"/>
      <c r="S1505" s="147"/>
      <c r="T1505" s="147"/>
      <c r="U1505" s="147"/>
      <c r="X1505" s="147"/>
      <c r="Y1505" s="147"/>
      <c r="Z1505" s="147"/>
      <c r="AA1505" s="147"/>
      <c r="AB1505" s="147"/>
      <c r="AC1505" s="147"/>
      <c r="AD1505" s="147"/>
      <c r="AE1505" s="147"/>
      <c r="AF1505" s="147"/>
      <c r="AG1505" s="147"/>
      <c r="AH1505" s="147"/>
      <c r="AI1505" s="147"/>
      <c r="AJ1505" s="147"/>
      <c r="AK1505" s="147"/>
      <c r="AL1505" s="147"/>
      <c r="AM1505" s="147"/>
      <c r="AN1505" s="147"/>
      <c r="AO1505" s="147"/>
      <c r="AP1505" s="147"/>
      <c r="AQ1505" s="147"/>
    </row>
    <row r="1506" spans="1:43">
      <c r="A1506" s="3"/>
      <c r="B1506" s="3"/>
      <c r="C1506" s="3"/>
      <c r="D1506" s="3"/>
      <c r="E1506" s="3"/>
      <c r="F1506" s="3"/>
      <c r="G1506" s="3"/>
      <c r="H1506" s="3"/>
      <c r="I1506" s="3"/>
      <c r="J1506" s="3"/>
      <c r="K1506" s="3"/>
      <c r="L1506" s="3"/>
      <c r="M1506" s="3"/>
      <c r="N1506" s="157"/>
      <c r="O1506" s="157"/>
      <c r="P1506" s="157"/>
      <c r="R1506" s="147"/>
      <c r="S1506" s="147"/>
      <c r="T1506" s="147"/>
      <c r="U1506" s="147"/>
      <c r="X1506" s="147"/>
      <c r="Y1506" s="147"/>
      <c r="Z1506" s="147"/>
      <c r="AA1506" s="147"/>
      <c r="AB1506" s="147"/>
      <c r="AC1506" s="147"/>
      <c r="AD1506" s="147"/>
      <c r="AE1506" s="147"/>
      <c r="AF1506" s="147"/>
      <c r="AG1506" s="147"/>
      <c r="AH1506" s="147"/>
      <c r="AI1506" s="147"/>
      <c r="AJ1506" s="147"/>
      <c r="AK1506" s="147"/>
      <c r="AL1506" s="147"/>
      <c r="AM1506" s="147"/>
      <c r="AN1506" s="147"/>
      <c r="AO1506" s="147"/>
      <c r="AP1506" s="147"/>
      <c r="AQ1506" s="147"/>
    </row>
    <row r="1507" spans="1:43">
      <c r="A1507" s="3"/>
      <c r="B1507" s="3"/>
      <c r="C1507" s="3"/>
      <c r="D1507" s="3"/>
      <c r="E1507" s="3"/>
      <c r="F1507" s="3"/>
      <c r="G1507" s="3"/>
      <c r="H1507" s="3"/>
      <c r="I1507" s="3"/>
      <c r="J1507" s="3"/>
      <c r="K1507" s="3"/>
      <c r="L1507" s="3"/>
      <c r="M1507" s="3"/>
      <c r="N1507" s="157"/>
      <c r="O1507" s="157"/>
      <c r="P1507" s="157"/>
      <c r="R1507" s="147"/>
      <c r="S1507" s="147"/>
      <c r="T1507" s="147"/>
      <c r="U1507" s="147"/>
      <c r="X1507" s="147"/>
      <c r="Y1507" s="147"/>
      <c r="Z1507" s="147"/>
      <c r="AA1507" s="147"/>
      <c r="AB1507" s="147"/>
      <c r="AC1507" s="147"/>
      <c r="AD1507" s="147"/>
      <c r="AE1507" s="147"/>
      <c r="AF1507" s="147"/>
      <c r="AG1507" s="147"/>
      <c r="AH1507" s="147"/>
      <c r="AI1507" s="147"/>
      <c r="AJ1507" s="147"/>
      <c r="AK1507" s="147"/>
      <c r="AL1507" s="147"/>
      <c r="AM1507" s="147"/>
      <c r="AN1507" s="147"/>
      <c r="AO1507" s="147"/>
      <c r="AP1507" s="147"/>
      <c r="AQ1507" s="147"/>
    </row>
    <row r="1508" spans="1:43">
      <c r="A1508" s="3"/>
      <c r="B1508" s="3"/>
      <c r="C1508" s="3"/>
      <c r="D1508" s="3"/>
      <c r="E1508" s="3"/>
      <c r="F1508" s="3"/>
      <c r="G1508" s="3"/>
      <c r="H1508" s="3"/>
      <c r="I1508" s="3"/>
      <c r="J1508" s="3"/>
      <c r="K1508" s="3"/>
      <c r="L1508" s="3"/>
      <c r="M1508" s="3"/>
      <c r="N1508" s="157"/>
      <c r="O1508" s="157"/>
      <c r="P1508" s="157"/>
      <c r="R1508" s="147"/>
      <c r="S1508" s="147"/>
      <c r="T1508" s="147"/>
      <c r="U1508" s="147"/>
      <c r="X1508" s="147"/>
      <c r="Y1508" s="147"/>
      <c r="Z1508" s="147"/>
      <c r="AA1508" s="147"/>
      <c r="AB1508" s="147"/>
      <c r="AC1508" s="147"/>
      <c r="AD1508" s="147"/>
      <c r="AE1508" s="147"/>
      <c r="AF1508" s="147"/>
      <c r="AG1508" s="147"/>
      <c r="AH1508" s="147"/>
      <c r="AI1508" s="147"/>
      <c r="AJ1508" s="147"/>
      <c r="AK1508" s="147"/>
      <c r="AL1508" s="147"/>
      <c r="AM1508" s="147"/>
      <c r="AN1508" s="147"/>
      <c r="AO1508" s="147"/>
      <c r="AP1508" s="147"/>
      <c r="AQ1508" s="147"/>
    </row>
    <row r="1509" spans="1:43">
      <c r="A1509" s="3"/>
      <c r="B1509" s="3"/>
      <c r="C1509" s="3"/>
      <c r="D1509" s="3"/>
      <c r="E1509" s="3"/>
      <c r="F1509" s="3"/>
      <c r="G1509" s="3"/>
      <c r="H1509" s="3"/>
      <c r="I1509" s="3"/>
      <c r="J1509" s="3"/>
      <c r="K1509" s="3"/>
      <c r="L1509" s="3"/>
      <c r="M1509" s="3"/>
      <c r="N1509" s="157"/>
      <c r="O1509" s="157"/>
      <c r="P1509" s="157"/>
      <c r="R1509" s="147"/>
      <c r="S1509" s="147"/>
      <c r="T1509" s="147"/>
      <c r="U1509" s="147"/>
      <c r="X1509" s="147"/>
      <c r="Y1509" s="147"/>
      <c r="Z1509" s="147"/>
      <c r="AA1509" s="147"/>
      <c r="AB1509" s="147"/>
      <c r="AC1509" s="147"/>
      <c r="AD1509" s="147"/>
      <c r="AE1509" s="147"/>
      <c r="AF1509" s="147"/>
      <c r="AG1509" s="147"/>
      <c r="AH1509" s="147"/>
      <c r="AI1509" s="147"/>
      <c r="AJ1509" s="147"/>
      <c r="AK1509" s="147"/>
      <c r="AL1509" s="147"/>
      <c r="AM1509" s="147"/>
      <c r="AN1509" s="147"/>
      <c r="AO1509" s="147"/>
      <c r="AP1509" s="147"/>
      <c r="AQ1509" s="147"/>
    </row>
    <row r="1510" spans="1:43">
      <c r="A1510" s="3"/>
      <c r="B1510" s="3"/>
      <c r="C1510" s="3"/>
      <c r="D1510" s="3"/>
      <c r="E1510" s="3"/>
      <c r="F1510" s="3"/>
      <c r="G1510" s="3"/>
      <c r="H1510" s="3"/>
      <c r="I1510" s="3"/>
      <c r="J1510" s="3"/>
      <c r="K1510" s="3"/>
      <c r="L1510" s="3"/>
      <c r="M1510" s="3"/>
      <c r="N1510" s="157"/>
      <c r="O1510" s="157"/>
      <c r="P1510" s="157"/>
      <c r="R1510" s="147"/>
      <c r="S1510" s="147"/>
      <c r="T1510" s="147"/>
      <c r="U1510" s="147"/>
      <c r="X1510" s="147"/>
      <c r="Y1510" s="147"/>
      <c r="Z1510" s="147"/>
      <c r="AA1510" s="147"/>
      <c r="AB1510" s="147"/>
      <c r="AC1510" s="147"/>
      <c r="AD1510" s="147"/>
      <c r="AE1510" s="147"/>
      <c r="AF1510" s="147"/>
      <c r="AG1510" s="147"/>
      <c r="AH1510" s="147"/>
      <c r="AI1510" s="147"/>
      <c r="AJ1510" s="147"/>
      <c r="AK1510" s="147"/>
      <c r="AL1510" s="147"/>
      <c r="AM1510" s="147"/>
      <c r="AN1510" s="147"/>
      <c r="AO1510" s="147"/>
      <c r="AP1510" s="147"/>
      <c r="AQ1510" s="147"/>
    </row>
    <row r="1511" spans="1:43">
      <c r="A1511" s="3"/>
      <c r="B1511" s="3"/>
      <c r="C1511" s="3"/>
      <c r="D1511" s="3"/>
      <c r="E1511" s="3"/>
      <c r="F1511" s="3"/>
      <c r="G1511" s="3"/>
      <c r="H1511" s="3"/>
      <c r="I1511" s="3"/>
      <c r="J1511" s="3"/>
      <c r="K1511" s="3"/>
      <c r="L1511" s="3"/>
      <c r="M1511" s="3"/>
      <c r="N1511" s="157"/>
      <c r="O1511" s="157"/>
      <c r="P1511" s="157"/>
      <c r="R1511" s="147"/>
      <c r="S1511" s="147"/>
      <c r="T1511" s="147"/>
      <c r="U1511" s="147"/>
      <c r="X1511" s="147"/>
      <c r="Y1511" s="147"/>
      <c r="Z1511" s="147"/>
      <c r="AA1511" s="147"/>
      <c r="AB1511" s="147"/>
      <c r="AC1511" s="147"/>
      <c r="AD1511" s="147"/>
      <c r="AE1511" s="147"/>
      <c r="AF1511" s="147"/>
      <c r="AG1511" s="147"/>
      <c r="AH1511" s="147"/>
      <c r="AI1511" s="147"/>
      <c r="AJ1511" s="147"/>
      <c r="AK1511" s="147"/>
      <c r="AL1511" s="147"/>
      <c r="AM1511" s="147"/>
      <c r="AN1511" s="147"/>
      <c r="AO1511" s="147"/>
      <c r="AP1511" s="147"/>
      <c r="AQ1511" s="147"/>
    </row>
    <row r="1512" spans="1:43">
      <c r="A1512" s="3"/>
      <c r="B1512" s="3"/>
      <c r="C1512" s="3"/>
      <c r="D1512" s="3"/>
      <c r="E1512" s="3"/>
      <c r="F1512" s="3"/>
      <c r="G1512" s="3"/>
      <c r="H1512" s="3"/>
      <c r="I1512" s="3"/>
      <c r="J1512" s="3"/>
      <c r="K1512" s="3"/>
      <c r="L1512" s="3"/>
      <c r="M1512" s="3"/>
      <c r="N1512" s="157"/>
      <c r="O1512" s="157"/>
      <c r="P1512" s="157"/>
      <c r="R1512" s="147"/>
      <c r="S1512" s="147"/>
      <c r="T1512" s="147"/>
      <c r="U1512" s="147"/>
      <c r="X1512" s="147"/>
      <c r="Y1512" s="147"/>
      <c r="Z1512" s="147"/>
      <c r="AA1512" s="147"/>
      <c r="AB1512" s="147"/>
      <c r="AC1512" s="147"/>
      <c r="AD1512" s="147"/>
      <c r="AE1512" s="147"/>
      <c r="AF1512" s="147"/>
      <c r="AG1512" s="147"/>
      <c r="AH1512" s="147"/>
      <c r="AI1512" s="147"/>
      <c r="AJ1512" s="147"/>
      <c r="AK1512" s="147"/>
      <c r="AL1512" s="147"/>
      <c r="AM1512" s="147"/>
      <c r="AN1512" s="147"/>
      <c r="AO1512" s="147"/>
      <c r="AP1512" s="147"/>
      <c r="AQ1512" s="147"/>
    </row>
    <row r="1513" spans="1:43">
      <c r="A1513" s="3"/>
      <c r="B1513" s="3"/>
      <c r="C1513" s="3"/>
      <c r="D1513" s="3"/>
      <c r="E1513" s="3"/>
      <c r="F1513" s="3"/>
      <c r="G1513" s="3"/>
      <c r="H1513" s="3"/>
      <c r="I1513" s="3"/>
      <c r="J1513" s="3"/>
      <c r="K1513" s="3"/>
      <c r="L1513" s="3"/>
      <c r="M1513" s="3"/>
      <c r="N1513" s="157"/>
      <c r="O1513" s="157"/>
      <c r="P1513" s="157"/>
      <c r="R1513" s="147"/>
      <c r="S1513" s="147"/>
      <c r="T1513" s="147"/>
      <c r="U1513" s="147"/>
      <c r="X1513" s="147"/>
      <c r="Y1513" s="147"/>
      <c r="Z1513" s="147"/>
      <c r="AA1513" s="147"/>
      <c r="AB1513" s="147"/>
      <c r="AC1513" s="147"/>
      <c r="AD1513" s="147"/>
      <c r="AE1513" s="147"/>
      <c r="AF1513" s="147"/>
      <c r="AG1513" s="147"/>
      <c r="AH1513" s="147"/>
      <c r="AI1513" s="147"/>
      <c r="AJ1513" s="147"/>
      <c r="AK1513" s="147"/>
      <c r="AL1513" s="147"/>
      <c r="AM1513" s="147"/>
      <c r="AN1513" s="147"/>
      <c r="AO1513" s="147"/>
      <c r="AP1513" s="147"/>
      <c r="AQ1513" s="147"/>
    </row>
    <row r="1514" spans="1:43">
      <c r="A1514" s="3"/>
      <c r="B1514" s="3"/>
      <c r="C1514" s="3"/>
      <c r="D1514" s="3"/>
      <c r="E1514" s="3"/>
      <c r="F1514" s="3"/>
      <c r="G1514" s="3"/>
      <c r="H1514" s="3"/>
      <c r="I1514" s="3"/>
      <c r="J1514" s="3"/>
      <c r="K1514" s="3"/>
      <c r="L1514" s="3"/>
      <c r="M1514" s="3"/>
      <c r="N1514" s="157"/>
      <c r="O1514" s="157"/>
      <c r="P1514" s="157"/>
      <c r="R1514" s="147"/>
      <c r="S1514" s="147"/>
      <c r="T1514" s="147"/>
      <c r="U1514" s="147"/>
      <c r="X1514" s="147"/>
      <c r="Y1514" s="147"/>
      <c r="Z1514" s="147"/>
      <c r="AA1514" s="147"/>
      <c r="AB1514" s="147"/>
      <c r="AC1514" s="147"/>
      <c r="AD1514" s="147"/>
      <c r="AE1514" s="147"/>
      <c r="AF1514" s="147"/>
      <c r="AG1514" s="147"/>
      <c r="AH1514" s="147"/>
      <c r="AI1514" s="147"/>
      <c r="AJ1514" s="147"/>
      <c r="AK1514" s="147"/>
      <c r="AL1514" s="147"/>
      <c r="AM1514" s="147"/>
      <c r="AN1514" s="147"/>
      <c r="AO1514" s="147"/>
      <c r="AP1514" s="147"/>
      <c r="AQ1514" s="147"/>
    </row>
    <row r="1515" spans="1:43">
      <c r="A1515" s="3"/>
      <c r="B1515" s="3"/>
      <c r="C1515" s="3"/>
      <c r="D1515" s="3"/>
      <c r="E1515" s="3"/>
      <c r="F1515" s="3"/>
      <c r="G1515" s="3"/>
      <c r="H1515" s="3"/>
      <c r="I1515" s="3"/>
      <c r="J1515" s="3"/>
      <c r="K1515" s="3"/>
      <c r="L1515" s="3"/>
      <c r="M1515" s="3"/>
      <c r="N1515" s="157"/>
      <c r="O1515" s="157"/>
      <c r="P1515" s="157"/>
      <c r="R1515" s="147"/>
      <c r="S1515" s="147"/>
      <c r="T1515" s="147"/>
      <c r="U1515" s="147"/>
      <c r="X1515" s="147"/>
      <c r="Y1515" s="147"/>
      <c r="Z1515" s="147"/>
      <c r="AA1515" s="147"/>
      <c r="AB1515" s="147"/>
      <c r="AC1515" s="147"/>
      <c r="AD1515" s="147"/>
      <c r="AE1515" s="147"/>
      <c r="AF1515" s="147"/>
      <c r="AG1515" s="147"/>
      <c r="AH1515" s="147"/>
      <c r="AI1515" s="147"/>
      <c r="AJ1515" s="147"/>
      <c r="AK1515" s="147"/>
      <c r="AL1515" s="147"/>
      <c r="AM1515" s="147"/>
      <c r="AN1515" s="147"/>
      <c r="AO1515" s="147"/>
      <c r="AP1515" s="147"/>
      <c r="AQ1515" s="147"/>
    </row>
    <row r="1516" spans="1:43">
      <c r="A1516" s="3"/>
      <c r="B1516" s="3"/>
      <c r="C1516" s="3"/>
      <c r="D1516" s="3"/>
      <c r="E1516" s="3"/>
      <c r="F1516" s="3"/>
      <c r="G1516" s="3"/>
      <c r="H1516" s="3"/>
      <c r="I1516" s="3"/>
      <c r="J1516" s="3"/>
      <c r="K1516" s="3"/>
      <c r="L1516" s="3"/>
      <c r="M1516" s="3"/>
      <c r="N1516" s="157"/>
      <c r="O1516" s="157"/>
      <c r="P1516" s="157"/>
      <c r="R1516" s="147"/>
      <c r="S1516" s="147"/>
      <c r="T1516" s="147"/>
      <c r="U1516" s="147"/>
      <c r="X1516" s="147"/>
      <c r="Y1516" s="147"/>
      <c r="Z1516" s="147"/>
      <c r="AA1516" s="147"/>
      <c r="AB1516" s="147"/>
      <c r="AC1516" s="147"/>
      <c r="AD1516" s="147"/>
      <c r="AE1516" s="147"/>
      <c r="AF1516" s="147"/>
      <c r="AG1516" s="147"/>
      <c r="AH1516" s="147"/>
      <c r="AI1516" s="147"/>
      <c r="AJ1516" s="147"/>
      <c r="AK1516" s="147"/>
      <c r="AL1516" s="147"/>
      <c r="AM1516" s="147"/>
      <c r="AN1516" s="147"/>
      <c r="AO1516" s="147"/>
      <c r="AP1516" s="147"/>
      <c r="AQ1516" s="147"/>
    </row>
    <row r="1517" spans="1:43">
      <c r="A1517" s="3"/>
      <c r="B1517" s="3"/>
      <c r="C1517" s="3"/>
      <c r="D1517" s="3"/>
      <c r="E1517" s="3"/>
      <c r="F1517" s="3"/>
      <c r="G1517" s="3"/>
      <c r="H1517" s="3"/>
      <c r="I1517" s="3"/>
      <c r="J1517" s="3"/>
      <c r="K1517" s="3"/>
      <c r="L1517" s="3"/>
      <c r="M1517" s="3"/>
      <c r="N1517" s="157"/>
      <c r="O1517" s="157"/>
      <c r="P1517" s="157"/>
      <c r="R1517" s="147"/>
      <c r="S1517" s="147"/>
      <c r="T1517" s="147"/>
      <c r="U1517" s="147"/>
      <c r="X1517" s="147"/>
      <c r="Y1517" s="147"/>
      <c r="Z1517" s="147"/>
      <c r="AA1517" s="147"/>
      <c r="AB1517" s="147"/>
      <c r="AC1517" s="147"/>
      <c r="AD1517" s="147"/>
      <c r="AE1517" s="147"/>
      <c r="AF1517" s="147"/>
      <c r="AG1517" s="147"/>
      <c r="AH1517" s="147"/>
      <c r="AI1517" s="147"/>
      <c r="AJ1517" s="147"/>
      <c r="AK1517" s="147"/>
      <c r="AL1517" s="147"/>
      <c r="AM1517" s="147"/>
      <c r="AN1517" s="147"/>
      <c r="AO1517" s="147"/>
      <c r="AP1517" s="147"/>
      <c r="AQ1517" s="147"/>
    </row>
    <row r="1518" spans="1:43">
      <c r="A1518" s="3"/>
      <c r="B1518" s="3"/>
      <c r="C1518" s="3"/>
      <c r="D1518" s="3"/>
      <c r="E1518" s="3"/>
      <c r="F1518" s="3"/>
      <c r="G1518" s="3"/>
      <c r="H1518" s="3"/>
      <c r="I1518" s="3"/>
      <c r="J1518" s="3"/>
      <c r="K1518" s="3"/>
      <c r="L1518" s="3"/>
      <c r="M1518" s="3"/>
      <c r="N1518" s="157"/>
      <c r="O1518" s="157"/>
      <c r="P1518" s="157"/>
      <c r="R1518" s="147"/>
      <c r="S1518" s="147"/>
      <c r="T1518" s="147"/>
      <c r="U1518" s="147"/>
      <c r="X1518" s="147"/>
      <c r="Y1518" s="147"/>
      <c r="Z1518" s="147"/>
      <c r="AA1518" s="147"/>
      <c r="AB1518" s="147"/>
      <c r="AC1518" s="147"/>
      <c r="AD1518" s="147"/>
      <c r="AE1518" s="147"/>
      <c r="AF1518" s="147"/>
      <c r="AG1518" s="147"/>
      <c r="AH1518" s="147"/>
      <c r="AI1518" s="147"/>
      <c r="AJ1518" s="147"/>
      <c r="AK1518" s="147"/>
      <c r="AL1518" s="147"/>
      <c r="AM1518" s="147"/>
      <c r="AN1518" s="147"/>
      <c r="AO1518" s="147"/>
      <c r="AP1518" s="147"/>
      <c r="AQ1518" s="147"/>
    </row>
    <row r="1519" spans="1:43">
      <c r="A1519" s="3"/>
      <c r="B1519" s="3"/>
      <c r="C1519" s="3"/>
      <c r="D1519" s="3"/>
      <c r="E1519" s="3"/>
      <c r="F1519" s="3"/>
      <c r="G1519" s="3"/>
      <c r="H1519" s="3"/>
      <c r="I1519" s="3"/>
      <c r="J1519" s="3"/>
      <c r="K1519" s="3"/>
      <c r="L1519" s="3"/>
      <c r="M1519" s="3"/>
      <c r="N1519" s="157"/>
      <c r="O1519" s="157"/>
      <c r="P1519" s="157"/>
      <c r="R1519" s="147"/>
      <c r="S1519" s="147"/>
      <c r="T1519" s="147"/>
      <c r="U1519" s="147"/>
      <c r="X1519" s="147"/>
      <c r="Y1519" s="147"/>
      <c r="Z1519" s="147"/>
      <c r="AA1519" s="147"/>
      <c r="AB1519" s="147"/>
      <c r="AC1519" s="147"/>
      <c r="AD1519" s="147"/>
      <c r="AE1519" s="147"/>
      <c r="AF1519" s="147"/>
      <c r="AG1519" s="147"/>
      <c r="AH1519" s="147"/>
      <c r="AI1519" s="147"/>
      <c r="AJ1519" s="147"/>
      <c r="AK1519" s="147"/>
      <c r="AL1519" s="147"/>
      <c r="AM1519" s="147"/>
      <c r="AN1519" s="147"/>
      <c r="AO1519" s="147"/>
      <c r="AP1519" s="147"/>
      <c r="AQ1519" s="147"/>
    </row>
    <row r="1520" spans="1:43">
      <c r="A1520" s="3"/>
      <c r="B1520" s="3"/>
      <c r="C1520" s="3"/>
      <c r="D1520" s="3"/>
      <c r="E1520" s="3"/>
      <c r="F1520" s="3"/>
      <c r="G1520" s="3"/>
      <c r="H1520" s="3"/>
      <c r="I1520" s="3"/>
      <c r="J1520" s="3"/>
      <c r="K1520" s="3"/>
      <c r="L1520" s="3"/>
      <c r="M1520" s="3"/>
      <c r="N1520" s="157"/>
      <c r="O1520" s="157"/>
      <c r="P1520" s="157"/>
      <c r="R1520" s="147"/>
      <c r="S1520" s="147"/>
      <c r="T1520" s="147"/>
      <c r="U1520" s="147"/>
      <c r="X1520" s="147"/>
      <c r="Y1520" s="147"/>
      <c r="Z1520" s="147"/>
      <c r="AA1520" s="147"/>
      <c r="AB1520" s="147"/>
      <c r="AC1520" s="147"/>
      <c r="AD1520" s="147"/>
      <c r="AE1520" s="147"/>
      <c r="AF1520" s="147"/>
      <c r="AG1520" s="147"/>
      <c r="AH1520" s="147"/>
      <c r="AI1520" s="147"/>
      <c r="AJ1520" s="147"/>
      <c r="AK1520" s="147"/>
      <c r="AL1520" s="147"/>
      <c r="AM1520" s="147"/>
      <c r="AN1520" s="147"/>
      <c r="AO1520" s="147"/>
      <c r="AP1520" s="147"/>
      <c r="AQ1520" s="147"/>
    </row>
    <row r="1521" spans="1:43">
      <c r="A1521" s="3"/>
      <c r="B1521" s="3"/>
      <c r="C1521" s="3"/>
      <c r="D1521" s="3"/>
      <c r="E1521" s="3"/>
      <c r="F1521" s="3"/>
      <c r="G1521" s="3"/>
      <c r="H1521" s="3"/>
      <c r="I1521" s="3"/>
      <c r="J1521" s="3"/>
      <c r="K1521" s="3"/>
      <c r="L1521" s="3"/>
      <c r="M1521" s="3"/>
      <c r="N1521" s="157"/>
      <c r="O1521" s="157"/>
      <c r="P1521" s="157"/>
      <c r="R1521" s="147"/>
      <c r="S1521" s="147"/>
      <c r="T1521" s="147"/>
      <c r="U1521" s="147"/>
      <c r="X1521" s="147"/>
      <c r="Y1521" s="147"/>
      <c r="Z1521" s="147"/>
      <c r="AA1521" s="147"/>
      <c r="AB1521" s="147"/>
      <c r="AC1521" s="147"/>
      <c r="AD1521" s="147"/>
      <c r="AE1521" s="147"/>
      <c r="AF1521" s="147"/>
      <c r="AG1521" s="147"/>
      <c r="AH1521" s="147"/>
      <c r="AI1521" s="147"/>
      <c r="AJ1521" s="147"/>
      <c r="AK1521" s="147"/>
      <c r="AL1521" s="147"/>
      <c r="AM1521" s="147"/>
      <c r="AN1521" s="147"/>
      <c r="AO1521" s="147"/>
      <c r="AP1521" s="147"/>
      <c r="AQ1521" s="147"/>
    </row>
    <row r="1522" spans="1:43">
      <c r="A1522" s="3"/>
      <c r="B1522" s="3"/>
      <c r="C1522" s="3"/>
      <c r="D1522" s="3"/>
      <c r="E1522" s="3"/>
      <c r="F1522" s="3"/>
      <c r="G1522" s="3"/>
      <c r="H1522" s="3"/>
      <c r="I1522" s="3"/>
      <c r="J1522" s="3"/>
      <c r="K1522" s="3"/>
      <c r="L1522" s="3"/>
      <c r="M1522" s="3"/>
      <c r="N1522" s="157"/>
      <c r="O1522" s="157"/>
      <c r="P1522" s="157"/>
      <c r="R1522" s="147"/>
      <c r="S1522" s="147"/>
      <c r="T1522" s="147"/>
      <c r="U1522" s="147"/>
      <c r="X1522" s="147"/>
      <c r="Y1522" s="147"/>
      <c r="Z1522" s="147"/>
      <c r="AA1522" s="147"/>
      <c r="AB1522" s="147"/>
      <c r="AC1522" s="147"/>
      <c r="AD1522" s="147"/>
      <c r="AE1522" s="147"/>
      <c r="AF1522" s="147"/>
      <c r="AG1522" s="147"/>
      <c r="AH1522" s="147"/>
      <c r="AI1522" s="147"/>
      <c r="AJ1522" s="147"/>
      <c r="AK1522" s="147"/>
      <c r="AL1522" s="147"/>
      <c r="AM1522" s="147"/>
      <c r="AN1522" s="147"/>
      <c r="AO1522" s="147"/>
      <c r="AP1522" s="147"/>
      <c r="AQ1522" s="147"/>
    </row>
    <row r="1523" spans="1:43">
      <c r="A1523" s="3"/>
      <c r="B1523" s="3"/>
      <c r="C1523" s="3"/>
      <c r="D1523" s="3"/>
      <c r="E1523" s="3"/>
      <c r="F1523" s="3"/>
      <c r="G1523" s="3"/>
      <c r="H1523" s="3"/>
      <c r="I1523" s="3"/>
      <c r="J1523" s="3"/>
      <c r="K1523" s="3"/>
      <c r="L1523" s="3"/>
      <c r="M1523" s="3"/>
      <c r="N1523" s="157"/>
      <c r="O1523" s="157"/>
      <c r="P1523" s="157"/>
      <c r="R1523" s="147"/>
      <c r="S1523" s="147"/>
      <c r="T1523" s="147"/>
      <c r="U1523" s="147"/>
      <c r="X1523" s="147"/>
      <c r="Y1523" s="147"/>
      <c r="Z1523" s="147"/>
      <c r="AA1523" s="147"/>
      <c r="AB1523" s="147"/>
      <c r="AC1523" s="147"/>
      <c r="AD1523" s="147"/>
      <c r="AE1523" s="147"/>
      <c r="AF1523" s="147"/>
      <c r="AG1523" s="147"/>
      <c r="AH1523" s="147"/>
      <c r="AI1523" s="147"/>
      <c r="AJ1523" s="147"/>
      <c r="AK1523" s="147"/>
      <c r="AL1523" s="147"/>
      <c r="AM1523" s="147"/>
      <c r="AN1523" s="147"/>
      <c r="AO1523" s="147"/>
      <c r="AP1523" s="147"/>
      <c r="AQ1523" s="147"/>
    </row>
    <row r="1524" spans="1:43">
      <c r="A1524" s="3"/>
      <c r="B1524" s="3"/>
      <c r="C1524" s="3"/>
      <c r="D1524" s="3"/>
      <c r="E1524" s="3"/>
      <c r="F1524" s="3"/>
      <c r="G1524" s="3"/>
      <c r="H1524" s="3"/>
      <c r="I1524" s="3"/>
      <c r="J1524" s="3"/>
      <c r="K1524" s="3"/>
      <c r="L1524" s="3"/>
      <c r="M1524" s="3"/>
      <c r="N1524" s="157"/>
      <c r="O1524" s="157"/>
      <c r="P1524" s="157"/>
      <c r="R1524" s="147"/>
      <c r="S1524" s="147"/>
      <c r="T1524" s="147"/>
      <c r="U1524" s="147"/>
      <c r="X1524" s="147"/>
      <c r="Y1524" s="147"/>
      <c r="Z1524" s="147"/>
      <c r="AA1524" s="147"/>
      <c r="AB1524" s="147"/>
      <c r="AC1524" s="147"/>
      <c r="AD1524" s="147"/>
      <c r="AE1524" s="147"/>
      <c r="AF1524" s="147"/>
      <c r="AG1524" s="147"/>
      <c r="AH1524" s="147"/>
      <c r="AI1524" s="147"/>
      <c r="AJ1524" s="147"/>
      <c r="AK1524" s="147"/>
      <c r="AL1524" s="147"/>
      <c r="AM1524" s="147"/>
      <c r="AN1524" s="147"/>
      <c r="AO1524" s="147"/>
      <c r="AP1524" s="147"/>
      <c r="AQ1524" s="147"/>
    </row>
    <row r="1525" spans="1:43">
      <c r="A1525" s="3"/>
      <c r="B1525" s="3"/>
      <c r="C1525" s="3"/>
      <c r="D1525" s="3"/>
      <c r="E1525" s="3"/>
      <c r="F1525" s="3"/>
      <c r="G1525" s="3"/>
      <c r="H1525" s="3"/>
      <c r="I1525" s="3"/>
      <c r="J1525" s="3"/>
      <c r="K1525" s="3"/>
      <c r="L1525" s="3"/>
      <c r="M1525" s="3"/>
      <c r="N1525" s="157"/>
      <c r="O1525" s="157"/>
      <c r="P1525" s="157"/>
      <c r="R1525" s="147"/>
      <c r="S1525" s="147"/>
      <c r="T1525" s="147"/>
      <c r="U1525" s="147"/>
      <c r="X1525" s="147"/>
      <c r="Y1525" s="147"/>
      <c r="Z1525" s="147"/>
      <c r="AA1525" s="147"/>
      <c r="AB1525" s="147"/>
      <c r="AC1525" s="147"/>
      <c r="AD1525" s="147"/>
      <c r="AE1525" s="147"/>
      <c r="AF1525" s="147"/>
      <c r="AG1525" s="147"/>
      <c r="AH1525" s="147"/>
      <c r="AI1525" s="147"/>
      <c r="AJ1525" s="147"/>
      <c r="AK1525" s="147"/>
      <c r="AL1525" s="147"/>
      <c r="AM1525" s="147"/>
      <c r="AN1525" s="147"/>
      <c r="AO1525" s="147"/>
      <c r="AP1525" s="147"/>
      <c r="AQ1525" s="147"/>
    </row>
    <row r="1526" spans="1:43">
      <c r="A1526" s="3"/>
      <c r="B1526" s="3"/>
      <c r="C1526" s="3"/>
      <c r="D1526" s="3"/>
      <c r="E1526" s="3"/>
      <c r="F1526" s="3"/>
      <c r="G1526" s="3"/>
      <c r="H1526" s="3"/>
      <c r="I1526" s="3"/>
      <c r="J1526" s="3"/>
      <c r="K1526" s="3"/>
      <c r="L1526" s="3"/>
      <c r="M1526" s="3"/>
      <c r="N1526" s="157"/>
      <c r="O1526" s="157"/>
      <c r="P1526" s="157"/>
      <c r="R1526" s="147"/>
      <c r="S1526" s="147"/>
      <c r="T1526" s="147"/>
      <c r="U1526" s="147"/>
      <c r="X1526" s="147"/>
      <c r="Y1526" s="147"/>
      <c r="Z1526" s="147"/>
      <c r="AA1526" s="147"/>
      <c r="AB1526" s="147"/>
      <c r="AC1526" s="147"/>
      <c r="AD1526" s="147"/>
      <c r="AE1526" s="147"/>
      <c r="AF1526" s="147"/>
      <c r="AG1526" s="147"/>
      <c r="AH1526" s="147"/>
      <c r="AI1526" s="147"/>
      <c r="AJ1526" s="147"/>
      <c r="AK1526" s="147"/>
      <c r="AL1526" s="147"/>
      <c r="AM1526" s="147"/>
      <c r="AN1526" s="147"/>
      <c r="AO1526" s="147"/>
      <c r="AP1526" s="147"/>
      <c r="AQ1526" s="147"/>
    </row>
    <row r="1527" spans="1:43">
      <c r="A1527" s="3"/>
      <c r="B1527" s="3"/>
      <c r="C1527" s="3"/>
      <c r="D1527" s="3"/>
      <c r="E1527" s="3"/>
      <c r="F1527" s="3"/>
      <c r="G1527" s="3"/>
      <c r="H1527" s="3"/>
      <c r="I1527" s="3"/>
      <c r="J1527" s="3"/>
      <c r="K1527" s="3"/>
      <c r="L1527" s="3"/>
      <c r="M1527" s="3"/>
      <c r="N1527" s="157"/>
      <c r="O1527" s="157"/>
      <c r="P1527" s="157"/>
      <c r="R1527" s="147"/>
      <c r="S1527" s="147"/>
      <c r="T1527" s="147"/>
      <c r="U1527" s="147"/>
      <c r="X1527" s="147"/>
      <c r="Y1527" s="147"/>
      <c r="Z1527" s="147"/>
      <c r="AA1527" s="147"/>
      <c r="AB1527" s="147"/>
      <c r="AC1527" s="147"/>
      <c r="AD1527" s="147"/>
      <c r="AE1527" s="147"/>
      <c r="AF1527" s="147"/>
      <c r="AG1527" s="147"/>
      <c r="AH1527" s="147"/>
      <c r="AI1527" s="147"/>
      <c r="AJ1527" s="147"/>
      <c r="AK1527" s="147"/>
      <c r="AL1527" s="147"/>
      <c r="AM1527" s="147"/>
      <c r="AN1527" s="147"/>
      <c r="AO1527" s="147"/>
      <c r="AP1527" s="147"/>
      <c r="AQ1527" s="147"/>
    </row>
    <row r="1528" spans="1:43">
      <c r="A1528" s="3"/>
      <c r="B1528" s="3"/>
      <c r="C1528" s="3"/>
      <c r="D1528" s="3"/>
      <c r="E1528" s="3"/>
      <c r="F1528" s="3"/>
      <c r="G1528" s="3"/>
      <c r="H1528" s="3"/>
      <c r="I1528" s="3"/>
      <c r="J1528" s="3"/>
      <c r="K1528" s="3"/>
      <c r="L1528" s="3"/>
      <c r="M1528" s="3"/>
      <c r="N1528" s="157"/>
      <c r="O1528" s="157"/>
      <c r="P1528" s="157"/>
      <c r="R1528" s="147"/>
      <c r="S1528" s="147"/>
      <c r="T1528" s="147"/>
      <c r="U1528" s="147"/>
      <c r="X1528" s="147"/>
      <c r="Y1528" s="147"/>
      <c r="Z1528" s="147"/>
      <c r="AA1528" s="147"/>
      <c r="AB1528" s="147"/>
      <c r="AC1528" s="147"/>
      <c r="AD1528" s="147"/>
      <c r="AE1528" s="147"/>
      <c r="AF1528" s="147"/>
      <c r="AG1528" s="147"/>
      <c r="AH1528" s="147"/>
      <c r="AI1528" s="147"/>
      <c r="AJ1528" s="147"/>
      <c r="AK1528" s="147"/>
      <c r="AL1528" s="147"/>
      <c r="AM1528" s="147"/>
      <c r="AN1528" s="147"/>
      <c r="AO1528" s="147"/>
      <c r="AP1528" s="147"/>
      <c r="AQ1528" s="147"/>
    </row>
    <row r="1529" spans="1:43">
      <c r="A1529" s="3"/>
      <c r="B1529" s="3"/>
      <c r="C1529" s="3"/>
      <c r="D1529" s="3"/>
      <c r="E1529" s="3"/>
      <c r="F1529" s="3"/>
      <c r="G1529" s="3"/>
      <c r="H1529" s="3"/>
      <c r="I1529" s="3"/>
      <c r="J1529" s="3"/>
      <c r="K1529" s="3"/>
      <c r="L1529" s="3"/>
      <c r="M1529" s="3"/>
      <c r="N1529" s="157"/>
      <c r="O1529" s="157"/>
      <c r="P1529" s="157"/>
      <c r="R1529" s="147"/>
      <c r="S1529" s="147"/>
      <c r="T1529" s="147"/>
      <c r="U1529" s="147"/>
      <c r="X1529" s="147"/>
      <c r="Y1529" s="147"/>
      <c r="Z1529" s="147"/>
      <c r="AA1529" s="147"/>
      <c r="AB1529" s="147"/>
      <c r="AC1529" s="147"/>
      <c r="AD1529" s="147"/>
      <c r="AE1529" s="147"/>
      <c r="AF1529" s="147"/>
      <c r="AG1529" s="147"/>
      <c r="AH1529" s="147"/>
      <c r="AI1529" s="147"/>
      <c r="AJ1529" s="147"/>
      <c r="AK1529" s="147"/>
      <c r="AL1529" s="147"/>
      <c r="AM1529" s="147"/>
      <c r="AN1529" s="147"/>
      <c r="AO1529" s="147"/>
      <c r="AP1529" s="147"/>
      <c r="AQ1529" s="147"/>
    </row>
    <row r="1530" spans="1:43">
      <c r="A1530" s="3"/>
      <c r="B1530" s="3"/>
      <c r="C1530" s="3"/>
      <c r="D1530" s="3"/>
      <c r="E1530" s="3"/>
      <c r="F1530" s="3"/>
      <c r="G1530" s="3"/>
      <c r="H1530" s="3"/>
      <c r="I1530" s="3"/>
      <c r="J1530" s="3"/>
      <c r="K1530" s="3"/>
      <c r="L1530" s="3"/>
      <c r="M1530" s="3"/>
      <c r="N1530" s="157"/>
      <c r="O1530" s="157"/>
      <c r="P1530" s="157"/>
      <c r="R1530" s="147"/>
      <c r="S1530" s="147"/>
      <c r="T1530" s="147"/>
      <c r="U1530" s="147"/>
      <c r="X1530" s="147"/>
      <c r="Y1530" s="147"/>
      <c r="Z1530" s="147"/>
      <c r="AA1530" s="147"/>
      <c r="AB1530" s="147"/>
      <c r="AC1530" s="147"/>
      <c r="AD1530" s="147"/>
      <c r="AE1530" s="147"/>
      <c r="AF1530" s="147"/>
      <c r="AG1530" s="147"/>
      <c r="AH1530" s="147"/>
      <c r="AI1530" s="147"/>
      <c r="AJ1530" s="147"/>
      <c r="AK1530" s="147"/>
      <c r="AL1530" s="147"/>
      <c r="AM1530" s="147"/>
      <c r="AN1530" s="147"/>
      <c r="AO1530" s="147"/>
      <c r="AP1530" s="147"/>
      <c r="AQ1530" s="147"/>
    </row>
    <row r="1531" spans="1:43">
      <c r="A1531" s="3"/>
      <c r="B1531" s="3"/>
      <c r="C1531" s="3"/>
      <c r="D1531" s="3"/>
      <c r="E1531" s="3"/>
      <c r="F1531" s="3"/>
      <c r="G1531" s="3"/>
      <c r="H1531" s="3"/>
      <c r="I1531" s="3"/>
      <c r="J1531" s="3"/>
      <c r="K1531" s="3"/>
      <c r="L1531" s="3"/>
      <c r="M1531" s="3"/>
      <c r="N1531" s="157"/>
      <c r="O1531" s="157"/>
      <c r="P1531" s="157"/>
      <c r="R1531" s="147"/>
      <c r="S1531" s="147"/>
      <c r="T1531" s="147"/>
      <c r="U1531" s="147"/>
      <c r="X1531" s="147"/>
      <c r="Y1531" s="147"/>
      <c r="Z1531" s="147"/>
      <c r="AA1531" s="147"/>
      <c r="AB1531" s="147"/>
      <c r="AC1531" s="147"/>
      <c r="AD1531" s="147"/>
      <c r="AE1531" s="147"/>
      <c r="AF1531" s="147"/>
      <c r="AG1531" s="147"/>
      <c r="AH1531" s="147"/>
      <c r="AI1531" s="147"/>
      <c r="AJ1531" s="147"/>
      <c r="AK1531" s="147"/>
      <c r="AL1531" s="147"/>
      <c r="AM1531" s="147"/>
      <c r="AN1531" s="147"/>
      <c r="AO1531" s="147"/>
      <c r="AP1531" s="147"/>
      <c r="AQ1531" s="147"/>
    </row>
    <row r="1532" spans="1:43">
      <c r="A1532" s="3"/>
      <c r="B1532" s="3"/>
      <c r="C1532" s="3"/>
      <c r="D1532" s="3"/>
      <c r="E1532" s="3"/>
      <c r="F1532" s="3"/>
      <c r="G1532" s="3"/>
      <c r="H1532" s="3"/>
      <c r="I1532" s="3"/>
      <c r="J1532" s="3"/>
      <c r="K1532" s="3"/>
      <c r="L1532" s="3"/>
      <c r="M1532" s="3"/>
      <c r="N1532" s="157"/>
      <c r="O1532" s="157"/>
      <c r="P1532" s="157"/>
      <c r="R1532" s="147"/>
      <c r="S1532" s="147"/>
      <c r="T1532" s="147"/>
      <c r="U1532" s="147"/>
      <c r="X1532" s="147"/>
      <c r="Y1532" s="147"/>
      <c r="Z1532" s="147"/>
      <c r="AA1532" s="147"/>
      <c r="AB1532" s="147"/>
      <c r="AC1532" s="147"/>
      <c r="AD1532" s="147"/>
      <c r="AE1532" s="147"/>
      <c r="AF1532" s="147"/>
      <c r="AG1532" s="147"/>
      <c r="AH1532" s="147"/>
      <c r="AI1532" s="147"/>
      <c r="AJ1532" s="147"/>
      <c r="AK1532" s="147"/>
      <c r="AL1532" s="147"/>
      <c r="AM1532" s="147"/>
      <c r="AN1532" s="147"/>
      <c r="AO1532" s="147"/>
      <c r="AP1532" s="147"/>
      <c r="AQ1532" s="147"/>
    </row>
    <row r="1533" spans="1:43">
      <c r="A1533" s="3"/>
      <c r="B1533" s="3"/>
      <c r="C1533" s="3"/>
      <c r="D1533" s="3"/>
      <c r="E1533" s="3"/>
      <c r="F1533" s="3"/>
      <c r="G1533" s="3"/>
      <c r="H1533" s="3"/>
      <c r="I1533" s="3"/>
      <c r="J1533" s="3"/>
      <c r="K1533" s="3"/>
      <c r="L1533" s="3"/>
      <c r="M1533" s="3"/>
      <c r="N1533" s="157"/>
      <c r="O1533" s="157"/>
      <c r="P1533" s="157"/>
      <c r="R1533" s="147"/>
      <c r="S1533" s="147"/>
      <c r="T1533" s="147"/>
      <c r="U1533" s="147"/>
      <c r="X1533" s="147"/>
      <c r="Y1533" s="147"/>
      <c r="Z1533" s="147"/>
      <c r="AA1533" s="147"/>
      <c r="AB1533" s="147"/>
      <c r="AC1533" s="147"/>
      <c r="AD1533" s="147"/>
      <c r="AE1533" s="147"/>
      <c r="AF1533" s="147"/>
      <c r="AG1533" s="147"/>
      <c r="AH1533" s="147"/>
      <c r="AI1533" s="147"/>
      <c r="AJ1533" s="147"/>
      <c r="AK1533" s="147"/>
      <c r="AL1533" s="147"/>
      <c r="AM1533" s="147"/>
      <c r="AN1533" s="147"/>
      <c r="AO1533" s="147"/>
      <c r="AP1533" s="147"/>
      <c r="AQ1533" s="147"/>
    </row>
    <row r="1534" spans="1:43">
      <c r="A1534" s="3"/>
      <c r="B1534" s="3"/>
      <c r="C1534" s="3"/>
      <c r="D1534" s="3"/>
      <c r="E1534" s="3"/>
      <c r="F1534" s="3"/>
      <c r="G1534" s="3"/>
      <c r="H1534" s="3"/>
      <c r="I1534" s="3"/>
      <c r="J1534" s="3"/>
      <c r="K1534" s="3"/>
      <c r="L1534" s="3"/>
      <c r="M1534" s="3"/>
      <c r="N1534" s="157"/>
      <c r="O1534" s="157"/>
      <c r="P1534" s="157"/>
      <c r="R1534" s="147"/>
      <c r="S1534" s="147"/>
      <c r="T1534" s="147"/>
      <c r="U1534" s="147"/>
      <c r="X1534" s="147"/>
      <c r="Y1534" s="147"/>
      <c r="Z1534" s="147"/>
      <c r="AA1534" s="147"/>
      <c r="AB1534" s="147"/>
      <c r="AC1534" s="147"/>
      <c r="AD1534" s="147"/>
      <c r="AE1534" s="147"/>
      <c r="AF1534" s="147"/>
      <c r="AG1534" s="147"/>
      <c r="AH1534" s="147"/>
      <c r="AI1534" s="147"/>
      <c r="AJ1534" s="147"/>
      <c r="AK1534" s="147"/>
      <c r="AL1534" s="147"/>
      <c r="AM1534" s="147"/>
      <c r="AN1534" s="147"/>
      <c r="AO1534" s="147"/>
      <c r="AP1534" s="147"/>
      <c r="AQ1534" s="147"/>
    </row>
    <row r="1535" spans="1:43">
      <c r="A1535" s="3"/>
      <c r="B1535" s="3"/>
      <c r="C1535" s="3"/>
      <c r="D1535" s="3"/>
      <c r="E1535" s="3"/>
      <c r="F1535" s="3"/>
      <c r="G1535" s="3"/>
      <c r="H1535" s="3"/>
      <c r="I1535" s="3"/>
      <c r="J1535" s="3"/>
      <c r="K1535" s="3"/>
      <c r="L1535" s="3"/>
      <c r="M1535" s="3"/>
      <c r="N1535" s="157"/>
      <c r="O1535" s="157"/>
      <c r="P1535" s="157"/>
      <c r="R1535" s="147"/>
      <c r="S1535" s="147"/>
      <c r="T1535" s="147"/>
      <c r="U1535" s="147"/>
      <c r="X1535" s="147"/>
      <c r="Y1535" s="147"/>
      <c r="Z1535" s="147"/>
      <c r="AA1535" s="147"/>
      <c r="AB1535" s="147"/>
      <c r="AC1535" s="147"/>
      <c r="AD1535" s="147"/>
      <c r="AE1535" s="147"/>
      <c r="AF1535" s="147"/>
      <c r="AG1535" s="147"/>
      <c r="AH1535" s="147"/>
      <c r="AI1535" s="147"/>
      <c r="AJ1535" s="147"/>
      <c r="AK1535" s="147"/>
      <c r="AL1535" s="147"/>
      <c r="AM1535" s="147"/>
      <c r="AN1535" s="147"/>
      <c r="AO1535" s="147"/>
      <c r="AP1535" s="147"/>
      <c r="AQ1535" s="147"/>
    </row>
    <row r="1536" spans="1:43">
      <c r="A1536" s="3"/>
      <c r="B1536" s="3"/>
      <c r="C1536" s="3"/>
      <c r="D1536" s="3"/>
      <c r="E1536" s="3"/>
      <c r="F1536" s="3"/>
      <c r="G1536" s="3"/>
      <c r="H1536" s="3"/>
      <c r="I1536" s="3"/>
      <c r="J1536" s="3"/>
      <c r="K1536" s="3"/>
      <c r="L1536" s="3"/>
      <c r="M1536" s="3"/>
      <c r="N1536" s="157"/>
      <c r="O1536" s="157"/>
      <c r="P1536" s="157"/>
      <c r="R1536" s="147"/>
      <c r="S1536" s="147"/>
      <c r="T1536" s="147"/>
      <c r="U1536" s="147"/>
      <c r="X1536" s="147"/>
      <c r="Y1536" s="147"/>
      <c r="Z1536" s="147"/>
      <c r="AA1536" s="147"/>
      <c r="AB1536" s="147"/>
      <c r="AC1536" s="147"/>
      <c r="AD1536" s="147"/>
      <c r="AE1536" s="147"/>
      <c r="AF1536" s="147"/>
      <c r="AG1536" s="147"/>
      <c r="AH1536" s="147"/>
      <c r="AI1536" s="147"/>
      <c r="AJ1536" s="147"/>
      <c r="AK1536" s="147"/>
      <c r="AL1536" s="147"/>
      <c r="AM1536" s="147"/>
      <c r="AN1536" s="147"/>
      <c r="AO1536" s="147"/>
      <c r="AP1536" s="147"/>
      <c r="AQ1536" s="147"/>
    </row>
    <row r="1537" spans="1:43">
      <c r="A1537" s="3"/>
      <c r="B1537" s="3"/>
      <c r="C1537" s="3"/>
      <c r="D1537" s="3"/>
      <c r="E1537" s="3"/>
      <c r="F1537" s="3"/>
      <c r="G1537" s="3"/>
      <c r="H1537" s="3"/>
      <c r="I1537" s="3"/>
      <c r="J1537" s="3"/>
      <c r="K1537" s="3"/>
      <c r="L1537" s="3"/>
      <c r="M1537" s="3"/>
      <c r="N1537" s="157"/>
      <c r="O1537" s="157"/>
      <c r="P1537" s="157"/>
      <c r="R1537" s="147"/>
      <c r="S1537" s="147"/>
      <c r="T1537" s="147"/>
      <c r="U1537" s="147"/>
      <c r="X1537" s="147"/>
      <c r="Y1537" s="147"/>
      <c r="Z1537" s="147"/>
      <c r="AA1537" s="147"/>
      <c r="AB1537" s="147"/>
      <c r="AC1537" s="147"/>
      <c r="AD1537" s="147"/>
      <c r="AE1537" s="147"/>
      <c r="AF1537" s="147"/>
      <c r="AG1537" s="147"/>
      <c r="AH1537" s="147"/>
      <c r="AI1537" s="147"/>
      <c r="AJ1537" s="147"/>
      <c r="AK1537" s="147"/>
      <c r="AL1537" s="147"/>
      <c r="AM1537" s="147"/>
      <c r="AN1537" s="147"/>
      <c r="AO1537" s="147"/>
      <c r="AP1537" s="147"/>
      <c r="AQ1537" s="147"/>
    </row>
    <row r="1538" spans="1:43">
      <c r="A1538" s="3"/>
      <c r="B1538" s="3"/>
      <c r="C1538" s="3"/>
      <c r="D1538" s="3"/>
      <c r="E1538" s="3"/>
      <c r="F1538" s="3"/>
      <c r="G1538" s="3"/>
      <c r="H1538" s="3"/>
      <c r="I1538" s="3"/>
      <c r="J1538" s="3"/>
      <c r="K1538" s="3"/>
      <c r="L1538" s="3"/>
      <c r="M1538" s="3"/>
      <c r="N1538" s="157"/>
      <c r="O1538" s="157"/>
      <c r="P1538" s="157"/>
      <c r="R1538" s="147"/>
      <c r="S1538" s="147"/>
      <c r="T1538" s="147"/>
      <c r="U1538" s="147"/>
      <c r="X1538" s="147"/>
      <c r="Y1538" s="147"/>
      <c r="Z1538" s="147"/>
      <c r="AA1538" s="147"/>
      <c r="AB1538" s="147"/>
      <c r="AC1538" s="147"/>
      <c r="AD1538" s="147"/>
      <c r="AE1538" s="147"/>
      <c r="AF1538" s="147"/>
      <c r="AG1538" s="147"/>
      <c r="AH1538" s="147"/>
      <c r="AI1538" s="147"/>
      <c r="AJ1538" s="147"/>
      <c r="AK1538" s="147"/>
      <c r="AL1538" s="147"/>
      <c r="AM1538" s="147"/>
      <c r="AN1538" s="147"/>
      <c r="AO1538" s="147"/>
      <c r="AP1538" s="147"/>
      <c r="AQ1538" s="147"/>
    </row>
    <row r="1539" spans="1:43">
      <c r="A1539" s="3"/>
      <c r="B1539" s="3"/>
      <c r="C1539" s="3"/>
      <c r="D1539" s="3"/>
      <c r="E1539" s="3"/>
      <c r="F1539" s="3"/>
      <c r="G1539" s="3"/>
      <c r="H1539" s="3"/>
      <c r="I1539" s="3"/>
      <c r="J1539" s="3"/>
      <c r="K1539" s="3"/>
      <c r="L1539" s="3"/>
      <c r="M1539" s="3"/>
      <c r="N1539" s="157"/>
      <c r="O1539" s="157"/>
      <c r="P1539" s="157"/>
      <c r="R1539" s="147"/>
      <c r="S1539" s="147"/>
      <c r="T1539" s="147"/>
      <c r="U1539" s="147"/>
      <c r="X1539" s="147"/>
      <c r="Y1539" s="147"/>
      <c r="Z1539" s="147"/>
      <c r="AA1539" s="147"/>
      <c r="AB1539" s="147"/>
      <c r="AC1539" s="147"/>
      <c r="AD1539" s="147"/>
      <c r="AE1539" s="147"/>
      <c r="AF1539" s="147"/>
      <c r="AG1539" s="147"/>
      <c r="AH1539" s="147"/>
      <c r="AI1539" s="147"/>
      <c r="AJ1539" s="147"/>
      <c r="AK1539" s="147"/>
      <c r="AL1539" s="147"/>
      <c r="AM1539" s="147"/>
      <c r="AN1539" s="147"/>
      <c r="AO1539" s="147"/>
      <c r="AP1539" s="147"/>
      <c r="AQ1539" s="147"/>
    </row>
    <row r="1540" spans="1:43">
      <c r="A1540" s="3"/>
      <c r="B1540" s="3"/>
      <c r="C1540" s="3"/>
      <c r="D1540" s="3"/>
      <c r="E1540" s="3"/>
      <c r="F1540" s="3"/>
      <c r="G1540" s="3"/>
      <c r="H1540" s="3"/>
      <c r="I1540" s="3"/>
      <c r="J1540" s="3"/>
      <c r="K1540" s="3"/>
      <c r="L1540" s="3"/>
      <c r="M1540" s="3"/>
      <c r="N1540" s="157"/>
      <c r="O1540" s="157"/>
      <c r="P1540" s="157"/>
      <c r="R1540" s="147"/>
      <c r="S1540" s="147"/>
      <c r="T1540" s="147"/>
      <c r="U1540" s="147"/>
      <c r="X1540" s="147"/>
      <c r="Y1540" s="147"/>
      <c r="Z1540" s="147"/>
      <c r="AA1540" s="147"/>
      <c r="AB1540" s="147"/>
      <c r="AC1540" s="147"/>
      <c r="AD1540" s="147"/>
      <c r="AE1540" s="147"/>
      <c r="AF1540" s="147"/>
      <c r="AG1540" s="147"/>
      <c r="AH1540" s="147"/>
      <c r="AI1540" s="147"/>
      <c r="AJ1540" s="147"/>
      <c r="AK1540" s="147"/>
      <c r="AL1540" s="147"/>
      <c r="AM1540" s="147"/>
      <c r="AN1540" s="147"/>
      <c r="AO1540" s="147"/>
      <c r="AP1540" s="147"/>
      <c r="AQ1540" s="147"/>
    </row>
    <row r="1541" spans="1:43">
      <c r="A1541" s="3"/>
      <c r="B1541" s="3"/>
      <c r="C1541" s="3"/>
      <c r="D1541" s="3"/>
      <c r="E1541" s="3"/>
      <c r="F1541" s="3"/>
      <c r="G1541" s="3"/>
      <c r="H1541" s="3"/>
      <c r="I1541" s="3"/>
      <c r="J1541" s="3"/>
      <c r="K1541" s="3"/>
      <c r="L1541" s="3"/>
      <c r="M1541" s="3"/>
      <c r="N1541" s="157"/>
      <c r="O1541" s="157"/>
      <c r="P1541" s="157"/>
      <c r="R1541" s="147"/>
      <c r="S1541" s="147"/>
      <c r="T1541" s="147"/>
      <c r="U1541" s="147"/>
      <c r="X1541" s="147"/>
      <c r="Y1541" s="147"/>
      <c r="Z1541" s="147"/>
      <c r="AA1541" s="147"/>
      <c r="AB1541" s="147"/>
      <c r="AC1541" s="147"/>
      <c r="AD1541" s="147"/>
      <c r="AE1541" s="147"/>
      <c r="AF1541" s="147"/>
      <c r="AG1541" s="147"/>
      <c r="AH1541" s="147"/>
      <c r="AI1541" s="147"/>
      <c r="AJ1541" s="147"/>
      <c r="AK1541" s="147"/>
      <c r="AL1541" s="147"/>
      <c r="AM1541" s="147"/>
      <c r="AN1541" s="147"/>
      <c r="AO1541" s="147"/>
      <c r="AP1541" s="147"/>
      <c r="AQ1541" s="147"/>
    </row>
    <row r="1542" spans="1:43">
      <c r="A1542" s="3"/>
      <c r="B1542" s="3"/>
      <c r="C1542" s="3"/>
      <c r="D1542" s="3"/>
      <c r="E1542" s="3"/>
      <c r="F1542" s="3"/>
      <c r="G1542" s="3"/>
      <c r="H1542" s="3"/>
      <c r="I1542" s="3"/>
      <c r="J1542" s="3"/>
      <c r="K1542" s="3"/>
      <c r="L1542" s="3"/>
      <c r="M1542" s="3"/>
      <c r="N1542" s="157"/>
      <c r="O1542" s="157"/>
      <c r="P1542" s="157"/>
      <c r="R1542" s="147"/>
      <c r="S1542" s="147"/>
      <c r="T1542" s="147"/>
      <c r="U1542" s="147"/>
      <c r="X1542" s="147"/>
      <c r="Y1542" s="147"/>
      <c r="Z1542" s="147"/>
      <c r="AA1542" s="147"/>
      <c r="AB1542" s="147"/>
      <c r="AC1542" s="147"/>
      <c r="AD1542" s="147"/>
      <c r="AE1542" s="147"/>
      <c r="AF1542" s="147"/>
      <c r="AG1542" s="147"/>
      <c r="AH1542" s="147"/>
      <c r="AI1542" s="147"/>
      <c r="AJ1542" s="147"/>
      <c r="AK1542" s="147"/>
      <c r="AL1542" s="147"/>
      <c r="AM1542" s="147"/>
      <c r="AN1542" s="147"/>
      <c r="AO1542" s="147"/>
      <c r="AP1542" s="147"/>
      <c r="AQ1542" s="147"/>
    </row>
    <row r="1543" spans="1:43">
      <c r="A1543" s="3"/>
      <c r="B1543" s="3"/>
      <c r="C1543" s="3"/>
      <c r="D1543" s="3"/>
      <c r="E1543" s="3"/>
      <c r="F1543" s="3"/>
      <c r="G1543" s="3"/>
      <c r="H1543" s="3"/>
      <c r="I1543" s="3"/>
      <c r="J1543" s="3"/>
      <c r="K1543" s="3"/>
      <c r="L1543" s="3"/>
      <c r="M1543" s="3"/>
      <c r="N1543" s="157"/>
      <c r="O1543" s="157"/>
      <c r="P1543" s="157"/>
      <c r="R1543" s="147"/>
      <c r="S1543" s="147"/>
      <c r="T1543" s="147"/>
      <c r="U1543" s="147"/>
      <c r="X1543" s="147"/>
      <c r="Y1543" s="147"/>
      <c r="Z1543" s="147"/>
      <c r="AA1543" s="147"/>
      <c r="AB1543" s="147"/>
      <c r="AC1543" s="147"/>
      <c r="AD1543" s="147"/>
      <c r="AE1543" s="147"/>
      <c r="AF1543" s="147"/>
      <c r="AG1543" s="147"/>
      <c r="AH1543" s="147"/>
      <c r="AI1543" s="147"/>
      <c r="AJ1543" s="147"/>
      <c r="AK1543" s="147"/>
      <c r="AL1543" s="147"/>
      <c r="AM1543" s="147"/>
      <c r="AN1543" s="147"/>
      <c r="AO1543" s="147"/>
      <c r="AP1543" s="147"/>
      <c r="AQ1543" s="147"/>
    </row>
    <row r="1544" spans="1:43">
      <c r="A1544" s="3"/>
      <c r="B1544" s="3"/>
      <c r="C1544" s="3"/>
      <c r="D1544" s="3"/>
      <c r="E1544" s="3"/>
      <c r="F1544" s="3"/>
      <c r="G1544" s="3"/>
      <c r="H1544" s="3"/>
      <c r="I1544" s="3"/>
      <c r="J1544" s="3"/>
      <c r="K1544" s="3"/>
      <c r="L1544" s="3"/>
      <c r="M1544" s="3"/>
      <c r="N1544" s="157"/>
      <c r="O1544" s="157"/>
      <c r="P1544" s="157"/>
      <c r="R1544" s="147"/>
      <c r="S1544" s="147"/>
      <c r="T1544" s="147"/>
      <c r="U1544" s="147"/>
      <c r="X1544" s="147"/>
      <c r="Y1544" s="147"/>
      <c r="Z1544" s="147"/>
      <c r="AA1544" s="147"/>
      <c r="AB1544" s="147"/>
      <c r="AC1544" s="147"/>
      <c r="AD1544" s="147"/>
      <c r="AE1544" s="147"/>
      <c r="AF1544" s="147"/>
      <c r="AG1544" s="147"/>
      <c r="AH1544" s="147"/>
      <c r="AI1544" s="147"/>
      <c r="AJ1544" s="147"/>
      <c r="AK1544" s="147"/>
      <c r="AL1544" s="147"/>
      <c r="AM1544" s="147"/>
      <c r="AN1544" s="147"/>
      <c r="AO1544" s="147"/>
      <c r="AP1544" s="147"/>
      <c r="AQ1544" s="147"/>
    </row>
    <row r="1545" spans="1:43">
      <c r="A1545" s="3"/>
      <c r="B1545" s="3"/>
      <c r="C1545" s="3"/>
      <c r="D1545" s="3"/>
      <c r="E1545" s="3"/>
      <c r="F1545" s="3"/>
      <c r="G1545" s="3"/>
      <c r="H1545" s="3"/>
      <c r="I1545" s="3"/>
      <c r="J1545" s="3"/>
      <c r="K1545" s="3"/>
      <c r="L1545" s="3"/>
      <c r="M1545" s="3"/>
      <c r="N1545" s="157"/>
      <c r="O1545" s="157"/>
      <c r="P1545" s="157"/>
      <c r="R1545" s="147"/>
      <c r="S1545" s="147"/>
      <c r="T1545" s="147"/>
      <c r="U1545" s="147"/>
      <c r="X1545" s="147"/>
      <c r="Y1545" s="147"/>
      <c r="Z1545" s="147"/>
      <c r="AA1545" s="147"/>
      <c r="AB1545" s="147"/>
      <c r="AC1545" s="147"/>
      <c r="AD1545" s="147"/>
      <c r="AE1545" s="147"/>
      <c r="AF1545" s="147"/>
      <c r="AG1545" s="147"/>
      <c r="AH1545" s="147"/>
      <c r="AI1545" s="147"/>
      <c r="AJ1545" s="147"/>
      <c r="AK1545" s="147"/>
      <c r="AL1545" s="147"/>
      <c r="AM1545" s="147"/>
      <c r="AN1545" s="147"/>
      <c r="AO1545" s="147"/>
      <c r="AP1545" s="147"/>
      <c r="AQ1545" s="147"/>
    </row>
    <row r="1546" spans="1:43">
      <c r="A1546" s="3"/>
      <c r="B1546" s="3"/>
      <c r="C1546" s="3"/>
      <c r="D1546" s="3"/>
      <c r="E1546" s="3"/>
      <c r="F1546" s="3"/>
      <c r="G1546" s="3"/>
      <c r="H1546" s="3"/>
      <c r="I1546" s="3"/>
      <c r="J1546" s="3"/>
      <c r="K1546" s="3"/>
      <c r="L1546" s="3"/>
      <c r="M1546" s="3"/>
      <c r="N1546" s="157"/>
      <c r="O1546" s="157"/>
      <c r="P1546" s="157"/>
      <c r="R1546" s="147"/>
      <c r="S1546" s="147"/>
      <c r="T1546" s="147"/>
      <c r="U1546" s="147"/>
      <c r="X1546" s="147"/>
      <c r="Y1546" s="147"/>
      <c r="Z1546" s="147"/>
      <c r="AA1546" s="147"/>
      <c r="AB1546" s="147"/>
      <c r="AC1546" s="147"/>
      <c r="AD1546" s="147"/>
      <c r="AE1546" s="147"/>
      <c r="AF1546" s="147"/>
      <c r="AG1546" s="147"/>
      <c r="AH1546" s="147"/>
      <c r="AI1546" s="147"/>
      <c r="AJ1546" s="147"/>
      <c r="AK1546" s="147"/>
      <c r="AL1546" s="147"/>
      <c r="AM1546" s="147"/>
      <c r="AN1546" s="147"/>
      <c r="AO1546" s="147"/>
      <c r="AP1546" s="147"/>
      <c r="AQ1546" s="147"/>
    </row>
    <row r="1547" spans="1:43">
      <c r="A1547" s="3"/>
      <c r="B1547" s="3"/>
      <c r="C1547" s="3"/>
      <c r="D1547" s="3"/>
      <c r="E1547" s="3"/>
      <c r="F1547" s="3"/>
      <c r="G1547" s="3"/>
      <c r="H1547" s="3"/>
      <c r="I1547" s="3"/>
      <c r="J1547" s="3"/>
      <c r="K1547" s="3"/>
      <c r="L1547" s="3"/>
      <c r="M1547" s="3"/>
      <c r="N1547" s="157"/>
      <c r="O1547" s="157"/>
      <c r="P1547" s="157"/>
      <c r="R1547" s="147"/>
      <c r="S1547" s="147"/>
      <c r="T1547" s="147"/>
      <c r="U1547" s="147"/>
      <c r="X1547" s="147"/>
      <c r="Y1547" s="147"/>
      <c r="Z1547" s="147"/>
      <c r="AA1547" s="147"/>
      <c r="AB1547" s="147"/>
      <c r="AC1547" s="147"/>
      <c r="AD1547" s="147"/>
      <c r="AE1547" s="147"/>
      <c r="AF1547" s="147"/>
      <c r="AG1547" s="147"/>
      <c r="AH1547" s="147"/>
      <c r="AI1547" s="147"/>
      <c r="AJ1547" s="147"/>
      <c r="AK1547" s="147"/>
      <c r="AL1547" s="147"/>
      <c r="AM1547" s="147"/>
      <c r="AN1547" s="147"/>
      <c r="AO1547" s="147"/>
      <c r="AP1547" s="147"/>
      <c r="AQ1547" s="147"/>
    </row>
    <row r="1548" spans="1:43">
      <c r="A1548" s="3"/>
      <c r="B1548" s="3"/>
      <c r="C1548" s="3"/>
      <c r="D1548" s="3"/>
      <c r="E1548" s="3"/>
      <c r="F1548" s="3"/>
      <c r="G1548" s="3"/>
      <c r="H1548" s="3"/>
      <c r="I1548" s="3"/>
      <c r="J1548" s="3"/>
      <c r="K1548" s="3"/>
      <c r="L1548" s="3"/>
      <c r="M1548" s="3"/>
      <c r="N1548" s="157"/>
      <c r="O1548" s="157"/>
      <c r="P1548" s="157"/>
      <c r="R1548" s="147"/>
      <c r="S1548" s="147"/>
      <c r="T1548" s="147"/>
      <c r="U1548" s="147"/>
      <c r="X1548" s="147"/>
      <c r="Y1548" s="147"/>
      <c r="Z1548" s="147"/>
      <c r="AA1548" s="147"/>
      <c r="AB1548" s="147"/>
      <c r="AC1548" s="147"/>
      <c r="AD1548" s="147"/>
      <c r="AE1548" s="147"/>
      <c r="AF1548" s="147"/>
      <c r="AG1548" s="147"/>
      <c r="AH1548" s="147"/>
      <c r="AI1548" s="147"/>
      <c r="AJ1548" s="147"/>
      <c r="AK1548" s="147"/>
      <c r="AL1548" s="147"/>
      <c r="AM1548" s="147"/>
      <c r="AN1548" s="147"/>
      <c r="AO1548" s="147"/>
      <c r="AP1548" s="147"/>
      <c r="AQ1548" s="147"/>
    </row>
    <row r="1549" spans="1:43">
      <c r="A1549" s="3"/>
      <c r="B1549" s="3"/>
      <c r="C1549" s="3"/>
      <c r="D1549" s="3"/>
      <c r="E1549" s="3"/>
      <c r="F1549" s="3"/>
      <c r="G1549" s="3"/>
      <c r="H1549" s="3"/>
      <c r="I1549" s="3"/>
      <c r="J1549" s="3"/>
      <c r="K1549" s="3"/>
      <c r="L1549" s="3"/>
      <c r="M1549" s="3"/>
      <c r="N1549" s="157"/>
      <c r="O1549" s="157"/>
      <c r="P1549" s="157"/>
      <c r="R1549" s="147"/>
      <c r="S1549" s="147"/>
      <c r="T1549" s="147"/>
      <c r="U1549" s="147"/>
      <c r="X1549" s="147"/>
      <c r="Y1549" s="147"/>
      <c r="Z1549" s="147"/>
      <c r="AA1549" s="147"/>
      <c r="AB1549" s="147"/>
      <c r="AC1549" s="147"/>
      <c r="AD1549" s="147"/>
      <c r="AE1549" s="147"/>
      <c r="AF1549" s="147"/>
      <c r="AG1549" s="147"/>
      <c r="AH1549" s="147"/>
      <c r="AI1549" s="147"/>
      <c r="AJ1549" s="147"/>
      <c r="AK1549" s="147"/>
      <c r="AL1549" s="147"/>
      <c r="AM1549" s="147"/>
      <c r="AN1549" s="147"/>
      <c r="AO1549" s="147"/>
      <c r="AP1549" s="147"/>
      <c r="AQ1549" s="147"/>
    </row>
    <row r="1550" spans="1:43">
      <c r="A1550" s="3"/>
      <c r="B1550" s="3"/>
      <c r="C1550" s="3"/>
      <c r="D1550" s="3"/>
      <c r="E1550" s="3"/>
      <c r="F1550" s="3"/>
      <c r="G1550" s="3"/>
      <c r="H1550" s="3"/>
      <c r="I1550" s="3"/>
      <c r="J1550" s="3"/>
      <c r="K1550" s="3"/>
      <c r="L1550" s="3"/>
      <c r="M1550" s="3"/>
      <c r="N1550" s="157"/>
      <c r="O1550" s="157"/>
      <c r="P1550" s="157"/>
      <c r="R1550" s="147"/>
      <c r="S1550" s="147"/>
      <c r="T1550" s="147"/>
      <c r="U1550" s="147"/>
      <c r="X1550" s="147"/>
      <c r="Y1550" s="147"/>
      <c r="Z1550" s="147"/>
      <c r="AA1550" s="147"/>
      <c r="AB1550" s="147"/>
      <c r="AC1550" s="147"/>
      <c r="AD1550" s="147"/>
      <c r="AE1550" s="147"/>
      <c r="AF1550" s="147"/>
      <c r="AG1550" s="147"/>
      <c r="AH1550" s="147"/>
      <c r="AI1550" s="147"/>
      <c r="AJ1550" s="147"/>
      <c r="AK1550" s="147"/>
      <c r="AL1550" s="147"/>
      <c r="AM1550" s="147"/>
      <c r="AN1550" s="147"/>
      <c r="AO1550" s="147"/>
      <c r="AP1550" s="147"/>
      <c r="AQ1550" s="147"/>
    </row>
    <row r="1551" spans="1:43">
      <c r="A1551" s="3"/>
      <c r="B1551" s="3"/>
      <c r="C1551" s="3"/>
      <c r="D1551" s="3"/>
      <c r="E1551" s="3"/>
      <c r="F1551" s="3"/>
      <c r="G1551" s="3"/>
      <c r="H1551" s="3"/>
      <c r="I1551" s="3"/>
      <c r="J1551" s="3"/>
      <c r="K1551" s="3"/>
      <c r="L1551" s="3"/>
      <c r="M1551" s="3"/>
      <c r="N1551" s="157"/>
      <c r="O1551" s="157"/>
      <c r="P1551" s="157"/>
      <c r="R1551" s="147"/>
      <c r="S1551" s="147"/>
      <c r="T1551" s="147"/>
      <c r="U1551" s="147"/>
      <c r="X1551" s="147"/>
      <c r="Y1551" s="147"/>
      <c r="Z1551" s="147"/>
      <c r="AA1551" s="147"/>
      <c r="AB1551" s="147"/>
      <c r="AC1551" s="147"/>
      <c r="AD1551" s="147"/>
      <c r="AE1551" s="147"/>
      <c r="AF1551" s="147"/>
      <c r="AG1551" s="147"/>
      <c r="AH1551" s="147"/>
      <c r="AI1551" s="147"/>
      <c r="AJ1551" s="147"/>
      <c r="AK1551" s="147"/>
      <c r="AL1551" s="147"/>
      <c r="AM1551" s="147"/>
      <c r="AN1551" s="147"/>
      <c r="AO1551" s="147"/>
      <c r="AP1551" s="147"/>
      <c r="AQ1551" s="147"/>
    </row>
    <row r="1552" spans="1:43">
      <c r="A1552" s="3"/>
      <c r="B1552" s="3"/>
      <c r="C1552" s="3"/>
      <c r="D1552" s="3"/>
      <c r="E1552" s="3"/>
      <c r="F1552" s="3"/>
      <c r="G1552" s="3"/>
      <c r="H1552" s="3"/>
      <c r="I1552" s="3"/>
      <c r="J1552" s="3"/>
      <c r="K1552" s="3"/>
      <c r="L1552" s="3"/>
      <c r="M1552" s="3"/>
      <c r="N1552" s="157"/>
      <c r="O1552" s="157"/>
      <c r="P1552" s="157"/>
      <c r="R1552" s="147"/>
      <c r="S1552" s="147"/>
      <c r="T1552" s="147"/>
      <c r="U1552" s="147"/>
      <c r="X1552" s="147"/>
      <c r="Y1552" s="147"/>
      <c r="Z1552" s="147"/>
      <c r="AA1552" s="147"/>
      <c r="AB1552" s="147"/>
      <c r="AC1552" s="147"/>
      <c r="AD1552" s="147"/>
      <c r="AE1552" s="147"/>
      <c r="AF1552" s="147"/>
      <c r="AG1552" s="147"/>
      <c r="AH1552" s="147"/>
      <c r="AI1552" s="147"/>
      <c r="AJ1552" s="147"/>
      <c r="AK1552" s="147"/>
      <c r="AL1552" s="147"/>
      <c r="AM1552" s="147"/>
      <c r="AN1552" s="147"/>
      <c r="AO1552" s="147"/>
      <c r="AP1552" s="147"/>
      <c r="AQ1552" s="147"/>
    </row>
    <row r="1553" spans="1:43">
      <c r="A1553" s="3"/>
      <c r="B1553" s="3"/>
      <c r="C1553" s="3"/>
      <c r="D1553" s="3"/>
      <c r="E1553" s="3"/>
      <c r="F1553" s="3"/>
      <c r="G1553" s="3"/>
      <c r="H1553" s="3"/>
      <c r="I1553" s="3"/>
      <c r="J1553" s="3"/>
      <c r="K1553" s="3"/>
      <c r="L1553" s="3"/>
      <c r="M1553" s="3"/>
      <c r="N1553" s="157"/>
      <c r="O1553" s="157"/>
      <c r="P1553" s="157"/>
      <c r="R1553" s="147"/>
      <c r="S1553" s="147"/>
      <c r="T1553" s="147"/>
      <c r="U1553" s="147"/>
      <c r="X1553" s="147"/>
      <c r="Y1553" s="147"/>
      <c r="Z1553" s="147"/>
      <c r="AA1553" s="147"/>
      <c r="AB1553" s="147"/>
      <c r="AC1553" s="147"/>
      <c r="AD1553" s="147"/>
      <c r="AE1553" s="147"/>
      <c r="AF1553" s="147"/>
      <c r="AG1553" s="147"/>
      <c r="AH1553" s="147"/>
      <c r="AI1553" s="147"/>
      <c r="AJ1553" s="147"/>
      <c r="AK1553" s="147"/>
      <c r="AL1553" s="147"/>
      <c r="AM1553" s="147"/>
      <c r="AN1553" s="147"/>
      <c r="AO1553" s="147"/>
      <c r="AP1553" s="147"/>
      <c r="AQ1553" s="147"/>
    </row>
    <row r="1554" spans="1:43">
      <c r="A1554" s="3"/>
      <c r="B1554" s="3"/>
      <c r="C1554" s="3"/>
      <c r="D1554" s="3"/>
      <c r="E1554" s="3"/>
      <c r="F1554" s="3"/>
      <c r="G1554" s="3"/>
      <c r="H1554" s="3"/>
      <c r="I1554" s="3"/>
      <c r="J1554" s="3"/>
      <c r="K1554" s="3"/>
      <c r="L1554" s="3"/>
      <c r="M1554" s="3"/>
      <c r="N1554" s="157"/>
      <c r="O1554" s="157"/>
      <c r="P1554" s="157"/>
      <c r="R1554" s="147"/>
      <c r="S1554" s="147"/>
      <c r="T1554" s="147"/>
      <c r="U1554" s="147"/>
      <c r="X1554" s="147"/>
      <c r="Y1554" s="147"/>
      <c r="Z1554" s="147"/>
      <c r="AA1554" s="147"/>
      <c r="AB1554" s="147"/>
      <c r="AC1554" s="147"/>
      <c r="AD1554" s="147"/>
      <c r="AE1554" s="147"/>
      <c r="AF1554" s="147"/>
      <c r="AG1554" s="147"/>
      <c r="AH1554" s="147"/>
      <c r="AI1554" s="147"/>
      <c r="AJ1554" s="147"/>
      <c r="AK1554" s="147"/>
      <c r="AL1554" s="147"/>
      <c r="AM1554" s="147"/>
      <c r="AN1554" s="147"/>
      <c r="AO1554" s="147"/>
      <c r="AP1554" s="147"/>
      <c r="AQ1554" s="147"/>
    </row>
    <row r="1555" spans="1:43">
      <c r="A1555" s="3"/>
      <c r="B1555" s="3"/>
      <c r="C1555" s="3"/>
      <c r="D1555" s="3"/>
      <c r="E1555" s="3"/>
      <c r="F1555" s="3"/>
      <c r="G1555" s="3"/>
      <c r="H1555" s="3"/>
      <c r="I1555" s="3"/>
      <c r="J1555" s="3"/>
      <c r="K1555" s="3"/>
      <c r="L1555" s="3"/>
      <c r="M1555" s="3"/>
      <c r="N1555" s="157"/>
      <c r="O1555" s="157"/>
      <c r="P1555" s="157"/>
      <c r="R1555" s="147"/>
      <c r="S1555" s="147"/>
      <c r="T1555" s="147"/>
      <c r="U1555" s="147"/>
      <c r="X1555" s="147"/>
      <c r="Y1555" s="147"/>
      <c r="Z1555" s="147"/>
      <c r="AA1555" s="147"/>
      <c r="AB1555" s="147"/>
      <c r="AC1555" s="147"/>
      <c r="AD1555" s="147"/>
      <c r="AE1555" s="147"/>
      <c r="AF1555" s="147"/>
      <c r="AG1555" s="147"/>
      <c r="AH1555" s="147"/>
      <c r="AI1555" s="147"/>
      <c r="AJ1555" s="147"/>
      <c r="AK1555" s="147"/>
      <c r="AL1555" s="147"/>
      <c r="AM1555" s="147"/>
      <c r="AN1555" s="147"/>
      <c r="AO1555" s="147"/>
      <c r="AP1555" s="147"/>
      <c r="AQ1555" s="147"/>
    </row>
    <row r="1556" spans="1:43">
      <c r="A1556" s="3"/>
      <c r="B1556" s="3"/>
      <c r="C1556" s="3"/>
      <c r="D1556" s="3"/>
      <c r="E1556" s="3"/>
      <c r="F1556" s="3"/>
      <c r="G1556" s="3"/>
      <c r="H1556" s="3"/>
      <c r="I1556" s="3"/>
      <c r="J1556" s="3"/>
      <c r="K1556" s="3"/>
      <c r="L1556" s="3"/>
      <c r="M1556" s="3"/>
      <c r="N1556" s="157"/>
      <c r="O1556" s="157"/>
      <c r="P1556" s="157"/>
      <c r="R1556" s="147"/>
      <c r="S1556" s="147"/>
      <c r="T1556" s="147"/>
      <c r="U1556" s="147"/>
      <c r="X1556" s="147"/>
      <c r="Y1556" s="147"/>
      <c r="Z1556" s="147"/>
      <c r="AA1556" s="147"/>
      <c r="AB1556" s="147"/>
      <c r="AC1556" s="147"/>
      <c r="AD1556" s="147"/>
      <c r="AE1556" s="147"/>
      <c r="AF1556" s="147"/>
      <c r="AG1556" s="147"/>
      <c r="AH1556" s="147"/>
      <c r="AI1556" s="147"/>
      <c r="AJ1556" s="147"/>
      <c r="AK1556" s="147"/>
      <c r="AL1556" s="147"/>
      <c r="AM1556" s="147"/>
      <c r="AN1556" s="147"/>
      <c r="AO1556" s="147"/>
      <c r="AP1556" s="147"/>
      <c r="AQ1556" s="147"/>
    </row>
    <row r="1557" spans="1:43">
      <c r="A1557" s="3"/>
      <c r="B1557" s="3"/>
      <c r="C1557" s="3"/>
      <c r="D1557" s="3"/>
      <c r="E1557" s="3"/>
      <c r="F1557" s="3"/>
      <c r="G1557" s="3"/>
      <c r="H1557" s="3"/>
      <c r="I1557" s="3"/>
      <c r="J1557" s="3"/>
      <c r="K1557" s="3"/>
      <c r="L1557" s="3"/>
      <c r="M1557" s="3"/>
      <c r="N1557" s="157"/>
      <c r="O1557" s="157"/>
      <c r="P1557" s="157"/>
      <c r="R1557" s="147"/>
      <c r="S1557" s="147"/>
      <c r="T1557" s="147"/>
      <c r="U1557" s="147"/>
      <c r="X1557" s="147"/>
      <c r="Y1557" s="147"/>
      <c r="Z1557" s="147"/>
      <c r="AA1557" s="147"/>
      <c r="AB1557" s="147"/>
      <c r="AC1557" s="147"/>
      <c r="AD1557" s="147"/>
      <c r="AE1557" s="147"/>
      <c r="AF1557" s="147"/>
      <c r="AG1557" s="147"/>
      <c r="AH1557" s="147"/>
      <c r="AI1557" s="147"/>
      <c r="AJ1557" s="147"/>
      <c r="AK1557" s="147"/>
      <c r="AL1557" s="147"/>
      <c r="AM1557" s="147"/>
      <c r="AN1557" s="147"/>
      <c r="AO1557" s="147"/>
      <c r="AP1557" s="147"/>
      <c r="AQ1557" s="147"/>
    </row>
    <row r="1558" spans="1:43">
      <c r="A1558" s="3"/>
      <c r="B1558" s="3"/>
      <c r="C1558" s="3"/>
      <c r="D1558" s="3"/>
      <c r="E1558" s="3"/>
      <c r="F1558" s="3"/>
      <c r="G1558" s="3"/>
      <c r="H1558" s="3"/>
      <c r="I1558" s="3"/>
      <c r="J1558" s="3"/>
      <c r="K1558" s="3"/>
      <c r="L1558" s="3"/>
      <c r="M1558" s="3"/>
      <c r="N1558" s="157"/>
      <c r="O1558" s="157"/>
      <c r="P1558" s="157"/>
      <c r="R1558" s="147"/>
      <c r="S1558" s="147"/>
      <c r="T1558" s="147"/>
      <c r="U1558" s="147"/>
      <c r="X1558" s="147"/>
      <c r="Y1558" s="147"/>
      <c r="Z1558" s="147"/>
      <c r="AA1558" s="147"/>
      <c r="AB1558" s="147"/>
      <c r="AC1558" s="147"/>
      <c r="AD1558" s="147"/>
      <c r="AE1558" s="147"/>
      <c r="AF1558" s="147"/>
      <c r="AG1558" s="147"/>
      <c r="AH1558" s="147"/>
      <c r="AI1558" s="147"/>
      <c r="AJ1558" s="147"/>
      <c r="AK1558" s="147"/>
      <c r="AL1558" s="147"/>
      <c r="AM1558" s="147"/>
      <c r="AN1558" s="147"/>
      <c r="AO1558" s="147"/>
      <c r="AP1558" s="147"/>
      <c r="AQ1558" s="147"/>
    </row>
    <row r="1559" spans="1:43">
      <c r="A1559" s="3"/>
      <c r="B1559" s="3"/>
      <c r="C1559" s="3"/>
      <c r="D1559" s="3"/>
      <c r="E1559" s="3"/>
      <c r="F1559" s="3"/>
      <c r="G1559" s="3"/>
      <c r="H1559" s="3"/>
      <c r="I1559" s="3"/>
      <c r="J1559" s="3"/>
      <c r="K1559" s="3"/>
      <c r="L1559" s="3"/>
      <c r="M1559" s="3"/>
      <c r="N1559" s="157"/>
      <c r="O1559" s="157"/>
      <c r="P1559" s="157"/>
      <c r="R1559" s="147"/>
      <c r="S1559" s="147"/>
      <c r="T1559" s="147"/>
      <c r="U1559" s="147"/>
      <c r="X1559" s="147"/>
      <c r="Y1559" s="147"/>
      <c r="Z1559" s="147"/>
      <c r="AA1559" s="147"/>
      <c r="AB1559" s="147"/>
      <c r="AC1559" s="147"/>
      <c r="AD1559" s="147"/>
      <c r="AE1559" s="147"/>
      <c r="AF1559" s="147"/>
      <c r="AG1559" s="147"/>
      <c r="AH1559" s="147"/>
      <c r="AI1559" s="147"/>
      <c r="AJ1559" s="147"/>
      <c r="AK1559" s="147"/>
      <c r="AL1559" s="147"/>
      <c r="AM1559" s="147"/>
      <c r="AN1559" s="147"/>
      <c r="AO1559" s="147"/>
      <c r="AP1559" s="147"/>
      <c r="AQ1559" s="147"/>
    </row>
    <row r="1560" spans="1:43">
      <c r="A1560" s="3"/>
      <c r="B1560" s="3"/>
      <c r="C1560" s="3"/>
      <c r="D1560" s="3"/>
      <c r="E1560" s="3"/>
      <c r="F1560" s="3"/>
      <c r="G1560" s="3"/>
      <c r="H1560" s="3"/>
      <c r="I1560" s="3"/>
      <c r="J1560" s="3"/>
      <c r="K1560" s="3"/>
      <c r="L1560" s="3"/>
      <c r="M1560" s="3"/>
      <c r="N1560" s="157"/>
      <c r="O1560" s="157"/>
      <c r="P1560" s="157"/>
      <c r="R1560" s="147"/>
      <c r="S1560" s="147"/>
      <c r="T1560" s="147"/>
      <c r="U1560" s="147"/>
      <c r="X1560" s="147"/>
      <c r="Y1560" s="147"/>
      <c r="Z1560" s="147"/>
      <c r="AA1560" s="147"/>
      <c r="AB1560" s="147"/>
      <c r="AC1560" s="147"/>
      <c r="AD1560" s="147"/>
      <c r="AE1560" s="147"/>
      <c r="AF1560" s="147"/>
      <c r="AG1560" s="147"/>
      <c r="AH1560" s="147"/>
      <c r="AI1560" s="147"/>
      <c r="AJ1560" s="147"/>
      <c r="AK1560" s="147"/>
      <c r="AL1560" s="147"/>
      <c r="AM1560" s="147"/>
      <c r="AN1560" s="147"/>
      <c r="AO1560" s="147"/>
      <c r="AP1560" s="147"/>
      <c r="AQ1560" s="147"/>
    </row>
    <row r="1561" spans="1:43">
      <c r="A1561" s="3"/>
      <c r="B1561" s="3"/>
      <c r="C1561" s="3"/>
      <c r="D1561" s="3"/>
      <c r="E1561" s="3"/>
      <c r="F1561" s="3"/>
      <c r="G1561" s="3"/>
      <c r="H1561" s="3"/>
      <c r="I1561" s="3"/>
      <c r="J1561" s="3"/>
      <c r="K1561" s="3"/>
      <c r="L1561" s="3"/>
      <c r="M1561" s="3"/>
      <c r="N1561" s="157"/>
      <c r="O1561" s="157"/>
      <c r="P1561" s="157"/>
      <c r="R1561" s="147"/>
      <c r="S1561" s="147"/>
      <c r="T1561" s="147"/>
      <c r="U1561" s="147"/>
      <c r="X1561" s="147"/>
      <c r="Y1561" s="147"/>
      <c r="Z1561" s="147"/>
      <c r="AA1561" s="147"/>
      <c r="AB1561" s="147"/>
      <c r="AC1561" s="147"/>
      <c r="AD1561" s="147"/>
      <c r="AE1561" s="147"/>
      <c r="AF1561" s="147"/>
      <c r="AG1561" s="147"/>
      <c r="AH1561" s="147"/>
      <c r="AI1561" s="147"/>
      <c r="AJ1561" s="147"/>
      <c r="AK1561" s="147"/>
      <c r="AL1561" s="147"/>
      <c r="AM1561" s="147"/>
      <c r="AN1561" s="147"/>
      <c r="AO1561" s="147"/>
      <c r="AP1561" s="147"/>
      <c r="AQ1561" s="147"/>
    </row>
    <row r="1562" spans="1:43">
      <c r="A1562" s="3"/>
      <c r="B1562" s="3"/>
      <c r="C1562" s="3"/>
      <c r="D1562" s="3"/>
      <c r="E1562" s="3"/>
      <c r="F1562" s="3"/>
      <c r="G1562" s="3"/>
      <c r="H1562" s="3"/>
      <c r="I1562" s="3"/>
      <c r="J1562" s="3"/>
      <c r="K1562" s="3"/>
      <c r="L1562" s="3"/>
      <c r="M1562" s="3"/>
      <c r="N1562" s="157"/>
      <c r="O1562" s="157"/>
      <c r="P1562" s="157"/>
      <c r="R1562" s="147"/>
      <c r="S1562" s="147"/>
      <c r="T1562" s="147"/>
      <c r="U1562" s="147"/>
      <c r="X1562" s="147"/>
      <c r="Y1562" s="147"/>
      <c r="Z1562" s="147"/>
      <c r="AA1562" s="147"/>
      <c r="AB1562" s="147"/>
      <c r="AC1562" s="147"/>
      <c r="AD1562" s="147"/>
      <c r="AE1562" s="147"/>
      <c r="AF1562" s="147"/>
      <c r="AG1562" s="147"/>
      <c r="AH1562" s="147"/>
      <c r="AI1562" s="147"/>
      <c r="AJ1562" s="147"/>
      <c r="AK1562" s="147"/>
      <c r="AL1562" s="147"/>
      <c r="AM1562" s="147"/>
      <c r="AN1562" s="147"/>
      <c r="AO1562" s="147"/>
      <c r="AP1562" s="147"/>
      <c r="AQ1562" s="147"/>
    </row>
    <row r="1563" spans="1:43">
      <c r="A1563" s="3"/>
      <c r="B1563" s="3"/>
      <c r="C1563" s="3"/>
      <c r="D1563" s="3"/>
      <c r="E1563" s="3"/>
      <c r="F1563" s="3"/>
      <c r="G1563" s="3"/>
      <c r="H1563" s="3"/>
      <c r="I1563" s="3"/>
      <c r="J1563" s="3"/>
      <c r="K1563" s="3"/>
      <c r="L1563" s="3"/>
      <c r="M1563" s="3"/>
      <c r="N1563" s="157"/>
      <c r="O1563" s="157"/>
      <c r="P1563" s="157"/>
      <c r="R1563" s="147"/>
      <c r="S1563" s="147"/>
      <c r="T1563" s="147"/>
      <c r="U1563" s="147"/>
      <c r="X1563" s="147"/>
      <c r="Y1563" s="147"/>
      <c r="Z1563" s="147"/>
      <c r="AA1563" s="147"/>
      <c r="AB1563" s="147"/>
      <c r="AC1563" s="147"/>
      <c r="AD1563" s="147"/>
      <c r="AE1563" s="147"/>
      <c r="AF1563" s="147"/>
      <c r="AG1563" s="147"/>
      <c r="AH1563" s="147"/>
      <c r="AI1563" s="147"/>
      <c r="AJ1563" s="147"/>
      <c r="AK1563" s="147"/>
      <c r="AL1563" s="147"/>
      <c r="AM1563" s="147"/>
      <c r="AN1563" s="147"/>
      <c r="AO1563" s="147"/>
      <c r="AP1563" s="147"/>
      <c r="AQ1563" s="147"/>
    </row>
    <row r="1564" spans="1:43">
      <c r="A1564" s="3"/>
      <c r="B1564" s="3"/>
      <c r="C1564" s="3"/>
      <c r="D1564" s="3"/>
      <c r="E1564" s="3"/>
      <c r="F1564" s="3"/>
      <c r="G1564" s="3"/>
      <c r="H1564" s="3"/>
      <c r="I1564" s="3"/>
      <c r="J1564" s="3"/>
      <c r="K1564" s="3"/>
      <c r="L1564" s="3"/>
      <c r="M1564" s="3"/>
      <c r="N1564" s="157"/>
      <c r="O1564" s="157"/>
      <c r="P1564" s="157"/>
      <c r="R1564" s="147"/>
      <c r="S1564" s="147"/>
      <c r="T1564" s="147"/>
      <c r="U1564" s="147"/>
      <c r="X1564" s="147"/>
      <c r="Y1564" s="147"/>
      <c r="Z1564" s="147"/>
      <c r="AA1564" s="147"/>
      <c r="AB1564" s="147"/>
      <c r="AC1564" s="147"/>
      <c r="AD1564" s="147"/>
      <c r="AE1564" s="147"/>
      <c r="AF1564" s="147"/>
      <c r="AG1564" s="147"/>
      <c r="AH1564" s="147"/>
      <c r="AI1564" s="147"/>
      <c r="AJ1564" s="147"/>
      <c r="AK1564" s="147"/>
      <c r="AL1564" s="147"/>
      <c r="AM1564" s="147"/>
      <c r="AN1564" s="147"/>
      <c r="AO1564" s="147"/>
      <c r="AP1564" s="147"/>
      <c r="AQ1564" s="147"/>
    </row>
    <row r="1565" spans="1:43">
      <c r="A1565" s="3"/>
      <c r="B1565" s="3"/>
      <c r="C1565" s="3"/>
      <c r="D1565" s="3"/>
      <c r="E1565" s="3"/>
      <c r="F1565" s="3"/>
      <c r="G1565" s="3"/>
      <c r="H1565" s="3"/>
      <c r="I1565" s="3"/>
      <c r="J1565" s="3"/>
      <c r="K1565" s="3"/>
      <c r="L1565" s="3"/>
      <c r="M1565" s="3"/>
      <c r="N1565" s="157"/>
      <c r="O1565" s="157"/>
      <c r="P1565" s="157"/>
      <c r="R1565" s="147"/>
      <c r="S1565" s="147"/>
      <c r="T1565" s="147"/>
      <c r="U1565" s="147"/>
      <c r="X1565" s="147"/>
      <c r="Y1565" s="147"/>
      <c r="Z1565" s="147"/>
      <c r="AA1565" s="147"/>
      <c r="AB1565" s="147"/>
      <c r="AC1565" s="147"/>
      <c r="AD1565" s="147"/>
      <c r="AE1565" s="147"/>
      <c r="AF1565" s="147"/>
      <c r="AG1565" s="147"/>
      <c r="AH1565" s="147"/>
      <c r="AI1565" s="147"/>
      <c r="AJ1565" s="147"/>
      <c r="AK1565" s="147"/>
      <c r="AL1565" s="147"/>
      <c r="AM1565" s="147"/>
      <c r="AN1565" s="147"/>
      <c r="AO1565" s="147"/>
      <c r="AP1565" s="147"/>
      <c r="AQ1565" s="147"/>
    </row>
    <row r="1566" spans="1:43">
      <c r="A1566" s="3"/>
      <c r="B1566" s="3"/>
      <c r="C1566" s="3"/>
      <c r="D1566" s="3"/>
      <c r="E1566" s="3"/>
      <c r="F1566" s="3"/>
      <c r="G1566" s="3"/>
      <c r="H1566" s="3"/>
      <c r="I1566" s="3"/>
      <c r="J1566" s="3"/>
      <c r="K1566" s="3"/>
      <c r="L1566" s="3"/>
      <c r="M1566" s="3"/>
      <c r="N1566" s="157"/>
      <c r="O1566" s="157"/>
      <c r="P1566" s="157"/>
      <c r="R1566" s="147"/>
      <c r="S1566" s="147"/>
      <c r="T1566" s="147"/>
      <c r="U1566" s="147"/>
      <c r="X1566" s="147"/>
      <c r="Y1566" s="147"/>
      <c r="Z1566" s="147"/>
      <c r="AA1566" s="147"/>
      <c r="AB1566" s="147"/>
      <c r="AC1566" s="147"/>
      <c r="AD1566" s="147"/>
      <c r="AE1566" s="147"/>
      <c r="AF1566" s="147"/>
      <c r="AG1566" s="147"/>
      <c r="AH1566" s="147"/>
      <c r="AI1566" s="147"/>
      <c r="AJ1566" s="147"/>
      <c r="AK1566" s="147"/>
      <c r="AL1566" s="147"/>
      <c r="AM1566" s="147"/>
      <c r="AN1566" s="147"/>
      <c r="AO1566" s="147"/>
      <c r="AP1566" s="147"/>
      <c r="AQ1566" s="147"/>
    </row>
    <row r="1567" spans="1:43">
      <c r="A1567" s="3"/>
      <c r="B1567" s="3"/>
      <c r="C1567" s="3"/>
      <c r="D1567" s="3"/>
      <c r="E1567" s="3"/>
      <c r="F1567" s="3"/>
      <c r="G1567" s="3"/>
      <c r="H1567" s="3"/>
      <c r="I1567" s="3"/>
      <c r="J1567" s="3"/>
      <c r="K1567" s="3"/>
      <c r="L1567" s="3"/>
      <c r="M1567" s="3"/>
      <c r="N1567" s="157"/>
      <c r="O1567" s="157"/>
      <c r="P1567" s="157"/>
      <c r="R1567" s="147"/>
      <c r="S1567" s="147"/>
      <c r="T1567" s="147"/>
      <c r="U1567" s="147"/>
      <c r="X1567" s="147"/>
      <c r="Y1567" s="147"/>
      <c r="Z1567" s="147"/>
      <c r="AA1567" s="147"/>
      <c r="AB1567" s="147"/>
      <c r="AC1567" s="147"/>
      <c r="AD1567" s="147"/>
      <c r="AE1567" s="147"/>
      <c r="AF1567" s="147"/>
      <c r="AG1567" s="147"/>
      <c r="AH1567" s="147"/>
      <c r="AI1567" s="147"/>
      <c r="AJ1567" s="147"/>
      <c r="AK1567" s="147"/>
      <c r="AL1567" s="147"/>
      <c r="AM1567" s="147"/>
      <c r="AN1567" s="147"/>
      <c r="AO1567" s="147"/>
      <c r="AP1567" s="147"/>
      <c r="AQ1567" s="147"/>
    </row>
    <row r="1568" spans="1:43">
      <c r="A1568" s="3"/>
      <c r="B1568" s="3"/>
      <c r="C1568" s="3"/>
      <c r="D1568" s="3"/>
      <c r="E1568" s="3"/>
      <c r="F1568" s="3"/>
      <c r="G1568" s="3"/>
      <c r="H1568" s="3"/>
      <c r="I1568" s="3"/>
      <c r="J1568" s="3"/>
      <c r="K1568" s="3"/>
      <c r="L1568" s="3"/>
      <c r="M1568" s="3"/>
      <c r="N1568" s="157"/>
      <c r="O1568" s="157"/>
      <c r="P1568" s="157"/>
      <c r="R1568" s="147"/>
      <c r="S1568" s="147"/>
      <c r="T1568" s="147"/>
      <c r="U1568" s="147"/>
      <c r="X1568" s="147"/>
      <c r="Y1568" s="147"/>
      <c r="Z1568" s="147"/>
      <c r="AA1568" s="147"/>
      <c r="AB1568" s="147"/>
      <c r="AC1568" s="147"/>
      <c r="AD1568" s="147"/>
      <c r="AE1568" s="147"/>
      <c r="AF1568" s="147"/>
      <c r="AG1568" s="147"/>
      <c r="AH1568" s="147"/>
      <c r="AI1568" s="147"/>
      <c r="AJ1568" s="147"/>
      <c r="AK1568" s="147"/>
      <c r="AL1568" s="147"/>
      <c r="AM1568" s="147"/>
      <c r="AN1568" s="147"/>
      <c r="AO1568" s="147"/>
      <c r="AP1568" s="147"/>
      <c r="AQ1568" s="147"/>
    </row>
    <row r="1569" spans="1:43">
      <c r="A1569" s="3"/>
      <c r="B1569" s="3"/>
      <c r="C1569" s="3"/>
      <c r="D1569" s="3"/>
      <c r="E1569" s="3"/>
      <c r="F1569" s="3"/>
      <c r="G1569" s="3"/>
      <c r="H1569" s="3"/>
      <c r="I1569" s="3"/>
      <c r="J1569" s="3"/>
      <c r="K1569" s="3"/>
      <c r="L1569" s="3"/>
      <c r="M1569" s="3"/>
      <c r="N1569" s="157"/>
      <c r="O1569" s="157"/>
      <c r="P1569" s="157"/>
      <c r="R1569" s="147"/>
      <c r="S1569" s="147"/>
      <c r="T1569" s="147"/>
      <c r="U1569" s="147"/>
      <c r="X1569" s="147"/>
      <c r="Y1569" s="147"/>
      <c r="Z1569" s="147"/>
      <c r="AA1569" s="147"/>
      <c r="AB1569" s="147"/>
      <c r="AC1569" s="147"/>
      <c r="AD1569" s="147"/>
      <c r="AE1569" s="147"/>
      <c r="AF1569" s="147"/>
      <c r="AG1569" s="147"/>
      <c r="AH1569" s="147"/>
      <c r="AI1569" s="147"/>
      <c r="AJ1569" s="147"/>
      <c r="AK1569" s="147"/>
      <c r="AL1569" s="147"/>
      <c r="AM1569" s="147"/>
      <c r="AN1569" s="147"/>
      <c r="AO1569" s="147"/>
      <c r="AP1569" s="147"/>
      <c r="AQ1569" s="147"/>
    </row>
    <row r="1570" spans="1:43">
      <c r="A1570" s="3"/>
      <c r="B1570" s="3"/>
      <c r="C1570" s="3"/>
      <c r="D1570" s="3"/>
      <c r="E1570" s="3"/>
      <c r="F1570" s="3"/>
      <c r="G1570" s="3"/>
      <c r="H1570" s="3"/>
      <c r="I1570" s="3"/>
      <c r="J1570" s="3"/>
      <c r="K1570" s="3"/>
      <c r="L1570" s="3"/>
      <c r="M1570" s="3"/>
      <c r="N1570" s="157"/>
      <c r="O1570" s="157"/>
      <c r="P1570" s="157"/>
      <c r="R1570" s="147"/>
      <c r="S1570" s="147"/>
      <c r="T1570" s="147"/>
      <c r="U1570" s="147"/>
      <c r="X1570" s="147"/>
      <c r="Y1570" s="147"/>
      <c r="Z1570" s="147"/>
      <c r="AA1570" s="147"/>
      <c r="AB1570" s="147"/>
      <c r="AC1570" s="147"/>
      <c r="AD1570" s="147"/>
      <c r="AE1570" s="147"/>
      <c r="AF1570" s="147"/>
      <c r="AG1570" s="147"/>
      <c r="AH1570" s="147"/>
      <c r="AI1570" s="147"/>
      <c r="AJ1570" s="147"/>
      <c r="AK1570" s="147"/>
      <c r="AL1570" s="147"/>
      <c r="AM1570" s="147"/>
      <c r="AN1570" s="147"/>
      <c r="AO1570" s="147"/>
      <c r="AP1570" s="147"/>
      <c r="AQ1570" s="147"/>
    </row>
    <row r="1571" spans="1:43">
      <c r="A1571" s="3"/>
      <c r="B1571" s="3"/>
      <c r="C1571" s="3"/>
      <c r="D1571" s="3"/>
      <c r="E1571" s="3"/>
      <c r="F1571" s="3"/>
      <c r="G1571" s="3"/>
      <c r="H1571" s="3"/>
      <c r="I1571" s="3"/>
      <c r="J1571" s="3"/>
      <c r="K1571" s="3"/>
      <c r="L1571" s="3"/>
      <c r="M1571" s="3"/>
      <c r="N1571" s="157"/>
      <c r="O1571" s="157"/>
      <c r="P1571" s="157"/>
      <c r="R1571" s="147"/>
      <c r="S1571" s="147"/>
      <c r="T1571" s="147"/>
      <c r="U1571" s="147"/>
      <c r="X1571" s="147"/>
      <c r="Y1571" s="147"/>
      <c r="Z1571" s="147"/>
      <c r="AA1571" s="147"/>
      <c r="AB1571" s="147"/>
      <c r="AC1571" s="147"/>
      <c r="AD1571" s="147"/>
      <c r="AE1571" s="147"/>
      <c r="AF1571" s="147"/>
      <c r="AG1571" s="147"/>
      <c r="AH1571" s="147"/>
      <c r="AI1571" s="147"/>
      <c r="AJ1571" s="147"/>
      <c r="AK1571" s="147"/>
      <c r="AL1571" s="147"/>
      <c r="AM1571" s="147"/>
      <c r="AN1571" s="147"/>
      <c r="AO1571" s="147"/>
      <c r="AP1571" s="147"/>
      <c r="AQ1571" s="147"/>
    </row>
    <row r="1572" spans="1:43">
      <c r="A1572" s="3"/>
      <c r="B1572" s="3"/>
      <c r="C1572" s="3"/>
      <c r="D1572" s="3"/>
      <c r="E1572" s="3"/>
      <c r="F1572" s="3"/>
      <c r="G1572" s="3"/>
      <c r="H1572" s="3"/>
      <c r="I1572" s="3"/>
      <c r="J1572" s="3"/>
      <c r="K1572" s="3"/>
      <c r="L1572" s="3"/>
      <c r="M1572" s="3"/>
      <c r="N1572" s="157"/>
      <c r="O1572" s="157"/>
      <c r="P1572" s="157"/>
      <c r="R1572" s="147"/>
      <c r="S1572" s="147"/>
      <c r="T1572" s="147"/>
      <c r="U1572" s="147"/>
      <c r="X1572" s="147"/>
      <c r="Y1572" s="147"/>
      <c r="Z1572" s="147"/>
      <c r="AA1572" s="147"/>
      <c r="AB1572" s="147"/>
      <c r="AC1572" s="147"/>
      <c r="AD1572" s="147"/>
      <c r="AE1572" s="147"/>
      <c r="AF1572" s="147"/>
      <c r="AG1572" s="147"/>
      <c r="AH1572" s="147"/>
      <c r="AI1572" s="147"/>
      <c r="AJ1572" s="147"/>
      <c r="AK1572" s="147"/>
      <c r="AL1572" s="147"/>
      <c r="AM1572" s="147"/>
      <c r="AN1572" s="147"/>
      <c r="AO1572" s="147"/>
      <c r="AP1572" s="147"/>
      <c r="AQ1572" s="147"/>
    </row>
    <row r="1573" spans="1:43">
      <c r="A1573" s="3"/>
      <c r="B1573" s="3"/>
      <c r="C1573" s="3"/>
      <c r="D1573" s="3"/>
      <c r="E1573" s="3"/>
      <c r="F1573" s="3"/>
      <c r="G1573" s="3"/>
      <c r="H1573" s="3"/>
      <c r="I1573" s="3"/>
      <c r="J1573" s="3"/>
      <c r="K1573" s="3"/>
      <c r="L1573" s="3"/>
      <c r="M1573" s="3"/>
      <c r="N1573" s="157"/>
      <c r="O1573" s="157"/>
      <c r="P1573" s="157"/>
      <c r="R1573" s="147"/>
      <c r="S1573" s="147"/>
      <c r="T1573" s="147"/>
      <c r="U1573" s="147"/>
      <c r="X1573" s="147"/>
      <c r="Y1573" s="147"/>
      <c r="Z1573" s="147"/>
      <c r="AA1573" s="147"/>
      <c r="AB1573" s="147"/>
      <c r="AC1573" s="147"/>
      <c r="AD1573" s="147"/>
      <c r="AE1573" s="147"/>
      <c r="AF1573" s="147"/>
      <c r="AG1573" s="147"/>
      <c r="AH1573" s="147"/>
      <c r="AI1573" s="147"/>
      <c r="AJ1573" s="147"/>
      <c r="AK1573" s="147"/>
      <c r="AL1573" s="147"/>
      <c r="AM1573" s="147"/>
      <c r="AN1573" s="147"/>
      <c r="AO1573" s="147"/>
      <c r="AP1573" s="147"/>
      <c r="AQ1573" s="147"/>
    </row>
    <row r="1574" spans="1:43">
      <c r="A1574" s="3"/>
      <c r="B1574" s="3"/>
      <c r="C1574" s="3"/>
      <c r="D1574" s="3"/>
      <c r="E1574" s="3"/>
      <c r="F1574" s="3"/>
      <c r="G1574" s="3"/>
      <c r="H1574" s="3"/>
      <c r="I1574" s="3"/>
      <c r="J1574" s="3"/>
      <c r="K1574" s="3"/>
      <c r="L1574" s="3"/>
      <c r="M1574" s="3"/>
      <c r="N1574" s="157"/>
      <c r="O1574" s="157"/>
      <c r="P1574" s="157"/>
      <c r="R1574" s="147"/>
      <c r="S1574" s="147"/>
      <c r="T1574" s="147"/>
      <c r="U1574" s="147"/>
      <c r="X1574" s="147"/>
      <c r="Y1574" s="147"/>
      <c r="Z1574" s="147"/>
      <c r="AA1574" s="147"/>
      <c r="AB1574" s="147"/>
      <c r="AC1574" s="147"/>
      <c r="AD1574" s="147"/>
      <c r="AE1574" s="147"/>
      <c r="AF1574" s="147"/>
      <c r="AG1574" s="147"/>
      <c r="AH1574" s="147"/>
      <c r="AI1574" s="147"/>
      <c r="AJ1574" s="147"/>
      <c r="AK1574" s="147"/>
      <c r="AL1574" s="147"/>
      <c r="AM1574" s="147"/>
      <c r="AN1574" s="147"/>
      <c r="AO1574" s="147"/>
      <c r="AP1574" s="147"/>
      <c r="AQ1574" s="147"/>
    </row>
    <row r="1575" spans="1:43">
      <c r="A1575" s="3"/>
      <c r="B1575" s="3"/>
      <c r="C1575" s="3"/>
      <c r="D1575" s="3"/>
      <c r="E1575" s="3"/>
      <c r="F1575" s="3"/>
      <c r="G1575" s="3"/>
      <c r="H1575" s="3"/>
      <c r="I1575" s="3"/>
      <c r="J1575" s="3"/>
      <c r="K1575" s="3"/>
      <c r="L1575" s="3"/>
      <c r="M1575" s="3"/>
      <c r="N1575" s="157"/>
      <c r="O1575" s="157"/>
      <c r="P1575" s="157"/>
      <c r="R1575" s="147"/>
      <c r="S1575" s="147"/>
      <c r="T1575" s="147"/>
      <c r="U1575" s="147"/>
      <c r="X1575" s="147"/>
      <c r="Y1575" s="147"/>
      <c r="Z1575" s="147"/>
      <c r="AA1575" s="147"/>
      <c r="AB1575" s="147"/>
      <c r="AC1575" s="147"/>
      <c r="AD1575" s="147"/>
      <c r="AE1575" s="147"/>
      <c r="AF1575" s="147"/>
      <c r="AG1575" s="147"/>
      <c r="AH1575" s="147"/>
      <c r="AI1575" s="147"/>
      <c r="AJ1575" s="147"/>
      <c r="AK1575" s="147"/>
      <c r="AL1575" s="147"/>
      <c r="AM1575" s="147"/>
      <c r="AN1575" s="147"/>
      <c r="AO1575" s="147"/>
      <c r="AP1575" s="147"/>
      <c r="AQ1575" s="147"/>
    </row>
    <row r="1576" spans="1:43">
      <c r="A1576" s="3"/>
      <c r="B1576" s="3"/>
      <c r="C1576" s="3"/>
      <c r="D1576" s="3"/>
      <c r="E1576" s="3"/>
      <c r="F1576" s="3"/>
      <c r="G1576" s="3"/>
      <c r="H1576" s="3"/>
      <c r="I1576" s="3"/>
      <c r="J1576" s="3"/>
      <c r="K1576" s="3"/>
      <c r="L1576" s="3"/>
      <c r="M1576" s="3"/>
      <c r="N1576" s="157"/>
      <c r="O1576" s="157"/>
      <c r="P1576" s="157"/>
      <c r="R1576" s="147"/>
      <c r="S1576" s="147"/>
      <c r="T1576" s="147"/>
      <c r="U1576" s="147"/>
      <c r="X1576" s="147"/>
      <c r="Y1576" s="147"/>
      <c r="Z1576" s="147"/>
      <c r="AA1576" s="147"/>
      <c r="AB1576" s="147"/>
      <c r="AC1576" s="147"/>
      <c r="AD1576" s="147"/>
      <c r="AE1576" s="147"/>
      <c r="AF1576" s="147"/>
      <c r="AG1576" s="147"/>
      <c r="AH1576" s="147"/>
      <c r="AI1576" s="147"/>
      <c r="AJ1576" s="147"/>
      <c r="AK1576" s="147"/>
      <c r="AL1576" s="147"/>
      <c r="AM1576" s="147"/>
      <c r="AN1576" s="147"/>
      <c r="AO1576" s="147"/>
      <c r="AP1576" s="147"/>
      <c r="AQ1576" s="147"/>
    </row>
    <row r="1577" spans="1:43">
      <c r="A1577" s="3"/>
      <c r="B1577" s="3"/>
      <c r="C1577" s="3"/>
      <c r="D1577" s="3"/>
      <c r="E1577" s="3"/>
      <c r="F1577" s="3"/>
      <c r="G1577" s="3"/>
      <c r="H1577" s="3"/>
      <c r="I1577" s="3"/>
      <c r="J1577" s="3"/>
      <c r="K1577" s="3"/>
      <c r="L1577" s="3"/>
      <c r="M1577" s="3"/>
      <c r="N1577" s="157"/>
      <c r="O1577" s="157"/>
      <c r="P1577" s="157"/>
      <c r="R1577" s="147"/>
      <c r="S1577" s="147"/>
      <c r="T1577" s="147"/>
      <c r="U1577" s="147"/>
      <c r="X1577" s="147"/>
      <c r="Y1577" s="147"/>
      <c r="Z1577" s="147"/>
      <c r="AA1577" s="147"/>
      <c r="AB1577" s="147"/>
      <c r="AC1577" s="147"/>
      <c r="AD1577" s="147"/>
      <c r="AE1577" s="147"/>
      <c r="AF1577" s="147"/>
      <c r="AG1577" s="147"/>
      <c r="AH1577" s="147"/>
      <c r="AI1577" s="147"/>
      <c r="AJ1577" s="147"/>
      <c r="AK1577" s="147"/>
      <c r="AL1577" s="147"/>
      <c r="AM1577" s="147"/>
      <c r="AN1577" s="147"/>
      <c r="AO1577" s="147"/>
      <c r="AP1577" s="147"/>
      <c r="AQ1577" s="147"/>
    </row>
    <row r="1578" spans="1:43">
      <c r="A1578" s="3"/>
      <c r="B1578" s="3"/>
      <c r="C1578" s="3"/>
      <c r="D1578" s="3"/>
      <c r="E1578" s="3"/>
      <c r="F1578" s="3"/>
      <c r="G1578" s="3"/>
      <c r="H1578" s="3"/>
      <c r="I1578" s="3"/>
      <c r="J1578" s="3"/>
      <c r="K1578" s="3"/>
      <c r="L1578" s="3"/>
      <c r="M1578" s="3"/>
      <c r="N1578" s="157"/>
      <c r="O1578" s="157"/>
      <c r="P1578" s="157"/>
      <c r="R1578" s="147"/>
      <c r="S1578" s="147"/>
      <c r="T1578" s="147"/>
      <c r="U1578" s="147"/>
      <c r="X1578" s="147"/>
      <c r="Y1578" s="147"/>
      <c r="Z1578" s="147"/>
      <c r="AA1578" s="147"/>
      <c r="AB1578" s="147"/>
      <c r="AC1578" s="147"/>
      <c r="AD1578" s="147"/>
      <c r="AE1578" s="147"/>
      <c r="AF1578" s="147"/>
      <c r="AG1578" s="147"/>
      <c r="AH1578" s="147"/>
      <c r="AI1578" s="147"/>
      <c r="AJ1578" s="147"/>
      <c r="AK1578" s="147"/>
      <c r="AL1578" s="147"/>
      <c r="AM1578" s="147"/>
      <c r="AN1578" s="147"/>
      <c r="AO1578" s="147"/>
      <c r="AP1578" s="147"/>
      <c r="AQ1578" s="147"/>
    </row>
    <row r="1579" spans="1:43">
      <c r="A1579" s="3"/>
      <c r="B1579" s="3"/>
      <c r="C1579" s="3"/>
      <c r="D1579" s="3"/>
      <c r="E1579" s="3"/>
      <c r="F1579" s="3"/>
      <c r="G1579" s="3"/>
      <c r="H1579" s="3"/>
      <c r="I1579" s="3"/>
      <c r="J1579" s="3"/>
      <c r="K1579" s="3"/>
      <c r="L1579" s="3"/>
      <c r="M1579" s="3"/>
      <c r="N1579" s="157"/>
      <c r="O1579" s="157"/>
      <c r="P1579" s="157"/>
      <c r="R1579" s="147"/>
      <c r="S1579" s="147"/>
      <c r="T1579" s="147"/>
      <c r="U1579" s="147"/>
      <c r="X1579" s="147"/>
      <c r="Y1579" s="147"/>
      <c r="Z1579" s="147"/>
      <c r="AA1579" s="147"/>
      <c r="AB1579" s="147"/>
      <c r="AC1579" s="147"/>
      <c r="AD1579" s="147"/>
      <c r="AE1579" s="147"/>
      <c r="AF1579" s="147"/>
      <c r="AG1579" s="147"/>
      <c r="AH1579" s="147"/>
      <c r="AI1579" s="147"/>
      <c r="AJ1579" s="147"/>
      <c r="AK1579" s="147"/>
      <c r="AL1579" s="147"/>
      <c r="AM1579" s="147"/>
      <c r="AN1579" s="147"/>
      <c r="AO1579" s="147"/>
      <c r="AP1579" s="147"/>
      <c r="AQ1579" s="147"/>
    </row>
    <row r="1580" spans="1:43">
      <c r="A1580" s="3"/>
      <c r="B1580" s="3"/>
      <c r="C1580" s="3"/>
      <c r="D1580" s="3"/>
      <c r="E1580" s="3"/>
      <c r="F1580" s="3"/>
      <c r="G1580" s="3"/>
      <c r="H1580" s="3"/>
      <c r="I1580" s="3"/>
      <c r="J1580" s="3"/>
      <c r="K1580" s="3"/>
      <c r="L1580" s="3"/>
      <c r="M1580" s="3"/>
      <c r="N1580" s="157"/>
      <c r="O1580" s="157"/>
      <c r="P1580" s="157"/>
      <c r="R1580" s="147"/>
      <c r="S1580" s="147"/>
      <c r="T1580" s="147"/>
      <c r="U1580" s="147"/>
      <c r="X1580" s="147"/>
      <c r="Y1580" s="147"/>
      <c r="Z1580" s="147"/>
      <c r="AA1580" s="147"/>
      <c r="AB1580" s="147"/>
      <c r="AC1580" s="147"/>
      <c r="AD1580" s="147"/>
      <c r="AE1580" s="147"/>
      <c r="AF1580" s="147"/>
      <c r="AG1580" s="147"/>
      <c r="AH1580" s="147"/>
      <c r="AI1580" s="147"/>
      <c r="AJ1580" s="147"/>
      <c r="AK1580" s="147"/>
      <c r="AL1580" s="147"/>
      <c r="AM1580" s="147"/>
      <c r="AN1580" s="147"/>
      <c r="AO1580" s="147"/>
      <c r="AP1580" s="147"/>
      <c r="AQ1580" s="147"/>
    </row>
    <row r="1581" spans="1:43">
      <c r="A1581" s="3"/>
      <c r="B1581" s="3"/>
      <c r="C1581" s="3"/>
      <c r="D1581" s="3"/>
      <c r="E1581" s="3"/>
      <c r="F1581" s="3"/>
      <c r="G1581" s="3"/>
      <c r="H1581" s="3"/>
      <c r="I1581" s="3"/>
      <c r="J1581" s="3"/>
      <c r="K1581" s="3"/>
      <c r="L1581" s="3"/>
      <c r="M1581" s="3"/>
      <c r="N1581" s="157"/>
      <c r="O1581" s="157"/>
      <c r="P1581" s="157"/>
      <c r="R1581" s="147"/>
      <c r="S1581" s="147"/>
      <c r="T1581" s="147"/>
      <c r="U1581" s="147"/>
      <c r="X1581" s="147"/>
      <c r="Y1581" s="147"/>
      <c r="Z1581" s="147"/>
      <c r="AA1581" s="147"/>
      <c r="AB1581" s="147"/>
      <c r="AC1581" s="147"/>
      <c r="AD1581" s="147"/>
      <c r="AE1581" s="147"/>
      <c r="AF1581" s="147"/>
      <c r="AG1581" s="147"/>
      <c r="AH1581" s="147"/>
      <c r="AI1581" s="147"/>
      <c r="AJ1581" s="147"/>
      <c r="AK1581" s="147"/>
      <c r="AL1581" s="147"/>
      <c r="AM1581" s="147"/>
      <c r="AN1581" s="147"/>
      <c r="AO1581" s="147"/>
      <c r="AP1581" s="147"/>
      <c r="AQ1581" s="147"/>
    </row>
  </sheetData>
  <autoFilter ref="Q1:U1581" xr:uid="{00000000-0009-0000-0000-00000A000000}"/>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LEVEL_HELPER!$A$2:$A$15</xm:f>
          </x14:formula1>
          <xm:sqref>F2:G1581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998"/>
  <sheetViews>
    <sheetView workbookViewId="0"/>
  </sheetViews>
  <sheetFormatPr defaultColWidth="14.42578125" defaultRowHeight="15" customHeight="1"/>
  <cols>
    <col min="1" max="1" width="9.85546875" customWidth="1"/>
    <col min="5" max="5" width="19.85546875" customWidth="1"/>
    <col min="6" max="6" width="20.7109375" customWidth="1"/>
  </cols>
  <sheetData>
    <row r="1" spans="1:28">
      <c r="A1" s="184" t="s">
        <v>125</v>
      </c>
      <c r="B1" s="185" t="s">
        <v>973</v>
      </c>
      <c r="C1" s="185" t="s">
        <v>974</v>
      </c>
      <c r="D1" s="185" t="s">
        <v>975</v>
      </c>
      <c r="E1" s="185" t="s">
        <v>976</v>
      </c>
      <c r="F1" s="185" t="s">
        <v>977</v>
      </c>
      <c r="G1" s="185" t="s">
        <v>978</v>
      </c>
      <c r="H1" s="185" t="s">
        <v>979</v>
      </c>
      <c r="I1" s="185" t="s">
        <v>980</v>
      </c>
      <c r="J1" s="186" t="s">
        <v>981</v>
      </c>
      <c r="K1" s="186" t="s">
        <v>982</v>
      </c>
      <c r="L1" s="186" t="s">
        <v>983</v>
      </c>
    </row>
    <row r="2" spans="1:28">
      <c r="A2" s="187" t="s">
        <v>921</v>
      </c>
      <c r="B2" s="188">
        <f ca="1">COUNTIFS(sheet2!$M:$M, A2, sheet2!$S:$S, 1, sheet2!$R:$R, "Not tested yet")</f>
        <v>61</v>
      </c>
      <c r="C2" s="188">
        <f ca="1">COUNTIFS(sheet2!$M:$M, A2, sheet2!$S:$S, 1, sheet2!$R:$R, "Regressed")</f>
        <v>0</v>
      </c>
      <c r="D2" s="188">
        <f ca="1">COUNTIFS(sheet2!$M:$M, A2, sheet2!$S:$S, 1, sheet2!$R:$R, "No Progress")</f>
        <v>0</v>
      </c>
      <c r="E2" s="188">
        <f ca="1">COUNTIFS(sheet2!$M:$M, A2, sheet2!$S:$S, 1, sheet2!$R:$R, "Progress within level")</f>
        <v>0</v>
      </c>
      <c r="F2" s="188">
        <f ca="1">COUNTIFS(sheet2!$M:$M, A2, sheet2!$S:$S, 1, sheet2!$R:$R, "Lv1 → Lv2")</f>
        <v>0</v>
      </c>
      <c r="G2" s="188">
        <f ca="1">COUNTIFS(sheet2!$M:$M, A2, sheet2!$S:$S, 1, sheet2!$R:$R, "Lv2 → Lv3")</f>
        <v>0</v>
      </c>
      <c r="H2" s="188">
        <f ca="1">COUNTIFS(sheet2!$M:$M, A2, sheet2!$S:$S, 1, sheet2!$R:$R, "Lv3 → Lv4")</f>
        <v>0</v>
      </c>
      <c r="I2" s="189">
        <f ca="1">COUNTIFS(sheet2!$M:$M, A2, sheet2!$S:$S, 1, sheet2!$R:$R, "Lv1 → Lv3 (multi)")
+COUNTIFS(sheet2!$M:$M, A2, sheet2!$S:$S, 1, sheet2!$R:$R, "Lv1 → Lv4 (multi)")
+COUNTIFS(sheet2!$M:$M, A2, sheet2!$S:$S, 1, sheet2!$R:$R, "Lv2 → Lv4 (multi)")</f>
        <v>0</v>
      </c>
      <c r="J2" s="190">
        <f t="shared" ref="J2:J8" si="0">IFERROR(L2/SUM($L$2:$L$8), 0)</f>
        <v>0.20065789473684212</v>
      </c>
      <c r="K2" s="187">
        <f t="shared" ref="K2:K8" ca="1" si="1">L2-SUM(C2:I2)</f>
        <v>61</v>
      </c>
      <c r="L2" s="191">
        <f>COUNTIFS(sheet2!$M:$M, A2, sheet2!$S:$S, 1)</f>
        <v>61</v>
      </c>
      <c r="M2" s="187"/>
      <c r="N2" s="187"/>
      <c r="O2" s="187"/>
      <c r="P2" s="187"/>
      <c r="Q2" s="187"/>
      <c r="R2" s="187"/>
      <c r="S2" s="187"/>
      <c r="T2" s="187"/>
      <c r="U2" s="187"/>
      <c r="V2" s="187"/>
      <c r="W2" s="187"/>
      <c r="X2" s="187"/>
      <c r="Y2" s="187"/>
      <c r="Z2" s="187"/>
      <c r="AA2" s="187"/>
      <c r="AB2" s="187"/>
    </row>
    <row r="3" spans="1:28">
      <c r="A3" s="3" t="s">
        <v>922</v>
      </c>
      <c r="B3" s="192">
        <f ca="1">COUNTIFS(sheet2!$M:$M, A3, sheet2!$S:$S, 1, sheet2!$R:$R, "Not tested yet")</f>
        <v>63</v>
      </c>
      <c r="C3" s="192">
        <f ca="1">COUNTIFS(sheet2!$M:$M, A3, sheet2!$S:$S, 1, sheet2!$R:$R, "Regressed")</f>
        <v>0</v>
      </c>
      <c r="D3" s="192">
        <f ca="1">COUNTIFS(sheet2!$M:$M, A3, sheet2!$S:$S, 1, sheet2!$R:$R, "No Progress")</f>
        <v>0</v>
      </c>
      <c r="E3" s="192">
        <f ca="1">COUNTIFS(sheet2!$M:$M, A3, sheet2!$S:$S, 1, sheet2!$R:$R, "Progress within level")</f>
        <v>0</v>
      </c>
      <c r="F3" s="192">
        <f ca="1">COUNTIFS(sheet2!$M:$M, A3, sheet2!$S:$S, 1, sheet2!$R:$R, "Lv1 → Lv2")</f>
        <v>0</v>
      </c>
      <c r="G3" s="192">
        <f ca="1">COUNTIFS(sheet2!$M:$M, A3, sheet2!$S:$S, 1, sheet2!$R:$R, "Lv2 → Lv3")</f>
        <v>0</v>
      </c>
      <c r="H3" s="192">
        <f ca="1">COUNTIFS(sheet2!$M:$M, A3, sheet2!$S:$S, 1, sheet2!$R:$R, "Lv3 → Lv4")</f>
        <v>0</v>
      </c>
      <c r="I3" s="157">
        <f ca="1">COUNTIFS(sheet2!$M:$M, A3, sheet2!$S:$S, 1, sheet2!$R:$R, "Lv1 → Lv3 (multi)")
+COUNTIFS(sheet2!$M:$M, A3, sheet2!$S:$S, 1, sheet2!$R:$R, "Lv1 → Lv4 (multi)")
+COUNTIFS(sheet2!$M:$M, A3, sheet2!$S:$S, 1, sheet2!$R:$R, "Lv2 → Lv4 (multi)")</f>
        <v>0</v>
      </c>
      <c r="J3" s="193">
        <f t="shared" si="0"/>
        <v>0.20723684210526316</v>
      </c>
      <c r="K3" s="3">
        <f t="shared" ca="1" si="1"/>
        <v>63</v>
      </c>
      <c r="L3" s="194">
        <f>COUNTIFS(sheet2!$M:$M, A3, sheet2!$S:$S, 1)</f>
        <v>63</v>
      </c>
    </row>
    <row r="4" spans="1:28">
      <c r="A4" s="3" t="s">
        <v>923</v>
      </c>
      <c r="B4" s="192">
        <f ca="1">COUNTIFS(sheet2!$M:$M, A4, sheet2!$S:$S, 1, sheet2!$R:$R, "Not tested yet")</f>
        <v>57</v>
      </c>
      <c r="C4" s="192">
        <f ca="1">COUNTIFS(sheet2!$M:$M, A4, sheet2!$S:$S, 1, sheet2!$R:$R, "Regressed")</f>
        <v>0</v>
      </c>
      <c r="D4" s="192">
        <f ca="1">COUNTIFS(sheet2!$M:$M, A4, sheet2!$S:$S, 1, sheet2!$R:$R, "No Progress")</f>
        <v>0</v>
      </c>
      <c r="E4" s="192">
        <f ca="1">COUNTIFS(sheet2!$M:$M, A4, sheet2!$S:$S, 1, sheet2!$R:$R, "Progress within level")</f>
        <v>0</v>
      </c>
      <c r="F4" s="192">
        <f ca="1">COUNTIFS(sheet2!$M:$M, A4, sheet2!$S:$S, 1, sheet2!$R:$R, "Lv1 → Lv2")</f>
        <v>0</v>
      </c>
      <c r="G4" s="192">
        <f ca="1">COUNTIFS(sheet2!$M:$M, A4, sheet2!$S:$S, 1, sheet2!$R:$R, "Lv2 → Lv3")</f>
        <v>0</v>
      </c>
      <c r="H4" s="192">
        <f ca="1">COUNTIFS(sheet2!$M:$M, A4, sheet2!$S:$S, 1, sheet2!$R:$R, "Lv3 → Lv4")</f>
        <v>0</v>
      </c>
      <c r="I4" s="157">
        <f ca="1">COUNTIFS(sheet2!$M:$M, A4, sheet2!$S:$S, 1, sheet2!$R:$R, "Lv1 → Lv3 (multi)")
+COUNTIFS(sheet2!$M:$M, A4, sheet2!$S:$S, 1, sheet2!$R:$R, "Lv1 → Lv4 (multi)")
+COUNTIFS(sheet2!$M:$M, A4, sheet2!$S:$S, 1, sheet2!$R:$R, "Lv2 → Lv4 (multi)")</f>
        <v>0</v>
      </c>
      <c r="J4" s="193">
        <f t="shared" si="0"/>
        <v>0.1875</v>
      </c>
      <c r="K4" s="3">
        <f t="shared" ca="1" si="1"/>
        <v>57</v>
      </c>
      <c r="L4" s="194">
        <f>COUNTIFS(sheet2!$M:$M, A4, sheet2!$S:$S, 1)</f>
        <v>57</v>
      </c>
    </row>
    <row r="5" spans="1:28">
      <c r="A5" s="3" t="s">
        <v>924</v>
      </c>
      <c r="B5" s="192">
        <f ca="1">COUNTIFS(sheet2!$M:$M, A5, sheet2!$S:$S, 1, sheet2!$R:$R, "Not tested yet")</f>
        <v>55</v>
      </c>
      <c r="C5" s="192">
        <f ca="1">COUNTIFS(sheet2!$M:$M, A5, sheet2!$S:$S, 1, sheet2!$R:$R, "Regressed")</f>
        <v>0</v>
      </c>
      <c r="D5" s="192">
        <f ca="1">COUNTIFS(sheet2!$M:$M, A5, sheet2!$S:$S, 1, sheet2!$R:$R, "No Progress")</f>
        <v>0</v>
      </c>
      <c r="E5" s="192">
        <f ca="1">COUNTIFS(sheet2!$M:$M, A5, sheet2!$S:$S, 1, sheet2!$R:$R, "Progress within level")</f>
        <v>0</v>
      </c>
      <c r="F5" s="192">
        <f ca="1">COUNTIFS(sheet2!$M:$M, A5, sheet2!$S:$S, 1, sheet2!$R:$R, "Lv1 → Lv2")</f>
        <v>0</v>
      </c>
      <c r="G5" s="192">
        <f ca="1">COUNTIFS(sheet2!$M:$M, A5, sheet2!$S:$S, 1, sheet2!$R:$R, "Lv2 → Lv3")</f>
        <v>0</v>
      </c>
      <c r="H5" s="192">
        <f ca="1">COUNTIFS(sheet2!$M:$M, A5, sheet2!$S:$S, 1, sheet2!$R:$R, "Lv3 → Lv4")</f>
        <v>0</v>
      </c>
      <c r="I5" s="157">
        <f ca="1">COUNTIFS(sheet2!$M:$M, A5, sheet2!$S:$S, 1, sheet2!$R:$R, "Lv1 → Lv3 (multi)")
+COUNTIFS(sheet2!$M:$M, A5, sheet2!$S:$S, 1, sheet2!$R:$R, "Lv1 → Lv4 (multi)")
+COUNTIFS(sheet2!$M:$M, A5, sheet2!$S:$S, 1, sheet2!$R:$R, "Lv2 → Lv4 (multi)")</f>
        <v>0</v>
      </c>
      <c r="J5" s="193">
        <f t="shared" si="0"/>
        <v>0.18092105263157895</v>
      </c>
      <c r="K5" s="3">
        <f t="shared" ca="1" si="1"/>
        <v>55</v>
      </c>
      <c r="L5" s="194">
        <f>COUNTIFS(sheet2!$M:$M, A5, sheet2!$S:$S, 1)</f>
        <v>55</v>
      </c>
    </row>
    <row r="6" spans="1:28">
      <c r="A6" s="3" t="s">
        <v>919</v>
      </c>
      <c r="B6" s="192">
        <f ca="1">COUNTIFS(sheet2!$M:$M, A6, sheet2!$S:$S, 1, sheet2!$R:$R, "Not tested yet")</f>
        <v>28</v>
      </c>
      <c r="C6" s="192">
        <f ca="1">COUNTIFS(sheet2!$M:$M, A6, sheet2!$S:$S, 1, sheet2!$R:$R, "Regressed")</f>
        <v>0</v>
      </c>
      <c r="D6" s="192">
        <f ca="1">COUNTIFS(sheet2!$M:$M, A6, sheet2!$S:$S, 1, sheet2!$R:$R, "No Progress")</f>
        <v>0</v>
      </c>
      <c r="E6" s="192">
        <f ca="1">COUNTIFS(sheet2!$M:$M, A6, sheet2!$S:$S, 1, sheet2!$R:$R, "Progress within level")</f>
        <v>0</v>
      </c>
      <c r="F6" s="192">
        <f ca="1">COUNTIFS(sheet2!$M:$M, A6, sheet2!$S:$S, 1, sheet2!$R:$R, "Lv1 → Lv2")</f>
        <v>0</v>
      </c>
      <c r="G6" s="192">
        <f ca="1">COUNTIFS(sheet2!$M:$M, A6, sheet2!$S:$S, 1, sheet2!$R:$R, "Lv2 → Lv3")</f>
        <v>0</v>
      </c>
      <c r="H6" s="192">
        <f ca="1">COUNTIFS(sheet2!$M:$M, A6, sheet2!$S:$S, 1, sheet2!$R:$R, "Lv3 → Lv4")</f>
        <v>0</v>
      </c>
      <c r="I6" s="157">
        <f ca="1">COUNTIFS(sheet2!$M:$M, A6, sheet2!$S:$S, 1, sheet2!$R:$R, "Lv1 → Lv3 (multi)")
+COUNTIFS(sheet2!$M:$M, A6, sheet2!$S:$S, 1, sheet2!$R:$R, "Lv1 → Lv4 (multi)")
+COUNTIFS(sheet2!$M:$M, A6, sheet2!$S:$S, 1, sheet2!$R:$R, "Lv2 → Lv4 (multi)")</f>
        <v>0</v>
      </c>
      <c r="J6" s="193">
        <f t="shared" si="0"/>
        <v>9.2105263157894732E-2</v>
      </c>
      <c r="K6" s="3">
        <f t="shared" ca="1" si="1"/>
        <v>28</v>
      </c>
      <c r="L6" s="194">
        <f>COUNTIFS(sheet2!$M:$M, A6, sheet2!$S:$S, 1)</f>
        <v>28</v>
      </c>
    </row>
    <row r="7" spans="1:28">
      <c r="A7" s="3" t="s">
        <v>925</v>
      </c>
      <c r="B7" s="192">
        <f ca="1">COUNTIFS(sheet2!$M:$M, A7, sheet2!$S:$S, 1, sheet2!$R:$R, "Not tested yet")</f>
        <v>33</v>
      </c>
      <c r="C7" s="192">
        <f ca="1">COUNTIFS(sheet2!$M:$M, A7, sheet2!$S:$S, 1, sheet2!$R:$R, "Regressed")</f>
        <v>0</v>
      </c>
      <c r="D7" s="192">
        <f ca="1">COUNTIFS(sheet2!$M:$M, A7, sheet2!$S:$S, 1, sheet2!$R:$R, "No Progress")</f>
        <v>0</v>
      </c>
      <c r="E7" s="192">
        <f ca="1">COUNTIFS(sheet2!$M:$M, A7, sheet2!$S:$S, 1, sheet2!$R:$R, "Progress within level")</f>
        <v>0</v>
      </c>
      <c r="F7" s="192">
        <f ca="1">COUNTIFS(sheet2!$M:$M, A7, sheet2!$S:$S, 1, sheet2!$R:$R, "Lv1 → Lv2")</f>
        <v>0</v>
      </c>
      <c r="G7" s="192">
        <f ca="1">COUNTIFS(sheet2!$M:$M, A7, sheet2!$S:$S, 1, sheet2!$R:$R, "Lv2 → Lv3")</f>
        <v>0</v>
      </c>
      <c r="H7" s="192">
        <f ca="1">COUNTIFS(sheet2!$M:$M, A7, sheet2!$S:$S, 1, sheet2!$R:$R, "Lv3 → Lv4")</f>
        <v>0</v>
      </c>
      <c r="I7" s="157">
        <f ca="1">COUNTIFS(sheet2!$M:$M, A7, sheet2!$S:$S, 1, sheet2!$R:$R, "Lv1 → Lv3 (multi)")
+COUNTIFS(sheet2!$M:$M, A7, sheet2!$S:$S, 1, sheet2!$R:$R, "Lv1 → Lv4 (multi)")
+COUNTIFS(sheet2!$M:$M, A7, sheet2!$S:$S, 1, sheet2!$R:$R, "Lv2 → Lv4 (multi)")</f>
        <v>0</v>
      </c>
      <c r="J7" s="193">
        <f t="shared" si="0"/>
        <v>0.10855263157894737</v>
      </c>
      <c r="K7" s="3">
        <f t="shared" ca="1" si="1"/>
        <v>33</v>
      </c>
      <c r="L7" s="194">
        <f>COUNTIFS(sheet2!$M:$M, A7, sheet2!$S:$S, 1)</f>
        <v>33</v>
      </c>
    </row>
    <row r="8" spans="1:28">
      <c r="A8" s="166" t="s">
        <v>920</v>
      </c>
      <c r="B8" s="195">
        <f ca="1">COUNTIFS(sheet2!$M:$M, A8, sheet2!$S:$S, 1, sheet2!$R:$R, "Not tested yet")</f>
        <v>7</v>
      </c>
      <c r="C8" s="195">
        <f ca="1">COUNTIFS(sheet2!$M:$M, A8, sheet2!$S:$S, 1, sheet2!$R:$R, "Regressed")</f>
        <v>0</v>
      </c>
      <c r="D8" s="195">
        <f ca="1">COUNTIFS(sheet2!$M:$M, A8, sheet2!$S:$S, 1, sheet2!$R:$R, "No Progress")</f>
        <v>0</v>
      </c>
      <c r="E8" s="195">
        <f ca="1">COUNTIFS(sheet2!$M:$M, A8, sheet2!$S:$S, 1, sheet2!$R:$R, "Progress within level")</f>
        <v>0</v>
      </c>
      <c r="F8" s="195">
        <f ca="1">COUNTIFS(sheet2!$M:$M, A8, sheet2!$S:$S, 1, sheet2!$R:$R, "Lv1 → Lv2")</f>
        <v>0</v>
      </c>
      <c r="G8" s="195">
        <f ca="1">COUNTIFS(sheet2!$M:$M, A8, sheet2!$S:$S, 1, sheet2!$R:$R, "Lv2 → Lv3")</f>
        <v>0</v>
      </c>
      <c r="H8" s="195">
        <f ca="1">COUNTIFS(sheet2!$M:$M, A8, sheet2!$S:$S, 1, sheet2!$R:$R, "Lv3 → Lv4")</f>
        <v>0</v>
      </c>
      <c r="I8" s="169">
        <f ca="1">COUNTIFS(sheet2!$M:$M, A8, sheet2!$S:$S, 1, sheet2!$R:$R, "Lv1 → Lv3 (multi)")
+COUNTIFS(sheet2!$M:$M, A8, sheet2!$S:$S, 1, sheet2!$R:$R, "Lv1 → Lv4 (multi)")
+COUNTIFS(sheet2!$M:$M, A8, sheet2!$S:$S, 1, sheet2!$R:$R, "Lv2 → Lv4 (multi)")</f>
        <v>0</v>
      </c>
      <c r="J8" s="196">
        <f t="shared" si="0"/>
        <v>2.3026315789473683E-2</v>
      </c>
      <c r="K8" s="166">
        <f t="shared" ca="1" si="1"/>
        <v>7</v>
      </c>
      <c r="L8" s="197">
        <f>COUNTIFS(sheet2!$M:$M, A8, sheet2!$S:$S, 1)</f>
        <v>7</v>
      </c>
    </row>
    <row r="9" spans="1:28">
      <c r="A9" s="194"/>
      <c r="B9" s="192">
        <f t="shared" ref="B9:J9" ca="1" si="2">SUM(B2:B8)</f>
        <v>304</v>
      </c>
      <c r="C9" s="192">
        <f t="shared" ca="1" si="2"/>
        <v>0</v>
      </c>
      <c r="D9" s="192">
        <f t="shared" ca="1" si="2"/>
        <v>0</v>
      </c>
      <c r="E9" s="192">
        <f t="shared" ca="1" si="2"/>
        <v>0</v>
      </c>
      <c r="F9" s="192">
        <f t="shared" ca="1" si="2"/>
        <v>0</v>
      </c>
      <c r="G9" s="192">
        <f t="shared" ca="1" si="2"/>
        <v>0</v>
      </c>
      <c r="H9" s="192">
        <f t="shared" ca="1" si="2"/>
        <v>0</v>
      </c>
      <c r="I9" s="192">
        <f t="shared" ca="1" si="2"/>
        <v>0</v>
      </c>
      <c r="J9" s="198">
        <f t="shared" si="2"/>
        <v>1</v>
      </c>
      <c r="K9" s="194">
        <f ca="1">SUM(K2:K7)</f>
        <v>297</v>
      </c>
      <c r="L9" s="194">
        <f>SUM(L2:L8)</f>
        <v>304</v>
      </c>
    </row>
    <row r="10" spans="1:28">
      <c r="A10" s="194"/>
      <c r="B10" s="192"/>
      <c r="C10" s="192"/>
      <c r="D10" s="192"/>
      <c r="E10" s="192"/>
      <c r="F10" s="192"/>
      <c r="G10" s="192"/>
      <c r="H10" s="192"/>
      <c r="I10" s="157"/>
      <c r="L10" s="194">
        <f ca="1">SUM(C9:I9)</f>
        <v>0</v>
      </c>
    </row>
    <row r="11" spans="1:28">
      <c r="A11" s="194"/>
      <c r="B11" s="192"/>
      <c r="C11" s="192"/>
      <c r="D11" s="192"/>
      <c r="E11" s="192"/>
      <c r="F11" s="192"/>
      <c r="G11" s="192"/>
      <c r="H11" s="192"/>
      <c r="I11" s="157"/>
      <c r="L11" s="194"/>
    </row>
    <row r="12" spans="1:28">
      <c r="A12" s="194"/>
      <c r="B12" s="192"/>
      <c r="C12" s="192"/>
      <c r="D12" s="192"/>
      <c r="E12" s="192"/>
      <c r="F12" s="192"/>
      <c r="G12" s="192"/>
      <c r="H12" s="192"/>
      <c r="I12" s="157"/>
      <c r="L12" s="194"/>
    </row>
    <row r="13" spans="1:28">
      <c r="A13" s="194"/>
      <c r="B13" s="192"/>
      <c r="C13" s="192"/>
      <c r="D13" s="192"/>
      <c r="E13" s="192"/>
      <c r="F13" s="192"/>
      <c r="G13" s="192"/>
      <c r="H13" s="192"/>
      <c r="I13" s="157"/>
      <c r="L13" s="194"/>
    </row>
    <row r="14" spans="1:28">
      <c r="A14" s="194"/>
      <c r="B14" s="192"/>
      <c r="C14" s="192"/>
      <c r="D14" s="192"/>
      <c r="E14" s="192"/>
      <c r="F14" s="192"/>
      <c r="G14" s="192"/>
      <c r="H14" s="192"/>
      <c r="I14" s="157"/>
      <c r="L14" s="194"/>
    </row>
    <row r="15" spans="1:28">
      <c r="B15" s="157"/>
      <c r="C15" s="157"/>
      <c r="D15" s="157"/>
      <c r="E15" s="157"/>
      <c r="F15" s="157"/>
      <c r="G15" s="157"/>
      <c r="H15" s="157"/>
      <c r="I15" s="157"/>
    </row>
    <row r="16" spans="1:28">
      <c r="B16" s="157"/>
      <c r="C16" s="157"/>
      <c r="D16" s="157"/>
      <c r="E16" s="157"/>
      <c r="F16" s="157"/>
      <c r="G16" s="157"/>
      <c r="H16" s="157"/>
      <c r="I16" s="157"/>
    </row>
    <row r="17" spans="2:9">
      <c r="B17" s="157"/>
      <c r="C17" s="157"/>
      <c r="D17" s="157"/>
      <c r="E17" s="157"/>
      <c r="F17" s="157"/>
      <c r="G17" s="157"/>
      <c r="H17" s="157"/>
      <c r="I17" s="157"/>
    </row>
    <row r="18" spans="2:9">
      <c r="B18" s="157"/>
      <c r="C18" s="157"/>
      <c r="D18" s="157"/>
      <c r="E18" s="157"/>
      <c r="F18" s="157"/>
      <c r="G18" s="157"/>
      <c r="H18" s="157"/>
      <c r="I18" s="157"/>
    </row>
    <row r="19" spans="2:9">
      <c r="B19" s="157"/>
      <c r="C19" s="157"/>
      <c r="D19" s="157"/>
      <c r="E19" s="157"/>
      <c r="F19" s="157"/>
      <c r="G19" s="157"/>
      <c r="H19" s="157"/>
      <c r="I19" s="157"/>
    </row>
    <row r="20" spans="2:9">
      <c r="B20" s="157"/>
      <c r="C20" s="157"/>
      <c r="D20" s="157"/>
      <c r="E20" s="157"/>
      <c r="F20" s="157"/>
      <c r="G20" s="157"/>
      <c r="H20" s="157"/>
      <c r="I20" s="157"/>
    </row>
    <row r="21" spans="2:9">
      <c r="B21" s="157"/>
      <c r="C21" s="157"/>
      <c r="D21" s="157"/>
      <c r="E21" s="157"/>
      <c r="F21" s="157"/>
      <c r="G21" s="157"/>
      <c r="H21" s="157"/>
      <c r="I21" s="157"/>
    </row>
    <row r="22" spans="2:9">
      <c r="B22" s="157"/>
      <c r="C22" s="157"/>
      <c r="D22" s="157"/>
      <c r="E22" s="157"/>
      <c r="F22" s="157"/>
      <c r="G22" s="157"/>
      <c r="H22" s="157"/>
      <c r="I22" s="157"/>
    </row>
    <row r="23" spans="2:9">
      <c r="B23" s="157"/>
      <c r="C23" s="157"/>
      <c r="D23" s="157"/>
      <c r="E23" s="157"/>
      <c r="F23" s="157"/>
      <c r="G23" s="157"/>
      <c r="H23" s="157"/>
      <c r="I23" s="157"/>
    </row>
    <row r="24" spans="2:9">
      <c r="B24" s="157"/>
      <c r="C24" s="157"/>
      <c r="D24" s="157"/>
      <c r="E24" s="157"/>
      <c r="F24" s="157"/>
      <c r="G24" s="157"/>
      <c r="H24" s="157"/>
      <c r="I24" s="157"/>
    </row>
    <row r="25" spans="2:9">
      <c r="B25" s="157"/>
      <c r="C25" s="157"/>
      <c r="D25" s="157"/>
      <c r="E25" s="157"/>
      <c r="F25" s="157"/>
      <c r="G25" s="157"/>
      <c r="H25" s="157"/>
      <c r="I25" s="157"/>
    </row>
    <row r="26" spans="2:9">
      <c r="B26" s="157"/>
      <c r="C26" s="157"/>
      <c r="D26" s="157"/>
      <c r="E26" s="157"/>
      <c r="F26" s="157"/>
      <c r="G26" s="157"/>
      <c r="H26" s="157"/>
      <c r="I26" s="157"/>
    </row>
    <row r="27" spans="2:9">
      <c r="B27" s="157"/>
      <c r="C27" s="157"/>
      <c r="D27" s="157"/>
      <c r="E27" s="157"/>
      <c r="F27" s="157"/>
      <c r="G27" s="157"/>
      <c r="H27" s="157"/>
      <c r="I27" s="157"/>
    </row>
    <row r="28" spans="2:9">
      <c r="B28" s="157"/>
      <c r="C28" s="157"/>
      <c r="D28" s="157"/>
      <c r="E28" s="157"/>
      <c r="F28" s="157"/>
      <c r="G28" s="157"/>
      <c r="H28" s="157"/>
      <c r="I28" s="157"/>
    </row>
    <row r="29" spans="2:9">
      <c r="B29" s="157"/>
      <c r="C29" s="157"/>
      <c r="D29" s="157"/>
      <c r="E29" s="157"/>
      <c r="F29" s="157"/>
      <c r="G29" s="157"/>
      <c r="H29" s="157"/>
      <c r="I29" s="157"/>
    </row>
    <row r="30" spans="2:9">
      <c r="B30" s="157"/>
      <c r="C30" s="157"/>
      <c r="D30" s="157"/>
      <c r="E30" s="157"/>
      <c r="F30" s="157"/>
      <c r="G30" s="157"/>
      <c r="H30" s="157"/>
      <c r="I30" s="157"/>
    </row>
    <row r="31" spans="2:9">
      <c r="B31" s="157"/>
      <c r="C31" s="157"/>
      <c r="D31" s="157"/>
      <c r="E31" s="157"/>
      <c r="F31" s="157"/>
      <c r="G31" s="157"/>
      <c r="H31" s="157"/>
      <c r="I31" s="157"/>
    </row>
    <row r="32" spans="2:9">
      <c r="B32" s="157"/>
      <c r="C32" s="157"/>
      <c r="D32" s="157"/>
      <c r="E32" s="157"/>
      <c r="F32" s="157"/>
      <c r="G32" s="157"/>
      <c r="H32" s="157"/>
      <c r="I32" s="157"/>
    </row>
    <row r="33" spans="2:9">
      <c r="B33" s="157"/>
      <c r="C33" s="157"/>
      <c r="D33" s="157"/>
      <c r="E33" s="157"/>
      <c r="F33" s="157"/>
      <c r="G33" s="157"/>
      <c r="H33" s="157"/>
      <c r="I33" s="157"/>
    </row>
    <row r="34" spans="2:9">
      <c r="B34" s="157"/>
      <c r="C34" s="157"/>
      <c r="D34" s="157"/>
      <c r="E34" s="157"/>
      <c r="F34" s="157"/>
      <c r="G34" s="157"/>
      <c r="H34" s="157"/>
      <c r="I34" s="157"/>
    </row>
    <row r="35" spans="2:9">
      <c r="B35" s="157"/>
      <c r="C35" s="157"/>
      <c r="D35" s="157"/>
      <c r="E35" s="157"/>
      <c r="F35" s="157"/>
      <c r="G35" s="157"/>
      <c r="H35" s="157"/>
      <c r="I35" s="157"/>
    </row>
    <row r="36" spans="2:9">
      <c r="B36" s="157"/>
      <c r="C36" s="157"/>
      <c r="D36" s="157"/>
      <c r="E36" s="157"/>
      <c r="F36" s="157"/>
      <c r="G36" s="157"/>
      <c r="H36" s="157"/>
      <c r="I36" s="157"/>
    </row>
    <row r="37" spans="2:9">
      <c r="B37" s="157"/>
      <c r="C37" s="157"/>
      <c r="D37" s="157"/>
      <c r="E37" s="157"/>
      <c r="F37" s="157"/>
      <c r="G37" s="157"/>
      <c r="H37" s="157"/>
      <c r="I37" s="157"/>
    </row>
    <row r="38" spans="2:9">
      <c r="B38" s="157"/>
      <c r="C38" s="157"/>
      <c r="D38" s="157"/>
      <c r="E38" s="157"/>
      <c r="F38" s="157"/>
      <c r="G38" s="157"/>
      <c r="H38" s="157"/>
      <c r="I38" s="157"/>
    </row>
    <row r="39" spans="2:9">
      <c r="B39" s="157"/>
      <c r="C39" s="157"/>
      <c r="D39" s="157"/>
      <c r="E39" s="157"/>
      <c r="F39" s="157"/>
      <c r="G39" s="157"/>
      <c r="H39" s="157"/>
      <c r="I39" s="157"/>
    </row>
    <row r="40" spans="2:9">
      <c r="B40" s="157"/>
      <c r="C40" s="157"/>
      <c r="D40" s="157"/>
      <c r="E40" s="157"/>
      <c r="F40" s="157"/>
      <c r="G40" s="157"/>
      <c r="H40" s="157"/>
      <c r="I40" s="157"/>
    </row>
    <row r="41" spans="2:9">
      <c r="B41" s="157"/>
      <c r="C41" s="157"/>
      <c r="D41" s="157"/>
      <c r="E41" s="157"/>
      <c r="F41" s="157"/>
      <c r="G41" s="157"/>
      <c r="H41" s="157"/>
      <c r="I41" s="157"/>
    </row>
    <row r="42" spans="2:9">
      <c r="B42" s="157"/>
      <c r="C42" s="157"/>
      <c r="D42" s="157"/>
      <c r="E42" s="157"/>
      <c r="F42" s="157"/>
      <c r="G42" s="157"/>
      <c r="H42" s="157"/>
      <c r="I42" s="157"/>
    </row>
    <row r="43" spans="2:9">
      <c r="B43" s="157"/>
      <c r="C43" s="157"/>
      <c r="D43" s="157"/>
      <c r="E43" s="157"/>
      <c r="F43" s="157"/>
      <c r="G43" s="157"/>
      <c r="H43" s="157"/>
      <c r="I43" s="157"/>
    </row>
    <row r="44" spans="2:9">
      <c r="B44" s="157"/>
      <c r="C44" s="157"/>
      <c r="D44" s="157"/>
      <c r="E44" s="157"/>
      <c r="F44" s="157"/>
      <c r="G44" s="157"/>
      <c r="H44" s="157"/>
      <c r="I44" s="157"/>
    </row>
    <row r="45" spans="2:9">
      <c r="B45" s="157"/>
      <c r="C45" s="157"/>
      <c r="D45" s="157"/>
      <c r="E45" s="157"/>
      <c r="F45" s="157"/>
      <c r="G45" s="157"/>
      <c r="H45" s="157"/>
      <c r="I45" s="157"/>
    </row>
    <row r="46" spans="2:9">
      <c r="B46" s="157"/>
      <c r="C46" s="157"/>
      <c r="D46" s="157"/>
      <c r="E46" s="157"/>
      <c r="F46" s="157"/>
      <c r="G46" s="157"/>
      <c r="H46" s="157"/>
      <c r="I46" s="157"/>
    </row>
    <row r="47" spans="2:9">
      <c r="B47" s="157"/>
      <c r="C47" s="157"/>
      <c r="D47" s="157"/>
      <c r="E47" s="157"/>
      <c r="F47" s="157"/>
      <c r="G47" s="157"/>
      <c r="H47" s="157"/>
      <c r="I47" s="157"/>
    </row>
    <row r="48" spans="2:9">
      <c r="B48" s="157"/>
      <c r="C48" s="157"/>
      <c r="D48" s="157"/>
      <c r="E48" s="157"/>
      <c r="F48" s="157"/>
      <c r="G48" s="157"/>
      <c r="H48" s="157"/>
      <c r="I48" s="157"/>
    </row>
    <row r="49" spans="2:9">
      <c r="B49" s="157"/>
      <c r="C49" s="157"/>
      <c r="D49" s="157"/>
      <c r="E49" s="157"/>
      <c r="F49" s="157"/>
      <c r="G49" s="157"/>
      <c r="H49" s="157"/>
      <c r="I49" s="157"/>
    </row>
    <row r="50" spans="2:9">
      <c r="B50" s="157"/>
      <c r="C50" s="157"/>
      <c r="D50" s="157"/>
      <c r="E50" s="157"/>
      <c r="F50" s="157"/>
      <c r="G50" s="157"/>
      <c r="H50" s="157"/>
      <c r="I50" s="157"/>
    </row>
    <row r="51" spans="2:9">
      <c r="B51" s="157"/>
      <c r="C51" s="157"/>
      <c r="D51" s="157"/>
      <c r="E51" s="157"/>
      <c r="F51" s="157"/>
      <c r="G51" s="157"/>
      <c r="H51" s="157"/>
      <c r="I51" s="157"/>
    </row>
    <row r="52" spans="2:9">
      <c r="B52" s="157"/>
      <c r="C52" s="157"/>
      <c r="D52" s="157"/>
      <c r="E52" s="157"/>
      <c r="F52" s="157"/>
      <c r="G52" s="157"/>
      <c r="H52" s="157"/>
      <c r="I52" s="157"/>
    </row>
    <row r="53" spans="2:9">
      <c r="B53" s="157"/>
      <c r="C53" s="157"/>
      <c r="D53" s="157"/>
      <c r="E53" s="157"/>
      <c r="F53" s="157"/>
      <c r="G53" s="157"/>
      <c r="H53" s="157"/>
      <c r="I53" s="157"/>
    </row>
    <row r="54" spans="2:9">
      <c r="B54" s="157"/>
      <c r="C54" s="157"/>
      <c r="D54" s="157"/>
      <c r="E54" s="157"/>
      <c r="F54" s="157"/>
      <c r="G54" s="157"/>
      <c r="H54" s="157"/>
      <c r="I54" s="157"/>
    </row>
    <row r="55" spans="2:9">
      <c r="B55" s="157"/>
      <c r="C55" s="157"/>
      <c r="D55" s="157"/>
      <c r="E55" s="157"/>
      <c r="F55" s="157"/>
      <c r="G55" s="157"/>
      <c r="H55" s="157"/>
      <c r="I55" s="157"/>
    </row>
    <row r="56" spans="2:9">
      <c r="B56" s="157"/>
      <c r="C56" s="157"/>
      <c r="D56" s="157"/>
      <c r="E56" s="157"/>
      <c r="F56" s="157"/>
      <c r="G56" s="157"/>
      <c r="H56" s="157"/>
      <c r="I56" s="157"/>
    </row>
    <row r="57" spans="2:9">
      <c r="B57" s="157"/>
      <c r="C57" s="157"/>
      <c r="D57" s="157"/>
      <c r="E57" s="157"/>
      <c r="F57" s="157"/>
      <c r="G57" s="157"/>
      <c r="H57" s="157"/>
      <c r="I57" s="157"/>
    </row>
    <row r="58" spans="2:9">
      <c r="B58" s="157"/>
      <c r="C58" s="157"/>
      <c r="D58" s="157"/>
      <c r="E58" s="157"/>
      <c r="F58" s="157"/>
      <c r="G58" s="157"/>
      <c r="H58" s="157"/>
      <c r="I58" s="157"/>
    </row>
    <row r="59" spans="2:9">
      <c r="B59" s="157"/>
      <c r="C59" s="157"/>
      <c r="D59" s="157"/>
      <c r="E59" s="157"/>
      <c r="F59" s="157"/>
      <c r="G59" s="157"/>
      <c r="H59" s="157"/>
      <c r="I59" s="157"/>
    </row>
    <row r="60" spans="2:9">
      <c r="B60" s="157"/>
      <c r="C60" s="157"/>
      <c r="D60" s="157"/>
      <c r="E60" s="157"/>
      <c r="F60" s="157"/>
      <c r="G60" s="157"/>
      <c r="H60" s="157"/>
      <c r="I60" s="157"/>
    </row>
    <row r="61" spans="2:9">
      <c r="B61" s="157"/>
      <c r="C61" s="157"/>
      <c r="D61" s="157"/>
      <c r="E61" s="157"/>
      <c r="F61" s="157"/>
      <c r="G61" s="157"/>
      <c r="H61" s="157"/>
      <c r="I61" s="157"/>
    </row>
    <row r="62" spans="2:9">
      <c r="B62" s="157"/>
      <c r="C62" s="157"/>
      <c r="D62" s="157"/>
      <c r="E62" s="157"/>
      <c r="F62" s="157"/>
      <c r="G62" s="157"/>
      <c r="H62" s="157"/>
      <c r="I62" s="157"/>
    </row>
    <row r="63" spans="2:9">
      <c r="B63" s="157"/>
      <c r="C63" s="157"/>
      <c r="D63" s="157"/>
      <c r="E63" s="157"/>
      <c r="F63" s="157"/>
      <c r="G63" s="157"/>
      <c r="H63" s="157"/>
      <c r="I63" s="157"/>
    </row>
    <row r="64" spans="2:9">
      <c r="B64" s="157"/>
      <c r="C64" s="157"/>
      <c r="D64" s="157"/>
      <c r="E64" s="157"/>
      <c r="F64" s="157"/>
      <c r="G64" s="157"/>
      <c r="H64" s="157"/>
      <c r="I64" s="157"/>
    </row>
    <row r="65" spans="2:9">
      <c r="B65" s="157"/>
      <c r="C65" s="157"/>
      <c r="D65" s="157"/>
      <c r="E65" s="157"/>
      <c r="F65" s="157"/>
      <c r="G65" s="157"/>
      <c r="H65" s="157"/>
      <c r="I65" s="157"/>
    </row>
    <row r="66" spans="2:9">
      <c r="B66" s="157"/>
      <c r="C66" s="157"/>
      <c r="D66" s="157"/>
      <c r="E66" s="157"/>
      <c r="F66" s="157"/>
      <c r="G66" s="157"/>
      <c r="H66" s="157"/>
      <c r="I66" s="157"/>
    </row>
    <row r="67" spans="2:9">
      <c r="B67" s="157"/>
      <c r="C67" s="157"/>
      <c r="D67" s="157"/>
      <c r="E67" s="157"/>
      <c r="F67" s="157"/>
      <c r="G67" s="157"/>
      <c r="H67" s="157"/>
      <c r="I67" s="157"/>
    </row>
    <row r="68" spans="2:9">
      <c r="B68" s="157"/>
      <c r="C68" s="157"/>
      <c r="D68" s="157"/>
      <c r="E68" s="157"/>
      <c r="F68" s="157"/>
      <c r="G68" s="157"/>
      <c r="H68" s="157"/>
      <c r="I68" s="157"/>
    </row>
    <row r="69" spans="2:9">
      <c r="B69" s="157"/>
      <c r="C69" s="157"/>
      <c r="D69" s="157"/>
      <c r="E69" s="157"/>
      <c r="F69" s="157"/>
      <c r="G69" s="157"/>
      <c r="H69" s="157"/>
      <c r="I69" s="157"/>
    </row>
    <row r="70" spans="2:9">
      <c r="B70" s="157"/>
      <c r="C70" s="157"/>
      <c r="D70" s="157"/>
      <c r="E70" s="157"/>
      <c r="F70" s="157"/>
      <c r="G70" s="157"/>
      <c r="H70" s="157"/>
      <c r="I70" s="157"/>
    </row>
    <row r="71" spans="2:9">
      <c r="B71" s="157"/>
      <c r="C71" s="157"/>
      <c r="D71" s="157"/>
      <c r="E71" s="157"/>
      <c r="F71" s="157"/>
      <c r="G71" s="157"/>
      <c r="H71" s="157"/>
      <c r="I71" s="157"/>
    </row>
    <row r="72" spans="2:9">
      <c r="B72" s="157"/>
      <c r="C72" s="157"/>
      <c r="D72" s="157"/>
      <c r="E72" s="157"/>
      <c r="F72" s="157"/>
      <c r="G72" s="157"/>
      <c r="H72" s="157"/>
      <c r="I72" s="157"/>
    </row>
    <row r="73" spans="2:9">
      <c r="B73" s="157"/>
      <c r="C73" s="157"/>
      <c r="D73" s="157"/>
      <c r="E73" s="157"/>
      <c r="F73" s="157"/>
      <c r="G73" s="157"/>
      <c r="H73" s="157"/>
      <c r="I73" s="157"/>
    </row>
    <row r="74" spans="2:9">
      <c r="B74" s="157"/>
      <c r="C74" s="157"/>
      <c r="D74" s="157"/>
      <c r="E74" s="157"/>
      <c r="F74" s="157"/>
      <c r="G74" s="157"/>
      <c r="H74" s="157"/>
      <c r="I74" s="157"/>
    </row>
    <row r="75" spans="2:9">
      <c r="B75" s="157"/>
      <c r="C75" s="157"/>
      <c r="D75" s="157"/>
      <c r="E75" s="157"/>
      <c r="F75" s="157"/>
      <c r="G75" s="157"/>
      <c r="H75" s="157"/>
      <c r="I75" s="157"/>
    </row>
    <row r="76" spans="2:9">
      <c r="B76" s="157"/>
      <c r="C76" s="157"/>
      <c r="D76" s="157"/>
      <c r="E76" s="157"/>
      <c r="F76" s="157"/>
      <c r="G76" s="157"/>
      <c r="H76" s="157"/>
      <c r="I76" s="157"/>
    </row>
    <row r="77" spans="2:9">
      <c r="B77" s="157"/>
      <c r="C77" s="157"/>
      <c r="D77" s="157"/>
      <c r="E77" s="157"/>
      <c r="F77" s="157"/>
      <c r="G77" s="157"/>
      <c r="H77" s="157"/>
      <c r="I77" s="157"/>
    </row>
    <row r="78" spans="2:9">
      <c r="B78" s="157"/>
      <c r="C78" s="157"/>
      <c r="D78" s="157"/>
      <c r="E78" s="157"/>
      <c r="F78" s="157"/>
      <c r="G78" s="157"/>
      <c r="H78" s="157"/>
      <c r="I78" s="157"/>
    </row>
    <row r="79" spans="2:9">
      <c r="B79" s="157"/>
      <c r="C79" s="157"/>
      <c r="D79" s="157"/>
      <c r="E79" s="157"/>
      <c r="F79" s="157"/>
      <c r="G79" s="157"/>
      <c r="H79" s="157"/>
      <c r="I79" s="157"/>
    </row>
    <row r="80" spans="2:9">
      <c r="B80" s="157"/>
      <c r="C80" s="157"/>
      <c r="D80" s="157"/>
      <c r="E80" s="157"/>
      <c r="F80" s="157"/>
      <c r="G80" s="157"/>
      <c r="H80" s="157"/>
      <c r="I80" s="157"/>
    </row>
    <row r="81" spans="2:9">
      <c r="B81" s="157"/>
      <c r="C81" s="157"/>
      <c r="D81" s="157"/>
      <c r="E81" s="157"/>
      <c r="F81" s="157"/>
      <c r="G81" s="157"/>
      <c r="H81" s="157"/>
      <c r="I81" s="157"/>
    </row>
    <row r="82" spans="2:9">
      <c r="B82" s="157"/>
      <c r="C82" s="157"/>
      <c r="D82" s="157"/>
      <c r="E82" s="157"/>
      <c r="F82" s="157"/>
      <c r="G82" s="157"/>
      <c r="H82" s="157"/>
      <c r="I82" s="157"/>
    </row>
    <row r="83" spans="2:9">
      <c r="B83" s="157"/>
      <c r="C83" s="157"/>
      <c r="D83" s="157"/>
      <c r="E83" s="157"/>
      <c r="F83" s="157"/>
      <c r="G83" s="157"/>
      <c r="H83" s="157"/>
      <c r="I83" s="157"/>
    </row>
    <row r="84" spans="2:9">
      <c r="B84" s="157"/>
      <c r="C84" s="157"/>
      <c r="D84" s="157"/>
      <c r="E84" s="157"/>
      <c r="F84" s="157"/>
      <c r="G84" s="157"/>
      <c r="H84" s="157"/>
      <c r="I84" s="157"/>
    </row>
    <row r="85" spans="2:9">
      <c r="B85" s="157"/>
      <c r="C85" s="157"/>
      <c r="D85" s="157"/>
      <c r="E85" s="157"/>
      <c r="F85" s="157"/>
      <c r="G85" s="157"/>
      <c r="H85" s="157"/>
      <c r="I85" s="157"/>
    </row>
    <row r="86" spans="2:9">
      <c r="B86" s="157"/>
      <c r="C86" s="157"/>
      <c r="D86" s="157"/>
      <c r="E86" s="157"/>
      <c r="F86" s="157"/>
      <c r="G86" s="157"/>
      <c r="H86" s="157"/>
      <c r="I86" s="157"/>
    </row>
    <row r="87" spans="2:9">
      <c r="B87" s="157"/>
      <c r="C87" s="157"/>
      <c r="D87" s="157"/>
      <c r="E87" s="157"/>
      <c r="F87" s="157"/>
      <c r="G87" s="157"/>
      <c r="H87" s="157"/>
      <c r="I87" s="157"/>
    </row>
    <row r="88" spans="2:9">
      <c r="B88" s="157"/>
      <c r="C88" s="157"/>
      <c r="D88" s="157"/>
      <c r="E88" s="157"/>
      <c r="F88" s="157"/>
      <c r="G88" s="157"/>
      <c r="H88" s="157"/>
      <c r="I88" s="157"/>
    </row>
    <row r="89" spans="2:9">
      <c r="B89" s="157"/>
      <c r="C89" s="157"/>
      <c r="D89" s="157"/>
      <c r="E89" s="157"/>
      <c r="F89" s="157"/>
      <c r="G89" s="157"/>
      <c r="H89" s="157"/>
      <c r="I89" s="157"/>
    </row>
    <row r="90" spans="2:9">
      <c r="B90" s="157"/>
      <c r="C90" s="157"/>
      <c r="D90" s="157"/>
      <c r="E90" s="157"/>
      <c r="F90" s="157"/>
      <c r="G90" s="157"/>
      <c r="H90" s="157"/>
      <c r="I90" s="157"/>
    </row>
    <row r="91" spans="2:9">
      <c r="B91" s="157"/>
      <c r="C91" s="157"/>
      <c r="D91" s="157"/>
      <c r="E91" s="157"/>
      <c r="F91" s="157"/>
      <c r="G91" s="157"/>
      <c r="H91" s="157"/>
      <c r="I91" s="157"/>
    </row>
    <row r="92" spans="2:9">
      <c r="B92" s="157"/>
      <c r="C92" s="157"/>
      <c r="D92" s="157"/>
      <c r="E92" s="157"/>
      <c r="F92" s="157"/>
      <c r="G92" s="157"/>
      <c r="H92" s="157"/>
      <c r="I92" s="157"/>
    </row>
    <row r="93" spans="2:9">
      <c r="B93" s="157"/>
      <c r="C93" s="157"/>
      <c r="D93" s="157"/>
      <c r="E93" s="157"/>
      <c r="F93" s="157"/>
      <c r="G93" s="157"/>
      <c r="H93" s="157"/>
      <c r="I93" s="157"/>
    </row>
    <row r="94" spans="2:9">
      <c r="B94" s="157"/>
      <c r="C94" s="157"/>
      <c r="D94" s="157"/>
      <c r="E94" s="157"/>
      <c r="F94" s="157"/>
      <c r="G94" s="157"/>
      <c r="H94" s="157"/>
      <c r="I94" s="157"/>
    </row>
    <row r="95" spans="2:9">
      <c r="B95" s="157"/>
      <c r="C95" s="157"/>
      <c r="D95" s="157"/>
      <c r="E95" s="157"/>
      <c r="F95" s="157"/>
      <c r="G95" s="157"/>
      <c r="H95" s="157"/>
      <c r="I95" s="157"/>
    </row>
    <row r="96" spans="2:9">
      <c r="B96" s="157"/>
      <c r="C96" s="157"/>
      <c r="D96" s="157"/>
      <c r="E96" s="157"/>
      <c r="F96" s="157"/>
      <c r="G96" s="157"/>
      <c r="H96" s="157"/>
      <c r="I96" s="157"/>
    </row>
    <row r="97" spans="2:9">
      <c r="B97" s="157"/>
      <c r="C97" s="157"/>
      <c r="D97" s="157"/>
      <c r="E97" s="157"/>
      <c r="F97" s="157"/>
      <c r="G97" s="157"/>
      <c r="H97" s="157"/>
      <c r="I97" s="157"/>
    </row>
    <row r="98" spans="2:9">
      <c r="B98" s="157"/>
      <c r="C98" s="157"/>
      <c r="D98" s="157"/>
      <c r="E98" s="157"/>
      <c r="F98" s="157"/>
      <c r="G98" s="157"/>
      <c r="H98" s="157"/>
      <c r="I98" s="157"/>
    </row>
    <row r="99" spans="2:9">
      <c r="B99" s="157"/>
      <c r="C99" s="157"/>
      <c r="D99" s="157"/>
      <c r="E99" s="157"/>
      <c r="F99" s="157"/>
      <c r="G99" s="157"/>
      <c r="H99" s="157"/>
      <c r="I99" s="157"/>
    </row>
    <row r="100" spans="2:9">
      <c r="B100" s="157"/>
      <c r="C100" s="157"/>
      <c r="D100" s="157"/>
      <c r="E100" s="157"/>
      <c r="F100" s="157"/>
      <c r="G100" s="157"/>
      <c r="H100" s="157"/>
      <c r="I100" s="157"/>
    </row>
    <row r="101" spans="2:9">
      <c r="B101" s="157"/>
      <c r="C101" s="157"/>
      <c r="D101" s="157"/>
      <c r="E101" s="157"/>
      <c r="F101" s="157"/>
      <c r="G101" s="157"/>
      <c r="H101" s="157"/>
      <c r="I101" s="157"/>
    </row>
    <row r="102" spans="2:9">
      <c r="B102" s="157"/>
      <c r="C102" s="157"/>
      <c r="D102" s="157"/>
      <c r="E102" s="157"/>
      <c r="F102" s="157"/>
      <c r="G102" s="157"/>
      <c r="H102" s="157"/>
      <c r="I102" s="157"/>
    </row>
    <row r="103" spans="2:9">
      <c r="B103" s="157"/>
      <c r="C103" s="157"/>
      <c r="D103" s="157"/>
      <c r="E103" s="157"/>
      <c r="F103" s="157"/>
      <c r="G103" s="157"/>
      <c r="H103" s="157"/>
      <c r="I103" s="157"/>
    </row>
    <row r="104" spans="2:9">
      <c r="B104" s="157"/>
      <c r="C104" s="157"/>
      <c r="D104" s="157"/>
      <c r="E104" s="157"/>
      <c r="F104" s="157"/>
      <c r="G104" s="157"/>
      <c r="H104" s="157"/>
      <c r="I104" s="157"/>
    </row>
    <row r="105" spans="2:9">
      <c r="B105" s="157"/>
      <c r="C105" s="157"/>
      <c r="D105" s="157"/>
      <c r="E105" s="157"/>
      <c r="F105" s="157"/>
      <c r="G105" s="157"/>
      <c r="H105" s="157"/>
      <c r="I105" s="157"/>
    </row>
    <row r="106" spans="2:9">
      <c r="B106" s="157"/>
      <c r="C106" s="157"/>
      <c r="D106" s="157"/>
      <c r="E106" s="157"/>
      <c r="F106" s="157"/>
      <c r="G106" s="157"/>
      <c r="H106" s="157"/>
      <c r="I106" s="157"/>
    </row>
    <row r="107" spans="2:9">
      <c r="B107" s="157"/>
      <c r="C107" s="157"/>
      <c r="D107" s="157"/>
      <c r="E107" s="157"/>
      <c r="F107" s="157"/>
      <c r="G107" s="157"/>
      <c r="H107" s="157"/>
      <c r="I107" s="157"/>
    </row>
    <row r="108" spans="2:9">
      <c r="B108" s="157"/>
      <c r="C108" s="157"/>
      <c r="D108" s="157"/>
      <c r="E108" s="157"/>
      <c r="F108" s="157"/>
      <c r="G108" s="157"/>
      <c r="H108" s="157"/>
      <c r="I108" s="157"/>
    </row>
    <row r="109" spans="2:9">
      <c r="B109" s="157"/>
      <c r="C109" s="157"/>
      <c r="D109" s="157"/>
      <c r="E109" s="157"/>
      <c r="F109" s="157"/>
      <c r="G109" s="157"/>
      <c r="H109" s="157"/>
      <c r="I109" s="157"/>
    </row>
    <row r="110" spans="2:9">
      <c r="B110" s="157"/>
      <c r="C110" s="157"/>
      <c r="D110" s="157"/>
      <c r="E110" s="157"/>
      <c r="F110" s="157"/>
      <c r="G110" s="157"/>
      <c r="H110" s="157"/>
      <c r="I110" s="157"/>
    </row>
    <row r="111" spans="2:9">
      <c r="B111" s="157"/>
      <c r="C111" s="157"/>
      <c r="D111" s="157"/>
      <c r="E111" s="157"/>
      <c r="F111" s="157"/>
      <c r="G111" s="157"/>
      <c r="H111" s="157"/>
      <c r="I111" s="157"/>
    </row>
    <row r="112" spans="2:9">
      <c r="B112" s="157"/>
      <c r="C112" s="157"/>
      <c r="D112" s="157"/>
      <c r="E112" s="157"/>
      <c r="F112" s="157"/>
      <c r="G112" s="157"/>
      <c r="H112" s="157"/>
      <c r="I112" s="157"/>
    </row>
    <row r="113" spans="2:9">
      <c r="B113" s="157"/>
      <c r="C113" s="157"/>
      <c r="D113" s="157"/>
      <c r="E113" s="157"/>
      <c r="F113" s="157"/>
      <c r="G113" s="157"/>
      <c r="H113" s="157"/>
      <c r="I113" s="157"/>
    </row>
    <row r="114" spans="2:9">
      <c r="B114" s="157"/>
      <c r="C114" s="157"/>
      <c r="D114" s="157"/>
      <c r="E114" s="157"/>
      <c r="F114" s="157"/>
      <c r="G114" s="157"/>
      <c r="H114" s="157"/>
      <c r="I114" s="157"/>
    </row>
    <row r="115" spans="2:9">
      <c r="B115" s="157"/>
      <c r="C115" s="157"/>
      <c r="D115" s="157"/>
      <c r="E115" s="157"/>
      <c r="F115" s="157"/>
      <c r="G115" s="157"/>
      <c r="H115" s="157"/>
      <c r="I115" s="157"/>
    </row>
    <row r="116" spans="2:9">
      <c r="B116" s="157"/>
      <c r="C116" s="157"/>
      <c r="D116" s="157"/>
      <c r="E116" s="157"/>
      <c r="F116" s="157"/>
      <c r="G116" s="157"/>
      <c r="H116" s="157"/>
      <c r="I116" s="157"/>
    </row>
    <row r="117" spans="2:9">
      <c r="B117" s="157"/>
      <c r="C117" s="157"/>
      <c r="D117" s="157"/>
      <c r="E117" s="157"/>
      <c r="F117" s="157"/>
      <c r="G117" s="157"/>
      <c r="H117" s="157"/>
      <c r="I117" s="157"/>
    </row>
    <row r="118" spans="2:9">
      <c r="B118" s="157"/>
      <c r="C118" s="157"/>
      <c r="D118" s="157"/>
      <c r="E118" s="157"/>
      <c r="F118" s="157"/>
      <c r="G118" s="157"/>
      <c r="H118" s="157"/>
      <c r="I118" s="157"/>
    </row>
    <row r="119" spans="2:9">
      <c r="B119" s="157"/>
      <c r="C119" s="157"/>
      <c r="D119" s="157"/>
      <c r="E119" s="157"/>
      <c r="F119" s="157"/>
      <c r="G119" s="157"/>
      <c r="H119" s="157"/>
      <c r="I119" s="157"/>
    </row>
    <row r="120" spans="2:9">
      <c r="B120" s="157"/>
      <c r="C120" s="157"/>
      <c r="D120" s="157"/>
      <c r="E120" s="157"/>
      <c r="F120" s="157"/>
      <c r="G120" s="157"/>
      <c r="H120" s="157"/>
      <c r="I120" s="157"/>
    </row>
    <row r="121" spans="2:9">
      <c r="B121" s="157"/>
      <c r="C121" s="157"/>
      <c r="D121" s="157"/>
      <c r="E121" s="157"/>
      <c r="F121" s="157"/>
      <c r="G121" s="157"/>
      <c r="H121" s="157"/>
      <c r="I121" s="157"/>
    </row>
    <row r="122" spans="2:9">
      <c r="B122" s="157"/>
      <c r="C122" s="157"/>
      <c r="D122" s="157"/>
      <c r="E122" s="157"/>
      <c r="F122" s="157"/>
      <c r="G122" s="157"/>
      <c r="H122" s="157"/>
      <c r="I122" s="157"/>
    </row>
    <row r="123" spans="2:9">
      <c r="B123" s="157"/>
      <c r="C123" s="157"/>
      <c r="D123" s="157"/>
      <c r="E123" s="157"/>
      <c r="F123" s="157"/>
      <c r="G123" s="157"/>
      <c r="H123" s="157"/>
      <c r="I123" s="157"/>
    </row>
    <row r="124" spans="2:9">
      <c r="B124" s="157"/>
      <c r="C124" s="157"/>
      <c r="D124" s="157"/>
      <c r="E124" s="157"/>
      <c r="F124" s="157"/>
      <c r="G124" s="157"/>
      <c r="H124" s="157"/>
      <c r="I124" s="157"/>
    </row>
    <row r="125" spans="2:9">
      <c r="B125" s="157"/>
      <c r="C125" s="157"/>
      <c r="D125" s="157"/>
      <c r="E125" s="157"/>
      <c r="F125" s="157"/>
      <c r="G125" s="157"/>
      <c r="H125" s="157"/>
      <c r="I125" s="157"/>
    </row>
    <row r="126" spans="2:9">
      <c r="B126" s="157"/>
      <c r="C126" s="157"/>
      <c r="D126" s="157"/>
      <c r="E126" s="157"/>
      <c r="F126" s="157"/>
      <c r="G126" s="157"/>
      <c r="H126" s="157"/>
      <c r="I126" s="157"/>
    </row>
    <row r="127" spans="2:9">
      <c r="B127" s="157"/>
      <c r="C127" s="157"/>
      <c r="D127" s="157"/>
      <c r="E127" s="157"/>
      <c r="F127" s="157"/>
      <c r="G127" s="157"/>
      <c r="H127" s="157"/>
      <c r="I127" s="157"/>
    </row>
    <row r="128" spans="2:9">
      <c r="B128" s="157"/>
      <c r="C128" s="157"/>
      <c r="D128" s="157"/>
      <c r="E128" s="157"/>
      <c r="F128" s="157"/>
      <c r="G128" s="157"/>
      <c r="H128" s="157"/>
      <c r="I128" s="157"/>
    </row>
    <row r="129" spans="2:9">
      <c r="B129" s="157"/>
      <c r="C129" s="157"/>
      <c r="D129" s="157"/>
      <c r="E129" s="157"/>
      <c r="F129" s="157"/>
      <c r="G129" s="157"/>
      <c r="H129" s="157"/>
      <c r="I129" s="157"/>
    </row>
    <row r="130" spans="2:9">
      <c r="B130" s="157"/>
      <c r="C130" s="157"/>
      <c r="D130" s="157"/>
      <c r="E130" s="157"/>
      <c r="F130" s="157"/>
      <c r="G130" s="157"/>
      <c r="H130" s="157"/>
      <c r="I130" s="157"/>
    </row>
    <row r="131" spans="2:9">
      <c r="B131" s="157"/>
      <c r="C131" s="157"/>
      <c r="D131" s="157"/>
      <c r="E131" s="157"/>
      <c r="F131" s="157"/>
      <c r="G131" s="157"/>
      <c r="H131" s="157"/>
      <c r="I131" s="157"/>
    </row>
    <row r="132" spans="2:9">
      <c r="B132" s="157"/>
      <c r="C132" s="157"/>
      <c r="D132" s="157"/>
      <c r="E132" s="157"/>
      <c r="F132" s="157"/>
      <c r="G132" s="157"/>
      <c r="H132" s="157"/>
      <c r="I132" s="157"/>
    </row>
    <row r="133" spans="2:9">
      <c r="B133" s="157"/>
      <c r="C133" s="157"/>
      <c r="D133" s="157"/>
      <c r="E133" s="157"/>
      <c r="F133" s="157"/>
      <c r="G133" s="157"/>
      <c r="H133" s="157"/>
      <c r="I133" s="157"/>
    </row>
    <row r="134" spans="2:9">
      <c r="B134" s="157"/>
      <c r="C134" s="157"/>
      <c r="D134" s="157"/>
      <c r="E134" s="157"/>
      <c r="F134" s="157"/>
      <c r="G134" s="157"/>
      <c r="H134" s="157"/>
      <c r="I134" s="157"/>
    </row>
    <row r="135" spans="2:9">
      <c r="B135" s="157"/>
      <c r="C135" s="157"/>
      <c r="D135" s="157"/>
      <c r="E135" s="157"/>
      <c r="F135" s="157"/>
      <c r="G135" s="157"/>
      <c r="H135" s="157"/>
      <c r="I135" s="157"/>
    </row>
    <row r="136" spans="2:9">
      <c r="B136" s="157"/>
      <c r="C136" s="157"/>
      <c r="D136" s="157"/>
      <c r="E136" s="157"/>
      <c r="F136" s="157"/>
      <c r="G136" s="157"/>
      <c r="H136" s="157"/>
      <c r="I136" s="157"/>
    </row>
    <row r="137" spans="2:9">
      <c r="B137" s="157"/>
      <c r="C137" s="157"/>
      <c r="D137" s="157"/>
      <c r="E137" s="157"/>
      <c r="F137" s="157"/>
      <c r="G137" s="157"/>
      <c r="H137" s="157"/>
      <c r="I137" s="157"/>
    </row>
    <row r="138" spans="2:9">
      <c r="B138" s="157"/>
      <c r="C138" s="157"/>
      <c r="D138" s="157"/>
      <c r="E138" s="157"/>
      <c r="F138" s="157"/>
      <c r="G138" s="157"/>
      <c r="H138" s="157"/>
      <c r="I138" s="157"/>
    </row>
    <row r="139" spans="2:9">
      <c r="B139" s="157"/>
      <c r="C139" s="157"/>
      <c r="D139" s="157"/>
      <c r="E139" s="157"/>
      <c r="F139" s="157"/>
      <c r="G139" s="157"/>
      <c r="H139" s="157"/>
      <c r="I139" s="157"/>
    </row>
    <row r="140" spans="2:9">
      <c r="B140" s="157"/>
      <c r="C140" s="157"/>
      <c r="D140" s="157"/>
      <c r="E140" s="157"/>
      <c r="F140" s="157"/>
      <c r="G140" s="157"/>
      <c r="H140" s="157"/>
      <c r="I140" s="157"/>
    </row>
    <row r="141" spans="2:9">
      <c r="B141" s="157"/>
      <c r="C141" s="157"/>
      <c r="D141" s="157"/>
      <c r="E141" s="157"/>
      <c r="F141" s="157"/>
      <c r="G141" s="157"/>
      <c r="H141" s="157"/>
      <c r="I141" s="157"/>
    </row>
    <row r="142" spans="2:9">
      <c r="B142" s="157"/>
      <c r="C142" s="157"/>
      <c r="D142" s="157"/>
      <c r="E142" s="157"/>
      <c r="F142" s="157"/>
      <c r="G142" s="157"/>
      <c r="H142" s="157"/>
      <c r="I142" s="157"/>
    </row>
    <row r="143" spans="2:9">
      <c r="B143" s="157"/>
      <c r="C143" s="157"/>
      <c r="D143" s="157"/>
      <c r="E143" s="157"/>
      <c r="F143" s="157"/>
      <c r="G143" s="157"/>
      <c r="H143" s="157"/>
      <c r="I143" s="157"/>
    </row>
    <row r="144" spans="2:9">
      <c r="B144" s="157"/>
      <c r="C144" s="157"/>
      <c r="D144" s="157"/>
      <c r="E144" s="157"/>
      <c r="F144" s="157"/>
      <c r="G144" s="157"/>
      <c r="H144" s="157"/>
      <c r="I144" s="157"/>
    </row>
    <row r="145" spans="2:9">
      <c r="B145" s="157"/>
      <c r="C145" s="157"/>
      <c r="D145" s="157"/>
      <c r="E145" s="157"/>
      <c r="F145" s="157"/>
      <c r="G145" s="157"/>
      <c r="H145" s="157"/>
      <c r="I145" s="157"/>
    </row>
    <row r="146" spans="2:9">
      <c r="B146" s="157"/>
      <c r="C146" s="157"/>
      <c r="D146" s="157"/>
      <c r="E146" s="157"/>
      <c r="F146" s="157"/>
      <c r="G146" s="157"/>
      <c r="H146" s="157"/>
      <c r="I146" s="157"/>
    </row>
    <row r="147" spans="2:9">
      <c r="B147" s="157"/>
      <c r="C147" s="157"/>
      <c r="D147" s="157"/>
      <c r="E147" s="157"/>
      <c r="F147" s="157"/>
      <c r="G147" s="157"/>
      <c r="H147" s="157"/>
      <c r="I147" s="157"/>
    </row>
    <row r="148" spans="2:9">
      <c r="B148" s="157"/>
      <c r="C148" s="157"/>
      <c r="D148" s="157"/>
      <c r="E148" s="157"/>
      <c r="F148" s="157"/>
      <c r="G148" s="157"/>
      <c r="H148" s="157"/>
      <c r="I148" s="157"/>
    </row>
    <row r="149" spans="2:9">
      <c r="B149" s="157"/>
      <c r="C149" s="157"/>
      <c r="D149" s="157"/>
      <c r="E149" s="157"/>
      <c r="F149" s="157"/>
      <c r="G149" s="157"/>
      <c r="H149" s="157"/>
      <c r="I149" s="157"/>
    </row>
    <row r="150" spans="2:9">
      <c r="B150" s="157"/>
      <c r="C150" s="157"/>
      <c r="D150" s="157"/>
      <c r="E150" s="157"/>
      <c r="F150" s="157"/>
      <c r="G150" s="157"/>
      <c r="H150" s="157"/>
      <c r="I150" s="157"/>
    </row>
    <row r="151" spans="2:9">
      <c r="B151" s="157"/>
      <c r="C151" s="157"/>
      <c r="D151" s="157"/>
      <c r="E151" s="157"/>
      <c r="F151" s="157"/>
      <c r="G151" s="157"/>
      <c r="H151" s="157"/>
      <c r="I151" s="157"/>
    </row>
    <row r="152" spans="2:9">
      <c r="B152" s="157"/>
      <c r="C152" s="157"/>
      <c r="D152" s="157"/>
      <c r="E152" s="157"/>
      <c r="F152" s="157"/>
      <c r="G152" s="157"/>
      <c r="H152" s="157"/>
      <c r="I152" s="157"/>
    </row>
    <row r="153" spans="2:9">
      <c r="B153" s="157"/>
      <c r="C153" s="157"/>
      <c r="D153" s="157"/>
      <c r="E153" s="157"/>
      <c r="F153" s="157"/>
      <c r="G153" s="157"/>
      <c r="H153" s="157"/>
      <c r="I153" s="157"/>
    </row>
    <row r="154" spans="2:9">
      <c r="B154" s="157"/>
      <c r="C154" s="157"/>
      <c r="D154" s="157"/>
      <c r="E154" s="157"/>
      <c r="F154" s="157"/>
      <c r="G154" s="157"/>
      <c r="H154" s="157"/>
      <c r="I154" s="157"/>
    </row>
    <row r="155" spans="2:9">
      <c r="B155" s="157"/>
      <c r="C155" s="157"/>
      <c r="D155" s="157"/>
      <c r="E155" s="157"/>
      <c r="F155" s="157"/>
      <c r="G155" s="157"/>
      <c r="H155" s="157"/>
      <c r="I155" s="157"/>
    </row>
    <row r="156" spans="2:9">
      <c r="B156" s="157"/>
      <c r="C156" s="157"/>
      <c r="D156" s="157"/>
      <c r="E156" s="157"/>
      <c r="F156" s="157"/>
      <c r="G156" s="157"/>
      <c r="H156" s="157"/>
      <c r="I156" s="157"/>
    </row>
    <row r="157" spans="2:9">
      <c r="B157" s="157"/>
      <c r="C157" s="157"/>
      <c r="D157" s="157"/>
      <c r="E157" s="157"/>
      <c r="F157" s="157"/>
      <c r="G157" s="157"/>
      <c r="H157" s="157"/>
      <c r="I157" s="157"/>
    </row>
    <row r="158" spans="2:9">
      <c r="B158" s="157"/>
      <c r="C158" s="157"/>
      <c r="D158" s="157"/>
      <c r="E158" s="157"/>
      <c r="F158" s="157"/>
      <c r="G158" s="157"/>
      <c r="H158" s="157"/>
      <c r="I158" s="157"/>
    </row>
    <row r="159" spans="2:9">
      <c r="B159" s="157"/>
      <c r="C159" s="157"/>
      <c r="D159" s="157"/>
      <c r="E159" s="157"/>
      <c r="F159" s="157"/>
      <c r="G159" s="157"/>
      <c r="H159" s="157"/>
      <c r="I159" s="157"/>
    </row>
    <row r="160" spans="2:9">
      <c r="B160" s="157"/>
      <c r="C160" s="157"/>
      <c r="D160" s="157"/>
      <c r="E160" s="157"/>
      <c r="F160" s="157"/>
      <c r="G160" s="157"/>
      <c r="H160" s="157"/>
      <c r="I160" s="157"/>
    </row>
    <row r="161" spans="2:9">
      <c r="B161" s="157"/>
      <c r="C161" s="157"/>
      <c r="D161" s="157"/>
      <c r="E161" s="157"/>
      <c r="F161" s="157"/>
      <c r="G161" s="157"/>
      <c r="H161" s="157"/>
      <c r="I161" s="157"/>
    </row>
    <row r="162" spans="2:9">
      <c r="B162" s="157"/>
      <c r="C162" s="157"/>
      <c r="D162" s="157"/>
      <c r="E162" s="157"/>
      <c r="F162" s="157"/>
      <c r="G162" s="157"/>
      <c r="H162" s="157"/>
      <c r="I162" s="157"/>
    </row>
    <row r="163" spans="2:9">
      <c r="B163" s="157"/>
      <c r="C163" s="157"/>
      <c r="D163" s="157"/>
      <c r="E163" s="157"/>
      <c r="F163" s="157"/>
      <c r="G163" s="157"/>
      <c r="H163" s="157"/>
      <c r="I163" s="157"/>
    </row>
    <row r="164" spans="2:9">
      <c r="B164" s="157"/>
      <c r="C164" s="157"/>
      <c r="D164" s="157"/>
      <c r="E164" s="157"/>
      <c r="F164" s="157"/>
      <c r="G164" s="157"/>
      <c r="H164" s="157"/>
      <c r="I164" s="157"/>
    </row>
    <row r="165" spans="2:9">
      <c r="B165" s="157"/>
      <c r="C165" s="157"/>
      <c r="D165" s="157"/>
      <c r="E165" s="157"/>
      <c r="F165" s="157"/>
      <c r="G165" s="157"/>
      <c r="H165" s="157"/>
      <c r="I165" s="157"/>
    </row>
    <row r="166" spans="2:9">
      <c r="B166" s="157"/>
      <c r="C166" s="157"/>
      <c r="D166" s="157"/>
      <c r="E166" s="157"/>
      <c r="F166" s="157"/>
      <c r="G166" s="157"/>
      <c r="H166" s="157"/>
      <c r="I166" s="157"/>
    </row>
    <row r="167" spans="2:9">
      <c r="B167" s="157"/>
      <c r="C167" s="157"/>
      <c r="D167" s="157"/>
      <c r="E167" s="157"/>
      <c r="F167" s="157"/>
      <c r="G167" s="157"/>
      <c r="H167" s="157"/>
      <c r="I167" s="157"/>
    </row>
    <row r="168" spans="2:9">
      <c r="B168" s="157"/>
      <c r="C168" s="157"/>
      <c r="D168" s="157"/>
      <c r="E168" s="157"/>
      <c r="F168" s="157"/>
      <c r="G168" s="157"/>
      <c r="H168" s="157"/>
      <c r="I168" s="157"/>
    </row>
    <row r="169" spans="2:9">
      <c r="B169" s="157"/>
      <c r="C169" s="157"/>
      <c r="D169" s="157"/>
      <c r="E169" s="157"/>
      <c r="F169" s="157"/>
      <c r="G169" s="157"/>
      <c r="H169" s="157"/>
      <c r="I169" s="157"/>
    </row>
    <row r="170" spans="2:9">
      <c r="B170" s="157"/>
      <c r="C170" s="157"/>
      <c r="D170" s="157"/>
      <c r="E170" s="157"/>
      <c r="F170" s="157"/>
      <c r="G170" s="157"/>
      <c r="H170" s="157"/>
      <c r="I170" s="157"/>
    </row>
    <row r="171" spans="2:9">
      <c r="B171" s="157"/>
      <c r="C171" s="157"/>
      <c r="D171" s="157"/>
      <c r="E171" s="157"/>
      <c r="F171" s="157"/>
      <c r="G171" s="157"/>
      <c r="H171" s="157"/>
      <c r="I171" s="157"/>
    </row>
    <row r="172" spans="2:9">
      <c r="B172" s="157"/>
      <c r="C172" s="157"/>
      <c r="D172" s="157"/>
      <c r="E172" s="157"/>
      <c r="F172" s="157"/>
      <c r="G172" s="157"/>
      <c r="H172" s="157"/>
      <c r="I172" s="157"/>
    </row>
    <row r="173" spans="2:9">
      <c r="B173" s="157"/>
      <c r="C173" s="157"/>
      <c r="D173" s="157"/>
      <c r="E173" s="157"/>
      <c r="F173" s="157"/>
      <c r="G173" s="157"/>
      <c r="H173" s="157"/>
      <c r="I173" s="157"/>
    </row>
    <row r="174" spans="2:9">
      <c r="B174" s="157"/>
      <c r="C174" s="157"/>
      <c r="D174" s="157"/>
      <c r="E174" s="157"/>
      <c r="F174" s="157"/>
      <c r="G174" s="157"/>
      <c r="H174" s="157"/>
      <c r="I174" s="157"/>
    </row>
    <row r="175" spans="2:9">
      <c r="B175" s="157"/>
      <c r="C175" s="157"/>
      <c r="D175" s="157"/>
      <c r="E175" s="157"/>
      <c r="F175" s="157"/>
      <c r="G175" s="157"/>
      <c r="H175" s="157"/>
      <c r="I175" s="157"/>
    </row>
    <row r="176" spans="2:9">
      <c r="B176" s="157"/>
      <c r="C176" s="157"/>
      <c r="D176" s="157"/>
      <c r="E176" s="157"/>
      <c r="F176" s="157"/>
      <c r="G176" s="157"/>
      <c r="H176" s="157"/>
      <c r="I176" s="157"/>
    </row>
    <row r="177" spans="2:9">
      <c r="B177" s="157"/>
      <c r="C177" s="157"/>
      <c r="D177" s="157"/>
      <c r="E177" s="157"/>
      <c r="F177" s="157"/>
      <c r="G177" s="157"/>
      <c r="H177" s="157"/>
      <c r="I177" s="157"/>
    </row>
    <row r="178" spans="2:9">
      <c r="B178" s="157"/>
      <c r="C178" s="157"/>
      <c r="D178" s="157"/>
      <c r="E178" s="157"/>
      <c r="F178" s="157"/>
      <c r="G178" s="157"/>
      <c r="H178" s="157"/>
      <c r="I178" s="157"/>
    </row>
    <row r="179" spans="2:9">
      <c r="B179" s="157"/>
      <c r="C179" s="157"/>
      <c r="D179" s="157"/>
      <c r="E179" s="157"/>
      <c r="F179" s="157"/>
      <c r="G179" s="157"/>
      <c r="H179" s="157"/>
      <c r="I179" s="157"/>
    </row>
    <row r="180" spans="2:9">
      <c r="B180" s="157"/>
      <c r="C180" s="157"/>
      <c r="D180" s="157"/>
      <c r="E180" s="157"/>
      <c r="F180" s="157"/>
      <c r="G180" s="157"/>
      <c r="H180" s="157"/>
      <c r="I180" s="157"/>
    </row>
    <row r="181" spans="2:9">
      <c r="B181" s="157"/>
      <c r="C181" s="157"/>
      <c r="D181" s="157"/>
      <c r="E181" s="157"/>
      <c r="F181" s="157"/>
      <c r="G181" s="157"/>
      <c r="H181" s="157"/>
      <c r="I181" s="157"/>
    </row>
    <row r="182" spans="2:9">
      <c r="B182" s="157"/>
      <c r="C182" s="157"/>
      <c r="D182" s="157"/>
      <c r="E182" s="157"/>
      <c r="F182" s="157"/>
      <c r="G182" s="157"/>
      <c r="H182" s="157"/>
      <c r="I182" s="157"/>
    </row>
    <row r="183" spans="2:9">
      <c r="B183" s="157"/>
      <c r="C183" s="157"/>
      <c r="D183" s="157"/>
      <c r="E183" s="157"/>
      <c r="F183" s="157"/>
      <c r="G183" s="157"/>
      <c r="H183" s="157"/>
      <c r="I183" s="157"/>
    </row>
    <row r="184" spans="2:9">
      <c r="B184" s="157"/>
      <c r="C184" s="157"/>
      <c r="D184" s="157"/>
      <c r="E184" s="157"/>
      <c r="F184" s="157"/>
      <c r="G184" s="157"/>
      <c r="H184" s="157"/>
      <c r="I184" s="157"/>
    </row>
    <row r="185" spans="2:9">
      <c r="B185" s="157"/>
      <c r="C185" s="157"/>
      <c r="D185" s="157"/>
      <c r="E185" s="157"/>
      <c r="F185" s="157"/>
      <c r="G185" s="157"/>
      <c r="H185" s="157"/>
      <c r="I185" s="157"/>
    </row>
    <row r="186" spans="2:9">
      <c r="B186" s="157"/>
      <c r="C186" s="157"/>
      <c r="D186" s="157"/>
      <c r="E186" s="157"/>
      <c r="F186" s="157"/>
      <c r="G186" s="157"/>
      <c r="H186" s="157"/>
      <c r="I186" s="157"/>
    </row>
    <row r="187" spans="2:9">
      <c r="B187" s="157"/>
      <c r="C187" s="157"/>
      <c r="D187" s="157"/>
      <c r="E187" s="157"/>
      <c r="F187" s="157"/>
      <c r="G187" s="157"/>
      <c r="H187" s="157"/>
      <c r="I187" s="157"/>
    </row>
    <row r="188" spans="2:9">
      <c r="B188" s="157"/>
      <c r="C188" s="157"/>
      <c r="D188" s="157"/>
      <c r="E188" s="157"/>
      <c r="F188" s="157"/>
      <c r="G188" s="157"/>
      <c r="H188" s="157"/>
      <c r="I188" s="157"/>
    </row>
    <row r="189" spans="2:9">
      <c r="B189" s="157"/>
      <c r="C189" s="157"/>
      <c r="D189" s="157"/>
      <c r="E189" s="157"/>
      <c r="F189" s="157"/>
      <c r="G189" s="157"/>
      <c r="H189" s="157"/>
      <c r="I189" s="157"/>
    </row>
    <row r="190" spans="2:9">
      <c r="B190" s="157"/>
      <c r="C190" s="157"/>
      <c r="D190" s="157"/>
      <c r="E190" s="157"/>
      <c r="F190" s="157"/>
      <c r="G190" s="157"/>
      <c r="H190" s="157"/>
      <c r="I190" s="157"/>
    </row>
    <row r="191" spans="2:9">
      <c r="B191" s="157"/>
      <c r="C191" s="157"/>
      <c r="D191" s="157"/>
      <c r="E191" s="157"/>
      <c r="F191" s="157"/>
      <c r="G191" s="157"/>
      <c r="H191" s="157"/>
      <c r="I191" s="157"/>
    </row>
    <row r="192" spans="2:9">
      <c r="B192" s="157"/>
      <c r="C192" s="157"/>
      <c r="D192" s="157"/>
      <c r="E192" s="157"/>
      <c r="F192" s="157"/>
      <c r="G192" s="157"/>
      <c r="H192" s="157"/>
      <c r="I192" s="157"/>
    </row>
    <row r="193" spans="2:9">
      <c r="B193" s="157"/>
      <c r="C193" s="157"/>
      <c r="D193" s="157"/>
      <c r="E193" s="157"/>
      <c r="F193" s="157"/>
      <c r="G193" s="157"/>
      <c r="H193" s="157"/>
      <c r="I193" s="157"/>
    </row>
    <row r="194" spans="2:9">
      <c r="B194" s="157"/>
      <c r="C194" s="157"/>
      <c r="D194" s="157"/>
      <c r="E194" s="157"/>
      <c r="F194" s="157"/>
      <c r="G194" s="157"/>
      <c r="H194" s="157"/>
      <c r="I194" s="157"/>
    </row>
    <row r="195" spans="2:9">
      <c r="B195" s="157"/>
      <c r="C195" s="157"/>
      <c r="D195" s="157"/>
      <c r="E195" s="157"/>
      <c r="F195" s="157"/>
      <c r="G195" s="157"/>
      <c r="H195" s="157"/>
      <c r="I195" s="157"/>
    </row>
    <row r="196" spans="2:9">
      <c r="B196" s="157"/>
      <c r="C196" s="157"/>
      <c r="D196" s="157"/>
      <c r="E196" s="157"/>
      <c r="F196" s="157"/>
      <c r="G196" s="157"/>
      <c r="H196" s="157"/>
      <c r="I196" s="157"/>
    </row>
    <row r="197" spans="2:9">
      <c r="B197" s="157"/>
      <c r="C197" s="157"/>
      <c r="D197" s="157"/>
      <c r="E197" s="157"/>
      <c r="F197" s="157"/>
      <c r="G197" s="157"/>
      <c r="H197" s="157"/>
      <c r="I197" s="157"/>
    </row>
    <row r="198" spans="2:9">
      <c r="B198" s="157"/>
      <c r="C198" s="157"/>
      <c r="D198" s="157"/>
      <c r="E198" s="157"/>
      <c r="F198" s="157"/>
      <c r="G198" s="157"/>
      <c r="H198" s="157"/>
      <c r="I198" s="157"/>
    </row>
    <row r="199" spans="2:9">
      <c r="B199" s="157"/>
      <c r="C199" s="157"/>
      <c r="D199" s="157"/>
      <c r="E199" s="157"/>
      <c r="F199" s="157"/>
      <c r="G199" s="157"/>
      <c r="H199" s="157"/>
      <c r="I199" s="157"/>
    </row>
    <row r="200" spans="2:9">
      <c r="B200" s="157"/>
      <c r="C200" s="157"/>
      <c r="D200" s="157"/>
      <c r="E200" s="157"/>
      <c r="F200" s="157"/>
      <c r="G200" s="157"/>
      <c r="H200" s="157"/>
      <c r="I200" s="157"/>
    </row>
    <row r="201" spans="2:9">
      <c r="B201" s="157"/>
      <c r="C201" s="157"/>
      <c r="D201" s="157"/>
      <c r="E201" s="157"/>
      <c r="F201" s="157"/>
      <c r="G201" s="157"/>
      <c r="H201" s="157"/>
      <c r="I201" s="157"/>
    </row>
    <row r="202" spans="2:9">
      <c r="B202" s="157"/>
      <c r="C202" s="157"/>
      <c r="D202" s="157"/>
      <c r="E202" s="157"/>
      <c r="F202" s="157"/>
      <c r="G202" s="157"/>
      <c r="H202" s="157"/>
      <c r="I202" s="157"/>
    </row>
    <row r="203" spans="2:9">
      <c r="B203" s="157"/>
      <c r="C203" s="157"/>
      <c r="D203" s="157"/>
      <c r="E203" s="157"/>
      <c r="F203" s="157"/>
      <c r="G203" s="157"/>
      <c r="H203" s="157"/>
      <c r="I203" s="157"/>
    </row>
    <row r="204" spans="2:9">
      <c r="B204" s="157"/>
      <c r="C204" s="157"/>
      <c r="D204" s="157"/>
      <c r="E204" s="157"/>
      <c r="F204" s="157"/>
      <c r="G204" s="157"/>
      <c r="H204" s="157"/>
      <c r="I204" s="157"/>
    </row>
    <row r="205" spans="2:9">
      <c r="B205" s="157"/>
      <c r="C205" s="157"/>
      <c r="D205" s="157"/>
      <c r="E205" s="157"/>
      <c r="F205" s="157"/>
      <c r="G205" s="157"/>
      <c r="H205" s="157"/>
      <c r="I205" s="157"/>
    </row>
    <row r="206" spans="2:9">
      <c r="B206" s="157"/>
      <c r="C206" s="157"/>
      <c r="D206" s="157"/>
      <c r="E206" s="157"/>
      <c r="F206" s="157"/>
      <c r="G206" s="157"/>
      <c r="H206" s="157"/>
      <c r="I206" s="157"/>
    </row>
    <row r="207" spans="2:9">
      <c r="B207" s="157"/>
      <c r="C207" s="157"/>
      <c r="D207" s="157"/>
      <c r="E207" s="157"/>
      <c r="F207" s="157"/>
      <c r="G207" s="157"/>
      <c r="H207" s="157"/>
      <c r="I207" s="157"/>
    </row>
    <row r="208" spans="2:9">
      <c r="B208" s="157"/>
      <c r="C208" s="157"/>
      <c r="D208" s="157"/>
      <c r="E208" s="157"/>
      <c r="F208" s="157"/>
      <c r="G208" s="157"/>
      <c r="H208" s="157"/>
      <c r="I208" s="157"/>
    </row>
    <row r="209" spans="2:9">
      <c r="B209" s="157"/>
      <c r="C209" s="157"/>
      <c r="D209" s="157"/>
      <c r="E209" s="157"/>
      <c r="F209" s="157"/>
      <c r="G209" s="157"/>
      <c r="H209" s="157"/>
      <c r="I209" s="157"/>
    </row>
    <row r="210" spans="2:9">
      <c r="B210" s="157"/>
      <c r="C210" s="157"/>
      <c r="D210" s="157"/>
      <c r="E210" s="157"/>
      <c r="F210" s="157"/>
      <c r="G210" s="157"/>
      <c r="H210" s="157"/>
      <c r="I210" s="157"/>
    </row>
    <row r="211" spans="2:9">
      <c r="B211" s="157"/>
      <c r="C211" s="157"/>
      <c r="D211" s="157"/>
      <c r="E211" s="157"/>
      <c r="F211" s="157"/>
      <c r="G211" s="157"/>
      <c r="H211" s="157"/>
      <c r="I211" s="157"/>
    </row>
    <row r="212" spans="2:9">
      <c r="B212" s="157"/>
      <c r="C212" s="157"/>
      <c r="D212" s="157"/>
      <c r="E212" s="157"/>
      <c r="F212" s="157"/>
      <c r="G212" s="157"/>
      <c r="H212" s="157"/>
      <c r="I212" s="157"/>
    </row>
    <row r="213" spans="2:9">
      <c r="B213" s="157"/>
      <c r="C213" s="157"/>
      <c r="D213" s="157"/>
      <c r="E213" s="157"/>
      <c r="F213" s="157"/>
      <c r="G213" s="157"/>
      <c r="H213" s="157"/>
      <c r="I213" s="157"/>
    </row>
    <row r="214" spans="2:9">
      <c r="B214" s="157"/>
      <c r="C214" s="157"/>
      <c r="D214" s="157"/>
      <c r="E214" s="157"/>
      <c r="F214" s="157"/>
      <c r="G214" s="157"/>
      <c r="H214" s="157"/>
      <c r="I214" s="157"/>
    </row>
    <row r="215" spans="2:9">
      <c r="B215" s="157"/>
      <c r="C215" s="157"/>
      <c r="D215" s="157"/>
      <c r="E215" s="157"/>
      <c r="F215" s="157"/>
      <c r="G215" s="157"/>
      <c r="H215" s="157"/>
      <c r="I215" s="157"/>
    </row>
    <row r="216" spans="2:9">
      <c r="B216" s="157"/>
      <c r="C216" s="157"/>
      <c r="D216" s="157"/>
      <c r="E216" s="157"/>
      <c r="F216" s="157"/>
      <c r="G216" s="157"/>
      <c r="H216" s="157"/>
      <c r="I216" s="157"/>
    </row>
    <row r="217" spans="2:9">
      <c r="B217" s="157"/>
      <c r="C217" s="157"/>
      <c r="D217" s="157"/>
      <c r="E217" s="157"/>
      <c r="F217" s="157"/>
      <c r="G217" s="157"/>
      <c r="H217" s="157"/>
      <c r="I217" s="157"/>
    </row>
    <row r="218" spans="2:9">
      <c r="B218" s="157"/>
      <c r="C218" s="157"/>
      <c r="D218" s="157"/>
      <c r="E218" s="157"/>
      <c r="F218" s="157"/>
      <c r="G218" s="157"/>
      <c r="H218" s="157"/>
      <c r="I218" s="157"/>
    </row>
    <row r="219" spans="2:9">
      <c r="B219" s="157"/>
      <c r="C219" s="157"/>
      <c r="D219" s="157"/>
      <c r="E219" s="157"/>
      <c r="F219" s="157"/>
      <c r="G219" s="157"/>
      <c r="H219" s="157"/>
      <c r="I219" s="157"/>
    </row>
    <row r="220" spans="2:9">
      <c r="B220" s="157"/>
      <c r="C220" s="157"/>
      <c r="D220" s="157"/>
      <c r="E220" s="157"/>
      <c r="F220" s="157"/>
      <c r="G220" s="157"/>
      <c r="H220" s="157"/>
      <c r="I220" s="157"/>
    </row>
    <row r="221" spans="2:9">
      <c r="B221" s="157"/>
      <c r="C221" s="157"/>
      <c r="D221" s="157"/>
      <c r="E221" s="157"/>
      <c r="F221" s="157"/>
      <c r="G221" s="157"/>
      <c r="H221" s="157"/>
      <c r="I221" s="157"/>
    </row>
    <row r="222" spans="2:9">
      <c r="B222" s="157"/>
      <c r="C222" s="157"/>
      <c r="D222" s="157"/>
      <c r="E222" s="157"/>
      <c r="F222" s="157"/>
      <c r="G222" s="157"/>
      <c r="H222" s="157"/>
      <c r="I222" s="157"/>
    </row>
    <row r="223" spans="2:9">
      <c r="B223" s="157"/>
      <c r="C223" s="157"/>
      <c r="D223" s="157"/>
      <c r="E223" s="157"/>
      <c r="F223" s="157"/>
      <c r="G223" s="157"/>
      <c r="H223" s="157"/>
      <c r="I223" s="157"/>
    </row>
    <row r="224" spans="2:9">
      <c r="B224" s="157"/>
      <c r="C224" s="157"/>
      <c r="D224" s="157"/>
      <c r="E224" s="157"/>
      <c r="F224" s="157"/>
      <c r="G224" s="157"/>
      <c r="H224" s="157"/>
      <c r="I224" s="157"/>
    </row>
    <row r="225" spans="2:9">
      <c r="B225" s="157"/>
      <c r="C225" s="157"/>
      <c r="D225" s="157"/>
      <c r="E225" s="157"/>
      <c r="F225" s="157"/>
      <c r="G225" s="157"/>
      <c r="H225" s="157"/>
      <c r="I225" s="157"/>
    </row>
    <row r="226" spans="2:9">
      <c r="B226" s="157"/>
      <c r="C226" s="157"/>
      <c r="D226" s="157"/>
      <c r="E226" s="157"/>
      <c r="F226" s="157"/>
      <c r="G226" s="157"/>
      <c r="H226" s="157"/>
      <c r="I226" s="157"/>
    </row>
    <row r="227" spans="2:9">
      <c r="B227" s="157"/>
      <c r="C227" s="157"/>
      <c r="D227" s="157"/>
      <c r="E227" s="157"/>
      <c r="F227" s="157"/>
      <c r="G227" s="157"/>
      <c r="H227" s="157"/>
      <c r="I227" s="157"/>
    </row>
    <row r="228" spans="2:9">
      <c r="B228" s="157"/>
      <c r="C228" s="157"/>
      <c r="D228" s="157"/>
      <c r="E228" s="157"/>
      <c r="F228" s="157"/>
      <c r="G228" s="157"/>
      <c r="H228" s="157"/>
      <c r="I228" s="157"/>
    </row>
    <row r="229" spans="2:9">
      <c r="B229" s="157"/>
      <c r="C229" s="157"/>
      <c r="D229" s="157"/>
      <c r="E229" s="157"/>
      <c r="F229" s="157"/>
      <c r="G229" s="157"/>
      <c r="H229" s="157"/>
      <c r="I229" s="157"/>
    </row>
    <row r="230" spans="2:9">
      <c r="B230" s="157"/>
      <c r="C230" s="157"/>
      <c r="D230" s="157"/>
      <c r="E230" s="157"/>
      <c r="F230" s="157"/>
      <c r="G230" s="157"/>
      <c r="H230" s="157"/>
      <c r="I230" s="157"/>
    </row>
    <row r="231" spans="2:9">
      <c r="B231" s="157"/>
      <c r="C231" s="157"/>
      <c r="D231" s="157"/>
      <c r="E231" s="157"/>
      <c r="F231" s="157"/>
      <c r="G231" s="157"/>
      <c r="H231" s="157"/>
      <c r="I231" s="157"/>
    </row>
    <row r="232" spans="2:9">
      <c r="B232" s="157"/>
      <c r="C232" s="157"/>
      <c r="D232" s="157"/>
      <c r="E232" s="157"/>
      <c r="F232" s="157"/>
      <c r="G232" s="157"/>
      <c r="H232" s="157"/>
      <c r="I232" s="157"/>
    </row>
    <row r="233" spans="2:9">
      <c r="B233" s="157"/>
      <c r="C233" s="157"/>
      <c r="D233" s="157"/>
      <c r="E233" s="157"/>
      <c r="F233" s="157"/>
      <c r="G233" s="157"/>
      <c r="H233" s="157"/>
      <c r="I233" s="157"/>
    </row>
    <row r="234" spans="2:9">
      <c r="B234" s="157"/>
      <c r="C234" s="157"/>
      <c r="D234" s="157"/>
      <c r="E234" s="157"/>
      <c r="F234" s="157"/>
      <c r="G234" s="157"/>
      <c r="H234" s="157"/>
      <c r="I234" s="157"/>
    </row>
    <row r="235" spans="2:9">
      <c r="B235" s="157"/>
      <c r="C235" s="157"/>
      <c r="D235" s="157"/>
      <c r="E235" s="157"/>
      <c r="F235" s="157"/>
      <c r="G235" s="157"/>
      <c r="H235" s="157"/>
      <c r="I235" s="157"/>
    </row>
    <row r="236" spans="2:9">
      <c r="B236" s="157"/>
      <c r="C236" s="157"/>
      <c r="D236" s="157"/>
      <c r="E236" s="157"/>
      <c r="F236" s="157"/>
      <c r="G236" s="157"/>
      <c r="H236" s="157"/>
      <c r="I236" s="157"/>
    </row>
    <row r="237" spans="2:9">
      <c r="B237" s="157"/>
      <c r="C237" s="157"/>
      <c r="D237" s="157"/>
      <c r="E237" s="157"/>
      <c r="F237" s="157"/>
      <c r="G237" s="157"/>
      <c r="H237" s="157"/>
      <c r="I237" s="157"/>
    </row>
    <row r="238" spans="2:9">
      <c r="B238" s="157"/>
      <c r="C238" s="157"/>
      <c r="D238" s="157"/>
      <c r="E238" s="157"/>
      <c r="F238" s="157"/>
      <c r="G238" s="157"/>
      <c r="H238" s="157"/>
      <c r="I238" s="157"/>
    </row>
    <row r="239" spans="2:9">
      <c r="B239" s="157"/>
      <c r="C239" s="157"/>
      <c r="D239" s="157"/>
      <c r="E239" s="157"/>
      <c r="F239" s="157"/>
      <c r="G239" s="157"/>
      <c r="H239" s="157"/>
      <c r="I239" s="157"/>
    </row>
    <row r="240" spans="2:9">
      <c r="B240" s="157"/>
      <c r="C240" s="157"/>
      <c r="D240" s="157"/>
      <c r="E240" s="157"/>
      <c r="F240" s="157"/>
      <c r="G240" s="157"/>
      <c r="H240" s="157"/>
      <c r="I240" s="157"/>
    </row>
    <row r="241" spans="2:9">
      <c r="B241" s="157"/>
      <c r="C241" s="157"/>
      <c r="D241" s="157"/>
      <c r="E241" s="157"/>
      <c r="F241" s="157"/>
      <c r="G241" s="157"/>
      <c r="H241" s="157"/>
      <c r="I241" s="157"/>
    </row>
    <row r="242" spans="2:9">
      <c r="B242" s="157"/>
      <c r="C242" s="157"/>
      <c r="D242" s="157"/>
      <c r="E242" s="157"/>
      <c r="F242" s="157"/>
      <c r="G242" s="157"/>
      <c r="H242" s="157"/>
      <c r="I242" s="157"/>
    </row>
    <row r="243" spans="2:9">
      <c r="B243" s="157"/>
      <c r="C243" s="157"/>
      <c r="D243" s="157"/>
      <c r="E243" s="157"/>
      <c r="F243" s="157"/>
      <c r="G243" s="157"/>
      <c r="H243" s="157"/>
      <c r="I243" s="157"/>
    </row>
    <row r="244" spans="2:9">
      <c r="B244" s="157"/>
      <c r="C244" s="157"/>
      <c r="D244" s="157"/>
      <c r="E244" s="157"/>
      <c r="F244" s="157"/>
      <c r="G244" s="157"/>
      <c r="H244" s="157"/>
      <c r="I244" s="157"/>
    </row>
    <row r="245" spans="2:9">
      <c r="B245" s="157"/>
      <c r="C245" s="157"/>
      <c r="D245" s="157"/>
      <c r="E245" s="157"/>
      <c r="F245" s="157"/>
      <c r="G245" s="157"/>
      <c r="H245" s="157"/>
      <c r="I245" s="157"/>
    </row>
    <row r="246" spans="2:9">
      <c r="B246" s="157"/>
      <c r="C246" s="157"/>
      <c r="D246" s="157"/>
      <c r="E246" s="157"/>
      <c r="F246" s="157"/>
      <c r="G246" s="157"/>
      <c r="H246" s="157"/>
      <c r="I246" s="157"/>
    </row>
    <row r="247" spans="2:9">
      <c r="B247" s="157"/>
      <c r="C247" s="157"/>
      <c r="D247" s="157"/>
      <c r="E247" s="157"/>
      <c r="F247" s="157"/>
      <c r="G247" s="157"/>
      <c r="H247" s="157"/>
      <c r="I247" s="157"/>
    </row>
    <row r="248" spans="2:9">
      <c r="B248" s="157"/>
      <c r="C248" s="157"/>
      <c r="D248" s="157"/>
      <c r="E248" s="157"/>
      <c r="F248" s="157"/>
      <c r="G248" s="157"/>
      <c r="H248" s="157"/>
      <c r="I248" s="157"/>
    </row>
    <row r="249" spans="2:9">
      <c r="B249" s="157"/>
      <c r="C249" s="157"/>
      <c r="D249" s="157"/>
      <c r="E249" s="157"/>
      <c r="F249" s="157"/>
      <c r="G249" s="157"/>
      <c r="H249" s="157"/>
      <c r="I249" s="157"/>
    </row>
    <row r="250" spans="2:9">
      <c r="B250" s="157"/>
      <c r="C250" s="157"/>
      <c r="D250" s="157"/>
      <c r="E250" s="157"/>
      <c r="F250" s="157"/>
      <c r="G250" s="157"/>
      <c r="H250" s="157"/>
      <c r="I250" s="157"/>
    </row>
    <row r="251" spans="2:9">
      <c r="B251" s="157"/>
      <c r="C251" s="157"/>
      <c r="D251" s="157"/>
      <c r="E251" s="157"/>
      <c r="F251" s="157"/>
      <c r="G251" s="157"/>
      <c r="H251" s="157"/>
      <c r="I251" s="157"/>
    </row>
    <row r="252" spans="2:9">
      <c r="B252" s="157"/>
      <c r="C252" s="157"/>
      <c r="D252" s="157"/>
      <c r="E252" s="157"/>
      <c r="F252" s="157"/>
      <c r="G252" s="157"/>
      <c r="H252" s="157"/>
      <c r="I252" s="157"/>
    </row>
    <row r="253" spans="2:9">
      <c r="B253" s="157"/>
      <c r="C253" s="157"/>
      <c r="D253" s="157"/>
      <c r="E253" s="157"/>
      <c r="F253" s="157"/>
      <c r="G253" s="157"/>
      <c r="H253" s="157"/>
      <c r="I253" s="157"/>
    </row>
    <row r="254" spans="2:9">
      <c r="B254" s="157"/>
      <c r="C254" s="157"/>
      <c r="D254" s="157"/>
      <c r="E254" s="157"/>
      <c r="F254" s="157"/>
      <c r="G254" s="157"/>
      <c r="H254" s="157"/>
      <c r="I254" s="157"/>
    </row>
    <row r="255" spans="2:9">
      <c r="B255" s="157"/>
      <c r="C255" s="157"/>
      <c r="D255" s="157"/>
      <c r="E255" s="157"/>
      <c r="F255" s="157"/>
      <c r="G255" s="157"/>
      <c r="H255" s="157"/>
      <c r="I255" s="157"/>
    </row>
    <row r="256" spans="2:9">
      <c r="B256" s="157"/>
      <c r="C256" s="157"/>
      <c r="D256" s="157"/>
      <c r="E256" s="157"/>
      <c r="F256" s="157"/>
      <c r="G256" s="157"/>
      <c r="H256" s="157"/>
      <c r="I256" s="157"/>
    </row>
    <row r="257" spans="2:9">
      <c r="B257" s="157"/>
      <c r="C257" s="157"/>
      <c r="D257" s="157"/>
      <c r="E257" s="157"/>
      <c r="F257" s="157"/>
      <c r="G257" s="157"/>
      <c r="H257" s="157"/>
      <c r="I257" s="157"/>
    </row>
    <row r="258" spans="2:9">
      <c r="B258" s="157"/>
      <c r="C258" s="157"/>
      <c r="D258" s="157"/>
      <c r="E258" s="157"/>
      <c r="F258" s="157"/>
      <c r="G258" s="157"/>
      <c r="H258" s="157"/>
      <c r="I258" s="157"/>
    </row>
    <row r="259" spans="2:9">
      <c r="B259" s="157"/>
      <c r="C259" s="157"/>
      <c r="D259" s="157"/>
      <c r="E259" s="157"/>
      <c r="F259" s="157"/>
      <c r="G259" s="157"/>
      <c r="H259" s="157"/>
      <c r="I259" s="157"/>
    </row>
    <row r="260" spans="2:9">
      <c r="B260" s="157"/>
      <c r="C260" s="157"/>
      <c r="D260" s="157"/>
      <c r="E260" s="157"/>
      <c r="F260" s="157"/>
      <c r="G260" s="157"/>
      <c r="H260" s="157"/>
      <c r="I260" s="157"/>
    </row>
    <row r="261" spans="2:9">
      <c r="B261" s="157"/>
      <c r="C261" s="157"/>
      <c r="D261" s="157"/>
      <c r="E261" s="157"/>
      <c r="F261" s="157"/>
      <c r="G261" s="157"/>
      <c r="H261" s="157"/>
      <c r="I261" s="157"/>
    </row>
    <row r="262" spans="2:9">
      <c r="B262" s="157"/>
      <c r="C262" s="157"/>
      <c r="D262" s="157"/>
      <c r="E262" s="157"/>
      <c r="F262" s="157"/>
      <c r="G262" s="157"/>
      <c r="H262" s="157"/>
      <c r="I262" s="157"/>
    </row>
    <row r="263" spans="2:9">
      <c r="B263" s="157"/>
      <c r="C263" s="157"/>
      <c r="D263" s="157"/>
      <c r="E263" s="157"/>
      <c r="F263" s="157"/>
      <c r="G263" s="157"/>
      <c r="H263" s="157"/>
      <c r="I263" s="157"/>
    </row>
    <row r="264" spans="2:9">
      <c r="B264" s="157"/>
      <c r="C264" s="157"/>
      <c r="D264" s="157"/>
      <c r="E264" s="157"/>
      <c r="F264" s="157"/>
      <c r="G264" s="157"/>
      <c r="H264" s="157"/>
      <c r="I264" s="157"/>
    </row>
    <row r="265" spans="2:9">
      <c r="B265" s="157"/>
      <c r="C265" s="157"/>
      <c r="D265" s="157"/>
      <c r="E265" s="157"/>
      <c r="F265" s="157"/>
      <c r="G265" s="157"/>
      <c r="H265" s="157"/>
      <c r="I265" s="157"/>
    </row>
    <row r="266" spans="2:9">
      <c r="B266" s="157"/>
      <c r="C266" s="157"/>
      <c r="D266" s="157"/>
      <c r="E266" s="157"/>
      <c r="F266" s="157"/>
      <c r="G266" s="157"/>
      <c r="H266" s="157"/>
      <c r="I266" s="157"/>
    </row>
    <row r="267" spans="2:9">
      <c r="B267" s="157"/>
      <c r="C267" s="157"/>
      <c r="D267" s="157"/>
      <c r="E267" s="157"/>
      <c r="F267" s="157"/>
      <c r="G267" s="157"/>
      <c r="H267" s="157"/>
      <c r="I267" s="157"/>
    </row>
    <row r="268" spans="2:9">
      <c r="B268" s="157"/>
      <c r="C268" s="157"/>
      <c r="D268" s="157"/>
      <c r="E268" s="157"/>
      <c r="F268" s="157"/>
      <c r="G268" s="157"/>
      <c r="H268" s="157"/>
      <c r="I268" s="157"/>
    </row>
    <row r="269" spans="2:9">
      <c r="B269" s="157"/>
      <c r="C269" s="157"/>
      <c r="D269" s="157"/>
      <c r="E269" s="157"/>
      <c r="F269" s="157"/>
      <c r="G269" s="157"/>
      <c r="H269" s="157"/>
      <c r="I269" s="157"/>
    </row>
    <row r="270" spans="2:9">
      <c r="B270" s="157"/>
      <c r="C270" s="157"/>
      <c r="D270" s="157"/>
      <c r="E270" s="157"/>
      <c r="F270" s="157"/>
      <c r="G270" s="157"/>
      <c r="H270" s="157"/>
      <c r="I270" s="157"/>
    </row>
    <row r="271" spans="2:9">
      <c r="B271" s="157"/>
      <c r="C271" s="157"/>
      <c r="D271" s="157"/>
      <c r="E271" s="157"/>
      <c r="F271" s="157"/>
      <c r="G271" s="157"/>
      <c r="H271" s="157"/>
      <c r="I271" s="157"/>
    </row>
    <row r="272" spans="2:9">
      <c r="B272" s="157"/>
      <c r="C272" s="157"/>
      <c r="D272" s="157"/>
      <c r="E272" s="157"/>
      <c r="F272" s="157"/>
      <c r="G272" s="157"/>
      <c r="H272" s="157"/>
      <c r="I272" s="157"/>
    </row>
    <row r="273" spans="2:9">
      <c r="B273" s="157"/>
      <c r="C273" s="157"/>
      <c r="D273" s="157"/>
      <c r="E273" s="157"/>
      <c r="F273" s="157"/>
      <c r="G273" s="157"/>
      <c r="H273" s="157"/>
      <c r="I273" s="157"/>
    </row>
    <row r="274" spans="2:9">
      <c r="B274" s="157"/>
      <c r="C274" s="157"/>
      <c r="D274" s="157"/>
      <c r="E274" s="157"/>
      <c r="F274" s="157"/>
      <c r="G274" s="157"/>
      <c r="H274" s="157"/>
      <c r="I274" s="157"/>
    </row>
    <row r="275" spans="2:9">
      <c r="B275" s="157"/>
      <c r="C275" s="157"/>
      <c r="D275" s="157"/>
      <c r="E275" s="157"/>
      <c r="F275" s="157"/>
      <c r="G275" s="157"/>
      <c r="H275" s="157"/>
      <c r="I275" s="157"/>
    </row>
    <row r="276" spans="2:9">
      <c r="B276" s="157"/>
      <c r="C276" s="157"/>
      <c r="D276" s="157"/>
      <c r="E276" s="157"/>
      <c r="F276" s="157"/>
      <c r="G276" s="157"/>
      <c r="H276" s="157"/>
      <c r="I276" s="157"/>
    </row>
    <row r="277" spans="2:9">
      <c r="B277" s="157"/>
      <c r="C277" s="157"/>
      <c r="D277" s="157"/>
      <c r="E277" s="157"/>
      <c r="F277" s="157"/>
      <c r="G277" s="157"/>
      <c r="H277" s="157"/>
      <c r="I277" s="157"/>
    </row>
    <row r="278" spans="2:9">
      <c r="B278" s="157"/>
      <c r="C278" s="157"/>
      <c r="D278" s="157"/>
      <c r="E278" s="157"/>
      <c r="F278" s="157"/>
      <c r="G278" s="157"/>
      <c r="H278" s="157"/>
      <c r="I278" s="157"/>
    </row>
    <row r="279" spans="2:9">
      <c r="B279" s="157"/>
      <c r="C279" s="157"/>
      <c r="D279" s="157"/>
      <c r="E279" s="157"/>
      <c r="F279" s="157"/>
      <c r="G279" s="157"/>
      <c r="H279" s="157"/>
      <c r="I279" s="157"/>
    </row>
    <row r="280" spans="2:9">
      <c r="B280" s="157"/>
      <c r="C280" s="157"/>
      <c r="D280" s="157"/>
      <c r="E280" s="157"/>
      <c r="F280" s="157"/>
      <c r="G280" s="157"/>
      <c r="H280" s="157"/>
      <c r="I280" s="157"/>
    </row>
    <row r="281" spans="2:9">
      <c r="B281" s="157"/>
      <c r="C281" s="157"/>
      <c r="D281" s="157"/>
      <c r="E281" s="157"/>
      <c r="F281" s="157"/>
      <c r="G281" s="157"/>
      <c r="H281" s="157"/>
      <c r="I281" s="157"/>
    </row>
    <row r="282" spans="2:9">
      <c r="B282" s="157"/>
      <c r="C282" s="157"/>
      <c r="D282" s="157"/>
      <c r="E282" s="157"/>
      <c r="F282" s="157"/>
      <c r="G282" s="157"/>
      <c r="H282" s="157"/>
      <c r="I282" s="157"/>
    </row>
    <row r="283" spans="2:9">
      <c r="B283" s="157"/>
      <c r="C283" s="157"/>
      <c r="D283" s="157"/>
      <c r="E283" s="157"/>
      <c r="F283" s="157"/>
      <c r="G283" s="157"/>
      <c r="H283" s="157"/>
      <c r="I283" s="157"/>
    </row>
    <row r="284" spans="2:9">
      <c r="B284" s="157"/>
      <c r="C284" s="157"/>
      <c r="D284" s="157"/>
      <c r="E284" s="157"/>
      <c r="F284" s="157"/>
      <c r="G284" s="157"/>
      <c r="H284" s="157"/>
      <c r="I284" s="157"/>
    </row>
    <row r="285" spans="2:9">
      <c r="B285" s="157"/>
      <c r="C285" s="157"/>
      <c r="D285" s="157"/>
      <c r="E285" s="157"/>
      <c r="F285" s="157"/>
      <c r="G285" s="157"/>
      <c r="H285" s="157"/>
      <c r="I285" s="157"/>
    </row>
    <row r="286" spans="2:9">
      <c r="B286" s="157"/>
      <c r="C286" s="157"/>
      <c r="D286" s="157"/>
      <c r="E286" s="157"/>
      <c r="F286" s="157"/>
      <c r="G286" s="157"/>
      <c r="H286" s="157"/>
      <c r="I286" s="157"/>
    </row>
    <row r="287" spans="2:9">
      <c r="B287" s="157"/>
      <c r="C287" s="157"/>
      <c r="D287" s="157"/>
      <c r="E287" s="157"/>
      <c r="F287" s="157"/>
      <c r="G287" s="157"/>
      <c r="H287" s="157"/>
      <c r="I287" s="157"/>
    </row>
    <row r="288" spans="2:9">
      <c r="B288" s="157"/>
      <c r="C288" s="157"/>
      <c r="D288" s="157"/>
      <c r="E288" s="157"/>
      <c r="F288" s="157"/>
      <c r="G288" s="157"/>
      <c r="H288" s="157"/>
      <c r="I288" s="157"/>
    </row>
    <row r="289" spans="2:9">
      <c r="B289" s="157"/>
      <c r="C289" s="157"/>
      <c r="D289" s="157"/>
      <c r="E289" s="157"/>
      <c r="F289" s="157"/>
      <c r="G289" s="157"/>
      <c r="H289" s="157"/>
      <c r="I289" s="157"/>
    </row>
    <row r="290" spans="2:9">
      <c r="B290" s="157"/>
      <c r="C290" s="157"/>
      <c r="D290" s="157"/>
      <c r="E290" s="157"/>
      <c r="F290" s="157"/>
      <c r="G290" s="157"/>
      <c r="H290" s="157"/>
      <c r="I290" s="157"/>
    </row>
    <row r="291" spans="2:9">
      <c r="B291" s="157"/>
      <c r="C291" s="157"/>
      <c r="D291" s="157"/>
      <c r="E291" s="157"/>
      <c r="F291" s="157"/>
      <c r="G291" s="157"/>
      <c r="H291" s="157"/>
      <c r="I291" s="157"/>
    </row>
    <row r="292" spans="2:9">
      <c r="B292" s="157"/>
      <c r="C292" s="157"/>
      <c r="D292" s="157"/>
      <c r="E292" s="157"/>
      <c r="F292" s="157"/>
      <c r="G292" s="157"/>
      <c r="H292" s="157"/>
      <c r="I292" s="157"/>
    </row>
    <row r="293" spans="2:9">
      <c r="B293" s="157"/>
      <c r="C293" s="157"/>
      <c r="D293" s="157"/>
      <c r="E293" s="157"/>
      <c r="F293" s="157"/>
      <c r="G293" s="157"/>
      <c r="H293" s="157"/>
      <c r="I293" s="157"/>
    </row>
    <row r="294" spans="2:9">
      <c r="B294" s="157"/>
      <c r="C294" s="157"/>
      <c r="D294" s="157"/>
      <c r="E294" s="157"/>
      <c r="F294" s="157"/>
      <c r="G294" s="157"/>
      <c r="H294" s="157"/>
      <c r="I294" s="157"/>
    </row>
    <row r="295" spans="2:9">
      <c r="B295" s="157"/>
      <c r="C295" s="157"/>
      <c r="D295" s="157"/>
      <c r="E295" s="157"/>
      <c r="F295" s="157"/>
      <c r="G295" s="157"/>
      <c r="H295" s="157"/>
      <c r="I295" s="157"/>
    </row>
    <row r="296" spans="2:9">
      <c r="B296" s="157"/>
      <c r="C296" s="157"/>
      <c r="D296" s="157"/>
      <c r="E296" s="157"/>
      <c r="F296" s="157"/>
      <c r="G296" s="157"/>
      <c r="H296" s="157"/>
      <c r="I296" s="157"/>
    </row>
    <row r="297" spans="2:9">
      <c r="B297" s="157"/>
      <c r="C297" s="157"/>
      <c r="D297" s="157"/>
      <c r="E297" s="157"/>
      <c r="F297" s="157"/>
      <c r="G297" s="157"/>
      <c r="H297" s="157"/>
      <c r="I297" s="157"/>
    </row>
    <row r="298" spans="2:9">
      <c r="B298" s="157"/>
      <c r="C298" s="157"/>
      <c r="D298" s="157"/>
      <c r="E298" s="157"/>
      <c r="F298" s="157"/>
      <c r="G298" s="157"/>
      <c r="H298" s="157"/>
      <c r="I298" s="157"/>
    </row>
    <row r="299" spans="2:9">
      <c r="B299" s="157"/>
      <c r="C299" s="157"/>
      <c r="D299" s="157"/>
      <c r="E299" s="157"/>
      <c r="F299" s="157"/>
      <c r="G299" s="157"/>
      <c r="H299" s="157"/>
      <c r="I299" s="157"/>
    </row>
    <row r="300" spans="2:9">
      <c r="B300" s="157"/>
      <c r="C300" s="157"/>
      <c r="D300" s="157"/>
      <c r="E300" s="157"/>
      <c r="F300" s="157"/>
      <c r="G300" s="157"/>
      <c r="H300" s="157"/>
      <c r="I300" s="157"/>
    </row>
    <row r="301" spans="2:9">
      <c r="B301" s="157"/>
      <c r="C301" s="157"/>
      <c r="D301" s="157"/>
      <c r="E301" s="157"/>
      <c r="F301" s="157"/>
      <c r="G301" s="157"/>
      <c r="H301" s="157"/>
      <c r="I301" s="157"/>
    </row>
    <row r="302" spans="2:9">
      <c r="B302" s="157"/>
      <c r="C302" s="157"/>
      <c r="D302" s="157"/>
      <c r="E302" s="157"/>
      <c r="F302" s="157"/>
      <c r="G302" s="157"/>
      <c r="H302" s="157"/>
      <c r="I302" s="157"/>
    </row>
    <row r="303" spans="2:9">
      <c r="B303" s="157"/>
      <c r="C303" s="157"/>
      <c r="D303" s="157"/>
      <c r="E303" s="157"/>
      <c r="F303" s="157"/>
      <c r="G303" s="157"/>
      <c r="H303" s="157"/>
      <c r="I303" s="157"/>
    </row>
    <row r="304" spans="2:9">
      <c r="B304" s="157"/>
      <c r="C304" s="157"/>
      <c r="D304" s="157"/>
      <c r="E304" s="157"/>
      <c r="F304" s="157"/>
      <c r="G304" s="157"/>
      <c r="H304" s="157"/>
      <c r="I304" s="157"/>
    </row>
    <row r="305" spans="2:9">
      <c r="B305" s="157"/>
      <c r="C305" s="157"/>
      <c r="D305" s="157"/>
      <c r="E305" s="157"/>
      <c r="F305" s="157"/>
      <c r="G305" s="157"/>
      <c r="H305" s="157"/>
      <c r="I305" s="157"/>
    </row>
    <row r="306" spans="2:9">
      <c r="B306" s="157"/>
      <c r="C306" s="157"/>
      <c r="D306" s="157"/>
      <c r="E306" s="157"/>
      <c r="F306" s="157"/>
      <c r="G306" s="157"/>
      <c r="H306" s="157"/>
      <c r="I306" s="157"/>
    </row>
    <row r="307" spans="2:9">
      <c r="B307" s="157"/>
      <c r="C307" s="157"/>
      <c r="D307" s="157"/>
      <c r="E307" s="157"/>
      <c r="F307" s="157"/>
      <c r="G307" s="157"/>
      <c r="H307" s="157"/>
      <c r="I307" s="157"/>
    </row>
    <row r="308" spans="2:9">
      <c r="B308" s="157"/>
      <c r="C308" s="157"/>
      <c r="D308" s="157"/>
      <c r="E308" s="157"/>
      <c r="F308" s="157"/>
      <c r="G308" s="157"/>
      <c r="H308" s="157"/>
      <c r="I308" s="157"/>
    </row>
    <row r="309" spans="2:9">
      <c r="B309" s="157"/>
      <c r="C309" s="157"/>
      <c r="D309" s="157"/>
      <c r="E309" s="157"/>
      <c r="F309" s="157"/>
      <c r="G309" s="157"/>
      <c r="H309" s="157"/>
      <c r="I309" s="157"/>
    </row>
    <row r="310" spans="2:9">
      <c r="B310" s="157"/>
      <c r="C310" s="157"/>
      <c r="D310" s="157"/>
      <c r="E310" s="157"/>
      <c r="F310" s="157"/>
      <c r="G310" s="157"/>
      <c r="H310" s="157"/>
      <c r="I310" s="157"/>
    </row>
    <row r="311" spans="2:9">
      <c r="B311" s="157"/>
      <c r="C311" s="157"/>
      <c r="D311" s="157"/>
      <c r="E311" s="157"/>
      <c r="F311" s="157"/>
      <c r="G311" s="157"/>
      <c r="H311" s="157"/>
      <c r="I311" s="157"/>
    </row>
    <row r="312" spans="2:9">
      <c r="B312" s="157"/>
      <c r="C312" s="157"/>
      <c r="D312" s="157"/>
      <c r="E312" s="157"/>
      <c r="F312" s="157"/>
      <c r="G312" s="157"/>
      <c r="H312" s="157"/>
      <c r="I312" s="157"/>
    </row>
    <row r="313" spans="2:9">
      <c r="B313" s="157"/>
      <c r="C313" s="157"/>
      <c r="D313" s="157"/>
      <c r="E313" s="157"/>
      <c r="F313" s="157"/>
      <c r="G313" s="157"/>
      <c r="H313" s="157"/>
      <c r="I313" s="157"/>
    </row>
    <row r="314" spans="2:9">
      <c r="B314" s="157"/>
      <c r="C314" s="157"/>
      <c r="D314" s="157"/>
      <c r="E314" s="157"/>
      <c r="F314" s="157"/>
      <c r="G314" s="157"/>
      <c r="H314" s="157"/>
      <c r="I314" s="157"/>
    </row>
    <row r="315" spans="2:9">
      <c r="B315" s="157"/>
      <c r="C315" s="157"/>
      <c r="D315" s="157"/>
      <c r="E315" s="157"/>
      <c r="F315" s="157"/>
      <c r="G315" s="157"/>
      <c r="H315" s="157"/>
      <c r="I315" s="157"/>
    </row>
    <row r="316" spans="2:9">
      <c r="B316" s="157"/>
      <c r="C316" s="157"/>
      <c r="D316" s="157"/>
      <c r="E316" s="157"/>
      <c r="F316" s="157"/>
      <c r="G316" s="157"/>
      <c r="H316" s="157"/>
      <c r="I316" s="157"/>
    </row>
    <row r="317" spans="2:9">
      <c r="B317" s="157"/>
      <c r="C317" s="157"/>
      <c r="D317" s="157"/>
      <c r="E317" s="157"/>
      <c r="F317" s="157"/>
      <c r="G317" s="157"/>
      <c r="H317" s="157"/>
      <c r="I317" s="157"/>
    </row>
    <row r="318" spans="2:9">
      <c r="B318" s="157"/>
      <c r="C318" s="157"/>
      <c r="D318" s="157"/>
      <c r="E318" s="157"/>
      <c r="F318" s="157"/>
      <c r="G318" s="157"/>
      <c r="H318" s="157"/>
      <c r="I318" s="157"/>
    </row>
    <row r="319" spans="2:9">
      <c r="B319" s="157"/>
      <c r="C319" s="157"/>
      <c r="D319" s="157"/>
      <c r="E319" s="157"/>
      <c r="F319" s="157"/>
      <c r="G319" s="157"/>
      <c r="H319" s="157"/>
      <c r="I319" s="157"/>
    </row>
    <row r="320" spans="2:9">
      <c r="B320" s="157"/>
      <c r="C320" s="157"/>
      <c r="D320" s="157"/>
      <c r="E320" s="157"/>
      <c r="F320" s="157"/>
      <c r="G320" s="157"/>
      <c r="H320" s="157"/>
      <c r="I320" s="157"/>
    </row>
    <row r="321" spans="2:9">
      <c r="B321" s="157"/>
      <c r="C321" s="157"/>
      <c r="D321" s="157"/>
      <c r="E321" s="157"/>
      <c r="F321" s="157"/>
      <c r="G321" s="157"/>
      <c r="H321" s="157"/>
      <c r="I321" s="157"/>
    </row>
    <row r="322" spans="2:9">
      <c r="B322" s="157"/>
      <c r="C322" s="157"/>
      <c r="D322" s="157"/>
      <c r="E322" s="157"/>
      <c r="F322" s="157"/>
      <c r="G322" s="157"/>
      <c r="H322" s="157"/>
      <c r="I322" s="157"/>
    </row>
    <row r="323" spans="2:9">
      <c r="B323" s="157"/>
      <c r="C323" s="157"/>
      <c r="D323" s="157"/>
      <c r="E323" s="157"/>
      <c r="F323" s="157"/>
      <c r="G323" s="157"/>
      <c r="H323" s="157"/>
      <c r="I323" s="157"/>
    </row>
    <row r="324" spans="2:9">
      <c r="B324" s="157"/>
      <c r="C324" s="157"/>
      <c r="D324" s="157"/>
      <c r="E324" s="157"/>
      <c r="F324" s="157"/>
      <c r="G324" s="157"/>
      <c r="H324" s="157"/>
      <c r="I324" s="157"/>
    </row>
    <row r="325" spans="2:9">
      <c r="B325" s="157"/>
      <c r="C325" s="157"/>
      <c r="D325" s="157"/>
      <c r="E325" s="157"/>
      <c r="F325" s="157"/>
      <c r="G325" s="157"/>
      <c r="H325" s="157"/>
      <c r="I325" s="157"/>
    </row>
    <row r="326" spans="2:9">
      <c r="B326" s="157"/>
      <c r="C326" s="157"/>
      <c r="D326" s="157"/>
      <c r="E326" s="157"/>
      <c r="F326" s="157"/>
      <c r="G326" s="157"/>
      <c r="H326" s="157"/>
      <c r="I326" s="157"/>
    </row>
    <row r="327" spans="2:9">
      <c r="B327" s="157"/>
      <c r="C327" s="157"/>
      <c r="D327" s="157"/>
      <c r="E327" s="157"/>
      <c r="F327" s="157"/>
      <c r="G327" s="157"/>
      <c r="H327" s="157"/>
      <c r="I327" s="157"/>
    </row>
    <row r="328" spans="2:9">
      <c r="B328" s="157"/>
      <c r="C328" s="157"/>
      <c r="D328" s="157"/>
      <c r="E328" s="157"/>
      <c r="F328" s="157"/>
      <c r="G328" s="157"/>
      <c r="H328" s="157"/>
      <c r="I328" s="157"/>
    </row>
    <row r="329" spans="2:9">
      <c r="B329" s="157"/>
      <c r="C329" s="157"/>
      <c r="D329" s="157"/>
      <c r="E329" s="157"/>
      <c r="F329" s="157"/>
      <c r="G329" s="157"/>
      <c r="H329" s="157"/>
      <c r="I329" s="157"/>
    </row>
    <row r="330" spans="2:9">
      <c r="B330" s="157"/>
      <c r="C330" s="157"/>
      <c r="D330" s="157"/>
      <c r="E330" s="157"/>
      <c r="F330" s="157"/>
      <c r="G330" s="157"/>
      <c r="H330" s="157"/>
      <c r="I330" s="157"/>
    </row>
    <row r="331" spans="2:9">
      <c r="B331" s="157"/>
      <c r="C331" s="157"/>
      <c r="D331" s="157"/>
      <c r="E331" s="157"/>
      <c r="F331" s="157"/>
      <c r="G331" s="157"/>
      <c r="H331" s="157"/>
      <c r="I331" s="157"/>
    </row>
    <row r="332" spans="2:9">
      <c r="B332" s="157"/>
      <c r="C332" s="157"/>
      <c r="D332" s="157"/>
      <c r="E332" s="157"/>
      <c r="F332" s="157"/>
      <c r="G332" s="157"/>
      <c r="H332" s="157"/>
      <c r="I332" s="157"/>
    </row>
    <row r="333" spans="2:9">
      <c r="B333" s="157"/>
      <c r="C333" s="157"/>
      <c r="D333" s="157"/>
      <c r="E333" s="157"/>
      <c r="F333" s="157"/>
      <c r="G333" s="157"/>
      <c r="H333" s="157"/>
      <c r="I333" s="157"/>
    </row>
    <row r="334" spans="2:9">
      <c r="B334" s="157"/>
      <c r="C334" s="157"/>
      <c r="D334" s="157"/>
      <c r="E334" s="157"/>
      <c r="F334" s="157"/>
      <c r="G334" s="157"/>
      <c r="H334" s="157"/>
      <c r="I334" s="157"/>
    </row>
    <row r="335" spans="2:9">
      <c r="B335" s="157"/>
      <c r="C335" s="157"/>
      <c r="D335" s="157"/>
      <c r="E335" s="157"/>
      <c r="F335" s="157"/>
      <c r="G335" s="157"/>
      <c r="H335" s="157"/>
      <c r="I335" s="157"/>
    </row>
    <row r="336" spans="2:9">
      <c r="B336" s="157"/>
      <c r="C336" s="157"/>
      <c r="D336" s="157"/>
      <c r="E336" s="157"/>
      <c r="F336" s="157"/>
      <c r="G336" s="157"/>
      <c r="H336" s="157"/>
      <c r="I336" s="157"/>
    </row>
    <row r="337" spans="2:9">
      <c r="B337" s="157"/>
      <c r="C337" s="157"/>
      <c r="D337" s="157"/>
      <c r="E337" s="157"/>
      <c r="F337" s="157"/>
      <c r="G337" s="157"/>
      <c r="H337" s="157"/>
      <c r="I337" s="157"/>
    </row>
    <row r="338" spans="2:9">
      <c r="B338" s="157"/>
      <c r="C338" s="157"/>
      <c r="D338" s="157"/>
      <c r="E338" s="157"/>
      <c r="F338" s="157"/>
      <c r="G338" s="157"/>
      <c r="H338" s="157"/>
      <c r="I338" s="157"/>
    </row>
    <row r="339" spans="2:9">
      <c r="B339" s="157"/>
      <c r="C339" s="157"/>
      <c r="D339" s="157"/>
      <c r="E339" s="157"/>
      <c r="F339" s="157"/>
      <c r="G339" s="157"/>
      <c r="H339" s="157"/>
      <c r="I339" s="157"/>
    </row>
    <row r="340" spans="2:9">
      <c r="B340" s="157"/>
      <c r="C340" s="157"/>
      <c r="D340" s="157"/>
      <c r="E340" s="157"/>
      <c r="F340" s="157"/>
      <c r="G340" s="157"/>
      <c r="H340" s="157"/>
      <c r="I340" s="157"/>
    </row>
    <row r="341" spans="2:9">
      <c r="B341" s="157"/>
      <c r="C341" s="157"/>
      <c r="D341" s="157"/>
      <c r="E341" s="157"/>
      <c r="F341" s="157"/>
      <c r="G341" s="157"/>
      <c r="H341" s="157"/>
      <c r="I341" s="157"/>
    </row>
    <row r="342" spans="2:9">
      <c r="B342" s="157"/>
      <c r="C342" s="157"/>
      <c r="D342" s="157"/>
      <c r="E342" s="157"/>
      <c r="F342" s="157"/>
      <c r="G342" s="157"/>
      <c r="H342" s="157"/>
      <c r="I342" s="157"/>
    </row>
    <row r="343" spans="2:9">
      <c r="B343" s="157"/>
      <c r="C343" s="157"/>
      <c r="D343" s="157"/>
      <c r="E343" s="157"/>
      <c r="F343" s="157"/>
      <c r="G343" s="157"/>
      <c r="H343" s="157"/>
      <c r="I343" s="157"/>
    </row>
    <row r="344" spans="2:9">
      <c r="B344" s="157"/>
      <c r="C344" s="157"/>
      <c r="D344" s="157"/>
      <c r="E344" s="157"/>
      <c r="F344" s="157"/>
      <c r="G344" s="157"/>
      <c r="H344" s="157"/>
      <c r="I344" s="157"/>
    </row>
    <row r="345" spans="2:9">
      <c r="B345" s="157"/>
      <c r="C345" s="157"/>
      <c r="D345" s="157"/>
      <c r="E345" s="157"/>
      <c r="F345" s="157"/>
      <c r="G345" s="157"/>
      <c r="H345" s="157"/>
      <c r="I345" s="157"/>
    </row>
    <row r="346" spans="2:9">
      <c r="B346" s="157"/>
      <c r="C346" s="157"/>
      <c r="D346" s="157"/>
      <c r="E346" s="157"/>
      <c r="F346" s="157"/>
      <c r="G346" s="157"/>
      <c r="H346" s="157"/>
      <c r="I346" s="157"/>
    </row>
    <row r="347" spans="2:9">
      <c r="B347" s="157"/>
      <c r="C347" s="157"/>
      <c r="D347" s="157"/>
      <c r="E347" s="157"/>
      <c r="F347" s="157"/>
      <c r="G347" s="157"/>
      <c r="H347" s="157"/>
      <c r="I347" s="157"/>
    </row>
    <row r="348" spans="2:9">
      <c r="B348" s="157"/>
      <c r="C348" s="157"/>
      <c r="D348" s="157"/>
      <c r="E348" s="157"/>
      <c r="F348" s="157"/>
      <c r="G348" s="157"/>
      <c r="H348" s="157"/>
      <c r="I348" s="157"/>
    </row>
    <row r="349" spans="2:9">
      <c r="B349" s="157"/>
      <c r="C349" s="157"/>
      <c r="D349" s="157"/>
      <c r="E349" s="157"/>
      <c r="F349" s="157"/>
      <c r="G349" s="157"/>
      <c r="H349" s="157"/>
      <c r="I349" s="157"/>
    </row>
    <row r="350" spans="2:9">
      <c r="B350" s="157"/>
      <c r="C350" s="157"/>
      <c r="D350" s="157"/>
      <c r="E350" s="157"/>
      <c r="F350" s="157"/>
      <c r="G350" s="157"/>
      <c r="H350" s="157"/>
      <c r="I350" s="157"/>
    </row>
    <row r="351" spans="2:9">
      <c r="B351" s="157"/>
      <c r="C351" s="157"/>
      <c r="D351" s="157"/>
      <c r="E351" s="157"/>
      <c r="F351" s="157"/>
      <c r="G351" s="157"/>
      <c r="H351" s="157"/>
      <c r="I351" s="157"/>
    </row>
    <row r="352" spans="2:9">
      <c r="B352" s="157"/>
      <c r="C352" s="157"/>
      <c r="D352" s="157"/>
      <c r="E352" s="157"/>
      <c r="F352" s="157"/>
      <c r="G352" s="157"/>
      <c r="H352" s="157"/>
      <c r="I352" s="157"/>
    </row>
    <row r="353" spans="2:9">
      <c r="B353" s="157"/>
      <c r="C353" s="157"/>
      <c r="D353" s="157"/>
      <c r="E353" s="157"/>
      <c r="F353" s="157"/>
      <c r="G353" s="157"/>
      <c r="H353" s="157"/>
      <c r="I353" s="157"/>
    </row>
    <row r="354" spans="2:9">
      <c r="B354" s="157"/>
      <c r="C354" s="157"/>
      <c r="D354" s="157"/>
      <c r="E354" s="157"/>
      <c r="F354" s="157"/>
      <c r="G354" s="157"/>
      <c r="H354" s="157"/>
      <c r="I354" s="157"/>
    </row>
    <row r="355" spans="2:9">
      <c r="B355" s="157"/>
      <c r="C355" s="157"/>
      <c r="D355" s="157"/>
      <c r="E355" s="157"/>
      <c r="F355" s="157"/>
      <c r="G355" s="157"/>
      <c r="H355" s="157"/>
      <c r="I355" s="157"/>
    </row>
    <row r="356" spans="2:9">
      <c r="B356" s="157"/>
      <c r="C356" s="157"/>
      <c r="D356" s="157"/>
      <c r="E356" s="157"/>
      <c r="F356" s="157"/>
      <c r="G356" s="157"/>
      <c r="H356" s="157"/>
      <c r="I356" s="157"/>
    </row>
    <row r="357" spans="2:9">
      <c r="B357" s="157"/>
      <c r="C357" s="157"/>
      <c r="D357" s="157"/>
      <c r="E357" s="157"/>
      <c r="F357" s="157"/>
      <c r="G357" s="157"/>
      <c r="H357" s="157"/>
      <c r="I357" s="157"/>
    </row>
    <row r="358" spans="2:9">
      <c r="B358" s="157"/>
      <c r="C358" s="157"/>
      <c r="D358" s="157"/>
      <c r="E358" s="157"/>
      <c r="F358" s="157"/>
      <c r="G358" s="157"/>
      <c r="H358" s="157"/>
      <c r="I358" s="157"/>
    </row>
    <row r="359" spans="2:9">
      <c r="B359" s="157"/>
      <c r="C359" s="157"/>
      <c r="D359" s="157"/>
      <c r="E359" s="157"/>
      <c r="F359" s="157"/>
      <c r="G359" s="157"/>
      <c r="H359" s="157"/>
      <c r="I359" s="157"/>
    </row>
    <row r="360" spans="2:9">
      <c r="B360" s="157"/>
      <c r="C360" s="157"/>
      <c r="D360" s="157"/>
      <c r="E360" s="157"/>
      <c r="F360" s="157"/>
      <c r="G360" s="157"/>
      <c r="H360" s="157"/>
      <c r="I360" s="157"/>
    </row>
    <row r="361" spans="2:9">
      <c r="B361" s="157"/>
      <c r="C361" s="157"/>
      <c r="D361" s="157"/>
      <c r="E361" s="157"/>
      <c r="F361" s="157"/>
      <c r="G361" s="157"/>
      <c r="H361" s="157"/>
      <c r="I361" s="157"/>
    </row>
    <row r="362" spans="2:9">
      <c r="B362" s="157"/>
      <c r="C362" s="157"/>
      <c r="D362" s="157"/>
      <c r="E362" s="157"/>
      <c r="F362" s="157"/>
      <c r="G362" s="157"/>
      <c r="H362" s="157"/>
      <c r="I362" s="157"/>
    </row>
    <row r="363" spans="2:9">
      <c r="B363" s="157"/>
      <c r="C363" s="157"/>
      <c r="D363" s="157"/>
      <c r="E363" s="157"/>
      <c r="F363" s="157"/>
      <c r="G363" s="157"/>
      <c r="H363" s="157"/>
      <c r="I363" s="157"/>
    </row>
    <row r="364" spans="2:9">
      <c r="B364" s="157"/>
      <c r="C364" s="157"/>
      <c r="D364" s="157"/>
      <c r="E364" s="157"/>
      <c r="F364" s="157"/>
      <c r="G364" s="157"/>
      <c r="H364" s="157"/>
      <c r="I364" s="157"/>
    </row>
    <row r="365" spans="2:9">
      <c r="B365" s="157"/>
      <c r="C365" s="157"/>
      <c r="D365" s="157"/>
      <c r="E365" s="157"/>
      <c r="F365" s="157"/>
      <c r="G365" s="157"/>
      <c r="H365" s="157"/>
      <c r="I365" s="157"/>
    </row>
    <row r="366" spans="2:9">
      <c r="B366" s="157"/>
      <c r="C366" s="157"/>
      <c r="D366" s="157"/>
      <c r="E366" s="157"/>
      <c r="F366" s="157"/>
      <c r="G366" s="157"/>
      <c r="H366" s="157"/>
      <c r="I366" s="157"/>
    </row>
    <row r="367" spans="2:9">
      <c r="B367" s="157"/>
      <c r="C367" s="157"/>
      <c r="D367" s="157"/>
      <c r="E367" s="157"/>
      <c r="F367" s="157"/>
      <c r="G367" s="157"/>
      <c r="H367" s="157"/>
      <c r="I367" s="157"/>
    </row>
    <row r="368" spans="2:9">
      <c r="B368" s="157"/>
      <c r="C368" s="157"/>
      <c r="D368" s="157"/>
      <c r="E368" s="157"/>
      <c r="F368" s="157"/>
      <c r="G368" s="157"/>
      <c r="H368" s="157"/>
      <c r="I368" s="157"/>
    </row>
    <row r="369" spans="2:9">
      <c r="B369" s="157"/>
      <c r="C369" s="157"/>
      <c r="D369" s="157"/>
      <c r="E369" s="157"/>
      <c r="F369" s="157"/>
      <c r="G369" s="157"/>
      <c r="H369" s="157"/>
      <c r="I369" s="157"/>
    </row>
    <row r="370" spans="2:9">
      <c r="B370" s="157"/>
      <c r="C370" s="157"/>
      <c r="D370" s="157"/>
      <c r="E370" s="157"/>
      <c r="F370" s="157"/>
      <c r="G370" s="157"/>
      <c r="H370" s="157"/>
      <c r="I370" s="157"/>
    </row>
    <row r="371" spans="2:9">
      <c r="B371" s="157"/>
      <c r="C371" s="157"/>
      <c r="D371" s="157"/>
      <c r="E371" s="157"/>
      <c r="F371" s="157"/>
      <c r="G371" s="157"/>
      <c r="H371" s="157"/>
      <c r="I371" s="157"/>
    </row>
    <row r="372" spans="2:9">
      <c r="B372" s="157"/>
      <c r="C372" s="157"/>
      <c r="D372" s="157"/>
      <c r="E372" s="157"/>
      <c r="F372" s="157"/>
      <c r="G372" s="157"/>
      <c r="H372" s="157"/>
      <c r="I372" s="157"/>
    </row>
    <row r="373" spans="2:9">
      <c r="B373" s="157"/>
      <c r="C373" s="157"/>
      <c r="D373" s="157"/>
      <c r="E373" s="157"/>
      <c r="F373" s="157"/>
      <c r="G373" s="157"/>
      <c r="H373" s="157"/>
      <c r="I373" s="157"/>
    </row>
    <row r="374" spans="2:9">
      <c r="B374" s="157"/>
      <c r="C374" s="157"/>
      <c r="D374" s="157"/>
      <c r="E374" s="157"/>
      <c r="F374" s="157"/>
      <c r="G374" s="157"/>
      <c r="H374" s="157"/>
      <c r="I374" s="157"/>
    </row>
    <row r="375" spans="2:9">
      <c r="B375" s="157"/>
      <c r="C375" s="157"/>
      <c r="D375" s="157"/>
      <c r="E375" s="157"/>
      <c r="F375" s="157"/>
      <c r="G375" s="157"/>
      <c r="H375" s="157"/>
      <c r="I375" s="157"/>
    </row>
    <row r="376" spans="2:9">
      <c r="B376" s="157"/>
      <c r="C376" s="157"/>
      <c r="D376" s="157"/>
      <c r="E376" s="157"/>
      <c r="F376" s="157"/>
      <c r="G376" s="157"/>
      <c r="H376" s="157"/>
      <c r="I376" s="157"/>
    </row>
    <row r="377" spans="2:9">
      <c r="B377" s="157"/>
      <c r="C377" s="157"/>
      <c r="D377" s="157"/>
      <c r="E377" s="157"/>
      <c r="F377" s="157"/>
      <c r="G377" s="157"/>
      <c r="H377" s="157"/>
      <c r="I377" s="157"/>
    </row>
    <row r="378" spans="2:9">
      <c r="B378" s="157"/>
      <c r="C378" s="157"/>
      <c r="D378" s="157"/>
      <c r="E378" s="157"/>
      <c r="F378" s="157"/>
      <c r="G378" s="157"/>
      <c r="H378" s="157"/>
      <c r="I378" s="157"/>
    </row>
    <row r="379" spans="2:9">
      <c r="B379" s="157"/>
      <c r="C379" s="157"/>
      <c r="D379" s="157"/>
      <c r="E379" s="157"/>
      <c r="F379" s="157"/>
      <c r="G379" s="157"/>
      <c r="H379" s="157"/>
      <c r="I379" s="157"/>
    </row>
    <row r="380" spans="2:9">
      <c r="B380" s="157"/>
      <c r="C380" s="157"/>
      <c r="D380" s="157"/>
      <c r="E380" s="157"/>
      <c r="F380" s="157"/>
      <c r="G380" s="157"/>
      <c r="H380" s="157"/>
      <c r="I380" s="157"/>
    </row>
    <row r="381" spans="2:9">
      <c r="B381" s="157"/>
      <c r="C381" s="157"/>
      <c r="D381" s="157"/>
      <c r="E381" s="157"/>
      <c r="F381" s="157"/>
      <c r="G381" s="157"/>
      <c r="H381" s="157"/>
      <c r="I381" s="157"/>
    </row>
    <row r="382" spans="2:9">
      <c r="B382" s="157"/>
      <c r="C382" s="157"/>
      <c r="D382" s="157"/>
      <c r="E382" s="157"/>
      <c r="F382" s="157"/>
      <c r="G382" s="157"/>
      <c r="H382" s="157"/>
      <c r="I382" s="157"/>
    </row>
    <row r="383" spans="2:9">
      <c r="B383" s="157"/>
      <c r="C383" s="157"/>
      <c r="D383" s="157"/>
      <c r="E383" s="157"/>
      <c r="F383" s="157"/>
      <c r="G383" s="157"/>
      <c r="H383" s="157"/>
      <c r="I383" s="157"/>
    </row>
    <row r="384" spans="2:9">
      <c r="B384" s="157"/>
      <c r="C384" s="157"/>
      <c r="D384" s="157"/>
      <c r="E384" s="157"/>
      <c r="F384" s="157"/>
      <c r="G384" s="157"/>
      <c r="H384" s="157"/>
      <c r="I384" s="157"/>
    </row>
    <row r="385" spans="2:9">
      <c r="B385" s="157"/>
      <c r="C385" s="157"/>
      <c r="D385" s="157"/>
      <c r="E385" s="157"/>
      <c r="F385" s="157"/>
      <c r="G385" s="157"/>
      <c r="H385" s="157"/>
      <c r="I385" s="157"/>
    </row>
    <row r="386" spans="2:9">
      <c r="B386" s="157"/>
      <c r="C386" s="157"/>
      <c r="D386" s="157"/>
      <c r="E386" s="157"/>
      <c r="F386" s="157"/>
      <c r="G386" s="157"/>
      <c r="H386" s="157"/>
      <c r="I386" s="157"/>
    </row>
    <row r="387" spans="2:9">
      <c r="B387" s="157"/>
      <c r="C387" s="157"/>
      <c r="D387" s="157"/>
      <c r="E387" s="157"/>
      <c r="F387" s="157"/>
      <c r="G387" s="157"/>
      <c r="H387" s="157"/>
      <c r="I387" s="157"/>
    </row>
    <row r="388" spans="2:9">
      <c r="B388" s="157"/>
      <c r="C388" s="157"/>
      <c r="D388" s="157"/>
      <c r="E388" s="157"/>
      <c r="F388" s="157"/>
      <c r="G388" s="157"/>
      <c r="H388" s="157"/>
      <c r="I388" s="157"/>
    </row>
    <row r="389" spans="2:9">
      <c r="B389" s="157"/>
      <c r="C389" s="157"/>
      <c r="D389" s="157"/>
      <c r="E389" s="157"/>
      <c r="F389" s="157"/>
      <c r="G389" s="157"/>
      <c r="H389" s="157"/>
      <c r="I389" s="157"/>
    </row>
    <row r="390" spans="2:9">
      <c r="B390" s="157"/>
      <c r="C390" s="157"/>
      <c r="D390" s="157"/>
      <c r="E390" s="157"/>
      <c r="F390" s="157"/>
      <c r="G390" s="157"/>
      <c r="H390" s="157"/>
      <c r="I390" s="157"/>
    </row>
    <row r="391" spans="2:9">
      <c r="B391" s="157"/>
      <c r="C391" s="157"/>
      <c r="D391" s="157"/>
      <c r="E391" s="157"/>
      <c r="F391" s="157"/>
      <c r="G391" s="157"/>
      <c r="H391" s="157"/>
      <c r="I391" s="157"/>
    </row>
    <row r="392" spans="2:9">
      <c r="B392" s="157"/>
      <c r="C392" s="157"/>
      <c r="D392" s="157"/>
      <c r="E392" s="157"/>
      <c r="F392" s="157"/>
      <c r="G392" s="157"/>
      <c r="H392" s="157"/>
      <c r="I392" s="157"/>
    </row>
    <row r="393" spans="2:9">
      <c r="B393" s="157"/>
      <c r="C393" s="157"/>
      <c r="D393" s="157"/>
      <c r="E393" s="157"/>
      <c r="F393" s="157"/>
      <c r="G393" s="157"/>
      <c r="H393" s="157"/>
      <c r="I393" s="157"/>
    </row>
    <row r="394" spans="2:9">
      <c r="B394" s="157"/>
      <c r="C394" s="157"/>
      <c r="D394" s="157"/>
      <c r="E394" s="157"/>
      <c r="F394" s="157"/>
      <c r="G394" s="157"/>
      <c r="H394" s="157"/>
      <c r="I394" s="157"/>
    </row>
    <row r="395" spans="2:9">
      <c r="B395" s="157"/>
      <c r="C395" s="157"/>
      <c r="D395" s="157"/>
      <c r="E395" s="157"/>
      <c r="F395" s="157"/>
      <c r="G395" s="157"/>
      <c r="H395" s="157"/>
      <c r="I395" s="157"/>
    </row>
    <row r="396" spans="2:9">
      <c r="B396" s="157"/>
      <c r="C396" s="157"/>
      <c r="D396" s="157"/>
      <c r="E396" s="157"/>
      <c r="F396" s="157"/>
      <c r="G396" s="157"/>
      <c r="H396" s="157"/>
      <c r="I396" s="157"/>
    </row>
    <row r="397" spans="2:9">
      <c r="B397" s="157"/>
      <c r="C397" s="157"/>
      <c r="D397" s="157"/>
      <c r="E397" s="157"/>
      <c r="F397" s="157"/>
      <c r="G397" s="157"/>
      <c r="H397" s="157"/>
      <c r="I397" s="157"/>
    </row>
    <row r="398" spans="2:9">
      <c r="B398" s="157"/>
      <c r="C398" s="157"/>
      <c r="D398" s="157"/>
      <c r="E398" s="157"/>
      <c r="F398" s="157"/>
      <c r="G398" s="157"/>
      <c r="H398" s="157"/>
      <c r="I398" s="157"/>
    </row>
    <row r="399" spans="2:9">
      <c r="B399" s="157"/>
      <c r="C399" s="157"/>
      <c r="D399" s="157"/>
      <c r="E399" s="157"/>
      <c r="F399" s="157"/>
      <c r="G399" s="157"/>
      <c r="H399" s="157"/>
      <c r="I399" s="157"/>
    </row>
    <row r="400" spans="2:9">
      <c r="B400" s="157"/>
      <c r="C400" s="157"/>
      <c r="D400" s="157"/>
      <c r="E400" s="157"/>
      <c r="F400" s="157"/>
      <c r="G400" s="157"/>
      <c r="H400" s="157"/>
      <c r="I400" s="157"/>
    </row>
    <row r="401" spans="2:9">
      <c r="B401" s="157"/>
      <c r="C401" s="157"/>
      <c r="D401" s="157"/>
      <c r="E401" s="157"/>
      <c r="F401" s="157"/>
      <c r="G401" s="157"/>
      <c r="H401" s="157"/>
      <c r="I401" s="157"/>
    </row>
    <row r="402" spans="2:9">
      <c r="B402" s="157"/>
      <c r="C402" s="157"/>
      <c r="D402" s="157"/>
      <c r="E402" s="157"/>
      <c r="F402" s="157"/>
      <c r="G402" s="157"/>
      <c r="H402" s="157"/>
      <c r="I402" s="157"/>
    </row>
    <row r="403" spans="2:9">
      <c r="B403" s="157"/>
      <c r="C403" s="157"/>
      <c r="D403" s="157"/>
      <c r="E403" s="157"/>
      <c r="F403" s="157"/>
      <c r="G403" s="157"/>
      <c r="H403" s="157"/>
      <c r="I403" s="157"/>
    </row>
    <row r="404" spans="2:9">
      <c r="B404" s="157"/>
      <c r="C404" s="157"/>
      <c r="D404" s="157"/>
      <c r="E404" s="157"/>
      <c r="F404" s="157"/>
      <c r="G404" s="157"/>
      <c r="H404" s="157"/>
      <c r="I404" s="157"/>
    </row>
    <row r="405" spans="2:9">
      <c r="B405" s="157"/>
      <c r="C405" s="157"/>
      <c r="D405" s="157"/>
      <c r="E405" s="157"/>
      <c r="F405" s="157"/>
      <c r="G405" s="157"/>
      <c r="H405" s="157"/>
      <c r="I405" s="157"/>
    </row>
    <row r="406" spans="2:9">
      <c r="B406" s="157"/>
      <c r="C406" s="157"/>
      <c r="D406" s="157"/>
      <c r="E406" s="157"/>
      <c r="F406" s="157"/>
      <c r="G406" s="157"/>
      <c r="H406" s="157"/>
      <c r="I406" s="157"/>
    </row>
    <row r="407" spans="2:9">
      <c r="B407" s="157"/>
      <c r="C407" s="157"/>
      <c r="D407" s="157"/>
      <c r="E407" s="157"/>
      <c r="F407" s="157"/>
      <c r="G407" s="157"/>
      <c r="H407" s="157"/>
      <c r="I407" s="157"/>
    </row>
    <row r="408" spans="2:9">
      <c r="B408" s="157"/>
      <c r="C408" s="157"/>
      <c r="D408" s="157"/>
      <c r="E408" s="157"/>
      <c r="F408" s="157"/>
      <c r="G408" s="157"/>
      <c r="H408" s="157"/>
      <c r="I408" s="157"/>
    </row>
    <row r="409" spans="2:9">
      <c r="B409" s="157"/>
      <c r="C409" s="157"/>
      <c r="D409" s="157"/>
      <c r="E409" s="157"/>
      <c r="F409" s="157"/>
      <c r="G409" s="157"/>
      <c r="H409" s="157"/>
      <c r="I409" s="157"/>
    </row>
    <row r="410" spans="2:9">
      <c r="B410" s="157"/>
      <c r="C410" s="157"/>
      <c r="D410" s="157"/>
      <c r="E410" s="157"/>
      <c r="F410" s="157"/>
      <c r="G410" s="157"/>
      <c r="H410" s="157"/>
      <c r="I410" s="157"/>
    </row>
    <row r="411" spans="2:9">
      <c r="B411" s="157"/>
      <c r="C411" s="157"/>
      <c r="D411" s="157"/>
      <c r="E411" s="157"/>
      <c r="F411" s="157"/>
      <c r="G411" s="157"/>
      <c r="H411" s="157"/>
      <c r="I411" s="157"/>
    </row>
    <row r="412" spans="2:9">
      <c r="B412" s="157"/>
      <c r="C412" s="157"/>
      <c r="D412" s="157"/>
      <c r="E412" s="157"/>
      <c r="F412" s="157"/>
      <c r="G412" s="157"/>
      <c r="H412" s="157"/>
      <c r="I412" s="157"/>
    </row>
    <row r="413" spans="2:9">
      <c r="B413" s="157"/>
      <c r="C413" s="157"/>
      <c r="D413" s="157"/>
      <c r="E413" s="157"/>
      <c r="F413" s="157"/>
      <c r="G413" s="157"/>
      <c r="H413" s="157"/>
      <c r="I413" s="157"/>
    </row>
    <row r="414" spans="2:9">
      <c r="B414" s="157"/>
      <c r="C414" s="157"/>
      <c r="D414" s="157"/>
      <c r="E414" s="157"/>
      <c r="F414" s="157"/>
      <c r="G414" s="157"/>
      <c r="H414" s="157"/>
      <c r="I414" s="157"/>
    </row>
    <row r="415" spans="2:9">
      <c r="B415" s="157"/>
      <c r="C415" s="157"/>
      <c r="D415" s="157"/>
      <c r="E415" s="157"/>
      <c r="F415" s="157"/>
      <c r="G415" s="157"/>
      <c r="H415" s="157"/>
      <c r="I415" s="157"/>
    </row>
    <row r="416" spans="2:9">
      <c r="B416" s="157"/>
      <c r="C416" s="157"/>
      <c r="D416" s="157"/>
      <c r="E416" s="157"/>
      <c r="F416" s="157"/>
      <c r="G416" s="157"/>
      <c r="H416" s="157"/>
      <c r="I416" s="157"/>
    </row>
    <row r="417" spans="2:9">
      <c r="B417" s="157"/>
      <c r="C417" s="157"/>
      <c r="D417" s="157"/>
      <c r="E417" s="157"/>
      <c r="F417" s="157"/>
      <c r="G417" s="157"/>
      <c r="H417" s="157"/>
      <c r="I417" s="157"/>
    </row>
    <row r="418" spans="2:9">
      <c r="B418" s="157"/>
      <c r="C418" s="157"/>
      <c r="D418" s="157"/>
      <c r="E418" s="157"/>
      <c r="F418" s="157"/>
      <c r="G418" s="157"/>
      <c r="H418" s="157"/>
      <c r="I418" s="157"/>
    </row>
    <row r="419" spans="2:9">
      <c r="B419" s="157"/>
      <c r="C419" s="157"/>
      <c r="D419" s="157"/>
      <c r="E419" s="157"/>
      <c r="F419" s="157"/>
      <c r="G419" s="157"/>
      <c r="H419" s="157"/>
      <c r="I419" s="157"/>
    </row>
    <row r="420" spans="2:9">
      <c r="B420" s="157"/>
      <c r="C420" s="157"/>
      <c r="D420" s="157"/>
      <c r="E420" s="157"/>
      <c r="F420" s="157"/>
      <c r="G420" s="157"/>
      <c r="H420" s="157"/>
      <c r="I420" s="157"/>
    </row>
    <row r="421" spans="2:9">
      <c r="B421" s="157"/>
      <c r="C421" s="157"/>
      <c r="D421" s="157"/>
      <c r="E421" s="157"/>
      <c r="F421" s="157"/>
      <c r="G421" s="157"/>
      <c r="H421" s="157"/>
      <c r="I421" s="157"/>
    </row>
    <row r="422" spans="2:9">
      <c r="B422" s="157"/>
      <c r="C422" s="157"/>
      <c r="D422" s="157"/>
      <c r="E422" s="157"/>
      <c r="F422" s="157"/>
      <c r="G422" s="157"/>
      <c r="H422" s="157"/>
      <c r="I422" s="157"/>
    </row>
    <row r="423" spans="2:9">
      <c r="B423" s="157"/>
      <c r="C423" s="157"/>
      <c r="D423" s="157"/>
      <c r="E423" s="157"/>
      <c r="F423" s="157"/>
      <c r="G423" s="157"/>
      <c r="H423" s="157"/>
      <c r="I423" s="157"/>
    </row>
    <row r="424" spans="2:9">
      <c r="B424" s="157"/>
      <c r="C424" s="157"/>
      <c r="D424" s="157"/>
      <c r="E424" s="157"/>
      <c r="F424" s="157"/>
      <c r="G424" s="157"/>
      <c r="H424" s="157"/>
      <c r="I424" s="157"/>
    </row>
    <row r="425" spans="2:9">
      <c r="B425" s="157"/>
      <c r="C425" s="157"/>
      <c r="D425" s="157"/>
      <c r="E425" s="157"/>
      <c r="F425" s="157"/>
      <c r="G425" s="157"/>
      <c r="H425" s="157"/>
      <c r="I425" s="157"/>
    </row>
    <row r="426" spans="2:9">
      <c r="B426" s="157"/>
      <c r="C426" s="157"/>
      <c r="D426" s="157"/>
      <c r="E426" s="157"/>
      <c r="F426" s="157"/>
      <c r="G426" s="157"/>
      <c r="H426" s="157"/>
      <c r="I426" s="157"/>
    </row>
    <row r="427" spans="2:9">
      <c r="B427" s="157"/>
      <c r="C427" s="157"/>
      <c r="D427" s="157"/>
      <c r="E427" s="157"/>
      <c r="F427" s="157"/>
      <c r="G427" s="157"/>
      <c r="H427" s="157"/>
      <c r="I427" s="157"/>
    </row>
    <row r="428" spans="2:9">
      <c r="B428" s="157"/>
      <c r="C428" s="157"/>
      <c r="D428" s="157"/>
      <c r="E428" s="157"/>
      <c r="F428" s="157"/>
      <c r="G428" s="157"/>
      <c r="H428" s="157"/>
      <c r="I428" s="157"/>
    </row>
    <row r="429" spans="2:9">
      <c r="B429" s="157"/>
      <c r="C429" s="157"/>
      <c r="D429" s="157"/>
      <c r="E429" s="157"/>
      <c r="F429" s="157"/>
      <c r="G429" s="157"/>
      <c r="H429" s="157"/>
      <c r="I429" s="157"/>
    </row>
    <row r="430" spans="2:9">
      <c r="B430" s="157"/>
      <c r="C430" s="157"/>
      <c r="D430" s="157"/>
      <c r="E430" s="157"/>
      <c r="F430" s="157"/>
      <c r="G430" s="157"/>
      <c r="H430" s="157"/>
      <c r="I430" s="157"/>
    </row>
    <row r="431" spans="2:9">
      <c r="B431" s="157"/>
      <c r="C431" s="157"/>
      <c r="D431" s="157"/>
      <c r="E431" s="157"/>
      <c r="F431" s="157"/>
      <c r="G431" s="157"/>
      <c r="H431" s="157"/>
      <c r="I431" s="157"/>
    </row>
    <row r="432" spans="2:9">
      <c r="B432" s="157"/>
      <c r="C432" s="157"/>
      <c r="D432" s="157"/>
      <c r="E432" s="157"/>
      <c r="F432" s="157"/>
      <c r="G432" s="157"/>
      <c r="H432" s="157"/>
      <c r="I432" s="157"/>
    </row>
    <row r="433" spans="2:9">
      <c r="B433" s="157"/>
      <c r="C433" s="157"/>
      <c r="D433" s="157"/>
      <c r="E433" s="157"/>
      <c r="F433" s="157"/>
      <c r="G433" s="157"/>
      <c r="H433" s="157"/>
      <c r="I433" s="157"/>
    </row>
    <row r="434" spans="2:9">
      <c r="B434" s="157"/>
      <c r="C434" s="157"/>
      <c r="D434" s="157"/>
      <c r="E434" s="157"/>
      <c r="F434" s="157"/>
      <c r="G434" s="157"/>
      <c r="H434" s="157"/>
      <c r="I434" s="157"/>
    </row>
    <row r="435" spans="2:9">
      <c r="B435" s="157"/>
      <c r="C435" s="157"/>
      <c r="D435" s="157"/>
      <c r="E435" s="157"/>
      <c r="F435" s="157"/>
      <c r="G435" s="157"/>
      <c r="H435" s="157"/>
      <c r="I435" s="157"/>
    </row>
    <row r="436" spans="2:9">
      <c r="B436" s="157"/>
      <c r="C436" s="157"/>
      <c r="D436" s="157"/>
      <c r="E436" s="157"/>
      <c r="F436" s="157"/>
      <c r="G436" s="157"/>
      <c r="H436" s="157"/>
      <c r="I436" s="157"/>
    </row>
    <row r="437" spans="2:9">
      <c r="B437" s="157"/>
      <c r="C437" s="157"/>
      <c r="D437" s="157"/>
      <c r="E437" s="157"/>
      <c r="F437" s="157"/>
      <c r="G437" s="157"/>
      <c r="H437" s="157"/>
      <c r="I437" s="157"/>
    </row>
    <row r="438" spans="2:9">
      <c r="B438" s="157"/>
      <c r="C438" s="157"/>
      <c r="D438" s="157"/>
      <c r="E438" s="157"/>
      <c r="F438" s="157"/>
      <c r="G438" s="157"/>
      <c r="H438" s="157"/>
      <c r="I438" s="157"/>
    </row>
    <row r="439" spans="2:9">
      <c r="B439" s="157"/>
      <c r="C439" s="157"/>
      <c r="D439" s="157"/>
      <c r="E439" s="157"/>
      <c r="F439" s="157"/>
      <c r="G439" s="157"/>
      <c r="H439" s="157"/>
      <c r="I439" s="157"/>
    </row>
    <row r="440" spans="2:9">
      <c r="B440" s="157"/>
      <c r="C440" s="157"/>
      <c r="D440" s="157"/>
      <c r="E440" s="157"/>
      <c r="F440" s="157"/>
      <c r="G440" s="157"/>
      <c r="H440" s="157"/>
      <c r="I440" s="157"/>
    </row>
    <row r="441" spans="2:9">
      <c r="B441" s="157"/>
      <c r="C441" s="157"/>
      <c r="D441" s="157"/>
      <c r="E441" s="157"/>
      <c r="F441" s="157"/>
      <c r="G441" s="157"/>
      <c r="H441" s="157"/>
      <c r="I441" s="157"/>
    </row>
    <row r="442" spans="2:9">
      <c r="B442" s="157"/>
      <c r="C442" s="157"/>
      <c r="D442" s="157"/>
      <c r="E442" s="157"/>
      <c r="F442" s="157"/>
      <c r="G442" s="157"/>
      <c r="H442" s="157"/>
      <c r="I442" s="157"/>
    </row>
    <row r="443" spans="2:9">
      <c r="B443" s="157"/>
      <c r="C443" s="157"/>
      <c r="D443" s="157"/>
      <c r="E443" s="157"/>
      <c r="F443" s="157"/>
      <c r="G443" s="157"/>
      <c r="H443" s="157"/>
      <c r="I443" s="157"/>
    </row>
    <row r="444" spans="2:9">
      <c r="B444" s="157"/>
      <c r="C444" s="157"/>
      <c r="D444" s="157"/>
      <c r="E444" s="157"/>
      <c r="F444" s="157"/>
      <c r="G444" s="157"/>
      <c r="H444" s="157"/>
      <c r="I444" s="157"/>
    </row>
    <row r="445" spans="2:9">
      <c r="B445" s="157"/>
      <c r="C445" s="157"/>
      <c r="D445" s="157"/>
      <c r="E445" s="157"/>
      <c r="F445" s="157"/>
      <c r="G445" s="157"/>
      <c r="H445" s="157"/>
      <c r="I445" s="157"/>
    </row>
    <row r="446" spans="2:9">
      <c r="B446" s="157"/>
      <c r="C446" s="157"/>
      <c r="D446" s="157"/>
      <c r="E446" s="157"/>
      <c r="F446" s="157"/>
      <c r="G446" s="157"/>
      <c r="H446" s="157"/>
      <c r="I446" s="157"/>
    </row>
    <row r="447" spans="2:9">
      <c r="B447" s="157"/>
      <c r="C447" s="157"/>
      <c r="D447" s="157"/>
      <c r="E447" s="157"/>
      <c r="F447" s="157"/>
      <c r="G447" s="157"/>
      <c r="H447" s="157"/>
      <c r="I447" s="157"/>
    </row>
    <row r="448" spans="2:9">
      <c r="B448" s="157"/>
      <c r="C448" s="157"/>
      <c r="D448" s="157"/>
      <c r="E448" s="157"/>
      <c r="F448" s="157"/>
      <c r="G448" s="157"/>
      <c r="H448" s="157"/>
      <c r="I448" s="157"/>
    </row>
    <row r="449" spans="2:9">
      <c r="B449" s="157"/>
      <c r="C449" s="157"/>
      <c r="D449" s="157"/>
      <c r="E449" s="157"/>
      <c r="F449" s="157"/>
      <c r="G449" s="157"/>
      <c r="H449" s="157"/>
      <c r="I449" s="157"/>
    </row>
    <row r="450" spans="2:9">
      <c r="B450" s="157"/>
      <c r="C450" s="157"/>
      <c r="D450" s="157"/>
      <c r="E450" s="157"/>
      <c r="F450" s="157"/>
      <c r="G450" s="157"/>
      <c r="H450" s="157"/>
      <c r="I450" s="157"/>
    </row>
    <row r="451" spans="2:9">
      <c r="B451" s="157"/>
      <c r="C451" s="157"/>
      <c r="D451" s="157"/>
      <c r="E451" s="157"/>
      <c r="F451" s="157"/>
      <c r="G451" s="157"/>
      <c r="H451" s="157"/>
      <c r="I451" s="157"/>
    </row>
    <row r="452" spans="2:9">
      <c r="B452" s="157"/>
      <c r="C452" s="157"/>
      <c r="D452" s="157"/>
      <c r="E452" s="157"/>
      <c r="F452" s="157"/>
      <c r="G452" s="157"/>
      <c r="H452" s="157"/>
      <c r="I452" s="157"/>
    </row>
    <row r="453" spans="2:9">
      <c r="B453" s="157"/>
      <c r="C453" s="157"/>
      <c r="D453" s="157"/>
      <c r="E453" s="157"/>
      <c r="F453" s="157"/>
      <c r="G453" s="157"/>
      <c r="H453" s="157"/>
      <c r="I453" s="157"/>
    </row>
    <row r="454" spans="2:9">
      <c r="B454" s="157"/>
      <c r="C454" s="157"/>
      <c r="D454" s="157"/>
      <c r="E454" s="157"/>
      <c r="F454" s="157"/>
      <c r="G454" s="157"/>
      <c r="H454" s="157"/>
      <c r="I454" s="157"/>
    </row>
    <row r="455" spans="2:9">
      <c r="B455" s="157"/>
      <c r="C455" s="157"/>
      <c r="D455" s="157"/>
      <c r="E455" s="157"/>
      <c r="F455" s="157"/>
      <c r="G455" s="157"/>
      <c r="H455" s="157"/>
      <c r="I455" s="157"/>
    </row>
    <row r="456" spans="2:9">
      <c r="B456" s="157"/>
      <c r="C456" s="157"/>
      <c r="D456" s="157"/>
      <c r="E456" s="157"/>
      <c r="F456" s="157"/>
      <c r="G456" s="157"/>
      <c r="H456" s="157"/>
      <c r="I456" s="157"/>
    </row>
    <row r="457" spans="2:9">
      <c r="B457" s="157"/>
      <c r="C457" s="157"/>
      <c r="D457" s="157"/>
      <c r="E457" s="157"/>
      <c r="F457" s="157"/>
      <c r="G457" s="157"/>
      <c r="H457" s="157"/>
      <c r="I457" s="157"/>
    </row>
    <row r="458" spans="2:9">
      <c r="B458" s="157"/>
      <c r="C458" s="157"/>
      <c r="D458" s="157"/>
      <c r="E458" s="157"/>
      <c r="F458" s="157"/>
      <c r="G458" s="157"/>
      <c r="H458" s="157"/>
      <c r="I458" s="157"/>
    </row>
    <row r="459" spans="2:9">
      <c r="B459" s="157"/>
      <c r="C459" s="157"/>
      <c r="D459" s="157"/>
      <c r="E459" s="157"/>
      <c r="F459" s="157"/>
      <c r="G459" s="157"/>
      <c r="H459" s="157"/>
      <c r="I459" s="157"/>
    </row>
    <row r="460" spans="2:9">
      <c r="B460" s="157"/>
      <c r="C460" s="157"/>
      <c r="D460" s="157"/>
      <c r="E460" s="157"/>
      <c r="F460" s="157"/>
      <c r="G460" s="157"/>
      <c r="H460" s="157"/>
      <c r="I460" s="157"/>
    </row>
    <row r="461" spans="2:9">
      <c r="B461" s="157"/>
      <c r="C461" s="157"/>
      <c r="D461" s="157"/>
      <c r="E461" s="157"/>
      <c r="F461" s="157"/>
      <c r="G461" s="157"/>
      <c r="H461" s="157"/>
      <c r="I461" s="157"/>
    </row>
    <row r="462" spans="2:9">
      <c r="B462" s="157"/>
      <c r="C462" s="157"/>
      <c r="D462" s="157"/>
      <c r="E462" s="157"/>
      <c r="F462" s="157"/>
      <c r="G462" s="157"/>
      <c r="H462" s="157"/>
      <c r="I462" s="157"/>
    </row>
    <row r="463" spans="2:9">
      <c r="B463" s="157"/>
      <c r="C463" s="157"/>
      <c r="D463" s="157"/>
      <c r="E463" s="157"/>
      <c r="F463" s="157"/>
      <c r="G463" s="157"/>
      <c r="H463" s="157"/>
      <c r="I463" s="157"/>
    </row>
    <row r="464" spans="2:9">
      <c r="B464" s="157"/>
      <c r="C464" s="157"/>
      <c r="D464" s="157"/>
      <c r="E464" s="157"/>
      <c r="F464" s="157"/>
      <c r="G464" s="157"/>
      <c r="H464" s="157"/>
      <c r="I464" s="157"/>
    </row>
    <row r="465" spans="2:9">
      <c r="B465" s="157"/>
      <c r="C465" s="157"/>
      <c r="D465" s="157"/>
      <c r="E465" s="157"/>
      <c r="F465" s="157"/>
      <c r="G465" s="157"/>
      <c r="H465" s="157"/>
      <c r="I465" s="157"/>
    </row>
    <row r="466" spans="2:9">
      <c r="B466" s="157"/>
      <c r="C466" s="157"/>
      <c r="D466" s="157"/>
      <c r="E466" s="157"/>
      <c r="F466" s="157"/>
      <c r="G466" s="157"/>
      <c r="H466" s="157"/>
      <c r="I466" s="157"/>
    </row>
    <row r="467" spans="2:9">
      <c r="B467" s="157"/>
      <c r="C467" s="157"/>
      <c r="D467" s="157"/>
      <c r="E467" s="157"/>
      <c r="F467" s="157"/>
      <c r="G467" s="157"/>
      <c r="H467" s="157"/>
      <c r="I467" s="157"/>
    </row>
    <row r="468" spans="2:9">
      <c r="B468" s="157"/>
      <c r="C468" s="157"/>
      <c r="D468" s="157"/>
      <c r="E468" s="157"/>
      <c r="F468" s="157"/>
      <c r="G468" s="157"/>
      <c r="H468" s="157"/>
      <c r="I468" s="157"/>
    </row>
    <row r="469" spans="2:9">
      <c r="B469" s="157"/>
      <c r="C469" s="157"/>
      <c r="D469" s="157"/>
      <c r="E469" s="157"/>
      <c r="F469" s="157"/>
      <c r="G469" s="157"/>
      <c r="H469" s="157"/>
      <c r="I469" s="157"/>
    </row>
    <row r="470" spans="2:9">
      <c r="B470" s="157"/>
      <c r="C470" s="157"/>
      <c r="D470" s="157"/>
      <c r="E470" s="157"/>
      <c r="F470" s="157"/>
      <c r="G470" s="157"/>
      <c r="H470" s="157"/>
      <c r="I470" s="157"/>
    </row>
    <row r="471" spans="2:9">
      <c r="B471" s="157"/>
      <c r="C471" s="157"/>
      <c r="D471" s="157"/>
      <c r="E471" s="157"/>
      <c r="F471" s="157"/>
      <c r="G471" s="157"/>
      <c r="H471" s="157"/>
      <c r="I471" s="157"/>
    </row>
    <row r="472" spans="2:9">
      <c r="B472" s="157"/>
      <c r="C472" s="157"/>
      <c r="D472" s="157"/>
      <c r="E472" s="157"/>
      <c r="F472" s="157"/>
      <c r="G472" s="157"/>
      <c r="H472" s="157"/>
      <c r="I472" s="157"/>
    </row>
    <row r="473" spans="2:9">
      <c r="B473" s="157"/>
      <c r="C473" s="157"/>
      <c r="D473" s="157"/>
      <c r="E473" s="157"/>
      <c r="F473" s="157"/>
      <c r="G473" s="157"/>
      <c r="H473" s="157"/>
      <c r="I473" s="157"/>
    </row>
    <row r="474" spans="2:9">
      <c r="B474" s="157"/>
      <c r="C474" s="157"/>
      <c r="D474" s="157"/>
      <c r="E474" s="157"/>
      <c r="F474" s="157"/>
      <c r="G474" s="157"/>
      <c r="H474" s="157"/>
      <c r="I474" s="157"/>
    </row>
    <row r="475" spans="2:9">
      <c r="B475" s="157"/>
      <c r="C475" s="157"/>
      <c r="D475" s="157"/>
      <c r="E475" s="157"/>
      <c r="F475" s="157"/>
      <c r="G475" s="157"/>
      <c r="H475" s="157"/>
      <c r="I475" s="157"/>
    </row>
    <row r="476" spans="2:9">
      <c r="B476" s="157"/>
      <c r="C476" s="157"/>
      <c r="D476" s="157"/>
      <c r="E476" s="157"/>
      <c r="F476" s="157"/>
      <c r="G476" s="157"/>
      <c r="H476" s="157"/>
      <c r="I476" s="157"/>
    </row>
    <row r="477" spans="2:9">
      <c r="B477" s="157"/>
      <c r="C477" s="157"/>
      <c r="D477" s="157"/>
      <c r="E477" s="157"/>
      <c r="F477" s="157"/>
      <c r="G477" s="157"/>
      <c r="H477" s="157"/>
      <c r="I477" s="157"/>
    </row>
    <row r="478" spans="2:9">
      <c r="B478" s="157"/>
      <c r="C478" s="157"/>
      <c r="D478" s="157"/>
      <c r="E478" s="157"/>
      <c r="F478" s="157"/>
      <c r="G478" s="157"/>
      <c r="H478" s="157"/>
      <c r="I478" s="157"/>
    </row>
    <row r="479" spans="2:9">
      <c r="B479" s="157"/>
      <c r="C479" s="157"/>
      <c r="D479" s="157"/>
      <c r="E479" s="157"/>
      <c r="F479" s="157"/>
      <c r="G479" s="157"/>
      <c r="H479" s="157"/>
      <c r="I479" s="157"/>
    </row>
    <row r="480" spans="2:9">
      <c r="B480" s="157"/>
      <c r="C480" s="157"/>
      <c r="D480" s="157"/>
      <c r="E480" s="157"/>
      <c r="F480" s="157"/>
      <c r="G480" s="157"/>
      <c r="H480" s="157"/>
      <c r="I480" s="157"/>
    </row>
    <row r="481" spans="2:9">
      <c r="B481" s="157"/>
      <c r="C481" s="157"/>
      <c r="D481" s="157"/>
      <c r="E481" s="157"/>
      <c r="F481" s="157"/>
      <c r="G481" s="157"/>
      <c r="H481" s="157"/>
      <c r="I481" s="157"/>
    </row>
    <row r="482" spans="2:9">
      <c r="B482" s="157"/>
      <c r="C482" s="157"/>
      <c r="D482" s="157"/>
      <c r="E482" s="157"/>
      <c r="F482" s="157"/>
      <c r="G482" s="157"/>
      <c r="H482" s="157"/>
      <c r="I482" s="157"/>
    </row>
    <row r="483" spans="2:9">
      <c r="B483" s="157"/>
      <c r="C483" s="157"/>
      <c r="D483" s="157"/>
      <c r="E483" s="157"/>
      <c r="F483" s="157"/>
      <c r="G483" s="157"/>
      <c r="H483" s="157"/>
      <c r="I483" s="157"/>
    </row>
    <row r="484" spans="2:9">
      <c r="B484" s="157"/>
      <c r="C484" s="157"/>
      <c r="D484" s="157"/>
      <c r="E484" s="157"/>
      <c r="F484" s="157"/>
      <c r="G484" s="157"/>
      <c r="H484" s="157"/>
      <c r="I484" s="157"/>
    </row>
    <row r="485" spans="2:9">
      <c r="B485" s="157"/>
      <c r="C485" s="157"/>
      <c r="D485" s="157"/>
      <c r="E485" s="157"/>
      <c r="F485" s="157"/>
      <c r="G485" s="157"/>
      <c r="H485" s="157"/>
      <c r="I485" s="157"/>
    </row>
    <row r="486" spans="2:9">
      <c r="B486" s="157"/>
      <c r="C486" s="157"/>
      <c r="D486" s="157"/>
      <c r="E486" s="157"/>
      <c r="F486" s="157"/>
      <c r="G486" s="157"/>
      <c r="H486" s="157"/>
      <c r="I486" s="157"/>
    </row>
    <row r="487" spans="2:9">
      <c r="B487" s="157"/>
      <c r="C487" s="157"/>
      <c r="D487" s="157"/>
      <c r="E487" s="157"/>
      <c r="F487" s="157"/>
      <c r="G487" s="157"/>
      <c r="H487" s="157"/>
      <c r="I487" s="157"/>
    </row>
    <row r="488" spans="2:9">
      <c r="B488" s="157"/>
      <c r="C488" s="157"/>
      <c r="D488" s="157"/>
      <c r="E488" s="157"/>
      <c r="F488" s="157"/>
      <c r="G488" s="157"/>
      <c r="H488" s="157"/>
      <c r="I488" s="157"/>
    </row>
    <row r="489" spans="2:9">
      <c r="B489" s="157"/>
      <c r="C489" s="157"/>
      <c r="D489" s="157"/>
      <c r="E489" s="157"/>
      <c r="F489" s="157"/>
      <c r="G489" s="157"/>
      <c r="H489" s="157"/>
      <c r="I489" s="157"/>
    </row>
    <row r="490" spans="2:9">
      <c r="B490" s="157"/>
      <c r="C490" s="157"/>
      <c r="D490" s="157"/>
      <c r="E490" s="157"/>
      <c r="F490" s="157"/>
      <c r="G490" s="157"/>
      <c r="H490" s="157"/>
      <c r="I490" s="157"/>
    </row>
    <row r="491" spans="2:9">
      <c r="B491" s="157"/>
      <c r="C491" s="157"/>
      <c r="D491" s="157"/>
      <c r="E491" s="157"/>
      <c r="F491" s="157"/>
      <c r="G491" s="157"/>
      <c r="H491" s="157"/>
      <c r="I491" s="157"/>
    </row>
    <row r="492" spans="2:9">
      <c r="B492" s="157"/>
      <c r="C492" s="157"/>
      <c r="D492" s="157"/>
      <c r="E492" s="157"/>
      <c r="F492" s="157"/>
      <c r="G492" s="157"/>
      <c r="H492" s="157"/>
      <c r="I492" s="157"/>
    </row>
    <row r="493" spans="2:9">
      <c r="B493" s="157"/>
      <c r="C493" s="157"/>
      <c r="D493" s="157"/>
      <c r="E493" s="157"/>
      <c r="F493" s="157"/>
      <c r="G493" s="157"/>
      <c r="H493" s="157"/>
      <c r="I493" s="157"/>
    </row>
    <row r="494" spans="2:9">
      <c r="B494" s="157"/>
      <c r="C494" s="157"/>
      <c r="D494" s="157"/>
      <c r="E494" s="157"/>
      <c r="F494" s="157"/>
      <c r="G494" s="157"/>
      <c r="H494" s="157"/>
      <c r="I494" s="157"/>
    </row>
    <row r="495" spans="2:9">
      <c r="B495" s="157"/>
      <c r="C495" s="157"/>
      <c r="D495" s="157"/>
      <c r="E495" s="157"/>
      <c r="F495" s="157"/>
      <c r="G495" s="157"/>
      <c r="H495" s="157"/>
      <c r="I495" s="157"/>
    </row>
    <row r="496" spans="2:9">
      <c r="B496" s="157"/>
      <c r="C496" s="157"/>
      <c r="D496" s="157"/>
      <c r="E496" s="157"/>
      <c r="F496" s="157"/>
      <c r="G496" s="157"/>
      <c r="H496" s="157"/>
      <c r="I496" s="157"/>
    </row>
    <row r="497" spans="2:9">
      <c r="B497" s="157"/>
      <c r="C497" s="157"/>
      <c r="D497" s="157"/>
      <c r="E497" s="157"/>
      <c r="F497" s="157"/>
      <c r="G497" s="157"/>
      <c r="H497" s="157"/>
      <c r="I497" s="157"/>
    </row>
    <row r="498" spans="2:9">
      <c r="B498" s="157"/>
      <c r="C498" s="157"/>
      <c r="D498" s="157"/>
      <c r="E498" s="157"/>
      <c r="F498" s="157"/>
      <c r="G498" s="157"/>
      <c r="H498" s="157"/>
      <c r="I498" s="157"/>
    </row>
    <row r="499" spans="2:9">
      <c r="B499" s="157"/>
      <c r="C499" s="157"/>
      <c r="D499" s="157"/>
      <c r="E499" s="157"/>
      <c r="F499" s="157"/>
      <c r="G499" s="157"/>
      <c r="H499" s="157"/>
      <c r="I499" s="157"/>
    </row>
    <row r="500" spans="2:9">
      <c r="B500" s="157"/>
      <c r="C500" s="157"/>
      <c r="D500" s="157"/>
      <c r="E500" s="157"/>
      <c r="F500" s="157"/>
      <c r="G500" s="157"/>
      <c r="H500" s="157"/>
      <c r="I500" s="157"/>
    </row>
    <row r="501" spans="2:9">
      <c r="B501" s="157"/>
      <c r="C501" s="157"/>
      <c r="D501" s="157"/>
      <c r="E501" s="157"/>
      <c r="F501" s="157"/>
      <c r="G501" s="157"/>
      <c r="H501" s="157"/>
      <c r="I501" s="157"/>
    </row>
    <row r="502" spans="2:9">
      <c r="B502" s="157"/>
      <c r="C502" s="157"/>
      <c r="D502" s="157"/>
      <c r="E502" s="157"/>
      <c r="F502" s="157"/>
      <c r="G502" s="157"/>
      <c r="H502" s="157"/>
      <c r="I502" s="157"/>
    </row>
    <row r="503" spans="2:9">
      <c r="B503" s="157"/>
      <c r="C503" s="157"/>
      <c r="D503" s="157"/>
      <c r="E503" s="157"/>
      <c r="F503" s="157"/>
      <c r="G503" s="157"/>
      <c r="H503" s="157"/>
      <c r="I503" s="157"/>
    </row>
    <row r="504" spans="2:9">
      <c r="B504" s="157"/>
      <c r="C504" s="157"/>
      <c r="D504" s="157"/>
      <c r="E504" s="157"/>
      <c r="F504" s="157"/>
      <c r="G504" s="157"/>
      <c r="H504" s="157"/>
      <c r="I504" s="157"/>
    </row>
    <row r="505" spans="2:9">
      <c r="B505" s="157"/>
      <c r="C505" s="157"/>
      <c r="D505" s="157"/>
      <c r="E505" s="157"/>
      <c r="F505" s="157"/>
      <c r="G505" s="157"/>
      <c r="H505" s="157"/>
      <c r="I505" s="157"/>
    </row>
    <row r="506" spans="2:9">
      <c r="B506" s="157"/>
      <c r="C506" s="157"/>
      <c r="D506" s="157"/>
      <c r="E506" s="157"/>
      <c r="F506" s="157"/>
      <c r="G506" s="157"/>
      <c r="H506" s="157"/>
      <c r="I506" s="157"/>
    </row>
    <row r="507" spans="2:9">
      <c r="B507" s="157"/>
      <c r="C507" s="157"/>
      <c r="D507" s="157"/>
      <c r="E507" s="157"/>
      <c r="F507" s="157"/>
      <c r="G507" s="157"/>
      <c r="H507" s="157"/>
      <c r="I507" s="157"/>
    </row>
    <row r="508" spans="2:9">
      <c r="B508" s="157"/>
      <c r="C508" s="157"/>
      <c r="D508" s="157"/>
      <c r="E508" s="157"/>
      <c r="F508" s="157"/>
      <c r="G508" s="157"/>
      <c r="H508" s="157"/>
      <c r="I508" s="157"/>
    </row>
    <row r="509" spans="2:9">
      <c r="B509" s="157"/>
      <c r="C509" s="157"/>
      <c r="D509" s="157"/>
      <c r="E509" s="157"/>
      <c r="F509" s="157"/>
      <c r="G509" s="157"/>
      <c r="H509" s="157"/>
      <c r="I509" s="157"/>
    </row>
    <row r="510" spans="2:9">
      <c r="B510" s="157"/>
      <c r="C510" s="157"/>
      <c r="D510" s="157"/>
      <c r="E510" s="157"/>
      <c r="F510" s="157"/>
      <c r="G510" s="157"/>
      <c r="H510" s="157"/>
      <c r="I510" s="157"/>
    </row>
    <row r="511" spans="2:9">
      <c r="B511" s="157"/>
      <c r="C511" s="157"/>
      <c r="D511" s="157"/>
      <c r="E511" s="157"/>
      <c r="F511" s="157"/>
      <c r="G511" s="157"/>
      <c r="H511" s="157"/>
      <c r="I511" s="157"/>
    </row>
    <row r="512" spans="2:9">
      <c r="B512" s="157"/>
      <c r="C512" s="157"/>
      <c r="D512" s="157"/>
      <c r="E512" s="157"/>
      <c r="F512" s="157"/>
      <c r="G512" s="157"/>
      <c r="H512" s="157"/>
      <c r="I512" s="157"/>
    </row>
    <row r="513" spans="2:9">
      <c r="B513" s="157"/>
      <c r="C513" s="157"/>
      <c r="D513" s="157"/>
      <c r="E513" s="157"/>
      <c r="F513" s="157"/>
      <c r="G513" s="157"/>
      <c r="H513" s="157"/>
      <c r="I513" s="157"/>
    </row>
    <row r="514" spans="2:9">
      <c r="B514" s="157"/>
      <c r="C514" s="157"/>
      <c r="D514" s="157"/>
      <c r="E514" s="157"/>
      <c r="F514" s="157"/>
      <c r="G514" s="157"/>
      <c r="H514" s="157"/>
      <c r="I514" s="157"/>
    </row>
    <row r="515" spans="2:9">
      <c r="B515" s="157"/>
      <c r="C515" s="157"/>
      <c r="D515" s="157"/>
      <c r="E515" s="157"/>
      <c r="F515" s="157"/>
      <c r="G515" s="157"/>
      <c r="H515" s="157"/>
      <c r="I515" s="157"/>
    </row>
    <row r="516" spans="2:9">
      <c r="B516" s="157"/>
      <c r="C516" s="157"/>
      <c r="D516" s="157"/>
      <c r="E516" s="157"/>
      <c r="F516" s="157"/>
      <c r="G516" s="157"/>
      <c r="H516" s="157"/>
      <c r="I516" s="157"/>
    </row>
    <row r="517" spans="2:9">
      <c r="B517" s="157"/>
      <c r="C517" s="157"/>
      <c r="D517" s="157"/>
      <c r="E517" s="157"/>
      <c r="F517" s="157"/>
      <c r="G517" s="157"/>
      <c r="H517" s="157"/>
      <c r="I517" s="157"/>
    </row>
    <row r="518" spans="2:9">
      <c r="B518" s="157"/>
      <c r="C518" s="157"/>
      <c r="D518" s="157"/>
      <c r="E518" s="157"/>
      <c r="F518" s="157"/>
      <c r="G518" s="157"/>
      <c r="H518" s="157"/>
      <c r="I518" s="157"/>
    </row>
    <row r="519" spans="2:9">
      <c r="B519" s="157"/>
      <c r="C519" s="157"/>
      <c r="D519" s="157"/>
      <c r="E519" s="157"/>
      <c r="F519" s="157"/>
      <c r="G519" s="157"/>
      <c r="H519" s="157"/>
      <c r="I519" s="157"/>
    </row>
    <row r="520" spans="2:9">
      <c r="B520" s="157"/>
      <c r="C520" s="157"/>
      <c r="D520" s="157"/>
      <c r="E520" s="157"/>
      <c r="F520" s="157"/>
      <c r="G520" s="157"/>
      <c r="H520" s="157"/>
      <c r="I520" s="157"/>
    </row>
    <row r="521" spans="2:9">
      <c r="B521" s="157"/>
      <c r="C521" s="157"/>
      <c r="D521" s="157"/>
      <c r="E521" s="157"/>
      <c r="F521" s="157"/>
      <c r="G521" s="157"/>
      <c r="H521" s="157"/>
      <c r="I521" s="157"/>
    </row>
    <row r="522" spans="2:9">
      <c r="B522" s="157"/>
      <c r="C522" s="157"/>
      <c r="D522" s="157"/>
      <c r="E522" s="157"/>
      <c r="F522" s="157"/>
      <c r="G522" s="157"/>
      <c r="H522" s="157"/>
      <c r="I522" s="157"/>
    </row>
    <row r="523" spans="2:9">
      <c r="B523" s="157"/>
      <c r="C523" s="157"/>
      <c r="D523" s="157"/>
      <c r="E523" s="157"/>
      <c r="F523" s="157"/>
      <c r="G523" s="157"/>
      <c r="H523" s="157"/>
      <c r="I523" s="157"/>
    </row>
    <row r="524" spans="2:9">
      <c r="B524" s="157"/>
      <c r="C524" s="157"/>
      <c r="D524" s="157"/>
      <c r="E524" s="157"/>
      <c r="F524" s="157"/>
      <c r="G524" s="157"/>
      <c r="H524" s="157"/>
      <c r="I524" s="157"/>
    </row>
    <row r="525" spans="2:9">
      <c r="B525" s="157"/>
      <c r="C525" s="157"/>
      <c r="D525" s="157"/>
      <c r="E525" s="157"/>
      <c r="F525" s="157"/>
      <c r="G525" s="157"/>
      <c r="H525" s="157"/>
      <c r="I525" s="157"/>
    </row>
    <row r="526" spans="2:9">
      <c r="B526" s="157"/>
      <c r="C526" s="157"/>
      <c r="D526" s="157"/>
      <c r="E526" s="157"/>
      <c r="F526" s="157"/>
      <c r="G526" s="157"/>
      <c r="H526" s="157"/>
      <c r="I526" s="157"/>
    </row>
    <row r="527" spans="2:9">
      <c r="B527" s="157"/>
      <c r="C527" s="157"/>
      <c r="D527" s="157"/>
      <c r="E527" s="157"/>
      <c r="F527" s="157"/>
      <c r="G527" s="157"/>
      <c r="H527" s="157"/>
      <c r="I527" s="157"/>
    </row>
    <row r="528" spans="2:9">
      <c r="B528" s="157"/>
      <c r="C528" s="157"/>
      <c r="D528" s="157"/>
      <c r="E528" s="157"/>
      <c r="F528" s="157"/>
      <c r="G528" s="157"/>
      <c r="H528" s="157"/>
      <c r="I528" s="157"/>
    </row>
    <row r="529" spans="2:9">
      <c r="B529" s="157"/>
      <c r="C529" s="157"/>
      <c r="D529" s="157"/>
      <c r="E529" s="157"/>
      <c r="F529" s="157"/>
      <c r="G529" s="157"/>
      <c r="H529" s="157"/>
      <c r="I529" s="157"/>
    </row>
    <row r="530" spans="2:9">
      <c r="B530" s="157"/>
      <c r="C530" s="157"/>
      <c r="D530" s="157"/>
      <c r="E530" s="157"/>
      <c r="F530" s="157"/>
      <c r="G530" s="157"/>
      <c r="H530" s="157"/>
      <c r="I530" s="157"/>
    </row>
    <row r="531" spans="2:9">
      <c r="B531" s="157"/>
      <c r="C531" s="157"/>
      <c r="D531" s="157"/>
      <c r="E531" s="157"/>
      <c r="F531" s="157"/>
      <c r="G531" s="157"/>
      <c r="H531" s="157"/>
      <c r="I531" s="157"/>
    </row>
    <row r="532" spans="2:9">
      <c r="B532" s="157"/>
      <c r="C532" s="157"/>
      <c r="D532" s="157"/>
      <c r="E532" s="157"/>
      <c r="F532" s="157"/>
      <c r="G532" s="157"/>
      <c r="H532" s="157"/>
      <c r="I532" s="157"/>
    </row>
    <row r="533" spans="2:9">
      <c r="B533" s="157"/>
      <c r="C533" s="157"/>
      <c r="D533" s="157"/>
      <c r="E533" s="157"/>
      <c r="F533" s="157"/>
      <c r="G533" s="157"/>
      <c r="H533" s="157"/>
      <c r="I533" s="157"/>
    </row>
    <row r="534" spans="2:9">
      <c r="B534" s="157"/>
      <c r="C534" s="157"/>
      <c r="D534" s="157"/>
      <c r="E534" s="157"/>
      <c r="F534" s="157"/>
      <c r="G534" s="157"/>
      <c r="H534" s="157"/>
      <c r="I534" s="157"/>
    </row>
    <row r="535" spans="2:9">
      <c r="B535" s="157"/>
      <c r="C535" s="157"/>
      <c r="D535" s="157"/>
      <c r="E535" s="157"/>
      <c r="F535" s="157"/>
      <c r="G535" s="157"/>
      <c r="H535" s="157"/>
      <c r="I535" s="157"/>
    </row>
    <row r="536" spans="2:9">
      <c r="B536" s="157"/>
      <c r="C536" s="157"/>
      <c r="D536" s="157"/>
      <c r="E536" s="157"/>
      <c r="F536" s="157"/>
      <c r="G536" s="157"/>
      <c r="H536" s="157"/>
      <c r="I536" s="157"/>
    </row>
    <row r="537" spans="2:9">
      <c r="B537" s="157"/>
      <c r="C537" s="157"/>
      <c r="D537" s="157"/>
      <c r="E537" s="157"/>
      <c r="F537" s="157"/>
      <c r="G537" s="157"/>
      <c r="H537" s="157"/>
      <c r="I537" s="157"/>
    </row>
    <row r="538" spans="2:9">
      <c r="B538" s="157"/>
      <c r="C538" s="157"/>
      <c r="D538" s="157"/>
      <c r="E538" s="157"/>
      <c r="F538" s="157"/>
      <c r="G538" s="157"/>
      <c r="H538" s="157"/>
      <c r="I538" s="157"/>
    </row>
    <row r="539" spans="2:9">
      <c r="B539" s="157"/>
      <c r="C539" s="157"/>
      <c r="D539" s="157"/>
      <c r="E539" s="157"/>
      <c r="F539" s="157"/>
      <c r="G539" s="157"/>
      <c r="H539" s="157"/>
      <c r="I539" s="157"/>
    </row>
    <row r="540" spans="2:9">
      <c r="B540" s="157"/>
      <c r="C540" s="157"/>
      <c r="D540" s="157"/>
      <c r="E540" s="157"/>
      <c r="F540" s="157"/>
      <c r="G540" s="157"/>
      <c r="H540" s="157"/>
      <c r="I540" s="157"/>
    </row>
    <row r="541" spans="2:9">
      <c r="B541" s="157"/>
      <c r="C541" s="157"/>
      <c r="D541" s="157"/>
      <c r="E541" s="157"/>
      <c r="F541" s="157"/>
      <c r="G541" s="157"/>
      <c r="H541" s="157"/>
      <c r="I541" s="157"/>
    </row>
    <row r="542" spans="2:9">
      <c r="B542" s="157"/>
      <c r="C542" s="157"/>
      <c r="D542" s="157"/>
      <c r="E542" s="157"/>
      <c r="F542" s="157"/>
      <c r="G542" s="157"/>
      <c r="H542" s="157"/>
      <c r="I542" s="157"/>
    </row>
    <row r="543" spans="2:9">
      <c r="B543" s="157"/>
      <c r="C543" s="157"/>
      <c r="D543" s="157"/>
      <c r="E543" s="157"/>
      <c r="F543" s="157"/>
      <c r="G543" s="157"/>
      <c r="H543" s="157"/>
      <c r="I543" s="157"/>
    </row>
    <row r="544" spans="2:9">
      <c r="B544" s="157"/>
      <c r="C544" s="157"/>
      <c r="D544" s="157"/>
      <c r="E544" s="157"/>
      <c r="F544" s="157"/>
      <c r="G544" s="157"/>
      <c r="H544" s="157"/>
      <c r="I544" s="157"/>
    </row>
    <row r="545" spans="2:9">
      <c r="B545" s="157"/>
      <c r="C545" s="157"/>
      <c r="D545" s="157"/>
      <c r="E545" s="157"/>
      <c r="F545" s="157"/>
      <c r="G545" s="157"/>
      <c r="H545" s="157"/>
      <c r="I545" s="157"/>
    </row>
    <row r="546" spans="2:9">
      <c r="B546" s="157"/>
      <c r="C546" s="157"/>
      <c r="D546" s="157"/>
      <c r="E546" s="157"/>
      <c r="F546" s="157"/>
      <c r="G546" s="157"/>
      <c r="H546" s="157"/>
      <c r="I546" s="157"/>
    </row>
    <row r="547" spans="2:9">
      <c r="B547" s="157"/>
      <c r="C547" s="157"/>
      <c r="D547" s="157"/>
      <c r="E547" s="157"/>
      <c r="F547" s="157"/>
      <c r="G547" s="157"/>
      <c r="H547" s="157"/>
      <c r="I547" s="157"/>
    </row>
    <row r="548" spans="2:9">
      <c r="B548" s="157"/>
      <c r="C548" s="157"/>
      <c r="D548" s="157"/>
      <c r="E548" s="157"/>
      <c r="F548" s="157"/>
      <c r="G548" s="157"/>
      <c r="H548" s="157"/>
      <c r="I548" s="157"/>
    </row>
    <row r="549" spans="2:9">
      <c r="B549" s="157"/>
      <c r="C549" s="157"/>
      <c r="D549" s="157"/>
      <c r="E549" s="157"/>
      <c r="F549" s="157"/>
      <c r="G549" s="157"/>
      <c r="H549" s="157"/>
      <c r="I549" s="157"/>
    </row>
    <row r="550" spans="2:9">
      <c r="B550" s="157"/>
      <c r="C550" s="157"/>
      <c r="D550" s="157"/>
      <c r="E550" s="157"/>
      <c r="F550" s="157"/>
      <c r="G550" s="157"/>
      <c r="H550" s="157"/>
      <c r="I550" s="157"/>
    </row>
    <row r="551" spans="2:9">
      <c r="B551" s="157"/>
      <c r="C551" s="157"/>
      <c r="D551" s="157"/>
      <c r="E551" s="157"/>
      <c r="F551" s="157"/>
      <c r="G551" s="157"/>
      <c r="H551" s="157"/>
      <c r="I551" s="157"/>
    </row>
    <row r="552" spans="2:9">
      <c r="B552" s="157"/>
      <c r="C552" s="157"/>
      <c r="D552" s="157"/>
      <c r="E552" s="157"/>
      <c r="F552" s="157"/>
      <c r="G552" s="157"/>
      <c r="H552" s="157"/>
      <c r="I552" s="157"/>
    </row>
    <row r="553" spans="2:9">
      <c r="B553" s="157"/>
      <c r="C553" s="157"/>
      <c r="D553" s="157"/>
      <c r="E553" s="157"/>
      <c r="F553" s="157"/>
      <c r="G553" s="157"/>
      <c r="H553" s="157"/>
      <c r="I553" s="157"/>
    </row>
    <row r="554" spans="2:9">
      <c r="B554" s="157"/>
      <c r="C554" s="157"/>
      <c r="D554" s="157"/>
      <c r="E554" s="157"/>
      <c r="F554" s="157"/>
      <c r="G554" s="157"/>
      <c r="H554" s="157"/>
      <c r="I554" s="157"/>
    </row>
    <row r="555" spans="2:9">
      <c r="B555" s="157"/>
      <c r="C555" s="157"/>
      <c r="D555" s="157"/>
      <c r="E555" s="157"/>
      <c r="F555" s="157"/>
      <c r="G555" s="157"/>
      <c r="H555" s="157"/>
      <c r="I555" s="157"/>
    </row>
    <row r="556" spans="2:9">
      <c r="B556" s="157"/>
      <c r="C556" s="157"/>
      <c r="D556" s="157"/>
      <c r="E556" s="157"/>
      <c r="F556" s="157"/>
      <c r="G556" s="157"/>
      <c r="H556" s="157"/>
      <c r="I556" s="157"/>
    </row>
    <row r="557" spans="2:9">
      <c r="B557" s="157"/>
      <c r="C557" s="157"/>
      <c r="D557" s="157"/>
      <c r="E557" s="157"/>
      <c r="F557" s="157"/>
      <c r="G557" s="157"/>
      <c r="H557" s="157"/>
      <c r="I557" s="157"/>
    </row>
    <row r="558" spans="2:9">
      <c r="B558" s="157"/>
      <c r="C558" s="157"/>
      <c r="D558" s="157"/>
      <c r="E558" s="157"/>
      <c r="F558" s="157"/>
      <c r="G558" s="157"/>
      <c r="H558" s="157"/>
      <c r="I558" s="157"/>
    </row>
    <row r="559" spans="2:9">
      <c r="B559" s="157"/>
      <c r="C559" s="157"/>
      <c r="D559" s="157"/>
      <c r="E559" s="157"/>
      <c r="F559" s="157"/>
      <c r="G559" s="157"/>
      <c r="H559" s="157"/>
      <c r="I559" s="157"/>
    </row>
    <row r="560" spans="2:9">
      <c r="B560" s="157"/>
      <c r="C560" s="157"/>
      <c r="D560" s="157"/>
      <c r="E560" s="157"/>
      <c r="F560" s="157"/>
      <c r="G560" s="157"/>
      <c r="H560" s="157"/>
      <c r="I560" s="157"/>
    </row>
    <row r="561" spans="2:9">
      <c r="B561" s="157"/>
      <c r="C561" s="157"/>
      <c r="D561" s="157"/>
      <c r="E561" s="157"/>
      <c r="F561" s="157"/>
      <c r="G561" s="157"/>
      <c r="H561" s="157"/>
      <c r="I561" s="157"/>
    </row>
    <row r="562" spans="2:9">
      <c r="B562" s="157"/>
      <c r="C562" s="157"/>
      <c r="D562" s="157"/>
      <c r="E562" s="157"/>
      <c r="F562" s="157"/>
      <c r="G562" s="157"/>
      <c r="H562" s="157"/>
      <c r="I562" s="157"/>
    </row>
    <row r="563" spans="2:9">
      <c r="B563" s="157"/>
      <c r="C563" s="157"/>
      <c r="D563" s="157"/>
      <c r="E563" s="157"/>
      <c r="F563" s="157"/>
      <c r="G563" s="157"/>
      <c r="H563" s="157"/>
      <c r="I563" s="157"/>
    </row>
    <row r="564" spans="2:9">
      <c r="B564" s="157"/>
      <c r="C564" s="157"/>
      <c r="D564" s="157"/>
      <c r="E564" s="157"/>
      <c r="F564" s="157"/>
      <c r="G564" s="157"/>
      <c r="H564" s="157"/>
      <c r="I564" s="157"/>
    </row>
    <row r="565" spans="2:9">
      <c r="B565" s="157"/>
      <c r="C565" s="157"/>
      <c r="D565" s="157"/>
      <c r="E565" s="157"/>
      <c r="F565" s="157"/>
      <c r="G565" s="157"/>
      <c r="H565" s="157"/>
      <c r="I565" s="157"/>
    </row>
    <row r="566" spans="2:9">
      <c r="B566" s="157"/>
      <c r="C566" s="157"/>
      <c r="D566" s="157"/>
      <c r="E566" s="157"/>
      <c r="F566" s="157"/>
      <c r="G566" s="157"/>
      <c r="H566" s="157"/>
      <c r="I566" s="157"/>
    </row>
    <row r="567" spans="2:9">
      <c r="B567" s="157"/>
      <c r="C567" s="157"/>
      <c r="D567" s="157"/>
      <c r="E567" s="157"/>
      <c r="F567" s="157"/>
      <c r="G567" s="157"/>
      <c r="H567" s="157"/>
      <c r="I567" s="157"/>
    </row>
    <row r="568" spans="2:9">
      <c r="B568" s="157"/>
      <c r="C568" s="157"/>
      <c r="D568" s="157"/>
      <c r="E568" s="157"/>
      <c r="F568" s="157"/>
      <c r="G568" s="157"/>
      <c r="H568" s="157"/>
      <c r="I568" s="157"/>
    </row>
    <row r="569" spans="2:9">
      <c r="B569" s="157"/>
      <c r="C569" s="157"/>
      <c r="D569" s="157"/>
      <c r="E569" s="157"/>
      <c r="F569" s="157"/>
      <c r="G569" s="157"/>
      <c r="H569" s="157"/>
      <c r="I569" s="157"/>
    </row>
    <row r="570" spans="2:9">
      <c r="B570" s="157"/>
      <c r="C570" s="157"/>
      <c r="D570" s="157"/>
      <c r="E570" s="157"/>
      <c r="F570" s="157"/>
      <c r="G570" s="157"/>
      <c r="H570" s="157"/>
      <c r="I570" s="157"/>
    </row>
    <row r="571" spans="2:9">
      <c r="B571" s="157"/>
      <c r="C571" s="157"/>
      <c r="D571" s="157"/>
      <c r="E571" s="157"/>
      <c r="F571" s="157"/>
      <c r="G571" s="157"/>
      <c r="H571" s="157"/>
      <c r="I571" s="157"/>
    </row>
    <row r="572" spans="2:9">
      <c r="B572" s="157"/>
      <c r="C572" s="157"/>
      <c r="D572" s="157"/>
      <c r="E572" s="157"/>
      <c r="F572" s="157"/>
      <c r="G572" s="157"/>
      <c r="H572" s="157"/>
      <c r="I572" s="157"/>
    </row>
    <row r="573" spans="2:9">
      <c r="B573" s="157"/>
      <c r="C573" s="157"/>
      <c r="D573" s="157"/>
      <c r="E573" s="157"/>
      <c r="F573" s="157"/>
      <c r="G573" s="157"/>
      <c r="H573" s="157"/>
      <c r="I573" s="157"/>
    </row>
    <row r="574" spans="2:9">
      <c r="B574" s="157"/>
      <c r="C574" s="157"/>
      <c r="D574" s="157"/>
      <c r="E574" s="157"/>
      <c r="F574" s="157"/>
      <c r="G574" s="157"/>
      <c r="H574" s="157"/>
      <c r="I574" s="157"/>
    </row>
    <row r="575" spans="2:9">
      <c r="B575" s="157"/>
      <c r="C575" s="157"/>
      <c r="D575" s="157"/>
      <c r="E575" s="157"/>
      <c r="F575" s="157"/>
      <c r="G575" s="157"/>
      <c r="H575" s="157"/>
      <c r="I575" s="157"/>
    </row>
    <row r="576" spans="2:9">
      <c r="B576" s="157"/>
      <c r="C576" s="157"/>
      <c r="D576" s="157"/>
      <c r="E576" s="157"/>
      <c r="F576" s="157"/>
      <c r="G576" s="157"/>
      <c r="H576" s="157"/>
      <c r="I576" s="157"/>
    </row>
    <row r="577" spans="2:9">
      <c r="B577" s="157"/>
      <c r="C577" s="157"/>
      <c r="D577" s="157"/>
      <c r="E577" s="157"/>
      <c r="F577" s="157"/>
      <c r="G577" s="157"/>
      <c r="H577" s="157"/>
      <c r="I577" s="157"/>
    </row>
    <row r="578" spans="2:9">
      <c r="B578" s="157"/>
      <c r="C578" s="157"/>
      <c r="D578" s="157"/>
      <c r="E578" s="157"/>
      <c r="F578" s="157"/>
      <c r="G578" s="157"/>
      <c r="H578" s="157"/>
      <c r="I578" s="157"/>
    </row>
    <row r="579" spans="2:9">
      <c r="B579" s="157"/>
      <c r="C579" s="157"/>
      <c r="D579" s="157"/>
      <c r="E579" s="157"/>
      <c r="F579" s="157"/>
      <c r="G579" s="157"/>
      <c r="H579" s="157"/>
      <c r="I579" s="157"/>
    </row>
    <row r="580" spans="2:9">
      <c r="B580" s="157"/>
      <c r="C580" s="157"/>
      <c r="D580" s="157"/>
      <c r="E580" s="157"/>
      <c r="F580" s="157"/>
      <c r="G580" s="157"/>
      <c r="H580" s="157"/>
      <c r="I580" s="157"/>
    </row>
    <row r="581" spans="2:9">
      <c r="B581" s="157"/>
      <c r="C581" s="157"/>
      <c r="D581" s="157"/>
      <c r="E581" s="157"/>
      <c r="F581" s="157"/>
      <c r="G581" s="157"/>
      <c r="H581" s="157"/>
      <c r="I581" s="157"/>
    </row>
    <row r="582" spans="2:9">
      <c r="B582" s="157"/>
      <c r="C582" s="157"/>
      <c r="D582" s="157"/>
      <c r="E582" s="157"/>
      <c r="F582" s="157"/>
      <c r="G582" s="157"/>
      <c r="H582" s="157"/>
      <c r="I582" s="157"/>
    </row>
    <row r="583" spans="2:9">
      <c r="B583" s="157"/>
      <c r="C583" s="157"/>
      <c r="D583" s="157"/>
      <c r="E583" s="157"/>
      <c r="F583" s="157"/>
      <c r="G583" s="157"/>
      <c r="H583" s="157"/>
      <c r="I583" s="157"/>
    </row>
    <row r="584" spans="2:9">
      <c r="B584" s="157"/>
      <c r="C584" s="157"/>
      <c r="D584" s="157"/>
      <c r="E584" s="157"/>
      <c r="F584" s="157"/>
      <c r="G584" s="157"/>
      <c r="H584" s="157"/>
      <c r="I584" s="157"/>
    </row>
    <row r="585" spans="2:9">
      <c r="B585" s="157"/>
      <c r="C585" s="157"/>
      <c r="D585" s="157"/>
      <c r="E585" s="157"/>
      <c r="F585" s="157"/>
      <c r="G585" s="157"/>
      <c r="H585" s="157"/>
      <c r="I585" s="157"/>
    </row>
    <row r="586" spans="2:9">
      <c r="B586" s="157"/>
      <c r="C586" s="157"/>
      <c r="D586" s="157"/>
      <c r="E586" s="157"/>
      <c r="F586" s="157"/>
      <c r="G586" s="157"/>
      <c r="H586" s="157"/>
      <c r="I586" s="157"/>
    </row>
    <row r="587" spans="2:9">
      <c r="B587" s="157"/>
      <c r="C587" s="157"/>
      <c r="D587" s="157"/>
      <c r="E587" s="157"/>
      <c r="F587" s="157"/>
      <c r="G587" s="157"/>
      <c r="H587" s="157"/>
      <c r="I587" s="157"/>
    </row>
    <row r="588" spans="2:9">
      <c r="B588" s="157"/>
      <c r="C588" s="157"/>
      <c r="D588" s="157"/>
      <c r="E588" s="157"/>
      <c r="F588" s="157"/>
      <c r="G588" s="157"/>
      <c r="H588" s="157"/>
      <c r="I588" s="157"/>
    </row>
    <row r="589" spans="2:9">
      <c r="B589" s="157"/>
      <c r="C589" s="157"/>
      <c r="D589" s="157"/>
      <c r="E589" s="157"/>
      <c r="F589" s="157"/>
      <c r="G589" s="157"/>
      <c r="H589" s="157"/>
      <c r="I589" s="157"/>
    </row>
    <row r="590" spans="2:9">
      <c r="B590" s="157"/>
      <c r="C590" s="157"/>
      <c r="D590" s="157"/>
      <c r="E590" s="157"/>
      <c r="F590" s="157"/>
      <c r="G590" s="157"/>
      <c r="H590" s="157"/>
      <c r="I590" s="157"/>
    </row>
    <row r="591" spans="2:9">
      <c r="B591" s="157"/>
      <c r="C591" s="157"/>
      <c r="D591" s="157"/>
      <c r="E591" s="157"/>
      <c r="F591" s="157"/>
      <c r="G591" s="157"/>
      <c r="H591" s="157"/>
      <c r="I591" s="157"/>
    </row>
    <row r="592" spans="2:9">
      <c r="B592" s="157"/>
      <c r="C592" s="157"/>
      <c r="D592" s="157"/>
      <c r="E592" s="157"/>
      <c r="F592" s="157"/>
      <c r="G592" s="157"/>
      <c r="H592" s="157"/>
      <c r="I592" s="157"/>
    </row>
    <row r="593" spans="2:9">
      <c r="B593" s="157"/>
      <c r="C593" s="157"/>
      <c r="D593" s="157"/>
      <c r="E593" s="157"/>
      <c r="F593" s="157"/>
      <c r="G593" s="157"/>
      <c r="H593" s="157"/>
      <c r="I593" s="157"/>
    </row>
    <row r="594" spans="2:9">
      <c r="B594" s="157"/>
      <c r="C594" s="157"/>
      <c r="D594" s="157"/>
      <c r="E594" s="157"/>
      <c r="F594" s="157"/>
      <c r="G594" s="157"/>
      <c r="H594" s="157"/>
      <c r="I594" s="157"/>
    </row>
    <row r="595" spans="2:9">
      <c r="B595" s="157"/>
      <c r="C595" s="157"/>
      <c r="D595" s="157"/>
      <c r="E595" s="157"/>
      <c r="F595" s="157"/>
      <c r="G595" s="157"/>
      <c r="H595" s="157"/>
      <c r="I595" s="157"/>
    </row>
    <row r="596" spans="2:9">
      <c r="B596" s="157"/>
      <c r="C596" s="157"/>
      <c r="D596" s="157"/>
      <c r="E596" s="157"/>
      <c r="F596" s="157"/>
      <c r="G596" s="157"/>
      <c r="H596" s="157"/>
      <c r="I596" s="157"/>
    </row>
    <row r="597" spans="2:9">
      <c r="B597" s="157"/>
      <c r="C597" s="157"/>
      <c r="D597" s="157"/>
      <c r="E597" s="157"/>
      <c r="F597" s="157"/>
      <c r="G597" s="157"/>
      <c r="H597" s="157"/>
      <c r="I597" s="157"/>
    </row>
    <row r="598" spans="2:9">
      <c r="B598" s="157"/>
      <c r="C598" s="157"/>
      <c r="D598" s="157"/>
      <c r="E598" s="157"/>
      <c r="F598" s="157"/>
      <c r="G598" s="157"/>
      <c r="H598" s="157"/>
      <c r="I598" s="157"/>
    </row>
    <row r="599" spans="2:9">
      <c r="B599" s="157"/>
      <c r="C599" s="157"/>
      <c r="D599" s="157"/>
      <c r="E599" s="157"/>
      <c r="F599" s="157"/>
      <c r="G599" s="157"/>
      <c r="H599" s="157"/>
      <c r="I599" s="157"/>
    </row>
    <row r="600" spans="2:9">
      <c r="B600" s="157"/>
      <c r="C600" s="157"/>
      <c r="D600" s="157"/>
      <c r="E600" s="157"/>
      <c r="F600" s="157"/>
      <c r="G600" s="157"/>
      <c r="H600" s="157"/>
      <c r="I600" s="157"/>
    </row>
    <row r="601" spans="2:9">
      <c r="B601" s="157"/>
      <c r="C601" s="157"/>
      <c r="D601" s="157"/>
      <c r="E601" s="157"/>
      <c r="F601" s="157"/>
      <c r="G601" s="157"/>
      <c r="H601" s="157"/>
      <c r="I601" s="157"/>
    </row>
    <row r="602" spans="2:9">
      <c r="B602" s="157"/>
      <c r="C602" s="157"/>
      <c r="D602" s="157"/>
      <c r="E602" s="157"/>
      <c r="F602" s="157"/>
      <c r="G602" s="157"/>
      <c r="H602" s="157"/>
      <c r="I602" s="157"/>
    </row>
    <row r="603" spans="2:9">
      <c r="B603" s="157"/>
      <c r="C603" s="157"/>
      <c r="D603" s="157"/>
      <c r="E603" s="157"/>
      <c r="F603" s="157"/>
      <c r="G603" s="157"/>
      <c r="H603" s="157"/>
      <c r="I603" s="157"/>
    </row>
    <row r="604" spans="2:9">
      <c r="B604" s="157"/>
      <c r="C604" s="157"/>
      <c r="D604" s="157"/>
      <c r="E604" s="157"/>
      <c r="F604" s="157"/>
      <c r="G604" s="157"/>
      <c r="H604" s="157"/>
      <c r="I604" s="157"/>
    </row>
    <row r="605" spans="2:9">
      <c r="B605" s="157"/>
      <c r="C605" s="157"/>
      <c r="D605" s="157"/>
      <c r="E605" s="157"/>
      <c r="F605" s="157"/>
      <c r="G605" s="157"/>
      <c r="H605" s="157"/>
      <c r="I605" s="157"/>
    </row>
    <row r="606" spans="2:9">
      <c r="B606" s="157"/>
      <c r="C606" s="157"/>
      <c r="D606" s="157"/>
      <c r="E606" s="157"/>
      <c r="F606" s="157"/>
      <c r="G606" s="157"/>
      <c r="H606" s="157"/>
      <c r="I606" s="157"/>
    </row>
    <row r="607" spans="2:9">
      <c r="B607" s="157"/>
      <c r="C607" s="157"/>
      <c r="D607" s="157"/>
      <c r="E607" s="157"/>
      <c r="F607" s="157"/>
      <c r="G607" s="157"/>
      <c r="H607" s="157"/>
      <c r="I607" s="157"/>
    </row>
    <row r="608" spans="2:9">
      <c r="B608" s="157"/>
      <c r="C608" s="157"/>
      <c r="D608" s="157"/>
      <c r="E608" s="157"/>
      <c r="F608" s="157"/>
      <c r="G608" s="157"/>
      <c r="H608" s="157"/>
      <c r="I608" s="157"/>
    </row>
    <row r="609" spans="2:9">
      <c r="B609" s="157"/>
      <c r="C609" s="157"/>
      <c r="D609" s="157"/>
      <c r="E609" s="157"/>
      <c r="F609" s="157"/>
      <c r="G609" s="157"/>
      <c r="H609" s="157"/>
      <c r="I609" s="157"/>
    </row>
    <row r="610" spans="2:9">
      <c r="B610" s="157"/>
      <c r="C610" s="157"/>
      <c r="D610" s="157"/>
      <c r="E610" s="157"/>
      <c r="F610" s="157"/>
      <c r="G610" s="157"/>
      <c r="H610" s="157"/>
      <c r="I610" s="157"/>
    </row>
    <row r="611" spans="2:9">
      <c r="B611" s="157"/>
      <c r="C611" s="157"/>
      <c r="D611" s="157"/>
      <c r="E611" s="157"/>
      <c r="F611" s="157"/>
      <c r="G611" s="157"/>
      <c r="H611" s="157"/>
      <c r="I611" s="157"/>
    </row>
    <row r="612" spans="2:9">
      <c r="B612" s="157"/>
      <c r="C612" s="157"/>
      <c r="D612" s="157"/>
      <c r="E612" s="157"/>
      <c r="F612" s="157"/>
      <c r="G612" s="157"/>
      <c r="H612" s="157"/>
      <c r="I612" s="157"/>
    </row>
    <row r="613" spans="2:9">
      <c r="B613" s="157"/>
      <c r="C613" s="157"/>
      <c r="D613" s="157"/>
      <c r="E613" s="157"/>
      <c r="F613" s="157"/>
      <c r="G613" s="157"/>
      <c r="H613" s="157"/>
      <c r="I613" s="157"/>
    </row>
    <row r="614" spans="2:9">
      <c r="B614" s="157"/>
      <c r="C614" s="157"/>
      <c r="D614" s="157"/>
      <c r="E614" s="157"/>
      <c r="F614" s="157"/>
      <c r="G614" s="157"/>
      <c r="H614" s="157"/>
      <c r="I614" s="157"/>
    </row>
    <row r="615" spans="2:9">
      <c r="B615" s="157"/>
      <c r="C615" s="157"/>
      <c r="D615" s="157"/>
      <c r="E615" s="157"/>
      <c r="F615" s="157"/>
      <c r="G615" s="157"/>
      <c r="H615" s="157"/>
      <c r="I615" s="157"/>
    </row>
    <row r="616" spans="2:9">
      <c r="B616" s="157"/>
      <c r="C616" s="157"/>
      <c r="D616" s="157"/>
      <c r="E616" s="157"/>
      <c r="F616" s="157"/>
      <c r="G616" s="157"/>
      <c r="H616" s="157"/>
      <c r="I616" s="157"/>
    </row>
    <row r="617" spans="2:9">
      <c r="B617" s="157"/>
      <c r="C617" s="157"/>
      <c r="D617" s="157"/>
      <c r="E617" s="157"/>
      <c r="F617" s="157"/>
      <c r="G617" s="157"/>
      <c r="H617" s="157"/>
      <c r="I617" s="157"/>
    </row>
    <row r="618" spans="2:9">
      <c r="B618" s="157"/>
      <c r="C618" s="157"/>
      <c r="D618" s="157"/>
      <c r="E618" s="157"/>
      <c r="F618" s="157"/>
      <c r="G618" s="157"/>
      <c r="H618" s="157"/>
      <c r="I618" s="157"/>
    </row>
    <row r="619" spans="2:9">
      <c r="B619" s="157"/>
      <c r="C619" s="157"/>
      <c r="D619" s="157"/>
      <c r="E619" s="157"/>
      <c r="F619" s="157"/>
      <c r="G619" s="157"/>
      <c r="H619" s="157"/>
      <c r="I619" s="157"/>
    </row>
    <row r="620" spans="2:9">
      <c r="B620" s="157"/>
      <c r="C620" s="157"/>
      <c r="D620" s="157"/>
      <c r="E620" s="157"/>
      <c r="F620" s="157"/>
      <c r="G620" s="157"/>
      <c r="H620" s="157"/>
      <c r="I620" s="157"/>
    </row>
    <row r="621" spans="2:9">
      <c r="B621" s="157"/>
      <c r="C621" s="157"/>
      <c r="D621" s="157"/>
      <c r="E621" s="157"/>
      <c r="F621" s="157"/>
      <c r="G621" s="157"/>
      <c r="H621" s="157"/>
      <c r="I621" s="157"/>
    </row>
    <row r="622" spans="2:9">
      <c r="B622" s="157"/>
      <c r="C622" s="157"/>
      <c r="D622" s="157"/>
      <c r="E622" s="157"/>
      <c r="F622" s="157"/>
      <c r="G622" s="157"/>
      <c r="H622" s="157"/>
      <c r="I622" s="157"/>
    </row>
    <row r="623" spans="2:9">
      <c r="B623" s="157"/>
      <c r="C623" s="157"/>
      <c r="D623" s="157"/>
      <c r="E623" s="157"/>
      <c r="F623" s="157"/>
      <c r="G623" s="157"/>
      <c r="H623" s="157"/>
      <c r="I623" s="157"/>
    </row>
    <row r="624" spans="2:9">
      <c r="B624" s="157"/>
      <c r="C624" s="157"/>
      <c r="D624" s="157"/>
      <c r="E624" s="157"/>
      <c r="F624" s="157"/>
      <c r="G624" s="157"/>
      <c r="H624" s="157"/>
      <c r="I624" s="157"/>
    </row>
    <row r="625" spans="2:9">
      <c r="B625" s="157"/>
      <c r="C625" s="157"/>
      <c r="D625" s="157"/>
      <c r="E625" s="157"/>
      <c r="F625" s="157"/>
      <c r="G625" s="157"/>
      <c r="H625" s="157"/>
      <c r="I625" s="157"/>
    </row>
    <row r="626" spans="2:9">
      <c r="B626" s="157"/>
      <c r="C626" s="157"/>
      <c r="D626" s="157"/>
      <c r="E626" s="157"/>
      <c r="F626" s="157"/>
      <c r="G626" s="157"/>
      <c r="H626" s="157"/>
      <c r="I626" s="157"/>
    </row>
    <row r="627" spans="2:9">
      <c r="B627" s="157"/>
      <c r="C627" s="157"/>
      <c r="D627" s="157"/>
      <c r="E627" s="157"/>
      <c r="F627" s="157"/>
      <c r="G627" s="157"/>
      <c r="H627" s="157"/>
      <c r="I627" s="157"/>
    </row>
    <row r="628" spans="2:9">
      <c r="B628" s="157"/>
      <c r="C628" s="157"/>
      <c r="D628" s="157"/>
      <c r="E628" s="157"/>
      <c r="F628" s="157"/>
      <c r="G628" s="157"/>
      <c r="H628" s="157"/>
      <c r="I628" s="157"/>
    </row>
    <row r="629" spans="2:9">
      <c r="B629" s="157"/>
      <c r="C629" s="157"/>
      <c r="D629" s="157"/>
      <c r="E629" s="157"/>
      <c r="F629" s="157"/>
      <c r="G629" s="157"/>
      <c r="H629" s="157"/>
      <c r="I629" s="157"/>
    </row>
    <row r="630" spans="2:9">
      <c r="B630" s="157"/>
      <c r="C630" s="157"/>
      <c r="D630" s="157"/>
      <c r="E630" s="157"/>
      <c r="F630" s="157"/>
      <c r="G630" s="157"/>
      <c r="H630" s="157"/>
      <c r="I630" s="157"/>
    </row>
    <row r="631" spans="2:9">
      <c r="B631" s="157"/>
      <c r="C631" s="157"/>
      <c r="D631" s="157"/>
      <c r="E631" s="157"/>
      <c r="F631" s="157"/>
      <c r="G631" s="157"/>
      <c r="H631" s="157"/>
      <c r="I631" s="157"/>
    </row>
    <row r="632" spans="2:9">
      <c r="B632" s="157"/>
      <c r="C632" s="157"/>
      <c r="D632" s="157"/>
      <c r="E632" s="157"/>
      <c r="F632" s="157"/>
      <c r="G632" s="157"/>
      <c r="H632" s="157"/>
      <c r="I632" s="157"/>
    </row>
    <row r="633" spans="2:9">
      <c r="B633" s="157"/>
      <c r="C633" s="157"/>
      <c r="D633" s="157"/>
      <c r="E633" s="157"/>
      <c r="F633" s="157"/>
      <c r="G633" s="157"/>
      <c r="H633" s="157"/>
      <c r="I633" s="157"/>
    </row>
    <row r="634" spans="2:9">
      <c r="B634" s="157"/>
      <c r="C634" s="157"/>
      <c r="D634" s="157"/>
      <c r="E634" s="157"/>
      <c r="F634" s="157"/>
      <c r="G634" s="157"/>
      <c r="H634" s="157"/>
      <c r="I634" s="157"/>
    </row>
    <row r="635" spans="2:9">
      <c r="B635" s="157"/>
      <c r="C635" s="157"/>
      <c r="D635" s="157"/>
      <c r="E635" s="157"/>
      <c r="F635" s="157"/>
      <c r="G635" s="157"/>
      <c r="H635" s="157"/>
      <c r="I635" s="157"/>
    </row>
    <row r="636" spans="2:9">
      <c r="B636" s="157"/>
      <c r="C636" s="157"/>
      <c r="D636" s="157"/>
      <c r="E636" s="157"/>
      <c r="F636" s="157"/>
      <c r="G636" s="157"/>
      <c r="H636" s="157"/>
      <c r="I636" s="157"/>
    </row>
    <row r="637" spans="2:9">
      <c r="B637" s="157"/>
      <c r="C637" s="157"/>
      <c r="D637" s="157"/>
      <c r="E637" s="157"/>
      <c r="F637" s="157"/>
      <c r="G637" s="157"/>
      <c r="H637" s="157"/>
      <c r="I637" s="157"/>
    </row>
    <row r="638" spans="2:9">
      <c r="B638" s="157"/>
      <c r="C638" s="157"/>
      <c r="D638" s="157"/>
      <c r="E638" s="157"/>
      <c r="F638" s="157"/>
      <c r="G638" s="157"/>
      <c r="H638" s="157"/>
      <c r="I638" s="157"/>
    </row>
    <row r="639" spans="2:9">
      <c r="B639" s="157"/>
      <c r="C639" s="157"/>
      <c r="D639" s="157"/>
      <c r="E639" s="157"/>
      <c r="F639" s="157"/>
      <c r="G639" s="157"/>
      <c r="H639" s="157"/>
      <c r="I639" s="157"/>
    </row>
    <row r="640" spans="2:9">
      <c r="B640" s="157"/>
      <c r="C640" s="157"/>
      <c r="D640" s="157"/>
      <c r="E640" s="157"/>
      <c r="F640" s="157"/>
      <c r="G640" s="157"/>
      <c r="H640" s="157"/>
      <c r="I640" s="157"/>
    </row>
    <row r="641" spans="2:9">
      <c r="B641" s="157"/>
      <c r="C641" s="157"/>
      <c r="D641" s="157"/>
      <c r="E641" s="157"/>
      <c r="F641" s="157"/>
      <c r="G641" s="157"/>
      <c r="H641" s="157"/>
      <c r="I641" s="157"/>
    </row>
    <row r="642" spans="2:9">
      <c r="B642" s="157"/>
      <c r="C642" s="157"/>
      <c r="D642" s="157"/>
      <c r="E642" s="157"/>
      <c r="F642" s="157"/>
      <c r="G642" s="157"/>
      <c r="H642" s="157"/>
      <c r="I642" s="157"/>
    </row>
    <row r="643" spans="2:9">
      <c r="B643" s="157"/>
      <c r="C643" s="157"/>
      <c r="D643" s="157"/>
      <c r="E643" s="157"/>
      <c r="F643" s="157"/>
      <c r="G643" s="157"/>
      <c r="H643" s="157"/>
      <c r="I643" s="157"/>
    </row>
    <row r="644" spans="2:9">
      <c r="B644" s="157"/>
      <c r="C644" s="157"/>
      <c r="D644" s="157"/>
      <c r="E644" s="157"/>
      <c r="F644" s="157"/>
      <c r="G644" s="157"/>
      <c r="H644" s="157"/>
      <c r="I644" s="157"/>
    </row>
    <row r="645" spans="2:9">
      <c r="B645" s="157"/>
      <c r="C645" s="157"/>
      <c r="D645" s="157"/>
      <c r="E645" s="157"/>
      <c r="F645" s="157"/>
      <c r="G645" s="157"/>
      <c r="H645" s="157"/>
      <c r="I645" s="157"/>
    </row>
    <row r="646" spans="2:9">
      <c r="B646" s="157"/>
      <c r="C646" s="157"/>
      <c r="D646" s="157"/>
      <c r="E646" s="157"/>
      <c r="F646" s="157"/>
      <c r="G646" s="157"/>
      <c r="H646" s="157"/>
      <c r="I646" s="157"/>
    </row>
    <row r="647" spans="2:9">
      <c r="B647" s="157"/>
      <c r="C647" s="157"/>
      <c r="D647" s="157"/>
      <c r="E647" s="157"/>
      <c r="F647" s="157"/>
      <c r="G647" s="157"/>
      <c r="H647" s="157"/>
      <c r="I647" s="157"/>
    </row>
    <row r="648" spans="2:9">
      <c r="B648" s="157"/>
      <c r="C648" s="157"/>
      <c r="D648" s="157"/>
      <c r="E648" s="157"/>
      <c r="F648" s="157"/>
      <c r="G648" s="157"/>
      <c r="H648" s="157"/>
      <c r="I648" s="157"/>
    </row>
    <row r="649" spans="2:9">
      <c r="B649" s="157"/>
      <c r="C649" s="157"/>
      <c r="D649" s="157"/>
      <c r="E649" s="157"/>
      <c r="F649" s="157"/>
      <c r="G649" s="157"/>
      <c r="H649" s="157"/>
      <c r="I649" s="157"/>
    </row>
    <row r="650" spans="2:9">
      <c r="B650" s="157"/>
      <c r="C650" s="157"/>
      <c r="D650" s="157"/>
      <c r="E650" s="157"/>
      <c r="F650" s="157"/>
      <c r="G650" s="157"/>
      <c r="H650" s="157"/>
      <c r="I650" s="157"/>
    </row>
    <row r="651" spans="2:9">
      <c r="B651" s="157"/>
      <c r="C651" s="157"/>
      <c r="D651" s="157"/>
      <c r="E651" s="157"/>
      <c r="F651" s="157"/>
      <c r="G651" s="157"/>
      <c r="H651" s="157"/>
      <c r="I651" s="157"/>
    </row>
    <row r="652" spans="2:9">
      <c r="B652" s="157"/>
      <c r="C652" s="157"/>
      <c r="D652" s="157"/>
      <c r="E652" s="157"/>
      <c r="F652" s="157"/>
      <c r="G652" s="157"/>
      <c r="H652" s="157"/>
      <c r="I652" s="157"/>
    </row>
    <row r="653" spans="2:9">
      <c r="B653" s="157"/>
      <c r="C653" s="157"/>
      <c r="D653" s="157"/>
      <c r="E653" s="157"/>
      <c r="F653" s="157"/>
      <c r="G653" s="157"/>
      <c r="H653" s="157"/>
      <c r="I653" s="157"/>
    </row>
    <row r="654" spans="2:9">
      <c r="B654" s="157"/>
      <c r="C654" s="157"/>
      <c r="D654" s="157"/>
      <c r="E654" s="157"/>
      <c r="F654" s="157"/>
      <c r="G654" s="157"/>
      <c r="H654" s="157"/>
      <c r="I654" s="157"/>
    </row>
    <row r="655" spans="2:9">
      <c r="B655" s="157"/>
      <c r="C655" s="157"/>
      <c r="D655" s="157"/>
      <c r="E655" s="157"/>
      <c r="F655" s="157"/>
      <c r="G655" s="157"/>
      <c r="H655" s="157"/>
      <c r="I655" s="157"/>
    </row>
    <row r="656" spans="2:9">
      <c r="B656" s="157"/>
      <c r="C656" s="157"/>
      <c r="D656" s="157"/>
      <c r="E656" s="157"/>
      <c r="F656" s="157"/>
      <c r="G656" s="157"/>
      <c r="H656" s="157"/>
      <c r="I656" s="157"/>
    </row>
    <row r="657" spans="2:9">
      <c r="B657" s="157"/>
      <c r="C657" s="157"/>
      <c r="D657" s="157"/>
      <c r="E657" s="157"/>
      <c r="F657" s="157"/>
      <c r="G657" s="157"/>
      <c r="H657" s="157"/>
      <c r="I657" s="157"/>
    </row>
    <row r="658" spans="2:9">
      <c r="B658" s="157"/>
      <c r="C658" s="157"/>
      <c r="D658" s="157"/>
      <c r="E658" s="157"/>
      <c r="F658" s="157"/>
      <c r="G658" s="157"/>
      <c r="H658" s="157"/>
      <c r="I658" s="157"/>
    </row>
    <row r="659" spans="2:9">
      <c r="B659" s="157"/>
      <c r="C659" s="157"/>
      <c r="D659" s="157"/>
      <c r="E659" s="157"/>
      <c r="F659" s="157"/>
      <c r="G659" s="157"/>
      <c r="H659" s="157"/>
      <c r="I659" s="157"/>
    </row>
    <row r="660" spans="2:9">
      <c r="B660" s="157"/>
      <c r="C660" s="157"/>
      <c r="D660" s="157"/>
      <c r="E660" s="157"/>
      <c r="F660" s="157"/>
      <c r="G660" s="157"/>
      <c r="H660" s="157"/>
      <c r="I660" s="157"/>
    </row>
    <row r="661" spans="2:9">
      <c r="B661" s="157"/>
      <c r="C661" s="157"/>
      <c r="D661" s="157"/>
      <c r="E661" s="157"/>
      <c r="F661" s="157"/>
      <c r="G661" s="157"/>
      <c r="H661" s="157"/>
      <c r="I661" s="157"/>
    </row>
    <row r="662" spans="2:9">
      <c r="B662" s="157"/>
      <c r="C662" s="157"/>
      <c r="D662" s="157"/>
      <c r="E662" s="157"/>
      <c r="F662" s="157"/>
      <c r="G662" s="157"/>
      <c r="H662" s="157"/>
      <c r="I662" s="157"/>
    </row>
    <row r="663" spans="2:9">
      <c r="B663" s="157"/>
      <c r="C663" s="157"/>
      <c r="D663" s="157"/>
      <c r="E663" s="157"/>
      <c r="F663" s="157"/>
      <c r="G663" s="157"/>
      <c r="H663" s="157"/>
      <c r="I663" s="157"/>
    </row>
    <row r="664" spans="2:9">
      <c r="B664" s="157"/>
      <c r="C664" s="157"/>
      <c r="D664" s="157"/>
      <c r="E664" s="157"/>
      <c r="F664" s="157"/>
      <c r="G664" s="157"/>
      <c r="H664" s="157"/>
      <c r="I664" s="157"/>
    </row>
    <row r="665" spans="2:9">
      <c r="B665" s="157"/>
      <c r="C665" s="157"/>
      <c r="D665" s="157"/>
      <c r="E665" s="157"/>
      <c r="F665" s="157"/>
      <c r="G665" s="157"/>
      <c r="H665" s="157"/>
      <c r="I665" s="157"/>
    </row>
    <row r="666" spans="2:9">
      <c r="B666" s="157"/>
      <c r="C666" s="157"/>
      <c r="D666" s="157"/>
      <c r="E666" s="157"/>
      <c r="F666" s="157"/>
      <c r="G666" s="157"/>
      <c r="H666" s="157"/>
      <c r="I666" s="157"/>
    </row>
    <row r="667" spans="2:9">
      <c r="B667" s="157"/>
      <c r="C667" s="157"/>
      <c r="D667" s="157"/>
      <c r="E667" s="157"/>
      <c r="F667" s="157"/>
      <c r="G667" s="157"/>
      <c r="H667" s="157"/>
      <c r="I667" s="157"/>
    </row>
    <row r="668" spans="2:9">
      <c r="B668" s="157"/>
      <c r="C668" s="157"/>
      <c r="D668" s="157"/>
      <c r="E668" s="157"/>
      <c r="F668" s="157"/>
      <c r="G668" s="157"/>
      <c r="H668" s="157"/>
      <c r="I668" s="157"/>
    </row>
    <row r="669" spans="2:9">
      <c r="B669" s="157"/>
      <c r="C669" s="157"/>
      <c r="D669" s="157"/>
      <c r="E669" s="157"/>
      <c r="F669" s="157"/>
      <c r="G669" s="157"/>
      <c r="H669" s="157"/>
      <c r="I669" s="157"/>
    </row>
    <row r="670" spans="2:9">
      <c r="B670" s="157"/>
      <c r="C670" s="157"/>
      <c r="D670" s="157"/>
      <c r="E670" s="157"/>
      <c r="F670" s="157"/>
      <c r="G670" s="157"/>
      <c r="H670" s="157"/>
      <c r="I670" s="157"/>
    </row>
    <row r="671" spans="2:9">
      <c r="B671" s="157"/>
      <c r="C671" s="157"/>
      <c r="D671" s="157"/>
      <c r="E671" s="157"/>
      <c r="F671" s="157"/>
      <c r="G671" s="157"/>
      <c r="H671" s="157"/>
      <c r="I671" s="157"/>
    </row>
    <row r="672" spans="2:9">
      <c r="B672" s="157"/>
      <c r="C672" s="157"/>
      <c r="D672" s="157"/>
      <c r="E672" s="157"/>
      <c r="F672" s="157"/>
      <c r="G672" s="157"/>
      <c r="H672" s="157"/>
      <c r="I672" s="157"/>
    </row>
    <row r="673" spans="2:9">
      <c r="B673" s="157"/>
      <c r="C673" s="157"/>
      <c r="D673" s="157"/>
      <c r="E673" s="157"/>
      <c r="F673" s="157"/>
      <c r="G673" s="157"/>
      <c r="H673" s="157"/>
      <c r="I673" s="157"/>
    </row>
    <row r="674" spans="2:9">
      <c r="B674" s="157"/>
      <c r="C674" s="157"/>
      <c r="D674" s="157"/>
      <c r="E674" s="157"/>
      <c r="F674" s="157"/>
      <c r="G674" s="157"/>
      <c r="H674" s="157"/>
      <c r="I674" s="157"/>
    </row>
    <row r="675" spans="2:9">
      <c r="B675" s="157"/>
      <c r="C675" s="157"/>
      <c r="D675" s="157"/>
      <c r="E675" s="157"/>
      <c r="F675" s="157"/>
      <c r="G675" s="157"/>
      <c r="H675" s="157"/>
      <c r="I675" s="157"/>
    </row>
    <row r="676" spans="2:9">
      <c r="B676" s="157"/>
      <c r="C676" s="157"/>
      <c r="D676" s="157"/>
      <c r="E676" s="157"/>
      <c r="F676" s="157"/>
      <c r="G676" s="157"/>
      <c r="H676" s="157"/>
      <c r="I676" s="157"/>
    </row>
    <row r="677" spans="2:9">
      <c r="B677" s="157"/>
      <c r="C677" s="157"/>
      <c r="D677" s="157"/>
      <c r="E677" s="157"/>
      <c r="F677" s="157"/>
      <c r="G677" s="157"/>
      <c r="H677" s="157"/>
      <c r="I677" s="157"/>
    </row>
    <row r="678" spans="2:9">
      <c r="B678" s="157"/>
      <c r="C678" s="157"/>
      <c r="D678" s="157"/>
      <c r="E678" s="157"/>
      <c r="F678" s="157"/>
      <c r="G678" s="157"/>
      <c r="H678" s="157"/>
      <c r="I678" s="157"/>
    </row>
    <row r="679" spans="2:9">
      <c r="B679" s="157"/>
      <c r="C679" s="157"/>
      <c r="D679" s="157"/>
      <c r="E679" s="157"/>
      <c r="F679" s="157"/>
      <c r="G679" s="157"/>
      <c r="H679" s="157"/>
      <c r="I679" s="157"/>
    </row>
    <row r="680" spans="2:9">
      <c r="B680" s="157"/>
      <c r="C680" s="157"/>
      <c r="D680" s="157"/>
      <c r="E680" s="157"/>
      <c r="F680" s="157"/>
      <c r="G680" s="157"/>
      <c r="H680" s="157"/>
      <c r="I680" s="157"/>
    </row>
    <row r="681" spans="2:9">
      <c r="B681" s="157"/>
      <c r="C681" s="157"/>
      <c r="D681" s="157"/>
      <c r="E681" s="157"/>
      <c r="F681" s="157"/>
      <c r="G681" s="157"/>
      <c r="H681" s="157"/>
      <c r="I681" s="157"/>
    </row>
    <row r="682" spans="2:9">
      <c r="B682" s="157"/>
      <c r="C682" s="157"/>
      <c r="D682" s="157"/>
      <c r="E682" s="157"/>
      <c r="F682" s="157"/>
      <c r="G682" s="157"/>
      <c r="H682" s="157"/>
      <c r="I682" s="157"/>
    </row>
    <row r="683" spans="2:9">
      <c r="B683" s="157"/>
      <c r="C683" s="157"/>
      <c r="D683" s="157"/>
      <c r="E683" s="157"/>
      <c r="F683" s="157"/>
      <c r="G683" s="157"/>
      <c r="H683" s="157"/>
      <c r="I683" s="157"/>
    </row>
    <row r="684" spans="2:9">
      <c r="B684" s="157"/>
      <c r="C684" s="157"/>
      <c r="D684" s="157"/>
      <c r="E684" s="157"/>
      <c r="F684" s="157"/>
      <c r="G684" s="157"/>
      <c r="H684" s="157"/>
      <c r="I684" s="157"/>
    </row>
    <row r="685" spans="2:9">
      <c r="B685" s="157"/>
      <c r="C685" s="157"/>
      <c r="D685" s="157"/>
      <c r="E685" s="157"/>
      <c r="F685" s="157"/>
      <c r="G685" s="157"/>
      <c r="H685" s="157"/>
      <c r="I685" s="157"/>
    </row>
    <row r="686" spans="2:9">
      <c r="B686" s="157"/>
      <c r="C686" s="157"/>
      <c r="D686" s="157"/>
      <c r="E686" s="157"/>
      <c r="F686" s="157"/>
      <c r="G686" s="157"/>
      <c r="H686" s="157"/>
      <c r="I686" s="157"/>
    </row>
    <row r="687" spans="2:9">
      <c r="B687" s="157"/>
      <c r="C687" s="157"/>
      <c r="D687" s="157"/>
      <c r="E687" s="157"/>
      <c r="F687" s="157"/>
      <c r="G687" s="157"/>
      <c r="H687" s="157"/>
      <c r="I687" s="157"/>
    </row>
    <row r="688" spans="2:9">
      <c r="B688" s="157"/>
      <c r="C688" s="157"/>
      <c r="D688" s="157"/>
      <c r="E688" s="157"/>
      <c r="F688" s="157"/>
      <c r="G688" s="157"/>
      <c r="H688" s="157"/>
      <c r="I688" s="157"/>
    </row>
    <row r="689" spans="2:9">
      <c r="B689" s="157"/>
      <c r="C689" s="157"/>
      <c r="D689" s="157"/>
      <c r="E689" s="157"/>
      <c r="F689" s="157"/>
      <c r="G689" s="157"/>
      <c r="H689" s="157"/>
      <c r="I689" s="157"/>
    </row>
    <row r="690" spans="2:9">
      <c r="B690" s="157"/>
      <c r="C690" s="157"/>
      <c r="D690" s="157"/>
      <c r="E690" s="157"/>
      <c r="F690" s="157"/>
      <c r="G690" s="157"/>
      <c r="H690" s="157"/>
      <c r="I690" s="157"/>
    </row>
    <row r="691" spans="2:9">
      <c r="B691" s="157"/>
      <c r="C691" s="157"/>
      <c r="D691" s="157"/>
      <c r="E691" s="157"/>
      <c r="F691" s="157"/>
      <c r="G691" s="157"/>
      <c r="H691" s="157"/>
      <c r="I691" s="157"/>
    </row>
    <row r="692" spans="2:9">
      <c r="B692" s="157"/>
      <c r="C692" s="157"/>
      <c r="D692" s="157"/>
      <c r="E692" s="157"/>
      <c r="F692" s="157"/>
      <c r="G692" s="157"/>
      <c r="H692" s="157"/>
      <c r="I692" s="157"/>
    </row>
    <row r="693" spans="2:9">
      <c r="B693" s="157"/>
      <c r="C693" s="157"/>
      <c r="D693" s="157"/>
      <c r="E693" s="157"/>
      <c r="F693" s="157"/>
      <c r="G693" s="157"/>
      <c r="H693" s="157"/>
      <c r="I693" s="157"/>
    </row>
    <row r="694" spans="2:9">
      <c r="B694" s="157"/>
      <c r="C694" s="157"/>
      <c r="D694" s="157"/>
      <c r="E694" s="157"/>
      <c r="F694" s="157"/>
      <c r="G694" s="157"/>
      <c r="H694" s="157"/>
      <c r="I694" s="157"/>
    </row>
    <row r="695" spans="2:9">
      <c r="B695" s="157"/>
      <c r="C695" s="157"/>
      <c r="D695" s="157"/>
      <c r="E695" s="157"/>
      <c r="F695" s="157"/>
      <c r="G695" s="157"/>
      <c r="H695" s="157"/>
      <c r="I695" s="157"/>
    </row>
    <row r="696" spans="2:9">
      <c r="B696" s="157"/>
      <c r="C696" s="157"/>
      <c r="D696" s="157"/>
      <c r="E696" s="157"/>
      <c r="F696" s="157"/>
      <c r="G696" s="157"/>
      <c r="H696" s="157"/>
      <c r="I696" s="157"/>
    </row>
    <row r="697" spans="2:9">
      <c r="B697" s="157"/>
      <c r="C697" s="157"/>
      <c r="D697" s="157"/>
      <c r="E697" s="157"/>
      <c r="F697" s="157"/>
      <c r="G697" s="157"/>
      <c r="H697" s="157"/>
      <c r="I697" s="157"/>
    </row>
    <row r="698" spans="2:9">
      <c r="B698" s="157"/>
      <c r="C698" s="157"/>
      <c r="D698" s="157"/>
      <c r="E698" s="157"/>
      <c r="F698" s="157"/>
      <c r="G698" s="157"/>
      <c r="H698" s="157"/>
      <c r="I698" s="157"/>
    </row>
    <row r="699" spans="2:9">
      <c r="B699" s="157"/>
      <c r="C699" s="157"/>
      <c r="D699" s="157"/>
      <c r="E699" s="157"/>
      <c r="F699" s="157"/>
      <c r="G699" s="157"/>
      <c r="H699" s="157"/>
      <c r="I699" s="157"/>
    </row>
    <row r="700" spans="2:9">
      <c r="B700" s="157"/>
      <c r="C700" s="157"/>
      <c r="D700" s="157"/>
      <c r="E700" s="157"/>
      <c r="F700" s="157"/>
      <c r="G700" s="157"/>
      <c r="H700" s="157"/>
      <c r="I700" s="157"/>
    </row>
    <row r="701" spans="2:9">
      <c r="B701" s="157"/>
      <c r="C701" s="157"/>
      <c r="D701" s="157"/>
      <c r="E701" s="157"/>
      <c r="F701" s="157"/>
      <c r="G701" s="157"/>
      <c r="H701" s="157"/>
      <c r="I701" s="157"/>
    </row>
    <row r="702" spans="2:9">
      <c r="B702" s="157"/>
      <c r="C702" s="157"/>
      <c r="D702" s="157"/>
      <c r="E702" s="157"/>
      <c r="F702" s="157"/>
      <c r="G702" s="157"/>
      <c r="H702" s="157"/>
      <c r="I702" s="157"/>
    </row>
    <row r="703" spans="2:9">
      <c r="B703" s="157"/>
      <c r="C703" s="157"/>
      <c r="D703" s="157"/>
      <c r="E703" s="157"/>
      <c r="F703" s="157"/>
      <c r="G703" s="157"/>
      <c r="H703" s="157"/>
      <c r="I703" s="157"/>
    </row>
    <row r="704" spans="2:9">
      <c r="B704" s="157"/>
      <c r="C704" s="157"/>
      <c r="D704" s="157"/>
      <c r="E704" s="157"/>
      <c r="F704" s="157"/>
      <c r="G704" s="157"/>
      <c r="H704" s="157"/>
      <c r="I704" s="157"/>
    </row>
    <row r="705" spans="2:9">
      <c r="B705" s="157"/>
      <c r="C705" s="157"/>
      <c r="D705" s="157"/>
      <c r="E705" s="157"/>
      <c r="F705" s="157"/>
      <c r="G705" s="157"/>
      <c r="H705" s="157"/>
      <c r="I705" s="157"/>
    </row>
    <row r="706" spans="2:9">
      <c r="B706" s="157"/>
      <c r="C706" s="157"/>
      <c r="D706" s="157"/>
      <c r="E706" s="157"/>
      <c r="F706" s="157"/>
      <c r="G706" s="157"/>
      <c r="H706" s="157"/>
      <c r="I706" s="157"/>
    </row>
    <row r="707" spans="2:9">
      <c r="B707" s="157"/>
      <c r="C707" s="157"/>
      <c r="D707" s="157"/>
      <c r="E707" s="157"/>
      <c r="F707" s="157"/>
      <c r="G707" s="157"/>
      <c r="H707" s="157"/>
      <c r="I707" s="157"/>
    </row>
    <row r="708" spans="2:9">
      <c r="B708" s="157"/>
      <c r="C708" s="157"/>
      <c r="D708" s="157"/>
      <c r="E708" s="157"/>
      <c r="F708" s="157"/>
      <c r="G708" s="157"/>
      <c r="H708" s="157"/>
      <c r="I708" s="157"/>
    </row>
    <row r="709" spans="2:9">
      <c r="B709" s="157"/>
      <c r="C709" s="157"/>
      <c r="D709" s="157"/>
      <c r="E709" s="157"/>
      <c r="F709" s="157"/>
      <c r="G709" s="157"/>
      <c r="H709" s="157"/>
      <c r="I709" s="157"/>
    </row>
    <row r="710" spans="2:9">
      <c r="B710" s="157"/>
      <c r="C710" s="157"/>
      <c r="D710" s="157"/>
      <c r="E710" s="157"/>
      <c r="F710" s="157"/>
      <c r="G710" s="157"/>
      <c r="H710" s="157"/>
      <c r="I710" s="157"/>
    </row>
    <row r="711" spans="2:9">
      <c r="B711" s="157"/>
      <c r="C711" s="157"/>
      <c r="D711" s="157"/>
      <c r="E711" s="157"/>
      <c r="F711" s="157"/>
      <c r="G711" s="157"/>
      <c r="H711" s="157"/>
      <c r="I711" s="157"/>
    </row>
    <row r="712" spans="2:9">
      <c r="B712" s="157"/>
      <c r="C712" s="157"/>
      <c r="D712" s="157"/>
      <c r="E712" s="157"/>
      <c r="F712" s="157"/>
      <c r="G712" s="157"/>
      <c r="H712" s="157"/>
      <c r="I712" s="157"/>
    </row>
    <row r="713" spans="2:9">
      <c r="B713" s="157"/>
      <c r="C713" s="157"/>
      <c r="D713" s="157"/>
      <c r="E713" s="157"/>
      <c r="F713" s="157"/>
      <c r="G713" s="157"/>
      <c r="H713" s="157"/>
      <c r="I713" s="157"/>
    </row>
    <row r="714" spans="2:9">
      <c r="B714" s="157"/>
      <c r="C714" s="157"/>
      <c r="D714" s="157"/>
      <c r="E714" s="157"/>
      <c r="F714" s="157"/>
      <c r="G714" s="157"/>
      <c r="H714" s="157"/>
      <c r="I714" s="157"/>
    </row>
    <row r="715" spans="2:9">
      <c r="B715" s="157"/>
      <c r="C715" s="157"/>
      <c r="D715" s="157"/>
      <c r="E715" s="157"/>
      <c r="F715" s="157"/>
      <c r="G715" s="157"/>
      <c r="H715" s="157"/>
      <c r="I715" s="157"/>
    </row>
    <row r="716" spans="2:9">
      <c r="B716" s="157"/>
      <c r="C716" s="157"/>
      <c r="D716" s="157"/>
      <c r="E716" s="157"/>
      <c r="F716" s="157"/>
      <c r="G716" s="157"/>
      <c r="H716" s="157"/>
      <c r="I716" s="157"/>
    </row>
    <row r="717" spans="2:9">
      <c r="B717" s="157"/>
      <c r="C717" s="157"/>
      <c r="D717" s="157"/>
      <c r="E717" s="157"/>
      <c r="F717" s="157"/>
      <c r="G717" s="157"/>
      <c r="H717" s="157"/>
      <c r="I717" s="157"/>
    </row>
    <row r="718" spans="2:9">
      <c r="B718" s="157"/>
      <c r="C718" s="157"/>
      <c r="D718" s="157"/>
      <c r="E718" s="157"/>
      <c r="F718" s="157"/>
      <c r="G718" s="157"/>
      <c r="H718" s="157"/>
      <c r="I718" s="157"/>
    </row>
    <row r="719" spans="2:9">
      <c r="B719" s="157"/>
      <c r="C719" s="157"/>
      <c r="D719" s="157"/>
      <c r="E719" s="157"/>
      <c r="F719" s="157"/>
      <c r="G719" s="157"/>
      <c r="H719" s="157"/>
      <c r="I719" s="157"/>
    </row>
    <row r="720" spans="2:9">
      <c r="B720" s="157"/>
      <c r="C720" s="157"/>
      <c r="D720" s="157"/>
      <c r="E720" s="157"/>
      <c r="F720" s="157"/>
      <c r="G720" s="157"/>
      <c r="H720" s="157"/>
      <c r="I720" s="157"/>
    </row>
    <row r="721" spans="2:9">
      <c r="B721" s="157"/>
      <c r="C721" s="157"/>
      <c r="D721" s="157"/>
      <c r="E721" s="157"/>
      <c r="F721" s="157"/>
      <c r="G721" s="157"/>
      <c r="H721" s="157"/>
      <c r="I721" s="157"/>
    </row>
    <row r="722" spans="2:9">
      <c r="B722" s="157"/>
      <c r="C722" s="157"/>
      <c r="D722" s="157"/>
      <c r="E722" s="157"/>
      <c r="F722" s="157"/>
      <c r="G722" s="157"/>
      <c r="H722" s="157"/>
      <c r="I722" s="157"/>
    </row>
    <row r="723" spans="2:9">
      <c r="B723" s="157"/>
      <c r="C723" s="157"/>
      <c r="D723" s="157"/>
      <c r="E723" s="157"/>
      <c r="F723" s="157"/>
      <c r="G723" s="157"/>
      <c r="H723" s="157"/>
      <c r="I723" s="157"/>
    </row>
    <row r="724" spans="2:9">
      <c r="B724" s="157"/>
      <c r="C724" s="157"/>
      <c r="D724" s="157"/>
      <c r="E724" s="157"/>
      <c r="F724" s="157"/>
      <c r="G724" s="157"/>
      <c r="H724" s="157"/>
      <c r="I724" s="157"/>
    </row>
    <row r="725" spans="2:9">
      <c r="B725" s="157"/>
      <c r="C725" s="157"/>
      <c r="D725" s="157"/>
      <c r="E725" s="157"/>
      <c r="F725" s="157"/>
      <c r="G725" s="157"/>
      <c r="H725" s="157"/>
      <c r="I725" s="157"/>
    </row>
    <row r="726" spans="2:9">
      <c r="B726" s="157"/>
      <c r="C726" s="157"/>
      <c r="D726" s="157"/>
      <c r="E726" s="157"/>
      <c r="F726" s="157"/>
      <c r="G726" s="157"/>
      <c r="H726" s="157"/>
      <c r="I726" s="157"/>
    </row>
    <row r="727" spans="2:9">
      <c r="B727" s="157"/>
      <c r="C727" s="157"/>
      <c r="D727" s="157"/>
      <c r="E727" s="157"/>
      <c r="F727" s="157"/>
      <c r="G727" s="157"/>
      <c r="H727" s="157"/>
      <c r="I727" s="157"/>
    </row>
    <row r="728" spans="2:9">
      <c r="B728" s="157"/>
      <c r="C728" s="157"/>
      <c r="D728" s="157"/>
      <c r="E728" s="157"/>
      <c r="F728" s="157"/>
      <c r="G728" s="157"/>
      <c r="H728" s="157"/>
      <c r="I728" s="157"/>
    </row>
    <row r="729" spans="2:9">
      <c r="B729" s="157"/>
      <c r="C729" s="157"/>
      <c r="D729" s="157"/>
      <c r="E729" s="157"/>
      <c r="F729" s="157"/>
      <c r="G729" s="157"/>
      <c r="H729" s="157"/>
      <c r="I729" s="157"/>
    </row>
    <row r="730" spans="2:9">
      <c r="B730" s="157"/>
      <c r="C730" s="157"/>
      <c r="D730" s="157"/>
      <c r="E730" s="157"/>
      <c r="F730" s="157"/>
      <c r="G730" s="157"/>
      <c r="H730" s="157"/>
      <c r="I730" s="157"/>
    </row>
    <row r="731" spans="2:9">
      <c r="B731" s="157"/>
      <c r="C731" s="157"/>
      <c r="D731" s="157"/>
      <c r="E731" s="157"/>
      <c r="F731" s="157"/>
      <c r="G731" s="157"/>
      <c r="H731" s="157"/>
      <c r="I731" s="157"/>
    </row>
    <row r="732" spans="2:9">
      <c r="B732" s="157"/>
      <c r="C732" s="157"/>
      <c r="D732" s="157"/>
      <c r="E732" s="157"/>
      <c r="F732" s="157"/>
      <c r="G732" s="157"/>
      <c r="H732" s="157"/>
      <c r="I732" s="157"/>
    </row>
    <row r="733" spans="2:9">
      <c r="B733" s="157"/>
      <c r="C733" s="157"/>
      <c r="D733" s="157"/>
      <c r="E733" s="157"/>
      <c r="F733" s="157"/>
      <c r="G733" s="157"/>
      <c r="H733" s="157"/>
      <c r="I733" s="157"/>
    </row>
    <row r="734" spans="2:9">
      <c r="B734" s="157"/>
      <c r="C734" s="157"/>
      <c r="D734" s="157"/>
      <c r="E734" s="157"/>
      <c r="F734" s="157"/>
      <c r="G734" s="157"/>
      <c r="H734" s="157"/>
      <c r="I734" s="157"/>
    </row>
    <row r="735" spans="2:9">
      <c r="B735" s="157"/>
      <c r="C735" s="157"/>
      <c r="D735" s="157"/>
      <c r="E735" s="157"/>
      <c r="F735" s="157"/>
      <c r="G735" s="157"/>
      <c r="H735" s="157"/>
      <c r="I735" s="157"/>
    </row>
    <row r="736" spans="2:9">
      <c r="B736" s="157"/>
      <c r="C736" s="157"/>
      <c r="D736" s="157"/>
      <c r="E736" s="157"/>
      <c r="F736" s="157"/>
      <c r="G736" s="157"/>
      <c r="H736" s="157"/>
      <c r="I736" s="157"/>
    </row>
    <row r="737" spans="2:9">
      <c r="B737" s="157"/>
      <c r="C737" s="157"/>
      <c r="D737" s="157"/>
      <c r="E737" s="157"/>
      <c r="F737" s="157"/>
      <c r="G737" s="157"/>
      <c r="H737" s="157"/>
      <c r="I737" s="157"/>
    </row>
    <row r="738" spans="2:9">
      <c r="B738" s="157"/>
      <c r="C738" s="157"/>
      <c r="D738" s="157"/>
      <c r="E738" s="157"/>
      <c r="F738" s="157"/>
      <c r="G738" s="157"/>
      <c r="H738" s="157"/>
      <c r="I738" s="157"/>
    </row>
    <row r="739" spans="2:9">
      <c r="B739" s="157"/>
      <c r="C739" s="157"/>
      <c r="D739" s="157"/>
      <c r="E739" s="157"/>
      <c r="F739" s="157"/>
      <c r="G739" s="157"/>
      <c r="H739" s="157"/>
      <c r="I739" s="157"/>
    </row>
    <row r="740" spans="2:9">
      <c r="B740" s="157"/>
      <c r="C740" s="157"/>
      <c r="D740" s="157"/>
      <c r="E740" s="157"/>
      <c r="F740" s="157"/>
      <c r="G740" s="157"/>
      <c r="H740" s="157"/>
      <c r="I740" s="157"/>
    </row>
    <row r="741" spans="2:9">
      <c r="B741" s="157"/>
      <c r="C741" s="157"/>
      <c r="D741" s="157"/>
      <c r="E741" s="157"/>
      <c r="F741" s="157"/>
      <c r="G741" s="157"/>
      <c r="H741" s="157"/>
      <c r="I741" s="157"/>
    </row>
    <row r="742" spans="2:9">
      <c r="B742" s="157"/>
      <c r="C742" s="157"/>
      <c r="D742" s="157"/>
      <c r="E742" s="157"/>
      <c r="F742" s="157"/>
      <c r="G742" s="157"/>
      <c r="H742" s="157"/>
      <c r="I742" s="157"/>
    </row>
    <row r="743" spans="2:9">
      <c r="B743" s="157"/>
      <c r="C743" s="157"/>
      <c r="D743" s="157"/>
      <c r="E743" s="157"/>
      <c r="F743" s="157"/>
      <c r="G743" s="157"/>
      <c r="H743" s="157"/>
      <c r="I743" s="157"/>
    </row>
    <row r="744" spans="2:9">
      <c r="B744" s="157"/>
      <c r="C744" s="157"/>
      <c r="D744" s="157"/>
      <c r="E744" s="157"/>
      <c r="F744" s="157"/>
      <c r="G744" s="157"/>
      <c r="H744" s="157"/>
      <c r="I744" s="157"/>
    </row>
    <row r="745" spans="2:9">
      <c r="B745" s="157"/>
      <c r="C745" s="157"/>
      <c r="D745" s="157"/>
      <c r="E745" s="157"/>
      <c r="F745" s="157"/>
      <c r="G745" s="157"/>
      <c r="H745" s="157"/>
      <c r="I745" s="157"/>
    </row>
    <row r="746" spans="2:9">
      <c r="B746" s="157"/>
      <c r="C746" s="157"/>
      <c r="D746" s="157"/>
      <c r="E746" s="157"/>
      <c r="F746" s="157"/>
      <c r="G746" s="157"/>
      <c r="H746" s="157"/>
      <c r="I746" s="157"/>
    </row>
    <row r="747" spans="2:9">
      <c r="B747" s="157"/>
      <c r="C747" s="157"/>
      <c r="D747" s="157"/>
      <c r="E747" s="157"/>
      <c r="F747" s="157"/>
      <c r="G747" s="157"/>
      <c r="H747" s="157"/>
      <c r="I747" s="157"/>
    </row>
    <row r="748" spans="2:9">
      <c r="B748" s="157"/>
      <c r="C748" s="157"/>
      <c r="D748" s="157"/>
      <c r="E748" s="157"/>
      <c r="F748" s="157"/>
      <c r="G748" s="157"/>
      <c r="H748" s="157"/>
      <c r="I748" s="157"/>
    </row>
    <row r="749" spans="2:9">
      <c r="B749" s="157"/>
      <c r="C749" s="157"/>
      <c r="D749" s="157"/>
      <c r="E749" s="157"/>
      <c r="F749" s="157"/>
      <c r="G749" s="157"/>
      <c r="H749" s="157"/>
      <c r="I749" s="157"/>
    </row>
    <row r="750" spans="2:9">
      <c r="B750" s="157"/>
      <c r="C750" s="157"/>
      <c r="D750" s="157"/>
      <c r="E750" s="157"/>
      <c r="F750" s="157"/>
      <c r="G750" s="157"/>
      <c r="H750" s="157"/>
      <c r="I750" s="157"/>
    </row>
    <row r="751" spans="2:9">
      <c r="B751" s="157"/>
      <c r="C751" s="157"/>
      <c r="D751" s="157"/>
      <c r="E751" s="157"/>
      <c r="F751" s="157"/>
      <c r="G751" s="157"/>
      <c r="H751" s="157"/>
      <c r="I751" s="157"/>
    </row>
    <row r="752" spans="2:9">
      <c r="B752" s="157"/>
      <c r="C752" s="157"/>
      <c r="D752" s="157"/>
      <c r="E752" s="157"/>
      <c r="F752" s="157"/>
      <c r="G752" s="157"/>
      <c r="H752" s="157"/>
      <c r="I752" s="157"/>
    </row>
    <row r="753" spans="2:9">
      <c r="B753" s="157"/>
      <c r="C753" s="157"/>
      <c r="D753" s="157"/>
      <c r="E753" s="157"/>
      <c r="F753" s="157"/>
      <c r="G753" s="157"/>
      <c r="H753" s="157"/>
      <c r="I753" s="157"/>
    </row>
    <row r="754" spans="2:9">
      <c r="B754" s="157"/>
      <c r="C754" s="157"/>
      <c r="D754" s="157"/>
      <c r="E754" s="157"/>
      <c r="F754" s="157"/>
      <c r="G754" s="157"/>
      <c r="H754" s="157"/>
      <c r="I754" s="157"/>
    </row>
    <row r="755" spans="2:9">
      <c r="B755" s="157"/>
      <c r="C755" s="157"/>
      <c r="D755" s="157"/>
      <c r="E755" s="157"/>
      <c r="F755" s="157"/>
      <c r="G755" s="157"/>
      <c r="H755" s="157"/>
      <c r="I755" s="157"/>
    </row>
    <row r="756" spans="2:9">
      <c r="B756" s="157"/>
      <c r="C756" s="157"/>
      <c r="D756" s="157"/>
      <c r="E756" s="157"/>
      <c r="F756" s="157"/>
      <c r="G756" s="157"/>
      <c r="H756" s="157"/>
      <c r="I756" s="157"/>
    </row>
    <row r="757" spans="2:9">
      <c r="B757" s="157"/>
      <c r="C757" s="157"/>
      <c r="D757" s="157"/>
      <c r="E757" s="157"/>
      <c r="F757" s="157"/>
      <c r="G757" s="157"/>
      <c r="H757" s="157"/>
      <c r="I757" s="157"/>
    </row>
    <row r="758" spans="2:9">
      <c r="B758" s="157"/>
      <c r="C758" s="157"/>
      <c r="D758" s="157"/>
      <c r="E758" s="157"/>
      <c r="F758" s="157"/>
      <c r="G758" s="157"/>
      <c r="H758" s="157"/>
      <c r="I758" s="157"/>
    </row>
    <row r="759" spans="2:9">
      <c r="B759" s="157"/>
      <c r="C759" s="157"/>
      <c r="D759" s="157"/>
      <c r="E759" s="157"/>
      <c r="F759" s="157"/>
      <c r="G759" s="157"/>
      <c r="H759" s="157"/>
      <c r="I759" s="157"/>
    </row>
    <row r="760" spans="2:9">
      <c r="B760" s="157"/>
      <c r="C760" s="157"/>
      <c r="D760" s="157"/>
      <c r="E760" s="157"/>
      <c r="F760" s="157"/>
      <c r="G760" s="157"/>
      <c r="H760" s="157"/>
      <c r="I760" s="157"/>
    </row>
    <row r="761" spans="2:9">
      <c r="B761" s="157"/>
      <c r="C761" s="157"/>
      <c r="D761" s="157"/>
      <c r="E761" s="157"/>
      <c r="F761" s="157"/>
      <c r="G761" s="157"/>
      <c r="H761" s="157"/>
      <c r="I761" s="157"/>
    </row>
    <row r="762" spans="2:9">
      <c r="B762" s="157"/>
      <c r="C762" s="157"/>
      <c r="D762" s="157"/>
      <c r="E762" s="157"/>
      <c r="F762" s="157"/>
      <c r="G762" s="157"/>
      <c r="H762" s="157"/>
      <c r="I762" s="157"/>
    </row>
    <row r="763" spans="2:9">
      <c r="B763" s="157"/>
      <c r="C763" s="157"/>
      <c r="D763" s="157"/>
      <c r="E763" s="157"/>
      <c r="F763" s="157"/>
      <c r="G763" s="157"/>
      <c r="H763" s="157"/>
      <c r="I763" s="157"/>
    </row>
    <row r="764" spans="2:9">
      <c r="B764" s="157"/>
      <c r="C764" s="157"/>
      <c r="D764" s="157"/>
      <c r="E764" s="157"/>
      <c r="F764" s="157"/>
      <c r="G764" s="157"/>
      <c r="H764" s="157"/>
      <c r="I764" s="157"/>
    </row>
    <row r="765" spans="2:9">
      <c r="B765" s="157"/>
      <c r="C765" s="157"/>
      <c r="D765" s="157"/>
      <c r="E765" s="157"/>
      <c r="F765" s="157"/>
      <c r="G765" s="157"/>
      <c r="H765" s="157"/>
      <c r="I765" s="157"/>
    </row>
    <row r="766" spans="2:9">
      <c r="B766" s="157"/>
      <c r="C766" s="157"/>
      <c r="D766" s="157"/>
      <c r="E766" s="157"/>
      <c r="F766" s="157"/>
      <c r="G766" s="157"/>
      <c r="H766" s="157"/>
      <c r="I766" s="157"/>
    </row>
    <row r="767" spans="2:9">
      <c r="B767" s="157"/>
      <c r="C767" s="157"/>
      <c r="D767" s="157"/>
      <c r="E767" s="157"/>
      <c r="F767" s="157"/>
      <c r="G767" s="157"/>
      <c r="H767" s="157"/>
      <c r="I767" s="157"/>
    </row>
    <row r="768" spans="2:9">
      <c r="B768" s="157"/>
      <c r="C768" s="157"/>
      <c r="D768" s="157"/>
      <c r="E768" s="157"/>
      <c r="F768" s="157"/>
      <c r="G768" s="157"/>
      <c r="H768" s="157"/>
      <c r="I768" s="157"/>
    </row>
    <row r="769" spans="2:9">
      <c r="B769" s="157"/>
      <c r="C769" s="157"/>
      <c r="D769" s="157"/>
      <c r="E769" s="157"/>
      <c r="F769" s="157"/>
      <c r="G769" s="157"/>
      <c r="H769" s="157"/>
      <c r="I769" s="157"/>
    </row>
    <row r="770" spans="2:9">
      <c r="B770" s="157"/>
      <c r="C770" s="157"/>
      <c r="D770" s="157"/>
      <c r="E770" s="157"/>
      <c r="F770" s="157"/>
      <c r="G770" s="157"/>
      <c r="H770" s="157"/>
      <c r="I770" s="157"/>
    </row>
    <row r="771" spans="2:9">
      <c r="B771" s="157"/>
      <c r="C771" s="157"/>
      <c r="D771" s="157"/>
      <c r="E771" s="157"/>
      <c r="F771" s="157"/>
      <c r="G771" s="157"/>
      <c r="H771" s="157"/>
      <c r="I771" s="157"/>
    </row>
    <row r="772" spans="2:9">
      <c r="B772" s="157"/>
      <c r="C772" s="157"/>
      <c r="D772" s="157"/>
      <c r="E772" s="157"/>
      <c r="F772" s="157"/>
      <c r="G772" s="157"/>
      <c r="H772" s="157"/>
      <c r="I772" s="157"/>
    </row>
    <row r="773" spans="2:9">
      <c r="B773" s="157"/>
      <c r="C773" s="157"/>
      <c r="D773" s="157"/>
      <c r="E773" s="157"/>
      <c r="F773" s="157"/>
      <c r="G773" s="157"/>
      <c r="H773" s="157"/>
      <c r="I773" s="157"/>
    </row>
    <row r="774" spans="2:9">
      <c r="B774" s="157"/>
      <c r="C774" s="157"/>
      <c r="D774" s="157"/>
      <c r="E774" s="157"/>
      <c r="F774" s="157"/>
      <c r="G774" s="157"/>
      <c r="H774" s="157"/>
      <c r="I774" s="157"/>
    </row>
    <row r="775" spans="2:9">
      <c r="B775" s="157"/>
      <c r="C775" s="157"/>
      <c r="D775" s="157"/>
      <c r="E775" s="157"/>
      <c r="F775" s="157"/>
      <c r="G775" s="157"/>
      <c r="H775" s="157"/>
      <c r="I775" s="157"/>
    </row>
    <row r="776" spans="2:9">
      <c r="B776" s="157"/>
      <c r="C776" s="157"/>
      <c r="D776" s="157"/>
      <c r="E776" s="157"/>
      <c r="F776" s="157"/>
      <c r="G776" s="157"/>
      <c r="H776" s="157"/>
      <c r="I776" s="157"/>
    </row>
    <row r="777" spans="2:9">
      <c r="B777" s="157"/>
      <c r="C777" s="157"/>
      <c r="D777" s="157"/>
      <c r="E777" s="157"/>
      <c r="F777" s="157"/>
      <c r="G777" s="157"/>
      <c r="H777" s="157"/>
      <c r="I777" s="157"/>
    </row>
    <row r="778" spans="2:9">
      <c r="B778" s="157"/>
      <c r="C778" s="157"/>
      <c r="D778" s="157"/>
      <c r="E778" s="157"/>
      <c r="F778" s="157"/>
      <c r="G778" s="157"/>
      <c r="H778" s="157"/>
      <c r="I778" s="157"/>
    </row>
    <row r="779" spans="2:9">
      <c r="B779" s="157"/>
      <c r="C779" s="157"/>
      <c r="D779" s="157"/>
      <c r="E779" s="157"/>
      <c r="F779" s="157"/>
      <c r="G779" s="157"/>
      <c r="H779" s="157"/>
      <c r="I779" s="157"/>
    </row>
    <row r="780" spans="2:9">
      <c r="B780" s="157"/>
      <c r="C780" s="157"/>
      <c r="D780" s="157"/>
      <c r="E780" s="157"/>
      <c r="F780" s="157"/>
      <c r="G780" s="157"/>
      <c r="H780" s="157"/>
      <c r="I780" s="157"/>
    </row>
    <row r="781" spans="2:9">
      <c r="B781" s="157"/>
      <c r="C781" s="157"/>
      <c r="D781" s="157"/>
      <c r="E781" s="157"/>
      <c r="F781" s="157"/>
      <c r="G781" s="157"/>
      <c r="H781" s="157"/>
      <c r="I781" s="157"/>
    </row>
    <row r="782" spans="2:9">
      <c r="B782" s="157"/>
      <c r="C782" s="157"/>
      <c r="D782" s="157"/>
      <c r="E782" s="157"/>
      <c r="F782" s="157"/>
      <c r="G782" s="157"/>
      <c r="H782" s="157"/>
      <c r="I782" s="157"/>
    </row>
    <row r="783" spans="2:9">
      <c r="B783" s="157"/>
      <c r="C783" s="157"/>
      <c r="D783" s="157"/>
      <c r="E783" s="157"/>
      <c r="F783" s="157"/>
      <c r="G783" s="157"/>
      <c r="H783" s="157"/>
      <c r="I783" s="157"/>
    </row>
    <row r="784" spans="2:9">
      <c r="B784" s="157"/>
      <c r="C784" s="157"/>
      <c r="D784" s="157"/>
      <c r="E784" s="157"/>
      <c r="F784" s="157"/>
      <c r="G784" s="157"/>
      <c r="H784" s="157"/>
      <c r="I784" s="157"/>
    </row>
    <row r="785" spans="2:9">
      <c r="B785" s="157"/>
      <c r="C785" s="157"/>
      <c r="D785" s="157"/>
      <c r="E785" s="157"/>
      <c r="F785" s="157"/>
      <c r="G785" s="157"/>
      <c r="H785" s="157"/>
      <c r="I785" s="157"/>
    </row>
    <row r="786" spans="2:9">
      <c r="B786" s="157"/>
      <c r="C786" s="157"/>
      <c r="D786" s="157"/>
      <c r="E786" s="157"/>
      <c r="F786" s="157"/>
      <c r="G786" s="157"/>
      <c r="H786" s="157"/>
      <c r="I786" s="157"/>
    </row>
    <row r="787" spans="2:9">
      <c r="B787" s="157"/>
      <c r="C787" s="157"/>
      <c r="D787" s="157"/>
      <c r="E787" s="157"/>
      <c r="F787" s="157"/>
      <c r="G787" s="157"/>
      <c r="H787" s="157"/>
      <c r="I787" s="157"/>
    </row>
    <row r="788" spans="2:9">
      <c r="B788" s="157"/>
      <c r="C788" s="157"/>
      <c r="D788" s="157"/>
      <c r="E788" s="157"/>
      <c r="F788" s="157"/>
      <c r="G788" s="157"/>
      <c r="H788" s="157"/>
      <c r="I788" s="157"/>
    </row>
    <row r="789" spans="2:9">
      <c r="B789" s="157"/>
      <c r="C789" s="157"/>
      <c r="D789" s="157"/>
      <c r="E789" s="157"/>
      <c r="F789" s="157"/>
      <c r="G789" s="157"/>
      <c r="H789" s="157"/>
      <c r="I789" s="157"/>
    </row>
    <row r="790" spans="2:9">
      <c r="B790" s="157"/>
      <c r="C790" s="157"/>
      <c r="D790" s="157"/>
      <c r="E790" s="157"/>
      <c r="F790" s="157"/>
      <c r="G790" s="157"/>
      <c r="H790" s="157"/>
      <c r="I790" s="157"/>
    </row>
    <row r="791" spans="2:9">
      <c r="B791" s="157"/>
      <c r="C791" s="157"/>
      <c r="D791" s="157"/>
      <c r="E791" s="157"/>
      <c r="F791" s="157"/>
      <c r="G791" s="157"/>
      <c r="H791" s="157"/>
      <c r="I791" s="157"/>
    </row>
    <row r="792" spans="2:9">
      <c r="B792" s="157"/>
      <c r="C792" s="157"/>
      <c r="D792" s="157"/>
      <c r="E792" s="157"/>
      <c r="F792" s="157"/>
      <c r="G792" s="157"/>
      <c r="H792" s="157"/>
      <c r="I792" s="157"/>
    </row>
    <row r="793" spans="2:9">
      <c r="B793" s="157"/>
      <c r="C793" s="157"/>
      <c r="D793" s="157"/>
      <c r="E793" s="157"/>
      <c r="F793" s="157"/>
      <c r="G793" s="157"/>
      <c r="H793" s="157"/>
      <c r="I793" s="157"/>
    </row>
    <row r="794" spans="2:9">
      <c r="B794" s="157"/>
      <c r="C794" s="157"/>
      <c r="D794" s="157"/>
      <c r="E794" s="157"/>
      <c r="F794" s="157"/>
      <c r="G794" s="157"/>
      <c r="H794" s="157"/>
      <c r="I794" s="157"/>
    </row>
    <row r="795" spans="2:9">
      <c r="B795" s="157"/>
      <c r="C795" s="157"/>
      <c r="D795" s="157"/>
      <c r="E795" s="157"/>
      <c r="F795" s="157"/>
      <c r="G795" s="157"/>
      <c r="H795" s="157"/>
      <c r="I795" s="157"/>
    </row>
    <row r="796" spans="2:9">
      <c r="B796" s="157"/>
      <c r="C796" s="157"/>
      <c r="D796" s="157"/>
      <c r="E796" s="157"/>
      <c r="F796" s="157"/>
      <c r="G796" s="157"/>
      <c r="H796" s="157"/>
      <c r="I796" s="157"/>
    </row>
    <row r="797" spans="2:9">
      <c r="B797" s="157"/>
      <c r="C797" s="157"/>
      <c r="D797" s="157"/>
      <c r="E797" s="157"/>
      <c r="F797" s="157"/>
      <c r="G797" s="157"/>
      <c r="H797" s="157"/>
      <c r="I797" s="157"/>
    </row>
    <row r="798" spans="2:9">
      <c r="B798" s="157"/>
      <c r="C798" s="157"/>
      <c r="D798" s="157"/>
      <c r="E798" s="157"/>
      <c r="F798" s="157"/>
      <c r="G798" s="157"/>
      <c r="H798" s="157"/>
      <c r="I798" s="157"/>
    </row>
    <row r="799" spans="2:9">
      <c r="B799" s="157"/>
      <c r="C799" s="157"/>
      <c r="D799" s="157"/>
      <c r="E799" s="157"/>
      <c r="F799" s="157"/>
      <c r="G799" s="157"/>
      <c r="H799" s="157"/>
      <c r="I799" s="157"/>
    </row>
    <row r="800" spans="2:9">
      <c r="B800" s="157"/>
      <c r="C800" s="157"/>
      <c r="D800" s="157"/>
      <c r="E800" s="157"/>
      <c r="F800" s="157"/>
      <c r="G800" s="157"/>
      <c r="H800" s="157"/>
      <c r="I800" s="157"/>
    </row>
    <row r="801" spans="2:9">
      <c r="B801" s="157"/>
      <c r="C801" s="157"/>
      <c r="D801" s="157"/>
      <c r="E801" s="157"/>
      <c r="F801" s="157"/>
      <c r="G801" s="157"/>
      <c r="H801" s="157"/>
      <c r="I801" s="157"/>
    </row>
    <row r="802" spans="2:9">
      <c r="B802" s="157"/>
      <c r="C802" s="157"/>
      <c r="D802" s="157"/>
      <c r="E802" s="157"/>
      <c r="F802" s="157"/>
      <c r="G802" s="157"/>
      <c r="H802" s="157"/>
      <c r="I802" s="157"/>
    </row>
    <row r="803" spans="2:9">
      <c r="B803" s="157"/>
      <c r="C803" s="157"/>
      <c r="D803" s="157"/>
      <c r="E803" s="157"/>
      <c r="F803" s="157"/>
      <c r="G803" s="157"/>
      <c r="H803" s="157"/>
      <c r="I803" s="157"/>
    </row>
    <row r="804" spans="2:9">
      <c r="B804" s="157"/>
      <c r="C804" s="157"/>
      <c r="D804" s="157"/>
      <c r="E804" s="157"/>
      <c r="F804" s="157"/>
      <c r="G804" s="157"/>
      <c r="H804" s="157"/>
      <c r="I804" s="157"/>
    </row>
    <row r="805" spans="2:9">
      <c r="B805" s="157"/>
      <c r="C805" s="157"/>
      <c r="D805" s="157"/>
      <c r="E805" s="157"/>
      <c r="F805" s="157"/>
      <c r="G805" s="157"/>
      <c r="H805" s="157"/>
      <c r="I805" s="157"/>
    </row>
    <row r="806" spans="2:9">
      <c r="B806" s="157"/>
      <c r="C806" s="157"/>
      <c r="D806" s="157"/>
      <c r="E806" s="157"/>
      <c r="F806" s="157"/>
      <c r="G806" s="157"/>
      <c r="H806" s="157"/>
      <c r="I806" s="157"/>
    </row>
    <row r="807" spans="2:9">
      <c r="B807" s="157"/>
      <c r="C807" s="157"/>
      <c r="D807" s="157"/>
      <c r="E807" s="157"/>
      <c r="F807" s="157"/>
      <c r="G807" s="157"/>
      <c r="H807" s="157"/>
      <c r="I807" s="157"/>
    </row>
    <row r="808" spans="2:9">
      <c r="B808" s="157"/>
      <c r="C808" s="157"/>
      <c r="D808" s="157"/>
      <c r="E808" s="157"/>
      <c r="F808" s="157"/>
      <c r="G808" s="157"/>
      <c r="H808" s="157"/>
      <c r="I808" s="157"/>
    </row>
    <row r="809" spans="2:9">
      <c r="B809" s="157"/>
      <c r="C809" s="157"/>
      <c r="D809" s="157"/>
      <c r="E809" s="157"/>
      <c r="F809" s="157"/>
      <c r="G809" s="157"/>
      <c r="H809" s="157"/>
      <c r="I809" s="157"/>
    </row>
    <row r="810" spans="2:9">
      <c r="B810" s="157"/>
      <c r="C810" s="157"/>
      <c r="D810" s="157"/>
      <c r="E810" s="157"/>
      <c r="F810" s="157"/>
      <c r="G810" s="157"/>
      <c r="H810" s="157"/>
      <c r="I810" s="157"/>
    </row>
    <row r="811" spans="2:9">
      <c r="B811" s="157"/>
      <c r="C811" s="157"/>
      <c r="D811" s="157"/>
      <c r="E811" s="157"/>
      <c r="F811" s="157"/>
      <c r="G811" s="157"/>
      <c r="H811" s="157"/>
      <c r="I811" s="157"/>
    </row>
    <row r="812" spans="2:9">
      <c r="B812" s="157"/>
      <c r="C812" s="157"/>
      <c r="D812" s="157"/>
      <c r="E812" s="157"/>
      <c r="F812" s="157"/>
      <c r="G812" s="157"/>
      <c r="H812" s="157"/>
      <c r="I812" s="157"/>
    </row>
    <row r="813" spans="2:9">
      <c r="B813" s="157"/>
      <c r="C813" s="157"/>
      <c r="D813" s="157"/>
      <c r="E813" s="157"/>
      <c r="F813" s="157"/>
      <c r="G813" s="157"/>
      <c r="H813" s="157"/>
      <c r="I813" s="157"/>
    </row>
    <row r="814" spans="2:9">
      <c r="B814" s="157"/>
      <c r="C814" s="157"/>
      <c r="D814" s="157"/>
      <c r="E814" s="157"/>
      <c r="F814" s="157"/>
      <c r="G814" s="157"/>
      <c r="H814" s="157"/>
      <c r="I814" s="157"/>
    </row>
    <row r="815" spans="2:9">
      <c r="B815" s="157"/>
      <c r="C815" s="157"/>
      <c r="D815" s="157"/>
      <c r="E815" s="157"/>
      <c r="F815" s="157"/>
      <c r="G815" s="157"/>
      <c r="H815" s="157"/>
      <c r="I815" s="157"/>
    </row>
    <row r="816" spans="2:9">
      <c r="B816" s="157"/>
      <c r="C816" s="157"/>
      <c r="D816" s="157"/>
      <c r="E816" s="157"/>
      <c r="F816" s="157"/>
      <c r="G816" s="157"/>
      <c r="H816" s="157"/>
      <c r="I816" s="157"/>
    </row>
    <row r="817" spans="2:9">
      <c r="B817" s="157"/>
      <c r="C817" s="157"/>
      <c r="D817" s="157"/>
      <c r="E817" s="157"/>
      <c r="F817" s="157"/>
      <c r="G817" s="157"/>
      <c r="H817" s="157"/>
      <c r="I817" s="157"/>
    </row>
    <row r="818" spans="2:9">
      <c r="B818" s="157"/>
      <c r="C818" s="157"/>
      <c r="D818" s="157"/>
      <c r="E818" s="157"/>
      <c r="F818" s="157"/>
      <c r="G818" s="157"/>
      <c r="H818" s="157"/>
      <c r="I818" s="157"/>
    </row>
    <row r="819" spans="2:9">
      <c r="B819" s="157"/>
      <c r="C819" s="157"/>
      <c r="D819" s="157"/>
      <c r="E819" s="157"/>
      <c r="F819" s="157"/>
      <c r="G819" s="157"/>
      <c r="H819" s="157"/>
      <c r="I819" s="157"/>
    </row>
    <row r="820" spans="2:9">
      <c r="B820" s="157"/>
      <c r="C820" s="157"/>
      <c r="D820" s="157"/>
      <c r="E820" s="157"/>
      <c r="F820" s="157"/>
      <c r="G820" s="157"/>
      <c r="H820" s="157"/>
      <c r="I820" s="157"/>
    </row>
    <row r="821" spans="2:9">
      <c r="B821" s="157"/>
      <c r="C821" s="157"/>
      <c r="D821" s="157"/>
      <c r="E821" s="157"/>
      <c r="F821" s="157"/>
      <c r="G821" s="157"/>
      <c r="H821" s="157"/>
      <c r="I821" s="157"/>
    </row>
    <row r="822" spans="2:9">
      <c r="B822" s="157"/>
      <c r="C822" s="157"/>
      <c r="D822" s="157"/>
      <c r="E822" s="157"/>
      <c r="F822" s="157"/>
      <c r="G822" s="157"/>
      <c r="H822" s="157"/>
      <c r="I822" s="157"/>
    </row>
    <row r="823" spans="2:9">
      <c r="B823" s="157"/>
      <c r="C823" s="157"/>
      <c r="D823" s="157"/>
      <c r="E823" s="157"/>
      <c r="F823" s="157"/>
      <c r="G823" s="157"/>
      <c r="H823" s="157"/>
      <c r="I823" s="157"/>
    </row>
    <row r="824" spans="2:9">
      <c r="B824" s="157"/>
      <c r="C824" s="157"/>
      <c r="D824" s="157"/>
      <c r="E824" s="157"/>
      <c r="F824" s="157"/>
      <c r="G824" s="157"/>
      <c r="H824" s="157"/>
      <c r="I824" s="157"/>
    </row>
    <row r="825" spans="2:9">
      <c r="B825" s="157"/>
      <c r="C825" s="157"/>
      <c r="D825" s="157"/>
      <c r="E825" s="157"/>
      <c r="F825" s="157"/>
      <c r="G825" s="157"/>
      <c r="H825" s="157"/>
      <c r="I825" s="157"/>
    </row>
    <row r="826" spans="2:9">
      <c r="B826" s="157"/>
      <c r="C826" s="157"/>
      <c r="D826" s="157"/>
      <c r="E826" s="157"/>
      <c r="F826" s="157"/>
      <c r="G826" s="157"/>
      <c r="H826" s="157"/>
      <c r="I826" s="157"/>
    </row>
    <row r="827" spans="2:9">
      <c r="B827" s="157"/>
      <c r="C827" s="157"/>
      <c r="D827" s="157"/>
      <c r="E827" s="157"/>
      <c r="F827" s="157"/>
      <c r="G827" s="157"/>
      <c r="H827" s="157"/>
      <c r="I827" s="157"/>
    </row>
    <row r="828" spans="2:9">
      <c r="B828" s="157"/>
      <c r="C828" s="157"/>
      <c r="D828" s="157"/>
      <c r="E828" s="157"/>
      <c r="F828" s="157"/>
      <c r="G828" s="157"/>
      <c r="H828" s="157"/>
      <c r="I828" s="157"/>
    </row>
    <row r="829" spans="2:9">
      <c r="B829" s="157"/>
      <c r="C829" s="157"/>
      <c r="D829" s="157"/>
      <c r="E829" s="157"/>
      <c r="F829" s="157"/>
      <c r="G829" s="157"/>
      <c r="H829" s="157"/>
      <c r="I829" s="157"/>
    </row>
    <row r="830" spans="2:9">
      <c r="B830" s="157"/>
      <c r="C830" s="157"/>
      <c r="D830" s="157"/>
      <c r="E830" s="157"/>
      <c r="F830" s="157"/>
      <c r="G830" s="157"/>
      <c r="H830" s="157"/>
      <c r="I830" s="157"/>
    </row>
    <row r="831" spans="2:9">
      <c r="B831" s="157"/>
      <c r="C831" s="157"/>
      <c r="D831" s="157"/>
      <c r="E831" s="157"/>
      <c r="F831" s="157"/>
      <c r="G831" s="157"/>
      <c r="H831" s="157"/>
      <c r="I831" s="157"/>
    </row>
    <row r="832" spans="2:9">
      <c r="B832" s="157"/>
      <c r="C832" s="157"/>
      <c r="D832" s="157"/>
      <c r="E832" s="157"/>
      <c r="F832" s="157"/>
      <c r="G832" s="157"/>
      <c r="H832" s="157"/>
      <c r="I832" s="157"/>
    </row>
    <row r="833" spans="2:9">
      <c r="B833" s="157"/>
      <c r="C833" s="157"/>
      <c r="D833" s="157"/>
      <c r="E833" s="157"/>
      <c r="F833" s="157"/>
      <c r="G833" s="157"/>
      <c r="H833" s="157"/>
      <c r="I833" s="157"/>
    </row>
    <row r="834" spans="2:9">
      <c r="B834" s="157"/>
      <c r="C834" s="157"/>
      <c r="D834" s="157"/>
      <c r="E834" s="157"/>
      <c r="F834" s="157"/>
      <c r="G834" s="157"/>
      <c r="H834" s="157"/>
      <c r="I834" s="157"/>
    </row>
    <row r="835" spans="2:9">
      <c r="B835" s="157"/>
      <c r="C835" s="157"/>
      <c r="D835" s="157"/>
      <c r="E835" s="157"/>
      <c r="F835" s="157"/>
      <c r="G835" s="157"/>
      <c r="H835" s="157"/>
      <c r="I835" s="157"/>
    </row>
    <row r="836" spans="2:9">
      <c r="B836" s="157"/>
      <c r="C836" s="157"/>
      <c r="D836" s="157"/>
      <c r="E836" s="157"/>
      <c r="F836" s="157"/>
      <c r="G836" s="157"/>
      <c r="H836" s="157"/>
      <c r="I836" s="157"/>
    </row>
    <row r="837" spans="2:9">
      <c r="B837" s="157"/>
      <c r="C837" s="157"/>
      <c r="D837" s="157"/>
      <c r="E837" s="157"/>
      <c r="F837" s="157"/>
      <c r="G837" s="157"/>
      <c r="H837" s="157"/>
      <c r="I837" s="157"/>
    </row>
    <row r="838" spans="2:9">
      <c r="B838" s="157"/>
      <c r="C838" s="157"/>
      <c r="D838" s="157"/>
      <c r="E838" s="157"/>
      <c r="F838" s="157"/>
      <c r="G838" s="157"/>
      <c r="H838" s="157"/>
      <c r="I838" s="157"/>
    </row>
    <row r="839" spans="2:9">
      <c r="B839" s="157"/>
      <c r="C839" s="157"/>
      <c r="D839" s="157"/>
      <c r="E839" s="157"/>
      <c r="F839" s="157"/>
      <c r="G839" s="157"/>
      <c r="H839" s="157"/>
      <c r="I839" s="157"/>
    </row>
    <row r="840" spans="2:9">
      <c r="B840" s="157"/>
      <c r="C840" s="157"/>
      <c r="D840" s="157"/>
      <c r="E840" s="157"/>
      <c r="F840" s="157"/>
      <c r="G840" s="157"/>
      <c r="H840" s="157"/>
      <c r="I840" s="157"/>
    </row>
    <row r="841" spans="2:9">
      <c r="B841" s="157"/>
      <c r="C841" s="157"/>
      <c r="D841" s="157"/>
      <c r="E841" s="157"/>
      <c r="F841" s="157"/>
      <c r="G841" s="157"/>
      <c r="H841" s="157"/>
      <c r="I841" s="157"/>
    </row>
    <row r="842" spans="2:9">
      <c r="B842" s="157"/>
      <c r="C842" s="157"/>
      <c r="D842" s="157"/>
      <c r="E842" s="157"/>
      <c r="F842" s="157"/>
      <c r="G842" s="157"/>
      <c r="H842" s="157"/>
      <c r="I842" s="157"/>
    </row>
    <row r="843" spans="2:9">
      <c r="B843" s="157"/>
      <c r="C843" s="157"/>
      <c r="D843" s="157"/>
      <c r="E843" s="157"/>
      <c r="F843" s="157"/>
      <c r="G843" s="157"/>
      <c r="H843" s="157"/>
      <c r="I843" s="157"/>
    </row>
    <row r="844" spans="2:9">
      <c r="B844" s="157"/>
      <c r="C844" s="157"/>
      <c r="D844" s="157"/>
      <c r="E844" s="157"/>
      <c r="F844" s="157"/>
      <c r="G844" s="157"/>
      <c r="H844" s="157"/>
      <c r="I844" s="157"/>
    </row>
    <row r="845" spans="2:9">
      <c r="B845" s="157"/>
      <c r="C845" s="157"/>
      <c r="D845" s="157"/>
      <c r="E845" s="157"/>
      <c r="F845" s="157"/>
      <c r="G845" s="157"/>
      <c r="H845" s="157"/>
      <c r="I845" s="157"/>
    </row>
    <row r="846" spans="2:9">
      <c r="B846" s="157"/>
      <c r="C846" s="157"/>
      <c r="D846" s="157"/>
      <c r="E846" s="157"/>
      <c r="F846" s="157"/>
      <c r="G846" s="157"/>
      <c r="H846" s="157"/>
      <c r="I846" s="157"/>
    </row>
    <row r="847" spans="2:9">
      <c r="B847" s="157"/>
      <c r="C847" s="157"/>
      <c r="D847" s="157"/>
      <c r="E847" s="157"/>
      <c r="F847" s="157"/>
      <c r="G847" s="157"/>
      <c r="H847" s="157"/>
      <c r="I847" s="157"/>
    </row>
    <row r="848" spans="2:9">
      <c r="B848" s="157"/>
      <c r="C848" s="157"/>
      <c r="D848" s="157"/>
      <c r="E848" s="157"/>
      <c r="F848" s="157"/>
      <c r="G848" s="157"/>
      <c r="H848" s="157"/>
      <c r="I848" s="157"/>
    </row>
    <row r="849" spans="2:9">
      <c r="B849" s="157"/>
      <c r="C849" s="157"/>
      <c r="D849" s="157"/>
      <c r="E849" s="157"/>
      <c r="F849" s="157"/>
      <c r="G849" s="157"/>
      <c r="H849" s="157"/>
      <c r="I849" s="157"/>
    </row>
    <row r="850" spans="2:9">
      <c r="B850" s="157"/>
      <c r="C850" s="157"/>
      <c r="D850" s="157"/>
      <c r="E850" s="157"/>
      <c r="F850" s="157"/>
      <c r="G850" s="157"/>
      <c r="H850" s="157"/>
      <c r="I850" s="157"/>
    </row>
    <row r="851" spans="2:9">
      <c r="B851" s="157"/>
      <c r="C851" s="157"/>
      <c r="D851" s="157"/>
      <c r="E851" s="157"/>
      <c r="F851" s="157"/>
      <c r="G851" s="157"/>
      <c r="H851" s="157"/>
      <c r="I851" s="157"/>
    </row>
    <row r="852" spans="2:9">
      <c r="B852" s="157"/>
      <c r="C852" s="157"/>
      <c r="D852" s="157"/>
      <c r="E852" s="157"/>
      <c r="F852" s="157"/>
      <c r="G852" s="157"/>
      <c r="H852" s="157"/>
      <c r="I852" s="157"/>
    </row>
    <row r="853" spans="2:9">
      <c r="B853" s="157"/>
      <c r="C853" s="157"/>
      <c r="D853" s="157"/>
      <c r="E853" s="157"/>
      <c r="F853" s="157"/>
      <c r="G853" s="157"/>
      <c r="H853" s="157"/>
      <c r="I853" s="157"/>
    </row>
    <row r="854" spans="2:9">
      <c r="B854" s="157"/>
      <c r="C854" s="157"/>
      <c r="D854" s="157"/>
      <c r="E854" s="157"/>
      <c r="F854" s="157"/>
      <c r="G854" s="157"/>
      <c r="H854" s="157"/>
      <c r="I854" s="157"/>
    </row>
    <row r="855" spans="2:9">
      <c r="B855" s="157"/>
      <c r="C855" s="157"/>
      <c r="D855" s="157"/>
      <c r="E855" s="157"/>
      <c r="F855" s="157"/>
      <c r="G855" s="157"/>
      <c r="H855" s="157"/>
      <c r="I855" s="157"/>
    </row>
    <row r="856" spans="2:9">
      <c r="B856" s="157"/>
      <c r="C856" s="157"/>
      <c r="D856" s="157"/>
      <c r="E856" s="157"/>
      <c r="F856" s="157"/>
      <c r="G856" s="157"/>
      <c r="H856" s="157"/>
      <c r="I856" s="157"/>
    </row>
    <row r="857" spans="2:9">
      <c r="B857" s="157"/>
      <c r="C857" s="157"/>
      <c r="D857" s="157"/>
      <c r="E857" s="157"/>
      <c r="F857" s="157"/>
      <c r="G857" s="157"/>
      <c r="H857" s="157"/>
      <c r="I857" s="157"/>
    </row>
    <row r="858" spans="2:9">
      <c r="B858" s="157"/>
      <c r="C858" s="157"/>
      <c r="D858" s="157"/>
      <c r="E858" s="157"/>
      <c r="F858" s="157"/>
      <c r="G858" s="157"/>
      <c r="H858" s="157"/>
      <c r="I858" s="157"/>
    </row>
    <row r="859" spans="2:9">
      <c r="B859" s="157"/>
      <c r="C859" s="157"/>
      <c r="D859" s="157"/>
      <c r="E859" s="157"/>
      <c r="F859" s="157"/>
      <c r="G859" s="157"/>
      <c r="H859" s="157"/>
      <c r="I859" s="157"/>
    </row>
    <row r="860" spans="2:9">
      <c r="B860" s="157"/>
      <c r="C860" s="157"/>
      <c r="D860" s="157"/>
      <c r="E860" s="157"/>
      <c r="F860" s="157"/>
      <c r="G860" s="157"/>
      <c r="H860" s="157"/>
      <c r="I860" s="157"/>
    </row>
    <row r="861" spans="2:9">
      <c r="B861" s="157"/>
      <c r="C861" s="157"/>
      <c r="D861" s="157"/>
      <c r="E861" s="157"/>
      <c r="F861" s="157"/>
      <c r="G861" s="157"/>
      <c r="H861" s="157"/>
      <c r="I861" s="157"/>
    </row>
    <row r="862" spans="2:9">
      <c r="B862" s="157"/>
      <c r="C862" s="157"/>
      <c r="D862" s="157"/>
      <c r="E862" s="157"/>
      <c r="F862" s="157"/>
      <c r="G862" s="157"/>
      <c r="H862" s="157"/>
      <c r="I862" s="157"/>
    </row>
    <row r="863" spans="2:9">
      <c r="B863" s="157"/>
      <c r="C863" s="157"/>
      <c r="D863" s="157"/>
      <c r="E863" s="157"/>
      <c r="F863" s="157"/>
      <c r="G863" s="157"/>
      <c r="H863" s="157"/>
      <c r="I863" s="157"/>
    </row>
    <row r="864" spans="2:9">
      <c r="B864" s="157"/>
      <c r="C864" s="157"/>
      <c r="D864" s="157"/>
      <c r="E864" s="157"/>
      <c r="F864" s="157"/>
      <c r="G864" s="157"/>
      <c r="H864" s="157"/>
      <c r="I864" s="157"/>
    </row>
    <row r="865" spans="2:9">
      <c r="B865" s="157"/>
      <c r="C865" s="157"/>
      <c r="D865" s="157"/>
      <c r="E865" s="157"/>
      <c r="F865" s="157"/>
      <c r="G865" s="157"/>
      <c r="H865" s="157"/>
      <c r="I865" s="157"/>
    </row>
    <row r="866" spans="2:9">
      <c r="B866" s="157"/>
      <c r="C866" s="157"/>
      <c r="D866" s="157"/>
      <c r="E866" s="157"/>
      <c r="F866" s="157"/>
      <c r="G866" s="157"/>
      <c r="H866" s="157"/>
      <c r="I866" s="157"/>
    </row>
    <row r="867" spans="2:9">
      <c r="B867" s="157"/>
      <c r="C867" s="157"/>
      <c r="D867" s="157"/>
      <c r="E867" s="157"/>
      <c r="F867" s="157"/>
      <c r="G867" s="157"/>
      <c r="H867" s="157"/>
      <c r="I867" s="157"/>
    </row>
    <row r="868" spans="2:9">
      <c r="B868" s="157"/>
      <c r="C868" s="157"/>
      <c r="D868" s="157"/>
      <c r="E868" s="157"/>
      <c r="F868" s="157"/>
      <c r="G868" s="157"/>
      <c r="H868" s="157"/>
      <c r="I868" s="157"/>
    </row>
    <row r="869" spans="2:9">
      <c r="B869" s="157"/>
      <c r="C869" s="157"/>
      <c r="D869" s="157"/>
      <c r="E869" s="157"/>
      <c r="F869" s="157"/>
      <c r="G869" s="157"/>
      <c r="H869" s="157"/>
      <c r="I869" s="157"/>
    </row>
    <row r="870" spans="2:9">
      <c r="B870" s="157"/>
      <c r="C870" s="157"/>
      <c r="D870" s="157"/>
      <c r="E870" s="157"/>
      <c r="F870" s="157"/>
      <c r="G870" s="157"/>
      <c r="H870" s="157"/>
      <c r="I870" s="157"/>
    </row>
    <row r="871" spans="2:9">
      <c r="B871" s="157"/>
      <c r="C871" s="157"/>
      <c r="D871" s="157"/>
      <c r="E871" s="157"/>
      <c r="F871" s="157"/>
      <c r="G871" s="157"/>
      <c r="H871" s="157"/>
      <c r="I871" s="157"/>
    </row>
    <row r="872" spans="2:9">
      <c r="B872" s="157"/>
      <c r="C872" s="157"/>
      <c r="D872" s="157"/>
      <c r="E872" s="157"/>
      <c r="F872" s="157"/>
      <c r="G872" s="157"/>
      <c r="H872" s="157"/>
      <c r="I872" s="157"/>
    </row>
    <row r="873" spans="2:9">
      <c r="B873" s="157"/>
      <c r="C873" s="157"/>
      <c r="D873" s="157"/>
      <c r="E873" s="157"/>
      <c r="F873" s="157"/>
      <c r="G873" s="157"/>
      <c r="H873" s="157"/>
      <c r="I873" s="157"/>
    </row>
    <row r="874" spans="2:9">
      <c r="B874" s="157"/>
      <c r="C874" s="157"/>
      <c r="D874" s="157"/>
      <c r="E874" s="157"/>
      <c r="F874" s="157"/>
      <c r="G874" s="157"/>
      <c r="H874" s="157"/>
      <c r="I874" s="157"/>
    </row>
    <row r="875" spans="2:9">
      <c r="B875" s="157"/>
      <c r="C875" s="157"/>
      <c r="D875" s="157"/>
      <c r="E875" s="157"/>
      <c r="F875" s="157"/>
      <c r="G875" s="157"/>
      <c r="H875" s="157"/>
      <c r="I875" s="157"/>
    </row>
    <row r="876" spans="2:9">
      <c r="B876" s="157"/>
      <c r="C876" s="157"/>
      <c r="D876" s="157"/>
      <c r="E876" s="157"/>
      <c r="F876" s="157"/>
      <c r="G876" s="157"/>
      <c r="H876" s="157"/>
      <c r="I876" s="157"/>
    </row>
    <row r="877" spans="2:9">
      <c r="B877" s="157"/>
      <c r="C877" s="157"/>
      <c r="D877" s="157"/>
      <c r="E877" s="157"/>
      <c r="F877" s="157"/>
      <c r="G877" s="157"/>
      <c r="H877" s="157"/>
      <c r="I877" s="157"/>
    </row>
    <row r="878" spans="2:9">
      <c r="B878" s="157"/>
      <c r="C878" s="157"/>
      <c r="D878" s="157"/>
      <c r="E878" s="157"/>
      <c r="F878" s="157"/>
      <c r="G878" s="157"/>
      <c r="H878" s="157"/>
      <c r="I878" s="157"/>
    </row>
    <row r="879" spans="2:9">
      <c r="B879" s="157"/>
      <c r="C879" s="157"/>
      <c r="D879" s="157"/>
      <c r="E879" s="157"/>
      <c r="F879" s="157"/>
      <c r="G879" s="157"/>
      <c r="H879" s="157"/>
      <c r="I879" s="157"/>
    </row>
    <row r="880" spans="2:9">
      <c r="B880" s="157"/>
      <c r="C880" s="157"/>
      <c r="D880" s="157"/>
      <c r="E880" s="157"/>
      <c r="F880" s="157"/>
      <c r="G880" s="157"/>
      <c r="H880" s="157"/>
      <c r="I880" s="157"/>
    </row>
    <row r="881" spans="2:9">
      <c r="B881" s="157"/>
      <c r="C881" s="157"/>
      <c r="D881" s="157"/>
      <c r="E881" s="157"/>
      <c r="F881" s="157"/>
      <c r="G881" s="157"/>
      <c r="H881" s="157"/>
      <c r="I881" s="157"/>
    </row>
    <row r="882" spans="2:9">
      <c r="B882" s="157"/>
      <c r="C882" s="157"/>
      <c r="D882" s="157"/>
      <c r="E882" s="157"/>
      <c r="F882" s="157"/>
      <c r="G882" s="157"/>
      <c r="H882" s="157"/>
      <c r="I882" s="157"/>
    </row>
    <row r="883" spans="2:9">
      <c r="B883" s="157"/>
      <c r="C883" s="157"/>
      <c r="D883" s="157"/>
      <c r="E883" s="157"/>
      <c r="F883" s="157"/>
      <c r="G883" s="157"/>
      <c r="H883" s="157"/>
      <c r="I883" s="157"/>
    </row>
    <row r="884" spans="2:9">
      <c r="B884" s="157"/>
      <c r="C884" s="157"/>
      <c r="D884" s="157"/>
      <c r="E884" s="157"/>
      <c r="F884" s="157"/>
      <c r="G884" s="157"/>
      <c r="H884" s="157"/>
      <c r="I884" s="157"/>
    </row>
    <row r="885" spans="2:9">
      <c r="B885" s="157"/>
      <c r="C885" s="157"/>
      <c r="D885" s="157"/>
      <c r="E885" s="157"/>
      <c r="F885" s="157"/>
      <c r="G885" s="157"/>
      <c r="H885" s="157"/>
      <c r="I885" s="157"/>
    </row>
    <row r="886" spans="2:9">
      <c r="B886" s="157"/>
      <c r="C886" s="157"/>
      <c r="D886" s="157"/>
      <c r="E886" s="157"/>
      <c r="F886" s="157"/>
      <c r="G886" s="157"/>
      <c r="H886" s="157"/>
      <c r="I886" s="157"/>
    </row>
    <row r="887" spans="2:9">
      <c r="B887" s="157"/>
      <c r="C887" s="157"/>
      <c r="D887" s="157"/>
      <c r="E887" s="157"/>
      <c r="F887" s="157"/>
      <c r="G887" s="157"/>
      <c r="H887" s="157"/>
      <c r="I887" s="157"/>
    </row>
    <row r="888" spans="2:9">
      <c r="B888" s="157"/>
      <c r="C888" s="157"/>
      <c r="D888" s="157"/>
      <c r="E888" s="157"/>
      <c r="F888" s="157"/>
      <c r="G888" s="157"/>
      <c r="H888" s="157"/>
      <c r="I888" s="157"/>
    </row>
    <row r="889" spans="2:9">
      <c r="B889" s="157"/>
      <c r="C889" s="157"/>
      <c r="D889" s="157"/>
      <c r="E889" s="157"/>
      <c r="F889" s="157"/>
      <c r="G889" s="157"/>
      <c r="H889" s="157"/>
      <c r="I889" s="157"/>
    </row>
    <row r="890" spans="2:9">
      <c r="B890" s="157"/>
      <c r="C890" s="157"/>
      <c r="D890" s="157"/>
      <c r="E890" s="157"/>
      <c r="F890" s="157"/>
      <c r="G890" s="157"/>
      <c r="H890" s="157"/>
      <c r="I890" s="157"/>
    </row>
    <row r="891" spans="2:9">
      <c r="B891" s="157"/>
      <c r="C891" s="157"/>
      <c r="D891" s="157"/>
      <c r="E891" s="157"/>
      <c r="F891" s="157"/>
      <c r="G891" s="157"/>
      <c r="H891" s="157"/>
      <c r="I891" s="157"/>
    </row>
    <row r="892" spans="2:9">
      <c r="B892" s="157"/>
      <c r="C892" s="157"/>
      <c r="D892" s="157"/>
      <c r="E892" s="157"/>
      <c r="F892" s="157"/>
      <c r="G892" s="157"/>
      <c r="H892" s="157"/>
      <c r="I892" s="157"/>
    </row>
    <row r="893" spans="2:9">
      <c r="B893" s="157"/>
      <c r="C893" s="157"/>
      <c r="D893" s="157"/>
      <c r="E893" s="157"/>
      <c r="F893" s="157"/>
      <c r="G893" s="157"/>
      <c r="H893" s="157"/>
      <c r="I893" s="157"/>
    </row>
    <row r="894" spans="2:9">
      <c r="B894" s="157"/>
      <c r="C894" s="157"/>
      <c r="D894" s="157"/>
      <c r="E894" s="157"/>
      <c r="F894" s="157"/>
      <c r="G894" s="157"/>
      <c r="H894" s="157"/>
      <c r="I894" s="157"/>
    </row>
    <row r="895" spans="2:9">
      <c r="B895" s="157"/>
      <c r="C895" s="157"/>
      <c r="D895" s="157"/>
      <c r="E895" s="157"/>
      <c r="F895" s="157"/>
      <c r="G895" s="157"/>
      <c r="H895" s="157"/>
      <c r="I895" s="157"/>
    </row>
    <row r="896" spans="2:9">
      <c r="B896" s="157"/>
      <c r="C896" s="157"/>
      <c r="D896" s="157"/>
      <c r="E896" s="157"/>
      <c r="F896" s="157"/>
      <c r="G896" s="157"/>
      <c r="H896" s="157"/>
      <c r="I896" s="157"/>
    </row>
    <row r="897" spans="2:9">
      <c r="B897" s="157"/>
      <c r="C897" s="157"/>
      <c r="D897" s="157"/>
      <c r="E897" s="157"/>
      <c r="F897" s="157"/>
      <c r="G897" s="157"/>
      <c r="H897" s="157"/>
      <c r="I897" s="157"/>
    </row>
    <row r="898" spans="2:9">
      <c r="B898" s="157"/>
      <c r="C898" s="157"/>
      <c r="D898" s="157"/>
      <c r="E898" s="157"/>
      <c r="F898" s="157"/>
      <c r="G898" s="157"/>
      <c r="H898" s="157"/>
      <c r="I898" s="157"/>
    </row>
    <row r="899" spans="2:9">
      <c r="B899" s="157"/>
      <c r="C899" s="157"/>
      <c r="D899" s="157"/>
      <c r="E899" s="157"/>
      <c r="F899" s="157"/>
      <c r="G899" s="157"/>
      <c r="H899" s="157"/>
      <c r="I899" s="157"/>
    </row>
    <row r="900" spans="2:9">
      <c r="B900" s="157"/>
      <c r="C900" s="157"/>
      <c r="D900" s="157"/>
      <c r="E900" s="157"/>
      <c r="F900" s="157"/>
      <c r="G900" s="157"/>
      <c r="H900" s="157"/>
      <c r="I900" s="157"/>
    </row>
    <row r="901" spans="2:9">
      <c r="B901" s="157"/>
      <c r="C901" s="157"/>
      <c r="D901" s="157"/>
      <c r="E901" s="157"/>
      <c r="F901" s="157"/>
      <c r="G901" s="157"/>
      <c r="H901" s="157"/>
      <c r="I901" s="157"/>
    </row>
    <row r="902" spans="2:9">
      <c r="B902" s="157"/>
      <c r="C902" s="157"/>
      <c r="D902" s="157"/>
      <c r="E902" s="157"/>
      <c r="F902" s="157"/>
      <c r="G902" s="157"/>
      <c r="H902" s="157"/>
      <c r="I902" s="157"/>
    </row>
    <row r="903" spans="2:9">
      <c r="B903" s="157"/>
      <c r="C903" s="157"/>
      <c r="D903" s="157"/>
      <c r="E903" s="157"/>
      <c r="F903" s="157"/>
      <c r="G903" s="157"/>
      <c r="H903" s="157"/>
      <c r="I903" s="157"/>
    </row>
    <row r="904" spans="2:9">
      <c r="B904" s="157"/>
      <c r="C904" s="157"/>
      <c r="D904" s="157"/>
      <c r="E904" s="157"/>
      <c r="F904" s="157"/>
      <c r="G904" s="157"/>
      <c r="H904" s="157"/>
      <c r="I904" s="157"/>
    </row>
    <row r="905" spans="2:9">
      <c r="B905" s="157"/>
      <c r="C905" s="157"/>
      <c r="D905" s="157"/>
      <c r="E905" s="157"/>
      <c r="F905" s="157"/>
      <c r="G905" s="157"/>
      <c r="H905" s="157"/>
      <c r="I905" s="157"/>
    </row>
    <row r="906" spans="2:9">
      <c r="B906" s="157"/>
      <c r="C906" s="157"/>
      <c r="D906" s="157"/>
      <c r="E906" s="157"/>
      <c r="F906" s="157"/>
      <c r="G906" s="157"/>
      <c r="H906" s="157"/>
      <c r="I906" s="157"/>
    </row>
    <row r="907" spans="2:9">
      <c r="B907" s="157"/>
      <c r="C907" s="157"/>
      <c r="D907" s="157"/>
      <c r="E907" s="157"/>
      <c r="F907" s="157"/>
      <c r="G907" s="157"/>
      <c r="H907" s="157"/>
      <c r="I907" s="157"/>
    </row>
    <row r="908" spans="2:9">
      <c r="B908" s="157"/>
      <c r="C908" s="157"/>
      <c r="D908" s="157"/>
      <c r="E908" s="157"/>
      <c r="F908" s="157"/>
      <c r="G908" s="157"/>
      <c r="H908" s="157"/>
      <c r="I908" s="157"/>
    </row>
    <row r="909" spans="2:9">
      <c r="B909" s="157"/>
      <c r="C909" s="157"/>
      <c r="D909" s="157"/>
      <c r="E909" s="157"/>
      <c r="F909" s="157"/>
      <c r="G909" s="157"/>
      <c r="H909" s="157"/>
      <c r="I909" s="157"/>
    </row>
    <row r="910" spans="2:9">
      <c r="B910" s="157"/>
      <c r="C910" s="157"/>
      <c r="D910" s="157"/>
      <c r="E910" s="157"/>
      <c r="F910" s="157"/>
      <c r="G910" s="157"/>
      <c r="H910" s="157"/>
      <c r="I910" s="157"/>
    </row>
    <row r="911" spans="2:9">
      <c r="B911" s="157"/>
      <c r="C911" s="157"/>
      <c r="D911" s="157"/>
      <c r="E911" s="157"/>
      <c r="F911" s="157"/>
      <c r="G911" s="157"/>
      <c r="H911" s="157"/>
      <c r="I911" s="157"/>
    </row>
    <row r="912" spans="2:9">
      <c r="B912" s="157"/>
      <c r="C912" s="157"/>
      <c r="D912" s="157"/>
      <c r="E912" s="157"/>
      <c r="F912" s="157"/>
      <c r="G912" s="157"/>
      <c r="H912" s="157"/>
      <c r="I912" s="157"/>
    </row>
    <row r="913" spans="2:9">
      <c r="B913" s="157"/>
      <c r="C913" s="157"/>
      <c r="D913" s="157"/>
      <c r="E913" s="157"/>
      <c r="F913" s="157"/>
      <c r="G913" s="157"/>
      <c r="H913" s="157"/>
      <c r="I913" s="157"/>
    </row>
    <row r="914" spans="2:9">
      <c r="B914" s="157"/>
      <c r="C914" s="157"/>
      <c r="D914" s="157"/>
      <c r="E914" s="157"/>
      <c r="F914" s="157"/>
      <c r="G914" s="157"/>
      <c r="H914" s="157"/>
      <c r="I914" s="157"/>
    </row>
    <row r="915" spans="2:9">
      <c r="B915" s="157"/>
      <c r="C915" s="157"/>
      <c r="D915" s="157"/>
      <c r="E915" s="157"/>
      <c r="F915" s="157"/>
      <c r="G915" s="157"/>
      <c r="H915" s="157"/>
      <c r="I915" s="157"/>
    </row>
    <row r="916" spans="2:9">
      <c r="B916" s="157"/>
      <c r="C916" s="157"/>
      <c r="D916" s="157"/>
      <c r="E916" s="157"/>
      <c r="F916" s="157"/>
      <c r="G916" s="157"/>
      <c r="H916" s="157"/>
      <c r="I916" s="157"/>
    </row>
    <row r="917" spans="2:9">
      <c r="B917" s="157"/>
      <c r="C917" s="157"/>
      <c r="D917" s="157"/>
      <c r="E917" s="157"/>
      <c r="F917" s="157"/>
      <c r="G917" s="157"/>
      <c r="H917" s="157"/>
      <c r="I917" s="157"/>
    </row>
    <row r="918" spans="2:9">
      <c r="B918" s="157"/>
      <c r="C918" s="157"/>
      <c r="D918" s="157"/>
      <c r="E918" s="157"/>
      <c r="F918" s="157"/>
      <c r="G918" s="157"/>
      <c r="H918" s="157"/>
      <c r="I918" s="157"/>
    </row>
    <row r="919" spans="2:9">
      <c r="B919" s="157"/>
      <c r="C919" s="157"/>
      <c r="D919" s="157"/>
      <c r="E919" s="157"/>
      <c r="F919" s="157"/>
      <c r="G919" s="157"/>
      <c r="H919" s="157"/>
      <c r="I919" s="157"/>
    </row>
    <row r="920" spans="2:9">
      <c r="B920" s="157"/>
      <c r="C920" s="157"/>
      <c r="D920" s="157"/>
      <c r="E920" s="157"/>
      <c r="F920" s="157"/>
      <c r="G920" s="157"/>
      <c r="H920" s="157"/>
      <c r="I920" s="157"/>
    </row>
    <row r="921" spans="2:9">
      <c r="B921" s="157"/>
      <c r="C921" s="157"/>
      <c r="D921" s="157"/>
      <c r="E921" s="157"/>
      <c r="F921" s="157"/>
      <c r="G921" s="157"/>
      <c r="H921" s="157"/>
      <c r="I921" s="157"/>
    </row>
    <row r="922" spans="2:9">
      <c r="B922" s="157"/>
      <c r="C922" s="157"/>
      <c r="D922" s="157"/>
      <c r="E922" s="157"/>
      <c r="F922" s="157"/>
      <c r="G922" s="157"/>
      <c r="H922" s="157"/>
      <c r="I922" s="157"/>
    </row>
    <row r="923" spans="2:9">
      <c r="B923" s="157"/>
      <c r="C923" s="157"/>
      <c r="D923" s="157"/>
      <c r="E923" s="157"/>
      <c r="F923" s="157"/>
      <c r="G923" s="157"/>
      <c r="H923" s="157"/>
      <c r="I923" s="157"/>
    </row>
    <row r="924" spans="2:9">
      <c r="B924" s="157"/>
      <c r="C924" s="157"/>
      <c r="D924" s="157"/>
      <c r="E924" s="157"/>
      <c r="F924" s="157"/>
      <c r="G924" s="157"/>
      <c r="H924" s="157"/>
      <c r="I924" s="157"/>
    </row>
    <row r="925" spans="2:9">
      <c r="B925" s="157"/>
      <c r="C925" s="157"/>
      <c r="D925" s="157"/>
      <c r="E925" s="157"/>
      <c r="F925" s="157"/>
      <c r="G925" s="157"/>
      <c r="H925" s="157"/>
      <c r="I925" s="157"/>
    </row>
    <row r="926" spans="2:9">
      <c r="B926" s="157"/>
      <c r="C926" s="157"/>
      <c r="D926" s="157"/>
      <c r="E926" s="157"/>
      <c r="F926" s="157"/>
      <c r="G926" s="157"/>
      <c r="H926" s="157"/>
      <c r="I926" s="157"/>
    </row>
    <row r="927" spans="2:9">
      <c r="B927" s="157"/>
      <c r="C927" s="157"/>
      <c r="D927" s="157"/>
      <c r="E927" s="157"/>
      <c r="F927" s="157"/>
      <c r="G927" s="157"/>
      <c r="H927" s="157"/>
      <c r="I927" s="157"/>
    </row>
    <row r="928" spans="2:9">
      <c r="B928" s="157"/>
      <c r="C928" s="157"/>
      <c r="D928" s="157"/>
      <c r="E928" s="157"/>
      <c r="F928" s="157"/>
      <c r="G928" s="157"/>
      <c r="H928" s="157"/>
      <c r="I928" s="157"/>
    </row>
    <row r="929" spans="2:9">
      <c r="B929" s="157"/>
      <c r="C929" s="157"/>
      <c r="D929" s="157"/>
      <c r="E929" s="157"/>
      <c r="F929" s="157"/>
      <c r="G929" s="157"/>
      <c r="H929" s="157"/>
      <c r="I929" s="157"/>
    </row>
    <row r="930" spans="2:9">
      <c r="B930" s="157"/>
      <c r="C930" s="157"/>
      <c r="D930" s="157"/>
      <c r="E930" s="157"/>
      <c r="F930" s="157"/>
      <c r="G930" s="157"/>
      <c r="H930" s="157"/>
      <c r="I930" s="157"/>
    </row>
    <row r="931" spans="2:9">
      <c r="B931" s="157"/>
      <c r="C931" s="157"/>
      <c r="D931" s="157"/>
      <c r="E931" s="157"/>
      <c r="F931" s="157"/>
      <c r="G931" s="157"/>
      <c r="H931" s="157"/>
      <c r="I931" s="157"/>
    </row>
    <row r="932" spans="2:9">
      <c r="B932" s="157"/>
      <c r="C932" s="157"/>
      <c r="D932" s="157"/>
      <c r="E932" s="157"/>
      <c r="F932" s="157"/>
      <c r="G932" s="157"/>
      <c r="H932" s="157"/>
      <c r="I932" s="157"/>
    </row>
    <row r="933" spans="2:9">
      <c r="B933" s="157"/>
      <c r="C933" s="157"/>
      <c r="D933" s="157"/>
      <c r="E933" s="157"/>
      <c r="F933" s="157"/>
      <c r="G933" s="157"/>
      <c r="H933" s="157"/>
      <c r="I933" s="157"/>
    </row>
    <row r="934" spans="2:9">
      <c r="B934" s="157"/>
      <c r="C934" s="157"/>
      <c r="D934" s="157"/>
      <c r="E934" s="157"/>
      <c r="F934" s="157"/>
      <c r="G934" s="157"/>
      <c r="H934" s="157"/>
      <c r="I934" s="157"/>
    </row>
    <row r="935" spans="2:9">
      <c r="B935" s="157"/>
      <c r="C935" s="157"/>
      <c r="D935" s="157"/>
      <c r="E935" s="157"/>
      <c r="F935" s="157"/>
      <c r="G935" s="157"/>
      <c r="H935" s="157"/>
      <c r="I935" s="157"/>
    </row>
    <row r="936" spans="2:9">
      <c r="B936" s="157"/>
      <c r="C936" s="157"/>
      <c r="D936" s="157"/>
      <c r="E936" s="157"/>
      <c r="F936" s="157"/>
      <c r="G936" s="157"/>
      <c r="H936" s="157"/>
      <c r="I936" s="157"/>
    </row>
    <row r="937" spans="2:9">
      <c r="B937" s="157"/>
      <c r="C937" s="157"/>
      <c r="D937" s="157"/>
      <c r="E937" s="157"/>
      <c r="F937" s="157"/>
      <c r="G937" s="157"/>
      <c r="H937" s="157"/>
      <c r="I937" s="157"/>
    </row>
    <row r="938" spans="2:9">
      <c r="B938" s="157"/>
      <c r="C938" s="157"/>
      <c r="D938" s="157"/>
      <c r="E938" s="157"/>
      <c r="F938" s="157"/>
      <c r="G938" s="157"/>
      <c r="H938" s="157"/>
      <c r="I938" s="157"/>
    </row>
    <row r="939" spans="2:9">
      <c r="B939" s="157"/>
      <c r="C939" s="157"/>
      <c r="D939" s="157"/>
      <c r="E939" s="157"/>
      <c r="F939" s="157"/>
      <c r="G939" s="157"/>
      <c r="H939" s="157"/>
      <c r="I939" s="157"/>
    </row>
    <row r="940" spans="2:9">
      <c r="B940" s="157"/>
      <c r="C940" s="157"/>
      <c r="D940" s="157"/>
      <c r="E940" s="157"/>
      <c r="F940" s="157"/>
      <c r="G940" s="157"/>
      <c r="H940" s="157"/>
      <c r="I940" s="157"/>
    </row>
    <row r="941" spans="2:9">
      <c r="B941" s="157"/>
      <c r="C941" s="157"/>
      <c r="D941" s="157"/>
      <c r="E941" s="157"/>
      <c r="F941" s="157"/>
      <c r="G941" s="157"/>
      <c r="H941" s="157"/>
      <c r="I941" s="157"/>
    </row>
    <row r="942" spans="2:9">
      <c r="B942" s="157"/>
      <c r="C942" s="157"/>
      <c r="D942" s="157"/>
      <c r="E942" s="157"/>
      <c r="F942" s="157"/>
      <c r="G942" s="157"/>
      <c r="H942" s="157"/>
      <c r="I942" s="157"/>
    </row>
    <row r="943" spans="2:9">
      <c r="B943" s="157"/>
      <c r="C943" s="157"/>
      <c r="D943" s="157"/>
      <c r="E943" s="157"/>
      <c r="F943" s="157"/>
      <c r="G943" s="157"/>
      <c r="H943" s="157"/>
      <c r="I943" s="157"/>
    </row>
    <row r="944" spans="2:9">
      <c r="B944" s="157"/>
      <c r="C944" s="157"/>
      <c r="D944" s="157"/>
      <c r="E944" s="157"/>
      <c r="F944" s="157"/>
      <c r="G944" s="157"/>
      <c r="H944" s="157"/>
      <c r="I944" s="157"/>
    </row>
    <row r="945" spans="2:9">
      <c r="B945" s="157"/>
      <c r="C945" s="157"/>
      <c r="D945" s="157"/>
      <c r="E945" s="157"/>
      <c r="F945" s="157"/>
      <c r="G945" s="157"/>
      <c r="H945" s="157"/>
      <c r="I945" s="157"/>
    </row>
    <row r="946" spans="2:9">
      <c r="B946" s="157"/>
      <c r="C946" s="157"/>
      <c r="D946" s="157"/>
      <c r="E946" s="157"/>
      <c r="F946" s="157"/>
      <c r="G946" s="157"/>
      <c r="H946" s="157"/>
      <c r="I946" s="157"/>
    </row>
    <row r="947" spans="2:9">
      <c r="B947" s="157"/>
      <c r="C947" s="157"/>
      <c r="D947" s="157"/>
      <c r="E947" s="157"/>
      <c r="F947" s="157"/>
      <c r="G947" s="157"/>
      <c r="H947" s="157"/>
      <c r="I947" s="157"/>
    </row>
    <row r="948" spans="2:9">
      <c r="B948" s="157"/>
      <c r="C948" s="157"/>
      <c r="D948" s="157"/>
      <c r="E948" s="157"/>
      <c r="F948" s="157"/>
      <c r="G948" s="157"/>
      <c r="H948" s="157"/>
      <c r="I948" s="157"/>
    </row>
    <row r="949" spans="2:9">
      <c r="B949" s="157"/>
      <c r="C949" s="157"/>
      <c r="D949" s="157"/>
      <c r="E949" s="157"/>
      <c r="F949" s="157"/>
      <c r="G949" s="157"/>
      <c r="H949" s="157"/>
      <c r="I949" s="157"/>
    </row>
    <row r="950" spans="2:9">
      <c r="B950" s="157"/>
      <c r="C950" s="157"/>
      <c r="D950" s="157"/>
      <c r="E950" s="157"/>
      <c r="F950" s="157"/>
      <c r="G950" s="157"/>
      <c r="H950" s="157"/>
      <c r="I950" s="157"/>
    </row>
    <row r="951" spans="2:9">
      <c r="B951" s="157"/>
      <c r="C951" s="157"/>
      <c r="D951" s="157"/>
      <c r="E951" s="157"/>
      <c r="F951" s="157"/>
      <c r="G951" s="157"/>
      <c r="H951" s="157"/>
      <c r="I951" s="157"/>
    </row>
    <row r="952" spans="2:9">
      <c r="B952" s="157"/>
      <c r="C952" s="157"/>
      <c r="D952" s="157"/>
      <c r="E952" s="157"/>
      <c r="F952" s="157"/>
      <c r="G952" s="157"/>
      <c r="H952" s="157"/>
      <c r="I952" s="157"/>
    </row>
    <row r="953" spans="2:9">
      <c r="B953" s="157"/>
      <c r="C953" s="157"/>
      <c r="D953" s="157"/>
      <c r="E953" s="157"/>
      <c r="F953" s="157"/>
      <c r="G953" s="157"/>
      <c r="H953" s="157"/>
      <c r="I953" s="157"/>
    </row>
    <row r="954" spans="2:9">
      <c r="B954" s="157"/>
      <c r="C954" s="157"/>
      <c r="D954" s="157"/>
      <c r="E954" s="157"/>
      <c r="F954" s="157"/>
      <c r="G954" s="157"/>
      <c r="H954" s="157"/>
      <c r="I954" s="157"/>
    </row>
    <row r="955" spans="2:9">
      <c r="B955" s="157"/>
      <c r="C955" s="157"/>
      <c r="D955" s="157"/>
      <c r="E955" s="157"/>
      <c r="F955" s="157"/>
      <c r="G955" s="157"/>
      <c r="H955" s="157"/>
      <c r="I955" s="157"/>
    </row>
    <row r="956" spans="2:9">
      <c r="B956" s="157"/>
      <c r="C956" s="157"/>
      <c r="D956" s="157"/>
      <c r="E956" s="157"/>
      <c r="F956" s="157"/>
      <c r="G956" s="157"/>
      <c r="H956" s="157"/>
      <c r="I956" s="157"/>
    </row>
    <row r="957" spans="2:9">
      <c r="B957" s="157"/>
      <c r="C957" s="157"/>
      <c r="D957" s="157"/>
      <c r="E957" s="157"/>
      <c r="F957" s="157"/>
      <c r="G957" s="157"/>
      <c r="H957" s="157"/>
      <c r="I957" s="157"/>
    </row>
    <row r="958" spans="2:9">
      <c r="B958" s="157"/>
      <c r="C958" s="157"/>
      <c r="D958" s="157"/>
      <c r="E958" s="157"/>
      <c r="F958" s="157"/>
      <c r="G958" s="157"/>
      <c r="H958" s="157"/>
      <c r="I958" s="157"/>
    </row>
    <row r="959" spans="2:9">
      <c r="B959" s="157"/>
      <c r="C959" s="157"/>
      <c r="D959" s="157"/>
      <c r="E959" s="157"/>
      <c r="F959" s="157"/>
      <c r="G959" s="157"/>
      <c r="H959" s="157"/>
      <c r="I959" s="157"/>
    </row>
    <row r="960" spans="2:9">
      <c r="B960" s="157"/>
      <c r="C960" s="157"/>
      <c r="D960" s="157"/>
      <c r="E960" s="157"/>
      <c r="F960" s="157"/>
      <c r="G960" s="157"/>
      <c r="H960" s="157"/>
      <c r="I960" s="157"/>
    </row>
    <row r="961" spans="2:9">
      <c r="B961" s="157"/>
      <c r="C961" s="157"/>
      <c r="D961" s="157"/>
      <c r="E961" s="157"/>
      <c r="F961" s="157"/>
      <c r="G961" s="157"/>
      <c r="H961" s="157"/>
      <c r="I961" s="157"/>
    </row>
    <row r="962" spans="2:9">
      <c r="B962" s="157"/>
      <c r="C962" s="157"/>
      <c r="D962" s="157"/>
      <c r="E962" s="157"/>
      <c r="F962" s="157"/>
      <c r="G962" s="157"/>
      <c r="H962" s="157"/>
      <c r="I962" s="157"/>
    </row>
    <row r="963" spans="2:9">
      <c r="B963" s="157"/>
      <c r="C963" s="157"/>
      <c r="D963" s="157"/>
      <c r="E963" s="157"/>
      <c r="F963" s="157"/>
      <c r="G963" s="157"/>
      <c r="H963" s="157"/>
      <c r="I963" s="157"/>
    </row>
    <row r="964" spans="2:9">
      <c r="B964" s="157"/>
      <c r="C964" s="157"/>
      <c r="D964" s="157"/>
      <c r="E964" s="157"/>
      <c r="F964" s="157"/>
      <c r="G964" s="157"/>
      <c r="H964" s="157"/>
      <c r="I964" s="157"/>
    </row>
    <row r="965" spans="2:9">
      <c r="B965" s="157"/>
      <c r="C965" s="157"/>
      <c r="D965" s="157"/>
      <c r="E965" s="157"/>
      <c r="F965" s="157"/>
      <c r="G965" s="157"/>
      <c r="H965" s="157"/>
      <c r="I965" s="157"/>
    </row>
    <row r="966" spans="2:9">
      <c r="B966" s="157"/>
      <c r="C966" s="157"/>
      <c r="D966" s="157"/>
      <c r="E966" s="157"/>
      <c r="F966" s="157"/>
      <c r="G966" s="157"/>
      <c r="H966" s="157"/>
      <c r="I966" s="157"/>
    </row>
    <row r="967" spans="2:9">
      <c r="B967" s="157"/>
      <c r="C967" s="157"/>
      <c r="D967" s="157"/>
      <c r="E967" s="157"/>
      <c r="F967" s="157"/>
      <c r="G967" s="157"/>
      <c r="H967" s="157"/>
      <c r="I967" s="157"/>
    </row>
    <row r="968" spans="2:9">
      <c r="B968" s="157"/>
      <c r="C968" s="157"/>
      <c r="D968" s="157"/>
      <c r="E968" s="157"/>
      <c r="F968" s="157"/>
      <c r="G968" s="157"/>
      <c r="H968" s="157"/>
      <c r="I968" s="157"/>
    </row>
    <row r="969" spans="2:9">
      <c r="B969" s="157"/>
      <c r="C969" s="157"/>
      <c r="D969" s="157"/>
      <c r="E969" s="157"/>
      <c r="F969" s="157"/>
      <c r="G969" s="157"/>
      <c r="H969" s="157"/>
      <c r="I969" s="157"/>
    </row>
    <row r="970" spans="2:9">
      <c r="B970" s="157"/>
      <c r="C970" s="157"/>
      <c r="D970" s="157"/>
      <c r="E970" s="157"/>
      <c r="F970" s="157"/>
      <c r="G970" s="157"/>
      <c r="H970" s="157"/>
      <c r="I970" s="157"/>
    </row>
    <row r="971" spans="2:9">
      <c r="B971" s="157"/>
      <c r="C971" s="157"/>
      <c r="D971" s="157"/>
      <c r="E971" s="157"/>
      <c r="F971" s="157"/>
      <c r="G971" s="157"/>
      <c r="H971" s="157"/>
      <c r="I971" s="157"/>
    </row>
    <row r="972" spans="2:9">
      <c r="B972" s="157"/>
      <c r="C972" s="157"/>
      <c r="D972" s="157"/>
      <c r="E972" s="157"/>
      <c r="F972" s="157"/>
      <c r="G972" s="157"/>
      <c r="H972" s="157"/>
      <c r="I972" s="157"/>
    </row>
    <row r="973" spans="2:9">
      <c r="B973" s="157"/>
      <c r="C973" s="157"/>
      <c r="D973" s="157"/>
      <c r="E973" s="157"/>
      <c r="F973" s="157"/>
      <c r="G973" s="157"/>
      <c r="H973" s="157"/>
      <c r="I973" s="157"/>
    </row>
    <row r="974" spans="2:9">
      <c r="B974" s="157"/>
      <c r="C974" s="157"/>
      <c r="D974" s="157"/>
      <c r="E974" s="157"/>
      <c r="F974" s="157"/>
      <c r="G974" s="157"/>
      <c r="H974" s="157"/>
      <c r="I974" s="157"/>
    </row>
    <row r="975" spans="2:9">
      <c r="B975" s="157"/>
      <c r="C975" s="157"/>
      <c r="D975" s="157"/>
      <c r="E975" s="157"/>
      <c r="F975" s="157"/>
      <c r="G975" s="157"/>
      <c r="H975" s="157"/>
      <c r="I975" s="157"/>
    </row>
    <row r="976" spans="2:9">
      <c r="B976" s="157"/>
      <c r="C976" s="157"/>
      <c r="D976" s="157"/>
      <c r="E976" s="157"/>
      <c r="F976" s="157"/>
      <c r="G976" s="157"/>
      <c r="H976" s="157"/>
      <c r="I976" s="157"/>
    </row>
    <row r="977" spans="2:9">
      <c r="B977" s="157"/>
      <c r="C977" s="157"/>
      <c r="D977" s="157"/>
      <c r="E977" s="157"/>
      <c r="F977" s="157"/>
      <c r="G977" s="157"/>
      <c r="H977" s="157"/>
      <c r="I977" s="157"/>
    </row>
    <row r="978" spans="2:9">
      <c r="B978" s="157"/>
      <c r="C978" s="157"/>
      <c r="D978" s="157"/>
      <c r="E978" s="157"/>
      <c r="F978" s="157"/>
      <c r="G978" s="157"/>
      <c r="H978" s="157"/>
      <c r="I978" s="157"/>
    </row>
    <row r="979" spans="2:9">
      <c r="B979" s="157"/>
      <c r="C979" s="157"/>
      <c r="D979" s="157"/>
      <c r="E979" s="157"/>
      <c r="F979" s="157"/>
      <c r="G979" s="157"/>
      <c r="H979" s="157"/>
      <c r="I979" s="157"/>
    </row>
    <row r="980" spans="2:9">
      <c r="B980" s="157"/>
      <c r="C980" s="157"/>
      <c r="D980" s="157"/>
      <c r="E980" s="157"/>
      <c r="F980" s="157"/>
      <c r="G980" s="157"/>
      <c r="H980" s="157"/>
      <c r="I980" s="157"/>
    </row>
    <row r="981" spans="2:9">
      <c r="B981" s="157"/>
      <c r="C981" s="157"/>
      <c r="D981" s="157"/>
      <c r="E981" s="157"/>
      <c r="F981" s="157"/>
      <c r="G981" s="157"/>
      <c r="H981" s="157"/>
      <c r="I981" s="157"/>
    </row>
    <row r="982" spans="2:9">
      <c r="B982" s="157"/>
      <c r="C982" s="157"/>
      <c r="D982" s="157"/>
      <c r="E982" s="157"/>
      <c r="F982" s="157"/>
      <c r="G982" s="157"/>
      <c r="H982" s="157"/>
      <c r="I982" s="157"/>
    </row>
    <row r="983" spans="2:9">
      <c r="B983" s="157"/>
      <c r="C983" s="157"/>
      <c r="D983" s="157"/>
      <c r="E983" s="157"/>
      <c r="F983" s="157"/>
      <c r="G983" s="157"/>
      <c r="H983" s="157"/>
      <c r="I983" s="157"/>
    </row>
    <row r="984" spans="2:9">
      <c r="B984" s="157"/>
      <c r="C984" s="157"/>
      <c r="D984" s="157"/>
      <c r="E984" s="157"/>
      <c r="F984" s="157"/>
      <c r="G984" s="157"/>
      <c r="H984" s="157"/>
      <c r="I984" s="157"/>
    </row>
    <row r="985" spans="2:9">
      <c r="B985" s="157"/>
      <c r="C985" s="157"/>
      <c r="D985" s="157"/>
      <c r="E985" s="157"/>
      <c r="F985" s="157"/>
      <c r="G985" s="157"/>
      <c r="H985" s="157"/>
      <c r="I985" s="157"/>
    </row>
    <row r="986" spans="2:9">
      <c r="B986" s="157"/>
      <c r="C986" s="157"/>
      <c r="D986" s="157"/>
      <c r="E986" s="157"/>
      <c r="F986" s="157"/>
      <c r="G986" s="157"/>
      <c r="H986" s="157"/>
      <c r="I986" s="157"/>
    </row>
    <row r="987" spans="2:9">
      <c r="B987" s="157"/>
      <c r="C987" s="157"/>
      <c r="D987" s="157"/>
      <c r="E987" s="157"/>
      <c r="F987" s="157"/>
      <c r="G987" s="157"/>
      <c r="H987" s="157"/>
      <c r="I987" s="157"/>
    </row>
    <row r="988" spans="2:9">
      <c r="B988" s="157"/>
      <c r="C988" s="157"/>
      <c r="D988" s="157"/>
      <c r="E988" s="157"/>
      <c r="F988" s="157"/>
      <c r="G988" s="157"/>
      <c r="H988" s="157"/>
      <c r="I988" s="157"/>
    </row>
    <row r="989" spans="2:9">
      <c r="B989" s="157"/>
      <c r="C989" s="157"/>
      <c r="D989" s="157"/>
      <c r="E989" s="157"/>
      <c r="F989" s="157"/>
      <c r="G989" s="157"/>
      <c r="H989" s="157"/>
      <c r="I989" s="157"/>
    </row>
    <row r="990" spans="2:9">
      <c r="B990" s="157"/>
      <c r="C990" s="157"/>
      <c r="D990" s="157"/>
      <c r="E990" s="157"/>
      <c r="F990" s="157"/>
      <c r="G990" s="157"/>
      <c r="H990" s="157"/>
      <c r="I990" s="157"/>
    </row>
    <row r="991" spans="2:9">
      <c r="B991" s="157"/>
      <c r="C991" s="157"/>
      <c r="D991" s="157"/>
      <c r="E991" s="157"/>
      <c r="F991" s="157"/>
      <c r="G991" s="157"/>
      <c r="H991" s="157"/>
      <c r="I991" s="157"/>
    </row>
    <row r="992" spans="2:9">
      <c r="B992" s="157"/>
      <c r="C992" s="157"/>
      <c r="D992" s="157"/>
      <c r="E992" s="157"/>
      <c r="F992" s="157"/>
      <c r="G992" s="157"/>
      <c r="H992" s="157"/>
      <c r="I992" s="157"/>
    </row>
    <row r="993" spans="2:9">
      <c r="B993" s="157"/>
      <c r="C993" s="157"/>
      <c r="D993" s="157"/>
      <c r="E993" s="157"/>
      <c r="F993" s="157"/>
      <c r="G993" s="157"/>
      <c r="H993" s="157"/>
      <c r="I993" s="157"/>
    </row>
    <row r="994" spans="2:9">
      <c r="B994" s="157"/>
      <c r="C994" s="157"/>
      <c r="D994" s="157"/>
      <c r="E994" s="157"/>
      <c r="F994" s="157"/>
      <c r="G994" s="157"/>
      <c r="H994" s="157"/>
      <c r="I994" s="157"/>
    </row>
    <row r="995" spans="2:9">
      <c r="B995" s="157"/>
      <c r="C995" s="157"/>
      <c r="D995" s="157"/>
      <c r="E995" s="157"/>
      <c r="F995" s="157"/>
      <c r="G995" s="157"/>
      <c r="H995" s="157"/>
      <c r="I995" s="157"/>
    </row>
    <row r="996" spans="2:9">
      <c r="B996" s="157"/>
      <c r="C996" s="157"/>
      <c r="D996" s="157"/>
      <c r="E996" s="157"/>
      <c r="F996" s="157"/>
      <c r="G996" s="157"/>
      <c r="H996" s="157"/>
      <c r="I996" s="157"/>
    </row>
    <row r="997" spans="2:9">
      <c r="B997" s="157"/>
      <c r="C997" s="157"/>
      <c r="D997" s="157"/>
      <c r="E997" s="157"/>
      <c r="F997" s="157"/>
      <c r="G997" s="157"/>
      <c r="H997" s="157"/>
      <c r="I997" s="157"/>
    </row>
    <row r="998" spans="2:9">
      <c r="B998" s="157"/>
      <c r="C998" s="157"/>
      <c r="D998" s="157"/>
      <c r="E998" s="157"/>
      <c r="F998" s="157"/>
      <c r="G998" s="157"/>
      <c r="H998" s="157"/>
      <c r="I998" s="15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3"/>
  <sheetViews>
    <sheetView workbookViewId="0">
      <pane ySplit="1" topLeftCell="A2" activePane="bottomLeft" state="frozen"/>
      <selection pane="bottomLeft" activeCell="B3" sqref="B3"/>
    </sheetView>
  </sheetViews>
  <sheetFormatPr defaultColWidth="14.42578125" defaultRowHeight="15" customHeight="1"/>
  <cols>
    <col min="1" max="1" width="25" customWidth="1"/>
    <col min="2" max="2" width="15" customWidth="1"/>
    <col min="3" max="6" width="14.42578125" customWidth="1"/>
  </cols>
  <sheetData>
    <row r="1" spans="1:6" ht="30">
      <c r="A1" s="138" t="s">
        <v>984</v>
      </c>
      <c r="B1" s="138" t="s">
        <v>985</v>
      </c>
      <c r="C1" s="2"/>
      <c r="D1" s="2"/>
      <c r="E1" s="2"/>
      <c r="F1" s="2"/>
    </row>
    <row r="2" spans="1:6">
      <c r="A2" s="199" t="s">
        <v>957</v>
      </c>
      <c r="B2" s="199">
        <v>0</v>
      </c>
      <c r="C2" s="2"/>
      <c r="D2" s="229" t="s">
        <v>986</v>
      </c>
      <c r="E2" s="2"/>
      <c r="F2" s="2"/>
    </row>
    <row r="3" spans="1:6">
      <c r="A3" s="199" t="s">
        <v>25</v>
      </c>
      <c r="B3" s="199">
        <v>0.5</v>
      </c>
      <c r="C3" s="2"/>
      <c r="D3" s="209"/>
      <c r="E3" s="2"/>
      <c r="F3" s="2"/>
    </row>
    <row r="4" spans="1:6">
      <c r="A4" s="199" t="s">
        <v>926</v>
      </c>
      <c r="B4" s="199">
        <v>1</v>
      </c>
      <c r="C4" s="2"/>
      <c r="D4" s="209"/>
      <c r="E4" s="2"/>
      <c r="F4" s="2"/>
    </row>
    <row r="5" spans="1:6">
      <c r="A5" s="199" t="s">
        <v>928</v>
      </c>
      <c r="B5" s="199">
        <v>1.5</v>
      </c>
      <c r="C5" s="2"/>
      <c r="D5" s="209"/>
      <c r="E5" s="2"/>
      <c r="F5" s="2"/>
    </row>
    <row r="6" spans="1:6">
      <c r="A6" s="199" t="s">
        <v>936</v>
      </c>
      <c r="B6" s="199">
        <v>2</v>
      </c>
      <c r="C6" s="2"/>
      <c r="D6" s="209"/>
      <c r="E6" s="2" t="s">
        <v>987</v>
      </c>
      <c r="F6" s="2"/>
    </row>
    <row r="7" spans="1:6">
      <c r="A7" s="199" t="s">
        <v>916</v>
      </c>
      <c r="B7" s="199">
        <v>2.5</v>
      </c>
      <c r="C7" s="2"/>
      <c r="D7" s="229" t="s">
        <v>988</v>
      </c>
      <c r="E7" s="2"/>
      <c r="F7" s="2"/>
    </row>
    <row r="8" spans="1:6">
      <c r="A8" s="199" t="s">
        <v>917</v>
      </c>
      <c r="B8" s="199">
        <v>3</v>
      </c>
      <c r="C8" s="2"/>
      <c r="D8" s="209"/>
      <c r="E8" s="2"/>
      <c r="F8" s="2"/>
    </row>
    <row r="9" spans="1:6">
      <c r="A9" s="199" t="s">
        <v>934</v>
      </c>
      <c r="B9" s="199">
        <v>3.5</v>
      </c>
      <c r="C9" s="2"/>
      <c r="D9" s="209"/>
      <c r="E9" s="2"/>
      <c r="F9" s="2"/>
    </row>
    <row r="10" spans="1:6">
      <c r="A10" s="199" t="s">
        <v>952</v>
      </c>
      <c r="B10" s="199">
        <v>4</v>
      </c>
      <c r="C10" s="2"/>
      <c r="D10" s="209"/>
      <c r="E10" s="2" t="s">
        <v>989</v>
      </c>
      <c r="F10" s="2"/>
    </row>
    <row r="11" spans="1:6">
      <c r="A11" s="199" t="s">
        <v>931</v>
      </c>
      <c r="B11" s="199">
        <v>4.5</v>
      </c>
      <c r="C11" s="2"/>
      <c r="D11" s="229" t="s">
        <v>990</v>
      </c>
      <c r="E11" s="2"/>
      <c r="F11" s="2"/>
    </row>
    <row r="12" spans="1:6">
      <c r="A12" s="199" t="s">
        <v>940</v>
      </c>
      <c r="B12" s="199">
        <v>5</v>
      </c>
      <c r="C12" s="2"/>
      <c r="D12" s="209"/>
      <c r="E12" s="2"/>
      <c r="F12" s="2"/>
    </row>
    <row r="13" spans="1:6">
      <c r="A13" s="199" t="s">
        <v>937</v>
      </c>
      <c r="B13" s="199">
        <v>5.5</v>
      </c>
      <c r="C13" s="2"/>
      <c r="D13" s="209"/>
      <c r="E13" s="2" t="s">
        <v>991</v>
      </c>
      <c r="F13" s="2"/>
    </row>
    <row r="14" spans="1:6">
      <c r="A14" s="199" t="s">
        <v>949</v>
      </c>
      <c r="B14" s="199">
        <v>6</v>
      </c>
      <c r="C14" s="2"/>
      <c r="D14" s="229" t="s">
        <v>992</v>
      </c>
      <c r="E14" s="2"/>
      <c r="F14" s="2"/>
    </row>
    <row r="15" spans="1:6">
      <c r="A15" s="199" t="s">
        <v>993</v>
      </c>
      <c r="B15" s="199">
        <v>6.5</v>
      </c>
      <c r="C15" s="2"/>
      <c r="D15" s="209"/>
      <c r="E15" s="2" t="s">
        <v>994</v>
      </c>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ht="15.75" customHeight="1">
      <c r="A24" s="2"/>
      <c r="B24" s="2"/>
      <c r="C24" s="2"/>
      <c r="D24" s="2"/>
      <c r="E24" s="2"/>
      <c r="F24" s="2"/>
    </row>
    <row r="25" spans="1:6" ht="15.75" customHeight="1">
      <c r="A25" s="2"/>
      <c r="B25" s="2"/>
      <c r="C25" s="2"/>
      <c r="D25" s="2"/>
      <c r="E25" s="2"/>
      <c r="F25" s="2"/>
    </row>
    <row r="26" spans="1:6" ht="15.75" customHeight="1">
      <c r="A26" s="2"/>
      <c r="B26" s="2"/>
      <c r="C26" s="2"/>
      <c r="D26" s="2"/>
      <c r="E26" s="2"/>
      <c r="F26" s="2"/>
    </row>
    <row r="27" spans="1:6" ht="15.75" customHeight="1">
      <c r="A27" s="2"/>
      <c r="B27" s="2"/>
      <c r="C27" s="2"/>
      <c r="D27" s="2"/>
      <c r="E27" s="2"/>
      <c r="F27" s="2"/>
    </row>
    <row r="28" spans="1:6" ht="15.75" customHeight="1">
      <c r="A28" s="2"/>
      <c r="B28" s="2"/>
      <c r="C28" s="2"/>
      <c r="D28" s="2"/>
      <c r="E28" s="2"/>
      <c r="F28" s="2"/>
    </row>
    <row r="29" spans="1:6" ht="15.75" customHeight="1">
      <c r="A29" s="2"/>
      <c r="B29" s="2"/>
      <c r="C29" s="2"/>
      <c r="D29" s="2"/>
      <c r="E29" s="2"/>
      <c r="F29" s="2"/>
    </row>
    <row r="30" spans="1:6" ht="15.75" customHeight="1">
      <c r="A30" s="2"/>
      <c r="B30" s="2"/>
      <c r="C30" s="2"/>
      <c r="D30" s="2"/>
      <c r="E30" s="2"/>
      <c r="F30" s="2"/>
    </row>
    <row r="31" spans="1:6" ht="15.75" customHeight="1">
      <c r="A31" s="2"/>
      <c r="B31" s="2"/>
      <c r="C31" s="2"/>
      <c r="D31" s="2"/>
      <c r="E31" s="2"/>
      <c r="F31" s="2"/>
    </row>
    <row r="32" spans="1:6" ht="15.75" customHeight="1">
      <c r="A32" s="2"/>
      <c r="B32" s="2"/>
      <c r="C32" s="2"/>
      <c r="D32" s="2"/>
      <c r="E32" s="2"/>
      <c r="F32" s="2"/>
    </row>
    <row r="33" spans="1:6" ht="15.75" customHeight="1">
      <c r="A33" s="2"/>
      <c r="B33" s="2"/>
      <c r="C33" s="2"/>
      <c r="D33" s="2"/>
      <c r="E33" s="2"/>
      <c r="F33" s="2"/>
    </row>
    <row r="34" spans="1:6" ht="15.75" customHeight="1">
      <c r="A34" s="2"/>
      <c r="B34" s="2"/>
      <c r="C34" s="2"/>
      <c r="D34" s="2"/>
      <c r="E34" s="2"/>
      <c r="F34" s="2"/>
    </row>
    <row r="35" spans="1:6" ht="15.75" customHeight="1">
      <c r="A35" s="2"/>
      <c r="B35" s="2"/>
      <c r="C35" s="2"/>
      <c r="D35" s="2"/>
      <c r="E35" s="2"/>
      <c r="F35" s="2"/>
    </row>
    <row r="36" spans="1:6" ht="15.75" customHeight="1">
      <c r="A36" s="2"/>
      <c r="B36" s="2"/>
      <c r="C36" s="2"/>
      <c r="D36" s="2"/>
      <c r="E36" s="2"/>
      <c r="F36" s="2"/>
    </row>
    <row r="37" spans="1:6" ht="15.75" customHeight="1">
      <c r="A37" s="2"/>
      <c r="B37" s="2"/>
      <c r="C37" s="2"/>
      <c r="D37" s="2"/>
      <c r="E37" s="2"/>
      <c r="F37" s="2"/>
    </row>
    <row r="38" spans="1:6" ht="15.75" customHeight="1">
      <c r="A38" s="2"/>
      <c r="B38" s="2"/>
      <c r="C38" s="2"/>
      <c r="D38" s="2"/>
      <c r="E38" s="2"/>
      <c r="F38" s="2"/>
    </row>
    <row r="39" spans="1:6" ht="15.75" customHeight="1">
      <c r="A39" s="2"/>
      <c r="B39" s="2"/>
      <c r="C39" s="2"/>
      <c r="D39" s="2"/>
      <c r="E39" s="2"/>
      <c r="F39" s="2"/>
    </row>
    <row r="40" spans="1:6" ht="15.75" customHeight="1">
      <c r="A40" s="2"/>
      <c r="B40" s="2"/>
      <c r="C40" s="2"/>
      <c r="D40" s="2"/>
      <c r="E40" s="2"/>
      <c r="F40" s="2"/>
    </row>
    <row r="41" spans="1:6" ht="15.75" customHeight="1">
      <c r="A41" s="2"/>
      <c r="B41" s="2"/>
      <c r="C41" s="2"/>
      <c r="D41" s="2"/>
      <c r="E41" s="2"/>
      <c r="F41" s="2"/>
    </row>
    <row r="42" spans="1:6" ht="15.75" customHeight="1">
      <c r="A42" s="2"/>
      <c r="B42" s="2"/>
      <c r="C42" s="2"/>
      <c r="D42" s="2"/>
      <c r="E42" s="2"/>
      <c r="F42" s="2"/>
    </row>
    <row r="43" spans="1:6" ht="15.75" customHeight="1">
      <c r="A43" s="2"/>
      <c r="B43" s="2"/>
      <c r="C43" s="2"/>
      <c r="D43" s="2"/>
      <c r="E43" s="2"/>
      <c r="F43" s="2"/>
    </row>
    <row r="44" spans="1:6" ht="15.75" customHeight="1">
      <c r="A44" s="2"/>
      <c r="B44" s="2"/>
      <c r="C44" s="2"/>
      <c r="D44" s="2"/>
      <c r="E44" s="2"/>
      <c r="F44" s="2"/>
    </row>
    <row r="45" spans="1:6" ht="15.75" customHeight="1">
      <c r="A45" s="2"/>
      <c r="B45" s="2"/>
      <c r="C45" s="2"/>
      <c r="D45" s="2"/>
      <c r="E45" s="2"/>
      <c r="F45" s="2"/>
    </row>
    <row r="46" spans="1:6" ht="15.75" customHeight="1">
      <c r="A46" s="2"/>
      <c r="B46" s="2"/>
      <c r="C46" s="2"/>
      <c r="D46" s="2"/>
      <c r="E46" s="2"/>
      <c r="F46" s="2"/>
    </row>
    <row r="47" spans="1:6" ht="15.75" customHeight="1">
      <c r="A47" s="2"/>
      <c r="B47" s="2"/>
      <c r="C47" s="2"/>
      <c r="D47" s="2"/>
      <c r="E47" s="2"/>
      <c r="F47" s="2"/>
    </row>
    <row r="48" spans="1:6" ht="15.75" customHeight="1">
      <c r="A48" s="2"/>
      <c r="B48" s="2"/>
      <c r="C48" s="2"/>
      <c r="D48" s="2"/>
      <c r="E48" s="2"/>
      <c r="F48" s="2"/>
    </row>
    <row r="49" spans="1:6" ht="15.75" customHeight="1">
      <c r="A49" s="2"/>
      <c r="B49" s="2"/>
      <c r="C49" s="2"/>
      <c r="D49" s="2"/>
      <c r="E49" s="2"/>
      <c r="F49" s="2"/>
    </row>
    <row r="50" spans="1:6" ht="15.75" customHeight="1">
      <c r="A50" s="2"/>
      <c r="B50" s="2"/>
      <c r="C50" s="2"/>
      <c r="D50" s="2"/>
      <c r="E50" s="2"/>
      <c r="F50" s="2"/>
    </row>
    <row r="51" spans="1:6" ht="15.75" customHeight="1">
      <c r="A51" s="2"/>
      <c r="B51" s="2"/>
      <c r="C51" s="2"/>
      <c r="D51" s="2"/>
      <c r="E51" s="2"/>
      <c r="F51" s="2"/>
    </row>
    <row r="52" spans="1:6" ht="15.75" customHeight="1">
      <c r="A52" s="2"/>
      <c r="B52" s="2"/>
      <c r="C52" s="2"/>
      <c r="D52" s="2"/>
      <c r="E52" s="2"/>
      <c r="F52" s="2"/>
    </row>
    <row r="53" spans="1:6" ht="15.75" customHeight="1">
      <c r="A53" s="2"/>
      <c r="B53" s="2"/>
      <c r="C53" s="2"/>
      <c r="D53" s="2"/>
      <c r="E53" s="2"/>
      <c r="F53" s="2"/>
    </row>
    <row r="54" spans="1:6" ht="15.75" customHeight="1">
      <c r="A54" s="2"/>
      <c r="B54" s="2"/>
      <c r="C54" s="2"/>
      <c r="D54" s="2"/>
      <c r="E54" s="2"/>
      <c r="F54" s="2"/>
    </row>
    <row r="55" spans="1:6" ht="15.75" customHeight="1">
      <c r="A55" s="2"/>
      <c r="B55" s="2"/>
      <c r="C55" s="2"/>
      <c r="D55" s="2"/>
      <c r="E55" s="2"/>
      <c r="F55" s="2"/>
    </row>
    <row r="56" spans="1:6" ht="15.75" customHeight="1">
      <c r="A56" s="2"/>
      <c r="B56" s="2"/>
      <c r="C56" s="2"/>
      <c r="D56" s="2"/>
      <c r="E56" s="2"/>
      <c r="F56" s="2"/>
    </row>
    <row r="57" spans="1:6" ht="15.75" customHeight="1">
      <c r="A57" s="2"/>
      <c r="B57" s="2"/>
      <c r="C57" s="2"/>
      <c r="D57" s="2"/>
      <c r="E57" s="2"/>
      <c r="F57" s="2"/>
    </row>
    <row r="58" spans="1:6" ht="15.75" customHeight="1">
      <c r="A58" s="2"/>
      <c r="B58" s="2"/>
      <c r="C58" s="2"/>
      <c r="D58" s="2"/>
      <c r="E58" s="2"/>
      <c r="F58" s="2"/>
    </row>
    <row r="59" spans="1:6" ht="15.75" customHeight="1">
      <c r="A59" s="2"/>
      <c r="B59" s="2"/>
      <c r="C59" s="2"/>
      <c r="D59" s="2"/>
      <c r="E59" s="2"/>
      <c r="F59" s="2"/>
    </row>
    <row r="60" spans="1:6" ht="15.75" customHeight="1">
      <c r="A60" s="2"/>
      <c r="B60" s="2"/>
      <c r="C60" s="2"/>
      <c r="D60" s="2"/>
      <c r="E60" s="2"/>
      <c r="F60" s="2"/>
    </row>
    <row r="61" spans="1:6" ht="15.75" customHeight="1">
      <c r="A61" s="2"/>
      <c r="B61" s="2"/>
      <c r="C61" s="2"/>
      <c r="D61" s="2"/>
      <c r="E61" s="2"/>
      <c r="F61" s="2"/>
    </row>
    <row r="62" spans="1:6" ht="15.75" customHeight="1">
      <c r="A62" s="2"/>
      <c r="B62" s="2"/>
      <c r="C62" s="2"/>
      <c r="D62" s="2"/>
      <c r="E62" s="2"/>
      <c r="F62" s="2"/>
    </row>
    <row r="63" spans="1:6" ht="15.75" customHeight="1">
      <c r="A63" s="2"/>
      <c r="B63" s="2"/>
      <c r="C63" s="2"/>
      <c r="D63" s="2"/>
      <c r="E63" s="2"/>
      <c r="F63" s="2"/>
    </row>
    <row r="64" spans="1:6" ht="15.75" customHeight="1">
      <c r="A64" s="2"/>
      <c r="B64" s="2"/>
      <c r="C64" s="2"/>
      <c r="D64" s="2"/>
      <c r="E64" s="2"/>
      <c r="F64" s="2"/>
    </row>
    <row r="65" spans="1:6" ht="15.75" customHeight="1">
      <c r="A65" s="2"/>
      <c r="B65" s="2"/>
      <c r="C65" s="2"/>
      <c r="D65" s="2"/>
      <c r="E65" s="2"/>
      <c r="F65" s="2"/>
    </row>
    <row r="66" spans="1:6" ht="15.75" customHeight="1">
      <c r="A66" s="2"/>
      <c r="B66" s="2"/>
      <c r="C66" s="2"/>
      <c r="D66" s="2"/>
      <c r="E66" s="2"/>
      <c r="F66" s="2"/>
    </row>
    <row r="67" spans="1:6" ht="15.75" customHeight="1">
      <c r="A67" s="2"/>
      <c r="B67" s="2"/>
      <c r="C67" s="2"/>
      <c r="D67" s="2"/>
      <c r="E67" s="2"/>
      <c r="F67" s="2"/>
    </row>
    <row r="68" spans="1:6" ht="15.75" customHeight="1">
      <c r="A68" s="2"/>
      <c r="B68" s="2"/>
      <c r="C68" s="2"/>
      <c r="D68" s="2"/>
      <c r="E68" s="2"/>
      <c r="F68" s="2"/>
    </row>
    <row r="69" spans="1:6" ht="15.75" customHeight="1">
      <c r="A69" s="2"/>
      <c r="B69" s="2"/>
      <c r="C69" s="2"/>
      <c r="D69" s="2"/>
      <c r="E69" s="2"/>
      <c r="F69" s="2"/>
    </row>
    <row r="70" spans="1:6" ht="15.75" customHeight="1">
      <c r="A70" s="2"/>
      <c r="B70" s="2"/>
      <c r="C70" s="2"/>
      <c r="D70" s="2"/>
      <c r="E70" s="2"/>
      <c r="F70" s="2"/>
    </row>
    <row r="71" spans="1:6" ht="15.75" customHeight="1">
      <c r="A71" s="2"/>
      <c r="B71" s="2"/>
      <c r="C71" s="2"/>
      <c r="D71" s="2"/>
      <c r="E71" s="2"/>
      <c r="F71" s="2"/>
    </row>
    <row r="72" spans="1:6" ht="15.75" customHeight="1">
      <c r="A72" s="2"/>
      <c r="B72" s="2"/>
      <c r="C72" s="2"/>
      <c r="D72" s="2"/>
      <c r="E72" s="2"/>
      <c r="F72" s="2"/>
    </row>
    <row r="73" spans="1:6" ht="15.75" customHeight="1">
      <c r="A73" s="2"/>
      <c r="B73" s="2"/>
      <c r="C73" s="2"/>
      <c r="D73" s="2"/>
      <c r="E73" s="2"/>
      <c r="F73" s="2"/>
    </row>
    <row r="74" spans="1:6" ht="15.75" customHeight="1">
      <c r="A74" s="2"/>
      <c r="B74" s="2"/>
      <c r="C74" s="2"/>
      <c r="D74" s="2"/>
      <c r="E74" s="2"/>
      <c r="F74" s="2"/>
    </row>
    <row r="75" spans="1:6" ht="15.75" customHeight="1">
      <c r="A75" s="2"/>
      <c r="B75" s="2"/>
      <c r="C75" s="2"/>
      <c r="D75" s="2"/>
      <c r="E75" s="2"/>
      <c r="F75" s="2"/>
    </row>
    <row r="76" spans="1:6" ht="15.75" customHeight="1">
      <c r="A76" s="2"/>
      <c r="B76" s="2"/>
      <c r="C76" s="2"/>
      <c r="D76" s="2"/>
      <c r="E76" s="2"/>
      <c r="F76" s="2"/>
    </row>
    <row r="77" spans="1:6" ht="15.75" customHeight="1">
      <c r="A77" s="2"/>
      <c r="B77" s="2"/>
      <c r="C77" s="2"/>
      <c r="D77" s="2"/>
      <c r="E77" s="2"/>
      <c r="F77" s="2"/>
    </row>
    <row r="78" spans="1:6" ht="15.75" customHeight="1">
      <c r="A78" s="2"/>
      <c r="B78" s="2"/>
      <c r="C78" s="2"/>
      <c r="D78" s="2"/>
      <c r="E78" s="2"/>
      <c r="F78" s="2"/>
    </row>
    <row r="79" spans="1:6" ht="15.75" customHeight="1">
      <c r="A79" s="2"/>
      <c r="B79" s="2"/>
      <c r="C79" s="2"/>
      <c r="D79" s="2"/>
      <c r="E79" s="2"/>
      <c r="F79" s="2"/>
    </row>
    <row r="80" spans="1:6" ht="15.75" customHeight="1">
      <c r="A80" s="2"/>
      <c r="B80" s="2"/>
      <c r="C80" s="2"/>
      <c r="D80" s="2"/>
      <c r="E80" s="2"/>
      <c r="F80" s="2"/>
    </row>
    <row r="81" spans="1:6" ht="15.75" customHeight="1">
      <c r="A81" s="2"/>
      <c r="B81" s="2"/>
      <c r="C81" s="2"/>
      <c r="D81" s="2"/>
      <c r="E81" s="2"/>
      <c r="F81" s="2"/>
    </row>
    <row r="82" spans="1:6" ht="15.75" customHeight="1">
      <c r="A82" s="2"/>
      <c r="B82" s="2"/>
      <c r="C82" s="2"/>
      <c r="D82" s="2"/>
      <c r="E82" s="2"/>
      <c r="F82" s="2"/>
    </row>
    <row r="83" spans="1:6" ht="15.75" customHeight="1">
      <c r="A83" s="2"/>
      <c r="B83" s="2"/>
      <c r="C83" s="2"/>
      <c r="D83" s="2"/>
      <c r="E83" s="2"/>
      <c r="F83" s="2"/>
    </row>
    <row r="84" spans="1:6" ht="15.75" customHeight="1">
      <c r="A84" s="2"/>
      <c r="B84" s="2"/>
      <c r="C84" s="2"/>
      <c r="D84" s="2"/>
      <c r="E84" s="2"/>
      <c r="F84" s="2"/>
    </row>
    <row r="85" spans="1:6" ht="15.75" customHeight="1">
      <c r="A85" s="2"/>
      <c r="B85" s="2"/>
      <c r="C85" s="2"/>
      <c r="D85" s="2"/>
      <c r="E85" s="2"/>
      <c r="F85" s="2"/>
    </row>
    <row r="86" spans="1:6" ht="15.75" customHeight="1">
      <c r="A86" s="2"/>
      <c r="B86" s="2"/>
      <c r="C86" s="2"/>
      <c r="D86" s="2"/>
      <c r="E86" s="2"/>
      <c r="F86" s="2"/>
    </row>
    <row r="87" spans="1:6" ht="15.75" customHeight="1">
      <c r="A87" s="2"/>
      <c r="B87" s="2"/>
      <c r="C87" s="2"/>
      <c r="D87" s="2"/>
      <c r="E87" s="2"/>
      <c r="F87" s="2"/>
    </row>
    <row r="88" spans="1:6" ht="15.75" customHeight="1">
      <c r="A88" s="2"/>
      <c r="B88" s="2"/>
      <c r="C88" s="2"/>
      <c r="D88" s="2"/>
      <c r="E88" s="2"/>
      <c r="F88" s="2"/>
    </row>
    <row r="89" spans="1:6" ht="15.75" customHeight="1">
      <c r="A89" s="2"/>
      <c r="B89" s="2"/>
      <c r="C89" s="2"/>
      <c r="D89" s="2"/>
      <c r="E89" s="2"/>
      <c r="F89" s="2"/>
    </row>
    <row r="90" spans="1:6" ht="15.75" customHeight="1">
      <c r="A90" s="2"/>
      <c r="B90" s="2"/>
      <c r="C90" s="2"/>
      <c r="D90" s="2"/>
      <c r="E90" s="2"/>
      <c r="F90" s="2"/>
    </row>
    <row r="91" spans="1:6" ht="15.75" customHeight="1">
      <c r="A91" s="2"/>
      <c r="B91" s="2"/>
      <c r="C91" s="2"/>
      <c r="D91" s="2"/>
      <c r="E91" s="2"/>
      <c r="F91" s="2"/>
    </row>
    <row r="92" spans="1:6" ht="15.75" customHeight="1">
      <c r="A92" s="2"/>
      <c r="B92" s="2"/>
      <c r="C92" s="2"/>
      <c r="D92" s="2"/>
      <c r="E92" s="2"/>
      <c r="F92" s="2"/>
    </row>
    <row r="93" spans="1:6" ht="15.75" customHeight="1">
      <c r="A93" s="2"/>
      <c r="B93" s="2"/>
      <c r="C93" s="2"/>
      <c r="D93" s="2"/>
      <c r="E93" s="2"/>
      <c r="F93" s="2"/>
    </row>
    <row r="94" spans="1:6" ht="15.75" customHeight="1">
      <c r="A94" s="2"/>
      <c r="B94" s="2"/>
      <c r="C94" s="2"/>
      <c r="D94" s="2"/>
      <c r="E94" s="2"/>
      <c r="F94" s="2"/>
    </row>
    <row r="95" spans="1:6" ht="15.75" customHeight="1">
      <c r="A95" s="2"/>
      <c r="B95" s="2"/>
      <c r="C95" s="2"/>
      <c r="D95" s="2"/>
      <c r="E95" s="2"/>
      <c r="F95" s="2"/>
    </row>
    <row r="96" spans="1:6" ht="15.75" customHeight="1">
      <c r="A96" s="2"/>
      <c r="B96" s="2"/>
      <c r="C96" s="2"/>
      <c r="D96" s="2"/>
      <c r="E96" s="2"/>
      <c r="F96" s="2"/>
    </row>
    <row r="97" spans="1:6" ht="15.75" customHeight="1">
      <c r="A97" s="2"/>
      <c r="B97" s="2"/>
      <c r="C97" s="2"/>
      <c r="D97" s="2"/>
      <c r="E97" s="2"/>
      <c r="F97" s="2"/>
    </row>
    <row r="98" spans="1:6" ht="15.75" customHeight="1">
      <c r="A98" s="2"/>
      <c r="B98" s="2"/>
      <c r="C98" s="2"/>
      <c r="D98" s="2"/>
      <c r="E98" s="2"/>
      <c r="F98" s="2"/>
    </row>
    <row r="99" spans="1:6" ht="15.75" customHeight="1">
      <c r="A99" s="2"/>
      <c r="B99" s="2"/>
      <c r="C99" s="2"/>
      <c r="D99" s="2"/>
      <c r="E99" s="2"/>
      <c r="F99" s="2"/>
    </row>
    <row r="100" spans="1:6" ht="15.75" customHeight="1">
      <c r="A100" s="2"/>
      <c r="B100" s="2"/>
      <c r="C100" s="2"/>
      <c r="D100" s="2"/>
      <c r="E100" s="2"/>
      <c r="F100" s="2"/>
    </row>
    <row r="101" spans="1:6" ht="15.75" customHeight="1">
      <c r="A101" s="2"/>
      <c r="B101" s="2"/>
      <c r="C101" s="2"/>
      <c r="D101" s="2"/>
      <c r="E101" s="2"/>
      <c r="F101" s="2"/>
    </row>
    <row r="102" spans="1:6" ht="15.75" customHeight="1">
      <c r="A102" s="2"/>
      <c r="B102" s="2"/>
      <c r="C102" s="2"/>
      <c r="D102" s="2"/>
      <c r="E102" s="2"/>
      <c r="F102" s="2"/>
    </row>
    <row r="103" spans="1:6" ht="15.75" customHeight="1">
      <c r="A103" s="2"/>
      <c r="B103" s="2"/>
      <c r="C103" s="2"/>
      <c r="D103" s="2"/>
      <c r="E103" s="2"/>
      <c r="F103" s="2"/>
    </row>
    <row r="104" spans="1:6" ht="15.75" customHeight="1">
      <c r="A104" s="2"/>
      <c r="B104" s="2"/>
      <c r="C104" s="2"/>
      <c r="D104" s="2"/>
      <c r="E104" s="2"/>
      <c r="F104" s="2"/>
    </row>
    <row r="105" spans="1:6" ht="15.75" customHeight="1">
      <c r="A105" s="2"/>
      <c r="B105" s="2"/>
      <c r="C105" s="2"/>
      <c r="D105" s="2"/>
      <c r="E105" s="2"/>
      <c r="F105" s="2"/>
    </row>
    <row r="106" spans="1:6" ht="15.75" customHeight="1">
      <c r="A106" s="2"/>
      <c r="B106" s="2"/>
      <c r="C106" s="2"/>
      <c r="D106" s="2"/>
      <c r="E106" s="2"/>
      <c r="F106" s="2"/>
    </row>
    <row r="107" spans="1:6" ht="15.75" customHeight="1">
      <c r="A107" s="2"/>
      <c r="B107" s="2"/>
      <c r="C107" s="2"/>
      <c r="D107" s="2"/>
      <c r="E107" s="2"/>
      <c r="F107" s="2"/>
    </row>
    <row r="108" spans="1:6" ht="15.75" customHeight="1">
      <c r="A108" s="2"/>
      <c r="B108" s="2"/>
      <c r="C108" s="2"/>
      <c r="D108" s="2"/>
      <c r="E108" s="2"/>
      <c r="F108" s="2"/>
    </row>
    <row r="109" spans="1:6" ht="15.75" customHeight="1">
      <c r="A109" s="2"/>
      <c r="B109" s="2"/>
      <c r="C109" s="2"/>
      <c r="D109" s="2"/>
      <c r="E109" s="2"/>
      <c r="F109" s="2"/>
    </row>
    <row r="110" spans="1:6" ht="15.75" customHeight="1">
      <c r="A110" s="2"/>
      <c r="B110" s="2"/>
      <c r="C110" s="2"/>
      <c r="D110" s="2"/>
      <c r="E110" s="2"/>
      <c r="F110" s="2"/>
    </row>
    <row r="111" spans="1:6" ht="15.75" customHeight="1">
      <c r="A111" s="2"/>
      <c r="B111" s="2"/>
      <c r="C111" s="2"/>
      <c r="D111" s="2"/>
      <c r="E111" s="2"/>
      <c r="F111" s="2"/>
    </row>
    <row r="112" spans="1:6" ht="15.75" customHeight="1">
      <c r="A112" s="2"/>
      <c r="B112" s="2"/>
      <c r="C112" s="2"/>
      <c r="D112" s="2"/>
      <c r="E112" s="2"/>
      <c r="F112" s="2"/>
    </row>
    <row r="113" spans="1:6" ht="15.75" customHeight="1">
      <c r="A113" s="2"/>
      <c r="B113" s="2"/>
      <c r="C113" s="2"/>
      <c r="D113" s="2"/>
      <c r="E113" s="2"/>
      <c r="F113" s="2"/>
    </row>
    <row r="114" spans="1:6" ht="15.75" customHeight="1">
      <c r="A114" s="2"/>
      <c r="B114" s="2"/>
      <c r="C114" s="2"/>
      <c r="D114" s="2"/>
      <c r="E114" s="2"/>
      <c r="F114" s="2"/>
    </row>
    <row r="115" spans="1:6" ht="15.75" customHeight="1">
      <c r="A115" s="2"/>
      <c r="B115" s="2"/>
      <c r="C115" s="2"/>
      <c r="D115" s="2"/>
      <c r="E115" s="2"/>
      <c r="F115" s="2"/>
    </row>
    <row r="116" spans="1:6" ht="15.75" customHeight="1">
      <c r="A116" s="2"/>
      <c r="B116" s="2"/>
      <c r="C116" s="2"/>
      <c r="D116" s="2"/>
      <c r="E116" s="2"/>
      <c r="F116" s="2"/>
    </row>
    <row r="117" spans="1:6" ht="15.75" customHeight="1">
      <c r="A117" s="2"/>
      <c r="B117" s="2"/>
      <c r="C117" s="2"/>
      <c r="D117" s="2"/>
      <c r="E117" s="2"/>
      <c r="F117" s="2"/>
    </row>
    <row r="118" spans="1:6" ht="15.75" customHeight="1">
      <c r="A118" s="2"/>
      <c r="B118" s="2"/>
      <c r="C118" s="2"/>
      <c r="D118" s="2"/>
      <c r="E118" s="2"/>
      <c r="F118" s="2"/>
    </row>
    <row r="119" spans="1:6" ht="15.75" customHeight="1">
      <c r="A119" s="2"/>
      <c r="B119" s="2"/>
      <c r="C119" s="2"/>
      <c r="D119" s="2"/>
      <c r="E119" s="2"/>
      <c r="F119" s="2"/>
    </row>
    <row r="120" spans="1:6" ht="15.75" customHeight="1">
      <c r="A120" s="2"/>
      <c r="B120" s="2"/>
      <c r="C120" s="2"/>
      <c r="D120" s="2"/>
      <c r="E120" s="2"/>
      <c r="F120" s="2"/>
    </row>
    <row r="121" spans="1:6" ht="15.75" customHeight="1">
      <c r="A121" s="2"/>
      <c r="B121" s="2"/>
      <c r="C121" s="2"/>
      <c r="D121" s="2"/>
      <c r="E121" s="2"/>
      <c r="F121" s="2"/>
    </row>
    <row r="122" spans="1:6" ht="15.75" customHeight="1">
      <c r="A122" s="2"/>
      <c r="B122" s="2"/>
      <c r="C122" s="2"/>
      <c r="D122" s="2"/>
      <c r="E122" s="2"/>
      <c r="F122" s="2"/>
    </row>
    <row r="123" spans="1:6" ht="15.75" customHeight="1">
      <c r="A123" s="2"/>
      <c r="B123" s="2"/>
      <c r="C123" s="2"/>
      <c r="D123" s="2"/>
      <c r="E123" s="2"/>
      <c r="F123" s="2"/>
    </row>
    <row r="124" spans="1:6" ht="15.75" customHeight="1">
      <c r="A124" s="2"/>
      <c r="B124" s="2"/>
      <c r="C124" s="2"/>
      <c r="D124" s="2"/>
      <c r="E124" s="2"/>
      <c r="F124" s="2"/>
    </row>
    <row r="125" spans="1:6" ht="15.75" customHeight="1">
      <c r="A125" s="2"/>
      <c r="B125" s="2"/>
      <c r="C125" s="2"/>
      <c r="D125" s="2"/>
      <c r="E125" s="2"/>
      <c r="F125" s="2"/>
    </row>
    <row r="126" spans="1:6" ht="15.75" customHeight="1">
      <c r="A126" s="2"/>
      <c r="B126" s="2"/>
      <c r="C126" s="2"/>
      <c r="D126" s="2"/>
      <c r="E126" s="2"/>
      <c r="F126" s="2"/>
    </row>
    <row r="127" spans="1:6" ht="15.75" customHeight="1">
      <c r="A127" s="2"/>
      <c r="B127" s="2"/>
      <c r="C127" s="2"/>
      <c r="D127" s="2"/>
      <c r="E127" s="2"/>
      <c r="F127" s="2"/>
    </row>
    <row r="128" spans="1:6" ht="15.75" customHeight="1">
      <c r="A128" s="2"/>
      <c r="B128" s="2"/>
      <c r="C128" s="2"/>
      <c r="D128" s="2"/>
      <c r="E128" s="2"/>
      <c r="F128" s="2"/>
    </row>
    <row r="129" spans="1:6" ht="15.75" customHeight="1">
      <c r="A129" s="2"/>
      <c r="B129" s="2"/>
      <c r="C129" s="2"/>
      <c r="D129" s="2"/>
      <c r="E129" s="2"/>
      <c r="F129" s="2"/>
    </row>
    <row r="130" spans="1:6" ht="15.75" customHeight="1">
      <c r="A130" s="2"/>
      <c r="B130" s="2"/>
      <c r="C130" s="2"/>
      <c r="D130" s="2"/>
      <c r="E130" s="2"/>
      <c r="F130" s="2"/>
    </row>
    <row r="131" spans="1:6" ht="15.75" customHeight="1">
      <c r="A131" s="2"/>
      <c r="B131" s="2"/>
      <c r="C131" s="2"/>
      <c r="D131" s="2"/>
      <c r="E131" s="2"/>
      <c r="F131" s="2"/>
    </row>
    <row r="132" spans="1:6" ht="15.75" customHeight="1">
      <c r="A132" s="2"/>
      <c r="B132" s="2"/>
      <c r="C132" s="2"/>
      <c r="D132" s="2"/>
      <c r="E132" s="2"/>
      <c r="F132" s="2"/>
    </row>
    <row r="133" spans="1:6" ht="15.75" customHeight="1">
      <c r="A133" s="2"/>
      <c r="B133" s="2"/>
      <c r="C133" s="2"/>
      <c r="D133" s="2"/>
      <c r="E133" s="2"/>
      <c r="F133" s="2"/>
    </row>
    <row r="134" spans="1:6" ht="15.75" customHeight="1">
      <c r="A134" s="2"/>
      <c r="B134" s="2"/>
      <c r="C134" s="2"/>
      <c r="D134" s="2"/>
      <c r="E134" s="2"/>
      <c r="F134" s="2"/>
    </row>
    <row r="135" spans="1:6" ht="15.75" customHeight="1">
      <c r="A135" s="2"/>
      <c r="B135" s="2"/>
      <c r="C135" s="2"/>
      <c r="D135" s="2"/>
      <c r="E135" s="2"/>
      <c r="F135" s="2"/>
    </row>
    <row r="136" spans="1:6" ht="15.75" customHeight="1">
      <c r="A136" s="2"/>
      <c r="B136" s="2"/>
      <c r="C136" s="2"/>
      <c r="D136" s="2"/>
      <c r="E136" s="2"/>
      <c r="F136" s="2"/>
    </row>
    <row r="137" spans="1:6" ht="15.75" customHeight="1">
      <c r="A137" s="2"/>
      <c r="B137" s="2"/>
      <c r="C137" s="2"/>
      <c r="D137" s="2"/>
      <c r="E137" s="2"/>
      <c r="F137" s="2"/>
    </row>
    <row r="138" spans="1:6" ht="15.75" customHeight="1">
      <c r="A138" s="2"/>
      <c r="B138" s="2"/>
      <c r="C138" s="2"/>
      <c r="D138" s="2"/>
      <c r="E138" s="2"/>
      <c r="F138" s="2"/>
    </row>
    <row r="139" spans="1:6" ht="15.75" customHeight="1">
      <c r="A139" s="2"/>
      <c r="B139" s="2"/>
      <c r="C139" s="2"/>
      <c r="D139" s="2"/>
      <c r="E139" s="2"/>
      <c r="F139" s="2"/>
    </row>
    <row r="140" spans="1:6" ht="15.75" customHeight="1">
      <c r="A140" s="2"/>
      <c r="B140" s="2"/>
      <c r="C140" s="2"/>
      <c r="D140" s="2"/>
      <c r="E140" s="2"/>
      <c r="F140" s="2"/>
    </row>
    <row r="141" spans="1:6" ht="15.75" customHeight="1">
      <c r="A141" s="2"/>
      <c r="B141" s="2"/>
      <c r="C141" s="2"/>
      <c r="D141" s="2"/>
      <c r="E141" s="2"/>
      <c r="F141" s="2"/>
    </row>
    <row r="142" spans="1:6" ht="15.75" customHeight="1">
      <c r="A142" s="2"/>
      <c r="B142" s="2"/>
      <c r="C142" s="2"/>
      <c r="D142" s="2"/>
      <c r="E142" s="2"/>
      <c r="F142" s="2"/>
    </row>
    <row r="143" spans="1:6" ht="15.75" customHeight="1">
      <c r="A143" s="2"/>
      <c r="B143" s="2"/>
      <c r="C143" s="2"/>
      <c r="D143" s="2"/>
      <c r="E143" s="2"/>
      <c r="F143" s="2"/>
    </row>
    <row r="144" spans="1:6" ht="15.75" customHeight="1">
      <c r="A144" s="2"/>
      <c r="B144" s="2"/>
      <c r="C144" s="2"/>
      <c r="D144" s="2"/>
      <c r="E144" s="2"/>
      <c r="F144" s="2"/>
    </row>
    <row r="145" spans="1:6" ht="15.75" customHeight="1">
      <c r="A145" s="2"/>
      <c r="B145" s="2"/>
      <c r="C145" s="2"/>
      <c r="D145" s="2"/>
      <c r="E145" s="2"/>
      <c r="F145" s="2"/>
    </row>
    <row r="146" spans="1:6" ht="15.75" customHeight="1">
      <c r="A146" s="2"/>
      <c r="B146" s="2"/>
      <c r="C146" s="2"/>
      <c r="D146" s="2"/>
      <c r="E146" s="2"/>
      <c r="F146" s="2"/>
    </row>
    <row r="147" spans="1:6" ht="15.75" customHeight="1">
      <c r="A147" s="2"/>
      <c r="B147" s="2"/>
      <c r="C147" s="2"/>
      <c r="D147" s="2"/>
      <c r="E147" s="2"/>
      <c r="F147" s="2"/>
    </row>
    <row r="148" spans="1:6" ht="15.75" customHeight="1">
      <c r="A148" s="2"/>
      <c r="B148" s="2"/>
      <c r="C148" s="2"/>
      <c r="D148" s="2"/>
      <c r="E148" s="2"/>
      <c r="F148" s="2"/>
    </row>
    <row r="149" spans="1:6" ht="15.75" customHeight="1">
      <c r="A149" s="2"/>
      <c r="B149" s="2"/>
      <c r="C149" s="2"/>
      <c r="D149" s="2"/>
      <c r="E149" s="2"/>
      <c r="F149" s="2"/>
    </row>
    <row r="150" spans="1:6" ht="15.75" customHeight="1">
      <c r="A150" s="2"/>
      <c r="B150" s="2"/>
      <c r="C150" s="2"/>
      <c r="D150" s="2"/>
      <c r="E150" s="2"/>
      <c r="F150" s="2"/>
    </row>
    <row r="151" spans="1:6" ht="15.75" customHeight="1">
      <c r="A151" s="2"/>
      <c r="B151" s="2"/>
      <c r="C151" s="2"/>
      <c r="D151" s="2"/>
      <c r="E151" s="2"/>
      <c r="F151" s="2"/>
    </row>
    <row r="152" spans="1:6" ht="15.75" customHeight="1">
      <c r="A152" s="2"/>
      <c r="B152" s="2"/>
      <c r="C152" s="2"/>
      <c r="D152" s="2"/>
      <c r="E152" s="2"/>
      <c r="F152" s="2"/>
    </row>
    <row r="153" spans="1:6" ht="15.75" customHeight="1">
      <c r="A153" s="2"/>
      <c r="B153" s="2"/>
      <c r="C153" s="2"/>
      <c r="D153" s="2"/>
      <c r="E153" s="2"/>
      <c r="F153" s="2"/>
    </row>
    <row r="154" spans="1:6" ht="15.75" customHeight="1">
      <c r="A154" s="2"/>
      <c r="B154" s="2"/>
      <c r="C154" s="2"/>
      <c r="D154" s="2"/>
      <c r="E154" s="2"/>
      <c r="F154" s="2"/>
    </row>
    <row r="155" spans="1:6" ht="15.75" customHeight="1">
      <c r="A155" s="2"/>
      <c r="B155" s="2"/>
      <c r="C155" s="2"/>
      <c r="D155" s="2"/>
      <c r="E155" s="2"/>
      <c r="F155" s="2"/>
    </row>
    <row r="156" spans="1:6" ht="15.75" customHeight="1">
      <c r="A156" s="2"/>
      <c r="B156" s="2"/>
      <c r="C156" s="2"/>
      <c r="D156" s="2"/>
      <c r="E156" s="2"/>
      <c r="F156" s="2"/>
    </row>
    <row r="157" spans="1:6" ht="15.75" customHeight="1">
      <c r="A157" s="2"/>
      <c r="B157" s="2"/>
      <c r="C157" s="2"/>
      <c r="D157" s="2"/>
      <c r="E157" s="2"/>
      <c r="F157" s="2"/>
    </row>
    <row r="158" spans="1:6" ht="15.75" customHeight="1">
      <c r="A158" s="2"/>
      <c r="B158" s="2"/>
      <c r="C158" s="2"/>
      <c r="D158" s="2"/>
      <c r="E158" s="2"/>
      <c r="F158" s="2"/>
    </row>
    <row r="159" spans="1:6" ht="15.75" customHeight="1">
      <c r="A159" s="2"/>
      <c r="B159" s="2"/>
      <c r="C159" s="2"/>
      <c r="D159" s="2"/>
      <c r="E159" s="2"/>
      <c r="F159" s="2"/>
    </row>
    <row r="160" spans="1:6" ht="15.75" customHeight="1">
      <c r="A160" s="2"/>
      <c r="B160" s="2"/>
      <c r="C160" s="2"/>
      <c r="D160" s="2"/>
      <c r="E160" s="2"/>
      <c r="F160" s="2"/>
    </row>
    <row r="161" spans="1:6" ht="15.75" customHeight="1">
      <c r="A161" s="2"/>
      <c r="B161" s="2"/>
      <c r="C161" s="2"/>
      <c r="D161" s="2"/>
      <c r="E161" s="2"/>
      <c r="F161" s="2"/>
    </row>
    <row r="162" spans="1:6" ht="15.75" customHeight="1">
      <c r="A162" s="2"/>
      <c r="B162" s="2"/>
      <c r="C162" s="2"/>
      <c r="D162" s="2"/>
      <c r="E162" s="2"/>
      <c r="F162" s="2"/>
    </row>
    <row r="163" spans="1:6" ht="15.75" customHeight="1">
      <c r="A163" s="2"/>
      <c r="B163" s="2"/>
      <c r="C163" s="2"/>
      <c r="D163" s="2"/>
      <c r="E163" s="2"/>
      <c r="F163" s="2"/>
    </row>
    <row r="164" spans="1:6" ht="15.75" customHeight="1">
      <c r="A164" s="2"/>
      <c r="B164" s="2"/>
      <c r="C164" s="2"/>
      <c r="D164" s="2"/>
      <c r="E164" s="2"/>
      <c r="F164" s="2"/>
    </row>
    <row r="165" spans="1:6" ht="15.75" customHeight="1">
      <c r="A165" s="2"/>
      <c r="B165" s="2"/>
      <c r="C165" s="2"/>
      <c r="D165" s="2"/>
      <c r="E165" s="2"/>
      <c r="F165" s="2"/>
    </row>
    <row r="166" spans="1:6" ht="15.75" customHeight="1">
      <c r="A166" s="2"/>
      <c r="B166" s="2"/>
      <c r="C166" s="2"/>
      <c r="D166" s="2"/>
      <c r="E166" s="2"/>
      <c r="F166" s="2"/>
    </row>
    <row r="167" spans="1:6" ht="15.75" customHeight="1">
      <c r="A167" s="2"/>
      <c r="B167" s="2"/>
      <c r="C167" s="2"/>
      <c r="D167" s="2"/>
      <c r="E167" s="2"/>
      <c r="F167" s="2"/>
    </row>
    <row r="168" spans="1:6" ht="15.75" customHeight="1">
      <c r="A168" s="2"/>
      <c r="B168" s="2"/>
      <c r="C168" s="2"/>
      <c r="D168" s="2"/>
      <c r="E168" s="2"/>
      <c r="F168" s="2"/>
    </row>
    <row r="169" spans="1:6" ht="15.75" customHeight="1">
      <c r="A169" s="2"/>
      <c r="B169" s="2"/>
      <c r="C169" s="2"/>
      <c r="D169" s="2"/>
      <c r="E169" s="2"/>
      <c r="F169" s="2"/>
    </row>
    <row r="170" spans="1:6" ht="15.75" customHeight="1">
      <c r="A170" s="2"/>
      <c r="B170" s="2"/>
      <c r="C170" s="2"/>
      <c r="D170" s="2"/>
      <c r="E170" s="2"/>
      <c r="F170" s="2"/>
    </row>
    <row r="171" spans="1:6" ht="15.75" customHeight="1">
      <c r="A171" s="2"/>
      <c r="B171" s="2"/>
      <c r="C171" s="2"/>
      <c r="D171" s="2"/>
      <c r="E171" s="2"/>
      <c r="F171" s="2"/>
    </row>
    <row r="172" spans="1:6" ht="15.75" customHeight="1">
      <c r="A172" s="2"/>
      <c r="B172" s="2"/>
      <c r="C172" s="2"/>
      <c r="D172" s="2"/>
      <c r="E172" s="2"/>
      <c r="F172" s="2"/>
    </row>
    <row r="173" spans="1:6" ht="15.75" customHeight="1">
      <c r="A173" s="2"/>
      <c r="B173" s="2"/>
      <c r="C173" s="2"/>
      <c r="D173" s="2"/>
      <c r="E173" s="2"/>
      <c r="F173" s="2"/>
    </row>
    <row r="174" spans="1:6" ht="15.75" customHeight="1">
      <c r="A174" s="2"/>
      <c r="B174" s="2"/>
      <c r="C174" s="2"/>
      <c r="D174" s="2"/>
      <c r="E174" s="2"/>
      <c r="F174" s="2"/>
    </row>
    <row r="175" spans="1:6" ht="15.75" customHeight="1">
      <c r="A175" s="2"/>
      <c r="B175" s="2"/>
      <c r="C175" s="2"/>
      <c r="D175" s="2"/>
      <c r="E175" s="2"/>
      <c r="F175" s="2"/>
    </row>
    <row r="176" spans="1:6" ht="15.75" customHeight="1">
      <c r="A176" s="2"/>
      <c r="B176" s="2"/>
      <c r="C176" s="2"/>
      <c r="D176" s="2"/>
      <c r="E176" s="2"/>
      <c r="F176" s="2"/>
    </row>
    <row r="177" spans="1:6" ht="15.75" customHeight="1">
      <c r="A177" s="2"/>
      <c r="B177" s="2"/>
      <c r="C177" s="2"/>
      <c r="D177" s="2"/>
      <c r="E177" s="2"/>
      <c r="F177" s="2"/>
    </row>
    <row r="178" spans="1:6" ht="15.75" customHeight="1">
      <c r="A178" s="2"/>
      <c r="B178" s="2"/>
      <c r="C178" s="2"/>
      <c r="D178" s="2"/>
      <c r="E178" s="2"/>
      <c r="F178" s="2"/>
    </row>
    <row r="179" spans="1:6" ht="15.75" customHeight="1">
      <c r="A179" s="2"/>
      <c r="B179" s="2"/>
      <c r="C179" s="2"/>
      <c r="D179" s="2"/>
      <c r="E179" s="2"/>
      <c r="F179" s="2"/>
    </row>
    <row r="180" spans="1:6" ht="15.75" customHeight="1">
      <c r="A180" s="2"/>
      <c r="B180" s="2"/>
      <c r="C180" s="2"/>
      <c r="D180" s="2"/>
      <c r="E180" s="2"/>
      <c r="F180" s="2"/>
    </row>
    <row r="181" spans="1:6" ht="15.75" customHeight="1">
      <c r="A181" s="2"/>
      <c r="B181" s="2"/>
      <c r="C181" s="2"/>
      <c r="D181" s="2"/>
      <c r="E181" s="2"/>
      <c r="F181" s="2"/>
    </row>
    <row r="182" spans="1:6" ht="15.75" customHeight="1">
      <c r="A182" s="2"/>
      <c r="B182" s="2"/>
      <c r="C182" s="2"/>
      <c r="D182" s="2"/>
      <c r="E182" s="2"/>
      <c r="F182" s="2"/>
    </row>
    <row r="183" spans="1:6" ht="15.75" customHeight="1">
      <c r="A183" s="2"/>
      <c r="B183" s="2"/>
      <c r="C183" s="2"/>
      <c r="D183" s="2"/>
      <c r="E183" s="2"/>
      <c r="F183" s="2"/>
    </row>
    <row r="184" spans="1:6" ht="15.75" customHeight="1">
      <c r="A184" s="2"/>
      <c r="B184" s="2"/>
      <c r="C184" s="2"/>
      <c r="D184" s="2"/>
      <c r="E184" s="2"/>
      <c r="F184" s="2"/>
    </row>
    <row r="185" spans="1:6" ht="15.75" customHeight="1">
      <c r="A185" s="2"/>
      <c r="B185" s="2"/>
      <c r="C185" s="2"/>
      <c r="D185" s="2"/>
      <c r="E185" s="2"/>
      <c r="F185" s="2"/>
    </row>
    <row r="186" spans="1:6" ht="15.75" customHeight="1">
      <c r="A186" s="2"/>
      <c r="B186" s="2"/>
      <c r="C186" s="2"/>
      <c r="D186" s="2"/>
      <c r="E186" s="2"/>
      <c r="F186" s="2"/>
    </row>
    <row r="187" spans="1:6" ht="15.75" customHeight="1">
      <c r="A187" s="2"/>
      <c r="B187" s="2"/>
      <c r="C187" s="2"/>
      <c r="D187" s="2"/>
      <c r="E187" s="2"/>
      <c r="F187" s="2"/>
    </row>
    <row r="188" spans="1:6" ht="15.75" customHeight="1">
      <c r="A188" s="2"/>
      <c r="B188" s="2"/>
      <c r="C188" s="2"/>
      <c r="D188" s="2"/>
      <c r="E188" s="2"/>
      <c r="F188" s="2"/>
    </row>
    <row r="189" spans="1:6" ht="15.75" customHeight="1">
      <c r="A189" s="2"/>
      <c r="B189" s="2"/>
      <c r="C189" s="2"/>
      <c r="D189" s="2"/>
      <c r="E189" s="2"/>
      <c r="F189" s="2"/>
    </row>
    <row r="190" spans="1:6" ht="15.75" customHeight="1">
      <c r="A190" s="2"/>
      <c r="B190" s="2"/>
      <c r="C190" s="2"/>
      <c r="D190" s="2"/>
      <c r="E190" s="2"/>
      <c r="F190" s="2"/>
    </row>
    <row r="191" spans="1:6" ht="15.75" customHeight="1">
      <c r="A191" s="2"/>
      <c r="B191" s="2"/>
      <c r="C191" s="2"/>
      <c r="D191" s="2"/>
      <c r="E191" s="2"/>
      <c r="F191" s="2"/>
    </row>
    <row r="192" spans="1:6" ht="15.75" customHeight="1">
      <c r="A192" s="2"/>
      <c r="B192" s="2"/>
      <c r="C192" s="2"/>
      <c r="D192" s="2"/>
      <c r="E192" s="2"/>
      <c r="F192" s="2"/>
    </row>
    <row r="193" spans="1:6" ht="15.75" customHeight="1">
      <c r="A193" s="2"/>
      <c r="B193" s="2"/>
      <c r="C193" s="2"/>
      <c r="D193" s="2"/>
      <c r="E193" s="2"/>
      <c r="F193" s="2"/>
    </row>
    <row r="194" spans="1:6" ht="15.75" customHeight="1">
      <c r="A194" s="2"/>
      <c r="B194" s="2"/>
      <c r="C194" s="2"/>
      <c r="D194" s="2"/>
      <c r="E194" s="2"/>
      <c r="F194" s="2"/>
    </row>
    <row r="195" spans="1:6" ht="15.75" customHeight="1">
      <c r="A195" s="2"/>
      <c r="B195" s="2"/>
      <c r="C195" s="2"/>
      <c r="D195" s="2"/>
      <c r="E195" s="2"/>
      <c r="F195" s="2"/>
    </row>
    <row r="196" spans="1:6" ht="15.75" customHeight="1">
      <c r="A196" s="2"/>
      <c r="B196" s="2"/>
      <c r="C196" s="2"/>
      <c r="D196" s="2"/>
      <c r="E196" s="2"/>
      <c r="F196" s="2"/>
    </row>
    <row r="197" spans="1:6" ht="15.75" customHeight="1">
      <c r="A197" s="2"/>
      <c r="B197" s="2"/>
      <c r="C197" s="2"/>
      <c r="D197" s="2"/>
      <c r="E197" s="2"/>
      <c r="F197" s="2"/>
    </row>
    <row r="198" spans="1:6" ht="15.75" customHeight="1">
      <c r="A198" s="2"/>
      <c r="B198" s="2"/>
      <c r="C198" s="2"/>
      <c r="D198" s="2"/>
      <c r="E198" s="2"/>
      <c r="F198" s="2"/>
    </row>
    <row r="199" spans="1:6" ht="15.75" customHeight="1">
      <c r="A199" s="2"/>
      <c r="B199" s="2"/>
      <c r="C199" s="2"/>
      <c r="D199" s="2"/>
      <c r="E199" s="2"/>
      <c r="F199" s="2"/>
    </row>
    <row r="200" spans="1:6" ht="15.75" customHeight="1">
      <c r="A200" s="2"/>
      <c r="B200" s="2"/>
      <c r="C200" s="2"/>
      <c r="D200" s="2"/>
      <c r="E200" s="2"/>
      <c r="F200" s="2"/>
    </row>
    <row r="201" spans="1:6" ht="15.75" customHeight="1">
      <c r="A201" s="2"/>
      <c r="B201" s="2"/>
      <c r="C201" s="2"/>
      <c r="D201" s="2"/>
      <c r="E201" s="2"/>
      <c r="F201" s="2"/>
    </row>
    <row r="202" spans="1:6" ht="15.75" customHeight="1">
      <c r="A202" s="2"/>
      <c r="B202" s="2"/>
      <c r="C202" s="2"/>
      <c r="D202" s="2"/>
      <c r="E202" s="2"/>
      <c r="F202" s="2"/>
    </row>
    <row r="203" spans="1:6" ht="15.75" customHeight="1">
      <c r="A203" s="2"/>
      <c r="B203" s="2"/>
      <c r="C203" s="2"/>
      <c r="D203" s="2"/>
      <c r="E203" s="2"/>
      <c r="F203" s="2"/>
    </row>
    <row r="204" spans="1:6" ht="15.75" customHeight="1">
      <c r="A204" s="2"/>
      <c r="B204" s="2"/>
      <c r="C204" s="2"/>
      <c r="D204" s="2"/>
      <c r="E204" s="2"/>
      <c r="F204" s="2"/>
    </row>
    <row r="205" spans="1:6" ht="15.75" customHeight="1">
      <c r="A205" s="2"/>
      <c r="B205" s="2"/>
      <c r="C205" s="2"/>
      <c r="D205" s="2"/>
      <c r="E205" s="2"/>
      <c r="F205" s="2"/>
    </row>
    <row r="206" spans="1:6" ht="15.75" customHeight="1">
      <c r="A206" s="2"/>
      <c r="B206" s="2"/>
      <c r="C206" s="2"/>
      <c r="D206" s="2"/>
      <c r="E206" s="2"/>
      <c r="F206" s="2"/>
    </row>
    <row r="207" spans="1:6" ht="15.75" customHeight="1">
      <c r="A207" s="2"/>
      <c r="B207" s="2"/>
      <c r="C207" s="2"/>
      <c r="D207" s="2"/>
      <c r="E207" s="2"/>
      <c r="F207" s="2"/>
    </row>
    <row r="208" spans="1:6" ht="15.75" customHeight="1">
      <c r="A208" s="2"/>
      <c r="B208" s="2"/>
      <c r="C208" s="2"/>
      <c r="D208" s="2"/>
      <c r="E208" s="2"/>
      <c r="F208" s="2"/>
    </row>
    <row r="209" spans="1:6" ht="15.75" customHeight="1">
      <c r="A209" s="2"/>
      <c r="B209" s="2"/>
      <c r="C209" s="2"/>
      <c r="D209" s="2"/>
      <c r="E209" s="2"/>
      <c r="F209" s="2"/>
    </row>
    <row r="210" spans="1:6" ht="15.75" customHeight="1">
      <c r="A210" s="2"/>
      <c r="B210" s="2"/>
      <c r="C210" s="2"/>
      <c r="D210" s="2"/>
      <c r="E210" s="2"/>
      <c r="F210" s="2"/>
    </row>
    <row r="211" spans="1:6" ht="15.75" customHeight="1">
      <c r="A211" s="2"/>
      <c r="B211" s="2"/>
      <c r="C211" s="2"/>
      <c r="D211" s="2"/>
      <c r="E211" s="2"/>
      <c r="F211" s="2"/>
    </row>
    <row r="212" spans="1:6" ht="15.75" customHeight="1">
      <c r="A212" s="2"/>
      <c r="B212" s="2"/>
      <c r="C212" s="2"/>
      <c r="D212" s="2"/>
      <c r="E212" s="2"/>
      <c r="F212" s="2"/>
    </row>
    <row r="213" spans="1:6" ht="15.75" customHeight="1">
      <c r="A213" s="2"/>
      <c r="B213" s="2"/>
      <c r="C213" s="2"/>
      <c r="D213" s="2"/>
      <c r="E213" s="2"/>
      <c r="F213" s="2"/>
    </row>
    <row r="214" spans="1:6" ht="15.75" customHeight="1">
      <c r="A214" s="2"/>
      <c r="B214" s="2"/>
      <c r="C214" s="2"/>
      <c r="D214" s="2"/>
      <c r="E214" s="2"/>
      <c r="F214" s="2"/>
    </row>
    <row r="215" spans="1:6" ht="15.75" customHeight="1">
      <c r="A215" s="2"/>
      <c r="B215" s="2"/>
      <c r="C215" s="2"/>
      <c r="D215" s="2"/>
      <c r="E215" s="2"/>
      <c r="F215" s="2"/>
    </row>
    <row r="216" spans="1:6" ht="15.75" customHeight="1">
      <c r="A216" s="2"/>
      <c r="B216" s="2"/>
      <c r="C216" s="2"/>
      <c r="D216" s="2"/>
      <c r="E216" s="2"/>
      <c r="F216" s="2"/>
    </row>
    <row r="217" spans="1:6" ht="15.75" customHeight="1">
      <c r="A217" s="2"/>
      <c r="B217" s="2"/>
      <c r="C217" s="2"/>
      <c r="D217" s="2"/>
      <c r="E217" s="2"/>
      <c r="F217" s="2"/>
    </row>
    <row r="218" spans="1:6" ht="15.75" customHeight="1">
      <c r="A218" s="2"/>
      <c r="B218" s="2"/>
      <c r="C218" s="2"/>
      <c r="D218" s="2"/>
      <c r="E218" s="2"/>
      <c r="F218" s="2"/>
    </row>
    <row r="219" spans="1:6" ht="15.75" customHeight="1">
      <c r="A219" s="2"/>
      <c r="B219" s="2"/>
      <c r="C219" s="2"/>
      <c r="D219" s="2"/>
      <c r="E219" s="2"/>
      <c r="F219" s="2"/>
    </row>
    <row r="220" spans="1:6" ht="15.75" customHeight="1">
      <c r="A220" s="2"/>
      <c r="B220" s="2"/>
      <c r="C220" s="2"/>
      <c r="D220" s="2"/>
      <c r="E220" s="2"/>
      <c r="F220" s="2"/>
    </row>
    <row r="221" spans="1:6" ht="15.75" customHeight="1">
      <c r="A221" s="2"/>
      <c r="B221" s="2"/>
      <c r="C221" s="2"/>
      <c r="D221" s="2"/>
      <c r="E221" s="2"/>
      <c r="F221" s="2"/>
    </row>
    <row r="222" spans="1:6" ht="15.75" customHeight="1">
      <c r="A222" s="2"/>
      <c r="B222" s="2"/>
      <c r="C222" s="2"/>
      <c r="D222" s="2"/>
      <c r="E222" s="2"/>
      <c r="F222" s="2"/>
    </row>
    <row r="223" spans="1:6" ht="15.75" customHeight="1">
      <c r="A223" s="2"/>
      <c r="B223" s="2"/>
      <c r="C223" s="2"/>
      <c r="D223" s="2"/>
      <c r="E223" s="2"/>
      <c r="F223" s="2"/>
    </row>
    <row r="224" spans="1: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D2:D6"/>
    <mergeCell ref="D7:D10"/>
    <mergeCell ref="D11:D13"/>
    <mergeCell ref="D14:D15"/>
  </mergeCells>
  <pageMargins left="0.75" right="0.75" top="1" bottom="1"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79"/>
  <sheetViews>
    <sheetView workbookViewId="0"/>
  </sheetViews>
  <sheetFormatPr defaultColWidth="14.42578125" defaultRowHeight="15" customHeight="1"/>
  <cols>
    <col min="2" max="2" width="19" customWidth="1"/>
  </cols>
  <sheetData>
    <row r="1" spans="1:3">
      <c r="A1" s="3" t="s">
        <v>44</v>
      </c>
      <c r="B1" s="3" t="s">
        <v>14</v>
      </c>
    </row>
    <row r="2" spans="1:3">
      <c r="A2" s="3" t="s">
        <v>51</v>
      </c>
      <c r="B2" s="3" t="s">
        <v>24</v>
      </c>
      <c r="C2" s="156" t="str">
        <f ca="1">IFERROR(
  _xludf.MINIFS(ATTENDANCE_LOG!$F:$F,
         ATTENDANCE_LOG!$A:$A, A2,
         ATTENDANCE_LOG!$B:$B, B2),
"")</f>
        <v/>
      </c>
    </row>
    <row r="3" spans="1:3">
      <c r="A3" s="3" t="s">
        <v>51</v>
      </c>
      <c r="B3" s="3" t="s">
        <v>21</v>
      </c>
      <c r="C3" s="156" t="str">
        <f ca="1">IFERROR(
  _xludf.MINIFS(ATTENDANCE_LOG!$F:$F,
         ATTENDANCE_LOG!$A:$A, A3,
         ATTENDANCE_LOG!$B:$B, B3),
"")</f>
        <v/>
      </c>
    </row>
    <row r="4" spans="1:3">
      <c r="A4" s="3" t="s">
        <v>51</v>
      </c>
      <c r="B4" s="3" t="s">
        <v>22</v>
      </c>
      <c r="C4" s="156" t="str">
        <f ca="1">IFERROR(
  _xludf.MINIFS(ATTENDANCE_LOG!$F:$F,
         ATTENDANCE_LOG!$A:$A, A4,
         ATTENDANCE_LOG!$B:$B, B4),
"")</f>
        <v/>
      </c>
    </row>
    <row r="5" spans="1:3">
      <c r="A5" s="3" t="s">
        <v>52</v>
      </c>
      <c r="B5" s="3" t="s">
        <v>21</v>
      </c>
      <c r="C5" s="156" t="str">
        <f ca="1">IFERROR(
  _xludf.MINIFS(ATTENDANCE_LOG!$F:$F,
         ATTENDANCE_LOG!$A:$A, A5,
         ATTENDANCE_LOG!$B:$B, B5),
"")</f>
        <v/>
      </c>
    </row>
    <row r="6" spans="1:3">
      <c r="A6" s="3" t="s">
        <v>53</v>
      </c>
      <c r="B6" s="3" t="s">
        <v>21</v>
      </c>
      <c r="C6" s="156" t="str">
        <f ca="1">IFERROR(
  _xludf.MINIFS(ATTENDANCE_LOG!$F:$F,
         ATTENDANCE_LOG!$A:$A, A6,
         ATTENDANCE_LOG!$B:$B, B6),
"")</f>
        <v/>
      </c>
    </row>
    <row r="7" spans="1:3">
      <c r="A7" s="3" t="s">
        <v>54</v>
      </c>
      <c r="B7" s="3" t="s">
        <v>21</v>
      </c>
      <c r="C7" s="156" t="str">
        <f ca="1">IFERROR(
  _xludf.MINIFS(ATTENDANCE_LOG!$F:$F,
         ATTENDANCE_LOG!$A:$A, A7,
         ATTENDANCE_LOG!$B:$B, B7),
"")</f>
        <v/>
      </c>
    </row>
    <row r="8" spans="1:3">
      <c r="A8" s="3" t="s">
        <v>54</v>
      </c>
      <c r="B8" s="3" t="s">
        <v>22</v>
      </c>
      <c r="C8" s="156" t="str">
        <f ca="1">IFERROR(
  _xludf.MINIFS(ATTENDANCE_LOG!$F:$F,
         ATTENDANCE_LOG!$A:$A, A8,
         ATTENDANCE_LOG!$B:$B, B8),
"")</f>
        <v/>
      </c>
    </row>
    <row r="9" spans="1:3">
      <c r="A9" s="3" t="s">
        <v>55</v>
      </c>
      <c r="B9" s="3" t="s">
        <v>21</v>
      </c>
      <c r="C9" s="156" t="str">
        <f ca="1">IFERROR(
  _xludf.MINIFS(ATTENDANCE_LOG!$F:$F,
         ATTENDANCE_LOG!$A:$A, A9,
         ATTENDANCE_LOG!$B:$B, B9),
"")</f>
        <v/>
      </c>
    </row>
    <row r="10" spans="1:3">
      <c r="A10" s="3" t="s">
        <v>56</v>
      </c>
      <c r="B10" s="3" t="s">
        <v>21</v>
      </c>
      <c r="C10" s="156" t="str">
        <f ca="1">IFERROR(
  _xludf.MINIFS(ATTENDANCE_LOG!$F:$F,
         ATTENDANCE_LOG!$A:$A, A10,
         ATTENDANCE_LOG!$B:$B, B10),
"")</f>
        <v/>
      </c>
    </row>
    <row r="11" spans="1:3">
      <c r="A11" s="3" t="s">
        <v>57</v>
      </c>
      <c r="B11" s="3" t="s">
        <v>21</v>
      </c>
      <c r="C11" s="156" t="str">
        <f ca="1">IFERROR(
  _xludf.MINIFS(ATTENDANCE_LOG!$F:$F,
         ATTENDANCE_LOG!$A:$A, A11,
         ATTENDANCE_LOG!$B:$B, B11),
"")</f>
        <v/>
      </c>
    </row>
    <row r="12" spans="1:3">
      <c r="A12" s="3" t="s">
        <v>57</v>
      </c>
      <c r="B12" s="3" t="s">
        <v>22</v>
      </c>
      <c r="C12" s="156" t="str">
        <f ca="1">IFERROR(
  _xludf.MINIFS(ATTENDANCE_LOG!$F:$F,
         ATTENDANCE_LOG!$A:$A, A12,
         ATTENDANCE_LOG!$B:$B, B12),
"")</f>
        <v/>
      </c>
    </row>
    <row r="13" spans="1:3">
      <c r="A13" s="3" t="s">
        <v>58</v>
      </c>
      <c r="B13" s="3" t="s">
        <v>21</v>
      </c>
      <c r="C13" s="156" t="str">
        <f ca="1">IFERROR(
  _xludf.MINIFS(ATTENDANCE_LOG!$F:$F,
         ATTENDANCE_LOG!$A:$A, A13,
         ATTENDANCE_LOG!$B:$B, B13),
"")</f>
        <v/>
      </c>
    </row>
    <row r="14" spans="1:3">
      <c r="A14" s="3" t="s">
        <v>58</v>
      </c>
      <c r="B14" s="3" t="s">
        <v>22</v>
      </c>
      <c r="C14" s="156" t="str">
        <f ca="1">IFERROR(
  _xludf.MINIFS(ATTENDANCE_LOG!$F:$F,
         ATTENDANCE_LOG!$A:$A, A14,
         ATTENDANCE_LOG!$B:$B, B14),
"")</f>
        <v/>
      </c>
    </row>
    <row r="15" spans="1:3">
      <c r="A15" s="3" t="s">
        <v>59</v>
      </c>
      <c r="B15" s="3" t="s">
        <v>21</v>
      </c>
      <c r="C15" s="156" t="str">
        <f ca="1">IFERROR(
  _xludf.MINIFS(ATTENDANCE_LOG!$F:$F,
         ATTENDANCE_LOG!$A:$A, A15,
         ATTENDANCE_LOG!$B:$B, B15),
"")</f>
        <v/>
      </c>
    </row>
    <row r="16" spans="1:3">
      <c r="A16" s="3" t="s">
        <v>59</v>
      </c>
      <c r="B16" s="3" t="s">
        <v>22</v>
      </c>
      <c r="C16" s="156" t="str">
        <f ca="1">IFERROR(
  _xludf.MINIFS(ATTENDANCE_LOG!$F:$F,
         ATTENDANCE_LOG!$A:$A, A16,
         ATTENDANCE_LOG!$B:$B, B16),
"")</f>
        <v/>
      </c>
    </row>
    <row r="17" spans="1:3">
      <c r="A17" s="3" t="s">
        <v>60</v>
      </c>
      <c r="B17" s="3" t="s">
        <v>21</v>
      </c>
      <c r="C17" s="156" t="str">
        <f ca="1">IFERROR(
  _xludf.MINIFS(ATTENDANCE_LOG!$F:$F,
         ATTENDANCE_LOG!$A:$A, A17,
         ATTENDANCE_LOG!$B:$B, B17),
"")</f>
        <v/>
      </c>
    </row>
    <row r="18" spans="1:3">
      <c r="A18" s="3" t="s">
        <v>60</v>
      </c>
      <c r="B18" s="3" t="s">
        <v>22</v>
      </c>
      <c r="C18" s="156" t="str">
        <f ca="1">IFERROR(
  _xludf.MINIFS(ATTENDANCE_LOG!$F:$F,
         ATTENDANCE_LOG!$A:$A, A18,
         ATTENDANCE_LOG!$B:$B, B18),
"")</f>
        <v/>
      </c>
    </row>
    <row r="19" spans="1:3">
      <c r="A19" s="3" t="s">
        <v>61</v>
      </c>
      <c r="B19" s="3" t="s">
        <v>21</v>
      </c>
      <c r="C19" s="156" t="str">
        <f ca="1">IFERROR(
  _xludf.MINIFS(ATTENDANCE_LOG!$F:$F,
         ATTENDANCE_LOG!$A:$A, A19,
         ATTENDANCE_LOG!$B:$B, B19),
"")</f>
        <v/>
      </c>
    </row>
    <row r="20" spans="1:3">
      <c r="A20" s="3" t="s">
        <v>62</v>
      </c>
      <c r="B20" s="3" t="s">
        <v>21</v>
      </c>
      <c r="C20" s="156" t="str">
        <f ca="1">IFERROR(
  _xludf.MINIFS(ATTENDANCE_LOG!$F:$F,
         ATTENDANCE_LOG!$A:$A, A20,
         ATTENDANCE_LOG!$B:$B, B20),
"")</f>
        <v/>
      </c>
    </row>
    <row r="21" spans="1:3">
      <c r="A21" s="3" t="s">
        <v>63</v>
      </c>
      <c r="B21" s="3" t="s">
        <v>21</v>
      </c>
      <c r="C21" s="156" t="str">
        <f ca="1">IFERROR(
  _xludf.MINIFS(ATTENDANCE_LOG!$F:$F,
         ATTENDANCE_LOG!$A:$A, A21,
         ATTENDANCE_LOG!$B:$B, B21),
"")</f>
        <v/>
      </c>
    </row>
    <row r="22" spans="1:3">
      <c r="A22" s="3" t="s">
        <v>63</v>
      </c>
      <c r="B22" s="3" t="s">
        <v>22</v>
      </c>
      <c r="C22" s="156" t="str">
        <f ca="1">IFERROR(
  _xludf.MINIFS(ATTENDANCE_LOG!$F:$F,
         ATTENDANCE_LOG!$A:$A, A22,
         ATTENDANCE_LOG!$B:$B, B22),
"")</f>
        <v/>
      </c>
    </row>
    <row r="23" spans="1:3">
      <c r="A23" s="3" t="s">
        <v>63</v>
      </c>
      <c r="B23" s="3" t="s">
        <v>23</v>
      </c>
      <c r="C23" s="156" t="str">
        <f ca="1">IFERROR(
  _xludf.MINIFS(ATTENDANCE_LOG!$F:$F,
         ATTENDANCE_LOG!$A:$A, A23,
         ATTENDANCE_LOG!$B:$B, B23),
"")</f>
        <v/>
      </c>
    </row>
    <row r="24" spans="1:3">
      <c r="A24" s="3" t="s">
        <v>64</v>
      </c>
      <c r="B24" s="3" t="s">
        <v>21</v>
      </c>
      <c r="C24" s="156" t="str">
        <f ca="1">IFERROR(
  _xludf.MINIFS(ATTENDANCE_LOG!$F:$F,
         ATTENDANCE_LOG!$A:$A, A24,
         ATTENDANCE_LOG!$B:$B, B24),
"")</f>
        <v/>
      </c>
    </row>
    <row r="25" spans="1:3">
      <c r="A25" s="3" t="s">
        <v>65</v>
      </c>
      <c r="B25" s="3" t="s">
        <v>21</v>
      </c>
      <c r="C25" s="156" t="str">
        <f ca="1">IFERROR(
  _xludf.MINIFS(ATTENDANCE_LOG!$F:$F,
         ATTENDANCE_LOG!$A:$A, A25,
         ATTENDANCE_LOG!$B:$B, B25),
"")</f>
        <v/>
      </c>
    </row>
    <row r="26" spans="1:3">
      <c r="A26" s="3" t="s">
        <v>65</v>
      </c>
      <c r="B26" s="3" t="s">
        <v>22</v>
      </c>
      <c r="C26" s="156" t="str">
        <f ca="1">IFERROR(
  _xludf.MINIFS(ATTENDANCE_LOG!$F:$F,
         ATTENDANCE_LOG!$A:$A, A26,
         ATTENDANCE_LOG!$B:$B, B26),
"")</f>
        <v/>
      </c>
    </row>
    <row r="27" spans="1:3">
      <c r="A27" s="3" t="s">
        <v>66</v>
      </c>
      <c r="B27" s="3" t="s">
        <v>21</v>
      </c>
      <c r="C27" s="156" t="str">
        <f ca="1">IFERROR(
  _xludf.MINIFS(ATTENDANCE_LOG!$F:$F,
         ATTENDANCE_LOG!$A:$A, A27,
         ATTENDANCE_LOG!$B:$B, B27),
"")</f>
        <v/>
      </c>
    </row>
    <row r="28" spans="1:3">
      <c r="A28" s="3" t="s">
        <v>67</v>
      </c>
      <c r="B28" s="3" t="s">
        <v>21</v>
      </c>
      <c r="C28" s="156" t="str">
        <f ca="1">IFERROR(
  _xludf.MINIFS(ATTENDANCE_LOG!$F:$F,
         ATTENDANCE_LOG!$A:$A, A28,
         ATTENDANCE_LOG!$B:$B, B28),
"")</f>
        <v/>
      </c>
    </row>
    <row r="29" spans="1:3">
      <c r="A29" s="3" t="s">
        <v>68</v>
      </c>
      <c r="B29" s="3" t="s">
        <v>21</v>
      </c>
      <c r="C29" s="156" t="str">
        <f ca="1">IFERROR(
  _xludf.MINIFS(ATTENDANCE_LOG!$F:$F,
         ATTENDANCE_LOG!$A:$A, A29,
         ATTENDANCE_LOG!$B:$B, B29),
"")</f>
        <v/>
      </c>
    </row>
    <row r="30" spans="1:3">
      <c r="A30" s="3" t="s">
        <v>68</v>
      </c>
      <c r="B30" s="3" t="s">
        <v>22</v>
      </c>
      <c r="C30" s="156" t="str">
        <f ca="1">IFERROR(
  _xludf.MINIFS(ATTENDANCE_LOG!$F:$F,
         ATTENDANCE_LOG!$A:$A, A30,
         ATTENDANCE_LOG!$B:$B, B30),
"")</f>
        <v/>
      </c>
    </row>
    <row r="31" spans="1:3">
      <c r="A31" s="3" t="s">
        <v>69</v>
      </c>
      <c r="B31" s="3" t="s">
        <v>21</v>
      </c>
      <c r="C31" s="156" t="str">
        <f ca="1">IFERROR(
  _xludf.MINIFS(ATTENDANCE_LOG!$F:$F,
         ATTENDANCE_LOG!$A:$A, A31,
         ATTENDANCE_LOG!$B:$B, B31),
"")</f>
        <v/>
      </c>
    </row>
    <row r="32" spans="1:3">
      <c r="A32" s="3" t="s">
        <v>70</v>
      </c>
      <c r="B32" s="3" t="s">
        <v>21</v>
      </c>
      <c r="C32" s="156" t="str">
        <f ca="1">IFERROR(
  _xludf.MINIFS(ATTENDANCE_LOG!$F:$F,
         ATTENDANCE_LOG!$A:$A, A32,
         ATTENDANCE_LOG!$B:$B, B32),
"")</f>
        <v/>
      </c>
    </row>
    <row r="33" spans="1:3">
      <c r="A33" s="3" t="s">
        <v>70</v>
      </c>
      <c r="B33" s="3" t="s">
        <v>22</v>
      </c>
      <c r="C33" s="156" t="str">
        <f ca="1">IFERROR(
  _xludf.MINIFS(ATTENDANCE_LOG!$F:$F,
         ATTENDANCE_LOG!$A:$A, A33,
         ATTENDANCE_LOG!$B:$B, B33),
"")</f>
        <v/>
      </c>
    </row>
    <row r="34" spans="1:3">
      <c r="A34" s="3" t="s">
        <v>71</v>
      </c>
      <c r="B34" s="3" t="s">
        <v>24</v>
      </c>
      <c r="C34" s="156" t="str">
        <f ca="1">IFERROR(
  _xludf.MINIFS(ATTENDANCE_LOG!$F:$F,
         ATTENDANCE_LOG!$A:$A, A34,
         ATTENDANCE_LOG!$B:$B, B34),
"")</f>
        <v/>
      </c>
    </row>
    <row r="35" spans="1:3">
      <c r="A35" s="3" t="s">
        <v>72</v>
      </c>
      <c r="B35" s="3" t="s">
        <v>21</v>
      </c>
      <c r="C35" s="156" t="str">
        <f ca="1">IFERROR(
  _xludf.MINIFS(ATTENDANCE_LOG!$F:$F,
         ATTENDANCE_LOG!$A:$A, A35,
         ATTENDANCE_LOG!$B:$B, B35),
"")</f>
        <v/>
      </c>
    </row>
    <row r="36" spans="1:3">
      <c r="A36" s="3" t="s">
        <v>72</v>
      </c>
      <c r="B36" s="3" t="s">
        <v>22</v>
      </c>
      <c r="C36" s="156" t="str">
        <f ca="1">IFERROR(
  _xludf.MINIFS(ATTENDANCE_LOG!$F:$F,
         ATTENDANCE_LOG!$A:$A, A36,
         ATTENDANCE_LOG!$B:$B, B36),
"")</f>
        <v/>
      </c>
    </row>
    <row r="37" spans="1:3">
      <c r="A37" s="3" t="s">
        <v>72</v>
      </c>
      <c r="B37" s="3" t="s">
        <v>23</v>
      </c>
      <c r="C37" s="156" t="str">
        <f ca="1">IFERROR(
  _xludf.MINIFS(ATTENDANCE_LOG!$F:$F,
         ATTENDANCE_LOG!$A:$A, A37,
         ATTENDANCE_LOG!$B:$B, B37),
"")</f>
        <v/>
      </c>
    </row>
    <row r="38" spans="1:3">
      <c r="A38" s="3" t="s">
        <v>73</v>
      </c>
      <c r="B38" s="3" t="s">
        <v>21</v>
      </c>
      <c r="C38" s="156" t="str">
        <f ca="1">IFERROR(
  _xludf.MINIFS(ATTENDANCE_LOG!$F:$F,
         ATTENDANCE_LOG!$A:$A, A38,
         ATTENDANCE_LOG!$B:$B, B38),
"")</f>
        <v/>
      </c>
    </row>
    <row r="39" spans="1:3">
      <c r="A39" s="3" t="s">
        <v>74</v>
      </c>
      <c r="B39" s="3" t="s">
        <v>21</v>
      </c>
      <c r="C39" s="156" t="str">
        <f ca="1">IFERROR(
  _xludf.MINIFS(ATTENDANCE_LOG!$F:$F,
         ATTENDANCE_LOG!$A:$A, A39,
         ATTENDANCE_LOG!$B:$B, B39),
"")</f>
        <v/>
      </c>
    </row>
    <row r="40" spans="1:3">
      <c r="A40" s="3" t="s">
        <v>74</v>
      </c>
      <c r="B40" s="3" t="s">
        <v>22</v>
      </c>
      <c r="C40" s="156" t="str">
        <f ca="1">IFERROR(
  _xludf.MINIFS(ATTENDANCE_LOG!$F:$F,
         ATTENDANCE_LOG!$A:$A, A40,
         ATTENDANCE_LOG!$B:$B, B40),
"")</f>
        <v/>
      </c>
    </row>
    <row r="41" spans="1:3">
      <c r="A41" s="3" t="s">
        <v>74</v>
      </c>
      <c r="B41" s="3" t="s">
        <v>25</v>
      </c>
      <c r="C41" s="156" t="str">
        <f ca="1">IFERROR(
  _xludf.MINIFS(ATTENDANCE_LOG!$F:$F,
         ATTENDANCE_LOG!$A:$A, A41,
         ATTENDANCE_LOG!$B:$B, B41),
"")</f>
        <v/>
      </c>
    </row>
    <row r="42" spans="1:3">
      <c r="A42" s="3" t="s">
        <v>75</v>
      </c>
      <c r="B42" s="3" t="s">
        <v>21</v>
      </c>
      <c r="C42" s="156" t="str">
        <f ca="1">IFERROR(
  _xludf.MINIFS(ATTENDANCE_LOG!$F:$F,
         ATTENDANCE_LOG!$A:$A, A42,
         ATTENDANCE_LOG!$B:$B, B42),
"")</f>
        <v/>
      </c>
    </row>
    <row r="43" spans="1:3">
      <c r="A43" s="3" t="s">
        <v>75</v>
      </c>
      <c r="B43" s="3" t="s">
        <v>22</v>
      </c>
      <c r="C43" s="156" t="str">
        <f ca="1">IFERROR(
  _xludf.MINIFS(ATTENDANCE_LOG!$F:$F,
         ATTENDANCE_LOG!$A:$A, A43,
         ATTENDANCE_LOG!$B:$B, B43),
"")</f>
        <v/>
      </c>
    </row>
    <row r="44" spans="1:3">
      <c r="A44" s="3" t="s">
        <v>76</v>
      </c>
      <c r="B44" s="3" t="s">
        <v>21</v>
      </c>
      <c r="C44" s="156" t="str">
        <f ca="1">IFERROR(
  _xludf.MINIFS(ATTENDANCE_LOG!$F:$F,
         ATTENDANCE_LOG!$A:$A, A44,
         ATTENDANCE_LOG!$B:$B, B44),
"")</f>
        <v/>
      </c>
    </row>
    <row r="45" spans="1:3">
      <c r="A45" s="3" t="s">
        <v>76</v>
      </c>
      <c r="B45" s="3" t="s">
        <v>22</v>
      </c>
      <c r="C45" s="156" t="str">
        <f ca="1">IFERROR(
  _xludf.MINIFS(ATTENDANCE_LOG!$F:$F,
         ATTENDANCE_LOG!$A:$A, A45,
         ATTENDANCE_LOG!$B:$B, B45),
"")</f>
        <v/>
      </c>
    </row>
    <row r="46" spans="1:3">
      <c r="A46" s="3" t="s">
        <v>77</v>
      </c>
      <c r="B46" s="3" t="s">
        <v>21</v>
      </c>
      <c r="C46" s="156" t="str">
        <f ca="1">IFERROR(
  _xludf.MINIFS(ATTENDANCE_LOG!$F:$F,
         ATTENDANCE_LOG!$A:$A, A46,
         ATTENDANCE_LOG!$B:$B, B46),
"")</f>
        <v/>
      </c>
    </row>
    <row r="47" spans="1:3">
      <c r="A47" s="3" t="s">
        <v>77</v>
      </c>
      <c r="B47" s="3" t="s">
        <v>22</v>
      </c>
      <c r="C47" s="156" t="str">
        <f ca="1">IFERROR(
  _xludf.MINIFS(ATTENDANCE_LOG!$F:$F,
         ATTENDANCE_LOG!$A:$A, A47,
         ATTENDANCE_LOG!$B:$B, B47),
"")</f>
        <v/>
      </c>
    </row>
    <row r="48" spans="1:3">
      <c r="A48" s="3" t="s">
        <v>77</v>
      </c>
      <c r="B48" s="3" t="s">
        <v>23</v>
      </c>
      <c r="C48" s="156" t="str">
        <f ca="1">IFERROR(
  _xludf.MINIFS(ATTENDANCE_LOG!$F:$F,
         ATTENDANCE_LOG!$A:$A, A48,
         ATTENDANCE_LOG!$B:$B, B48),
"")</f>
        <v/>
      </c>
    </row>
    <row r="49" spans="1:3">
      <c r="A49" s="3" t="s">
        <v>78</v>
      </c>
      <c r="B49" s="3" t="s">
        <v>21</v>
      </c>
      <c r="C49" s="156" t="str">
        <f ca="1">IFERROR(
  _xludf.MINIFS(ATTENDANCE_LOG!$F:$F,
         ATTENDANCE_LOG!$A:$A, A49,
         ATTENDANCE_LOG!$B:$B, B49),
"")</f>
        <v/>
      </c>
    </row>
    <row r="50" spans="1:3">
      <c r="A50" s="3" t="s">
        <v>79</v>
      </c>
      <c r="B50" s="3" t="s">
        <v>21</v>
      </c>
      <c r="C50" s="156" t="str">
        <f ca="1">IFERROR(
  _xludf.MINIFS(ATTENDANCE_LOG!$F:$F,
         ATTENDANCE_LOG!$A:$A, A50,
         ATTENDANCE_LOG!$B:$B, B50),
"")</f>
        <v/>
      </c>
    </row>
    <row r="51" spans="1:3">
      <c r="A51" s="3" t="s">
        <v>80</v>
      </c>
      <c r="B51" s="3" t="s">
        <v>21</v>
      </c>
      <c r="C51" s="156" t="str">
        <f ca="1">IFERROR(
  _xludf.MINIFS(ATTENDANCE_LOG!$F:$F,
         ATTENDANCE_LOG!$A:$A, A51,
         ATTENDANCE_LOG!$B:$B, B51),
"")</f>
        <v/>
      </c>
    </row>
    <row r="52" spans="1:3">
      <c r="A52" s="3" t="s">
        <v>81</v>
      </c>
      <c r="B52" s="3" t="s">
        <v>21</v>
      </c>
      <c r="C52" s="156" t="str">
        <f ca="1">IFERROR(
  _xludf.MINIFS(ATTENDANCE_LOG!$F:$F,
         ATTENDANCE_LOG!$A:$A, A52,
         ATTENDANCE_LOG!$B:$B, B52),
"")</f>
        <v/>
      </c>
    </row>
    <row r="53" spans="1:3">
      <c r="A53" s="3" t="s">
        <v>82</v>
      </c>
      <c r="B53" s="3" t="s">
        <v>21</v>
      </c>
      <c r="C53" s="156" t="str">
        <f ca="1">IFERROR(
  _xludf.MINIFS(ATTENDANCE_LOG!$F:$F,
         ATTENDANCE_LOG!$A:$A, A53,
         ATTENDANCE_LOG!$B:$B, B53),
"")</f>
        <v/>
      </c>
    </row>
    <row r="54" spans="1:3">
      <c r="A54" s="3" t="s">
        <v>82</v>
      </c>
      <c r="B54" s="3" t="s">
        <v>22</v>
      </c>
      <c r="C54" s="156" t="str">
        <f ca="1">IFERROR(
  _xludf.MINIFS(ATTENDANCE_LOG!$F:$F,
         ATTENDANCE_LOG!$A:$A, A54,
         ATTENDANCE_LOG!$B:$B, B54),
"")</f>
        <v/>
      </c>
    </row>
    <row r="55" spans="1:3">
      <c r="A55" s="3" t="s">
        <v>83</v>
      </c>
      <c r="B55" s="3" t="s">
        <v>21</v>
      </c>
      <c r="C55" s="156" t="str">
        <f ca="1">IFERROR(
  _xludf.MINIFS(ATTENDANCE_LOG!$F:$F,
         ATTENDANCE_LOG!$A:$A, A55,
         ATTENDANCE_LOG!$B:$B, B55),
"")</f>
        <v/>
      </c>
    </row>
    <row r="56" spans="1:3">
      <c r="A56" s="3" t="s">
        <v>83</v>
      </c>
      <c r="B56" s="3" t="s">
        <v>22</v>
      </c>
      <c r="C56" s="156" t="str">
        <f ca="1">IFERROR(
  _xludf.MINIFS(ATTENDANCE_LOG!$F:$F,
         ATTENDANCE_LOG!$A:$A, A56,
         ATTENDANCE_LOG!$B:$B, B56),
"")</f>
        <v/>
      </c>
    </row>
    <row r="57" spans="1:3">
      <c r="A57" s="3" t="s">
        <v>84</v>
      </c>
      <c r="B57" s="3" t="s">
        <v>24</v>
      </c>
      <c r="C57" s="156" t="str">
        <f ca="1">IFERROR(
  _xludf.MINIFS(ATTENDANCE_LOG!$F:$F,
         ATTENDANCE_LOG!$A:$A, A57,
         ATTENDANCE_LOG!$B:$B, B57),
"")</f>
        <v/>
      </c>
    </row>
    <row r="58" spans="1:3">
      <c r="A58" s="3" t="s">
        <v>84</v>
      </c>
      <c r="B58" s="3" t="s">
        <v>21</v>
      </c>
      <c r="C58" s="156" t="str">
        <f ca="1">IFERROR(
  _xludf.MINIFS(ATTENDANCE_LOG!$F:$F,
         ATTENDANCE_LOG!$A:$A, A58,
         ATTENDANCE_LOG!$B:$B, B58),
"")</f>
        <v/>
      </c>
    </row>
    <row r="59" spans="1:3">
      <c r="A59" s="3" t="s">
        <v>84</v>
      </c>
      <c r="B59" s="3" t="s">
        <v>22</v>
      </c>
      <c r="C59" s="156" t="str">
        <f ca="1">IFERROR(
  _xludf.MINIFS(ATTENDANCE_LOG!$F:$F,
         ATTENDANCE_LOG!$A:$A, A59,
         ATTENDANCE_LOG!$B:$B, B59),
"")</f>
        <v/>
      </c>
    </row>
    <row r="60" spans="1:3">
      <c r="A60" s="3" t="s">
        <v>85</v>
      </c>
      <c r="B60" s="3" t="s">
        <v>24</v>
      </c>
      <c r="C60" s="156" t="str">
        <f ca="1">IFERROR(
  _xludf.MINIFS(ATTENDANCE_LOG!$F:$F,
         ATTENDANCE_LOG!$A:$A, A60,
         ATTENDANCE_LOG!$B:$B, B60),
"")</f>
        <v/>
      </c>
    </row>
    <row r="61" spans="1:3">
      <c r="A61" s="3" t="s">
        <v>85</v>
      </c>
      <c r="B61" s="3" t="s">
        <v>21</v>
      </c>
      <c r="C61" s="156" t="str">
        <f ca="1">IFERROR(
  _xludf.MINIFS(ATTENDANCE_LOG!$F:$F,
         ATTENDANCE_LOG!$A:$A, A61,
         ATTENDANCE_LOG!$B:$B, B61),
"")</f>
        <v/>
      </c>
    </row>
    <row r="62" spans="1:3">
      <c r="A62" s="3" t="s">
        <v>85</v>
      </c>
      <c r="B62" s="3" t="s">
        <v>22</v>
      </c>
      <c r="C62" s="156" t="str">
        <f ca="1">IFERROR(
  _xludf.MINIFS(ATTENDANCE_LOG!$F:$F,
         ATTENDANCE_LOG!$A:$A, A62,
         ATTENDANCE_LOG!$B:$B, B62),
"")</f>
        <v/>
      </c>
    </row>
    <row r="63" spans="1:3">
      <c r="A63" s="3" t="s">
        <v>86</v>
      </c>
      <c r="B63" s="3" t="s">
        <v>21</v>
      </c>
      <c r="C63" s="156" t="str">
        <f ca="1">IFERROR(
  _xludf.MINIFS(ATTENDANCE_LOG!$F:$F,
         ATTENDANCE_LOG!$A:$A, A63,
         ATTENDANCE_LOG!$B:$B, B63),
"")</f>
        <v/>
      </c>
    </row>
    <row r="64" spans="1:3">
      <c r="A64" s="3" t="s">
        <v>86</v>
      </c>
      <c r="B64" s="3" t="s">
        <v>22</v>
      </c>
      <c r="C64" s="156" t="str">
        <f ca="1">IFERROR(
  _xludf.MINIFS(ATTENDANCE_LOG!$F:$F,
         ATTENDANCE_LOG!$A:$A, A64,
         ATTENDANCE_LOG!$B:$B, B64),
"")</f>
        <v/>
      </c>
    </row>
    <row r="65" spans="1:3">
      <c r="A65" s="3" t="s">
        <v>86</v>
      </c>
      <c r="B65" s="3" t="s">
        <v>25</v>
      </c>
      <c r="C65" s="156" t="str">
        <f ca="1">IFERROR(
  _xludf.MINIFS(ATTENDANCE_LOG!$F:$F,
         ATTENDANCE_LOG!$A:$A, A65,
         ATTENDANCE_LOG!$B:$B, B65),
"")</f>
        <v/>
      </c>
    </row>
    <row r="66" spans="1:3">
      <c r="A66" s="3" t="s">
        <v>87</v>
      </c>
      <c r="B66" s="3" t="s">
        <v>21</v>
      </c>
      <c r="C66" s="156" t="str">
        <f ca="1">IFERROR(
  _xludf.MINIFS(ATTENDANCE_LOG!$F:$F,
         ATTENDANCE_LOG!$A:$A, A66,
         ATTENDANCE_LOG!$B:$B, B66),
"")</f>
        <v/>
      </c>
    </row>
    <row r="67" spans="1:3">
      <c r="A67" s="3" t="s">
        <v>87</v>
      </c>
      <c r="B67" s="3" t="s">
        <v>22</v>
      </c>
      <c r="C67" s="156" t="str">
        <f ca="1">IFERROR(
  _xludf.MINIFS(ATTENDANCE_LOG!$F:$F,
         ATTENDANCE_LOG!$A:$A, A67,
         ATTENDANCE_LOG!$B:$B, B67),
"")</f>
        <v/>
      </c>
    </row>
    <row r="68" spans="1:3">
      <c r="A68" s="3" t="s">
        <v>88</v>
      </c>
      <c r="B68" s="3" t="s">
        <v>21</v>
      </c>
      <c r="C68" s="156" t="str">
        <f ca="1">IFERROR(
  _xludf.MINIFS(ATTENDANCE_LOG!$F:$F,
         ATTENDANCE_LOG!$A:$A, A68,
         ATTENDANCE_LOG!$B:$B, B68),
"")</f>
        <v/>
      </c>
    </row>
    <row r="69" spans="1:3">
      <c r="A69" s="3" t="s">
        <v>89</v>
      </c>
      <c r="B69" s="3" t="s">
        <v>26</v>
      </c>
      <c r="C69" s="156" t="str">
        <f ca="1">IFERROR(
  _xludf.MINIFS(ATTENDANCE_LOG!$F:$F,
         ATTENDANCE_LOG!$A:$A, A69,
         ATTENDANCE_LOG!$B:$B, B69),
"")</f>
        <v/>
      </c>
    </row>
    <row r="70" spans="1:3">
      <c r="A70" s="3" t="s">
        <v>89</v>
      </c>
      <c r="B70" s="3" t="s">
        <v>25</v>
      </c>
      <c r="C70" s="156" t="str">
        <f ca="1">IFERROR(
  _xludf.MINIFS(ATTENDANCE_LOG!$F:$F,
         ATTENDANCE_LOG!$A:$A, A70,
         ATTENDANCE_LOG!$B:$B, B70),
"")</f>
        <v/>
      </c>
    </row>
    <row r="71" spans="1:3">
      <c r="A71" s="3" t="s">
        <v>90</v>
      </c>
      <c r="B71" s="3" t="s">
        <v>21</v>
      </c>
      <c r="C71" s="156" t="str">
        <f ca="1">IFERROR(
  _xludf.MINIFS(ATTENDANCE_LOG!$F:$F,
         ATTENDANCE_LOG!$A:$A, A71,
         ATTENDANCE_LOG!$B:$B, B71),
"")</f>
        <v/>
      </c>
    </row>
    <row r="72" spans="1:3">
      <c r="A72" s="3" t="s">
        <v>91</v>
      </c>
      <c r="B72" s="3" t="s">
        <v>21</v>
      </c>
      <c r="C72" s="156" t="str">
        <f ca="1">IFERROR(
  _xludf.MINIFS(ATTENDANCE_LOG!$F:$F,
         ATTENDANCE_LOG!$A:$A, A72,
         ATTENDANCE_LOG!$B:$B, B72),
"")</f>
        <v/>
      </c>
    </row>
    <row r="73" spans="1:3">
      <c r="A73" s="3" t="s">
        <v>91</v>
      </c>
      <c r="B73" s="3" t="s">
        <v>22</v>
      </c>
      <c r="C73" s="156" t="str">
        <f ca="1">IFERROR(
  _xludf.MINIFS(ATTENDANCE_LOG!$F:$F,
         ATTENDANCE_LOG!$A:$A, A73,
         ATTENDANCE_LOG!$B:$B, B73),
"")</f>
        <v/>
      </c>
    </row>
    <row r="74" spans="1:3">
      <c r="A74" s="3" t="s">
        <v>92</v>
      </c>
      <c r="B74" s="3" t="s">
        <v>25</v>
      </c>
      <c r="C74" s="156" t="str">
        <f ca="1">IFERROR(
  _xludf.MINIFS(ATTENDANCE_LOG!$F:$F,
         ATTENDANCE_LOG!$A:$A, A74,
         ATTENDANCE_LOG!$B:$B, B74),
"")</f>
        <v/>
      </c>
    </row>
    <row r="75" spans="1:3">
      <c r="A75" s="3" t="s">
        <v>93</v>
      </c>
      <c r="B75" s="3" t="s">
        <v>21</v>
      </c>
      <c r="C75" s="156" t="str">
        <f ca="1">IFERROR(
  _xludf.MINIFS(ATTENDANCE_LOG!$F:$F,
         ATTENDANCE_LOG!$A:$A, A75,
         ATTENDANCE_LOG!$B:$B, B75),
"")</f>
        <v/>
      </c>
    </row>
    <row r="76" spans="1:3">
      <c r="A76" s="3" t="s">
        <v>94</v>
      </c>
      <c r="B76" s="3" t="s">
        <v>21</v>
      </c>
      <c r="C76" s="156" t="str">
        <f ca="1">IFERROR(
  _xludf.MINIFS(ATTENDANCE_LOG!$F:$F,
         ATTENDANCE_LOG!$A:$A, A76,
         ATTENDANCE_LOG!$B:$B, B76),
"")</f>
        <v/>
      </c>
    </row>
    <row r="77" spans="1:3">
      <c r="A77" s="3" t="s">
        <v>95</v>
      </c>
      <c r="B77" s="3" t="s">
        <v>25</v>
      </c>
      <c r="C77" s="156" t="str">
        <f ca="1">IFERROR(
  _xludf.MINIFS(ATTENDANCE_LOG!$F:$F,
         ATTENDANCE_LOG!$A:$A, A77,
         ATTENDANCE_LOG!$B:$B, B77),
"")</f>
        <v/>
      </c>
    </row>
    <row r="78" spans="1:3">
      <c r="A78" s="3" t="s">
        <v>96</v>
      </c>
      <c r="B78" s="3" t="s">
        <v>21</v>
      </c>
      <c r="C78" s="156" t="str">
        <f ca="1">IFERROR(
  _xludf.MINIFS(ATTENDANCE_LOG!$F:$F,
         ATTENDANCE_LOG!$A:$A, A78,
         ATTENDANCE_LOG!$B:$B, B78),
"")</f>
        <v/>
      </c>
    </row>
    <row r="79" spans="1:3">
      <c r="A79" s="3" t="s">
        <v>97</v>
      </c>
      <c r="B79" s="3" t="s">
        <v>21</v>
      </c>
      <c r="C79" s="156" t="str">
        <f ca="1">IFERROR(
  _xludf.MINIFS(ATTENDANCE_LOG!$F:$F,
         ATTENDANCE_LOG!$A:$A, A79,
         ATTENDANCE_LOG!$B:$B, B79),
"")</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000"/>
  <sheetViews>
    <sheetView workbookViewId="0">
      <pane ySplit="1" topLeftCell="A2" activePane="bottomLeft" state="frozen"/>
      <selection pane="bottomLeft" activeCell="B3" sqref="B3"/>
    </sheetView>
  </sheetViews>
  <sheetFormatPr defaultColWidth="14.42578125" defaultRowHeight="15" customHeight="1"/>
  <cols>
    <col min="1" max="1" width="15" customWidth="1"/>
    <col min="2" max="2" width="20" customWidth="1"/>
    <col min="3" max="6" width="14.42578125" customWidth="1"/>
  </cols>
  <sheetData>
    <row r="1" spans="1:6">
      <c r="A1" s="139" t="s">
        <v>44</v>
      </c>
      <c r="B1" s="139" t="s">
        <v>45</v>
      </c>
      <c r="C1" s="2"/>
      <c r="D1" s="2"/>
      <c r="E1" s="2"/>
      <c r="F1" s="2"/>
    </row>
    <row r="2" spans="1:6">
      <c r="A2" s="200" t="s">
        <v>51</v>
      </c>
      <c r="B2" s="200" t="s">
        <v>844</v>
      </c>
      <c r="C2" s="2"/>
      <c r="D2" s="2"/>
      <c r="E2" s="2"/>
      <c r="F2" s="2"/>
    </row>
    <row r="3" spans="1:6">
      <c r="A3" s="201" t="s">
        <v>52</v>
      </c>
      <c r="B3" s="201" t="s">
        <v>846</v>
      </c>
      <c r="C3" s="2"/>
      <c r="D3" s="2"/>
      <c r="E3" s="2"/>
      <c r="F3" s="2"/>
    </row>
    <row r="4" spans="1:6">
      <c r="A4" s="200" t="s">
        <v>53</v>
      </c>
      <c r="B4" s="200" t="s">
        <v>847</v>
      </c>
      <c r="C4" s="2"/>
      <c r="D4" s="2"/>
      <c r="E4" s="2"/>
      <c r="F4" s="2"/>
    </row>
    <row r="5" spans="1:6">
      <c r="A5" s="201" t="s">
        <v>54</v>
      </c>
      <c r="B5" s="201" t="s">
        <v>848</v>
      </c>
      <c r="C5" s="2"/>
      <c r="D5" s="2"/>
      <c r="E5" s="2"/>
      <c r="F5" s="2"/>
    </row>
    <row r="6" spans="1:6">
      <c r="A6" s="200" t="s">
        <v>55</v>
      </c>
      <c r="B6" s="200" t="s">
        <v>849</v>
      </c>
      <c r="C6" s="2"/>
      <c r="D6" s="2"/>
      <c r="E6" s="2"/>
      <c r="F6" s="2"/>
    </row>
    <row r="7" spans="1:6">
      <c r="A7" s="201" t="s">
        <v>56</v>
      </c>
      <c r="B7" s="201" t="s">
        <v>850</v>
      </c>
      <c r="C7" s="2"/>
      <c r="D7" s="2"/>
      <c r="E7" s="2"/>
      <c r="F7" s="2"/>
    </row>
    <row r="8" spans="1:6">
      <c r="A8" s="200" t="s">
        <v>57</v>
      </c>
      <c r="B8" s="200" t="s">
        <v>851</v>
      </c>
      <c r="C8" s="2"/>
      <c r="D8" s="2"/>
      <c r="E8" s="2"/>
      <c r="F8" s="2"/>
    </row>
    <row r="9" spans="1:6">
      <c r="A9" s="201" t="s">
        <v>58</v>
      </c>
      <c r="B9" s="201" t="s">
        <v>852</v>
      </c>
      <c r="C9" s="2"/>
      <c r="D9" s="2"/>
      <c r="E9" s="2"/>
      <c r="F9" s="2"/>
    </row>
    <row r="10" spans="1:6">
      <c r="A10" s="200" t="s">
        <v>59</v>
      </c>
      <c r="B10" s="200" t="s">
        <v>853</v>
      </c>
      <c r="C10" s="2"/>
      <c r="D10" s="2"/>
      <c r="E10" s="2"/>
      <c r="F10" s="2"/>
    </row>
    <row r="11" spans="1:6">
      <c r="A11" s="201" t="s">
        <v>60</v>
      </c>
      <c r="B11" s="201" t="s">
        <v>854</v>
      </c>
      <c r="C11" s="2"/>
      <c r="D11" s="2"/>
      <c r="E11" s="2"/>
      <c r="F11" s="2"/>
    </row>
    <row r="12" spans="1:6">
      <c r="A12" s="200" t="s">
        <v>61</v>
      </c>
      <c r="B12" s="200" t="s">
        <v>855</v>
      </c>
      <c r="C12" s="2"/>
      <c r="D12" s="2"/>
      <c r="E12" s="2"/>
      <c r="F12" s="2"/>
    </row>
    <row r="13" spans="1:6">
      <c r="A13" s="201" t="s">
        <v>62</v>
      </c>
      <c r="B13" s="201" t="s">
        <v>856</v>
      </c>
      <c r="C13" s="2"/>
      <c r="D13" s="2"/>
      <c r="E13" s="2"/>
      <c r="F13" s="2"/>
    </row>
    <row r="14" spans="1:6">
      <c r="A14" s="200" t="s">
        <v>63</v>
      </c>
      <c r="B14" s="200" t="s">
        <v>857</v>
      </c>
      <c r="C14" s="2"/>
      <c r="D14" s="2"/>
      <c r="E14" s="2"/>
      <c r="F14" s="2"/>
    </row>
    <row r="15" spans="1:6">
      <c r="A15" s="201" t="s">
        <v>64</v>
      </c>
      <c r="B15" s="201" t="s">
        <v>829</v>
      </c>
      <c r="C15" s="2"/>
      <c r="D15" s="2"/>
      <c r="E15" s="2"/>
      <c r="F15" s="2"/>
    </row>
    <row r="16" spans="1:6">
      <c r="A16" s="200" t="s">
        <v>65</v>
      </c>
      <c r="B16" s="200" t="s">
        <v>858</v>
      </c>
      <c r="C16" s="2"/>
      <c r="D16" s="2"/>
      <c r="E16" s="2"/>
      <c r="F16" s="2"/>
    </row>
    <row r="17" spans="1:6">
      <c r="A17" s="201" t="s">
        <v>66</v>
      </c>
      <c r="B17" s="201" t="s">
        <v>859</v>
      </c>
      <c r="C17" s="2"/>
      <c r="D17" s="2"/>
      <c r="E17" s="2"/>
      <c r="F17" s="2"/>
    </row>
    <row r="18" spans="1:6">
      <c r="A18" s="200" t="s">
        <v>67</v>
      </c>
      <c r="B18" s="200" t="s">
        <v>860</v>
      </c>
      <c r="C18" s="2"/>
      <c r="D18" s="2"/>
      <c r="E18" s="2"/>
      <c r="F18" s="2"/>
    </row>
    <row r="19" spans="1:6">
      <c r="A19" s="201" t="s">
        <v>68</v>
      </c>
      <c r="B19" s="201" t="s">
        <v>861</v>
      </c>
      <c r="C19" s="2"/>
      <c r="D19" s="2"/>
      <c r="E19" s="2"/>
      <c r="F19" s="2"/>
    </row>
    <row r="20" spans="1:6">
      <c r="A20" s="200" t="s">
        <v>69</v>
      </c>
      <c r="B20" s="200" t="s">
        <v>862</v>
      </c>
      <c r="C20" s="2"/>
      <c r="D20" s="2"/>
      <c r="E20" s="2"/>
      <c r="F20" s="2"/>
    </row>
    <row r="21" spans="1:6" ht="15.75" customHeight="1">
      <c r="A21" s="201" t="s">
        <v>70</v>
      </c>
      <c r="B21" s="201" t="s">
        <v>863</v>
      </c>
      <c r="C21" s="2"/>
      <c r="D21" s="2"/>
      <c r="E21" s="2"/>
      <c r="F21" s="2"/>
    </row>
    <row r="22" spans="1:6" ht="15.75" customHeight="1">
      <c r="A22" s="200" t="s">
        <v>71</v>
      </c>
      <c r="B22" s="200" t="s">
        <v>864</v>
      </c>
      <c r="C22" s="2"/>
      <c r="D22" s="2"/>
      <c r="E22" s="2"/>
      <c r="F22" s="2"/>
    </row>
    <row r="23" spans="1:6" ht="15.75" customHeight="1">
      <c r="A23" s="201" t="s">
        <v>72</v>
      </c>
      <c r="B23" s="201" t="s">
        <v>865</v>
      </c>
      <c r="C23" s="2"/>
      <c r="D23" s="2"/>
      <c r="E23" s="2"/>
      <c r="F23" s="2"/>
    </row>
    <row r="24" spans="1:6" ht="15.75" customHeight="1">
      <c r="A24" s="200" t="s">
        <v>73</v>
      </c>
      <c r="B24" s="200" t="s">
        <v>866</v>
      </c>
      <c r="C24" s="2"/>
      <c r="D24" s="2"/>
      <c r="E24" s="2"/>
      <c r="F24" s="2"/>
    </row>
    <row r="25" spans="1:6" ht="15.75" customHeight="1">
      <c r="A25" s="201" t="s">
        <v>74</v>
      </c>
      <c r="B25" s="201" t="s">
        <v>867</v>
      </c>
      <c r="C25" s="2"/>
      <c r="D25" s="2"/>
      <c r="E25" s="2"/>
      <c r="F25" s="2"/>
    </row>
    <row r="26" spans="1:6" ht="15.75" customHeight="1">
      <c r="A26" s="200" t="s">
        <v>75</v>
      </c>
      <c r="B26" s="200" t="s">
        <v>868</v>
      </c>
      <c r="C26" s="2"/>
      <c r="D26" s="2"/>
      <c r="E26" s="2"/>
      <c r="F26" s="2"/>
    </row>
    <row r="27" spans="1:6" ht="15.75" customHeight="1">
      <c r="A27" s="201" t="s">
        <v>76</v>
      </c>
      <c r="B27" s="201" t="s">
        <v>869</v>
      </c>
      <c r="C27" s="2"/>
      <c r="D27" s="2"/>
      <c r="E27" s="2"/>
      <c r="F27" s="2"/>
    </row>
    <row r="28" spans="1:6" ht="15.75" customHeight="1">
      <c r="A28" s="200" t="s">
        <v>77</v>
      </c>
      <c r="B28" s="200" t="s">
        <v>870</v>
      </c>
      <c r="C28" s="2"/>
      <c r="D28" s="2"/>
      <c r="E28" s="2"/>
      <c r="F28" s="2"/>
    </row>
    <row r="29" spans="1:6" ht="15.75" customHeight="1">
      <c r="A29" s="201" t="s">
        <v>78</v>
      </c>
      <c r="B29" s="201" t="s">
        <v>871</v>
      </c>
      <c r="C29" s="2"/>
      <c r="D29" s="2"/>
      <c r="E29" s="2"/>
      <c r="F29" s="2"/>
    </row>
    <row r="30" spans="1:6" ht="15.75" customHeight="1">
      <c r="A30" s="200" t="s">
        <v>79</v>
      </c>
      <c r="B30" s="200" t="s">
        <v>872</v>
      </c>
      <c r="C30" s="2"/>
      <c r="D30" s="2"/>
      <c r="E30" s="2"/>
      <c r="F30" s="2"/>
    </row>
    <row r="31" spans="1:6" ht="15.75" customHeight="1">
      <c r="A31" s="201" t="s">
        <v>80</v>
      </c>
      <c r="B31" s="201" t="s">
        <v>873</v>
      </c>
      <c r="C31" s="2"/>
      <c r="D31" s="2"/>
      <c r="E31" s="2"/>
      <c r="F31" s="2"/>
    </row>
    <row r="32" spans="1:6" ht="15.75" customHeight="1">
      <c r="A32" s="200" t="s">
        <v>81</v>
      </c>
      <c r="B32" s="200" t="s">
        <v>874</v>
      </c>
      <c r="C32" s="2"/>
      <c r="D32" s="2"/>
      <c r="E32" s="2"/>
      <c r="F32" s="2"/>
    </row>
    <row r="33" spans="1:6" ht="15.75" customHeight="1">
      <c r="A33" s="201" t="s">
        <v>82</v>
      </c>
      <c r="B33" s="201" t="s">
        <v>875</v>
      </c>
      <c r="C33" s="2"/>
      <c r="D33" s="2"/>
      <c r="E33" s="2"/>
      <c r="F33" s="2"/>
    </row>
    <row r="34" spans="1:6" ht="15.75" customHeight="1">
      <c r="A34" s="200" t="s">
        <v>83</v>
      </c>
      <c r="B34" s="200" t="s">
        <v>876</v>
      </c>
      <c r="C34" s="2"/>
      <c r="D34" s="2"/>
      <c r="E34" s="2"/>
      <c r="F34" s="2"/>
    </row>
    <row r="35" spans="1:6" ht="15.75" customHeight="1">
      <c r="A35" s="201" t="s">
        <v>84</v>
      </c>
      <c r="B35" s="201" t="s">
        <v>877</v>
      </c>
      <c r="C35" s="2"/>
      <c r="D35" s="2"/>
      <c r="E35" s="2"/>
      <c r="F35" s="2"/>
    </row>
    <row r="36" spans="1:6" ht="15.75" customHeight="1">
      <c r="A36" s="200" t="s">
        <v>85</v>
      </c>
      <c r="B36" s="200" t="s">
        <v>878</v>
      </c>
      <c r="C36" s="2"/>
      <c r="D36" s="2"/>
      <c r="E36" s="2"/>
      <c r="F36" s="2"/>
    </row>
    <row r="37" spans="1:6" ht="15.75" customHeight="1">
      <c r="A37" s="201" t="s">
        <v>995</v>
      </c>
      <c r="B37" s="201" t="s">
        <v>996</v>
      </c>
      <c r="C37" s="2"/>
      <c r="D37" s="2"/>
      <c r="E37" s="2"/>
      <c r="F37" s="2"/>
    </row>
    <row r="38" spans="1:6" ht="15.75" customHeight="1">
      <c r="A38" s="200" t="s">
        <v>86</v>
      </c>
      <c r="B38" s="200" t="s">
        <v>879</v>
      </c>
      <c r="C38" s="2"/>
      <c r="D38" s="2"/>
      <c r="E38" s="2"/>
      <c r="F38" s="2"/>
    </row>
    <row r="39" spans="1:6" ht="15.75" customHeight="1">
      <c r="A39" s="201" t="s">
        <v>87</v>
      </c>
      <c r="B39" s="201" t="s">
        <v>880</v>
      </c>
      <c r="C39" s="2"/>
      <c r="D39" s="2"/>
      <c r="E39" s="2"/>
      <c r="F39" s="2"/>
    </row>
    <row r="40" spans="1:6" ht="15.75" customHeight="1">
      <c r="A40" s="200" t="s">
        <v>88</v>
      </c>
      <c r="B40" s="200" t="s">
        <v>881</v>
      </c>
      <c r="C40" s="2"/>
      <c r="D40" s="2"/>
      <c r="E40" s="2"/>
      <c r="F40" s="2"/>
    </row>
    <row r="41" spans="1:6" ht="15.75" customHeight="1">
      <c r="A41" s="201" t="s">
        <v>89</v>
      </c>
      <c r="B41" s="201" t="s">
        <v>882</v>
      </c>
      <c r="C41" s="2"/>
      <c r="D41" s="2"/>
      <c r="E41" s="2"/>
      <c r="F41" s="2"/>
    </row>
    <row r="42" spans="1:6" ht="15.75" customHeight="1">
      <c r="A42" s="200" t="s">
        <v>90</v>
      </c>
      <c r="B42" s="200" t="s">
        <v>883</v>
      </c>
      <c r="C42" s="2"/>
      <c r="D42" s="2"/>
      <c r="E42" s="2"/>
      <c r="F42" s="2"/>
    </row>
    <row r="43" spans="1:6" ht="15.75" customHeight="1">
      <c r="A43" s="201" t="s">
        <v>91</v>
      </c>
      <c r="B43" s="201" t="s">
        <v>884</v>
      </c>
      <c r="C43" s="2"/>
      <c r="D43" s="2"/>
      <c r="E43" s="2"/>
      <c r="F43" s="2"/>
    </row>
    <row r="44" spans="1:6" ht="15.75" customHeight="1">
      <c r="A44" s="200" t="s">
        <v>92</v>
      </c>
      <c r="B44" s="200" t="s">
        <v>885</v>
      </c>
      <c r="C44" s="2"/>
      <c r="D44" s="2"/>
      <c r="E44" s="2"/>
      <c r="F44" s="2"/>
    </row>
    <row r="45" spans="1:6" ht="15.75" customHeight="1">
      <c r="A45" s="201" t="s">
        <v>93</v>
      </c>
      <c r="B45" s="201" t="s">
        <v>886</v>
      </c>
      <c r="C45" s="2"/>
      <c r="D45" s="2"/>
      <c r="E45" s="2"/>
      <c r="F45" s="2"/>
    </row>
    <row r="46" spans="1:6" ht="15.75" customHeight="1">
      <c r="A46" s="200" t="s">
        <v>94</v>
      </c>
      <c r="B46" s="200" t="s">
        <v>887</v>
      </c>
      <c r="C46" s="2"/>
      <c r="D46" s="2"/>
      <c r="E46" s="2"/>
      <c r="F46" s="2"/>
    </row>
    <row r="47" spans="1:6" ht="15.75" customHeight="1">
      <c r="A47" s="201" t="s">
        <v>783</v>
      </c>
      <c r="B47" s="201" t="s">
        <v>891</v>
      </c>
      <c r="C47" s="2"/>
      <c r="D47" s="2"/>
      <c r="E47" s="2"/>
      <c r="F47" s="2"/>
    </row>
    <row r="48" spans="1:6" ht="15.75" customHeight="1">
      <c r="A48" s="200" t="s">
        <v>794</v>
      </c>
      <c r="B48" s="200" t="s">
        <v>892</v>
      </c>
      <c r="C48" s="2"/>
      <c r="D48" s="2"/>
      <c r="E48" s="2"/>
      <c r="F48" s="2"/>
    </row>
    <row r="49" spans="1:6" ht="15.75" customHeight="1">
      <c r="A49" s="201" t="s">
        <v>800</v>
      </c>
      <c r="B49" s="201" t="s">
        <v>893</v>
      </c>
      <c r="C49" s="2"/>
      <c r="D49" s="2"/>
      <c r="E49" s="2"/>
      <c r="F49" s="2"/>
    </row>
    <row r="50" spans="1:6" ht="15.75" customHeight="1">
      <c r="A50" s="200" t="s">
        <v>95</v>
      </c>
      <c r="B50" s="200" t="s">
        <v>888</v>
      </c>
      <c r="C50" s="2"/>
      <c r="D50" s="2"/>
      <c r="E50" s="2"/>
      <c r="F50" s="2"/>
    </row>
    <row r="51" spans="1:6" ht="15.75" customHeight="1">
      <c r="A51" s="201" t="s">
        <v>96</v>
      </c>
      <c r="B51" s="201" t="s">
        <v>889</v>
      </c>
      <c r="C51" s="2"/>
      <c r="D51" s="2"/>
      <c r="E51" s="2"/>
      <c r="F51" s="2"/>
    </row>
    <row r="52" spans="1:6" ht="15.75" customHeight="1">
      <c r="A52" s="200" t="s">
        <v>97</v>
      </c>
      <c r="B52" s="200" t="s">
        <v>890</v>
      </c>
      <c r="C52" s="2"/>
      <c r="D52" s="2"/>
      <c r="E52" s="2"/>
      <c r="F52" s="2"/>
    </row>
    <row r="53" spans="1:6" ht="15.75" customHeight="1">
      <c r="A53" s="202"/>
      <c r="B53" s="203"/>
      <c r="C53" s="2"/>
      <c r="D53" s="2"/>
      <c r="E53" s="2"/>
      <c r="F53" s="2"/>
    </row>
    <row r="54" spans="1:6" ht="15.75" customHeight="1">
      <c r="A54" s="202"/>
      <c r="B54" s="203"/>
      <c r="C54" s="2"/>
      <c r="D54" s="2"/>
      <c r="E54" s="2"/>
      <c r="F54" s="2"/>
    </row>
    <row r="55" spans="1:6" ht="15.75" customHeight="1">
      <c r="A55" s="202"/>
      <c r="B55" s="203"/>
      <c r="C55" s="2"/>
      <c r="D55" s="2"/>
      <c r="E55" s="2"/>
      <c r="F55" s="2"/>
    </row>
    <row r="56" spans="1:6" ht="15.75" customHeight="1">
      <c r="A56" s="202"/>
      <c r="B56" s="203"/>
      <c r="C56" s="2"/>
      <c r="D56" s="2"/>
      <c r="E56" s="2"/>
      <c r="F56" s="2"/>
    </row>
    <row r="57" spans="1:6" ht="15.75" customHeight="1">
      <c r="A57" s="202"/>
      <c r="B57" s="203"/>
      <c r="C57" s="2"/>
      <c r="D57" s="2"/>
      <c r="E57" s="2"/>
      <c r="F57" s="2"/>
    </row>
    <row r="58" spans="1:6" ht="15.75" customHeight="1">
      <c r="A58" s="202"/>
      <c r="B58" s="203"/>
      <c r="C58" s="2"/>
      <c r="D58" s="2"/>
      <c r="E58" s="2"/>
      <c r="F58" s="2"/>
    </row>
    <row r="59" spans="1:6" ht="15.75" customHeight="1">
      <c r="A59" s="202"/>
      <c r="B59" s="203"/>
      <c r="C59" s="2"/>
      <c r="D59" s="2"/>
      <c r="E59" s="2"/>
      <c r="F59" s="2"/>
    </row>
    <row r="60" spans="1:6" ht="15.75" customHeight="1">
      <c r="A60" s="202"/>
      <c r="B60" s="203"/>
      <c r="C60" s="2"/>
      <c r="D60" s="2"/>
      <c r="E60" s="2"/>
      <c r="F60" s="2"/>
    </row>
    <row r="61" spans="1:6" ht="15.75" customHeight="1">
      <c r="A61" s="202"/>
      <c r="B61" s="203"/>
      <c r="C61" s="2"/>
      <c r="D61" s="2"/>
      <c r="E61" s="2"/>
      <c r="F61" s="2"/>
    </row>
    <row r="62" spans="1:6" ht="15.75" customHeight="1">
      <c r="A62" s="202"/>
      <c r="B62" s="203"/>
      <c r="C62" s="2"/>
      <c r="D62" s="2"/>
      <c r="E62" s="2"/>
      <c r="F62" s="2"/>
    </row>
    <row r="63" spans="1:6" ht="15.75" customHeight="1">
      <c r="A63" s="202"/>
      <c r="B63" s="203"/>
      <c r="C63" s="2"/>
      <c r="D63" s="2"/>
      <c r="E63" s="2"/>
      <c r="F63" s="2"/>
    </row>
    <row r="64" spans="1:6" ht="15.75" customHeight="1">
      <c r="A64" s="202"/>
      <c r="B64" s="203"/>
      <c r="C64" s="2"/>
      <c r="D64" s="2"/>
      <c r="E64" s="2"/>
      <c r="F64" s="2"/>
    </row>
    <row r="65" spans="1:6" ht="15.75" customHeight="1">
      <c r="A65" s="202"/>
      <c r="B65" s="203"/>
      <c r="C65" s="2"/>
      <c r="D65" s="2"/>
      <c r="E65" s="2"/>
      <c r="F65" s="2"/>
    </row>
    <row r="66" spans="1:6" ht="15.75" customHeight="1">
      <c r="A66" s="202"/>
      <c r="B66" s="203"/>
      <c r="C66" s="2"/>
      <c r="D66" s="2"/>
      <c r="E66" s="2"/>
      <c r="F66" s="2"/>
    </row>
    <row r="67" spans="1:6" ht="15.75" customHeight="1">
      <c r="A67" s="202"/>
      <c r="B67" s="203"/>
      <c r="C67" s="2"/>
      <c r="D67" s="2"/>
      <c r="E67" s="2"/>
      <c r="F67" s="2"/>
    </row>
    <row r="68" spans="1:6" ht="15.75" customHeight="1">
      <c r="A68" s="202"/>
      <c r="B68" s="203"/>
      <c r="C68" s="2"/>
      <c r="D68" s="2"/>
      <c r="E68" s="2"/>
      <c r="F68" s="2"/>
    </row>
    <row r="69" spans="1:6" ht="15.75" customHeight="1">
      <c r="A69" s="202"/>
      <c r="B69" s="203"/>
      <c r="C69" s="2"/>
      <c r="D69" s="2"/>
      <c r="E69" s="2"/>
      <c r="F69" s="2"/>
    </row>
    <row r="70" spans="1:6" ht="15.75" customHeight="1">
      <c r="A70" s="202"/>
      <c r="B70" s="203"/>
      <c r="C70" s="2"/>
      <c r="D70" s="2"/>
      <c r="E70" s="2"/>
      <c r="F70" s="2"/>
    </row>
    <row r="71" spans="1:6" ht="15.75" customHeight="1">
      <c r="A71" s="202"/>
      <c r="B71" s="203"/>
      <c r="C71" s="2"/>
      <c r="D71" s="2"/>
      <c r="E71" s="2"/>
      <c r="F71" s="2"/>
    </row>
    <row r="72" spans="1:6" ht="15.75" customHeight="1">
      <c r="A72" s="202"/>
      <c r="B72" s="203"/>
      <c r="C72" s="2"/>
      <c r="D72" s="2"/>
      <c r="E72" s="2"/>
      <c r="F72" s="2"/>
    </row>
    <row r="73" spans="1:6" ht="15.75" customHeight="1">
      <c r="A73" s="202"/>
      <c r="B73" s="203"/>
      <c r="C73" s="2"/>
      <c r="D73" s="2"/>
      <c r="E73" s="2"/>
      <c r="F73" s="2"/>
    </row>
    <row r="74" spans="1:6" ht="15.75" customHeight="1">
      <c r="A74" s="202"/>
      <c r="B74" s="203"/>
      <c r="C74" s="2"/>
      <c r="D74" s="2"/>
      <c r="E74" s="2"/>
      <c r="F74" s="2"/>
    </row>
    <row r="75" spans="1:6" ht="15.75" customHeight="1">
      <c r="A75" s="202"/>
      <c r="B75" s="203"/>
      <c r="C75" s="2"/>
      <c r="D75" s="2"/>
      <c r="E75" s="2"/>
      <c r="F75" s="2"/>
    </row>
    <row r="76" spans="1:6" ht="15.75" customHeight="1">
      <c r="A76" s="202"/>
      <c r="B76" s="203"/>
      <c r="C76" s="2"/>
      <c r="D76" s="2"/>
      <c r="E76" s="2"/>
      <c r="F76" s="2"/>
    </row>
    <row r="77" spans="1:6" ht="15.75" customHeight="1">
      <c r="A77" s="202"/>
      <c r="B77" s="203"/>
      <c r="C77" s="2"/>
      <c r="D77" s="2"/>
      <c r="E77" s="2"/>
      <c r="F77" s="2"/>
    </row>
    <row r="78" spans="1:6" ht="15.75" customHeight="1">
      <c r="A78" s="202"/>
      <c r="B78" s="203"/>
      <c r="C78" s="2"/>
      <c r="D78" s="2"/>
      <c r="E78" s="2"/>
      <c r="F78" s="2"/>
    </row>
    <row r="79" spans="1:6" ht="15.75" customHeight="1">
      <c r="A79" s="202"/>
      <c r="B79" s="203"/>
      <c r="C79" s="2"/>
      <c r="D79" s="2"/>
      <c r="E79" s="2"/>
      <c r="F79" s="2"/>
    </row>
    <row r="80" spans="1:6" ht="15.75" customHeight="1">
      <c r="A80" s="202"/>
      <c r="B80" s="203"/>
      <c r="C80" s="2"/>
      <c r="D80" s="2"/>
      <c r="E80" s="2"/>
      <c r="F80" s="2"/>
    </row>
    <row r="81" spans="1:6" ht="15.75" customHeight="1">
      <c r="A81" s="202"/>
      <c r="B81" s="203"/>
      <c r="C81" s="2"/>
      <c r="D81" s="2"/>
      <c r="E81" s="2"/>
      <c r="F81" s="2"/>
    </row>
    <row r="82" spans="1:6" ht="15.75" customHeight="1">
      <c r="A82" s="202"/>
      <c r="B82" s="203"/>
      <c r="C82" s="2"/>
      <c r="D82" s="2"/>
      <c r="E82" s="2"/>
      <c r="F82" s="2"/>
    </row>
    <row r="83" spans="1:6" ht="15.75" customHeight="1">
      <c r="A83" s="202"/>
      <c r="B83" s="203"/>
      <c r="C83" s="2"/>
      <c r="D83" s="2"/>
      <c r="E83" s="2"/>
      <c r="F83" s="2"/>
    </row>
    <row r="84" spans="1:6" ht="15.75" customHeight="1">
      <c r="A84" s="202"/>
      <c r="B84" s="203"/>
      <c r="C84" s="2"/>
      <c r="D84" s="2"/>
      <c r="E84" s="2"/>
      <c r="F84" s="2"/>
    </row>
    <row r="85" spans="1:6" ht="15.75" customHeight="1">
      <c r="A85" s="202"/>
      <c r="B85" s="203"/>
      <c r="C85" s="2"/>
      <c r="D85" s="2"/>
      <c r="E85" s="2"/>
      <c r="F85" s="2"/>
    </row>
    <row r="86" spans="1:6" ht="15.75" customHeight="1">
      <c r="A86" s="202"/>
      <c r="B86" s="203"/>
      <c r="C86" s="2"/>
      <c r="D86" s="2"/>
      <c r="E86" s="2"/>
      <c r="F86" s="2"/>
    </row>
    <row r="87" spans="1:6" ht="15.75" customHeight="1">
      <c r="A87" s="202"/>
      <c r="B87" s="203"/>
      <c r="C87" s="2"/>
      <c r="D87" s="2"/>
      <c r="E87" s="2"/>
      <c r="F87" s="2"/>
    </row>
    <row r="88" spans="1:6" ht="15.75" customHeight="1">
      <c r="A88" s="202"/>
      <c r="B88" s="203"/>
      <c r="C88" s="2"/>
      <c r="D88" s="2"/>
      <c r="E88" s="2"/>
      <c r="F88" s="2"/>
    </row>
    <row r="89" spans="1:6" ht="15.75" customHeight="1">
      <c r="A89" s="202"/>
      <c r="B89" s="203"/>
      <c r="C89" s="2"/>
      <c r="D89" s="2"/>
      <c r="E89" s="2"/>
      <c r="F89" s="2"/>
    </row>
    <row r="90" spans="1:6" ht="15.75" customHeight="1">
      <c r="A90" s="202"/>
      <c r="B90" s="203"/>
      <c r="C90" s="2"/>
      <c r="D90" s="2"/>
      <c r="E90" s="2"/>
      <c r="F90" s="2"/>
    </row>
    <row r="91" spans="1:6" ht="15.75" customHeight="1">
      <c r="A91" s="202"/>
      <c r="B91" s="203"/>
      <c r="C91" s="2"/>
      <c r="D91" s="2"/>
      <c r="E91" s="2"/>
      <c r="F91" s="2"/>
    </row>
    <row r="92" spans="1:6" ht="15.75" customHeight="1">
      <c r="A92" s="202"/>
      <c r="B92" s="203"/>
      <c r="C92" s="2"/>
      <c r="D92" s="2"/>
      <c r="E92" s="2"/>
      <c r="F92" s="2"/>
    </row>
    <row r="93" spans="1:6" ht="15.75" customHeight="1">
      <c r="A93" s="202"/>
      <c r="B93" s="203"/>
      <c r="C93" s="2"/>
      <c r="D93" s="2"/>
      <c r="E93" s="2"/>
      <c r="F93" s="2"/>
    </row>
    <row r="94" spans="1:6" ht="15.75" customHeight="1">
      <c r="A94" s="202"/>
      <c r="B94" s="203"/>
      <c r="C94" s="2"/>
      <c r="D94" s="2"/>
      <c r="E94" s="2"/>
      <c r="F94" s="2"/>
    </row>
    <row r="95" spans="1:6" ht="15.75" customHeight="1">
      <c r="A95" s="202"/>
      <c r="B95" s="203"/>
      <c r="C95" s="2"/>
      <c r="D95" s="2"/>
      <c r="E95" s="2"/>
      <c r="F95" s="2"/>
    </row>
    <row r="96" spans="1:6" ht="15.75" customHeight="1">
      <c r="A96" s="202"/>
      <c r="B96" s="203"/>
      <c r="C96" s="2"/>
      <c r="D96" s="2"/>
      <c r="E96" s="2"/>
      <c r="F96" s="2"/>
    </row>
    <row r="97" spans="1:6" ht="15.75" customHeight="1">
      <c r="A97" s="202"/>
      <c r="B97" s="203"/>
      <c r="C97" s="2"/>
      <c r="D97" s="2"/>
      <c r="E97" s="2"/>
      <c r="F97" s="2"/>
    </row>
    <row r="98" spans="1:6" ht="15.75" customHeight="1">
      <c r="A98" s="202"/>
      <c r="B98" s="203"/>
      <c r="C98" s="2"/>
      <c r="D98" s="2"/>
      <c r="E98" s="2"/>
      <c r="F98" s="2"/>
    </row>
    <row r="99" spans="1:6" ht="15.75" customHeight="1">
      <c r="A99" s="202"/>
      <c r="B99" s="203"/>
      <c r="C99" s="2"/>
      <c r="D99" s="2"/>
      <c r="E99" s="2"/>
      <c r="F99" s="2"/>
    </row>
    <row r="100" spans="1:6" ht="15.75" customHeight="1">
      <c r="A100" s="202"/>
      <c r="B100" s="203"/>
      <c r="C100" s="2"/>
      <c r="D100" s="2"/>
      <c r="E100" s="2"/>
      <c r="F100" s="2"/>
    </row>
    <row r="101" spans="1:6" ht="15.75" customHeight="1">
      <c r="A101" s="202"/>
      <c r="B101" s="203"/>
      <c r="C101" s="2"/>
      <c r="D101" s="2"/>
      <c r="E101" s="2"/>
      <c r="F101" s="2"/>
    </row>
    <row r="102" spans="1:6" ht="15.75" customHeight="1">
      <c r="A102" s="202"/>
      <c r="B102" s="203"/>
      <c r="C102" s="2"/>
      <c r="D102" s="2"/>
      <c r="E102" s="2"/>
      <c r="F102" s="2"/>
    </row>
    <row r="103" spans="1:6" ht="15.75" customHeight="1">
      <c r="A103" s="202"/>
      <c r="B103" s="203"/>
      <c r="C103" s="2"/>
      <c r="D103" s="2"/>
      <c r="E103" s="2"/>
      <c r="F103" s="2"/>
    </row>
    <row r="104" spans="1:6" ht="15.75" customHeight="1">
      <c r="A104" s="202"/>
      <c r="B104" s="203"/>
      <c r="C104" s="2"/>
      <c r="D104" s="2"/>
      <c r="E104" s="2"/>
      <c r="F104" s="2"/>
    </row>
    <row r="105" spans="1:6" ht="15.75" customHeight="1">
      <c r="A105" s="202"/>
      <c r="B105" s="203"/>
      <c r="C105" s="2"/>
      <c r="D105" s="2"/>
      <c r="E105" s="2"/>
      <c r="F105" s="2"/>
    </row>
    <row r="106" spans="1:6" ht="15.75" customHeight="1">
      <c r="A106" s="202"/>
      <c r="B106" s="203"/>
      <c r="C106" s="2"/>
      <c r="D106" s="2"/>
      <c r="E106" s="2"/>
      <c r="F106" s="2"/>
    </row>
    <row r="107" spans="1:6" ht="15.75" customHeight="1">
      <c r="A107" s="202"/>
      <c r="B107" s="203"/>
      <c r="C107" s="2"/>
      <c r="D107" s="2"/>
      <c r="E107" s="2"/>
      <c r="F107" s="2"/>
    </row>
    <row r="108" spans="1:6" ht="15.75" customHeight="1">
      <c r="A108" s="202"/>
      <c r="B108" s="203"/>
      <c r="C108" s="2"/>
      <c r="D108" s="2"/>
      <c r="E108" s="2"/>
      <c r="F108" s="2"/>
    </row>
    <row r="109" spans="1:6" ht="15.75" customHeight="1">
      <c r="A109" s="202"/>
      <c r="B109" s="203"/>
      <c r="C109" s="2"/>
      <c r="D109" s="2"/>
      <c r="E109" s="2"/>
      <c r="F109" s="2"/>
    </row>
    <row r="110" spans="1:6" ht="15.75" customHeight="1">
      <c r="A110" s="202"/>
      <c r="B110" s="203"/>
      <c r="C110" s="2"/>
      <c r="D110" s="2"/>
      <c r="E110" s="2"/>
      <c r="F110" s="2"/>
    </row>
    <row r="111" spans="1:6" ht="15.75" customHeight="1">
      <c r="A111" s="202"/>
      <c r="B111" s="203"/>
      <c r="C111" s="2"/>
      <c r="D111" s="2"/>
      <c r="E111" s="2"/>
      <c r="F111" s="2"/>
    </row>
    <row r="112" spans="1:6" ht="15.75" customHeight="1">
      <c r="A112" s="202"/>
      <c r="B112" s="203"/>
      <c r="C112" s="2"/>
      <c r="D112" s="2"/>
      <c r="E112" s="2"/>
      <c r="F112" s="2"/>
    </row>
    <row r="113" spans="1:6" ht="15.75" customHeight="1">
      <c r="A113" s="202"/>
      <c r="B113" s="203"/>
      <c r="C113" s="2"/>
      <c r="D113" s="2"/>
      <c r="E113" s="2"/>
      <c r="F113" s="2"/>
    </row>
    <row r="114" spans="1:6" ht="15.75" customHeight="1">
      <c r="A114" s="202"/>
      <c r="B114" s="203"/>
      <c r="C114" s="2"/>
      <c r="D114" s="2"/>
      <c r="E114" s="2"/>
      <c r="F114" s="2"/>
    </row>
    <row r="115" spans="1:6" ht="15.75" customHeight="1">
      <c r="A115" s="202"/>
      <c r="B115" s="203"/>
      <c r="C115" s="2"/>
      <c r="D115" s="2"/>
      <c r="E115" s="2"/>
      <c r="F115" s="2"/>
    </row>
    <row r="116" spans="1:6" ht="15.75" customHeight="1">
      <c r="A116" s="202"/>
      <c r="B116" s="203"/>
      <c r="C116" s="2"/>
      <c r="D116" s="2"/>
      <c r="E116" s="2"/>
      <c r="F116" s="2"/>
    </row>
    <row r="117" spans="1:6" ht="15.75" customHeight="1">
      <c r="A117" s="202"/>
      <c r="B117" s="203"/>
      <c r="C117" s="2"/>
      <c r="D117" s="2"/>
      <c r="E117" s="2"/>
      <c r="F117" s="2"/>
    </row>
    <row r="118" spans="1:6" ht="15.75" customHeight="1">
      <c r="A118" s="202"/>
      <c r="B118" s="203"/>
      <c r="C118" s="2"/>
      <c r="D118" s="2"/>
      <c r="E118" s="2"/>
      <c r="F118" s="2"/>
    </row>
    <row r="119" spans="1:6" ht="15.75" customHeight="1">
      <c r="A119" s="202"/>
      <c r="B119" s="203"/>
      <c r="C119" s="2"/>
      <c r="D119" s="2"/>
      <c r="E119" s="2"/>
      <c r="F119" s="2"/>
    </row>
    <row r="120" spans="1:6" ht="15.75" customHeight="1">
      <c r="A120" s="202"/>
      <c r="B120" s="203"/>
      <c r="C120" s="2"/>
      <c r="D120" s="2"/>
      <c r="E120" s="2"/>
      <c r="F120" s="2"/>
    </row>
    <row r="121" spans="1:6" ht="15.75" customHeight="1">
      <c r="A121" s="202"/>
      <c r="B121" s="203"/>
      <c r="C121" s="2"/>
      <c r="D121" s="2"/>
      <c r="E121" s="2"/>
      <c r="F121" s="2"/>
    </row>
    <row r="122" spans="1:6" ht="15.75" customHeight="1">
      <c r="A122" s="202"/>
      <c r="B122" s="203"/>
      <c r="C122" s="2"/>
      <c r="D122" s="2"/>
      <c r="E122" s="2"/>
      <c r="F122" s="2"/>
    </row>
    <row r="123" spans="1:6" ht="15.75" customHeight="1">
      <c r="A123" s="202"/>
      <c r="B123" s="203"/>
      <c r="C123" s="2"/>
      <c r="D123" s="2"/>
      <c r="E123" s="2"/>
      <c r="F123" s="2"/>
    </row>
    <row r="124" spans="1:6" ht="15.75" customHeight="1">
      <c r="A124" s="202"/>
      <c r="B124" s="203"/>
      <c r="C124" s="2"/>
      <c r="D124" s="2"/>
      <c r="E124" s="2"/>
      <c r="F124" s="2"/>
    </row>
    <row r="125" spans="1:6" ht="15.75" customHeight="1">
      <c r="A125" s="202"/>
      <c r="B125" s="203"/>
      <c r="C125" s="2"/>
      <c r="D125" s="2"/>
      <c r="E125" s="2"/>
      <c r="F125" s="2"/>
    </row>
    <row r="126" spans="1:6" ht="15.75" customHeight="1">
      <c r="A126" s="202"/>
      <c r="B126" s="203"/>
      <c r="C126" s="2"/>
      <c r="D126" s="2"/>
      <c r="E126" s="2"/>
      <c r="F126" s="2"/>
    </row>
    <row r="127" spans="1:6" ht="15.75" customHeight="1">
      <c r="A127" s="202"/>
      <c r="B127" s="203"/>
      <c r="C127" s="2"/>
      <c r="D127" s="2"/>
      <c r="E127" s="2"/>
      <c r="F127" s="2"/>
    </row>
    <row r="128" spans="1:6" ht="15.75" customHeight="1">
      <c r="A128" s="202"/>
      <c r="B128" s="203"/>
      <c r="C128" s="2"/>
      <c r="D128" s="2"/>
      <c r="E128" s="2"/>
      <c r="F128" s="2"/>
    </row>
    <row r="129" spans="1:6" ht="15.75" customHeight="1">
      <c r="A129" s="202"/>
      <c r="B129" s="203"/>
      <c r="C129" s="2"/>
      <c r="D129" s="2"/>
      <c r="E129" s="2"/>
      <c r="F129" s="2"/>
    </row>
    <row r="130" spans="1:6" ht="15.75" customHeight="1">
      <c r="A130" s="202"/>
      <c r="B130" s="203"/>
      <c r="C130" s="2"/>
      <c r="D130" s="2"/>
      <c r="E130" s="2"/>
      <c r="F130" s="2"/>
    </row>
    <row r="131" spans="1:6" ht="15.75" customHeight="1">
      <c r="A131" s="202"/>
      <c r="B131" s="203"/>
      <c r="C131" s="2"/>
      <c r="D131" s="2"/>
      <c r="E131" s="2"/>
      <c r="F131" s="2"/>
    </row>
    <row r="132" spans="1:6" ht="15.75" customHeight="1">
      <c r="A132" s="202"/>
      <c r="B132" s="203"/>
      <c r="C132" s="2"/>
      <c r="D132" s="2"/>
      <c r="E132" s="2"/>
      <c r="F132" s="2"/>
    </row>
    <row r="133" spans="1:6" ht="15.75" customHeight="1">
      <c r="A133" s="202"/>
      <c r="B133" s="203"/>
      <c r="C133" s="2"/>
      <c r="D133" s="2"/>
      <c r="E133" s="2"/>
      <c r="F133" s="2"/>
    </row>
    <row r="134" spans="1:6" ht="15.75" customHeight="1">
      <c r="A134" s="202"/>
      <c r="B134" s="203"/>
      <c r="C134" s="2"/>
      <c r="D134" s="2"/>
      <c r="E134" s="2"/>
      <c r="F134" s="2"/>
    </row>
    <row r="135" spans="1:6" ht="15.75" customHeight="1">
      <c r="A135" s="202"/>
      <c r="B135" s="203"/>
      <c r="C135" s="2"/>
      <c r="D135" s="2"/>
      <c r="E135" s="2"/>
      <c r="F135" s="2"/>
    </row>
    <row r="136" spans="1:6" ht="15.75" customHeight="1">
      <c r="A136" s="202"/>
      <c r="B136" s="203"/>
      <c r="C136" s="2"/>
      <c r="D136" s="2"/>
      <c r="E136" s="2"/>
      <c r="F136" s="2"/>
    </row>
    <row r="137" spans="1:6" ht="15.75" customHeight="1">
      <c r="A137" s="202"/>
      <c r="B137" s="203"/>
      <c r="C137" s="2"/>
      <c r="D137" s="2"/>
      <c r="E137" s="2"/>
      <c r="F137" s="2"/>
    </row>
    <row r="138" spans="1:6" ht="15.75" customHeight="1">
      <c r="A138" s="202"/>
      <c r="B138" s="203"/>
      <c r="C138" s="2"/>
      <c r="D138" s="2"/>
      <c r="E138" s="2"/>
      <c r="F138" s="2"/>
    </row>
    <row r="139" spans="1:6" ht="15.75" customHeight="1">
      <c r="A139" s="202"/>
      <c r="B139" s="203"/>
      <c r="C139" s="2"/>
      <c r="D139" s="2"/>
      <c r="E139" s="2"/>
      <c r="F139" s="2"/>
    </row>
    <row r="140" spans="1:6" ht="15.75" customHeight="1">
      <c r="A140" s="202"/>
      <c r="B140" s="203"/>
      <c r="C140" s="2"/>
      <c r="D140" s="2"/>
      <c r="E140" s="2"/>
      <c r="F140" s="2"/>
    </row>
    <row r="141" spans="1:6" ht="15.75" customHeight="1">
      <c r="A141" s="202"/>
      <c r="B141" s="203"/>
      <c r="C141" s="2"/>
      <c r="D141" s="2"/>
      <c r="E141" s="2"/>
      <c r="F141" s="2"/>
    </row>
    <row r="142" spans="1:6" ht="15.75" customHeight="1">
      <c r="A142" s="202"/>
      <c r="B142" s="203"/>
      <c r="C142" s="2"/>
      <c r="D142" s="2"/>
      <c r="E142" s="2"/>
      <c r="F142" s="2"/>
    </row>
    <row r="143" spans="1:6" ht="15.75" customHeight="1">
      <c r="A143" s="202"/>
      <c r="B143" s="203"/>
      <c r="C143" s="2"/>
      <c r="D143" s="2"/>
      <c r="E143" s="2"/>
      <c r="F143" s="2"/>
    </row>
    <row r="144" spans="1:6" ht="15.75" customHeight="1">
      <c r="A144" s="202"/>
      <c r="B144" s="203"/>
      <c r="C144" s="2"/>
      <c r="D144" s="2"/>
      <c r="E144" s="2"/>
      <c r="F144" s="2"/>
    </row>
    <row r="145" spans="1:6" ht="15.75" customHeight="1">
      <c r="A145" s="202"/>
      <c r="B145" s="203"/>
      <c r="C145" s="2"/>
      <c r="D145" s="2"/>
      <c r="E145" s="2"/>
      <c r="F145" s="2"/>
    </row>
    <row r="146" spans="1:6" ht="15.75" customHeight="1">
      <c r="A146" s="202"/>
      <c r="B146" s="203"/>
      <c r="C146" s="2"/>
      <c r="D146" s="2"/>
      <c r="E146" s="2"/>
      <c r="F146" s="2"/>
    </row>
    <row r="147" spans="1:6" ht="15.75" customHeight="1">
      <c r="A147" s="202"/>
      <c r="B147" s="203"/>
      <c r="C147" s="2"/>
      <c r="D147" s="2"/>
      <c r="E147" s="2"/>
      <c r="F147" s="2"/>
    </row>
    <row r="148" spans="1:6" ht="15.75" customHeight="1">
      <c r="A148" s="202"/>
      <c r="B148" s="203"/>
      <c r="C148" s="2"/>
      <c r="D148" s="2"/>
      <c r="E148" s="2"/>
      <c r="F148" s="2"/>
    </row>
    <row r="149" spans="1:6" ht="15.75" customHeight="1">
      <c r="A149" s="202"/>
      <c r="B149" s="203"/>
      <c r="C149" s="2"/>
      <c r="D149" s="2"/>
      <c r="E149" s="2"/>
      <c r="F149" s="2"/>
    </row>
    <row r="150" spans="1:6" ht="15.75" customHeight="1">
      <c r="A150" s="202"/>
      <c r="B150" s="203"/>
      <c r="C150" s="2"/>
      <c r="D150" s="2"/>
      <c r="E150" s="2"/>
      <c r="F150" s="2"/>
    </row>
    <row r="151" spans="1:6" ht="15.75" customHeight="1">
      <c r="A151" s="202"/>
      <c r="B151" s="203"/>
      <c r="C151" s="2"/>
      <c r="D151" s="2"/>
      <c r="E151" s="2"/>
      <c r="F151" s="2"/>
    </row>
    <row r="152" spans="1:6" ht="15.75" customHeight="1">
      <c r="A152" s="202"/>
      <c r="B152" s="203"/>
      <c r="C152" s="2"/>
      <c r="D152" s="2"/>
      <c r="E152" s="2"/>
      <c r="F152" s="2"/>
    </row>
    <row r="153" spans="1:6" ht="15.75" customHeight="1">
      <c r="A153" s="202"/>
      <c r="B153" s="203"/>
      <c r="C153" s="2"/>
      <c r="D153" s="2"/>
      <c r="E153" s="2"/>
      <c r="F153" s="2"/>
    </row>
    <row r="154" spans="1:6" ht="15.75" customHeight="1">
      <c r="A154" s="202"/>
      <c r="B154" s="203"/>
      <c r="C154" s="2"/>
      <c r="D154" s="2"/>
      <c r="E154" s="2"/>
      <c r="F154" s="2"/>
    </row>
    <row r="155" spans="1:6" ht="15.75" customHeight="1">
      <c r="A155" s="202"/>
      <c r="B155" s="203"/>
      <c r="C155" s="2"/>
      <c r="D155" s="2"/>
      <c r="E155" s="2"/>
      <c r="F155" s="2"/>
    </row>
    <row r="156" spans="1:6" ht="15.75" customHeight="1">
      <c r="A156" s="202"/>
      <c r="B156" s="203"/>
      <c r="C156" s="2"/>
      <c r="D156" s="2"/>
      <c r="E156" s="2"/>
      <c r="F156" s="2"/>
    </row>
    <row r="157" spans="1:6" ht="15.75" customHeight="1">
      <c r="A157" s="202"/>
      <c r="B157" s="203"/>
      <c r="C157" s="2"/>
      <c r="D157" s="2"/>
      <c r="E157" s="2"/>
      <c r="F157" s="2"/>
    </row>
    <row r="158" spans="1:6" ht="15.75" customHeight="1">
      <c r="A158" s="202"/>
      <c r="B158" s="203"/>
      <c r="C158" s="2"/>
      <c r="D158" s="2"/>
      <c r="E158" s="2"/>
      <c r="F158" s="2"/>
    </row>
    <row r="159" spans="1:6" ht="15.75" customHeight="1">
      <c r="A159" s="202"/>
      <c r="B159" s="203"/>
      <c r="C159" s="2"/>
      <c r="D159" s="2"/>
      <c r="E159" s="2"/>
      <c r="F159" s="2"/>
    </row>
    <row r="160" spans="1:6" ht="15.75" customHeight="1">
      <c r="A160" s="202"/>
      <c r="B160" s="203"/>
      <c r="C160" s="2"/>
      <c r="D160" s="2"/>
      <c r="E160" s="2"/>
      <c r="F160" s="2"/>
    </row>
    <row r="161" spans="1:6" ht="15.75" customHeight="1">
      <c r="A161" s="202"/>
      <c r="B161" s="203"/>
      <c r="C161" s="2"/>
      <c r="D161" s="2"/>
      <c r="E161" s="2"/>
      <c r="F161" s="2"/>
    </row>
    <row r="162" spans="1:6" ht="15.75" customHeight="1">
      <c r="A162" s="202"/>
      <c r="B162" s="203"/>
      <c r="C162" s="2"/>
      <c r="D162" s="2"/>
      <c r="E162" s="2"/>
      <c r="F162" s="2"/>
    </row>
    <row r="163" spans="1:6" ht="15.75" customHeight="1">
      <c r="A163" s="202"/>
      <c r="B163" s="203"/>
      <c r="C163" s="2"/>
      <c r="D163" s="2"/>
      <c r="E163" s="2"/>
      <c r="F163" s="2"/>
    </row>
    <row r="164" spans="1:6" ht="15.75" customHeight="1">
      <c r="A164" s="202"/>
      <c r="B164" s="203"/>
      <c r="C164" s="2"/>
      <c r="D164" s="2"/>
      <c r="E164" s="2"/>
      <c r="F164" s="2"/>
    </row>
    <row r="165" spans="1:6" ht="15.75" customHeight="1">
      <c r="A165" s="202"/>
      <c r="B165" s="203"/>
      <c r="C165" s="2"/>
      <c r="D165" s="2"/>
      <c r="E165" s="2"/>
      <c r="F165" s="2"/>
    </row>
    <row r="166" spans="1:6" ht="15.75" customHeight="1">
      <c r="A166" s="202"/>
      <c r="B166" s="203"/>
      <c r="C166" s="2"/>
      <c r="D166" s="2"/>
      <c r="E166" s="2"/>
      <c r="F166" s="2"/>
    </row>
    <row r="167" spans="1:6" ht="15.75" customHeight="1">
      <c r="A167" s="202"/>
      <c r="B167" s="203"/>
      <c r="C167" s="2"/>
      <c r="D167" s="2"/>
      <c r="E167" s="2"/>
      <c r="F167" s="2"/>
    </row>
    <row r="168" spans="1:6" ht="15.75" customHeight="1">
      <c r="A168" s="202"/>
      <c r="B168" s="203"/>
      <c r="C168" s="2"/>
      <c r="D168" s="2"/>
      <c r="E168" s="2"/>
      <c r="F168" s="2"/>
    </row>
    <row r="169" spans="1:6" ht="15.75" customHeight="1">
      <c r="A169" s="202"/>
      <c r="B169" s="203"/>
      <c r="C169" s="2"/>
      <c r="D169" s="2"/>
      <c r="E169" s="2"/>
      <c r="F169" s="2"/>
    </row>
    <row r="170" spans="1:6" ht="15.75" customHeight="1">
      <c r="A170" s="202"/>
      <c r="B170" s="203"/>
      <c r="C170" s="2"/>
      <c r="D170" s="2"/>
      <c r="E170" s="2"/>
      <c r="F170" s="2"/>
    </row>
    <row r="171" spans="1:6" ht="15.75" customHeight="1">
      <c r="A171" s="202"/>
      <c r="B171" s="203"/>
      <c r="C171" s="2"/>
      <c r="D171" s="2"/>
      <c r="E171" s="2"/>
      <c r="F171" s="2"/>
    </row>
    <row r="172" spans="1:6" ht="15.75" customHeight="1">
      <c r="A172" s="202"/>
      <c r="B172" s="203"/>
      <c r="C172" s="2"/>
      <c r="D172" s="2"/>
      <c r="E172" s="2"/>
      <c r="F172" s="2"/>
    </row>
    <row r="173" spans="1:6" ht="15.75" customHeight="1">
      <c r="A173" s="202"/>
      <c r="B173" s="203"/>
      <c r="C173" s="2"/>
      <c r="D173" s="2"/>
      <c r="E173" s="2"/>
      <c r="F173" s="2"/>
    </row>
    <row r="174" spans="1:6" ht="15.75" customHeight="1">
      <c r="A174" s="202"/>
      <c r="B174" s="203"/>
      <c r="C174" s="2"/>
      <c r="D174" s="2"/>
      <c r="E174" s="2"/>
      <c r="F174" s="2"/>
    </row>
    <row r="175" spans="1:6" ht="15.75" customHeight="1">
      <c r="A175" s="202"/>
      <c r="B175" s="203"/>
      <c r="C175" s="2"/>
      <c r="D175" s="2"/>
      <c r="E175" s="2"/>
      <c r="F175" s="2"/>
    </row>
    <row r="176" spans="1:6" ht="15.75" customHeight="1">
      <c r="A176" s="202"/>
      <c r="B176" s="203"/>
      <c r="C176" s="2"/>
      <c r="D176" s="2"/>
      <c r="E176" s="2"/>
      <c r="F176" s="2"/>
    </row>
    <row r="177" spans="1:6" ht="15.75" customHeight="1">
      <c r="A177" s="202"/>
      <c r="B177" s="203"/>
      <c r="C177" s="2"/>
      <c r="D177" s="2"/>
      <c r="E177" s="2"/>
      <c r="F177" s="2"/>
    </row>
    <row r="178" spans="1:6" ht="15.75" customHeight="1">
      <c r="A178" s="202"/>
      <c r="B178" s="203"/>
      <c r="C178" s="2"/>
      <c r="D178" s="2"/>
      <c r="E178" s="2"/>
      <c r="F178" s="2"/>
    </row>
    <row r="179" spans="1:6" ht="15.75" customHeight="1">
      <c r="A179" s="202"/>
      <c r="B179" s="203"/>
      <c r="C179" s="2"/>
      <c r="D179" s="2"/>
      <c r="E179" s="2"/>
      <c r="F179" s="2"/>
    </row>
    <row r="180" spans="1:6" ht="15.75" customHeight="1">
      <c r="A180" s="202"/>
      <c r="B180" s="203"/>
      <c r="C180" s="2"/>
      <c r="D180" s="2"/>
      <c r="E180" s="2"/>
      <c r="F180" s="2"/>
    </row>
    <row r="181" spans="1:6" ht="15.75" customHeight="1">
      <c r="A181" s="202"/>
      <c r="B181" s="203"/>
      <c r="C181" s="2"/>
      <c r="D181" s="2"/>
      <c r="E181" s="2"/>
      <c r="F181" s="2"/>
    </row>
    <row r="182" spans="1:6" ht="15.75" customHeight="1">
      <c r="A182" s="202"/>
      <c r="B182" s="203"/>
      <c r="C182" s="2"/>
      <c r="D182" s="2"/>
      <c r="E182" s="2"/>
      <c r="F182" s="2"/>
    </row>
    <row r="183" spans="1:6" ht="15.75" customHeight="1">
      <c r="A183" s="202"/>
      <c r="B183" s="203"/>
      <c r="C183" s="2"/>
      <c r="D183" s="2"/>
      <c r="E183" s="2"/>
      <c r="F183" s="2"/>
    </row>
    <row r="184" spans="1:6" ht="15.75" customHeight="1">
      <c r="A184" s="202"/>
      <c r="B184" s="203"/>
      <c r="C184" s="2"/>
      <c r="D184" s="2"/>
      <c r="E184" s="2"/>
      <c r="F184" s="2"/>
    </row>
    <row r="185" spans="1:6" ht="15.75" customHeight="1">
      <c r="A185" s="202"/>
      <c r="B185" s="203"/>
      <c r="C185" s="2"/>
      <c r="D185" s="2"/>
      <c r="E185" s="2"/>
      <c r="F185" s="2"/>
    </row>
    <row r="186" spans="1:6" ht="15.75" customHeight="1">
      <c r="A186" s="202"/>
      <c r="B186" s="203"/>
      <c r="C186" s="2"/>
      <c r="D186" s="2"/>
      <c r="E186" s="2"/>
      <c r="F186" s="2"/>
    </row>
    <row r="187" spans="1:6" ht="15.75" customHeight="1">
      <c r="A187" s="202"/>
      <c r="B187" s="203"/>
      <c r="C187" s="2"/>
      <c r="D187" s="2"/>
      <c r="E187" s="2"/>
      <c r="F187" s="2"/>
    </row>
    <row r="188" spans="1:6" ht="15.75" customHeight="1">
      <c r="A188" s="202"/>
      <c r="B188" s="203"/>
      <c r="C188" s="2"/>
      <c r="D188" s="2"/>
      <c r="E188" s="2"/>
      <c r="F188" s="2"/>
    </row>
    <row r="189" spans="1:6" ht="15.75" customHeight="1">
      <c r="A189" s="202"/>
      <c r="B189" s="203"/>
      <c r="C189" s="2"/>
      <c r="D189" s="2"/>
      <c r="E189" s="2"/>
      <c r="F189" s="2"/>
    </row>
    <row r="190" spans="1:6" ht="15.75" customHeight="1">
      <c r="A190" s="202"/>
      <c r="B190" s="203"/>
      <c r="C190" s="2"/>
      <c r="D190" s="2"/>
      <c r="E190" s="2"/>
      <c r="F190" s="2"/>
    </row>
    <row r="191" spans="1:6" ht="15.75" customHeight="1">
      <c r="A191" s="202"/>
      <c r="B191" s="203"/>
      <c r="C191" s="2"/>
      <c r="D191" s="2"/>
      <c r="E191" s="2"/>
      <c r="F191" s="2"/>
    </row>
    <row r="192" spans="1:6" ht="15.75" customHeight="1">
      <c r="A192" s="202"/>
      <c r="B192" s="203"/>
      <c r="C192" s="2"/>
      <c r="D192" s="2"/>
      <c r="E192" s="2"/>
      <c r="F192" s="2"/>
    </row>
    <row r="193" spans="1:6" ht="15.75" customHeight="1">
      <c r="A193" s="202"/>
      <c r="B193" s="203"/>
      <c r="C193" s="2"/>
      <c r="D193" s="2"/>
      <c r="E193" s="2"/>
      <c r="F193" s="2"/>
    </row>
    <row r="194" spans="1:6" ht="15.75" customHeight="1">
      <c r="A194" s="202"/>
      <c r="B194" s="203"/>
      <c r="C194" s="2"/>
      <c r="D194" s="2"/>
      <c r="E194" s="2"/>
      <c r="F194" s="2"/>
    </row>
    <row r="195" spans="1:6" ht="15.75" customHeight="1">
      <c r="A195" s="202"/>
      <c r="B195" s="203"/>
      <c r="C195" s="2"/>
      <c r="D195" s="2"/>
      <c r="E195" s="2"/>
      <c r="F195" s="2"/>
    </row>
    <row r="196" spans="1:6" ht="15.75" customHeight="1">
      <c r="A196" s="202"/>
      <c r="B196" s="203"/>
      <c r="C196" s="2"/>
      <c r="D196" s="2"/>
      <c r="E196" s="2"/>
      <c r="F196" s="2"/>
    </row>
    <row r="197" spans="1:6" ht="15.75" customHeight="1">
      <c r="A197" s="202"/>
      <c r="B197" s="203"/>
      <c r="C197" s="2"/>
      <c r="D197" s="2"/>
      <c r="E197" s="2"/>
      <c r="F197" s="2"/>
    </row>
    <row r="198" spans="1:6" ht="15.75" customHeight="1">
      <c r="A198" s="202"/>
      <c r="B198" s="203"/>
      <c r="C198" s="2"/>
      <c r="D198" s="2"/>
      <c r="E198" s="2"/>
      <c r="F198" s="2"/>
    </row>
    <row r="199" spans="1:6" ht="15.75" customHeight="1">
      <c r="A199" s="202"/>
      <c r="B199" s="203"/>
      <c r="C199" s="2"/>
      <c r="D199" s="2"/>
      <c r="E199" s="2"/>
      <c r="F199" s="2"/>
    </row>
    <row r="200" spans="1:6" ht="15.75" customHeight="1">
      <c r="A200" s="202"/>
      <c r="B200" s="203"/>
      <c r="C200" s="2"/>
      <c r="D200" s="2"/>
      <c r="E200" s="2"/>
      <c r="F200" s="2"/>
    </row>
    <row r="201" spans="1:6" ht="15.75" customHeight="1">
      <c r="A201" s="202"/>
      <c r="B201" s="203"/>
      <c r="C201" s="2"/>
      <c r="D201" s="2"/>
      <c r="E201" s="2"/>
      <c r="F201" s="2"/>
    </row>
    <row r="202" spans="1:6" ht="15.75" customHeight="1">
      <c r="A202" s="202"/>
      <c r="B202" s="203"/>
      <c r="C202" s="2"/>
      <c r="D202" s="2"/>
      <c r="E202" s="2"/>
      <c r="F202" s="2"/>
    </row>
    <row r="203" spans="1:6" ht="15.75" customHeight="1">
      <c r="A203" s="202"/>
      <c r="B203" s="203"/>
      <c r="C203" s="2"/>
      <c r="D203" s="2"/>
      <c r="E203" s="2"/>
      <c r="F203" s="2"/>
    </row>
    <row r="204" spans="1:6" ht="15.75" customHeight="1">
      <c r="A204" s="202"/>
      <c r="B204" s="203"/>
      <c r="C204" s="2"/>
      <c r="D204" s="2"/>
      <c r="E204" s="2"/>
      <c r="F204" s="2"/>
    </row>
    <row r="205" spans="1:6" ht="15.75" customHeight="1">
      <c r="A205" s="202"/>
      <c r="B205" s="203"/>
      <c r="C205" s="2"/>
      <c r="D205" s="2"/>
      <c r="E205" s="2"/>
      <c r="F205" s="2"/>
    </row>
    <row r="206" spans="1:6" ht="15.75" customHeight="1">
      <c r="A206" s="202"/>
      <c r="B206" s="203"/>
      <c r="C206" s="2"/>
      <c r="D206" s="2"/>
      <c r="E206" s="2"/>
      <c r="F206" s="2"/>
    </row>
    <row r="207" spans="1:6" ht="15.75" customHeight="1">
      <c r="A207" s="202"/>
      <c r="B207" s="203"/>
      <c r="C207" s="2"/>
      <c r="D207" s="2"/>
      <c r="E207" s="2"/>
      <c r="F207" s="2"/>
    </row>
    <row r="208" spans="1:6" ht="15.75" customHeight="1">
      <c r="A208" s="202"/>
      <c r="B208" s="203"/>
      <c r="C208" s="2"/>
      <c r="D208" s="2"/>
      <c r="E208" s="2"/>
      <c r="F208" s="2"/>
    </row>
    <row r="209" spans="1:6" ht="15.75" customHeight="1">
      <c r="A209" s="202"/>
      <c r="B209" s="203"/>
      <c r="C209" s="2"/>
      <c r="D209" s="2"/>
      <c r="E209" s="2"/>
      <c r="F209" s="2"/>
    </row>
    <row r="210" spans="1:6" ht="15.75" customHeight="1">
      <c r="A210" s="202"/>
      <c r="B210" s="203"/>
      <c r="C210" s="2"/>
      <c r="D210" s="2"/>
      <c r="E210" s="2"/>
      <c r="F210" s="2"/>
    </row>
    <row r="211" spans="1:6" ht="15.75" customHeight="1">
      <c r="A211" s="202"/>
      <c r="B211" s="203"/>
      <c r="C211" s="2"/>
      <c r="D211" s="2"/>
      <c r="E211" s="2"/>
      <c r="F211" s="2"/>
    </row>
    <row r="212" spans="1:6" ht="15.75" customHeight="1">
      <c r="A212" s="202"/>
      <c r="B212" s="203"/>
      <c r="C212" s="2"/>
      <c r="D212" s="2"/>
      <c r="E212" s="2"/>
      <c r="F212" s="2"/>
    </row>
    <row r="213" spans="1:6" ht="15.75" customHeight="1">
      <c r="A213" s="202"/>
      <c r="B213" s="203"/>
      <c r="C213" s="2"/>
      <c r="D213" s="2"/>
      <c r="E213" s="2"/>
      <c r="F213" s="2"/>
    </row>
    <row r="214" spans="1:6" ht="15.75" customHeight="1">
      <c r="A214" s="202"/>
      <c r="B214" s="203"/>
      <c r="C214" s="2"/>
      <c r="D214" s="2"/>
      <c r="E214" s="2"/>
      <c r="F214" s="2"/>
    </row>
    <row r="215" spans="1:6" ht="15.75" customHeight="1">
      <c r="A215" s="202"/>
      <c r="B215" s="203"/>
      <c r="C215" s="2"/>
      <c r="D215" s="2"/>
      <c r="E215" s="2"/>
      <c r="F215" s="2"/>
    </row>
    <row r="216" spans="1:6" ht="15.75" customHeight="1">
      <c r="A216" s="202"/>
      <c r="B216" s="203"/>
      <c r="C216" s="2"/>
      <c r="D216" s="2"/>
      <c r="E216" s="2"/>
      <c r="F216" s="2"/>
    </row>
    <row r="217" spans="1:6" ht="15.75" customHeight="1">
      <c r="A217" s="202"/>
      <c r="B217" s="203"/>
      <c r="C217" s="2"/>
      <c r="D217" s="2"/>
      <c r="E217" s="2"/>
      <c r="F217" s="2"/>
    </row>
    <row r="218" spans="1:6" ht="15.75" customHeight="1">
      <c r="A218" s="202"/>
      <c r="B218" s="203"/>
      <c r="C218" s="2"/>
      <c r="D218" s="2"/>
      <c r="E218" s="2"/>
      <c r="F218" s="2"/>
    </row>
    <row r="219" spans="1:6" ht="15.75" customHeight="1">
      <c r="A219" s="202"/>
      <c r="B219" s="203"/>
      <c r="C219" s="2"/>
      <c r="D219" s="2"/>
      <c r="E219" s="2"/>
      <c r="F219" s="2"/>
    </row>
    <row r="220" spans="1:6" ht="15.75" customHeight="1">
      <c r="A220" s="202"/>
      <c r="B220" s="203"/>
      <c r="C220" s="2"/>
      <c r="D220" s="2"/>
      <c r="E220" s="2"/>
      <c r="F220" s="2"/>
    </row>
    <row r="221" spans="1:6" ht="15.75" customHeight="1">
      <c r="A221" s="202"/>
      <c r="B221" s="203"/>
      <c r="C221" s="2"/>
      <c r="D221" s="2"/>
      <c r="E221" s="2"/>
      <c r="F221" s="2"/>
    </row>
    <row r="222" spans="1:6" ht="15.75" customHeight="1">
      <c r="A222" s="202"/>
      <c r="B222" s="203"/>
      <c r="C222" s="2"/>
      <c r="D222" s="2"/>
      <c r="E222" s="2"/>
      <c r="F222" s="2"/>
    </row>
    <row r="223" spans="1:6" ht="15.75" customHeight="1">
      <c r="A223" s="202"/>
      <c r="B223" s="203"/>
      <c r="C223" s="2"/>
      <c r="D223" s="2"/>
      <c r="E223" s="2"/>
      <c r="F223" s="2"/>
    </row>
    <row r="224" spans="1:6" ht="15.75" customHeight="1">
      <c r="A224" s="202"/>
      <c r="B224" s="203"/>
      <c r="C224" s="2"/>
      <c r="D224" s="2"/>
      <c r="E224" s="2"/>
      <c r="F224" s="2"/>
    </row>
    <row r="225" spans="1:6" ht="15.75" customHeight="1">
      <c r="A225" s="202"/>
      <c r="B225" s="203"/>
      <c r="C225" s="2"/>
      <c r="D225" s="2"/>
      <c r="E225" s="2"/>
      <c r="F225" s="2"/>
    </row>
    <row r="226" spans="1:6" ht="15.75" customHeight="1">
      <c r="A226" s="202"/>
      <c r="B226" s="203"/>
      <c r="C226" s="2"/>
      <c r="D226" s="2"/>
      <c r="E226" s="2"/>
      <c r="F226" s="2"/>
    </row>
    <row r="227" spans="1:6" ht="15.75" customHeight="1">
      <c r="A227" s="202"/>
      <c r="B227" s="203"/>
      <c r="C227" s="2"/>
      <c r="D227" s="2"/>
      <c r="E227" s="2"/>
      <c r="F227" s="2"/>
    </row>
    <row r="228" spans="1:6" ht="15.75" customHeight="1">
      <c r="A228" s="202"/>
      <c r="B228" s="203"/>
      <c r="C228" s="2"/>
      <c r="D228" s="2"/>
      <c r="E228" s="2"/>
      <c r="F228" s="2"/>
    </row>
    <row r="229" spans="1:6" ht="15.75" customHeight="1">
      <c r="A229" s="202"/>
      <c r="B229" s="203"/>
      <c r="C229" s="2"/>
      <c r="D229" s="2"/>
      <c r="E229" s="2"/>
      <c r="F229" s="2"/>
    </row>
    <row r="230" spans="1:6" ht="15.75" customHeight="1">
      <c r="A230" s="202"/>
      <c r="B230" s="203"/>
      <c r="C230" s="2"/>
      <c r="D230" s="2"/>
      <c r="E230" s="2"/>
      <c r="F230" s="2"/>
    </row>
    <row r="231" spans="1:6" ht="15.75" customHeight="1">
      <c r="A231" s="202"/>
      <c r="B231" s="203"/>
      <c r="C231" s="2"/>
      <c r="D231" s="2"/>
      <c r="E231" s="2"/>
      <c r="F231" s="2"/>
    </row>
    <row r="232" spans="1:6" ht="15.75" customHeight="1">
      <c r="A232" s="202"/>
      <c r="B232" s="203"/>
      <c r="C232" s="2"/>
      <c r="D232" s="2"/>
      <c r="E232" s="2"/>
      <c r="F232" s="2"/>
    </row>
    <row r="233" spans="1:6" ht="15.75" customHeight="1">
      <c r="A233" s="202"/>
      <c r="B233" s="203"/>
      <c r="C233" s="2"/>
      <c r="D233" s="2"/>
      <c r="E233" s="2"/>
      <c r="F233" s="2"/>
    </row>
    <row r="234" spans="1:6" ht="15.75" customHeight="1">
      <c r="A234" s="202"/>
      <c r="B234" s="203"/>
      <c r="C234" s="2"/>
      <c r="D234" s="2"/>
      <c r="E234" s="2"/>
      <c r="F234" s="2"/>
    </row>
    <row r="235" spans="1:6" ht="15.75" customHeight="1">
      <c r="A235" s="202"/>
      <c r="B235" s="203"/>
      <c r="C235" s="2"/>
      <c r="D235" s="2"/>
      <c r="E235" s="2"/>
      <c r="F235" s="2"/>
    </row>
    <row r="236" spans="1:6" ht="15.75" customHeight="1">
      <c r="A236" s="202"/>
      <c r="B236" s="203"/>
      <c r="C236" s="2"/>
      <c r="D236" s="2"/>
      <c r="E236" s="2"/>
      <c r="F236" s="2"/>
    </row>
    <row r="237" spans="1:6" ht="15.75" customHeight="1">
      <c r="A237" s="202"/>
      <c r="B237" s="203"/>
      <c r="C237" s="2"/>
      <c r="D237" s="2"/>
      <c r="E237" s="2"/>
      <c r="F237" s="2"/>
    </row>
    <row r="238" spans="1:6" ht="15.75" customHeight="1">
      <c r="A238" s="202"/>
      <c r="B238" s="203"/>
      <c r="C238" s="2"/>
      <c r="D238" s="2"/>
      <c r="E238" s="2"/>
      <c r="F238" s="2"/>
    </row>
    <row r="239" spans="1:6" ht="15.75" customHeight="1">
      <c r="A239" s="202"/>
      <c r="B239" s="203"/>
      <c r="C239" s="2"/>
      <c r="D239" s="2"/>
      <c r="E239" s="2"/>
      <c r="F239" s="2"/>
    </row>
    <row r="240" spans="1:6" ht="15.75" customHeight="1">
      <c r="A240" s="202"/>
      <c r="B240" s="203"/>
      <c r="C240" s="2"/>
      <c r="D240" s="2"/>
      <c r="E240" s="2"/>
      <c r="F240" s="2"/>
    </row>
    <row r="241" spans="1:6" ht="15.75" customHeight="1">
      <c r="A241" s="202"/>
      <c r="B241" s="203"/>
      <c r="C241" s="2"/>
      <c r="D241" s="2"/>
      <c r="E241" s="2"/>
      <c r="F241" s="2"/>
    </row>
    <row r="242" spans="1:6" ht="15.75" customHeight="1">
      <c r="A242" s="202"/>
      <c r="B242" s="203"/>
      <c r="C242" s="2"/>
      <c r="D242" s="2"/>
      <c r="E242" s="2"/>
      <c r="F242" s="2"/>
    </row>
    <row r="243" spans="1:6" ht="15.75" customHeight="1">
      <c r="A243" s="202"/>
      <c r="B243" s="203"/>
      <c r="C243" s="2"/>
      <c r="D243" s="2"/>
      <c r="E243" s="2"/>
      <c r="F243" s="2"/>
    </row>
    <row r="244" spans="1:6" ht="15.75" customHeight="1">
      <c r="A244" s="202"/>
      <c r="B244" s="203"/>
      <c r="C244" s="2"/>
      <c r="D244" s="2"/>
      <c r="E244" s="2"/>
      <c r="F244" s="2"/>
    </row>
    <row r="245" spans="1:6" ht="15.75" customHeight="1">
      <c r="A245" s="202"/>
      <c r="B245" s="203"/>
      <c r="C245" s="2"/>
      <c r="D245" s="2"/>
      <c r="E245" s="2"/>
      <c r="F245" s="2"/>
    </row>
    <row r="246" spans="1:6" ht="15.75" customHeight="1">
      <c r="A246" s="202"/>
      <c r="B246" s="203"/>
      <c r="C246" s="2"/>
      <c r="D246" s="2"/>
      <c r="E246" s="2"/>
      <c r="F246" s="2"/>
    </row>
    <row r="247" spans="1:6" ht="15.75" customHeight="1">
      <c r="A247" s="202"/>
      <c r="B247" s="203"/>
      <c r="C247" s="2"/>
      <c r="D247" s="2"/>
      <c r="E247" s="2"/>
      <c r="F247" s="2"/>
    </row>
    <row r="248" spans="1:6" ht="15.75" customHeight="1">
      <c r="A248" s="202"/>
      <c r="B248" s="203"/>
      <c r="C248" s="2"/>
      <c r="D248" s="2"/>
      <c r="E248" s="2"/>
      <c r="F248" s="2"/>
    </row>
    <row r="249" spans="1:6" ht="15.75" customHeight="1">
      <c r="A249" s="202"/>
      <c r="B249" s="203"/>
      <c r="C249" s="2"/>
      <c r="D249" s="2"/>
      <c r="E249" s="2"/>
      <c r="F249" s="2"/>
    </row>
    <row r="250" spans="1:6" ht="15.75" customHeight="1">
      <c r="A250" s="202"/>
      <c r="B250" s="203"/>
      <c r="C250" s="2"/>
      <c r="D250" s="2"/>
      <c r="E250" s="2"/>
      <c r="F250" s="2"/>
    </row>
    <row r="251" spans="1:6" ht="15.75" customHeight="1">
      <c r="A251" s="202"/>
      <c r="B251" s="203"/>
      <c r="C251" s="2"/>
      <c r="D251" s="2"/>
      <c r="E251" s="2"/>
      <c r="F251" s="2"/>
    </row>
    <row r="252" spans="1:6" ht="15.75" customHeight="1">
      <c r="A252" s="202"/>
      <c r="B252" s="203"/>
      <c r="C252" s="2"/>
      <c r="D252" s="2"/>
      <c r="E252" s="2"/>
      <c r="F252" s="2"/>
    </row>
    <row r="253" spans="1:6" ht="15.75" customHeight="1"/>
    <row r="254" spans="1:6" ht="15.75" customHeight="1"/>
    <row r="255" spans="1:6" ht="15.75" customHeight="1"/>
    <row r="256" spans="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00"/>
  <sheetViews>
    <sheetView workbookViewId="0">
      <pane ySplit="1" topLeftCell="A2" activePane="bottomLeft" state="frozen"/>
      <selection pane="bottomLeft" activeCell="B3" sqref="B3"/>
    </sheetView>
  </sheetViews>
  <sheetFormatPr defaultColWidth="14.42578125" defaultRowHeight="15" customHeight="1"/>
  <cols>
    <col min="1" max="1" width="25" customWidth="1"/>
    <col min="2" max="2" width="18" customWidth="1"/>
    <col min="3" max="6" width="14.42578125" customWidth="1"/>
  </cols>
  <sheetData>
    <row r="1" spans="1:6" ht="30">
      <c r="A1" s="138" t="s">
        <v>14</v>
      </c>
      <c r="B1" s="138" t="s">
        <v>997</v>
      </c>
      <c r="C1" s="2"/>
      <c r="D1" s="2"/>
      <c r="E1" s="2"/>
      <c r="F1" s="2"/>
    </row>
    <row r="2" spans="1:6">
      <c r="A2" s="2" t="s">
        <v>21</v>
      </c>
      <c r="B2" s="2">
        <v>10</v>
      </c>
      <c r="C2" s="2"/>
      <c r="D2" s="2"/>
      <c r="E2" s="2"/>
      <c r="F2" s="2"/>
    </row>
    <row r="3" spans="1:6">
      <c r="A3" s="2" t="s">
        <v>22</v>
      </c>
      <c r="B3" s="2">
        <v>16</v>
      </c>
      <c r="C3" s="2"/>
      <c r="D3" s="2"/>
      <c r="E3" s="2"/>
      <c r="F3" s="2"/>
    </row>
    <row r="4" spans="1:6">
      <c r="A4" s="2" t="s">
        <v>23</v>
      </c>
      <c r="B4" s="2">
        <v>16</v>
      </c>
      <c r="C4" s="2"/>
      <c r="D4" s="2"/>
      <c r="E4" s="2"/>
      <c r="F4" s="2"/>
    </row>
    <row r="5" spans="1:6">
      <c r="A5" s="2" t="s">
        <v>24</v>
      </c>
      <c r="B5" s="2">
        <v>16</v>
      </c>
      <c r="C5" s="2"/>
      <c r="D5" s="2"/>
      <c r="E5" s="2"/>
      <c r="F5" s="2"/>
    </row>
    <row r="6" spans="1:6">
      <c r="A6" s="2" t="s">
        <v>25</v>
      </c>
      <c r="B6" s="2">
        <v>16</v>
      </c>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ht="15.75" customHeight="1">
      <c r="A21" s="2"/>
      <c r="B21" s="2"/>
      <c r="C21" s="2"/>
      <c r="D21" s="2"/>
      <c r="E21" s="2"/>
      <c r="F21" s="2"/>
    </row>
    <row r="22" spans="1:6" ht="15.75" customHeight="1">
      <c r="A22" s="2"/>
      <c r="B22" s="2"/>
      <c r="C22" s="2"/>
      <c r="D22" s="2"/>
      <c r="E22" s="2"/>
      <c r="F22" s="2"/>
    </row>
    <row r="23" spans="1:6" ht="15.75" customHeight="1">
      <c r="A23" s="2"/>
      <c r="B23" s="2"/>
      <c r="C23" s="2"/>
      <c r="D23" s="2"/>
      <c r="E23" s="2"/>
      <c r="F23" s="2"/>
    </row>
    <row r="24" spans="1:6" ht="15.75" customHeight="1">
      <c r="A24" s="2"/>
      <c r="B24" s="2"/>
      <c r="C24" s="2"/>
      <c r="D24" s="2"/>
      <c r="E24" s="2"/>
      <c r="F24" s="2"/>
    </row>
    <row r="25" spans="1:6" ht="15.75" customHeight="1">
      <c r="A25" s="2"/>
      <c r="B25" s="2"/>
      <c r="C25" s="2"/>
      <c r="D25" s="2"/>
      <c r="E25" s="2"/>
      <c r="F25" s="2"/>
    </row>
    <row r="26" spans="1:6" ht="15.75" customHeight="1">
      <c r="A26" s="2"/>
      <c r="B26" s="2"/>
      <c r="C26" s="2"/>
      <c r="D26" s="2"/>
      <c r="E26" s="2"/>
      <c r="F26" s="2"/>
    </row>
    <row r="27" spans="1:6" ht="15.75" customHeight="1">
      <c r="A27" s="2"/>
      <c r="B27" s="2"/>
      <c r="C27" s="2"/>
      <c r="D27" s="2"/>
      <c r="E27" s="2"/>
      <c r="F27" s="2"/>
    </row>
    <row r="28" spans="1:6" ht="15.75" customHeight="1">
      <c r="A28" s="2"/>
      <c r="B28" s="2"/>
      <c r="C28" s="2"/>
      <c r="D28" s="2"/>
      <c r="E28" s="2"/>
      <c r="F28" s="2"/>
    </row>
    <row r="29" spans="1:6" ht="15.75" customHeight="1">
      <c r="A29" s="2"/>
      <c r="B29" s="2"/>
      <c r="C29" s="2"/>
      <c r="D29" s="2"/>
      <c r="E29" s="2"/>
      <c r="F29" s="2"/>
    </row>
    <row r="30" spans="1:6" ht="15.75" customHeight="1">
      <c r="A30" s="2"/>
      <c r="B30" s="2"/>
      <c r="C30" s="2"/>
      <c r="D30" s="2"/>
      <c r="E30" s="2"/>
      <c r="F30" s="2"/>
    </row>
    <row r="31" spans="1:6" ht="15.75" customHeight="1">
      <c r="A31" s="2"/>
      <c r="B31" s="2"/>
      <c r="C31" s="2"/>
      <c r="D31" s="2"/>
      <c r="E31" s="2"/>
      <c r="F31" s="2"/>
    </row>
    <row r="32" spans="1:6" ht="15.75" customHeight="1">
      <c r="A32" s="2"/>
      <c r="B32" s="2"/>
      <c r="C32" s="2"/>
      <c r="D32" s="2"/>
      <c r="E32" s="2"/>
      <c r="F32" s="2"/>
    </row>
    <row r="33" spans="1:6" ht="15.75" customHeight="1">
      <c r="A33" s="2"/>
      <c r="B33" s="2"/>
      <c r="C33" s="2"/>
      <c r="D33" s="2"/>
      <c r="E33" s="2"/>
      <c r="F33" s="2"/>
    </row>
    <row r="34" spans="1:6" ht="15.75" customHeight="1">
      <c r="A34" s="2"/>
      <c r="B34" s="2"/>
      <c r="C34" s="2"/>
      <c r="D34" s="2"/>
      <c r="E34" s="2"/>
      <c r="F34" s="2"/>
    </row>
    <row r="35" spans="1:6" ht="15.75" customHeight="1">
      <c r="A35" s="2"/>
      <c r="B35" s="2"/>
      <c r="C35" s="2"/>
      <c r="D35" s="2"/>
      <c r="E35" s="2"/>
      <c r="F35" s="2"/>
    </row>
    <row r="36" spans="1:6" ht="15.75" customHeight="1">
      <c r="A36" s="2"/>
      <c r="B36" s="2"/>
      <c r="C36" s="2"/>
      <c r="D36" s="2"/>
      <c r="E36" s="2"/>
      <c r="F36" s="2"/>
    </row>
    <row r="37" spans="1:6" ht="15.75" customHeight="1">
      <c r="A37" s="2"/>
      <c r="B37" s="2"/>
      <c r="C37" s="2"/>
      <c r="D37" s="2"/>
      <c r="E37" s="2"/>
      <c r="F37" s="2"/>
    </row>
    <row r="38" spans="1:6" ht="15.75" customHeight="1">
      <c r="A38" s="2"/>
      <c r="B38" s="2"/>
      <c r="C38" s="2"/>
      <c r="D38" s="2"/>
      <c r="E38" s="2"/>
      <c r="F38" s="2"/>
    </row>
    <row r="39" spans="1:6" ht="15.75" customHeight="1">
      <c r="A39" s="2"/>
      <c r="B39" s="2"/>
      <c r="C39" s="2"/>
      <c r="D39" s="2"/>
      <c r="E39" s="2"/>
      <c r="F39" s="2"/>
    </row>
    <row r="40" spans="1:6" ht="15.75" customHeight="1">
      <c r="A40" s="2"/>
      <c r="B40" s="2"/>
      <c r="C40" s="2"/>
      <c r="D40" s="2"/>
      <c r="E40" s="2"/>
      <c r="F40" s="2"/>
    </row>
    <row r="41" spans="1:6" ht="15.75" customHeight="1">
      <c r="A41" s="2"/>
      <c r="B41" s="2"/>
      <c r="C41" s="2"/>
      <c r="D41" s="2"/>
      <c r="E41" s="2"/>
      <c r="F41" s="2"/>
    </row>
    <row r="42" spans="1:6" ht="15.75" customHeight="1">
      <c r="A42" s="2"/>
      <c r="B42" s="2"/>
      <c r="C42" s="2"/>
      <c r="D42" s="2"/>
      <c r="E42" s="2"/>
      <c r="F42" s="2"/>
    </row>
    <row r="43" spans="1:6" ht="15.75" customHeight="1">
      <c r="A43" s="2"/>
      <c r="B43" s="2"/>
      <c r="C43" s="2"/>
      <c r="D43" s="2"/>
      <c r="E43" s="2"/>
      <c r="F43" s="2"/>
    </row>
    <row r="44" spans="1:6" ht="15.75" customHeight="1">
      <c r="A44" s="2"/>
      <c r="B44" s="2"/>
      <c r="C44" s="2"/>
      <c r="D44" s="2"/>
      <c r="E44" s="2"/>
      <c r="F44" s="2"/>
    </row>
    <row r="45" spans="1:6" ht="15.75" customHeight="1">
      <c r="A45" s="2"/>
      <c r="B45" s="2"/>
      <c r="C45" s="2"/>
      <c r="D45" s="2"/>
      <c r="E45" s="2"/>
      <c r="F45" s="2"/>
    </row>
    <row r="46" spans="1:6" ht="15.75" customHeight="1">
      <c r="A46" s="2"/>
      <c r="B46" s="2"/>
      <c r="C46" s="2"/>
      <c r="D46" s="2"/>
      <c r="E46" s="2"/>
      <c r="F46" s="2"/>
    </row>
    <row r="47" spans="1:6" ht="15.75" customHeight="1">
      <c r="A47" s="2"/>
      <c r="B47" s="2"/>
      <c r="C47" s="2"/>
      <c r="D47" s="2"/>
      <c r="E47" s="2"/>
      <c r="F47" s="2"/>
    </row>
    <row r="48" spans="1:6" ht="15.75" customHeight="1">
      <c r="A48" s="2"/>
      <c r="B48" s="2"/>
      <c r="C48" s="2"/>
      <c r="D48" s="2"/>
      <c r="E48" s="2"/>
      <c r="F48" s="2"/>
    </row>
    <row r="49" spans="1:6" ht="15.75" customHeight="1">
      <c r="A49" s="2"/>
      <c r="B49" s="2"/>
      <c r="C49" s="2"/>
      <c r="D49" s="2"/>
      <c r="E49" s="2"/>
      <c r="F49" s="2"/>
    </row>
    <row r="50" spans="1:6" ht="15.75" customHeight="1">
      <c r="A50" s="2"/>
      <c r="B50" s="2"/>
      <c r="C50" s="2"/>
      <c r="D50" s="2"/>
      <c r="E50" s="2"/>
      <c r="F50" s="2"/>
    </row>
    <row r="51" spans="1:6" ht="15.75" customHeight="1">
      <c r="A51" s="2"/>
      <c r="B51" s="2"/>
      <c r="C51" s="2"/>
      <c r="D51" s="2"/>
      <c r="E51" s="2"/>
      <c r="F51" s="2"/>
    </row>
    <row r="52" spans="1:6" ht="15.75" customHeight="1">
      <c r="A52" s="2"/>
      <c r="B52" s="2"/>
      <c r="C52" s="2"/>
      <c r="D52" s="2"/>
      <c r="E52" s="2"/>
      <c r="F52" s="2"/>
    </row>
    <row r="53" spans="1:6" ht="15.75" customHeight="1">
      <c r="A53" s="2"/>
      <c r="B53" s="2"/>
      <c r="C53" s="2"/>
      <c r="D53" s="2"/>
      <c r="E53" s="2"/>
      <c r="F53" s="2"/>
    </row>
    <row r="54" spans="1:6" ht="15.75" customHeight="1">
      <c r="A54" s="2"/>
      <c r="B54" s="2"/>
      <c r="C54" s="2"/>
      <c r="D54" s="2"/>
      <c r="E54" s="2"/>
      <c r="F54" s="2"/>
    </row>
    <row r="55" spans="1:6" ht="15.75" customHeight="1">
      <c r="A55" s="2"/>
      <c r="B55" s="2"/>
      <c r="C55" s="2"/>
      <c r="D55" s="2"/>
      <c r="E55" s="2"/>
      <c r="F55" s="2"/>
    </row>
    <row r="56" spans="1:6" ht="15.75" customHeight="1">
      <c r="A56" s="2"/>
      <c r="B56" s="2"/>
      <c r="C56" s="2"/>
      <c r="D56" s="2"/>
      <c r="E56" s="2"/>
      <c r="F56" s="2"/>
    </row>
    <row r="57" spans="1:6" ht="15.75" customHeight="1">
      <c r="A57" s="2"/>
      <c r="B57" s="2"/>
      <c r="C57" s="2"/>
      <c r="D57" s="2"/>
      <c r="E57" s="2"/>
      <c r="F57" s="2"/>
    </row>
    <row r="58" spans="1:6" ht="15.75" customHeight="1">
      <c r="A58" s="2"/>
      <c r="B58" s="2"/>
      <c r="C58" s="2"/>
      <c r="D58" s="2"/>
      <c r="E58" s="2"/>
      <c r="F58" s="2"/>
    </row>
    <row r="59" spans="1:6" ht="15.75" customHeight="1">
      <c r="A59" s="2"/>
      <c r="B59" s="2"/>
      <c r="C59" s="2"/>
      <c r="D59" s="2"/>
      <c r="E59" s="2"/>
      <c r="F59" s="2"/>
    </row>
    <row r="60" spans="1:6" ht="15.75" customHeight="1">
      <c r="A60" s="2"/>
      <c r="B60" s="2"/>
      <c r="C60" s="2"/>
      <c r="D60" s="2"/>
      <c r="E60" s="2"/>
      <c r="F60" s="2"/>
    </row>
    <row r="61" spans="1:6" ht="15.75" customHeight="1">
      <c r="A61" s="2"/>
      <c r="B61" s="2"/>
      <c r="C61" s="2"/>
      <c r="D61" s="2"/>
      <c r="E61" s="2"/>
      <c r="F61" s="2"/>
    </row>
    <row r="62" spans="1:6" ht="15.75" customHeight="1">
      <c r="A62" s="2"/>
      <c r="B62" s="2"/>
      <c r="C62" s="2"/>
      <c r="D62" s="2"/>
      <c r="E62" s="2"/>
      <c r="F62" s="2"/>
    </row>
    <row r="63" spans="1:6" ht="15.75" customHeight="1">
      <c r="A63" s="2"/>
      <c r="B63" s="2"/>
      <c r="C63" s="2"/>
      <c r="D63" s="2"/>
      <c r="E63" s="2"/>
      <c r="F63" s="2"/>
    </row>
    <row r="64" spans="1:6" ht="15.75" customHeight="1">
      <c r="A64" s="2"/>
      <c r="B64" s="2"/>
      <c r="C64" s="2"/>
      <c r="D64" s="2"/>
      <c r="E64" s="2"/>
      <c r="F64" s="2"/>
    </row>
    <row r="65" spans="1:6" ht="15.75" customHeight="1">
      <c r="A65" s="2"/>
      <c r="B65" s="2"/>
      <c r="C65" s="2"/>
      <c r="D65" s="2"/>
      <c r="E65" s="2"/>
      <c r="F65" s="2"/>
    </row>
    <row r="66" spans="1:6" ht="15.75" customHeight="1">
      <c r="A66" s="2"/>
      <c r="B66" s="2"/>
      <c r="C66" s="2"/>
      <c r="D66" s="2"/>
      <c r="E66" s="2"/>
      <c r="F66" s="2"/>
    </row>
    <row r="67" spans="1:6" ht="15.75" customHeight="1">
      <c r="A67" s="2"/>
      <c r="B67" s="2"/>
      <c r="C67" s="2"/>
      <c r="D67" s="2"/>
      <c r="E67" s="2"/>
      <c r="F67" s="2"/>
    </row>
    <row r="68" spans="1:6" ht="15.75" customHeight="1">
      <c r="A68" s="2"/>
      <c r="B68" s="2"/>
      <c r="C68" s="2"/>
      <c r="D68" s="2"/>
      <c r="E68" s="2"/>
      <c r="F68" s="2"/>
    </row>
    <row r="69" spans="1:6" ht="15.75" customHeight="1">
      <c r="A69" s="2"/>
      <c r="B69" s="2"/>
      <c r="C69" s="2"/>
      <c r="D69" s="2"/>
      <c r="E69" s="2"/>
      <c r="F69" s="2"/>
    </row>
    <row r="70" spans="1:6" ht="15.75" customHeight="1">
      <c r="A70" s="2"/>
      <c r="B70" s="2"/>
      <c r="C70" s="2"/>
      <c r="D70" s="2"/>
      <c r="E70" s="2"/>
      <c r="F70" s="2"/>
    </row>
    <row r="71" spans="1:6" ht="15.75" customHeight="1">
      <c r="A71" s="2"/>
      <c r="B71" s="2"/>
      <c r="C71" s="2"/>
      <c r="D71" s="2"/>
      <c r="E71" s="2"/>
      <c r="F71" s="2"/>
    </row>
    <row r="72" spans="1:6" ht="15.75" customHeight="1">
      <c r="A72" s="2"/>
      <c r="B72" s="2"/>
      <c r="C72" s="2"/>
      <c r="D72" s="2"/>
      <c r="E72" s="2"/>
      <c r="F72" s="2"/>
    </row>
    <row r="73" spans="1:6" ht="15.75" customHeight="1">
      <c r="A73" s="2"/>
      <c r="B73" s="2"/>
      <c r="C73" s="2"/>
      <c r="D73" s="2"/>
      <c r="E73" s="2"/>
      <c r="F73" s="2"/>
    </row>
    <row r="74" spans="1:6" ht="15.75" customHeight="1">
      <c r="A74" s="2"/>
      <c r="B74" s="2"/>
      <c r="C74" s="2"/>
      <c r="D74" s="2"/>
      <c r="E74" s="2"/>
      <c r="F74" s="2"/>
    </row>
    <row r="75" spans="1:6" ht="15.75" customHeight="1">
      <c r="A75" s="2"/>
      <c r="B75" s="2"/>
      <c r="C75" s="2"/>
      <c r="D75" s="2"/>
      <c r="E75" s="2"/>
      <c r="F75" s="2"/>
    </row>
    <row r="76" spans="1:6" ht="15.75" customHeight="1">
      <c r="A76" s="2"/>
      <c r="B76" s="2"/>
      <c r="C76" s="2"/>
      <c r="D76" s="2"/>
      <c r="E76" s="2"/>
      <c r="F76" s="2"/>
    </row>
    <row r="77" spans="1:6" ht="15.75" customHeight="1">
      <c r="A77" s="2"/>
      <c r="B77" s="2"/>
      <c r="C77" s="2"/>
      <c r="D77" s="2"/>
      <c r="E77" s="2"/>
      <c r="F77" s="2"/>
    </row>
    <row r="78" spans="1:6" ht="15.75" customHeight="1">
      <c r="A78" s="2"/>
      <c r="B78" s="2"/>
      <c r="C78" s="2"/>
      <c r="D78" s="2"/>
      <c r="E78" s="2"/>
      <c r="F78" s="2"/>
    </row>
    <row r="79" spans="1:6" ht="15.75" customHeight="1">
      <c r="A79" s="2"/>
      <c r="B79" s="2"/>
      <c r="C79" s="2"/>
      <c r="D79" s="2"/>
      <c r="E79" s="2"/>
      <c r="F79" s="2"/>
    </row>
    <row r="80" spans="1:6" ht="15.75" customHeight="1">
      <c r="A80" s="2"/>
      <c r="B80" s="2"/>
      <c r="C80" s="2"/>
      <c r="D80" s="2"/>
      <c r="E80" s="2"/>
      <c r="F80" s="2"/>
    </row>
    <row r="81" spans="1:6" ht="15.75" customHeight="1">
      <c r="A81" s="2"/>
      <c r="B81" s="2"/>
      <c r="C81" s="2"/>
      <c r="D81" s="2"/>
      <c r="E81" s="2"/>
      <c r="F81" s="2"/>
    </row>
    <row r="82" spans="1:6" ht="15.75" customHeight="1">
      <c r="A82" s="2"/>
      <c r="B82" s="2"/>
      <c r="C82" s="2"/>
      <c r="D82" s="2"/>
      <c r="E82" s="2"/>
      <c r="F82" s="2"/>
    </row>
    <row r="83" spans="1:6" ht="15.75" customHeight="1">
      <c r="A83" s="2"/>
      <c r="B83" s="2"/>
      <c r="C83" s="2"/>
      <c r="D83" s="2"/>
      <c r="E83" s="2"/>
      <c r="F83" s="2"/>
    </row>
    <row r="84" spans="1:6" ht="15.75" customHeight="1">
      <c r="A84" s="2"/>
      <c r="B84" s="2"/>
      <c r="C84" s="2"/>
      <c r="D84" s="2"/>
      <c r="E84" s="2"/>
      <c r="F84" s="2"/>
    </row>
    <row r="85" spans="1:6" ht="15.75" customHeight="1">
      <c r="A85" s="2"/>
      <c r="B85" s="2"/>
      <c r="C85" s="2"/>
      <c r="D85" s="2"/>
      <c r="E85" s="2"/>
      <c r="F85" s="2"/>
    </row>
    <row r="86" spans="1:6" ht="15.75" customHeight="1">
      <c r="A86" s="2"/>
      <c r="B86" s="2"/>
      <c r="C86" s="2"/>
      <c r="D86" s="2"/>
      <c r="E86" s="2"/>
      <c r="F86" s="2"/>
    </row>
    <row r="87" spans="1:6" ht="15.75" customHeight="1">
      <c r="A87" s="2"/>
      <c r="B87" s="2"/>
      <c r="C87" s="2"/>
      <c r="D87" s="2"/>
      <c r="E87" s="2"/>
      <c r="F87" s="2"/>
    </row>
    <row r="88" spans="1:6" ht="15.75" customHeight="1">
      <c r="A88" s="2"/>
      <c r="B88" s="2"/>
      <c r="C88" s="2"/>
      <c r="D88" s="2"/>
      <c r="E88" s="2"/>
      <c r="F88" s="2"/>
    </row>
    <row r="89" spans="1:6" ht="15.75" customHeight="1">
      <c r="A89" s="2"/>
      <c r="B89" s="2"/>
      <c r="C89" s="2"/>
      <c r="D89" s="2"/>
      <c r="E89" s="2"/>
      <c r="F89" s="2"/>
    </row>
    <row r="90" spans="1:6" ht="15.75" customHeight="1">
      <c r="A90" s="2"/>
      <c r="B90" s="2"/>
      <c r="C90" s="2"/>
      <c r="D90" s="2"/>
      <c r="E90" s="2"/>
      <c r="F90" s="2"/>
    </row>
    <row r="91" spans="1:6" ht="15.75" customHeight="1">
      <c r="A91" s="2"/>
      <c r="B91" s="2"/>
      <c r="C91" s="2"/>
      <c r="D91" s="2"/>
      <c r="E91" s="2"/>
      <c r="F91" s="2"/>
    </row>
    <row r="92" spans="1:6" ht="15.75" customHeight="1">
      <c r="A92" s="2"/>
      <c r="B92" s="2"/>
      <c r="C92" s="2"/>
      <c r="D92" s="2"/>
      <c r="E92" s="2"/>
      <c r="F92" s="2"/>
    </row>
    <row r="93" spans="1:6" ht="15.75" customHeight="1">
      <c r="A93" s="2"/>
      <c r="B93" s="2"/>
      <c r="C93" s="2"/>
      <c r="D93" s="2"/>
      <c r="E93" s="2"/>
      <c r="F93" s="2"/>
    </row>
    <row r="94" spans="1:6" ht="15.75" customHeight="1">
      <c r="A94" s="2"/>
      <c r="B94" s="2"/>
      <c r="C94" s="2"/>
      <c r="D94" s="2"/>
      <c r="E94" s="2"/>
      <c r="F94" s="2"/>
    </row>
    <row r="95" spans="1:6" ht="15.75" customHeight="1">
      <c r="A95" s="2"/>
      <c r="B95" s="2"/>
      <c r="C95" s="2"/>
      <c r="D95" s="2"/>
      <c r="E95" s="2"/>
      <c r="F95" s="2"/>
    </row>
    <row r="96" spans="1:6" ht="15.75" customHeight="1">
      <c r="A96" s="2"/>
      <c r="B96" s="2"/>
      <c r="C96" s="2"/>
      <c r="D96" s="2"/>
      <c r="E96" s="2"/>
      <c r="F96" s="2"/>
    </row>
    <row r="97" spans="1:6" ht="15.75" customHeight="1">
      <c r="A97" s="2"/>
      <c r="B97" s="2"/>
      <c r="C97" s="2"/>
      <c r="D97" s="2"/>
      <c r="E97" s="2"/>
      <c r="F97" s="2"/>
    </row>
    <row r="98" spans="1:6" ht="15.75" customHeight="1">
      <c r="A98" s="2"/>
      <c r="B98" s="2"/>
      <c r="C98" s="2"/>
      <c r="D98" s="2"/>
      <c r="E98" s="2"/>
      <c r="F98" s="2"/>
    </row>
    <row r="99" spans="1:6" ht="15.75" customHeight="1">
      <c r="A99" s="2"/>
      <c r="B99" s="2"/>
      <c r="C99" s="2"/>
      <c r="D99" s="2"/>
      <c r="E99" s="2"/>
      <c r="F99" s="2"/>
    </row>
    <row r="100" spans="1:6" ht="15.75" customHeight="1">
      <c r="A100" s="2"/>
      <c r="B100" s="2"/>
      <c r="C100" s="2"/>
      <c r="D100" s="2"/>
      <c r="E100" s="2"/>
      <c r="F100" s="2"/>
    </row>
    <row r="101" spans="1:6" ht="15.75" customHeight="1">
      <c r="A101" s="2"/>
      <c r="B101" s="2"/>
      <c r="C101" s="2"/>
      <c r="D101" s="2"/>
      <c r="E101" s="2"/>
      <c r="F101" s="2"/>
    </row>
    <row r="102" spans="1:6" ht="15.75" customHeight="1">
      <c r="A102" s="2"/>
      <c r="B102" s="2"/>
      <c r="C102" s="2"/>
      <c r="D102" s="2"/>
      <c r="E102" s="2"/>
      <c r="F102" s="2"/>
    </row>
    <row r="103" spans="1:6" ht="15.75" customHeight="1">
      <c r="A103" s="2"/>
      <c r="B103" s="2"/>
      <c r="C103" s="2"/>
      <c r="D103" s="2"/>
      <c r="E103" s="2"/>
      <c r="F103" s="2"/>
    </row>
    <row r="104" spans="1:6" ht="15.75" customHeight="1">
      <c r="A104" s="2"/>
      <c r="B104" s="2"/>
      <c r="C104" s="2"/>
      <c r="D104" s="2"/>
      <c r="E104" s="2"/>
      <c r="F104" s="2"/>
    </row>
    <row r="105" spans="1:6" ht="15.75" customHeight="1">
      <c r="A105" s="2"/>
      <c r="B105" s="2"/>
      <c r="C105" s="2"/>
      <c r="D105" s="2"/>
      <c r="E105" s="2"/>
      <c r="F105" s="2"/>
    </row>
    <row r="106" spans="1:6" ht="15.75" customHeight="1">
      <c r="A106" s="2"/>
      <c r="B106" s="2"/>
      <c r="C106" s="2"/>
      <c r="D106" s="2"/>
      <c r="E106" s="2"/>
      <c r="F106" s="2"/>
    </row>
    <row r="107" spans="1:6" ht="15.75" customHeight="1">
      <c r="A107" s="2"/>
      <c r="B107" s="2"/>
      <c r="C107" s="2"/>
      <c r="D107" s="2"/>
      <c r="E107" s="2"/>
      <c r="F107" s="2"/>
    </row>
    <row r="108" spans="1:6" ht="15.75" customHeight="1">
      <c r="A108" s="2"/>
      <c r="B108" s="2"/>
      <c r="C108" s="2"/>
      <c r="D108" s="2"/>
      <c r="E108" s="2"/>
      <c r="F108" s="2"/>
    </row>
    <row r="109" spans="1:6" ht="15.75" customHeight="1">
      <c r="A109" s="2"/>
      <c r="B109" s="2"/>
      <c r="C109" s="2"/>
      <c r="D109" s="2"/>
      <c r="E109" s="2"/>
      <c r="F109" s="2"/>
    </row>
    <row r="110" spans="1:6" ht="15.75" customHeight="1">
      <c r="A110" s="2"/>
      <c r="B110" s="2"/>
      <c r="C110" s="2"/>
      <c r="D110" s="2"/>
      <c r="E110" s="2"/>
      <c r="F110" s="2"/>
    </row>
    <row r="111" spans="1:6" ht="15.75" customHeight="1">
      <c r="A111" s="2"/>
      <c r="B111" s="2"/>
      <c r="C111" s="2"/>
      <c r="D111" s="2"/>
      <c r="E111" s="2"/>
      <c r="F111" s="2"/>
    </row>
    <row r="112" spans="1:6" ht="15.75" customHeight="1">
      <c r="A112" s="2"/>
      <c r="B112" s="2"/>
      <c r="C112" s="2"/>
      <c r="D112" s="2"/>
      <c r="E112" s="2"/>
      <c r="F112" s="2"/>
    </row>
    <row r="113" spans="1:6" ht="15.75" customHeight="1">
      <c r="A113" s="2"/>
      <c r="B113" s="2"/>
      <c r="C113" s="2"/>
      <c r="D113" s="2"/>
      <c r="E113" s="2"/>
      <c r="F113" s="2"/>
    </row>
    <row r="114" spans="1:6" ht="15.75" customHeight="1">
      <c r="A114" s="2"/>
      <c r="B114" s="2"/>
      <c r="C114" s="2"/>
      <c r="D114" s="2"/>
      <c r="E114" s="2"/>
      <c r="F114" s="2"/>
    </row>
    <row r="115" spans="1:6" ht="15.75" customHeight="1">
      <c r="A115" s="2"/>
      <c r="B115" s="2"/>
      <c r="C115" s="2"/>
      <c r="D115" s="2"/>
      <c r="E115" s="2"/>
      <c r="F115" s="2"/>
    </row>
    <row r="116" spans="1:6" ht="15.75" customHeight="1">
      <c r="A116" s="2"/>
      <c r="B116" s="2"/>
      <c r="C116" s="2"/>
      <c r="D116" s="2"/>
      <c r="E116" s="2"/>
      <c r="F116" s="2"/>
    </row>
    <row r="117" spans="1:6" ht="15.75" customHeight="1">
      <c r="A117" s="2"/>
      <c r="B117" s="2"/>
      <c r="C117" s="2"/>
      <c r="D117" s="2"/>
      <c r="E117" s="2"/>
      <c r="F117" s="2"/>
    </row>
    <row r="118" spans="1:6" ht="15.75" customHeight="1">
      <c r="A118" s="2"/>
      <c r="B118" s="2"/>
      <c r="C118" s="2"/>
      <c r="D118" s="2"/>
      <c r="E118" s="2"/>
      <c r="F118" s="2"/>
    </row>
    <row r="119" spans="1:6" ht="15.75" customHeight="1">
      <c r="A119" s="2"/>
      <c r="B119" s="2"/>
      <c r="C119" s="2"/>
      <c r="D119" s="2"/>
      <c r="E119" s="2"/>
      <c r="F119" s="2"/>
    </row>
    <row r="120" spans="1:6" ht="15.75" customHeight="1">
      <c r="A120" s="2"/>
      <c r="B120" s="2"/>
      <c r="C120" s="2"/>
      <c r="D120" s="2"/>
      <c r="E120" s="2"/>
      <c r="F120" s="2"/>
    </row>
    <row r="121" spans="1:6" ht="15.75" customHeight="1">
      <c r="A121" s="2"/>
      <c r="B121" s="2"/>
      <c r="C121" s="2"/>
      <c r="D121" s="2"/>
      <c r="E121" s="2"/>
      <c r="F121" s="2"/>
    </row>
    <row r="122" spans="1:6" ht="15.75" customHeight="1">
      <c r="A122" s="2"/>
      <c r="B122" s="2"/>
      <c r="C122" s="2"/>
      <c r="D122" s="2"/>
      <c r="E122" s="2"/>
      <c r="F122" s="2"/>
    </row>
    <row r="123" spans="1:6" ht="15.75" customHeight="1">
      <c r="A123" s="2"/>
      <c r="B123" s="2"/>
      <c r="C123" s="2"/>
      <c r="D123" s="2"/>
      <c r="E123" s="2"/>
      <c r="F123" s="2"/>
    </row>
    <row r="124" spans="1:6" ht="15.75" customHeight="1">
      <c r="A124" s="2"/>
      <c r="B124" s="2"/>
      <c r="C124" s="2"/>
      <c r="D124" s="2"/>
      <c r="E124" s="2"/>
      <c r="F124" s="2"/>
    </row>
    <row r="125" spans="1:6" ht="15.75" customHeight="1">
      <c r="A125" s="2"/>
      <c r="B125" s="2"/>
      <c r="C125" s="2"/>
      <c r="D125" s="2"/>
      <c r="E125" s="2"/>
      <c r="F125" s="2"/>
    </row>
    <row r="126" spans="1:6" ht="15.75" customHeight="1">
      <c r="A126" s="2"/>
      <c r="B126" s="2"/>
      <c r="C126" s="2"/>
      <c r="D126" s="2"/>
      <c r="E126" s="2"/>
      <c r="F126" s="2"/>
    </row>
    <row r="127" spans="1:6" ht="15.75" customHeight="1">
      <c r="A127" s="2"/>
      <c r="B127" s="2"/>
      <c r="C127" s="2"/>
      <c r="D127" s="2"/>
      <c r="E127" s="2"/>
      <c r="F127" s="2"/>
    </row>
    <row r="128" spans="1:6" ht="15.75" customHeight="1">
      <c r="A128" s="2"/>
      <c r="B128" s="2"/>
      <c r="C128" s="2"/>
      <c r="D128" s="2"/>
      <c r="E128" s="2"/>
      <c r="F128" s="2"/>
    </row>
    <row r="129" spans="1:6" ht="15.75" customHeight="1">
      <c r="A129" s="2"/>
      <c r="B129" s="2"/>
      <c r="C129" s="2"/>
      <c r="D129" s="2"/>
      <c r="E129" s="2"/>
      <c r="F129" s="2"/>
    </row>
    <row r="130" spans="1:6" ht="15.75" customHeight="1">
      <c r="A130" s="2"/>
      <c r="B130" s="2"/>
      <c r="C130" s="2"/>
      <c r="D130" s="2"/>
      <c r="E130" s="2"/>
      <c r="F130" s="2"/>
    </row>
    <row r="131" spans="1:6" ht="15.75" customHeight="1">
      <c r="A131" s="2"/>
      <c r="B131" s="2"/>
      <c r="C131" s="2"/>
      <c r="D131" s="2"/>
      <c r="E131" s="2"/>
      <c r="F131" s="2"/>
    </row>
    <row r="132" spans="1:6" ht="15.75" customHeight="1">
      <c r="A132" s="2"/>
      <c r="B132" s="2"/>
      <c r="C132" s="2"/>
      <c r="D132" s="2"/>
      <c r="E132" s="2"/>
      <c r="F132" s="2"/>
    </row>
    <row r="133" spans="1:6" ht="15.75" customHeight="1">
      <c r="A133" s="2"/>
      <c r="B133" s="2"/>
      <c r="C133" s="2"/>
      <c r="D133" s="2"/>
      <c r="E133" s="2"/>
      <c r="F133" s="2"/>
    </row>
    <row r="134" spans="1:6" ht="15.75" customHeight="1">
      <c r="A134" s="2"/>
      <c r="B134" s="2"/>
      <c r="C134" s="2"/>
      <c r="D134" s="2"/>
      <c r="E134" s="2"/>
      <c r="F134" s="2"/>
    </row>
    <row r="135" spans="1:6" ht="15.75" customHeight="1">
      <c r="A135" s="2"/>
      <c r="B135" s="2"/>
      <c r="C135" s="2"/>
      <c r="D135" s="2"/>
      <c r="E135" s="2"/>
      <c r="F135" s="2"/>
    </row>
    <row r="136" spans="1:6" ht="15.75" customHeight="1">
      <c r="A136" s="2"/>
      <c r="B136" s="2"/>
      <c r="C136" s="2"/>
      <c r="D136" s="2"/>
      <c r="E136" s="2"/>
      <c r="F136" s="2"/>
    </row>
    <row r="137" spans="1:6" ht="15.75" customHeight="1">
      <c r="A137" s="2"/>
      <c r="B137" s="2"/>
      <c r="C137" s="2"/>
      <c r="D137" s="2"/>
      <c r="E137" s="2"/>
      <c r="F137" s="2"/>
    </row>
    <row r="138" spans="1:6" ht="15.75" customHeight="1">
      <c r="A138" s="2"/>
      <c r="B138" s="2"/>
      <c r="C138" s="2"/>
      <c r="D138" s="2"/>
      <c r="E138" s="2"/>
      <c r="F138" s="2"/>
    </row>
    <row r="139" spans="1:6" ht="15.75" customHeight="1">
      <c r="A139" s="2"/>
      <c r="B139" s="2"/>
      <c r="C139" s="2"/>
      <c r="D139" s="2"/>
      <c r="E139" s="2"/>
      <c r="F139" s="2"/>
    </row>
    <row r="140" spans="1:6" ht="15.75" customHeight="1">
      <c r="A140" s="2"/>
      <c r="B140" s="2"/>
      <c r="C140" s="2"/>
      <c r="D140" s="2"/>
      <c r="E140" s="2"/>
      <c r="F140" s="2"/>
    </row>
    <row r="141" spans="1:6" ht="15.75" customHeight="1">
      <c r="A141" s="2"/>
      <c r="B141" s="2"/>
      <c r="C141" s="2"/>
      <c r="D141" s="2"/>
      <c r="E141" s="2"/>
      <c r="F141" s="2"/>
    </row>
    <row r="142" spans="1:6" ht="15.75" customHeight="1">
      <c r="A142" s="2"/>
      <c r="B142" s="2"/>
      <c r="C142" s="2"/>
      <c r="D142" s="2"/>
      <c r="E142" s="2"/>
      <c r="F142" s="2"/>
    </row>
    <row r="143" spans="1:6" ht="15.75" customHeight="1">
      <c r="A143" s="2"/>
      <c r="B143" s="2"/>
      <c r="C143" s="2"/>
      <c r="D143" s="2"/>
      <c r="E143" s="2"/>
      <c r="F143" s="2"/>
    </row>
    <row r="144" spans="1:6" ht="15.75" customHeight="1">
      <c r="A144" s="2"/>
      <c r="B144" s="2"/>
      <c r="C144" s="2"/>
      <c r="D144" s="2"/>
      <c r="E144" s="2"/>
      <c r="F144" s="2"/>
    </row>
    <row r="145" spans="1:6" ht="15.75" customHeight="1">
      <c r="A145" s="2"/>
      <c r="B145" s="2"/>
      <c r="C145" s="2"/>
      <c r="D145" s="2"/>
      <c r="E145" s="2"/>
      <c r="F145" s="2"/>
    </row>
    <row r="146" spans="1:6" ht="15.75" customHeight="1">
      <c r="A146" s="2"/>
      <c r="B146" s="2"/>
      <c r="C146" s="2"/>
      <c r="D146" s="2"/>
      <c r="E146" s="2"/>
      <c r="F146" s="2"/>
    </row>
    <row r="147" spans="1:6" ht="15.75" customHeight="1">
      <c r="A147" s="2"/>
      <c r="B147" s="2"/>
      <c r="C147" s="2"/>
      <c r="D147" s="2"/>
      <c r="E147" s="2"/>
      <c r="F147" s="2"/>
    </row>
    <row r="148" spans="1:6" ht="15.75" customHeight="1">
      <c r="A148" s="2"/>
      <c r="B148" s="2"/>
      <c r="C148" s="2"/>
      <c r="D148" s="2"/>
      <c r="E148" s="2"/>
      <c r="F148" s="2"/>
    </row>
    <row r="149" spans="1:6" ht="15.75" customHeight="1">
      <c r="A149" s="2"/>
      <c r="B149" s="2"/>
      <c r="C149" s="2"/>
      <c r="D149" s="2"/>
      <c r="E149" s="2"/>
      <c r="F149" s="2"/>
    </row>
    <row r="150" spans="1:6" ht="15.75" customHeight="1">
      <c r="A150" s="2"/>
      <c r="B150" s="2"/>
      <c r="C150" s="2"/>
      <c r="D150" s="2"/>
      <c r="E150" s="2"/>
      <c r="F150" s="2"/>
    </row>
    <row r="151" spans="1:6" ht="15.75" customHeight="1">
      <c r="A151" s="2"/>
      <c r="B151" s="2"/>
      <c r="C151" s="2"/>
      <c r="D151" s="2"/>
      <c r="E151" s="2"/>
      <c r="F151" s="2"/>
    </row>
    <row r="152" spans="1:6" ht="15.75" customHeight="1">
      <c r="A152" s="2"/>
      <c r="B152" s="2"/>
      <c r="C152" s="2"/>
      <c r="D152" s="2"/>
      <c r="E152" s="2"/>
      <c r="F152" s="2"/>
    </row>
    <row r="153" spans="1:6" ht="15.75" customHeight="1">
      <c r="A153" s="2"/>
      <c r="B153" s="2"/>
      <c r="C153" s="2"/>
      <c r="D153" s="2"/>
      <c r="E153" s="2"/>
      <c r="F153" s="2"/>
    </row>
    <row r="154" spans="1:6" ht="15.75" customHeight="1">
      <c r="A154" s="2"/>
      <c r="B154" s="2"/>
      <c r="C154" s="2"/>
      <c r="D154" s="2"/>
      <c r="E154" s="2"/>
      <c r="F154" s="2"/>
    </row>
    <row r="155" spans="1:6" ht="15.75" customHeight="1">
      <c r="A155" s="2"/>
      <c r="B155" s="2"/>
      <c r="C155" s="2"/>
      <c r="D155" s="2"/>
      <c r="E155" s="2"/>
      <c r="F155" s="2"/>
    </row>
    <row r="156" spans="1:6" ht="15.75" customHeight="1">
      <c r="A156" s="2"/>
      <c r="B156" s="2"/>
      <c r="C156" s="2"/>
      <c r="D156" s="2"/>
      <c r="E156" s="2"/>
      <c r="F156" s="2"/>
    </row>
    <row r="157" spans="1:6" ht="15.75" customHeight="1">
      <c r="A157" s="2"/>
      <c r="B157" s="2"/>
      <c r="C157" s="2"/>
      <c r="D157" s="2"/>
      <c r="E157" s="2"/>
      <c r="F157" s="2"/>
    </row>
    <row r="158" spans="1:6" ht="15.75" customHeight="1">
      <c r="A158" s="2"/>
      <c r="B158" s="2"/>
      <c r="C158" s="2"/>
      <c r="D158" s="2"/>
      <c r="E158" s="2"/>
      <c r="F158" s="2"/>
    </row>
    <row r="159" spans="1:6" ht="15.75" customHeight="1">
      <c r="A159" s="2"/>
      <c r="B159" s="2"/>
      <c r="C159" s="2"/>
      <c r="D159" s="2"/>
      <c r="E159" s="2"/>
      <c r="F159" s="2"/>
    </row>
    <row r="160" spans="1:6" ht="15.75" customHeight="1">
      <c r="A160" s="2"/>
      <c r="B160" s="2"/>
      <c r="C160" s="2"/>
      <c r="D160" s="2"/>
      <c r="E160" s="2"/>
      <c r="F160" s="2"/>
    </row>
    <row r="161" spans="1:6" ht="15.75" customHeight="1">
      <c r="A161" s="2"/>
      <c r="B161" s="2"/>
      <c r="C161" s="2"/>
      <c r="D161" s="2"/>
      <c r="E161" s="2"/>
      <c r="F161" s="2"/>
    </row>
    <row r="162" spans="1:6" ht="15.75" customHeight="1">
      <c r="A162" s="2"/>
      <c r="B162" s="2"/>
      <c r="C162" s="2"/>
      <c r="D162" s="2"/>
      <c r="E162" s="2"/>
      <c r="F162" s="2"/>
    </row>
    <row r="163" spans="1:6" ht="15.75" customHeight="1">
      <c r="A163" s="2"/>
      <c r="B163" s="2"/>
      <c r="C163" s="2"/>
      <c r="D163" s="2"/>
      <c r="E163" s="2"/>
      <c r="F163" s="2"/>
    </row>
    <row r="164" spans="1:6" ht="15.75" customHeight="1">
      <c r="A164" s="2"/>
      <c r="B164" s="2"/>
      <c r="C164" s="2"/>
      <c r="D164" s="2"/>
      <c r="E164" s="2"/>
      <c r="F164" s="2"/>
    </row>
    <row r="165" spans="1:6" ht="15.75" customHeight="1">
      <c r="A165" s="2"/>
      <c r="B165" s="2"/>
      <c r="C165" s="2"/>
      <c r="D165" s="2"/>
      <c r="E165" s="2"/>
      <c r="F165" s="2"/>
    </row>
    <row r="166" spans="1:6" ht="15.75" customHeight="1">
      <c r="A166" s="2"/>
      <c r="B166" s="2"/>
      <c r="C166" s="2"/>
      <c r="D166" s="2"/>
      <c r="E166" s="2"/>
      <c r="F166" s="2"/>
    </row>
    <row r="167" spans="1:6" ht="15.75" customHeight="1">
      <c r="A167" s="2"/>
      <c r="B167" s="2"/>
      <c r="C167" s="2"/>
      <c r="D167" s="2"/>
      <c r="E167" s="2"/>
      <c r="F167" s="2"/>
    </row>
    <row r="168" spans="1:6" ht="15.75" customHeight="1">
      <c r="A168" s="2"/>
      <c r="B168" s="2"/>
      <c r="C168" s="2"/>
      <c r="D168" s="2"/>
      <c r="E168" s="2"/>
      <c r="F168" s="2"/>
    </row>
    <row r="169" spans="1:6" ht="15.75" customHeight="1">
      <c r="A169" s="2"/>
      <c r="B169" s="2"/>
      <c r="C169" s="2"/>
      <c r="D169" s="2"/>
      <c r="E169" s="2"/>
      <c r="F169" s="2"/>
    </row>
    <row r="170" spans="1:6" ht="15.75" customHeight="1">
      <c r="A170" s="2"/>
      <c r="B170" s="2"/>
      <c r="C170" s="2"/>
      <c r="D170" s="2"/>
      <c r="E170" s="2"/>
      <c r="F170" s="2"/>
    </row>
    <row r="171" spans="1:6" ht="15.75" customHeight="1">
      <c r="A171" s="2"/>
      <c r="B171" s="2"/>
      <c r="C171" s="2"/>
      <c r="D171" s="2"/>
      <c r="E171" s="2"/>
      <c r="F171" s="2"/>
    </row>
    <row r="172" spans="1:6" ht="15.75" customHeight="1">
      <c r="A172" s="2"/>
      <c r="B172" s="2"/>
      <c r="C172" s="2"/>
      <c r="D172" s="2"/>
      <c r="E172" s="2"/>
      <c r="F172" s="2"/>
    </row>
    <row r="173" spans="1:6" ht="15.75" customHeight="1">
      <c r="A173" s="2"/>
      <c r="B173" s="2"/>
      <c r="C173" s="2"/>
      <c r="D173" s="2"/>
      <c r="E173" s="2"/>
      <c r="F173" s="2"/>
    </row>
    <row r="174" spans="1:6" ht="15.75" customHeight="1">
      <c r="A174" s="2"/>
      <c r="B174" s="2"/>
      <c r="C174" s="2"/>
      <c r="D174" s="2"/>
      <c r="E174" s="2"/>
      <c r="F174" s="2"/>
    </row>
    <row r="175" spans="1:6" ht="15.75" customHeight="1">
      <c r="A175" s="2"/>
      <c r="B175" s="2"/>
      <c r="C175" s="2"/>
      <c r="D175" s="2"/>
      <c r="E175" s="2"/>
      <c r="F175" s="2"/>
    </row>
    <row r="176" spans="1:6" ht="15.75" customHeight="1">
      <c r="A176" s="2"/>
      <c r="B176" s="2"/>
      <c r="C176" s="2"/>
      <c r="D176" s="2"/>
      <c r="E176" s="2"/>
      <c r="F176" s="2"/>
    </row>
    <row r="177" spans="1:6" ht="15.75" customHeight="1">
      <c r="A177" s="2"/>
      <c r="B177" s="2"/>
      <c r="C177" s="2"/>
      <c r="D177" s="2"/>
      <c r="E177" s="2"/>
      <c r="F177" s="2"/>
    </row>
    <row r="178" spans="1:6" ht="15.75" customHeight="1">
      <c r="A178" s="2"/>
      <c r="B178" s="2"/>
      <c r="C178" s="2"/>
      <c r="D178" s="2"/>
      <c r="E178" s="2"/>
      <c r="F178" s="2"/>
    </row>
    <row r="179" spans="1:6" ht="15.75" customHeight="1">
      <c r="A179" s="2"/>
      <c r="B179" s="2"/>
      <c r="C179" s="2"/>
      <c r="D179" s="2"/>
      <c r="E179" s="2"/>
      <c r="F179" s="2"/>
    </row>
    <row r="180" spans="1:6" ht="15.75" customHeight="1">
      <c r="A180" s="2"/>
      <c r="B180" s="2"/>
      <c r="C180" s="2"/>
      <c r="D180" s="2"/>
      <c r="E180" s="2"/>
      <c r="F180" s="2"/>
    </row>
    <row r="181" spans="1:6" ht="15.75" customHeight="1">
      <c r="A181" s="2"/>
      <c r="B181" s="2"/>
      <c r="C181" s="2"/>
      <c r="D181" s="2"/>
      <c r="E181" s="2"/>
      <c r="F181" s="2"/>
    </row>
    <row r="182" spans="1:6" ht="15.75" customHeight="1">
      <c r="A182" s="2"/>
      <c r="B182" s="2"/>
      <c r="C182" s="2"/>
      <c r="D182" s="2"/>
      <c r="E182" s="2"/>
      <c r="F182" s="2"/>
    </row>
    <row r="183" spans="1:6" ht="15.75" customHeight="1">
      <c r="A183" s="2"/>
      <c r="B183" s="2"/>
      <c r="C183" s="2"/>
      <c r="D183" s="2"/>
      <c r="E183" s="2"/>
      <c r="F183" s="2"/>
    </row>
    <row r="184" spans="1:6" ht="15.75" customHeight="1">
      <c r="A184" s="2"/>
      <c r="B184" s="2"/>
      <c r="C184" s="2"/>
      <c r="D184" s="2"/>
      <c r="E184" s="2"/>
      <c r="F184" s="2"/>
    </row>
    <row r="185" spans="1:6" ht="15.75" customHeight="1">
      <c r="A185" s="2"/>
      <c r="B185" s="2"/>
      <c r="C185" s="2"/>
      <c r="D185" s="2"/>
      <c r="E185" s="2"/>
      <c r="F185" s="2"/>
    </row>
    <row r="186" spans="1:6" ht="15.75" customHeight="1">
      <c r="A186" s="2"/>
      <c r="B186" s="2"/>
      <c r="C186" s="2"/>
      <c r="D186" s="2"/>
      <c r="E186" s="2"/>
      <c r="F186" s="2"/>
    </row>
    <row r="187" spans="1:6" ht="15.75" customHeight="1">
      <c r="A187" s="2"/>
      <c r="B187" s="2"/>
      <c r="C187" s="2"/>
      <c r="D187" s="2"/>
      <c r="E187" s="2"/>
      <c r="F187" s="2"/>
    </row>
    <row r="188" spans="1:6" ht="15.75" customHeight="1">
      <c r="A188" s="2"/>
      <c r="B188" s="2"/>
      <c r="C188" s="2"/>
      <c r="D188" s="2"/>
      <c r="E188" s="2"/>
      <c r="F188" s="2"/>
    </row>
    <row r="189" spans="1:6" ht="15.75" customHeight="1">
      <c r="A189" s="2"/>
      <c r="B189" s="2"/>
      <c r="C189" s="2"/>
      <c r="D189" s="2"/>
      <c r="E189" s="2"/>
      <c r="F189" s="2"/>
    </row>
    <row r="190" spans="1:6" ht="15.75" customHeight="1">
      <c r="A190" s="2"/>
      <c r="B190" s="2"/>
      <c r="C190" s="2"/>
      <c r="D190" s="2"/>
      <c r="E190" s="2"/>
      <c r="F190" s="2"/>
    </row>
    <row r="191" spans="1:6" ht="15.75" customHeight="1">
      <c r="A191" s="2"/>
      <c r="B191" s="2"/>
      <c r="C191" s="2"/>
      <c r="D191" s="2"/>
      <c r="E191" s="2"/>
      <c r="F191" s="2"/>
    </row>
    <row r="192" spans="1:6" ht="15.75" customHeight="1">
      <c r="A192" s="2"/>
      <c r="B192" s="2"/>
      <c r="C192" s="2"/>
      <c r="D192" s="2"/>
      <c r="E192" s="2"/>
      <c r="F192" s="2"/>
    </row>
    <row r="193" spans="1:6" ht="15.75" customHeight="1">
      <c r="A193" s="2"/>
      <c r="B193" s="2"/>
      <c r="C193" s="2"/>
      <c r="D193" s="2"/>
      <c r="E193" s="2"/>
      <c r="F193" s="2"/>
    </row>
    <row r="194" spans="1:6" ht="15.75" customHeight="1">
      <c r="A194" s="2"/>
      <c r="B194" s="2"/>
      <c r="C194" s="2"/>
      <c r="D194" s="2"/>
      <c r="E194" s="2"/>
      <c r="F194" s="2"/>
    </row>
    <row r="195" spans="1:6" ht="15.75" customHeight="1">
      <c r="A195" s="2"/>
      <c r="B195" s="2"/>
      <c r="C195" s="2"/>
      <c r="D195" s="2"/>
      <c r="E195" s="2"/>
      <c r="F195" s="2"/>
    </row>
    <row r="196" spans="1:6" ht="15.75" customHeight="1">
      <c r="A196" s="2"/>
      <c r="B196" s="2"/>
      <c r="C196" s="2"/>
      <c r="D196" s="2"/>
      <c r="E196" s="2"/>
      <c r="F196" s="2"/>
    </row>
    <row r="197" spans="1:6" ht="15.75" customHeight="1">
      <c r="A197" s="2"/>
      <c r="B197" s="2"/>
      <c r="C197" s="2"/>
      <c r="D197" s="2"/>
      <c r="E197" s="2"/>
      <c r="F197" s="2"/>
    </row>
    <row r="198" spans="1:6" ht="15.75" customHeight="1">
      <c r="A198" s="2"/>
      <c r="B198" s="2"/>
      <c r="C198" s="2"/>
      <c r="D198" s="2"/>
      <c r="E198" s="2"/>
      <c r="F198" s="2"/>
    </row>
    <row r="199" spans="1:6" ht="15.75" customHeight="1">
      <c r="A199" s="2"/>
      <c r="B199" s="2"/>
      <c r="C199" s="2"/>
      <c r="D199" s="2"/>
      <c r="E199" s="2"/>
      <c r="F199" s="2"/>
    </row>
    <row r="200" spans="1:6" ht="15.75" customHeight="1">
      <c r="A200" s="2"/>
      <c r="B200" s="2"/>
      <c r="C200" s="2"/>
      <c r="D200" s="2"/>
      <c r="E200" s="2"/>
      <c r="F200" s="2"/>
    </row>
    <row r="201" spans="1:6" ht="15.75" customHeight="1">
      <c r="A201" s="2"/>
      <c r="B201" s="2"/>
      <c r="C201" s="2"/>
      <c r="D201" s="2"/>
      <c r="E201" s="2"/>
      <c r="F201" s="2"/>
    </row>
    <row r="202" spans="1:6" ht="15.75" customHeight="1">
      <c r="A202" s="2"/>
      <c r="B202" s="2"/>
      <c r="C202" s="2"/>
      <c r="D202" s="2"/>
      <c r="E202" s="2"/>
      <c r="F202" s="2"/>
    </row>
    <row r="203" spans="1:6" ht="15.75" customHeight="1">
      <c r="A203" s="2"/>
      <c r="B203" s="2"/>
      <c r="C203" s="2"/>
      <c r="D203" s="2"/>
      <c r="E203" s="2"/>
      <c r="F203" s="2"/>
    </row>
    <row r="204" spans="1:6" ht="15.75" customHeight="1">
      <c r="A204" s="2"/>
      <c r="B204" s="2"/>
      <c r="C204" s="2"/>
      <c r="D204" s="2"/>
      <c r="E204" s="2"/>
      <c r="F204" s="2"/>
    </row>
    <row r="205" spans="1:6" ht="15.75" customHeight="1">
      <c r="A205" s="2"/>
      <c r="B205" s="2"/>
      <c r="C205" s="2"/>
      <c r="D205" s="2"/>
      <c r="E205" s="2"/>
      <c r="F205" s="2"/>
    </row>
    <row r="206" spans="1:6" ht="15.75" customHeight="1">
      <c r="A206" s="2"/>
      <c r="B206" s="2"/>
      <c r="C206" s="2"/>
      <c r="D206" s="2"/>
      <c r="E206" s="2"/>
      <c r="F206" s="2"/>
    </row>
    <row r="207" spans="1:6" ht="15.75" customHeight="1">
      <c r="A207" s="2"/>
      <c r="B207" s="2"/>
      <c r="C207" s="2"/>
      <c r="D207" s="2"/>
      <c r="E207" s="2"/>
      <c r="F207" s="2"/>
    </row>
    <row r="208" spans="1:6" ht="15.75" customHeight="1">
      <c r="A208" s="2"/>
      <c r="B208" s="2"/>
      <c r="C208" s="2"/>
      <c r="D208" s="2"/>
      <c r="E208" s="2"/>
      <c r="F208" s="2"/>
    </row>
    <row r="209" spans="1:6" ht="15.75" customHeight="1">
      <c r="A209" s="2"/>
      <c r="B209" s="2"/>
      <c r="C209" s="2"/>
      <c r="D209" s="2"/>
      <c r="E209" s="2"/>
      <c r="F209" s="2"/>
    </row>
    <row r="210" spans="1:6" ht="15.75" customHeight="1">
      <c r="A210" s="2"/>
      <c r="B210" s="2"/>
      <c r="C210" s="2"/>
      <c r="D210" s="2"/>
      <c r="E210" s="2"/>
      <c r="F210" s="2"/>
    </row>
    <row r="211" spans="1:6" ht="15.75" customHeight="1">
      <c r="A211" s="2"/>
      <c r="B211" s="2"/>
      <c r="C211" s="2"/>
      <c r="D211" s="2"/>
      <c r="E211" s="2"/>
      <c r="F211" s="2"/>
    </row>
    <row r="212" spans="1:6" ht="15.75" customHeight="1">
      <c r="A212" s="2"/>
      <c r="B212" s="2"/>
      <c r="C212" s="2"/>
      <c r="D212" s="2"/>
      <c r="E212" s="2"/>
      <c r="F212" s="2"/>
    </row>
    <row r="213" spans="1:6" ht="15.75" customHeight="1">
      <c r="A213" s="2"/>
      <c r="B213" s="2"/>
      <c r="C213" s="2"/>
      <c r="D213" s="2"/>
      <c r="E213" s="2"/>
      <c r="F213" s="2"/>
    </row>
    <row r="214" spans="1:6" ht="15.75" customHeight="1">
      <c r="A214" s="2"/>
      <c r="B214" s="2"/>
      <c r="C214" s="2"/>
      <c r="D214" s="2"/>
      <c r="E214" s="2"/>
      <c r="F214" s="2"/>
    </row>
    <row r="215" spans="1:6" ht="15.75" customHeight="1">
      <c r="A215" s="2"/>
      <c r="B215" s="2"/>
      <c r="C215" s="2"/>
      <c r="D215" s="2"/>
      <c r="E215" s="2"/>
      <c r="F215" s="2"/>
    </row>
    <row r="216" spans="1:6" ht="15.75" customHeight="1">
      <c r="A216" s="2"/>
      <c r="B216" s="2"/>
      <c r="C216" s="2"/>
      <c r="D216" s="2"/>
      <c r="E216" s="2"/>
      <c r="F216" s="2"/>
    </row>
    <row r="217" spans="1:6" ht="15.75" customHeight="1">
      <c r="A217" s="2"/>
      <c r="B217" s="2"/>
      <c r="C217" s="2"/>
      <c r="D217" s="2"/>
      <c r="E217" s="2"/>
      <c r="F217" s="2"/>
    </row>
    <row r="218" spans="1:6" ht="15.75" customHeight="1">
      <c r="A218" s="2"/>
      <c r="B218" s="2"/>
      <c r="C218" s="2"/>
      <c r="D218" s="2"/>
      <c r="E218" s="2"/>
      <c r="F218" s="2"/>
    </row>
    <row r="219" spans="1:6" ht="15.75" customHeight="1">
      <c r="A219" s="2"/>
      <c r="B219" s="2"/>
      <c r="C219" s="2"/>
      <c r="D219" s="2"/>
      <c r="E219" s="2"/>
      <c r="F219" s="2"/>
    </row>
    <row r="220" spans="1:6" ht="15.75" customHeight="1">
      <c r="A220" s="2"/>
      <c r="B220" s="2"/>
      <c r="C220" s="2"/>
      <c r="D220" s="2"/>
      <c r="E220" s="2"/>
      <c r="F220" s="2"/>
    </row>
    <row r="221" spans="1:6" ht="15.75" customHeight="1"/>
    <row r="222" spans="1:6" ht="15.75" customHeight="1"/>
    <row r="223" spans="1:6" ht="15.75" customHeight="1"/>
    <row r="224" spans="1: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STUDENTS</vt:lpstr>
      <vt:lpstr>Log</vt:lpstr>
      <vt:lpstr>ATTENDANCE_INPUT</vt:lpstr>
      <vt:lpstr>DATE_ANOMALIES</vt:lpstr>
      <vt:lpstr>Pivot Table 1</vt:lpstr>
      <vt:lpstr>ATTENDANCE_LOG</vt:lpstr>
      <vt:lpstr>sheet2</vt:lpstr>
      <vt:lpstr>backupsheet2</vt:lpstr>
      <vt:lpstr>Copy of sheet2 1</vt:lpstr>
      <vt:lpstr>Copy of sheet2</vt:lpstr>
      <vt:lpstr>PROGRESS</vt:lpstr>
      <vt:lpstr>LEVEL_HELPER</vt:lpstr>
      <vt:lpstr>CLASS_DATES</vt:lpstr>
      <vt:lpstr>PIC</vt:lpstr>
      <vt:lpstr>COURSE_PLAN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Hao</cp:lastModifiedBy>
  <dcterms:modified xsi:type="dcterms:W3CDTF">2026-05-03T07:57:27Z</dcterms:modified>
</cp:coreProperties>
</file>